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DB17AC40-820F-4801-9698-3CCBB41E51CE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</calcChain>
</file>

<file path=xl/sharedStrings.xml><?xml version="1.0" encoding="utf-8"?>
<sst xmlns="http://schemas.openxmlformats.org/spreadsheetml/2006/main" count="18860" uniqueCount="131">
  <si>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</si>
  <si>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</si>
  <si>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</si>
  <si>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</si>
  <si>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</si>
  <si>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</si>
  <si>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</si>
  <si>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</si>
  <si>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</si>
  <si>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</si>
  <si>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</si>
  <si>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</si>
  <si>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</si>
  <si>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</si>
  <si>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</si>
  <si>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</si>
  <si>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</si>
  <si>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</si>
  <si>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</si>
  <si>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</si>
  <si>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</si>
  <si>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</si>
  <si>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</si>
  <si>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</si>
  <si>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</si>
  <si>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</si>
  <si>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</si>
  <si>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</si>
  <si>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</si>
  <si>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</si>
  <si>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</si>
  <si>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</si>
  <si>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</si>
  <si>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</si>
  <si>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</si>
  <si>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</si>
  <si>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</si>
  <si>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</si>
  <si>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</si>
  <si>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</si>
  <si>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</si>
  <si>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mcp_road_part_02</t>
  </si>
  <si>
    <t>Building 07 (16)</t>
  </si>
  <si>
    <t>Plane_01</t>
  </si>
  <si>
    <t>Box001</t>
  </si>
  <si>
    <t>FAR</t>
  </si>
  <si>
    <t>Building 18 (9)</t>
  </si>
  <si>
    <t>Pilar Small (29)</t>
  </si>
  <si>
    <t>Floor 01</t>
  </si>
  <si>
    <t>Kooper</t>
  </si>
  <si>
    <t>mcp_roads_turn_01 (1)</t>
  </si>
  <si>
    <t>Building 15 (24)</t>
  </si>
  <si>
    <t>Building 15 (22)</t>
  </si>
  <si>
    <t>Building 07 (17)</t>
  </si>
  <si>
    <t>Building 07 (18)</t>
  </si>
  <si>
    <t>Building 24</t>
  </si>
  <si>
    <t>Building 24 (1)</t>
  </si>
  <si>
    <t>Building 18 (11)</t>
  </si>
  <si>
    <t>Building 15 (35)</t>
  </si>
  <si>
    <t>mcp_roads_T_cross_01</t>
  </si>
  <si>
    <t>mcp_roads_cross_02</t>
  </si>
  <si>
    <t>Building 18 (2)</t>
  </si>
  <si>
    <t>Building 15 (34)</t>
  </si>
  <si>
    <t>Tree 02 (3)</t>
  </si>
  <si>
    <t>Building 15 (10)</t>
  </si>
  <si>
    <t>Tree 05 (15)</t>
  </si>
  <si>
    <t>Building 01 (1)</t>
  </si>
  <si>
    <t>Tong (3)</t>
  </si>
  <si>
    <t>Stand 03 (2)</t>
  </si>
  <si>
    <t>Building 18 (4)</t>
  </si>
  <si>
    <t>mcp_road_part_01</t>
  </si>
  <si>
    <t>Building 19</t>
  </si>
  <si>
    <t>Building 07 (4)</t>
  </si>
  <si>
    <t>Tree 04 (2)</t>
  </si>
  <si>
    <t>Bannar Stand</t>
  </si>
  <si>
    <t>Building 07 (11)</t>
  </si>
  <si>
    <t>Building 15 (33)</t>
  </si>
  <si>
    <t>Building 15 (31)</t>
  </si>
  <si>
    <t>Building 01 (9)</t>
  </si>
  <si>
    <t>mcp_roads_cross_01</t>
  </si>
  <si>
    <t>Building 02 (8)</t>
  </si>
  <si>
    <t>mcp_roads_turn_01</t>
  </si>
  <si>
    <t>Building 02 (11)</t>
  </si>
  <si>
    <t>Tree 02 (2)</t>
  </si>
  <si>
    <t>Building 29 (5)</t>
  </si>
  <si>
    <t>Bannar 14 (1)</t>
  </si>
  <si>
    <t>Building 18 (5)</t>
  </si>
  <si>
    <t>Building 01</t>
  </si>
  <si>
    <t>Building 11 (3)</t>
  </si>
  <si>
    <t>Canopi 01 (6)</t>
  </si>
  <si>
    <t>Building 23 (4)</t>
  </si>
  <si>
    <t>Tree 02 (6)</t>
  </si>
  <si>
    <t>Stand 03 (4)</t>
  </si>
  <si>
    <t>Tong (5)</t>
  </si>
  <si>
    <t>Building 21 (2)</t>
  </si>
  <si>
    <t>Canopi 01 (4)</t>
  </si>
  <si>
    <t>Building 15 (7)</t>
  </si>
  <si>
    <t>Building 09 (4)</t>
  </si>
  <si>
    <t>Building 15 (32)</t>
  </si>
  <si>
    <t>Building 15 (30)</t>
  </si>
  <si>
    <t>Building 13 (1)</t>
  </si>
  <si>
    <t>Building 30 (5)</t>
  </si>
  <si>
    <t>Building 18 (7)</t>
  </si>
  <si>
    <t>Building 18 (6)</t>
  </si>
  <si>
    <t>Building 30 (4)</t>
  </si>
  <si>
    <t>Tree 04 (7)</t>
  </si>
  <si>
    <t>Tree 04 (6)</t>
  </si>
  <si>
    <t>Tree 04 (5)</t>
  </si>
  <si>
    <t>Tree 04 (4)</t>
  </si>
  <si>
    <t>Shurbs (1)</t>
  </si>
  <si>
    <t>mcp_road_part_02 (3)</t>
  </si>
  <si>
    <t>mcp_road_part_02 (1)</t>
  </si>
  <si>
    <t>mcp_road_part_02 (2)</t>
  </si>
  <si>
    <t>Building 04 (3)</t>
  </si>
  <si>
    <t>Shurbs (2)</t>
  </si>
  <si>
    <t>Bannar 01F</t>
  </si>
  <si>
    <t>Shurbs (3)</t>
  </si>
  <si>
    <t>mcp_bus_stop_night_LOD_0</t>
  </si>
  <si>
    <t>Building 07 (15)</t>
  </si>
  <si>
    <t>Building 07 (14)</t>
  </si>
  <si>
    <t>mcp_road_part_02 (7)</t>
  </si>
  <si>
    <t>mcp_road_part_02 (9)</t>
  </si>
  <si>
    <t>mcp_road_part_02 (11)</t>
  </si>
  <si>
    <t>mcp_road_part_02 (12)</t>
  </si>
  <si>
    <t>mcp_road_part_02 (4)</t>
  </si>
  <si>
    <t>mcp_road_part_02 (6)</t>
  </si>
  <si>
    <t>mcp_road_part_02 (10)</t>
  </si>
  <si>
    <t>mcp_road_part_02 (5)</t>
  </si>
  <si>
    <t>Canopi 01 (3)</t>
  </si>
  <si>
    <t>Building 14 (9)</t>
  </si>
  <si>
    <t>Building 15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</si>
</sst>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411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"20190312160304168"</f>
        <v>20190312160304168</v>
      </c>
      <c r="B2" t="str">
        <f>"1552377784165171"</f>
        <v>1552377784165171</v>
      </c>
      <c r="C2" t="s">
        <v>40</v>
      </c>
      <c r="D2">
        <v>5.1555150000000003</v>
      </c>
      <c r="E2">
        <v>0.49421510000000002</v>
      </c>
      <c r="F2" t="s">
        <v>41</v>
      </c>
      <c r="G2">
        <v>-372.79680000000002</v>
      </c>
      <c r="H2" s="1">
        <v>-3.490122E-6</v>
      </c>
      <c r="I2">
        <v>367.26190000000003</v>
      </c>
      <c r="J2">
        <v>-476.61270000000002</v>
      </c>
      <c r="K2">
        <v>1.1096760000000001</v>
      </c>
      <c r="L2">
        <v>367.22089999999997</v>
      </c>
      <c r="M2">
        <v>0.99996280000000004</v>
      </c>
      <c r="N2">
        <v>0</v>
      </c>
      <c r="O2" s="1">
        <v>-1.9252039999999999E-6</v>
      </c>
      <c r="P2">
        <v>0.99951230000000002</v>
      </c>
      <c r="Q2">
        <v>3.056306E-2</v>
      </c>
      <c r="R2">
        <v>-6.4181250000000002E-3</v>
      </c>
      <c r="S2">
        <v>3.0023499999999999</v>
      </c>
      <c r="T2">
        <v>-3.2096149999999997E-2</v>
      </c>
      <c r="U2">
        <v>1.190186E-3</v>
      </c>
      <c r="V2">
        <v>6.4151059999999899E-3</v>
      </c>
      <c r="W2">
        <v>3.9185810000000001E-2</v>
      </c>
      <c r="X2">
        <v>0.99921139999999997</v>
      </c>
      <c r="Y2">
        <v>-3.983204E-4</v>
      </c>
      <c r="Z2" s="1">
        <v>2.1496109999999998E-6</v>
      </c>
      <c r="AA2">
        <v>0.99999990000000005</v>
      </c>
      <c r="AB2">
        <v>1</v>
      </c>
      <c r="AC2">
        <v>103.8159</v>
      </c>
      <c r="AD2">
        <v>-1.109679490122</v>
      </c>
      <c r="AE2">
        <v>4.1000000000053598E-2</v>
      </c>
      <c r="AF2">
        <v>-4.11951675531054E-2</v>
      </c>
      <c r="AG2">
        <v>-1.109679490122</v>
      </c>
      <c r="AH2">
        <v>103.80404000630899</v>
      </c>
      <c r="AI2">
        <v>90.612476398800894</v>
      </c>
      <c r="AJ2">
        <v>90.022738123805894</v>
      </c>
      <c r="AK2">
        <v>103.809979323975</v>
      </c>
      <c r="AL2">
        <v>87.754243598978704</v>
      </c>
      <c r="AM2">
        <v>89.632156469616405</v>
      </c>
      <c r="AN2">
        <v>1.0000000515901499</v>
      </c>
    </row>
    <row r="3" spans="1:40" x14ac:dyDescent="0.25">
      <c r="A3" t="str">
        <f>"20190312160304181"</f>
        <v>20190312160304181</v>
      </c>
      <c r="B3" t="str">
        <f>"1552377784174932"</f>
        <v>1552377784174932</v>
      </c>
      <c r="C3" t="s">
        <v>40</v>
      </c>
      <c r="D3">
        <v>5.163157</v>
      </c>
      <c r="E3">
        <v>0.49380930000000001</v>
      </c>
      <c r="F3" t="s">
        <v>41</v>
      </c>
      <c r="G3">
        <v>-262.5052</v>
      </c>
      <c r="H3" s="1">
        <v>-3.3534060000000001E-6</v>
      </c>
      <c r="I3">
        <v>368.73779999999999</v>
      </c>
      <c r="J3">
        <v>-476.60649999999998</v>
      </c>
      <c r="K3">
        <v>1.1096250000000001</v>
      </c>
      <c r="L3">
        <v>367.22089999999997</v>
      </c>
      <c r="M3">
        <v>0.99996700000000005</v>
      </c>
      <c r="N3">
        <v>0</v>
      </c>
      <c r="O3" s="1">
        <v>2.518359E-5</v>
      </c>
      <c r="P3">
        <v>0.99949659999999996</v>
      </c>
      <c r="Q3">
        <v>3.107969E-2</v>
      </c>
      <c r="R3">
        <v>-6.3650779999999997E-3</v>
      </c>
      <c r="S3">
        <v>3.002075</v>
      </c>
      <c r="T3">
        <v>-1.55592E-2</v>
      </c>
      <c r="U3">
        <v>2.1270750000000001E-2</v>
      </c>
      <c r="V3">
        <v>6.3893530000000004E-3</v>
      </c>
      <c r="W3">
        <v>3.9221069999999997E-2</v>
      </c>
      <c r="X3">
        <v>0.99921009999999999</v>
      </c>
      <c r="Y3">
        <v>-7.0598939999999997E-3</v>
      </c>
      <c r="Z3" s="1">
        <v>1.816418E-5</v>
      </c>
      <c r="AA3">
        <v>0.99997510000000001</v>
      </c>
      <c r="AB3">
        <v>1</v>
      </c>
      <c r="AC3">
        <v>214.10130000000001</v>
      </c>
      <c r="AD3">
        <v>-1.1096283534060001</v>
      </c>
      <c r="AE3">
        <v>1.5169000000000199</v>
      </c>
      <c r="AF3">
        <v>-1.51146738527119</v>
      </c>
      <c r="AG3">
        <v>-1.1096283534060001</v>
      </c>
      <c r="AH3">
        <v>214.095587676831</v>
      </c>
      <c r="AI3">
        <v>90.296946184899696</v>
      </c>
      <c r="AJ3">
        <v>90.404488781345506</v>
      </c>
      <c r="AK3">
        <v>214.10379835824301</v>
      </c>
      <c r="AL3">
        <v>87.752221612263497</v>
      </c>
      <c r="AM3">
        <v>89.633632635092496</v>
      </c>
      <c r="AN3">
        <v>0.99999997005285601</v>
      </c>
    </row>
    <row r="4" spans="1:40" x14ac:dyDescent="0.25">
      <c r="A4" t="str">
        <f>"20190312160304194"</f>
        <v>20190312160304194</v>
      </c>
      <c r="B4" t="str">
        <f>"1552377784184384"</f>
        <v>1552377784184384</v>
      </c>
      <c r="C4" t="s">
        <v>40</v>
      </c>
      <c r="D4">
        <v>5.1345609999999997</v>
      </c>
      <c r="E4">
        <v>0.49383949999999999</v>
      </c>
      <c r="F4" t="s">
        <v>42</v>
      </c>
      <c r="G4">
        <v>-158.78319999999999</v>
      </c>
      <c r="H4">
        <v>0.32399800000000001</v>
      </c>
      <c r="I4">
        <v>369.84449999999998</v>
      </c>
      <c r="J4">
        <v>-476.60210000000001</v>
      </c>
      <c r="K4">
        <v>1.1097090000000001</v>
      </c>
      <c r="L4">
        <v>367.22089999999997</v>
      </c>
      <c r="M4">
        <v>0.99996640000000003</v>
      </c>
      <c r="N4">
        <v>0</v>
      </c>
      <c r="O4" s="1">
        <v>4.1287330000000002E-5</v>
      </c>
      <c r="P4">
        <v>0.99950600000000001</v>
      </c>
      <c r="Q4">
        <v>3.0735809999999999E-2</v>
      </c>
      <c r="R4">
        <v>-6.5597329999999999E-3</v>
      </c>
      <c r="S4">
        <v>3.001862</v>
      </c>
      <c r="T4">
        <v>-7.4194669999999999E-3</v>
      </c>
      <c r="U4">
        <v>2.478027E-2</v>
      </c>
      <c r="V4">
        <v>6.6003939999999999E-3</v>
      </c>
      <c r="W4">
        <v>3.8936610000000003E-2</v>
      </c>
      <c r="X4">
        <v>0.99921990000000005</v>
      </c>
      <c r="Y4">
        <v>-8.2133769999999991E-3</v>
      </c>
      <c r="Z4" s="1">
        <v>1.0047949999999999E-5</v>
      </c>
      <c r="AA4">
        <v>0.99996629999999997</v>
      </c>
      <c r="AB4">
        <v>1</v>
      </c>
      <c r="AC4">
        <v>317.81889999999999</v>
      </c>
      <c r="AD4">
        <v>-0.78571099999999905</v>
      </c>
      <c r="AE4">
        <v>2.6236000000000099</v>
      </c>
      <c r="AF4">
        <v>-2.6104617096339999</v>
      </c>
      <c r="AG4">
        <v>-0.78571099999999905</v>
      </c>
      <c r="AH4">
        <v>317.81706576519701</v>
      </c>
      <c r="AI4">
        <v>90.141642217695306</v>
      </c>
      <c r="AJ4">
        <v>90.470601145223199</v>
      </c>
      <c r="AK4">
        <v>317.82875757821603</v>
      </c>
      <c r="AL4">
        <v>87.768532533680002</v>
      </c>
      <c r="AM4">
        <v>89.621535540738606</v>
      </c>
      <c r="AN4">
        <v>1.00000001667762</v>
      </c>
    </row>
    <row r="5" spans="1:40" x14ac:dyDescent="0.25">
      <c r="A5" t="str">
        <f>"20190312160304213"</f>
        <v>20190312160304213</v>
      </c>
      <c r="B5" t="str">
        <f>"1552377784204880"</f>
        <v>1552377784204880</v>
      </c>
      <c r="C5" t="s">
        <v>40</v>
      </c>
      <c r="D5">
        <v>4.5553949999999999</v>
      </c>
      <c r="E5">
        <v>0.4929849</v>
      </c>
      <c r="F5" t="s">
        <v>42</v>
      </c>
      <c r="G5">
        <v>-158.78319999999999</v>
      </c>
      <c r="H5">
        <v>1.1431209999999901</v>
      </c>
      <c r="I5">
        <v>369.82530000000003</v>
      </c>
      <c r="J5">
        <v>-476.59750000000003</v>
      </c>
      <c r="K5">
        <v>1.1100099999999999</v>
      </c>
      <c r="L5">
        <v>367.22089999999997</v>
      </c>
      <c r="M5">
        <v>0.9999595</v>
      </c>
      <c r="N5">
        <v>0</v>
      </c>
      <c r="O5" s="1">
        <v>5.1693739999999999E-5</v>
      </c>
      <c r="P5">
        <v>0.99953190000000003</v>
      </c>
      <c r="Q5">
        <v>2.984591E-2</v>
      </c>
      <c r="R5">
        <v>-6.7206009999999997E-3</v>
      </c>
      <c r="S5">
        <v>3.0016479999999999</v>
      </c>
      <c r="T5">
        <v>3.1638150000000003E-4</v>
      </c>
      <c r="U5">
        <v>2.4597170000000002E-2</v>
      </c>
      <c r="V5">
        <v>6.7729499999999998E-3</v>
      </c>
      <c r="W5">
        <v>3.8837980000000001E-2</v>
      </c>
      <c r="X5">
        <v>0.99922259999999996</v>
      </c>
      <c r="Y5">
        <v>-8.1425860000000003E-3</v>
      </c>
      <c r="Z5" s="1">
        <v>-4.2366880000000002E-7</v>
      </c>
      <c r="AA5">
        <v>0.99996689999999999</v>
      </c>
      <c r="AB5">
        <v>1</v>
      </c>
      <c r="AC5">
        <v>317.8143</v>
      </c>
      <c r="AD5">
        <v>3.31109999999998E-2</v>
      </c>
      <c r="AE5">
        <v>2.6044000000000498</v>
      </c>
      <c r="AF5">
        <v>-2.58797029325914</v>
      </c>
      <c r="AG5">
        <v>3.31109999999998E-2</v>
      </c>
      <c r="AH5">
        <v>317.81443076256699</v>
      </c>
      <c r="AI5">
        <v>89.994030926634593</v>
      </c>
      <c r="AJ5">
        <v>90.466550551729995</v>
      </c>
      <c r="AK5">
        <v>317.824969263762</v>
      </c>
      <c r="AL5">
        <v>87.774187930248004</v>
      </c>
      <c r="AM5">
        <v>89.611642583992904</v>
      </c>
      <c r="AN5">
        <v>1.00000003294647</v>
      </c>
    </row>
    <row r="6" spans="1:40" x14ac:dyDescent="0.25">
      <c r="A6" t="str">
        <f>"20190312160304235"</f>
        <v>20190312160304235</v>
      </c>
      <c r="B6" t="str">
        <f>"1552377784224400"</f>
        <v>1552377784224400</v>
      </c>
      <c r="C6" t="s">
        <v>40</v>
      </c>
      <c r="D6">
        <v>5.1476540000000002</v>
      </c>
      <c r="E6">
        <v>0.49208629999999998</v>
      </c>
      <c r="F6" t="s">
        <v>42</v>
      </c>
      <c r="G6">
        <v>-158.19499999999999</v>
      </c>
      <c r="H6">
        <v>2.738194</v>
      </c>
      <c r="I6">
        <v>370.59460000000001</v>
      </c>
      <c r="J6">
        <v>-476.59219999999999</v>
      </c>
      <c r="K6">
        <v>1.1102320000000001</v>
      </c>
      <c r="L6">
        <v>367.22089999999997</v>
      </c>
      <c r="M6">
        <v>0.99995319999999999</v>
      </c>
      <c r="N6">
        <v>0</v>
      </c>
      <c r="O6" s="1">
        <v>5.6849689999999998E-5</v>
      </c>
      <c r="P6">
        <v>0.99953809999999998</v>
      </c>
      <c r="Q6">
        <v>2.949535E-2</v>
      </c>
      <c r="R6">
        <v>-7.32935599999999E-3</v>
      </c>
      <c r="S6">
        <v>3.0011899999999998</v>
      </c>
      <c r="T6">
        <v>1.534772E-2</v>
      </c>
      <c r="U6">
        <v>3.1799319999999999E-2</v>
      </c>
      <c r="V6">
        <v>7.3878429999999998E-3</v>
      </c>
      <c r="W6">
        <v>3.9163410000000003E-2</v>
      </c>
      <c r="X6">
        <v>0.99920549999999997</v>
      </c>
      <c r="Y6">
        <v>-1.0537990000000001E-2</v>
      </c>
      <c r="Z6" s="1">
        <v>-2.6653340000000001E-5</v>
      </c>
      <c r="AA6">
        <v>0.99994439999999996</v>
      </c>
      <c r="AB6">
        <v>1</v>
      </c>
      <c r="AC6">
        <v>318.3972</v>
      </c>
      <c r="AD6">
        <v>1.6279619999999999</v>
      </c>
      <c r="AE6">
        <v>3.3737000000000399</v>
      </c>
      <c r="AF6">
        <v>-3.3555106531225198</v>
      </c>
      <c r="AG6">
        <v>1.6279619999999999</v>
      </c>
      <c r="AH6">
        <v>318.389068680229</v>
      </c>
      <c r="AI6">
        <v>89.707058537488393</v>
      </c>
      <c r="AJ6">
        <v>90.603819351455002</v>
      </c>
      <c r="AK6">
        <v>318.41091182162802</v>
      </c>
      <c r="AL6">
        <v>87.755527876650106</v>
      </c>
      <c r="AM6">
        <v>89.5763789225755</v>
      </c>
      <c r="AN6">
        <v>0.99999999206863499</v>
      </c>
    </row>
    <row r="7" spans="1:40" x14ac:dyDescent="0.25">
      <c r="A7" t="str">
        <f>"20190312160304260"</f>
        <v>20190312160304260</v>
      </c>
      <c r="B7" t="str">
        <f>"1552377784254656"</f>
        <v>1552377784254656</v>
      </c>
      <c r="C7" t="s">
        <v>40</v>
      </c>
      <c r="D7">
        <v>5.1403239999999997</v>
      </c>
      <c r="E7">
        <v>0.49155110000000002</v>
      </c>
      <c r="F7" t="s">
        <v>42</v>
      </c>
      <c r="G7">
        <v>-158.19499999999999</v>
      </c>
      <c r="H7">
        <v>5.6761699999999999</v>
      </c>
      <c r="I7">
        <v>371.56049999999999</v>
      </c>
      <c r="J7">
        <v>-476.58</v>
      </c>
      <c r="K7">
        <v>1.109936</v>
      </c>
      <c r="L7">
        <v>367.221</v>
      </c>
      <c r="M7">
        <v>0.9999633</v>
      </c>
      <c r="N7">
        <v>0</v>
      </c>
      <c r="O7" s="1">
        <v>8.9378419999999904E-5</v>
      </c>
      <c r="P7">
        <v>0.99949650000000001</v>
      </c>
      <c r="Q7">
        <v>3.0738089999999999E-2</v>
      </c>
      <c r="R7">
        <v>-7.8853329999999996E-3</v>
      </c>
      <c r="S7">
        <v>3.0004270000000002</v>
      </c>
      <c r="T7">
        <v>4.3029669999999999E-2</v>
      </c>
      <c r="U7">
        <v>4.0893550000000001E-2</v>
      </c>
      <c r="V7">
        <v>7.9760390000000007E-3</v>
      </c>
      <c r="W7">
        <v>3.9312550000000002E-2</v>
      </c>
      <c r="X7">
        <v>0.99919519999999995</v>
      </c>
      <c r="Y7">
        <v>-1.3537220000000001E-2</v>
      </c>
      <c r="Z7" s="1">
        <v>-9.5778679999999997E-5</v>
      </c>
      <c r="AA7">
        <v>0.99990840000000003</v>
      </c>
      <c r="AB7">
        <v>1</v>
      </c>
      <c r="AC7">
        <v>318.38499999999999</v>
      </c>
      <c r="AD7">
        <v>4.5662339999999997</v>
      </c>
      <c r="AE7">
        <v>4.3394999999999797</v>
      </c>
      <c r="AF7">
        <v>-4.3101558030253004</v>
      </c>
      <c r="AG7">
        <v>4.5662339999999997</v>
      </c>
      <c r="AH7">
        <v>318.31992384479298</v>
      </c>
      <c r="AI7">
        <v>89.178235483189496</v>
      </c>
      <c r="AJ7">
        <v>90.775756173322193</v>
      </c>
      <c r="AK7">
        <v>318.38184912545501</v>
      </c>
      <c r="AL7">
        <v>87.746976375667998</v>
      </c>
      <c r="AM7">
        <v>89.542648257511402</v>
      </c>
      <c r="AN7">
        <v>1.0000000707443299</v>
      </c>
    </row>
    <row r="8" spans="1:40" x14ac:dyDescent="0.25">
      <c r="A8" t="str">
        <f>"20190312160304281"</f>
        <v>20190312160304281</v>
      </c>
      <c r="B8" t="str">
        <f>"1552377784275152"</f>
        <v>1552377784275152</v>
      </c>
      <c r="C8" t="s">
        <v>40</v>
      </c>
      <c r="D8">
        <v>5.0848009999999997</v>
      </c>
      <c r="E8">
        <v>0.49120999999999998</v>
      </c>
      <c r="F8" t="s">
        <v>42</v>
      </c>
      <c r="G8">
        <v>-158.19499999999999</v>
      </c>
      <c r="H8">
        <v>6.4113300000000004</v>
      </c>
      <c r="I8">
        <v>371.63170000000002</v>
      </c>
      <c r="J8">
        <v>-476.5659</v>
      </c>
      <c r="K8">
        <v>1.1096349999999999</v>
      </c>
      <c r="L8">
        <v>367.221</v>
      </c>
      <c r="M8">
        <v>0.99997340000000001</v>
      </c>
      <c r="N8">
        <v>0</v>
      </c>
      <c r="O8">
        <v>1.3919949999999999E-4</v>
      </c>
      <c r="P8">
        <v>0.99944999999999995</v>
      </c>
      <c r="Q8">
        <v>3.2153139999999997E-2</v>
      </c>
      <c r="R8">
        <v>-8.1323349999999992E-3</v>
      </c>
      <c r="S8">
        <v>3.0003359999999999</v>
      </c>
      <c r="T8">
        <v>4.995906E-2</v>
      </c>
      <c r="U8">
        <v>4.1564940000000002E-2</v>
      </c>
      <c r="V8">
        <v>8.2722209999999997E-3</v>
      </c>
      <c r="W8">
        <v>3.9447389999999999E-2</v>
      </c>
      <c r="X8">
        <v>0.99918739999999995</v>
      </c>
      <c r="Y8">
        <v>-1.3711030000000001E-2</v>
      </c>
      <c r="Z8">
        <v>-1.1182130000000001E-4</v>
      </c>
      <c r="AA8">
        <v>0.99990599999999996</v>
      </c>
      <c r="AB8">
        <v>1</v>
      </c>
      <c r="AC8">
        <v>318.37090000000001</v>
      </c>
      <c r="AD8">
        <v>5.3016949999999996</v>
      </c>
      <c r="AE8">
        <v>4.4107000000000198</v>
      </c>
      <c r="AF8">
        <v>-4.3651714430849902</v>
      </c>
      <c r="AG8">
        <v>5.3016949999999996</v>
      </c>
      <c r="AH8">
        <v>318.28326526918198</v>
      </c>
      <c r="AI8">
        <v>89.0457930558035</v>
      </c>
      <c r="AJ8">
        <v>90.785747315228406</v>
      </c>
      <c r="AK8">
        <v>318.35734582700201</v>
      </c>
      <c r="AL8">
        <v>87.739244440591705</v>
      </c>
      <c r="AM8">
        <v>89.525662030660001</v>
      </c>
      <c r="AN8">
        <v>0.99999999326842204</v>
      </c>
    </row>
    <row r="9" spans="1:40" x14ac:dyDescent="0.25">
      <c r="A9" t="str">
        <f>"20190312160304296"</f>
        <v>20190312160304296</v>
      </c>
      <c r="B9" t="str">
        <f>"1552377784284367"</f>
        <v>1552377784284367</v>
      </c>
      <c r="C9" t="s">
        <v>40</v>
      </c>
      <c r="D9">
        <v>5.1977289999999998</v>
      </c>
      <c r="E9">
        <v>0.4911855</v>
      </c>
      <c r="F9" t="s">
        <v>42</v>
      </c>
      <c r="G9">
        <v>-170.08879999999999</v>
      </c>
      <c r="H9">
        <v>7.3073399999999902</v>
      </c>
      <c r="I9">
        <v>371.69170000000003</v>
      </c>
      <c r="J9">
        <v>-476.55720000000002</v>
      </c>
      <c r="K9">
        <v>1.1096220000000001</v>
      </c>
      <c r="L9">
        <v>367.221</v>
      </c>
      <c r="M9">
        <v>0.99997530000000001</v>
      </c>
      <c r="N9">
        <v>0</v>
      </c>
      <c r="O9">
        <v>1.676107E-4</v>
      </c>
      <c r="P9">
        <v>0.99944639999999996</v>
      </c>
      <c r="Q9">
        <v>3.2261529999999997E-2</v>
      </c>
      <c r="R9">
        <v>-8.1319600000000006E-3</v>
      </c>
      <c r="S9">
        <v>3.0000610000000001</v>
      </c>
      <c r="T9">
        <v>6.0669300000000002E-2</v>
      </c>
      <c r="U9">
        <v>4.3762210000000003E-2</v>
      </c>
      <c r="V9">
        <v>8.3002379999999997E-3</v>
      </c>
      <c r="W9">
        <v>3.9300170000000002E-2</v>
      </c>
      <c r="X9">
        <v>0.999193</v>
      </c>
      <c r="Y9">
        <v>-1.441505E-2</v>
      </c>
      <c r="Z9">
        <v>-1.4234370000000001E-4</v>
      </c>
      <c r="AA9">
        <v>0.99989609999999995</v>
      </c>
      <c r="AB9">
        <v>1</v>
      </c>
      <c r="AC9">
        <v>306.46839999999997</v>
      </c>
      <c r="AD9">
        <v>6.1977179999999903</v>
      </c>
      <c r="AE9">
        <v>4.4707000000000203</v>
      </c>
      <c r="AF9">
        <v>-4.4175250320254396</v>
      </c>
      <c r="AG9">
        <v>6.1977179999999903</v>
      </c>
      <c r="AH9">
        <v>306.34388602503202</v>
      </c>
      <c r="AI9">
        <v>88.841113648816602</v>
      </c>
      <c r="AJ9">
        <v>90.826156519880399</v>
      </c>
      <c r="AK9">
        <v>306.438415902337</v>
      </c>
      <c r="AL9">
        <v>87.7476861412472</v>
      </c>
      <c r="AM9">
        <v>89.524058247113402</v>
      </c>
      <c r="AN9">
        <v>1.0000000242809399</v>
      </c>
    </row>
    <row r="10" spans="1:40" x14ac:dyDescent="0.25">
      <c r="A10" t="str">
        <f>"20190312160304315"</f>
        <v>20190312160304315</v>
      </c>
      <c r="B10" t="str">
        <f>"1552377784304862"</f>
        <v>1552377784304862</v>
      </c>
      <c r="C10" t="s">
        <v>40</v>
      </c>
      <c r="D10">
        <v>5.3382740000000002</v>
      </c>
      <c r="E10">
        <v>0.49162630000000002</v>
      </c>
      <c r="F10" t="s">
        <v>42</v>
      </c>
      <c r="G10">
        <v>-170.08879999999999</v>
      </c>
      <c r="H10">
        <v>7.0085199999999999</v>
      </c>
      <c r="I10">
        <v>371.6977</v>
      </c>
      <c r="J10">
        <v>-476.54680000000002</v>
      </c>
      <c r="K10">
        <v>1.109888</v>
      </c>
      <c r="L10">
        <v>367.22109999999998</v>
      </c>
      <c r="M10">
        <v>0.99997020000000003</v>
      </c>
      <c r="N10">
        <v>0</v>
      </c>
      <c r="O10">
        <v>1.9334469999999999E-4</v>
      </c>
      <c r="P10">
        <v>0.99947830000000004</v>
      </c>
      <c r="Q10">
        <v>3.1331329999999998E-2</v>
      </c>
      <c r="R10">
        <v>-7.8464499999999996E-3</v>
      </c>
      <c r="S10">
        <v>3.0001220000000002</v>
      </c>
      <c r="T10">
        <v>5.7747130000000001E-2</v>
      </c>
      <c r="U10">
        <v>4.3823239999999999E-2</v>
      </c>
      <c r="V10">
        <v>8.0407389999999999E-3</v>
      </c>
      <c r="W10">
        <v>3.9053820000000003E-2</v>
      </c>
      <c r="X10">
        <v>0.9992048</v>
      </c>
      <c r="Y10">
        <v>-1.440963E-2</v>
      </c>
      <c r="Z10">
        <v>-1.349388E-4</v>
      </c>
      <c r="AA10">
        <v>0.99989620000000001</v>
      </c>
      <c r="AB10">
        <v>2</v>
      </c>
      <c r="AC10">
        <v>306.457999999999</v>
      </c>
      <c r="AD10">
        <v>5.8986320000000001</v>
      </c>
      <c r="AE10">
        <v>4.4766000000000101</v>
      </c>
      <c r="AF10">
        <v>-4.4157105535489203</v>
      </c>
      <c r="AG10">
        <v>5.8986320000000001</v>
      </c>
      <c r="AH10">
        <v>306.34539026483202</v>
      </c>
      <c r="AI10">
        <v>88.897029690176296</v>
      </c>
      <c r="AJ10">
        <v>90.825813172394206</v>
      </c>
      <c r="AK10">
        <v>306.433990437869</v>
      </c>
      <c r="AL10">
        <v>87.761811843360704</v>
      </c>
      <c r="AM10">
        <v>89.538942902581596</v>
      </c>
      <c r="AN10">
        <v>1.0000000433416401</v>
      </c>
    </row>
    <row r="11" spans="1:40" x14ac:dyDescent="0.25">
      <c r="A11" t="str">
        <f>"20190312160304332"</f>
        <v>20190312160304332</v>
      </c>
      <c r="B11" t="str">
        <f>"1552377784324383"</f>
        <v>1552377784324383</v>
      </c>
      <c r="C11" t="s">
        <v>40</v>
      </c>
      <c r="D11">
        <v>5.2163899999999996</v>
      </c>
      <c r="E11">
        <v>0.49155389999999999</v>
      </c>
      <c r="F11" t="s">
        <v>42</v>
      </c>
      <c r="G11">
        <v>-160.57239999999999</v>
      </c>
      <c r="H11">
        <v>6.6740899999999996</v>
      </c>
      <c r="I11">
        <v>371.55669999999998</v>
      </c>
      <c r="J11">
        <v>-476.541</v>
      </c>
      <c r="K11">
        <v>1.1102259999999999</v>
      </c>
      <c r="L11">
        <v>367.22109999999998</v>
      </c>
      <c r="M11">
        <v>0.99996099999999999</v>
      </c>
      <c r="N11">
        <v>0</v>
      </c>
      <c r="O11">
        <v>1.9988889999999999E-4</v>
      </c>
      <c r="P11">
        <v>0.99951330000000005</v>
      </c>
      <c r="Q11">
        <v>3.0239450000000001E-2</v>
      </c>
      <c r="R11">
        <v>-7.6985129999999997E-3</v>
      </c>
      <c r="S11">
        <v>3.0002749999999998</v>
      </c>
      <c r="T11">
        <v>5.283463E-2</v>
      </c>
      <c r="U11">
        <v>4.1168209999999997E-2</v>
      </c>
      <c r="V11">
        <v>7.9001390000000005E-3</v>
      </c>
      <c r="W11">
        <v>3.9089560000000002E-2</v>
      </c>
      <c r="X11">
        <v>0.99920450000000005</v>
      </c>
      <c r="Y11">
        <v>-1.3518250000000001E-2</v>
      </c>
      <c r="Z11">
        <v>-1.154932E-4</v>
      </c>
      <c r="AA11">
        <v>0.99990860000000004</v>
      </c>
      <c r="AB11">
        <v>1</v>
      </c>
      <c r="AC11">
        <v>315.96859999999998</v>
      </c>
      <c r="AD11">
        <v>5.5638639999999997</v>
      </c>
      <c r="AE11">
        <v>4.3356000000000003</v>
      </c>
      <c r="AF11">
        <v>-4.2711147237347697</v>
      </c>
      <c r="AG11">
        <v>5.5638639999999997</v>
      </c>
      <c r="AH11">
        <v>315.87153528971203</v>
      </c>
      <c r="AI11">
        <v>88.990970073354902</v>
      </c>
      <c r="AJ11">
        <v>90.774688148317495</v>
      </c>
      <c r="AK11">
        <v>315.949403876433</v>
      </c>
      <c r="AL11">
        <v>87.759762473697705</v>
      </c>
      <c r="AM11">
        <v>89.547004451268904</v>
      </c>
      <c r="AN11">
        <v>1.00000001935873</v>
      </c>
    </row>
    <row r="12" spans="1:40" x14ac:dyDescent="0.25">
      <c r="A12" t="str">
        <f>"20190312160304349"</f>
        <v>20190312160304349</v>
      </c>
      <c r="B12" t="str">
        <f>"1552377784344879"</f>
        <v>1552377784344879</v>
      </c>
      <c r="C12" t="s">
        <v>40</v>
      </c>
      <c r="D12">
        <v>5.2265810000000004</v>
      </c>
      <c r="E12">
        <v>0.49155090000000001</v>
      </c>
      <c r="F12" t="s">
        <v>42</v>
      </c>
      <c r="G12">
        <v>-158.19499999999999</v>
      </c>
      <c r="H12">
        <v>5.940321</v>
      </c>
      <c r="I12">
        <v>371.67329999999998</v>
      </c>
      <c r="J12">
        <v>-476.53559999999999</v>
      </c>
      <c r="K12">
        <v>1.110544</v>
      </c>
      <c r="L12">
        <v>367.22109999999998</v>
      </c>
      <c r="M12">
        <v>0.99994899999999998</v>
      </c>
      <c r="N12">
        <v>0</v>
      </c>
      <c r="O12">
        <v>1.987767E-4</v>
      </c>
      <c r="P12">
        <v>0.99955709999999998</v>
      </c>
      <c r="Q12">
        <v>2.8681189999999999E-2</v>
      </c>
      <c r="R12">
        <v>-7.9512960000000001E-3</v>
      </c>
      <c r="S12">
        <v>3.000397</v>
      </c>
      <c r="T12">
        <v>4.5524240000000001E-2</v>
      </c>
      <c r="U12">
        <v>4.196167E-2</v>
      </c>
      <c r="V12">
        <v>8.1524900000000001E-3</v>
      </c>
      <c r="W12">
        <v>3.8767459999999997E-2</v>
      </c>
      <c r="X12">
        <v>0.99921499999999996</v>
      </c>
      <c r="Y12">
        <v>-1.378368E-2</v>
      </c>
      <c r="Z12">
        <v>-1.015411E-4</v>
      </c>
      <c r="AA12">
        <v>0.99990500000000004</v>
      </c>
      <c r="AB12">
        <v>1</v>
      </c>
      <c r="AC12">
        <v>318.34059999999999</v>
      </c>
      <c r="AD12">
        <v>4.829777</v>
      </c>
      <c r="AE12">
        <v>4.4522000000000004</v>
      </c>
      <c r="AF12">
        <v>-4.3879081749357596</v>
      </c>
      <c r="AG12">
        <v>4.829777</v>
      </c>
      <c r="AH12">
        <v>318.26823366990698</v>
      </c>
      <c r="AI12">
        <v>89.130675700609203</v>
      </c>
      <c r="AJ12">
        <v>90.789876794406496</v>
      </c>
      <c r="AK12">
        <v>318.33512066277501</v>
      </c>
      <c r="AL12">
        <v>87.778231395226399</v>
      </c>
      <c r="AM12">
        <v>89.532540138714396</v>
      </c>
      <c r="AN12">
        <v>0.99999999763652503</v>
      </c>
    </row>
    <row r="13" spans="1:40" x14ac:dyDescent="0.25">
      <c r="A13" t="str">
        <f>"20190312160304372"</f>
        <v>20190312160304372</v>
      </c>
      <c r="B13" t="str">
        <f>"1552377784364399"</f>
        <v>1552377784364399</v>
      </c>
      <c r="C13" t="s">
        <v>40</v>
      </c>
      <c r="D13">
        <v>5.2844870000000004</v>
      </c>
      <c r="E13">
        <v>0.49124440000000003</v>
      </c>
      <c r="F13" t="s">
        <v>42</v>
      </c>
      <c r="G13">
        <v>-158.19499999999999</v>
      </c>
      <c r="H13">
        <v>5.0715859999999999</v>
      </c>
      <c r="I13">
        <v>371.56939999999997</v>
      </c>
      <c r="J13">
        <v>-476.52339999999998</v>
      </c>
      <c r="K13">
        <v>1.1103179999999999</v>
      </c>
      <c r="L13">
        <v>367.22120000000001</v>
      </c>
      <c r="M13">
        <v>0.99995449999999997</v>
      </c>
      <c r="N13">
        <v>0</v>
      </c>
      <c r="O13">
        <v>2.1554190000000001E-4</v>
      </c>
      <c r="P13">
        <v>0.99954189999999998</v>
      </c>
      <c r="Q13">
        <v>2.9196670000000001E-2</v>
      </c>
      <c r="R13">
        <v>-7.999351E-3</v>
      </c>
      <c r="S13">
        <v>3.0005489999999999</v>
      </c>
      <c r="T13">
        <v>3.7335989999999999E-2</v>
      </c>
      <c r="U13">
        <v>4.0985109999999998E-2</v>
      </c>
      <c r="V13">
        <v>8.2168320000000003E-3</v>
      </c>
      <c r="W13">
        <v>3.8740780000000002E-2</v>
      </c>
      <c r="X13">
        <v>0.99921550000000003</v>
      </c>
      <c r="Y13">
        <v>-1.3441369999999999E-2</v>
      </c>
      <c r="Z13" s="1">
        <v>-8.0936850000000004E-5</v>
      </c>
      <c r="AA13">
        <v>0.99990959999999995</v>
      </c>
      <c r="AB13">
        <v>1</v>
      </c>
      <c r="AC13">
        <v>318.32839999999999</v>
      </c>
      <c r="AD13">
        <v>3.961268</v>
      </c>
      <c r="AE13">
        <v>4.3481999999999603</v>
      </c>
      <c r="AF13">
        <v>-4.2789211931711399</v>
      </c>
      <c r="AG13">
        <v>3.961268</v>
      </c>
      <c r="AH13">
        <v>318.28005266067902</v>
      </c>
      <c r="AI13">
        <v>89.287006164239202</v>
      </c>
      <c r="AJ13">
        <v>90.770231607740399</v>
      </c>
      <c r="AK13">
        <v>318.33346153433098</v>
      </c>
      <c r="AL13">
        <v>87.7797611786673</v>
      </c>
      <c r="AM13">
        <v>89.528851200744796</v>
      </c>
      <c r="AN13">
        <v>0.99999998990168704</v>
      </c>
    </row>
    <row r="14" spans="1:40" x14ac:dyDescent="0.25">
      <c r="A14" t="str">
        <f>"20190312160304393"</f>
        <v>20190312160304393</v>
      </c>
      <c r="B14" t="str">
        <f>"1552377784384424"</f>
        <v>1552377784384424</v>
      </c>
      <c r="C14" t="s">
        <v>40</v>
      </c>
      <c r="D14">
        <v>5.3109209999999996</v>
      </c>
      <c r="E14">
        <v>0.49096610000000002</v>
      </c>
      <c r="F14" t="s">
        <v>42</v>
      </c>
      <c r="G14">
        <v>-158.19499999999999</v>
      </c>
      <c r="H14">
        <v>4.6228249999999997</v>
      </c>
      <c r="I14">
        <v>371.78919999999999</v>
      </c>
      <c r="J14">
        <v>-476.50760000000002</v>
      </c>
      <c r="K14">
        <v>1.1099220000000001</v>
      </c>
      <c r="L14">
        <v>367.22120000000001</v>
      </c>
      <c r="M14">
        <v>0.99996580000000002</v>
      </c>
      <c r="N14">
        <v>0</v>
      </c>
      <c r="O14">
        <v>2.5796119999999998E-4</v>
      </c>
      <c r="P14">
        <v>0.99951069999999997</v>
      </c>
      <c r="Q14">
        <v>3.028583E-2</v>
      </c>
      <c r="R14">
        <v>-7.8131859999999997E-3</v>
      </c>
      <c r="S14">
        <v>3.0007320000000002</v>
      </c>
      <c r="T14">
        <v>3.311157E-2</v>
      </c>
      <c r="U14">
        <v>4.3060300000000003E-2</v>
      </c>
      <c r="V14">
        <v>8.072091E-3</v>
      </c>
      <c r="W14">
        <v>3.8538749999999997E-2</v>
      </c>
      <c r="X14">
        <v>0.99922449999999996</v>
      </c>
      <c r="Y14">
        <v>-1.408967E-2</v>
      </c>
      <c r="Z14" s="1">
        <v>-7.4883520000000004E-5</v>
      </c>
      <c r="AA14">
        <v>0.99990080000000003</v>
      </c>
      <c r="AB14">
        <v>1</v>
      </c>
      <c r="AC14">
        <v>318.31259999999997</v>
      </c>
      <c r="AD14">
        <v>3.5129030000000001</v>
      </c>
      <c r="AE14">
        <v>4.5679999999999801</v>
      </c>
      <c r="AF14">
        <v>-4.4853385688389498</v>
      </c>
      <c r="AG14">
        <v>3.5129030000000001</v>
      </c>
      <c r="AH14">
        <v>318.27501192055098</v>
      </c>
      <c r="AI14">
        <v>89.367696633043394</v>
      </c>
      <c r="AJ14">
        <v>90.8073959596002</v>
      </c>
      <c r="AK14">
        <v>318.32599950772402</v>
      </c>
      <c r="AL14">
        <v>87.791345313222394</v>
      </c>
      <c r="AM14">
        <v>89.537154377500201</v>
      </c>
      <c r="AN14">
        <v>0.99999999765246195</v>
      </c>
    </row>
    <row r="15" spans="1:40" x14ac:dyDescent="0.25">
      <c r="A15" t="str">
        <f>"20190312160304414"</f>
        <v>20190312160304414</v>
      </c>
      <c r="B15" t="str">
        <f>"1552377784404920"</f>
        <v>1552377784404920</v>
      </c>
      <c r="C15" t="s">
        <v>40</v>
      </c>
      <c r="D15">
        <v>5.3554339999999998</v>
      </c>
      <c r="E15">
        <v>0.49080960000000001</v>
      </c>
      <c r="F15" t="s">
        <v>42</v>
      </c>
      <c r="G15">
        <v>-158.19499999999999</v>
      </c>
      <c r="H15">
        <v>4.5887880000000001</v>
      </c>
      <c r="I15">
        <v>372.07049999999998</v>
      </c>
      <c r="J15">
        <v>-476.48919999999998</v>
      </c>
      <c r="K15">
        <v>1.109623</v>
      </c>
      <c r="L15">
        <v>367.22129999999999</v>
      </c>
      <c r="M15">
        <v>0.99997499999999995</v>
      </c>
      <c r="N15">
        <v>0</v>
      </c>
      <c r="O15">
        <v>3.1991469999999999E-4</v>
      </c>
      <c r="P15">
        <v>0.99948289999999995</v>
      </c>
      <c r="Q15">
        <v>3.1230910000000001E-2</v>
      </c>
      <c r="R15">
        <v>-7.6791519999999999E-3</v>
      </c>
      <c r="S15">
        <v>3.0007929999999998</v>
      </c>
      <c r="T15">
        <v>3.2796739999999998E-2</v>
      </c>
      <c r="U15">
        <v>4.5715329999999998E-2</v>
      </c>
      <c r="V15">
        <v>7.9990340000000004E-3</v>
      </c>
      <c r="W15">
        <v>3.8310509999999999E-2</v>
      </c>
      <c r="X15">
        <v>0.99923379999999995</v>
      </c>
      <c r="Y15">
        <v>-1.4911890000000001E-2</v>
      </c>
      <c r="Z15" s="1">
        <v>-7.798529E-5</v>
      </c>
      <c r="AA15">
        <v>0.99988880000000002</v>
      </c>
      <c r="AB15">
        <v>2</v>
      </c>
      <c r="AC15">
        <v>318.29419999999999</v>
      </c>
      <c r="AD15">
        <v>3.4791650000000001</v>
      </c>
      <c r="AE15">
        <v>4.84919999999999</v>
      </c>
      <c r="AF15">
        <v>-4.7468032047794004</v>
      </c>
      <c r="AG15">
        <v>3.4791650000000001</v>
      </c>
      <c r="AH15">
        <v>318.25771870053001</v>
      </c>
      <c r="AI15">
        <v>89.373742245103003</v>
      </c>
      <c r="AJ15">
        <v>90.854501271303803</v>
      </c>
      <c r="AK15">
        <v>318.31213021534001</v>
      </c>
      <c r="AL15">
        <v>87.804432025465601</v>
      </c>
      <c r="AM15">
        <v>89.541347481616597</v>
      </c>
      <c r="AN15">
        <v>0.99999993339191395</v>
      </c>
    </row>
    <row r="16" spans="1:40" x14ac:dyDescent="0.25">
      <c r="A16" t="str">
        <f>"20190312160304425"</f>
        <v>20190312160304425</v>
      </c>
      <c r="B16" t="str">
        <f>"1552377784414680"</f>
        <v>1552377784414680</v>
      </c>
      <c r="C16" t="s">
        <v>40</v>
      </c>
      <c r="D16">
        <v>5.2909519999999999</v>
      </c>
      <c r="E16">
        <v>0.49071199999999998</v>
      </c>
      <c r="F16" t="s">
        <v>42</v>
      </c>
      <c r="G16">
        <v>-158.19499999999999</v>
      </c>
      <c r="H16">
        <v>4.4305389999999996</v>
      </c>
      <c r="I16">
        <v>372.22230000000002</v>
      </c>
      <c r="J16">
        <v>-476.4785</v>
      </c>
      <c r="K16">
        <v>1.109515</v>
      </c>
      <c r="L16">
        <v>367.22129999999999</v>
      </c>
      <c r="M16">
        <v>0.9999787</v>
      </c>
      <c r="N16">
        <v>0</v>
      </c>
      <c r="O16">
        <v>3.5835199999999999E-4</v>
      </c>
      <c r="P16">
        <v>0.99948340000000002</v>
      </c>
      <c r="Q16">
        <v>3.1228260000000001E-2</v>
      </c>
      <c r="R16">
        <v>-7.5956569999999996E-3</v>
      </c>
      <c r="S16">
        <v>3.0009160000000001</v>
      </c>
      <c r="T16">
        <v>3.13108E-2</v>
      </c>
      <c r="U16">
        <v>4.7149660000000003E-2</v>
      </c>
      <c r="V16">
        <v>7.9534810000000001E-3</v>
      </c>
      <c r="W16">
        <v>3.7765409999999999E-2</v>
      </c>
      <c r="X16">
        <v>0.999255</v>
      </c>
      <c r="Y16">
        <v>-1.535069E-2</v>
      </c>
      <c r="Z16" s="1">
        <v>-7.6336789999999997E-5</v>
      </c>
      <c r="AA16">
        <v>0.99988220000000005</v>
      </c>
      <c r="AB16">
        <v>2</v>
      </c>
      <c r="AC16">
        <v>318.2835</v>
      </c>
      <c r="AD16">
        <v>3.3210239999999902</v>
      </c>
      <c r="AE16">
        <v>5.0010000000000296</v>
      </c>
      <c r="AF16">
        <v>-4.8864078667633004</v>
      </c>
      <c r="AG16">
        <v>3.3210239999999902</v>
      </c>
      <c r="AH16">
        <v>318.25063172206001</v>
      </c>
      <c r="AI16">
        <v>89.402196535842904</v>
      </c>
      <c r="AJ16">
        <v>90.879648058735697</v>
      </c>
      <c r="AK16">
        <v>318.30546770946199</v>
      </c>
      <c r="AL16">
        <v>87.835686762965096</v>
      </c>
      <c r="AM16">
        <v>89.543968986012302</v>
      </c>
      <c r="AN16">
        <v>1.00000001953874</v>
      </c>
    </row>
    <row r="17" spans="1:40" x14ac:dyDescent="0.25">
      <c r="A17" t="str">
        <f>"20190312160304447"</f>
        <v>20190312160304447</v>
      </c>
      <c r="B17" t="str">
        <f>"1552377784444936"</f>
        <v>1552377784444936</v>
      </c>
      <c r="C17" t="s">
        <v>40</v>
      </c>
      <c r="D17">
        <v>5.343051</v>
      </c>
      <c r="E17">
        <v>0.49014740000000001</v>
      </c>
      <c r="F17" t="s">
        <v>42</v>
      </c>
      <c r="G17">
        <v>-158.19499999999999</v>
      </c>
      <c r="H17">
        <v>4.252548</v>
      </c>
      <c r="I17">
        <v>372.30290000000002</v>
      </c>
      <c r="J17">
        <v>-476.4597</v>
      </c>
      <c r="K17">
        <v>1.109572</v>
      </c>
      <c r="L17">
        <v>367.22129999999999</v>
      </c>
      <c r="M17">
        <v>0.99997950000000002</v>
      </c>
      <c r="N17">
        <v>0</v>
      </c>
      <c r="O17">
        <v>4.1142449999999998E-4</v>
      </c>
      <c r="P17">
        <v>0.99948309999999996</v>
      </c>
      <c r="Q17">
        <v>3.13393E-2</v>
      </c>
      <c r="R17">
        <v>-7.1952580000000004E-3</v>
      </c>
      <c r="S17">
        <v>3.0009769999999998</v>
      </c>
      <c r="T17">
        <v>2.9635310000000002E-2</v>
      </c>
      <c r="U17">
        <v>4.79126E-2</v>
      </c>
      <c r="V17">
        <v>7.6056669999999896E-3</v>
      </c>
      <c r="W17">
        <v>3.7747299999999998E-2</v>
      </c>
      <c r="X17">
        <v>0.99925839999999999</v>
      </c>
      <c r="Y17">
        <v>-1.5551519999999999E-2</v>
      </c>
      <c r="Z17" s="1">
        <v>-7.271794E-5</v>
      </c>
      <c r="AA17">
        <v>0.99987910000000002</v>
      </c>
      <c r="AB17">
        <v>2</v>
      </c>
      <c r="AC17">
        <v>318.2647</v>
      </c>
      <c r="AD17">
        <v>3.142976</v>
      </c>
      <c r="AE17">
        <v>5.0816000000000301</v>
      </c>
      <c r="AF17">
        <v>-4.9501723710079899</v>
      </c>
      <c r="AG17">
        <v>3.142976</v>
      </c>
      <c r="AH17">
        <v>318.235736539492</v>
      </c>
      <c r="AI17">
        <v>89.434219338959494</v>
      </c>
      <c r="AJ17">
        <v>90.891166768223499</v>
      </c>
      <c r="AK17">
        <v>318.28975245124099</v>
      </c>
      <c r="AL17">
        <v>87.836725146906105</v>
      </c>
      <c r="AM17">
        <v>89.563912392725001</v>
      </c>
      <c r="AN17">
        <v>1.00000002739918</v>
      </c>
    </row>
    <row r="18" spans="1:40" x14ac:dyDescent="0.25">
      <c r="A18" t="str">
        <f>"20190312160304459"</f>
        <v>20190312160304459</v>
      </c>
      <c r="B18" t="str">
        <f>"1552377784454696"</f>
        <v>1552377784454696</v>
      </c>
      <c r="C18" t="s">
        <v>40</v>
      </c>
      <c r="D18">
        <v>5.2940040000000002</v>
      </c>
      <c r="E18">
        <v>0.4899618</v>
      </c>
      <c r="F18" t="s">
        <v>42</v>
      </c>
      <c r="G18">
        <v>-158.19499999999999</v>
      </c>
      <c r="H18">
        <v>4.713959</v>
      </c>
      <c r="I18">
        <v>372.9178</v>
      </c>
      <c r="J18">
        <v>-476.45049999999998</v>
      </c>
      <c r="K18">
        <v>1.1098110000000001</v>
      </c>
      <c r="L18">
        <v>367.22140000000002</v>
      </c>
      <c r="M18">
        <v>0.99997469999999999</v>
      </c>
      <c r="N18">
        <v>0</v>
      </c>
      <c r="O18">
        <v>4.2796879999999998E-4</v>
      </c>
      <c r="P18">
        <v>0.99951570000000001</v>
      </c>
      <c r="Q18">
        <v>3.0309780000000001E-2</v>
      </c>
      <c r="R18">
        <v>-7.0812269999999998E-3</v>
      </c>
      <c r="S18">
        <v>3.0008849999999998</v>
      </c>
      <c r="T18">
        <v>3.3986210000000003E-2</v>
      </c>
      <c r="U18">
        <v>5.3710939999999999E-2</v>
      </c>
      <c r="V18">
        <v>7.5088459999999996E-3</v>
      </c>
      <c r="W18">
        <v>3.7433290000000001E-2</v>
      </c>
      <c r="X18">
        <v>0.99927089999999996</v>
      </c>
      <c r="Y18">
        <v>-1.7466499999999999E-2</v>
      </c>
      <c r="Z18" s="1">
        <v>-9.4049910000000003E-5</v>
      </c>
      <c r="AA18">
        <v>0.9998475</v>
      </c>
      <c r="AB18">
        <v>2</v>
      </c>
      <c r="AC18">
        <v>318.25549999999998</v>
      </c>
      <c r="AD18">
        <v>3.6041479999999999</v>
      </c>
      <c r="AE18">
        <v>5.6963999999999801</v>
      </c>
      <c r="AF18">
        <v>-5.5594798519024398</v>
      </c>
      <c r="AG18">
        <v>3.6041479999999999</v>
      </c>
      <c r="AH18">
        <v>318.21711089558198</v>
      </c>
      <c r="AI18">
        <v>89.351190966695597</v>
      </c>
      <c r="AJ18">
        <v>91.000896301579203</v>
      </c>
      <c r="AK18">
        <v>318.28607786983201</v>
      </c>
      <c r="AL18">
        <v>87.854729223158401</v>
      </c>
      <c r="AM18">
        <v>89.569469012334693</v>
      </c>
      <c r="AN18">
        <v>0.99999998277764202</v>
      </c>
    </row>
    <row r="19" spans="1:40" x14ac:dyDescent="0.25">
      <c r="A19" t="str">
        <f>"20190312160304472"</f>
        <v>20190312160304472</v>
      </c>
      <c r="B19" t="str">
        <f>"1552377784464456"</f>
        <v>1552377784464456</v>
      </c>
      <c r="C19" t="s">
        <v>40</v>
      </c>
      <c r="D19">
        <v>5.3498109999999999</v>
      </c>
      <c r="E19">
        <v>0.48978519999999998</v>
      </c>
      <c r="F19" t="s">
        <v>42</v>
      </c>
      <c r="G19">
        <v>-158.19499999999999</v>
      </c>
      <c r="H19">
        <v>4.478618</v>
      </c>
      <c r="I19">
        <v>373.11509999999998</v>
      </c>
      <c r="J19">
        <v>-476.44099999999997</v>
      </c>
      <c r="K19">
        <v>1.109918</v>
      </c>
      <c r="L19">
        <v>367.22149999999999</v>
      </c>
      <c r="M19">
        <v>0.99997230000000004</v>
      </c>
      <c r="N19">
        <v>0</v>
      </c>
      <c r="O19">
        <v>4.474045E-4</v>
      </c>
      <c r="P19">
        <v>0.99952350000000001</v>
      </c>
      <c r="Q19">
        <v>3.0081219999999999E-2</v>
      </c>
      <c r="R19">
        <v>-6.9323029999999999E-3</v>
      </c>
      <c r="S19">
        <v>3.0009160000000001</v>
      </c>
      <c r="T19">
        <v>3.1766179999999998E-2</v>
      </c>
      <c r="U19">
        <v>5.5572509999999999E-2</v>
      </c>
      <c r="V19">
        <v>7.3795650000000003E-3</v>
      </c>
      <c r="W19">
        <v>3.7507140000000001E-2</v>
      </c>
      <c r="X19">
        <v>0.99926910000000002</v>
      </c>
      <c r="Y19">
        <v>-1.806702E-2</v>
      </c>
      <c r="Z19" s="1">
        <v>-9.0877699999999999E-5</v>
      </c>
      <c r="AA19">
        <v>0.99983679999999997</v>
      </c>
      <c r="AB19">
        <v>2</v>
      </c>
      <c r="AC19">
        <v>318.24599999999998</v>
      </c>
      <c r="AD19">
        <v>3.3687</v>
      </c>
      <c r="AE19">
        <v>5.8935999999999904</v>
      </c>
      <c r="AF19">
        <v>-5.7505666770164501</v>
      </c>
      <c r="AG19">
        <v>3.3687</v>
      </c>
      <c r="AH19">
        <v>318.21296257876998</v>
      </c>
      <c r="AI19">
        <v>89.393570973221998</v>
      </c>
      <c r="AJ19">
        <v>91.035304588317103</v>
      </c>
      <c r="AK19">
        <v>318.282746484874</v>
      </c>
      <c r="AL19">
        <v>87.850494969339493</v>
      </c>
      <c r="AM19">
        <v>89.576880499064799</v>
      </c>
      <c r="AN19">
        <v>0.99999998887268904</v>
      </c>
    </row>
    <row r="20" spans="1:40" x14ac:dyDescent="0.25">
      <c r="A20" t="str">
        <f>"20190312160304483"</f>
        <v>20190312160304483</v>
      </c>
      <c r="B20" t="str">
        <f>"1552377784475192"</f>
        <v>1552377784475192</v>
      </c>
      <c r="C20" t="s">
        <v>40</v>
      </c>
      <c r="D20">
        <v>5.3904629999999996</v>
      </c>
      <c r="E20">
        <v>0.48961349999999998</v>
      </c>
      <c r="F20" t="s">
        <v>42</v>
      </c>
      <c r="G20">
        <v>-158.19499999999999</v>
      </c>
      <c r="H20">
        <v>4.5180089999999904</v>
      </c>
      <c r="I20">
        <v>373.3254</v>
      </c>
      <c r="J20">
        <v>-476.42970000000003</v>
      </c>
      <c r="K20">
        <v>1.109866</v>
      </c>
      <c r="L20">
        <v>367.22149999999999</v>
      </c>
      <c r="M20">
        <v>0.99997400000000003</v>
      </c>
      <c r="N20">
        <v>0</v>
      </c>
      <c r="O20">
        <v>4.7400969999999998E-4</v>
      </c>
      <c r="P20">
        <v>0.99951500000000004</v>
      </c>
      <c r="Q20">
        <v>3.040766E-2</v>
      </c>
      <c r="R20">
        <v>-6.736293E-3</v>
      </c>
      <c r="S20">
        <v>3.0008539999999999</v>
      </c>
      <c r="T20">
        <v>3.2136919999999999E-2</v>
      </c>
      <c r="U20">
        <v>5.755615E-2</v>
      </c>
      <c r="V20">
        <v>7.2100599999999999E-3</v>
      </c>
      <c r="W20">
        <v>3.7617690000000002E-2</v>
      </c>
      <c r="X20">
        <v>0.99926619999999999</v>
      </c>
      <c r="Y20">
        <v>-1.870142E-2</v>
      </c>
      <c r="Z20" s="1">
        <v>-9.5051249999999999E-5</v>
      </c>
      <c r="AA20">
        <v>0.99982510000000002</v>
      </c>
      <c r="AB20">
        <v>2</v>
      </c>
      <c r="AC20">
        <v>318.23469999999998</v>
      </c>
      <c r="AD20">
        <v>3.4081429999999902</v>
      </c>
      <c r="AE20">
        <v>6.1039000000000003</v>
      </c>
      <c r="AF20">
        <v>-5.9523666249626501</v>
      </c>
      <c r="AG20">
        <v>3.4081429999999902</v>
      </c>
      <c r="AH20">
        <v>318.20107530935002</v>
      </c>
      <c r="AI20">
        <v>89.386455276461902</v>
      </c>
      <c r="AJ20">
        <v>91.071667383681103</v>
      </c>
      <c r="AK20">
        <v>318.274991846945</v>
      </c>
      <c r="AL20">
        <v>87.844156486769805</v>
      </c>
      <c r="AM20">
        <v>89.586597806161194</v>
      </c>
      <c r="AN20">
        <v>1.00000000701428</v>
      </c>
    </row>
    <row r="21" spans="1:40" x14ac:dyDescent="0.25">
      <c r="A21" t="str">
        <f>"20190312160304504"</f>
        <v>20190312160304504</v>
      </c>
      <c r="B21" t="str">
        <f>"1552377784494712"</f>
        <v>1552377784494712</v>
      </c>
      <c r="C21" t="s">
        <v>40</v>
      </c>
      <c r="D21">
        <v>5.3973959999999996</v>
      </c>
      <c r="E21">
        <v>0.4893536</v>
      </c>
      <c r="F21" t="s">
        <v>42</v>
      </c>
      <c r="G21">
        <v>-158.19499999999999</v>
      </c>
      <c r="H21">
        <v>4.4616470000000001</v>
      </c>
      <c r="I21">
        <v>373.52260000000001</v>
      </c>
      <c r="J21">
        <v>-476.4083</v>
      </c>
      <c r="K21">
        <v>1.109621</v>
      </c>
      <c r="L21">
        <v>367.22160000000002</v>
      </c>
      <c r="M21">
        <v>0.99998039999999999</v>
      </c>
      <c r="N21">
        <v>0</v>
      </c>
      <c r="O21">
        <v>5.3610509999999997E-4</v>
      </c>
      <c r="P21">
        <v>0.99948230000000005</v>
      </c>
      <c r="Q21">
        <v>3.1544280000000001E-2</v>
      </c>
      <c r="R21">
        <v>-6.353203E-3</v>
      </c>
      <c r="S21">
        <v>3.0008849999999998</v>
      </c>
      <c r="T21">
        <v>3.1607389999999999E-2</v>
      </c>
      <c r="U21">
        <v>5.941772E-2</v>
      </c>
      <c r="V21">
        <v>6.8886959999999997E-3</v>
      </c>
      <c r="W21">
        <v>3.779209E-2</v>
      </c>
      <c r="X21">
        <v>0.99926190000000004</v>
      </c>
      <c r="Y21">
        <v>-1.9259140000000001E-2</v>
      </c>
      <c r="Z21" s="1">
        <v>-9.5766530000000001E-5</v>
      </c>
      <c r="AA21">
        <v>0.99981450000000005</v>
      </c>
      <c r="AB21">
        <v>2</v>
      </c>
      <c r="AC21">
        <v>318.2133</v>
      </c>
      <c r="AD21">
        <v>3.352026</v>
      </c>
      <c r="AE21">
        <v>6.3009999999999797</v>
      </c>
      <c r="AF21">
        <v>-6.1297200968277998</v>
      </c>
      <c r="AG21">
        <v>3.352026</v>
      </c>
      <c r="AH21">
        <v>318.181339822376</v>
      </c>
      <c r="AI21">
        <v>89.396525854151804</v>
      </c>
      <c r="AJ21">
        <v>91.103658852535304</v>
      </c>
      <c r="AK21">
        <v>318.25803141151403</v>
      </c>
      <c r="AL21">
        <v>87.834157021629807</v>
      </c>
      <c r="AM21">
        <v>89.605021511551797</v>
      </c>
      <c r="AN21">
        <v>1.0000000204953701</v>
      </c>
    </row>
    <row r="22" spans="1:40" x14ac:dyDescent="0.25">
      <c r="A22" t="str">
        <f>"20190312160304516"</f>
        <v>20190312160304516</v>
      </c>
      <c r="B22" t="str">
        <f>"1552377784504471"</f>
        <v>1552377784504471</v>
      </c>
      <c r="C22" t="s">
        <v>40</v>
      </c>
      <c r="D22">
        <v>5.2814670000000001</v>
      </c>
      <c r="E22">
        <v>0.4892919</v>
      </c>
      <c r="F22" t="s">
        <v>42</v>
      </c>
      <c r="G22">
        <v>-158.19499999999999</v>
      </c>
      <c r="H22">
        <v>4.5079089999999997</v>
      </c>
      <c r="I22">
        <v>373.85559999999998</v>
      </c>
      <c r="J22">
        <v>-476.39400000000001</v>
      </c>
      <c r="K22">
        <v>1.10948</v>
      </c>
      <c r="L22">
        <v>367.22160000000002</v>
      </c>
      <c r="M22">
        <v>0.99998399999999998</v>
      </c>
      <c r="N22">
        <v>0</v>
      </c>
      <c r="O22">
        <v>5.8225569999999997E-4</v>
      </c>
      <c r="P22">
        <v>0.99944639999999996</v>
      </c>
      <c r="Q22">
        <v>3.2729849999999998E-2</v>
      </c>
      <c r="R22">
        <v>-5.993623E-3</v>
      </c>
      <c r="S22">
        <v>3.0008849999999998</v>
      </c>
      <c r="T22">
        <v>3.2048109999999998E-2</v>
      </c>
      <c r="U22">
        <v>6.2561039999999998E-2</v>
      </c>
      <c r="V22">
        <v>6.5749179999999999E-3</v>
      </c>
      <c r="W22">
        <v>3.8355779999999999E-2</v>
      </c>
      <c r="X22">
        <v>0.99924250000000003</v>
      </c>
      <c r="Y22">
        <v>-2.0259739999999998E-2</v>
      </c>
      <c r="Z22">
        <v>-1.019501E-4</v>
      </c>
      <c r="AA22">
        <v>0.99979470000000004</v>
      </c>
      <c r="AB22">
        <v>2</v>
      </c>
      <c r="AC22">
        <v>318.19900000000001</v>
      </c>
      <c r="AD22">
        <v>3.3984290000000001</v>
      </c>
      <c r="AE22">
        <v>6.6339999999999497</v>
      </c>
      <c r="AF22">
        <v>-6.4479875799883697</v>
      </c>
      <c r="AG22">
        <v>3.3984290000000001</v>
      </c>
      <c r="AH22">
        <v>318.16653237525099</v>
      </c>
      <c r="AI22">
        <v>89.388156059788699</v>
      </c>
      <c r="AJ22">
        <v>91.161001774771506</v>
      </c>
      <c r="AK22">
        <v>318.25000893510099</v>
      </c>
      <c r="AL22">
        <v>87.8018364501945</v>
      </c>
      <c r="AM22">
        <v>89.623004810598502</v>
      </c>
      <c r="AN22">
        <v>0.999999984606182</v>
      </c>
    </row>
    <row r="23" spans="1:40" x14ac:dyDescent="0.25">
      <c r="A23" t="str">
        <f>"20190312160304537"</f>
        <v>20190312160304537</v>
      </c>
      <c r="B23" t="str">
        <f>"1552377784534730"</f>
        <v>1552377784534730</v>
      </c>
      <c r="C23" t="s">
        <v>40</v>
      </c>
      <c r="D23">
        <v>5.2891180000000002</v>
      </c>
      <c r="E23">
        <v>0.48899369999999998</v>
      </c>
      <c r="F23" t="s">
        <v>42</v>
      </c>
      <c r="G23">
        <v>-158.19499999999999</v>
      </c>
      <c r="H23">
        <v>4.7335890000000003</v>
      </c>
      <c r="I23">
        <v>374.0009</v>
      </c>
      <c r="J23">
        <v>-476.36649999999997</v>
      </c>
      <c r="K23">
        <v>1.109291</v>
      </c>
      <c r="L23">
        <v>367.2217</v>
      </c>
      <c r="M23">
        <v>0.99998909999999996</v>
      </c>
      <c r="N23">
        <v>0</v>
      </c>
      <c r="O23">
        <v>6.7469160000000004E-4</v>
      </c>
      <c r="P23">
        <v>0.99940879999999999</v>
      </c>
      <c r="Q23">
        <v>3.3981230000000001E-2</v>
      </c>
      <c r="R23">
        <v>-5.2479730000000004E-3</v>
      </c>
      <c r="S23">
        <v>3.0008849999999998</v>
      </c>
      <c r="T23">
        <v>3.4179210000000002E-2</v>
      </c>
      <c r="U23">
        <v>6.3934329999999998E-2</v>
      </c>
      <c r="V23">
        <v>5.9213E-3</v>
      </c>
      <c r="W23">
        <v>3.8622610000000002E-2</v>
      </c>
      <c r="X23">
        <v>0.99923629999999997</v>
      </c>
      <c r="Y23">
        <v>-2.0624480000000001E-2</v>
      </c>
      <c r="Z23">
        <v>-1.097528E-4</v>
      </c>
      <c r="AA23">
        <v>0.99978730000000005</v>
      </c>
      <c r="AB23">
        <v>3</v>
      </c>
      <c r="AC23">
        <v>318.17149999999998</v>
      </c>
      <c r="AD23">
        <v>3.624298</v>
      </c>
      <c r="AE23">
        <v>6.7792000000000003</v>
      </c>
      <c r="AF23">
        <v>-6.5636772418168396</v>
      </c>
      <c r="AG23">
        <v>3.624298</v>
      </c>
      <c r="AH23">
        <v>318.13474054869198</v>
      </c>
      <c r="AI23">
        <v>89.347434300714795</v>
      </c>
      <c r="AJ23">
        <v>91.181944657794304</v>
      </c>
      <c r="AK23">
        <v>318.22308297625301</v>
      </c>
      <c r="AL23">
        <v>87.786536860207505</v>
      </c>
      <c r="AM23">
        <v>89.660479179784005</v>
      </c>
      <c r="AN23">
        <v>0.99999997551729503</v>
      </c>
    </row>
    <row r="24" spans="1:40" x14ac:dyDescent="0.25">
      <c r="A24" t="str">
        <f>"20190312160304552"</f>
        <v>20190312160304552</v>
      </c>
      <c r="B24" t="str">
        <f>"1552377784544488"</f>
        <v>1552377784544488</v>
      </c>
      <c r="C24" t="s">
        <v>40</v>
      </c>
      <c r="D24">
        <v>5.236237</v>
      </c>
      <c r="E24">
        <v>0.48897239999999997</v>
      </c>
      <c r="F24" t="s">
        <v>42</v>
      </c>
      <c r="G24">
        <v>-158.19499999999999</v>
      </c>
      <c r="H24">
        <v>4.7798280000000002</v>
      </c>
      <c r="I24">
        <v>374.46300000000002</v>
      </c>
      <c r="J24">
        <v>-476.34840000000003</v>
      </c>
      <c r="K24">
        <v>1.109294</v>
      </c>
      <c r="L24">
        <v>367.22179999999997</v>
      </c>
      <c r="M24">
        <v>0.99999000000000005</v>
      </c>
      <c r="N24">
        <v>0</v>
      </c>
      <c r="O24">
        <v>7.3214169999999998E-4</v>
      </c>
      <c r="P24">
        <v>0.9993957</v>
      </c>
      <c r="Q24">
        <v>3.4407800000000002E-2</v>
      </c>
      <c r="R24">
        <v>-4.9990759999999999E-3</v>
      </c>
      <c r="S24">
        <v>3.0009459999999999</v>
      </c>
      <c r="T24">
        <v>3.462076E-2</v>
      </c>
      <c r="U24">
        <v>6.8298339999999999E-2</v>
      </c>
      <c r="V24">
        <v>5.7295540000000004E-3</v>
      </c>
      <c r="W24">
        <v>3.8816530000000002E-2</v>
      </c>
      <c r="X24">
        <v>0.9992299</v>
      </c>
      <c r="Y24">
        <v>-2.201966E-2</v>
      </c>
      <c r="Z24">
        <v>-1.185504E-4</v>
      </c>
      <c r="AA24">
        <v>0.99975749999999997</v>
      </c>
      <c r="AB24">
        <v>3</v>
      </c>
      <c r="AC24">
        <v>318.15339999999998</v>
      </c>
      <c r="AD24">
        <v>3.6705339999999902</v>
      </c>
      <c r="AE24">
        <v>7.24120000000004</v>
      </c>
      <c r="AF24">
        <v>-7.0073302126993404</v>
      </c>
      <c r="AG24">
        <v>3.6705339999999902</v>
      </c>
      <c r="AH24">
        <v>318.11629629531399</v>
      </c>
      <c r="AI24">
        <v>89.339091456013804</v>
      </c>
      <c r="AJ24">
        <v>91.261882947060698</v>
      </c>
      <c r="AK24">
        <v>318.21463427253502</v>
      </c>
      <c r="AL24">
        <v>87.775417716293703</v>
      </c>
      <c r="AM24">
        <v>89.671471335078493</v>
      </c>
      <c r="AN24">
        <v>0.99999997192214396</v>
      </c>
    </row>
    <row r="25" spans="1:40" x14ac:dyDescent="0.25">
      <c r="A25" t="str">
        <f>"20190312160304571"</f>
        <v>20190312160304571</v>
      </c>
      <c r="B25" t="str">
        <f>"1552377784564984"</f>
        <v>1552377784564984</v>
      </c>
      <c r="C25" t="s">
        <v>40</v>
      </c>
      <c r="D25">
        <v>5.2970980000000001</v>
      </c>
      <c r="E25">
        <v>0.48886350000000001</v>
      </c>
      <c r="F25" t="s">
        <v>42</v>
      </c>
      <c r="G25">
        <v>-158.19499999999999</v>
      </c>
      <c r="H25">
        <v>4.7544469999999999</v>
      </c>
      <c r="I25">
        <v>374.55650000000003</v>
      </c>
      <c r="J25">
        <v>-476.32389999999998</v>
      </c>
      <c r="K25">
        <v>1.109526</v>
      </c>
      <c r="L25">
        <v>367.22190000000001</v>
      </c>
      <c r="M25">
        <v>0.99998750000000003</v>
      </c>
      <c r="N25">
        <v>0</v>
      </c>
      <c r="O25">
        <v>7.9608309999999998E-4</v>
      </c>
      <c r="P25">
        <v>0.999417</v>
      </c>
      <c r="Q25">
        <v>3.388646E-2</v>
      </c>
      <c r="R25">
        <v>-4.1610739999999998E-3</v>
      </c>
      <c r="S25">
        <v>3.0009459999999999</v>
      </c>
      <c r="T25">
        <v>3.4383299999999999E-2</v>
      </c>
      <c r="U25">
        <v>6.9183350000000005E-2</v>
      </c>
      <c r="V25">
        <v>4.9562360000000001E-3</v>
      </c>
      <c r="W25">
        <v>3.882273E-2</v>
      </c>
      <c r="X25">
        <v>0.99923379999999995</v>
      </c>
      <c r="Y25">
        <v>-2.2250430000000002E-2</v>
      </c>
      <c r="Z25">
        <v>-1.1832620000000001E-4</v>
      </c>
      <c r="AA25">
        <v>0.99975239999999999</v>
      </c>
      <c r="AB25">
        <v>3</v>
      </c>
      <c r="AC25">
        <v>318.12889999999999</v>
      </c>
      <c r="AD25">
        <v>3.6449210000000001</v>
      </c>
      <c r="AE25">
        <v>7.3346000000000204</v>
      </c>
      <c r="AF25">
        <v>-7.0804085882986998</v>
      </c>
      <c r="AG25">
        <v>3.6449210000000001</v>
      </c>
      <c r="AH25">
        <v>318.09290390812401</v>
      </c>
      <c r="AI25">
        <v>89.343657974506797</v>
      </c>
      <c r="AJ25">
        <v>91.275132344217198</v>
      </c>
      <c r="AK25">
        <v>318.192572433073</v>
      </c>
      <c r="AL25">
        <v>87.775062227684003</v>
      </c>
      <c r="AM25">
        <v>89.715813179704199</v>
      </c>
      <c r="AN25">
        <v>0.99999997785118999</v>
      </c>
    </row>
    <row r="26" spans="1:40" x14ac:dyDescent="0.25">
      <c r="A26" t="str">
        <f>"20190312160304593"</f>
        <v>20190312160304593</v>
      </c>
      <c r="B26" t="str">
        <f>"1552377784584826"</f>
        <v>1552377784584826</v>
      </c>
      <c r="C26" t="s">
        <v>40</v>
      </c>
      <c r="D26">
        <v>5.2963139999999997</v>
      </c>
      <c r="E26">
        <v>0.48879909999999999</v>
      </c>
      <c r="F26" t="s">
        <v>42</v>
      </c>
      <c r="G26">
        <v>-158.19499999999999</v>
      </c>
      <c r="H26">
        <v>4.3410789999999997</v>
      </c>
      <c r="I26">
        <v>374.90530000000001</v>
      </c>
      <c r="J26">
        <v>-476.29340000000002</v>
      </c>
      <c r="K26">
        <v>1.1094489999999999</v>
      </c>
      <c r="L26">
        <v>367.22199999999998</v>
      </c>
      <c r="M26">
        <v>0.99998940000000003</v>
      </c>
      <c r="N26">
        <v>0</v>
      </c>
      <c r="O26">
        <v>8.7970020000000004E-4</v>
      </c>
      <c r="P26">
        <v>0.99940770000000001</v>
      </c>
      <c r="Q26">
        <v>3.4221090000000003E-2</v>
      </c>
      <c r="R26">
        <v>-3.6619970000000002E-3</v>
      </c>
      <c r="S26">
        <v>3.001007</v>
      </c>
      <c r="T26">
        <v>3.048503E-2</v>
      </c>
      <c r="U26">
        <v>7.2479249999999995E-2</v>
      </c>
      <c r="V26">
        <v>4.5404729999999997E-3</v>
      </c>
      <c r="W26">
        <v>3.8736489999999998E-2</v>
      </c>
      <c r="X26">
        <v>0.99923910000000005</v>
      </c>
      <c r="Y26">
        <v>-2.3263989999999998E-2</v>
      </c>
      <c r="Z26">
        <v>-1.092059E-4</v>
      </c>
      <c r="AA26">
        <v>0.99972930000000004</v>
      </c>
      <c r="AB26">
        <v>3</v>
      </c>
      <c r="AC26">
        <v>318.09840000000003</v>
      </c>
      <c r="AD26">
        <v>3.23163</v>
      </c>
      <c r="AE26">
        <v>7.6833000000000302</v>
      </c>
      <c r="AF26">
        <v>-7.4026993584231704</v>
      </c>
      <c r="AG26">
        <v>3.23163</v>
      </c>
      <c r="AH26">
        <v>318.07222700198798</v>
      </c>
      <c r="AI26">
        <v>89.418049574010197</v>
      </c>
      <c r="AJ26">
        <v>91.333240812196095</v>
      </c>
      <c r="AK26">
        <v>318.17477112469498</v>
      </c>
      <c r="AL26">
        <v>87.780007085263406</v>
      </c>
      <c r="AM26">
        <v>89.739653753090394</v>
      </c>
      <c r="AN26">
        <v>0.99999995526069596</v>
      </c>
    </row>
    <row r="27" spans="1:40" x14ac:dyDescent="0.25">
      <c r="A27" t="str">
        <f>"20190312160304606"</f>
        <v>20190312160304606</v>
      </c>
      <c r="B27" t="str">
        <f>"1552377784594586"</f>
        <v>1552377784594586</v>
      </c>
      <c r="C27" t="s">
        <v>40</v>
      </c>
      <c r="D27">
        <v>5.261209</v>
      </c>
      <c r="E27">
        <v>0.48880829999999997</v>
      </c>
      <c r="F27" t="s">
        <v>42</v>
      </c>
      <c r="G27">
        <v>-158.19499999999999</v>
      </c>
      <c r="H27">
        <v>4.2335260000000003</v>
      </c>
      <c r="I27">
        <v>375.0985</v>
      </c>
      <c r="J27">
        <v>-476.27370000000002</v>
      </c>
      <c r="K27">
        <v>1.1093390000000001</v>
      </c>
      <c r="L27">
        <v>367.22210000000001</v>
      </c>
      <c r="M27">
        <v>0.99999150000000003</v>
      </c>
      <c r="N27">
        <v>0</v>
      </c>
      <c r="O27">
        <v>9.3703670000000005E-4</v>
      </c>
      <c r="P27">
        <v>0.99938499999999997</v>
      </c>
      <c r="Q27">
        <v>3.4901179999999997E-2</v>
      </c>
      <c r="R27">
        <v>-3.4231449999999998E-3</v>
      </c>
      <c r="S27">
        <v>3.0010680000000001</v>
      </c>
      <c r="T27">
        <v>2.947462E-2</v>
      </c>
      <c r="U27">
        <v>7.4310299999999996E-2</v>
      </c>
      <c r="V27">
        <v>4.3586179999999999E-3</v>
      </c>
      <c r="W27">
        <v>3.892089E-2</v>
      </c>
      <c r="X27">
        <v>0.99923280000000003</v>
      </c>
      <c r="Y27">
        <v>-2.381583E-2</v>
      </c>
      <c r="Z27">
        <v>-1.0773E-4</v>
      </c>
      <c r="AA27">
        <v>0.9997163</v>
      </c>
      <c r="AB27">
        <v>3</v>
      </c>
      <c r="AC27">
        <v>318.07870000000003</v>
      </c>
      <c r="AD27">
        <v>3.124187</v>
      </c>
      <c r="AE27">
        <v>7.8763999999999896</v>
      </c>
      <c r="AF27">
        <v>-7.5776121386090001</v>
      </c>
      <c r="AG27">
        <v>3.124187</v>
      </c>
      <c r="AH27">
        <v>318.05527601172003</v>
      </c>
      <c r="AI27">
        <v>89.437373910360293</v>
      </c>
      <c r="AJ27">
        <v>91.364803880759396</v>
      </c>
      <c r="AK27">
        <v>318.16087023552399</v>
      </c>
      <c r="AL27">
        <v>87.769433893703606</v>
      </c>
      <c r="AM27">
        <v>89.750079428861397</v>
      </c>
      <c r="AN27">
        <v>1.00000001091255</v>
      </c>
    </row>
    <row r="28" spans="1:40" x14ac:dyDescent="0.25">
      <c r="A28" t="str">
        <f>"20190312160304618"</f>
        <v>20190312160304618</v>
      </c>
      <c r="B28" t="str">
        <f>"1552377784615083"</f>
        <v>1552377784615083</v>
      </c>
      <c r="C28" t="s">
        <v>40</v>
      </c>
      <c r="D28">
        <v>5.5637949999999998</v>
      </c>
      <c r="E28">
        <v>0.48871320000000001</v>
      </c>
      <c r="F28" t="s">
        <v>42</v>
      </c>
      <c r="G28">
        <v>-158.19499999999999</v>
      </c>
      <c r="H28">
        <v>4.341081</v>
      </c>
      <c r="I28">
        <v>375.19200000000001</v>
      </c>
      <c r="J28">
        <v>-476.255</v>
      </c>
      <c r="K28">
        <v>1.109326</v>
      </c>
      <c r="L28">
        <v>367.22219999999999</v>
      </c>
      <c r="M28">
        <v>0.99999210000000005</v>
      </c>
      <c r="N28">
        <v>0</v>
      </c>
      <c r="O28">
        <v>9.8467460000000004E-4</v>
      </c>
      <c r="P28">
        <v>0.99937390000000004</v>
      </c>
      <c r="Q28">
        <v>3.522409E-2</v>
      </c>
      <c r="R28">
        <v>-3.3112179999999999E-3</v>
      </c>
      <c r="S28">
        <v>3.0010379999999999</v>
      </c>
      <c r="T28">
        <v>3.049195E-2</v>
      </c>
      <c r="U28">
        <v>7.5195310000000001E-2</v>
      </c>
      <c r="V28">
        <v>4.2947569999999997E-3</v>
      </c>
      <c r="W28">
        <v>3.9080030000000002E-2</v>
      </c>
      <c r="X28">
        <v>0.99922690000000003</v>
      </c>
      <c r="Y28">
        <v>-2.4063000000000001E-2</v>
      </c>
      <c r="Z28">
        <v>-1.1222039999999999E-4</v>
      </c>
      <c r="AA28">
        <v>0.9997104</v>
      </c>
      <c r="AB28">
        <v>3</v>
      </c>
      <c r="AC28">
        <v>318.06</v>
      </c>
      <c r="AD28">
        <v>3.2317550000000002</v>
      </c>
      <c r="AE28">
        <v>7.9697999999999602</v>
      </c>
      <c r="AF28">
        <v>-7.6558183003341096</v>
      </c>
      <c r="AG28">
        <v>3.2317550000000002</v>
      </c>
      <c r="AH28">
        <v>318.03487939191098</v>
      </c>
      <c r="AI28">
        <v>89.417969724650206</v>
      </c>
      <c r="AJ28">
        <v>91.378972582057202</v>
      </c>
      <c r="AK28">
        <v>318.14342725263901</v>
      </c>
      <c r="AL28">
        <v>87.760308978995297</v>
      </c>
      <c r="AM28">
        <v>89.753739681262701</v>
      </c>
      <c r="AN28">
        <v>1.00000004568304</v>
      </c>
    </row>
    <row r="29" spans="1:40" x14ac:dyDescent="0.25">
      <c r="A29" t="str">
        <f>"20190312160304637"</f>
        <v>20190312160304637</v>
      </c>
      <c r="B29" t="str">
        <f>"1552377784624843"</f>
        <v>1552377784624843</v>
      </c>
      <c r="C29" t="s">
        <v>40</v>
      </c>
      <c r="D29">
        <v>5.428102</v>
      </c>
      <c r="E29">
        <v>0.48865890000000001</v>
      </c>
      <c r="F29" t="s">
        <v>42</v>
      </c>
      <c r="G29">
        <v>-158.19499999999999</v>
      </c>
      <c r="H29">
        <v>4.5009160000000001</v>
      </c>
      <c r="I29">
        <v>375.29840000000002</v>
      </c>
      <c r="J29">
        <v>-476.22829999999999</v>
      </c>
      <c r="K29">
        <v>1.109502</v>
      </c>
      <c r="L29">
        <v>367.22230000000002</v>
      </c>
      <c r="M29">
        <v>0.99999009999999999</v>
      </c>
      <c r="N29">
        <v>0</v>
      </c>
      <c r="O29">
        <v>1.0465349999999999E-3</v>
      </c>
      <c r="P29">
        <v>0.99939069999999997</v>
      </c>
      <c r="Q29">
        <v>3.477392E-2</v>
      </c>
      <c r="R29">
        <v>-3.0535079999999999E-3</v>
      </c>
      <c r="S29">
        <v>3.0010379999999999</v>
      </c>
      <c r="T29">
        <v>3.2001969999999998E-2</v>
      </c>
      <c r="U29">
        <v>7.6202389999999995E-2</v>
      </c>
      <c r="V29">
        <v>4.0992989999999998E-3</v>
      </c>
      <c r="W29">
        <v>3.9109100000000001E-2</v>
      </c>
      <c r="X29">
        <v>0.99922650000000002</v>
      </c>
      <c r="Y29">
        <v>-2.433629E-2</v>
      </c>
      <c r="Z29">
        <v>-1.185743E-4</v>
      </c>
      <c r="AA29">
        <v>0.99970380000000003</v>
      </c>
      <c r="AB29">
        <v>3</v>
      </c>
      <c r="AC29">
        <v>318.0333</v>
      </c>
      <c r="AD29">
        <v>3.3914140000000002</v>
      </c>
      <c r="AE29">
        <v>8.0760999999999896</v>
      </c>
      <c r="AF29">
        <v>-7.7423796302456704</v>
      </c>
      <c r="AG29">
        <v>3.3914140000000002</v>
      </c>
      <c r="AH29">
        <v>318.00543926249298</v>
      </c>
      <c r="AI29">
        <v>89.389165215792701</v>
      </c>
      <c r="AJ29">
        <v>91.394687014265799</v>
      </c>
      <c r="AK29">
        <v>318.11775419141497</v>
      </c>
      <c r="AL29">
        <v>87.758641929099198</v>
      </c>
      <c r="AM29">
        <v>89.764946972464401</v>
      </c>
      <c r="AN29">
        <v>0.99999996212867504</v>
      </c>
    </row>
    <row r="30" spans="1:40" x14ac:dyDescent="0.25">
      <c r="A30" t="str">
        <f>"20190312160304649"</f>
        <v>20190312160304649</v>
      </c>
      <c r="B30" t="str">
        <f>"1552377784644363"</f>
        <v>1552377784644363</v>
      </c>
      <c r="C30" t="s">
        <v>40</v>
      </c>
      <c r="D30">
        <v>5.204866</v>
      </c>
      <c r="E30">
        <v>0.488566</v>
      </c>
      <c r="F30" t="s">
        <v>42</v>
      </c>
      <c r="G30">
        <v>-158.19499999999999</v>
      </c>
      <c r="H30">
        <v>4.4754319999999996</v>
      </c>
      <c r="I30">
        <v>375.39499999999998</v>
      </c>
      <c r="J30">
        <v>-476.2115</v>
      </c>
      <c r="K30">
        <v>1.1096919999999999</v>
      </c>
      <c r="L30">
        <v>367.22239999999999</v>
      </c>
      <c r="M30">
        <v>0.99998719999999996</v>
      </c>
      <c r="N30">
        <v>0</v>
      </c>
      <c r="O30">
        <v>1.0826449999999999E-3</v>
      </c>
      <c r="P30">
        <v>0.99940810000000002</v>
      </c>
      <c r="Q30">
        <v>3.4282699999999999E-2</v>
      </c>
      <c r="R30">
        <v>-2.870896E-3</v>
      </c>
      <c r="S30">
        <v>3.0009769999999998</v>
      </c>
      <c r="T30">
        <v>3.1761879999999999E-2</v>
      </c>
      <c r="U30">
        <v>7.7117920000000006E-2</v>
      </c>
      <c r="V30">
        <v>3.9534419999999997E-3</v>
      </c>
      <c r="W30">
        <v>3.9221069999999997E-2</v>
      </c>
      <c r="X30">
        <v>0.99922279999999997</v>
      </c>
      <c r="Y30">
        <v>-2.4605499999999999E-2</v>
      </c>
      <c r="Z30">
        <v>-1.187289E-4</v>
      </c>
      <c r="AA30">
        <v>0.99969719999999995</v>
      </c>
      <c r="AB30">
        <v>3</v>
      </c>
      <c r="AC30">
        <v>318.01650000000001</v>
      </c>
      <c r="AD30">
        <v>3.3657400000000002</v>
      </c>
      <c r="AE30">
        <v>8.1725999999999797</v>
      </c>
      <c r="AF30">
        <v>-7.82741585096504</v>
      </c>
      <c r="AG30">
        <v>3.3657400000000002</v>
      </c>
      <c r="AH30">
        <v>317.989566835441</v>
      </c>
      <c r="AI30">
        <v>89.393762795573707</v>
      </c>
      <c r="AJ30">
        <v>91.410069363081405</v>
      </c>
      <c r="AK30">
        <v>318.10369576734399</v>
      </c>
      <c r="AL30">
        <v>87.752221821380104</v>
      </c>
      <c r="AM30">
        <v>89.773309456909104</v>
      </c>
      <c r="AN30">
        <v>1.0000000630377099</v>
      </c>
    </row>
    <row r="31" spans="1:40" x14ac:dyDescent="0.25">
      <c r="A31" t="str">
        <f>"20190312160304660"</f>
        <v>20190312160304660</v>
      </c>
      <c r="B31" t="str">
        <f>"1552377784655098"</f>
        <v>1552377784655098</v>
      </c>
      <c r="C31" t="s">
        <v>40</v>
      </c>
      <c r="D31">
        <v>5.1828770000000004</v>
      </c>
      <c r="E31">
        <v>0.48856189999999999</v>
      </c>
      <c r="F31" t="s">
        <v>42</v>
      </c>
      <c r="G31">
        <v>-158.19499999999999</v>
      </c>
      <c r="H31">
        <v>4.5514700000000001</v>
      </c>
      <c r="I31">
        <v>375.55340000000001</v>
      </c>
      <c r="J31">
        <v>-476.19189999999998</v>
      </c>
      <c r="K31">
        <v>1.1096820000000001</v>
      </c>
      <c r="L31">
        <v>367.22239999999999</v>
      </c>
      <c r="M31">
        <v>0.99998739999999997</v>
      </c>
      <c r="N31">
        <v>0</v>
      </c>
      <c r="O31">
        <v>1.126213E-3</v>
      </c>
      <c r="P31">
        <v>0.99941519999999995</v>
      </c>
      <c r="Q31">
        <v>3.4103250000000002E-2</v>
      </c>
      <c r="R31">
        <v>-2.6181590000000001E-3</v>
      </c>
      <c r="S31">
        <v>3.0008539999999999</v>
      </c>
      <c r="T31">
        <v>3.2477970000000002E-2</v>
      </c>
      <c r="U31">
        <v>7.8613279999999994E-2</v>
      </c>
      <c r="V31">
        <v>3.7441459999999998E-3</v>
      </c>
      <c r="W31">
        <v>3.9018089999999998E-2</v>
      </c>
      <c r="X31">
        <v>0.99923150000000005</v>
      </c>
      <c r="Y31">
        <v>-2.5060720000000002E-2</v>
      </c>
      <c r="Z31">
        <v>-1.2340119999999999E-4</v>
      </c>
      <c r="AA31">
        <v>0.99968590000000002</v>
      </c>
      <c r="AB31">
        <v>3</v>
      </c>
      <c r="AC31">
        <v>317.99689999999998</v>
      </c>
      <c r="AD31">
        <v>3.4417879999999998</v>
      </c>
      <c r="AE31">
        <v>8.3310000000000102</v>
      </c>
      <c r="AF31">
        <v>-7.9719249605661204</v>
      </c>
      <c r="AG31">
        <v>3.4417879999999998</v>
      </c>
      <c r="AH31">
        <v>317.96885811869601</v>
      </c>
      <c r="AI31">
        <v>89.380032732164693</v>
      </c>
      <c r="AJ31">
        <v>91.436184635940194</v>
      </c>
      <c r="AK31">
        <v>318.08739714977901</v>
      </c>
      <c r="AL31">
        <v>87.763860509051497</v>
      </c>
      <c r="AM31">
        <v>89.785312252762495</v>
      </c>
      <c r="AN31">
        <v>1.00000001028438</v>
      </c>
    </row>
    <row r="32" spans="1:40" x14ac:dyDescent="0.25">
      <c r="A32" t="str">
        <f>"20190312160304673"</f>
        <v>20190312160304673</v>
      </c>
      <c r="B32" t="str">
        <f>"1552377784664859"</f>
        <v>1552377784664859</v>
      </c>
      <c r="C32" t="s">
        <v>40</v>
      </c>
      <c r="D32">
        <v>5.1407850000000002</v>
      </c>
      <c r="E32">
        <v>0.48851620000000001</v>
      </c>
      <c r="F32" t="s">
        <v>42</v>
      </c>
      <c r="G32">
        <v>-158.19499999999999</v>
      </c>
      <c r="H32">
        <v>4.4578340000000001</v>
      </c>
      <c r="I32">
        <v>375.64670000000001</v>
      </c>
      <c r="J32">
        <v>-476.17320000000001</v>
      </c>
      <c r="K32">
        <v>1.109618</v>
      </c>
      <c r="L32">
        <v>367.22250000000003</v>
      </c>
      <c r="M32">
        <v>0.9999884</v>
      </c>
      <c r="N32">
        <v>0</v>
      </c>
      <c r="O32">
        <v>1.170545E-3</v>
      </c>
      <c r="P32">
        <v>0.9994035</v>
      </c>
      <c r="Q32">
        <v>3.4427199999999998E-2</v>
      </c>
      <c r="R32">
        <v>-2.8032869999999998E-3</v>
      </c>
      <c r="S32">
        <v>3.0008849999999998</v>
      </c>
      <c r="T32">
        <v>3.1596779999999998E-2</v>
      </c>
      <c r="U32">
        <v>7.9498289999999999E-2</v>
      </c>
      <c r="V32">
        <v>3.9735769999999998E-3</v>
      </c>
      <c r="W32">
        <v>3.9130060000000001E-2</v>
      </c>
      <c r="X32">
        <v>0.99922619999999895</v>
      </c>
      <c r="Y32">
        <v>-2.5310820000000001E-2</v>
      </c>
      <c r="Z32">
        <v>-1.2090129999999999E-4</v>
      </c>
      <c r="AA32">
        <v>0.9996796</v>
      </c>
      <c r="AB32">
        <v>3</v>
      </c>
      <c r="AC32">
        <v>317.97820000000002</v>
      </c>
      <c r="AD32">
        <v>3.3482159999999999</v>
      </c>
      <c r="AE32">
        <v>8.4241999999999795</v>
      </c>
      <c r="AF32">
        <v>-8.0510903380994208</v>
      </c>
      <c r="AG32">
        <v>3.3482159999999999</v>
      </c>
      <c r="AH32">
        <v>317.95261500766702</v>
      </c>
      <c r="AI32">
        <v>89.396859531483301</v>
      </c>
      <c r="AJ32">
        <v>91.4505147032054</v>
      </c>
      <c r="AK32">
        <v>318.072155329932</v>
      </c>
      <c r="AL32">
        <v>87.757440118066597</v>
      </c>
      <c r="AM32">
        <v>89.772155702504307</v>
      </c>
      <c r="AN32">
        <v>0.99999997483810799</v>
      </c>
    </row>
    <row r="33" spans="1:40" x14ac:dyDescent="0.25">
      <c r="A33" t="str">
        <f>"20190312160304685"</f>
        <v>20190312160304685</v>
      </c>
      <c r="B33" t="str">
        <f>"1552377784674619"</f>
        <v>1552377784674619</v>
      </c>
      <c r="C33" t="s">
        <v>40</v>
      </c>
      <c r="D33">
        <v>5.1697639999999998</v>
      </c>
      <c r="E33">
        <v>0.48854560000000002</v>
      </c>
      <c r="F33" t="s">
        <v>42</v>
      </c>
      <c r="G33">
        <v>-158.19499999999999</v>
      </c>
      <c r="H33">
        <v>4.5308279999999996</v>
      </c>
      <c r="I33">
        <v>375.62029999999999</v>
      </c>
      <c r="J33">
        <v>-476.15199999999999</v>
      </c>
      <c r="K33">
        <v>1.109497</v>
      </c>
      <c r="L33">
        <v>367.2226</v>
      </c>
      <c r="M33">
        <v>0.99999009999999999</v>
      </c>
      <c r="N33">
        <v>0</v>
      </c>
      <c r="O33">
        <v>1.2231950000000001E-3</v>
      </c>
      <c r="P33">
        <v>0.99938490000000002</v>
      </c>
      <c r="Q33">
        <v>3.498925E-2</v>
      </c>
      <c r="R33">
        <v>-2.3699670000000002E-3</v>
      </c>
      <c r="S33">
        <v>3.0009160000000001</v>
      </c>
      <c r="T33">
        <v>3.228843E-2</v>
      </c>
      <c r="U33">
        <v>7.9254149999999995E-2</v>
      </c>
      <c r="V33">
        <v>3.5926740000000001E-3</v>
      </c>
      <c r="W33">
        <v>3.926967E-2</v>
      </c>
      <c r="X33">
        <v>0.99922219999999995</v>
      </c>
      <c r="Y33">
        <v>-2.51766E-2</v>
      </c>
      <c r="Z33">
        <v>-1.222583E-4</v>
      </c>
      <c r="AA33">
        <v>0.99968299999999999</v>
      </c>
      <c r="AB33">
        <v>3</v>
      </c>
      <c r="AC33">
        <v>317.95699999999999</v>
      </c>
      <c r="AD33">
        <v>3.4213309999999901</v>
      </c>
      <c r="AE33">
        <v>8.3976999999999808</v>
      </c>
      <c r="AF33">
        <v>-8.0078402016957497</v>
      </c>
      <c r="AG33">
        <v>3.4213309999999901</v>
      </c>
      <c r="AH33">
        <v>317.93024826286302</v>
      </c>
      <c r="AI33">
        <v>89.383644313797404</v>
      </c>
      <c r="AJ33">
        <v>91.4428273526797</v>
      </c>
      <c r="AK33">
        <v>318.049483211329</v>
      </c>
      <c r="AL33">
        <v>87.749434979533305</v>
      </c>
      <c r="AM33">
        <v>89.793995599418295</v>
      </c>
      <c r="AN33">
        <v>1.0000000096306001</v>
      </c>
    </row>
    <row r="34" spans="1:40" x14ac:dyDescent="0.25">
      <c r="A34" t="str">
        <f>"20190312160304698"</f>
        <v>20190312160304698</v>
      </c>
      <c r="B34" t="str">
        <f>"1552377784695115"</f>
        <v>1552377784695115</v>
      </c>
      <c r="C34" t="s">
        <v>40</v>
      </c>
      <c r="D34">
        <v>5.1569129999999896</v>
      </c>
      <c r="E34">
        <v>0.49606119999999998</v>
      </c>
      <c r="F34" t="s">
        <v>42</v>
      </c>
      <c r="G34">
        <v>-158.19499999999999</v>
      </c>
      <c r="H34">
        <v>4.6688700000000001</v>
      </c>
      <c r="I34">
        <v>375.7525</v>
      </c>
      <c r="J34">
        <v>-476.1318</v>
      </c>
      <c r="K34">
        <v>1.109556</v>
      </c>
      <c r="L34">
        <v>367.22269999999997</v>
      </c>
      <c r="M34">
        <v>0.99998929999999997</v>
      </c>
      <c r="N34">
        <v>0</v>
      </c>
      <c r="O34">
        <v>1.267588E-3</v>
      </c>
      <c r="P34">
        <v>0.99938289999999996</v>
      </c>
      <c r="Q34">
        <v>3.5074830000000001E-2</v>
      </c>
      <c r="R34">
        <v>-1.9162599999999999E-3</v>
      </c>
      <c r="S34">
        <v>3.0008849999999998</v>
      </c>
      <c r="T34">
        <v>3.3594249999999999E-2</v>
      </c>
      <c r="U34">
        <v>8.0505370000000007E-2</v>
      </c>
      <c r="V34">
        <v>3.1834390000000001E-3</v>
      </c>
      <c r="W34">
        <v>3.9546020000000001E-2</v>
      </c>
      <c r="X34">
        <v>0.99921269999999995</v>
      </c>
      <c r="Y34">
        <v>-2.554888E-2</v>
      </c>
      <c r="Z34">
        <v>-1.287894E-4</v>
      </c>
      <c r="AA34">
        <v>0.99967349999999999</v>
      </c>
      <c r="AB34">
        <v>3</v>
      </c>
      <c r="AC34">
        <v>317.93680000000001</v>
      </c>
      <c r="AD34">
        <v>3.5593140000000001</v>
      </c>
      <c r="AE34">
        <v>8.5298000000000194</v>
      </c>
      <c r="AF34">
        <v>-8.1257586267823996</v>
      </c>
      <c r="AG34">
        <v>3.5593140000000001</v>
      </c>
      <c r="AH34">
        <v>317.90754262169298</v>
      </c>
      <c r="AI34">
        <v>89.358748861621905</v>
      </c>
      <c r="AJ34">
        <v>91.464168863050304</v>
      </c>
      <c r="AK34">
        <v>318.03129142456203</v>
      </c>
      <c r="AL34">
        <v>87.7335890075218</v>
      </c>
      <c r="AM34">
        <v>89.817459283780707</v>
      </c>
      <c r="AN34">
        <v>1.0000000209114901</v>
      </c>
    </row>
    <row r="35" spans="1:40" x14ac:dyDescent="0.25">
      <c r="A35" t="str">
        <f>"20190312160304716"</f>
        <v>20190312160304716</v>
      </c>
      <c r="B35" t="str">
        <f>"1552377784704874"</f>
        <v>1552377784704874</v>
      </c>
      <c r="C35" t="s">
        <v>40</v>
      </c>
      <c r="D35">
        <v>5.1905890000000001</v>
      </c>
      <c r="E35">
        <v>0.49770330000000002</v>
      </c>
      <c r="F35" t="s">
        <v>43</v>
      </c>
      <c r="G35">
        <v>-419.97879999999998</v>
      </c>
      <c r="H35">
        <v>-0.05</v>
      </c>
      <c r="I35">
        <v>367.52949999999998</v>
      </c>
      <c r="J35">
        <v>-476.10379999999998</v>
      </c>
      <c r="K35">
        <v>1.1098129999999999</v>
      </c>
      <c r="L35">
        <v>367.22280000000001</v>
      </c>
      <c r="M35">
        <v>0.9999846</v>
      </c>
      <c r="N35">
        <v>0</v>
      </c>
      <c r="O35">
        <v>1.323051E-3</v>
      </c>
      <c r="P35">
        <v>0.99939900000000004</v>
      </c>
      <c r="Q35">
        <v>3.4640740000000003E-2</v>
      </c>
      <c r="R35">
        <v>-1.411987E-3</v>
      </c>
      <c r="S35">
        <v>3.0040589999999998</v>
      </c>
      <c r="T35">
        <v>-6.2033650000000003E-2</v>
      </c>
      <c r="U35">
        <v>1.6418459999999999E-2</v>
      </c>
      <c r="V35">
        <v>2.7352019999999999E-3</v>
      </c>
      <c r="W35">
        <v>4.0042969999999997E-2</v>
      </c>
      <c r="X35">
        <v>0.99919420000000003</v>
      </c>
      <c r="Y35">
        <v>-4.1416869999999998E-3</v>
      </c>
      <c r="Z35" s="1">
        <v>1.5439750000000001E-5</v>
      </c>
      <c r="AA35">
        <v>0.99999139999999997</v>
      </c>
      <c r="AB35">
        <v>4</v>
      </c>
      <c r="AC35">
        <v>56.125</v>
      </c>
      <c r="AD35">
        <v>-1.159813</v>
      </c>
      <c r="AE35">
        <v>0.30669999999997799</v>
      </c>
      <c r="AF35">
        <v>-0.232343199952115</v>
      </c>
      <c r="AG35">
        <v>-1.159813</v>
      </c>
      <c r="AH35">
        <v>56.101400128727697</v>
      </c>
      <c r="AI35">
        <v>91.184326156507296</v>
      </c>
      <c r="AJ35">
        <v>90.237288349589804</v>
      </c>
      <c r="AK35">
        <v>56.113868570622898</v>
      </c>
      <c r="AL35">
        <v>87.705093215971701</v>
      </c>
      <c r="AM35">
        <v>89.843158477827998</v>
      </c>
      <c r="AN35">
        <v>0.99999998504501997</v>
      </c>
    </row>
    <row r="36" spans="1:40" x14ac:dyDescent="0.25">
      <c r="A36" t="str">
        <f>"20190312160304729"</f>
        <v>20190312160304729</v>
      </c>
      <c r="B36" t="str">
        <f>"1552377784724394"</f>
        <v>1552377784724394</v>
      </c>
      <c r="C36" t="s">
        <v>40</v>
      </c>
      <c r="D36">
        <v>5.1758329999999999</v>
      </c>
      <c r="E36">
        <v>0.49898540000000002</v>
      </c>
      <c r="F36" t="s">
        <v>43</v>
      </c>
      <c r="G36">
        <v>-432.03359999999998</v>
      </c>
      <c r="H36">
        <v>-0.05</v>
      </c>
      <c r="I36">
        <v>367.2783</v>
      </c>
      <c r="J36">
        <v>-476.08479999999997</v>
      </c>
      <c r="K36">
        <v>1.110047</v>
      </c>
      <c r="L36">
        <v>367.22280000000001</v>
      </c>
      <c r="M36">
        <v>0.99997919999999996</v>
      </c>
      <c r="N36">
        <v>0</v>
      </c>
      <c r="O36">
        <v>1.357678E-3</v>
      </c>
      <c r="P36">
        <v>0.99943950000000004</v>
      </c>
      <c r="Q36">
        <v>3.3464679999999997E-2</v>
      </c>
      <c r="R36">
        <v>-1.1057230000000001E-3</v>
      </c>
      <c r="S36">
        <v>3.0045169999999999</v>
      </c>
      <c r="T36">
        <v>-7.9070929999999998E-2</v>
      </c>
      <c r="U36">
        <v>3.7841799999999998E-3</v>
      </c>
      <c r="V36">
        <v>2.464197E-3</v>
      </c>
      <c r="W36">
        <v>3.9781869999999997E-2</v>
      </c>
      <c r="X36">
        <v>0.99920540000000002</v>
      </c>
      <c r="Y36" s="1">
        <v>9.7704850000000004E-5</v>
      </c>
      <c r="Z36" s="1">
        <v>-3.7010430000000003E-5</v>
      </c>
      <c r="AA36">
        <v>1</v>
      </c>
      <c r="AB36">
        <v>4</v>
      </c>
      <c r="AC36">
        <v>44.051200000000001</v>
      </c>
      <c r="AD36">
        <v>-1.1600469999999901</v>
      </c>
      <c r="AE36">
        <v>5.5499999999994998E-2</v>
      </c>
      <c r="AF36">
        <v>4.3055993068595302E-3</v>
      </c>
      <c r="AG36">
        <v>-1.1600469999999901</v>
      </c>
      <c r="AH36">
        <v>44.020707197348003</v>
      </c>
      <c r="AI36">
        <v>91.509526354052596</v>
      </c>
      <c r="AJ36">
        <v>89.994395985810399</v>
      </c>
      <c r="AK36">
        <v>44.035989709952503</v>
      </c>
      <c r="AL36">
        <v>87.7200652232425</v>
      </c>
      <c r="AM36">
        <v>89.858699921199403</v>
      </c>
      <c r="AN36">
        <v>1.0000000504183499</v>
      </c>
    </row>
    <row r="37" spans="1:40" x14ac:dyDescent="0.25">
      <c r="A37" t="str">
        <f>"20190312160304751"</f>
        <v>20190312160304751</v>
      </c>
      <c r="B37" t="str">
        <f>"1552377784744890"</f>
        <v>1552377784744890</v>
      </c>
      <c r="C37" t="s">
        <v>40</v>
      </c>
      <c r="D37">
        <v>5.1727160000000003</v>
      </c>
      <c r="E37">
        <v>0.49866579999999999</v>
      </c>
      <c r="F37" t="s">
        <v>43</v>
      </c>
      <c r="G37">
        <v>-437.02409999999998</v>
      </c>
      <c r="H37">
        <v>-0.05</v>
      </c>
      <c r="I37">
        <v>367.14830000000001</v>
      </c>
      <c r="J37">
        <v>-476.04849999999999</v>
      </c>
      <c r="K37">
        <v>1.109942</v>
      </c>
      <c r="L37">
        <v>367.22300000000001</v>
      </c>
      <c r="M37">
        <v>0.99997959999999997</v>
      </c>
      <c r="N37">
        <v>0</v>
      </c>
      <c r="O37">
        <v>1.4327389999999999E-3</v>
      </c>
      <c r="P37">
        <v>0.99944719999999998</v>
      </c>
      <c r="Q37">
        <v>3.3244120000000002E-2</v>
      </c>
      <c r="R37">
        <v>-9.0255369999999997E-4</v>
      </c>
      <c r="S37">
        <v>3.0046689999999998</v>
      </c>
      <c r="T37">
        <v>-8.9234590000000003E-2</v>
      </c>
      <c r="U37">
        <v>-5.7373049999999998E-3</v>
      </c>
      <c r="V37">
        <v>2.3355400000000001E-3</v>
      </c>
      <c r="W37">
        <v>3.9490749999999998E-2</v>
      </c>
      <c r="X37">
        <v>0.99921720000000003</v>
      </c>
      <c r="Y37">
        <v>3.340118E-3</v>
      </c>
      <c r="Z37" s="1">
        <v>-9.2129319999999994E-5</v>
      </c>
      <c r="AA37">
        <v>0.99999439999999995</v>
      </c>
      <c r="AB37">
        <v>3</v>
      </c>
      <c r="AC37">
        <v>39.0244</v>
      </c>
      <c r="AD37">
        <v>-1.159942</v>
      </c>
      <c r="AE37">
        <v>-7.4700000000007094E-2</v>
      </c>
      <c r="AF37">
        <v>0.13049749399809199</v>
      </c>
      <c r="AG37">
        <v>-1.159942</v>
      </c>
      <c r="AH37">
        <v>38.989806063394497</v>
      </c>
      <c r="AI37">
        <v>91.704030345843506</v>
      </c>
      <c r="AJ37">
        <v>89.808233780086596</v>
      </c>
      <c r="AK37">
        <v>39.0072746023151</v>
      </c>
      <c r="AL37">
        <v>87.736758158609803</v>
      </c>
      <c r="AM37">
        <v>89.866078825312897</v>
      </c>
      <c r="AN37">
        <v>0.99999999342924695</v>
      </c>
    </row>
    <row r="38" spans="1:40" x14ac:dyDescent="0.25">
      <c r="A38" t="str">
        <f>"20190312160304773"</f>
        <v>20190312160304773</v>
      </c>
      <c r="B38" t="str">
        <f>"1552377784764411"</f>
        <v>1552377784764411</v>
      </c>
      <c r="C38" t="s">
        <v>40</v>
      </c>
      <c r="D38">
        <v>5.1790029999999998</v>
      </c>
      <c r="E38">
        <v>0.49840240000000002</v>
      </c>
      <c r="F38" t="s">
        <v>43</v>
      </c>
      <c r="G38">
        <v>-436.77330000000001</v>
      </c>
      <c r="H38">
        <v>-0.05</v>
      </c>
      <c r="I38">
        <v>367.18790000000001</v>
      </c>
      <c r="J38">
        <v>-476.00740000000002</v>
      </c>
      <c r="K38">
        <v>1.1096330000000001</v>
      </c>
      <c r="L38">
        <v>367.22320000000002</v>
      </c>
      <c r="M38">
        <v>0.9999846</v>
      </c>
      <c r="N38">
        <v>0</v>
      </c>
      <c r="O38">
        <v>1.5320049999999999E-3</v>
      </c>
      <c r="P38">
        <v>0.99943020000000005</v>
      </c>
      <c r="Q38">
        <v>3.3755790000000001E-2</v>
      </c>
      <c r="R38">
        <v>-4.2472890000000001E-4</v>
      </c>
      <c r="S38">
        <v>3.004578</v>
      </c>
      <c r="T38">
        <v>-8.8736300000000004E-2</v>
      </c>
      <c r="U38">
        <v>-2.6855469999999999E-3</v>
      </c>
      <c r="V38">
        <v>1.9559379999999999E-3</v>
      </c>
      <c r="W38">
        <v>3.9097649999999998E-2</v>
      </c>
      <c r="X38">
        <v>0.9992335</v>
      </c>
      <c r="Y38">
        <v>2.4241179999999998E-3</v>
      </c>
      <c r="Z38" s="1">
        <v>-8.1025309999999999E-5</v>
      </c>
      <c r="AA38">
        <v>0.99999709999999997</v>
      </c>
      <c r="AB38">
        <v>4</v>
      </c>
      <c r="AC38">
        <v>39.234099999999998</v>
      </c>
      <c r="AD38">
        <v>-1.1596329999999999</v>
      </c>
      <c r="AE38">
        <v>-3.53000000000065E-2</v>
      </c>
      <c r="AF38">
        <v>9.5324375542736595E-2</v>
      </c>
      <c r="AG38">
        <v>-1.1596329999999999</v>
      </c>
      <c r="AH38">
        <v>39.199754909909501</v>
      </c>
      <c r="AI38">
        <v>91.694462346205299</v>
      </c>
      <c r="AJ38">
        <v>89.860670719750601</v>
      </c>
      <c r="AK38">
        <v>39.217019525051001</v>
      </c>
      <c r="AL38">
        <v>87.759298597063093</v>
      </c>
      <c r="AM38">
        <v>89.887847185608805</v>
      </c>
      <c r="AN38">
        <v>1.00000001972561</v>
      </c>
    </row>
    <row r="39" spans="1:40" x14ac:dyDescent="0.25">
      <c r="A39" t="str">
        <f>"20190312160304786"</f>
        <v>20190312160304786</v>
      </c>
      <c r="B39" t="str">
        <f>"1552377784775149"</f>
        <v>1552377784775149</v>
      </c>
      <c r="C39" t="s">
        <v>40</v>
      </c>
      <c r="D39">
        <v>5.2260730000000004</v>
      </c>
      <c r="E39">
        <v>0.49820740000000002</v>
      </c>
      <c r="F39" t="s">
        <v>43</v>
      </c>
      <c r="G39">
        <v>-436.2328</v>
      </c>
      <c r="H39">
        <v>-0.05</v>
      </c>
      <c r="I39">
        <v>367.2353</v>
      </c>
      <c r="J39">
        <v>-475.98099999999999</v>
      </c>
      <c r="K39">
        <v>1.1094599999999999</v>
      </c>
      <c r="L39">
        <v>367.22329999999999</v>
      </c>
      <c r="M39">
        <v>0.99998739999999997</v>
      </c>
      <c r="N39">
        <v>0</v>
      </c>
      <c r="O39">
        <v>1.600897E-3</v>
      </c>
      <c r="P39">
        <v>0.99940759999999995</v>
      </c>
      <c r="Q39">
        <v>3.4413770000000003E-2</v>
      </c>
      <c r="R39">
        <v>-2.9288170000000001E-4</v>
      </c>
      <c r="S39">
        <v>3.0046689999999998</v>
      </c>
      <c r="T39">
        <v>-8.7601299999999993E-2</v>
      </c>
      <c r="U39">
        <v>9.1552729999999996E-4</v>
      </c>
      <c r="V39">
        <v>1.8923080000000001E-3</v>
      </c>
      <c r="W39">
        <v>3.9163419999999997E-2</v>
      </c>
      <c r="X39">
        <v>0.99923099999999998</v>
      </c>
      <c r="Y39">
        <v>1.294983E-3</v>
      </c>
      <c r="Z39" s="1">
        <v>-6.5538470000000001E-5</v>
      </c>
      <c r="AA39">
        <v>0.99999919999999998</v>
      </c>
      <c r="AB39">
        <v>4</v>
      </c>
      <c r="AC39">
        <v>39.748199999999997</v>
      </c>
      <c r="AD39">
        <v>-1.1594599999999999</v>
      </c>
      <c r="AE39">
        <v>1.2000000000000399E-2</v>
      </c>
      <c r="AF39">
        <v>5.1589612348256299E-2</v>
      </c>
      <c r="AG39">
        <v>-1.1594599999999999</v>
      </c>
      <c r="AH39">
        <v>39.714375465061302</v>
      </c>
      <c r="AI39">
        <v>91.672272142722306</v>
      </c>
      <c r="AJ39">
        <v>89.925571902943403</v>
      </c>
      <c r="AK39">
        <v>39.731330553601701</v>
      </c>
      <c r="AL39">
        <v>87.755527260045994</v>
      </c>
      <c r="AM39">
        <v>89.891495427656693</v>
      </c>
      <c r="AN39">
        <v>0.99999997282833097</v>
      </c>
    </row>
    <row r="40" spans="1:40" x14ac:dyDescent="0.25">
      <c r="A40" t="str">
        <f>"20190312160304805"</f>
        <v>20190312160304805</v>
      </c>
      <c r="B40" t="str">
        <f>"1552377784794666"</f>
        <v>1552377784794666</v>
      </c>
      <c r="C40" t="s">
        <v>40</v>
      </c>
      <c r="D40">
        <v>5.150614</v>
      </c>
      <c r="E40">
        <v>0.49793349999999997</v>
      </c>
      <c r="F40" t="s">
        <v>43</v>
      </c>
      <c r="G40">
        <v>-432.44220000000001</v>
      </c>
      <c r="H40">
        <v>-0.05</v>
      </c>
      <c r="I40">
        <v>367.26839999999999</v>
      </c>
      <c r="J40">
        <v>-475.94630000000001</v>
      </c>
      <c r="K40">
        <v>1.1095919999999999</v>
      </c>
      <c r="L40">
        <v>367.22340000000003</v>
      </c>
      <c r="M40">
        <v>0.99998529999999997</v>
      </c>
      <c r="N40">
        <v>0</v>
      </c>
      <c r="O40">
        <v>1.6781400000000001E-3</v>
      </c>
      <c r="P40">
        <v>0.99942299999999995</v>
      </c>
      <c r="Q40">
        <v>3.397145E-2</v>
      </c>
      <c r="R40" s="1">
        <v>-9.6689080000000001E-5</v>
      </c>
      <c r="S40">
        <v>3.0045470000000001</v>
      </c>
      <c r="T40">
        <v>-8.0012680000000003E-2</v>
      </c>
      <c r="U40">
        <v>3.112793E-3</v>
      </c>
      <c r="V40">
        <v>1.7734669999999999E-3</v>
      </c>
      <c r="W40">
        <v>3.9153889999999997E-2</v>
      </c>
      <c r="X40">
        <v>0.9992316</v>
      </c>
      <c r="Y40">
        <v>6.4131379999999997E-4</v>
      </c>
      <c r="Z40" s="1">
        <v>-5.3220139999999998E-5</v>
      </c>
      <c r="AA40">
        <v>0.99999979999999999</v>
      </c>
      <c r="AB40">
        <v>4</v>
      </c>
      <c r="AC40">
        <v>43.504100000000001</v>
      </c>
      <c r="AD40">
        <v>-1.159592</v>
      </c>
      <c r="AE40">
        <v>4.4999999999959003E-2</v>
      </c>
      <c r="AF40">
        <v>2.7987119955735499E-2</v>
      </c>
      <c r="AG40">
        <v>-1.159592</v>
      </c>
      <c r="AH40">
        <v>43.473227561788498</v>
      </c>
      <c r="AI40">
        <v>91.527928043491599</v>
      </c>
      <c r="AJ40">
        <v>89.963114226327406</v>
      </c>
      <c r="AK40">
        <v>43.488699124305803</v>
      </c>
      <c r="AL40">
        <v>87.756073727122896</v>
      </c>
      <c r="AM40">
        <v>89.898309793733105</v>
      </c>
      <c r="AN40">
        <v>0.99999998136294499</v>
      </c>
    </row>
    <row r="41" spans="1:40" x14ac:dyDescent="0.25">
      <c r="A41" t="str">
        <f>"20190312160304818"</f>
        <v>20190312160304818</v>
      </c>
      <c r="B41" t="str">
        <f>"1552377784815258"</f>
        <v>1552377784815258</v>
      </c>
      <c r="C41" t="s">
        <v>40</v>
      </c>
      <c r="D41">
        <v>5.235201</v>
      </c>
      <c r="E41">
        <v>0.49787769999999998</v>
      </c>
      <c r="F41" t="s">
        <v>43</v>
      </c>
      <c r="G41">
        <v>-427.05790000000002</v>
      </c>
      <c r="H41">
        <v>-0.05</v>
      </c>
      <c r="I41">
        <v>367.32470000000001</v>
      </c>
      <c r="J41">
        <v>-475.92599999999999</v>
      </c>
      <c r="K41">
        <v>1.109847</v>
      </c>
      <c r="L41">
        <v>367.2235</v>
      </c>
      <c r="M41">
        <v>0.99997990000000003</v>
      </c>
      <c r="N41">
        <v>0</v>
      </c>
      <c r="O41">
        <v>1.7165959999999999E-3</v>
      </c>
      <c r="P41">
        <v>0.99944759999999999</v>
      </c>
      <c r="Q41">
        <v>3.3239570000000003E-2</v>
      </c>
      <c r="R41" s="1">
        <v>-8.4484990000000001E-5</v>
      </c>
      <c r="S41">
        <v>3.0041500000000001</v>
      </c>
      <c r="T41">
        <v>-7.125592E-2</v>
      </c>
      <c r="U41">
        <v>6.225586E-3</v>
      </c>
      <c r="V41">
        <v>1.8001569999999999E-3</v>
      </c>
      <c r="W41">
        <v>3.9353529999999998E-2</v>
      </c>
      <c r="X41">
        <v>0.99922370000000005</v>
      </c>
      <c r="Y41">
        <v>-3.5607930000000002E-4</v>
      </c>
      <c r="Z41" s="1">
        <v>-3.6488819999999997E-5</v>
      </c>
      <c r="AA41">
        <v>0.99999990000000005</v>
      </c>
      <c r="AB41">
        <v>4</v>
      </c>
      <c r="AC41">
        <v>48.868099999999899</v>
      </c>
      <c r="AD41">
        <v>-1.1598469999999901</v>
      </c>
      <c r="AE41">
        <v>0.10120000000000499</v>
      </c>
      <c r="AF41">
        <v>-1.7301757068051201E-2</v>
      </c>
      <c r="AG41">
        <v>-1.1598469999999901</v>
      </c>
      <c r="AH41">
        <v>48.840689197043801</v>
      </c>
      <c r="AI41">
        <v>91.360378956615094</v>
      </c>
      <c r="AJ41">
        <v>90.020296962082</v>
      </c>
      <c r="AK41">
        <v>48.854462085427102</v>
      </c>
      <c r="AL41">
        <v>87.744626353062699</v>
      </c>
      <c r="AM41">
        <v>89.896778582237502</v>
      </c>
      <c r="AN41">
        <v>0.99999997176518696</v>
      </c>
    </row>
    <row r="42" spans="1:40" x14ac:dyDescent="0.25">
      <c r="A42" t="str">
        <f>"20190312160304830"</f>
        <v>20190312160304830</v>
      </c>
      <c r="B42" t="str">
        <f>"1552377784825017"</f>
        <v>1552377784825017</v>
      </c>
      <c r="C42" t="s">
        <v>40</v>
      </c>
      <c r="D42">
        <v>5.344309</v>
      </c>
      <c r="E42">
        <v>0.49787690000000001</v>
      </c>
      <c r="F42" t="s">
        <v>43</v>
      </c>
      <c r="G42">
        <v>-424.9812</v>
      </c>
      <c r="H42">
        <v>-0.05</v>
      </c>
      <c r="I42">
        <v>367.33640000000003</v>
      </c>
      <c r="J42">
        <v>-475.9049</v>
      </c>
      <c r="K42">
        <v>1.1101570000000001</v>
      </c>
      <c r="L42">
        <v>367.22359999999998</v>
      </c>
      <c r="M42">
        <v>0.99997179999999997</v>
      </c>
      <c r="N42">
        <v>0</v>
      </c>
      <c r="O42">
        <v>1.75392E-3</v>
      </c>
      <c r="P42">
        <v>0.99948300000000001</v>
      </c>
      <c r="Q42">
        <v>3.215544E-2</v>
      </c>
      <c r="R42">
        <v>1.0904920000000001E-4</v>
      </c>
      <c r="S42">
        <v>3.0039060000000002</v>
      </c>
      <c r="T42">
        <v>-6.8389060000000002E-2</v>
      </c>
      <c r="U42">
        <v>6.6528319999999896E-3</v>
      </c>
      <c r="V42">
        <v>1.644654E-3</v>
      </c>
      <c r="W42">
        <v>3.9467870000000002E-2</v>
      </c>
      <c r="X42">
        <v>0.99921950000000004</v>
      </c>
      <c r="Y42">
        <v>-4.6109089999999997E-4</v>
      </c>
      <c r="Z42" s="1">
        <v>-3.4678719999999999E-5</v>
      </c>
      <c r="AA42">
        <v>0.99999990000000005</v>
      </c>
      <c r="AB42">
        <v>4</v>
      </c>
      <c r="AC42">
        <v>50.923699999999997</v>
      </c>
      <c r="AD42">
        <v>-1.1601569999999899</v>
      </c>
      <c r="AE42">
        <v>0.112800000000049</v>
      </c>
      <c r="AF42">
        <v>-2.34691680167953E-2</v>
      </c>
      <c r="AG42">
        <v>-1.1601569999999899</v>
      </c>
      <c r="AH42">
        <v>50.897402296505</v>
      </c>
      <c r="AI42">
        <v>91.305775559113002</v>
      </c>
      <c r="AJ42">
        <v>90.0264195051234</v>
      </c>
      <c r="AK42">
        <v>50.910628316676402</v>
      </c>
      <c r="AL42">
        <v>87.7380701540948</v>
      </c>
      <c r="AM42">
        <v>89.905694746885302</v>
      </c>
      <c r="AN42">
        <v>1.00000001341468</v>
      </c>
    </row>
    <row r="43" spans="1:40" x14ac:dyDescent="0.25">
      <c r="A43" t="str">
        <f>"20190312160304850"</f>
        <v>20190312160304850</v>
      </c>
      <c r="B43" t="str">
        <f>"1552377784844538"</f>
        <v>1552377784844538</v>
      </c>
      <c r="C43" t="s">
        <v>40</v>
      </c>
      <c r="D43">
        <v>5.2566410000000001</v>
      </c>
      <c r="E43">
        <v>0.49789949999999999</v>
      </c>
      <c r="F43" t="s">
        <v>43</v>
      </c>
      <c r="G43">
        <v>-425.33870000000002</v>
      </c>
      <c r="H43">
        <v>-0.05</v>
      </c>
      <c r="I43">
        <v>367.34800000000001</v>
      </c>
      <c r="J43">
        <v>-475.87729999999999</v>
      </c>
      <c r="K43">
        <v>1.1105259999999999</v>
      </c>
      <c r="L43">
        <v>367.22370000000001</v>
      </c>
      <c r="M43">
        <v>0.99995800000000001</v>
      </c>
      <c r="N43">
        <v>0</v>
      </c>
      <c r="O43">
        <v>1.7975000000000001E-3</v>
      </c>
      <c r="P43">
        <v>0.99951769999999995</v>
      </c>
      <c r="Q43">
        <v>3.1045690000000001E-2</v>
      </c>
      <c r="R43">
        <v>6.4028230000000004E-4</v>
      </c>
      <c r="S43">
        <v>3.0037229999999999</v>
      </c>
      <c r="T43">
        <v>-6.8915370000000004E-2</v>
      </c>
      <c r="U43">
        <v>7.385254E-3</v>
      </c>
      <c r="V43">
        <v>1.1582929999999999E-3</v>
      </c>
      <c r="W43">
        <v>4.0028189999999998E-2</v>
      </c>
      <c r="X43">
        <v>0.99919789999999997</v>
      </c>
      <c r="Y43">
        <v>-6.6142009999999897E-4</v>
      </c>
      <c r="Z43" s="1">
        <v>-3.3650179999999997E-5</v>
      </c>
      <c r="AA43">
        <v>0.99999979999999999</v>
      </c>
      <c r="AB43">
        <v>4</v>
      </c>
      <c r="AC43">
        <v>50.538599999999903</v>
      </c>
      <c r="AD43">
        <v>-1.1605259999999999</v>
      </c>
      <c r="AE43">
        <v>0.124300000000005</v>
      </c>
      <c r="AF43">
        <v>-3.3435366292363003E-2</v>
      </c>
      <c r="AG43">
        <v>-1.1605259999999999</v>
      </c>
      <c r="AH43">
        <v>50.5121065724435</v>
      </c>
      <c r="AI43">
        <v>91.316150439226107</v>
      </c>
      <c r="AJ43">
        <v>90.037925662286298</v>
      </c>
      <c r="AK43">
        <v>50.525447537911901</v>
      </c>
      <c r="AL43">
        <v>87.705940808474907</v>
      </c>
      <c r="AM43">
        <v>89.933581455072698</v>
      </c>
      <c r="AN43">
        <v>1.0000000205008699</v>
      </c>
    </row>
    <row r="44" spans="1:40" x14ac:dyDescent="0.25">
      <c r="A44" t="str">
        <f>"20190312160304863"</f>
        <v>20190312160304863</v>
      </c>
      <c r="B44" t="str">
        <f>"1552377784855273"</f>
        <v>1552377784855273</v>
      </c>
      <c r="C44" t="s">
        <v>40</v>
      </c>
      <c r="D44">
        <v>5.232729</v>
      </c>
      <c r="E44">
        <v>0.49822379999999999</v>
      </c>
      <c r="F44" t="s">
        <v>43</v>
      </c>
      <c r="G44">
        <v>-425.54559999999998</v>
      </c>
      <c r="H44">
        <v>-0.05</v>
      </c>
      <c r="I44">
        <v>367.37259999999998</v>
      </c>
      <c r="J44">
        <v>-475.85410000000002</v>
      </c>
      <c r="K44">
        <v>1.1104290000000001</v>
      </c>
      <c r="L44">
        <v>367.22379999999998</v>
      </c>
      <c r="M44">
        <v>0.99995789999999996</v>
      </c>
      <c r="N44">
        <v>0</v>
      </c>
      <c r="O44">
        <v>1.8399149999999999E-3</v>
      </c>
      <c r="P44">
        <v>0.99951310000000004</v>
      </c>
      <c r="Q44">
        <v>3.1185609999999999E-2</v>
      </c>
      <c r="R44">
        <v>1.078575E-3</v>
      </c>
      <c r="S44">
        <v>3.0036010000000002</v>
      </c>
      <c r="T44">
        <v>-6.9255709999999998E-2</v>
      </c>
      <c r="U44">
        <v>8.8806149999999997E-3</v>
      </c>
      <c r="V44">
        <v>7.6214179999999998E-4</v>
      </c>
      <c r="W44">
        <v>4.0179699999999999E-2</v>
      </c>
      <c r="X44">
        <v>0.99919219999999997</v>
      </c>
      <c r="Y44">
        <v>-1.1168489999999901E-3</v>
      </c>
      <c r="Z44" s="1">
        <v>-2.9545729999999999E-5</v>
      </c>
      <c r="AA44">
        <v>0.99999939999999998</v>
      </c>
      <c r="AB44">
        <v>3</v>
      </c>
      <c r="AC44">
        <v>50.308500000000002</v>
      </c>
      <c r="AD44">
        <v>-1.1604289999999999</v>
      </c>
      <c r="AE44">
        <v>0.14879999999999399</v>
      </c>
      <c r="AF44">
        <v>-5.6202741408954003E-2</v>
      </c>
      <c r="AG44">
        <v>-1.1604289999999999</v>
      </c>
      <c r="AH44">
        <v>50.281936238069598</v>
      </c>
      <c r="AI44">
        <v>91.322062101240604</v>
      </c>
      <c r="AJ44">
        <v>90.064042453009094</v>
      </c>
      <c r="AK44">
        <v>50.295356307133197</v>
      </c>
      <c r="AL44">
        <v>87.697252936608194</v>
      </c>
      <c r="AM44">
        <v>89.956297196813594</v>
      </c>
      <c r="AN44">
        <v>1.0000000208465201</v>
      </c>
    </row>
    <row r="45" spans="1:40" x14ac:dyDescent="0.25">
      <c r="A45" t="str">
        <f>"20190312160304874"</f>
        <v>20190312160304874</v>
      </c>
      <c r="B45" t="str">
        <f>"1552377784865033"</f>
        <v>1552377784865033</v>
      </c>
      <c r="C45" t="s">
        <v>40</v>
      </c>
      <c r="D45">
        <v>5.1557199999999996</v>
      </c>
      <c r="E45">
        <v>0.49822379999999999</v>
      </c>
      <c r="F45" t="s">
        <v>43</v>
      </c>
      <c r="G45">
        <v>-426.8467</v>
      </c>
      <c r="H45">
        <v>-0.05</v>
      </c>
      <c r="I45">
        <v>367.34980000000002</v>
      </c>
      <c r="J45">
        <v>-475.83229999999998</v>
      </c>
      <c r="K45">
        <v>1.1102369999999999</v>
      </c>
      <c r="L45">
        <v>367.22390000000001</v>
      </c>
      <c r="M45">
        <v>0.99996169999999995</v>
      </c>
      <c r="N45">
        <v>0</v>
      </c>
      <c r="O45">
        <v>1.8870110000000001E-3</v>
      </c>
      <c r="P45">
        <v>0.99949869999999996</v>
      </c>
      <c r="Q45">
        <v>3.163183E-2</v>
      </c>
      <c r="R45">
        <v>1.5371429999999999E-3</v>
      </c>
      <c r="S45">
        <v>3.0036619999999998</v>
      </c>
      <c r="T45">
        <v>-7.1122770000000002E-2</v>
      </c>
      <c r="U45">
        <v>7.7209469999999997E-3</v>
      </c>
      <c r="V45">
        <v>3.5016929999999999E-4</v>
      </c>
      <c r="W45">
        <v>4.0188759999999997E-2</v>
      </c>
      <c r="X45">
        <v>0.99919210000000003</v>
      </c>
      <c r="Y45">
        <v>-6.8376199999999998E-4</v>
      </c>
      <c r="Z45" s="1">
        <v>-3.6583050000000002E-5</v>
      </c>
      <c r="AA45">
        <v>0.99999979999999999</v>
      </c>
      <c r="AB45">
        <v>3</v>
      </c>
      <c r="AC45">
        <v>48.985599999999899</v>
      </c>
      <c r="AD45">
        <v>-1.160237</v>
      </c>
      <c r="AE45">
        <v>0.12590000000000101</v>
      </c>
      <c r="AF45">
        <v>-3.3441273774659198E-2</v>
      </c>
      <c r="AG45">
        <v>-1.160237</v>
      </c>
      <c r="AH45">
        <v>48.958285344647301</v>
      </c>
      <c r="AI45">
        <v>91.357568524420401</v>
      </c>
      <c r="AJ45">
        <v>90.039136247059105</v>
      </c>
      <c r="AK45">
        <v>48.972042760159198</v>
      </c>
      <c r="AL45">
        <v>87.696733497959301</v>
      </c>
      <c r="AM45">
        <v>89.9799205556332</v>
      </c>
      <c r="AN45">
        <v>1.0000000558756399</v>
      </c>
    </row>
    <row r="46" spans="1:40" x14ac:dyDescent="0.25">
      <c r="A46" t="str">
        <f>"20190312160304887"</f>
        <v>20190312160304887</v>
      </c>
      <c r="B46" t="str">
        <f>"1552377784884552"</f>
        <v>1552377784884552</v>
      </c>
      <c r="C46" t="s">
        <v>40</v>
      </c>
      <c r="D46">
        <v>5.2221159999999998</v>
      </c>
      <c r="E46">
        <v>0.4986852</v>
      </c>
      <c r="F46" t="s">
        <v>43</v>
      </c>
      <c r="G46">
        <v>-425.90320000000003</v>
      </c>
      <c r="H46">
        <v>-0.05</v>
      </c>
      <c r="I46">
        <v>367.37509999999997</v>
      </c>
      <c r="J46">
        <v>-475.80860000000001</v>
      </c>
      <c r="K46">
        <v>1.1099779999999999</v>
      </c>
      <c r="L46">
        <v>367.22399999999999</v>
      </c>
      <c r="M46">
        <v>0.9999673</v>
      </c>
      <c r="N46">
        <v>0</v>
      </c>
      <c r="O46">
        <v>1.941959E-3</v>
      </c>
      <c r="P46">
        <v>0.99946710000000005</v>
      </c>
      <c r="Q46">
        <v>3.2581119999999998E-2</v>
      </c>
      <c r="R46">
        <v>2.0690800000000001E-3</v>
      </c>
      <c r="S46">
        <v>3.0036619999999998</v>
      </c>
      <c r="T46">
        <v>-6.9798230000000003E-2</v>
      </c>
      <c r="U46">
        <v>9.0942379999999993E-3</v>
      </c>
      <c r="V46">
        <v>-1.270368E-4</v>
      </c>
      <c r="W46">
        <v>4.0444620000000001E-2</v>
      </c>
      <c r="X46">
        <v>0.99918169999999995</v>
      </c>
      <c r="Y46">
        <v>-1.085918E-3</v>
      </c>
      <c r="Z46" s="1">
        <v>-3.250643E-5</v>
      </c>
      <c r="AA46">
        <v>0.99999939999999998</v>
      </c>
      <c r="AB46">
        <v>4</v>
      </c>
      <c r="AC46">
        <v>49.905399999999901</v>
      </c>
      <c r="AD46">
        <v>-1.159978</v>
      </c>
      <c r="AE46">
        <v>0.151099999999985</v>
      </c>
      <c r="AF46">
        <v>-5.4153231283939E-2</v>
      </c>
      <c r="AG46">
        <v>-1.159978</v>
      </c>
      <c r="AH46">
        <v>49.878652038057503</v>
      </c>
      <c r="AI46">
        <v>91.3322298011946</v>
      </c>
      <c r="AJ46">
        <v>90.062205978984395</v>
      </c>
      <c r="AK46">
        <v>49.892167828894401</v>
      </c>
      <c r="AL46">
        <v>87.682061571851193</v>
      </c>
      <c r="AM46">
        <v>90.007284633459193</v>
      </c>
      <c r="AN46">
        <v>0.99999992652008796</v>
      </c>
    </row>
    <row r="47" spans="1:40" x14ac:dyDescent="0.25">
      <c r="A47" t="str">
        <f>"20190312160304905"</f>
        <v>20190312160304905</v>
      </c>
      <c r="B47" t="str">
        <f>"1552377784894313"</f>
        <v>1552377784894313</v>
      </c>
      <c r="C47" t="s">
        <v>40</v>
      </c>
      <c r="D47">
        <v>5.259601</v>
      </c>
      <c r="E47">
        <v>0.49895859999999898</v>
      </c>
      <c r="F47" t="s">
        <v>43</v>
      </c>
      <c r="G47">
        <v>-430.38940000000002</v>
      </c>
      <c r="H47">
        <v>-0.05</v>
      </c>
      <c r="I47">
        <v>367.32040000000001</v>
      </c>
      <c r="J47">
        <v>-475.77229999999997</v>
      </c>
      <c r="K47">
        <v>1.1096649999999999</v>
      </c>
      <c r="L47">
        <v>367.2242</v>
      </c>
      <c r="M47">
        <v>0.99997440000000004</v>
      </c>
      <c r="N47">
        <v>0</v>
      </c>
      <c r="O47">
        <v>2.037063E-3</v>
      </c>
      <c r="P47">
        <v>0.99941840000000004</v>
      </c>
      <c r="Q47">
        <v>3.4001419999999997E-2</v>
      </c>
      <c r="R47">
        <v>2.6199299999999999E-3</v>
      </c>
      <c r="S47">
        <v>3.004089</v>
      </c>
      <c r="T47">
        <v>-7.6722620000000005E-2</v>
      </c>
      <c r="U47">
        <v>6.3781740000000003E-3</v>
      </c>
      <c r="V47">
        <v>-5.8441570000000004E-4</v>
      </c>
      <c r="W47">
        <v>4.0862450000000002E-2</v>
      </c>
      <c r="X47">
        <v>0.99916459999999996</v>
      </c>
      <c r="Y47" s="1">
        <v>-8.668402E-5</v>
      </c>
      <c r="Z47" s="1">
        <v>-5.0911249999999998E-5</v>
      </c>
      <c r="AA47">
        <v>1</v>
      </c>
      <c r="AB47">
        <v>4</v>
      </c>
      <c r="AC47">
        <v>45.3828999999999</v>
      </c>
      <c r="AD47">
        <v>-1.1596649999999999</v>
      </c>
      <c r="AE47">
        <v>9.6200000000010194E-2</v>
      </c>
      <c r="AF47">
        <v>-3.74735224532968E-3</v>
      </c>
      <c r="AG47">
        <v>-1.1596649999999999</v>
      </c>
      <c r="AH47">
        <v>45.353388395907402</v>
      </c>
      <c r="AI47">
        <v>91.464707215564104</v>
      </c>
      <c r="AJ47">
        <v>90.004734099812794</v>
      </c>
      <c r="AK47">
        <v>45.368212174879702</v>
      </c>
      <c r="AL47">
        <v>87.658102014825104</v>
      </c>
      <c r="AM47">
        <v>90.033512545653295</v>
      </c>
      <c r="AN47">
        <v>0.99999998962743597</v>
      </c>
    </row>
    <row r="48" spans="1:40" x14ac:dyDescent="0.25">
      <c r="A48" t="str">
        <f>"20190312160304928"</f>
        <v>20190312160304928</v>
      </c>
      <c r="B48" t="str">
        <f>"1552377784924569"</f>
        <v>1552377784924569</v>
      </c>
      <c r="C48" t="s">
        <v>40</v>
      </c>
      <c r="D48">
        <v>5.2634759999999998</v>
      </c>
      <c r="E48">
        <v>0.49920999999999999</v>
      </c>
      <c r="F48" t="s">
        <v>43</v>
      </c>
      <c r="G48">
        <v>-427.90879999999999</v>
      </c>
      <c r="H48">
        <v>-0.05</v>
      </c>
      <c r="I48">
        <v>367.31990000000002</v>
      </c>
      <c r="J48">
        <v>-475.72879999999998</v>
      </c>
      <c r="K48">
        <v>1.10978</v>
      </c>
      <c r="L48">
        <v>367.2244</v>
      </c>
      <c r="M48">
        <v>0.99997179999999997</v>
      </c>
      <c r="N48">
        <v>0</v>
      </c>
      <c r="O48">
        <v>2.1382530000000001E-3</v>
      </c>
      <c r="P48">
        <v>0.99943530000000003</v>
      </c>
      <c r="Q48">
        <v>3.3439679999999999E-2</v>
      </c>
      <c r="R48">
        <v>3.342327E-3</v>
      </c>
      <c r="S48">
        <v>3.0042420000000001</v>
      </c>
      <c r="T48">
        <v>-7.2788480000000003E-2</v>
      </c>
      <c r="U48">
        <v>6.0119630000000004E-3</v>
      </c>
      <c r="V48">
        <v>-1.2061789999999999E-3</v>
      </c>
      <c r="W48">
        <v>4.0649949999999997E-2</v>
      </c>
      <c r="X48">
        <v>0.99917270000000002</v>
      </c>
      <c r="Y48">
        <v>1.364867E-4</v>
      </c>
      <c r="Z48" s="1">
        <v>-5.3453630000000001E-5</v>
      </c>
      <c r="AA48">
        <v>1</v>
      </c>
      <c r="AB48">
        <v>4</v>
      </c>
      <c r="AC48">
        <v>47.819999999999901</v>
      </c>
      <c r="AD48">
        <v>-1.15978</v>
      </c>
      <c r="AE48">
        <v>9.5500000000015406E-2</v>
      </c>
      <c r="AF48">
        <v>6.7501560949919997E-3</v>
      </c>
      <c r="AG48">
        <v>-1.15978</v>
      </c>
      <c r="AH48">
        <v>47.791983293255001</v>
      </c>
      <c r="AI48">
        <v>91.390138142639003</v>
      </c>
      <c r="AJ48">
        <v>89.991907524524507</v>
      </c>
      <c r="AK48">
        <v>47.806054034146896</v>
      </c>
      <c r="AL48">
        <v>87.670287467690699</v>
      </c>
      <c r="AM48">
        <v>90.069166153625901</v>
      </c>
      <c r="AN48">
        <v>0.99999997886403602</v>
      </c>
    </row>
    <row r="49" spans="1:40" x14ac:dyDescent="0.25">
      <c r="A49" t="str">
        <f>"20190312160304941"</f>
        <v>20190312160304941</v>
      </c>
      <c r="B49" t="str">
        <f>"1552377784934329"</f>
        <v>1552377784934329</v>
      </c>
      <c r="C49" t="s">
        <v>40</v>
      </c>
      <c r="D49">
        <v>5.256087</v>
      </c>
      <c r="E49">
        <v>0.49917919999999999</v>
      </c>
      <c r="F49" t="s">
        <v>43</v>
      </c>
      <c r="G49">
        <v>-430.41250000000002</v>
      </c>
      <c r="H49">
        <v>-0.05</v>
      </c>
      <c r="I49">
        <v>367.31040000000002</v>
      </c>
      <c r="J49">
        <v>-475.70679999999999</v>
      </c>
      <c r="K49">
        <v>1.1100639999999999</v>
      </c>
      <c r="L49">
        <v>367.22449999999998</v>
      </c>
      <c r="M49">
        <v>0.99996359999999995</v>
      </c>
      <c r="N49">
        <v>0</v>
      </c>
      <c r="O49">
        <v>2.1805790000000002E-3</v>
      </c>
      <c r="P49">
        <v>0.99947640000000004</v>
      </c>
      <c r="Q49">
        <v>3.2203059999999999E-2</v>
      </c>
      <c r="R49">
        <v>3.174694E-3</v>
      </c>
      <c r="S49">
        <v>3.0042420000000001</v>
      </c>
      <c r="T49">
        <v>-7.6887609999999995E-2</v>
      </c>
      <c r="U49">
        <v>5.7067869999999996E-3</v>
      </c>
      <c r="V49">
        <v>-9.9512210000000001E-4</v>
      </c>
      <c r="W49">
        <v>4.0458899999999999E-2</v>
      </c>
      <c r="X49">
        <v>0.99918070000000003</v>
      </c>
      <c r="Y49">
        <v>2.8027469999999997E-4</v>
      </c>
      <c r="Z49" s="1">
        <v>-5.9386180000000003E-5</v>
      </c>
      <c r="AA49">
        <v>0.99999990000000005</v>
      </c>
      <c r="AB49">
        <v>4</v>
      </c>
      <c r="AC49">
        <v>45.2942999999999</v>
      </c>
      <c r="AD49">
        <v>-1.160064</v>
      </c>
      <c r="AE49">
        <v>8.5900000000037793E-2</v>
      </c>
      <c r="AF49">
        <v>1.28629265510261E-2</v>
      </c>
      <c r="AG49">
        <v>-1.160064</v>
      </c>
      <c r="AH49">
        <v>45.264687945695599</v>
      </c>
      <c r="AI49">
        <v>91.468080860547104</v>
      </c>
      <c r="AJ49">
        <v>89.983718182601706</v>
      </c>
      <c r="AK49">
        <v>45.279552656361098</v>
      </c>
      <c r="AL49">
        <v>87.681242869863695</v>
      </c>
      <c r="AM49">
        <v>90.057063029318698</v>
      </c>
      <c r="AN49">
        <v>0.99999999205484702</v>
      </c>
    </row>
    <row r="50" spans="1:40" x14ac:dyDescent="0.25">
      <c r="A50" t="str">
        <f>"20190312160304954"</f>
        <v>20190312160304954</v>
      </c>
      <c r="B50" t="str">
        <f>"1552377784945065"</f>
        <v>1552377784945065</v>
      </c>
      <c r="C50" t="s">
        <v>40</v>
      </c>
      <c r="D50">
        <v>5.2679010000000002</v>
      </c>
      <c r="E50">
        <v>0.49916470000000002</v>
      </c>
      <c r="F50" t="s">
        <v>43</v>
      </c>
      <c r="G50">
        <v>-432.52440000000001</v>
      </c>
      <c r="H50">
        <v>-0.05</v>
      </c>
      <c r="I50">
        <v>367.30650000000003</v>
      </c>
      <c r="J50">
        <v>-475.68270000000001</v>
      </c>
      <c r="K50">
        <v>1.110174</v>
      </c>
      <c r="L50">
        <v>367.22460000000001</v>
      </c>
      <c r="M50">
        <v>0.9999593</v>
      </c>
      <c r="N50">
        <v>0</v>
      </c>
      <c r="O50">
        <v>2.2300190000000002E-3</v>
      </c>
      <c r="P50">
        <v>0.99949710000000003</v>
      </c>
      <c r="Q50">
        <v>3.1552879999999998E-2</v>
      </c>
      <c r="R50">
        <v>3.2557520000000002E-3</v>
      </c>
      <c r="S50">
        <v>3.0041500000000001</v>
      </c>
      <c r="T50">
        <v>-8.0704449999999997E-2</v>
      </c>
      <c r="U50">
        <v>5.7067869999999996E-3</v>
      </c>
      <c r="V50">
        <v>-1.0265739999999999E-3</v>
      </c>
      <c r="W50">
        <v>4.0302159999999997E-2</v>
      </c>
      <c r="X50">
        <v>0.99918700000000005</v>
      </c>
      <c r="Y50">
        <v>3.2955000000000001E-4</v>
      </c>
      <c r="Z50" s="1">
        <v>-6.4325059999999996E-5</v>
      </c>
      <c r="AA50">
        <v>0.99999990000000005</v>
      </c>
      <c r="AB50">
        <v>4</v>
      </c>
      <c r="AC50">
        <v>43.158299999999997</v>
      </c>
      <c r="AD50">
        <v>-1.160174</v>
      </c>
      <c r="AE50">
        <v>8.1900000000018694E-2</v>
      </c>
      <c r="AF50">
        <v>1.43373500122704E-2</v>
      </c>
      <c r="AG50">
        <v>-1.160174</v>
      </c>
      <c r="AH50">
        <v>43.127210305086599</v>
      </c>
      <c r="AI50">
        <v>91.540953879312994</v>
      </c>
      <c r="AJ50">
        <v>89.980952405476003</v>
      </c>
      <c r="AK50">
        <v>43.142814905486297</v>
      </c>
      <c r="AL50">
        <v>87.690230735176499</v>
      </c>
      <c r="AM50">
        <v>90.058866195078807</v>
      </c>
      <c r="AN50">
        <v>0.99999998946192103</v>
      </c>
    </row>
    <row r="51" spans="1:40" x14ac:dyDescent="0.25">
      <c r="A51" t="str">
        <f>"20190312160304975"</f>
        <v>20190312160304975</v>
      </c>
      <c r="B51" t="str">
        <f>"1552377784964586"</f>
        <v>1552377784964586</v>
      </c>
      <c r="C51" t="s">
        <v>40</v>
      </c>
      <c r="D51">
        <v>5.2729540000000004</v>
      </c>
      <c r="E51">
        <v>0.4994093</v>
      </c>
      <c r="F51" t="s">
        <v>43</v>
      </c>
      <c r="G51">
        <v>-433.41129999999998</v>
      </c>
      <c r="H51">
        <v>-0.05</v>
      </c>
      <c r="I51">
        <v>367.30700000000002</v>
      </c>
      <c r="J51">
        <v>-475.64350000000002</v>
      </c>
      <c r="K51">
        <v>1.110017</v>
      </c>
      <c r="L51">
        <v>367.22480000000002</v>
      </c>
      <c r="M51">
        <v>0.99996240000000003</v>
      </c>
      <c r="N51">
        <v>0</v>
      </c>
      <c r="O51">
        <v>2.3195939999999999E-3</v>
      </c>
      <c r="P51">
        <v>0.99950559999999999</v>
      </c>
      <c r="Q51">
        <v>3.129767E-2</v>
      </c>
      <c r="R51">
        <v>3.0623270000000001E-3</v>
      </c>
      <c r="S51">
        <v>3.004089</v>
      </c>
      <c r="T51">
        <v>-8.2449670000000003E-2</v>
      </c>
      <c r="U51">
        <v>5.859375E-3</v>
      </c>
      <c r="V51">
        <v>-7.4405860000000001E-4</v>
      </c>
      <c r="W51">
        <v>3.9670850000000001E-2</v>
      </c>
      <c r="X51">
        <v>0.99921249999999995</v>
      </c>
      <c r="Y51">
        <v>3.6820059999999999E-4</v>
      </c>
      <c r="Z51" s="1">
        <v>-6.8705069999999897E-5</v>
      </c>
      <c r="AA51">
        <v>0.99999990000000005</v>
      </c>
      <c r="AB51">
        <v>4</v>
      </c>
      <c r="AC51">
        <v>42.232199999999999</v>
      </c>
      <c r="AD51">
        <v>-1.1600170000000001</v>
      </c>
      <c r="AE51">
        <v>8.2199999999943402E-2</v>
      </c>
      <c r="AF51">
        <v>1.5753313465545999E-2</v>
      </c>
      <c r="AG51">
        <v>-1.1600170000000001</v>
      </c>
      <c r="AH51">
        <v>42.200438259442699</v>
      </c>
      <c r="AI51">
        <v>91.574565188579996</v>
      </c>
      <c r="AJ51">
        <v>89.978611636034501</v>
      </c>
      <c r="AK51">
        <v>42.216381617758401</v>
      </c>
      <c r="AL51">
        <v>87.726431054286905</v>
      </c>
      <c r="AM51">
        <v>90.042665008304795</v>
      </c>
      <c r="AN51">
        <v>0.99999997505958604</v>
      </c>
    </row>
    <row r="52" spans="1:40" x14ac:dyDescent="0.25">
      <c r="A52" t="str">
        <f>"20190312160304995"</f>
        <v>20190312160304995</v>
      </c>
      <c r="B52" t="str">
        <f>"1552377784985082"</f>
        <v>1552377784985082</v>
      </c>
      <c r="C52" t="s">
        <v>40</v>
      </c>
      <c r="D52">
        <v>5.3601850000000004</v>
      </c>
      <c r="E52">
        <v>0.4999633</v>
      </c>
      <c r="F52" t="s">
        <v>43</v>
      </c>
      <c r="G52">
        <v>-433.90249999999997</v>
      </c>
      <c r="H52">
        <v>-0.05</v>
      </c>
      <c r="I52">
        <v>367.27229999999997</v>
      </c>
      <c r="J52">
        <v>-475.59910000000002</v>
      </c>
      <c r="K52">
        <v>1.109677</v>
      </c>
      <c r="L52">
        <v>367.2251</v>
      </c>
      <c r="M52">
        <v>0.9999709</v>
      </c>
      <c r="N52">
        <v>0</v>
      </c>
      <c r="O52">
        <v>2.4334019999999999E-3</v>
      </c>
      <c r="P52">
        <v>0.99949529999999998</v>
      </c>
      <c r="Q52">
        <v>3.1622320000000002E-2</v>
      </c>
      <c r="R52">
        <v>3.0376610000000001E-3</v>
      </c>
      <c r="S52">
        <v>3.004089</v>
      </c>
      <c r="T52">
        <v>-8.3486199999999997E-2</v>
      </c>
      <c r="U52">
        <v>3.4179689999999999E-3</v>
      </c>
      <c r="V52">
        <v>-6.0638089999999999E-4</v>
      </c>
      <c r="W52">
        <v>3.8847510000000002E-2</v>
      </c>
      <c r="X52">
        <v>0.99924500000000005</v>
      </c>
      <c r="Y52">
        <v>1.294257E-3</v>
      </c>
      <c r="Z52" s="1">
        <v>-8.5595689999999895E-5</v>
      </c>
      <c r="AA52">
        <v>0.99999919999999998</v>
      </c>
      <c r="AB52">
        <v>4</v>
      </c>
      <c r="AC52">
        <v>41.696599999999997</v>
      </c>
      <c r="AD52">
        <v>-1.1596770000000001</v>
      </c>
      <c r="AE52">
        <v>4.7199999999975199E-2</v>
      </c>
      <c r="AF52">
        <v>5.4225437331322401E-2</v>
      </c>
      <c r="AG52">
        <v>-1.1596770000000001</v>
      </c>
      <c r="AH52">
        <v>41.664363130972802</v>
      </c>
      <c r="AI52">
        <v>91.594345522212805</v>
      </c>
      <c r="AJ52">
        <v>89.925430590709794</v>
      </c>
      <c r="AK52">
        <v>41.6805343805948</v>
      </c>
      <c r="AL52">
        <v>87.773641490068997</v>
      </c>
      <c r="AM52">
        <v>90.034769312913795</v>
      </c>
      <c r="AN52">
        <v>1.0000000333779899</v>
      </c>
    </row>
    <row r="53" spans="1:40" x14ac:dyDescent="0.25">
      <c r="A53" t="str">
        <f>"20190312160305017"</f>
        <v>20190312160305017</v>
      </c>
      <c r="B53" t="str">
        <f>"1552377785004601"</f>
        <v>1552377785004601</v>
      </c>
      <c r="C53" t="s">
        <v>40</v>
      </c>
      <c r="D53">
        <v>5.3082200000000004</v>
      </c>
      <c r="E53">
        <v>0.50008799999999998</v>
      </c>
      <c r="F53" t="s">
        <v>43</v>
      </c>
      <c r="G53">
        <v>-433.6816</v>
      </c>
      <c r="H53">
        <v>-0.05</v>
      </c>
      <c r="I53">
        <v>367.20800000000003</v>
      </c>
      <c r="J53">
        <v>-475.55329999999998</v>
      </c>
      <c r="K53">
        <v>1.109594</v>
      </c>
      <c r="L53">
        <v>367.2253</v>
      </c>
      <c r="M53">
        <v>0.99997349999999996</v>
      </c>
      <c r="N53">
        <v>0</v>
      </c>
      <c r="O53">
        <v>2.548556E-3</v>
      </c>
      <c r="P53">
        <v>0.99949679999999996</v>
      </c>
      <c r="Q53">
        <v>3.1575140000000002E-2</v>
      </c>
      <c r="R53">
        <v>2.9825810000000002E-3</v>
      </c>
      <c r="S53">
        <v>3.0041199999999999</v>
      </c>
      <c r="T53">
        <v>-8.3111050000000006E-2</v>
      </c>
      <c r="U53">
        <v>-1.2207030000000001E-3</v>
      </c>
      <c r="V53">
        <v>-4.3628649999999998E-4</v>
      </c>
      <c r="W53">
        <v>3.8380560000000001E-2</v>
      </c>
      <c r="X53">
        <v>0.99926309999999996</v>
      </c>
      <c r="Y53">
        <v>2.9528520000000002E-3</v>
      </c>
      <c r="Z53">
        <v>-1.113342E-4</v>
      </c>
      <c r="AA53">
        <v>0.99999559999999998</v>
      </c>
      <c r="AB53">
        <v>5</v>
      </c>
      <c r="AC53">
        <v>41.871699999999898</v>
      </c>
      <c r="AD53">
        <v>-1.159594</v>
      </c>
      <c r="AE53">
        <v>-1.7299999999977399E-2</v>
      </c>
      <c r="AF53">
        <v>0.123919756404436</v>
      </c>
      <c r="AG53">
        <v>-1.159594</v>
      </c>
      <c r="AH53">
        <v>41.839430903229399</v>
      </c>
      <c r="AI53">
        <v>91.587558570081796</v>
      </c>
      <c r="AJ53">
        <v>89.830302226250595</v>
      </c>
      <c r="AK53">
        <v>41.855680530329103</v>
      </c>
      <c r="AL53">
        <v>87.800415649258994</v>
      </c>
      <c r="AM53">
        <v>90.025015807668794</v>
      </c>
      <c r="AN53">
        <v>1.00000000037671</v>
      </c>
    </row>
    <row r="54" spans="1:40" x14ac:dyDescent="0.25">
      <c r="A54" t="str">
        <f>"20190312160305029"</f>
        <v>20190312160305029</v>
      </c>
      <c r="B54" t="str">
        <f>"1552377785025098"</f>
        <v>1552377785025098</v>
      </c>
      <c r="C54" t="s">
        <v>40</v>
      </c>
      <c r="D54">
        <v>5.2846019999999996</v>
      </c>
      <c r="E54">
        <v>0.50039429999999996</v>
      </c>
      <c r="F54" t="s">
        <v>43</v>
      </c>
      <c r="G54">
        <v>-433.9615</v>
      </c>
      <c r="H54">
        <v>-0.05</v>
      </c>
      <c r="I54">
        <v>367.18770000000001</v>
      </c>
      <c r="J54">
        <v>-475.5299</v>
      </c>
      <c r="K54">
        <v>1.1097349999999999</v>
      </c>
      <c r="L54">
        <v>367.22539999999998</v>
      </c>
      <c r="M54">
        <v>0.99997069999999999</v>
      </c>
      <c r="N54">
        <v>0</v>
      </c>
      <c r="O54">
        <v>2.6018410000000001E-3</v>
      </c>
      <c r="P54">
        <v>0.99952229999999997</v>
      </c>
      <c r="Q54">
        <v>3.0743550000000001E-2</v>
      </c>
      <c r="R54">
        <v>3.1977889999999999E-3</v>
      </c>
      <c r="S54">
        <v>3.0041500000000001</v>
      </c>
      <c r="T54">
        <v>-8.3756919999999999E-2</v>
      </c>
      <c r="U54">
        <v>-2.7160639999999998E-3</v>
      </c>
      <c r="V54">
        <v>-5.9782499999999996E-4</v>
      </c>
      <c r="W54">
        <v>3.7949330000000003E-2</v>
      </c>
      <c r="X54">
        <v>0.99927949999999999</v>
      </c>
      <c r="Y54">
        <v>3.5036360000000001E-3</v>
      </c>
      <c r="Z54">
        <v>-1.2136E-4</v>
      </c>
      <c r="AA54">
        <v>0.99999389999999999</v>
      </c>
      <c r="AB54">
        <v>5</v>
      </c>
      <c r="AC54">
        <v>41.568399999999997</v>
      </c>
      <c r="AD54">
        <v>-1.159735</v>
      </c>
      <c r="AE54">
        <v>-3.7699999999972499E-2</v>
      </c>
      <c r="AF54">
        <v>0.14574359910534801</v>
      </c>
      <c r="AG54">
        <v>-1.159735</v>
      </c>
      <c r="AH54">
        <v>41.535830623418597</v>
      </c>
      <c r="AI54">
        <v>91.599348119399593</v>
      </c>
      <c r="AJ54">
        <v>89.798957701725996</v>
      </c>
      <c r="AK54">
        <v>41.552273728933599</v>
      </c>
      <c r="AL54">
        <v>87.8251413520738</v>
      </c>
      <c r="AM54">
        <v>90.034277542270104</v>
      </c>
      <c r="AN54">
        <v>1.00000001408121</v>
      </c>
    </row>
    <row r="55" spans="1:40" x14ac:dyDescent="0.25">
      <c r="A55" t="str">
        <f>"20190312160305040"</f>
        <v>20190312160305040</v>
      </c>
      <c r="B55" t="str">
        <f>"1552377785034857"</f>
        <v>1552377785034857</v>
      </c>
      <c r="C55" t="s">
        <v>40</v>
      </c>
      <c r="D55">
        <v>5.2517740000000002</v>
      </c>
      <c r="E55">
        <v>0.50044129999999998</v>
      </c>
      <c r="F55" t="s">
        <v>43</v>
      </c>
      <c r="G55">
        <v>-435.78219999999999</v>
      </c>
      <c r="H55">
        <v>-0.05</v>
      </c>
      <c r="I55">
        <v>367.16489999999999</v>
      </c>
      <c r="J55">
        <v>-475.50639999999999</v>
      </c>
      <c r="K55">
        <v>1.110034</v>
      </c>
      <c r="L55">
        <v>367.22559999999999</v>
      </c>
      <c r="M55">
        <v>0.99996249999999998</v>
      </c>
      <c r="N55">
        <v>0</v>
      </c>
      <c r="O55">
        <v>2.648549E-3</v>
      </c>
      <c r="P55">
        <v>0.99955780000000005</v>
      </c>
      <c r="Q55">
        <v>2.9564770000000001E-2</v>
      </c>
      <c r="R55">
        <v>3.2497559999999999E-3</v>
      </c>
      <c r="S55">
        <v>3.004181</v>
      </c>
      <c r="T55">
        <v>-8.7654109999999993E-2</v>
      </c>
      <c r="U55">
        <v>-4.5776369999999999E-3</v>
      </c>
      <c r="V55">
        <v>-6.0259279999999896E-4</v>
      </c>
      <c r="W55">
        <v>3.7819249999999999E-2</v>
      </c>
      <c r="X55">
        <v>0.99928439999999996</v>
      </c>
      <c r="Y55">
        <v>4.1694840000000002E-3</v>
      </c>
      <c r="Z55">
        <v>-1.3807819999999999E-4</v>
      </c>
      <c r="AA55">
        <v>0.99999130000000003</v>
      </c>
      <c r="AB55">
        <v>5</v>
      </c>
      <c r="AC55">
        <v>39.724200000000003</v>
      </c>
      <c r="AD55">
        <v>-1.160034</v>
      </c>
      <c r="AE55">
        <v>-6.0699999999996999E-2</v>
      </c>
      <c r="AF55">
        <v>0.16577348772349701</v>
      </c>
      <c r="AG55">
        <v>-1.160034</v>
      </c>
      <c r="AH55">
        <v>39.690053543144003</v>
      </c>
      <c r="AI55">
        <v>91.674111047953204</v>
      </c>
      <c r="AJ55">
        <v>89.760694049935395</v>
      </c>
      <c r="AK55">
        <v>39.707348312220802</v>
      </c>
      <c r="AL55">
        <v>87.832599678991997</v>
      </c>
      <c r="AM55">
        <v>90.034550744532694</v>
      </c>
      <c r="AN55">
        <v>0.99999998543600199</v>
      </c>
    </row>
    <row r="56" spans="1:40" x14ac:dyDescent="0.25">
      <c r="A56" t="str">
        <f>"20190312160305054"</f>
        <v>20190312160305054</v>
      </c>
      <c r="B56" t="str">
        <f>"1552377785044618"</f>
        <v>1552377785044618</v>
      </c>
      <c r="C56" t="s">
        <v>40</v>
      </c>
      <c r="D56">
        <v>5.2994209999999997</v>
      </c>
      <c r="E56">
        <v>0.50037929999999997</v>
      </c>
      <c r="F56" t="s">
        <v>43</v>
      </c>
      <c r="G56">
        <v>-437.74740000000003</v>
      </c>
      <c r="H56">
        <v>-0.05</v>
      </c>
      <c r="I56">
        <v>367.16759999999999</v>
      </c>
      <c r="J56">
        <v>-475.48399999999998</v>
      </c>
      <c r="K56">
        <v>1.1103379999999901</v>
      </c>
      <c r="L56">
        <v>367.22570000000002</v>
      </c>
      <c r="M56">
        <v>0.99995199999999995</v>
      </c>
      <c r="N56">
        <v>0</v>
      </c>
      <c r="O56">
        <v>2.6900489999999999E-3</v>
      </c>
      <c r="P56">
        <v>0.99959149999999997</v>
      </c>
      <c r="Q56">
        <v>2.8370389999999999E-2</v>
      </c>
      <c r="R56">
        <v>3.4829370000000002E-3</v>
      </c>
      <c r="S56">
        <v>3.004089</v>
      </c>
      <c r="T56">
        <v>-9.2291590000000007E-2</v>
      </c>
      <c r="U56">
        <v>-4.6081539999999997E-3</v>
      </c>
      <c r="V56">
        <v>-7.9319199999999996E-4</v>
      </c>
      <c r="W56">
        <v>3.7794000000000001E-2</v>
      </c>
      <c r="X56">
        <v>0.99928519999999998</v>
      </c>
      <c r="Y56">
        <v>4.2208590000000004E-3</v>
      </c>
      <c r="Z56">
        <v>-1.4744899999999999E-4</v>
      </c>
      <c r="AA56">
        <v>0.99999110000000002</v>
      </c>
      <c r="AB56">
        <v>5</v>
      </c>
      <c r="AC56">
        <v>37.736600000000003</v>
      </c>
      <c r="AD56">
        <v>-1.1603380000000001</v>
      </c>
      <c r="AE56">
        <v>-5.8100000000024403E-2</v>
      </c>
      <c r="AF56">
        <v>0.15946682911919399</v>
      </c>
      <c r="AG56">
        <v>-1.1603380000000001</v>
      </c>
      <c r="AH56">
        <v>37.7006627394642</v>
      </c>
      <c r="AI56">
        <v>91.762857493515995</v>
      </c>
      <c r="AJ56">
        <v>89.757650897150498</v>
      </c>
      <c r="AK56">
        <v>37.718851850747797</v>
      </c>
      <c r="AL56">
        <v>87.834047384436701</v>
      </c>
      <c r="AM56">
        <v>90.045479052825897</v>
      </c>
      <c r="AN56">
        <v>0.99999996326429297</v>
      </c>
    </row>
    <row r="57" spans="1:40" x14ac:dyDescent="0.25">
      <c r="A57" t="str">
        <f>"20190312160305073"</f>
        <v>20190312160305073</v>
      </c>
      <c r="B57" t="str">
        <f>"1552377785065113"</f>
        <v>1552377785065113</v>
      </c>
      <c r="C57" t="s">
        <v>40</v>
      </c>
      <c r="D57">
        <v>5.2636890000000003</v>
      </c>
      <c r="E57">
        <v>0.50047770000000003</v>
      </c>
      <c r="F57" t="s">
        <v>41</v>
      </c>
      <c r="G57">
        <v>-440.61369999999999</v>
      </c>
      <c r="H57" s="1">
        <v>-4.8484059999999998E-6</v>
      </c>
      <c r="I57">
        <v>367.18669999999997</v>
      </c>
      <c r="J57">
        <v>-475.44970000000001</v>
      </c>
      <c r="K57">
        <v>1.1106130000000001</v>
      </c>
      <c r="L57">
        <v>367.22579999999999</v>
      </c>
      <c r="M57">
        <v>0.99993860000000001</v>
      </c>
      <c r="N57">
        <v>0</v>
      </c>
      <c r="O57">
        <v>2.7497810000000002E-3</v>
      </c>
      <c r="P57">
        <v>0.9996427</v>
      </c>
      <c r="Q57">
        <v>2.6467350000000001E-2</v>
      </c>
      <c r="R57">
        <v>3.754439E-3</v>
      </c>
      <c r="S57">
        <v>3.0039669999999998</v>
      </c>
      <c r="T57">
        <v>-9.5652580000000001E-2</v>
      </c>
      <c r="U57">
        <v>-3.3569339999999998E-3</v>
      </c>
      <c r="V57">
        <v>-1.0038250000000001E-3</v>
      </c>
      <c r="W57">
        <v>3.7205519999999999E-2</v>
      </c>
      <c r="X57">
        <v>0.99930719999999995</v>
      </c>
      <c r="Y57">
        <v>3.8640800000000002E-3</v>
      </c>
      <c r="Z57">
        <v>-1.4904609999999999E-4</v>
      </c>
      <c r="AA57">
        <v>0.99999249999999995</v>
      </c>
      <c r="AB57">
        <v>4</v>
      </c>
      <c r="AC57">
        <v>34.835999999999999</v>
      </c>
      <c r="AD57">
        <v>-1.1106178484060001</v>
      </c>
      <c r="AE57">
        <v>-3.9100000000019002E-2</v>
      </c>
      <c r="AF57">
        <v>0.134759770602909</v>
      </c>
      <c r="AG57">
        <v>-1.1106178484060001</v>
      </c>
      <c r="AH57">
        <v>34.8003890306003</v>
      </c>
      <c r="AI57">
        <v>91.827900493955497</v>
      </c>
      <c r="AJ57">
        <v>89.778131000093893</v>
      </c>
      <c r="AK57">
        <v>34.8183674069031</v>
      </c>
      <c r="AL57">
        <v>87.867788764719506</v>
      </c>
      <c r="AM57">
        <v>90.057554790483195</v>
      </c>
      <c r="AN57">
        <v>1.00000006917746</v>
      </c>
    </row>
    <row r="58" spans="1:40" x14ac:dyDescent="0.25">
      <c r="A58" t="str">
        <f>"20190312160305085"</f>
        <v>20190312160305085</v>
      </c>
      <c r="B58" t="str">
        <f>"1552377785074874"</f>
        <v>1552377785074874</v>
      </c>
      <c r="C58" t="s">
        <v>40</v>
      </c>
      <c r="D58">
        <v>5.3277650000000003</v>
      </c>
      <c r="E58">
        <v>0.50053919999999996</v>
      </c>
      <c r="F58" t="s">
        <v>41</v>
      </c>
      <c r="G58">
        <v>-443.08440000000002</v>
      </c>
      <c r="H58" s="1">
        <v>-3.6797469999999999E-6</v>
      </c>
      <c r="I58">
        <v>367.19099999999997</v>
      </c>
      <c r="J58">
        <v>-475.42570000000001</v>
      </c>
      <c r="K58">
        <v>1.110533</v>
      </c>
      <c r="L58">
        <v>367.226</v>
      </c>
      <c r="M58">
        <v>0.99993849999999995</v>
      </c>
      <c r="N58">
        <v>0</v>
      </c>
      <c r="O58">
        <v>2.7939240000000001E-3</v>
      </c>
      <c r="P58">
        <v>0.99964719999999996</v>
      </c>
      <c r="Q58">
        <v>2.6311319999999999E-2</v>
      </c>
      <c r="R58">
        <v>3.6791300000000001E-3</v>
      </c>
      <c r="S58">
        <v>3.0038149999999999</v>
      </c>
      <c r="T58">
        <v>-0.103076</v>
      </c>
      <c r="U58">
        <v>-3.2348630000000001E-3</v>
      </c>
      <c r="V58">
        <v>-8.8470420000000001E-4</v>
      </c>
      <c r="W58">
        <v>3.7046370000000002E-2</v>
      </c>
      <c r="X58">
        <v>0.99931320000000001</v>
      </c>
      <c r="Y58">
        <v>3.867077E-3</v>
      </c>
      <c r="Z58">
        <v>-1.6218069999999999E-4</v>
      </c>
      <c r="AA58">
        <v>0.99999249999999995</v>
      </c>
      <c r="AB58">
        <v>4</v>
      </c>
      <c r="AC58">
        <v>32.341299999999897</v>
      </c>
      <c r="AD58">
        <v>-1.110536679747</v>
      </c>
      <c r="AE58">
        <v>-3.5000000000024997E-2</v>
      </c>
      <c r="AF58">
        <v>0.12521655958283501</v>
      </c>
      <c r="AG58">
        <v>-1.110536679747</v>
      </c>
      <c r="AH58">
        <v>32.302987535840998</v>
      </c>
      <c r="AI58">
        <v>91.968967645851606</v>
      </c>
      <c r="AJ58">
        <v>89.777904614922605</v>
      </c>
      <c r="AK58">
        <v>32.322313881350702</v>
      </c>
      <c r="AL58">
        <v>87.876913624615796</v>
      </c>
      <c r="AM58">
        <v>90.050724641217897</v>
      </c>
      <c r="AN58">
        <v>1.0000000439629599</v>
      </c>
    </row>
    <row r="59" spans="1:40" x14ac:dyDescent="0.25">
      <c r="A59" t="str">
        <f>"20190312160305098"</f>
        <v>20190312160305098</v>
      </c>
      <c r="B59" t="str">
        <f>"1552377785084635"</f>
        <v>1552377785084635</v>
      </c>
      <c r="C59" t="s">
        <v>40</v>
      </c>
      <c r="D59">
        <v>5.276052</v>
      </c>
      <c r="E59">
        <v>0.5005773</v>
      </c>
      <c r="F59" t="s">
        <v>41</v>
      </c>
      <c r="G59">
        <v>-443.2287</v>
      </c>
      <c r="H59" s="1">
        <v>-3.6130540000000002E-6</v>
      </c>
      <c r="I59">
        <v>367.1825</v>
      </c>
      <c r="J59">
        <v>-475.40109999999999</v>
      </c>
      <c r="K59">
        <v>1.110293</v>
      </c>
      <c r="L59">
        <v>367.22609999999997</v>
      </c>
      <c r="M59">
        <v>0.99994519999999998</v>
      </c>
      <c r="N59">
        <v>0</v>
      </c>
      <c r="O59">
        <v>2.8478140000000002E-3</v>
      </c>
      <c r="P59">
        <v>0.99963769999999996</v>
      </c>
      <c r="Q59">
        <v>2.6640440000000001E-2</v>
      </c>
      <c r="R59">
        <v>3.8829089999999999E-3</v>
      </c>
      <c r="S59">
        <v>3.0038149999999999</v>
      </c>
      <c r="T59">
        <v>-0.103607199999999</v>
      </c>
      <c r="U59">
        <v>-4.0588380000000004E-3</v>
      </c>
      <c r="V59">
        <v>-1.035294E-3</v>
      </c>
      <c r="W59">
        <v>3.6714719999999999E-2</v>
      </c>
      <c r="X59">
        <v>0.99932529999999997</v>
      </c>
      <c r="Y59">
        <v>4.19499E-3</v>
      </c>
      <c r="Z59">
        <v>-1.705271E-4</v>
      </c>
      <c r="AA59">
        <v>0.99999119999999997</v>
      </c>
      <c r="AB59">
        <v>4</v>
      </c>
      <c r="AC59">
        <v>32.172399999999897</v>
      </c>
      <c r="AD59">
        <v>-1.110296613054</v>
      </c>
      <c r="AE59">
        <v>-4.3599999999969399E-2</v>
      </c>
      <c r="AF59">
        <v>0.13506462240998299</v>
      </c>
      <c r="AG59">
        <v>-1.110296613054</v>
      </c>
      <c r="AH59">
        <v>32.1338740393591</v>
      </c>
      <c r="AI59">
        <v>91.978891523660394</v>
      </c>
      <c r="AJ59">
        <v>89.759176648155702</v>
      </c>
      <c r="AK59">
        <v>32.153333603198597</v>
      </c>
      <c r="AL59">
        <v>87.895928715764398</v>
      </c>
      <c r="AM59">
        <v>90.059358004379106</v>
      </c>
      <c r="AN59">
        <v>1.00000004885921</v>
      </c>
    </row>
    <row r="60" spans="1:40" x14ac:dyDescent="0.25">
      <c r="A60" t="str">
        <f>"20190312160305117"</f>
        <v>20190312160305117</v>
      </c>
      <c r="B60" t="str">
        <f>"1552377785114889"</f>
        <v>1552377785114889</v>
      </c>
      <c r="C60" t="s">
        <v>40</v>
      </c>
      <c r="D60">
        <v>5.2796969999999996</v>
      </c>
      <c r="E60">
        <v>0.50083239999999996</v>
      </c>
      <c r="F60" t="s">
        <v>41</v>
      </c>
      <c r="G60">
        <v>-443.01409999999998</v>
      </c>
      <c r="H60" s="1">
        <v>-3.7142209999999999E-6</v>
      </c>
      <c r="I60">
        <v>367.18400000000003</v>
      </c>
      <c r="J60">
        <v>-475.35820000000001</v>
      </c>
      <c r="K60">
        <v>1.1099019999999999</v>
      </c>
      <c r="L60">
        <v>367.22629999999998</v>
      </c>
      <c r="M60">
        <v>0.99995679999999998</v>
      </c>
      <c r="N60">
        <v>0</v>
      </c>
      <c r="O60">
        <v>2.9508149999999999E-3</v>
      </c>
      <c r="P60">
        <v>0.99960700000000002</v>
      </c>
      <c r="Q60">
        <v>2.7814579999999998E-2</v>
      </c>
      <c r="R60">
        <v>3.4686130000000002E-3</v>
      </c>
      <c r="S60">
        <v>3.003876</v>
      </c>
      <c r="T60">
        <v>-0.1029793</v>
      </c>
      <c r="U60">
        <v>-3.90625E-3</v>
      </c>
      <c r="V60">
        <v>-5.1922899999999996E-4</v>
      </c>
      <c r="W60">
        <v>3.6631789999999997E-2</v>
      </c>
      <c r="X60">
        <v>0.99932869999999996</v>
      </c>
      <c r="Y60">
        <v>4.2470959999999997E-3</v>
      </c>
      <c r="Z60">
        <v>-1.739128E-4</v>
      </c>
      <c r="AA60">
        <v>0.99999090000000002</v>
      </c>
      <c r="AB60">
        <v>4</v>
      </c>
      <c r="AC60">
        <v>32.344099999999997</v>
      </c>
      <c r="AD60">
        <v>-1.10990571422099</v>
      </c>
      <c r="AE60">
        <v>-4.22999999999547E-2</v>
      </c>
      <c r="AF60">
        <v>0.13758296740155501</v>
      </c>
      <c r="AG60">
        <v>-1.10990571422099</v>
      </c>
      <c r="AH60">
        <v>32.305792494125498</v>
      </c>
      <c r="AI60">
        <v>91.967676048360403</v>
      </c>
      <c r="AJ60">
        <v>89.755991879503298</v>
      </c>
      <c r="AK60">
        <v>32.325145760551102</v>
      </c>
      <c r="AL60">
        <v>87.900683359072104</v>
      </c>
      <c r="AM60">
        <v>90.029769611964198</v>
      </c>
      <c r="AN60">
        <v>1.0000000041405199</v>
      </c>
    </row>
    <row r="61" spans="1:40" x14ac:dyDescent="0.25">
      <c r="A61" t="str">
        <f>"20190312160305130"</f>
        <v>20190312160305130</v>
      </c>
      <c r="B61" t="str">
        <f>"1552377785124650"</f>
        <v>1552377785124650</v>
      </c>
      <c r="C61" t="s">
        <v>40</v>
      </c>
      <c r="D61">
        <v>5.2580479999999996</v>
      </c>
      <c r="E61">
        <v>0.50085379999999902</v>
      </c>
      <c r="F61" t="s">
        <v>41</v>
      </c>
      <c r="G61">
        <v>-441.71249999999998</v>
      </c>
      <c r="H61" s="1">
        <v>-4.3358930000000003E-6</v>
      </c>
      <c r="I61">
        <v>367.14800000000002</v>
      </c>
      <c r="J61">
        <v>-475.32819999999998</v>
      </c>
      <c r="K61">
        <v>1.109683</v>
      </c>
      <c r="L61">
        <v>367.22640000000001</v>
      </c>
      <c r="M61">
        <v>0.99996339999999995</v>
      </c>
      <c r="N61">
        <v>0</v>
      </c>
      <c r="O61">
        <v>3.0282289999999999E-3</v>
      </c>
      <c r="P61">
        <v>0.9995946</v>
      </c>
      <c r="Q61">
        <v>2.8294139999999999E-2</v>
      </c>
      <c r="R61">
        <v>3.2030489999999999E-3</v>
      </c>
      <c r="S61">
        <v>3.0039370000000001</v>
      </c>
      <c r="T61">
        <v>-9.909403E-2</v>
      </c>
      <c r="U61">
        <v>-6.9885249999999998E-3</v>
      </c>
      <c r="V61">
        <v>-1.766153E-4</v>
      </c>
      <c r="W61">
        <v>3.6297759999999998E-2</v>
      </c>
      <c r="X61">
        <v>0.99934100000000003</v>
      </c>
      <c r="Y61">
        <v>5.3501989999999999E-3</v>
      </c>
      <c r="Z61">
        <v>-1.880935E-4</v>
      </c>
      <c r="AA61">
        <v>0.99998569999999998</v>
      </c>
      <c r="AB61">
        <v>5</v>
      </c>
      <c r="AC61">
        <v>33.615699999999997</v>
      </c>
      <c r="AD61">
        <v>-1.1096873358929999</v>
      </c>
      <c r="AE61">
        <v>-7.8399999999987799E-2</v>
      </c>
      <c r="AF61">
        <v>0.18000278470089801</v>
      </c>
      <c r="AG61">
        <v>-1.1096873358929999</v>
      </c>
      <c r="AH61">
        <v>33.578717067503597</v>
      </c>
      <c r="AI61">
        <v>91.892757173684501</v>
      </c>
      <c r="AJ61">
        <v>89.692861968031096</v>
      </c>
      <c r="AK61">
        <v>33.597530368844097</v>
      </c>
      <c r="AL61">
        <v>87.919834589009497</v>
      </c>
      <c r="AM61">
        <v>90.010125984205601</v>
      </c>
      <c r="AN61">
        <v>0.99999999642749005</v>
      </c>
    </row>
    <row r="62" spans="1:40" x14ac:dyDescent="0.25">
      <c r="A62" t="str">
        <f>"20190312160305142"</f>
        <v>20190312160305142</v>
      </c>
      <c r="B62" t="str">
        <f>"1552377785135386"</f>
        <v>1552377785135386</v>
      </c>
      <c r="C62" t="s">
        <v>40</v>
      </c>
      <c r="D62">
        <v>5.2576000000000001</v>
      </c>
      <c r="E62">
        <v>0.5008745</v>
      </c>
      <c r="F62" t="s">
        <v>41</v>
      </c>
      <c r="G62">
        <v>-441.49599999999998</v>
      </c>
      <c r="H62" s="1">
        <v>-4.4401510000000004E-6</v>
      </c>
      <c r="I62">
        <v>367.13709999999998</v>
      </c>
      <c r="J62">
        <v>-475.3</v>
      </c>
      <c r="K62">
        <v>1.1095489999999999</v>
      </c>
      <c r="L62">
        <v>367.22660000000002</v>
      </c>
      <c r="M62">
        <v>0.99996790000000002</v>
      </c>
      <c r="N62">
        <v>0</v>
      </c>
      <c r="O62">
        <v>3.1060469999999998E-3</v>
      </c>
      <c r="P62">
        <v>0.99957309999999999</v>
      </c>
      <c r="Q62">
        <v>2.90826E-2</v>
      </c>
      <c r="R62">
        <v>2.8005539999999998E-3</v>
      </c>
      <c r="S62">
        <v>3.0040279999999999</v>
      </c>
      <c r="T62">
        <v>-9.8531369999999993E-2</v>
      </c>
      <c r="U62">
        <v>-7.9345700000000002E-3</v>
      </c>
      <c r="V62">
        <v>3.0330150000000002E-4</v>
      </c>
      <c r="W62">
        <v>3.647359E-2</v>
      </c>
      <c r="X62">
        <v>0.99933459999999996</v>
      </c>
      <c r="Y62">
        <v>5.7426519999999896E-3</v>
      </c>
      <c r="Z62">
        <v>-1.9600609999999999E-4</v>
      </c>
      <c r="AA62">
        <v>0.99998350000000003</v>
      </c>
      <c r="AB62">
        <v>5</v>
      </c>
      <c r="AC62">
        <v>33.804000000000002</v>
      </c>
      <c r="AD62">
        <v>-1.1095534401510001</v>
      </c>
      <c r="AE62">
        <v>-8.95000000000436E-2</v>
      </c>
      <c r="AF62">
        <v>0.194289926571276</v>
      </c>
      <c r="AG62">
        <v>-1.1095534401510001</v>
      </c>
      <c r="AH62">
        <v>33.767179824532199</v>
      </c>
      <c r="AI62">
        <v>91.881969806587193</v>
      </c>
      <c r="AJ62">
        <v>89.670334626454803</v>
      </c>
      <c r="AK62">
        <v>33.785962924185199</v>
      </c>
      <c r="AL62">
        <v>87.909753664247305</v>
      </c>
      <c r="AM62">
        <v>89.982610533712702</v>
      </c>
      <c r="AN62">
        <v>1.00000002875822</v>
      </c>
    </row>
    <row r="63" spans="1:40" x14ac:dyDescent="0.25">
      <c r="A63" t="str">
        <f>"20190312160305164"</f>
        <v>20190312160305164</v>
      </c>
      <c r="B63" t="str">
        <f>"1552377785154905"</f>
        <v>1552377785154905</v>
      </c>
      <c r="C63" t="s">
        <v>40</v>
      </c>
      <c r="D63">
        <v>5.3249659999999999</v>
      </c>
      <c r="E63">
        <v>0.5008494</v>
      </c>
      <c r="F63" t="s">
        <v>41</v>
      </c>
      <c r="G63">
        <v>-440.87950000000001</v>
      </c>
      <c r="H63" s="1">
        <v>-4.7352309999999998E-6</v>
      </c>
      <c r="I63">
        <v>367.11649999999997</v>
      </c>
      <c r="J63">
        <v>-475.25470000000001</v>
      </c>
      <c r="K63">
        <v>1.109739</v>
      </c>
      <c r="L63">
        <v>367.22680000000003</v>
      </c>
      <c r="M63">
        <v>0.99996439999999998</v>
      </c>
      <c r="N63">
        <v>0</v>
      </c>
      <c r="O63">
        <v>3.2140789999999999E-3</v>
      </c>
      <c r="P63">
        <v>0.9996022</v>
      </c>
      <c r="Q63">
        <v>2.8086360000000001E-2</v>
      </c>
      <c r="R63">
        <v>2.6344789999999999E-3</v>
      </c>
      <c r="S63">
        <v>3.0041500000000001</v>
      </c>
      <c r="T63">
        <v>-9.6839549999999996E-2</v>
      </c>
      <c r="U63">
        <v>-9.6130369999999996E-3</v>
      </c>
      <c r="V63">
        <v>5.7721209999999897E-4</v>
      </c>
      <c r="W63">
        <v>3.5892710000000001E-2</v>
      </c>
      <c r="X63">
        <v>0.99935549999999995</v>
      </c>
      <c r="Y63">
        <v>6.409049E-3</v>
      </c>
      <c r="Z63">
        <v>-2.0685420000000001E-4</v>
      </c>
      <c r="AA63">
        <v>0.99997939999999996</v>
      </c>
      <c r="AB63">
        <v>5</v>
      </c>
      <c r="AC63">
        <v>34.3752</v>
      </c>
      <c r="AD63">
        <v>-1.109743735231</v>
      </c>
      <c r="AE63">
        <v>-0.110300000000052</v>
      </c>
      <c r="AF63">
        <v>0.22055753660897401</v>
      </c>
      <c r="AG63">
        <v>-1.109743735231</v>
      </c>
      <c r="AH63">
        <v>34.338879980913099</v>
      </c>
      <c r="AI63">
        <v>91.850968937150498</v>
      </c>
      <c r="AJ63">
        <v>89.631996086628106</v>
      </c>
      <c r="AK63">
        <v>34.357515264180499</v>
      </c>
      <c r="AL63">
        <v>87.943057421319395</v>
      </c>
      <c r="AM63">
        <v>89.966906857933594</v>
      </c>
      <c r="AN63">
        <v>1.0000000175926</v>
      </c>
    </row>
    <row r="64" spans="1:40" x14ac:dyDescent="0.25">
      <c r="A64" t="str">
        <f>"20190312160305187"</f>
        <v>20190312160305187</v>
      </c>
      <c r="B64" t="str">
        <f>"1552377785174425"</f>
        <v>1552377785174425</v>
      </c>
      <c r="C64" t="s">
        <v>40</v>
      </c>
      <c r="D64">
        <v>5.2917529999999999</v>
      </c>
      <c r="E64">
        <v>0.50072470000000002</v>
      </c>
      <c r="F64" t="s">
        <v>41</v>
      </c>
      <c r="G64">
        <v>-442.09559999999999</v>
      </c>
      <c r="H64" s="1">
        <v>-4.1605229999999998E-6</v>
      </c>
      <c r="I64">
        <v>367.1157</v>
      </c>
      <c r="J64">
        <v>-475.21080000000001</v>
      </c>
      <c r="K64">
        <v>1.1102449999999999</v>
      </c>
      <c r="L64">
        <v>367.22710000000001</v>
      </c>
      <c r="M64">
        <v>0.99994919999999998</v>
      </c>
      <c r="N64">
        <v>0</v>
      </c>
      <c r="O64">
        <v>3.300393E-3</v>
      </c>
      <c r="P64">
        <v>0.99966100000000002</v>
      </c>
      <c r="Q64">
        <v>2.5915899999999999E-2</v>
      </c>
      <c r="R64">
        <v>2.4504240000000001E-3</v>
      </c>
      <c r="S64">
        <v>3.0041199999999999</v>
      </c>
      <c r="T64">
        <v>-0.1005394</v>
      </c>
      <c r="U64">
        <v>-1.00708E-2</v>
      </c>
      <c r="V64">
        <v>8.4909470000000002E-4</v>
      </c>
      <c r="W64">
        <v>3.5437139999999999E-2</v>
      </c>
      <c r="X64">
        <v>0.99937149999999997</v>
      </c>
      <c r="Y64">
        <v>6.647249E-3</v>
      </c>
      <c r="Z64">
        <v>-2.2162970000000001E-4</v>
      </c>
      <c r="AA64">
        <v>0.99997789999999998</v>
      </c>
      <c r="AB64">
        <v>5</v>
      </c>
      <c r="AC64">
        <v>33.115200000000002</v>
      </c>
      <c r="AD64">
        <v>-1.110249160523</v>
      </c>
      <c r="AE64">
        <v>-0.111400000000003</v>
      </c>
      <c r="AF64">
        <v>0.22044973053804301</v>
      </c>
      <c r="AG64">
        <v>-1.110249160523</v>
      </c>
      <c r="AH64">
        <v>33.077471592427699</v>
      </c>
      <c r="AI64">
        <v>91.922375080397401</v>
      </c>
      <c r="AJ64">
        <v>89.618149406793805</v>
      </c>
      <c r="AK64">
        <v>33.096833356531199</v>
      </c>
      <c r="AL64">
        <v>87.969176145713206</v>
      </c>
      <c r="AM64">
        <v>89.951319873529698</v>
      </c>
      <c r="AN64">
        <v>0.99999995343271797</v>
      </c>
    </row>
    <row r="65" spans="1:40" x14ac:dyDescent="0.25">
      <c r="A65" t="str">
        <f>"20190312160305206"</f>
        <v>20190312160305206</v>
      </c>
      <c r="B65" t="str">
        <f>"1552377785194921"</f>
        <v>1552377785194921</v>
      </c>
      <c r="C65" t="s">
        <v>40</v>
      </c>
      <c r="D65">
        <v>5.3789579999999999</v>
      </c>
      <c r="E65">
        <v>0.50072470000000002</v>
      </c>
      <c r="F65" t="s">
        <v>41</v>
      </c>
      <c r="G65">
        <v>-443.34039999999999</v>
      </c>
      <c r="H65" s="1">
        <v>-3.5699930000000001E-6</v>
      </c>
      <c r="I65">
        <v>367.12740000000002</v>
      </c>
      <c r="J65">
        <v>-475.17399999999998</v>
      </c>
      <c r="K65">
        <v>1.1107180000000001</v>
      </c>
      <c r="L65">
        <v>367.22730000000001</v>
      </c>
      <c r="M65">
        <v>0.9999287</v>
      </c>
      <c r="N65">
        <v>0</v>
      </c>
      <c r="O65">
        <v>3.359178E-3</v>
      </c>
      <c r="P65">
        <v>0.99971960000000004</v>
      </c>
      <c r="Q65">
        <v>2.357627E-2</v>
      </c>
      <c r="R65">
        <v>2.2481300000000001E-3</v>
      </c>
      <c r="S65">
        <v>3.0037539999999998</v>
      </c>
      <c r="T65">
        <v>-0.10463989999999999</v>
      </c>
      <c r="U65">
        <v>-9.399414E-3</v>
      </c>
      <c r="V65">
        <v>1.1114320000000001E-3</v>
      </c>
      <c r="W65">
        <v>3.5033990000000001E-2</v>
      </c>
      <c r="X65">
        <v>0.99938550000000004</v>
      </c>
      <c r="Y65">
        <v>6.4826019999999996E-3</v>
      </c>
      <c r="Z65">
        <v>-2.2987419999999999E-4</v>
      </c>
      <c r="AA65">
        <v>0.99997899999999995</v>
      </c>
      <c r="AB65">
        <v>5</v>
      </c>
      <c r="AC65">
        <v>31.833600000000001</v>
      </c>
      <c r="AD65">
        <v>-1.110721569993</v>
      </c>
      <c r="AE65">
        <v>-9.9899999999990996E-2</v>
      </c>
      <c r="AF65">
        <v>0.206589683552064</v>
      </c>
      <c r="AG65">
        <v>-1.110721569993</v>
      </c>
      <c r="AH65">
        <v>31.794378171299801</v>
      </c>
      <c r="AI65">
        <v>92.000745099093194</v>
      </c>
      <c r="AJ65">
        <v>89.6277156194881</v>
      </c>
      <c r="AK65">
        <v>31.81444428248</v>
      </c>
      <c r="AL65">
        <v>87.992289379771094</v>
      </c>
      <c r="AM65">
        <v>89.936280507809499</v>
      </c>
      <c r="AN65">
        <v>0.99999999667332995</v>
      </c>
    </row>
    <row r="66" spans="1:40" x14ac:dyDescent="0.25">
      <c r="A66" t="str">
        <f>"20190312160305219"</f>
        <v>20190312160305219</v>
      </c>
      <c r="B66" t="str">
        <f>"1552377785214442"</f>
        <v>1552377785214442</v>
      </c>
      <c r="C66" t="s">
        <v>40</v>
      </c>
      <c r="D66">
        <v>5.3801649999999999</v>
      </c>
      <c r="E66">
        <v>0.50074940000000001</v>
      </c>
      <c r="F66" t="s">
        <v>41</v>
      </c>
      <c r="G66">
        <v>-445.07619999999997</v>
      </c>
      <c r="H66" s="1">
        <v>-2.7492470000000001E-6</v>
      </c>
      <c r="I66">
        <v>367.12880000000001</v>
      </c>
      <c r="J66">
        <v>-475.14859999999999</v>
      </c>
      <c r="K66">
        <v>1.110652</v>
      </c>
      <c r="L66">
        <v>367.22750000000002</v>
      </c>
      <c r="M66">
        <v>0.9999285</v>
      </c>
      <c r="N66">
        <v>0</v>
      </c>
      <c r="O66">
        <v>3.4032110000000002E-3</v>
      </c>
      <c r="P66">
        <v>0.99972039999999995</v>
      </c>
      <c r="Q66">
        <v>2.354465E-2</v>
      </c>
      <c r="R66">
        <v>2.2379800000000001E-3</v>
      </c>
      <c r="S66">
        <v>3.003479</v>
      </c>
      <c r="T66">
        <v>-0.1108396</v>
      </c>
      <c r="U66">
        <v>-9.8266599999999992E-3</v>
      </c>
      <c r="V66">
        <v>1.165742E-3</v>
      </c>
      <c r="W66">
        <v>3.5016829999999999E-2</v>
      </c>
      <c r="X66">
        <v>0.99938610000000005</v>
      </c>
      <c r="Y66">
        <v>6.6682829999999997E-3</v>
      </c>
      <c r="Z66">
        <v>-2.4855649999999999E-4</v>
      </c>
      <c r="AA66">
        <v>0.99997769999999997</v>
      </c>
      <c r="AB66">
        <v>4</v>
      </c>
      <c r="AC66">
        <v>30.072399999999998</v>
      </c>
      <c r="AD66">
        <v>-1.110654749247</v>
      </c>
      <c r="AE66">
        <v>-9.8700000000008004E-2</v>
      </c>
      <c r="AF66">
        <v>0.20077501711255999</v>
      </c>
      <c r="AG66">
        <v>-1.110654749247</v>
      </c>
      <c r="AH66">
        <v>30.0309274493939</v>
      </c>
      <c r="AI66">
        <v>92.117997180384705</v>
      </c>
      <c r="AJ66">
        <v>89.6169485693284</v>
      </c>
      <c r="AK66">
        <v>30.0521291766537</v>
      </c>
      <c r="AL66">
        <v>87.993273300308701</v>
      </c>
      <c r="AM66">
        <v>89.933166904854701</v>
      </c>
      <c r="AN66">
        <v>1.0000000571054299</v>
      </c>
    </row>
    <row r="67" spans="1:40" x14ac:dyDescent="0.25">
      <c r="A67" t="str">
        <f>"20190312160305232"</f>
        <v>20190312160305232</v>
      </c>
      <c r="B67" t="str">
        <f>"1552377785225178"</f>
        <v>1552377785225178</v>
      </c>
      <c r="C67" t="s">
        <v>40</v>
      </c>
      <c r="D67">
        <v>5.3420550000000002</v>
      </c>
      <c r="E67">
        <v>0.50072499999999998</v>
      </c>
      <c r="F67" t="s">
        <v>41</v>
      </c>
      <c r="G67">
        <v>-445.4579</v>
      </c>
      <c r="H67" s="1">
        <v>-2.5686010000000001E-6</v>
      </c>
      <c r="I67">
        <v>367.13</v>
      </c>
      <c r="J67">
        <v>-475.12</v>
      </c>
      <c r="K67">
        <v>1.110471</v>
      </c>
      <c r="L67">
        <v>367.2276</v>
      </c>
      <c r="M67">
        <v>0.99993279999999995</v>
      </c>
      <c r="N67">
        <v>0</v>
      </c>
      <c r="O67">
        <v>3.4591370000000001E-3</v>
      </c>
      <c r="P67">
        <v>0.9997085</v>
      </c>
      <c r="Q67">
        <v>2.4059379999999998E-2</v>
      </c>
      <c r="R67">
        <v>1.9910750000000001E-3</v>
      </c>
      <c r="S67">
        <v>3.0035099999999999</v>
      </c>
      <c r="T67">
        <v>-0.1123537</v>
      </c>
      <c r="U67">
        <v>-9.8571779999999994E-3</v>
      </c>
      <c r="V67">
        <v>1.4682219999999999E-3</v>
      </c>
      <c r="W67">
        <v>3.5114050000000001E-2</v>
      </c>
      <c r="X67">
        <v>0.99938229999999995</v>
      </c>
      <c r="Y67">
        <v>6.7340500000000001E-3</v>
      </c>
      <c r="Z67">
        <v>-2.552675E-4</v>
      </c>
      <c r="AA67">
        <v>0.99997729999999996</v>
      </c>
      <c r="AB67">
        <v>4</v>
      </c>
      <c r="AC67">
        <v>29.662099999999999</v>
      </c>
      <c r="AD67">
        <v>-1.1104735686010001</v>
      </c>
      <c r="AE67">
        <v>-9.7599999999999895E-2</v>
      </c>
      <c r="AF67">
        <v>0.19993075262607399</v>
      </c>
      <c r="AG67">
        <v>-1.1104735686010001</v>
      </c>
      <c r="AH67">
        <v>29.6200709327602</v>
      </c>
      <c r="AI67">
        <v>92.146997461333001</v>
      </c>
      <c r="AJ67">
        <v>89.613268503520402</v>
      </c>
      <c r="AK67">
        <v>29.6415540401334</v>
      </c>
      <c r="AL67">
        <v>87.987699596857098</v>
      </c>
      <c r="AM67">
        <v>89.915825141723701</v>
      </c>
      <c r="AN67">
        <v>1.00000006686826</v>
      </c>
    </row>
    <row r="68" spans="1:40" x14ac:dyDescent="0.25">
      <c r="A68" t="str">
        <f>"20190312160305245"</f>
        <v>20190312160305245</v>
      </c>
      <c r="B68" t="str">
        <f>"1552377785234938"</f>
        <v>1552377785234938</v>
      </c>
      <c r="C68" t="s">
        <v>40</v>
      </c>
      <c r="D68">
        <v>5.2952810000000001</v>
      </c>
      <c r="E68">
        <v>0.50072109999999903</v>
      </c>
      <c r="F68" t="s">
        <v>41</v>
      </c>
      <c r="G68">
        <v>-445.03960000000001</v>
      </c>
      <c r="H68" s="1">
        <v>-2.7671990000000001E-6</v>
      </c>
      <c r="I68">
        <v>367.12520000000001</v>
      </c>
      <c r="J68">
        <v>-475.09070000000003</v>
      </c>
      <c r="K68">
        <v>1.1101700000000001</v>
      </c>
      <c r="L68">
        <v>367.2278</v>
      </c>
      <c r="M68">
        <v>0.9999422</v>
      </c>
      <c r="N68">
        <v>0</v>
      </c>
      <c r="O68">
        <v>3.524026E-3</v>
      </c>
      <c r="P68">
        <v>0.99968259999999998</v>
      </c>
      <c r="Q68">
        <v>2.5127699999999999E-2</v>
      </c>
      <c r="R68">
        <v>1.891261E-3</v>
      </c>
      <c r="S68">
        <v>3.0036010000000002</v>
      </c>
      <c r="T68">
        <v>-0.1108832</v>
      </c>
      <c r="U68">
        <v>-1.0223390000000001E-2</v>
      </c>
      <c r="V68">
        <v>1.6323729999999999E-3</v>
      </c>
      <c r="W68">
        <v>3.5292280000000002E-2</v>
      </c>
      <c r="X68">
        <v>0.99937569999999998</v>
      </c>
      <c r="Y68">
        <v>6.9207409999999898E-3</v>
      </c>
      <c r="Z68">
        <v>-2.5775940000000001E-4</v>
      </c>
      <c r="AA68">
        <v>0.99997599999999998</v>
      </c>
      <c r="AB68">
        <v>4</v>
      </c>
      <c r="AC68">
        <v>30.051100000000002</v>
      </c>
      <c r="AD68">
        <v>-1.110172767199</v>
      </c>
      <c r="AE68">
        <v>-0.102599999999995</v>
      </c>
      <c r="AF68">
        <v>0.20822151254905799</v>
      </c>
      <c r="AG68">
        <v>-1.110172767199</v>
      </c>
      <c r="AH68">
        <v>30.009595991627801</v>
      </c>
      <c r="AI68">
        <v>92.118578734080103</v>
      </c>
      <c r="AJ68">
        <v>89.602459745521102</v>
      </c>
      <c r="AK68">
        <v>30.030845664949901</v>
      </c>
      <c r="AL68">
        <v>87.9774813014036</v>
      </c>
      <c r="AM68">
        <v>89.906413573679501</v>
      </c>
      <c r="AN68">
        <v>0.99999999970984899</v>
      </c>
    </row>
    <row r="69" spans="1:40" x14ac:dyDescent="0.25">
      <c r="A69" t="str">
        <f>"20190312160305264"</f>
        <v>20190312160305264</v>
      </c>
      <c r="B69" t="str">
        <f>"1552377785254458"</f>
        <v>1552377785254458</v>
      </c>
      <c r="C69" t="s">
        <v>40</v>
      </c>
      <c r="D69">
        <v>5.3748490000000002</v>
      </c>
      <c r="E69">
        <v>0.50068190000000001</v>
      </c>
      <c r="F69" t="s">
        <v>41</v>
      </c>
      <c r="G69">
        <v>-444.39150000000001</v>
      </c>
      <c r="H69" s="1">
        <v>-3.0743579999999998E-6</v>
      </c>
      <c r="I69">
        <v>367.12049999999999</v>
      </c>
      <c r="J69">
        <v>-475.04930000000002</v>
      </c>
      <c r="K69">
        <v>1.10982</v>
      </c>
      <c r="L69">
        <v>367.22800000000001</v>
      </c>
      <c r="M69">
        <v>0.99995369999999995</v>
      </c>
      <c r="N69">
        <v>0</v>
      </c>
      <c r="O69">
        <v>3.6295580000000002E-3</v>
      </c>
      <c r="P69">
        <v>0.9996505</v>
      </c>
      <c r="Q69">
        <v>2.639973E-2</v>
      </c>
      <c r="R69">
        <v>1.4527559999999999E-3</v>
      </c>
      <c r="S69">
        <v>3.0037229999999999</v>
      </c>
      <c r="T69">
        <v>-0.1086236</v>
      </c>
      <c r="U69">
        <v>-1.049805E-2</v>
      </c>
      <c r="V69">
        <v>2.175373E-3</v>
      </c>
      <c r="W69">
        <v>3.5308480000000003E-2</v>
      </c>
      <c r="X69">
        <v>0.99937410000000004</v>
      </c>
      <c r="Y69">
        <v>7.117623E-3</v>
      </c>
      <c r="Z69">
        <v>-2.5987249999999998E-4</v>
      </c>
      <c r="AA69">
        <v>0.99997460000000005</v>
      </c>
      <c r="AB69">
        <v>4</v>
      </c>
      <c r="AC69">
        <v>30.657800000000002</v>
      </c>
      <c r="AD69">
        <v>-1.109823074358</v>
      </c>
      <c r="AE69">
        <v>-0.107500000000015</v>
      </c>
      <c r="AF69">
        <v>0.218491652095299</v>
      </c>
      <c r="AG69">
        <v>-1.109823074358</v>
      </c>
      <c r="AH69">
        <v>30.617085716926798</v>
      </c>
      <c r="AI69">
        <v>92.075923655777302</v>
      </c>
      <c r="AJ69">
        <v>89.591129046810707</v>
      </c>
      <c r="AK69">
        <v>30.637972903833901</v>
      </c>
      <c r="AL69">
        <v>87.976552544417203</v>
      </c>
      <c r="AM69">
        <v>89.875282444369603</v>
      </c>
      <c r="AN69">
        <v>1.0000000063792001</v>
      </c>
    </row>
    <row r="70" spans="1:40" x14ac:dyDescent="0.25">
      <c r="A70" t="str">
        <f>"20190312160305286"</f>
        <v>20190312160305286</v>
      </c>
      <c r="B70" t="str">
        <f>"1552377785274953"</f>
        <v>1552377785274953</v>
      </c>
      <c r="C70" t="s">
        <v>40</v>
      </c>
      <c r="D70">
        <v>5.3659169999999996</v>
      </c>
      <c r="E70">
        <v>0.5007895</v>
      </c>
      <c r="F70" t="s">
        <v>41</v>
      </c>
      <c r="G70">
        <v>-443.23540000000003</v>
      </c>
      <c r="H70" s="1">
        <v>-3.6244649999999999E-6</v>
      </c>
      <c r="I70">
        <v>367.1003</v>
      </c>
      <c r="J70">
        <v>-474.99419999999998</v>
      </c>
      <c r="K70">
        <v>1.109532</v>
      </c>
      <c r="L70">
        <v>367.22840000000002</v>
      </c>
      <c r="M70">
        <v>0.99996359999999995</v>
      </c>
      <c r="N70">
        <v>0</v>
      </c>
      <c r="O70">
        <v>3.7792120000000001E-3</v>
      </c>
      <c r="P70">
        <v>0.99960610000000005</v>
      </c>
      <c r="Q70">
        <v>2.8047260000000001E-2</v>
      </c>
      <c r="R70">
        <v>9.3934859999999999E-4</v>
      </c>
      <c r="S70">
        <v>3.0038450000000001</v>
      </c>
      <c r="T70">
        <v>-0.1047887</v>
      </c>
      <c r="U70">
        <v>-1.205444E-2</v>
      </c>
      <c r="V70">
        <v>2.8373109999999999E-3</v>
      </c>
      <c r="W70">
        <v>3.5679219999999998E-2</v>
      </c>
      <c r="X70">
        <v>0.99935929999999995</v>
      </c>
      <c r="Y70">
        <v>7.7852009999999899E-3</v>
      </c>
      <c r="Z70">
        <v>-2.6755140000000001E-4</v>
      </c>
      <c r="AA70">
        <v>0.99996969999999996</v>
      </c>
      <c r="AB70">
        <v>5</v>
      </c>
      <c r="AC70">
        <v>31.758799999999901</v>
      </c>
      <c r="AD70">
        <v>-1.1095356244650001</v>
      </c>
      <c r="AE70">
        <v>-0.12810000000001701</v>
      </c>
      <c r="AF70">
        <v>0.24782336001020899</v>
      </c>
      <c r="AG70">
        <v>-1.1095356244650001</v>
      </c>
      <c r="AH70">
        <v>31.7193747158192</v>
      </c>
      <c r="AI70">
        <v>92.003313805439504</v>
      </c>
      <c r="AJ70">
        <v>89.552357390071705</v>
      </c>
      <c r="AK70">
        <v>31.739741934714498</v>
      </c>
      <c r="AL70">
        <v>87.955297370163095</v>
      </c>
      <c r="AM70">
        <v>89.837330268831295</v>
      </c>
      <c r="AN70">
        <v>1.0000000337849999</v>
      </c>
    </row>
    <row r="71" spans="1:40" x14ac:dyDescent="0.25">
      <c r="A71" t="str">
        <f>"20190312160305301"</f>
        <v>20190312160305301</v>
      </c>
      <c r="B71" t="str">
        <f>"1552377785294474"</f>
        <v>1552377785294474</v>
      </c>
      <c r="C71" t="s">
        <v>40</v>
      </c>
      <c r="D71">
        <v>5.3811770000000001</v>
      </c>
      <c r="E71">
        <v>0.50089059999999996</v>
      </c>
      <c r="F71" t="s">
        <v>41</v>
      </c>
      <c r="G71">
        <v>-441.97140000000002</v>
      </c>
      <c r="H71" s="1">
        <v>-4.2264319999999999E-6</v>
      </c>
      <c r="I71">
        <v>367.07499999999999</v>
      </c>
      <c r="J71">
        <v>-474.96140000000003</v>
      </c>
      <c r="K71">
        <v>1.1097379999999999</v>
      </c>
      <c r="L71">
        <v>367.22859999999997</v>
      </c>
      <c r="M71">
        <v>0.9999595</v>
      </c>
      <c r="N71">
        <v>0</v>
      </c>
      <c r="O71">
        <v>3.8555899999999999E-3</v>
      </c>
      <c r="P71">
        <v>0.99962139999999999</v>
      </c>
      <c r="Q71">
        <v>2.751263E-2</v>
      </c>
      <c r="R71">
        <v>6.1637080000000004E-4</v>
      </c>
      <c r="S71">
        <v>3.0039980000000002</v>
      </c>
      <c r="T71">
        <v>-0.1009316</v>
      </c>
      <c r="U71">
        <v>-1.394653E-2</v>
      </c>
      <c r="V71">
        <v>3.236708E-3</v>
      </c>
      <c r="W71">
        <v>3.5649199999999999E-2</v>
      </c>
      <c r="X71">
        <v>0.99935909999999994</v>
      </c>
      <c r="Y71">
        <v>8.4912819999999993E-3</v>
      </c>
      <c r="Z71">
        <v>-2.721202E-4</v>
      </c>
      <c r="AA71">
        <v>0.99996390000000002</v>
      </c>
      <c r="AB71">
        <v>5</v>
      </c>
      <c r="AC71">
        <v>32.99</v>
      </c>
      <c r="AD71">
        <v>-1.1097422264319901</v>
      </c>
      <c r="AE71">
        <v>-0.153599999999983</v>
      </c>
      <c r="AF71">
        <v>0.28048160211591899</v>
      </c>
      <c r="AG71">
        <v>-1.1097422264319901</v>
      </c>
      <c r="AH71">
        <v>32.951876148190898</v>
      </c>
      <c r="AI71">
        <v>91.928789209008301</v>
      </c>
      <c r="AJ71">
        <v>89.512318392207604</v>
      </c>
      <c r="AK71">
        <v>32.971750627225703</v>
      </c>
      <c r="AL71">
        <v>87.9570183667268</v>
      </c>
      <c r="AM71">
        <v>89.814432009993396</v>
      </c>
      <c r="AN71">
        <v>0.99999997624606296</v>
      </c>
    </row>
    <row r="72" spans="1:40" x14ac:dyDescent="0.25">
      <c r="A72" t="str">
        <f>"20190312160305319"</f>
        <v>20190312160305319</v>
      </c>
      <c r="B72" t="str">
        <f>"1552377785314969"</f>
        <v>1552377785314969</v>
      </c>
      <c r="C72" t="s">
        <v>40</v>
      </c>
      <c r="D72">
        <v>5.4965729999999997</v>
      </c>
      <c r="E72">
        <v>0.50088459999999901</v>
      </c>
      <c r="F72" t="s">
        <v>41</v>
      </c>
      <c r="G72">
        <v>-442.5104</v>
      </c>
      <c r="H72" s="1">
        <v>-3.9750330000000003E-6</v>
      </c>
      <c r="I72">
        <v>367.05579999999998</v>
      </c>
      <c r="J72">
        <v>-474.9237</v>
      </c>
      <c r="K72">
        <v>1.110128</v>
      </c>
      <c r="L72">
        <v>367.22879999999998</v>
      </c>
      <c r="M72">
        <v>0.99994810000000001</v>
      </c>
      <c r="N72">
        <v>0</v>
      </c>
      <c r="O72">
        <v>3.9332009999999999E-3</v>
      </c>
      <c r="P72">
        <v>0.99964989999999998</v>
      </c>
      <c r="Q72">
        <v>2.6460589999999999E-2</v>
      </c>
      <c r="R72">
        <v>3.23782E-4</v>
      </c>
      <c r="S72">
        <v>3.0039669999999998</v>
      </c>
      <c r="T72">
        <v>-0.1027281</v>
      </c>
      <c r="U72">
        <v>-1.5991209999999999E-2</v>
      </c>
      <c r="V72">
        <v>3.6075730000000002E-3</v>
      </c>
      <c r="W72">
        <v>3.5842199999999998E-2</v>
      </c>
      <c r="X72">
        <v>0.99935099999999999</v>
      </c>
      <c r="Y72">
        <v>9.2488610000000006E-3</v>
      </c>
      <c r="Z72">
        <v>-2.9256790000000001E-4</v>
      </c>
      <c r="AA72">
        <v>0.99995719999999999</v>
      </c>
      <c r="AB72">
        <v>6</v>
      </c>
      <c r="AC72">
        <v>32.4132999999999</v>
      </c>
      <c r="AD72">
        <v>-1.1101319750329901</v>
      </c>
      <c r="AE72">
        <v>-0.17300000000000099</v>
      </c>
      <c r="AF72">
        <v>0.30014025807931999</v>
      </c>
      <c r="AG72">
        <v>-1.1101319750329901</v>
      </c>
      <c r="AH72">
        <v>32.374394290139698</v>
      </c>
      <c r="AI72">
        <v>91.9638432096842</v>
      </c>
      <c r="AJ72">
        <v>89.468830915120193</v>
      </c>
      <c r="AK72">
        <v>32.394812591369302</v>
      </c>
      <c r="AL72">
        <v>87.945953360079102</v>
      </c>
      <c r="AM72">
        <v>89.793167956675703</v>
      </c>
      <c r="AN72">
        <v>1.00000004954239</v>
      </c>
    </row>
    <row r="73" spans="1:40" x14ac:dyDescent="0.25">
      <c r="A73" t="str">
        <f>"20190312160305343"</f>
        <v>20190312160305343</v>
      </c>
      <c r="B73" t="str">
        <f>"1552377785334490"</f>
        <v>1552377785334490</v>
      </c>
      <c r="C73" t="s">
        <v>40</v>
      </c>
      <c r="D73">
        <v>5.3323179999999999</v>
      </c>
      <c r="E73">
        <v>0.52224250000000005</v>
      </c>
      <c r="F73" t="s">
        <v>41</v>
      </c>
      <c r="G73">
        <v>-443.01389999999998</v>
      </c>
      <c r="H73" s="1">
        <v>-3.7373799999999999E-6</v>
      </c>
      <c r="I73">
        <v>367.05369999999999</v>
      </c>
      <c r="J73">
        <v>-474.87889999999999</v>
      </c>
      <c r="K73">
        <v>1.1106819999999999</v>
      </c>
      <c r="L73">
        <v>367.22910000000002</v>
      </c>
      <c r="M73">
        <v>0.99992590000000003</v>
      </c>
      <c r="N73">
        <v>0</v>
      </c>
      <c r="O73">
        <v>4.0090630000000002E-3</v>
      </c>
      <c r="P73">
        <v>0.99970060000000005</v>
      </c>
      <c r="Q73">
        <v>2.4471630000000001E-2</v>
      </c>
      <c r="R73">
        <v>6.4566639999999995E-4</v>
      </c>
      <c r="S73">
        <v>3.0038149999999999</v>
      </c>
      <c r="T73">
        <v>-0.104502</v>
      </c>
      <c r="U73">
        <v>-1.6479489999999999E-2</v>
      </c>
      <c r="V73">
        <v>3.3631239999999999E-3</v>
      </c>
      <c r="W73">
        <v>3.5966570000000003E-2</v>
      </c>
      <c r="X73">
        <v>0.99934730000000005</v>
      </c>
      <c r="Y73">
        <v>9.4871650000000005E-3</v>
      </c>
      <c r="Z73">
        <v>-3.0441730000000002E-4</v>
      </c>
      <c r="AA73">
        <v>0.99995489999999998</v>
      </c>
      <c r="AB73">
        <v>5</v>
      </c>
      <c r="AC73">
        <v>31.864999999999998</v>
      </c>
      <c r="AD73">
        <v>-1.1106857373800001</v>
      </c>
      <c r="AE73">
        <v>-0.17540000000002401</v>
      </c>
      <c r="AF73">
        <v>0.30278796495993698</v>
      </c>
      <c r="AG73">
        <v>-1.1106857373800001</v>
      </c>
      <c r="AH73">
        <v>31.825375927324298</v>
      </c>
      <c r="AI73">
        <v>91.998685310997303</v>
      </c>
      <c r="AJ73">
        <v>89.454901990671502</v>
      </c>
      <c r="AK73">
        <v>31.8461906085242</v>
      </c>
      <c r="AL73">
        <v>87.938822713282605</v>
      </c>
      <c r="AM73">
        <v>89.807182063989003</v>
      </c>
      <c r="AN73">
        <v>0.99999996538894598</v>
      </c>
    </row>
    <row r="74" spans="1:40" x14ac:dyDescent="0.25">
      <c r="A74" t="str">
        <f>"20190312160305358"</f>
        <v>20190312160305358</v>
      </c>
      <c r="B74" t="str">
        <f>"1552377785354986"</f>
        <v>1552377785354986</v>
      </c>
      <c r="C74" t="s">
        <v>40</v>
      </c>
      <c r="D74">
        <v>5.491574</v>
      </c>
      <c r="E74">
        <v>0.52385280000000001</v>
      </c>
      <c r="F74" t="s">
        <v>44</v>
      </c>
      <c r="G74">
        <v>-325.74869999999999</v>
      </c>
      <c r="H74">
        <v>0.70756049999999904</v>
      </c>
      <c r="I74">
        <v>358.25650000000002</v>
      </c>
      <c r="J74">
        <v>-474.84629999999999</v>
      </c>
      <c r="K74">
        <v>1.1107400000000001</v>
      </c>
      <c r="L74">
        <v>367.22930000000002</v>
      </c>
      <c r="M74">
        <v>0.99992000000000003</v>
      </c>
      <c r="N74">
        <v>0</v>
      </c>
      <c r="O74">
        <v>4.0628069999999999E-3</v>
      </c>
      <c r="P74">
        <v>0.99970630000000005</v>
      </c>
      <c r="Q74">
        <v>2.4229029999999999E-2</v>
      </c>
      <c r="R74">
        <v>9.0941009999999996E-4</v>
      </c>
      <c r="S74">
        <v>3.0012509999999999</v>
      </c>
      <c r="T74">
        <v>-8.111119E-3</v>
      </c>
      <c r="U74">
        <v>-0.1805725</v>
      </c>
      <c r="V74">
        <v>3.153398E-3</v>
      </c>
      <c r="W74">
        <v>3.6215320000000002E-2</v>
      </c>
      <c r="X74">
        <v>0.99933899999999998</v>
      </c>
      <c r="Y74">
        <v>6.4112160000000001E-2</v>
      </c>
      <c r="Z74" s="1">
        <v>-9.7526899999999996E-5</v>
      </c>
      <c r="AA74">
        <v>0.99794269999999996</v>
      </c>
      <c r="AB74">
        <v>4</v>
      </c>
      <c r="AC74">
        <v>149.0976</v>
      </c>
      <c r="AD74">
        <v>-0.40317950000000002</v>
      </c>
      <c r="AE74">
        <v>-8.9727999999999994</v>
      </c>
      <c r="AF74">
        <v>9.5784543833854805</v>
      </c>
      <c r="AG74">
        <v>-0.40317950000000002</v>
      </c>
      <c r="AH74">
        <v>149.058825882132</v>
      </c>
      <c r="AI74">
        <v>90.154656260737994</v>
      </c>
      <c r="AJ74">
        <v>86.323253712913498</v>
      </c>
      <c r="AK74">
        <v>149.36680660522799</v>
      </c>
      <c r="AL74">
        <v>87.924561095735896</v>
      </c>
      <c r="AM74">
        <v>89.819204697446096</v>
      </c>
      <c r="AN74">
        <v>0.99999996512132305</v>
      </c>
    </row>
    <row r="75" spans="1:40" x14ac:dyDescent="0.25">
      <c r="A75" t="str">
        <f>"20190312160305376"</f>
        <v>20190312160305376</v>
      </c>
      <c r="B75" t="str">
        <f>"1552377785364746"</f>
        <v>1552377785364746</v>
      </c>
      <c r="C75" t="s">
        <v>40</v>
      </c>
      <c r="D75">
        <v>5.2967110000000002</v>
      </c>
      <c r="E75">
        <v>0.52334670000000005</v>
      </c>
      <c r="F75" t="s">
        <v>45</v>
      </c>
      <c r="G75">
        <v>0</v>
      </c>
      <c r="H75">
        <v>0</v>
      </c>
      <c r="I75">
        <v>0</v>
      </c>
      <c r="J75">
        <v>-474.8066</v>
      </c>
      <c r="K75">
        <v>1.1104889999999901</v>
      </c>
      <c r="L75">
        <v>367.22949999999997</v>
      </c>
      <c r="M75">
        <v>0.9999268</v>
      </c>
      <c r="N75">
        <v>0</v>
      </c>
      <c r="O75">
        <v>4.139836E-3</v>
      </c>
      <c r="P75">
        <v>0.999699</v>
      </c>
      <c r="Q75">
        <v>2.4512340000000001E-2</v>
      </c>
      <c r="R75">
        <v>1.2943E-3</v>
      </c>
      <c r="S75">
        <v>3.0000610000000001</v>
      </c>
      <c r="T75">
        <v>3.9136530000000003E-2</v>
      </c>
      <c r="U75">
        <v>-0.18975829999999999</v>
      </c>
      <c r="V75">
        <v>2.8450099999999998E-3</v>
      </c>
      <c r="W75">
        <v>3.5886510000000003E-2</v>
      </c>
      <c r="X75">
        <v>0.99935180000000001</v>
      </c>
      <c r="Y75">
        <v>6.7250589999999999E-2</v>
      </c>
      <c r="Z75">
        <v>4.9214790000000005E-4</v>
      </c>
      <c r="AA75">
        <v>0.99773599999999996</v>
      </c>
      <c r="AB75">
        <v>4</v>
      </c>
      <c r="AC75">
        <v>3.0000610000000001</v>
      </c>
      <c r="AD75">
        <v>3.9136530000000003E-2</v>
      </c>
      <c r="AE75">
        <v>-0.18975829999999999</v>
      </c>
      <c r="AF75">
        <v>0.20214297370445899</v>
      </c>
      <c r="AG75">
        <v>3.9136530000000003E-2</v>
      </c>
      <c r="AH75">
        <v>2.9987413821534199</v>
      </c>
      <c r="AI75">
        <v>89.253968942061704</v>
      </c>
      <c r="AJ75">
        <v>86.143567371737305</v>
      </c>
      <c r="AK75">
        <v>3.0058016113572599</v>
      </c>
      <c r="AL75">
        <v>87.943412802529394</v>
      </c>
      <c r="AM75">
        <v>89.836887645265193</v>
      </c>
      <c r="AN75">
        <v>0.99999997792255901</v>
      </c>
    </row>
    <row r="76" spans="1:40" x14ac:dyDescent="0.25">
      <c r="A76" t="str">
        <f>"20190312160305398"</f>
        <v>20190312160305398</v>
      </c>
      <c r="B76" t="str">
        <f>"1552377785395002"</f>
        <v>1552377785395002</v>
      </c>
      <c r="C76" t="s">
        <v>40</v>
      </c>
      <c r="D76">
        <v>5.4664029999999997</v>
      </c>
      <c r="E76">
        <v>0.52822619999999998</v>
      </c>
      <c r="F76" t="s">
        <v>44</v>
      </c>
      <c r="G76">
        <v>-325.66989999999998</v>
      </c>
      <c r="H76">
        <v>3.861669</v>
      </c>
      <c r="I76">
        <v>358.11099999999999</v>
      </c>
      <c r="J76">
        <v>-474.75479999999999</v>
      </c>
      <c r="K76">
        <v>1.110015</v>
      </c>
      <c r="L76">
        <v>367.22989999999999</v>
      </c>
      <c r="M76">
        <v>0.99994269999999996</v>
      </c>
      <c r="N76">
        <v>0</v>
      </c>
      <c r="O76">
        <v>4.2622220000000004E-3</v>
      </c>
      <c r="P76">
        <v>0.99965930000000003</v>
      </c>
      <c r="Q76">
        <v>2.6057E-2</v>
      </c>
      <c r="R76">
        <v>1.6018110000000001E-3</v>
      </c>
      <c r="S76">
        <v>2.9997560000000001</v>
      </c>
      <c r="T76">
        <v>5.5339340000000001E-2</v>
      </c>
      <c r="U76">
        <v>-0.18341060000000001</v>
      </c>
      <c r="V76">
        <v>2.658915E-3</v>
      </c>
      <c r="W76">
        <v>3.5882699999999997E-2</v>
      </c>
      <c r="X76">
        <v>0.99935249999999998</v>
      </c>
      <c r="Y76">
        <v>6.5270030000000007E-2</v>
      </c>
      <c r="Z76">
        <v>6.7999169999999895E-4</v>
      </c>
      <c r="AA76">
        <v>0.99786739999999996</v>
      </c>
      <c r="AB76">
        <v>5</v>
      </c>
      <c r="AC76">
        <v>149.0849</v>
      </c>
      <c r="AD76">
        <v>2.7516539999999998</v>
      </c>
      <c r="AE76">
        <v>-9.1188999999999893</v>
      </c>
      <c r="AF76">
        <v>9.7509713640795006</v>
      </c>
      <c r="AG76">
        <v>2.7516539999999998</v>
      </c>
      <c r="AH76">
        <v>148.994109980513</v>
      </c>
      <c r="AI76">
        <v>88.9442280431619</v>
      </c>
      <c r="AJ76">
        <v>86.255597559199202</v>
      </c>
      <c r="AK76">
        <v>149.33819957118899</v>
      </c>
      <c r="AL76">
        <v>87.943631344443105</v>
      </c>
      <c r="AM76">
        <v>89.847557045083207</v>
      </c>
      <c r="AN76">
        <v>1.0000000286222499</v>
      </c>
    </row>
    <row r="77" spans="1:40" x14ac:dyDescent="0.25">
      <c r="A77" t="str">
        <f>"20190312160305412"</f>
        <v>20190312160305412</v>
      </c>
      <c r="B77" t="str">
        <f>"1552377785404761"</f>
        <v>1552377785404761</v>
      </c>
      <c r="C77" t="s">
        <v>40</v>
      </c>
      <c r="D77">
        <v>5.4455730000000004</v>
      </c>
      <c r="E77">
        <v>0.52881899999999904</v>
      </c>
      <c r="F77" t="s">
        <v>46</v>
      </c>
      <c r="G77">
        <v>-143.0641</v>
      </c>
      <c r="H77">
        <v>6.1513809999999998</v>
      </c>
      <c r="I77">
        <v>342.64400000000001</v>
      </c>
      <c r="J77">
        <v>-474.72019999999998</v>
      </c>
      <c r="K77">
        <v>1.1097709999999901</v>
      </c>
      <c r="L77">
        <v>367.23009999999999</v>
      </c>
      <c r="M77">
        <v>0.99995120000000004</v>
      </c>
      <c r="N77">
        <v>0</v>
      </c>
      <c r="O77">
        <v>4.3524219999999999E-3</v>
      </c>
      <c r="P77">
        <v>0.99963670000000004</v>
      </c>
      <c r="Q77">
        <v>2.6896139999999999E-2</v>
      </c>
      <c r="R77">
        <v>1.814448E-3</v>
      </c>
      <c r="S77">
        <v>3.0001829999999998</v>
      </c>
      <c r="T77">
        <v>4.5599819999999999E-2</v>
      </c>
      <c r="U77">
        <v>-0.22238160000000001</v>
      </c>
      <c r="V77">
        <v>2.5358099999999999E-3</v>
      </c>
      <c r="W77">
        <v>3.5768330000000001E-2</v>
      </c>
      <c r="X77">
        <v>0.99935689999999999</v>
      </c>
      <c r="Y77">
        <v>7.8250390000000003E-2</v>
      </c>
      <c r="Z77">
        <v>6.5987879999999997E-4</v>
      </c>
      <c r="AA77">
        <v>0.99693350000000003</v>
      </c>
      <c r="AB77">
        <v>5</v>
      </c>
      <c r="AC77">
        <v>331.65609999999998</v>
      </c>
      <c r="AD77">
        <v>5.0416099999999897</v>
      </c>
      <c r="AE77">
        <v>-24.586099999999899</v>
      </c>
      <c r="AF77">
        <v>26.023450549662499</v>
      </c>
      <c r="AG77">
        <v>5.0416099999999897</v>
      </c>
      <c r="AH77">
        <v>331.469767638191</v>
      </c>
      <c r="AI77">
        <v>89.131278938832196</v>
      </c>
      <c r="AJ77">
        <v>85.510957926606594</v>
      </c>
      <c r="AK77">
        <v>332.52796073115201</v>
      </c>
      <c r="AL77">
        <v>87.950188430928094</v>
      </c>
      <c r="AM77">
        <v>89.854615604471405</v>
      </c>
      <c r="AN77">
        <v>1.0000000086704699</v>
      </c>
    </row>
    <row r="78" spans="1:40" x14ac:dyDescent="0.25">
      <c r="A78" t="str">
        <f>"20190312160305431"</f>
        <v>20190312160305431</v>
      </c>
      <c r="B78" t="str">
        <f>"1552377785425259"</f>
        <v>1552377785425259</v>
      </c>
      <c r="C78" t="s">
        <v>40</v>
      </c>
      <c r="D78">
        <v>5.4220660000000001</v>
      </c>
      <c r="E78">
        <v>0.52968700000000002</v>
      </c>
      <c r="F78" t="s">
        <v>46</v>
      </c>
      <c r="G78">
        <v>-149.18109999999999</v>
      </c>
      <c r="H78">
        <v>6.0993320000000004</v>
      </c>
      <c r="I78">
        <v>342.64400000000001</v>
      </c>
      <c r="J78">
        <v>-474.67340000000002</v>
      </c>
      <c r="K78">
        <v>1.1096469999999901</v>
      </c>
      <c r="L78">
        <v>367.23039999999997</v>
      </c>
      <c r="M78">
        <v>0.99995679999999998</v>
      </c>
      <c r="N78">
        <v>0</v>
      </c>
      <c r="O78">
        <v>4.4766529999999997E-3</v>
      </c>
      <c r="P78">
        <v>0.99961100000000003</v>
      </c>
      <c r="Q78">
        <v>2.777348E-2</v>
      </c>
      <c r="R78">
        <v>2.640093E-3</v>
      </c>
      <c r="S78">
        <v>3.0002749999999998</v>
      </c>
      <c r="T78">
        <v>4.5985459999999999E-2</v>
      </c>
      <c r="U78">
        <v>-0.22659299999999999</v>
      </c>
      <c r="V78">
        <v>1.833555E-3</v>
      </c>
      <c r="W78">
        <v>3.5932749999999999E-2</v>
      </c>
      <c r="X78">
        <v>0.99935249999999998</v>
      </c>
      <c r="Y78">
        <v>7.9763120000000007E-2</v>
      </c>
      <c r="Z78">
        <v>6.788807E-4</v>
      </c>
      <c r="AA78">
        <v>0.99681359999999997</v>
      </c>
      <c r="AB78">
        <v>6</v>
      </c>
      <c r="AC78">
        <v>325.4923</v>
      </c>
      <c r="AD78">
        <v>4.9896849999999997</v>
      </c>
      <c r="AE78">
        <v>-24.586399999999902</v>
      </c>
      <c r="AF78">
        <v>26.037234056879001</v>
      </c>
      <c r="AG78">
        <v>4.9896849999999997</v>
      </c>
      <c r="AH78">
        <v>325.30295787363298</v>
      </c>
      <c r="AI78">
        <v>89.124034065929095</v>
      </c>
      <c r="AJ78">
        <v>85.423804061723104</v>
      </c>
      <c r="AK78">
        <v>326.38144695289702</v>
      </c>
      <c r="AL78">
        <v>87.940761723289796</v>
      </c>
      <c r="AM78">
        <v>89.894877087790505</v>
      </c>
      <c r="AN78">
        <v>0.99999997185137401</v>
      </c>
    </row>
    <row r="79" spans="1:40" x14ac:dyDescent="0.25">
      <c r="A79" t="str">
        <f>"20190312160305442"</f>
        <v>20190312160305442</v>
      </c>
      <c r="B79" t="str">
        <f>"1552377785435018"</f>
        <v>1552377785435018</v>
      </c>
      <c r="C79" t="s">
        <v>40</v>
      </c>
      <c r="D79">
        <v>5.4064969999999999</v>
      </c>
      <c r="E79">
        <v>0.53021249999999998</v>
      </c>
      <c r="F79" t="s">
        <v>46</v>
      </c>
      <c r="G79">
        <v>-156.46860000000001</v>
      </c>
      <c r="H79">
        <v>4.8538489999999896</v>
      </c>
      <c r="I79">
        <v>342.62959999999998</v>
      </c>
      <c r="J79">
        <v>-474.64429999999999</v>
      </c>
      <c r="K79">
        <v>1.109836</v>
      </c>
      <c r="L79">
        <v>367.23059999999998</v>
      </c>
      <c r="M79">
        <v>0.99995230000000002</v>
      </c>
      <c r="N79">
        <v>0</v>
      </c>
      <c r="O79">
        <v>4.5440430000000002E-3</v>
      </c>
      <c r="P79">
        <v>0.99961920000000004</v>
      </c>
      <c r="Q79">
        <v>2.7445489999999999E-2</v>
      </c>
      <c r="R79">
        <v>2.9075110000000002E-3</v>
      </c>
      <c r="S79">
        <v>3.0007929999999998</v>
      </c>
      <c r="T79">
        <v>3.5309309999999997E-2</v>
      </c>
      <c r="U79">
        <v>-0.2319946</v>
      </c>
      <c r="V79">
        <v>1.633722E-3</v>
      </c>
      <c r="W79">
        <v>3.6087609999999999E-2</v>
      </c>
      <c r="X79">
        <v>0.99934730000000005</v>
      </c>
      <c r="Y79">
        <v>8.1605049999999998E-2</v>
      </c>
      <c r="Z79">
        <v>5.3276859999999997E-4</v>
      </c>
      <c r="AA79">
        <v>0.99666460000000001</v>
      </c>
      <c r="AB79">
        <v>6</v>
      </c>
      <c r="AC79">
        <v>318.17570000000001</v>
      </c>
      <c r="AD79">
        <v>3.7440129999999998</v>
      </c>
      <c r="AE79">
        <v>-24.600999999999999</v>
      </c>
      <c r="AF79">
        <v>26.0430194742273</v>
      </c>
      <c r="AG79">
        <v>3.7440129999999998</v>
      </c>
      <c r="AH79">
        <v>318.01685007034501</v>
      </c>
      <c r="AI79">
        <v>89.327738055376102</v>
      </c>
      <c r="AJ79">
        <v>85.318383757908805</v>
      </c>
      <c r="AK79">
        <v>319.10338986814901</v>
      </c>
      <c r="AL79">
        <v>87.931883209440102</v>
      </c>
      <c r="AM79">
        <v>89.906333571812397</v>
      </c>
      <c r="AN79">
        <v>1.0000000053301801</v>
      </c>
    </row>
    <row r="80" spans="1:40" x14ac:dyDescent="0.25">
      <c r="A80" t="str">
        <f>"20190312160305456"</f>
        <v>20190312160305456</v>
      </c>
      <c r="B80" t="str">
        <f>"1552377785444777"</f>
        <v>1552377785444777</v>
      </c>
      <c r="C80" t="s">
        <v>40</v>
      </c>
      <c r="D80">
        <v>5.3084480000000003</v>
      </c>
      <c r="E80">
        <v>0.53088740000000001</v>
      </c>
      <c r="F80" t="s">
        <v>46</v>
      </c>
      <c r="G80">
        <v>-161.06389999999999</v>
      </c>
      <c r="H80">
        <v>4.6193759999999999</v>
      </c>
      <c r="I80">
        <v>342.64389999999997</v>
      </c>
      <c r="J80">
        <v>-474.61759999999998</v>
      </c>
      <c r="K80">
        <v>1.110109</v>
      </c>
      <c r="L80">
        <v>367.23079999999999</v>
      </c>
      <c r="M80">
        <v>0.99994419999999995</v>
      </c>
      <c r="N80">
        <v>0</v>
      </c>
      <c r="O80">
        <v>4.5994159999999899E-3</v>
      </c>
      <c r="P80">
        <v>0.99963840000000004</v>
      </c>
      <c r="Q80">
        <v>2.669887E-2</v>
      </c>
      <c r="R80">
        <v>3.251486E-3</v>
      </c>
      <c r="S80">
        <v>3.0009160000000001</v>
      </c>
      <c r="T80">
        <v>3.3585789999999997E-2</v>
      </c>
      <c r="U80">
        <v>-0.23529050000000001</v>
      </c>
      <c r="V80">
        <v>1.345738E-3</v>
      </c>
      <c r="W80">
        <v>3.6206740000000001E-2</v>
      </c>
      <c r="X80">
        <v>0.99934339999999999</v>
      </c>
      <c r="Y80">
        <v>8.2745630000000001E-2</v>
      </c>
      <c r="Z80">
        <v>5.1371429999999996E-4</v>
      </c>
      <c r="AA80">
        <v>0.99657059999999997</v>
      </c>
      <c r="AB80">
        <v>6</v>
      </c>
      <c r="AC80">
        <v>313.55369999999999</v>
      </c>
      <c r="AD80">
        <v>3.5092669999999999</v>
      </c>
      <c r="AE80">
        <v>-24.5869</v>
      </c>
      <c r="AF80">
        <v>26.025629014582002</v>
      </c>
      <c r="AG80">
        <v>3.5092669999999999</v>
      </c>
      <c r="AH80">
        <v>313.398276572437</v>
      </c>
      <c r="AI80">
        <v>89.360659720955297</v>
      </c>
      <c r="AJ80">
        <v>85.252861438666798</v>
      </c>
      <c r="AK80">
        <v>314.49662649868901</v>
      </c>
      <c r="AL80">
        <v>87.925053057586595</v>
      </c>
      <c r="AM80">
        <v>89.922844278430006</v>
      </c>
      <c r="AN80">
        <v>0.99999998507787502</v>
      </c>
    </row>
    <row r="81" spans="1:40" x14ac:dyDescent="0.25">
      <c r="A81" t="str">
        <f>"20190312160305469"</f>
        <v>20190312160305469</v>
      </c>
      <c r="B81" t="str">
        <f>"1552377785465273"</f>
        <v>1552377785465273</v>
      </c>
      <c r="C81" t="s">
        <v>40</v>
      </c>
      <c r="D81">
        <v>5.3630399999999998</v>
      </c>
      <c r="E81">
        <v>0.531757699999999</v>
      </c>
      <c r="F81" t="s">
        <v>46</v>
      </c>
      <c r="G81">
        <v>-167.41380000000001</v>
      </c>
      <c r="H81">
        <v>3.3988369999999999</v>
      </c>
      <c r="I81">
        <v>342.64389999999997</v>
      </c>
      <c r="J81">
        <v>-474.59059999999999</v>
      </c>
      <c r="K81">
        <v>1.1104270000000001</v>
      </c>
      <c r="L81">
        <v>367.23099999999999</v>
      </c>
      <c r="M81">
        <v>0.99993310000000002</v>
      </c>
      <c r="N81">
        <v>0</v>
      </c>
      <c r="O81">
        <v>4.6506910000000002E-3</v>
      </c>
      <c r="P81">
        <v>0.99966969999999999</v>
      </c>
      <c r="Q81">
        <v>2.547688E-2</v>
      </c>
      <c r="R81">
        <v>3.4264510000000001E-3</v>
      </c>
      <c r="S81">
        <v>3.0012509999999999</v>
      </c>
      <c r="T81">
        <v>2.235997E-2</v>
      </c>
      <c r="U81">
        <v>-0.2402039</v>
      </c>
      <c r="V81">
        <v>1.2227189999999999E-3</v>
      </c>
      <c r="W81">
        <v>3.6074740000000001E-2</v>
      </c>
      <c r="X81">
        <v>0.99934829999999997</v>
      </c>
      <c r="Y81">
        <v>8.4412269999999998E-2</v>
      </c>
      <c r="Z81">
        <v>3.4853480000000001E-4</v>
      </c>
      <c r="AA81">
        <v>0.99643090000000001</v>
      </c>
      <c r="AB81">
        <v>5</v>
      </c>
      <c r="AC81">
        <v>307.17680000000001</v>
      </c>
      <c r="AD81">
        <v>2.2884099999999998</v>
      </c>
      <c r="AE81">
        <v>-24.5871</v>
      </c>
      <c r="AF81">
        <v>26.014063995625801</v>
      </c>
      <c r="AG81">
        <v>2.2884099999999998</v>
      </c>
      <c r="AH81">
        <v>307.04219196184903</v>
      </c>
      <c r="AI81">
        <v>89.574502265462598</v>
      </c>
      <c r="AJ81">
        <v>85.157196641546705</v>
      </c>
      <c r="AK81">
        <v>308.15073582685699</v>
      </c>
      <c r="AL81">
        <v>87.932620978986606</v>
      </c>
      <c r="AM81">
        <v>89.929897711065905</v>
      </c>
      <c r="AN81">
        <v>0.99999995331035396</v>
      </c>
    </row>
    <row r="82" spans="1:40" x14ac:dyDescent="0.25">
      <c r="A82" t="str">
        <f>"20190312160305485"</f>
        <v>20190312160305485</v>
      </c>
      <c r="B82" t="str">
        <f>"1552377785475034"</f>
        <v>1552377785475034</v>
      </c>
      <c r="C82" t="s">
        <v>40</v>
      </c>
      <c r="D82">
        <v>5.2593719999999999</v>
      </c>
      <c r="E82">
        <v>0.5321555</v>
      </c>
      <c r="F82" t="s">
        <v>47</v>
      </c>
      <c r="G82">
        <v>-232.42949999999999</v>
      </c>
      <c r="H82">
        <v>3.0534059999999998</v>
      </c>
      <c r="I82">
        <v>347.36200000000002</v>
      </c>
      <c r="J82">
        <v>-474.55650000000003</v>
      </c>
      <c r="K82">
        <v>1.110841</v>
      </c>
      <c r="L82">
        <v>367.2312</v>
      </c>
      <c r="M82">
        <v>0.99991410000000003</v>
      </c>
      <c r="N82">
        <v>0</v>
      </c>
      <c r="O82">
        <v>4.7057330000000001E-3</v>
      </c>
      <c r="P82">
        <v>0.99969169999999996</v>
      </c>
      <c r="Q82">
        <v>2.4558529999999999E-2</v>
      </c>
      <c r="R82">
        <v>3.6976280000000001E-3</v>
      </c>
      <c r="S82">
        <v>3.0012210000000001</v>
      </c>
      <c r="T82">
        <v>2.4081229999999999E-2</v>
      </c>
      <c r="U82">
        <v>-0.2462463</v>
      </c>
      <c r="V82">
        <v>1.0079869999999999E-3</v>
      </c>
      <c r="W82">
        <v>3.6791909999999997E-2</v>
      </c>
      <c r="X82">
        <v>0.99932240000000006</v>
      </c>
      <c r="Y82">
        <v>8.646044E-2</v>
      </c>
      <c r="Z82">
        <v>3.8398229999999999E-4</v>
      </c>
      <c r="AA82">
        <v>0.99625520000000001</v>
      </c>
      <c r="AB82">
        <v>5</v>
      </c>
      <c r="AC82">
        <v>242.12700000000001</v>
      </c>
      <c r="AD82">
        <v>1.9425650000000001</v>
      </c>
      <c r="AE82">
        <v>-19.869199999999999</v>
      </c>
      <c r="AF82">
        <v>21.007107128012599</v>
      </c>
      <c r="AG82">
        <v>1.9425650000000001</v>
      </c>
      <c r="AH82">
        <v>242.015338964162</v>
      </c>
      <c r="AI82">
        <v>89.541841119839802</v>
      </c>
      <c r="AJ82">
        <v>85.039118838449994</v>
      </c>
      <c r="AK82">
        <v>242.93311096391301</v>
      </c>
      <c r="AL82">
        <v>87.8915028770177</v>
      </c>
      <c r="AM82">
        <v>89.942207458456195</v>
      </c>
      <c r="AN82">
        <v>0.99999995991049895</v>
      </c>
    </row>
    <row r="83" spans="1:40" x14ac:dyDescent="0.25">
      <c r="A83" t="str">
        <f>"20190312160305497"</f>
        <v>20190312160305497</v>
      </c>
      <c r="B83" t="str">
        <f>"1552377785494963"</f>
        <v>1552377785494963</v>
      </c>
      <c r="C83" t="s">
        <v>40</v>
      </c>
      <c r="D83">
        <v>5.2687179999999998</v>
      </c>
      <c r="E83">
        <v>0.53300530000000002</v>
      </c>
      <c r="F83" t="s">
        <v>48</v>
      </c>
      <c r="G83">
        <v>-245.3451</v>
      </c>
      <c r="H83">
        <v>2.4382109999999999</v>
      </c>
      <c r="I83">
        <v>348.21409999999997</v>
      </c>
      <c r="J83">
        <v>-474.53100000000001</v>
      </c>
      <c r="K83">
        <v>1.1108209999999901</v>
      </c>
      <c r="L83">
        <v>367.23140000000001</v>
      </c>
      <c r="M83">
        <v>0.99991200000000002</v>
      </c>
      <c r="N83">
        <v>0</v>
      </c>
      <c r="O83">
        <v>4.7473659999999899E-3</v>
      </c>
      <c r="P83">
        <v>0.9996891</v>
      </c>
      <c r="Q83">
        <v>2.4599699999999999E-2</v>
      </c>
      <c r="R83">
        <v>4.1201900000000001E-3</v>
      </c>
      <c r="S83">
        <v>3.001465</v>
      </c>
      <c r="T83">
        <v>1.7382620000000001E-2</v>
      </c>
      <c r="U83">
        <v>-0.24902340000000001</v>
      </c>
      <c r="V83">
        <v>6.2696620000000003E-4</v>
      </c>
      <c r="W83">
        <v>3.698299E-2</v>
      </c>
      <c r="X83">
        <v>0.99931570000000003</v>
      </c>
      <c r="Y83">
        <v>8.7412210000000004E-2</v>
      </c>
      <c r="Z83">
        <v>2.8013229999999999E-4</v>
      </c>
      <c r="AA83">
        <v>0.99617219999999995</v>
      </c>
      <c r="AB83">
        <v>5</v>
      </c>
      <c r="AC83">
        <v>229.1859</v>
      </c>
      <c r="AD83">
        <v>1.3273900000000001</v>
      </c>
      <c r="AE83">
        <v>-19.017299999999999</v>
      </c>
      <c r="AF83">
        <v>20.104528720793599</v>
      </c>
      <c r="AG83">
        <v>1.3273900000000001</v>
      </c>
      <c r="AH83">
        <v>229.08539593497201</v>
      </c>
      <c r="AI83">
        <v>89.669285736048295</v>
      </c>
      <c r="AJ83">
        <v>84.984573418139206</v>
      </c>
      <c r="AK83">
        <v>229.96972120255299</v>
      </c>
      <c r="AL83">
        <v>87.880547431048896</v>
      </c>
      <c r="AM83">
        <v>89.964052888947904</v>
      </c>
      <c r="AN83">
        <v>1.00000000145122</v>
      </c>
    </row>
    <row r="84" spans="1:40" x14ac:dyDescent="0.25">
      <c r="A84" t="str">
        <f>"20190312160305510"</f>
        <v>20190312160305510</v>
      </c>
      <c r="B84" t="str">
        <f>"1552377785504723"</f>
        <v>1552377785504723</v>
      </c>
      <c r="C84" t="s">
        <v>40</v>
      </c>
      <c r="D84">
        <v>5.3919160000000002</v>
      </c>
      <c r="E84">
        <v>0.5333793</v>
      </c>
      <c r="F84" t="s">
        <v>48</v>
      </c>
      <c r="G84">
        <v>-245.3451</v>
      </c>
      <c r="H84">
        <v>2.250559</v>
      </c>
      <c r="I84">
        <v>347.79539999999997</v>
      </c>
      <c r="J84">
        <v>-474.5025</v>
      </c>
      <c r="K84">
        <v>1.110697</v>
      </c>
      <c r="L84">
        <v>367.23160000000001</v>
      </c>
      <c r="M84">
        <v>0.99991459999999999</v>
      </c>
      <c r="N84">
        <v>0</v>
      </c>
      <c r="O84">
        <v>4.7983349999999999E-3</v>
      </c>
      <c r="P84">
        <v>0.99967589999999995</v>
      </c>
      <c r="Q84">
        <v>2.5122370000000002E-2</v>
      </c>
      <c r="R84">
        <v>4.1632040000000002E-3</v>
      </c>
      <c r="S84">
        <v>3.0015869999999998</v>
      </c>
      <c r="T84">
        <v>1.4927859999999999E-2</v>
      </c>
      <c r="U84">
        <v>-0.25454710000000003</v>
      </c>
      <c r="V84">
        <v>6.3471039999999995E-4</v>
      </c>
      <c r="W84">
        <v>3.728795E-2</v>
      </c>
      <c r="X84">
        <v>0.99930439999999998</v>
      </c>
      <c r="Y84">
        <v>8.9280269999999995E-2</v>
      </c>
      <c r="Z84">
        <v>2.4543440000000002E-4</v>
      </c>
      <c r="AA84">
        <v>0.99600650000000002</v>
      </c>
      <c r="AB84">
        <v>4</v>
      </c>
      <c r="AC84">
        <v>229.1574</v>
      </c>
      <c r="AD84">
        <v>1.1398619999999999</v>
      </c>
      <c r="AE84">
        <v>-19.436199999999999</v>
      </c>
      <c r="AF84">
        <v>20.535126985647299</v>
      </c>
      <c r="AG84">
        <v>1.1398619999999999</v>
      </c>
      <c r="AH84">
        <v>229.05586639480401</v>
      </c>
      <c r="AI84">
        <v>89.716017469730502</v>
      </c>
      <c r="AJ84">
        <v>84.877061814828906</v>
      </c>
      <c r="AK84">
        <v>229.97734813578899</v>
      </c>
      <c r="AL84">
        <v>87.863062529858595</v>
      </c>
      <c r="AM84">
        <v>89.963608463804604</v>
      </c>
      <c r="AN84">
        <v>1.00000003896592</v>
      </c>
    </row>
    <row r="85" spans="1:40" x14ac:dyDescent="0.25">
      <c r="A85" t="str">
        <f>"20190312160305522"</f>
        <v>20190312160305522</v>
      </c>
      <c r="B85" t="str">
        <f>"1552377785514483"</f>
        <v>1552377785514483</v>
      </c>
      <c r="C85" t="s">
        <v>40</v>
      </c>
      <c r="D85">
        <v>5.2910830000000004</v>
      </c>
      <c r="E85">
        <v>0.53384670000000001</v>
      </c>
      <c r="F85" t="s">
        <v>48</v>
      </c>
      <c r="G85">
        <v>-245.3451</v>
      </c>
      <c r="H85">
        <v>2.2965100000000001</v>
      </c>
      <c r="I85">
        <v>347.56810000000002</v>
      </c>
      <c r="J85">
        <v>-474.47370000000001</v>
      </c>
      <c r="K85">
        <v>1.1104210000000001</v>
      </c>
      <c r="L85">
        <v>367.23180000000002</v>
      </c>
      <c r="M85">
        <v>0.99992389999999998</v>
      </c>
      <c r="N85">
        <v>0</v>
      </c>
      <c r="O85">
        <v>4.8604159999999898E-3</v>
      </c>
      <c r="P85">
        <v>0.99964260000000005</v>
      </c>
      <c r="Q85">
        <v>2.639526E-2</v>
      </c>
      <c r="R85">
        <v>4.2933600000000004E-3</v>
      </c>
      <c r="S85">
        <v>3.0016780000000001</v>
      </c>
      <c r="T85">
        <v>1.5533689999999999E-2</v>
      </c>
      <c r="U85">
        <v>-0.25756839999999998</v>
      </c>
      <c r="V85">
        <v>5.6588579999999997E-4</v>
      </c>
      <c r="W85">
        <v>3.7738720000000003E-2</v>
      </c>
      <c r="X85">
        <v>0.9992875</v>
      </c>
      <c r="Y85">
        <v>9.0334600000000001E-2</v>
      </c>
      <c r="Z85">
        <v>2.5841969999999999E-4</v>
      </c>
      <c r="AA85">
        <v>0.9959114</v>
      </c>
      <c r="AB85">
        <v>5</v>
      </c>
      <c r="AC85">
        <v>229.12860000000001</v>
      </c>
      <c r="AD85">
        <v>1.1860889999999999</v>
      </c>
      <c r="AE85">
        <v>-19.663699999999999</v>
      </c>
      <c r="AF85">
        <v>20.776646948701099</v>
      </c>
      <c r="AG85">
        <v>1.1860889999999999</v>
      </c>
      <c r="AH85">
        <v>229.02422115411301</v>
      </c>
      <c r="AI85">
        <v>89.704488160857593</v>
      </c>
      <c r="AJ85">
        <v>84.816423376527396</v>
      </c>
      <c r="AK85">
        <v>229.96775804619901</v>
      </c>
      <c r="AL85">
        <v>87.837217077971701</v>
      </c>
      <c r="AM85">
        <v>89.967554017677003</v>
      </c>
      <c r="AN85">
        <v>1.00000001943511</v>
      </c>
    </row>
    <row r="86" spans="1:40" x14ac:dyDescent="0.25">
      <c r="A86" t="str">
        <f>"20190312160305542"</f>
        <v>20190312160305542</v>
      </c>
      <c r="B86" t="str">
        <f>"1552377785534979"</f>
        <v>1552377785534979</v>
      </c>
      <c r="C86" t="s">
        <v>40</v>
      </c>
      <c r="D86">
        <v>5.4403350000000001</v>
      </c>
      <c r="E86">
        <v>0.53481429999999996</v>
      </c>
      <c r="F86" t="s">
        <v>48</v>
      </c>
      <c r="G86">
        <v>-245.3451</v>
      </c>
      <c r="H86">
        <v>2.1203630000000002</v>
      </c>
      <c r="I86">
        <v>347.30849999999998</v>
      </c>
      <c r="J86">
        <v>-474.4246</v>
      </c>
      <c r="K86">
        <v>1.109993</v>
      </c>
      <c r="L86">
        <v>367.2321</v>
      </c>
      <c r="M86">
        <v>0.99993880000000002</v>
      </c>
      <c r="N86">
        <v>0</v>
      </c>
      <c r="O86">
        <v>4.9798890000000004E-3</v>
      </c>
      <c r="P86">
        <v>0.99959370000000003</v>
      </c>
      <c r="Q86">
        <v>2.8163279999999999E-2</v>
      </c>
      <c r="R86">
        <v>4.3904629999999998E-3</v>
      </c>
      <c r="S86">
        <v>3.0018310000000001</v>
      </c>
      <c r="T86">
        <v>1.323235E-2</v>
      </c>
      <c r="U86">
        <v>-0.26101679999999999</v>
      </c>
      <c r="V86">
        <v>5.8737540000000003E-4</v>
      </c>
      <c r="W86">
        <v>3.8035579999999999E-2</v>
      </c>
      <c r="X86">
        <v>0.99927619999999895</v>
      </c>
      <c r="Y86">
        <v>9.1585109999999997E-2</v>
      </c>
      <c r="Z86">
        <v>2.2338929999999999E-4</v>
      </c>
      <c r="AA86">
        <v>0.99579720000000005</v>
      </c>
      <c r="AB86">
        <v>5</v>
      </c>
      <c r="AC86">
        <v>229.0795</v>
      </c>
      <c r="AD86">
        <v>1.01037</v>
      </c>
      <c r="AE86">
        <v>-19.9236</v>
      </c>
      <c r="AF86">
        <v>21.063792404347002</v>
      </c>
      <c r="AG86">
        <v>1.01037</v>
      </c>
      <c r="AH86">
        <v>228.97301625040799</v>
      </c>
      <c r="AI86">
        <v>89.748240380449701</v>
      </c>
      <c r="AJ86">
        <v>84.744013104273705</v>
      </c>
      <c r="AK86">
        <v>229.942050023044</v>
      </c>
      <c r="AL86">
        <v>87.820195961962497</v>
      </c>
      <c r="AM86">
        <v>89.966321495964905</v>
      </c>
      <c r="AN86">
        <v>0.99999998712111804</v>
      </c>
    </row>
    <row r="87" spans="1:40" x14ac:dyDescent="0.25">
      <c r="A87" t="str">
        <f>"20190312160305555"</f>
        <v>20190312160305555</v>
      </c>
      <c r="B87" t="str">
        <f>"1552377785544739"</f>
        <v>1552377785544739</v>
      </c>
      <c r="C87" t="s">
        <v>40</v>
      </c>
      <c r="D87">
        <v>5.3495609999999996</v>
      </c>
      <c r="E87">
        <v>0.53504459999999998</v>
      </c>
      <c r="F87" t="s">
        <v>48</v>
      </c>
      <c r="G87">
        <v>-265.56060000000002</v>
      </c>
      <c r="H87">
        <v>2.0354939999999999</v>
      </c>
      <c r="I87">
        <v>348.51170000000002</v>
      </c>
      <c r="J87">
        <v>-474.39280000000002</v>
      </c>
      <c r="K87">
        <v>1.109799</v>
      </c>
      <c r="L87">
        <v>367.23239999999998</v>
      </c>
      <c r="M87">
        <v>0.999946</v>
      </c>
      <c r="N87">
        <v>0</v>
      </c>
      <c r="O87">
        <v>5.0632969999999996E-3</v>
      </c>
      <c r="P87">
        <v>0.99956970000000001</v>
      </c>
      <c r="Q87">
        <v>2.9000749999999999E-2</v>
      </c>
      <c r="R87">
        <v>4.3762330000000002E-3</v>
      </c>
      <c r="S87">
        <v>3.0020449999999999</v>
      </c>
      <c r="T87">
        <v>1.3303519999999999E-2</v>
      </c>
      <c r="U87">
        <v>-0.26907350000000002</v>
      </c>
      <c r="V87">
        <v>6.8423399999999895E-4</v>
      </c>
      <c r="W87">
        <v>3.8067980000000001E-2</v>
      </c>
      <c r="X87">
        <v>0.99927489999999997</v>
      </c>
      <c r="Y87">
        <v>9.4313380000000002E-2</v>
      </c>
      <c r="Z87">
        <v>2.3095019999999999E-4</v>
      </c>
      <c r="AA87">
        <v>0.9955425</v>
      </c>
      <c r="AB87">
        <v>5</v>
      </c>
      <c r="AC87">
        <v>208.8322</v>
      </c>
      <c r="AD87">
        <v>0.92569500000000005</v>
      </c>
      <c r="AE87">
        <v>-18.720699999999901</v>
      </c>
      <c r="AF87">
        <v>19.777497494590801</v>
      </c>
      <c r="AG87">
        <v>0.92569500000000005</v>
      </c>
      <c r="AH87">
        <v>208.73066182481099</v>
      </c>
      <c r="AI87">
        <v>89.747034863074902</v>
      </c>
      <c r="AJ87">
        <v>84.5873109464507</v>
      </c>
      <c r="AK87">
        <v>209.66758334135801</v>
      </c>
      <c r="AL87">
        <v>87.818338223222298</v>
      </c>
      <c r="AM87">
        <v>89.9607678384873</v>
      </c>
      <c r="AN87">
        <v>0.99999998252372801</v>
      </c>
    </row>
    <row r="88" spans="1:40" x14ac:dyDescent="0.25">
      <c r="A88" t="str">
        <f>"20190312160305570"</f>
        <v>20190312160305570</v>
      </c>
      <c r="B88" t="str">
        <f>"1552377785565234"</f>
        <v>1552377785565234</v>
      </c>
      <c r="C88" t="s">
        <v>40</v>
      </c>
      <c r="D88">
        <v>5.4672780000000003</v>
      </c>
      <c r="E88">
        <v>0.53467039999999999</v>
      </c>
      <c r="F88" t="s">
        <v>48</v>
      </c>
      <c r="G88">
        <v>-266.83190000000002</v>
      </c>
      <c r="H88">
        <v>2.4698869999999999</v>
      </c>
      <c r="I88">
        <v>348.51170000000002</v>
      </c>
      <c r="J88">
        <v>-474.35469999999998</v>
      </c>
      <c r="K88">
        <v>1.1096839999999999</v>
      </c>
      <c r="L88">
        <v>367.23270000000002</v>
      </c>
      <c r="M88">
        <v>0.99995109999999998</v>
      </c>
      <c r="N88">
        <v>0</v>
      </c>
      <c r="O88">
        <v>5.1636529999999998E-3</v>
      </c>
      <c r="P88">
        <v>0.99954430000000005</v>
      </c>
      <c r="Q88">
        <v>2.9863399999999998E-2</v>
      </c>
      <c r="R88">
        <v>4.4284770000000001E-3</v>
      </c>
      <c r="S88">
        <v>3.0018919999999998</v>
      </c>
      <c r="T88">
        <v>1.967168E-2</v>
      </c>
      <c r="U88">
        <v>-0.27075199999999999</v>
      </c>
      <c r="V88">
        <v>7.3147299999999995E-4</v>
      </c>
      <c r="W88">
        <v>3.8310509999999999E-2</v>
      </c>
      <c r="X88">
        <v>0.99926559999999998</v>
      </c>
      <c r="Y88">
        <v>9.4968759999999999E-2</v>
      </c>
      <c r="Z88">
        <v>3.4430810000000002E-4</v>
      </c>
      <c r="AA88">
        <v>0.99548020000000004</v>
      </c>
      <c r="AB88">
        <v>6</v>
      </c>
      <c r="AC88">
        <v>207.52279999999999</v>
      </c>
      <c r="AD88">
        <v>1.3602029999999901</v>
      </c>
      <c r="AE88">
        <v>-18.721</v>
      </c>
      <c r="AF88">
        <v>19.791520839767699</v>
      </c>
      <c r="AG88">
        <v>1.3602029999999901</v>
      </c>
      <c r="AH88">
        <v>207.414522142983</v>
      </c>
      <c r="AI88">
        <v>89.625964475604405</v>
      </c>
      <c r="AJ88">
        <v>84.549332026970006</v>
      </c>
      <c r="AK88">
        <v>208.361077087719</v>
      </c>
      <c r="AL88">
        <v>87.804432138360696</v>
      </c>
      <c r="AM88">
        <v>89.9580588902069</v>
      </c>
      <c r="AN88">
        <v>0.99999998478628405</v>
      </c>
    </row>
    <row r="89" spans="1:40" x14ac:dyDescent="0.25">
      <c r="A89" t="str">
        <f>"20190312160305587"</f>
        <v>20190312160305587</v>
      </c>
      <c r="B89" t="str">
        <f>"1552377785584755"</f>
        <v>1552377785584755</v>
      </c>
      <c r="C89" t="s">
        <v>40</v>
      </c>
      <c r="D89">
        <v>5.2083649999999997</v>
      </c>
      <c r="E89">
        <v>0.49363639999999998</v>
      </c>
      <c r="F89" t="s">
        <v>48</v>
      </c>
      <c r="G89">
        <v>-264.60230000000001</v>
      </c>
      <c r="H89">
        <v>2.2877839999999998</v>
      </c>
      <c r="I89">
        <v>348.51170000000002</v>
      </c>
      <c r="J89">
        <v>-474.31299999999999</v>
      </c>
      <c r="K89">
        <v>1.109952</v>
      </c>
      <c r="L89">
        <v>367.233</v>
      </c>
      <c r="M89">
        <v>0.99994470000000002</v>
      </c>
      <c r="N89">
        <v>0</v>
      </c>
      <c r="O89">
        <v>5.2607770000000003E-3</v>
      </c>
      <c r="P89">
        <v>0.99953930000000002</v>
      </c>
      <c r="Q89">
        <v>2.9958370000000002E-2</v>
      </c>
      <c r="R89">
        <v>4.8915199999999999E-3</v>
      </c>
      <c r="S89">
        <v>3.002075</v>
      </c>
      <c r="T89">
        <v>1.686263E-2</v>
      </c>
      <c r="U89">
        <v>-0.26794430000000002</v>
      </c>
      <c r="V89">
        <v>3.6579009999999999E-4</v>
      </c>
      <c r="W89">
        <v>3.9056199999999902E-2</v>
      </c>
      <c r="X89">
        <v>0.99923689999999998</v>
      </c>
      <c r="Y89">
        <v>9.4137020000000002E-2</v>
      </c>
      <c r="Z89">
        <v>2.9335059999999999E-4</v>
      </c>
      <c r="AA89">
        <v>0.99555919999999998</v>
      </c>
      <c r="AB89">
        <v>6</v>
      </c>
      <c r="AC89">
        <v>209.7107</v>
      </c>
      <c r="AD89">
        <v>1.17783199999999</v>
      </c>
      <c r="AE89">
        <v>-18.7212999999999</v>
      </c>
      <c r="AF89">
        <v>19.823707497107701</v>
      </c>
      <c r="AG89">
        <v>1.17783199999999</v>
      </c>
      <c r="AH89">
        <v>209.60274555226999</v>
      </c>
      <c r="AI89">
        <v>89.679468469143899</v>
      </c>
      <c r="AJ89">
        <v>84.597178365354097</v>
      </c>
      <c r="AK89">
        <v>210.54139167916799</v>
      </c>
      <c r="AL89">
        <v>87.761675169487006</v>
      </c>
      <c r="AM89">
        <v>89.979025766580904</v>
      </c>
      <c r="AN89">
        <v>0.999999951441222</v>
      </c>
    </row>
    <row r="90" spans="1:40" x14ac:dyDescent="0.25">
      <c r="A90" t="str">
        <f>"20190312160305601"</f>
        <v>20190312160305601</v>
      </c>
      <c r="B90" t="str">
        <f>"1552377785594515"</f>
        <v>1552377785594515</v>
      </c>
      <c r="C90" t="s">
        <v>40</v>
      </c>
      <c r="D90">
        <v>5.2872279999999998</v>
      </c>
      <c r="E90">
        <v>0.49428240000000001</v>
      </c>
      <c r="F90" t="s">
        <v>43</v>
      </c>
      <c r="G90">
        <v>-418.7568</v>
      </c>
      <c r="H90">
        <v>-0.05</v>
      </c>
      <c r="I90">
        <v>368.28480000000002</v>
      </c>
      <c r="J90">
        <v>-474.28219999999999</v>
      </c>
      <c r="K90">
        <v>1.1102920000000001</v>
      </c>
      <c r="L90">
        <v>367.23329999999999</v>
      </c>
      <c r="M90">
        <v>0.99993339999999997</v>
      </c>
      <c r="N90">
        <v>0</v>
      </c>
      <c r="O90">
        <v>5.3210489999999996E-3</v>
      </c>
      <c r="P90">
        <v>0.99957050000000003</v>
      </c>
      <c r="Q90">
        <v>2.8981750000000001E-2</v>
      </c>
      <c r="R90">
        <v>4.3815870000000002E-3</v>
      </c>
      <c r="S90">
        <v>3.0029910000000002</v>
      </c>
      <c r="T90">
        <v>-6.2699080000000004E-2</v>
      </c>
      <c r="U90">
        <v>5.6854250000000002E-2</v>
      </c>
      <c r="V90">
        <v>9.3684529999999995E-4</v>
      </c>
      <c r="W90">
        <v>3.9225349999999999E-2</v>
      </c>
      <c r="X90">
        <v>0.99922999999999995</v>
      </c>
      <c r="Y90">
        <v>-1.3606699999999999E-2</v>
      </c>
      <c r="Z90" s="1">
        <v>3.0938649999999999E-5</v>
      </c>
      <c r="AA90">
        <v>0.9999074</v>
      </c>
      <c r="AB90">
        <v>5</v>
      </c>
      <c r="AC90">
        <v>55.525399999999898</v>
      </c>
      <c r="AD90">
        <v>-1.1602920000000001</v>
      </c>
      <c r="AE90">
        <v>1.0515000000000301</v>
      </c>
      <c r="AF90">
        <v>-0.755686377604882</v>
      </c>
      <c r="AG90">
        <v>-1.1602920000000001</v>
      </c>
      <c r="AH90">
        <v>55.505980240228801</v>
      </c>
      <c r="AI90">
        <v>91.1974204566297</v>
      </c>
      <c r="AJ90">
        <v>90.780005416386302</v>
      </c>
      <c r="AK90">
        <v>55.523249021065297</v>
      </c>
      <c r="AL90">
        <v>87.751976375777005</v>
      </c>
      <c r="AM90">
        <v>89.946281370636697</v>
      </c>
      <c r="AN90">
        <v>1.0000000493308601</v>
      </c>
    </row>
    <row r="91" spans="1:40" x14ac:dyDescent="0.25">
      <c r="A91" t="str">
        <f>"20190312160305620"</f>
        <v>20190312160305620</v>
      </c>
      <c r="B91" t="str">
        <f>"1552377785615011"</f>
        <v>1552377785615011</v>
      </c>
      <c r="C91" t="s">
        <v>40</v>
      </c>
      <c r="D91">
        <v>5.118563</v>
      </c>
      <c r="E91">
        <v>0.49163499999999999</v>
      </c>
      <c r="F91" t="s">
        <v>41</v>
      </c>
      <c r="G91">
        <v>-348.0052</v>
      </c>
      <c r="H91" s="1">
        <v>-9.5632699999999996E-7</v>
      </c>
      <c r="I91">
        <v>369.43110000000001</v>
      </c>
      <c r="J91">
        <v>-474.23829999999998</v>
      </c>
      <c r="K91">
        <v>1.110509</v>
      </c>
      <c r="L91">
        <v>367.23360000000002</v>
      </c>
      <c r="M91">
        <v>0.99992409999999998</v>
      </c>
      <c r="N91">
        <v>0</v>
      </c>
      <c r="O91">
        <v>5.3997300000000002E-3</v>
      </c>
      <c r="P91">
        <v>0.99959569999999998</v>
      </c>
      <c r="Q91">
        <v>2.8049279999999999E-2</v>
      </c>
      <c r="R91">
        <v>4.6622970000000001E-3</v>
      </c>
      <c r="S91">
        <v>3.0018310000000001</v>
      </c>
      <c r="T91">
        <v>-2.6393650000000001E-2</v>
      </c>
      <c r="U91">
        <v>5.2246090000000002E-2</v>
      </c>
      <c r="V91">
        <v>7.3558E-4</v>
      </c>
      <c r="W91">
        <v>3.9125769999999997E-2</v>
      </c>
      <c r="X91">
        <v>0.99923399999999996</v>
      </c>
      <c r="Y91">
        <v>-1.200235E-2</v>
      </c>
      <c r="Z91" s="1">
        <v>5.2855499999999997E-6</v>
      </c>
      <c r="AA91">
        <v>0.99992800000000004</v>
      </c>
      <c r="AB91">
        <v>5</v>
      </c>
      <c r="AC91">
        <v>126.233099999999</v>
      </c>
      <c r="AD91">
        <v>-1.110509956327</v>
      </c>
      <c r="AE91">
        <v>2.19749999999999</v>
      </c>
      <c r="AF91">
        <v>-1.5156842353978299</v>
      </c>
      <c r="AG91">
        <v>-1.110509956327</v>
      </c>
      <c r="AH91">
        <v>126.233359555406</v>
      </c>
      <c r="AI91">
        <v>90.503997570868506</v>
      </c>
      <c r="AJ91">
        <v>90.687917497661203</v>
      </c>
      <c r="AK91">
        <v>126.247342925342</v>
      </c>
      <c r="AL91">
        <v>87.7576861098687</v>
      </c>
      <c r="AM91">
        <v>89.957822069824203</v>
      </c>
      <c r="AN91">
        <v>0.99999997685601405</v>
      </c>
    </row>
    <row r="92" spans="1:40" x14ac:dyDescent="0.25">
      <c r="A92" t="str">
        <f>"20190312160305634"</f>
        <v>20190312160305634</v>
      </c>
      <c r="B92" t="str">
        <f>"1552377785624772"</f>
        <v>1552377785624772</v>
      </c>
      <c r="C92" t="s">
        <v>40</v>
      </c>
      <c r="D92">
        <v>5.265657</v>
      </c>
      <c r="E92">
        <v>0.49223640000000002</v>
      </c>
      <c r="F92" t="s">
        <v>42</v>
      </c>
      <c r="G92">
        <v>-158.19499999999999</v>
      </c>
      <c r="H92">
        <v>0.35389609999999999</v>
      </c>
      <c r="I92">
        <v>375.21359999999999</v>
      </c>
      <c r="J92">
        <v>-474.2054</v>
      </c>
      <c r="K92">
        <v>1.1104240000000001</v>
      </c>
      <c r="L92">
        <v>367.23390000000001</v>
      </c>
      <c r="M92">
        <v>0.99992599999999998</v>
      </c>
      <c r="N92">
        <v>0</v>
      </c>
      <c r="O92">
        <v>5.4625589999999996E-3</v>
      </c>
      <c r="P92">
        <v>0.99959039999999999</v>
      </c>
      <c r="Q92">
        <v>2.830978E-2</v>
      </c>
      <c r="R92">
        <v>4.2257110000000001E-3</v>
      </c>
      <c r="S92">
        <v>3.0010379999999999</v>
      </c>
      <c r="T92">
        <v>-7.183671E-3</v>
      </c>
      <c r="U92">
        <v>7.5775149999999999E-2</v>
      </c>
      <c r="V92">
        <v>1.2347619999999999E-3</v>
      </c>
      <c r="W92">
        <v>3.9181519999999997E-2</v>
      </c>
      <c r="X92">
        <v>0.99923130000000004</v>
      </c>
      <c r="Y92">
        <v>-1.978005E-2</v>
      </c>
      <c r="Z92" s="1">
        <v>1.059595E-5</v>
      </c>
      <c r="AA92">
        <v>0.99980440000000004</v>
      </c>
      <c r="AB92">
        <v>5</v>
      </c>
      <c r="AC92">
        <v>316.0104</v>
      </c>
      <c r="AD92">
        <v>-0.75652790000000003</v>
      </c>
      <c r="AE92">
        <v>7.9796999999999798</v>
      </c>
      <c r="AF92">
        <v>-6.2532176692638597</v>
      </c>
      <c r="AG92">
        <v>-0.75652790000000003</v>
      </c>
      <c r="AH92">
        <v>316.047466577313</v>
      </c>
      <c r="AI92">
        <v>90.137122729046695</v>
      </c>
      <c r="AJ92">
        <v>91.133488722149295</v>
      </c>
      <c r="AK92">
        <v>316.110227919978</v>
      </c>
      <c r="AL92">
        <v>87.754489366449306</v>
      </c>
      <c r="AM92">
        <v>89.929198959947001</v>
      </c>
      <c r="AN92">
        <v>0.99999995352319704</v>
      </c>
    </row>
    <row r="93" spans="1:40" x14ac:dyDescent="0.25">
      <c r="A93" t="str">
        <f>"20190312160305647"</f>
        <v>20190312160305647</v>
      </c>
      <c r="B93" t="str">
        <f>"1552377785645266"</f>
        <v>1552377785645266</v>
      </c>
      <c r="C93" t="s">
        <v>40</v>
      </c>
      <c r="D93">
        <v>5.2482620000000004</v>
      </c>
      <c r="E93">
        <v>0.49297180000000002</v>
      </c>
      <c r="F93" t="s">
        <v>42</v>
      </c>
      <c r="G93">
        <v>-158.19499999999999</v>
      </c>
      <c r="H93">
        <v>7.9986570000000007E-2</v>
      </c>
      <c r="I93">
        <v>374.5247</v>
      </c>
      <c r="J93">
        <v>-474.17360000000002</v>
      </c>
      <c r="K93">
        <v>1.1102179999999999</v>
      </c>
      <c r="L93">
        <v>367.23410000000001</v>
      </c>
      <c r="M93">
        <v>0.9999325</v>
      </c>
      <c r="N93">
        <v>0</v>
      </c>
      <c r="O93">
        <v>5.528051E-3</v>
      </c>
      <c r="P93">
        <v>0.99957220000000002</v>
      </c>
      <c r="Q93">
        <v>2.891666E-2</v>
      </c>
      <c r="R93">
        <v>4.4229380000000004E-3</v>
      </c>
      <c r="S93">
        <v>3.0012819999999998</v>
      </c>
      <c r="T93">
        <v>-9.7856520000000006E-3</v>
      </c>
      <c r="U93">
        <v>6.9244379999999994E-2</v>
      </c>
      <c r="V93">
        <v>1.1025849999999999E-3</v>
      </c>
      <c r="W93">
        <v>3.9146739999999999E-2</v>
      </c>
      <c r="X93">
        <v>0.99923289999999998</v>
      </c>
      <c r="Y93">
        <v>-1.7538189999999999E-2</v>
      </c>
      <c r="Z93" s="1">
        <v>1.056537E-5</v>
      </c>
      <c r="AA93">
        <v>0.99984620000000002</v>
      </c>
      <c r="AB93">
        <v>5</v>
      </c>
      <c r="AC93">
        <v>315.97859999999997</v>
      </c>
      <c r="AD93">
        <v>-1.0302314299999999</v>
      </c>
      <c r="AE93">
        <v>7.29059999999998</v>
      </c>
      <c r="AF93">
        <v>-5.5435926551314898</v>
      </c>
      <c r="AG93">
        <v>-1.0302314299999999</v>
      </c>
      <c r="AH93">
        <v>316.01071875337601</v>
      </c>
      <c r="AI93">
        <v>90.186761460632098</v>
      </c>
      <c r="AJ93">
        <v>91.005003527097401</v>
      </c>
      <c r="AK93">
        <v>316.06101810149102</v>
      </c>
      <c r="AL93">
        <v>87.756483828227502</v>
      </c>
      <c r="AM93">
        <v>89.936778061035298</v>
      </c>
      <c r="AN93">
        <v>1.0000000356943499</v>
      </c>
    </row>
    <row r="94" spans="1:40" x14ac:dyDescent="0.25">
      <c r="A94" t="str">
        <f>"20190312160305664"</f>
        <v>20190312160305664</v>
      </c>
      <c r="B94" t="str">
        <f>"1552377785655027"</f>
        <v>1552377785655027</v>
      </c>
      <c r="C94" t="s">
        <v>40</v>
      </c>
      <c r="D94">
        <v>5.3309870000000004</v>
      </c>
      <c r="E94">
        <v>0.49274519999999999</v>
      </c>
      <c r="F94" t="s">
        <v>41</v>
      </c>
      <c r="G94">
        <v>-321.90499999999997</v>
      </c>
      <c r="H94" s="1">
        <v>-3.6717509999999999E-6</v>
      </c>
      <c r="I94">
        <v>370.43090000000001</v>
      </c>
      <c r="J94">
        <v>-474.12490000000003</v>
      </c>
      <c r="K94">
        <v>1.109853</v>
      </c>
      <c r="L94">
        <v>367.23450000000003</v>
      </c>
      <c r="M94">
        <v>0.99994470000000002</v>
      </c>
      <c r="N94">
        <v>0</v>
      </c>
      <c r="O94">
        <v>5.6480940000000002E-3</v>
      </c>
      <c r="P94">
        <v>0.99955079999999996</v>
      </c>
      <c r="Q94">
        <v>2.9718459999999999E-2</v>
      </c>
      <c r="R94">
        <v>3.911571E-3</v>
      </c>
      <c r="S94">
        <v>3.0016479999999999</v>
      </c>
      <c r="T94">
        <v>-2.188563E-2</v>
      </c>
      <c r="U94">
        <v>6.30188E-2</v>
      </c>
      <c r="V94">
        <v>1.733372E-3</v>
      </c>
      <c r="W94">
        <v>3.8592120000000001E-2</v>
      </c>
      <c r="X94">
        <v>0.99925359999999996</v>
      </c>
      <c r="Y94">
        <v>-1.5342450000000001E-2</v>
      </c>
      <c r="Z94" s="1">
        <v>1.474838E-5</v>
      </c>
      <c r="AA94">
        <v>0.9998823</v>
      </c>
      <c r="AB94">
        <v>6</v>
      </c>
      <c r="AC94">
        <v>152.2199</v>
      </c>
      <c r="AD94">
        <v>-1.1098566717509999</v>
      </c>
      <c r="AE94">
        <v>3.1963999999999801</v>
      </c>
      <c r="AF94">
        <v>-2.33643872402362</v>
      </c>
      <c r="AG94">
        <v>-1.1098566717509999</v>
      </c>
      <c r="AH94">
        <v>152.22743713188501</v>
      </c>
      <c r="AI94">
        <v>90.417674299582401</v>
      </c>
      <c r="AJ94">
        <v>90.879326159240406</v>
      </c>
      <c r="AK94">
        <v>152.249411635923</v>
      </c>
      <c r="AL94">
        <v>87.788285291624902</v>
      </c>
      <c r="AM94">
        <v>89.900611015750897</v>
      </c>
      <c r="AN94">
        <v>1.0000000567087699</v>
      </c>
    </row>
    <row r="95" spans="1:40" x14ac:dyDescent="0.25">
      <c r="A95" t="str">
        <f>"20190312160305678"</f>
        <v>20190312160305678</v>
      </c>
      <c r="B95" t="str">
        <f>"1552377785674547"</f>
        <v>1552377785674547</v>
      </c>
      <c r="C95" t="s">
        <v>40</v>
      </c>
      <c r="D95">
        <v>5.342454</v>
      </c>
      <c r="E95">
        <v>0.4933922</v>
      </c>
      <c r="F95" t="s">
        <v>41</v>
      </c>
      <c r="G95">
        <v>-322.69209999999998</v>
      </c>
      <c r="H95" s="1">
        <v>-3.3327919999999999E-6</v>
      </c>
      <c r="I95">
        <v>370.42590000000001</v>
      </c>
      <c r="J95">
        <v>-474.089</v>
      </c>
      <c r="K95">
        <v>1.1096649999999999</v>
      </c>
      <c r="L95">
        <v>367.23480000000001</v>
      </c>
      <c r="M95">
        <v>0.99995100000000003</v>
      </c>
      <c r="N95">
        <v>0</v>
      </c>
      <c r="O95">
        <v>5.7423480000000004E-3</v>
      </c>
      <c r="P95">
        <v>0.99951500000000004</v>
      </c>
      <c r="Q95">
        <v>3.0901290000000001E-2</v>
      </c>
      <c r="R95">
        <v>3.8655009999999999E-3</v>
      </c>
      <c r="S95">
        <v>3.00177</v>
      </c>
      <c r="T95">
        <v>-2.200007E-2</v>
      </c>
      <c r="U95">
        <v>6.3262940000000004E-2</v>
      </c>
      <c r="V95">
        <v>1.8730789999999999E-3</v>
      </c>
      <c r="W95">
        <v>3.8967109999999999E-2</v>
      </c>
      <c r="X95">
        <v>0.99923870000000004</v>
      </c>
      <c r="Y95">
        <v>-1.5328670000000001E-2</v>
      </c>
      <c r="Z95" s="1">
        <v>1.408401E-5</v>
      </c>
      <c r="AA95">
        <v>0.99988250000000001</v>
      </c>
      <c r="AB95">
        <v>6</v>
      </c>
      <c r="AC95">
        <v>151.39689999999999</v>
      </c>
      <c r="AD95">
        <v>-1.1096683327919901</v>
      </c>
      <c r="AE95">
        <v>3.1911</v>
      </c>
      <c r="AF95">
        <v>-2.3215207701994198</v>
      </c>
      <c r="AG95">
        <v>-1.1096683327919901</v>
      </c>
      <c r="AH95">
        <v>151.40459854597401</v>
      </c>
      <c r="AI95">
        <v>90.419872989842801</v>
      </c>
      <c r="AJ95">
        <v>90.878460236838094</v>
      </c>
      <c r="AK95">
        <v>151.42646163521999</v>
      </c>
      <c r="AL95">
        <v>87.766783562668607</v>
      </c>
      <c r="AM95">
        <v>89.892598839800698</v>
      </c>
      <c r="AN95">
        <v>0.99999996183218998</v>
      </c>
    </row>
    <row r="96" spans="1:40" x14ac:dyDescent="0.25">
      <c r="A96" t="str">
        <f>"20190312160305692"</f>
        <v>20190312160305692</v>
      </c>
      <c r="B96" t="str">
        <f>"1552377785685283"</f>
        <v>1552377785685283</v>
      </c>
      <c r="C96" t="s">
        <v>40</v>
      </c>
      <c r="D96">
        <v>5.3470190000000004</v>
      </c>
      <c r="E96">
        <v>0.49346909999999999</v>
      </c>
      <c r="F96" t="s">
        <v>41</v>
      </c>
      <c r="G96">
        <v>-325.68340000000001</v>
      </c>
      <c r="H96" s="1">
        <v>-1.96151E-6</v>
      </c>
      <c r="I96">
        <v>370.09519999999998</v>
      </c>
      <c r="J96">
        <v>-474.05369999999999</v>
      </c>
      <c r="K96">
        <v>1.1096189999999999</v>
      </c>
      <c r="L96">
        <v>367.23509999999999</v>
      </c>
      <c r="M96">
        <v>0.99995330000000004</v>
      </c>
      <c r="N96">
        <v>0</v>
      </c>
      <c r="O96">
        <v>5.8320840000000004E-3</v>
      </c>
      <c r="P96">
        <v>0.99950470000000002</v>
      </c>
      <c r="Q96">
        <v>3.1237460000000002E-2</v>
      </c>
      <c r="R96">
        <v>3.8357230000000001E-3</v>
      </c>
      <c r="S96">
        <v>3.0019230000000001</v>
      </c>
      <c r="T96">
        <v>-2.244616E-2</v>
      </c>
      <c r="U96">
        <v>5.7861330000000002E-2</v>
      </c>
      <c r="V96">
        <v>1.9920649999999999E-3</v>
      </c>
      <c r="W96">
        <v>3.893804E-2</v>
      </c>
      <c r="X96">
        <v>0.99923960000000001</v>
      </c>
      <c r="Y96">
        <v>-1.343946E-2</v>
      </c>
      <c r="Z96" s="1">
        <v>6.6359719999999997E-6</v>
      </c>
      <c r="AA96">
        <v>0.99990970000000001</v>
      </c>
      <c r="AB96">
        <v>6</v>
      </c>
      <c r="AC96">
        <v>148.37029999999999</v>
      </c>
      <c r="AD96">
        <v>-1.1096209615099999</v>
      </c>
      <c r="AE96">
        <v>2.8600999999999801</v>
      </c>
      <c r="AF96">
        <v>-1.9946060896881299</v>
      </c>
      <c r="AG96">
        <v>-1.1096209615099999</v>
      </c>
      <c r="AH96">
        <v>148.37616159544001</v>
      </c>
      <c r="AI96">
        <v>90.4284358665208</v>
      </c>
      <c r="AJ96">
        <v>90.770175115662298</v>
      </c>
      <c r="AK96">
        <v>148.39371631550799</v>
      </c>
      <c r="AL96">
        <v>87.768450409191303</v>
      </c>
      <c r="AM96">
        <v>89.885776378549394</v>
      </c>
      <c r="AN96">
        <v>0.99999995874508196</v>
      </c>
    </row>
    <row r="97" spans="1:40" x14ac:dyDescent="0.25">
      <c r="A97" t="str">
        <f>"20190312160305709"</f>
        <v>20190312160305709</v>
      </c>
      <c r="B97" t="str">
        <f>"1552377785704804"</f>
        <v>1552377785704804</v>
      </c>
      <c r="C97" t="s">
        <v>40</v>
      </c>
      <c r="D97">
        <v>5.3539680000000001</v>
      </c>
      <c r="E97">
        <v>0.49367179999999999</v>
      </c>
      <c r="F97" t="s">
        <v>41</v>
      </c>
      <c r="G97">
        <v>-331.06189999999998</v>
      </c>
      <c r="H97" s="1">
        <v>-3.9063880000000001E-6</v>
      </c>
      <c r="I97">
        <v>369.95330000000001</v>
      </c>
      <c r="J97">
        <v>-474.0077</v>
      </c>
      <c r="K97">
        <v>1.1099220000000001</v>
      </c>
      <c r="L97">
        <v>367.2355</v>
      </c>
      <c r="M97">
        <v>0.99994609999999995</v>
      </c>
      <c r="N97">
        <v>0</v>
      </c>
      <c r="O97">
        <v>5.9364800000000001E-3</v>
      </c>
      <c r="P97">
        <v>0.99952399999999997</v>
      </c>
      <c r="Q97">
        <v>3.0586350000000002E-2</v>
      </c>
      <c r="R97">
        <v>4.0403030000000003E-3</v>
      </c>
      <c r="S97">
        <v>3.0019230000000001</v>
      </c>
      <c r="T97">
        <v>-2.3295039999999999E-2</v>
      </c>
      <c r="U97">
        <v>5.706787E-2</v>
      </c>
      <c r="V97">
        <v>1.8925089999999999E-3</v>
      </c>
      <c r="W97">
        <v>3.908909E-2</v>
      </c>
      <c r="X97">
        <v>0.99923399999999996</v>
      </c>
      <c r="Y97">
        <v>-1.307084E-2</v>
      </c>
      <c r="Z97" s="1">
        <v>4.6464769999999999E-6</v>
      </c>
      <c r="AA97">
        <v>0.99991459999999999</v>
      </c>
      <c r="AB97">
        <v>6</v>
      </c>
      <c r="AC97">
        <v>142.94579999999999</v>
      </c>
      <c r="AD97">
        <v>-1.10992590638799</v>
      </c>
      <c r="AE97">
        <v>2.7178000000000102</v>
      </c>
      <c r="AF97">
        <v>-1.8690137944452401</v>
      </c>
      <c r="AG97">
        <v>-1.10992590638799</v>
      </c>
      <c r="AH97">
        <v>142.950800325155</v>
      </c>
      <c r="AI97">
        <v>90.444819878644793</v>
      </c>
      <c r="AJ97">
        <v>90.749072413353403</v>
      </c>
      <c r="AK97">
        <v>142.967326552901</v>
      </c>
      <c r="AL97">
        <v>87.759789520345294</v>
      </c>
      <c r="AM97">
        <v>89.891484228180403</v>
      </c>
      <c r="AN97">
        <v>1.0000000626516601</v>
      </c>
    </row>
    <row r="98" spans="1:40" x14ac:dyDescent="0.25">
      <c r="A98" t="str">
        <f>"20190312160305723"</f>
        <v>20190312160305723</v>
      </c>
      <c r="B98" t="str">
        <f>"1552377785714562"</f>
        <v>1552377785714562</v>
      </c>
      <c r="C98" t="s">
        <v>40</v>
      </c>
      <c r="D98">
        <v>5.3776630000000001</v>
      </c>
      <c r="E98">
        <v>0.49373719999999999</v>
      </c>
      <c r="F98" t="s">
        <v>41</v>
      </c>
      <c r="G98">
        <v>-358.10309999999998</v>
      </c>
      <c r="H98" s="1">
        <v>-8.3596069999999997E-7</v>
      </c>
      <c r="I98">
        <v>369.39159999999998</v>
      </c>
      <c r="J98">
        <v>-473.97609999999997</v>
      </c>
      <c r="K98">
        <v>1.110257</v>
      </c>
      <c r="L98">
        <v>367.23570000000001</v>
      </c>
      <c r="M98">
        <v>0.99993569999999998</v>
      </c>
      <c r="N98">
        <v>0</v>
      </c>
      <c r="O98">
        <v>5.9994009999999997E-3</v>
      </c>
      <c r="P98">
        <v>0.99955609999999995</v>
      </c>
      <c r="Q98">
        <v>2.9529940000000001E-2</v>
      </c>
      <c r="R98">
        <v>3.9310710000000004E-3</v>
      </c>
      <c r="S98">
        <v>3.002075</v>
      </c>
      <c r="T98">
        <v>-2.8748389999999999E-2</v>
      </c>
      <c r="U98">
        <v>5.5847170000000002E-2</v>
      </c>
      <c r="V98">
        <v>2.0655840000000001E-3</v>
      </c>
      <c r="W98">
        <v>3.9145300000000001E-2</v>
      </c>
      <c r="X98">
        <v>0.99923139999999999</v>
      </c>
      <c r="Y98">
        <v>-1.260036E-2</v>
      </c>
      <c r="Z98" s="1">
        <v>2.8783940000000001E-6</v>
      </c>
      <c r="AA98">
        <v>0.99992060000000005</v>
      </c>
      <c r="AB98">
        <v>6</v>
      </c>
      <c r="AC98">
        <v>115.873</v>
      </c>
      <c r="AD98">
        <v>-1.1102578359606901</v>
      </c>
      <c r="AE98">
        <v>2.1558999999999702</v>
      </c>
      <c r="AF98">
        <v>-1.4605263735034799</v>
      </c>
      <c r="AG98">
        <v>-1.1102578359606901</v>
      </c>
      <c r="AH98">
        <v>115.87321472604501</v>
      </c>
      <c r="AI98">
        <v>90.548928322469806</v>
      </c>
      <c r="AJ98">
        <v>90.722147616769703</v>
      </c>
      <c r="AK98">
        <v>115.887737490635</v>
      </c>
      <c r="AL98">
        <v>87.756566330667397</v>
      </c>
      <c r="AM98">
        <v>89.881559890078094</v>
      </c>
      <c r="AN98">
        <v>1.0000000059476499</v>
      </c>
    </row>
    <row r="99" spans="1:40" x14ac:dyDescent="0.25">
      <c r="A99" t="str">
        <f>"20190312160305735"</f>
        <v>20190312160305735</v>
      </c>
      <c r="B99" t="str">
        <f>"1552377785724324"</f>
        <v>1552377785724324</v>
      </c>
      <c r="C99" t="s">
        <v>40</v>
      </c>
      <c r="D99">
        <v>5.3338979999999996</v>
      </c>
      <c r="E99">
        <v>0.49369390000000002</v>
      </c>
      <c r="F99" t="s">
        <v>41</v>
      </c>
      <c r="G99">
        <v>-368.57729999999998</v>
      </c>
      <c r="H99" s="1">
        <v>-6.7417679999999995E-7</v>
      </c>
      <c r="I99">
        <v>369.15679999999998</v>
      </c>
      <c r="J99">
        <v>-473.94779999999997</v>
      </c>
      <c r="K99">
        <v>1.110452</v>
      </c>
      <c r="L99">
        <v>367.23599999999999</v>
      </c>
      <c r="M99">
        <v>0.99992809999999999</v>
      </c>
      <c r="N99">
        <v>0</v>
      </c>
      <c r="O99">
        <v>6.0509750000000001E-3</v>
      </c>
      <c r="P99">
        <v>0.9995735</v>
      </c>
      <c r="Q99">
        <v>2.890554E-2</v>
      </c>
      <c r="R99">
        <v>4.1726310000000004E-3</v>
      </c>
      <c r="S99">
        <v>3.0020449999999999</v>
      </c>
      <c r="T99">
        <v>-3.1623129999999999E-2</v>
      </c>
      <c r="U99">
        <v>5.4718019999999999E-2</v>
      </c>
      <c r="V99">
        <v>1.8761330000000001E-3</v>
      </c>
      <c r="W99">
        <v>3.9254900000000002E-2</v>
      </c>
      <c r="X99">
        <v>0.99922750000000005</v>
      </c>
      <c r="Y99">
        <v>-1.217292E-2</v>
      </c>
      <c r="Z99" s="1">
        <v>3.7151039999999999E-7</v>
      </c>
      <c r="AA99">
        <v>0.99992590000000003</v>
      </c>
      <c r="AB99">
        <v>6</v>
      </c>
      <c r="AC99">
        <v>105.37050000000001</v>
      </c>
      <c r="AD99">
        <v>-1.1104526741767999</v>
      </c>
      <c r="AE99">
        <v>1.9207999999999801</v>
      </c>
      <c r="AF99">
        <v>-1.2829939553010501</v>
      </c>
      <c r="AG99">
        <v>-1.1104526741767999</v>
      </c>
      <c r="AH99">
        <v>105.368495622602</v>
      </c>
      <c r="AI99">
        <v>90.603759030817102</v>
      </c>
      <c r="AJ99">
        <v>90.697613701008294</v>
      </c>
      <c r="AK99">
        <v>105.382157163351</v>
      </c>
      <c r="AL99">
        <v>87.750281941340504</v>
      </c>
      <c r="AM99">
        <v>89.892422520008694</v>
      </c>
      <c r="AN99">
        <v>1.0000000319026401</v>
      </c>
    </row>
    <row r="100" spans="1:40" x14ac:dyDescent="0.25">
      <c r="A100" t="str">
        <f>"20190312160305755"</f>
        <v>20190312160305755</v>
      </c>
      <c r="B100" t="str">
        <f>"1552377785744819"</f>
        <v>1552377785744819</v>
      </c>
      <c r="C100" t="s">
        <v>40</v>
      </c>
      <c r="D100">
        <v>5.3182700000000001</v>
      </c>
      <c r="E100">
        <v>0.49383660000000001</v>
      </c>
      <c r="F100" t="s">
        <v>41</v>
      </c>
      <c r="G100">
        <v>-372.26280000000003</v>
      </c>
      <c r="H100" s="1">
        <v>-3.3867839999999999E-6</v>
      </c>
      <c r="I100">
        <v>369.13589999999999</v>
      </c>
      <c r="J100">
        <v>-473.89830000000001</v>
      </c>
      <c r="K100">
        <v>1.1105020000000001</v>
      </c>
      <c r="L100">
        <v>367.23649999999998</v>
      </c>
      <c r="M100">
        <v>0.99992409999999998</v>
      </c>
      <c r="N100">
        <v>0</v>
      </c>
      <c r="O100">
        <v>6.1420659999999998E-3</v>
      </c>
      <c r="P100">
        <v>0.99958000000000002</v>
      </c>
      <c r="Q100">
        <v>2.8607299999999999E-2</v>
      </c>
      <c r="R100">
        <v>4.6549979999999996E-3</v>
      </c>
      <c r="S100">
        <v>3.0019529999999999</v>
      </c>
      <c r="T100">
        <v>-3.2782909999999998E-2</v>
      </c>
      <c r="U100">
        <v>5.6091309999999998E-2</v>
      </c>
      <c r="V100">
        <v>1.4847739999999999E-3</v>
      </c>
      <c r="W100">
        <v>3.9278720000000003E-2</v>
      </c>
      <c r="X100">
        <v>0.99922719999999998</v>
      </c>
      <c r="Y100">
        <v>-1.25396E-2</v>
      </c>
      <c r="Z100" s="1">
        <v>1.3922040000000001E-6</v>
      </c>
      <c r="AA100">
        <v>0.99992139999999996</v>
      </c>
      <c r="AB100">
        <v>5</v>
      </c>
      <c r="AC100">
        <v>101.635499999999</v>
      </c>
      <c r="AD100">
        <v>-1.110505386784</v>
      </c>
      <c r="AE100">
        <v>1.89940000000001</v>
      </c>
      <c r="AF100">
        <v>-1.2749244582285699</v>
      </c>
      <c r="AG100">
        <v>-1.110505386784</v>
      </c>
      <c r="AH100">
        <v>101.633120316502</v>
      </c>
      <c r="AI100">
        <v>90.625974431862602</v>
      </c>
      <c r="AJ100">
        <v>90.718702320198403</v>
      </c>
      <c r="AK100">
        <v>101.64718294107701</v>
      </c>
      <c r="AL100">
        <v>87.748916052768806</v>
      </c>
      <c r="AM100">
        <v>89.914862984995395</v>
      </c>
      <c r="AN100">
        <v>1.0000000098092501</v>
      </c>
    </row>
    <row r="101" spans="1:40" x14ac:dyDescent="0.25">
      <c r="A101" t="str">
        <f>"20190312160305770"</f>
        <v>20190312160305770</v>
      </c>
      <c r="B101" t="str">
        <f>"1552377785764339"</f>
        <v>1552377785764339</v>
      </c>
      <c r="C101" t="s">
        <v>40</v>
      </c>
      <c r="D101">
        <v>5.3552910000000002</v>
      </c>
      <c r="E101">
        <v>0.49390469999999997</v>
      </c>
      <c r="F101" t="s">
        <v>41</v>
      </c>
      <c r="G101">
        <v>-371.12740000000002</v>
      </c>
      <c r="H101" s="1">
        <v>-3.8685140000000003E-6</v>
      </c>
      <c r="I101">
        <v>369.16609999999997</v>
      </c>
      <c r="J101">
        <v>-473.85910000000001</v>
      </c>
      <c r="K101">
        <v>1.1102860000000001</v>
      </c>
      <c r="L101">
        <v>367.23680000000002</v>
      </c>
      <c r="M101">
        <v>0.99993010000000004</v>
      </c>
      <c r="N101">
        <v>0</v>
      </c>
      <c r="O101">
        <v>6.2220019999999999E-3</v>
      </c>
      <c r="P101">
        <v>0.99955740000000004</v>
      </c>
      <c r="Q101">
        <v>2.9314670000000001E-2</v>
      </c>
      <c r="R101">
        <v>5.0279390000000004E-3</v>
      </c>
      <c r="S101">
        <v>3.0019230000000001</v>
      </c>
      <c r="T101">
        <v>-3.2437680000000003E-2</v>
      </c>
      <c r="U101">
        <v>5.6365970000000001E-2</v>
      </c>
      <c r="V101">
        <v>1.191363E-3</v>
      </c>
      <c r="W101">
        <v>3.9355429999999997E-2</v>
      </c>
      <c r="X101">
        <v>0.99922449999999996</v>
      </c>
      <c r="Y101">
        <v>-1.2551359999999999E-2</v>
      </c>
      <c r="Z101" s="1">
        <v>5.778784E-7</v>
      </c>
      <c r="AA101">
        <v>0.99992119999999995</v>
      </c>
      <c r="AB101">
        <v>5</v>
      </c>
      <c r="AC101">
        <v>102.7317</v>
      </c>
      <c r="AD101">
        <v>-1.1102898685139999</v>
      </c>
      <c r="AE101">
        <v>1.9292999999999501</v>
      </c>
      <c r="AF101">
        <v>-1.2898828876978901</v>
      </c>
      <c r="AG101">
        <v>-1.1102898685139999</v>
      </c>
      <c r="AH101">
        <v>102.72972077294099</v>
      </c>
      <c r="AI101">
        <v>90.619172648451894</v>
      </c>
      <c r="AJ101">
        <v>90.719372753224505</v>
      </c>
      <c r="AK101">
        <v>102.74381768039601</v>
      </c>
      <c r="AL101">
        <v>87.744517324408605</v>
      </c>
      <c r="AM101">
        <v>89.931686983832904</v>
      </c>
      <c r="AN101">
        <v>0.99999993530826403</v>
      </c>
    </row>
    <row r="102" spans="1:40" x14ac:dyDescent="0.25">
      <c r="A102" t="str">
        <f>"20190312160305788"</f>
        <v>20190312160305788</v>
      </c>
      <c r="B102" t="str">
        <f>"1552377785784835"</f>
        <v>1552377785784835</v>
      </c>
      <c r="C102" t="s">
        <v>40</v>
      </c>
      <c r="D102">
        <v>5.3049059999999999</v>
      </c>
      <c r="E102">
        <v>0.49398760000000003</v>
      </c>
      <c r="F102" t="s">
        <v>41</v>
      </c>
      <c r="G102">
        <v>-356.92320000000001</v>
      </c>
      <c r="H102" s="1">
        <v>-1.331925E-6</v>
      </c>
      <c r="I102">
        <v>369.44900000000001</v>
      </c>
      <c r="J102">
        <v>-473.80739999999997</v>
      </c>
      <c r="K102">
        <v>1.109918</v>
      </c>
      <c r="L102">
        <v>367.23719999999997</v>
      </c>
      <c r="M102">
        <v>0.99994170000000004</v>
      </c>
      <c r="N102">
        <v>0</v>
      </c>
      <c r="O102">
        <v>6.3421809999999997E-3</v>
      </c>
      <c r="P102">
        <v>0.99950649999999996</v>
      </c>
      <c r="Q102">
        <v>3.0899570000000001E-2</v>
      </c>
      <c r="R102">
        <v>5.6738650000000002E-3</v>
      </c>
      <c r="S102">
        <v>3.0018919999999998</v>
      </c>
      <c r="T102">
        <v>-2.850246E-2</v>
      </c>
      <c r="U102">
        <v>5.6793209999999997E-2</v>
      </c>
      <c r="V102">
        <v>6.6440909999999995E-4</v>
      </c>
      <c r="W102">
        <v>3.9640830000000002E-2</v>
      </c>
      <c r="X102">
        <v>0.99921380000000004</v>
      </c>
      <c r="Y102">
        <v>-1.257381E-2</v>
      </c>
      <c r="Z102" s="1">
        <v>-5.2589890000000005E-7</v>
      </c>
      <c r="AA102">
        <v>0.99992099999999995</v>
      </c>
      <c r="AB102">
        <v>6</v>
      </c>
      <c r="AC102">
        <v>116.884199999999</v>
      </c>
      <c r="AD102">
        <v>-1.109919331925</v>
      </c>
      <c r="AE102">
        <v>2.21180000000003</v>
      </c>
      <c r="AF102">
        <v>-1.47029391964528</v>
      </c>
      <c r="AG102">
        <v>-1.109919331925</v>
      </c>
      <c r="AH102">
        <v>116.885341236263</v>
      </c>
      <c r="AI102">
        <v>90.544009635213897</v>
      </c>
      <c r="AJ102">
        <v>90.720682273685597</v>
      </c>
      <c r="AK102">
        <v>116.899857489439</v>
      </c>
      <c r="AL102">
        <v>87.728152546812694</v>
      </c>
      <c r="AM102">
        <v>89.961902215832296</v>
      </c>
      <c r="AN102">
        <v>1.00000002747649</v>
      </c>
    </row>
    <row r="103" spans="1:40" x14ac:dyDescent="0.25">
      <c r="A103" t="str">
        <f>"20190312160305810"</f>
        <v>20190312160305810</v>
      </c>
      <c r="B103" t="str">
        <f>"1552377785804355"</f>
        <v>1552377785804355</v>
      </c>
      <c r="C103" t="s">
        <v>40</v>
      </c>
      <c r="D103">
        <v>5.3382759999999996</v>
      </c>
      <c r="E103">
        <v>0.49413699999999999</v>
      </c>
      <c r="F103" t="s">
        <v>41</v>
      </c>
      <c r="G103">
        <v>-329.7491</v>
      </c>
      <c r="H103" s="1">
        <v>-1.9964459999999999E-7</v>
      </c>
      <c r="I103">
        <v>370.02859999999998</v>
      </c>
      <c r="J103">
        <v>-473.74430000000001</v>
      </c>
      <c r="K103">
        <v>1.109618</v>
      </c>
      <c r="L103">
        <v>367.23779999999999</v>
      </c>
      <c r="M103">
        <v>0.99995109999999998</v>
      </c>
      <c r="N103">
        <v>0</v>
      </c>
      <c r="O103">
        <v>6.5023340000000002E-3</v>
      </c>
      <c r="P103">
        <v>0.99945010000000001</v>
      </c>
      <c r="Q103">
        <v>3.2569109999999998E-2</v>
      </c>
      <c r="R103">
        <v>6.2297809999999898E-3</v>
      </c>
      <c r="S103">
        <v>3.0018310000000001</v>
      </c>
      <c r="T103">
        <v>-2.3128030000000001E-2</v>
      </c>
      <c r="U103">
        <v>5.8166500000000003E-2</v>
      </c>
      <c r="V103">
        <v>2.6731170000000002E-4</v>
      </c>
      <c r="W103">
        <v>4.0011039999999998E-2</v>
      </c>
      <c r="X103">
        <v>0.99919919999999995</v>
      </c>
      <c r="Y103">
        <v>-1.2871479999999999E-2</v>
      </c>
      <c r="Z103" s="1">
        <v>-5.1335879999999997E-7</v>
      </c>
      <c r="AA103">
        <v>0.9999171</v>
      </c>
      <c r="AB103">
        <v>6</v>
      </c>
      <c r="AC103">
        <v>143.99520000000001</v>
      </c>
      <c r="AD103">
        <v>-1.1096181996446</v>
      </c>
      <c r="AE103">
        <v>2.7907999999999902</v>
      </c>
      <c r="AF103">
        <v>-1.8543000519235999</v>
      </c>
      <c r="AG103">
        <v>-1.1096181996446</v>
      </c>
      <c r="AH103">
        <v>144.00175510437501</v>
      </c>
      <c r="AI103">
        <v>90.441452337851501</v>
      </c>
      <c r="AJ103">
        <v>90.737752780621705</v>
      </c>
      <c r="AK103">
        <v>144.01796816499001</v>
      </c>
      <c r="AL103">
        <v>87.706924167331906</v>
      </c>
      <c r="AM103">
        <v>89.984671893393099</v>
      </c>
      <c r="AN103">
        <v>0.99999999802903305</v>
      </c>
    </row>
    <row r="104" spans="1:40" x14ac:dyDescent="0.25">
      <c r="A104" t="str">
        <f>"20190312160305822"</f>
        <v>20190312160305822</v>
      </c>
      <c r="B104" t="str">
        <f>"1552377785815091"</f>
        <v>1552377785815091</v>
      </c>
      <c r="C104" t="s">
        <v>40</v>
      </c>
      <c r="D104">
        <v>5.3330339999999996</v>
      </c>
      <c r="E104">
        <v>0.49420269999999999</v>
      </c>
      <c r="F104" t="s">
        <v>43</v>
      </c>
      <c r="G104">
        <v>-283.76330000000002</v>
      </c>
      <c r="H104">
        <v>-0.05</v>
      </c>
      <c r="I104">
        <v>370.9769</v>
      </c>
      <c r="J104">
        <v>-473.70589999999999</v>
      </c>
      <c r="K104">
        <v>1.109518</v>
      </c>
      <c r="L104">
        <v>367.23820000000001</v>
      </c>
      <c r="M104">
        <v>0.99995469999999997</v>
      </c>
      <c r="N104">
        <v>0</v>
      </c>
      <c r="O104">
        <v>6.604253E-3</v>
      </c>
      <c r="P104">
        <v>0.99943470000000001</v>
      </c>
      <c r="Q104">
        <v>3.3007839999999997E-2</v>
      </c>
      <c r="R104">
        <v>6.3837659999999999E-3</v>
      </c>
      <c r="S104">
        <v>3.001862</v>
      </c>
      <c r="T104">
        <v>-1.8322939999999999E-2</v>
      </c>
      <c r="U104">
        <v>5.9082030000000001E-2</v>
      </c>
      <c r="V104">
        <v>2.144941E-4</v>
      </c>
      <c r="W104">
        <v>3.9862380000000003E-2</v>
      </c>
      <c r="X104">
        <v>0.99920520000000002</v>
      </c>
      <c r="Y104">
        <v>-1.307431E-2</v>
      </c>
      <c r="Z104" s="1">
        <v>-4.095928E-7</v>
      </c>
      <c r="AA104">
        <v>0.99991450000000004</v>
      </c>
      <c r="AB104">
        <v>7</v>
      </c>
      <c r="AC104">
        <v>189.9426</v>
      </c>
      <c r="AD104">
        <v>-1.159518</v>
      </c>
      <c r="AE104">
        <v>3.7386999999999899</v>
      </c>
      <c r="AF104">
        <v>-2.48406747197527</v>
      </c>
      <c r="AG104">
        <v>-1.159518</v>
      </c>
      <c r="AH104">
        <v>189.95607325775001</v>
      </c>
      <c r="AI104">
        <v>90.349707075941097</v>
      </c>
      <c r="AJ104">
        <v>90.749217792789594</v>
      </c>
      <c r="AK104">
        <v>189.975853309575</v>
      </c>
      <c r="AL104">
        <v>87.715448662599101</v>
      </c>
      <c r="AM104">
        <v>89.987700617979399</v>
      </c>
      <c r="AN104">
        <v>1.00000004352701</v>
      </c>
    </row>
    <row r="105" spans="1:40" x14ac:dyDescent="0.25">
      <c r="A105" t="str">
        <f>"20190312160305836"</f>
        <v>20190312160305836</v>
      </c>
      <c r="B105" t="str">
        <f>"1552377785824851"</f>
        <v>1552377785824851</v>
      </c>
      <c r="C105" t="s">
        <v>40</v>
      </c>
      <c r="D105">
        <v>5.3401889999999996</v>
      </c>
      <c r="E105">
        <v>0.49424679999999999</v>
      </c>
      <c r="F105" t="s">
        <v>41</v>
      </c>
      <c r="G105">
        <v>-277.76519999999999</v>
      </c>
      <c r="H105" s="1">
        <v>-1.326955E-6</v>
      </c>
      <c r="I105">
        <v>371.06670000000003</v>
      </c>
      <c r="J105">
        <v>-473.67020000000002</v>
      </c>
      <c r="K105">
        <v>1.1096410000000001</v>
      </c>
      <c r="L105">
        <v>367.23849999999999</v>
      </c>
      <c r="M105">
        <v>0.99995270000000003</v>
      </c>
      <c r="N105">
        <v>0</v>
      </c>
      <c r="O105">
        <v>6.6905019999999897E-3</v>
      </c>
      <c r="P105">
        <v>0.9994286</v>
      </c>
      <c r="Q105">
        <v>3.3177600000000002E-2</v>
      </c>
      <c r="R105">
        <v>6.476501E-3</v>
      </c>
      <c r="S105">
        <v>3.0018919999999998</v>
      </c>
      <c r="T105">
        <v>-1.6998289999999999E-2</v>
      </c>
      <c r="U105">
        <v>5.8654789999999998E-2</v>
      </c>
      <c r="V105">
        <v>2.080742E-4</v>
      </c>
      <c r="W105">
        <v>4.0252599999999999E-2</v>
      </c>
      <c r="X105">
        <v>0.99918949999999995</v>
      </c>
      <c r="Y105">
        <v>-1.284562E-2</v>
      </c>
      <c r="Z105" s="1">
        <v>-1.5157820000000001E-6</v>
      </c>
      <c r="AA105">
        <v>0.99991750000000001</v>
      </c>
      <c r="AB105">
        <v>7</v>
      </c>
      <c r="AC105">
        <v>195.905</v>
      </c>
      <c r="AD105">
        <v>-1.109642326955</v>
      </c>
      <c r="AE105">
        <v>3.82820000000003</v>
      </c>
      <c r="AF105">
        <v>-2.5172981276797701</v>
      </c>
      <c r="AG105">
        <v>-1.109642326955</v>
      </c>
      <c r="AH105">
        <v>195.919945020027</v>
      </c>
      <c r="AI105">
        <v>90.324478935434499</v>
      </c>
      <c r="AJ105">
        <v>90.736130374148701</v>
      </c>
      <c r="AK105">
        <v>195.93925832412401</v>
      </c>
      <c r="AL105">
        <v>87.693072612146594</v>
      </c>
      <c r="AM105">
        <v>89.988068556251605</v>
      </c>
      <c r="AN105">
        <v>0.99999998600594098</v>
      </c>
    </row>
    <row r="106" spans="1:40" x14ac:dyDescent="0.25">
      <c r="A106" t="str">
        <f>"20190312160305848"</f>
        <v>20190312160305848</v>
      </c>
      <c r="B106" t="str">
        <f>"1552377785845346"</f>
        <v>1552377785845346</v>
      </c>
      <c r="C106" t="s">
        <v>40</v>
      </c>
      <c r="D106">
        <v>5.3682919999999896</v>
      </c>
      <c r="E106">
        <v>0.49427120000000002</v>
      </c>
      <c r="F106" t="s">
        <v>41</v>
      </c>
      <c r="G106">
        <v>-274.88389999999998</v>
      </c>
      <c r="H106" s="1">
        <v>-2.5752170000000002E-6</v>
      </c>
      <c r="I106">
        <v>371.11250000000001</v>
      </c>
      <c r="J106">
        <v>-473.63729999999998</v>
      </c>
      <c r="K106">
        <v>1.1098570000000001</v>
      </c>
      <c r="L106">
        <v>367.23880000000003</v>
      </c>
      <c r="M106">
        <v>0.9999479</v>
      </c>
      <c r="N106">
        <v>0</v>
      </c>
      <c r="O106">
        <v>6.7654619999999999E-3</v>
      </c>
      <c r="P106">
        <v>0.99944849999999996</v>
      </c>
      <c r="Q106">
        <v>3.256891E-2</v>
      </c>
      <c r="R106">
        <v>6.4999740000000004E-3</v>
      </c>
      <c r="S106">
        <v>3.0019230000000001</v>
      </c>
      <c r="T106">
        <v>-1.6757009999999999E-2</v>
      </c>
      <c r="U106">
        <v>5.85021999999999E-2</v>
      </c>
      <c r="V106">
        <v>2.6000980000000001E-4</v>
      </c>
      <c r="W106">
        <v>4.0222580000000001E-2</v>
      </c>
      <c r="X106">
        <v>0.99919069999999999</v>
      </c>
      <c r="Y106">
        <v>-1.2719630000000001E-2</v>
      </c>
      <c r="Z106" s="1">
        <v>-2.2643870000000001E-6</v>
      </c>
      <c r="AA106">
        <v>0.99991909999999895</v>
      </c>
      <c r="AB106">
        <v>7</v>
      </c>
      <c r="AC106">
        <v>198.7534</v>
      </c>
      <c r="AD106">
        <v>-1.109859575217</v>
      </c>
      <c r="AE106">
        <v>3.8736999999999799</v>
      </c>
      <c r="AF106">
        <v>-2.5288346584285</v>
      </c>
      <c r="AG106">
        <v>-1.109859575217</v>
      </c>
      <c r="AH106">
        <v>198.76886350016699</v>
      </c>
      <c r="AI106">
        <v>90.319891465472097</v>
      </c>
      <c r="AJ106">
        <v>90.728905592941899</v>
      </c>
      <c r="AK106">
        <v>198.78804765416399</v>
      </c>
      <c r="AL106">
        <v>87.694794033072995</v>
      </c>
      <c r="AM106">
        <v>89.985090469881499</v>
      </c>
      <c r="AN106">
        <v>0.99999998925672096</v>
      </c>
    </row>
    <row r="107" spans="1:40" x14ac:dyDescent="0.25">
      <c r="A107" t="str">
        <f>"20190312160305865"</f>
        <v>20190312160305865</v>
      </c>
      <c r="B107" t="str">
        <f>"1552377785855107"</f>
        <v>1552377785855107</v>
      </c>
      <c r="C107" t="s">
        <v>40</v>
      </c>
      <c r="D107">
        <v>5.3259339999999904</v>
      </c>
      <c r="E107">
        <v>0.49425609999999998</v>
      </c>
      <c r="F107" t="s">
        <v>43</v>
      </c>
      <c r="G107">
        <v>-292.10039999999998</v>
      </c>
      <c r="H107">
        <v>-0.05</v>
      </c>
      <c r="I107">
        <v>370.76749999999998</v>
      </c>
      <c r="J107">
        <v>-473.59109999999998</v>
      </c>
      <c r="K107">
        <v>1.1102970000000001</v>
      </c>
      <c r="L107">
        <v>367.23919999999998</v>
      </c>
      <c r="M107">
        <v>0.99993469999999995</v>
      </c>
      <c r="N107">
        <v>0</v>
      </c>
      <c r="O107">
        <v>6.8589039999999999E-3</v>
      </c>
      <c r="P107">
        <v>0.99948950000000003</v>
      </c>
      <c r="Q107">
        <v>3.1282360000000002E-2</v>
      </c>
      <c r="R107">
        <v>6.5124249999999996E-3</v>
      </c>
      <c r="S107">
        <v>3.0019230000000001</v>
      </c>
      <c r="T107">
        <v>-1.9179580000000002E-2</v>
      </c>
      <c r="U107">
        <v>5.8349610000000003E-2</v>
      </c>
      <c r="V107">
        <v>3.4249129999999999E-4</v>
      </c>
      <c r="W107">
        <v>4.0425080000000002E-2</v>
      </c>
      <c r="X107">
        <v>0.99918249999999997</v>
      </c>
      <c r="Y107">
        <v>-1.257527E-2</v>
      </c>
      <c r="Z107" s="1">
        <v>-3.6503410000000001E-6</v>
      </c>
      <c r="AA107">
        <v>0.9999209</v>
      </c>
      <c r="AB107">
        <v>6</v>
      </c>
      <c r="AC107">
        <v>181.4907</v>
      </c>
      <c r="AD107">
        <v>-1.1602969999999999</v>
      </c>
      <c r="AE107">
        <v>3.5283000000000002</v>
      </c>
      <c r="AF107">
        <v>-2.2832444172763302</v>
      </c>
      <c r="AG107">
        <v>-1.1602969999999999</v>
      </c>
      <c r="AH107">
        <v>181.50321613971801</v>
      </c>
      <c r="AI107">
        <v>90.366241202777701</v>
      </c>
      <c r="AJ107">
        <v>90.720722042810095</v>
      </c>
      <c r="AK107">
        <v>181.521285152068</v>
      </c>
      <c r="AL107">
        <v>87.6831821865064</v>
      </c>
      <c r="AM107">
        <v>89.980360639581406</v>
      </c>
      <c r="AN107">
        <v>0.99999998634977305</v>
      </c>
    </row>
    <row r="108" spans="1:40" x14ac:dyDescent="0.25">
      <c r="A108" t="str">
        <f>"20190312160305877"</f>
        <v>20190312160305877</v>
      </c>
      <c r="B108" t="str">
        <f>"1552377785874627"</f>
        <v>1552377785874627</v>
      </c>
      <c r="C108" t="s">
        <v>40</v>
      </c>
      <c r="D108">
        <v>5.7840480000000003</v>
      </c>
      <c r="E108">
        <v>0.49430020000000002</v>
      </c>
      <c r="F108" t="s">
        <v>41</v>
      </c>
      <c r="G108">
        <v>-333.91860000000003</v>
      </c>
      <c r="H108" s="1">
        <v>-2.6837260000000001E-6</v>
      </c>
      <c r="I108">
        <v>369.964</v>
      </c>
      <c r="J108">
        <v>-473.56130000000002</v>
      </c>
      <c r="K108">
        <v>1.1105</v>
      </c>
      <c r="L108">
        <v>367.23950000000002</v>
      </c>
      <c r="M108">
        <v>0.99992650000000005</v>
      </c>
      <c r="N108">
        <v>0</v>
      </c>
      <c r="O108">
        <v>6.9105089999999996E-3</v>
      </c>
      <c r="P108">
        <v>0.99950669999999997</v>
      </c>
      <c r="Q108">
        <v>3.0684489999999998E-2</v>
      </c>
      <c r="R108">
        <v>6.7272030000000002E-3</v>
      </c>
      <c r="S108">
        <v>3.001862</v>
      </c>
      <c r="T108">
        <v>-2.386272E-2</v>
      </c>
      <c r="U108">
        <v>5.8563230000000001E-2</v>
      </c>
      <c r="V108">
        <v>1.799231E-4</v>
      </c>
      <c r="W108">
        <v>4.0643770000000003E-2</v>
      </c>
      <c r="X108">
        <v>0.99917370000000005</v>
      </c>
      <c r="Y108">
        <v>-1.259508E-2</v>
      </c>
      <c r="Z108" s="1">
        <v>-4.8736110000000003E-6</v>
      </c>
      <c r="AA108">
        <v>0.9999207</v>
      </c>
      <c r="AB108">
        <v>6</v>
      </c>
      <c r="AC108">
        <v>139.64269999999999</v>
      </c>
      <c r="AD108">
        <v>-1.1105026837259999</v>
      </c>
      <c r="AE108">
        <v>2.7244999999999702</v>
      </c>
      <c r="AF108">
        <v>-1.75927369956647</v>
      </c>
      <c r="AG108">
        <v>-1.1105026837259999</v>
      </c>
      <c r="AH108">
        <v>139.649365630609</v>
      </c>
      <c r="AI108">
        <v>90.455574771021304</v>
      </c>
      <c r="AJ108">
        <v>90.7217621478935</v>
      </c>
      <c r="AK108">
        <v>139.66486165529301</v>
      </c>
      <c r="AL108">
        <v>87.670641934084301</v>
      </c>
      <c r="AM108">
        <v>89.989682640610397</v>
      </c>
      <c r="AN108">
        <v>1.00000001559191</v>
      </c>
    </row>
    <row r="109" spans="1:40" x14ac:dyDescent="0.25">
      <c r="A109" t="str">
        <f>"20190312160305891"</f>
        <v>20190312160305891</v>
      </c>
      <c r="B109" t="str">
        <f>"1552377785885363"</f>
        <v>1552377785885363</v>
      </c>
      <c r="C109" t="s">
        <v>40</v>
      </c>
      <c r="D109">
        <v>5.2984980000000004</v>
      </c>
      <c r="E109">
        <v>0.4942281</v>
      </c>
      <c r="F109" t="s">
        <v>41</v>
      </c>
      <c r="G109">
        <v>-333.27249999999998</v>
      </c>
      <c r="H109" s="1">
        <v>-2.9657050000000002E-6</v>
      </c>
      <c r="I109">
        <v>369.9821</v>
      </c>
      <c r="J109">
        <v>-473.52789999999999</v>
      </c>
      <c r="K109">
        <v>1.110622</v>
      </c>
      <c r="L109">
        <v>367.2398</v>
      </c>
      <c r="M109">
        <v>0.99992009999999998</v>
      </c>
      <c r="N109">
        <v>0</v>
      </c>
      <c r="O109">
        <v>6.9682290000000003E-3</v>
      </c>
      <c r="P109">
        <v>0.99952070000000004</v>
      </c>
      <c r="Q109">
        <v>3.024135E-2</v>
      </c>
      <c r="R109">
        <v>6.641559E-3</v>
      </c>
      <c r="S109">
        <v>3.0018310000000001</v>
      </c>
      <c r="T109">
        <v>-2.376199E-2</v>
      </c>
      <c r="U109">
        <v>5.8685300000000003E-2</v>
      </c>
      <c r="V109">
        <v>3.2397140000000002E-4</v>
      </c>
      <c r="W109">
        <v>4.0784309999999997E-2</v>
      </c>
      <c r="X109">
        <v>0.9991679</v>
      </c>
      <c r="Y109">
        <v>-1.257817E-2</v>
      </c>
      <c r="Z109" s="1">
        <v>-5.3771980000000003E-6</v>
      </c>
      <c r="AA109">
        <v>0.9999209</v>
      </c>
      <c r="AB109">
        <v>6</v>
      </c>
      <c r="AC109">
        <v>140.25540000000001</v>
      </c>
      <c r="AD109">
        <v>-1.110624965705</v>
      </c>
      <c r="AE109">
        <v>2.7423000000000002</v>
      </c>
      <c r="AF109">
        <v>-1.76473669191261</v>
      </c>
      <c r="AG109">
        <v>-1.110624965705</v>
      </c>
      <c r="AH109">
        <v>140.262312825489</v>
      </c>
      <c r="AI109">
        <v>90.453634025599598</v>
      </c>
      <c r="AJ109">
        <v>90.720839600922702</v>
      </c>
      <c r="AK109">
        <v>140.27781072771799</v>
      </c>
      <c r="AL109">
        <v>87.662582816714007</v>
      </c>
      <c r="AM109">
        <v>89.981422348283502</v>
      </c>
      <c r="AN109">
        <v>0.99999997864502599</v>
      </c>
    </row>
    <row r="110" spans="1:40" x14ac:dyDescent="0.25">
      <c r="A110" t="str">
        <f>"20190312160305903"</f>
        <v>20190312160305903</v>
      </c>
      <c r="B110" t="str">
        <f>"1552377785895447"</f>
        <v>1552377785895447</v>
      </c>
      <c r="C110" t="s">
        <v>40</v>
      </c>
      <c r="D110">
        <v>5.3224530000000003</v>
      </c>
      <c r="E110">
        <v>0.49413269999999998</v>
      </c>
      <c r="F110" t="s">
        <v>41</v>
      </c>
      <c r="G110">
        <v>-326.49650000000003</v>
      </c>
      <c r="H110" s="1">
        <v>-1.628135E-6</v>
      </c>
      <c r="I110">
        <v>370.15320000000003</v>
      </c>
      <c r="J110">
        <v>-473.49130000000002</v>
      </c>
      <c r="K110">
        <v>1.1104719999999999</v>
      </c>
      <c r="L110">
        <v>367.24020000000002</v>
      </c>
      <c r="M110">
        <v>0.99992309999999995</v>
      </c>
      <c r="N110">
        <v>0</v>
      </c>
      <c r="O110">
        <v>7.0364959999999997E-3</v>
      </c>
      <c r="P110">
        <v>0.99951120000000004</v>
      </c>
      <c r="Q110">
        <v>3.0568950000000001E-2</v>
      </c>
      <c r="R110">
        <v>6.5648779999999997E-3</v>
      </c>
      <c r="S110">
        <v>3.0017399999999999</v>
      </c>
      <c r="T110">
        <v>-2.2674079999999999E-2</v>
      </c>
      <c r="U110">
        <v>5.9478759999999999E-2</v>
      </c>
      <c r="V110">
        <v>4.686763E-4</v>
      </c>
      <c r="W110">
        <v>4.0782409999999998E-2</v>
      </c>
      <c r="X110">
        <v>0.9991679</v>
      </c>
      <c r="Y110">
        <v>-1.277474E-2</v>
      </c>
      <c r="Z110" s="1">
        <v>-4.9042359999999997E-6</v>
      </c>
      <c r="AA110">
        <v>0.99991839999999999</v>
      </c>
      <c r="AB110">
        <v>6</v>
      </c>
      <c r="AC110">
        <v>146.9948</v>
      </c>
      <c r="AD110">
        <v>-1.1104736281349901</v>
      </c>
      <c r="AE110">
        <v>2.91300000000001</v>
      </c>
      <c r="AF110">
        <v>-1.87843845814724</v>
      </c>
      <c r="AG110">
        <v>-1.1104736281349901</v>
      </c>
      <c r="AH110">
        <v>147.00327265973499</v>
      </c>
      <c r="AI110">
        <v>90.432773007490098</v>
      </c>
      <c r="AJ110">
        <v>90.732097568326296</v>
      </c>
      <c r="AK110">
        <v>147.01946760681801</v>
      </c>
      <c r="AL110">
        <v>87.662691722248894</v>
      </c>
      <c r="AM110">
        <v>89.973124464888798</v>
      </c>
      <c r="AN110">
        <v>0.99999995850664503</v>
      </c>
    </row>
    <row r="111" spans="1:40" x14ac:dyDescent="0.25">
      <c r="A111" t="str">
        <f>"20190312160305922"</f>
        <v>20190312160305922</v>
      </c>
      <c r="B111" t="str">
        <f>"1552377785914967"</f>
        <v>1552377785914967</v>
      </c>
      <c r="C111" t="s">
        <v>40</v>
      </c>
      <c r="D111">
        <v>5.2702809999999998</v>
      </c>
      <c r="E111">
        <v>0.4941489</v>
      </c>
      <c r="F111" t="s">
        <v>43</v>
      </c>
      <c r="G111">
        <v>-295.3211</v>
      </c>
      <c r="H111">
        <v>-0.05</v>
      </c>
      <c r="I111">
        <v>370.80149999999998</v>
      </c>
      <c r="J111">
        <v>-473.4348</v>
      </c>
      <c r="K111">
        <v>1.110101</v>
      </c>
      <c r="L111">
        <v>367.2407</v>
      </c>
      <c r="M111">
        <v>0.99993339999999997</v>
      </c>
      <c r="N111">
        <v>0</v>
      </c>
      <c r="O111">
        <v>7.1591459999999999E-3</v>
      </c>
      <c r="P111">
        <v>0.99946639999999998</v>
      </c>
      <c r="Q111">
        <v>3.1996110000000001E-2</v>
      </c>
      <c r="R111">
        <v>6.6030510000000004E-3</v>
      </c>
      <c r="S111">
        <v>3.0016479999999999</v>
      </c>
      <c r="T111">
        <v>-1.9550560000000002E-2</v>
      </c>
      <c r="U111">
        <v>5.9997559999999998E-2</v>
      </c>
      <c r="V111">
        <v>5.5206029999999896E-4</v>
      </c>
      <c r="W111">
        <v>4.1047300000000002E-2</v>
      </c>
      <c r="X111">
        <v>0.99915710000000002</v>
      </c>
      <c r="Y111">
        <v>-1.282557E-2</v>
      </c>
      <c r="Z111" s="1">
        <v>-4.8614819999999999E-6</v>
      </c>
      <c r="AA111">
        <v>0.99991770000000002</v>
      </c>
      <c r="AB111">
        <v>6</v>
      </c>
      <c r="AC111">
        <v>178.11369999999999</v>
      </c>
      <c r="AD111">
        <v>-1.160101</v>
      </c>
      <c r="AE111">
        <v>3.5607999999999702</v>
      </c>
      <c r="AF111">
        <v>-2.28541759522472</v>
      </c>
      <c r="AG111">
        <v>-1.160101</v>
      </c>
      <c r="AH111">
        <v>178.12707484626799</v>
      </c>
      <c r="AI111">
        <v>90.373118356095205</v>
      </c>
      <c r="AJ111">
        <v>90.735079707926204</v>
      </c>
      <c r="AK111">
        <v>178.14551288540099</v>
      </c>
      <c r="AL111">
        <v>87.647502133913605</v>
      </c>
      <c r="AM111">
        <v>89.968342593964493</v>
      </c>
      <c r="AN111">
        <v>1.00000004804413</v>
      </c>
    </row>
    <row r="112" spans="1:40" x14ac:dyDescent="0.25">
      <c r="A112" t="str">
        <f>"20190312160305935"</f>
        <v>20190312160305935</v>
      </c>
      <c r="B112" t="str">
        <f>"1552377785924728"</f>
        <v>1552377785924728</v>
      </c>
      <c r="C112" t="s">
        <v>40</v>
      </c>
      <c r="D112">
        <v>5.2371179999999997</v>
      </c>
      <c r="E112">
        <v>0.49322389999999999</v>
      </c>
      <c r="F112" t="s">
        <v>41</v>
      </c>
      <c r="G112">
        <v>-228.60749999999999</v>
      </c>
      <c r="H112" s="1">
        <v>-1.2536519999999999E-6</v>
      </c>
      <c r="I112">
        <v>372.14929999999998</v>
      </c>
      <c r="J112">
        <v>-473.39690000000002</v>
      </c>
      <c r="K112">
        <v>1.109877</v>
      </c>
      <c r="L112">
        <v>367.24099999999999</v>
      </c>
      <c r="M112">
        <v>0.99993969999999999</v>
      </c>
      <c r="N112">
        <v>0</v>
      </c>
      <c r="O112">
        <v>7.2495110000000001E-3</v>
      </c>
      <c r="P112">
        <v>0.99943550000000003</v>
      </c>
      <c r="Q112">
        <v>3.2950590000000002E-2</v>
      </c>
      <c r="R112">
        <v>6.5699360000000002E-3</v>
      </c>
      <c r="S112">
        <v>3.001617</v>
      </c>
      <c r="T112">
        <v>-1.3610010000000001E-2</v>
      </c>
      <c r="U112">
        <v>6.0180659999999997E-2</v>
      </c>
      <c r="V112">
        <v>6.7472989999999998E-4</v>
      </c>
      <c r="W112">
        <v>4.1204530000000003E-2</v>
      </c>
      <c r="X112">
        <v>0.99915050000000005</v>
      </c>
      <c r="Y112">
        <v>-1.2796500000000001E-2</v>
      </c>
      <c r="Z112" s="1">
        <v>-3.8597100000000004E-6</v>
      </c>
      <c r="AA112">
        <v>0.99991810000000003</v>
      </c>
      <c r="AB112">
        <v>6</v>
      </c>
      <c r="AC112">
        <v>244.7894</v>
      </c>
      <c r="AD112">
        <v>-1.109878253652</v>
      </c>
      <c r="AE112">
        <v>4.9082999999999899</v>
      </c>
      <c r="AF112">
        <v>-3.1334427976030499</v>
      </c>
      <c r="AG112">
        <v>-1.109878253652</v>
      </c>
      <c r="AH112">
        <v>244.813520284204</v>
      </c>
      <c r="AI112">
        <v>90.259731145080096</v>
      </c>
      <c r="AJ112">
        <v>90.733306087714098</v>
      </c>
      <c r="AK112">
        <v>244.83608804146601</v>
      </c>
      <c r="AL112">
        <v>87.638485765832598</v>
      </c>
      <c r="AM112">
        <v>89.961307961408494</v>
      </c>
      <c r="AN112">
        <v>0.99999999510160398</v>
      </c>
    </row>
    <row r="113" spans="1:40" x14ac:dyDescent="0.25">
      <c r="A113" t="str">
        <f>"20190312160305948"</f>
        <v>20190312160305948</v>
      </c>
      <c r="B113" t="str">
        <f>"1552377785945223"</f>
        <v>1552377785945223</v>
      </c>
      <c r="C113" t="s">
        <v>40</v>
      </c>
      <c r="D113">
        <v>5.1755120000000003</v>
      </c>
      <c r="E113">
        <v>0.4945118</v>
      </c>
      <c r="F113" t="s">
        <v>42</v>
      </c>
      <c r="G113">
        <v>-158.19499999999999</v>
      </c>
      <c r="H113">
        <v>26.59384</v>
      </c>
      <c r="I113">
        <v>375.91809999999998</v>
      </c>
      <c r="J113">
        <v>-473.35820000000001</v>
      </c>
      <c r="K113">
        <v>1.109688</v>
      </c>
      <c r="L113">
        <v>367.2414</v>
      </c>
      <c r="M113">
        <v>0.99994490000000003</v>
      </c>
      <c r="N113">
        <v>0</v>
      </c>
      <c r="O113">
        <v>7.3447749999999996E-3</v>
      </c>
      <c r="P113">
        <v>0.99941400000000002</v>
      </c>
      <c r="Q113">
        <v>3.3585200000000003E-2</v>
      </c>
      <c r="R113">
        <v>6.6344769999999997E-3</v>
      </c>
      <c r="S113">
        <v>2.9931640000000002</v>
      </c>
      <c r="T113">
        <v>0.24199699999999999</v>
      </c>
      <c r="U113">
        <v>8.2397460000000006E-2</v>
      </c>
      <c r="V113">
        <v>7.0459009999999998E-4</v>
      </c>
      <c r="W113">
        <v>4.1079230000000001E-2</v>
      </c>
      <c r="X113">
        <v>0.99915560000000003</v>
      </c>
      <c r="Y113">
        <v>-2.013349E-2</v>
      </c>
      <c r="Z113">
        <v>-2.196732E-4</v>
      </c>
      <c r="AA113">
        <v>0.9997973</v>
      </c>
      <c r="AB113">
        <v>7</v>
      </c>
      <c r="AC113">
        <v>315.16320000000002</v>
      </c>
      <c r="AD113">
        <v>25.484152000000002</v>
      </c>
      <c r="AE113">
        <v>8.6766999999999808</v>
      </c>
      <c r="AF113">
        <v>-6.3203048659000096</v>
      </c>
      <c r="AG113">
        <v>25.484152000000002</v>
      </c>
      <c r="AH113">
        <v>313.17234350008198</v>
      </c>
      <c r="AI113">
        <v>85.348794571472496</v>
      </c>
      <c r="AJ113">
        <v>91.156160974666093</v>
      </c>
      <c r="AK113">
        <v>314.27106928588</v>
      </c>
      <c r="AL113">
        <v>87.645670919280803</v>
      </c>
      <c r="AM113">
        <v>89.959595850411205</v>
      </c>
      <c r="AN113">
        <v>0.99999995629798</v>
      </c>
    </row>
    <row r="114" spans="1:40" x14ac:dyDescent="0.25">
      <c r="A114" t="str">
        <f>"20190312160305966"</f>
        <v>20190312160305966</v>
      </c>
      <c r="B114" t="str">
        <f>"1552377785954983"</f>
        <v>1552377785954983</v>
      </c>
      <c r="C114" t="s">
        <v>40</v>
      </c>
      <c r="D114">
        <v>5.1590809999999996</v>
      </c>
      <c r="E114">
        <v>0.49484590000000001</v>
      </c>
      <c r="F114" t="s">
        <v>42</v>
      </c>
      <c r="G114">
        <v>-158.19499999999999</v>
      </c>
      <c r="H114">
        <v>30.693300000000001</v>
      </c>
      <c r="I114">
        <v>375.09190000000001</v>
      </c>
      <c r="J114">
        <v>-473.29989999999998</v>
      </c>
      <c r="K114">
        <v>1.109526</v>
      </c>
      <c r="L114">
        <v>367.24200000000002</v>
      </c>
      <c r="M114">
        <v>0.99994970000000005</v>
      </c>
      <c r="N114">
        <v>0</v>
      </c>
      <c r="O114">
        <v>7.4954619999999996E-3</v>
      </c>
      <c r="P114">
        <v>0.99938090000000002</v>
      </c>
      <c r="Q114">
        <v>3.4595519999999998E-2</v>
      </c>
      <c r="R114">
        <v>6.4023730000000003E-3</v>
      </c>
      <c r="S114">
        <v>2.9918520000000002</v>
      </c>
      <c r="T114">
        <v>0.28083859999999999</v>
      </c>
      <c r="U114">
        <v>7.4523930000000002E-2</v>
      </c>
      <c r="V114">
        <v>1.086156E-3</v>
      </c>
      <c r="W114">
        <v>4.1249800000000003E-2</v>
      </c>
      <c r="X114">
        <v>0.99914820000000004</v>
      </c>
      <c r="Y114">
        <v>-1.7363880000000002E-2</v>
      </c>
      <c r="Z114">
        <v>-1.111166E-4</v>
      </c>
      <c r="AA114">
        <v>0.99984930000000005</v>
      </c>
      <c r="AB114">
        <v>7</v>
      </c>
      <c r="AC114">
        <v>315.10489999999999</v>
      </c>
      <c r="AD114">
        <v>29.583773999999998</v>
      </c>
      <c r="AE114">
        <v>7.8499000000000398</v>
      </c>
      <c r="AF114">
        <v>-5.4398504888716301</v>
      </c>
      <c r="AG114">
        <v>29.583773999999998</v>
      </c>
      <c r="AH114">
        <v>312.40292546445102</v>
      </c>
      <c r="AI114">
        <v>84.591180389776397</v>
      </c>
      <c r="AJ114">
        <v>90.997586619584993</v>
      </c>
      <c r="AK114">
        <v>313.84770111659498</v>
      </c>
      <c r="AL114">
        <v>87.635889614483702</v>
      </c>
      <c r="AM114">
        <v>89.937714815301007</v>
      </c>
      <c r="AN114">
        <v>0.99999992564906504</v>
      </c>
    </row>
    <row r="115" spans="1:40" x14ac:dyDescent="0.25">
      <c r="A115" t="str">
        <f>"20190312160305980"</f>
        <v>20190312160305980</v>
      </c>
      <c r="B115" t="str">
        <f>"1552377785974502"</f>
        <v>1552377785974502</v>
      </c>
      <c r="C115" t="s">
        <v>40</v>
      </c>
      <c r="D115">
        <v>5.0884029999999996</v>
      </c>
      <c r="E115">
        <v>0.49578620000000001</v>
      </c>
      <c r="F115" t="s">
        <v>42</v>
      </c>
      <c r="G115">
        <v>-158.19499999999999</v>
      </c>
      <c r="H115">
        <v>32.002580000000002</v>
      </c>
      <c r="I115">
        <v>374.78399999999999</v>
      </c>
      <c r="J115">
        <v>-473.25740000000002</v>
      </c>
      <c r="K115">
        <v>1.1094569999999999</v>
      </c>
      <c r="L115">
        <v>367.24239999999998</v>
      </c>
      <c r="M115">
        <v>0.99995210000000001</v>
      </c>
      <c r="N115">
        <v>0</v>
      </c>
      <c r="O115">
        <v>7.6048499999999998E-3</v>
      </c>
      <c r="P115">
        <v>0.99936179999999997</v>
      </c>
      <c r="Q115">
        <v>3.5179009999999997E-2</v>
      </c>
      <c r="R115">
        <v>6.2350969999999898E-3</v>
      </c>
      <c r="S115">
        <v>2.991241</v>
      </c>
      <c r="T115">
        <v>0.29326370000000002</v>
      </c>
      <c r="U115">
        <v>7.1594240000000003E-2</v>
      </c>
      <c r="V115">
        <v>1.3620539999999999E-3</v>
      </c>
      <c r="W115">
        <v>4.1358890000000002E-2</v>
      </c>
      <c r="X115">
        <v>0.99914340000000001</v>
      </c>
      <c r="Y115">
        <v>-1.6282680000000001E-2</v>
      </c>
      <c r="Z115" s="1">
        <v>-5.2473099999999997E-5</v>
      </c>
      <c r="AA115">
        <v>0.99986739999999996</v>
      </c>
      <c r="AB115">
        <v>7</v>
      </c>
      <c r="AC115">
        <v>315.06240000000003</v>
      </c>
      <c r="AD115">
        <v>30.893122999999999</v>
      </c>
      <c r="AE115">
        <v>7.5416000000000096</v>
      </c>
      <c r="AF115">
        <v>-5.09636278820531</v>
      </c>
      <c r="AG115">
        <v>30.893122999999999</v>
      </c>
      <c r="AH115">
        <v>312.11153869887499</v>
      </c>
      <c r="AI115">
        <v>84.347965607926596</v>
      </c>
      <c r="AJ115">
        <v>90.935480093057294</v>
      </c>
      <c r="AK115">
        <v>313.678132089793</v>
      </c>
      <c r="AL115">
        <v>87.629633992031202</v>
      </c>
      <c r="AM115">
        <v>89.921893196385497</v>
      </c>
      <c r="AN115">
        <v>0.99999997336834501</v>
      </c>
    </row>
    <row r="116" spans="1:40" x14ac:dyDescent="0.25">
      <c r="A116" t="str">
        <f>"20190312160306001"</f>
        <v>20190312160306001</v>
      </c>
      <c r="B116" t="str">
        <f>"1552377785994998"</f>
        <v>1552377785994998</v>
      </c>
      <c r="C116" t="s">
        <v>40</v>
      </c>
      <c r="D116">
        <v>5.0662029999999998</v>
      </c>
      <c r="E116">
        <v>0.49643599999999999</v>
      </c>
      <c r="F116" t="s">
        <v>42</v>
      </c>
      <c r="G116">
        <v>-158.19499999999999</v>
      </c>
      <c r="H116">
        <v>33.593440000000001</v>
      </c>
      <c r="I116">
        <v>374.00040000000001</v>
      </c>
      <c r="J116">
        <v>-473.18729999999999</v>
      </c>
      <c r="K116">
        <v>1.10938</v>
      </c>
      <c r="L116">
        <v>367.24310000000003</v>
      </c>
      <c r="M116">
        <v>0.99995469999999997</v>
      </c>
      <c r="N116">
        <v>0</v>
      </c>
      <c r="O116">
        <v>7.7805299999999999E-3</v>
      </c>
      <c r="P116">
        <v>0.99930960000000002</v>
      </c>
      <c r="Q116">
        <v>3.6630929999999999E-2</v>
      </c>
      <c r="R116">
        <v>6.2289919999999896E-3</v>
      </c>
      <c r="S116">
        <v>2.9906619999999999</v>
      </c>
      <c r="T116">
        <v>0.30834780000000001</v>
      </c>
      <c r="U116">
        <v>6.4147949999999995E-2</v>
      </c>
      <c r="V116">
        <v>1.542442E-3</v>
      </c>
      <c r="W116">
        <v>4.2121649999999997E-2</v>
      </c>
      <c r="X116">
        <v>0.99911130000000004</v>
      </c>
      <c r="Y116">
        <v>-1.3633960000000001E-2</v>
      </c>
      <c r="Z116" s="1">
        <v>9.9060819999999993E-5</v>
      </c>
      <c r="AA116">
        <v>0.99990710000000005</v>
      </c>
      <c r="AB116">
        <v>7</v>
      </c>
      <c r="AC116">
        <v>314.9923</v>
      </c>
      <c r="AD116">
        <v>32.484059999999999</v>
      </c>
      <c r="AE116">
        <v>6.7572999999999803</v>
      </c>
      <c r="AF116">
        <v>-4.2609568116727301</v>
      </c>
      <c r="AG116">
        <v>32.484059999999999</v>
      </c>
      <c r="AH116">
        <v>311.721681586469</v>
      </c>
      <c r="AI116">
        <v>84.051315512953394</v>
      </c>
      <c r="AJ116">
        <v>90.783133330273202</v>
      </c>
      <c r="AK116">
        <v>313.43863303385302</v>
      </c>
      <c r="AL116">
        <v>87.585893007603602</v>
      </c>
      <c r="AM116">
        <v>89.911546044435994</v>
      </c>
      <c r="AN116">
        <v>1.0000000011568599</v>
      </c>
    </row>
    <row r="117" spans="1:40" x14ac:dyDescent="0.25">
      <c r="A117" t="str">
        <f>"20190312160306024"</f>
        <v>20190312160306024</v>
      </c>
      <c r="B117" t="str">
        <f>"1552377786014518"</f>
        <v>1552377786014518</v>
      </c>
      <c r="C117" t="s">
        <v>40</v>
      </c>
      <c r="D117">
        <v>4.9755729999999998</v>
      </c>
      <c r="E117">
        <v>0.4968188</v>
      </c>
      <c r="F117" t="s">
        <v>42</v>
      </c>
      <c r="G117">
        <v>-158.19499999999999</v>
      </c>
      <c r="H117">
        <v>34.979660000000003</v>
      </c>
      <c r="I117">
        <v>373.52539999999999</v>
      </c>
      <c r="J117">
        <v>-473.11470000000003</v>
      </c>
      <c r="K117">
        <v>1.1096429999999999</v>
      </c>
      <c r="L117">
        <v>367.2439</v>
      </c>
      <c r="M117">
        <v>0.99995040000000002</v>
      </c>
      <c r="N117">
        <v>0</v>
      </c>
      <c r="O117">
        <v>7.9419950000000003E-3</v>
      </c>
      <c r="P117">
        <v>0.99931400000000004</v>
      </c>
      <c r="Q117">
        <v>3.64873E-2</v>
      </c>
      <c r="R117">
        <v>6.3577599999999996E-3</v>
      </c>
      <c r="S117">
        <v>2.9898989999999999</v>
      </c>
      <c r="T117">
        <v>0.32149660000000002</v>
      </c>
      <c r="U117">
        <v>5.963135E-2</v>
      </c>
      <c r="V117">
        <v>1.5758770000000001E-3</v>
      </c>
      <c r="W117">
        <v>4.2528980000000001E-2</v>
      </c>
      <c r="X117">
        <v>0.99909400000000004</v>
      </c>
      <c r="Y117">
        <v>-1.197588E-2</v>
      </c>
      <c r="Z117">
        <v>2.0948240000000001E-4</v>
      </c>
      <c r="AA117">
        <v>0.99992820000000004</v>
      </c>
      <c r="AB117">
        <v>7</v>
      </c>
      <c r="AC117">
        <v>314.91969999999998</v>
      </c>
      <c r="AD117">
        <v>33.870016999999997</v>
      </c>
      <c r="AE117">
        <v>6.2814999999999896</v>
      </c>
      <c r="AF117">
        <v>-3.7369568025712301</v>
      </c>
      <c r="AG117">
        <v>33.870016999999997</v>
      </c>
      <c r="AH117">
        <v>311.35950659397997</v>
      </c>
      <c r="AI117">
        <v>83.792159416771099</v>
      </c>
      <c r="AJ117">
        <v>90.687634610343295</v>
      </c>
      <c r="AK117">
        <v>313.21859019568302</v>
      </c>
      <c r="AL117">
        <v>87.562533804560204</v>
      </c>
      <c r="AM117">
        <v>89.909627095895203</v>
      </c>
      <c r="AN117">
        <v>1.00000000918207</v>
      </c>
    </row>
    <row r="118" spans="1:40" x14ac:dyDescent="0.25">
      <c r="A118" t="str">
        <f>"20190312160306045"</f>
        <v>20190312160306045</v>
      </c>
      <c r="B118" t="str">
        <f>"1552377786035015"</f>
        <v>1552377786035015</v>
      </c>
      <c r="C118" t="s">
        <v>40</v>
      </c>
      <c r="D118">
        <v>4.9878359999999997</v>
      </c>
      <c r="E118">
        <v>0.4971525</v>
      </c>
      <c r="F118" t="s">
        <v>42</v>
      </c>
      <c r="G118">
        <v>-158.19499999999999</v>
      </c>
      <c r="H118">
        <v>35.596829999999997</v>
      </c>
      <c r="I118">
        <v>373.3066</v>
      </c>
      <c r="J118">
        <v>-473.05009999999999</v>
      </c>
      <c r="K118">
        <v>1.1101019999999999</v>
      </c>
      <c r="L118">
        <v>367.24459999999999</v>
      </c>
      <c r="M118">
        <v>0.99993880000000002</v>
      </c>
      <c r="N118">
        <v>0</v>
      </c>
      <c r="O118">
        <v>8.0702940000000004E-3</v>
      </c>
      <c r="P118">
        <v>0.99938280000000002</v>
      </c>
      <c r="Q118">
        <v>3.4475230000000003E-2</v>
      </c>
      <c r="R118">
        <v>6.7635289999999999E-3</v>
      </c>
      <c r="S118">
        <v>2.989716</v>
      </c>
      <c r="T118">
        <v>0.32740760000000002</v>
      </c>
      <c r="U118">
        <v>5.755615E-2</v>
      </c>
      <c r="V118">
        <v>1.300252E-3</v>
      </c>
      <c r="W118">
        <v>4.2045899999999997E-2</v>
      </c>
      <c r="X118">
        <v>0.99911479999999997</v>
      </c>
      <c r="Y118">
        <v>-1.11597E-2</v>
      </c>
      <c r="Z118">
        <v>2.7189510000000001E-4</v>
      </c>
      <c r="AA118">
        <v>0.99993770000000004</v>
      </c>
      <c r="AB118">
        <v>7</v>
      </c>
      <c r="AC118">
        <v>314.85509999999999</v>
      </c>
      <c r="AD118">
        <v>34.486727999999999</v>
      </c>
      <c r="AE118">
        <v>6.06200000000001</v>
      </c>
      <c r="AF118">
        <v>-3.4790331516691899</v>
      </c>
      <c r="AG118">
        <v>34.486727999999999</v>
      </c>
      <c r="AH118">
        <v>311.16205692627102</v>
      </c>
      <c r="AI118">
        <v>83.675994957761304</v>
      </c>
      <c r="AJ118">
        <v>90.640584564652201</v>
      </c>
      <c r="AK118">
        <v>313.08667130749001</v>
      </c>
      <c r="AL118">
        <v>87.590236926472798</v>
      </c>
      <c r="AM118">
        <v>89.925435085292406</v>
      </c>
      <c r="AN118">
        <v>0.99999996597055596</v>
      </c>
    </row>
    <row r="119" spans="1:40" x14ac:dyDescent="0.25">
      <c r="A119" t="str">
        <f>"20190312160306058"</f>
        <v>20190312160306058</v>
      </c>
      <c r="B119" t="str">
        <f>"1552377786054535"</f>
        <v>1552377786054535</v>
      </c>
      <c r="C119" t="s">
        <v>40</v>
      </c>
      <c r="D119">
        <v>4.8915879999999996</v>
      </c>
      <c r="E119">
        <v>0.49738779999999999</v>
      </c>
      <c r="F119" t="s">
        <v>42</v>
      </c>
      <c r="G119">
        <v>-158.19499999999999</v>
      </c>
      <c r="H119">
        <v>35.403700000000001</v>
      </c>
      <c r="I119">
        <v>373.17649999999998</v>
      </c>
      <c r="J119">
        <v>-473.01280000000003</v>
      </c>
      <c r="K119">
        <v>1.1103620000000001</v>
      </c>
      <c r="L119">
        <v>367.24489999999997</v>
      </c>
      <c r="M119">
        <v>0.99992979999999998</v>
      </c>
      <c r="N119">
        <v>0</v>
      </c>
      <c r="O119">
        <v>8.1358479999999993E-3</v>
      </c>
      <c r="P119">
        <v>0.99942739999999997</v>
      </c>
      <c r="Q119">
        <v>3.3142440000000002E-2</v>
      </c>
      <c r="R119">
        <v>6.8107100000000002E-3</v>
      </c>
      <c r="S119">
        <v>2.9902039999999999</v>
      </c>
      <c r="T119">
        <v>0.32568979999999997</v>
      </c>
      <c r="U119">
        <v>5.6335450000000002E-2</v>
      </c>
      <c r="V119">
        <v>1.3202629999999999E-3</v>
      </c>
      <c r="W119">
        <v>4.1746230000000002E-2</v>
      </c>
      <c r="X119">
        <v>0.9991274</v>
      </c>
      <c r="Y119">
        <v>-1.068625E-2</v>
      </c>
      <c r="Z119">
        <v>3.0326529999999998E-4</v>
      </c>
      <c r="AA119">
        <v>0.99994280000000002</v>
      </c>
      <c r="AB119">
        <v>7</v>
      </c>
      <c r="AC119">
        <v>314.81779999999998</v>
      </c>
      <c r="AD119">
        <v>34.293337999999999</v>
      </c>
      <c r="AE119">
        <v>5.9316000000000004</v>
      </c>
      <c r="AF119">
        <v>-3.3304935631417201</v>
      </c>
      <c r="AG119">
        <v>34.293337999999999</v>
      </c>
      <c r="AH119">
        <v>311.16469894923102</v>
      </c>
      <c r="AI119">
        <v>83.711193307644905</v>
      </c>
      <c r="AJ119">
        <v>90.613231317839904</v>
      </c>
      <c r="AK119">
        <v>313.06643878052802</v>
      </c>
      <c r="AL119">
        <v>87.6074219861665</v>
      </c>
      <c r="AM119">
        <v>89.924288480409899</v>
      </c>
      <c r="AN119">
        <v>1.00000002612218</v>
      </c>
    </row>
    <row r="120" spans="1:40" x14ac:dyDescent="0.25">
      <c r="A120" t="str">
        <f>"20190312160306071"</f>
        <v>20190312160306071</v>
      </c>
      <c r="B120" t="str">
        <f>"1552377786065271"</f>
        <v>1552377786065271</v>
      </c>
      <c r="C120" t="s">
        <v>40</v>
      </c>
      <c r="D120">
        <v>4.9113550000000004</v>
      </c>
      <c r="E120">
        <v>0.49758360000000001</v>
      </c>
      <c r="F120" t="s">
        <v>42</v>
      </c>
      <c r="G120">
        <v>-158.19499999999999</v>
      </c>
      <c r="H120">
        <v>35.425699999999999</v>
      </c>
      <c r="I120">
        <v>372.96980000000002</v>
      </c>
      <c r="J120">
        <v>-472.97500000000002</v>
      </c>
      <c r="K120">
        <v>1.110522</v>
      </c>
      <c r="L120">
        <v>367.24540000000002</v>
      </c>
      <c r="M120">
        <v>0.9999228</v>
      </c>
      <c r="N120">
        <v>0</v>
      </c>
      <c r="O120">
        <v>8.2015619999999904E-3</v>
      </c>
      <c r="P120">
        <v>0.99944540000000004</v>
      </c>
      <c r="Q120">
        <v>3.2575399999999997E-2</v>
      </c>
      <c r="R120">
        <v>6.9301579999999996E-3</v>
      </c>
      <c r="S120">
        <v>2.9905400000000002</v>
      </c>
      <c r="T120">
        <v>0.32597140000000002</v>
      </c>
      <c r="U120">
        <v>5.4382319999999998E-2</v>
      </c>
      <c r="V120">
        <v>1.2673669999999999E-3</v>
      </c>
      <c r="W120">
        <v>4.1919159999999997E-2</v>
      </c>
      <c r="X120">
        <v>0.99912020000000001</v>
      </c>
      <c r="Y120">
        <v>-9.9701370000000004E-3</v>
      </c>
      <c r="Z120">
        <v>3.4955160000000002E-4</v>
      </c>
      <c r="AA120">
        <v>0.99995020000000001</v>
      </c>
      <c r="AB120">
        <v>7</v>
      </c>
      <c r="AC120">
        <v>314.77999999999997</v>
      </c>
      <c r="AD120">
        <v>34.315178000000003</v>
      </c>
      <c r="AE120">
        <v>5.7244000000000002</v>
      </c>
      <c r="AF120">
        <v>-3.1055139360999999</v>
      </c>
      <c r="AG120">
        <v>34.315178000000003</v>
      </c>
      <c r="AH120">
        <v>311.120269479657</v>
      </c>
      <c r="AI120">
        <v>83.706282331009803</v>
      </c>
      <c r="AJ120">
        <v>90.571891162808399</v>
      </c>
      <c r="AK120">
        <v>313.02235980688903</v>
      </c>
      <c r="AL120">
        <v>87.597505079043003</v>
      </c>
      <c r="AM120">
        <v>89.927321316046502</v>
      </c>
      <c r="AN120">
        <v>0.99999999812112905</v>
      </c>
    </row>
    <row r="121" spans="1:40" x14ac:dyDescent="0.25">
      <c r="A121" t="str">
        <f>"20190312160306089"</f>
        <v>20190312160306089</v>
      </c>
      <c r="B121" t="str">
        <f>"1552377786084791"</f>
        <v>1552377786084791</v>
      </c>
      <c r="C121" t="s">
        <v>40</v>
      </c>
      <c r="D121">
        <v>4.8857980000000003</v>
      </c>
      <c r="E121">
        <v>0.49787199999999998</v>
      </c>
      <c r="F121" t="s">
        <v>42</v>
      </c>
      <c r="G121">
        <v>-158.19499999999999</v>
      </c>
      <c r="H121">
        <v>35.412149999999997</v>
      </c>
      <c r="I121">
        <v>372.87950000000001</v>
      </c>
      <c r="J121">
        <v>-472.91739999999999</v>
      </c>
      <c r="K121">
        <v>1.110398</v>
      </c>
      <c r="L121">
        <v>367.24590000000001</v>
      </c>
      <c r="M121">
        <v>0.99992300000000001</v>
      </c>
      <c r="N121">
        <v>0</v>
      </c>
      <c r="O121">
        <v>8.3076169999999998E-3</v>
      </c>
      <c r="P121">
        <v>0.99944509999999998</v>
      </c>
      <c r="Q121">
        <v>3.2575529999999998E-2</v>
      </c>
      <c r="R121">
        <v>6.9630250000000003E-3</v>
      </c>
      <c r="S121">
        <v>2.990631</v>
      </c>
      <c r="T121">
        <v>0.32589020000000002</v>
      </c>
      <c r="U121">
        <v>5.3527829999999998E-2</v>
      </c>
      <c r="V121">
        <v>1.340382E-3</v>
      </c>
      <c r="W121">
        <v>4.1791010000000003E-2</v>
      </c>
      <c r="X121">
        <v>0.9991255</v>
      </c>
      <c r="Y121">
        <v>-9.5808509999999996E-3</v>
      </c>
      <c r="Z121">
        <v>3.821222E-4</v>
      </c>
      <c r="AA121">
        <v>0.99995400000000001</v>
      </c>
      <c r="AB121">
        <v>6</v>
      </c>
      <c r="AC121">
        <v>314.72239999999999</v>
      </c>
      <c r="AD121">
        <v>34.301751999999901</v>
      </c>
      <c r="AE121">
        <v>5.6336000000000004</v>
      </c>
      <c r="AF121">
        <v>-2.9832745598257402</v>
      </c>
      <c r="AG121">
        <v>34.301751999999901</v>
      </c>
      <c r="AH121">
        <v>311.064413582702</v>
      </c>
      <c r="AI121">
        <v>83.707580516446399</v>
      </c>
      <c r="AJ121">
        <v>90.549480408687103</v>
      </c>
      <c r="AK121">
        <v>312.96418247927198</v>
      </c>
      <c r="AL121">
        <v>87.604854037387099</v>
      </c>
      <c r="AM121">
        <v>89.923134595741601</v>
      </c>
      <c r="AN121">
        <v>1.0000000249454799</v>
      </c>
    </row>
    <row r="122" spans="1:40" x14ac:dyDescent="0.25">
      <c r="A122" t="str">
        <f>"20190312160306113"</f>
        <v>20190312160306113</v>
      </c>
      <c r="B122" t="str">
        <f>"1552377786105287"</f>
        <v>1552377786105287</v>
      </c>
      <c r="C122" t="s">
        <v>40</v>
      </c>
      <c r="D122">
        <v>4.7803339999999999</v>
      </c>
      <c r="E122">
        <v>0.49807289999999999</v>
      </c>
      <c r="F122" t="s">
        <v>42</v>
      </c>
      <c r="G122">
        <v>-158.19499999999999</v>
      </c>
      <c r="H122">
        <v>35.750889999999998</v>
      </c>
      <c r="I122">
        <v>372.65429999999998</v>
      </c>
      <c r="J122">
        <v>-472.84</v>
      </c>
      <c r="K122">
        <v>1.1100030000000001</v>
      </c>
      <c r="L122">
        <v>367.24680000000001</v>
      </c>
      <c r="M122">
        <v>0.99993180000000004</v>
      </c>
      <c r="N122">
        <v>0</v>
      </c>
      <c r="O122">
        <v>8.4746409999999998E-3</v>
      </c>
      <c r="P122">
        <v>0.99940600000000002</v>
      </c>
      <c r="Q122">
        <v>3.3778839999999997E-2</v>
      </c>
      <c r="R122">
        <v>6.8514159999999999E-3</v>
      </c>
      <c r="S122">
        <v>2.9906009999999998</v>
      </c>
      <c r="T122">
        <v>0.32916669999999998</v>
      </c>
      <c r="U122">
        <v>5.1391600000000003E-2</v>
      </c>
      <c r="V122">
        <v>1.6173820000000001E-3</v>
      </c>
      <c r="W122">
        <v>4.1821499999999998E-2</v>
      </c>
      <c r="X122">
        <v>0.99912380000000001</v>
      </c>
      <c r="Y122">
        <v>-8.7061619999999999E-3</v>
      </c>
      <c r="Z122">
        <v>4.5225419999999998E-4</v>
      </c>
      <c r="AA122">
        <v>0.99996200000000002</v>
      </c>
      <c r="AB122">
        <v>7</v>
      </c>
      <c r="AC122">
        <v>314.64499999999998</v>
      </c>
      <c r="AD122">
        <v>34.640886999999999</v>
      </c>
      <c r="AE122">
        <v>5.4074999999999704</v>
      </c>
      <c r="AF122">
        <v>-2.70790363573989</v>
      </c>
      <c r="AG122">
        <v>34.640886999999999</v>
      </c>
      <c r="AH122">
        <v>310.91209393333997</v>
      </c>
      <c r="AI122">
        <v>83.642736617415807</v>
      </c>
      <c r="AJ122">
        <v>90.499007693153501</v>
      </c>
      <c r="AK122">
        <v>312.84765293711501</v>
      </c>
      <c r="AL122">
        <v>87.603105526454399</v>
      </c>
      <c r="AM122">
        <v>89.907249650630206</v>
      </c>
      <c r="AN122">
        <v>1.00000001075661</v>
      </c>
    </row>
    <row r="123" spans="1:40" x14ac:dyDescent="0.25">
      <c r="A123" t="str">
        <f>"20190312160306124"</f>
        <v>20190312160306124</v>
      </c>
      <c r="B123" t="str">
        <f>"1552377786115048"</f>
        <v>1552377786115048</v>
      </c>
      <c r="C123" t="s">
        <v>40</v>
      </c>
      <c r="D123">
        <v>4.7201300000000002</v>
      </c>
      <c r="E123">
        <v>0.49825789999999998</v>
      </c>
      <c r="F123" t="s">
        <v>42</v>
      </c>
      <c r="G123">
        <v>-158.19499999999999</v>
      </c>
      <c r="H123">
        <v>35.710120000000003</v>
      </c>
      <c r="I123">
        <v>372.4135</v>
      </c>
      <c r="J123">
        <v>-472.79790000000003</v>
      </c>
      <c r="K123">
        <v>1.10982</v>
      </c>
      <c r="L123">
        <v>367.24720000000002</v>
      </c>
      <c r="M123">
        <v>0.99993569999999998</v>
      </c>
      <c r="N123">
        <v>0</v>
      </c>
      <c r="O123">
        <v>8.5723099999999997E-3</v>
      </c>
      <c r="P123">
        <v>0.99939630000000002</v>
      </c>
      <c r="Q123">
        <v>3.4050549999999999E-2</v>
      </c>
      <c r="R123">
        <v>6.8973719999999997E-3</v>
      </c>
      <c r="S123">
        <v>2.9902950000000001</v>
      </c>
      <c r="T123">
        <v>0.32883020000000002</v>
      </c>
      <c r="U123">
        <v>4.9102779999999999E-2</v>
      </c>
      <c r="V123">
        <v>1.668505E-3</v>
      </c>
      <c r="W123">
        <v>4.146942E-2</v>
      </c>
      <c r="X123">
        <v>0.99913839999999998</v>
      </c>
      <c r="Y123">
        <v>-7.8508550000000003E-3</v>
      </c>
      <c r="Z123">
        <v>5.094295E-4</v>
      </c>
      <c r="AA123">
        <v>0.99996910000000006</v>
      </c>
      <c r="AB123">
        <v>7</v>
      </c>
      <c r="AC123">
        <v>314.60289999999998</v>
      </c>
      <c r="AD123">
        <v>34.600299999999997</v>
      </c>
      <c r="AE123">
        <v>5.1662999999999704</v>
      </c>
      <c r="AF123">
        <v>-2.4396605919416001</v>
      </c>
      <c r="AG123">
        <v>34.600299999999997</v>
      </c>
      <c r="AH123">
        <v>310.87634663278902</v>
      </c>
      <c r="AI123">
        <v>83.649355091957304</v>
      </c>
      <c r="AJ123">
        <v>90.449630174278795</v>
      </c>
      <c r="AK123">
        <v>312.80542770170001</v>
      </c>
      <c r="AL123">
        <v>87.623295761244606</v>
      </c>
      <c r="AM123">
        <v>89.904319355825706</v>
      </c>
      <c r="AN123">
        <v>1.0000000195293099</v>
      </c>
    </row>
    <row r="124" spans="1:40" x14ac:dyDescent="0.25">
      <c r="A124" t="str">
        <f>"20190312160306136"</f>
        <v>20190312160306136</v>
      </c>
      <c r="B124" t="str">
        <f>"1552377786124807"</f>
        <v>1552377786124807</v>
      </c>
      <c r="C124" t="s">
        <v>40</v>
      </c>
      <c r="D124">
        <v>4.7857269999999996</v>
      </c>
      <c r="E124">
        <v>0.49839339999999999</v>
      </c>
      <c r="F124" t="s">
        <v>42</v>
      </c>
      <c r="G124">
        <v>-158.19499999999999</v>
      </c>
      <c r="H124">
        <v>35.67747</v>
      </c>
      <c r="I124">
        <v>372.25259999999997</v>
      </c>
      <c r="J124">
        <v>-472.7595</v>
      </c>
      <c r="K124">
        <v>1.109712</v>
      </c>
      <c r="L124">
        <v>367.24770000000001</v>
      </c>
      <c r="M124">
        <v>0.9999382</v>
      </c>
      <c r="N124">
        <v>0</v>
      </c>
      <c r="O124">
        <v>8.6649610000000005E-3</v>
      </c>
      <c r="P124">
        <v>0.99937619999999905</v>
      </c>
      <c r="Q124">
        <v>3.4678769999999998E-2</v>
      </c>
      <c r="R124">
        <v>6.7068989999999997E-3</v>
      </c>
      <c r="S124">
        <v>2.990326</v>
      </c>
      <c r="T124">
        <v>0.3285689</v>
      </c>
      <c r="U124">
        <v>4.7576899999999998E-2</v>
      </c>
      <c r="V124">
        <v>1.950743E-3</v>
      </c>
      <c r="W124">
        <v>4.1657609999999998E-2</v>
      </c>
      <c r="X124">
        <v>0.99913010000000002</v>
      </c>
      <c r="Y124">
        <v>-7.2520889999999998E-3</v>
      </c>
      <c r="Z124">
        <v>5.5196460000000004E-4</v>
      </c>
      <c r="AA124">
        <v>0.99997349999999996</v>
      </c>
      <c r="AB124">
        <v>7</v>
      </c>
      <c r="AC124">
        <v>314.56450000000001</v>
      </c>
      <c r="AD124">
        <v>34.567757999999998</v>
      </c>
      <c r="AE124">
        <v>5.0048999999999602</v>
      </c>
      <c r="AF124">
        <v>-2.25177135184438</v>
      </c>
      <c r="AG124">
        <v>34.567757999999998</v>
      </c>
      <c r="AH124">
        <v>310.843266083473</v>
      </c>
      <c r="AI124">
        <v>83.654580843910693</v>
      </c>
      <c r="AJ124">
        <v>90.415047556908206</v>
      </c>
      <c r="AK124">
        <v>312.767543771421</v>
      </c>
      <c r="AL124">
        <v>87.612504038093206</v>
      </c>
      <c r="AM124">
        <v>89.888133488529206</v>
      </c>
      <c r="AN124">
        <v>1.00000005929758</v>
      </c>
    </row>
    <row r="125" spans="1:40" x14ac:dyDescent="0.25">
      <c r="A125" t="str">
        <f>"20190312160306149"</f>
        <v>20190312160306149</v>
      </c>
      <c r="B125" t="str">
        <f>"1552377786145303"</f>
        <v>1552377786145303</v>
      </c>
      <c r="C125" t="s">
        <v>40</v>
      </c>
      <c r="D125">
        <v>4.7268619999999997</v>
      </c>
      <c r="E125">
        <v>0.49859629999999999</v>
      </c>
      <c r="F125" t="s">
        <v>42</v>
      </c>
      <c r="G125">
        <v>-158.19499999999999</v>
      </c>
      <c r="H125">
        <v>36.071939999999998</v>
      </c>
      <c r="I125">
        <v>372.12139999999999</v>
      </c>
      <c r="J125">
        <v>-472.7192</v>
      </c>
      <c r="K125">
        <v>1.1096170000000001</v>
      </c>
      <c r="L125">
        <v>367.24810000000002</v>
      </c>
      <c r="M125">
        <v>0.9999403</v>
      </c>
      <c r="N125">
        <v>0</v>
      </c>
      <c r="O125">
        <v>8.7625829999999991E-3</v>
      </c>
      <c r="P125">
        <v>0.99935439999999998</v>
      </c>
      <c r="Q125">
        <v>3.524559E-2</v>
      </c>
      <c r="R125">
        <v>6.9875349999999996E-3</v>
      </c>
      <c r="S125">
        <v>2.990021</v>
      </c>
      <c r="T125">
        <v>0.33232620000000002</v>
      </c>
      <c r="U125">
        <v>4.6325680000000001E-2</v>
      </c>
      <c r="V125">
        <v>1.7669949999999999E-3</v>
      </c>
      <c r="W125">
        <v>4.1800539999999997E-2</v>
      </c>
      <c r="X125">
        <v>0.99912440000000002</v>
      </c>
      <c r="Y125">
        <v>-6.7416999999999998E-3</v>
      </c>
      <c r="Z125">
        <v>5.9738480000000001E-4</v>
      </c>
      <c r="AA125">
        <v>0.99997709999999995</v>
      </c>
      <c r="AB125">
        <v>8</v>
      </c>
      <c r="AC125">
        <v>314.52420000000001</v>
      </c>
      <c r="AD125">
        <v>34.962322999999998</v>
      </c>
      <c r="AE125">
        <v>4.8732999999999702</v>
      </c>
      <c r="AF125">
        <v>-2.0911765233777202</v>
      </c>
      <c r="AG125">
        <v>34.962322999999998</v>
      </c>
      <c r="AH125">
        <v>310.716408925748</v>
      </c>
      <c r="AI125">
        <v>83.580132504301105</v>
      </c>
      <c r="AJ125">
        <v>90.385604932943906</v>
      </c>
      <c r="AK125">
        <v>312.68422381776998</v>
      </c>
      <c r="AL125">
        <v>87.604307440221305</v>
      </c>
      <c r="AM125">
        <v>89.898670025105403</v>
      </c>
      <c r="AN125">
        <v>0.99999998704548998</v>
      </c>
    </row>
    <row r="126" spans="1:40" x14ac:dyDescent="0.25">
      <c r="A126" t="str">
        <f>"20190312160306166"</f>
        <v>20190312160306166</v>
      </c>
      <c r="B126" t="str">
        <f>"1552377786155063"</f>
        <v>1552377786155063</v>
      </c>
      <c r="C126" t="s">
        <v>40</v>
      </c>
      <c r="D126">
        <v>4.6314229999999998</v>
      </c>
      <c r="E126">
        <v>0.4984381</v>
      </c>
      <c r="F126" t="s">
        <v>42</v>
      </c>
      <c r="G126">
        <v>-158.19499999999999</v>
      </c>
      <c r="H126">
        <v>36.671100000000003</v>
      </c>
      <c r="I126">
        <v>372.03500000000003</v>
      </c>
      <c r="J126">
        <v>-472.65469999999999</v>
      </c>
      <c r="K126">
        <v>1.109532</v>
      </c>
      <c r="L126">
        <v>367.24880000000002</v>
      </c>
      <c r="M126">
        <v>0.999942</v>
      </c>
      <c r="N126">
        <v>0</v>
      </c>
      <c r="O126">
        <v>8.9199780000000003E-3</v>
      </c>
      <c r="P126">
        <v>0.99935260000000004</v>
      </c>
      <c r="Q126">
        <v>3.5301249999999999E-2</v>
      </c>
      <c r="R126">
        <v>6.9606319999999996E-3</v>
      </c>
      <c r="S126">
        <v>2.9896850000000001</v>
      </c>
      <c r="T126">
        <v>0.33802749999999998</v>
      </c>
      <c r="U126">
        <v>4.5501710000000001E-2</v>
      </c>
      <c r="V126">
        <v>1.950275E-3</v>
      </c>
      <c r="W126">
        <v>4.1349370000000003E-2</v>
      </c>
      <c r="X126">
        <v>0.9991428</v>
      </c>
      <c r="Y126">
        <v>-6.3146859999999999E-3</v>
      </c>
      <c r="Z126">
        <v>6.4943489999999895E-4</v>
      </c>
      <c r="AA126">
        <v>0.99997990000000003</v>
      </c>
      <c r="AB126">
        <v>8</v>
      </c>
      <c r="AC126">
        <v>314.4597</v>
      </c>
      <c r="AD126">
        <v>35.561568000000001</v>
      </c>
      <c r="AE126">
        <v>4.7862</v>
      </c>
      <c r="AF126">
        <v>-1.9559759710259399</v>
      </c>
      <c r="AG126">
        <v>35.561568000000001</v>
      </c>
      <c r="AH126">
        <v>310.51961083614702</v>
      </c>
      <c r="AI126">
        <v>83.466919547787199</v>
      </c>
      <c r="AJ126">
        <v>90.360903729971298</v>
      </c>
      <c r="AK126">
        <v>312.55540256800901</v>
      </c>
      <c r="AL126">
        <v>87.630179869855198</v>
      </c>
      <c r="AM126">
        <v>89.888161747776806</v>
      </c>
      <c r="AN126">
        <v>0.99999995438190503</v>
      </c>
    </row>
    <row r="127" spans="1:40" x14ac:dyDescent="0.25">
      <c r="A127" t="str">
        <f>"20190312160306179"</f>
        <v>20190312160306179</v>
      </c>
      <c r="B127" t="str">
        <f>"1552377786174583"</f>
        <v>1552377786174583</v>
      </c>
      <c r="C127" t="s">
        <v>40</v>
      </c>
      <c r="D127">
        <v>4.596292</v>
      </c>
      <c r="E127">
        <v>0.49842209999999998</v>
      </c>
      <c r="F127" t="s">
        <v>42</v>
      </c>
      <c r="G127">
        <v>-158.19499999999999</v>
      </c>
      <c r="H127">
        <v>36.434199999999997</v>
      </c>
      <c r="I127">
        <v>372.17590000000001</v>
      </c>
      <c r="J127">
        <v>-472.60899999999998</v>
      </c>
      <c r="K127">
        <v>1.10949599999999</v>
      </c>
      <c r="L127">
        <v>367.24939999999998</v>
      </c>
      <c r="M127">
        <v>0.99994280000000002</v>
      </c>
      <c r="N127">
        <v>0</v>
      </c>
      <c r="O127">
        <v>9.0259650000000004E-3</v>
      </c>
      <c r="P127">
        <v>0.99933700000000003</v>
      </c>
      <c r="Q127">
        <v>3.5706410000000001E-2</v>
      </c>
      <c r="R127">
        <v>7.142575E-3</v>
      </c>
      <c r="S127">
        <v>2.9897770000000001</v>
      </c>
      <c r="T127">
        <v>0.33585569999999998</v>
      </c>
      <c r="U127">
        <v>4.6844480000000001E-2</v>
      </c>
      <c r="V127">
        <v>1.8737370000000001E-3</v>
      </c>
      <c r="W127">
        <v>4.1454659999999997E-2</v>
      </c>
      <c r="X127">
        <v>0.99913870000000005</v>
      </c>
      <c r="Y127">
        <v>-6.6555599999999996E-3</v>
      </c>
      <c r="Z127">
        <v>6.3804699999999998E-4</v>
      </c>
      <c r="AA127">
        <v>0.99997760000000002</v>
      </c>
      <c r="AB127">
        <v>8</v>
      </c>
      <c r="AC127">
        <v>314.41399999999999</v>
      </c>
      <c r="AD127">
        <v>35.324703999999997</v>
      </c>
      <c r="AE127">
        <v>4.9265000000000301</v>
      </c>
      <c r="AF127">
        <v>-2.0623368952690901</v>
      </c>
      <c r="AG127">
        <v>35.324703999999997</v>
      </c>
      <c r="AH127">
        <v>310.52692353601202</v>
      </c>
      <c r="AI127">
        <v>83.510227570117095</v>
      </c>
      <c r="AJ127">
        <v>90.380519220059895</v>
      </c>
      <c r="AK127">
        <v>312.53649096849</v>
      </c>
      <c r="AL127">
        <v>87.624142296620406</v>
      </c>
      <c r="AM127">
        <v>89.892550357461602</v>
      </c>
      <c r="AN127">
        <v>1.0000000707818699</v>
      </c>
    </row>
    <row r="128" spans="1:40" x14ac:dyDescent="0.25">
      <c r="A128" t="str">
        <f>"20190312160306202"</f>
        <v>20190312160306202</v>
      </c>
      <c r="B128" t="str">
        <f>"1552377786195079"</f>
        <v>1552377786195079</v>
      </c>
      <c r="C128" t="s">
        <v>40</v>
      </c>
      <c r="D128">
        <v>4.635294</v>
      </c>
      <c r="E128">
        <v>0.4985096</v>
      </c>
      <c r="F128" t="s">
        <v>42</v>
      </c>
      <c r="G128">
        <v>-158.19499999999999</v>
      </c>
      <c r="H128">
        <v>37.157870000000003</v>
      </c>
      <c r="I128">
        <v>372.26940000000002</v>
      </c>
      <c r="J128">
        <v>-472.52620000000002</v>
      </c>
      <c r="K128">
        <v>1.1094440000000001</v>
      </c>
      <c r="L128">
        <v>367.25029999999998</v>
      </c>
      <c r="M128">
        <v>0.99994369999999999</v>
      </c>
      <c r="N128">
        <v>0</v>
      </c>
      <c r="O128">
        <v>9.2088540000000007E-3</v>
      </c>
      <c r="P128">
        <v>0.99933550000000004</v>
      </c>
      <c r="Q128">
        <v>3.5699099999999998E-2</v>
      </c>
      <c r="R128">
        <v>7.3736990000000001E-3</v>
      </c>
      <c r="S128">
        <v>2.9894099999999999</v>
      </c>
      <c r="T128">
        <v>0.3427444</v>
      </c>
      <c r="U128">
        <v>4.7729489999999999E-2</v>
      </c>
      <c r="V128">
        <v>1.8251719999999999E-3</v>
      </c>
      <c r="W128">
        <v>4.0966790000000003E-2</v>
      </c>
      <c r="X128">
        <v>0.99915889999999996</v>
      </c>
      <c r="Y128">
        <v>-6.7716299999999998E-3</v>
      </c>
      <c r="Z128">
        <v>6.6539029999999996E-4</v>
      </c>
      <c r="AA128">
        <v>0.99997689999999995</v>
      </c>
      <c r="AB128">
        <v>8</v>
      </c>
      <c r="AC128">
        <v>314.33120000000002</v>
      </c>
      <c r="AD128">
        <v>36.048425999999999</v>
      </c>
      <c r="AE128">
        <v>5.0191000000000301</v>
      </c>
      <c r="AF128">
        <v>-2.0966483559471301</v>
      </c>
      <c r="AG128">
        <v>36.048425999999999</v>
      </c>
      <c r="AH128">
        <v>310.28421939558098</v>
      </c>
      <c r="AI128">
        <v>83.373307839084305</v>
      </c>
      <c r="AJ128">
        <v>90.387152378729297</v>
      </c>
      <c r="AK128">
        <v>312.37826710149199</v>
      </c>
      <c r="AL128">
        <v>87.652118924335795</v>
      </c>
      <c r="AM128">
        <v>89.895337432145595</v>
      </c>
      <c r="AN128">
        <v>1.00000005829247</v>
      </c>
    </row>
    <row r="129" spans="1:40" x14ac:dyDescent="0.25">
      <c r="A129" t="str">
        <f>"20190312160306216"</f>
        <v>20190312160306216</v>
      </c>
      <c r="B129" t="str">
        <f>"1552377786204839"</f>
        <v>1552377786204839</v>
      </c>
      <c r="C129" t="s">
        <v>40</v>
      </c>
      <c r="D129">
        <v>4.6221969999999999</v>
      </c>
      <c r="E129">
        <v>0.49856539999999999</v>
      </c>
      <c r="F129" t="s">
        <v>42</v>
      </c>
      <c r="G129">
        <v>-158.19499999999999</v>
      </c>
      <c r="H129">
        <v>37.719760000000001</v>
      </c>
      <c r="I129">
        <v>372.30790000000002</v>
      </c>
      <c r="J129">
        <v>-472.47289999999998</v>
      </c>
      <c r="K129">
        <v>1.109432</v>
      </c>
      <c r="L129">
        <v>367.2509</v>
      </c>
      <c r="M129">
        <v>0.99994380000000005</v>
      </c>
      <c r="N129">
        <v>0</v>
      </c>
      <c r="O129">
        <v>9.320989E-3</v>
      </c>
      <c r="P129">
        <v>0.99934149999999999</v>
      </c>
      <c r="Q129">
        <v>3.5494159999999997E-2</v>
      </c>
      <c r="R129">
        <v>7.5404900000000004E-3</v>
      </c>
      <c r="S129">
        <v>2.9891969999999999</v>
      </c>
      <c r="T129">
        <v>0.34815390000000002</v>
      </c>
      <c r="U129">
        <v>4.8095699999999998E-2</v>
      </c>
      <c r="V129">
        <v>1.7705220000000001E-3</v>
      </c>
      <c r="W129">
        <v>4.0541809999999998E-2</v>
      </c>
      <c r="X129">
        <v>0.99917630000000002</v>
      </c>
      <c r="Y129">
        <v>-6.7843010000000004E-3</v>
      </c>
      <c r="Z129">
        <v>6.8814799999999997E-4</v>
      </c>
      <c r="AA129">
        <v>0.9999768</v>
      </c>
      <c r="AB129">
        <v>8</v>
      </c>
      <c r="AC129">
        <v>314.27789999999999</v>
      </c>
      <c r="AD129">
        <v>36.610328000000003</v>
      </c>
      <c r="AE129">
        <v>5.0570000000000102</v>
      </c>
      <c r="AF129">
        <v>-2.0988875761278498</v>
      </c>
      <c r="AG129">
        <v>36.610328000000003</v>
      </c>
      <c r="AH129">
        <v>310.10435977601099</v>
      </c>
      <c r="AI129">
        <v>83.267088332572598</v>
      </c>
      <c r="AJ129">
        <v>90.387790625006403</v>
      </c>
      <c r="AK129">
        <v>312.265008282091</v>
      </c>
      <c r="AL129">
        <v>87.676488654397403</v>
      </c>
      <c r="AM129">
        <v>89.898473040282695</v>
      </c>
      <c r="AN129">
        <v>1.0000000257939501</v>
      </c>
    </row>
    <row r="130" spans="1:40" x14ac:dyDescent="0.25">
      <c r="A130" t="str">
        <f>"20190312160306236"</f>
        <v>20190312160306236</v>
      </c>
      <c r="B130" t="str">
        <f>"1552377786225335"</f>
        <v>1552377786225335</v>
      </c>
      <c r="C130" t="s">
        <v>40</v>
      </c>
      <c r="D130">
        <v>4.6069760000000004</v>
      </c>
      <c r="E130">
        <v>0.49865330000000002</v>
      </c>
      <c r="F130" t="s">
        <v>42</v>
      </c>
      <c r="G130">
        <v>-158.19499999999999</v>
      </c>
      <c r="H130">
        <v>37.929119999999998</v>
      </c>
      <c r="I130">
        <v>372.32380000000001</v>
      </c>
      <c r="J130">
        <v>-472.40390000000002</v>
      </c>
      <c r="K130">
        <v>1.109442</v>
      </c>
      <c r="L130">
        <v>367.25170000000003</v>
      </c>
      <c r="M130">
        <v>0.99994329999999998</v>
      </c>
      <c r="N130">
        <v>0</v>
      </c>
      <c r="O130">
        <v>9.4635190000000001E-3</v>
      </c>
      <c r="P130">
        <v>0.99934909999999999</v>
      </c>
      <c r="Q130">
        <v>3.5280209999999999E-2</v>
      </c>
      <c r="R130">
        <v>7.519665E-3</v>
      </c>
      <c r="S130">
        <v>2.989166</v>
      </c>
      <c r="T130">
        <v>0.35020079999999998</v>
      </c>
      <c r="U130">
        <v>4.8248289999999999E-2</v>
      </c>
      <c r="V130">
        <v>1.934468E-3</v>
      </c>
      <c r="W130">
        <v>4.0167319999999999E-2</v>
      </c>
      <c r="X130">
        <v>0.9991911</v>
      </c>
      <c r="Y130">
        <v>-6.6947609999999996E-3</v>
      </c>
      <c r="Z130">
        <v>7.1403809999999999E-4</v>
      </c>
      <c r="AA130">
        <v>0.99997740000000002</v>
      </c>
      <c r="AB130">
        <v>8</v>
      </c>
      <c r="AC130">
        <v>314.20890000000003</v>
      </c>
      <c r="AD130">
        <v>36.819678000000003</v>
      </c>
      <c r="AE130">
        <v>5.0720999999999696</v>
      </c>
      <c r="AF130">
        <v>-2.06989977423058</v>
      </c>
      <c r="AG130">
        <v>36.819678000000003</v>
      </c>
      <c r="AH130">
        <v>309.98729888636802</v>
      </c>
      <c r="AI130">
        <v>83.226406463469402</v>
      </c>
      <c r="AJ130">
        <v>90.3825794118668</v>
      </c>
      <c r="AK130">
        <v>312.17318693950199</v>
      </c>
      <c r="AL130">
        <v>87.697962795023699</v>
      </c>
      <c r="AM130">
        <v>89.889073558078294</v>
      </c>
      <c r="AN130">
        <v>1.00000000504081</v>
      </c>
    </row>
    <row r="131" spans="1:40" x14ac:dyDescent="0.25">
      <c r="A131" t="str">
        <f>"20190312160306257"</f>
        <v>20190312160306257</v>
      </c>
      <c r="B131" t="str">
        <f>"1552377786244855"</f>
        <v>1552377786244855</v>
      </c>
      <c r="C131" t="s">
        <v>40</v>
      </c>
      <c r="D131">
        <v>4.5538819999999998</v>
      </c>
      <c r="E131">
        <v>0.49872359999999999</v>
      </c>
      <c r="F131" t="s">
        <v>42</v>
      </c>
      <c r="G131">
        <v>-158.19499999999999</v>
      </c>
      <c r="H131">
        <v>38.355600000000003</v>
      </c>
      <c r="I131">
        <v>372.28519999999997</v>
      </c>
      <c r="J131">
        <v>-472.32100000000003</v>
      </c>
      <c r="K131">
        <v>1.109499</v>
      </c>
      <c r="L131">
        <v>367.2527</v>
      </c>
      <c r="M131">
        <v>0.99994159999999999</v>
      </c>
      <c r="N131">
        <v>0</v>
      </c>
      <c r="O131">
        <v>9.6364829999999995E-3</v>
      </c>
      <c r="P131">
        <v>0.99936309999999995</v>
      </c>
      <c r="Q131">
        <v>3.4954239999999998E-2</v>
      </c>
      <c r="R131">
        <v>7.1698480000000004E-3</v>
      </c>
      <c r="S131">
        <v>2.9890439999999998</v>
      </c>
      <c r="T131">
        <v>0.35432039999999998</v>
      </c>
      <c r="U131">
        <v>4.788208E-2</v>
      </c>
      <c r="V131">
        <v>2.4579150000000002E-3</v>
      </c>
      <c r="W131">
        <v>3.9830459999999998E-2</v>
      </c>
      <c r="X131">
        <v>0.99920339999999996</v>
      </c>
      <c r="Y131">
        <v>-6.4036619999999897E-3</v>
      </c>
      <c r="Z131">
        <v>7.6003119999999995E-4</v>
      </c>
      <c r="AA131">
        <v>0.99997919999999996</v>
      </c>
      <c r="AB131">
        <v>8</v>
      </c>
      <c r="AC131">
        <v>314.12599999999998</v>
      </c>
      <c r="AD131">
        <v>37.246101000000003</v>
      </c>
      <c r="AE131">
        <v>5.0324999999999598</v>
      </c>
      <c r="AF131">
        <v>-1.97736759827843</v>
      </c>
      <c r="AG131">
        <v>37.246101000000003</v>
      </c>
      <c r="AH131">
        <v>309.80547840806997</v>
      </c>
      <c r="AI131">
        <v>83.144704563949105</v>
      </c>
      <c r="AJ131">
        <v>90.365691659456004</v>
      </c>
      <c r="AK131">
        <v>312.04265169039599</v>
      </c>
      <c r="AL131">
        <v>87.717278831162503</v>
      </c>
      <c r="AM131">
        <v>89.859059855227301</v>
      </c>
      <c r="AN131">
        <v>0.99999997073075897</v>
      </c>
    </row>
    <row r="132" spans="1:40" x14ac:dyDescent="0.25">
      <c r="A132" t="str">
        <f>"20190312160306273"</f>
        <v>20190312160306273</v>
      </c>
      <c r="B132" t="str">
        <f>"1552377786265351"</f>
        <v>1552377786265351</v>
      </c>
      <c r="C132" t="s">
        <v>40</v>
      </c>
      <c r="D132">
        <v>4.4721229999999998</v>
      </c>
      <c r="E132">
        <v>0.49880770000000002</v>
      </c>
      <c r="F132" t="s">
        <v>42</v>
      </c>
      <c r="G132">
        <v>-158.19499999999999</v>
      </c>
      <c r="H132">
        <v>38.653579999999998</v>
      </c>
      <c r="I132">
        <v>372.12439999999998</v>
      </c>
      <c r="J132">
        <v>-472.26260000000002</v>
      </c>
      <c r="K132">
        <v>1.109545</v>
      </c>
      <c r="L132">
        <v>367.2534</v>
      </c>
      <c r="M132">
        <v>0.9999403</v>
      </c>
      <c r="N132">
        <v>0</v>
      </c>
      <c r="O132">
        <v>9.7621549999999998E-3</v>
      </c>
      <c r="P132">
        <v>0.99935759999999996</v>
      </c>
      <c r="Q132">
        <v>3.511239E-2</v>
      </c>
      <c r="R132">
        <v>7.1718279999999999E-3</v>
      </c>
      <c r="S132">
        <v>2.9890750000000001</v>
      </c>
      <c r="T132">
        <v>0.35725240000000003</v>
      </c>
      <c r="U132">
        <v>4.6356199999999903E-2</v>
      </c>
      <c r="V132">
        <v>2.581847E-3</v>
      </c>
      <c r="W132">
        <v>4.0042960000000002E-2</v>
      </c>
      <c r="X132">
        <v>0.99919460000000004</v>
      </c>
      <c r="Y132">
        <v>-5.7732249999999999E-3</v>
      </c>
      <c r="Z132">
        <v>8.187763E-4</v>
      </c>
      <c r="AA132">
        <v>0.99998299999999996</v>
      </c>
      <c r="AB132">
        <v>8</v>
      </c>
      <c r="AC132">
        <v>314.06760000000003</v>
      </c>
      <c r="AD132">
        <v>37.544035000000001</v>
      </c>
      <c r="AE132">
        <v>4.87099999999998</v>
      </c>
      <c r="AF132">
        <v>-1.7793335932469001</v>
      </c>
      <c r="AG132">
        <v>37.544035000000001</v>
      </c>
      <c r="AH132">
        <v>309.67594642166199</v>
      </c>
      <c r="AI132">
        <v>83.087508009933899</v>
      </c>
      <c r="AJ132">
        <v>90.329206012051301</v>
      </c>
      <c r="AK132">
        <v>311.94857330058397</v>
      </c>
      <c r="AL132">
        <v>87.705093770054305</v>
      </c>
      <c r="AM132">
        <v>89.851952155040706</v>
      </c>
      <c r="AN132">
        <v>0.99999997662432605</v>
      </c>
    </row>
    <row r="133" spans="1:40" x14ac:dyDescent="0.25">
      <c r="A133" t="str">
        <f>"20190312160306286"</f>
        <v>20190312160306286</v>
      </c>
      <c r="B133" t="str">
        <f>"1552377786275112"</f>
        <v>1552377786275112</v>
      </c>
      <c r="C133" t="s">
        <v>40</v>
      </c>
      <c r="D133">
        <v>4.5480729999999996</v>
      </c>
      <c r="E133">
        <v>0.4988649</v>
      </c>
      <c r="F133" t="s">
        <v>42</v>
      </c>
      <c r="G133">
        <v>-158.19499999999999</v>
      </c>
      <c r="H133">
        <v>38.841369999999998</v>
      </c>
      <c r="I133">
        <v>372.07310000000001</v>
      </c>
      <c r="J133">
        <v>-472.20929999999998</v>
      </c>
      <c r="K133">
        <v>1.109586</v>
      </c>
      <c r="L133">
        <v>367.25409999999999</v>
      </c>
      <c r="M133">
        <v>0.99993880000000002</v>
      </c>
      <c r="N133">
        <v>0</v>
      </c>
      <c r="O133">
        <v>9.8782160000000004E-3</v>
      </c>
      <c r="P133">
        <v>0.99935879999999999</v>
      </c>
      <c r="Q133">
        <v>3.5126499999999998E-2</v>
      </c>
      <c r="R133">
        <v>6.9668890000000004E-3</v>
      </c>
      <c r="S133">
        <v>2.988953</v>
      </c>
      <c r="T133">
        <v>0.35909099999999999</v>
      </c>
      <c r="U133">
        <v>4.586792E-2</v>
      </c>
      <c r="V133">
        <v>2.9027979999999998E-3</v>
      </c>
      <c r="W133">
        <v>4.0119189999999999E-2</v>
      </c>
      <c r="X133">
        <v>0.99919069999999999</v>
      </c>
      <c r="Y133">
        <v>-5.4975769999999896E-3</v>
      </c>
      <c r="Z133">
        <v>8.5338500000000002E-4</v>
      </c>
      <c r="AA133">
        <v>0.99998450000000005</v>
      </c>
      <c r="AB133">
        <v>8</v>
      </c>
      <c r="AC133">
        <v>314.01429999999999</v>
      </c>
      <c r="AD133">
        <v>37.731783999999998</v>
      </c>
      <c r="AE133">
        <v>4.8190000000000097</v>
      </c>
      <c r="AF133">
        <v>-1.69239574729418</v>
      </c>
      <c r="AG133">
        <v>37.731783999999998</v>
      </c>
      <c r="AH133">
        <v>309.577859183633</v>
      </c>
      <c r="AI133">
        <v>83.051086923874607</v>
      </c>
      <c r="AJ133">
        <v>90.313220615584598</v>
      </c>
      <c r="AK133">
        <v>311.87337594592702</v>
      </c>
      <c r="AL133">
        <v>87.700722689125598</v>
      </c>
      <c r="AM133">
        <v>89.833547683861298</v>
      </c>
      <c r="AN133">
        <v>1.0000000153044799</v>
      </c>
    </row>
    <row r="134" spans="1:40" x14ac:dyDescent="0.25">
      <c r="A134" t="str">
        <f>"20190312160306302"</f>
        <v>20190312160306302</v>
      </c>
      <c r="B134" t="str">
        <f>"1552377786294632"</f>
        <v>1552377786294632</v>
      </c>
      <c r="C134" t="s">
        <v>40</v>
      </c>
      <c r="D134">
        <v>4.5017509999999996</v>
      </c>
      <c r="E134">
        <v>0.4989499</v>
      </c>
      <c r="F134" t="s">
        <v>42</v>
      </c>
      <c r="G134">
        <v>-158.19499999999999</v>
      </c>
      <c r="H134">
        <v>39.001820000000002</v>
      </c>
      <c r="I134">
        <v>371.97359999999998</v>
      </c>
      <c r="J134">
        <v>-472.14850000000001</v>
      </c>
      <c r="K134">
        <v>1.1096170000000001</v>
      </c>
      <c r="L134">
        <v>367.25479999999999</v>
      </c>
      <c r="M134">
        <v>0.99993719999999997</v>
      </c>
      <c r="N134">
        <v>0</v>
      </c>
      <c r="O134">
        <v>1.0013340000000001E-2</v>
      </c>
      <c r="P134">
        <v>0.99934800000000001</v>
      </c>
      <c r="Q134">
        <v>3.543922E-2</v>
      </c>
      <c r="R134">
        <v>6.9000939999999998E-3</v>
      </c>
      <c r="S134">
        <v>2.9889220000000001</v>
      </c>
      <c r="T134">
        <v>0.36067510000000003</v>
      </c>
      <c r="U134">
        <v>4.4921879999999997E-2</v>
      </c>
      <c r="V134">
        <v>3.1045980000000001E-3</v>
      </c>
      <c r="W134">
        <v>4.0480820000000001E-2</v>
      </c>
      <c r="X134">
        <v>0.99917549999999999</v>
      </c>
      <c r="Y134">
        <v>-5.050662E-3</v>
      </c>
      <c r="Z134">
        <v>9.0024429999999904E-4</v>
      </c>
      <c r="AA134">
        <v>0.99998679999999995</v>
      </c>
      <c r="AB134">
        <v>8</v>
      </c>
      <c r="AC134">
        <v>313.95350000000002</v>
      </c>
      <c r="AD134">
        <v>37.892203000000002</v>
      </c>
      <c r="AE134">
        <v>4.7187999999999803</v>
      </c>
      <c r="AF134">
        <v>-1.5521948045949101</v>
      </c>
      <c r="AG134">
        <v>37.892203000000002</v>
      </c>
      <c r="AH134">
        <v>309.477876229174</v>
      </c>
      <c r="AI134">
        <v>83.019585331452802</v>
      </c>
      <c r="AJ134">
        <v>90.287366149243397</v>
      </c>
      <c r="AK134">
        <v>311.79285468436399</v>
      </c>
      <c r="AL134">
        <v>87.679985952608106</v>
      </c>
      <c r="AM134">
        <v>89.821973427047695</v>
      </c>
      <c r="AN134">
        <v>1.0000000075584301</v>
      </c>
    </row>
    <row r="135" spans="1:40" x14ac:dyDescent="0.25">
      <c r="A135" t="str">
        <f>"20190312160306317"</f>
        <v>20190312160306317</v>
      </c>
      <c r="B135" t="str">
        <f>"1552377786305367"</f>
        <v>1552377786305367</v>
      </c>
      <c r="C135" t="s">
        <v>40</v>
      </c>
      <c r="D135">
        <v>4.487603</v>
      </c>
      <c r="E135">
        <v>0.49900499999999998</v>
      </c>
      <c r="F135" t="s">
        <v>42</v>
      </c>
      <c r="G135">
        <v>-158.19499999999999</v>
      </c>
      <c r="H135">
        <v>39.423499999999997</v>
      </c>
      <c r="I135">
        <v>371.86149999999998</v>
      </c>
      <c r="J135">
        <v>-472.09359999999998</v>
      </c>
      <c r="K135">
        <v>1.109637</v>
      </c>
      <c r="L135">
        <v>367.25549999999998</v>
      </c>
      <c r="M135">
        <v>0.99993580000000004</v>
      </c>
      <c r="N135">
        <v>0</v>
      </c>
      <c r="O135">
        <v>1.013553E-2</v>
      </c>
      <c r="P135">
        <v>0.99935450000000003</v>
      </c>
      <c r="Q135">
        <v>3.5275819999999999E-2</v>
      </c>
      <c r="R135">
        <v>6.7921730000000003E-3</v>
      </c>
      <c r="S135">
        <v>2.9887079999999999</v>
      </c>
      <c r="T135">
        <v>0.36473309999999998</v>
      </c>
      <c r="U135">
        <v>4.3853759999999999E-2</v>
      </c>
      <c r="V135">
        <v>3.3346690000000002E-3</v>
      </c>
      <c r="W135">
        <v>4.0342179999999998E-2</v>
      </c>
      <c r="X135">
        <v>0.99918039999999997</v>
      </c>
      <c r="Y135">
        <v>-4.5774680000000003E-3</v>
      </c>
      <c r="Z135">
        <v>9.53987E-4</v>
      </c>
      <c r="AA135">
        <v>0.99998909999999996</v>
      </c>
      <c r="AB135">
        <v>9</v>
      </c>
      <c r="AC135">
        <v>313.89859999999999</v>
      </c>
      <c r="AD135">
        <v>38.313862999999998</v>
      </c>
      <c r="AE135">
        <v>4.6059999999999901</v>
      </c>
      <c r="AF135">
        <v>-1.4032919044235801</v>
      </c>
      <c r="AG135">
        <v>38.313862999999998</v>
      </c>
      <c r="AH135">
        <v>309.32182158572198</v>
      </c>
      <c r="AI135">
        <v>82.939146623900299</v>
      </c>
      <c r="AJ135">
        <v>90.259930423087795</v>
      </c>
      <c r="AK135">
        <v>311.68880415449797</v>
      </c>
      <c r="AL135">
        <v>87.687936012398396</v>
      </c>
      <c r="AM135">
        <v>89.808781526929906</v>
      </c>
      <c r="AN135">
        <v>1.00000004162432</v>
      </c>
    </row>
    <row r="136" spans="1:40" x14ac:dyDescent="0.25">
      <c r="A136" t="str">
        <f>"20190312160306336"</f>
        <v>20190312160306336</v>
      </c>
      <c r="B136" t="str">
        <f>"1552377786324888"</f>
        <v>1552377786324888</v>
      </c>
      <c r="C136" t="s">
        <v>40</v>
      </c>
      <c r="D136">
        <v>4.4622039999999998</v>
      </c>
      <c r="E136">
        <v>0.49906660000000003</v>
      </c>
      <c r="F136" t="s">
        <v>42</v>
      </c>
      <c r="G136">
        <v>-158.19499999999999</v>
      </c>
      <c r="H136">
        <v>39.511569999999999</v>
      </c>
      <c r="I136">
        <v>371.8005</v>
      </c>
      <c r="J136">
        <v>-472.01569999999998</v>
      </c>
      <c r="K136">
        <v>1.109648</v>
      </c>
      <c r="L136">
        <v>367.25650000000002</v>
      </c>
      <c r="M136">
        <v>0.99993399999999999</v>
      </c>
      <c r="N136">
        <v>0</v>
      </c>
      <c r="O136">
        <v>1.030915E-2</v>
      </c>
      <c r="P136">
        <v>0.99935280000000004</v>
      </c>
      <c r="Q136">
        <v>3.536562E-2</v>
      </c>
      <c r="R136">
        <v>6.6278989999999996E-3</v>
      </c>
      <c r="S136">
        <v>2.9887079999999999</v>
      </c>
      <c r="T136">
        <v>0.3656353</v>
      </c>
      <c r="U136">
        <v>4.3273930000000002E-2</v>
      </c>
      <c r="V136">
        <v>3.6716349999999999E-3</v>
      </c>
      <c r="W136">
        <v>4.0444140000000003E-2</v>
      </c>
      <c r="X136">
        <v>0.99917509999999998</v>
      </c>
      <c r="Y136">
        <v>-4.2140830000000004E-3</v>
      </c>
      <c r="Z136">
        <v>9.9963390000000008E-4</v>
      </c>
      <c r="AA136">
        <v>0.99999059999999995</v>
      </c>
      <c r="AB136">
        <v>9</v>
      </c>
      <c r="AC136">
        <v>313.82069999999999</v>
      </c>
      <c r="AD136">
        <v>38.401921999999999</v>
      </c>
      <c r="AE136">
        <v>4.5439999999999801</v>
      </c>
      <c r="AF136">
        <v>-1.28919172297345</v>
      </c>
      <c r="AG136">
        <v>38.401921999999999</v>
      </c>
      <c r="AH136">
        <v>309.22150363721801</v>
      </c>
      <c r="AI136">
        <v>82.920798796297106</v>
      </c>
      <c r="AJ136">
        <v>90.238873480252906</v>
      </c>
      <c r="AK136">
        <v>311.599595539299</v>
      </c>
      <c r="AL136">
        <v>87.682089370919797</v>
      </c>
      <c r="AM136">
        <v>89.789458081434901</v>
      </c>
      <c r="AN136">
        <v>1.0000000449119599</v>
      </c>
    </row>
    <row r="137" spans="1:40" x14ac:dyDescent="0.25">
      <c r="A137" t="str">
        <f>"20190312160306357"</f>
        <v>20190312160306357</v>
      </c>
      <c r="B137" t="str">
        <f>"1552377786345384"</f>
        <v>1552377786345384</v>
      </c>
      <c r="C137" t="s">
        <v>40</v>
      </c>
      <c r="D137">
        <v>4.5722569999999996</v>
      </c>
      <c r="E137">
        <v>0.49914219999999998</v>
      </c>
      <c r="F137" t="s">
        <v>42</v>
      </c>
      <c r="G137">
        <v>-158.19499999999999</v>
      </c>
      <c r="H137">
        <v>39.771859999999997</v>
      </c>
      <c r="I137">
        <v>371.6755</v>
      </c>
      <c r="J137">
        <v>-471.93310000000002</v>
      </c>
      <c r="K137">
        <v>1.1096490000000001</v>
      </c>
      <c r="L137">
        <v>367.25760000000002</v>
      </c>
      <c r="M137">
        <v>0.99993220000000005</v>
      </c>
      <c r="N137">
        <v>0</v>
      </c>
      <c r="O137">
        <v>1.0492939999999999E-2</v>
      </c>
      <c r="P137">
        <v>0.99936840000000005</v>
      </c>
      <c r="Q137">
        <v>3.4924429999999999E-2</v>
      </c>
      <c r="R137">
        <v>6.6173769999999998E-3</v>
      </c>
      <c r="S137">
        <v>2.9886469999999998</v>
      </c>
      <c r="T137">
        <v>0.3681972</v>
      </c>
      <c r="U137">
        <v>4.2083740000000001E-2</v>
      </c>
      <c r="V137">
        <v>3.8658939999999999E-3</v>
      </c>
      <c r="W137">
        <v>3.9999609999999998E-2</v>
      </c>
      <c r="X137">
        <v>0.99919219999999997</v>
      </c>
      <c r="Y137">
        <v>-3.6388010000000001E-3</v>
      </c>
      <c r="Z137">
        <v>1.0644669999999999E-3</v>
      </c>
      <c r="AA137">
        <v>0.99999280000000002</v>
      </c>
      <c r="AB137">
        <v>9</v>
      </c>
      <c r="AC137">
        <v>313.73809999999997</v>
      </c>
      <c r="AD137">
        <v>38.662210999999999</v>
      </c>
      <c r="AE137">
        <v>4.4178999999999702</v>
      </c>
      <c r="AF137">
        <v>-1.1087458546856801</v>
      </c>
      <c r="AG137">
        <v>38.662210999999999</v>
      </c>
      <c r="AH137">
        <v>309.07455825840901</v>
      </c>
      <c r="AI137">
        <v>82.869938225810998</v>
      </c>
      <c r="AJ137">
        <v>90.205536767191106</v>
      </c>
      <c r="AK137">
        <v>311.48527804602497</v>
      </c>
      <c r="AL137">
        <v>87.7075795488512</v>
      </c>
      <c r="AM137">
        <v>89.778322623991997</v>
      </c>
      <c r="AN137">
        <v>0.99999998323870498</v>
      </c>
    </row>
    <row r="138" spans="1:40" x14ac:dyDescent="0.25">
      <c r="A138" t="str">
        <f>"20190312160306369"</f>
        <v>20190312160306369</v>
      </c>
      <c r="B138" t="str">
        <f>"1552377786364904"</f>
        <v>1552377786364904</v>
      </c>
      <c r="C138" t="s">
        <v>40</v>
      </c>
      <c r="D138">
        <v>4.4608949999999998</v>
      </c>
      <c r="E138">
        <v>0.49917479999999997</v>
      </c>
      <c r="F138" t="s">
        <v>42</v>
      </c>
      <c r="G138">
        <v>-158.19499999999999</v>
      </c>
      <c r="H138">
        <v>39.955210000000001</v>
      </c>
      <c r="I138">
        <v>371.61130000000003</v>
      </c>
      <c r="J138">
        <v>-471.88459999999998</v>
      </c>
      <c r="K138">
        <v>1.1096490000000001</v>
      </c>
      <c r="L138">
        <v>367.25819999999999</v>
      </c>
      <c r="M138">
        <v>0.99993100000000001</v>
      </c>
      <c r="N138">
        <v>0</v>
      </c>
      <c r="O138">
        <v>1.060067E-2</v>
      </c>
      <c r="P138">
        <v>0.99936800000000003</v>
      </c>
      <c r="Q138">
        <v>3.4959379999999998E-2</v>
      </c>
      <c r="R138">
        <v>6.4757969999999897E-3</v>
      </c>
      <c r="S138">
        <v>2.9886780000000002</v>
      </c>
      <c r="T138">
        <v>0.3700446</v>
      </c>
      <c r="U138">
        <v>4.1473389999999999E-2</v>
      </c>
      <c r="V138">
        <v>4.1148959999999998E-3</v>
      </c>
      <c r="W138">
        <v>4.0029620000000002E-2</v>
      </c>
      <c r="X138">
        <v>0.99919000000000002</v>
      </c>
      <c r="Y138">
        <v>-3.3304329999999998E-3</v>
      </c>
      <c r="Z138">
        <v>1.102062E-3</v>
      </c>
      <c r="AA138">
        <v>0.99999389999999999</v>
      </c>
      <c r="AB138">
        <v>9</v>
      </c>
      <c r="AC138">
        <v>313.68959999999998</v>
      </c>
      <c r="AD138">
        <v>38.845560999999996</v>
      </c>
      <c r="AE138">
        <v>4.3531000000000297</v>
      </c>
      <c r="AF138">
        <v>-1.01197722777564</v>
      </c>
      <c r="AG138">
        <v>38.845560999999996</v>
      </c>
      <c r="AH138">
        <v>308.98082481207598</v>
      </c>
      <c r="AI138">
        <v>82.834317229826794</v>
      </c>
      <c r="AJ138">
        <v>90.187655065090297</v>
      </c>
      <c r="AK138">
        <v>311.41475849558702</v>
      </c>
      <c r="AL138">
        <v>87.705858715618106</v>
      </c>
      <c r="AM138">
        <v>89.764044034570802</v>
      </c>
      <c r="AN138">
        <v>0.99999997947321695</v>
      </c>
    </row>
    <row r="139" spans="1:40" x14ac:dyDescent="0.25">
      <c r="A139" t="str">
        <f>"20190312160306381"</f>
        <v>20190312160306381</v>
      </c>
      <c r="B139" t="str">
        <f>"1552377786374664"</f>
        <v>1552377786374664</v>
      </c>
      <c r="C139" t="s">
        <v>40</v>
      </c>
      <c r="D139">
        <v>4.3852029999999997</v>
      </c>
      <c r="E139">
        <v>0.49919839999999999</v>
      </c>
      <c r="F139" t="s">
        <v>42</v>
      </c>
      <c r="G139">
        <v>-158.19499999999999</v>
      </c>
      <c r="H139">
        <v>40.320369999999997</v>
      </c>
      <c r="I139">
        <v>371.59539999999998</v>
      </c>
      <c r="J139">
        <v>-471.8331</v>
      </c>
      <c r="K139">
        <v>1.1096490000000001</v>
      </c>
      <c r="L139">
        <v>367.25889999999998</v>
      </c>
      <c r="M139">
        <v>0.99992979999999998</v>
      </c>
      <c r="N139">
        <v>0</v>
      </c>
      <c r="O139">
        <v>1.071502E-2</v>
      </c>
      <c r="P139">
        <v>0.99935940000000001</v>
      </c>
      <c r="Q139">
        <v>3.5192180000000003E-2</v>
      </c>
      <c r="R139">
        <v>6.5092020000000004E-3</v>
      </c>
      <c r="S139">
        <v>2.988556</v>
      </c>
      <c r="T139">
        <v>0.3735657</v>
      </c>
      <c r="U139">
        <v>4.1320799999999998E-2</v>
      </c>
      <c r="V139">
        <v>4.1956110000000001E-3</v>
      </c>
      <c r="W139">
        <v>4.025546E-2</v>
      </c>
      <c r="X139">
        <v>0.99918059999999997</v>
      </c>
      <c r="Y139">
        <v>-3.1688049999999998E-3</v>
      </c>
      <c r="Z139">
        <v>1.1368120000000001E-3</v>
      </c>
      <c r="AA139">
        <v>0.9999943</v>
      </c>
      <c r="AB139">
        <v>9</v>
      </c>
      <c r="AC139">
        <v>313.63810000000001</v>
      </c>
      <c r="AD139">
        <v>39.210720999999999</v>
      </c>
      <c r="AE139">
        <v>4.3365</v>
      </c>
      <c r="AF139">
        <v>-0.96055911359748702</v>
      </c>
      <c r="AG139">
        <v>39.210720999999999</v>
      </c>
      <c r="AH139">
        <v>308.84038529945502</v>
      </c>
      <c r="AI139">
        <v>82.764409927606394</v>
      </c>
      <c r="AJ139">
        <v>90.178201454021504</v>
      </c>
      <c r="AK139">
        <v>311.32103511819798</v>
      </c>
      <c r="AL139">
        <v>87.692908618617807</v>
      </c>
      <c r="AM139">
        <v>89.759413473466196</v>
      </c>
      <c r="AN139">
        <v>0.99999998831391701</v>
      </c>
    </row>
    <row r="140" spans="1:40" x14ac:dyDescent="0.25">
      <c r="A140" t="str">
        <f>"20190312160306395"</f>
        <v>20190312160306395</v>
      </c>
      <c r="B140" t="str">
        <f>"1552377786384423"</f>
        <v>1552377786384423</v>
      </c>
      <c r="C140" t="s">
        <v>40</v>
      </c>
      <c r="D140">
        <v>4.4250040000000004</v>
      </c>
      <c r="E140">
        <v>0.49919839999999999</v>
      </c>
      <c r="F140" t="s">
        <v>42</v>
      </c>
      <c r="G140">
        <v>-158.19499999999999</v>
      </c>
      <c r="H140">
        <v>40.572690000000001</v>
      </c>
      <c r="I140">
        <v>371.59559999999999</v>
      </c>
      <c r="J140">
        <v>-471.77910000000003</v>
      </c>
      <c r="K140">
        <v>1.1096469999999901</v>
      </c>
      <c r="L140">
        <v>367.25959999999998</v>
      </c>
      <c r="M140">
        <v>0.99992859999999995</v>
      </c>
      <c r="N140">
        <v>0</v>
      </c>
      <c r="O140">
        <v>1.0834979999999999E-2</v>
      </c>
      <c r="P140">
        <v>0.99936049999999998</v>
      </c>
      <c r="Q140">
        <v>3.513923E-2</v>
      </c>
      <c r="R140">
        <v>6.635073E-3</v>
      </c>
      <c r="S140">
        <v>2.9883730000000002</v>
      </c>
      <c r="T140">
        <v>0.37600820000000001</v>
      </c>
      <c r="U140">
        <v>4.1320799999999998E-2</v>
      </c>
      <c r="V140">
        <v>4.1893390000000003E-3</v>
      </c>
      <c r="W140">
        <v>4.019495E-2</v>
      </c>
      <c r="X140">
        <v>0.99918309999999999</v>
      </c>
      <c r="Y140">
        <v>-3.0523289999999999E-3</v>
      </c>
      <c r="Z140">
        <v>1.166587E-3</v>
      </c>
      <c r="AA140">
        <v>0.99999459999999996</v>
      </c>
      <c r="AB140">
        <v>9</v>
      </c>
      <c r="AC140">
        <v>313.58409999999998</v>
      </c>
      <c r="AD140">
        <v>39.463042999999999</v>
      </c>
      <c r="AE140">
        <v>4.3360000000000101</v>
      </c>
      <c r="AF140">
        <v>-0.92340371542638899</v>
      </c>
      <c r="AG140">
        <v>39.463042999999999</v>
      </c>
      <c r="AH140">
        <v>308.72433867623897</v>
      </c>
      <c r="AI140">
        <v>82.715636556882799</v>
      </c>
      <c r="AJ140">
        <v>90.171372876316397</v>
      </c>
      <c r="AK140">
        <v>311.23769329617301</v>
      </c>
      <c r="AL140">
        <v>87.696378481316202</v>
      </c>
      <c r="AM140">
        <v>89.759773722014998</v>
      </c>
      <c r="AN140">
        <v>1.0000000259461801</v>
      </c>
    </row>
    <row r="141" spans="1:40" x14ac:dyDescent="0.25">
      <c r="A141" t="str">
        <f>"20190312160306414"</f>
        <v>20190312160306414</v>
      </c>
      <c r="B141" t="str">
        <f>"1552377786404919"</f>
        <v>1552377786404919</v>
      </c>
      <c r="C141" t="s">
        <v>40</v>
      </c>
      <c r="D141">
        <v>4.4216790000000001</v>
      </c>
      <c r="E141">
        <v>0.4997915</v>
      </c>
      <c r="F141" t="s">
        <v>42</v>
      </c>
      <c r="G141">
        <v>-158.19499999999999</v>
      </c>
      <c r="H141">
        <v>40.549979999999998</v>
      </c>
      <c r="I141">
        <v>371.61470000000003</v>
      </c>
      <c r="J141">
        <v>-471.69709999999998</v>
      </c>
      <c r="K141">
        <v>1.1096410000000001</v>
      </c>
      <c r="L141">
        <v>367.26069999999999</v>
      </c>
      <c r="M141">
        <v>0.99992669999999995</v>
      </c>
      <c r="N141">
        <v>0</v>
      </c>
      <c r="O141">
        <v>1.1016929999999999E-2</v>
      </c>
      <c r="P141">
        <v>0.99935320000000005</v>
      </c>
      <c r="Q141">
        <v>3.5370949999999998E-2</v>
      </c>
      <c r="R141">
        <v>6.4932540000000004E-3</v>
      </c>
      <c r="S141">
        <v>2.9884339999999998</v>
      </c>
      <c r="T141">
        <v>0.37586429999999998</v>
      </c>
      <c r="U141">
        <v>4.1503909999999998E-2</v>
      </c>
      <c r="V141">
        <v>4.5127850000000001E-3</v>
      </c>
      <c r="W141">
        <v>4.0414110000000003E-2</v>
      </c>
      <c r="X141">
        <v>0.99917279999999997</v>
      </c>
      <c r="Y141">
        <v>-2.933658E-3</v>
      </c>
      <c r="Z141">
        <v>1.1963449999999999E-3</v>
      </c>
      <c r="AA141">
        <v>0.99999499999999997</v>
      </c>
      <c r="AB141">
        <v>9</v>
      </c>
      <c r="AC141">
        <v>313.50209999999998</v>
      </c>
      <c r="AD141">
        <v>39.440339000000002</v>
      </c>
      <c r="AE141">
        <v>4.3540000000000401</v>
      </c>
      <c r="AF141">
        <v>-0.88584390465435503</v>
      </c>
      <c r="AG141">
        <v>39.440339000000002</v>
      </c>
      <c r="AH141">
        <v>308.64700793314603</v>
      </c>
      <c r="AI141">
        <v>82.717975427157697</v>
      </c>
      <c r="AJ141">
        <v>90.1644434463214</v>
      </c>
      <c r="AK141">
        <v>311.15799936036001</v>
      </c>
      <c r="AL141">
        <v>87.683811208715696</v>
      </c>
      <c r="AM141">
        <v>89.741224164399895</v>
      </c>
      <c r="AN141">
        <v>0.99999997488769299</v>
      </c>
    </row>
    <row r="142" spans="1:40" x14ac:dyDescent="0.25">
      <c r="A142" t="str">
        <f>"20190312160306435"</f>
        <v>20190312160306435</v>
      </c>
      <c r="B142" t="str">
        <f>"1552377786424439"</f>
        <v>1552377786424439</v>
      </c>
      <c r="C142" t="s">
        <v>40</v>
      </c>
      <c r="D142">
        <v>4.4152680000000002</v>
      </c>
      <c r="E142">
        <v>0.50001899999999999</v>
      </c>
      <c r="F142" t="s">
        <v>42</v>
      </c>
      <c r="G142">
        <v>-158.19499999999999</v>
      </c>
      <c r="H142">
        <v>49.529989999999998</v>
      </c>
      <c r="I142">
        <v>371.55829999999997</v>
      </c>
      <c r="J142">
        <v>-471.61219999999997</v>
      </c>
      <c r="K142">
        <v>1.109631</v>
      </c>
      <c r="L142">
        <v>367.26179999999999</v>
      </c>
      <c r="M142">
        <v>0.9999247</v>
      </c>
      <c r="N142">
        <v>0</v>
      </c>
      <c r="O142">
        <v>1.120473E-2</v>
      </c>
      <c r="P142">
        <v>0.9993533</v>
      </c>
      <c r="Q142">
        <v>3.5409339999999997E-2</v>
      </c>
      <c r="R142">
        <v>6.2692919999999897E-3</v>
      </c>
      <c r="S142">
        <v>2.9853519999999998</v>
      </c>
      <c r="T142">
        <v>0.46108769999999999</v>
      </c>
      <c r="U142">
        <v>4.092407E-2</v>
      </c>
      <c r="V142">
        <v>4.9243459999999996E-3</v>
      </c>
      <c r="W142">
        <v>4.0438889999999998E-2</v>
      </c>
      <c r="X142">
        <v>0.99916990000000006</v>
      </c>
      <c r="Y142">
        <v>-2.6042819999999999E-3</v>
      </c>
      <c r="Z142">
        <v>1.5203320000000001E-3</v>
      </c>
      <c r="AA142">
        <v>0.99999550000000004</v>
      </c>
      <c r="AB142">
        <v>9</v>
      </c>
      <c r="AC142">
        <v>313.41719999999998</v>
      </c>
      <c r="AD142">
        <v>48.420358999999998</v>
      </c>
      <c r="AE142">
        <v>4.2964999999999796</v>
      </c>
      <c r="AF142">
        <v>-0.76614843828497503</v>
      </c>
      <c r="AG142">
        <v>48.420358999999998</v>
      </c>
      <c r="AH142">
        <v>306.14018095075602</v>
      </c>
      <c r="AI142">
        <v>81.012348695331099</v>
      </c>
      <c r="AJ142">
        <v>90.143388496783501</v>
      </c>
      <c r="AK142">
        <v>309.94665434825998</v>
      </c>
      <c r="AL142">
        <v>87.682390364671704</v>
      </c>
      <c r="AM142">
        <v>89.717623641069096</v>
      </c>
      <c r="AN142">
        <v>1.0000000210369799</v>
      </c>
    </row>
    <row r="143" spans="1:40" x14ac:dyDescent="0.25">
      <c r="A143" t="str">
        <f>"20190312160306447"</f>
        <v>20190312160306447</v>
      </c>
      <c r="B143" t="str">
        <f>"1552377786444935"</f>
        <v>1552377786444935</v>
      </c>
      <c r="C143" t="s">
        <v>40</v>
      </c>
      <c r="D143">
        <v>4.371613</v>
      </c>
      <c r="E143">
        <v>0.50013090000000004</v>
      </c>
      <c r="F143" t="s">
        <v>42</v>
      </c>
      <c r="G143">
        <v>-158.19499999999999</v>
      </c>
      <c r="H143">
        <v>49.202509999999997</v>
      </c>
      <c r="I143">
        <v>371.2953</v>
      </c>
      <c r="J143">
        <v>-471.55939999999998</v>
      </c>
      <c r="K143">
        <v>1.1096299999999999</v>
      </c>
      <c r="L143">
        <v>367.26249999999999</v>
      </c>
      <c r="M143">
        <v>0.99992320000000001</v>
      </c>
      <c r="N143">
        <v>0</v>
      </c>
      <c r="O143">
        <v>1.1321400000000001E-2</v>
      </c>
      <c r="P143">
        <v>0.99935350000000001</v>
      </c>
      <c r="Q143">
        <v>3.5406100000000003E-2</v>
      </c>
      <c r="R143">
        <v>6.2534779999999998E-3</v>
      </c>
      <c r="S143">
        <v>2.9855040000000002</v>
      </c>
      <c r="T143">
        <v>0.45811689999999999</v>
      </c>
      <c r="U143">
        <v>3.8421629999999998E-2</v>
      </c>
      <c r="V143">
        <v>5.0566439999999999E-3</v>
      </c>
      <c r="W143">
        <v>4.0426509999999999E-2</v>
      </c>
      <c r="X143">
        <v>0.99916970000000005</v>
      </c>
      <c r="Y143">
        <v>-1.65996E-3</v>
      </c>
      <c r="Z143">
        <v>1.60040799999999E-3</v>
      </c>
      <c r="AA143">
        <v>0.99999729999999998</v>
      </c>
      <c r="AB143">
        <v>9</v>
      </c>
      <c r="AC143">
        <v>313.36439999999999</v>
      </c>
      <c r="AD143">
        <v>48.092880000000001</v>
      </c>
      <c r="AE143">
        <v>4.0327999999999999</v>
      </c>
      <c r="AF143">
        <v>-0.47361901138510198</v>
      </c>
      <c r="AG143">
        <v>48.092880000000001</v>
      </c>
      <c r="AH143">
        <v>306.179457122141</v>
      </c>
      <c r="AI143">
        <v>81.073261839492801</v>
      </c>
      <c r="AJ143">
        <v>90.088628901039399</v>
      </c>
      <c r="AK143">
        <v>309.93387905369701</v>
      </c>
      <c r="AL143">
        <v>87.683100173826304</v>
      </c>
      <c r="AM143">
        <v>89.710037357769096</v>
      </c>
      <c r="AN143">
        <v>0.99999998087870601</v>
      </c>
    </row>
    <row r="144" spans="1:40" x14ac:dyDescent="0.25">
      <c r="A144" t="str">
        <f>"20190312160306460"</f>
        <v>20190312160306460</v>
      </c>
      <c r="B144" t="str">
        <f>"1552377786454696"</f>
        <v>1552377786454696</v>
      </c>
      <c r="C144" t="s">
        <v>40</v>
      </c>
      <c r="D144">
        <v>4.3881050000000004</v>
      </c>
      <c r="E144">
        <v>0.50003450000000005</v>
      </c>
      <c r="F144" t="s">
        <v>42</v>
      </c>
      <c r="G144">
        <v>-158.19499999999999</v>
      </c>
      <c r="H144">
        <v>48.71658</v>
      </c>
      <c r="I144">
        <v>371.15750000000003</v>
      </c>
      <c r="J144">
        <v>-471.50380000000001</v>
      </c>
      <c r="K144">
        <v>1.1096239999999999</v>
      </c>
      <c r="L144">
        <v>367.26330000000002</v>
      </c>
      <c r="M144">
        <v>0.99992199999999998</v>
      </c>
      <c r="N144">
        <v>0</v>
      </c>
      <c r="O144">
        <v>1.1443490000000001E-2</v>
      </c>
      <c r="P144">
        <v>0.99935790000000002</v>
      </c>
      <c r="Q144">
        <v>3.5302159999999999E-2</v>
      </c>
      <c r="R144">
        <v>6.1364760000000001E-3</v>
      </c>
      <c r="S144">
        <v>2.9856259999999999</v>
      </c>
      <c r="T144">
        <v>0.45358290000000001</v>
      </c>
      <c r="U144">
        <v>3.7109379999999997E-2</v>
      </c>
      <c r="V144">
        <v>5.2958290000000002E-3</v>
      </c>
      <c r="W144">
        <v>4.0313120000000001E-2</v>
      </c>
      <c r="X144">
        <v>0.99917299999999998</v>
      </c>
      <c r="Y144">
        <v>-1.1034409999999999E-3</v>
      </c>
      <c r="Z144">
        <v>1.6451629999999901E-3</v>
      </c>
      <c r="AA144">
        <v>0.99999800000000005</v>
      </c>
      <c r="AB144">
        <v>9</v>
      </c>
      <c r="AC144">
        <v>313.30880000000002</v>
      </c>
      <c r="AD144">
        <v>47.606955999999997</v>
      </c>
      <c r="AE144">
        <v>3.8942000000000099</v>
      </c>
      <c r="AF144">
        <v>-0.30159177109871699</v>
      </c>
      <c r="AG144">
        <v>47.606955999999997</v>
      </c>
      <c r="AH144">
        <v>306.26279318021699</v>
      </c>
      <c r="AI144">
        <v>81.164386141912502</v>
      </c>
      <c r="AJ144">
        <v>90.056421904387307</v>
      </c>
      <c r="AK144">
        <v>309.94098100078799</v>
      </c>
      <c r="AL144">
        <v>87.689602145308001</v>
      </c>
      <c r="AM144">
        <v>89.696323049722395</v>
      </c>
      <c r="AN144">
        <v>0.99999993868896297</v>
      </c>
    </row>
    <row r="145" spans="1:40" x14ac:dyDescent="0.25">
      <c r="A145" t="str">
        <f>"20190312160306472"</f>
        <v>20190312160306472</v>
      </c>
      <c r="B145" t="str">
        <f>"1552377786464455"</f>
        <v>1552377786464455</v>
      </c>
      <c r="C145" t="s">
        <v>40</v>
      </c>
      <c r="D145">
        <v>4.4148759999999996</v>
      </c>
      <c r="E145">
        <v>0.50016050000000001</v>
      </c>
      <c r="F145" t="s">
        <v>42</v>
      </c>
      <c r="G145">
        <v>-158.19499999999999</v>
      </c>
      <c r="H145">
        <v>48.421590000000002</v>
      </c>
      <c r="I145">
        <v>371.17660000000001</v>
      </c>
      <c r="J145">
        <v>-471.45490000000001</v>
      </c>
      <c r="K145">
        <v>1.1096200000000001</v>
      </c>
      <c r="L145">
        <v>367.26400000000001</v>
      </c>
      <c r="M145">
        <v>0.9999207</v>
      </c>
      <c r="N145">
        <v>0</v>
      </c>
      <c r="O145">
        <v>1.1550919999999999E-2</v>
      </c>
      <c r="P145">
        <v>0.99936740000000002</v>
      </c>
      <c r="Q145">
        <v>3.5032399999999998E-2</v>
      </c>
      <c r="R145">
        <v>6.1079380000000003E-3</v>
      </c>
      <c r="S145">
        <v>2.985779</v>
      </c>
      <c r="T145">
        <v>0.45087549999999998</v>
      </c>
      <c r="U145">
        <v>3.7292480000000003E-2</v>
      </c>
      <c r="V145">
        <v>5.4319529999999998E-3</v>
      </c>
      <c r="W145">
        <v>4.0034859999999999E-2</v>
      </c>
      <c r="X145">
        <v>0.9991835</v>
      </c>
      <c r="Y145">
        <v>-1.0570110000000001E-3</v>
      </c>
      <c r="Z145">
        <v>1.6549850000000001E-3</v>
      </c>
      <c r="AA145">
        <v>0.9999981</v>
      </c>
      <c r="AB145">
        <v>9</v>
      </c>
      <c r="AC145">
        <v>313.25990000000002</v>
      </c>
      <c r="AD145">
        <v>47.311970000000002</v>
      </c>
      <c r="AE145">
        <v>3.9125999999999901</v>
      </c>
      <c r="AF145">
        <v>-0.28730096388822302</v>
      </c>
      <c r="AG145">
        <v>47.311970000000002</v>
      </c>
      <c r="AH145">
        <v>306.29850095075801</v>
      </c>
      <c r="AI145">
        <v>81.219285500005199</v>
      </c>
      <c r="AJ145">
        <v>90.053742110399597</v>
      </c>
      <c r="AK145">
        <v>309.931083842531</v>
      </c>
      <c r="AL145">
        <v>87.705558249290803</v>
      </c>
      <c r="AM145">
        <v>89.688520761781703</v>
      </c>
      <c r="AN145">
        <v>0.999999981400431</v>
      </c>
    </row>
    <row r="146" spans="1:40" x14ac:dyDescent="0.25">
      <c r="A146" t="str">
        <f>"20190312160306483"</f>
        <v>20190312160306483</v>
      </c>
      <c r="B146" t="str">
        <f>"1552377786475192"</f>
        <v>1552377786475192</v>
      </c>
      <c r="C146" t="s">
        <v>40</v>
      </c>
      <c r="D146">
        <v>4.3628460000000002</v>
      </c>
      <c r="E146">
        <v>0.50016050000000001</v>
      </c>
      <c r="F146" t="s">
        <v>42</v>
      </c>
      <c r="G146">
        <v>-159.1737</v>
      </c>
      <c r="H146">
        <v>47.781329999999997</v>
      </c>
      <c r="I146">
        <v>371.01409999999998</v>
      </c>
      <c r="J146">
        <v>-471.40030000000002</v>
      </c>
      <c r="K146">
        <v>1.1096079999999999</v>
      </c>
      <c r="L146">
        <v>367.26479999999998</v>
      </c>
      <c r="M146">
        <v>0.99991949999999996</v>
      </c>
      <c r="N146">
        <v>0</v>
      </c>
      <c r="O146">
        <v>1.167063E-2</v>
      </c>
      <c r="P146">
        <v>0.99937050000000005</v>
      </c>
      <c r="Q146">
        <v>3.4973539999999997E-2</v>
      </c>
      <c r="R146">
        <v>5.9579819999999997E-3</v>
      </c>
      <c r="S146">
        <v>2.9860229999999999</v>
      </c>
      <c r="T146">
        <v>0.44627430000000001</v>
      </c>
      <c r="U146">
        <v>3.5858149999999998E-2</v>
      </c>
      <c r="V146">
        <v>5.7013910000000001E-3</v>
      </c>
      <c r="W146">
        <v>3.9966250000000002E-2</v>
      </c>
      <c r="X146">
        <v>0.99918479999999998</v>
      </c>
      <c r="Y146">
        <v>-4.6151779999999999E-4</v>
      </c>
      <c r="Z146">
        <v>1.7001989999999999E-3</v>
      </c>
      <c r="AA146">
        <v>0.99999850000000001</v>
      </c>
      <c r="AB146">
        <v>10</v>
      </c>
      <c r="AC146">
        <v>312.22660000000002</v>
      </c>
      <c r="AD146">
        <v>46.671722000000003</v>
      </c>
      <c r="AE146">
        <v>3.7492999999999999</v>
      </c>
      <c r="AF146">
        <v>-0.10282121686541799</v>
      </c>
      <c r="AG146">
        <v>46.671722000000003</v>
      </c>
      <c r="AH146">
        <v>305.42553962022902</v>
      </c>
      <c r="AI146">
        <v>81.311906846986503</v>
      </c>
      <c r="AJ146">
        <v>90.019288568845795</v>
      </c>
      <c r="AK146">
        <v>308.97090552179202</v>
      </c>
      <c r="AL146">
        <v>87.709492586125407</v>
      </c>
      <c r="AM146">
        <v>89.673071391368794</v>
      </c>
      <c r="AN146">
        <v>1.0000000357747101</v>
      </c>
    </row>
    <row r="147" spans="1:40" x14ac:dyDescent="0.25">
      <c r="A147" t="str">
        <f>"20190312160306503"</f>
        <v>20190312160306503</v>
      </c>
      <c r="B147" t="str">
        <f>"1552377786494711"</f>
        <v>1552377786494711</v>
      </c>
      <c r="C147" t="s">
        <v>40</v>
      </c>
      <c r="D147">
        <v>4.3567299999999998</v>
      </c>
      <c r="E147">
        <v>0.50374039999999998</v>
      </c>
      <c r="F147" t="s">
        <v>42</v>
      </c>
      <c r="G147">
        <v>-159.1737</v>
      </c>
      <c r="H147">
        <v>47.754309999999997</v>
      </c>
      <c r="I147">
        <v>370.96640000000002</v>
      </c>
      <c r="J147">
        <v>-471.31849999999997</v>
      </c>
      <c r="K147">
        <v>1.1095900000000001</v>
      </c>
      <c r="L147">
        <v>367.26600000000002</v>
      </c>
      <c r="M147">
        <v>0.99992009999999998</v>
      </c>
      <c r="N147">
        <v>0</v>
      </c>
      <c r="O147">
        <v>1.165622E-2</v>
      </c>
      <c r="P147">
        <v>0.99937399999999998</v>
      </c>
      <c r="Q147">
        <v>3.4959839999999999E-2</v>
      </c>
      <c r="R147">
        <v>5.4613889999999997E-3</v>
      </c>
      <c r="S147">
        <v>2.9860530000000001</v>
      </c>
      <c r="T147">
        <v>0.4460983</v>
      </c>
      <c r="U147">
        <v>3.5400389999999997E-2</v>
      </c>
      <c r="V147">
        <v>6.182356E-3</v>
      </c>
      <c r="W147">
        <v>3.9854279999999999E-2</v>
      </c>
      <c r="X147">
        <v>0.99918640000000003</v>
      </c>
      <c r="Y147">
        <v>-3.2380510000000001E-4</v>
      </c>
      <c r="Z147">
        <v>1.70760799999999E-3</v>
      </c>
      <c r="AA147">
        <v>0.99999850000000001</v>
      </c>
      <c r="AB147">
        <v>10</v>
      </c>
      <c r="AC147">
        <v>312.14479999999998</v>
      </c>
      <c r="AD147">
        <v>46.64472</v>
      </c>
      <c r="AE147">
        <v>3.7004000000000499</v>
      </c>
      <c r="AF147">
        <v>-6.0329631302628701E-2</v>
      </c>
      <c r="AG147">
        <v>46.64472</v>
      </c>
      <c r="AH147">
        <v>305.34917427980201</v>
      </c>
      <c r="AI147">
        <v>81.314717933912704</v>
      </c>
      <c r="AJ147">
        <v>90.011320263814</v>
      </c>
      <c r="AK147">
        <v>308.89132680750299</v>
      </c>
      <c r="AL147">
        <v>87.715913081836405</v>
      </c>
      <c r="AM147">
        <v>89.645493187238401</v>
      </c>
      <c r="AN147">
        <v>1.00000002355249</v>
      </c>
    </row>
    <row r="148" spans="1:40" x14ac:dyDescent="0.25">
      <c r="A148" t="str">
        <f>"20190312160306517"</f>
        <v>20190312160306517</v>
      </c>
      <c r="B148" t="str">
        <f>"1552377786504472"</f>
        <v>1552377786504472</v>
      </c>
      <c r="C148" t="s">
        <v>40</v>
      </c>
      <c r="D148">
        <v>4.2940310000000004</v>
      </c>
      <c r="E148">
        <v>0.50429369999999996</v>
      </c>
      <c r="F148" t="s">
        <v>42</v>
      </c>
      <c r="G148">
        <v>-158.19499999999999</v>
      </c>
      <c r="H148">
        <v>25.947690000000001</v>
      </c>
      <c r="I148">
        <v>366.63080000000002</v>
      </c>
      <c r="J148">
        <v>-471.26159999999999</v>
      </c>
      <c r="K148">
        <v>1.1095360000000001</v>
      </c>
      <c r="L148">
        <v>367.26690000000002</v>
      </c>
      <c r="M148">
        <v>0.99991980000000003</v>
      </c>
      <c r="N148">
        <v>0</v>
      </c>
      <c r="O148">
        <v>1.1693739999999999E-2</v>
      </c>
      <c r="P148">
        <v>0.99936829999999999</v>
      </c>
      <c r="Q148">
        <v>3.5156390000000003E-2</v>
      </c>
      <c r="R148">
        <v>5.2236959999999999E-3</v>
      </c>
      <c r="S148">
        <v>2.9935610000000001</v>
      </c>
      <c r="T148">
        <v>0.23746100000000001</v>
      </c>
      <c r="U148">
        <v>-6.0729979999999996E-3</v>
      </c>
      <c r="V148">
        <v>6.4604780000000004E-3</v>
      </c>
      <c r="W148">
        <v>4.004344E-2</v>
      </c>
      <c r="X148">
        <v>0.99917699999999998</v>
      </c>
      <c r="Y148">
        <v>1.364281E-2</v>
      </c>
      <c r="Z148">
        <v>1.466387E-3</v>
      </c>
      <c r="AA148">
        <v>0.99990590000000001</v>
      </c>
      <c r="AB148">
        <v>10</v>
      </c>
      <c r="AC148">
        <v>313.06659999999999</v>
      </c>
      <c r="AD148">
        <v>24.838153999999999</v>
      </c>
      <c r="AE148">
        <v>-0.636099999999999</v>
      </c>
      <c r="AF148">
        <v>4.2701406882618196</v>
      </c>
      <c r="AG148">
        <v>24.838153999999999</v>
      </c>
      <c r="AH148">
        <v>311.07965488978601</v>
      </c>
      <c r="AI148">
        <v>85.435331623400103</v>
      </c>
      <c r="AJ148">
        <v>89.213559387729205</v>
      </c>
      <c r="AK148">
        <v>312.09889407361499</v>
      </c>
      <c r="AL148">
        <v>87.705066175905898</v>
      </c>
      <c r="AM148">
        <v>89.629542148367605</v>
      </c>
      <c r="AN148">
        <v>0.99999994609600895</v>
      </c>
    </row>
    <row r="149" spans="1:40" x14ac:dyDescent="0.25">
      <c r="A149" t="str">
        <f>"20190312160306528"</f>
        <v>20190312160306528</v>
      </c>
      <c r="B149" t="str">
        <f>"1552377786515208"</f>
        <v>1552377786515208</v>
      </c>
      <c r="C149" t="s">
        <v>40</v>
      </c>
      <c r="D149">
        <v>4.3285229999999997</v>
      </c>
      <c r="E149">
        <v>0.50434699999999999</v>
      </c>
      <c r="F149" t="s">
        <v>42</v>
      </c>
      <c r="G149">
        <v>-158.19499999999999</v>
      </c>
      <c r="H149">
        <v>23.523350000000001</v>
      </c>
      <c r="I149">
        <v>365.93959999999998</v>
      </c>
      <c r="J149">
        <v>-471.20650000000001</v>
      </c>
      <c r="K149">
        <v>1.109461</v>
      </c>
      <c r="L149">
        <v>367.26769999999999</v>
      </c>
      <c r="M149">
        <v>0.99991859999999999</v>
      </c>
      <c r="N149">
        <v>0</v>
      </c>
      <c r="O149">
        <v>1.177599E-2</v>
      </c>
      <c r="P149">
        <v>0.99936349999999996</v>
      </c>
      <c r="Q149">
        <v>3.526166E-2</v>
      </c>
      <c r="R149">
        <v>5.4323449999999999E-3</v>
      </c>
      <c r="S149">
        <v>2.994415</v>
      </c>
      <c r="T149">
        <v>0.21438409999999999</v>
      </c>
      <c r="U149">
        <v>-1.269531E-2</v>
      </c>
      <c r="V149">
        <v>6.3386090000000003E-3</v>
      </c>
      <c r="W149">
        <v>4.0174939999999999E-2</v>
      </c>
      <c r="X149">
        <v>0.99917259999999997</v>
      </c>
      <c r="Y149">
        <v>1.59443999999999E-2</v>
      </c>
      <c r="Z149">
        <v>1.412052E-3</v>
      </c>
      <c r="AA149">
        <v>0.99987190000000004</v>
      </c>
      <c r="AB149">
        <v>10</v>
      </c>
      <c r="AC149">
        <v>313.01150000000001</v>
      </c>
      <c r="AD149">
        <v>22.413889000000001</v>
      </c>
      <c r="AE149">
        <v>-1.3281000000000001</v>
      </c>
      <c r="AF149">
        <v>4.9884941304268304</v>
      </c>
      <c r="AG149">
        <v>22.413889000000001</v>
      </c>
      <c r="AH149">
        <v>311.377565786829</v>
      </c>
      <c r="AI149">
        <v>85.883306178742004</v>
      </c>
      <c r="AJ149">
        <v>89.082158633767094</v>
      </c>
      <c r="AK149">
        <v>312.223086861181</v>
      </c>
      <c r="AL149">
        <v>87.6975259386532</v>
      </c>
      <c r="AM149">
        <v>89.636528591898994</v>
      </c>
      <c r="AN149">
        <v>1.0000000441793999</v>
      </c>
    </row>
    <row r="150" spans="1:40" x14ac:dyDescent="0.25">
      <c r="A150" t="str">
        <f>"20190312160306547"</f>
        <v>20190312160306547</v>
      </c>
      <c r="B150" t="str">
        <f>"1552377786534728"</f>
        <v>1552377786534728</v>
      </c>
      <c r="C150" t="s">
        <v>40</v>
      </c>
      <c r="D150">
        <v>4.3303789999999998</v>
      </c>
      <c r="E150">
        <v>0.50445879999999998</v>
      </c>
      <c r="F150" t="s">
        <v>42</v>
      </c>
      <c r="G150">
        <v>-158.19499999999999</v>
      </c>
      <c r="H150">
        <v>21.96433</v>
      </c>
      <c r="I150">
        <v>365.86439999999999</v>
      </c>
      <c r="J150">
        <v>-471.12430000000001</v>
      </c>
      <c r="K150">
        <v>1.1093090000000001</v>
      </c>
      <c r="L150">
        <v>367.26900000000001</v>
      </c>
      <c r="M150">
        <v>0.99991419999999998</v>
      </c>
      <c r="N150">
        <v>0</v>
      </c>
      <c r="O150">
        <v>1.2103589999999999E-2</v>
      </c>
      <c r="P150">
        <v>0.9993668</v>
      </c>
      <c r="Q150">
        <v>3.5149029999999998E-2</v>
      </c>
      <c r="R150">
        <v>5.5282739999999997E-3</v>
      </c>
      <c r="S150">
        <v>2.9949340000000002</v>
      </c>
      <c r="T150">
        <v>0.19954279999999999</v>
      </c>
      <c r="U150">
        <v>-1.3427730000000001E-2</v>
      </c>
      <c r="V150">
        <v>6.5823039999999998E-3</v>
      </c>
      <c r="W150">
        <v>4.0170650000000002E-2</v>
      </c>
      <c r="X150">
        <v>0.99917109999999998</v>
      </c>
      <c r="Y150">
        <v>1.6523260000000001E-2</v>
      </c>
      <c r="Z150">
        <v>1.3553599999999999E-3</v>
      </c>
      <c r="AA150">
        <v>0.99986260000000005</v>
      </c>
      <c r="AB150">
        <v>10</v>
      </c>
      <c r="AC150">
        <v>312.92930000000001</v>
      </c>
      <c r="AD150">
        <v>20.855021000000001</v>
      </c>
      <c r="AE150">
        <v>-1.4046000000000101</v>
      </c>
      <c r="AF150">
        <v>5.16915429115019</v>
      </c>
      <c r="AG150">
        <v>20.855021000000001</v>
      </c>
      <c r="AH150">
        <v>311.50585345251301</v>
      </c>
      <c r="AI150">
        <v>86.170343345818296</v>
      </c>
      <c r="AJ150">
        <v>89.049316278131201</v>
      </c>
      <c r="AK150">
        <v>312.24597482141297</v>
      </c>
      <c r="AL150">
        <v>87.697771713331406</v>
      </c>
      <c r="AM150">
        <v>89.622554352250901</v>
      </c>
      <c r="AN150">
        <v>0.99999994746128895</v>
      </c>
    </row>
    <row r="151" spans="1:40" x14ac:dyDescent="0.25">
      <c r="A151" t="str">
        <f>"20190312160306559"</f>
        <v>20190312160306559</v>
      </c>
      <c r="B151" t="str">
        <f>"1552377786555223"</f>
        <v>1552377786555223</v>
      </c>
      <c r="C151" t="s">
        <v>40</v>
      </c>
      <c r="D151">
        <v>4.3138730000000001</v>
      </c>
      <c r="E151">
        <v>0.50481009999999904</v>
      </c>
      <c r="F151" t="s">
        <v>42</v>
      </c>
      <c r="G151">
        <v>-158.19499999999999</v>
      </c>
      <c r="H151">
        <v>20.048469999999998</v>
      </c>
      <c r="I151">
        <v>365.69740000000002</v>
      </c>
      <c r="J151">
        <v>-471.072</v>
      </c>
      <c r="K151">
        <v>1.109235</v>
      </c>
      <c r="L151">
        <v>367.2697</v>
      </c>
      <c r="M151">
        <v>0.99991070000000004</v>
      </c>
      <c r="N151">
        <v>0</v>
      </c>
      <c r="O151">
        <v>1.2367639999999999E-2</v>
      </c>
      <c r="P151">
        <v>0.99935980000000002</v>
      </c>
      <c r="Q151">
        <v>3.5336970000000002E-2</v>
      </c>
      <c r="R151">
        <v>5.6179460000000004E-3</v>
      </c>
      <c r="S151">
        <v>2.9956360000000002</v>
      </c>
      <c r="T151">
        <v>0.18130309999999999</v>
      </c>
      <c r="U151">
        <v>-1.504517E-2</v>
      </c>
      <c r="V151">
        <v>6.7612260000000004E-3</v>
      </c>
      <c r="W151">
        <v>4.041173E-2</v>
      </c>
      <c r="X151">
        <v>0.99916020000000005</v>
      </c>
      <c r="Y151">
        <v>1.733521E-2</v>
      </c>
      <c r="Z151">
        <v>1.271934E-3</v>
      </c>
      <c r="AA151">
        <v>0.99984890000000004</v>
      </c>
      <c r="AB151">
        <v>10</v>
      </c>
      <c r="AC151">
        <v>312.87699999999899</v>
      </c>
      <c r="AD151">
        <v>18.939235</v>
      </c>
      <c r="AE151">
        <v>-1.57229999999998</v>
      </c>
      <c r="AF151">
        <v>5.4219130405940303</v>
      </c>
      <c r="AG151">
        <v>18.939235</v>
      </c>
      <c r="AH151">
        <v>311.69155678036401</v>
      </c>
      <c r="AI151">
        <v>86.523350918975595</v>
      </c>
      <c r="AJ151">
        <v>89.003433363718699</v>
      </c>
      <c r="AK151">
        <v>312.31349367514002</v>
      </c>
      <c r="AL151">
        <v>87.683947658197397</v>
      </c>
      <c r="AM151">
        <v>89.612290600344195</v>
      </c>
      <c r="AN151">
        <v>0.99999996368132704</v>
      </c>
    </row>
    <row r="152" spans="1:40" x14ac:dyDescent="0.25">
      <c r="A152" t="str">
        <f>"20190312160306571"</f>
        <v>20190312160306571</v>
      </c>
      <c r="B152" t="str">
        <f>"1552377786564983"</f>
        <v>1552377786564983</v>
      </c>
      <c r="C152" t="s">
        <v>40</v>
      </c>
      <c r="D152">
        <v>4.32294</v>
      </c>
      <c r="E152">
        <v>0.50505420000000001</v>
      </c>
      <c r="F152" t="s">
        <v>42</v>
      </c>
      <c r="G152">
        <v>-158.19499999999999</v>
      </c>
      <c r="H152">
        <v>19.03979</v>
      </c>
      <c r="I152">
        <v>365.39260000000002</v>
      </c>
      <c r="J152">
        <v>-471.01350000000002</v>
      </c>
      <c r="K152">
        <v>1.10917</v>
      </c>
      <c r="L152">
        <v>367.2706</v>
      </c>
      <c r="M152">
        <v>0.99990679999999998</v>
      </c>
      <c r="N152">
        <v>0</v>
      </c>
      <c r="O152">
        <v>1.2646569999999999E-2</v>
      </c>
      <c r="P152">
        <v>0.9993628</v>
      </c>
      <c r="Q152">
        <v>3.5177949999999999E-2</v>
      </c>
      <c r="R152">
        <v>6.0194920000000004E-3</v>
      </c>
      <c r="S152">
        <v>2.995911</v>
      </c>
      <c r="T152">
        <v>0.1716924</v>
      </c>
      <c r="U152">
        <v>-1.7974850000000001E-2</v>
      </c>
      <c r="V152">
        <v>6.6421930000000002E-3</v>
      </c>
      <c r="W152">
        <v>4.0295959999999999E-2</v>
      </c>
      <c r="X152">
        <v>0.99916570000000005</v>
      </c>
      <c r="Y152">
        <v>1.859446E-2</v>
      </c>
      <c r="Z152">
        <v>1.256535E-3</v>
      </c>
      <c r="AA152">
        <v>0.99982629999999995</v>
      </c>
      <c r="AB152">
        <v>10</v>
      </c>
      <c r="AC152">
        <v>312.81849999999997</v>
      </c>
      <c r="AD152">
        <v>17.930620000000001</v>
      </c>
      <c r="AE152">
        <v>-1.8779999999999799</v>
      </c>
      <c r="AF152">
        <v>5.81487891460608</v>
      </c>
      <c r="AG152">
        <v>17.930620000000001</v>
      </c>
      <c r="AH152">
        <v>311.74551924584</v>
      </c>
      <c r="AI152">
        <v>86.708725355066605</v>
      </c>
      <c r="AJ152">
        <v>88.931406006041101</v>
      </c>
      <c r="AK152">
        <v>312.31488712553301</v>
      </c>
      <c r="AL152">
        <v>87.690586258109505</v>
      </c>
      <c r="AM152">
        <v>89.619118210662805</v>
      </c>
      <c r="AN152">
        <v>0.99999998958833003</v>
      </c>
    </row>
    <row r="153" spans="1:40" x14ac:dyDescent="0.25">
      <c r="A153" t="str">
        <f>"20190312160306583"</f>
        <v>20190312160306583</v>
      </c>
      <c r="B153" t="str">
        <f>"1552377786574744"</f>
        <v>1552377786574744</v>
      </c>
      <c r="C153" t="s">
        <v>40</v>
      </c>
      <c r="D153">
        <v>4.2806569999999997</v>
      </c>
      <c r="E153">
        <v>0.50513209999999997</v>
      </c>
      <c r="F153" t="s">
        <v>42</v>
      </c>
      <c r="G153">
        <v>-158.19499999999999</v>
      </c>
      <c r="H153">
        <v>18.52413</v>
      </c>
      <c r="I153">
        <v>365.29199999999997</v>
      </c>
      <c r="J153">
        <v>-470.95749999999998</v>
      </c>
      <c r="K153">
        <v>1.1091310000000001</v>
      </c>
      <c r="L153">
        <v>367.2715</v>
      </c>
      <c r="M153">
        <v>0.99990400000000002</v>
      </c>
      <c r="N153">
        <v>0</v>
      </c>
      <c r="O153">
        <v>1.288135E-2</v>
      </c>
      <c r="P153">
        <v>0.99935770000000002</v>
      </c>
      <c r="Q153">
        <v>3.5297389999999998E-2</v>
      </c>
      <c r="R153">
        <v>6.2253129999999997E-3</v>
      </c>
      <c r="S153">
        <v>2.9961549999999999</v>
      </c>
      <c r="T153">
        <v>0.16680010000000001</v>
      </c>
      <c r="U153">
        <v>-1.895142E-2</v>
      </c>
      <c r="V153">
        <v>6.6712769999999998E-3</v>
      </c>
      <c r="W153">
        <v>4.0426030000000002E-2</v>
      </c>
      <c r="X153">
        <v>0.9991603</v>
      </c>
      <c r="Y153">
        <v>1.915625E-2</v>
      </c>
      <c r="Z153">
        <v>1.2493719999999999E-3</v>
      </c>
      <c r="AA153">
        <v>0.99981569999999997</v>
      </c>
      <c r="AB153">
        <v>10</v>
      </c>
      <c r="AC153">
        <v>312.76249999999999</v>
      </c>
      <c r="AD153">
        <v>17.414998999999899</v>
      </c>
      <c r="AE153">
        <v>-1.97950000000003</v>
      </c>
      <c r="AF153">
        <v>5.9896220165567797</v>
      </c>
      <c r="AG153">
        <v>17.414998999999899</v>
      </c>
      <c r="AH153">
        <v>311.74455734341399</v>
      </c>
      <c r="AI153">
        <v>86.803195536752099</v>
      </c>
      <c r="AJ153">
        <v>88.899298045263805</v>
      </c>
      <c r="AK153">
        <v>312.28805099669103</v>
      </c>
      <c r="AL153">
        <v>87.683127829481506</v>
      </c>
      <c r="AM153">
        <v>89.617448435362405</v>
      </c>
      <c r="AN153">
        <v>1.00000003746723</v>
      </c>
    </row>
    <row r="154" spans="1:40" x14ac:dyDescent="0.25">
      <c r="A154" t="str">
        <f>"20190312160306598"</f>
        <v>20190312160306598</v>
      </c>
      <c r="B154" t="str">
        <f>"1552377786584503"</f>
        <v>1552377786584503</v>
      </c>
      <c r="C154" t="s">
        <v>40</v>
      </c>
      <c r="D154">
        <v>4.2811329999999996</v>
      </c>
      <c r="E154">
        <v>0.50501470000000004</v>
      </c>
      <c r="F154" t="s">
        <v>42</v>
      </c>
      <c r="G154">
        <v>-158.19499999999999</v>
      </c>
      <c r="H154">
        <v>18.109349999999999</v>
      </c>
      <c r="I154">
        <v>365.25510000000003</v>
      </c>
      <c r="J154">
        <v>-470.89400000000001</v>
      </c>
      <c r="K154">
        <v>1.1091200000000001</v>
      </c>
      <c r="L154">
        <v>367.2724</v>
      </c>
      <c r="M154">
        <v>0.9999015</v>
      </c>
      <c r="N154">
        <v>0</v>
      </c>
      <c r="O154">
        <v>1.307401E-2</v>
      </c>
      <c r="P154">
        <v>0.99935969999999996</v>
      </c>
      <c r="Q154">
        <v>3.5156890000000003E-2</v>
      </c>
      <c r="R154">
        <v>6.6634099999999998E-3</v>
      </c>
      <c r="S154">
        <v>2.9963380000000002</v>
      </c>
      <c r="T154">
        <v>0.16286679999999901</v>
      </c>
      <c r="U154">
        <v>-1.9317629999999999E-2</v>
      </c>
      <c r="V154">
        <v>6.4236440000000001E-3</v>
      </c>
      <c r="W154">
        <v>4.0270710000000001E-2</v>
      </c>
      <c r="X154">
        <v>0.99916819999999895</v>
      </c>
      <c r="Y154">
        <v>1.9472260000000002E-2</v>
      </c>
      <c r="Z154">
        <v>1.238926E-3</v>
      </c>
      <c r="AA154">
        <v>0.99980959999999997</v>
      </c>
      <c r="AB154">
        <v>10</v>
      </c>
      <c r="AC154">
        <v>312.69900000000001</v>
      </c>
      <c r="AD154">
        <v>17.000229999999998</v>
      </c>
      <c r="AE154">
        <v>-2.0172999999999699</v>
      </c>
      <c r="AF154">
        <v>6.0874190240863602</v>
      </c>
      <c r="AG154">
        <v>17.000229999999998</v>
      </c>
      <c r="AH154">
        <v>311.72458077802003</v>
      </c>
      <c r="AI154">
        <v>86.879000154005993</v>
      </c>
      <c r="AJ154">
        <v>88.881258926587904</v>
      </c>
      <c r="AK154">
        <v>312.24714370456701</v>
      </c>
      <c r="AL154">
        <v>87.692034274206193</v>
      </c>
      <c r="AM154">
        <v>89.631650987578695</v>
      </c>
      <c r="AN154">
        <v>1.0000000425886899</v>
      </c>
    </row>
    <row r="155" spans="1:40" x14ac:dyDescent="0.25">
      <c r="A155" t="str">
        <f>"20190312160306616"</f>
        <v>20190312160306616</v>
      </c>
      <c r="B155" t="str">
        <f>"1552377786605000"</f>
        <v>1552377786605000</v>
      </c>
      <c r="C155" t="s">
        <v>40</v>
      </c>
      <c r="D155">
        <v>4.3672079999999998</v>
      </c>
      <c r="E155">
        <v>0.50492029999999999</v>
      </c>
      <c r="F155" t="s">
        <v>42</v>
      </c>
      <c r="G155">
        <v>-158.19499999999999</v>
      </c>
      <c r="H155">
        <v>17.789110000000001</v>
      </c>
      <c r="I155">
        <v>365.49529999999999</v>
      </c>
      <c r="J155">
        <v>-470.80790000000002</v>
      </c>
      <c r="K155">
        <v>1.1091299999999999</v>
      </c>
      <c r="L155">
        <v>367.27370000000002</v>
      </c>
      <c r="M155">
        <v>0.99989930000000005</v>
      </c>
      <c r="N155">
        <v>0</v>
      </c>
      <c r="O155">
        <v>1.3255279999999999E-2</v>
      </c>
      <c r="P155">
        <v>0.99933530000000004</v>
      </c>
      <c r="Q155">
        <v>3.5756379999999997E-2</v>
      </c>
      <c r="R155">
        <v>7.116753E-3</v>
      </c>
      <c r="S155">
        <v>2.9963679999999999</v>
      </c>
      <c r="T155">
        <v>0.15983310000000001</v>
      </c>
      <c r="U155">
        <v>-1.7028809999999998E-2</v>
      </c>
      <c r="V155">
        <v>6.1465809999999999E-3</v>
      </c>
      <c r="W155">
        <v>4.0830999999999999E-2</v>
      </c>
      <c r="X155">
        <v>0.99914720000000001</v>
      </c>
      <c r="Y155">
        <v>1.8892099999999998E-2</v>
      </c>
      <c r="Z155">
        <v>1.2100710000000001E-3</v>
      </c>
      <c r="AA155">
        <v>0.99982079999999995</v>
      </c>
      <c r="AB155">
        <v>10</v>
      </c>
      <c r="AC155">
        <v>312.61290000000002</v>
      </c>
      <c r="AD155">
        <v>16.67998</v>
      </c>
      <c r="AE155">
        <v>-1.77840000000003</v>
      </c>
      <c r="AF155">
        <v>5.9052571700305503</v>
      </c>
      <c r="AG155">
        <v>16.67998</v>
      </c>
      <c r="AH155">
        <v>311.674573227895</v>
      </c>
      <c r="AI155">
        <v>86.937155931170693</v>
      </c>
      <c r="AJ155">
        <v>88.914554270355893</v>
      </c>
      <c r="AK155">
        <v>312.17644592735599</v>
      </c>
      <c r="AL155">
        <v>87.659905588167902</v>
      </c>
      <c r="AM155">
        <v>89.647530707012507</v>
      </c>
      <c r="AN155">
        <v>1.0000000391434101</v>
      </c>
    </row>
    <row r="156" spans="1:40" x14ac:dyDescent="0.25">
      <c r="A156" t="str">
        <f>"20190312160306630"</f>
        <v>20190312160306630</v>
      </c>
      <c r="B156" t="str">
        <f>"1552377786624519"</f>
        <v>1552377786624519</v>
      </c>
      <c r="C156" t="s">
        <v>40</v>
      </c>
      <c r="D156">
        <v>4.3412509999999997</v>
      </c>
      <c r="E156">
        <v>0.50492680000000001</v>
      </c>
      <c r="F156" t="s">
        <v>42</v>
      </c>
      <c r="G156">
        <v>-158.19499999999999</v>
      </c>
      <c r="H156">
        <v>17.66863</v>
      </c>
      <c r="I156">
        <v>365.71039999999999</v>
      </c>
      <c r="J156">
        <v>-470.74110000000002</v>
      </c>
      <c r="K156">
        <v>1.109146</v>
      </c>
      <c r="L156">
        <v>367.27480000000003</v>
      </c>
      <c r="M156">
        <v>0.99989810000000001</v>
      </c>
      <c r="N156">
        <v>0</v>
      </c>
      <c r="O156">
        <v>1.3351139999999999E-2</v>
      </c>
      <c r="P156">
        <v>0.99933689999999997</v>
      </c>
      <c r="Q156">
        <v>3.5684750000000001E-2</v>
      </c>
      <c r="R156">
        <v>7.2360810000000001E-3</v>
      </c>
      <c r="S156">
        <v>2.996429</v>
      </c>
      <c r="T156">
        <v>0.15872549999999999</v>
      </c>
      <c r="U156">
        <v>-1.498413E-2</v>
      </c>
      <c r="V156">
        <v>6.1191379999999997E-3</v>
      </c>
      <c r="W156">
        <v>4.0723809999999999E-2</v>
      </c>
      <c r="X156">
        <v>0.99915169999999998</v>
      </c>
      <c r="Y156">
        <v>1.8306909999999999E-2</v>
      </c>
      <c r="Z156">
        <v>1.19126E-3</v>
      </c>
      <c r="AA156">
        <v>0.99983169999999999</v>
      </c>
      <c r="AB156">
        <v>10</v>
      </c>
      <c r="AC156">
        <v>312.54610000000002</v>
      </c>
      <c r="AD156">
        <v>16.559484000000001</v>
      </c>
      <c r="AE156">
        <v>-1.56440000000003</v>
      </c>
      <c r="AF156">
        <v>5.7211010003037499</v>
      </c>
      <c r="AG156">
        <v>16.559484000000001</v>
      </c>
      <c r="AH156">
        <v>311.622606022507</v>
      </c>
      <c r="AI156">
        <v>86.9587008049823</v>
      </c>
      <c r="AJ156">
        <v>88.948220975490798</v>
      </c>
      <c r="AK156">
        <v>312.114716236292</v>
      </c>
      <c r="AL156">
        <v>87.666052134415295</v>
      </c>
      <c r="AM156">
        <v>89.649105938191894</v>
      </c>
      <c r="AN156">
        <v>0.99999999608183399</v>
      </c>
    </row>
    <row r="157" spans="1:40" x14ac:dyDescent="0.25">
      <c r="A157" t="str">
        <f>"20190312160306647"</f>
        <v>20190312160306647</v>
      </c>
      <c r="B157" t="str">
        <f>"1552377786635256"</f>
        <v>1552377786635256</v>
      </c>
      <c r="C157" t="s">
        <v>40</v>
      </c>
      <c r="D157">
        <v>4.280894</v>
      </c>
      <c r="E157">
        <v>0.5048646</v>
      </c>
      <c r="F157" t="s">
        <v>42</v>
      </c>
      <c r="G157">
        <v>-158.19499999999999</v>
      </c>
      <c r="H157">
        <v>17.29288</v>
      </c>
      <c r="I157">
        <v>365.72469999999998</v>
      </c>
      <c r="J157">
        <v>-470.6576</v>
      </c>
      <c r="K157">
        <v>1.10917</v>
      </c>
      <c r="L157">
        <v>367.27620000000002</v>
      </c>
      <c r="M157">
        <v>0.99989709999999998</v>
      </c>
      <c r="N157">
        <v>0</v>
      </c>
      <c r="O157">
        <v>1.3448969999999999E-2</v>
      </c>
      <c r="P157">
        <v>0.99932370000000004</v>
      </c>
      <c r="Q157">
        <v>3.6055940000000002E-2</v>
      </c>
      <c r="R157">
        <v>7.2271760000000001E-3</v>
      </c>
      <c r="S157">
        <v>2.9965820000000001</v>
      </c>
      <c r="T157">
        <v>0.15516469999999999</v>
      </c>
      <c r="U157">
        <v>-1.486206E-2</v>
      </c>
      <c r="V157">
        <v>6.2214929999999998E-3</v>
      </c>
      <c r="W157">
        <v>4.1053029999999997E-2</v>
      </c>
      <c r="X157">
        <v>0.99913759999999996</v>
      </c>
      <c r="Y157">
        <v>1.836552E-2</v>
      </c>
      <c r="Z157">
        <v>1.171091E-3</v>
      </c>
      <c r="AA157">
        <v>0.99983069999999996</v>
      </c>
      <c r="AB157">
        <v>11</v>
      </c>
      <c r="AC157">
        <v>312.46260000000001</v>
      </c>
      <c r="AD157">
        <v>16.183710000000001</v>
      </c>
      <c r="AE157">
        <v>-1.5515000000000301</v>
      </c>
      <c r="AF157">
        <v>5.7383187781333902</v>
      </c>
      <c r="AG157">
        <v>16.183710000000001</v>
      </c>
      <c r="AH157">
        <v>311.57764775975897</v>
      </c>
      <c r="AI157">
        <v>87.027164940857702</v>
      </c>
      <c r="AJ157">
        <v>88.944904152058598</v>
      </c>
      <c r="AK157">
        <v>312.05043078846802</v>
      </c>
      <c r="AL157">
        <v>87.647173441375699</v>
      </c>
      <c r="AM157">
        <v>89.643231638862005</v>
      </c>
      <c r="AN157">
        <v>1.0000000009905401</v>
      </c>
    </row>
    <row r="158" spans="1:40" x14ac:dyDescent="0.25">
      <c r="A158" t="str">
        <f>"20190312160306659"</f>
        <v>20190312160306659</v>
      </c>
      <c r="B158" t="str">
        <f>"1552377786654775"</f>
        <v>1552377786654775</v>
      </c>
      <c r="C158" t="s">
        <v>40</v>
      </c>
      <c r="D158">
        <v>4.4544329999999999</v>
      </c>
      <c r="E158">
        <v>0.50476920000000003</v>
      </c>
      <c r="F158" t="s">
        <v>42</v>
      </c>
      <c r="G158">
        <v>-158.19499999999999</v>
      </c>
      <c r="H158">
        <v>17.278970000000001</v>
      </c>
      <c r="I158">
        <v>365.74869999999999</v>
      </c>
      <c r="J158">
        <v>-470.59780000000001</v>
      </c>
      <c r="K158">
        <v>1.1091819999999999</v>
      </c>
      <c r="L158">
        <v>367.27710000000002</v>
      </c>
      <c r="M158">
        <v>0.99989620000000001</v>
      </c>
      <c r="N158">
        <v>0</v>
      </c>
      <c r="O158">
        <v>1.35307E-2</v>
      </c>
      <c r="P158">
        <v>0.99931959999999997</v>
      </c>
      <c r="Q158">
        <v>3.608985E-2</v>
      </c>
      <c r="R158">
        <v>7.6499890000000003E-3</v>
      </c>
      <c r="S158">
        <v>2.9965820000000001</v>
      </c>
      <c r="T158">
        <v>0.1550726</v>
      </c>
      <c r="U158">
        <v>-1.464844E-2</v>
      </c>
      <c r="V158">
        <v>5.8784939999999997E-3</v>
      </c>
      <c r="W158">
        <v>4.105636E-2</v>
      </c>
      <c r="X158">
        <v>0.99913949999999996</v>
      </c>
      <c r="Y158">
        <v>1.8375880000000001E-2</v>
      </c>
      <c r="Z158">
        <v>1.174891E-3</v>
      </c>
      <c r="AA158">
        <v>0.99983049999999996</v>
      </c>
      <c r="AB158">
        <v>11</v>
      </c>
      <c r="AC158">
        <v>312.40280000000001</v>
      </c>
      <c r="AD158">
        <v>16.169788</v>
      </c>
      <c r="AE158">
        <v>-1.52840000000003</v>
      </c>
      <c r="AF158">
        <v>5.7399632388488602</v>
      </c>
      <c r="AG158">
        <v>16.169788</v>
      </c>
      <c r="AH158">
        <v>311.51896901677497</v>
      </c>
      <c r="AI158">
        <v>87.029159721733194</v>
      </c>
      <c r="AJ158">
        <v>88.944403102671401</v>
      </c>
      <c r="AK158">
        <v>311.99114936039899</v>
      </c>
      <c r="AL158">
        <v>87.646982391105396</v>
      </c>
      <c r="AM158">
        <v>89.662900916463599</v>
      </c>
      <c r="AN158">
        <v>0.99999996092420296</v>
      </c>
    </row>
    <row r="159" spans="1:40" x14ac:dyDescent="0.25">
      <c r="A159" t="str">
        <f>"20190312160306672"</f>
        <v>20190312160306672</v>
      </c>
      <c r="B159" t="str">
        <f>"1552377786664536"</f>
        <v>1552377786664536</v>
      </c>
      <c r="C159" t="s">
        <v>40</v>
      </c>
      <c r="D159">
        <v>4.3241579999999997</v>
      </c>
      <c r="E159">
        <v>0.50472499999999998</v>
      </c>
      <c r="F159" t="s">
        <v>42</v>
      </c>
      <c r="G159">
        <v>-158.19499999999999</v>
      </c>
      <c r="H159">
        <v>17.164909999999999</v>
      </c>
      <c r="I159">
        <v>365.96949999999998</v>
      </c>
      <c r="J159">
        <v>-470.53800000000001</v>
      </c>
      <c r="K159">
        <v>1.1091899999999999</v>
      </c>
      <c r="L159">
        <v>367.27809999999999</v>
      </c>
      <c r="M159">
        <v>0.99989519999999998</v>
      </c>
      <c r="N159">
        <v>0</v>
      </c>
      <c r="O159">
        <v>1.362241E-2</v>
      </c>
      <c r="P159">
        <v>0.9993206</v>
      </c>
      <c r="Q159">
        <v>3.6072350000000003E-2</v>
      </c>
      <c r="R159">
        <v>7.5786289999999999E-3</v>
      </c>
      <c r="S159">
        <v>2.9965820000000001</v>
      </c>
      <c r="T159">
        <v>0.15400800000000001</v>
      </c>
      <c r="U159">
        <v>-1.254272E-2</v>
      </c>
      <c r="V159">
        <v>6.0405479999999998E-3</v>
      </c>
      <c r="W159">
        <v>4.1007759999999997E-2</v>
      </c>
      <c r="X159">
        <v>0.99914060000000005</v>
      </c>
      <c r="Y159">
        <v>1.7766279999999999E-2</v>
      </c>
      <c r="Z159">
        <v>1.1558919999999999E-3</v>
      </c>
      <c r="AA159">
        <v>0.99984150000000005</v>
      </c>
      <c r="AB159">
        <v>11</v>
      </c>
      <c r="AC159">
        <v>312.34300000000002</v>
      </c>
      <c r="AD159">
        <v>16.055720000000001</v>
      </c>
      <c r="AE159">
        <v>-1.30860000000001</v>
      </c>
      <c r="AF159">
        <v>5.5487324518310901</v>
      </c>
      <c r="AG159">
        <v>16.055720000000001</v>
      </c>
      <c r="AH159">
        <v>311.47317325974001</v>
      </c>
      <c r="AI159">
        <v>87.049614473459599</v>
      </c>
      <c r="AJ159">
        <v>88.979413465742397</v>
      </c>
      <c r="AK159">
        <v>311.93607075334</v>
      </c>
      <c r="AL159">
        <v>87.649769479320895</v>
      </c>
      <c r="AM159">
        <v>89.653608621554199</v>
      </c>
      <c r="AN159">
        <v>1.00000003158435</v>
      </c>
    </row>
    <row r="160" spans="1:40" x14ac:dyDescent="0.25">
      <c r="A160" t="str">
        <f>"20190312160306685"</f>
        <v>20190312160306685</v>
      </c>
      <c r="B160" t="str">
        <f>"1552377786675272"</f>
        <v>1552377786675272</v>
      </c>
      <c r="C160" t="s">
        <v>40</v>
      </c>
      <c r="D160">
        <v>4.3440279999999998</v>
      </c>
      <c r="E160">
        <v>0.50472720000000004</v>
      </c>
      <c r="F160" t="s">
        <v>42</v>
      </c>
      <c r="G160">
        <v>-158.19499999999999</v>
      </c>
      <c r="H160">
        <v>17.139700000000001</v>
      </c>
      <c r="I160">
        <v>365.96120000000002</v>
      </c>
      <c r="J160">
        <v>-470.47789999999998</v>
      </c>
      <c r="K160">
        <v>1.109194</v>
      </c>
      <c r="L160">
        <v>367.27910000000003</v>
      </c>
      <c r="M160">
        <v>0.99989380000000005</v>
      </c>
      <c r="N160">
        <v>0</v>
      </c>
      <c r="O160">
        <v>1.372755E-2</v>
      </c>
      <c r="P160">
        <v>0.99930969999999997</v>
      </c>
      <c r="Q160">
        <v>3.6282809999999999E-2</v>
      </c>
      <c r="R160">
        <v>7.9966020000000002E-3</v>
      </c>
      <c r="S160">
        <v>2.996613</v>
      </c>
      <c r="T160">
        <v>0.15379709999999999</v>
      </c>
      <c r="U160">
        <v>-1.2634279999999999E-2</v>
      </c>
      <c r="V160">
        <v>5.7269019999999999E-3</v>
      </c>
      <c r="W160">
        <v>4.1184999999999999E-2</v>
      </c>
      <c r="X160">
        <v>0.99913510000000005</v>
      </c>
      <c r="Y160">
        <v>1.7901719999999999E-2</v>
      </c>
      <c r="Z160">
        <v>1.163166E-3</v>
      </c>
      <c r="AA160">
        <v>0.99983909999999998</v>
      </c>
      <c r="AB160">
        <v>11</v>
      </c>
      <c r="AC160">
        <v>312.28289999999998</v>
      </c>
      <c r="AD160">
        <v>16.030505999999999</v>
      </c>
      <c r="AE160">
        <v>-1.3179000000000001</v>
      </c>
      <c r="AF160">
        <v>5.5899763436574403</v>
      </c>
      <c r="AG160">
        <v>16.030505999999999</v>
      </c>
      <c r="AH160">
        <v>311.41478569218299</v>
      </c>
      <c r="AI160">
        <v>87.053695417343505</v>
      </c>
      <c r="AJ160">
        <v>88.971636306699097</v>
      </c>
      <c r="AK160">
        <v>311.87720934022502</v>
      </c>
      <c r="AL160">
        <v>87.639605655238896</v>
      </c>
      <c r="AM160">
        <v>89.671592239226698</v>
      </c>
      <c r="AN160">
        <v>0.99999997484176295</v>
      </c>
    </row>
    <row r="161" spans="1:40" x14ac:dyDescent="0.25">
      <c r="A161" t="str">
        <f>"20190312160306704"</f>
        <v>20190312160306704</v>
      </c>
      <c r="B161" t="str">
        <f>"1552377786694791"</f>
        <v>1552377786694791</v>
      </c>
      <c r="C161" t="s">
        <v>40</v>
      </c>
      <c r="D161">
        <v>4.3077769999999997</v>
      </c>
      <c r="E161">
        <v>0.5047005</v>
      </c>
      <c r="F161" t="s">
        <v>42</v>
      </c>
      <c r="G161">
        <v>-158.19499999999999</v>
      </c>
      <c r="H161">
        <v>17.160829999999901</v>
      </c>
      <c r="I161">
        <v>366.07380000000001</v>
      </c>
      <c r="J161">
        <v>-470.3818</v>
      </c>
      <c r="K161">
        <v>1.109199</v>
      </c>
      <c r="L161">
        <v>367.28059999999999</v>
      </c>
      <c r="M161">
        <v>0.99989150000000004</v>
      </c>
      <c r="N161">
        <v>0</v>
      </c>
      <c r="O161">
        <v>1.391803E-2</v>
      </c>
      <c r="P161">
        <v>0.99931239999999999</v>
      </c>
      <c r="Q161">
        <v>3.6199849999999999E-2</v>
      </c>
      <c r="R161">
        <v>8.0262890000000007E-3</v>
      </c>
      <c r="S161">
        <v>2.996613</v>
      </c>
      <c r="T161">
        <v>0.15402950000000001</v>
      </c>
      <c r="U161">
        <v>-1.1566160000000001E-2</v>
      </c>
      <c r="V161">
        <v>5.8873440000000001E-3</v>
      </c>
      <c r="W161">
        <v>4.1044450000000003E-2</v>
      </c>
      <c r="X161">
        <v>0.99914000000000003</v>
      </c>
      <c r="Y161">
        <v>1.7735649999999999E-2</v>
      </c>
      <c r="Z161">
        <v>1.17044E-3</v>
      </c>
      <c r="AA161">
        <v>0.99984200000000001</v>
      </c>
      <c r="AB161">
        <v>11</v>
      </c>
      <c r="AC161">
        <v>312.18680000000001</v>
      </c>
      <c r="AD161">
        <v>16.051630999999901</v>
      </c>
      <c r="AE161">
        <v>-1.2067999999999801</v>
      </c>
      <c r="AF161">
        <v>5.5371207544360299</v>
      </c>
      <c r="AG161">
        <v>16.051630999999901</v>
      </c>
      <c r="AH161">
        <v>311.31675396903699</v>
      </c>
      <c r="AI161">
        <v>87.048883643483407</v>
      </c>
      <c r="AJ161">
        <v>88.981037165000799</v>
      </c>
      <c r="AK161">
        <v>311.77946671618298</v>
      </c>
      <c r="AL161">
        <v>87.647665507185295</v>
      </c>
      <c r="AM161">
        <v>89.662393598645906</v>
      </c>
      <c r="AN161">
        <v>1.0000000236475799</v>
      </c>
    </row>
    <row r="162" spans="1:40" x14ac:dyDescent="0.25">
      <c r="A162" t="str">
        <f>"20190312160306718"</f>
        <v>20190312160306718</v>
      </c>
      <c r="B162" t="str">
        <f>"1552377786704552"</f>
        <v>1552377786704552</v>
      </c>
      <c r="C162" t="s">
        <v>40</v>
      </c>
      <c r="D162">
        <v>4.3631679999999999</v>
      </c>
      <c r="E162">
        <v>0.50464449999999905</v>
      </c>
      <c r="F162" t="s">
        <v>42</v>
      </c>
      <c r="G162">
        <v>-158.19499999999999</v>
      </c>
      <c r="H162">
        <v>16.98573</v>
      </c>
      <c r="I162">
        <v>366.1266</v>
      </c>
      <c r="J162">
        <v>-470.3175</v>
      </c>
      <c r="K162">
        <v>1.1092070000000001</v>
      </c>
      <c r="L162">
        <v>367.2817</v>
      </c>
      <c r="M162">
        <v>0.99988969999999999</v>
      </c>
      <c r="N162">
        <v>0</v>
      </c>
      <c r="O162">
        <v>1.4052250000000001E-2</v>
      </c>
      <c r="P162">
        <v>0.99930300000000005</v>
      </c>
      <c r="Q162">
        <v>3.6418499999999999E-2</v>
      </c>
      <c r="R162">
        <v>8.1944859999999904E-3</v>
      </c>
      <c r="S162">
        <v>2.9966430000000002</v>
      </c>
      <c r="T162">
        <v>0.152397799999999</v>
      </c>
      <c r="U162">
        <v>-1.107788E-2</v>
      </c>
      <c r="V162">
        <v>5.8528399999999998E-3</v>
      </c>
      <c r="W162">
        <v>4.1224070000000002E-2</v>
      </c>
      <c r="X162">
        <v>0.99913280000000004</v>
      </c>
      <c r="Y162">
        <v>1.7707649999999998E-2</v>
      </c>
      <c r="Z162">
        <v>1.1641539999999999E-3</v>
      </c>
      <c r="AA162">
        <v>0.99984249999999997</v>
      </c>
      <c r="AB162">
        <v>11</v>
      </c>
      <c r="AC162">
        <v>312.1225</v>
      </c>
      <c r="AD162">
        <v>15.876523000000001</v>
      </c>
      <c r="AE162">
        <v>-1.1551</v>
      </c>
      <c r="AF162">
        <v>5.5267604065149802</v>
      </c>
      <c r="AG162">
        <v>15.876523000000001</v>
      </c>
      <c r="AH162">
        <v>311.27008532734197</v>
      </c>
      <c r="AI162">
        <v>87.080583058421496</v>
      </c>
      <c r="AJ162">
        <v>88.982790861300003</v>
      </c>
      <c r="AK162">
        <v>311.723715945469</v>
      </c>
      <c r="AL162">
        <v>87.637365303301493</v>
      </c>
      <c r="AM162">
        <v>89.6643697469909</v>
      </c>
      <c r="AN162">
        <v>1.0000000158596301</v>
      </c>
    </row>
    <row r="163" spans="1:40" x14ac:dyDescent="0.25">
      <c r="A163" t="str">
        <f>"20190312160306730"</f>
        <v>20190312160306730</v>
      </c>
      <c r="B163" t="str">
        <f>"1552377786725049"</f>
        <v>1552377786725049</v>
      </c>
      <c r="C163" t="s">
        <v>40</v>
      </c>
      <c r="D163">
        <v>4.4005729999999996</v>
      </c>
      <c r="E163">
        <v>0.50478849999999997</v>
      </c>
      <c r="F163" t="s">
        <v>42</v>
      </c>
      <c r="G163">
        <v>-158.19499999999999</v>
      </c>
      <c r="H163">
        <v>16.975249999999999</v>
      </c>
      <c r="I163">
        <v>366.22</v>
      </c>
      <c r="J163">
        <v>-470.25400000000002</v>
      </c>
      <c r="K163">
        <v>1.109213</v>
      </c>
      <c r="L163">
        <v>367.28269999999998</v>
      </c>
      <c r="M163">
        <v>0.99988809999999995</v>
      </c>
      <c r="N163">
        <v>0</v>
      </c>
      <c r="O163">
        <v>1.4185939999999999E-2</v>
      </c>
      <c r="P163">
        <v>0.99929259999999998</v>
      </c>
      <c r="Q163">
        <v>3.6665150000000001E-2</v>
      </c>
      <c r="R163">
        <v>8.3848280000000004E-3</v>
      </c>
      <c r="S163">
        <v>2.9965519999999999</v>
      </c>
      <c r="T163">
        <v>0.15232370000000001</v>
      </c>
      <c r="U163">
        <v>-1.019287E-2</v>
      </c>
      <c r="V163">
        <v>5.7957470000000004E-3</v>
      </c>
      <c r="W163">
        <v>4.1433699999999997E-2</v>
      </c>
      <c r="X163">
        <v>0.99912449999999997</v>
      </c>
      <c r="Y163">
        <v>1.7546220000000001E-2</v>
      </c>
      <c r="Z163">
        <v>1.1663159999999999E-3</v>
      </c>
      <c r="AA163">
        <v>0.9998454</v>
      </c>
      <c r="AB163">
        <v>11</v>
      </c>
      <c r="AC163">
        <v>312.05900000000003</v>
      </c>
      <c r="AD163">
        <v>15.866037</v>
      </c>
      <c r="AE163">
        <v>-1.06269999999994</v>
      </c>
      <c r="AF163">
        <v>5.4753395345414004</v>
      </c>
      <c r="AG163">
        <v>15.866037</v>
      </c>
      <c r="AH163">
        <v>311.20805366810799</v>
      </c>
      <c r="AI163">
        <v>87.081919071866295</v>
      </c>
      <c r="AJ163">
        <v>88.992052166469605</v>
      </c>
      <c r="AK163">
        <v>311.66033296041297</v>
      </c>
      <c r="AL163">
        <v>87.625344209698895</v>
      </c>
      <c r="AM163">
        <v>89.667640902001295</v>
      </c>
      <c r="AN163">
        <v>1.0000000543396099</v>
      </c>
    </row>
    <row r="164" spans="1:40" x14ac:dyDescent="0.25">
      <c r="A164" t="str">
        <f>"20190312160306748"</f>
        <v>20190312160306748</v>
      </c>
      <c r="B164" t="str">
        <f>"1552377786744567"</f>
        <v>1552377786744567</v>
      </c>
      <c r="C164" t="s">
        <v>40</v>
      </c>
      <c r="D164">
        <v>4.398523</v>
      </c>
      <c r="E164">
        <v>0.50284910000000005</v>
      </c>
      <c r="F164" t="s">
        <v>42</v>
      </c>
      <c r="G164">
        <v>-158.19499999999999</v>
      </c>
      <c r="H164">
        <v>16.83606</v>
      </c>
      <c r="I164">
        <v>366.15449999999998</v>
      </c>
      <c r="J164">
        <v>-470.16480000000001</v>
      </c>
      <c r="K164">
        <v>1.1092229999999901</v>
      </c>
      <c r="L164">
        <v>367.28410000000002</v>
      </c>
      <c r="M164">
        <v>0.99988540000000004</v>
      </c>
      <c r="N164">
        <v>0</v>
      </c>
      <c r="O164">
        <v>1.4374929999999999E-2</v>
      </c>
      <c r="P164">
        <v>0.99929230000000002</v>
      </c>
      <c r="Q164">
        <v>3.6683210000000001E-2</v>
      </c>
      <c r="R164">
        <v>8.3287669999999904E-3</v>
      </c>
      <c r="S164">
        <v>2.9966430000000002</v>
      </c>
      <c r="T164">
        <v>0.15102270000000001</v>
      </c>
      <c r="U164">
        <v>-1.083374E-2</v>
      </c>
      <c r="V164">
        <v>6.0397810000000001E-3</v>
      </c>
      <c r="W164">
        <v>4.1403200000000001E-2</v>
      </c>
      <c r="X164">
        <v>0.99912429999999997</v>
      </c>
      <c r="Y164">
        <v>1.794888E-2</v>
      </c>
      <c r="Z164">
        <v>1.1759889999999999E-3</v>
      </c>
      <c r="AA164">
        <v>0.99983820000000001</v>
      </c>
      <c r="AB164">
        <v>11</v>
      </c>
      <c r="AC164">
        <v>311.96980000000002</v>
      </c>
      <c r="AD164">
        <v>15.726837</v>
      </c>
      <c r="AE164">
        <v>-1.1296000000000299</v>
      </c>
      <c r="AF164">
        <v>5.5998471176854503</v>
      </c>
      <c r="AG164">
        <v>15.726837</v>
      </c>
      <c r="AH164">
        <v>311.13065788400701</v>
      </c>
      <c r="AI164">
        <v>87.106779537536994</v>
      </c>
      <c r="AJ164">
        <v>88.96888024671</v>
      </c>
      <c r="AK164">
        <v>311.57820521516101</v>
      </c>
      <c r="AL164">
        <v>87.627093186739103</v>
      </c>
      <c r="AM164">
        <v>89.653646953336207</v>
      </c>
      <c r="AN164">
        <v>1.0000000353876199</v>
      </c>
    </row>
    <row r="165" spans="1:40" x14ac:dyDescent="0.25">
      <c r="A165" t="str">
        <f>"20190312160306760"</f>
        <v>20190312160306760</v>
      </c>
      <c r="B165" t="str">
        <f>"1552377786755304"</f>
        <v>1552377786755304</v>
      </c>
      <c r="C165" t="s">
        <v>40</v>
      </c>
      <c r="D165">
        <v>4.4031359999999999</v>
      </c>
      <c r="E165">
        <v>0.50378840000000003</v>
      </c>
      <c r="F165" t="s">
        <v>42</v>
      </c>
      <c r="G165">
        <v>-158.19499999999999</v>
      </c>
      <c r="H165">
        <v>2.830139</v>
      </c>
      <c r="I165">
        <v>366.99239999999998</v>
      </c>
      <c r="J165">
        <v>-470.10320000000002</v>
      </c>
      <c r="K165">
        <v>1.1092379999999999</v>
      </c>
      <c r="L165">
        <v>367.28519999999997</v>
      </c>
      <c r="M165">
        <v>0.99988390000000005</v>
      </c>
      <c r="N165">
        <v>0</v>
      </c>
      <c r="O165">
        <v>1.4506069999999999E-2</v>
      </c>
      <c r="P165">
        <v>0.9992936</v>
      </c>
      <c r="Q165">
        <v>3.6630389999999999E-2</v>
      </c>
      <c r="R165">
        <v>8.4103240000000003E-3</v>
      </c>
      <c r="S165">
        <v>3.0015559999999999</v>
      </c>
      <c r="T165">
        <v>1.655829E-2</v>
      </c>
      <c r="U165">
        <v>-2.8076170000000001E-3</v>
      </c>
      <c r="V165">
        <v>6.088436E-3</v>
      </c>
      <c r="W165">
        <v>4.1319349999999998E-2</v>
      </c>
      <c r="X165">
        <v>0.9991274</v>
      </c>
      <c r="Y165">
        <v>1.544105E-2</v>
      </c>
      <c r="Z165">
        <v>1.2261250000000001E-4</v>
      </c>
      <c r="AA165">
        <v>0.99988080000000001</v>
      </c>
      <c r="AB165">
        <v>11</v>
      </c>
      <c r="AC165">
        <v>311.90820000000002</v>
      </c>
      <c r="AD165">
        <v>1.72090099999999</v>
      </c>
      <c r="AE165">
        <v>-0.29279999999999901</v>
      </c>
      <c r="AF165">
        <v>4.8172339621288396</v>
      </c>
      <c r="AG165">
        <v>1.72090099999999</v>
      </c>
      <c r="AH165">
        <v>311.86163997191397</v>
      </c>
      <c r="AI165">
        <v>89.683873903501507</v>
      </c>
      <c r="AJ165">
        <v>89.115039521062599</v>
      </c>
      <c r="AK165">
        <v>311.90359043984898</v>
      </c>
      <c r="AL165">
        <v>87.631901372798296</v>
      </c>
      <c r="AM165">
        <v>89.650857969875503</v>
      </c>
      <c r="AN165">
        <v>0.99999995958405297</v>
      </c>
    </row>
    <row r="166" spans="1:40" x14ac:dyDescent="0.25">
      <c r="A166" t="str">
        <f>"20190312160306771"</f>
        <v>20190312160306771</v>
      </c>
      <c r="B166" t="str">
        <f>"1552377786765065"</f>
        <v>1552377786765065</v>
      </c>
      <c r="C166" t="s">
        <v>40</v>
      </c>
      <c r="D166">
        <v>4.4288530000000002</v>
      </c>
      <c r="E166">
        <v>0.50333490000000003</v>
      </c>
      <c r="F166" t="s">
        <v>42</v>
      </c>
      <c r="G166">
        <v>-158.19499999999999</v>
      </c>
      <c r="H166">
        <v>6.0336749999999997</v>
      </c>
      <c r="I166">
        <v>366.43810000000002</v>
      </c>
      <c r="J166">
        <v>-470.04309999999998</v>
      </c>
      <c r="K166">
        <v>1.109254</v>
      </c>
      <c r="L166">
        <v>367.28620000000001</v>
      </c>
      <c r="M166">
        <v>0.99988200000000005</v>
      </c>
      <c r="N166">
        <v>0</v>
      </c>
      <c r="O166">
        <v>1.463541E-2</v>
      </c>
      <c r="P166">
        <v>0.99929920000000005</v>
      </c>
      <c r="Q166">
        <v>3.6475029999999999E-2</v>
      </c>
      <c r="R166">
        <v>8.4327440000000007E-3</v>
      </c>
      <c r="S166">
        <v>3.0004270000000002</v>
      </c>
      <c r="T166">
        <v>4.7371860000000002E-2</v>
      </c>
      <c r="U166">
        <v>-8.1481929999999998E-3</v>
      </c>
      <c r="V166">
        <v>6.1942580000000002E-3</v>
      </c>
      <c r="W166">
        <v>4.113497E-2</v>
      </c>
      <c r="X166">
        <v>0.99913439999999998</v>
      </c>
      <c r="Y166">
        <v>1.734691E-2</v>
      </c>
      <c r="Z166">
        <v>3.67983E-4</v>
      </c>
      <c r="AA166">
        <v>0.9998494</v>
      </c>
      <c r="AB166">
        <v>11</v>
      </c>
      <c r="AC166">
        <v>311.84809999999999</v>
      </c>
      <c r="AD166">
        <v>4.9244209999999997</v>
      </c>
      <c r="AE166">
        <v>-0.84809999999998797</v>
      </c>
      <c r="AF166">
        <v>5.4107344901371404</v>
      </c>
      <c r="AG166">
        <v>4.9244209999999997</v>
      </c>
      <c r="AH166">
        <v>311.72455628284098</v>
      </c>
      <c r="AI166">
        <v>89.0950902507618</v>
      </c>
      <c r="AJ166">
        <v>89.005592866443294</v>
      </c>
      <c r="AK166">
        <v>311.81039905628899</v>
      </c>
      <c r="AL166">
        <v>87.642474658277493</v>
      </c>
      <c r="AM166">
        <v>89.644792238404605</v>
      </c>
      <c r="AN166">
        <v>1.0000000019262101</v>
      </c>
    </row>
    <row r="167" spans="1:40" x14ac:dyDescent="0.25">
      <c r="A167" t="str">
        <f>"20190312160306784"</f>
        <v>20190312160306784</v>
      </c>
      <c r="B167" t="str">
        <f>"1552377786774824"</f>
        <v>1552377786774824</v>
      </c>
      <c r="C167" t="s">
        <v>40</v>
      </c>
      <c r="D167">
        <v>4.429856</v>
      </c>
      <c r="E167">
        <v>0.50370550000000003</v>
      </c>
      <c r="F167" t="s">
        <v>42</v>
      </c>
      <c r="G167">
        <v>-158.19499999999999</v>
      </c>
      <c r="H167">
        <v>4.7575440000000002</v>
      </c>
      <c r="I167">
        <v>366.7217</v>
      </c>
      <c r="J167">
        <v>-469.97669999999999</v>
      </c>
      <c r="K167">
        <v>1.10927</v>
      </c>
      <c r="L167">
        <v>367.28730000000002</v>
      </c>
      <c r="M167">
        <v>0.99988010000000005</v>
      </c>
      <c r="N167">
        <v>0</v>
      </c>
      <c r="O167">
        <v>1.477944E-2</v>
      </c>
      <c r="P167">
        <v>0.99929069999999998</v>
      </c>
      <c r="Q167">
        <v>3.6662439999999998E-2</v>
      </c>
      <c r="R167">
        <v>8.6124970000000002E-3</v>
      </c>
      <c r="S167">
        <v>3.0008849999999998</v>
      </c>
      <c r="T167">
        <v>3.5107970000000002E-2</v>
      </c>
      <c r="U167">
        <v>-5.432129E-3</v>
      </c>
      <c r="V167">
        <v>6.15731E-3</v>
      </c>
      <c r="W167">
        <v>4.129124E-2</v>
      </c>
      <c r="X167">
        <v>0.99912820000000002</v>
      </c>
      <c r="Y167">
        <v>1.6587399999999999E-2</v>
      </c>
      <c r="Z167">
        <v>2.699256E-4</v>
      </c>
      <c r="AA167">
        <v>0.99986240000000004</v>
      </c>
      <c r="AB167">
        <v>11</v>
      </c>
      <c r="AC167">
        <v>311.7817</v>
      </c>
      <c r="AD167">
        <v>3.6482739999999998</v>
      </c>
      <c r="AE167">
        <v>-0.56560000000001698</v>
      </c>
      <c r="AF167">
        <v>5.1728380767908604</v>
      </c>
      <c r="AG167">
        <v>3.6482739999999998</v>
      </c>
      <c r="AH167">
        <v>311.69660852240298</v>
      </c>
      <c r="AI167">
        <v>89.329500621278399</v>
      </c>
      <c r="AJ167">
        <v>89.0492210162394</v>
      </c>
      <c r="AK167">
        <v>311.76087618768901</v>
      </c>
      <c r="AL167">
        <v>87.633513474791201</v>
      </c>
      <c r="AM167">
        <v>89.646908764942395</v>
      </c>
      <c r="AN167">
        <v>1.0000000195012</v>
      </c>
    </row>
    <row r="168" spans="1:40" x14ac:dyDescent="0.25">
      <c r="A168" t="str">
        <f>"20190312160306799"</f>
        <v>20190312160306799</v>
      </c>
      <c r="B168" t="str">
        <f>"1552377786784584"</f>
        <v>1552377786784584</v>
      </c>
      <c r="C168" t="s">
        <v>40</v>
      </c>
      <c r="D168">
        <v>4.3837919999999997</v>
      </c>
      <c r="E168">
        <v>0.50375999999999999</v>
      </c>
      <c r="F168" t="s">
        <v>42</v>
      </c>
      <c r="G168">
        <v>-158.19499999999999</v>
      </c>
      <c r="H168">
        <v>6.5707639999999996</v>
      </c>
      <c r="I168">
        <v>366.58640000000003</v>
      </c>
      <c r="J168">
        <v>-469.90789999999998</v>
      </c>
      <c r="K168">
        <v>1.1092900000000001</v>
      </c>
      <c r="L168">
        <v>367.28840000000002</v>
      </c>
      <c r="M168">
        <v>0.99987800000000004</v>
      </c>
      <c r="N168">
        <v>0</v>
      </c>
      <c r="O168">
        <v>1.493187E-2</v>
      </c>
      <c r="P168">
        <v>0.99930129999999995</v>
      </c>
      <c r="Q168">
        <v>3.6389530000000003E-2</v>
      </c>
      <c r="R168">
        <v>8.533021E-3</v>
      </c>
      <c r="S168">
        <v>3.0002749999999998</v>
      </c>
      <c r="T168">
        <v>5.2556749999999999E-2</v>
      </c>
      <c r="U168">
        <v>-6.7443850000000003E-3</v>
      </c>
      <c r="V168">
        <v>6.3881220000000004E-3</v>
      </c>
      <c r="W168">
        <v>4.0986330000000001E-2</v>
      </c>
      <c r="X168">
        <v>0.99913929999999995</v>
      </c>
      <c r="Y168">
        <v>1.7174729999999999E-2</v>
      </c>
      <c r="Z168">
        <v>4.1195830000000002E-4</v>
      </c>
      <c r="AA168">
        <v>0.99985239999999997</v>
      </c>
      <c r="AB168">
        <v>11</v>
      </c>
      <c r="AC168">
        <v>311.71289999999999</v>
      </c>
      <c r="AD168">
        <v>5.4614739999999999</v>
      </c>
      <c r="AE168">
        <v>-0.70199999999999796</v>
      </c>
      <c r="AF168">
        <v>5.3547833607159099</v>
      </c>
      <c r="AG168">
        <v>5.4614739999999999</v>
      </c>
      <c r="AH168">
        <v>311.572019262342</v>
      </c>
      <c r="AI168">
        <v>88.995926596160302</v>
      </c>
      <c r="AJ168">
        <v>89.015392057112095</v>
      </c>
      <c r="AK168">
        <v>311.66588615102899</v>
      </c>
      <c r="AL168">
        <v>87.650998319849705</v>
      </c>
      <c r="AM168">
        <v>89.6336772636229</v>
      </c>
      <c r="AN168">
        <v>1.00000001407702</v>
      </c>
    </row>
    <row r="169" spans="1:40" x14ac:dyDescent="0.25">
      <c r="A169" t="str">
        <f>"20190312160306817"</f>
        <v>20190312160306817</v>
      </c>
      <c r="B169" t="str">
        <f>"1552377786805079"</f>
        <v>1552377786805079</v>
      </c>
      <c r="C169" t="s">
        <v>40</v>
      </c>
      <c r="D169">
        <v>4.4472839999999998</v>
      </c>
      <c r="E169">
        <v>0.50385170000000001</v>
      </c>
      <c r="F169" t="s">
        <v>42</v>
      </c>
      <c r="G169">
        <v>-158.19499999999999</v>
      </c>
      <c r="H169">
        <v>6.3848849999999997</v>
      </c>
      <c r="I169">
        <v>366.50209999999998</v>
      </c>
      <c r="J169">
        <v>-469.80970000000002</v>
      </c>
      <c r="K169">
        <v>1.109321</v>
      </c>
      <c r="L169">
        <v>367.29</v>
      </c>
      <c r="M169">
        <v>0.99987479999999995</v>
      </c>
      <c r="N169">
        <v>0</v>
      </c>
      <c r="O169">
        <v>1.5151889999999999E-2</v>
      </c>
      <c r="P169">
        <v>0.99930169999999996</v>
      </c>
      <c r="Q169">
        <v>3.6366830000000003E-2</v>
      </c>
      <c r="R169">
        <v>8.5796090000000002E-3</v>
      </c>
      <c r="S169">
        <v>3.000305</v>
      </c>
      <c r="T169">
        <v>5.0779579999999998E-2</v>
      </c>
      <c r="U169">
        <v>-7.5683590000000002E-3</v>
      </c>
      <c r="V169">
        <v>6.5597839999999999E-3</v>
      </c>
      <c r="W169">
        <v>4.0918669999999997E-2</v>
      </c>
      <c r="X169">
        <v>0.9991409</v>
      </c>
      <c r="Y169">
        <v>1.7669540000000001E-2</v>
      </c>
      <c r="Z169">
        <v>4.0593649999999998E-4</v>
      </c>
      <c r="AA169">
        <v>0.99984379999999995</v>
      </c>
      <c r="AB169">
        <v>11</v>
      </c>
      <c r="AC169">
        <v>311.61470000000003</v>
      </c>
      <c r="AD169">
        <v>5.2755639999999904</v>
      </c>
      <c r="AE169">
        <v>-0.78790000000003502</v>
      </c>
      <c r="AF169">
        <v>5.50783169440958</v>
      </c>
      <c r="AG169">
        <v>5.2755639999999904</v>
      </c>
      <c r="AH169">
        <v>311.47771445675102</v>
      </c>
      <c r="AI169">
        <v>89.029813671145305</v>
      </c>
      <c r="AJ169">
        <v>88.986949595592804</v>
      </c>
      <c r="AK169">
        <v>311.57107437740899</v>
      </c>
      <c r="AL169">
        <v>87.654878064221506</v>
      </c>
      <c r="AM169">
        <v>89.623834298471706</v>
      </c>
      <c r="AN169">
        <v>0.99999995318675095</v>
      </c>
    </row>
    <row r="170" spans="1:40" x14ac:dyDescent="0.25">
      <c r="A170" t="str">
        <f>"20190312160306832"</f>
        <v>20190312160306832</v>
      </c>
      <c r="B170" t="str">
        <f>"1552377786824601"</f>
        <v>1552377786824601</v>
      </c>
      <c r="C170" t="s">
        <v>40</v>
      </c>
      <c r="D170">
        <v>4.4434699999999996</v>
      </c>
      <c r="E170">
        <v>0.50365550000000003</v>
      </c>
      <c r="F170" t="s">
        <v>42</v>
      </c>
      <c r="G170">
        <v>-160.8184</v>
      </c>
      <c r="H170">
        <v>6.6740899999999996</v>
      </c>
      <c r="I170">
        <v>366.47289999999998</v>
      </c>
      <c r="J170">
        <v>-469.73509999999999</v>
      </c>
      <c r="K170">
        <v>1.1093409999999999</v>
      </c>
      <c r="L170">
        <v>367.29140000000001</v>
      </c>
      <c r="M170">
        <v>0.99987239999999999</v>
      </c>
      <c r="N170">
        <v>0</v>
      </c>
      <c r="O170">
        <v>1.5320179999999999E-2</v>
      </c>
      <c r="P170">
        <v>0.99931239999999999</v>
      </c>
      <c r="Q170">
        <v>3.6102549999999997E-2</v>
      </c>
      <c r="R170">
        <v>8.4568430000000003E-3</v>
      </c>
      <c r="S170">
        <v>3.0002439999999999</v>
      </c>
      <c r="T170">
        <v>5.4033640000000001E-2</v>
      </c>
      <c r="U170">
        <v>-7.9345700000000002E-3</v>
      </c>
      <c r="V170">
        <v>6.8495309999999998E-3</v>
      </c>
      <c r="W170">
        <v>4.0620900000000001E-2</v>
      </c>
      <c r="X170">
        <v>0.99915120000000002</v>
      </c>
      <c r="Y170">
        <v>1.7959220000000001E-2</v>
      </c>
      <c r="Z170">
        <v>4.3759300000000001E-4</v>
      </c>
      <c r="AA170">
        <v>0.99983869999999997</v>
      </c>
      <c r="AB170">
        <v>12</v>
      </c>
      <c r="AC170">
        <v>308.91669999999999</v>
      </c>
      <c r="AD170">
        <v>5.5647489999999999</v>
      </c>
      <c r="AE170">
        <v>-0.81850000000002798</v>
      </c>
      <c r="AF170">
        <v>5.54931112779638</v>
      </c>
      <c r="AG170">
        <v>5.5647489999999999</v>
      </c>
      <c r="AH170">
        <v>308.76771187482399</v>
      </c>
      <c r="AI170">
        <v>88.967668439430796</v>
      </c>
      <c r="AJ170">
        <v>88.970365528987799</v>
      </c>
      <c r="AK170">
        <v>308.86770822123901</v>
      </c>
      <c r="AL170">
        <v>87.671953444793104</v>
      </c>
      <c r="AM170">
        <v>89.607223541048697</v>
      </c>
      <c r="AN170">
        <v>1.00000004702658</v>
      </c>
    </row>
    <row r="171" spans="1:40" x14ac:dyDescent="0.25">
      <c r="A171" t="str">
        <f>"20190312160306849"</f>
        <v>20190312160306849</v>
      </c>
      <c r="B171" t="str">
        <f>"1552377786845095"</f>
        <v>1552377786845095</v>
      </c>
      <c r="C171" t="s">
        <v>40</v>
      </c>
      <c r="D171">
        <v>4.3951019999999996</v>
      </c>
      <c r="E171">
        <v>0.50392559999999997</v>
      </c>
      <c r="F171" t="s">
        <v>42</v>
      </c>
      <c r="G171">
        <v>-158.19499999999999</v>
      </c>
      <c r="H171">
        <v>5.6036149999999996</v>
      </c>
      <c r="I171">
        <v>366.53089999999997</v>
      </c>
      <c r="J171">
        <v>-469.637</v>
      </c>
      <c r="K171">
        <v>1.1093649999999999</v>
      </c>
      <c r="L171">
        <v>367.29309999999998</v>
      </c>
      <c r="M171">
        <v>0.99986920000000001</v>
      </c>
      <c r="N171">
        <v>0</v>
      </c>
      <c r="O171">
        <v>1.554054E-2</v>
      </c>
      <c r="P171">
        <v>0.99930379999999996</v>
      </c>
      <c r="Q171">
        <v>3.6354350000000001E-2</v>
      </c>
      <c r="R171">
        <v>8.3914639999999995E-3</v>
      </c>
      <c r="S171">
        <v>3.0005799999999998</v>
      </c>
      <c r="T171">
        <v>4.3287159999999998E-2</v>
      </c>
      <c r="U171">
        <v>-7.3242189999999999E-3</v>
      </c>
      <c r="V171">
        <v>7.1335160000000003E-3</v>
      </c>
      <c r="W171">
        <v>4.0828629999999998E-2</v>
      </c>
      <c r="X171">
        <v>0.99914069999999999</v>
      </c>
      <c r="Y171">
        <v>1.797779E-2</v>
      </c>
      <c r="Z171">
        <v>3.5384570000000001E-4</v>
      </c>
      <c r="AA171">
        <v>0.99983840000000002</v>
      </c>
      <c r="AB171">
        <v>12</v>
      </c>
      <c r="AC171">
        <v>311.44199999999898</v>
      </c>
      <c r="AD171">
        <v>4.4942500000000001</v>
      </c>
      <c r="AE171">
        <v>-0.76220000000000698</v>
      </c>
      <c r="AF171">
        <v>5.6009670657455404</v>
      </c>
      <c r="AG171">
        <v>4.4942500000000001</v>
      </c>
      <c r="AH171">
        <v>311.327714039753</v>
      </c>
      <c r="AI171">
        <v>89.173083513353106</v>
      </c>
      <c r="AJ171">
        <v>88.969326712354999</v>
      </c>
      <c r="AK171">
        <v>311.41052429927998</v>
      </c>
      <c r="AL171">
        <v>87.660041403740607</v>
      </c>
      <c r="AM171">
        <v>89.590935075196697</v>
      </c>
      <c r="AN171">
        <v>1.00000000123734</v>
      </c>
    </row>
    <row r="172" spans="1:40" x14ac:dyDescent="0.25">
      <c r="A172" t="str">
        <f>"20190312160306871"</f>
        <v>20190312160306871</v>
      </c>
      <c r="B172" t="str">
        <f>"1552377786864616"</f>
        <v>1552377786864616</v>
      </c>
      <c r="C172" t="s">
        <v>40</v>
      </c>
      <c r="D172">
        <v>4.4841490000000004</v>
      </c>
      <c r="E172">
        <v>0.50392349999999997</v>
      </c>
      <c r="F172" t="s">
        <v>42</v>
      </c>
      <c r="G172">
        <v>-158.19499999999999</v>
      </c>
      <c r="H172">
        <v>6.4343510000000004</v>
      </c>
      <c r="I172">
        <v>366.31740000000002</v>
      </c>
      <c r="J172">
        <v>-469.5197</v>
      </c>
      <c r="K172">
        <v>1.1093869999999999</v>
      </c>
      <c r="L172">
        <v>367.29520000000002</v>
      </c>
      <c r="M172">
        <v>0.99986540000000002</v>
      </c>
      <c r="N172">
        <v>0</v>
      </c>
      <c r="O172">
        <v>1.580142E-2</v>
      </c>
      <c r="P172">
        <v>0.99930180000000002</v>
      </c>
      <c r="Q172">
        <v>3.6323170000000002E-2</v>
      </c>
      <c r="R172">
        <v>8.7770959999999999E-3</v>
      </c>
      <c r="S172">
        <v>3.000305</v>
      </c>
      <c r="T172">
        <v>5.1299570000000003E-2</v>
      </c>
      <c r="U172">
        <v>-9.399414E-3</v>
      </c>
      <c r="V172">
        <v>7.007264E-3</v>
      </c>
      <c r="W172">
        <v>4.0747150000000003E-2</v>
      </c>
      <c r="X172">
        <v>0.9991449</v>
      </c>
      <c r="Y172">
        <v>1.8928839999999999E-2</v>
      </c>
      <c r="Z172">
        <v>4.3196169999999999E-4</v>
      </c>
      <c r="AA172">
        <v>0.99982079999999995</v>
      </c>
      <c r="AB172">
        <v>12</v>
      </c>
      <c r="AC172">
        <v>311.32470000000001</v>
      </c>
      <c r="AD172">
        <v>5.3249639999999996</v>
      </c>
      <c r="AE172">
        <v>-0.977800000000002</v>
      </c>
      <c r="AF172">
        <v>5.89537351865531</v>
      </c>
      <c r="AG172">
        <v>5.3249639999999996</v>
      </c>
      <c r="AH172">
        <v>311.17934360619199</v>
      </c>
      <c r="AI172">
        <v>89.019814547979195</v>
      </c>
      <c r="AJ172">
        <v>88.914646410221295</v>
      </c>
      <c r="AK172">
        <v>311.28073271197798</v>
      </c>
      <c r="AL172">
        <v>87.664713706139295</v>
      </c>
      <c r="AM172">
        <v>89.598176329736106</v>
      </c>
      <c r="AN172">
        <v>0.99999998158894798</v>
      </c>
    </row>
    <row r="173" spans="1:40" x14ac:dyDescent="0.25">
      <c r="A173" t="str">
        <f>"20190312160306883"</f>
        <v>20190312160306883</v>
      </c>
      <c r="B173" t="str">
        <f>"1552377786875351"</f>
        <v>1552377786875351</v>
      </c>
      <c r="C173" t="s">
        <v>40</v>
      </c>
      <c r="D173">
        <v>4.4625260000000004</v>
      </c>
      <c r="E173">
        <v>0.50395979999999996</v>
      </c>
      <c r="F173" t="s">
        <v>42</v>
      </c>
      <c r="G173">
        <v>-158.19499999999999</v>
      </c>
      <c r="H173">
        <v>6.2179460000000004</v>
      </c>
      <c r="I173">
        <v>366.43079999999998</v>
      </c>
      <c r="J173">
        <v>-469.452</v>
      </c>
      <c r="K173">
        <v>1.1093980000000001</v>
      </c>
      <c r="L173">
        <v>367.29640000000001</v>
      </c>
      <c r="M173">
        <v>0.9998631</v>
      </c>
      <c r="N173">
        <v>0</v>
      </c>
      <c r="O173">
        <v>1.5950700000000002E-2</v>
      </c>
      <c r="P173">
        <v>0.99930629999999998</v>
      </c>
      <c r="Q173">
        <v>3.6167669999999999E-2</v>
      </c>
      <c r="R173">
        <v>8.8994050000000009E-3</v>
      </c>
      <c r="S173">
        <v>3.0003660000000001</v>
      </c>
      <c r="T173">
        <v>4.9234149999999997E-2</v>
      </c>
      <c r="U173">
        <v>-8.3312990000000003E-3</v>
      </c>
      <c r="V173">
        <v>7.0338129999999999E-3</v>
      </c>
      <c r="W173">
        <v>4.0564210000000003E-2</v>
      </c>
      <c r="X173">
        <v>0.99915220000000005</v>
      </c>
      <c r="Y173">
        <v>1.8722519999999999E-2</v>
      </c>
      <c r="Z173">
        <v>4.1532050000000001E-4</v>
      </c>
      <c r="AA173">
        <v>0.99982459999999995</v>
      </c>
      <c r="AB173">
        <v>12</v>
      </c>
      <c r="AC173">
        <v>311.25700000000001</v>
      </c>
      <c r="AD173">
        <v>5.1085479999999999</v>
      </c>
      <c r="AE173">
        <v>-0.86560000000002901</v>
      </c>
      <c r="AF173">
        <v>5.8287348552790998</v>
      </c>
      <c r="AG173">
        <v>5.1085479999999999</v>
      </c>
      <c r="AH173">
        <v>311.11978676885298</v>
      </c>
      <c r="AI173">
        <v>89.059460015175802</v>
      </c>
      <c r="AJ173">
        <v>88.926706505878897</v>
      </c>
      <c r="AK173">
        <v>311.21631244486201</v>
      </c>
      <c r="AL173">
        <v>87.675204168658695</v>
      </c>
      <c r="AM173">
        <v>89.596656904231295</v>
      </c>
      <c r="AN173">
        <v>1.0000000242115401</v>
      </c>
    </row>
    <row r="174" spans="1:40" x14ac:dyDescent="0.25">
      <c r="A174" t="str">
        <f>"20190312160306895"</f>
        <v>20190312160306895</v>
      </c>
      <c r="B174" t="str">
        <f>"1552377786885112"</f>
        <v>1552377786885112</v>
      </c>
      <c r="C174" t="s">
        <v>40</v>
      </c>
      <c r="D174">
        <v>4.4835989999999999</v>
      </c>
      <c r="E174">
        <v>0.50397239999999999</v>
      </c>
      <c r="F174" t="s">
        <v>42</v>
      </c>
      <c r="G174">
        <v>-158.19499999999999</v>
      </c>
      <c r="H174">
        <v>5.945818</v>
      </c>
      <c r="I174">
        <v>366.41640000000001</v>
      </c>
      <c r="J174">
        <v>-469.38929999999999</v>
      </c>
      <c r="K174">
        <v>1.1094040000000001</v>
      </c>
      <c r="L174">
        <v>367.29759999999999</v>
      </c>
      <c r="M174">
        <v>0.999861</v>
      </c>
      <c r="N174">
        <v>0</v>
      </c>
      <c r="O174">
        <v>1.6088399999999999E-2</v>
      </c>
      <c r="P174">
        <v>0.9993147</v>
      </c>
      <c r="Q174">
        <v>3.5914179999999997E-2</v>
      </c>
      <c r="R174">
        <v>8.9715760000000002E-3</v>
      </c>
      <c r="S174">
        <v>3.0004270000000002</v>
      </c>
      <c r="T174">
        <v>4.6622509999999999E-2</v>
      </c>
      <c r="U174">
        <v>-8.4838869999999903E-3</v>
      </c>
      <c r="V174">
        <v>7.0992349999999997E-3</v>
      </c>
      <c r="W174">
        <v>4.0285950000000001E-2</v>
      </c>
      <c r="X174">
        <v>0.99916300000000002</v>
      </c>
      <c r="Y174">
        <v>1.8911440000000002E-2</v>
      </c>
      <c r="Z174">
        <v>3.9689150000000003E-4</v>
      </c>
      <c r="AA174">
        <v>0.99982110000000002</v>
      </c>
      <c r="AB174">
        <v>12</v>
      </c>
      <c r="AC174">
        <v>311.1943</v>
      </c>
      <c r="AD174">
        <v>4.8364140000000004</v>
      </c>
      <c r="AE174">
        <v>-0.881199999999978</v>
      </c>
      <c r="AF174">
        <v>5.8863304921222399</v>
      </c>
      <c r="AG174">
        <v>4.8364140000000004</v>
      </c>
      <c r="AH174">
        <v>311.06471211344399</v>
      </c>
      <c r="AI174">
        <v>89.109400118622503</v>
      </c>
      <c r="AJ174">
        <v>88.915911598979903</v>
      </c>
      <c r="AK174">
        <v>311.15799027063599</v>
      </c>
      <c r="AL174">
        <v>87.691160345396696</v>
      </c>
      <c r="AM174">
        <v>89.592909906953906</v>
      </c>
      <c r="AN174">
        <v>1.0000000287369899</v>
      </c>
    </row>
    <row r="175" spans="1:40" x14ac:dyDescent="0.25">
      <c r="A175" t="str">
        <f>"20190312160306907"</f>
        <v>20190312160306907</v>
      </c>
      <c r="B175" t="str">
        <f>"1552377786894872"</f>
        <v>1552377786894872</v>
      </c>
      <c r="C175" t="s">
        <v>40</v>
      </c>
      <c r="D175">
        <v>4.5046400000000002</v>
      </c>
      <c r="E175">
        <v>0.5040346</v>
      </c>
      <c r="F175" t="s">
        <v>42</v>
      </c>
      <c r="G175">
        <v>-158.19499999999999</v>
      </c>
      <c r="H175">
        <v>5.7688920000000001</v>
      </c>
      <c r="I175">
        <v>366.44630000000001</v>
      </c>
      <c r="J175">
        <v>-469.32420000000002</v>
      </c>
      <c r="K175">
        <v>1.1094079999999999</v>
      </c>
      <c r="L175">
        <v>367.29880000000003</v>
      </c>
      <c r="M175">
        <v>0.99985869999999999</v>
      </c>
      <c r="N175">
        <v>0</v>
      </c>
      <c r="O175">
        <v>1.6231269999999999E-2</v>
      </c>
      <c r="P175">
        <v>0.99932779999999999</v>
      </c>
      <c r="Q175">
        <v>3.55754E-2</v>
      </c>
      <c r="R175">
        <v>8.8559209999999992E-3</v>
      </c>
      <c r="S175">
        <v>3.0005190000000002</v>
      </c>
      <c r="T175">
        <v>4.492736E-2</v>
      </c>
      <c r="U175">
        <v>-8.2092290000000002E-3</v>
      </c>
      <c r="V175">
        <v>7.3575969999999996E-3</v>
      </c>
      <c r="W175">
        <v>3.9921949999999998E-2</v>
      </c>
      <c r="X175">
        <v>0.9991757</v>
      </c>
      <c r="Y175">
        <v>1.8962989999999999E-2</v>
      </c>
      <c r="Z175">
        <v>3.8497580000000002E-4</v>
      </c>
      <c r="AA175">
        <v>0.99982009999999999</v>
      </c>
      <c r="AB175">
        <v>12</v>
      </c>
      <c r="AC175">
        <v>311.12920000000003</v>
      </c>
      <c r="AD175">
        <v>4.659484</v>
      </c>
      <c r="AE175">
        <v>-0.85250000000002002</v>
      </c>
      <c r="AF175">
        <v>5.9011345296827002</v>
      </c>
      <c r="AG175">
        <v>4.659484</v>
      </c>
      <c r="AH175">
        <v>311.00462292607699</v>
      </c>
      <c r="AI175">
        <v>89.141810951665704</v>
      </c>
      <c r="AJ175">
        <v>88.912975852241104</v>
      </c>
      <c r="AK175">
        <v>311.09549926232501</v>
      </c>
      <c r="AL175">
        <v>87.712032706785607</v>
      </c>
      <c r="AM175">
        <v>89.5781005920974</v>
      </c>
      <c r="AN175">
        <v>0.99999998789795297</v>
      </c>
    </row>
    <row r="176" spans="1:40" x14ac:dyDescent="0.25">
      <c r="A176" t="str">
        <f>"20190312160306920"</f>
        <v>20190312160306920</v>
      </c>
      <c r="B176" t="str">
        <f>"1552377786914392"</f>
        <v>1552377786914392</v>
      </c>
      <c r="C176" t="s">
        <v>40</v>
      </c>
      <c r="D176">
        <v>4.4996999999999998</v>
      </c>
      <c r="E176">
        <v>0.50438109999999903</v>
      </c>
      <c r="F176" t="s">
        <v>42</v>
      </c>
      <c r="G176">
        <v>-158.19499999999999</v>
      </c>
      <c r="H176">
        <v>5.5218590000000001</v>
      </c>
      <c r="I176">
        <v>366.35899999999998</v>
      </c>
      <c r="J176">
        <v>-469.25459999999998</v>
      </c>
      <c r="K176">
        <v>1.109413</v>
      </c>
      <c r="L176">
        <v>367.30009999999999</v>
      </c>
      <c r="M176">
        <v>0.99985650000000004</v>
      </c>
      <c r="N176">
        <v>0</v>
      </c>
      <c r="O176">
        <v>1.638351E-2</v>
      </c>
      <c r="P176">
        <v>0.99933430000000001</v>
      </c>
      <c r="Q176">
        <v>3.5348490000000003E-2</v>
      </c>
      <c r="R176">
        <v>9.0262750000000003E-3</v>
      </c>
      <c r="S176">
        <v>3.0005799999999998</v>
      </c>
      <c r="T176">
        <v>4.2555210000000003E-2</v>
      </c>
      <c r="U176">
        <v>-9.0637210000000003E-3</v>
      </c>
      <c r="V176">
        <v>7.3395319999999898E-3</v>
      </c>
      <c r="W176">
        <v>3.966894E-2</v>
      </c>
      <c r="X176">
        <v>0.99918589999999996</v>
      </c>
      <c r="Y176">
        <v>1.9400230000000001E-2</v>
      </c>
      <c r="Z176">
        <v>3.6990290000000001E-4</v>
      </c>
      <c r="AA176">
        <v>0.99981169999999997</v>
      </c>
      <c r="AB176">
        <v>12</v>
      </c>
      <c r="AC176">
        <v>311.05959999999999</v>
      </c>
      <c r="AD176">
        <v>4.4124460000000001</v>
      </c>
      <c r="AE176">
        <v>-0.94109999999994898</v>
      </c>
      <c r="AF176">
        <v>6.0360544804796703</v>
      </c>
      <c r="AG176">
        <v>4.4124460000000001</v>
      </c>
      <c r="AH176">
        <v>310.93986373267001</v>
      </c>
      <c r="AI176">
        <v>89.187142008532206</v>
      </c>
      <c r="AJ176">
        <v>88.887897452292094</v>
      </c>
      <c r="AK176">
        <v>311.029745348392</v>
      </c>
      <c r="AL176">
        <v>87.726540582456906</v>
      </c>
      <c r="AM176">
        <v>89.579140734370398</v>
      </c>
      <c r="AN176">
        <v>0.99999997814475605</v>
      </c>
    </row>
    <row r="177" spans="1:40" x14ac:dyDescent="0.25">
      <c r="A177" t="str">
        <f>"20190312160306937"</f>
        <v>20190312160306937</v>
      </c>
      <c r="B177" t="str">
        <f>"1552377786934887"</f>
        <v>1552377786934887</v>
      </c>
      <c r="C177" t="s">
        <v>40</v>
      </c>
      <c r="D177">
        <v>4.4821410000000004</v>
      </c>
      <c r="E177">
        <v>0.50450289999999998</v>
      </c>
      <c r="F177" t="s">
        <v>42</v>
      </c>
      <c r="G177">
        <v>-158.19499999999999</v>
      </c>
      <c r="H177">
        <v>5.5468789999999997</v>
      </c>
      <c r="I177">
        <v>366.13909999999998</v>
      </c>
      <c r="J177">
        <v>-469.15519999999998</v>
      </c>
      <c r="K177">
        <v>1.1094219999999999</v>
      </c>
      <c r="L177">
        <v>367.30200000000002</v>
      </c>
      <c r="M177">
        <v>0.99985299999999999</v>
      </c>
      <c r="N177">
        <v>0</v>
      </c>
      <c r="O177">
        <v>1.660126E-2</v>
      </c>
      <c r="P177">
        <v>0.9993455</v>
      </c>
      <c r="Q177">
        <v>3.4974400000000003E-2</v>
      </c>
      <c r="R177">
        <v>9.2294630000000003E-3</v>
      </c>
      <c r="S177">
        <v>3.0005799999999998</v>
      </c>
      <c r="T177">
        <v>4.2806030000000002E-2</v>
      </c>
      <c r="U177">
        <v>-1.119995E-2</v>
      </c>
      <c r="V177">
        <v>7.3543069999999896E-3</v>
      </c>
      <c r="W177">
        <v>3.9259179999999998E-2</v>
      </c>
      <c r="X177">
        <v>0.99920200000000003</v>
      </c>
      <c r="Y177">
        <v>2.03296E-2</v>
      </c>
      <c r="Z177">
        <v>3.8181750000000001E-4</v>
      </c>
      <c r="AA177">
        <v>0.99979320000000005</v>
      </c>
      <c r="AB177">
        <v>12</v>
      </c>
      <c r="AC177">
        <v>310.96019999999999</v>
      </c>
      <c r="AD177">
        <v>4.4374570000000002</v>
      </c>
      <c r="AE177">
        <v>-1.1628999999999701</v>
      </c>
      <c r="AF177">
        <v>6.3238305469341496</v>
      </c>
      <c r="AG177">
        <v>4.4374570000000002</v>
      </c>
      <c r="AH177">
        <v>310.83474301386502</v>
      </c>
      <c r="AI177">
        <v>89.182273849988803</v>
      </c>
      <c r="AJ177">
        <v>88.834497007585696</v>
      </c>
      <c r="AK177">
        <v>310.93073074546498</v>
      </c>
      <c r="AL177">
        <v>87.750036461000207</v>
      </c>
      <c r="AM177">
        <v>89.578300339948498</v>
      </c>
      <c r="AN177">
        <v>1.0000000029248599</v>
      </c>
    </row>
    <row r="178" spans="1:40" x14ac:dyDescent="0.25">
      <c r="A178" t="str">
        <f>"20190312160306961"</f>
        <v>20190312160306961</v>
      </c>
      <c r="B178" t="str">
        <f>"1552377786955384"</f>
        <v>1552377786955384</v>
      </c>
      <c r="C178" t="s">
        <v>40</v>
      </c>
      <c r="D178">
        <v>4.5121140000000004</v>
      </c>
      <c r="E178">
        <v>0.5047682</v>
      </c>
      <c r="F178" t="s">
        <v>42</v>
      </c>
      <c r="G178">
        <v>-158.19499999999999</v>
      </c>
      <c r="H178">
        <v>5.0694749999999997</v>
      </c>
      <c r="I178">
        <v>366.0718</v>
      </c>
      <c r="J178">
        <v>-469.02589999999998</v>
      </c>
      <c r="K178">
        <v>1.109423</v>
      </c>
      <c r="L178">
        <v>367.30450000000002</v>
      </c>
      <c r="M178">
        <v>0.99984839999999997</v>
      </c>
      <c r="N178">
        <v>0</v>
      </c>
      <c r="O178">
        <v>1.688489E-2</v>
      </c>
      <c r="P178">
        <v>0.99934420000000002</v>
      </c>
      <c r="Q178">
        <v>3.490538E-2</v>
      </c>
      <c r="R178">
        <v>9.6294789999999998E-3</v>
      </c>
      <c r="S178">
        <v>3.0007320000000002</v>
      </c>
      <c r="T178">
        <v>3.8214919999999999E-2</v>
      </c>
      <c r="U178">
        <v>-1.1871339999999999E-2</v>
      </c>
      <c r="V178">
        <v>7.2376219999999896E-3</v>
      </c>
      <c r="W178">
        <v>3.9145779999999998E-2</v>
      </c>
      <c r="X178">
        <v>0.99920730000000002</v>
      </c>
      <c r="Y178">
        <v>2.0837399999999999E-2</v>
      </c>
      <c r="Z178">
        <v>3.476973E-4</v>
      </c>
      <c r="AA178">
        <v>0.99978279999999997</v>
      </c>
      <c r="AB178">
        <v>12</v>
      </c>
      <c r="AC178">
        <v>310.83089999999999</v>
      </c>
      <c r="AD178">
        <v>3.9600520000000001</v>
      </c>
      <c r="AE178">
        <v>-1.2327000000000199</v>
      </c>
      <c r="AF178">
        <v>6.4798655073470099</v>
      </c>
      <c r="AG178">
        <v>3.9600520000000001</v>
      </c>
      <c r="AH178">
        <v>310.715340621981</v>
      </c>
      <c r="AI178">
        <v>89.269966311018607</v>
      </c>
      <c r="AJ178">
        <v>88.805288676992603</v>
      </c>
      <c r="AK178">
        <v>310.80812982718101</v>
      </c>
      <c r="AL178">
        <v>87.756538798329501</v>
      </c>
      <c r="AM178">
        <v>89.584993081811902</v>
      </c>
      <c r="AN178">
        <v>1.0000000018186499</v>
      </c>
    </row>
    <row r="179" spans="1:40" x14ac:dyDescent="0.25">
      <c r="A179" t="str">
        <f>"20190312160306973"</f>
        <v>20190312160306973</v>
      </c>
      <c r="B179" t="str">
        <f>"1552377786965144"</f>
        <v>1552377786965144</v>
      </c>
      <c r="C179" t="s">
        <v>40</v>
      </c>
      <c r="D179">
        <v>4.5001579999999999</v>
      </c>
      <c r="E179">
        <v>0.50497009999999998</v>
      </c>
      <c r="F179" t="s">
        <v>42</v>
      </c>
      <c r="G179">
        <v>-158.19499999999999</v>
      </c>
      <c r="H179">
        <v>5.1192349999999998</v>
      </c>
      <c r="I179">
        <v>365.97050000000002</v>
      </c>
      <c r="J179">
        <v>-468.95620000000002</v>
      </c>
      <c r="K179">
        <v>1.1094219999999999</v>
      </c>
      <c r="L179">
        <v>367.30590000000001</v>
      </c>
      <c r="M179">
        <v>0.99984600000000001</v>
      </c>
      <c r="N179">
        <v>0</v>
      </c>
      <c r="O179">
        <v>1.703752E-2</v>
      </c>
      <c r="P179">
        <v>0.99934480000000003</v>
      </c>
      <c r="Q179">
        <v>3.4827289999999997E-2</v>
      </c>
      <c r="R179">
        <v>9.8523059999999999E-3</v>
      </c>
      <c r="S179">
        <v>3.0007320000000002</v>
      </c>
      <c r="T179">
        <v>3.8711189999999999E-2</v>
      </c>
      <c r="U179">
        <v>-1.287842E-2</v>
      </c>
      <c r="V179">
        <v>7.1676619999999896E-3</v>
      </c>
      <c r="W179">
        <v>3.9044769999999999E-2</v>
      </c>
      <c r="X179">
        <v>0.99921170000000004</v>
      </c>
      <c r="Y179">
        <v>2.1325420000000001E-2</v>
      </c>
      <c r="Z179">
        <v>3.5732850000000003E-4</v>
      </c>
      <c r="AA179">
        <v>0.99977249999999995</v>
      </c>
      <c r="AB179">
        <v>13</v>
      </c>
      <c r="AC179">
        <v>310.76119999999997</v>
      </c>
      <c r="AD179">
        <v>4.0098129999999896</v>
      </c>
      <c r="AE179">
        <v>-1.3353999999999899</v>
      </c>
      <c r="AF179">
        <v>6.6287495637508798</v>
      </c>
      <c r="AG179">
        <v>4.0098129999999896</v>
      </c>
      <c r="AH179">
        <v>310.641621850967</v>
      </c>
      <c r="AI179">
        <v>89.260626052642493</v>
      </c>
      <c r="AJ179">
        <v>88.777556787445405</v>
      </c>
      <c r="AK179">
        <v>310.73821159824098</v>
      </c>
      <c r="AL179">
        <v>87.762330546727</v>
      </c>
      <c r="AM179">
        <v>89.589006275846302</v>
      </c>
      <c r="AN179">
        <v>0.99999994542989301</v>
      </c>
    </row>
    <row r="180" spans="1:40" x14ac:dyDescent="0.25">
      <c r="A180" t="str">
        <f>"20190312160306986"</f>
        <v>20190312160306986</v>
      </c>
      <c r="B180" t="str">
        <f>"1552377786974904"</f>
        <v>1552377786974904</v>
      </c>
      <c r="C180" t="s">
        <v>40</v>
      </c>
      <c r="D180">
        <v>4.4983649999999997</v>
      </c>
      <c r="E180">
        <v>0.5052084</v>
      </c>
      <c r="F180" t="s">
        <v>42</v>
      </c>
      <c r="G180">
        <v>-158.19499999999999</v>
      </c>
      <c r="H180">
        <v>5.198372</v>
      </c>
      <c r="I180">
        <v>365.87740000000002</v>
      </c>
      <c r="J180">
        <v>-468.87869999999998</v>
      </c>
      <c r="K180">
        <v>1.109418</v>
      </c>
      <c r="L180">
        <v>367.3073</v>
      </c>
      <c r="M180">
        <v>0.99984320000000004</v>
      </c>
      <c r="N180">
        <v>0</v>
      </c>
      <c r="O180">
        <v>1.720702E-2</v>
      </c>
      <c r="P180">
        <v>0.99934579999999995</v>
      </c>
      <c r="Q180">
        <v>3.4704409999999998E-2</v>
      </c>
      <c r="R180">
        <v>1.0200590000000001E-2</v>
      </c>
      <c r="S180">
        <v>3.0007320000000002</v>
      </c>
      <c r="T180">
        <v>3.9484020000000002E-2</v>
      </c>
      <c r="U180">
        <v>-1.3793949999999999E-2</v>
      </c>
      <c r="V180">
        <v>6.9888290000000002E-3</v>
      </c>
      <c r="W180">
        <v>3.8897540000000001E-2</v>
      </c>
      <c r="X180">
        <v>0.99921879999999996</v>
      </c>
      <c r="Y180">
        <v>2.179975E-2</v>
      </c>
      <c r="Z180">
        <v>3.698121E-4</v>
      </c>
      <c r="AA180">
        <v>0.99976229999999999</v>
      </c>
      <c r="AB180">
        <v>13</v>
      </c>
      <c r="AC180">
        <v>310.68369999999999</v>
      </c>
      <c r="AD180">
        <v>4.0889540000000002</v>
      </c>
      <c r="AE180">
        <v>-1.42989999999997</v>
      </c>
      <c r="AF180">
        <v>6.7745022719324002</v>
      </c>
      <c r="AG180">
        <v>4.0889540000000002</v>
      </c>
      <c r="AH180">
        <v>310.559304763385</v>
      </c>
      <c r="AI180">
        <v>89.245842723462999</v>
      </c>
      <c r="AJ180">
        <v>88.750355137962998</v>
      </c>
      <c r="AK180">
        <v>310.660095926341</v>
      </c>
      <c r="AL180">
        <v>87.770772820648304</v>
      </c>
      <c r="AM180">
        <v>89.599263068381703</v>
      </c>
      <c r="AN180">
        <v>1.0000000363111401</v>
      </c>
    </row>
    <row r="181" spans="1:40" x14ac:dyDescent="0.25">
      <c r="A181" t="str">
        <f>"20190312160307007"</f>
        <v>20190312160307007</v>
      </c>
      <c r="B181" t="str">
        <f>"1552377786994423"</f>
        <v>1552377786994423</v>
      </c>
      <c r="C181" t="s">
        <v>40</v>
      </c>
      <c r="D181">
        <v>4.5364129999999996</v>
      </c>
      <c r="E181">
        <v>0.505579</v>
      </c>
      <c r="F181" t="s">
        <v>42</v>
      </c>
      <c r="G181">
        <v>-158.19499999999999</v>
      </c>
      <c r="H181">
        <v>5.1625009999999998</v>
      </c>
      <c r="I181">
        <v>365.7876</v>
      </c>
      <c r="J181">
        <v>-468.76549999999997</v>
      </c>
      <c r="K181">
        <v>1.10937</v>
      </c>
      <c r="L181">
        <v>367.30950000000001</v>
      </c>
      <c r="M181">
        <v>0.99983449999999996</v>
      </c>
      <c r="N181">
        <v>0</v>
      </c>
      <c r="O181">
        <v>1.7737200000000002E-2</v>
      </c>
      <c r="P181">
        <v>0.99936539999999996</v>
      </c>
      <c r="Q181">
        <v>3.4029799999999999E-2</v>
      </c>
      <c r="R181">
        <v>1.0537589999999999E-2</v>
      </c>
      <c r="S181">
        <v>3.0007630000000001</v>
      </c>
      <c r="T181">
        <v>3.9147849999999998E-2</v>
      </c>
      <c r="U181">
        <v>-1.467896E-2</v>
      </c>
      <c r="V181">
        <v>7.1835099999999997E-3</v>
      </c>
      <c r="W181">
        <v>3.8070359999999998E-2</v>
      </c>
      <c r="X181">
        <v>0.99924919999999995</v>
      </c>
      <c r="Y181">
        <v>2.2624620000000002E-2</v>
      </c>
      <c r="Z181">
        <v>3.7895589999999997E-4</v>
      </c>
      <c r="AA181">
        <v>0.99974390000000002</v>
      </c>
      <c r="AB181">
        <v>13</v>
      </c>
      <c r="AC181">
        <v>310.57049999999998</v>
      </c>
      <c r="AD181">
        <v>4.0531309999999996</v>
      </c>
      <c r="AE181">
        <v>-1.52190000000001</v>
      </c>
      <c r="AF181">
        <v>7.0291595574201402</v>
      </c>
      <c r="AG181">
        <v>4.0531309999999996</v>
      </c>
      <c r="AH181">
        <v>310.44177427620002</v>
      </c>
      <c r="AI181">
        <v>89.252179862866896</v>
      </c>
      <c r="AJ181">
        <v>88.702905327523695</v>
      </c>
      <c r="AK181">
        <v>310.547793698075</v>
      </c>
      <c r="AL181">
        <v>87.818201709897494</v>
      </c>
      <c r="AM181">
        <v>89.588113040248501</v>
      </c>
      <c r="AN181">
        <v>0.99999995941354403</v>
      </c>
    </row>
    <row r="182" spans="1:40" x14ac:dyDescent="0.25">
      <c r="A182" t="str">
        <f>"20190312160307020"</f>
        <v>20190312160307020</v>
      </c>
      <c r="B182" t="str">
        <f>"1552377787014508"</f>
        <v>1552377787014508</v>
      </c>
      <c r="C182" t="s">
        <v>40</v>
      </c>
      <c r="D182">
        <v>4.5945470000000004</v>
      </c>
      <c r="E182">
        <v>0.50593789999999905</v>
      </c>
      <c r="F182" t="s">
        <v>42</v>
      </c>
      <c r="G182">
        <v>-158.19499999999999</v>
      </c>
      <c r="H182">
        <v>5.1580409999999999</v>
      </c>
      <c r="I182">
        <v>365.60079999999999</v>
      </c>
      <c r="J182">
        <v>-468.68340000000001</v>
      </c>
      <c r="K182">
        <v>1.1093789999999999</v>
      </c>
      <c r="L182">
        <v>367.31110000000001</v>
      </c>
      <c r="M182">
        <v>0.99983040000000001</v>
      </c>
      <c r="N182">
        <v>0</v>
      </c>
      <c r="O182">
        <v>1.7987260000000001E-2</v>
      </c>
      <c r="P182">
        <v>0.99936539999999996</v>
      </c>
      <c r="Q182">
        <v>3.3899579999999999E-2</v>
      </c>
      <c r="R182">
        <v>1.0942489999999999E-2</v>
      </c>
      <c r="S182">
        <v>3.0007630000000001</v>
      </c>
      <c r="T182">
        <v>3.9119479999999998E-2</v>
      </c>
      <c r="U182">
        <v>-1.6510009999999999E-2</v>
      </c>
      <c r="V182">
        <v>7.0247390000000003E-3</v>
      </c>
      <c r="W182">
        <v>3.7884059999999997E-2</v>
      </c>
      <c r="X182">
        <v>0.99925739999999996</v>
      </c>
      <c r="Y182">
        <v>2.3484580000000001E-2</v>
      </c>
      <c r="Z182">
        <v>3.875455E-4</v>
      </c>
      <c r="AA182">
        <v>0.9997241</v>
      </c>
      <c r="AB182">
        <v>13</v>
      </c>
      <c r="AC182">
        <v>310.48840000000001</v>
      </c>
      <c r="AD182">
        <v>4.0486620000000002</v>
      </c>
      <c r="AE182">
        <v>-1.7103000000000099</v>
      </c>
      <c r="AF182">
        <v>7.2936623967401903</v>
      </c>
      <c r="AG182">
        <v>4.0486620000000002</v>
      </c>
      <c r="AH182">
        <v>310.35463454041798</v>
      </c>
      <c r="AI182">
        <v>89.252809397707296</v>
      </c>
      <c r="AJ182">
        <v>88.6537363490703</v>
      </c>
      <c r="AK182">
        <v>310.46672664854799</v>
      </c>
      <c r="AL182">
        <v>87.828883599943595</v>
      </c>
      <c r="AM182">
        <v>89.597219628580106</v>
      </c>
      <c r="AN182">
        <v>0.99999995020742904</v>
      </c>
    </row>
    <row r="183" spans="1:40" x14ac:dyDescent="0.25">
      <c r="A183" t="str">
        <f>"20190312160307038"</f>
        <v>20190312160307038</v>
      </c>
      <c r="B183" t="str">
        <f>"1552377787035003"</f>
        <v>1552377787035003</v>
      </c>
      <c r="C183" t="s">
        <v>40</v>
      </c>
      <c r="D183">
        <v>4.625699</v>
      </c>
      <c r="E183">
        <v>0.5060327</v>
      </c>
      <c r="F183" t="s">
        <v>42</v>
      </c>
      <c r="G183">
        <v>-158.19499999999999</v>
      </c>
      <c r="H183">
        <v>5.795318</v>
      </c>
      <c r="I183">
        <v>365.46690000000001</v>
      </c>
      <c r="J183">
        <v>-468.57600000000002</v>
      </c>
      <c r="K183">
        <v>1.109437</v>
      </c>
      <c r="L183">
        <v>367.31319999999999</v>
      </c>
      <c r="M183">
        <v>0.99982769999999999</v>
      </c>
      <c r="N183">
        <v>0</v>
      </c>
      <c r="O183">
        <v>1.8131540000000002E-2</v>
      </c>
      <c r="P183">
        <v>0.99937580000000004</v>
      </c>
      <c r="Q183">
        <v>3.3567439999999997E-2</v>
      </c>
      <c r="R183">
        <v>1.1014299999999999E-2</v>
      </c>
      <c r="S183">
        <v>3.0005489999999999</v>
      </c>
      <c r="T183">
        <v>4.5285579999999999E-2</v>
      </c>
      <c r="U183">
        <v>-1.7822270000000001E-2</v>
      </c>
      <c r="V183">
        <v>7.0882740000000003E-3</v>
      </c>
      <c r="W183">
        <v>3.7544790000000001E-2</v>
      </c>
      <c r="X183">
        <v>0.99926979999999999</v>
      </c>
      <c r="Y183">
        <v>2.406515E-2</v>
      </c>
      <c r="Z183">
        <v>4.552146E-4</v>
      </c>
      <c r="AA183">
        <v>0.99971030000000005</v>
      </c>
      <c r="AB183">
        <v>13</v>
      </c>
      <c r="AC183">
        <v>310.38099999999997</v>
      </c>
      <c r="AD183">
        <v>4.6858810000000002</v>
      </c>
      <c r="AE183">
        <v>-1.8462999999999801</v>
      </c>
      <c r="AF183">
        <v>7.4720235057406104</v>
      </c>
      <c r="AG183">
        <v>4.6858810000000002</v>
      </c>
      <c r="AH183">
        <v>310.22579340993099</v>
      </c>
      <c r="AI183">
        <v>89.134878626268005</v>
      </c>
      <c r="AJ183">
        <v>88.620254464465006</v>
      </c>
      <c r="AK183">
        <v>310.351142277321</v>
      </c>
      <c r="AL183">
        <v>87.848336273857697</v>
      </c>
      <c r="AM183">
        <v>89.593581860765497</v>
      </c>
      <c r="AN183">
        <v>0.99999999403824102</v>
      </c>
    </row>
    <row r="184" spans="1:40" x14ac:dyDescent="0.25">
      <c r="A184" t="str">
        <f>"20190312160307051"</f>
        <v>20190312160307051</v>
      </c>
      <c r="B184" t="str">
        <f>"1552377787044763"</f>
        <v>1552377787044763</v>
      </c>
      <c r="C184" t="s">
        <v>40</v>
      </c>
      <c r="D184">
        <v>4.5970579999999996</v>
      </c>
      <c r="E184">
        <v>0.50611589999999995</v>
      </c>
      <c r="F184" t="s">
        <v>42</v>
      </c>
      <c r="G184">
        <v>-158.19499999999999</v>
      </c>
      <c r="H184">
        <v>5.7770390000000003</v>
      </c>
      <c r="I184">
        <v>365.40969999999999</v>
      </c>
      <c r="J184">
        <v>-468.49869999999999</v>
      </c>
      <c r="K184">
        <v>1.109488</v>
      </c>
      <c r="L184">
        <v>367.31479999999999</v>
      </c>
      <c r="M184">
        <v>0.99982769999999999</v>
      </c>
      <c r="N184">
        <v>0</v>
      </c>
      <c r="O184">
        <v>1.8134859999999999E-2</v>
      </c>
      <c r="P184">
        <v>0.99937889999999996</v>
      </c>
      <c r="Q184">
        <v>3.341036E-2</v>
      </c>
      <c r="R184">
        <v>1.123264E-2</v>
      </c>
      <c r="S184">
        <v>3.00061</v>
      </c>
      <c r="T184">
        <v>4.5124890000000001E-2</v>
      </c>
      <c r="U184">
        <v>-1.8402100000000001E-2</v>
      </c>
      <c r="V184">
        <v>6.8662929999999999E-3</v>
      </c>
      <c r="W184">
        <v>3.7408030000000002E-2</v>
      </c>
      <c r="X184">
        <v>0.99927650000000001</v>
      </c>
      <c r="Y184">
        <v>2.426153E-2</v>
      </c>
      <c r="Z184">
        <v>4.5511649999999999E-4</v>
      </c>
      <c r="AA184">
        <v>0.99970559999999997</v>
      </c>
      <c r="AB184">
        <v>13</v>
      </c>
      <c r="AC184">
        <v>310.30369999999999</v>
      </c>
      <c r="AD184">
        <v>4.6675509999999996</v>
      </c>
      <c r="AE184">
        <v>-1.9051</v>
      </c>
      <c r="AF184">
        <v>7.53044126564218</v>
      </c>
      <c r="AG184">
        <v>4.6675509999999996</v>
      </c>
      <c r="AH184">
        <v>310.14794987578802</v>
      </c>
      <c r="AI184">
        <v>89.138050050057998</v>
      </c>
      <c r="AJ184">
        <v>88.609122689960003</v>
      </c>
      <c r="AK184">
        <v>310.27446622329001</v>
      </c>
      <c r="AL184">
        <v>87.856177598226395</v>
      </c>
      <c r="AM184">
        <v>89.606311748090505</v>
      </c>
      <c r="AN184">
        <v>1.00000001507014</v>
      </c>
    </row>
    <row r="185" spans="1:40" x14ac:dyDescent="0.25">
      <c r="A185" t="str">
        <f>"20190312160307063"</f>
        <v>20190312160307063</v>
      </c>
      <c r="B185" t="str">
        <f>"1552377787054522"</f>
        <v>1552377787054522</v>
      </c>
      <c r="C185" t="s">
        <v>40</v>
      </c>
      <c r="D185">
        <v>4.5862759999999998</v>
      </c>
      <c r="E185">
        <v>0.50603480000000001</v>
      </c>
      <c r="F185" t="s">
        <v>42</v>
      </c>
      <c r="G185">
        <v>-158.19499999999999</v>
      </c>
      <c r="H185">
        <v>5.4077729999999997</v>
      </c>
      <c r="I185">
        <v>365.41180000000003</v>
      </c>
      <c r="J185">
        <v>-468.4271</v>
      </c>
      <c r="K185">
        <v>1.1095139999999999</v>
      </c>
      <c r="L185">
        <v>367.31619999999998</v>
      </c>
      <c r="M185">
        <v>0.99982839999999995</v>
      </c>
      <c r="N185">
        <v>0</v>
      </c>
      <c r="O185">
        <v>1.809057E-2</v>
      </c>
      <c r="P185">
        <v>0.99937069999999995</v>
      </c>
      <c r="Q185">
        <v>3.3560729999999997E-2</v>
      </c>
      <c r="R185">
        <v>1.148681E-2</v>
      </c>
      <c r="S185">
        <v>3.0006409999999999</v>
      </c>
      <c r="T185">
        <v>4.1565299999999999E-2</v>
      </c>
      <c r="U185">
        <v>-1.8402100000000001E-2</v>
      </c>
      <c r="V185">
        <v>6.5631359999999998E-3</v>
      </c>
      <c r="W185">
        <v>3.757481E-2</v>
      </c>
      <c r="X185">
        <v>0.9992723</v>
      </c>
      <c r="Y185">
        <v>2.4217929999999999E-2</v>
      </c>
      <c r="Z185">
        <v>4.1829950000000002E-4</v>
      </c>
      <c r="AA185">
        <v>0.9997066</v>
      </c>
      <c r="AB185">
        <v>13</v>
      </c>
      <c r="AC185">
        <v>310.2321</v>
      </c>
      <c r="AD185">
        <v>4.2982589999999998</v>
      </c>
      <c r="AE185">
        <v>-1.9043999999999499</v>
      </c>
      <c r="AF185">
        <v>7.5149659671376297</v>
      </c>
      <c r="AG185">
        <v>4.2982589999999998</v>
      </c>
      <c r="AH185">
        <v>310.087356194542</v>
      </c>
      <c r="AI185">
        <v>89.206081616740207</v>
      </c>
      <c r="AJ185">
        <v>88.611708743457996</v>
      </c>
      <c r="AK185">
        <v>310.20818528149698</v>
      </c>
      <c r="AL185">
        <v>87.846615128958405</v>
      </c>
      <c r="AM185">
        <v>89.623691574191596</v>
      </c>
      <c r="AN185">
        <v>1.00000003532398</v>
      </c>
    </row>
    <row r="186" spans="1:40" x14ac:dyDescent="0.25">
      <c r="A186" t="str">
        <f>"20190312160307075"</f>
        <v>20190312160307075</v>
      </c>
      <c r="B186" t="str">
        <f>"1552377787065260"</f>
        <v>1552377787065260</v>
      </c>
      <c r="C186" t="s">
        <v>40</v>
      </c>
      <c r="D186">
        <v>4.6403650000000001</v>
      </c>
      <c r="E186">
        <v>0.5060019</v>
      </c>
      <c r="F186" t="s">
        <v>42</v>
      </c>
      <c r="G186">
        <v>-158.19499999999999</v>
      </c>
      <c r="H186">
        <v>5.4960570000000004</v>
      </c>
      <c r="I186">
        <v>365.54930000000002</v>
      </c>
      <c r="J186">
        <v>-468.36040000000003</v>
      </c>
      <c r="K186">
        <v>1.1094980000000001</v>
      </c>
      <c r="L186">
        <v>367.31760000000003</v>
      </c>
      <c r="M186">
        <v>0.99982839999999995</v>
      </c>
      <c r="N186">
        <v>0</v>
      </c>
      <c r="O186">
        <v>1.809769E-2</v>
      </c>
      <c r="P186">
        <v>0.99936809999999998</v>
      </c>
      <c r="Q186">
        <v>3.3586749999999999E-2</v>
      </c>
      <c r="R186">
        <v>1.164223E-2</v>
      </c>
      <c r="S186">
        <v>3.0006710000000001</v>
      </c>
      <c r="T186">
        <v>4.2428970000000003E-2</v>
      </c>
      <c r="U186">
        <v>-1.7089839999999999E-2</v>
      </c>
      <c r="V186">
        <v>6.413289E-3</v>
      </c>
      <c r="W186">
        <v>3.758529E-2</v>
      </c>
      <c r="X186">
        <v>0.99927279999999996</v>
      </c>
      <c r="Y186">
        <v>2.378767E-2</v>
      </c>
      <c r="Z186">
        <v>4.2404520000000002E-4</v>
      </c>
      <c r="AA186">
        <v>0.99971690000000002</v>
      </c>
      <c r="AB186">
        <v>13</v>
      </c>
      <c r="AC186">
        <v>310.16539999999998</v>
      </c>
      <c r="AD186">
        <v>4.3865589999999903</v>
      </c>
      <c r="AE186">
        <v>-1.76830000000001</v>
      </c>
      <c r="AF186">
        <v>7.3798555259160201</v>
      </c>
      <c r="AG186">
        <v>4.3865589999999903</v>
      </c>
      <c r="AH186">
        <v>310.02059240841203</v>
      </c>
      <c r="AI186">
        <v>89.189591306979196</v>
      </c>
      <c r="AJ186">
        <v>88.636365627995303</v>
      </c>
      <c r="AK186">
        <v>310.13943942153901</v>
      </c>
      <c r="AL186">
        <v>87.8460140750215</v>
      </c>
      <c r="AM186">
        <v>89.632283248924793</v>
      </c>
      <c r="AN186">
        <v>0.99999995656000895</v>
      </c>
    </row>
    <row r="187" spans="1:40" x14ac:dyDescent="0.25">
      <c r="A187" t="str">
        <f>"20190312160307086"</f>
        <v>20190312160307086</v>
      </c>
      <c r="B187" t="str">
        <f>"1552377787075020"</f>
        <v>1552377787075020</v>
      </c>
      <c r="C187" t="s">
        <v>40</v>
      </c>
      <c r="D187">
        <v>4.6128559999999998</v>
      </c>
      <c r="E187">
        <v>0.50596730000000001</v>
      </c>
      <c r="F187" t="s">
        <v>42</v>
      </c>
      <c r="G187">
        <v>-158.19499999999999</v>
      </c>
      <c r="H187">
        <v>5.5622930000000004</v>
      </c>
      <c r="I187">
        <v>365.64569999999998</v>
      </c>
      <c r="J187">
        <v>-468.28820000000002</v>
      </c>
      <c r="K187">
        <v>1.109472</v>
      </c>
      <c r="L187">
        <v>367.31920000000002</v>
      </c>
      <c r="M187">
        <v>0.99982789999999999</v>
      </c>
      <c r="N187">
        <v>0</v>
      </c>
      <c r="O187">
        <v>1.812851E-2</v>
      </c>
      <c r="P187">
        <v>0.99936659999999999</v>
      </c>
      <c r="Q187">
        <v>3.3606560000000001E-2</v>
      </c>
      <c r="R187">
        <v>1.170944E-2</v>
      </c>
      <c r="S187">
        <v>3.00061</v>
      </c>
      <c r="T187">
        <v>4.3078180000000001E-2</v>
      </c>
      <c r="U187">
        <v>-1.6174319999999999E-2</v>
      </c>
      <c r="V187">
        <v>6.3766509999999997E-3</v>
      </c>
      <c r="W187">
        <v>3.757481E-2</v>
      </c>
      <c r="X187">
        <v>0.99927350000000004</v>
      </c>
      <c r="Y187">
        <v>2.351348E-2</v>
      </c>
      <c r="Z187">
        <v>4.29016E-4</v>
      </c>
      <c r="AA187">
        <v>0.99972340000000004</v>
      </c>
      <c r="AB187">
        <v>13</v>
      </c>
      <c r="AC187">
        <v>310.09320000000002</v>
      </c>
      <c r="AD187">
        <v>4.4528210000000001</v>
      </c>
      <c r="AE187">
        <v>-1.67350000000004</v>
      </c>
      <c r="AF187">
        <v>7.2932924791440401</v>
      </c>
      <c r="AG187">
        <v>4.4528210000000001</v>
      </c>
      <c r="AH187">
        <v>309.94799274256599</v>
      </c>
      <c r="AI187">
        <v>89.1771532037789</v>
      </c>
      <c r="AJ187">
        <v>88.652039089445395</v>
      </c>
      <c r="AK187">
        <v>310.06576388758299</v>
      </c>
      <c r="AL187">
        <v>87.846615112992893</v>
      </c>
      <c r="AM187">
        <v>89.634384149423596</v>
      </c>
      <c r="AN187">
        <v>1.0000000279133801</v>
      </c>
    </row>
    <row r="188" spans="1:40" x14ac:dyDescent="0.25">
      <c r="A188" t="str">
        <f>"20190312160307106"</f>
        <v>20190312160307106</v>
      </c>
      <c r="B188" t="str">
        <f>"1552377787094539"</f>
        <v>1552377787094539</v>
      </c>
      <c r="C188" t="s">
        <v>40</v>
      </c>
      <c r="D188">
        <v>4.6723499999999998</v>
      </c>
      <c r="E188">
        <v>0.50591319999999995</v>
      </c>
      <c r="F188" t="s">
        <v>42</v>
      </c>
      <c r="G188">
        <v>-158.19499999999999</v>
      </c>
      <c r="H188">
        <v>5.5672600000000001</v>
      </c>
      <c r="I188">
        <v>365.69819999999999</v>
      </c>
      <c r="J188">
        <v>-468.17599999999999</v>
      </c>
      <c r="K188">
        <v>1.10938</v>
      </c>
      <c r="L188">
        <v>367.32150000000001</v>
      </c>
      <c r="M188">
        <v>0.99982360000000003</v>
      </c>
      <c r="N188">
        <v>0</v>
      </c>
      <c r="O188">
        <v>1.8384540000000001E-2</v>
      </c>
      <c r="P188">
        <v>0.99934829999999997</v>
      </c>
      <c r="Q188">
        <v>3.398901E-2</v>
      </c>
      <c r="R188">
        <v>1.215743E-2</v>
      </c>
      <c r="S188">
        <v>3.0006409999999999</v>
      </c>
      <c r="T188">
        <v>4.313695E-2</v>
      </c>
      <c r="U188">
        <v>-1.5686039999999998E-2</v>
      </c>
      <c r="V188">
        <v>6.1883299999999997E-3</v>
      </c>
      <c r="W188">
        <v>3.7864519999999999E-2</v>
      </c>
      <c r="X188">
        <v>0.99926369999999998</v>
      </c>
      <c r="Y188">
        <v>2.3606700000000001E-2</v>
      </c>
      <c r="Z188">
        <v>4.339473E-4</v>
      </c>
      <c r="AA188">
        <v>0.99972119999999998</v>
      </c>
      <c r="AB188">
        <v>13</v>
      </c>
      <c r="AC188">
        <v>309.98099999999999</v>
      </c>
      <c r="AD188">
        <v>4.4578800000000003</v>
      </c>
      <c r="AE188">
        <v>-1.6233000000000199</v>
      </c>
      <c r="AF188">
        <v>7.3204118985871602</v>
      </c>
      <c r="AG188">
        <v>4.4578800000000003</v>
      </c>
      <c r="AH188">
        <v>309.83468813488599</v>
      </c>
      <c r="AI188">
        <v>89.175919125006303</v>
      </c>
      <c r="AJ188">
        <v>88.646534094543398</v>
      </c>
      <c r="AK188">
        <v>309.953214366461</v>
      </c>
      <c r="AL188">
        <v>87.830004027452304</v>
      </c>
      <c r="AM188">
        <v>89.645178086033994</v>
      </c>
      <c r="AN188">
        <v>0.99999997972035404</v>
      </c>
    </row>
    <row r="189" spans="1:40" x14ac:dyDescent="0.25">
      <c r="A189" t="str">
        <f>"20190312160307118"</f>
        <v>20190312160307118</v>
      </c>
      <c r="B189" t="str">
        <f>"1552377787115037"</f>
        <v>1552377787115037</v>
      </c>
      <c r="C189" t="s">
        <v>40</v>
      </c>
      <c r="D189">
        <v>4.7014709999999997</v>
      </c>
      <c r="E189">
        <v>0.50589259999999903</v>
      </c>
      <c r="F189" t="s">
        <v>42</v>
      </c>
      <c r="G189">
        <v>-158.19499999999999</v>
      </c>
      <c r="H189">
        <v>5.5020540000000002</v>
      </c>
      <c r="I189">
        <v>365.8682</v>
      </c>
      <c r="J189">
        <v>-468.09649999999999</v>
      </c>
      <c r="K189">
        <v>1.1093200000000001</v>
      </c>
      <c r="L189">
        <v>367.32319999999999</v>
      </c>
      <c r="M189">
        <v>0.99981880000000001</v>
      </c>
      <c r="N189">
        <v>0</v>
      </c>
      <c r="O189">
        <v>1.8653360000000001E-2</v>
      </c>
      <c r="P189">
        <v>0.99933919999999998</v>
      </c>
      <c r="Q189">
        <v>3.4114680000000001E-2</v>
      </c>
      <c r="R189">
        <v>1.256261E-2</v>
      </c>
      <c r="S189">
        <v>3.00061</v>
      </c>
      <c r="T189">
        <v>4.2521829999999997E-2</v>
      </c>
      <c r="U189">
        <v>-1.4068600000000001E-2</v>
      </c>
      <c r="V189">
        <v>6.0551119999999996E-3</v>
      </c>
      <c r="W189">
        <v>3.7933130000000002E-2</v>
      </c>
      <c r="X189">
        <v>0.99926190000000004</v>
      </c>
      <c r="Y189">
        <v>2.333679E-2</v>
      </c>
      <c r="Z189">
        <v>4.296608E-4</v>
      </c>
      <c r="AA189">
        <v>0.99972749999999999</v>
      </c>
      <c r="AB189">
        <v>13</v>
      </c>
      <c r="AC189">
        <v>309.9015</v>
      </c>
      <c r="AD189">
        <v>4.3927339999999999</v>
      </c>
      <c r="AE189">
        <v>-1.4549999999999801</v>
      </c>
      <c r="AF189">
        <v>7.2340393349454901</v>
      </c>
      <c r="AG189">
        <v>4.3927339999999999</v>
      </c>
      <c r="AH189">
        <v>309.75820377464498</v>
      </c>
      <c r="AI189">
        <v>89.187754664447198</v>
      </c>
      <c r="AJ189">
        <v>88.662167491592299</v>
      </c>
      <c r="AK189">
        <v>309.87380051044801</v>
      </c>
      <c r="AL189">
        <v>87.826070107401605</v>
      </c>
      <c r="AM189">
        <v>89.652815627328096</v>
      </c>
      <c r="AN189">
        <v>0.99999996576226902</v>
      </c>
    </row>
    <row r="190" spans="1:40" x14ac:dyDescent="0.25">
      <c r="A190" t="str">
        <f>"20190312160307130"</f>
        <v>20190312160307130</v>
      </c>
      <c r="B190" t="str">
        <f>"1552377787124795"</f>
        <v>1552377787124795</v>
      </c>
      <c r="C190" t="s">
        <v>40</v>
      </c>
      <c r="D190">
        <v>4.7046330000000003</v>
      </c>
      <c r="E190">
        <v>0.50591220000000003</v>
      </c>
      <c r="F190" t="s">
        <v>42</v>
      </c>
      <c r="G190">
        <v>-158.19499999999999</v>
      </c>
      <c r="H190">
        <v>5.738022</v>
      </c>
      <c r="I190">
        <v>366.01830000000001</v>
      </c>
      <c r="J190">
        <v>-468.02</v>
      </c>
      <c r="K190">
        <v>1.109272</v>
      </c>
      <c r="L190">
        <v>367.32470000000001</v>
      </c>
      <c r="M190">
        <v>0.99981390000000003</v>
      </c>
      <c r="N190">
        <v>0</v>
      </c>
      <c r="O190">
        <v>1.8925870000000001E-2</v>
      </c>
      <c r="P190">
        <v>0.99934100000000003</v>
      </c>
      <c r="Q190">
        <v>3.3974320000000002E-2</v>
      </c>
      <c r="R190">
        <v>1.278957E-2</v>
      </c>
      <c r="S190">
        <v>3.0006409999999999</v>
      </c>
      <c r="T190">
        <v>4.4818520000000001E-2</v>
      </c>
      <c r="U190">
        <v>-1.2634279999999999E-2</v>
      </c>
      <c r="V190">
        <v>6.1040479999999999E-3</v>
      </c>
      <c r="W190">
        <v>3.7748249999999997E-2</v>
      </c>
      <c r="X190">
        <v>0.99926870000000001</v>
      </c>
      <c r="Y190">
        <v>2.3130879999999999E-2</v>
      </c>
      <c r="Z190">
        <v>4.553925E-4</v>
      </c>
      <c r="AA190">
        <v>0.99973230000000002</v>
      </c>
      <c r="AB190">
        <v>14</v>
      </c>
      <c r="AC190">
        <v>309.82499999999999</v>
      </c>
      <c r="AD190">
        <v>4.6287500000000001</v>
      </c>
      <c r="AE190">
        <v>-1.30639999999999</v>
      </c>
      <c r="AF190">
        <v>7.1683147174951598</v>
      </c>
      <c r="AG190">
        <v>4.6287500000000001</v>
      </c>
      <c r="AH190">
        <v>309.67566300701202</v>
      </c>
      <c r="AI190">
        <v>89.143887894271302</v>
      </c>
      <c r="AJ190">
        <v>88.673964745397996</v>
      </c>
      <c r="AK190">
        <v>309.79319928184998</v>
      </c>
      <c r="AL190">
        <v>87.836670752612307</v>
      </c>
      <c r="AM190">
        <v>89.650012215504205</v>
      </c>
      <c r="AN190">
        <v>1.0000000622898599</v>
      </c>
    </row>
    <row r="191" spans="1:40" x14ac:dyDescent="0.25">
      <c r="A191" t="str">
        <f>"20190312160307151"</f>
        <v>20190312160307151</v>
      </c>
      <c r="B191" t="str">
        <f>"1552377787145291"</f>
        <v>1552377787145291</v>
      </c>
      <c r="C191" t="s">
        <v>40</v>
      </c>
      <c r="D191">
        <v>4.716361</v>
      </c>
      <c r="E191">
        <v>0.50583210000000001</v>
      </c>
      <c r="F191" t="s">
        <v>42</v>
      </c>
      <c r="G191">
        <v>-158.19499999999999</v>
      </c>
      <c r="H191">
        <v>5.7757959999999997</v>
      </c>
      <c r="I191">
        <v>366.07690000000002</v>
      </c>
      <c r="J191">
        <v>-467.89789999999999</v>
      </c>
      <c r="K191">
        <v>1.1092329999999999</v>
      </c>
      <c r="L191">
        <v>367.32729999999998</v>
      </c>
      <c r="M191">
        <v>0.99980579999999997</v>
      </c>
      <c r="N191">
        <v>0</v>
      </c>
      <c r="O191">
        <v>1.934903E-2</v>
      </c>
      <c r="P191">
        <v>0.99932679999999996</v>
      </c>
      <c r="Q191">
        <v>3.4128800000000001E-2</v>
      </c>
      <c r="R191">
        <v>1.345997E-2</v>
      </c>
      <c r="S191">
        <v>3.0005799999999998</v>
      </c>
      <c r="T191">
        <v>4.5194980000000003E-2</v>
      </c>
      <c r="U191">
        <v>-1.208496E-2</v>
      </c>
      <c r="V191">
        <v>5.8596689999999996E-3</v>
      </c>
      <c r="W191">
        <v>3.7873089999999998E-2</v>
      </c>
      <c r="X191">
        <v>0.99926539999999997</v>
      </c>
      <c r="Y191">
        <v>2.337092E-2</v>
      </c>
      <c r="Z191">
        <v>4.674069E-4</v>
      </c>
      <c r="AA191">
        <v>0.99972680000000003</v>
      </c>
      <c r="AB191">
        <v>14</v>
      </c>
      <c r="AC191">
        <v>309.7029</v>
      </c>
      <c r="AD191">
        <v>4.666563</v>
      </c>
      <c r="AE191">
        <v>-1.25039999999995</v>
      </c>
      <c r="AF191">
        <v>7.2410145139509901</v>
      </c>
      <c r="AG191">
        <v>4.666563</v>
      </c>
      <c r="AH191">
        <v>309.55044610668699</v>
      </c>
      <c r="AI191">
        <v>89.136551051178799</v>
      </c>
      <c r="AJ191">
        <v>88.6599795644822</v>
      </c>
      <c r="AK191">
        <v>309.67028883358</v>
      </c>
      <c r="AL191">
        <v>87.829512744469696</v>
      </c>
      <c r="AM191">
        <v>89.664022736190404</v>
      </c>
      <c r="AN191">
        <v>1.0000000231520401</v>
      </c>
    </row>
    <row r="192" spans="1:40" x14ac:dyDescent="0.25">
      <c r="A192" t="str">
        <f>"20190312160307161"</f>
        <v>20190312160307161</v>
      </c>
      <c r="B192" t="str">
        <f>"1552377787155051"</f>
        <v>1552377787155051</v>
      </c>
      <c r="C192" t="s">
        <v>40</v>
      </c>
      <c r="D192">
        <v>4.7303470000000001</v>
      </c>
      <c r="E192">
        <v>0.50580999999999998</v>
      </c>
      <c r="F192" t="s">
        <v>42</v>
      </c>
      <c r="G192">
        <v>-158.19499999999999</v>
      </c>
      <c r="H192">
        <v>5.6116250000000001</v>
      </c>
      <c r="I192">
        <v>366.35090000000002</v>
      </c>
      <c r="J192">
        <v>-467.82260000000002</v>
      </c>
      <c r="K192">
        <v>1.1092299999999999</v>
      </c>
      <c r="L192">
        <v>367.32889999999998</v>
      </c>
      <c r="M192">
        <v>0.99980159999999996</v>
      </c>
      <c r="N192">
        <v>0</v>
      </c>
      <c r="O192">
        <v>1.956453E-2</v>
      </c>
      <c r="P192">
        <v>0.99931979999999998</v>
      </c>
      <c r="Q192">
        <v>3.4262099999999997E-2</v>
      </c>
      <c r="R192">
        <v>1.3634729999999999E-2</v>
      </c>
      <c r="S192">
        <v>3.0006710000000001</v>
      </c>
      <c r="T192">
        <v>4.3623919999999997E-2</v>
      </c>
      <c r="U192">
        <v>-9.4604489999999992E-3</v>
      </c>
      <c r="V192">
        <v>5.9008200000000002E-3</v>
      </c>
      <c r="W192">
        <v>3.8006039999999998E-2</v>
      </c>
      <c r="X192">
        <v>0.99926009999999998</v>
      </c>
      <c r="Y192">
        <v>2.2712260000000001E-2</v>
      </c>
      <c r="Z192">
        <v>4.4949209999999999E-4</v>
      </c>
      <c r="AA192">
        <v>0.99974200000000002</v>
      </c>
      <c r="AB192">
        <v>14</v>
      </c>
      <c r="AC192">
        <v>309.62759999999997</v>
      </c>
      <c r="AD192">
        <v>4.5023949999999999</v>
      </c>
      <c r="AE192">
        <v>-0.97799999999995102</v>
      </c>
      <c r="AF192">
        <v>7.0340863038726198</v>
      </c>
      <c r="AG192">
        <v>4.5023949999999999</v>
      </c>
      <c r="AH192">
        <v>309.48376133437802</v>
      </c>
      <c r="AI192">
        <v>89.166730293085905</v>
      </c>
      <c r="AJ192">
        <v>88.697979889397601</v>
      </c>
      <c r="AK192">
        <v>309.59642837174403</v>
      </c>
      <c r="AL192">
        <v>87.821889760593194</v>
      </c>
      <c r="AM192">
        <v>89.6616615115027</v>
      </c>
      <c r="AN192">
        <v>1.0000000131025799</v>
      </c>
    </row>
    <row r="193" spans="1:40" x14ac:dyDescent="0.25">
      <c r="A193" t="str">
        <f>"20190312160307174"</f>
        <v>20190312160307174</v>
      </c>
      <c r="B193" t="str">
        <f>"1552377787164811"</f>
        <v>1552377787164811</v>
      </c>
      <c r="C193" t="s">
        <v>40</v>
      </c>
      <c r="D193">
        <v>4.7253930000000004</v>
      </c>
      <c r="E193">
        <v>0.50588820000000001</v>
      </c>
      <c r="F193" t="s">
        <v>42</v>
      </c>
      <c r="G193">
        <v>-158.19499999999999</v>
      </c>
      <c r="H193">
        <v>5.6963850000000003</v>
      </c>
      <c r="I193">
        <v>366.4409</v>
      </c>
      <c r="J193">
        <v>-467.74759999999998</v>
      </c>
      <c r="K193">
        <v>1.109237</v>
      </c>
      <c r="L193">
        <v>367.33049999999997</v>
      </c>
      <c r="M193">
        <v>0.99979819999999997</v>
      </c>
      <c r="N193">
        <v>0</v>
      </c>
      <c r="O193">
        <v>1.9742269999999999E-2</v>
      </c>
      <c r="P193">
        <v>0.9993107</v>
      </c>
      <c r="Q193">
        <v>3.4423420000000003E-2</v>
      </c>
      <c r="R193">
        <v>1.3910799999999999E-2</v>
      </c>
      <c r="S193">
        <v>3.0006409999999999</v>
      </c>
      <c r="T193">
        <v>4.445553E-2</v>
      </c>
      <c r="U193">
        <v>-8.6059569999999991E-3</v>
      </c>
      <c r="V193">
        <v>5.8021289999999996E-3</v>
      </c>
      <c r="W193">
        <v>3.8169950000000001E-2</v>
      </c>
      <c r="X193">
        <v>0.99925439999999999</v>
      </c>
      <c r="Y193">
        <v>2.2605150000000001E-2</v>
      </c>
      <c r="Z193">
        <v>4.5990370000000003E-4</v>
      </c>
      <c r="AA193">
        <v>0.99974439999999998</v>
      </c>
      <c r="AB193">
        <v>14</v>
      </c>
      <c r="AC193">
        <v>309.55259999999998</v>
      </c>
      <c r="AD193">
        <v>4.587148</v>
      </c>
      <c r="AE193">
        <v>-0.88959999999997297</v>
      </c>
      <c r="AF193">
        <v>6.9992028430409903</v>
      </c>
      <c r="AG193">
        <v>4.587148</v>
      </c>
      <c r="AH193">
        <v>309.40676256132599</v>
      </c>
      <c r="AI193">
        <v>89.150833814516602</v>
      </c>
      <c r="AJ193">
        <v>88.704112361376403</v>
      </c>
      <c r="AK193">
        <v>309.51991129149098</v>
      </c>
      <c r="AL193">
        <v>87.812491523864196</v>
      </c>
      <c r="AM193">
        <v>89.667318184511103</v>
      </c>
      <c r="AN193">
        <v>0.99999998285164704</v>
      </c>
    </row>
    <row r="194" spans="1:40" x14ac:dyDescent="0.25">
      <c r="A194" t="str">
        <f>"20190312160307186"</f>
        <v>20190312160307186</v>
      </c>
      <c r="B194" t="str">
        <f>"1552377787174570"</f>
        <v>1552377787174570</v>
      </c>
      <c r="C194" t="s">
        <v>40</v>
      </c>
      <c r="D194">
        <v>4.7790499999999998</v>
      </c>
      <c r="E194">
        <v>0.50591239999999904</v>
      </c>
      <c r="F194" t="s">
        <v>42</v>
      </c>
      <c r="G194">
        <v>-158.19499999999999</v>
      </c>
      <c r="H194">
        <v>5.6000920000000001</v>
      </c>
      <c r="I194">
        <v>366.4522</v>
      </c>
      <c r="J194">
        <v>-467.67200000000003</v>
      </c>
      <c r="K194">
        <v>1.109251</v>
      </c>
      <c r="L194">
        <v>367.3322</v>
      </c>
      <c r="M194">
        <v>0.99979499999999999</v>
      </c>
      <c r="N194">
        <v>0</v>
      </c>
      <c r="O194">
        <v>1.9899030000000002E-2</v>
      </c>
      <c r="P194">
        <v>0.99930300000000005</v>
      </c>
      <c r="Q194">
        <v>3.4472309999999999E-2</v>
      </c>
      <c r="R194">
        <v>1.4322090000000001E-2</v>
      </c>
      <c r="S194">
        <v>3.0007320000000002</v>
      </c>
      <c r="T194">
        <v>4.3534160000000002E-2</v>
      </c>
      <c r="U194">
        <v>-8.5144039999999997E-3</v>
      </c>
      <c r="V194">
        <v>5.5472660000000003E-3</v>
      </c>
      <c r="W194">
        <v>3.8222359999999997E-2</v>
      </c>
      <c r="X194">
        <v>0.99925390000000003</v>
      </c>
      <c r="Y194">
        <v>2.2731479999999998E-2</v>
      </c>
      <c r="Z194">
        <v>4.5354949999999998E-4</v>
      </c>
      <c r="AA194">
        <v>0.99974149999999995</v>
      </c>
      <c r="AB194">
        <v>14</v>
      </c>
      <c r="AC194">
        <v>309.47699999999998</v>
      </c>
      <c r="AD194">
        <v>4.4908409999999996</v>
      </c>
      <c r="AE194">
        <v>-0.87999999999999501</v>
      </c>
      <c r="AF194">
        <v>7.0366792186406801</v>
      </c>
      <c r="AG194">
        <v>4.4908409999999996</v>
      </c>
      <c r="AH194">
        <v>309.33307373329802</v>
      </c>
      <c r="AI194">
        <v>89.168463870333795</v>
      </c>
      <c r="AJ194">
        <v>88.696865825001694</v>
      </c>
      <c r="AK194">
        <v>309.44568669251697</v>
      </c>
      <c r="AL194">
        <v>87.809486581741297</v>
      </c>
      <c r="AM194">
        <v>89.681931024066301</v>
      </c>
      <c r="AN194">
        <v>1.00000003881462</v>
      </c>
    </row>
    <row r="195" spans="1:40" x14ac:dyDescent="0.25">
      <c r="A195" t="str">
        <f>"20190312160307198"</f>
        <v>20190312160307198</v>
      </c>
      <c r="B195" t="str">
        <f>"1552377787195067"</f>
        <v>1552377787195067</v>
      </c>
      <c r="C195" t="s">
        <v>40</v>
      </c>
      <c r="D195">
        <v>4.7457379999999896</v>
      </c>
      <c r="E195">
        <v>0.50595279999999998</v>
      </c>
      <c r="F195" t="s">
        <v>42</v>
      </c>
      <c r="G195">
        <v>-158.19499999999999</v>
      </c>
      <c r="H195">
        <v>5.4912359999999998</v>
      </c>
      <c r="I195">
        <v>366.53910000000002</v>
      </c>
      <c r="J195">
        <v>-467.59530000000001</v>
      </c>
      <c r="K195">
        <v>1.109262</v>
      </c>
      <c r="L195">
        <v>367.33390000000003</v>
      </c>
      <c r="M195">
        <v>0.99979229999999997</v>
      </c>
      <c r="N195">
        <v>0</v>
      </c>
      <c r="O195">
        <v>2.003019E-2</v>
      </c>
      <c r="P195">
        <v>0.99929900000000005</v>
      </c>
      <c r="Q195">
        <v>3.4597959999999997E-2</v>
      </c>
      <c r="R195">
        <v>1.431694E-2</v>
      </c>
      <c r="S195">
        <v>3.0007320000000002</v>
      </c>
      <c r="T195">
        <v>4.248917E-2</v>
      </c>
      <c r="U195">
        <v>-7.6904299999999998E-3</v>
      </c>
      <c r="V195">
        <v>5.6825019999999999E-3</v>
      </c>
      <c r="W195">
        <v>3.8347680000000002E-2</v>
      </c>
      <c r="X195">
        <v>0.99924829999999998</v>
      </c>
      <c r="Y195">
        <v>2.258833E-2</v>
      </c>
      <c r="Z195">
        <v>4.4350699999999999E-4</v>
      </c>
      <c r="AA195">
        <v>0.99974479999999999</v>
      </c>
      <c r="AB195">
        <v>14</v>
      </c>
      <c r="AC195">
        <v>309.40030000000002</v>
      </c>
      <c r="AD195">
        <v>4.3819739999999996</v>
      </c>
      <c r="AE195">
        <v>-0.79480000000000905</v>
      </c>
      <c r="AF195">
        <v>6.9906289730983504</v>
      </c>
      <c r="AG195">
        <v>4.3819739999999996</v>
      </c>
      <c r="AH195">
        <v>309.26027325371001</v>
      </c>
      <c r="AI195">
        <v>89.188425631648201</v>
      </c>
      <c r="AJ195">
        <v>88.705086383903193</v>
      </c>
      <c r="AK195">
        <v>309.37030756447098</v>
      </c>
      <c r="AL195">
        <v>87.802300922036395</v>
      </c>
      <c r="AM195">
        <v>89.674175205486094</v>
      </c>
      <c r="AN195">
        <v>1.0000000002216201</v>
      </c>
    </row>
    <row r="196" spans="1:40" x14ac:dyDescent="0.25">
      <c r="A196" t="str">
        <f>"20190312160307218"</f>
        <v>20190312160307218</v>
      </c>
      <c r="B196" t="str">
        <f>"1552377787214586"</f>
        <v>1552377787214586</v>
      </c>
      <c r="C196" t="s">
        <v>40</v>
      </c>
      <c r="D196">
        <v>4.8090390000000003</v>
      </c>
      <c r="E196">
        <v>0.50597079999999905</v>
      </c>
      <c r="F196" t="s">
        <v>42</v>
      </c>
      <c r="G196">
        <v>-158.19499999999999</v>
      </c>
      <c r="H196">
        <v>5.2164820000000001</v>
      </c>
      <c r="I196">
        <v>366.48439999999999</v>
      </c>
      <c r="J196">
        <v>-467.47190000000001</v>
      </c>
      <c r="K196">
        <v>1.1092850000000001</v>
      </c>
      <c r="L196">
        <v>367.33670000000001</v>
      </c>
      <c r="M196">
        <v>0.99978809999999996</v>
      </c>
      <c r="N196">
        <v>0</v>
      </c>
      <c r="O196">
        <v>2.0243830000000001E-2</v>
      </c>
      <c r="P196">
        <v>0.9993069</v>
      </c>
      <c r="Q196">
        <v>3.4228960000000003E-2</v>
      </c>
      <c r="R196">
        <v>1.4640810000000001E-2</v>
      </c>
      <c r="S196">
        <v>3.0007929999999998</v>
      </c>
      <c r="T196">
        <v>3.983569E-2</v>
      </c>
      <c r="U196">
        <v>-8.2397459999999992E-3</v>
      </c>
      <c r="V196">
        <v>5.5723860000000004E-3</v>
      </c>
      <c r="W196">
        <v>3.7973159999999999E-2</v>
      </c>
      <c r="X196">
        <v>0.99926320000000002</v>
      </c>
      <c r="Y196">
        <v>2.298538E-2</v>
      </c>
      <c r="Z196">
        <v>4.2127469999999999E-4</v>
      </c>
      <c r="AA196">
        <v>0.9997357</v>
      </c>
      <c r="AB196">
        <v>14</v>
      </c>
      <c r="AC196">
        <v>309.27690000000001</v>
      </c>
      <c r="AD196">
        <v>4.1071970000000002</v>
      </c>
      <c r="AE196">
        <v>-0.85230000000001305</v>
      </c>
      <c r="AF196">
        <v>7.11186374421482</v>
      </c>
      <c r="AG196">
        <v>4.1071970000000002</v>
      </c>
      <c r="AH196">
        <v>309.14174656850901</v>
      </c>
      <c r="AI196">
        <v>89.239025540895597</v>
      </c>
      <c r="AJ196">
        <v>88.682132323844499</v>
      </c>
      <c r="AK196">
        <v>309.25081591572399</v>
      </c>
      <c r="AL196">
        <v>87.823774929438002</v>
      </c>
      <c r="AM196">
        <v>89.680493697597996</v>
      </c>
      <c r="AN196">
        <v>0.999999977620179</v>
      </c>
    </row>
    <row r="197" spans="1:40" x14ac:dyDescent="0.25">
      <c r="A197" t="str">
        <f>"20190312160307239"</f>
        <v>20190312160307239</v>
      </c>
      <c r="B197" t="str">
        <f>"1552377787235083"</f>
        <v>1552377787235083</v>
      </c>
      <c r="C197" t="s">
        <v>40</v>
      </c>
      <c r="D197">
        <v>4.8337879999999904</v>
      </c>
      <c r="E197">
        <v>0.50597460000000005</v>
      </c>
      <c r="F197" t="s">
        <v>42</v>
      </c>
      <c r="G197">
        <v>-158.19499999999999</v>
      </c>
      <c r="H197">
        <v>5.040673</v>
      </c>
      <c r="I197">
        <v>366.5693</v>
      </c>
      <c r="J197">
        <v>-467.33319999999998</v>
      </c>
      <c r="K197">
        <v>1.1092919999999999</v>
      </c>
      <c r="L197">
        <v>367.3399</v>
      </c>
      <c r="M197">
        <v>0.99978270000000002</v>
      </c>
      <c r="N197">
        <v>0</v>
      </c>
      <c r="O197">
        <v>2.0510319999999999E-2</v>
      </c>
      <c r="P197">
        <v>0.99931700000000001</v>
      </c>
      <c r="Q197">
        <v>3.3842879999999999E-2</v>
      </c>
      <c r="R197">
        <v>1.48494E-2</v>
      </c>
      <c r="S197">
        <v>3.0008849999999998</v>
      </c>
      <c r="T197">
        <v>3.8146729999999997E-2</v>
      </c>
      <c r="U197">
        <v>-7.446289E-3</v>
      </c>
      <c r="V197">
        <v>5.6313119999999899E-3</v>
      </c>
      <c r="W197">
        <v>3.7576239999999997E-2</v>
      </c>
      <c r="X197">
        <v>0.99927790000000005</v>
      </c>
      <c r="Y197">
        <v>2.298772E-2</v>
      </c>
      <c r="Z197">
        <v>4.0680430000000002E-4</v>
      </c>
      <c r="AA197">
        <v>0.9997357</v>
      </c>
      <c r="AB197">
        <v>14</v>
      </c>
      <c r="AC197">
        <v>309.13819999999998</v>
      </c>
      <c r="AD197">
        <v>3.9313809999999898</v>
      </c>
      <c r="AE197">
        <v>-0.77060000000000095</v>
      </c>
      <c r="AF197">
        <v>7.1098554490302801</v>
      </c>
      <c r="AG197">
        <v>3.9313809999999898</v>
      </c>
      <c r="AH197">
        <v>309.00738901064602</v>
      </c>
      <c r="AI197">
        <v>89.271280221923504</v>
      </c>
      <c r="AJ197">
        <v>88.681931690906097</v>
      </c>
      <c r="AK197">
        <v>309.11417350915798</v>
      </c>
      <c r="AL197">
        <v>87.846533069438905</v>
      </c>
      <c r="AM197">
        <v>89.6771198529852</v>
      </c>
      <c r="AN197">
        <v>1.00000000345789</v>
      </c>
    </row>
    <row r="198" spans="1:40" x14ac:dyDescent="0.25">
      <c r="A198" t="str">
        <f>"20190312160307251"</f>
        <v>20190312160307251</v>
      </c>
      <c r="B198" t="str">
        <f>"1552377787244844"</f>
        <v>1552377787244844</v>
      </c>
      <c r="C198" t="s">
        <v>40</v>
      </c>
      <c r="D198">
        <v>4.8675259999999998</v>
      </c>
      <c r="E198">
        <v>0.50595649999999903</v>
      </c>
      <c r="F198" t="s">
        <v>42</v>
      </c>
      <c r="G198">
        <v>-158.19499999999999</v>
      </c>
      <c r="H198">
        <v>4.8512110000000002</v>
      </c>
      <c r="I198">
        <v>366.63569999999999</v>
      </c>
      <c r="J198">
        <v>-467.2527</v>
      </c>
      <c r="K198">
        <v>1.1092919999999999</v>
      </c>
      <c r="L198">
        <v>367.34179999999998</v>
      </c>
      <c r="M198">
        <v>0.99977919999999998</v>
      </c>
      <c r="N198">
        <v>0</v>
      </c>
      <c r="O198">
        <v>2.0681950000000001E-2</v>
      </c>
      <c r="P198">
        <v>0.99931619999999999</v>
      </c>
      <c r="Q198">
        <v>3.378155E-2</v>
      </c>
      <c r="R198">
        <v>1.5038360000000001E-2</v>
      </c>
      <c r="S198">
        <v>3.0009160000000001</v>
      </c>
      <c r="T198">
        <v>3.632498E-2</v>
      </c>
      <c r="U198">
        <v>-6.8359379999999997E-3</v>
      </c>
      <c r="V198">
        <v>5.6149069999999997E-3</v>
      </c>
      <c r="W198">
        <v>3.7510000000000002E-2</v>
      </c>
      <c r="X198">
        <v>0.99928050000000002</v>
      </c>
      <c r="Y198">
        <v>2.2956310000000001E-2</v>
      </c>
      <c r="Z198">
        <v>3.8926130000000001E-4</v>
      </c>
      <c r="AA198">
        <v>0.99973639999999997</v>
      </c>
      <c r="AB198">
        <v>14</v>
      </c>
      <c r="AC198">
        <v>309.05770000000001</v>
      </c>
      <c r="AD198">
        <v>3.7419190000000002</v>
      </c>
      <c r="AE198">
        <v>-0.70609999999999196</v>
      </c>
      <c r="AF198">
        <v>7.0968686592457697</v>
      </c>
      <c r="AG198">
        <v>3.7419190000000002</v>
      </c>
      <c r="AH198">
        <v>308.93170313616002</v>
      </c>
      <c r="AI198">
        <v>89.306224840675796</v>
      </c>
      <c r="AJ198">
        <v>88.684016200537499</v>
      </c>
      <c r="AK198">
        <v>309.03586313756102</v>
      </c>
      <c r="AL198">
        <v>87.850331060295005</v>
      </c>
      <c r="AM198">
        <v>89.6780612773114</v>
      </c>
      <c r="AN198">
        <v>1.00000002248043</v>
      </c>
    </row>
    <row r="199" spans="1:40" x14ac:dyDescent="0.25">
      <c r="A199" t="str">
        <f>"20190312160307263"</f>
        <v>20190312160307263</v>
      </c>
      <c r="B199" t="str">
        <f>"1552377787254603"</f>
        <v>1552377787254603</v>
      </c>
      <c r="C199" t="s">
        <v>40</v>
      </c>
      <c r="D199">
        <v>4.8778860000000002</v>
      </c>
      <c r="E199">
        <v>0.50597139999999996</v>
      </c>
      <c r="F199" t="s">
        <v>42</v>
      </c>
      <c r="G199">
        <v>-158.19499999999999</v>
      </c>
      <c r="H199">
        <v>4.698283</v>
      </c>
      <c r="I199">
        <v>366.71949999999998</v>
      </c>
      <c r="J199">
        <v>-467.17230000000001</v>
      </c>
      <c r="K199">
        <v>1.1092919999999999</v>
      </c>
      <c r="L199">
        <v>367.34370000000001</v>
      </c>
      <c r="M199">
        <v>0.99977550000000004</v>
      </c>
      <c r="N199">
        <v>0</v>
      </c>
      <c r="O199">
        <v>2.0864779999999999E-2</v>
      </c>
      <c r="P199">
        <v>0.99932430000000005</v>
      </c>
      <c r="Q199">
        <v>3.3570629999999997E-2</v>
      </c>
      <c r="R199">
        <v>1.4972020000000001E-2</v>
      </c>
      <c r="S199">
        <v>3.0009769999999998</v>
      </c>
      <c r="T199">
        <v>3.4850239999999998E-2</v>
      </c>
      <c r="U199">
        <v>-6.0424800000000002E-3</v>
      </c>
      <c r="V199">
        <v>5.8652950000000004E-3</v>
      </c>
      <c r="W199">
        <v>3.7295580000000002E-2</v>
      </c>
      <c r="X199">
        <v>0.99928709999999998</v>
      </c>
      <c r="Y199">
        <v>2.2875E-2</v>
      </c>
      <c r="Z199">
        <v>3.7510199999999999E-4</v>
      </c>
      <c r="AA199">
        <v>0.99973829999999997</v>
      </c>
      <c r="AB199">
        <v>15</v>
      </c>
      <c r="AC199">
        <v>308.97730000000001</v>
      </c>
      <c r="AD199">
        <v>3.588991</v>
      </c>
      <c r="AE199">
        <v>-0.62420000000002995</v>
      </c>
      <c r="AF199">
        <v>7.0698974756764796</v>
      </c>
      <c r="AG199">
        <v>3.588991</v>
      </c>
      <c r="AH199">
        <v>308.85534088096398</v>
      </c>
      <c r="AI199">
        <v>89.334410291543804</v>
      </c>
      <c r="AJ199">
        <v>88.688691743628496</v>
      </c>
      <c r="AK199">
        <v>308.957093942526</v>
      </c>
      <c r="AL199">
        <v>87.862625050514495</v>
      </c>
      <c r="AM199">
        <v>89.663707467012998</v>
      </c>
      <c r="AN199">
        <v>1.00000003509969</v>
      </c>
    </row>
    <row r="200" spans="1:40" x14ac:dyDescent="0.25">
      <c r="A200" t="str">
        <f>"20190312160307276"</f>
        <v>20190312160307276</v>
      </c>
      <c r="B200" t="str">
        <f>"1552377787265339"</f>
        <v>1552377787265339</v>
      </c>
      <c r="C200" t="s">
        <v>40</v>
      </c>
      <c r="D200">
        <v>4.9206159999999999</v>
      </c>
      <c r="E200">
        <v>0.50594030000000001</v>
      </c>
      <c r="F200" t="s">
        <v>42</v>
      </c>
      <c r="G200">
        <v>-158.19499999999999</v>
      </c>
      <c r="H200">
        <v>4.6504989999999999</v>
      </c>
      <c r="I200">
        <v>366.67439999999999</v>
      </c>
      <c r="J200">
        <v>-467.09769999999997</v>
      </c>
      <c r="K200">
        <v>1.1092959999999901</v>
      </c>
      <c r="L200">
        <v>367.34550000000002</v>
      </c>
      <c r="M200">
        <v>0.99977179999999999</v>
      </c>
      <c r="N200">
        <v>0</v>
      </c>
      <c r="O200">
        <v>2.1038359999999999E-2</v>
      </c>
      <c r="P200">
        <v>0.99932449999999995</v>
      </c>
      <c r="Q200">
        <v>3.3503049999999999E-2</v>
      </c>
      <c r="R200">
        <v>1.510769E-2</v>
      </c>
      <c r="S200">
        <v>3.0009769999999998</v>
      </c>
      <c r="T200">
        <v>3.4395219999999997E-2</v>
      </c>
      <c r="U200">
        <v>-6.5002439999999996E-3</v>
      </c>
      <c r="V200">
        <v>5.9040819999999997E-3</v>
      </c>
      <c r="W200">
        <v>3.722553E-2</v>
      </c>
      <c r="X200">
        <v>0.99928950000000005</v>
      </c>
      <c r="Y200">
        <v>2.3201119999999999E-2</v>
      </c>
      <c r="Z200">
        <v>3.7406290000000002E-4</v>
      </c>
      <c r="AA200">
        <v>0.99973080000000003</v>
      </c>
      <c r="AB200">
        <v>15</v>
      </c>
      <c r="AC200">
        <v>308.90269999999998</v>
      </c>
      <c r="AD200">
        <v>3.5412029999999999</v>
      </c>
      <c r="AE200">
        <v>-0.67110000000002401</v>
      </c>
      <c r="AF200">
        <v>7.1688601823698104</v>
      </c>
      <c r="AG200">
        <v>3.5412029999999999</v>
      </c>
      <c r="AH200">
        <v>308.77963111570699</v>
      </c>
      <c r="AI200">
        <v>89.343115871726795</v>
      </c>
      <c r="AJ200">
        <v>88.670017011570195</v>
      </c>
      <c r="AK200">
        <v>308.88313852807403</v>
      </c>
      <c r="AL200">
        <v>87.866641443838304</v>
      </c>
      <c r="AM200">
        <v>89.661484440301507</v>
      </c>
      <c r="AN200">
        <v>1.0000000515391401</v>
      </c>
    </row>
    <row r="201" spans="1:40" x14ac:dyDescent="0.25">
      <c r="A201" t="str">
        <f>"20190312160307290"</f>
        <v>20190312160307290</v>
      </c>
      <c r="B201" t="str">
        <f>"1552377787284860"</f>
        <v>1552377787284860</v>
      </c>
      <c r="C201" t="s">
        <v>40</v>
      </c>
      <c r="D201">
        <v>4.9325460000000003</v>
      </c>
      <c r="E201">
        <v>0.50598699999999996</v>
      </c>
      <c r="F201" t="s">
        <v>42</v>
      </c>
      <c r="G201">
        <v>-158.19499999999999</v>
      </c>
      <c r="H201">
        <v>4.6810619999999998</v>
      </c>
      <c r="I201">
        <v>366.74549999999999</v>
      </c>
      <c r="J201">
        <v>-467.0018</v>
      </c>
      <c r="K201">
        <v>1.109294</v>
      </c>
      <c r="L201">
        <v>367.34769999999997</v>
      </c>
      <c r="M201">
        <v>0.99976710000000002</v>
      </c>
      <c r="N201">
        <v>0</v>
      </c>
      <c r="O201">
        <v>2.1262840000000002E-2</v>
      </c>
      <c r="P201">
        <v>0.99932180000000004</v>
      </c>
      <c r="Q201">
        <v>3.3511970000000002E-2</v>
      </c>
      <c r="R201">
        <v>1.52686E-2</v>
      </c>
      <c r="S201">
        <v>3.0009769999999998</v>
      </c>
      <c r="T201">
        <v>3.4700389999999998E-2</v>
      </c>
      <c r="U201">
        <v>-5.8288569999999998E-3</v>
      </c>
      <c r="V201">
        <v>5.9688759999999997E-3</v>
      </c>
      <c r="W201">
        <v>3.7232679999999997E-2</v>
      </c>
      <c r="X201">
        <v>0.99928879999999998</v>
      </c>
      <c r="Y201">
        <v>2.3201860000000001E-2</v>
      </c>
      <c r="Z201">
        <v>3.7998090000000001E-4</v>
      </c>
      <c r="AA201">
        <v>0.99973069999999997</v>
      </c>
      <c r="AB201">
        <v>15</v>
      </c>
      <c r="AC201">
        <v>308.80680000000001</v>
      </c>
      <c r="AD201">
        <v>3.5717680000000001</v>
      </c>
      <c r="AE201">
        <v>-0.60219999999998197</v>
      </c>
      <c r="AF201">
        <v>7.1672593691962803</v>
      </c>
      <c r="AG201">
        <v>3.5717680000000001</v>
      </c>
      <c r="AH201">
        <v>308.68288392801202</v>
      </c>
      <c r="AI201">
        <v>89.337239039044505</v>
      </c>
      <c r="AJ201">
        <v>88.669897291717902</v>
      </c>
      <c r="AK201">
        <v>308.78673864598801</v>
      </c>
      <c r="AL201">
        <v>87.866231390951299</v>
      </c>
      <c r="AM201">
        <v>89.657769269394194</v>
      </c>
      <c r="AN201">
        <v>1.00000000287306</v>
      </c>
    </row>
    <row r="202" spans="1:40" x14ac:dyDescent="0.25">
      <c r="A202" t="str">
        <f>"20190312160307307"</f>
        <v>20190312160307307</v>
      </c>
      <c r="B202" t="str">
        <f>"1552377787305355"</f>
        <v>1552377787305355</v>
      </c>
      <c r="C202" t="s">
        <v>40</v>
      </c>
      <c r="D202">
        <v>4.9373699999999996</v>
      </c>
      <c r="E202">
        <v>0.50605480000000003</v>
      </c>
      <c r="F202" t="s">
        <v>42</v>
      </c>
      <c r="G202">
        <v>-158.19499999999999</v>
      </c>
      <c r="H202">
        <v>4.4572909999999997</v>
      </c>
      <c r="I202">
        <v>366.76679999999999</v>
      </c>
      <c r="J202">
        <v>-466.8861</v>
      </c>
      <c r="K202">
        <v>1.1092979999999999</v>
      </c>
      <c r="L202">
        <v>367.35050000000001</v>
      </c>
      <c r="M202">
        <v>0.99976129999999996</v>
      </c>
      <c r="N202">
        <v>0</v>
      </c>
      <c r="O202">
        <v>2.1527790000000002E-2</v>
      </c>
      <c r="P202">
        <v>0.99932129999999997</v>
      </c>
      <c r="Q202">
        <v>3.3393550000000001E-2</v>
      </c>
      <c r="R202">
        <v>1.555863E-2</v>
      </c>
      <c r="S202">
        <v>3.0010680000000001</v>
      </c>
      <c r="T202">
        <v>3.2537580000000003E-2</v>
      </c>
      <c r="U202">
        <v>-5.6457520000000004E-3</v>
      </c>
      <c r="V202">
        <v>5.9449500000000001E-3</v>
      </c>
      <c r="W202">
        <v>3.7111650000000003E-2</v>
      </c>
      <c r="X202">
        <v>0.9992934</v>
      </c>
      <c r="Y202">
        <v>2.3406070000000001E-2</v>
      </c>
      <c r="Z202">
        <v>3.6026699999999902E-4</v>
      </c>
      <c r="AA202">
        <v>0.999726</v>
      </c>
      <c r="AB202">
        <v>15</v>
      </c>
      <c r="AC202">
        <v>308.69110000000001</v>
      </c>
      <c r="AD202">
        <v>3.3479930000000002</v>
      </c>
      <c r="AE202">
        <v>-0.58370000000002098</v>
      </c>
      <c r="AF202">
        <v>7.2281978234154503</v>
      </c>
      <c r="AG202">
        <v>3.3479930000000002</v>
      </c>
      <c r="AH202">
        <v>308.570696797062</v>
      </c>
      <c r="AI202">
        <v>89.378535478721602</v>
      </c>
      <c r="AJ202">
        <v>88.6581049072783</v>
      </c>
      <c r="AK202">
        <v>308.67350197696999</v>
      </c>
      <c r="AL202">
        <v>87.873170599864395</v>
      </c>
      <c r="AM202">
        <v>89.659142624139406</v>
      </c>
      <c r="AN202">
        <v>0.99999995813989095</v>
      </c>
    </row>
    <row r="203" spans="1:40" x14ac:dyDescent="0.25">
      <c r="A203" t="str">
        <f>"20190312160307329"</f>
        <v>20190312160307329</v>
      </c>
      <c r="B203" t="str">
        <f>"1552377787324876"</f>
        <v>1552377787324876</v>
      </c>
      <c r="C203" t="s">
        <v>40</v>
      </c>
      <c r="D203">
        <v>4.9399189999999997</v>
      </c>
      <c r="E203">
        <v>0.50604830000000001</v>
      </c>
      <c r="F203" t="s">
        <v>42</v>
      </c>
      <c r="G203">
        <v>-158.19499999999999</v>
      </c>
      <c r="H203">
        <v>4.2450419999999998</v>
      </c>
      <c r="I203">
        <v>366.79169999999999</v>
      </c>
      <c r="J203">
        <v>-466.73489999999998</v>
      </c>
      <c r="K203">
        <v>1.109305</v>
      </c>
      <c r="L203">
        <v>367.35410000000002</v>
      </c>
      <c r="M203">
        <v>0.99975429999999998</v>
      </c>
      <c r="N203">
        <v>0</v>
      </c>
      <c r="O203">
        <v>2.1858369999999998E-2</v>
      </c>
      <c r="P203">
        <v>0.99933479999999997</v>
      </c>
      <c r="Q203">
        <v>3.286364E-2</v>
      </c>
      <c r="R203">
        <v>1.5812799999999998E-2</v>
      </c>
      <c r="S203">
        <v>3.001099</v>
      </c>
      <c r="T203">
        <v>3.0486579999999999E-2</v>
      </c>
      <c r="U203">
        <v>-5.432129E-3</v>
      </c>
      <c r="V203">
        <v>6.0229519999999998E-3</v>
      </c>
      <c r="W203">
        <v>3.657842E-2</v>
      </c>
      <c r="X203">
        <v>0.9993126</v>
      </c>
      <c r="Y203">
        <v>2.3665749999999999E-2</v>
      </c>
      <c r="Z203">
        <v>3.4223199999999999E-4</v>
      </c>
      <c r="AA203">
        <v>0.99971989999999999</v>
      </c>
      <c r="AB203">
        <v>15</v>
      </c>
      <c r="AC203">
        <v>308.53989999999999</v>
      </c>
      <c r="AD203">
        <v>3.1357370000000002</v>
      </c>
      <c r="AE203">
        <v>-0.56240000000002499</v>
      </c>
      <c r="AF203">
        <v>7.3057360146089403</v>
      </c>
      <c r="AG203">
        <v>3.1357370000000002</v>
      </c>
      <c r="AH203">
        <v>308.42203189858299</v>
      </c>
      <c r="AI203">
        <v>89.417655326432197</v>
      </c>
      <c r="AJ203">
        <v>88.643061994227097</v>
      </c>
      <c r="AK203">
        <v>308.524482635818</v>
      </c>
      <c r="AL203">
        <v>87.903743202707901</v>
      </c>
      <c r="AM203">
        <v>89.654677073681498</v>
      </c>
      <c r="AN203">
        <v>0.99999996463962404</v>
      </c>
    </row>
    <row r="204" spans="1:40" x14ac:dyDescent="0.25">
      <c r="A204" t="str">
        <f>"20190312160307343"</f>
        <v>20190312160307343</v>
      </c>
      <c r="B204" t="str">
        <f>"1552377787334636"</f>
        <v>1552377787334636</v>
      </c>
      <c r="C204" t="s">
        <v>40</v>
      </c>
      <c r="D204">
        <v>4.9796839999999998</v>
      </c>
      <c r="E204">
        <v>0.50604830000000001</v>
      </c>
      <c r="F204" t="s">
        <v>42</v>
      </c>
      <c r="G204">
        <v>-158.19499999999999</v>
      </c>
      <c r="H204">
        <v>3.8628900000000002</v>
      </c>
      <c r="I204">
        <v>366.86470000000003</v>
      </c>
      <c r="J204">
        <v>-466.6422</v>
      </c>
      <c r="K204">
        <v>1.109308</v>
      </c>
      <c r="L204">
        <v>367.35640000000001</v>
      </c>
      <c r="M204">
        <v>0.99974980000000002</v>
      </c>
      <c r="N204">
        <v>0</v>
      </c>
      <c r="O204">
        <v>2.205613E-2</v>
      </c>
      <c r="P204">
        <v>0.99933380000000005</v>
      </c>
      <c r="Q204">
        <v>3.2826170000000002E-2</v>
      </c>
      <c r="R204">
        <v>1.5950700000000002E-2</v>
      </c>
      <c r="S204">
        <v>3.00116</v>
      </c>
      <c r="T204">
        <v>2.67849E-2</v>
      </c>
      <c r="U204">
        <v>-4.7607420000000001E-3</v>
      </c>
      <c r="V204">
        <v>6.0831050000000001E-3</v>
      </c>
      <c r="W204">
        <v>3.6538399999999999E-2</v>
      </c>
      <c r="X204">
        <v>0.99931369999999997</v>
      </c>
      <c r="Y204">
        <v>2.3640350000000001E-2</v>
      </c>
      <c r="Z204">
        <v>3.0232499999999999E-4</v>
      </c>
      <c r="AA204">
        <v>0.99972050000000001</v>
      </c>
      <c r="AB204">
        <v>15</v>
      </c>
      <c r="AC204">
        <v>308.44720000000001</v>
      </c>
      <c r="AD204">
        <v>2.75358199999999</v>
      </c>
      <c r="AE204">
        <v>-0.49169999999997999</v>
      </c>
      <c r="AF204">
        <v>7.2941977734943997</v>
      </c>
      <c r="AG204">
        <v>2.75358199999999</v>
      </c>
      <c r="AH204">
        <v>308.33674614051398</v>
      </c>
      <c r="AI204">
        <v>89.488480335824505</v>
      </c>
      <c r="AJ204">
        <v>88.644829665377102</v>
      </c>
      <c r="AK204">
        <v>308.43530367892203</v>
      </c>
      <c r="AL204">
        <v>87.9060377143214</v>
      </c>
      <c r="AM204">
        <v>89.651228700331103</v>
      </c>
      <c r="AN204">
        <v>0.99999996492434395</v>
      </c>
    </row>
    <row r="205" spans="1:40" x14ac:dyDescent="0.25">
      <c r="A205" t="str">
        <f>"20190312160307355"</f>
        <v>20190312160307355</v>
      </c>
      <c r="B205" t="str">
        <f>"1552377787345371"</f>
        <v>1552377787345371</v>
      </c>
      <c r="C205" t="s">
        <v>40</v>
      </c>
      <c r="D205">
        <v>4.9942799999999998</v>
      </c>
      <c r="E205">
        <v>0.50602119999999995</v>
      </c>
      <c r="F205" t="s">
        <v>42</v>
      </c>
      <c r="G205">
        <v>-158.19499999999999</v>
      </c>
      <c r="H205">
        <v>3.7360850000000001</v>
      </c>
      <c r="I205">
        <v>366.92360000000002</v>
      </c>
      <c r="J205">
        <v>-466.56209999999999</v>
      </c>
      <c r="K205">
        <v>1.1093120000000001</v>
      </c>
      <c r="L205">
        <v>367.35829999999999</v>
      </c>
      <c r="M205">
        <v>0.99974609999999997</v>
      </c>
      <c r="N205">
        <v>0</v>
      </c>
      <c r="O205">
        <v>2.2225990000000001E-2</v>
      </c>
      <c r="P205">
        <v>0.99933819999999995</v>
      </c>
      <c r="Q205">
        <v>3.2811949999999999E-2</v>
      </c>
      <c r="R205">
        <v>1.5699870000000001E-2</v>
      </c>
      <c r="S205">
        <v>3.0012509999999999</v>
      </c>
      <c r="T205">
        <v>2.55599E-2</v>
      </c>
      <c r="U205">
        <v>-4.2114259999999999E-3</v>
      </c>
      <c r="V205">
        <v>6.5039769999999898E-3</v>
      </c>
      <c r="W205">
        <v>3.6523149999999997E-2</v>
      </c>
      <c r="X205">
        <v>0.99931159999999997</v>
      </c>
      <c r="Y205">
        <v>2.362734E-2</v>
      </c>
      <c r="Z205">
        <v>2.8988089999999999E-4</v>
      </c>
      <c r="AA205">
        <v>0.99972079999999997</v>
      </c>
      <c r="AB205">
        <v>15</v>
      </c>
      <c r="AC205">
        <v>308.36709999999999</v>
      </c>
      <c r="AD205">
        <v>2.626773</v>
      </c>
      <c r="AE205">
        <v>-0.434699999999963</v>
      </c>
      <c r="AF205">
        <v>7.28787496394503</v>
      </c>
      <c r="AG205">
        <v>2.626773</v>
      </c>
      <c r="AH205">
        <v>308.25889416867301</v>
      </c>
      <c r="AI205">
        <v>89.511912467406304</v>
      </c>
      <c r="AJ205">
        <v>88.645662096912503</v>
      </c>
      <c r="AK205">
        <v>308.35622077716602</v>
      </c>
      <c r="AL205">
        <v>87.906912044191699</v>
      </c>
      <c r="AM205">
        <v>89.627098123890903</v>
      </c>
      <c r="AN205">
        <v>0.99999995804864805</v>
      </c>
    </row>
    <row r="206" spans="1:40" x14ac:dyDescent="0.25">
      <c r="A206" t="str">
        <f>"20190312160307374"</f>
        <v>20190312160307374</v>
      </c>
      <c r="B206" t="str">
        <f>"1552377787364891"</f>
        <v>1552377787364891</v>
      </c>
      <c r="C206" t="s">
        <v>40</v>
      </c>
      <c r="D206">
        <v>4.9936119999999997</v>
      </c>
      <c r="E206">
        <v>0.50597789999999998</v>
      </c>
      <c r="F206" t="s">
        <v>42</v>
      </c>
      <c r="G206">
        <v>-158.19499999999999</v>
      </c>
      <c r="H206">
        <v>3.630366</v>
      </c>
      <c r="I206">
        <v>366.8535</v>
      </c>
      <c r="J206">
        <v>-466.4307</v>
      </c>
      <c r="K206">
        <v>1.1093219999999999</v>
      </c>
      <c r="L206">
        <v>367.36160000000001</v>
      </c>
      <c r="M206">
        <v>0.99973990000000001</v>
      </c>
      <c r="N206">
        <v>0</v>
      </c>
      <c r="O206">
        <v>2.2505359999999999E-2</v>
      </c>
      <c r="P206">
        <v>0.99933669999999997</v>
      </c>
      <c r="Q206">
        <v>3.268045E-2</v>
      </c>
      <c r="R206">
        <v>1.6063210000000001E-2</v>
      </c>
      <c r="S206">
        <v>3.0012509999999999</v>
      </c>
      <c r="T206">
        <v>2.453756E-2</v>
      </c>
      <c r="U206">
        <v>-4.9133299999999996E-3</v>
      </c>
      <c r="V206">
        <v>6.4203469999999999E-3</v>
      </c>
      <c r="W206">
        <v>3.6388770000000001E-2</v>
      </c>
      <c r="X206">
        <v>0.99931709999999996</v>
      </c>
      <c r="Y206">
        <v>2.414061E-2</v>
      </c>
      <c r="Z206">
        <v>2.8266849999999998E-4</v>
      </c>
      <c r="AA206">
        <v>0.9997085</v>
      </c>
      <c r="AB206">
        <v>15</v>
      </c>
      <c r="AC206">
        <v>308.23570000000001</v>
      </c>
      <c r="AD206">
        <v>2.5210439999999998</v>
      </c>
      <c r="AE206">
        <v>-0.50810000000001299</v>
      </c>
      <c r="AF206">
        <v>7.4444760172230797</v>
      </c>
      <c r="AG206">
        <v>2.5210439999999998</v>
      </c>
      <c r="AH206">
        <v>308.12558259028401</v>
      </c>
      <c r="AI206">
        <v>89.531360494034899</v>
      </c>
      <c r="AJ206">
        <v>88.6159731118602</v>
      </c>
      <c r="AK206">
        <v>308.22581094486998</v>
      </c>
      <c r="AL206">
        <v>87.914616691475004</v>
      </c>
      <c r="AM206">
        <v>89.631894896184903</v>
      </c>
      <c r="AN206">
        <v>1.0000000148950601</v>
      </c>
    </row>
    <row r="207" spans="1:40" x14ac:dyDescent="0.25">
      <c r="A207" t="str">
        <f>"20190312160307386"</f>
        <v>20190312160307386</v>
      </c>
      <c r="B207" t="str">
        <f>"1552377787374652"</f>
        <v>1552377787374652</v>
      </c>
      <c r="C207" t="s">
        <v>40</v>
      </c>
      <c r="D207">
        <v>5.0293029999999996</v>
      </c>
      <c r="E207">
        <v>0.50598169999999998</v>
      </c>
      <c r="F207" t="s">
        <v>42</v>
      </c>
      <c r="G207">
        <v>-158.19499999999999</v>
      </c>
      <c r="H207">
        <v>3.4123939999999999</v>
      </c>
      <c r="I207">
        <v>367.0043</v>
      </c>
      <c r="J207">
        <v>-466.34570000000002</v>
      </c>
      <c r="K207">
        <v>1.1093299999999999</v>
      </c>
      <c r="L207">
        <v>367.36369999999999</v>
      </c>
      <c r="M207">
        <v>0.9997357</v>
      </c>
      <c r="N207">
        <v>0</v>
      </c>
      <c r="O207">
        <v>2.268703E-2</v>
      </c>
      <c r="P207">
        <v>0.99933819999999995</v>
      </c>
      <c r="Q207">
        <v>3.254845E-2</v>
      </c>
      <c r="R207">
        <v>1.6240729999999998E-2</v>
      </c>
      <c r="S207">
        <v>3.001312</v>
      </c>
      <c r="T207">
        <v>2.242601E-2</v>
      </c>
      <c r="U207">
        <v>-3.479004E-3</v>
      </c>
      <c r="V207">
        <v>6.4243590000000001E-3</v>
      </c>
      <c r="W207">
        <v>3.6255830000000003E-2</v>
      </c>
      <c r="X207">
        <v>0.99932189999999999</v>
      </c>
      <c r="Y207">
        <v>2.384474E-2</v>
      </c>
      <c r="Z207">
        <v>2.5859089999999998E-4</v>
      </c>
      <c r="AA207">
        <v>0.99971560000000004</v>
      </c>
      <c r="AB207">
        <v>15</v>
      </c>
      <c r="AC207">
        <v>308.15069999999997</v>
      </c>
      <c r="AD207">
        <v>2.303064</v>
      </c>
      <c r="AE207">
        <v>-0.359399999999993</v>
      </c>
      <c r="AF207">
        <v>7.34996945536765</v>
      </c>
      <c r="AG207">
        <v>2.303064</v>
      </c>
      <c r="AH207">
        <v>308.04602530959897</v>
      </c>
      <c r="AI207">
        <v>89.571765792114604</v>
      </c>
      <c r="AJ207">
        <v>88.633183656600096</v>
      </c>
      <c r="AK207">
        <v>308.14230456694003</v>
      </c>
      <c r="AL207">
        <v>87.922238608937704</v>
      </c>
      <c r="AM207">
        <v>89.631666647091507</v>
      </c>
      <c r="AN207">
        <v>1.0000000087085701</v>
      </c>
    </row>
    <row r="208" spans="1:40" x14ac:dyDescent="0.25">
      <c r="A208" t="str">
        <f>"20190312160307400"</f>
        <v>20190312160307400</v>
      </c>
      <c r="B208" t="str">
        <f>"1552377787395147"</f>
        <v>1552377787395147</v>
      </c>
      <c r="C208" t="s">
        <v>40</v>
      </c>
      <c r="D208">
        <v>5.0672269999999999</v>
      </c>
      <c r="E208">
        <v>0.50592499999999996</v>
      </c>
      <c r="F208" t="s">
        <v>42</v>
      </c>
      <c r="G208">
        <v>-158.19499999999999</v>
      </c>
      <c r="H208">
        <v>3.322346</v>
      </c>
      <c r="I208">
        <v>367.04719999999998</v>
      </c>
      <c r="J208">
        <v>-466.25979999999998</v>
      </c>
      <c r="K208">
        <v>1.1093329999999999</v>
      </c>
      <c r="L208">
        <v>367.36579999999998</v>
      </c>
      <c r="M208">
        <v>0.9997317</v>
      </c>
      <c r="N208">
        <v>0</v>
      </c>
      <c r="O208">
        <v>2.2871209999999999E-2</v>
      </c>
      <c r="P208">
        <v>0.99933150000000004</v>
      </c>
      <c r="Q208">
        <v>3.2782940000000003E-2</v>
      </c>
      <c r="R208">
        <v>1.618901E-2</v>
      </c>
      <c r="S208">
        <v>3.0013429999999999</v>
      </c>
      <c r="T208">
        <v>2.1555299999999999E-2</v>
      </c>
      <c r="U208">
        <v>-3.0822750000000002E-3</v>
      </c>
      <c r="V208">
        <v>6.6601119999999897E-3</v>
      </c>
      <c r="W208">
        <v>3.6490269999999998E-2</v>
      </c>
      <c r="X208">
        <v>0.99931179999999997</v>
      </c>
      <c r="Y208">
        <v>2.3896839999999999E-2</v>
      </c>
      <c r="Z208">
        <v>2.5005820000000001E-4</v>
      </c>
      <c r="AA208">
        <v>0.9997144</v>
      </c>
      <c r="AB208">
        <v>15</v>
      </c>
      <c r="AC208">
        <v>308.06479999999999</v>
      </c>
      <c r="AD208">
        <v>2.2130130000000001</v>
      </c>
      <c r="AE208">
        <v>-0.31860000000000299</v>
      </c>
      <c r="AF208">
        <v>7.3639987154969804</v>
      </c>
      <c r="AG208">
        <v>2.2130130000000001</v>
      </c>
      <c r="AH208">
        <v>307.961036387673</v>
      </c>
      <c r="AI208">
        <v>89.588396340779099</v>
      </c>
      <c r="AJ208">
        <v>88.630197957202796</v>
      </c>
      <c r="AK208">
        <v>308.057017184465</v>
      </c>
      <c r="AL208">
        <v>87.908797243047403</v>
      </c>
      <c r="AM208">
        <v>89.6181465495618</v>
      </c>
      <c r="AN208">
        <v>0.99999998525788203</v>
      </c>
    </row>
    <row r="209" spans="1:40" x14ac:dyDescent="0.25">
      <c r="A209" t="str">
        <f>"20190312160307413"</f>
        <v>20190312160307413</v>
      </c>
      <c r="B209" t="str">
        <f>"1552377787404758"</f>
        <v>1552377787404758</v>
      </c>
      <c r="C209" t="s">
        <v>40</v>
      </c>
      <c r="D209">
        <v>5.0351509999999999</v>
      </c>
      <c r="E209">
        <v>0.50590379999999902</v>
      </c>
      <c r="F209" t="s">
        <v>42</v>
      </c>
      <c r="G209">
        <v>-158.19499999999999</v>
      </c>
      <c r="H209">
        <v>3.1846359999999998</v>
      </c>
      <c r="I209">
        <v>367.06830000000002</v>
      </c>
      <c r="J209">
        <v>-466.15910000000002</v>
      </c>
      <c r="K209">
        <v>1.10934</v>
      </c>
      <c r="L209">
        <v>367.36840000000001</v>
      </c>
      <c r="M209">
        <v>0.99972660000000002</v>
      </c>
      <c r="N209">
        <v>0</v>
      </c>
      <c r="O209">
        <v>2.3088000000000001E-2</v>
      </c>
      <c r="P209">
        <v>0.9993187</v>
      </c>
      <c r="Q209">
        <v>3.301685E-2</v>
      </c>
      <c r="R209">
        <v>1.6502889999999999E-2</v>
      </c>
      <c r="S209">
        <v>3.001404</v>
      </c>
      <c r="T209">
        <v>2.0220040000000002E-2</v>
      </c>
      <c r="U209">
        <v>-2.89917E-3</v>
      </c>
      <c r="V209">
        <v>6.5622830000000004E-3</v>
      </c>
      <c r="W209">
        <v>3.6723770000000003E-2</v>
      </c>
      <c r="X209">
        <v>0.99930390000000002</v>
      </c>
      <c r="Y209">
        <v>2.4052759999999999E-2</v>
      </c>
      <c r="Z209">
        <v>2.3654909999999999E-4</v>
      </c>
      <c r="AA209">
        <v>0.99971069999999995</v>
      </c>
      <c r="AB209">
        <v>15</v>
      </c>
      <c r="AC209">
        <v>307.96409999999997</v>
      </c>
      <c r="AD209">
        <v>2.0752959999999998</v>
      </c>
      <c r="AE209">
        <v>-0.30009999999998599</v>
      </c>
      <c r="AF209">
        <v>7.4100072468853098</v>
      </c>
      <c r="AG209">
        <v>2.0752959999999998</v>
      </c>
      <c r="AH209">
        <v>307.861097934025</v>
      </c>
      <c r="AI209">
        <v>89.613886017475593</v>
      </c>
      <c r="AJ209">
        <v>88.621195775488701</v>
      </c>
      <c r="AK209">
        <v>307.95725463451902</v>
      </c>
      <c r="AL209">
        <v>87.895409718710994</v>
      </c>
      <c r="AM209">
        <v>89.623752378714101</v>
      </c>
      <c r="AN209">
        <v>0.99999999169819698</v>
      </c>
    </row>
    <row r="210" spans="1:40" x14ac:dyDescent="0.25">
      <c r="A210" t="str">
        <f>"20190312160307431"</f>
        <v>20190312160307431</v>
      </c>
      <c r="B210" t="str">
        <f>"1552377787425255"</f>
        <v>1552377787425255</v>
      </c>
      <c r="C210" t="s">
        <v>40</v>
      </c>
      <c r="D210">
        <v>5.0699630000000004</v>
      </c>
      <c r="E210">
        <v>0.5058648</v>
      </c>
      <c r="F210" t="s">
        <v>42</v>
      </c>
      <c r="G210">
        <v>-158.19499999999999</v>
      </c>
      <c r="H210">
        <v>3.218534</v>
      </c>
      <c r="I210">
        <v>367.18680000000001</v>
      </c>
      <c r="J210">
        <v>-466.03739999999999</v>
      </c>
      <c r="K210">
        <v>1.1093500000000001</v>
      </c>
      <c r="L210">
        <v>367.37150000000003</v>
      </c>
      <c r="M210">
        <v>0.99972059999999996</v>
      </c>
      <c r="N210">
        <v>0</v>
      </c>
      <c r="O210">
        <v>2.335009E-2</v>
      </c>
      <c r="P210">
        <v>0.99932520000000002</v>
      </c>
      <c r="Q210">
        <v>3.2752530000000002E-2</v>
      </c>
      <c r="R210">
        <v>1.6631010000000002E-2</v>
      </c>
      <c r="S210">
        <v>3.0014340000000002</v>
      </c>
      <c r="T210">
        <v>2.055717E-2</v>
      </c>
      <c r="U210">
        <v>-1.77002E-3</v>
      </c>
      <c r="V210">
        <v>6.6964640000000001E-3</v>
      </c>
      <c r="W210">
        <v>3.6459770000000002E-2</v>
      </c>
      <c r="X210">
        <v>0.99931270000000005</v>
      </c>
      <c r="Y210">
        <v>2.39387E-2</v>
      </c>
      <c r="Z210">
        <v>2.4189449999999999E-4</v>
      </c>
      <c r="AA210">
        <v>0.99971339999999997</v>
      </c>
      <c r="AB210">
        <v>16</v>
      </c>
      <c r="AC210">
        <v>307.8424</v>
      </c>
      <c r="AD210">
        <v>2.1091839999999999</v>
      </c>
      <c r="AE210">
        <v>-0.18470000000001999</v>
      </c>
      <c r="AF210">
        <v>7.3724998018307302</v>
      </c>
      <c r="AG210">
        <v>2.1091839999999999</v>
      </c>
      <c r="AH210">
        <v>307.73970642523898</v>
      </c>
      <c r="AI210">
        <v>89.607425418270196</v>
      </c>
      <c r="AJ210">
        <v>88.627631307914896</v>
      </c>
      <c r="AK210">
        <v>307.83523079915</v>
      </c>
      <c r="AL210">
        <v>87.910545989989402</v>
      </c>
      <c r="AM210">
        <v>89.6160627378556</v>
      </c>
      <c r="AN210">
        <v>1.00000001491992</v>
      </c>
    </row>
    <row r="211" spans="1:40" x14ac:dyDescent="0.25">
      <c r="A211" t="str">
        <f>"20190312160307453"</f>
        <v>20190312160307453</v>
      </c>
      <c r="B211" t="str">
        <f>"1552377787444775"</f>
        <v>1552377787444775</v>
      </c>
      <c r="C211" t="s">
        <v>40</v>
      </c>
      <c r="D211">
        <v>5.0928760000000004</v>
      </c>
      <c r="E211">
        <v>0.50587760000000004</v>
      </c>
      <c r="F211" t="s">
        <v>42</v>
      </c>
      <c r="G211">
        <v>-158.19499999999999</v>
      </c>
      <c r="H211">
        <v>2.9771800000000002</v>
      </c>
      <c r="I211">
        <v>367.24630000000002</v>
      </c>
      <c r="J211">
        <v>-465.87830000000002</v>
      </c>
      <c r="K211">
        <v>1.109362</v>
      </c>
      <c r="L211">
        <v>367.37560000000002</v>
      </c>
      <c r="M211">
        <v>0.99971259999999995</v>
      </c>
      <c r="N211">
        <v>0</v>
      </c>
      <c r="O211">
        <v>2.3691460000000001E-2</v>
      </c>
      <c r="P211">
        <v>0.99932909999999997</v>
      </c>
      <c r="Q211">
        <v>3.2506060000000003E-2</v>
      </c>
      <c r="R211">
        <v>1.687452E-2</v>
      </c>
      <c r="S211">
        <v>3.001465</v>
      </c>
      <c r="T211">
        <v>1.8212200000000001E-2</v>
      </c>
      <c r="U211">
        <v>-1.2207030000000001E-3</v>
      </c>
      <c r="V211">
        <v>6.7941470000000004E-3</v>
      </c>
      <c r="W211">
        <v>3.6213889999999999E-2</v>
      </c>
      <c r="X211">
        <v>0.99932100000000001</v>
      </c>
      <c r="Y211">
        <v>2.409733E-2</v>
      </c>
      <c r="Z211">
        <v>2.1685190000000001E-4</v>
      </c>
      <c r="AA211">
        <v>0.99970959999999998</v>
      </c>
      <c r="AB211">
        <v>16</v>
      </c>
      <c r="AC211">
        <v>307.68329999999997</v>
      </c>
      <c r="AD211">
        <v>1.86781799999999</v>
      </c>
      <c r="AE211">
        <v>-0.1293</v>
      </c>
      <c r="AF211">
        <v>7.4185058720916102</v>
      </c>
      <c r="AG211">
        <v>1.86781799999999</v>
      </c>
      <c r="AH211">
        <v>307.58253930534801</v>
      </c>
      <c r="AI211">
        <v>89.652172516501395</v>
      </c>
      <c r="AJ211">
        <v>88.618365374460495</v>
      </c>
      <c r="AK211">
        <v>307.67765836826902</v>
      </c>
      <c r="AL211">
        <v>87.924643224771103</v>
      </c>
      <c r="AM211">
        <v>89.610465555312004</v>
      </c>
      <c r="AN211">
        <v>1.0000000336516901</v>
      </c>
    </row>
    <row r="212" spans="1:40" x14ac:dyDescent="0.25">
      <c r="A212" t="str">
        <f>"20190312160307464"</f>
        <v>20190312160307464</v>
      </c>
      <c r="B212" t="str">
        <f>"1552377787454535"</f>
        <v>1552377787454535</v>
      </c>
      <c r="C212" t="s">
        <v>40</v>
      </c>
      <c r="D212">
        <v>5.1139279999999996</v>
      </c>
      <c r="E212">
        <v>0.50588509999999998</v>
      </c>
      <c r="F212" t="s">
        <v>42</v>
      </c>
      <c r="G212">
        <v>-158.19499999999999</v>
      </c>
      <c r="H212">
        <v>2.7768480000000002</v>
      </c>
      <c r="I212">
        <v>367.30990000000003</v>
      </c>
      <c r="J212">
        <v>-465.79259999999999</v>
      </c>
      <c r="K212">
        <v>1.1093660000000001</v>
      </c>
      <c r="L212">
        <v>367.37779999999998</v>
      </c>
      <c r="M212">
        <v>0.99970809999999999</v>
      </c>
      <c r="N212">
        <v>0</v>
      </c>
      <c r="O212">
        <v>2.3875170000000001E-2</v>
      </c>
      <c r="P212">
        <v>0.99932750000000004</v>
      </c>
      <c r="Q212">
        <v>3.2404380000000003E-2</v>
      </c>
      <c r="R212">
        <v>1.7158139999999999E-2</v>
      </c>
      <c r="S212">
        <v>3.0014949999999998</v>
      </c>
      <c r="T212">
        <v>1.6267420000000001E-2</v>
      </c>
      <c r="U212">
        <v>-6.408691E-4</v>
      </c>
      <c r="V212">
        <v>6.6941680000000003E-3</v>
      </c>
      <c r="W212">
        <v>3.6112859999999997E-2</v>
      </c>
      <c r="X212">
        <v>0.99932529999999997</v>
      </c>
      <c r="Y212">
        <v>2.408809E-2</v>
      </c>
      <c r="Z212">
        <v>1.9466430000000001E-4</v>
      </c>
      <c r="AA212">
        <v>0.99970979999999998</v>
      </c>
      <c r="AB212">
        <v>16</v>
      </c>
      <c r="AC212">
        <v>307.5976</v>
      </c>
      <c r="AD212">
        <v>1.6674819999999899</v>
      </c>
      <c r="AE212">
        <v>-6.7899999999951804E-2</v>
      </c>
      <c r="AF212">
        <v>7.41165810297107</v>
      </c>
      <c r="AG212">
        <v>1.6674819999999899</v>
      </c>
      <c r="AH212">
        <v>307.49925969507001</v>
      </c>
      <c r="AI212">
        <v>89.689394356864298</v>
      </c>
      <c r="AJ212">
        <v>88.6192665242055</v>
      </c>
      <c r="AK212">
        <v>307.593088162058</v>
      </c>
      <c r="AL212">
        <v>87.930435542321206</v>
      </c>
      <c r="AM212">
        <v>89.616199212604798</v>
      </c>
      <c r="AN212">
        <v>1.0000000028813401</v>
      </c>
    </row>
    <row r="213" spans="1:40" x14ac:dyDescent="0.25">
      <c r="A213" t="str">
        <f>"20190312160307485"</f>
        <v>20190312160307485</v>
      </c>
      <c r="B213" t="str">
        <f>"1552377787475031"</f>
        <v>1552377787475031</v>
      </c>
      <c r="C213" t="s">
        <v>40</v>
      </c>
      <c r="D213">
        <v>5.1565799999999999</v>
      </c>
      <c r="E213">
        <v>0.50590990000000002</v>
      </c>
      <c r="F213" t="s">
        <v>42</v>
      </c>
      <c r="G213">
        <v>-158.19499999999999</v>
      </c>
      <c r="H213">
        <v>2.632981</v>
      </c>
      <c r="I213">
        <v>367.36840000000001</v>
      </c>
      <c r="J213">
        <v>-465.64350000000002</v>
      </c>
      <c r="K213">
        <v>1.10937</v>
      </c>
      <c r="L213">
        <v>367.38170000000002</v>
      </c>
      <c r="M213">
        <v>0.99970049999999999</v>
      </c>
      <c r="N213">
        <v>0</v>
      </c>
      <c r="O213">
        <v>2.4194299999999998E-2</v>
      </c>
      <c r="P213">
        <v>0.99931859999999995</v>
      </c>
      <c r="Q213">
        <v>3.2371070000000002E-2</v>
      </c>
      <c r="R213">
        <v>1.773856E-2</v>
      </c>
      <c r="S213">
        <v>3.0015559999999999</v>
      </c>
      <c r="T213">
        <v>1.486838E-2</v>
      </c>
      <c r="U213" s="1">
        <v>-9.1552730000000004E-5</v>
      </c>
      <c r="V213">
        <v>6.4321919999999998E-3</v>
      </c>
      <c r="W213">
        <v>3.6081410000000001E-2</v>
      </c>
      <c r="X213">
        <v>0.99932810000000005</v>
      </c>
      <c r="Y213">
        <v>2.4224369999999999E-2</v>
      </c>
      <c r="Z213">
        <v>1.7983720000000001E-4</v>
      </c>
      <c r="AA213">
        <v>0.99970650000000005</v>
      </c>
      <c r="AB213">
        <v>16</v>
      </c>
      <c r="AC213">
        <v>307.44850000000002</v>
      </c>
      <c r="AD213">
        <v>1.523611</v>
      </c>
      <c r="AE213">
        <v>-1.33000000000151E-2</v>
      </c>
      <c r="AF213">
        <v>7.4516647299001804</v>
      </c>
      <c r="AG213">
        <v>1.523611</v>
      </c>
      <c r="AH213">
        <v>307.35063105833899</v>
      </c>
      <c r="AI213">
        <v>89.716056806104902</v>
      </c>
      <c r="AJ213">
        <v>88.6111454784876</v>
      </c>
      <c r="AK213">
        <v>307.444725291694</v>
      </c>
      <c r="AL213">
        <v>87.932238552751699</v>
      </c>
      <c r="AM213">
        <v>89.631219851221999</v>
      </c>
      <c r="AN213">
        <v>0.99999994634556</v>
      </c>
    </row>
    <row r="214" spans="1:40" x14ac:dyDescent="0.25">
      <c r="A214" t="str">
        <f>"20190312160307498"</f>
        <v>20190312160307498</v>
      </c>
      <c r="B214" t="str">
        <f>"1552377787484791"</f>
        <v>1552377787484791</v>
      </c>
      <c r="C214" t="s">
        <v>40</v>
      </c>
      <c r="D214">
        <v>5.1457870000000003</v>
      </c>
      <c r="E214">
        <v>0.50593630000000001</v>
      </c>
      <c r="F214" t="s">
        <v>42</v>
      </c>
      <c r="G214">
        <v>-158.78319999999999</v>
      </c>
      <c r="H214">
        <v>2.4463279999999998</v>
      </c>
      <c r="I214">
        <v>367.52839999999998</v>
      </c>
      <c r="J214">
        <v>-465.55309999999997</v>
      </c>
      <c r="K214">
        <v>1.1093759999999999</v>
      </c>
      <c r="L214">
        <v>367.38420000000002</v>
      </c>
      <c r="M214">
        <v>0.99969569999999996</v>
      </c>
      <c r="N214">
        <v>0</v>
      </c>
      <c r="O214">
        <v>2.4388139999999999E-2</v>
      </c>
      <c r="P214">
        <v>0.99930830000000004</v>
      </c>
      <c r="Q214">
        <v>3.2383049999999997E-2</v>
      </c>
      <c r="R214">
        <v>1.828072E-2</v>
      </c>
      <c r="S214">
        <v>3.0015869999999998</v>
      </c>
      <c r="T214">
        <v>1.307845E-2</v>
      </c>
      <c r="U214">
        <v>1.4343260000000001E-3</v>
      </c>
      <c r="V214">
        <v>6.0837180000000001E-3</v>
      </c>
      <c r="W214">
        <v>3.6095240000000001E-2</v>
      </c>
      <c r="X214">
        <v>0.99932989999999999</v>
      </c>
      <c r="Y214">
        <v>2.3910130000000002E-2</v>
      </c>
      <c r="Z214">
        <v>1.583457E-4</v>
      </c>
      <c r="AA214">
        <v>0.99971410000000005</v>
      </c>
      <c r="AB214">
        <v>16</v>
      </c>
      <c r="AC214">
        <v>306.76990000000001</v>
      </c>
      <c r="AD214">
        <v>1.3369519999999999</v>
      </c>
      <c r="AE214">
        <v>0.144199999999955</v>
      </c>
      <c r="AF214">
        <v>7.3373021448024698</v>
      </c>
      <c r="AG214">
        <v>1.3369519999999999</v>
      </c>
      <c r="AH214">
        <v>306.67634658941699</v>
      </c>
      <c r="AI214">
        <v>89.750292748782499</v>
      </c>
      <c r="AJ214">
        <v>88.629446763177697</v>
      </c>
      <c r="AK214">
        <v>306.76702071905697</v>
      </c>
      <c r="AL214">
        <v>87.9314458780309</v>
      </c>
      <c r="AM214">
        <v>89.651199209513393</v>
      </c>
      <c r="AN214">
        <v>1.00000006350468</v>
      </c>
    </row>
    <row r="215" spans="1:40" x14ac:dyDescent="0.25">
      <c r="A215" t="str">
        <f>"20190312160307510"</f>
        <v>20190312160307510</v>
      </c>
      <c r="B215" t="str">
        <f>"1552377787505129"</f>
        <v>1552377787505129</v>
      </c>
      <c r="C215" t="s">
        <v>40</v>
      </c>
      <c r="D215">
        <v>5.1968139999999998</v>
      </c>
      <c r="E215">
        <v>0.50597150000000002</v>
      </c>
      <c r="F215" t="s">
        <v>42</v>
      </c>
      <c r="G215">
        <v>-158.78319999999999</v>
      </c>
      <c r="H215">
        <v>2.3819520000000001</v>
      </c>
      <c r="I215">
        <v>367.67739999999998</v>
      </c>
      <c r="J215">
        <v>-465.46339999999998</v>
      </c>
      <c r="K215">
        <v>1.1093839999999999</v>
      </c>
      <c r="L215">
        <v>367.38659999999999</v>
      </c>
      <c r="M215">
        <v>0.999691</v>
      </c>
      <c r="N215">
        <v>0</v>
      </c>
      <c r="O215">
        <v>2.458078E-2</v>
      </c>
      <c r="P215">
        <v>0.99929990000000002</v>
      </c>
      <c r="Q215">
        <v>3.2553899999999997E-2</v>
      </c>
      <c r="R215">
        <v>1.844469E-2</v>
      </c>
      <c r="S215">
        <v>3.001617</v>
      </c>
      <c r="T215">
        <v>1.245248E-2</v>
      </c>
      <c r="U215">
        <v>2.8686520000000002E-3</v>
      </c>
      <c r="V215">
        <v>6.1119950000000003E-3</v>
      </c>
      <c r="W215">
        <v>3.6268210000000002E-2</v>
      </c>
      <c r="X215">
        <v>0.99932339999999997</v>
      </c>
      <c r="Y215">
        <v>2.3625110000000001E-2</v>
      </c>
      <c r="Z215">
        <v>1.509731E-4</v>
      </c>
      <c r="AA215">
        <v>0.99972090000000002</v>
      </c>
      <c r="AB215">
        <v>16</v>
      </c>
      <c r="AC215">
        <v>306.68020000000001</v>
      </c>
      <c r="AD215">
        <v>1.2725679999999999</v>
      </c>
      <c r="AE215">
        <v>0.29079999999999001</v>
      </c>
      <c r="AF215">
        <v>7.24765320191878</v>
      </c>
      <c r="AG215">
        <v>1.2725679999999999</v>
      </c>
      <c r="AH215">
        <v>306.58940357547402</v>
      </c>
      <c r="AI215">
        <v>89.762248819118795</v>
      </c>
      <c r="AJ215">
        <v>88.6458024721464</v>
      </c>
      <c r="AK215">
        <v>306.67769773984998</v>
      </c>
      <c r="AL215">
        <v>87.921528799489906</v>
      </c>
      <c r="AM215">
        <v>89.649575751498304</v>
      </c>
      <c r="AN215">
        <v>0.99999999866352196</v>
      </c>
    </row>
    <row r="216" spans="1:40" x14ac:dyDescent="0.25">
      <c r="A216" t="str">
        <f>"20190312160307521"</f>
        <v>20190312160307521</v>
      </c>
      <c r="B216" t="str">
        <f>"1552377787514889"</f>
        <v>1552377787514889</v>
      </c>
      <c r="C216" t="s">
        <v>40</v>
      </c>
      <c r="D216">
        <v>5.1720079999999999</v>
      </c>
      <c r="E216">
        <v>0.50599300000000003</v>
      </c>
      <c r="F216" t="s">
        <v>42</v>
      </c>
      <c r="G216">
        <v>-158.78319999999999</v>
      </c>
      <c r="H216">
        <v>2.2673299999999998</v>
      </c>
      <c r="I216">
        <v>367.67340000000002</v>
      </c>
      <c r="J216">
        <v>-465.37450000000001</v>
      </c>
      <c r="K216">
        <v>1.109389</v>
      </c>
      <c r="L216">
        <v>367.38900000000001</v>
      </c>
      <c r="M216">
        <v>0.99968630000000003</v>
      </c>
      <c r="N216">
        <v>0</v>
      </c>
      <c r="O216">
        <v>2.4772410000000002E-2</v>
      </c>
      <c r="P216">
        <v>0.99930059999999998</v>
      </c>
      <c r="Q216">
        <v>3.2437059999999997E-2</v>
      </c>
      <c r="R216">
        <v>1.861376E-2</v>
      </c>
      <c r="S216">
        <v>3.0016780000000001</v>
      </c>
      <c r="T216">
        <v>1.133442E-2</v>
      </c>
      <c r="U216">
        <v>2.8076170000000001E-3</v>
      </c>
      <c r="V216">
        <v>6.134558E-3</v>
      </c>
      <c r="W216">
        <v>3.615384E-2</v>
      </c>
      <c r="X216">
        <v>0.99932739999999998</v>
      </c>
      <c r="Y216">
        <v>2.383716E-2</v>
      </c>
      <c r="Z216">
        <v>1.3853879999999901E-4</v>
      </c>
      <c r="AA216">
        <v>0.99971589999999999</v>
      </c>
      <c r="AB216">
        <v>16</v>
      </c>
      <c r="AC216">
        <v>306.59129999999999</v>
      </c>
      <c r="AD216">
        <v>1.1579410000000001</v>
      </c>
      <c r="AE216">
        <v>0.28440000000000498</v>
      </c>
      <c r="AF216">
        <v>7.3106401408957398</v>
      </c>
      <c r="AG216">
        <v>1.1579410000000001</v>
      </c>
      <c r="AH216">
        <v>306.49988427801799</v>
      </c>
      <c r="AI216">
        <v>89.783602031158196</v>
      </c>
      <c r="AJ216">
        <v>88.633639227614296</v>
      </c>
      <c r="AK216">
        <v>306.58924532518699</v>
      </c>
      <c r="AL216">
        <v>87.928086005829599</v>
      </c>
      <c r="AM216">
        <v>89.648283567899597</v>
      </c>
      <c r="AN216">
        <v>0.99999999266967998</v>
      </c>
    </row>
    <row r="217" spans="1:40" x14ac:dyDescent="0.25">
      <c r="A217" t="str">
        <f>"20190312160307534"</f>
        <v>20190312160307534</v>
      </c>
      <c r="B217" t="str">
        <f>"1552377787524650"</f>
        <v>1552377787524650</v>
      </c>
      <c r="C217" t="s">
        <v>40</v>
      </c>
      <c r="D217">
        <v>5.1596209999999996</v>
      </c>
      <c r="E217">
        <v>0.50603489999999995</v>
      </c>
      <c r="F217" t="s">
        <v>42</v>
      </c>
      <c r="G217">
        <v>-158.78319999999999</v>
      </c>
      <c r="H217">
        <v>2.191862</v>
      </c>
      <c r="I217">
        <v>367.72559999999999</v>
      </c>
      <c r="J217">
        <v>-465.28519999999997</v>
      </c>
      <c r="K217">
        <v>1.109391</v>
      </c>
      <c r="L217">
        <v>367.39139999999998</v>
      </c>
      <c r="M217">
        <v>0.9996815</v>
      </c>
      <c r="N217">
        <v>0</v>
      </c>
      <c r="O217">
        <v>2.4965230000000001E-2</v>
      </c>
      <c r="P217">
        <v>0.99928899999999998</v>
      </c>
      <c r="Q217">
        <v>3.2500130000000002E-2</v>
      </c>
      <c r="R217">
        <v>1.911175E-2</v>
      </c>
      <c r="S217">
        <v>3.001709</v>
      </c>
      <c r="T217">
        <v>1.05989E-2</v>
      </c>
      <c r="U217">
        <v>3.2958979999999998E-3</v>
      </c>
      <c r="V217">
        <v>5.8290719999999898E-3</v>
      </c>
      <c r="W217">
        <v>3.6219130000000002E-2</v>
      </c>
      <c r="X217">
        <v>0.99932690000000002</v>
      </c>
      <c r="Y217">
        <v>2.386742E-2</v>
      </c>
      <c r="Z217">
        <v>1.302815E-4</v>
      </c>
      <c r="AA217">
        <v>0.99971509999999997</v>
      </c>
      <c r="AB217">
        <v>16</v>
      </c>
      <c r="AC217">
        <v>306.50199999999899</v>
      </c>
      <c r="AD217">
        <v>1.082471</v>
      </c>
      <c r="AE217">
        <v>0.33420000000000899</v>
      </c>
      <c r="AF217">
        <v>7.3177579876386201</v>
      </c>
      <c r="AG217">
        <v>1.082471</v>
      </c>
      <c r="AH217">
        <v>306.41098979734102</v>
      </c>
      <c r="AI217">
        <v>89.797647328279297</v>
      </c>
      <c r="AJ217">
        <v>88.631912768006501</v>
      </c>
      <c r="AK217">
        <v>306.50027078946903</v>
      </c>
      <c r="AL217">
        <v>87.9243427866123</v>
      </c>
      <c r="AM217">
        <v>89.665797611995103</v>
      </c>
      <c r="AN217">
        <v>1.00000002826097</v>
      </c>
    </row>
    <row r="218" spans="1:40" x14ac:dyDescent="0.25">
      <c r="A218" t="str">
        <f>"20190312160307552"</f>
        <v>20190312160307552</v>
      </c>
      <c r="B218" t="str">
        <f>"1552377787545145"</f>
        <v>1552377787545145</v>
      </c>
      <c r="C218" t="s">
        <v>40</v>
      </c>
      <c r="D218">
        <v>5.1857790000000001</v>
      </c>
      <c r="E218">
        <v>0.50612840000000003</v>
      </c>
      <c r="F218" t="s">
        <v>42</v>
      </c>
      <c r="G218">
        <v>-158.78319999999999</v>
      </c>
      <c r="H218">
        <v>2.0809570000000002</v>
      </c>
      <c r="I218">
        <v>367.83390000000003</v>
      </c>
      <c r="J218">
        <v>-465.15039999999999</v>
      </c>
      <c r="K218">
        <v>1.109391</v>
      </c>
      <c r="L218">
        <v>367.39510000000001</v>
      </c>
      <c r="M218">
        <v>0.99967410000000001</v>
      </c>
      <c r="N218">
        <v>0</v>
      </c>
      <c r="O218">
        <v>2.52555E-2</v>
      </c>
      <c r="P218">
        <v>0.99929619999999997</v>
      </c>
      <c r="Q218">
        <v>3.2146950000000001E-2</v>
      </c>
      <c r="R218">
        <v>1.933617E-2</v>
      </c>
      <c r="S218">
        <v>3.0018009999999999</v>
      </c>
      <c r="T218">
        <v>9.5161199999999994E-3</v>
      </c>
      <c r="U218">
        <v>4.333496E-3</v>
      </c>
      <c r="V218">
        <v>5.8949579999999996E-3</v>
      </c>
      <c r="W218">
        <v>3.587079E-2</v>
      </c>
      <c r="X218">
        <v>0.99933899999999998</v>
      </c>
      <c r="Y218">
        <v>2.3812239999999998E-2</v>
      </c>
      <c r="Z218">
        <v>1.178009E-4</v>
      </c>
      <c r="AA218">
        <v>0.99971650000000001</v>
      </c>
      <c r="AB218">
        <v>16</v>
      </c>
      <c r="AC218">
        <v>306.36720000000003</v>
      </c>
      <c r="AD218">
        <v>0.97156600000000004</v>
      </c>
      <c r="AE218">
        <v>0.43880000000001401</v>
      </c>
      <c r="AF218">
        <v>7.2987769798044999</v>
      </c>
      <c r="AG218">
        <v>0.97156600000000004</v>
      </c>
      <c r="AH218">
        <v>306.277478413567</v>
      </c>
      <c r="AI218">
        <v>89.818299911234504</v>
      </c>
      <c r="AJ218">
        <v>88.634865407641797</v>
      </c>
      <c r="AK218">
        <v>306.36597374588803</v>
      </c>
      <c r="AL218">
        <v>87.944314016112799</v>
      </c>
      <c r="AM218">
        <v>89.662024301754599</v>
      </c>
      <c r="AN218">
        <v>0.99999995051302104</v>
      </c>
    </row>
    <row r="219" spans="1:40" x14ac:dyDescent="0.25">
      <c r="A219" t="str">
        <f>"20190312160307565"</f>
        <v>20190312160307565</v>
      </c>
      <c r="B219" t="str">
        <f>"1552377787554905"</f>
        <v>1552377787554905</v>
      </c>
      <c r="C219" t="s">
        <v>40</v>
      </c>
      <c r="D219">
        <v>5.1977169999999999</v>
      </c>
      <c r="E219">
        <v>0.50615580000000004</v>
      </c>
      <c r="F219" t="s">
        <v>42</v>
      </c>
      <c r="G219">
        <v>-158.78319999999999</v>
      </c>
      <c r="H219">
        <v>1.824524</v>
      </c>
      <c r="I219">
        <v>367.84050000000002</v>
      </c>
      <c r="J219">
        <v>-465.05599999999998</v>
      </c>
      <c r="K219">
        <v>1.1093919999999999</v>
      </c>
      <c r="L219">
        <v>367.39769999999999</v>
      </c>
      <c r="M219">
        <v>0.99966889999999997</v>
      </c>
      <c r="N219">
        <v>0</v>
      </c>
      <c r="O219">
        <v>2.5459409999999998E-2</v>
      </c>
      <c r="P219">
        <v>0.99929109999999999</v>
      </c>
      <c r="Q219">
        <v>3.231258E-2</v>
      </c>
      <c r="R219">
        <v>1.9320480000000001E-2</v>
      </c>
      <c r="S219">
        <v>3.0018310000000001</v>
      </c>
      <c r="T219">
        <v>7.0078369999999899E-3</v>
      </c>
      <c r="U219">
        <v>4.3640140000000003E-3</v>
      </c>
      <c r="V219">
        <v>6.1142389999999996E-3</v>
      </c>
      <c r="W219">
        <v>3.6040429999999998E-2</v>
      </c>
      <c r="X219">
        <v>0.99933170000000004</v>
      </c>
      <c r="Y219">
        <v>2.4006119999999999E-2</v>
      </c>
      <c r="Z219" s="1">
        <v>8.7452079999999994E-5</v>
      </c>
      <c r="AA219">
        <v>0.99971180000000004</v>
      </c>
      <c r="AB219">
        <v>17</v>
      </c>
      <c r="AC219">
        <v>306.27280000000002</v>
      </c>
      <c r="AD219">
        <v>0.71513199999999999</v>
      </c>
      <c r="AE219">
        <v>0.442800000000033</v>
      </c>
      <c r="AF219">
        <v>7.3548824487259203</v>
      </c>
      <c r="AG219">
        <v>0.71513199999999999</v>
      </c>
      <c r="AH219">
        <v>306.18312653811398</v>
      </c>
      <c r="AI219">
        <v>89.866216812275596</v>
      </c>
      <c r="AJ219">
        <v>88.623951935225804</v>
      </c>
      <c r="AK219">
        <v>306.27228520757001</v>
      </c>
      <c r="AL219">
        <v>87.934588320808601</v>
      </c>
      <c r="AM219">
        <v>89.649450008995103</v>
      </c>
      <c r="AN219">
        <v>1.0000000715690001</v>
      </c>
    </row>
    <row r="220" spans="1:40" x14ac:dyDescent="0.25">
      <c r="A220" t="str">
        <f>"20190312160307577"</f>
        <v>20190312160307577</v>
      </c>
      <c r="B220" t="str">
        <f>"1552377787575402"</f>
        <v>1552377787575402</v>
      </c>
      <c r="C220" t="s">
        <v>40</v>
      </c>
      <c r="D220">
        <v>5.1873610000000001</v>
      </c>
      <c r="E220">
        <v>0.50623640000000003</v>
      </c>
      <c r="F220" t="s">
        <v>42</v>
      </c>
      <c r="G220">
        <v>-158.78319999999999</v>
      </c>
      <c r="H220">
        <v>1.787439</v>
      </c>
      <c r="I220">
        <v>367.81180000000001</v>
      </c>
      <c r="J220">
        <v>-464.96879999999999</v>
      </c>
      <c r="K220">
        <v>1.109397</v>
      </c>
      <c r="L220">
        <v>367.40010000000001</v>
      </c>
      <c r="M220">
        <v>0.99966410000000006</v>
      </c>
      <c r="N220">
        <v>0</v>
      </c>
      <c r="O220">
        <v>2.5647099999999999E-2</v>
      </c>
      <c r="P220">
        <v>0.99929409999999996</v>
      </c>
      <c r="Q220">
        <v>3.2199730000000003E-2</v>
      </c>
      <c r="R220">
        <v>1.9352230000000002E-2</v>
      </c>
      <c r="S220">
        <v>3.0018310000000001</v>
      </c>
      <c r="T220">
        <v>6.6465140000000001E-3</v>
      </c>
      <c r="U220">
        <v>4.0588380000000004E-3</v>
      </c>
      <c r="V220">
        <v>6.2703389999999998E-3</v>
      </c>
      <c r="W220">
        <v>3.5931780000000003E-2</v>
      </c>
      <c r="X220">
        <v>0.99933459999999996</v>
      </c>
      <c r="Y220">
        <v>2.4295460000000001E-2</v>
      </c>
      <c r="Z220" s="1">
        <v>8.3678869999999906E-5</v>
      </c>
      <c r="AA220">
        <v>0.99970479999999995</v>
      </c>
      <c r="AB220">
        <v>17</v>
      </c>
      <c r="AC220">
        <v>306.18560000000002</v>
      </c>
      <c r="AD220">
        <v>0.67804200000000003</v>
      </c>
      <c r="AE220">
        <v>0.41169999999999601</v>
      </c>
      <c r="AF220">
        <v>7.4412262675877798</v>
      </c>
      <c r="AG220">
        <v>0.67804200000000003</v>
      </c>
      <c r="AH220">
        <v>306.09393953611698</v>
      </c>
      <c r="AI220">
        <v>89.873119321023594</v>
      </c>
      <c r="AJ220">
        <v>88.607398433425402</v>
      </c>
      <c r="AK220">
        <v>306.18512604314998</v>
      </c>
      <c r="AL220">
        <v>87.940817448404701</v>
      </c>
      <c r="AM220">
        <v>89.640501543483396</v>
      </c>
      <c r="AN220">
        <v>1.0000000263611499</v>
      </c>
    </row>
    <row r="221" spans="1:40" x14ac:dyDescent="0.25">
      <c r="A221" t="str">
        <f>"20190312160307590"</f>
        <v>20190312160307590</v>
      </c>
      <c r="B221" t="str">
        <f>"1552377787585161"</f>
        <v>1552377787585161</v>
      </c>
      <c r="C221" t="s">
        <v>40</v>
      </c>
      <c r="D221">
        <v>5.1792040000000004</v>
      </c>
      <c r="E221">
        <v>0.50634040000000002</v>
      </c>
      <c r="F221" t="s">
        <v>42</v>
      </c>
      <c r="G221">
        <v>-158.78319999999999</v>
      </c>
      <c r="H221">
        <v>1.612322</v>
      </c>
      <c r="I221">
        <v>367.7706</v>
      </c>
      <c r="J221">
        <v>-464.8777</v>
      </c>
      <c r="K221">
        <v>1.1093980000000001</v>
      </c>
      <c r="L221">
        <v>367.40269999999998</v>
      </c>
      <c r="M221">
        <v>0.99965899999999996</v>
      </c>
      <c r="N221">
        <v>0</v>
      </c>
      <c r="O221">
        <v>2.5843310000000001E-2</v>
      </c>
      <c r="P221">
        <v>0.99928240000000002</v>
      </c>
      <c r="Q221">
        <v>3.2486950000000001E-2</v>
      </c>
      <c r="R221">
        <v>1.9477189999999998E-2</v>
      </c>
      <c r="S221">
        <v>3.001862</v>
      </c>
      <c r="T221">
        <v>4.9315690000000002E-3</v>
      </c>
      <c r="U221">
        <v>3.6315919999999999E-3</v>
      </c>
      <c r="V221">
        <v>6.340994E-3</v>
      </c>
      <c r="W221">
        <v>3.6222940000000002E-2</v>
      </c>
      <c r="X221">
        <v>0.99932359999999998</v>
      </c>
      <c r="Y221">
        <v>2.4634039999999999E-2</v>
      </c>
      <c r="Z221" s="1">
        <v>6.2687730000000002E-5</v>
      </c>
      <c r="AA221">
        <v>0.99969660000000005</v>
      </c>
      <c r="AB221">
        <v>17</v>
      </c>
      <c r="AC221">
        <v>306.09449999999998</v>
      </c>
      <c r="AD221">
        <v>0.50292400000000004</v>
      </c>
      <c r="AE221">
        <v>0.36790000000001999</v>
      </c>
      <c r="AF221">
        <v>7.5427529707542504</v>
      </c>
      <c r="AG221">
        <v>0.50292400000000004</v>
      </c>
      <c r="AH221">
        <v>306.00094655937102</v>
      </c>
      <c r="AI221">
        <v>89.905860923141205</v>
      </c>
      <c r="AJ221">
        <v>88.587976866763796</v>
      </c>
      <c r="AK221">
        <v>306.09430793492101</v>
      </c>
      <c r="AL221">
        <v>87.924124253507898</v>
      </c>
      <c r="AM221">
        <v>89.636446774333606</v>
      </c>
      <c r="AN221">
        <v>0.99999998355205499</v>
      </c>
    </row>
    <row r="222" spans="1:40" x14ac:dyDescent="0.25">
      <c r="A222" t="str">
        <f>"20190312160307610"</f>
        <v>20190312160307610</v>
      </c>
      <c r="B222" t="str">
        <f>"1552377787604681"</f>
        <v>1552377787604681</v>
      </c>
      <c r="C222" t="s">
        <v>40</v>
      </c>
      <c r="D222">
        <v>4.9808789999999998</v>
      </c>
      <c r="E222">
        <v>0.50655090000000003</v>
      </c>
      <c r="F222" t="s">
        <v>42</v>
      </c>
      <c r="G222">
        <v>-158.78319999999999</v>
      </c>
      <c r="H222">
        <v>1.5077780000000001</v>
      </c>
      <c r="I222">
        <v>367.71390000000002</v>
      </c>
      <c r="J222">
        <v>-464.7244</v>
      </c>
      <c r="K222">
        <v>1.1093999999999999</v>
      </c>
      <c r="L222">
        <v>367.40699999999998</v>
      </c>
      <c r="M222">
        <v>0.99965040000000005</v>
      </c>
      <c r="N222">
        <v>0</v>
      </c>
      <c r="O222">
        <v>2.6173390000000001E-2</v>
      </c>
      <c r="P222">
        <v>0.99927790000000005</v>
      </c>
      <c r="Q222">
        <v>3.2647830000000003E-2</v>
      </c>
      <c r="R222">
        <v>1.943893E-2</v>
      </c>
      <c r="S222">
        <v>3.0019840000000002</v>
      </c>
      <c r="T222">
        <v>3.9079190000000001E-3</v>
      </c>
      <c r="U222">
        <v>3.0517579999999999E-3</v>
      </c>
      <c r="V222">
        <v>6.7089389999999997E-3</v>
      </c>
      <c r="W222">
        <v>3.6392109999999998E-2</v>
      </c>
      <c r="X222">
        <v>0.99931510000000001</v>
      </c>
      <c r="Y222">
        <v>2.5157289999999999E-2</v>
      </c>
      <c r="Z222" s="1">
        <v>5.0443759999999997E-5</v>
      </c>
      <c r="AA222">
        <v>0.99968349999999995</v>
      </c>
      <c r="AB222">
        <v>17</v>
      </c>
      <c r="AC222">
        <v>305.94119999999998</v>
      </c>
      <c r="AD222">
        <v>0.39837800000000001</v>
      </c>
      <c r="AE222">
        <v>0.30690000000004097</v>
      </c>
      <c r="AF222">
        <v>7.7007666064482203</v>
      </c>
      <c r="AG222">
        <v>0.39837800000000001</v>
      </c>
      <c r="AH222">
        <v>305.84390271749498</v>
      </c>
      <c r="AI222">
        <v>89.925392878213998</v>
      </c>
      <c r="AJ222">
        <v>88.557668742754402</v>
      </c>
      <c r="AK222">
        <v>305.94109456041701</v>
      </c>
      <c r="AL222">
        <v>87.914425233074496</v>
      </c>
      <c r="AM222">
        <v>89.615348437357895</v>
      </c>
      <c r="AN222">
        <v>1.0000000323103799</v>
      </c>
    </row>
    <row r="223" spans="1:40" x14ac:dyDescent="0.25">
      <c r="A223" t="str">
        <f>"20190312160307624"</f>
        <v>20190312160307624</v>
      </c>
      <c r="B223" t="str">
        <f>"1552377787614441"</f>
        <v>1552377787614441</v>
      </c>
      <c r="C223" t="s">
        <v>40</v>
      </c>
      <c r="D223">
        <v>4.5114640000000001</v>
      </c>
      <c r="E223">
        <v>0.5234143</v>
      </c>
      <c r="F223" t="s">
        <v>42</v>
      </c>
      <c r="G223">
        <v>-158.78319999999999</v>
      </c>
      <c r="H223">
        <v>1.6596249999999999</v>
      </c>
      <c r="I223">
        <v>367.51589999999999</v>
      </c>
      <c r="J223">
        <v>-464.61590000000001</v>
      </c>
      <c r="K223">
        <v>1.1094040000000001</v>
      </c>
      <c r="L223">
        <v>367.4101</v>
      </c>
      <c r="M223">
        <v>0.99964419999999998</v>
      </c>
      <c r="N223">
        <v>0</v>
      </c>
      <c r="O223">
        <v>2.640644E-2</v>
      </c>
      <c r="P223">
        <v>0.99927909999999998</v>
      </c>
      <c r="Q223">
        <v>3.2615209999999999E-2</v>
      </c>
      <c r="R223">
        <v>1.9429390000000001E-2</v>
      </c>
      <c r="S223">
        <v>3.0019840000000002</v>
      </c>
      <c r="T223">
        <v>5.3998229999999998E-3</v>
      </c>
      <c r="U223">
        <v>1.0681149999999999E-3</v>
      </c>
      <c r="V223">
        <v>6.9513839999999997E-3</v>
      </c>
      <c r="W223">
        <v>3.6365420000000002E-2</v>
      </c>
      <c r="X223">
        <v>0.99931440000000005</v>
      </c>
      <c r="Y223">
        <v>2.605087E-2</v>
      </c>
      <c r="Z223" s="1">
        <v>7.0924240000000004E-5</v>
      </c>
      <c r="AA223">
        <v>0.99966060000000001</v>
      </c>
      <c r="AB223">
        <v>17</v>
      </c>
      <c r="AC223">
        <v>305.83269999999999</v>
      </c>
      <c r="AD223">
        <v>0.55022099999999896</v>
      </c>
      <c r="AE223">
        <v>0.105799999999987</v>
      </c>
      <c r="AF223">
        <v>7.9702211714582401</v>
      </c>
      <c r="AG223">
        <v>0.55022099999999896</v>
      </c>
      <c r="AH223">
        <v>305.72785557428301</v>
      </c>
      <c r="AI223">
        <v>89.896919435891505</v>
      </c>
      <c r="AJ223">
        <v>88.506656767131005</v>
      </c>
      <c r="AK223">
        <v>305.83222335574902</v>
      </c>
      <c r="AL223">
        <v>87.915955439987897</v>
      </c>
      <c r="AM223">
        <v>89.601448211812496</v>
      </c>
      <c r="AN223">
        <v>1.00000001777932</v>
      </c>
    </row>
    <row r="224" spans="1:40" x14ac:dyDescent="0.25">
      <c r="A224" t="str">
        <f>"20190312160307643"</f>
        <v>20190312160307643</v>
      </c>
      <c r="B224" t="str">
        <f>"1552377787614441"</f>
        <v>1552377787614441</v>
      </c>
      <c r="C224" t="s">
        <v>40</v>
      </c>
      <c r="D224">
        <v>4.5114640000000001</v>
      </c>
      <c r="E224">
        <v>0.5234143</v>
      </c>
      <c r="F224" t="s">
        <v>49</v>
      </c>
      <c r="G224">
        <v>-463.89789999999999</v>
      </c>
      <c r="H224">
        <v>0.96893739999999995</v>
      </c>
      <c r="I224">
        <v>367.37099999999998</v>
      </c>
      <c r="J224">
        <v>-464.46890000000002</v>
      </c>
      <c r="K224">
        <v>1.10941</v>
      </c>
      <c r="L224">
        <v>367.41430000000003</v>
      </c>
      <c r="M224">
        <v>0.99963590000000002</v>
      </c>
      <c r="N224">
        <v>0</v>
      </c>
      <c r="O224">
        <v>2.6722159999999998E-2</v>
      </c>
      <c r="P224">
        <v>0.99927299999999997</v>
      </c>
      <c r="Q224">
        <v>3.2791859999999999E-2</v>
      </c>
      <c r="R224">
        <v>1.9449049999999999E-2</v>
      </c>
      <c r="S224">
        <v>3.024689</v>
      </c>
      <c r="T224">
        <v>-0.59179040000000005</v>
      </c>
      <c r="U224">
        <v>-0.1646118</v>
      </c>
      <c r="V224">
        <v>7.2469689999999998E-3</v>
      </c>
      <c r="W224">
        <v>3.6551260000000002E-2</v>
      </c>
      <c r="X224">
        <v>0.99930549999999996</v>
      </c>
      <c r="Y224">
        <v>7.9006339999999994E-2</v>
      </c>
      <c r="Z224">
        <v>-1.2826799999999999E-2</v>
      </c>
      <c r="AA224">
        <v>0.9967916</v>
      </c>
      <c r="AB224">
        <v>17</v>
      </c>
      <c r="AC224">
        <v>0.57100000000002604</v>
      </c>
      <c r="AD224">
        <v>-0.1404726</v>
      </c>
      <c r="AE224">
        <v>-4.3300000000044699E-2</v>
      </c>
      <c r="AF224">
        <v>5.5220092562069403E-2</v>
      </c>
      <c r="AG224">
        <v>-0.1404726</v>
      </c>
      <c r="AH224">
        <v>0.53730626223490496</v>
      </c>
      <c r="AI224">
        <v>104.577907217906</v>
      </c>
      <c r="AJ224">
        <v>84.132193384066298</v>
      </c>
      <c r="AK224">
        <v>0.55810378014323403</v>
      </c>
      <c r="AL224">
        <v>87.905300466842405</v>
      </c>
      <c r="AM224">
        <v>89.584497974690294</v>
      </c>
      <c r="AN224">
        <v>0.99999999774876203</v>
      </c>
    </row>
    <row r="225" spans="1:40" x14ac:dyDescent="0.25">
      <c r="A225" t="str">
        <f>"20190312160307656"</f>
        <v>20190312160307656</v>
      </c>
      <c r="B225" t="str">
        <f>"1552377787614441"</f>
        <v>1552377787614441</v>
      </c>
      <c r="C225" t="s">
        <v>40</v>
      </c>
      <c r="D225">
        <v>4.5114640000000001</v>
      </c>
      <c r="E225">
        <v>0.5234143</v>
      </c>
      <c r="F225" t="s">
        <v>49</v>
      </c>
      <c r="G225">
        <v>-463.7448</v>
      </c>
      <c r="H225">
        <v>0.9679236</v>
      </c>
      <c r="I225">
        <v>367.37479999999999</v>
      </c>
      <c r="J225">
        <v>-464.36689999999999</v>
      </c>
      <c r="K225">
        <v>1.1094120000000001</v>
      </c>
      <c r="L225">
        <v>367.41730000000001</v>
      </c>
      <c r="M225">
        <v>0.99962989999999996</v>
      </c>
      <c r="N225">
        <v>0</v>
      </c>
      <c r="O225">
        <v>2.6940490000000001E-2</v>
      </c>
      <c r="P225">
        <v>0.99926729999999997</v>
      </c>
      <c r="Q225">
        <v>3.27333E-2</v>
      </c>
      <c r="R225">
        <v>1.983505E-2</v>
      </c>
      <c r="S225">
        <v>3.0247799999999998</v>
      </c>
      <c r="T225">
        <v>-0.59114419999999901</v>
      </c>
      <c r="U225">
        <v>-0.16479489999999999</v>
      </c>
      <c r="V225">
        <v>7.079119E-3</v>
      </c>
      <c r="W225">
        <v>3.6499330000000003E-2</v>
      </c>
      <c r="X225">
        <v>0.99930859999999999</v>
      </c>
      <c r="Y225">
        <v>7.9277760000000003E-2</v>
      </c>
      <c r="Z225">
        <v>-1.2881149999999999E-2</v>
      </c>
      <c r="AA225">
        <v>0.99676929999999997</v>
      </c>
      <c r="AB225">
        <v>17</v>
      </c>
      <c r="AC225">
        <v>0.622099999999989</v>
      </c>
      <c r="AD225">
        <v>-0.14148839999999999</v>
      </c>
      <c r="AE225">
        <v>-4.25000000000181E-2</v>
      </c>
      <c r="AF225">
        <v>5.6343409551519202E-2</v>
      </c>
      <c r="AG225">
        <v>-0.14148839999999999</v>
      </c>
      <c r="AH225">
        <v>0.59033456257218397</v>
      </c>
      <c r="AI225">
        <v>103.41935929372799</v>
      </c>
      <c r="AJ225">
        <v>84.548023168322104</v>
      </c>
      <c r="AK225">
        <v>0.60966256478624503</v>
      </c>
      <c r="AL225">
        <v>87.908277820823201</v>
      </c>
      <c r="AM225">
        <v>89.594122519577297</v>
      </c>
      <c r="AN225">
        <v>0.99999999652511196</v>
      </c>
    </row>
    <row r="226" spans="1:40" x14ac:dyDescent="0.25">
      <c r="A226" t="str">
        <f>"20190312160307669"</f>
        <v>20190312160307669</v>
      </c>
      <c r="B226" t="str">
        <f>"1552377787665194"</f>
        <v>1552377787665194</v>
      </c>
      <c r="C226" t="s">
        <v>40</v>
      </c>
      <c r="D226">
        <v>5.1341839999999896</v>
      </c>
      <c r="E226">
        <v>0.52092799999999995</v>
      </c>
      <c r="F226" t="s">
        <v>49</v>
      </c>
      <c r="G226">
        <v>-463.59449999999998</v>
      </c>
      <c r="H226">
        <v>0.95850999999999997</v>
      </c>
      <c r="I226">
        <v>367.37490000000003</v>
      </c>
      <c r="J226">
        <v>-464.27120000000002</v>
      </c>
      <c r="K226">
        <v>1.109413</v>
      </c>
      <c r="L226">
        <v>367.42009999999999</v>
      </c>
      <c r="M226">
        <v>0.99962450000000003</v>
      </c>
      <c r="N226">
        <v>0</v>
      </c>
      <c r="O226">
        <v>2.7144390000000001E-2</v>
      </c>
      <c r="P226">
        <v>0.9992607</v>
      </c>
      <c r="Q226">
        <v>3.2848250000000002E-2</v>
      </c>
      <c r="R226">
        <v>1.998136E-2</v>
      </c>
      <c r="S226">
        <v>3.0248110000000001</v>
      </c>
      <c r="T226">
        <v>-0.59119119999999903</v>
      </c>
      <c r="U226">
        <v>-0.1642151</v>
      </c>
      <c r="V226">
        <v>7.1364289999999997E-3</v>
      </c>
      <c r="W226">
        <v>3.6620359999999998E-2</v>
      </c>
      <c r="X226">
        <v>0.99930379999999996</v>
      </c>
      <c r="Y226">
        <v>7.9285709999999995E-2</v>
      </c>
      <c r="Z226">
        <v>-1.2922309999999999E-2</v>
      </c>
      <c r="AA226">
        <v>0.99676819999999999</v>
      </c>
      <c r="AB226">
        <v>17</v>
      </c>
      <c r="AC226">
        <v>0.67670000000003905</v>
      </c>
      <c r="AD226">
        <v>-0.15090299999999901</v>
      </c>
      <c r="AE226">
        <v>-4.5199999999965698E-2</v>
      </c>
      <c r="AF226">
        <v>6.0554201458248601E-2</v>
      </c>
      <c r="AG226">
        <v>-0.15090299999999901</v>
      </c>
      <c r="AH226">
        <v>0.64337203891906802</v>
      </c>
      <c r="AI226">
        <v>103.144061538945</v>
      </c>
      <c r="AJ226">
        <v>84.623158721555498</v>
      </c>
      <c r="AK226">
        <v>0.66360086436511201</v>
      </c>
      <c r="AL226">
        <v>87.901338748107193</v>
      </c>
      <c r="AM226">
        <v>89.590834827529207</v>
      </c>
      <c r="AN226">
        <v>1.0000000320399201</v>
      </c>
    </row>
    <row r="227" spans="1:40" x14ac:dyDescent="0.25">
      <c r="A227" t="str">
        <f>"20190312160307685"</f>
        <v>20190312160307685</v>
      </c>
      <c r="B227" t="str">
        <f>"1552377787674954"</f>
        <v>1552377787674954</v>
      </c>
      <c r="C227" t="s">
        <v>40</v>
      </c>
      <c r="D227">
        <v>4.9861620000000002</v>
      </c>
      <c r="E227">
        <v>0.51915879999999903</v>
      </c>
      <c r="F227" t="s">
        <v>49</v>
      </c>
      <c r="G227">
        <v>-463.45100000000002</v>
      </c>
      <c r="H227">
        <v>0.93267809999999995</v>
      </c>
      <c r="I227">
        <v>367.37990000000002</v>
      </c>
      <c r="J227">
        <v>-464.13619999999997</v>
      </c>
      <c r="K227">
        <v>1.109413</v>
      </c>
      <c r="L227">
        <v>367.42410000000001</v>
      </c>
      <c r="M227">
        <v>0.99961670000000002</v>
      </c>
      <c r="N227">
        <v>0</v>
      </c>
      <c r="O227">
        <v>2.7431009999999999E-2</v>
      </c>
      <c r="P227">
        <v>0.99925339999999996</v>
      </c>
      <c r="Q227">
        <v>3.278938E-2</v>
      </c>
      <c r="R227">
        <v>2.0444830000000001E-2</v>
      </c>
      <c r="S227">
        <v>3.0266109999999999</v>
      </c>
      <c r="T227">
        <v>-0.6522886</v>
      </c>
      <c r="U227">
        <v>-0.14718629999999999</v>
      </c>
      <c r="V227">
        <v>6.9593459999999999E-3</v>
      </c>
      <c r="W227">
        <v>3.6570320000000003E-2</v>
      </c>
      <c r="X227">
        <v>0.9993069</v>
      </c>
      <c r="Y227">
        <v>7.3638040000000002E-2</v>
      </c>
      <c r="Z227">
        <v>-1.36824999999999E-2</v>
      </c>
      <c r="AA227">
        <v>0.99719120000000006</v>
      </c>
      <c r="AB227">
        <v>17</v>
      </c>
      <c r="AC227">
        <v>0.68520000000000802</v>
      </c>
      <c r="AD227">
        <v>-0.1767349</v>
      </c>
      <c r="AE227">
        <v>-4.4199999999989303E-2</v>
      </c>
      <c r="AF227">
        <v>5.9065923370597302E-2</v>
      </c>
      <c r="AG227">
        <v>-0.1767349</v>
      </c>
      <c r="AH227">
        <v>0.64124518289926302</v>
      </c>
      <c r="AI227">
        <v>105.34696202968099</v>
      </c>
      <c r="AJ227">
        <v>84.737261982997694</v>
      </c>
      <c r="AK227">
        <v>0.66777196165542996</v>
      </c>
      <c r="AL227">
        <v>87.904207789481305</v>
      </c>
      <c r="AM227">
        <v>89.600988737411001</v>
      </c>
      <c r="AN227">
        <v>1.00000005059462</v>
      </c>
    </row>
    <row r="228" spans="1:40" x14ac:dyDescent="0.25">
      <c r="A228" t="str">
        <f>"20190312160307698"</f>
        <v>20190312160307698</v>
      </c>
      <c r="B228" t="str">
        <f>"1552377787694474"</f>
        <v>1552377787694474</v>
      </c>
      <c r="C228" t="s">
        <v>40</v>
      </c>
      <c r="D228">
        <v>7.4224979999999903</v>
      </c>
      <c r="E228">
        <v>0.51810849999999997</v>
      </c>
      <c r="F228" t="s">
        <v>49</v>
      </c>
      <c r="G228">
        <v>-463.43549999999999</v>
      </c>
      <c r="H228">
        <v>0.96537519999999999</v>
      </c>
      <c r="I228">
        <v>367.3938</v>
      </c>
      <c r="J228">
        <v>-464.0428</v>
      </c>
      <c r="K228">
        <v>1.1094170000000001</v>
      </c>
      <c r="L228">
        <v>367.42689999999999</v>
      </c>
      <c r="M228">
        <v>0.99961120000000003</v>
      </c>
      <c r="N228">
        <v>0</v>
      </c>
      <c r="O228">
        <v>2.762734E-2</v>
      </c>
      <c r="P228">
        <v>0.9992605</v>
      </c>
      <c r="Q228">
        <v>3.2503079999999997E-2</v>
      </c>
      <c r="R228">
        <v>2.0553700000000001E-2</v>
      </c>
      <c r="S228">
        <v>3.0252690000000002</v>
      </c>
      <c r="T228">
        <v>-0.62205250000000001</v>
      </c>
      <c r="U228">
        <v>-0.1289978</v>
      </c>
      <c r="V228">
        <v>7.0470189999999999E-3</v>
      </c>
      <c r="W228">
        <v>3.6291089999999998E-2</v>
      </c>
      <c r="X228">
        <v>0.99931639999999999</v>
      </c>
      <c r="Y228">
        <v>6.8186220000000006E-2</v>
      </c>
      <c r="Z228">
        <v>-1.2554299999999999E-2</v>
      </c>
      <c r="AA228">
        <v>0.99759359999999997</v>
      </c>
      <c r="AB228">
        <v>17</v>
      </c>
      <c r="AC228">
        <v>0.60730000000000905</v>
      </c>
      <c r="AD228">
        <v>-0.1440418</v>
      </c>
      <c r="AE228">
        <v>-3.3099999999990297E-2</v>
      </c>
      <c r="AF228">
        <v>4.72171755975761E-2</v>
      </c>
      <c r="AG228">
        <v>-0.1440418</v>
      </c>
      <c r="AH228">
        <v>0.57396050237279606</v>
      </c>
      <c r="AI228">
        <v>104.042512266418</v>
      </c>
      <c r="AJ228">
        <v>85.297121287161602</v>
      </c>
      <c r="AK228">
        <v>0.59363975616756404</v>
      </c>
      <c r="AL228">
        <v>87.920216981080202</v>
      </c>
      <c r="AM228">
        <v>89.595966048201305</v>
      </c>
      <c r="AN228">
        <v>0.99999998549956703</v>
      </c>
    </row>
    <row r="229" spans="1:40" x14ac:dyDescent="0.25">
      <c r="A229" t="str">
        <f>"20190312160307711"</f>
        <v>20190312160307711</v>
      </c>
      <c r="B229" t="str">
        <f>"1552377787705209"</f>
        <v>1552377787705209</v>
      </c>
      <c r="C229" t="s">
        <v>40</v>
      </c>
      <c r="D229">
        <v>5.2518989999999999</v>
      </c>
      <c r="E229">
        <v>0.51787419999999995</v>
      </c>
      <c r="F229" t="s">
        <v>49</v>
      </c>
      <c r="G229">
        <v>-463.27179999999998</v>
      </c>
      <c r="H229">
        <v>0.97913090000000003</v>
      </c>
      <c r="I229">
        <v>367.3974</v>
      </c>
      <c r="J229">
        <v>-463.94189999999998</v>
      </c>
      <c r="K229">
        <v>1.1094139999999999</v>
      </c>
      <c r="L229">
        <v>367.42989999999998</v>
      </c>
      <c r="M229">
        <v>0.99960539999999998</v>
      </c>
      <c r="N229">
        <v>0</v>
      </c>
      <c r="O229">
        <v>2.783826E-2</v>
      </c>
      <c r="P229">
        <v>0.99925459999999999</v>
      </c>
      <c r="Q229">
        <v>3.2670360000000002E-2</v>
      </c>
      <c r="R229">
        <v>2.0579360000000001E-2</v>
      </c>
      <c r="S229">
        <v>3.0211790000000001</v>
      </c>
      <c r="T229">
        <v>-0.51068190000000002</v>
      </c>
      <c r="U229">
        <v>-0.1139526</v>
      </c>
      <c r="V229">
        <v>7.2320379999999997E-3</v>
      </c>
      <c r="W229">
        <v>3.6465490000000003E-2</v>
      </c>
      <c r="X229">
        <v>0.9993088</v>
      </c>
      <c r="Y229">
        <v>6.4191280000000003E-2</v>
      </c>
      <c r="Z229">
        <v>-1.00562E-2</v>
      </c>
      <c r="AA229">
        <v>0.99788699999999997</v>
      </c>
      <c r="AB229">
        <v>17</v>
      </c>
      <c r="AC229">
        <v>0.67009999999999004</v>
      </c>
      <c r="AD229">
        <v>-0.13028309999999901</v>
      </c>
      <c r="AE229">
        <v>-3.24999999999704E-2</v>
      </c>
      <c r="AF229">
        <v>4.9283391100248798E-2</v>
      </c>
      <c r="AG229">
        <v>-0.13028309999999901</v>
      </c>
      <c r="AH229">
        <v>0.64462559126193497</v>
      </c>
      <c r="AI229">
        <v>101.39356748351599</v>
      </c>
      <c r="AJ229">
        <v>85.628085551411203</v>
      </c>
      <c r="AK229">
        <v>0.65950336746202398</v>
      </c>
      <c r="AL229">
        <v>87.910218126037094</v>
      </c>
      <c r="AM229">
        <v>89.585355376823301</v>
      </c>
      <c r="AN229">
        <v>1.0000000560460001</v>
      </c>
    </row>
    <row r="230" spans="1:40" x14ac:dyDescent="0.25">
      <c r="A230" t="str">
        <f>"20190312160307722"</f>
        <v>20190312160307722</v>
      </c>
      <c r="B230" t="str">
        <f>"1552377787714969"</f>
        <v>1552377787714969</v>
      </c>
      <c r="C230" t="s">
        <v>40</v>
      </c>
      <c r="D230">
        <v>5.2031169999999998</v>
      </c>
      <c r="E230">
        <v>0.51752900000000002</v>
      </c>
      <c r="F230" t="s">
        <v>49</v>
      </c>
      <c r="G230">
        <v>-463.10969999999998</v>
      </c>
      <c r="H230">
        <v>0.98666489999999996</v>
      </c>
      <c r="I230">
        <v>367.4</v>
      </c>
      <c r="J230">
        <v>-463.84199999999998</v>
      </c>
      <c r="K230">
        <v>1.109415</v>
      </c>
      <c r="L230">
        <v>367.43290000000002</v>
      </c>
      <c r="M230">
        <v>0.99959949999999997</v>
      </c>
      <c r="N230">
        <v>0</v>
      </c>
      <c r="O230">
        <v>2.8045670000000002E-2</v>
      </c>
      <c r="P230">
        <v>0.99924239999999998</v>
      </c>
      <c r="Q230">
        <v>3.2808610000000002E-2</v>
      </c>
      <c r="R230">
        <v>2.093633E-2</v>
      </c>
      <c r="S230">
        <v>3.019012</v>
      </c>
      <c r="T230">
        <v>-0.44520969999999999</v>
      </c>
      <c r="U230">
        <v>-0.1087036</v>
      </c>
      <c r="V230">
        <v>7.0824390000000003E-3</v>
      </c>
      <c r="W230">
        <v>3.6611310000000001E-2</v>
      </c>
      <c r="X230">
        <v>0.99930450000000004</v>
      </c>
      <c r="Y230">
        <v>6.3012860000000004E-2</v>
      </c>
      <c r="Z230">
        <v>-8.7321919999999997E-3</v>
      </c>
      <c r="AA230">
        <v>0.99797449999999999</v>
      </c>
      <c r="AB230">
        <v>18</v>
      </c>
      <c r="AC230">
        <v>0.73230000000000905</v>
      </c>
      <c r="AD230">
        <v>-0.1227501</v>
      </c>
      <c r="AE230">
        <v>-3.2900000000040501E-2</v>
      </c>
      <c r="AF230">
        <v>5.1967831159137799E-2</v>
      </c>
      <c r="AG230">
        <v>-0.1227501</v>
      </c>
      <c r="AH230">
        <v>0.71114809141094804</v>
      </c>
      <c r="AI230">
        <v>99.767690464390498</v>
      </c>
      <c r="AJ230">
        <v>85.820484879302697</v>
      </c>
      <c r="AK230">
        <v>0.72353289520437702</v>
      </c>
      <c r="AL230">
        <v>87.901857589891605</v>
      </c>
      <c r="AM230">
        <v>89.593930509554397</v>
      </c>
      <c r="AN230">
        <v>1.00000001634117</v>
      </c>
    </row>
    <row r="231" spans="1:40" x14ac:dyDescent="0.25">
      <c r="A231" t="str">
        <f>"20190312160307735"</f>
        <v>20190312160307735</v>
      </c>
      <c r="B231" t="str">
        <f>"1552377787724729"</f>
        <v>1552377787724729</v>
      </c>
      <c r="C231" t="s">
        <v>40</v>
      </c>
      <c r="D231">
        <v>5.1818900000000001</v>
      </c>
      <c r="E231">
        <v>0.51752900000000002</v>
      </c>
      <c r="F231" t="s">
        <v>49</v>
      </c>
      <c r="G231">
        <v>-463.0967</v>
      </c>
      <c r="H231">
        <v>1.014022</v>
      </c>
      <c r="I231">
        <v>367.40789999999998</v>
      </c>
      <c r="J231">
        <v>-463.74900000000002</v>
      </c>
      <c r="K231">
        <v>1.1094139999999999</v>
      </c>
      <c r="L231">
        <v>367.4357</v>
      </c>
      <c r="M231">
        <v>0.99959410000000004</v>
      </c>
      <c r="N231">
        <v>0</v>
      </c>
      <c r="O231">
        <v>2.8236810000000001E-2</v>
      </c>
      <c r="P231">
        <v>0.99924120000000005</v>
      </c>
      <c r="Q231">
        <v>3.2853359999999998E-2</v>
      </c>
      <c r="R231">
        <v>2.093134E-2</v>
      </c>
      <c r="S231">
        <v>3.01709</v>
      </c>
      <c r="T231">
        <v>-0.38607910000000001</v>
      </c>
      <c r="U231">
        <v>-0.1015625</v>
      </c>
      <c r="V231">
        <v>7.2785219999999999E-3</v>
      </c>
      <c r="W231">
        <v>3.6663719999999997E-2</v>
      </c>
      <c r="X231">
        <v>0.99930110000000005</v>
      </c>
      <c r="Y231">
        <v>6.1122990000000002E-2</v>
      </c>
      <c r="Z231">
        <v>-7.491513E-3</v>
      </c>
      <c r="AA231">
        <v>0.99810209999999999</v>
      </c>
      <c r="AB231">
        <v>18</v>
      </c>
      <c r="AC231">
        <v>0.65230000000002497</v>
      </c>
      <c r="AD231">
        <v>-9.5391999999999894E-2</v>
      </c>
      <c r="AE231">
        <v>-2.78000000000133E-2</v>
      </c>
      <c r="AF231">
        <v>4.5242124971886399E-2</v>
      </c>
      <c r="AG231">
        <v>-9.5391999999999894E-2</v>
      </c>
      <c r="AH231">
        <v>0.637643013513438</v>
      </c>
      <c r="AI231">
        <v>98.487378628848603</v>
      </c>
      <c r="AJ231">
        <v>85.941544100206301</v>
      </c>
      <c r="AK231">
        <v>0.64632429647853196</v>
      </c>
      <c r="AL231">
        <v>87.898852554647902</v>
      </c>
      <c r="AM231">
        <v>89.582687122698303</v>
      </c>
      <c r="AN231">
        <v>0.99999994685397497</v>
      </c>
    </row>
    <row r="232" spans="1:40" x14ac:dyDescent="0.25">
      <c r="A232" t="str">
        <f>"20190312160307754"</f>
        <v>20190312160307754</v>
      </c>
      <c r="B232" t="str">
        <f>"1552377787745225"</f>
        <v>1552377787745225</v>
      </c>
      <c r="C232" t="s">
        <v>40</v>
      </c>
      <c r="D232">
        <v>5.2265189999999997</v>
      </c>
      <c r="E232">
        <v>0.52017590000000002</v>
      </c>
      <c r="F232" t="s">
        <v>49</v>
      </c>
      <c r="G232">
        <v>-462.94099999999997</v>
      </c>
      <c r="H232">
        <v>1.006149</v>
      </c>
      <c r="I232">
        <v>367.40809999999999</v>
      </c>
      <c r="J232">
        <v>-463.59980000000002</v>
      </c>
      <c r="K232">
        <v>1.1094170000000001</v>
      </c>
      <c r="L232">
        <v>367.44029999999998</v>
      </c>
      <c r="M232">
        <v>0.99958539999999996</v>
      </c>
      <c r="N232">
        <v>0</v>
      </c>
      <c r="O232">
        <v>2.8540889999999999E-2</v>
      </c>
      <c r="P232">
        <v>0.99925330000000001</v>
      </c>
      <c r="Q232">
        <v>3.223641E-2</v>
      </c>
      <c r="R232">
        <v>2.130311E-2</v>
      </c>
      <c r="S232">
        <v>3.0171199999999998</v>
      </c>
      <c r="T232">
        <v>-0.38583790000000001</v>
      </c>
      <c r="U232">
        <v>-0.1021118</v>
      </c>
      <c r="V232">
        <v>7.211566E-3</v>
      </c>
      <c r="W232">
        <v>3.6058550000000002E-2</v>
      </c>
      <c r="X232">
        <v>0.99932370000000004</v>
      </c>
      <c r="Y232">
        <v>6.1602339999999998E-2</v>
      </c>
      <c r="Z232">
        <v>-7.5560100000000002E-3</v>
      </c>
      <c r="AA232">
        <v>0.99807210000000002</v>
      </c>
      <c r="AB232">
        <v>18</v>
      </c>
      <c r="AC232">
        <v>0.65880000000004202</v>
      </c>
      <c r="AD232">
        <v>-0.103268</v>
      </c>
      <c r="AE232">
        <v>-3.2199999999988897E-2</v>
      </c>
      <c r="AF232">
        <v>4.9769773581637401E-2</v>
      </c>
      <c r="AG232">
        <v>-0.103268</v>
      </c>
      <c r="AH232">
        <v>0.64187852986626304</v>
      </c>
      <c r="AI232">
        <v>99.112765206275</v>
      </c>
      <c r="AJ232">
        <v>85.566289138217499</v>
      </c>
      <c r="AK232">
        <v>0.65203478226981304</v>
      </c>
      <c r="AL232">
        <v>87.933549384029803</v>
      </c>
      <c r="AM232">
        <v>89.586535250704699</v>
      </c>
      <c r="AN232">
        <v>1.0000000415469801</v>
      </c>
    </row>
    <row r="233" spans="1:40" x14ac:dyDescent="0.25">
      <c r="A233" t="str">
        <f>"20190312160307766"</f>
        <v>20190312160307766</v>
      </c>
      <c r="B233" t="str">
        <f>"1552377787754985"</f>
        <v>1552377787754985</v>
      </c>
      <c r="C233" t="s">
        <v>40</v>
      </c>
      <c r="D233">
        <v>5.2451739999999996</v>
      </c>
      <c r="E233">
        <v>0.51922199999999996</v>
      </c>
      <c r="F233" t="s">
        <v>42</v>
      </c>
      <c r="G233">
        <v>-158.19499999999999</v>
      </c>
      <c r="H233">
        <v>1.6126860000000001</v>
      </c>
      <c r="I233">
        <v>357.07220000000001</v>
      </c>
      <c r="J233">
        <v>-463.49779999999998</v>
      </c>
      <c r="K233">
        <v>1.1094139999999999</v>
      </c>
      <c r="L233">
        <v>367.4434</v>
      </c>
      <c r="M233">
        <v>0.99957949999999995</v>
      </c>
      <c r="N233">
        <v>0</v>
      </c>
      <c r="O233">
        <v>2.8746089999999998E-2</v>
      </c>
      <c r="P233">
        <v>0.99926079999999995</v>
      </c>
      <c r="Q233">
        <v>3.1909E-2</v>
      </c>
      <c r="R233">
        <v>2.1442159999999998E-2</v>
      </c>
      <c r="S233">
        <v>3.0042420000000001</v>
      </c>
      <c r="T233">
        <v>4.9514770000000001E-3</v>
      </c>
      <c r="U233">
        <v>-0.1019897</v>
      </c>
      <c r="V233">
        <v>7.2781919999999898E-3</v>
      </c>
      <c r="W233">
        <v>3.5738800000000001E-2</v>
      </c>
      <c r="X233">
        <v>0.99933459999999996</v>
      </c>
      <c r="Y233">
        <v>6.2644640000000001E-2</v>
      </c>
      <c r="Z233" s="1">
        <v>9.8975110000000001E-5</v>
      </c>
      <c r="AA233">
        <v>0.99803589999999998</v>
      </c>
      <c r="AB233">
        <v>18</v>
      </c>
      <c r="AC233">
        <v>305.30279999999999</v>
      </c>
      <c r="AD233">
        <v>0.50327200000000005</v>
      </c>
      <c r="AE233">
        <v>-10.3711999999999</v>
      </c>
      <c r="AF233">
        <v>19.143187367962199</v>
      </c>
      <c r="AG233">
        <v>0.50327200000000005</v>
      </c>
      <c r="AH233">
        <v>304.877669387781</v>
      </c>
      <c r="AI233">
        <v>89.905605875758297</v>
      </c>
      <c r="AJ233">
        <v>86.407130055894399</v>
      </c>
      <c r="AK233">
        <v>305.478490562979</v>
      </c>
      <c r="AL233">
        <v>87.951881313615701</v>
      </c>
      <c r="AM233">
        <v>89.582720030686701</v>
      </c>
      <c r="AN233">
        <v>0.99999993833069201</v>
      </c>
    </row>
    <row r="234" spans="1:40" x14ac:dyDescent="0.25">
      <c r="A234" t="str">
        <f>"20190312160307778"</f>
        <v>20190312160307778</v>
      </c>
      <c r="B234" t="str">
        <f>"1552377787774507"</f>
        <v>1552377787774507</v>
      </c>
      <c r="C234" t="s">
        <v>40</v>
      </c>
      <c r="D234">
        <v>5.3419049999999997</v>
      </c>
      <c r="E234">
        <v>0.51983259999999998</v>
      </c>
      <c r="F234" t="s">
        <v>41</v>
      </c>
      <c r="G234">
        <v>-221.1447</v>
      </c>
      <c r="H234" s="1">
        <v>-5.6139770000000004E-6</v>
      </c>
      <c r="I234">
        <v>359.79059999999998</v>
      </c>
      <c r="J234">
        <v>-463.40719999999999</v>
      </c>
      <c r="K234">
        <v>1.109415</v>
      </c>
      <c r="L234">
        <v>367.44619999999998</v>
      </c>
      <c r="M234">
        <v>0.99957439999999997</v>
      </c>
      <c r="N234">
        <v>0</v>
      </c>
      <c r="O234">
        <v>2.892482E-2</v>
      </c>
      <c r="P234">
        <v>0.99926230000000005</v>
      </c>
      <c r="Q234">
        <v>3.177576E-2</v>
      </c>
      <c r="R234">
        <v>2.1579939999999999E-2</v>
      </c>
      <c r="S234">
        <v>3.0047000000000001</v>
      </c>
      <c r="T234">
        <v>-1.375461E-2</v>
      </c>
      <c r="U234">
        <v>-9.4879149999999995E-2</v>
      </c>
      <c r="V234">
        <v>7.31927599999999E-3</v>
      </c>
      <c r="W234">
        <v>3.5613470000000001E-2</v>
      </c>
      <c r="X234">
        <v>0.99933890000000003</v>
      </c>
      <c r="Y234">
        <v>6.0457669999999998E-2</v>
      </c>
      <c r="Z234">
        <v>-2.7072089999999999E-4</v>
      </c>
      <c r="AA234">
        <v>0.99817069999999997</v>
      </c>
      <c r="AB234">
        <v>18</v>
      </c>
      <c r="AC234">
        <v>242.26249999999999</v>
      </c>
      <c r="AD234">
        <v>-1.109420613977</v>
      </c>
      <c r="AE234">
        <v>-7.65559999999999</v>
      </c>
      <c r="AF234">
        <v>14.6595392208657</v>
      </c>
      <c r="AG234">
        <v>-1.109420613977</v>
      </c>
      <c r="AH234">
        <v>241.93462645227001</v>
      </c>
      <c r="AI234">
        <v>90.262253928302002</v>
      </c>
      <c r="AJ234">
        <v>86.532517641995895</v>
      </c>
      <c r="AK234">
        <v>242.38089112152801</v>
      </c>
      <c r="AL234">
        <v>87.9590670250345</v>
      </c>
      <c r="AM234">
        <v>89.580366454729997</v>
      </c>
      <c r="AN234">
        <v>1.0000000640499001</v>
      </c>
    </row>
    <row r="235" spans="1:40" x14ac:dyDescent="0.25">
      <c r="A235" t="str">
        <f>"20190312160307798"</f>
        <v>20190312160307798</v>
      </c>
      <c r="B235" t="str">
        <f>"1552377787795001"</f>
        <v>1552377787795001</v>
      </c>
      <c r="C235" t="s">
        <v>40</v>
      </c>
      <c r="D235">
        <v>5.2756480000000003</v>
      </c>
      <c r="E235">
        <v>0.51926349999999999</v>
      </c>
      <c r="F235" t="s">
        <v>41</v>
      </c>
      <c r="G235">
        <v>-355.4923</v>
      </c>
      <c r="H235" s="1">
        <v>-3.05264E-6</v>
      </c>
      <c r="I235">
        <v>363.85629999999998</v>
      </c>
      <c r="J235">
        <v>-463.23419999999999</v>
      </c>
      <c r="K235">
        <v>1.1094090000000001</v>
      </c>
      <c r="L235">
        <v>367.45159999999998</v>
      </c>
      <c r="M235">
        <v>0.99956429999999996</v>
      </c>
      <c r="N235">
        <v>0</v>
      </c>
      <c r="O235">
        <v>2.9261309999999999E-2</v>
      </c>
      <c r="P235">
        <v>0.999251</v>
      </c>
      <c r="Q235">
        <v>3.1802009999999999E-2</v>
      </c>
      <c r="R235">
        <v>2.2055990000000001E-2</v>
      </c>
      <c r="S235">
        <v>3.0053709999999998</v>
      </c>
      <c r="T235">
        <v>-3.0896659999999999E-2</v>
      </c>
      <c r="U235">
        <v>-9.9975590000000003E-2</v>
      </c>
      <c r="V235">
        <v>7.1796250000000002E-3</v>
      </c>
      <c r="W235">
        <v>3.5655399999999997E-2</v>
      </c>
      <c r="X235">
        <v>0.99933830000000001</v>
      </c>
      <c r="Y235">
        <v>6.2473519999999998E-2</v>
      </c>
      <c r="Z235">
        <v>-6.2176769999999998E-4</v>
      </c>
      <c r="AA235">
        <v>0.9980464</v>
      </c>
      <c r="AB235">
        <v>18</v>
      </c>
      <c r="AC235">
        <v>107.7419</v>
      </c>
      <c r="AD235">
        <v>-1.10941205264</v>
      </c>
      <c r="AE235">
        <v>-3.5952999999999999</v>
      </c>
      <c r="AF235">
        <v>6.7457387797680397</v>
      </c>
      <c r="AG235">
        <v>-1.10941205264</v>
      </c>
      <c r="AH235">
        <v>107.579166230325</v>
      </c>
      <c r="AI235">
        <v>90.589684722290599</v>
      </c>
      <c r="AJ235">
        <v>86.411972653552596</v>
      </c>
      <c r="AK235">
        <v>107.796163167337</v>
      </c>
      <c r="AL235">
        <v>87.956662845494606</v>
      </c>
      <c r="AM235">
        <v>89.588372492400396</v>
      </c>
      <c r="AN235">
        <v>0.99999994620559396</v>
      </c>
    </row>
    <row r="236" spans="1:40" x14ac:dyDescent="0.25">
      <c r="A236" t="str">
        <f>"20190312160307813"</f>
        <v>20190312160307813</v>
      </c>
      <c r="B236" t="str">
        <f>"1552377787804762"</f>
        <v>1552377787804762</v>
      </c>
      <c r="C236" t="s">
        <v>40</v>
      </c>
      <c r="D236">
        <v>5.3832449999999996</v>
      </c>
      <c r="E236">
        <v>0.51956359999999902</v>
      </c>
      <c r="F236" t="s">
        <v>41</v>
      </c>
      <c r="G236">
        <v>-394.6465</v>
      </c>
      <c r="H236" s="1">
        <v>-3.0480779999999999E-6</v>
      </c>
      <c r="I236">
        <v>365.28039999999999</v>
      </c>
      <c r="J236">
        <v>-463.1207</v>
      </c>
      <c r="K236">
        <v>1.1094029999999999</v>
      </c>
      <c r="L236">
        <v>367.45519999999999</v>
      </c>
      <c r="M236">
        <v>0.99955819999999995</v>
      </c>
      <c r="N236">
        <v>0</v>
      </c>
      <c r="O236">
        <v>2.9476570000000001E-2</v>
      </c>
      <c r="P236">
        <v>0.99924800000000003</v>
      </c>
      <c r="Q236">
        <v>3.1641809999999999E-2</v>
      </c>
      <c r="R236">
        <v>2.2422290000000001E-2</v>
      </c>
      <c r="S236">
        <v>3.00589</v>
      </c>
      <c r="T236">
        <v>-4.8620459999999997E-2</v>
      </c>
      <c r="U236">
        <v>-9.5153810000000005E-2</v>
      </c>
      <c r="V236">
        <v>7.0290819999999999E-3</v>
      </c>
      <c r="W236">
        <v>3.5505769999999999E-2</v>
      </c>
      <c r="X236">
        <v>0.99934480000000003</v>
      </c>
      <c r="Y236">
        <v>6.107638E-2</v>
      </c>
      <c r="Z236">
        <v>-9.7044350000000004E-4</v>
      </c>
      <c r="AA236">
        <v>0.99813260000000004</v>
      </c>
      <c r="AB236">
        <v>18</v>
      </c>
      <c r="AC236">
        <v>68.474199999999996</v>
      </c>
      <c r="AD236">
        <v>-1.1094060480779999</v>
      </c>
      <c r="AE236">
        <v>-2.1747999999999998</v>
      </c>
      <c r="AF236">
        <v>4.19115512959009</v>
      </c>
      <c r="AG236">
        <v>-1.1094060480779999</v>
      </c>
      <c r="AH236">
        <v>68.3624125065909</v>
      </c>
      <c r="AI236">
        <v>90.927989689877194</v>
      </c>
      <c r="AJ236">
        <v>86.491707858658103</v>
      </c>
      <c r="AK236">
        <v>68.499751874157099</v>
      </c>
      <c r="AL236">
        <v>87.965241653547906</v>
      </c>
      <c r="AM236">
        <v>89.597005867100407</v>
      </c>
      <c r="AN236">
        <v>1.0000000484920399</v>
      </c>
    </row>
    <row r="237" spans="1:40" x14ac:dyDescent="0.25">
      <c r="A237" t="str">
        <f>"20190312160307829"</f>
        <v>20190312160307829</v>
      </c>
      <c r="B237" t="str">
        <f>"1552377787825258"</f>
        <v>1552377787825258</v>
      </c>
      <c r="C237" t="s">
        <v>40</v>
      </c>
      <c r="D237">
        <v>5.2710129999999999</v>
      </c>
      <c r="E237">
        <v>0.51887550000000005</v>
      </c>
      <c r="F237" t="s">
        <v>43</v>
      </c>
      <c r="G237">
        <v>-405.61900000000003</v>
      </c>
      <c r="H237">
        <v>-0.05</v>
      </c>
      <c r="I237">
        <v>365.60019999999997</v>
      </c>
      <c r="J237">
        <v>-462.99770000000001</v>
      </c>
      <c r="K237">
        <v>1.1093999999999999</v>
      </c>
      <c r="L237">
        <v>367.45909999999998</v>
      </c>
      <c r="M237">
        <v>0.99955119999999997</v>
      </c>
      <c r="N237">
        <v>0</v>
      </c>
      <c r="O237">
        <v>2.9705180000000001E-2</v>
      </c>
      <c r="P237">
        <v>0.99923379999999995</v>
      </c>
      <c r="Q237">
        <v>3.1707350000000002E-2</v>
      </c>
      <c r="R237">
        <v>2.2949770000000001E-2</v>
      </c>
      <c r="S237">
        <v>3.006348</v>
      </c>
      <c r="T237">
        <v>-6.0616730000000001E-2</v>
      </c>
      <c r="U237">
        <v>-9.6984860000000006E-2</v>
      </c>
      <c r="V237">
        <v>6.7301959999999999E-3</v>
      </c>
      <c r="W237">
        <v>3.5583910000000003E-2</v>
      </c>
      <c r="X237">
        <v>0.99934409999999896</v>
      </c>
      <c r="Y237">
        <v>6.1900379999999998E-2</v>
      </c>
      <c r="Z237">
        <v>-1.222557E-3</v>
      </c>
      <c r="AA237">
        <v>0.99808160000000001</v>
      </c>
      <c r="AB237">
        <v>18</v>
      </c>
      <c r="AC237">
        <v>57.378699999999903</v>
      </c>
      <c r="AD237">
        <v>-1.1594</v>
      </c>
      <c r="AE237">
        <v>-1.8589</v>
      </c>
      <c r="AF237">
        <v>3.5610846390890099</v>
      </c>
      <c r="AG237">
        <v>-1.1594</v>
      </c>
      <c r="AH237">
        <v>57.2747992246153</v>
      </c>
      <c r="AI237">
        <v>91.157431895283693</v>
      </c>
      <c r="AJ237">
        <v>86.442190758610806</v>
      </c>
      <c r="AK237">
        <v>57.397109320825102</v>
      </c>
      <c r="AL237">
        <v>87.960761774891495</v>
      </c>
      <c r="AM237">
        <v>89.614140918584098</v>
      </c>
      <c r="AN237">
        <v>1.00000007019694</v>
      </c>
    </row>
    <row r="238" spans="1:40" x14ac:dyDescent="0.25">
      <c r="A238" t="str">
        <f>"20190312160307844"</f>
        <v>20190312160307844</v>
      </c>
      <c r="B238" t="str">
        <f>"1552377787835018"</f>
        <v>1552377787835018</v>
      </c>
      <c r="C238" t="s">
        <v>40</v>
      </c>
      <c r="D238">
        <v>5.3275969999999999</v>
      </c>
      <c r="E238">
        <v>0.5184898</v>
      </c>
      <c r="F238" t="s">
        <v>43</v>
      </c>
      <c r="G238">
        <v>-410.50569999999999</v>
      </c>
      <c r="H238">
        <v>-0.05</v>
      </c>
      <c r="I238">
        <v>365.8793</v>
      </c>
      <c r="J238">
        <v>-462.85520000000002</v>
      </c>
      <c r="K238">
        <v>1.1094029999999999</v>
      </c>
      <c r="L238">
        <v>367.46359999999999</v>
      </c>
      <c r="M238">
        <v>0.99954350000000003</v>
      </c>
      <c r="N238">
        <v>0</v>
      </c>
      <c r="O238">
        <v>2.9961850000000002E-2</v>
      </c>
      <c r="P238">
        <v>0.99921459999999995</v>
      </c>
      <c r="Q238">
        <v>3.1402220000000002E-2</v>
      </c>
      <c r="R238">
        <v>2.4172240000000001E-2</v>
      </c>
      <c r="S238">
        <v>3.0064700000000002</v>
      </c>
      <c r="T238">
        <v>-6.6404340000000006E-2</v>
      </c>
      <c r="U238">
        <v>-9.0484620000000002E-2</v>
      </c>
      <c r="V238">
        <v>5.7648500000000002E-3</v>
      </c>
      <c r="W238">
        <v>3.5294180000000001E-2</v>
      </c>
      <c r="X238">
        <v>0.99936029999999998</v>
      </c>
      <c r="Y238">
        <v>5.9996099999999997E-2</v>
      </c>
      <c r="Z238">
        <v>-1.3238869999999999E-3</v>
      </c>
      <c r="AA238">
        <v>0.99819769999999997</v>
      </c>
      <c r="AB238">
        <v>18</v>
      </c>
      <c r="AC238">
        <v>52.349499999999999</v>
      </c>
      <c r="AD238">
        <v>-1.159403</v>
      </c>
      <c r="AE238">
        <v>-1.5842999999999801</v>
      </c>
      <c r="AF238">
        <v>3.15054445426646</v>
      </c>
      <c r="AG238">
        <v>-1.159403</v>
      </c>
      <c r="AH238">
        <v>52.252921168895703</v>
      </c>
      <c r="AI238">
        <v>91.268783431024403</v>
      </c>
      <c r="AJ238">
        <v>86.549577941288405</v>
      </c>
      <c r="AK238">
        <v>52.360652367570403</v>
      </c>
      <c r="AL238">
        <v>87.977372293082794</v>
      </c>
      <c r="AM238">
        <v>89.669490662288695</v>
      </c>
      <c r="AN238">
        <v>0.99999996092674104</v>
      </c>
    </row>
    <row r="239" spans="1:40" x14ac:dyDescent="0.25">
      <c r="A239" t="str">
        <f>"20190312160307866"</f>
        <v>20190312160307866</v>
      </c>
      <c r="B239" t="str">
        <f>"1552377787854537"</f>
        <v>1552377787854537</v>
      </c>
      <c r="C239" t="s">
        <v>40</v>
      </c>
      <c r="D239">
        <v>5.363143</v>
      </c>
      <c r="E239">
        <v>0.51822820000000003</v>
      </c>
      <c r="F239" t="s">
        <v>43</v>
      </c>
      <c r="G239">
        <v>-411.66309999999999</v>
      </c>
      <c r="H239">
        <v>-0.05</v>
      </c>
      <c r="I239">
        <v>366.04500000000002</v>
      </c>
      <c r="J239">
        <v>-462.68049999999999</v>
      </c>
      <c r="K239">
        <v>1.109399</v>
      </c>
      <c r="L239">
        <v>367.4692</v>
      </c>
      <c r="M239">
        <v>0.99953429999999999</v>
      </c>
      <c r="N239">
        <v>0</v>
      </c>
      <c r="O239">
        <v>3.0266129999999999E-2</v>
      </c>
      <c r="P239">
        <v>0.99919769999999997</v>
      </c>
      <c r="Q239">
        <v>3.1233170000000001E-2</v>
      </c>
      <c r="R239">
        <v>2.5077019999999998E-2</v>
      </c>
      <c r="S239">
        <v>3.0064700000000002</v>
      </c>
      <c r="T239">
        <v>-6.8090919999999999E-2</v>
      </c>
      <c r="U239">
        <v>-8.3312990000000003E-2</v>
      </c>
      <c r="V239">
        <v>5.1646950000000004E-3</v>
      </c>
      <c r="W239">
        <v>3.5144549999999997E-2</v>
      </c>
      <c r="X239">
        <v>0.9993689</v>
      </c>
      <c r="Y239">
        <v>5.7920050000000001E-2</v>
      </c>
      <c r="Z239">
        <v>-1.3409310000000001E-3</v>
      </c>
      <c r="AA239">
        <v>0.99832030000000005</v>
      </c>
      <c r="AB239">
        <v>18</v>
      </c>
      <c r="AC239">
        <v>51.017400000000002</v>
      </c>
      <c r="AD239">
        <v>-1.1593990000000001</v>
      </c>
      <c r="AE239">
        <v>-1.4241999999999799</v>
      </c>
      <c r="AF239">
        <v>2.9661278155610602</v>
      </c>
      <c r="AG239">
        <v>-1.1593990000000001</v>
      </c>
      <c r="AH239">
        <v>50.924642381627699</v>
      </c>
      <c r="AI239">
        <v>91.302019138618903</v>
      </c>
      <c r="AJ239">
        <v>86.666548754641397</v>
      </c>
      <c r="AK239">
        <v>51.024124901424003</v>
      </c>
      <c r="AL239">
        <v>87.985950873532502</v>
      </c>
      <c r="AM239">
        <v>89.703900540028599</v>
      </c>
      <c r="AN239">
        <v>1.00000000587817</v>
      </c>
    </row>
    <row r="240" spans="1:40" x14ac:dyDescent="0.25">
      <c r="A240" t="str">
        <f>"20190312160307879"</f>
        <v>20190312160307879</v>
      </c>
      <c r="B240" t="str">
        <f>"1552377787875033"</f>
        <v>1552377787875033</v>
      </c>
      <c r="C240" t="s">
        <v>40</v>
      </c>
      <c r="D240">
        <v>5.352805</v>
      </c>
      <c r="E240">
        <v>0.5176463</v>
      </c>
      <c r="F240" t="s">
        <v>43</v>
      </c>
      <c r="G240">
        <v>-414.46269999999998</v>
      </c>
      <c r="H240">
        <v>-0.05</v>
      </c>
      <c r="I240">
        <v>366.2079</v>
      </c>
      <c r="J240">
        <v>-462.57049999999998</v>
      </c>
      <c r="K240">
        <v>1.1093930000000001</v>
      </c>
      <c r="L240">
        <v>367.47269999999997</v>
      </c>
      <c r="M240">
        <v>0.9995288</v>
      </c>
      <c r="N240">
        <v>0</v>
      </c>
      <c r="O240">
        <v>3.0447399999999999E-2</v>
      </c>
      <c r="P240">
        <v>0.99918549999999995</v>
      </c>
      <c r="Q240">
        <v>3.144388E-2</v>
      </c>
      <c r="R240">
        <v>2.5297690000000001E-2</v>
      </c>
      <c r="S240">
        <v>3.0066220000000001</v>
      </c>
      <c r="T240">
        <v>-7.2294349999999993E-2</v>
      </c>
      <c r="U240">
        <v>-7.86438E-2</v>
      </c>
      <c r="V240">
        <v>5.1252950000000002E-3</v>
      </c>
      <c r="W240">
        <v>3.5367570000000001E-2</v>
      </c>
      <c r="X240">
        <v>0.99936119999999995</v>
      </c>
      <c r="Y240">
        <v>5.6547890000000003E-2</v>
      </c>
      <c r="Z240">
        <v>-1.411505E-3</v>
      </c>
      <c r="AA240">
        <v>0.99839889999999998</v>
      </c>
      <c r="AB240">
        <v>19</v>
      </c>
      <c r="AC240">
        <v>48.107799999999997</v>
      </c>
      <c r="AD240">
        <v>-1.1593929999999999</v>
      </c>
      <c r="AE240">
        <v>-1.2647999999999699</v>
      </c>
      <c r="AF240">
        <v>2.72739911309489</v>
      </c>
      <c r="AG240">
        <v>-1.1593929999999999</v>
      </c>
      <c r="AH240">
        <v>48.0191148233056</v>
      </c>
      <c r="AI240">
        <v>91.380879113444195</v>
      </c>
      <c r="AJ240">
        <v>86.749195798163399</v>
      </c>
      <c r="AK240">
        <v>48.110480006588602</v>
      </c>
      <c r="AL240">
        <v>87.9731647488926</v>
      </c>
      <c r="AM240">
        <v>89.706157095471696</v>
      </c>
      <c r="AN240">
        <v>0.99999997086099002</v>
      </c>
    </row>
    <row r="241" spans="1:40" x14ac:dyDescent="0.25">
      <c r="A241" t="str">
        <f>"20190312160307891"</f>
        <v>20190312160307891</v>
      </c>
      <c r="B241" t="str">
        <f>"1552377787884794"</f>
        <v>1552377787884794</v>
      </c>
      <c r="C241" t="s">
        <v>40</v>
      </c>
      <c r="D241">
        <v>5.4081679999999999</v>
      </c>
      <c r="E241">
        <v>0.5170536</v>
      </c>
      <c r="F241" t="s">
        <v>43</v>
      </c>
      <c r="G241">
        <v>-415.33330000000001</v>
      </c>
      <c r="H241">
        <v>-0.05</v>
      </c>
      <c r="I241">
        <v>366.3143</v>
      </c>
      <c r="J241">
        <v>-462.4674</v>
      </c>
      <c r="K241">
        <v>1.109389</v>
      </c>
      <c r="L241">
        <v>367.476</v>
      </c>
      <c r="M241">
        <v>0.99952359999999896</v>
      </c>
      <c r="N241">
        <v>0</v>
      </c>
      <c r="O241">
        <v>3.0612520000000001E-2</v>
      </c>
      <c r="P241">
        <v>0.99918149999999994</v>
      </c>
      <c r="Q241">
        <v>3.1170590000000001E-2</v>
      </c>
      <c r="R241">
        <v>2.57854E-2</v>
      </c>
      <c r="S241">
        <v>3.0066220000000001</v>
      </c>
      <c r="T241">
        <v>-7.379484E-2</v>
      </c>
      <c r="U241">
        <v>-7.3730470000000006E-2</v>
      </c>
      <c r="V241">
        <v>4.8034519999999997E-3</v>
      </c>
      <c r="W241">
        <v>3.510547E-2</v>
      </c>
      <c r="X241">
        <v>0.99937209999999999</v>
      </c>
      <c r="Y241">
        <v>5.508159E-2</v>
      </c>
      <c r="Z241">
        <v>-1.4268799999999999E-3</v>
      </c>
      <c r="AA241">
        <v>0.9984809</v>
      </c>
      <c r="AB241">
        <v>19</v>
      </c>
      <c r="AC241">
        <v>47.134099999999897</v>
      </c>
      <c r="AD241">
        <v>-1.159389</v>
      </c>
      <c r="AE241">
        <v>-1.16169999999999</v>
      </c>
      <c r="AF241">
        <v>2.6024865907297001</v>
      </c>
      <c r="AG241">
        <v>-1.159389</v>
      </c>
      <c r="AH241">
        <v>47.047997449067203</v>
      </c>
      <c r="AI241">
        <v>91.409482314332493</v>
      </c>
      <c r="AJ241">
        <v>86.8338781628958</v>
      </c>
      <c r="AK241">
        <v>47.134182747510202</v>
      </c>
      <c r="AL241">
        <v>87.988191425128093</v>
      </c>
      <c r="AM241">
        <v>89.724611676321004</v>
      </c>
      <c r="AN241">
        <v>1.0000000307167201</v>
      </c>
    </row>
    <row r="242" spans="1:40" x14ac:dyDescent="0.25">
      <c r="A242" t="str">
        <f>"20190312160307911"</f>
        <v>20190312160307911</v>
      </c>
      <c r="B242" t="str">
        <f>"1552377787905290"</f>
        <v>1552377787905290</v>
      </c>
      <c r="C242" t="s">
        <v>40</v>
      </c>
      <c r="D242">
        <v>5.352894</v>
      </c>
      <c r="E242">
        <v>0.51611079999999998</v>
      </c>
      <c r="F242" t="s">
        <v>43</v>
      </c>
      <c r="G242">
        <v>-413.55149999999998</v>
      </c>
      <c r="H242">
        <v>-0.05</v>
      </c>
      <c r="I242">
        <v>366.37970000000001</v>
      </c>
      <c r="J242">
        <v>-462.30419999999998</v>
      </c>
      <c r="K242">
        <v>1.10938</v>
      </c>
      <c r="L242">
        <v>367.48140000000001</v>
      </c>
      <c r="M242">
        <v>0.99951610000000002</v>
      </c>
      <c r="N242">
        <v>0</v>
      </c>
      <c r="O242">
        <v>3.085854E-2</v>
      </c>
      <c r="P242">
        <v>0.99915830000000005</v>
      </c>
      <c r="Q242">
        <v>3.121668E-2</v>
      </c>
      <c r="R242">
        <v>2.6613769999999998E-2</v>
      </c>
      <c r="S242">
        <v>3.0064090000000001</v>
      </c>
      <c r="T242">
        <v>-7.1257000000000001E-2</v>
      </c>
      <c r="U242">
        <v>-6.7382810000000001E-2</v>
      </c>
      <c r="V242">
        <v>4.2217610000000001E-3</v>
      </c>
      <c r="W242">
        <v>3.5169800000000001E-2</v>
      </c>
      <c r="X242">
        <v>0.99937240000000005</v>
      </c>
      <c r="Y242">
        <v>5.3224199999999999E-2</v>
      </c>
      <c r="Z242">
        <v>-1.361772E-3</v>
      </c>
      <c r="AA242">
        <v>0.99858159999999896</v>
      </c>
      <c r="AB242">
        <v>19</v>
      </c>
      <c r="AC242">
        <v>48.752699999999997</v>
      </c>
      <c r="AD242">
        <v>-1.1593799999999901</v>
      </c>
      <c r="AE242">
        <v>-1.1016999999999899</v>
      </c>
      <c r="AF242">
        <v>2.6041520151073798</v>
      </c>
      <c r="AG242">
        <v>-1.1593799999999901</v>
      </c>
      <c r="AH242">
        <v>48.667975570156599</v>
      </c>
      <c r="AI242">
        <v>91.362706779052303</v>
      </c>
      <c r="AJ242">
        <v>86.9371078042969</v>
      </c>
      <c r="AK242">
        <v>48.751385783375902</v>
      </c>
      <c r="AL242">
        <v>87.984503179759201</v>
      </c>
      <c r="AM242">
        <v>89.757960447438506</v>
      </c>
      <c r="AN242">
        <v>0.99999996598986995</v>
      </c>
    </row>
    <row r="243" spans="1:40" x14ac:dyDescent="0.25">
      <c r="A243" t="str">
        <f>"20190312160307923"</f>
        <v>20190312160307923</v>
      </c>
      <c r="B243" t="str">
        <f>"1552377787915050"</f>
        <v>1552377787915050</v>
      </c>
      <c r="C243" t="s">
        <v>40</v>
      </c>
      <c r="D243">
        <v>5.3933309999999999</v>
      </c>
      <c r="E243">
        <v>0.51569860000000001</v>
      </c>
      <c r="F243" t="s">
        <v>43</v>
      </c>
      <c r="G243">
        <v>-408.98149999999998</v>
      </c>
      <c r="H243">
        <v>-0.05</v>
      </c>
      <c r="I243">
        <v>366.46960000000001</v>
      </c>
      <c r="J243">
        <v>-462.19290000000001</v>
      </c>
      <c r="K243">
        <v>1.1093729999999999</v>
      </c>
      <c r="L243">
        <v>367.48500000000001</v>
      </c>
      <c r="M243">
        <v>0.99951109999999999</v>
      </c>
      <c r="N243">
        <v>0</v>
      </c>
      <c r="O243">
        <v>3.1016140000000001E-2</v>
      </c>
      <c r="P243">
        <v>0.99914910000000001</v>
      </c>
      <c r="Q243">
        <v>3.1289089999999999E-2</v>
      </c>
      <c r="R243">
        <v>2.6872549999999999E-2</v>
      </c>
      <c r="S243">
        <v>3.0061040000000001</v>
      </c>
      <c r="T243">
        <v>-6.53609E-2</v>
      </c>
      <c r="U243">
        <v>-5.7037350000000001E-2</v>
      </c>
      <c r="V243">
        <v>4.1211709999999999E-3</v>
      </c>
      <c r="W243">
        <v>3.525462E-2</v>
      </c>
      <c r="X243">
        <v>0.99936990000000003</v>
      </c>
      <c r="Y243">
        <v>4.9952969999999999E-2</v>
      </c>
      <c r="Z243">
        <v>-1.2171529999999999E-3</v>
      </c>
      <c r="AA243">
        <v>0.99875080000000005</v>
      </c>
      <c r="AB243">
        <v>19</v>
      </c>
      <c r="AC243">
        <v>53.211399999999998</v>
      </c>
      <c r="AD243">
        <v>-1.159373</v>
      </c>
      <c r="AE243">
        <v>-1.0153999999999901</v>
      </c>
      <c r="AF243">
        <v>2.6640723128864598</v>
      </c>
      <c r="AG243">
        <v>-1.159373</v>
      </c>
      <c r="AH243">
        <v>53.129092470084998</v>
      </c>
      <c r="AI243">
        <v>91.248531107749301</v>
      </c>
      <c r="AJ243">
        <v>87.129400206992997</v>
      </c>
      <c r="AK243">
        <v>53.208475769714198</v>
      </c>
      <c r="AL243">
        <v>87.979640474703004</v>
      </c>
      <c r="AM243">
        <v>89.763726757741196</v>
      </c>
      <c r="AN243">
        <v>1.00000003465388</v>
      </c>
    </row>
    <row r="244" spans="1:40" x14ac:dyDescent="0.25">
      <c r="A244" t="str">
        <f>"20190312160307935"</f>
        <v>20190312160307935</v>
      </c>
      <c r="B244" t="str">
        <f>"1552377787924810"</f>
        <v>1552377787924810</v>
      </c>
      <c r="C244" t="s">
        <v>40</v>
      </c>
      <c r="D244">
        <v>5.4384860000000002</v>
      </c>
      <c r="E244">
        <v>0.51530359999999997</v>
      </c>
      <c r="F244" t="s">
        <v>43</v>
      </c>
      <c r="G244">
        <v>-406.9751</v>
      </c>
      <c r="H244">
        <v>-0.05</v>
      </c>
      <c r="I244">
        <v>366.51069999999999</v>
      </c>
      <c r="J244">
        <v>-462.09719999999999</v>
      </c>
      <c r="K244">
        <v>1.1093660000000001</v>
      </c>
      <c r="L244">
        <v>367.48809999999997</v>
      </c>
      <c r="M244">
        <v>0.99950709999999998</v>
      </c>
      <c r="N244">
        <v>0</v>
      </c>
      <c r="O244">
        <v>3.1144539999999998E-2</v>
      </c>
      <c r="P244">
        <v>0.99914440000000004</v>
      </c>
      <c r="Q244">
        <v>3.1213399999999999E-2</v>
      </c>
      <c r="R244">
        <v>2.713846E-2</v>
      </c>
      <c r="S244">
        <v>3.005951</v>
      </c>
      <c r="T244">
        <v>-6.3114050000000005E-2</v>
      </c>
      <c r="U244">
        <v>-5.3039549999999998E-2</v>
      </c>
      <c r="V244">
        <v>3.9841479999999999E-3</v>
      </c>
      <c r="W244">
        <v>3.5189819999999997E-2</v>
      </c>
      <c r="X244">
        <v>0.9993727</v>
      </c>
      <c r="Y244">
        <v>4.875587E-2</v>
      </c>
      <c r="Z244">
        <v>-1.165522E-3</v>
      </c>
      <c r="AA244">
        <v>0.99881010000000003</v>
      </c>
      <c r="AB244">
        <v>19</v>
      </c>
      <c r="AC244">
        <v>55.122099999999897</v>
      </c>
      <c r="AD244">
        <v>-1.1593659999999999</v>
      </c>
      <c r="AE244">
        <v>-0.97739999999998795</v>
      </c>
      <c r="AF244">
        <v>2.6925009465569198</v>
      </c>
      <c r="AG244">
        <v>-1.1593659999999999</v>
      </c>
      <c r="AH244">
        <v>55.040577585915798</v>
      </c>
      <c r="AI244">
        <v>91.2052499690828</v>
      </c>
      <c r="AJ244">
        <v>87.1994105502324</v>
      </c>
      <c r="AK244">
        <v>55.118589167905803</v>
      </c>
      <c r="AL244">
        <v>87.983355466644895</v>
      </c>
      <c r="AM244">
        <v>89.771583058037393</v>
      </c>
      <c r="AN244">
        <v>0.99999999518610405</v>
      </c>
    </row>
    <row r="245" spans="1:40" x14ac:dyDescent="0.25">
      <c r="A245" t="str">
        <f>"20190312160307947"</f>
        <v>20190312160307947</v>
      </c>
      <c r="B245" t="str">
        <f>"1552377787934569"</f>
        <v>1552377787934569</v>
      </c>
      <c r="C245" t="s">
        <v>40</v>
      </c>
      <c r="D245">
        <v>5.4046339999999997</v>
      </c>
      <c r="E245">
        <v>0.51533450000000003</v>
      </c>
      <c r="F245" t="s">
        <v>43</v>
      </c>
      <c r="G245">
        <v>-404.69200000000001</v>
      </c>
      <c r="H245">
        <v>-0.05</v>
      </c>
      <c r="I245">
        <v>366.55500000000001</v>
      </c>
      <c r="J245">
        <v>-461.99759999999998</v>
      </c>
      <c r="K245">
        <v>1.109359</v>
      </c>
      <c r="L245">
        <v>367.49130000000002</v>
      </c>
      <c r="M245">
        <v>0.99950289999999997</v>
      </c>
      <c r="N245">
        <v>0</v>
      </c>
      <c r="O245">
        <v>3.1275070000000002E-2</v>
      </c>
      <c r="P245">
        <v>0.99914999999999998</v>
      </c>
      <c r="Q245">
        <v>3.1254459999999998E-2</v>
      </c>
      <c r="R245">
        <v>2.6881700000000001E-2</v>
      </c>
      <c r="S245">
        <v>3.0057680000000002</v>
      </c>
      <c r="T245">
        <v>-6.070507E-2</v>
      </c>
      <c r="U245">
        <v>-4.8858640000000002E-2</v>
      </c>
      <c r="V245">
        <v>4.3720540000000002E-3</v>
      </c>
      <c r="W245">
        <v>3.5241759999999997E-2</v>
      </c>
      <c r="X245">
        <v>0.99936930000000002</v>
      </c>
      <c r="Y245">
        <v>4.7500000000000001E-2</v>
      </c>
      <c r="Z245">
        <v>-1.1110779999999999E-3</v>
      </c>
      <c r="AA245">
        <v>0.99887060000000005</v>
      </c>
      <c r="AB245">
        <v>19</v>
      </c>
      <c r="AC245">
        <v>57.305599999999998</v>
      </c>
      <c r="AD245">
        <v>-1.159359</v>
      </c>
      <c r="AE245">
        <v>-0.93630000000001701</v>
      </c>
      <c r="AF245">
        <v>2.7269769461109501</v>
      </c>
      <c r="AG245">
        <v>-1.159359</v>
      </c>
      <c r="AH245">
        <v>57.224867569091899</v>
      </c>
      <c r="AI245">
        <v>91.159321644371403</v>
      </c>
      <c r="AJ245">
        <v>87.271707791960793</v>
      </c>
      <c r="AK245">
        <v>57.301535623887098</v>
      </c>
      <c r="AL245">
        <v>87.980377781791006</v>
      </c>
      <c r="AM245">
        <v>89.749343266883997</v>
      </c>
      <c r="AN245">
        <v>1.0000000471432799</v>
      </c>
    </row>
    <row r="246" spans="1:40" x14ac:dyDescent="0.25">
      <c r="A246" t="str">
        <f>"20190312160307965"</f>
        <v>20190312160307965</v>
      </c>
      <c r="B246" t="str">
        <f>"1552377787955065"</f>
        <v>1552377787955065</v>
      </c>
      <c r="C246" t="s">
        <v>40</v>
      </c>
      <c r="D246">
        <v>5.4150499999999999</v>
      </c>
      <c r="E246">
        <v>0.5155594</v>
      </c>
      <c r="F246" t="s">
        <v>43</v>
      </c>
      <c r="G246">
        <v>-405.31040000000002</v>
      </c>
      <c r="H246">
        <v>-0.05</v>
      </c>
      <c r="I246">
        <v>366.54739999999998</v>
      </c>
      <c r="J246">
        <v>-461.83339999999998</v>
      </c>
      <c r="K246">
        <v>1.1093519999999999</v>
      </c>
      <c r="L246">
        <v>367.49669999999998</v>
      </c>
      <c r="M246">
        <v>0.99949679999999996</v>
      </c>
      <c r="N246">
        <v>0</v>
      </c>
      <c r="O246">
        <v>3.1469770000000001E-2</v>
      </c>
      <c r="P246">
        <v>0.99915639999999994</v>
      </c>
      <c r="Q246">
        <v>3.1074230000000001E-2</v>
      </c>
      <c r="R246">
        <v>2.6852939999999999E-2</v>
      </c>
      <c r="S246">
        <v>3.005798</v>
      </c>
      <c r="T246">
        <v>-6.1474199999999903E-2</v>
      </c>
      <c r="U246">
        <v>-5.0048830000000002E-2</v>
      </c>
      <c r="V246">
        <v>4.5968349999999996E-3</v>
      </c>
      <c r="W246">
        <v>3.5080210000000001E-2</v>
      </c>
      <c r="X246">
        <v>0.99937390000000004</v>
      </c>
      <c r="Y246">
        <v>4.8089229999999997E-2</v>
      </c>
      <c r="Z246">
        <v>-1.1351429999999999E-3</v>
      </c>
      <c r="AA246">
        <v>0.99884240000000002</v>
      </c>
      <c r="AB246">
        <v>19</v>
      </c>
      <c r="AC246">
        <v>56.522999999999897</v>
      </c>
      <c r="AD246">
        <v>-1.1593519999999999</v>
      </c>
      <c r="AE246">
        <v>-0.94929999999999304</v>
      </c>
      <c r="AF246">
        <v>2.7264629507775902</v>
      </c>
      <c r="AG246">
        <v>-1.1593519999999999</v>
      </c>
      <c r="AH246">
        <v>56.441390841600501</v>
      </c>
      <c r="AI246">
        <v>91.175366195967896</v>
      </c>
      <c r="AJ246">
        <v>87.234414680084598</v>
      </c>
      <c r="AK246">
        <v>56.519096749825898</v>
      </c>
      <c r="AL246">
        <v>87.9896394904099</v>
      </c>
      <c r="AM246">
        <v>89.736457608938593</v>
      </c>
      <c r="AN246">
        <v>0.99999997201343505</v>
      </c>
    </row>
    <row r="247" spans="1:40" x14ac:dyDescent="0.25">
      <c r="A247" t="str">
        <f>"20190312160307979"</f>
        <v>20190312160307979</v>
      </c>
      <c r="B247" t="str">
        <f>"1552377787974585"</f>
        <v>1552377787974585</v>
      </c>
      <c r="C247" t="s">
        <v>40</v>
      </c>
      <c r="D247">
        <v>5.474113</v>
      </c>
      <c r="E247">
        <v>0.51572039999999997</v>
      </c>
      <c r="F247" t="s">
        <v>43</v>
      </c>
      <c r="G247">
        <v>-407.10379999999998</v>
      </c>
      <c r="H247">
        <v>-0.05</v>
      </c>
      <c r="I247">
        <v>366.55770000000001</v>
      </c>
      <c r="J247">
        <v>-461.72059999999999</v>
      </c>
      <c r="K247">
        <v>1.1093379999999999</v>
      </c>
      <c r="L247">
        <v>367.50040000000001</v>
      </c>
      <c r="M247">
        <v>0.99949279999999996</v>
      </c>
      <c r="N247">
        <v>0</v>
      </c>
      <c r="O247">
        <v>3.1589979999999997E-2</v>
      </c>
      <c r="P247">
        <v>0.9991601</v>
      </c>
      <c r="Q247">
        <v>3.0928710000000002E-2</v>
      </c>
      <c r="R247">
        <v>2.6885030000000001E-2</v>
      </c>
      <c r="S247">
        <v>3.0059200000000001</v>
      </c>
      <c r="T247">
        <v>-6.3675170000000003E-2</v>
      </c>
      <c r="U247">
        <v>-5.1574710000000003E-2</v>
      </c>
      <c r="V247">
        <v>4.6857110000000004E-3</v>
      </c>
      <c r="W247">
        <v>3.4946779999999997E-2</v>
      </c>
      <c r="X247">
        <v>0.99937819999999999</v>
      </c>
      <c r="Y247">
        <v>4.8714210000000001E-2</v>
      </c>
      <c r="Z247">
        <v>-1.184888E-3</v>
      </c>
      <c r="AA247">
        <v>0.99881209999999998</v>
      </c>
      <c r="AB247">
        <v>19</v>
      </c>
      <c r="AC247">
        <v>54.616799999999998</v>
      </c>
      <c r="AD247">
        <v>-1.159338</v>
      </c>
      <c r="AE247">
        <v>-0.94270000000000198</v>
      </c>
      <c r="AF247">
        <v>2.6663860603868099</v>
      </c>
      <c r="AG247">
        <v>-1.159338</v>
      </c>
      <c r="AH247">
        <v>54.535195946170298</v>
      </c>
      <c r="AI247">
        <v>91.216387913769495</v>
      </c>
      <c r="AJ247">
        <v>87.200869931389803</v>
      </c>
      <c r="AK247">
        <v>54.612647583764499</v>
      </c>
      <c r="AL247">
        <v>87.997289233025</v>
      </c>
      <c r="AM247">
        <v>89.731363464747204</v>
      </c>
      <c r="AN247">
        <v>1.0000000099775901</v>
      </c>
    </row>
    <row r="248" spans="1:40" x14ac:dyDescent="0.25">
      <c r="A248" t="str">
        <f>"20190312160307994"</f>
        <v>20190312160307994</v>
      </c>
      <c r="B248" t="str">
        <f>"1552377787985322"</f>
        <v>1552377787985322</v>
      </c>
      <c r="C248" t="s">
        <v>40</v>
      </c>
      <c r="D248">
        <v>5.4168859999999999</v>
      </c>
      <c r="E248">
        <v>0.51577249999999997</v>
      </c>
      <c r="F248" t="s">
        <v>43</v>
      </c>
      <c r="G248">
        <v>-406.23989999999998</v>
      </c>
      <c r="H248">
        <v>-0.05</v>
      </c>
      <c r="I248">
        <v>366.52699999999999</v>
      </c>
      <c r="J248">
        <v>-461.5951</v>
      </c>
      <c r="K248">
        <v>1.1093280000000001</v>
      </c>
      <c r="L248">
        <v>367.50450000000001</v>
      </c>
      <c r="M248">
        <v>0.99948879999999996</v>
      </c>
      <c r="N248">
        <v>0</v>
      </c>
      <c r="O248">
        <v>3.1715199999999999E-2</v>
      </c>
      <c r="P248">
        <v>0.99916819999999895</v>
      </c>
      <c r="Q248">
        <v>3.0902659999999998E-2</v>
      </c>
      <c r="R248">
        <v>2.661144E-2</v>
      </c>
      <c r="S248">
        <v>3.005951</v>
      </c>
      <c r="T248">
        <v>-6.2813040000000001E-2</v>
      </c>
      <c r="U248">
        <v>-5.2734379999999997E-2</v>
      </c>
      <c r="V248">
        <v>5.0854630000000001E-3</v>
      </c>
      <c r="W248">
        <v>3.4933440000000003E-2</v>
      </c>
      <c r="X248">
        <v>0.99937670000000001</v>
      </c>
      <c r="Y248">
        <v>4.922472E-2</v>
      </c>
      <c r="Z248">
        <v>-1.176783E-3</v>
      </c>
      <c r="AA248">
        <v>0.99878699999999998</v>
      </c>
      <c r="AB248">
        <v>19</v>
      </c>
      <c r="AC248">
        <v>55.355200000000004</v>
      </c>
      <c r="AD248">
        <v>-1.1593279999999999</v>
      </c>
      <c r="AE248">
        <v>-0.97750000000002002</v>
      </c>
      <c r="AF248">
        <v>2.73142608623185</v>
      </c>
      <c r="AG248">
        <v>-1.1593279999999999</v>
      </c>
      <c r="AH248">
        <v>55.272114750732797</v>
      </c>
      <c r="AI248">
        <v>91.200133895286498</v>
      </c>
      <c r="AJ248">
        <v>87.170870386972396</v>
      </c>
      <c r="AK248">
        <v>55.351706377439697</v>
      </c>
      <c r="AL248">
        <v>87.998054001370704</v>
      </c>
      <c r="AM248">
        <v>89.708445222077302</v>
      </c>
      <c r="AN248">
        <v>0.999999997833524</v>
      </c>
    </row>
    <row r="249" spans="1:40" x14ac:dyDescent="0.25">
      <c r="A249" t="str">
        <f>"20190312160308011"</f>
        <v>20190312160308011</v>
      </c>
      <c r="B249" t="str">
        <f>"1552377788004841"</f>
        <v>1552377788004841</v>
      </c>
      <c r="C249" t="s">
        <v>40</v>
      </c>
      <c r="D249">
        <v>5.4176640000000003</v>
      </c>
      <c r="E249">
        <v>0.51576840000000002</v>
      </c>
      <c r="F249" t="s">
        <v>43</v>
      </c>
      <c r="G249">
        <v>-405.41210000000001</v>
      </c>
      <c r="H249">
        <v>-0.05</v>
      </c>
      <c r="I249">
        <v>366.49599999999998</v>
      </c>
      <c r="J249">
        <v>-461.43900000000002</v>
      </c>
      <c r="K249">
        <v>1.1093150000000001</v>
      </c>
      <c r="L249">
        <v>367.50959999999998</v>
      </c>
      <c r="M249">
        <v>0.99948440000000005</v>
      </c>
      <c r="N249">
        <v>0</v>
      </c>
      <c r="O249">
        <v>3.1855250000000002E-2</v>
      </c>
      <c r="P249">
        <v>0.99918300000000004</v>
      </c>
      <c r="Q249">
        <v>3.064795E-2</v>
      </c>
      <c r="R249">
        <v>2.6349399999999999E-2</v>
      </c>
      <c r="S249">
        <v>3.00589</v>
      </c>
      <c r="T249">
        <v>-6.202614E-2</v>
      </c>
      <c r="U249">
        <v>-5.3955080000000002E-2</v>
      </c>
      <c r="V249">
        <v>5.4889600000000002E-3</v>
      </c>
      <c r="W249">
        <v>3.4692779999999999E-2</v>
      </c>
      <c r="X249">
        <v>0.99938300000000002</v>
      </c>
      <c r="Y249">
        <v>4.9770790000000002E-2</v>
      </c>
      <c r="Z249">
        <v>-1.1705859999999999E-3</v>
      </c>
      <c r="AA249">
        <v>0.99875999999999998</v>
      </c>
      <c r="AB249">
        <v>19</v>
      </c>
      <c r="AC249">
        <v>56.026899999999998</v>
      </c>
      <c r="AD249">
        <v>-1.1593149999999901</v>
      </c>
      <c r="AE249">
        <v>-1.0135999999999901</v>
      </c>
      <c r="AF249">
        <v>2.7966538912996302</v>
      </c>
      <c r="AG249">
        <v>-1.1593149999999901</v>
      </c>
      <c r="AH249">
        <v>55.9422321494649</v>
      </c>
      <c r="AI249">
        <v>91.185714903460706</v>
      </c>
      <c r="AJ249">
        <v>87.138062395846106</v>
      </c>
      <c r="AK249">
        <v>56.024089659016902</v>
      </c>
      <c r="AL249">
        <v>88.011851269142497</v>
      </c>
      <c r="AM249">
        <v>89.685314759566694</v>
      </c>
      <c r="AN249">
        <v>1.0000000491775001</v>
      </c>
    </row>
    <row r="250" spans="1:40" x14ac:dyDescent="0.25">
      <c r="A250" t="str">
        <f>"20190312160308035"</f>
        <v>20190312160308035</v>
      </c>
      <c r="B250" t="str">
        <f>"1552377788025337"</f>
        <v>1552377788025337</v>
      </c>
      <c r="C250" t="s">
        <v>40</v>
      </c>
      <c r="D250">
        <v>5.368207</v>
      </c>
      <c r="E250">
        <v>0.51565859999999997</v>
      </c>
      <c r="F250" t="s">
        <v>43</v>
      </c>
      <c r="G250">
        <v>-407.85320000000002</v>
      </c>
      <c r="H250">
        <v>-0.05</v>
      </c>
      <c r="I250">
        <v>366.53039999999999</v>
      </c>
      <c r="J250">
        <v>-461.2312</v>
      </c>
      <c r="K250">
        <v>1.1092979999999999</v>
      </c>
      <c r="L250">
        <v>367.51639999999998</v>
      </c>
      <c r="M250">
        <v>0.99947909999999995</v>
      </c>
      <c r="N250">
        <v>0</v>
      </c>
      <c r="O250">
        <v>3.2018240000000003E-2</v>
      </c>
      <c r="P250">
        <v>0.99917979999999995</v>
      </c>
      <c r="Q250">
        <v>3.0869790000000001E-2</v>
      </c>
      <c r="R250">
        <v>2.6207270000000001E-2</v>
      </c>
      <c r="S250">
        <v>3.0059200000000001</v>
      </c>
      <c r="T250">
        <v>-6.5032359999999997E-2</v>
      </c>
      <c r="U250">
        <v>-5.4931639999999997E-2</v>
      </c>
      <c r="V250">
        <v>5.79482E-3</v>
      </c>
      <c r="W250">
        <v>3.4928670000000002E-2</v>
      </c>
      <c r="X250">
        <v>0.99937299999999996</v>
      </c>
      <c r="Y250">
        <v>5.0255979999999999E-2</v>
      </c>
      <c r="Z250">
        <v>-1.236065E-3</v>
      </c>
      <c r="AA250">
        <v>0.99873559999999995</v>
      </c>
      <c r="AB250">
        <v>20</v>
      </c>
      <c r="AC250">
        <v>53.377999999999901</v>
      </c>
      <c r="AD250">
        <v>-1.1592979999999999</v>
      </c>
      <c r="AE250">
        <v>-0.98599999999999</v>
      </c>
      <c r="AF250">
        <v>2.69330805117306</v>
      </c>
      <c r="AG250">
        <v>-1.1592979999999999</v>
      </c>
      <c r="AH250">
        <v>53.293931437320303</v>
      </c>
      <c r="AI250">
        <v>91.244565523130504</v>
      </c>
      <c r="AJ250">
        <v>87.106912387485096</v>
      </c>
      <c r="AK250">
        <v>53.374535203195101</v>
      </c>
      <c r="AL250">
        <v>87.998327458505798</v>
      </c>
      <c r="AM250">
        <v>89.667776687924501</v>
      </c>
      <c r="AN250">
        <v>0.99999999252789995</v>
      </c>
    </row>
    <row r="251" spans="1:40" x14ac:dyDescent="0.25">
      <c r="A251" t="str">
        <f>"20190312160308055"</f>
        <v>20190312160308055</v>
      </c>
      <c r="B251" t="str">
        <f>"1552377788044857"</f>
        <v>1552377788044857</v>
      </c>
      <c r="C251" t="s">
        <v>40</v>
      </c>
      <c r="D251">
        <v>5.3653899999999997</v>
      </c>
      <c r="E251">
        <v>0.51565649999999996</v>
      </c>
      <c r="F251" t="s">
        <v>43</v>
      </c>
      <c r="G251">
        <v>-408.19150000000002</v>
      </c>
      <c r="H251">
        <v>-0.05</v>
      </c>
      <c r="I251">
        <v>366.553</v>
      </c>
      <c r="J251">
        <v>-461.0514</v>
      </c>
      <c r="K251">
        <v>1.1092839999999999</v>
      </c>
      <c r="L251">
        <v>367.52229999999997</v>
      </c>
      <c r="M251">
        <v>0.99947509999999995</v>
      </c>
      <c r="N251">
        <v>0</v>
      </c>
      <c r="O251">
        <v>3.21421E-2</v>
      </c>
      <c r="P251">
        <v>0.99917940000000005</v>
      </c>
      <c r="Q251">
        <v>3.0740199999999999E-2</v>
      </c>
      <c r="R251">
        <v>2.6374269999999998E-2</v>
      </c>
      <c r="S251">
        <v>3.0059200000000001</v>
      </c>
      <c r="T251">
        <v>-6.5700889999999998E-2</v>
      </c>
      <c r="U251">
        <v>-5.4595949999999997E-2</v>
      </c>
      <c r="V251">
        <v>5.7526440000000003E-3</v>
      </c>
      <c r="W251">
        <v>3.480954E-2</v>
      </c>
      <c r="X251">
        <v>0.99937739999999997</v>
      </c>
      <c r="Y251">
        <v>5.0267819999999998E-2</v>
      </c>
      <c r="Z251">
        <v>-1.251605E-3</v>
      </c>
      <c r="AA251">
        <v>0.99873500000000004</v>
      </c>
      <c r="AB251">
        <v>20</v>
      </c>
      <c r="AC251">
        <v>52.859899999999897</v>
      </c>
      <c r="AD251">
        <v>-1.159284</v>
      </c>
      <c r="AE251">
        <v>-0.969299999999918</v>
      </c>
      <c r="AF251">
        <v>2.6665591653133101</v>
      </c>
      <c r="AG251">
        <v>-1.159284</v>
      </c>
      <c r="AH251">
        <v>52.776056041187204</v>
      </c>
      <c r="AI251">
        <v>91.256759688576807</v>
      </c>
      <c r="AJ251">
        <v>87.107537301980997</v>
      </c>
      <c r="AK251">
        <v>52.856093011471302</v>
      </c>
      <c r="AL251">
        <v>88.005157257622301</v>
      </c>
      <c r="AM251">
        <v>89.670196082131199</v>
      </c>
      <c r="AN251">
        <v>0.99999999230938097</v>
      </c>
    </row>
    <row r="252" spans="1:40" x14ac:dyDescent="0.25">
      <c r="A252" t="str">
        <f>"20190312160308069"</f>
        <v>20190312160308069</v>
      </c>
      <c r="B252" t="str">
        <f>"1552377788065355"</f>
        <v>1552377788065355</v>
      </c>
      <c r="C252" t="s">
        <v>40</v>
      </c>
      <c r="D252">
        <v>5.3783300000000001</v>
      </c>
      <c r="E252">
        <v>0.51549659999999997</v>
      </c>
      <c r="F252" t="s">
        <v>43</v>
      </c>
      <c r="G252">
        <v>-409.17790000000002</v>
      </c>
      <c r="H252">
        <v>-0.05</v>
      </c>
      <c r="I252">
        <v>366.58969999999999</v>
      </c>
      <c r="J252">
        <v>-460.93239999999997</v>
      </c>
      <c r="K252">
        <v>1.109278</v>
      </c>
      <c r="L252">
        <v>367.52629999999999</v>
      </c>
      <c r="M252">
        <v>0.99947249999999999</v>
      </c>
      <c r="N252">
        <v>0</v>
      </c>
      <c r="O252">
        <v>3.2217639999999999E-2</v>
      </c>
      <c r="P252">
        <v>0.99918289999999998</v>
      </c>
      <c r="Q252">
        <v>3.0633319999999999E-2</v>
      </c>
      <c r="R252">
        <v>2.6367720000000001E-2</v>
      </c>
      <c r="S252">
        <v>3.005951</v>
      </c>
      <c r="T252">
        <v>-6.7177890000000004E-2</v>
      </c>
      <c r="U252">
        <v>-5.4046629999999998E-2</v>
      </c>
      <c r="V252">
        <v>5.8350669999999898E-3</v>
      </c>
      <c r="W252">
        <v>3.4708509999999998E-2</v>
      </c>
      <c r="X252">
        <v>0.9993805</v>
      </c>
      <c r="Y252">
        <v>5.0159790000000003E-2</v>
      </c>
      <c r="Z252">
        <v>-1.2802039999999901E-3</v>
      </c>
      <c r="AA252">
        <v>0.99874039999999997</v>
      </c>
      <c r="AB252">
        <v>20</v>
      </c>
      <c r="AC252">
        <v>51.754499999999901</v>
      </c>
      <c r="AD252">
        <v>-1.159278</v>
      </c>
      <c r="AE252">
        <v>-0.93659999999999799</v>
      </c>
      <c r="AF252">
        <v>2.6022303753190301</v>
      </c>
      <c r="AG252">
        <v>-1.159278</v>
      </c>
      <c r="AH252">
        <v>51.671540104896401</v>
      </c>
      <c r="AI252">
        <v>91.283618934337696</v>
      </c>
      <c r="AJ252">
        <v>87.116963012173002</v>
      </c>
      <c r="AK252">
        <v>51.7500104852109</v>
      </c>
      <c r="AL252">
        <v>88.010949477490797</v>
      </c>
      <c r="AM252">
        <v>89.665471846524099</v>
      </c>
      <c r="AN252">
        <v>1.0000000562267799</v>
      </c>
    </row>
    <row r="253" spans="1:40" x14ac:dyDescent="0.25">
      <c r="A253" t="str">
        <f>"20190312160308083"</f>
        <v>20190312160308083</v>
      </c>
      <c r="B253" t="str">
        <f>"1552377788075115"</f>
        <v>1552377788075115</v>
      </c>
      <c r="C253" t="s">
        <v>40</v>
      </c>
      <c r="D253">
        <v>5.4945240000000002</v>
      </c>
      <c r="E253">
        <v>0.51563270000000005</v>
      </c>
      <c r="F253" t="s">
        <v>43</v>
      </c>
      <c r="G253">
        <v>-407.67570000000001</v>
      </c>
      <c r="H253">
        <v>-0.05</v>
      </c>
      <c r="I253">
        <v>366.59300000000002</v>
      </c>
      <c r="J253">
        <v>-460.7955</v>
      </c>
      <c r="K253">
        <v>1.1092759999999999</v>
      </c>
      <c r="L253">
        <v>367.5308</v>
      </c>
      <c r="M253">
        <v>0.99947010000000003</v>
      </c>
      <c r="N253">
        <v>0</v>
      </c>
      <c r="O253">
        <v>3.229605E-2</v>
      </c>
      <c r="P253">
        <v>0.99918059999999997</v>
      </c>
      <c r="Q253">
        <v>3.050427E-2</v>
      </c>
      <c r="R253">
        <v>2.6605179999999999E-2</v>
      </c>
      <c r="S253">
        <v>3.0059200000000001</v>
      </c>
      <c r="T253">
        <v>-6.5432069999999995E-2</v>
      </c>
      <c r="U253">
        <v>-5.2673339999999999E-2</v>
      </c>
      <c r="V253">
        <v>5.6764419999999899E-3</v>
      </c>
      <c r="W253">
        <v>3.4586510000000001E-2</v>
      </c>
      <c r="X253">
        <v>0.99938559999999999</v>
      </c>
      <c r="Y253">
        <v>4.9783300000000003E-2</v>
      </c>
      <c r="Z253">
        <v>-1.2445679999999999E-3</v>
      </c>
      <c r="AA253">
        <v>0.99875930000000002</v>
      </c>
      <c r="AB253">
        <v>20</v>
      </c>
      <c r="AC253">
        <v>53.119799999999998</v>
      </c>
      <c r="AD253">
        <v>-1.159276</v>
      </c>
      <c r="AE253">
        <v>-0.93779999999998098</v>
      </c>
      <c r="AF253">
        <v>2.6516221255401802</v>
      </c>
      <c r="AG253">
        <v>-1.159276</v>
      </c>
      <c r="AH253">
        <v>53.036549640034899</v>
      </c>
      <c r="AI253">
        <v>91.250613549268493</v>
      </c>
      <c r="AJ253">
        <v>87.137816068808405</v>
      </c>
      <c r="AK253">
        <v>53.115446138206501</v>
      </c>
      <c r="AL253">
        <v>88.017943676048603</v>
      </c>
      <c r="AM253">
        <v>89.674567382430297</v>
      </c>
      <c r="AN253">
        <v>1.0000000130775499</v>
      </c>
    </row>
    <row r="254" spans="1:40" x14ac:dyDescent="0.25">
      <c r="A254" t="str">
        <f>"20190312160308099"</f>
        <v>20190312160308099</v>
      </c>
      <c r="B254" t="str">
        <f>"1552377788094634"</f>
        <v>1552377788094634</v>
      </c>
      <c r="C254" t="s">
        <v>40</v>
      </c>
      <c r="D254">
        <v>5.4368819999999998</v>
      </c>
      <c r="E254">
        <v>0.51567359999999995</v>
      </c>
      <c r="F254" t="s">
        <v>43</v>
      </c>
      <c r="G254">
        <v>-408.64949999999999</v>
      </c>
      <c r="H254">
        <v>-0.05</v>
      </c>
      <c r="I254">
        <v>366.6096</v>
      </c>
      <c r="J254">
        <v>-460.65640000000002</v>
      </c>
      <c r="K254">
        <v>1.109272</v>
      </c>
      <c r="L254">
        <v>367.53539999999998</v>
      </c>
      <c r="M254">
        <v>0.99946769999999996</v>
      </c>
      <c r="N254">
        <v>0</v>
      </c>
      <c r="O254">
        <v>3.2369330000000002E-2</v>
      </c>
      <c r="P254">
        <v>0.9991778</v>
      </c>
      <c r="Q254">
        <v>3.0011820000000002E-2</v>
      </c>
      <c r="R254">
        <v>2.7264610000000002E-2</v>
      </c>
      <c r="S254">
        <v>3.0059200000000001</v>
      </c>
      <c r="T254">
        <v>-6.6825750000000003E-2</v>
      </c>
      <c r="U254">
        <v>-5.3100590000000003E-2</v>
      </c>
      <c r="V254">
        <v>5.0908630000000002E-3</v>
      </c>
      <c r="W254">
        <v>3.410233E-2</v>
      </c>
      <c r="X254">
        <v>0.9994054</v>
      </c>
      <c r="Y254">
        <v>4.9997529999999998E-2</v>
      </c>
      <c r="Z254">
        <v>-1.275078E-3</v>
      </c>
      <c r="AA254">
        <v>0.99874850000000004</v>
      </c>
      <c r="AB254">
        <v>20</v>
      </c>
      <c r="AC254">
        <v>52.006900000000002</v>
      </c>
      <c r="AD254">
        <v>-1.1592719999999901</v>
      </c>
      <c r="AE254">
        <v>-0.92579999999998097</v>
      </c>
      <c r="AF254">
        <v>2.6074621065230801</v>
      </c>
      <c r="AG254">
        <v>-1.1592719999999901</v>
      </c>
      <c r="AH254">
        <v>51.9238873042896</v>
      </c>
      <c r="AI254">
        <v>91.277385304271505</v>
      </c>
      <c r="AJ254">
        <v>87.125192445885403</v>
      </c>
      <c r="AK254">
        <v>52.002238826761101</v>
      </c>
      <c r="AL254">
        <v>88.045701534941301</v>
      </c>
      <c r="AM254">
        <v>89.708144021270996</v>
      </c>
      <c r="AN254">
        <v>1.0000000196733301</v>
      </c>
    </row>
    <row r="255" spans="1:40" x14ac:dyDescent="0.25">
      <c r="A255" t="str">
        <f>"20190312160308112"</f>
        <v>20190312160308112</v>
      </c>
      <c r="B255" t="str">
        <f>"1552377788105370"</f>
        <v>1552377788105370</v>
      </c>
      <c r="C255" t="s">
        <v>40</v>
      </c>
      <c r="D255">
        <v>5.4115409999999997</v>
      </c>
      <c r="E255">
        <v>0.51569739999999997</v>
      </c>
      <c r="F255" t="s">
        <v>43</v>
      </c>
      <c r="G255">
        <v>-410.67489999999998</v>
      </c>
      <c r="H255">
        <v>-0.05</v>
      </c>
      <c r="I255">
        <v>366.6798</v>
      </c>
      <c r="J255">
        <v>-460.54450000000003</v>
      </c>
      <c r="K255">
        <v>1.109272</v>
      </c>
      <c r="L255">
        <v>367.53899999999999</v>
      </c>
      <c r="M255">
        <v>0.99946579999999996</v>
      </c>
      <c r="N255">
        <v>0</v>
      </c>
      <c r="O255">
        <v>3.242486E-2</v>
      </c>
      <c r="P255">
        <v>0.99917120000000004</v>
      </c>
      <c r="Q255">
        <v>3.014203E-2</v>
      </c>
      <c r="R255">
        <v>2.735288E-2</v>
      </c>
      <c r="S255">
        <v>3.0060120000000001</v>
      </c>
      <c r="T255">
        <v>-6.9721459999999999E-2</v>
      </c>
      <c r="U255">
        <v>-5.1452640000000001E-2</v>
      </c>
      <c r="V255">
        <v>5.05814E-3</v>
      </c>
      <c r="W255">
        <v>3.4238619999999997E-2</v>
      </c>
      <c r="X255">
        <v>0.99940090000000004</v>
      </c>
      <c r="Y255">
        <v>4.9503430000000001E-2</v>
      </c>
      <c r="Z255">
        <v>-1.325838E-3</v>
      </c>
      <c r="AA255">
        <v>0.99877309999999997</v>
      </c>
      <c r="AB255">
        <v>20</v>
      </c>
      <c r="AC255">
        <v>49.869599999999998</v>
      </c>
      <c r="AD255">
        <v>-1.1592719999999901</v>
      </c>
      <c r="AE255">
        <v>-0.85919999999998697</v>
      </c>
      <c r="AF255">
        <v>2.4744397998422798</v>
      </c>
      <c r="AG255">
        <v>-1.1592719999999901</v>
      </c>
      <c r="AH255">
        <v>49.788620484904001</v>
      </c>
      <c r="AI255">
        <v>91.332183119966302</v>
      </c>
      <c r="AJ255">
        <v>87.154803620830705</v>
      </c>
      <c r="AK255">
        <v>49.863548747384797</v>
      </c>
      <c r="AL255">
        <v>88.037888118104604</v>
      </c>
      <c r="AM255">
        <v>89.710018672502102</v>
      </c>
      <c r="AN255">
        <v>1.00000001340028</v>
      </c>
    </row>
    <row r="256" spans="1:40" x14ac:dyDescent="0.25">
      <c r="A256" t="str">
        <f>"20190312160308123"</f>
        <v>20190312160308123</v>
      </c>
      <c r="B256" t="str">
        <f>"1552377788115131"</f>
        <v>1552377788115131</v>
      </c>
      <c r="C256" t="s">
        <v>40</v>
      </c>
      <c r="D256">
        <v>5.4874429999999998</v>
      </c>
      <c r="E256">
        <v>0.51581579999999905</v>
      </c>
      <c r="F256" t="s">
        <v>43</v>
      </c>
      <c r="G256">
        <v>-410.55099999999999</v>
      </c>
      <c r="H256">
        <v>-0.05</v>
      </c>
      <c r="I256">
        <v>366.68540000000002</v>
      </c>
      <c r="J256">
        <v>-460.43520000000001</v>
      </c>
      <c r="K256">
        <v>1.10927</v>
      </c>
      <c r="L256">
        <v>367.54270000000002</v>
      </c>
      <c r="M256">
        <v>0.99946420000000002</v>
      </c>
      <c r="N256">
        <v>0</v>
      </c>
      <c r="O256">
        <v>3.2475270000000001E-2</v>
      </c>
      <c r="P256">
        <v>0.9991584</v>
      </c>
      <c r="Q256">
        <v>3.005128E-2</v>
      </c>
      <c r="R256">
        <v>2.7921089999999999E-2</v>
      </c>
      <c r="S256">
        <v>3.0059809999999998</v>
      </c>
      <c r="T256">
        <v>-6.9704059999999998E-2</v>
      </c>
      <c r="U256">
        <v>-5.1330569999999999E-2</v>
      </c>
      <c r="V256">
        <v>4.5402910000000001E-3</v>
      </c>
      <c r="W256">
        <v>3.415427E-2</v>
      </c>
      <c r="X256">
        <v>0.99940629999999997</v>
      </c>
      <c r="Y256">
        <v>4.9513420000000002E-2</v>
      </c>
      <c r="Z256">
        <v>-1.3268049999999999E-3</v>
      </c>
      <c r="AA256">
        <v>0.99877260000000001</v>
      </c>
      <c r="AB256">
        <v>20</v>
      </c>
      <c r="AC256">
        <v>49.8842</v>
      </c>
      <c r="AD256">
        <v>-1.15927</v>
      </c>
      <c r="AE256">
        <v>-0.85730000000000905</v>
      </c>
      <c r="AF256">
        <v>2.4755276245758102</v>
      </c>
      <c r="AG256">
        <v>-1.15927</v>
      </c>
      <c r="AH256">
        <v>49.803157502434502</v>
      </c>
      <c r="AI256">
        <v>91.331791628771896</v>
      </c>
      <c r="AJ256">
        <v>87.154384340567006</v>
      </c>
      <c r="AK256">
        <v>49.878117859089599</v>
      </c>
      <c r="AL256">
        <v>88.042723898258302</v>
      </c>
      <c r="AM256">
        <v>89.739707742053795</v>
      </c>
      <c r="AN256">
        <v>1.0000000404406399</v>
      </c>
    </row>
    <row r="257" spans="1:40" x14ac:dyDescent="0.25">
      <c r="A257" t="str">
        <f>"20190312160308135"</f>
        <v>20190312160308135</v>
      </c>
      <c r="B257" t="str">
        <f>"1552377788124889"</f>
        <v>1552377788124889</v>
      </c>
      <c r="C257" t="s">
        <v>40</v>
      </c>
      <c r="D257">
        <v>5.385205</v>
      </c>
      <c r="E257">
        <v>0.51576829999999996</v>
      </c>
      <c r="F257" t="s">
        <v>43</v>
      </c>
      <c r="G257">
        <v>-411.27859999999998</v>
      </c>
      <c r="H257">
        <v>-0.05</v>
      </c>
      <c r="I257">
        <v>366.71280000000002</v>
      </c>
      <c r="J257">
        <v>-460.32530000000003</v>
      </c>
      <c r="K257">
        <v>1.1092679999999999</v>
      </c>
      <c r="L257">
        <v>367.54629999999997</v>
      </c>
      <c r="M257">
        <v>0.99946250000000003</v>
      </c>
      <c r="N257">
        <v>0</v>
      </c>
      <c r="O257">
        <v>3.2522509999999998E-2</v>
      </c>
      <c r="P257">
        <v>0.9991544</v>
      </c>
      <c r="Q257">
        <v>3.0026520000000001E-2</v>
      </c>
      <c r="R257">
        <v>2.808743E-2</v>
      </c>
      <c r="S257">
        <v>3.0061040000000001</v>
      </c>
      <c r="T257">
        <v>-7.0893650000000002E-2</v>
      </c>
      <c r="U257">
        <v>-5.0750730000000001E-2</v>
      </c>
      <c r="V257">
        <v>4.4211900000000002E-3</v>
      </c>
      <c r="W257">
        <v>3.413617E-2</v>
      </c>
      <c r="X257">
        <v>0.99940739999999995</v>
      </c>
      <c r="Y257">
        <v>4.936662E-2</v>
      </c>
      <c r="Z257">
        <v>-1.348772E-3</v>
      </c>
      <c r="AA257">
        <v>0.9987798</v>
      </c>
      <c r="AB257">
        <v>20</v>
      </c>
      <c r="AC257">
        <v>49.046700000000001</v>
      </c>
      <c r="AD257">
        <v>-1.159268</v>
      </c>
      <c r="AE257">
        <v>-0.83349999999995805</v>
      </c>
      <c r="AF257">
        <v>2.4268390334634899</v>
      </c>
      <c r="AG257">
        <v>-1.159268</v>
      </c>
      <c r="AH257">
        <v>48.966298623484597</v>
      </c>
      <c r="AI257">
        <v>91.354551587583202</v>
      </c>
      <c r="AJ257">
        <v>87.162661739974894</v>
      </c>
      <c r="AK257">
        <v>49.040104515329503</v>
      </c>
      <c r="AL257">
        <v>88.043761454470499</v>
      </c>
      <c r="AM257">
        <v>89.746535922213397</v>
      </c>
      <c r="AN257">
        <v>0.99999998809902202</v>
      </c>
    </row>
    <row r="258" spans="1:40" x14ac:dyDescent="0.25">
      <c r="A258" t="str">
        <f>"20190312160308149"</f>
        <v>20190312160308149</v>
      </c>
      <c r="B258" t="str">
        <f>"1552377788145386"</f>
        <v>1552377788145386</v>
      </c>
      <c r="C258" t="s">
        <v>40</v>
      </c>
      <c r="D258">
        <v>5.3954360000000001</v>
      </c>
      <c r="E258">
        <v>0.51589390000000002</v>
      </c>
      <c r="F258" t="s">
        <v>43</v>
      </c>
      <c r="G258">
        <v>-410.96390000000002</v>
      </c>
      <c r="H258">
        <v>-0.05</v>
      </c>
      <c r="I258">
        <v>366.73140000000001</v>
      </c>
      <c r="J258">
        <v>-460.20949999999999</v>
      </c>
      <c r="K258">
        <v>1.109264</v>
      </c>
      <c r="L258">
        <v>367.55009999999999</v>
      </c>
      <c r="M258">
        <v>0.99946109999999999</v>
      </c>
      <c r="N258">
        <v>0</v>
      </c>
      <c r="O258">
        <v>3.2570229999999999E-2</v>
      </c>
      <c r="P258">
        <v>0.99914590000000003</v>
      </c>
      <c r="Q258">
        <v>3.0187209999999999E-2</v>
      </c>
      <c r="R258">
        <v>2.822448E-2</v>
      </c>
      <c r="S258">
        <v>3.0060730000000002</v>
      </c>
      <c r="T258">
        <v>-7.0598599999999997E-2</v>
      </c>
      <c r="U258">
        <v>-4.9621579999999998E-2</v>
      </c>
      <c r="V258">
        <v>4.3317599999999996E-3</v>
      </c>
      <c r="W258">
        <v>3.430391E-2</v>
      </c>
      <c r="X258">
        <v>0.99940200000000001</v>
      </c>
      <c r="Y258">
        <v>4.9039680000000002E-2</v>
      </c>
      <c r="Z258">
        <v>-1.340459E-3</v>
      </c>
      <c r="AA258">
        <v>0.99879589999999996</v>
      </c>
      <c r="AB258">
        <v>20</v>
      </c>
      <c r="AC258">
        <v>49.245599999999897</v>
      </c>
      <c r="AD258">
        <v>-1.1592639999999901</v>
      </c>
      <c r="AE258">
        <v>-0.818699999999978</v>
      </c>
      <c r="AF258">
        <v>2.4208783674310901</v>
      </c>
      <c r="AG258">
        <v>-1.1592639999999901</v>
      </c>
      <c r="AH258">
        <v>49.1655690787615</v>
      </c>
      <c r="AI258">
        <v>91.349080310410599</v>
      </c>
      <c r="AJ258">
        <v>87.181072435846801</v>
      </c>
      <c r="AK258">
        <v>49.238782762473498</v>
      </c>
      <c r="AL258">
        <v>88.034144933565997</v>
      </c>
      <c r="AM258">
        <v>89.751661481910801</v>
      </c>
      <c r="AN258">
        <v>0.99999993999499004</v>
      </c>
    </row>
    <row r="259" spans="1:40" x14ac:dyDescent="0.25">
      <c r="A259" t="str">
        <f>"20190312160308165"</f>
        <v>20190312160308165</v>
      </c>
      <c r="B259" t="str">
        <f>"1552377788155146"</f>
        <v>1552377788155146</v>
      </c>
      <c r="C259" t="s">
        <v>40</v>
      </c>
      <c r="D259">
        <v>5.4516109999999998</v>
      </c>
      <c r="E259">
        <v>0.51600279999999998</v>
      </c>
      <c r="F259" t="s">
        <v>43</v>
      </c>
      <c r="G259">
        <v>-411.12</v>
      </c>
      <c r="H259">
        <v>-0.05</v>
      </c>
      <c r="I259">
        <v>366.7253</v>
      </c>
      <c r="J259">
        <v>-460.04770000000002</v>
      </c>
      <c r="K259">
        <v>1.1092569999999999</v>
      </c>
      <c r="L259">
        <v>367.55540000000002</v>
      </c>
      <c r="M259">
        <v>0.99945890000000004</v>
      </c>
      <c r="N259">
        <v>0</v>
      </c>
      <c r="O259">
        <v>3.2631050000000002E-2</v>
      </c>
      <c r="P259">
        <v>0.9991527</v>
      </c>
      <c r="Q259">
        <v>2.96961E-2</v>
      </c>
      <c r="R259">
        <v>2.849579E-2</v>
      </c>
      <c r="S259">
        <v>3.0061339999999999</v>
      </c>
      <c r="T259">
        <v>-7.0990800000000007E-2</v>
      </c>
      <c r="U259">
        <v>-5.0506589999999997E-2</v>
      </c>
      <c r="V259">
        <v>4.1219759999999899E-3</v>
      </c>
      <c r="W259">
        <v>3.38245E-2</v>
      </c>
      <c r="X259">
        <v>0.99941930000000001</v>
      </c>
      <c r="Y259">
        <v>4.9393720000000002E-2</v>
      </c>
      <c r="Z259">
        <v>-1.353489E-3</v>
      </c>
      <c r="AA259">
        <v>0.99877850000000001</v>
      </c>
      <c r="AB259">
        <v>20</v>
      </c>
      <c r="AC259">
        <v>48.927700000000002</v>
      </c>
      <c r="AD259">
        <v>-1.159257</v>
      </c>
      <c r="AE259">
        <v>-0.83010000000001505</v>
      </c>
      <c r="AF259">
        <v>2.42487296752086</v>
      </c>
      <c r="AG259">
        <v>-1.159257</v>
      </c>
      <c r="AH259">
        <v>48.847143127350897</v>
      </c>
      <c r="AI259">
        <v>91.357836287546803</v>
      </c>
      <c r="AJ259">
        <v>87.158052261923103</v>
      </c>
      <c r="AK259">
        <v>48.9210310337442</v>
      </c>
      <c r="AL259">
        <v>88.061629195944803</v>
      </c>
      <c r="AM259">
        <v>89.763692287171807</v>
      </c>
      <c r="AN259">
        <v>1.0000000123494399</v>
      </c>
    </row>
    <row r="260" spans="1:40" x14ac:dyDescent="0.25">
      <c r="A260" t="str">
        <f>"20190312160308190"</f>
        <v>20190312160308190</v>
      </c>
      <c r="B260" t="str">
        <f>"1552377788185401"</f>
        <v>1552377788185401</v>
      </c>
      <c r="C260" t="s">
        <v>40</v>
      </c>
      <c r="D260">
        <v>5.4251750000000003</v>
      </c>
      <c r="E260">
        <v>0.51617820000000003</v>
      </c>
      <c r="F260" t="s">
        <v>43</v>
      </c>
      <c r="G260">
        <v>-412.19549999999998</v>
      </c>
      <c r="H260">
        <v>-0.05</v>
      </c>
      <c r="I260">
        <v>366.75189999999998</v>
      </c>
      <c r="J260">
        <v>-459.83749999999998</v>
      </c>
      <c r="K260">
        <v>1.1092550000000001</v>
      </c>
      <c r="L260">
        <v>367.56229999999999</v>
      </c>
      <c r="M260">
        <v>0.99945660000000003</v>
      </c>
      <c r="N260">
        <v>0</v>
      </c>
      <c r="O260">
        <v>3.2700970000000003E-2</v>
      </c>
      <c r="P260">
        <v>0.99917489999999998</v>
      </c>
      <c r="Q260">
        <v>2.8772289999999999E-2</v>
      </c>
      <c r="R260">
        <v>2.866295E-2</v>
      </c>
      <c r="S260">
        <v>3.0061339999999999</v>
      </c>
      <c r="T260">
        <v>-7.282603E-2</v>
      </c>
      <c r="U260">
        <v>-5.0476069999999998E-2</v>
      </c>
      <c r="V260">
        <v>4.0261439999999997E-3</v>
      </c>
      <c r="W260">
        <v>3.2916140000000003E-2</v>
      </c>
      <c r="X260">
        <v>0.99944999999999995</v>
      </c>
      <c r="Y260">
        <v>4.9452219999999998E-2</v>
      </c>
      <c r="Z260">
        <v>-1.3908709999999999E-3</v>
      </c>
      <c r="AA260">
        <v>0.99877550000000004</v>
      </c>
      <c r="AB260">
        <v>20</v>
      </c>
      <c r="AC260">
        <v>47.642000000000003</v>
      </c>
      <c r="AD260">
        <v>-1.1592549999999999</v>
      </c>
      <c r="AE260">
        <v>-0.810400000000015</v>
      </c>
      <c r="AF260">
        <v>2.36651879250749</v>
      </c>
      <c r="AG260">
        <v>-1.1592549999999999</v>
      </c>
      <c r="AH260">
        <v>47.5618664594706</v>
      </c>
      <c r="AI260">
        <v>91.394504828173496</v>
      </c>
      <c r="AJ260">
        <v>87.151503520878407</v>
      </c>
      <c r="AK260">
        <v>47.6348131565437</v>
      </c>
      <c r="AL260">
        <v>88.113703355975403</v>
      </c>
      <c r="AM260">
        <v>89.769193245166903</v>
      </c>
      <c r="AN260">
        <v>0.99999999230400405</v>
      </c>
    </row>
    <row r="261" spans="1:40" x14ac:dyDescent="0.25">
      <c r="A261" t="str">
        <f>"20190312160308202"</f>
        <v>20190312160308202</v>
      </c>
      <c r="B261" t="str">
        <f>"1552377788195162"</f>
        <v>1552377788195162</v>
      </c>
      <c r="C261" t="s">
        <v>40</v>
      </c>
      <c r="D261">
        <v>5.3725820000000004</v>
      </c>
      <c r="E261">
        <v>0.51620889999999997</v>
      </c>
      <c r="F261" t="s">
        <v>43</v>
      </c>
      <c r="G261">
        <v>-414.07279999999997</v>
      </c>
      <c r="H261">
        <v>-0.05</v>
      </c>
      <c r="I261">
        <v>366.77809999999999</v>
      </c>
      <c r="J261">
        <v>-459.70620000000002</v>
      </c>
      <c r="K261">
        <v>1.1092500000000001</v>
      </c>
      <c r="L261">
        <v>367.56670000000003</v>
      </c>
      <c r="M261">
        <v>0.99945550000000005</v>
      </c>
      <c r="N261">
        <v>0</v>
      </c>
      <c r="O261">
        <v>3.2738419999999997E-2</v>
      </c>
      <c r="P261">
        <v>0.99917639999999996</v>
      </c>
      <c r="Q261">
        <v>2.867161E-2</v>
      </c>
      <c r="R261">
        <v>2.8719829999999998E-2</v>
      </c>
      <c r="S261">
        <v>3.0061650000000002</v>
      </c>
      <c r="T261">
        <v>-7.6148629999999995E-2</v>
      </c>
      <c r="U261">
        <v>-5.1513669999999998E-2</v>
      </c>
      <c r="V261">
        <v>4.0068509999999996E-3</v>
      </c>
      <c r="W261">
        <v>3.2825590000000002E-2</v>
      </c>
      <c r="X261">
        <v>0.99945309999999998</v>
      </c>
      <c r="Y261">
        <v>4.9831729999999998E-2</v>
      </c>
      <c r="Z261">
        <v>-1.4600429999999901E-3</v>
      </c>
      <c r="AA261">
        <v>0.99875659999999999</v>
      </c>
      <c r="AB261">
        <v>21</v>
      </c>
      <c r="AC261">
        <v>45.633400000000002</v>
      </c>
      <c r="AD261">
        <v>-1.1592499999999999</v>
      </c>
      <c r="AE261">
        <v>-0.78860000000003005</v>
      </c>
      <c r="AF261">
        <v>2.2806839290609102</v>
      </c>
      <c r="AG261">
        <v>-1.1592499999999999</v>
      </c>
      <c r="AH261">
        <v>45.553731394246697</v>
      </c>
      <c r="AI261">
        <v>91.455923897146107</v>
      </c>
      <c r="AJ261">
        <v>87.1338342211682</v>
      </c>
      <c r="AK261">
        <v>45.625517242941498</v>
      </c>
      <c r="AL261">
        <v>88.118894377460194</v>
      </c>
      <c r="AM261">
        <v>89.7702999555422</v>
      </c>
      <c r="AN261">
        <v>1.0000000366566899</v>
      </c>
    </row>
    <row r="262" spans="1:40" x14ac:dyDescent="0.25">
      <c r="A262" t="str">
        <f>"20190312160308215"</f>
        <v>20190312160308215</v>
      </c>
      <c r="B262" t="str">
        <f>"1552377788204923"</f>
        <v>1552377788204923</v>
      </c>
      <c r="C262" t="s">
        <v>40</v>
      </c>
      <c r="D262">
        <v>5.3964239999999997</v>
      </c>
      <c r="E262">
        <v>0.51624720000000002</v>
      </c>
      <c r="F262" t="s">
        <v>43</v>
      </c>
      <c r="G262">
        <v>-413.33839999999998</v>
      </c>
      <c r="H262">
        <v>-0.05</v>
      </c>
      <c r="I262">
        <v>366.76839999999999</v>
      </c>
      <c r="J262">
        <v>-459.58870000000002</v>
      </c>
      <c r="K262">
        <v>1.1092489999999999</v>
      </c>
      <c r="L262">
        <v>367.57060000000001</v>
      </c>
      <c r="M262">
        <v>0.99945430000000002</v>
      </c>
      <c r="N262">
        <v>0</v>
      </c>
      <c r="O262">
        <v>3.2768190000000003E-2</v>
      </c>
      <c r="P262">
        <v>0.9991816</v>
      </c>
      <c r="Q262">
        <v>2.8659469999999999E-2</v>
      </c>
      <c r="R262">
        <v>2.8550559999999999E-2</v>
      </c>
      <c r="S262">
        <v>3.0061339999999999</v>
      </c>
      <c r="T262">
        <v>-7.5156929999999997E-2</v>
      </c>
      <c r="U262">
        <v>-5.1757810000000001E-2</v>
      </c>
      <c r="V262">
        <v>4.2062310000000004E-3</v>
      </c>
      <c r="W262">
        <v>3.2822740000000003E-2</v>
      </c>
      <c r="X262">
        <v>0.99945240000000002</v>
      </c>
      <c r="Y262">
        <v>4.9943380000000002E-2</v>
      </c>
      <c r="Z262">
        <v>-1.443188E-3</v>
      </c>
      <c r="AA262">
        <v>0.99875100000000006</v>
      </c>
      <c r="AB262">
        <v>21</v>
      </c>
      <c r="AC262">
        <v>46.250300000000003</v>
      </c>
      <c r="AD262">
        <v>-1.159249</v>
      </c>
      <c r="AE262">
        <v>-0.802200000000027</v>
      </c>
      <c r="AF262">
        <v>2.3158664796103001</v>
      </c>
      <c r="AG262">
        <v>-1.159249</v>
      </c>
      <c r="AH262">
        <v>46.170178154297197</v>
      </c>
      <c r="AI262">
        <v>91.436485197909803</v>
      </c>
      <c r="AJ262">
        <v>87.128487093957105</v>
      </c>
      <c r="AK262">
        <v>46.242755612040803</v>
      </c>
      <c r="AL262">
        <v>88.119057806627595</v>
      </c>
      <c r="AM262">
        <v>89.758870096133805</v>
      </c>
      <c r="AN262">
        <v>1.0000000622530401</v>
      </c>
    </row>
    <row r="263" spans="1:40" x14ac:dyDescent="0.25">
      <c r="A263" t="str">
        <f>"20190312160308236"</f>
        <v>20190312160308236</v>
      </c>
      <c r="B263" t="str">
        <f>"1552377788225418"</f>
        <v>1552377788225418</v>
      </c>
      <c r="C263" t="s">
        <v>40</v>
      </c>
      <c r="D263">
        <v>5.3758089999999896</v>
      </c>
      <c r="E263">
        <v>0.51635339999999996</v>
      </c>
      <c r="F263" t="s">
        <v>43</v>
      </c>
      <c r="G263">
        <v>-413.18189999999998</v>
      </c>
      <c r="H263">
        <v>-0.05</v>
      </c>
      <c r="I263">
        <v>366.76549999999997</v>
      </c>
      <c r="J263">
        <v>-459.40390000000002</v>
      </c>
      <c r="K263">
        <v>1.1092379999999999</v>
      </c>
      <c r="L263">
        <v>367.57679999999999</v>
      </c>
      <c r="M263">
        <v>0.99945289999999998</v>
      </c>
      <c r="N263">
        <v>0</v>
      </c>
      <c r="O263">
        <v>3.2807469999999998E-2</v>
      </c>
      <c r="P263">
        <v>0.99917100000000003</v>
      </c>
      <c r="Q263">
        <v>2.876418E-2</v>
      </c>
      <c r="R263">
        <v>2.8810120000000002E-2</v>
      </c>
      <c r="S263">
        <v>3.0061040000000001</v>
      </c>
      <c r="T263">
        <v>-7.5092909999999999E-2</v>
      </c>
      <c r="U263">
        <v>-5.2154539999999999E-2</v>
      </c>
      <c r="V263">
        <v>3.9862250000000004E-3</v>
      </c>
      <c r="W263">
        <v>3.2943319999999998E-2</v>
      </c>
      <c r="X263">
        <v>0.99944929999999998</v>
      </c>
      <c r="Y263">
        <v>5.0114560000000002E-2</v>
      </c>
      <c r="Z263">
        <v>-1.4450909999999999E-3</v>
      </c>
      <c r="AA263">
        <v>0.99874240000000003</v>
      </c>
      <c r="AB263">
        <v>21</v>
      </c>
      <c r="AC263">
        <v>46.222000000000001</v>
      </c>
      <c r="AD263">
        <v>-1.159238</v>
      </c>
      <c r="AE263">
        <v>-0.81130000000001701</v>
      </c>
      <c r="AF263">
        <v>2.3258409685982802</v>
      </c>
      <c r="AG263">
        <v>-1.159238</v>
      </c>
      <c r="AH263">
        <v>46.141487003436502</v>
      </c>
      <c r="AI263">
        <v>91.437346582663906</v>
      </c>
      <c r="AJ263">
        <v>87.114350078733906</v>
      </c>
      <c r="AK263">
        <v>46.214610155665703</v>
      </c>
      <c r="AL263">
        <v>88.112145278675598</v>
      </c>
      <c r="AM263">
        <v>89.771481497218304</v>
      </c>
      <c r="AN263">
        <v>1.00000002779643</v>
      </c>
    </row>
    <row r="264" spans="1:40" x14ac:dyDescent="0.25">
      <c r="A264" t="str">
        <f>"20190312160308257"</f>
        <v>20190312160308257</v>
      </c>
      <c r="B264" t="str">
        <f>"1552377788244938"</f>
        <v>1552377788244938</v>
      </c>
      <c r="C264" t="s">
        <v>40</v>
      </c>
      <c r="D264">
        <v>5.3990239999999998</v>
      </c>
      <c r="E264">
        <v>0.5164919</v>
      </c>
      <c r="F264" t="s">
        <v>43</v>
      </c>
      <c r="G264">
        <v>-412.88819999999998</v>
      </c>
      <c r="H264">
        <v>-0.05</v>
      </c>
      <c r="I264">
        <v>366.76499999999999</v>
      </c>
      <c r="J264">
        <v>-459.19880000000001</v>
      </c>
      <c r="K264">
        <v>1.1092280000000001</v>
      </c>
      <c r="L264">
        <v>367.58359999999999</v>
      </c>
      <c r="M264">
        <v>0.99945189999999995</v>
      </c>
      <c r="N264">
        <v>0</v>
      </c>
      <c r="O264">
        <v>3.2837369999999998E-2</v>
      </c>
      <c r="P264">
        <v>0.99915520000000002</v>
      </c>
      <c r="Q264">
        <v>2.8796209999999999E-2</v>
      </c>
      <c r="R264">
        <v>2.9323220000000001E-2</v>
      </c>
      <c r="S264">
        <v>3.0061339999999999</v>
      </c>
      <c r="T264">
        <v>-7.4917079999999997E-2</v>
      </c>
      <c r="U264">
        <v>-5.2459720000000001E-2</v>
      </c>
      <c r="V264">
        <v>3.5033870000000002E-3</v>
      </c>
      <c r="W264">
        <v>3.2993349999999998E-2</v>
      </c>
      <c r="X264">
        <v>0.99944940000000004</v>
      </c>
      <c r="Y264">
        <v>5.0245699999999997E-2</v>
      </c>
      <c r="Z264">
        <v>-1.4440709999999999E-3</v>
      </c>
      <c r="AA264">
        <v>0.99873579999999995</v>
      </c>
      <c r="AB264">
        <v>21</v>
      </c>
      <c r="AC264">
        <v>46.310600000000001</v>
      </c>
      <c r="AD264">
        <v>-1.1592279999999999</v>
      </c>
      <c r="AE264">
        <v>-0.81860000000000299</v>
      </c>
      <c r="AF264">
        <v>2.3374260943841501</v>
      </c>
      <c r="AG264">
        <v>-1.1592279999999999</v>
      </c>
      <c r="AH264">
        <v>46.229786086242399</v>
      </c>
      <c r="AI264">
        <v>91.434578879465207</v>
      </c>
      <c r="AJ264">
        <v>87.105530574790293</v>
      </c>
      <c r="AK264">
        <v>46.303352922681803</v>
      </c>
      <c r="AL264">
        <v>88.109277100631004</v>
      </c>
      <c r="AM264">
        <v>89.799160951049402</v>
      </c>
      <c r="AN264">
        <v>0.99999996901252597</v>
      </c>
    </row>
    <row r="265" spans="1:40" x14ac:dyDescent="0.25">
      <c r="A265" t="str">
        <f>"20190312160308270"</f>
        <v>20190312160308270</v>
      </c>
      <c r="B265" t="str">
        <f>"1552377788265434"</f>
        <v>1552377788265434</v>
      </c>
      <c r="C265" t="s">
        <v>40</v>
      </c>
      <c r="D265">
        <v>5.3704999999999998</v>
      </c>
      <c r="E265">
        <v>0.51661190000000001</v>
      </c>
      <c r="F265" t="s">
        <v>43</v>
      </c>
      <c r="G265">
        <v>-412.9665</v>
      </c>
      <c r="H265">
        <v>-0.05</v>
      </c>
      <c r="I265">
        <v>366.78519999999997</v>
      </c>
      <c r="J265">
        <v>-459.07229999999998</v>
      </c>
      <c r="K265">
        <v>1.1092219999999999</v>
      </c>
      <c r="L265">
        <v>367.58769999999998</v>
      </c>
      <c r="M265">
        <v>0.99945150000000005</v>
      </c>
      <c r="N265">
        <v>0</v>
      </c>
      <c r="O265">
        <v>3.284977E-2</v>
      </c>
      <c r="P265">
        <v>0.99914740000000002</v>
      </c>
      <c r="Q265">
        <v>2.8951939999999999E-2</v>
      </c>
      <c r="R265">
        <v>2.943339E-2</v>
      </c>
      <c r="S265">
        <v>3.006195</v>
      </c>
      <c r="T265">
        <v>-7.5377230000000003E-2</v>
      </c>
      <c r="U265">
        <v>-5.1910400000000002E-2</v>
      </c>
      <c r="V265">
        <v>3.4058320000000001E-3</v>
      </c>
      <c r="W265">
        <v>3.3160630000000003E-2</v>
      </c>
      <c r="X265">
        <v>0.9994442</v>
      </c>
      <c r="Y265">
        <v>5.007503E-2</v>
      </c>
      <c r="Z265">
        <v>-1.451082E-3</v>
      </c>
      <c r="AA265">
        <v>0.99874439999999998</v>
      </c>
      <c r="AB265">
        <v>21</v>
      </c>
      <c r="AC265">
        <v>46.105799999999903</v>
      </c>
      <c r="AD265">
        <v>-1.159222</v>
      </c>
      <c r="AE265">
        <v>-0.80250000000000898</v>
      </c>
      <c r="AF265">
        <v>2.3151820257598699</v>
      </c>
      <c r="AG265">
        <v>-1.159222</v>
      </c>
      <c r="AH265">
        <v>46.0254678012396</v>
      </c>
      <c r="AI265">
        <v>91.440955945787394</v>
      </c>
      <c r="AJ265">
        <v>87.120323752859207</v>
      </c>
      <c r="AK265">
        <v>46.098238033363302</v>
      </c>
      <c r="AL265">
        <v>88.099687412976394</v>
      </c>
      <c r="AM265">
        <v>89.804752437428704</v>
      </c>
      <c r="AN265">
        <v>0.99999996799362401</v>
      </c>
    </row>
    <row r="266" spans="1:40" x14ac:dyDescent="0.25">
      <c r="A266" t="str">
        <f>"20190312160308283"</f>
        <v>20190312160308283</v>
      </c>
      <c r="B266" t="str">
        <f>"1552377788275194"</f>
        <v>1552377788275194</v>
      </c>
      <c r="C266" t="s">
        <v>40</v>
      </c>
      <c r="D266">
        <v>5.4123289999999997</v>
      </c>
      <c r="E266">
        <v>0.516706</v>
      </c>
      <c r="F266" t="s">
        <v>43</v>
      </c>
      <c r="G266">
        <v>-412.8014</v>
      </c>
      <c r="H266">
        <v>-0.05</v>
      </c>
      <c r="I266">
        <v>366.77420000000001</v>
      </c>
      <c r="J266">
        <v>-458.94779999999997</v>
      </c>
      <c r="K266">
        <v>1.1092169999999999</v>
      </c>
      <c r="L266">
        <v>367.59179999999998</v>
      </c>
      <c r="M266">
        <v>0.99945110000000004</v>
      </c>
      <c r="N266">
        <v>0</v>
      </c>
      <c r="O266">
        <v>3.2856999999999997E-2</v>
      </c>
      <c r="P266">
        <v>0.99914800000000004</v>
      </c>
      <c r="Q266">
        <v>2.8735320000000002E-2</v>
      </c>
      <c r="R266">
        <v>2.9620339999999998E-2</v>
      </c>
      <c r="S266">
        <v>3.0063170000000001</v>
      </c>
      <c r="T266">
        <v>-7.5317029999999993E-2</v>
      </c>
      <c r="U266">
        <v>-5.2856449999999999E-2</v>
      </c>
      <c r="V266">
        <v>3.2267609999999999E-3</v>
      </c>
      <c r="W266">
        <v>3.2954749999999998E-2</v>
      </c>
      <c r="X266">
        <v>0.9994516</v>
      </c>
      <c r="Y266">
        <v>5.0395679999999998E-2</v>
      </c>
      <c r="Z266">
        <v>-1.4540579999999901E-3</v>
      </c>
      <c r="AA266">
        <v>0.99872830000000001</v>
      </c>
      <c r="AB266">
        <v>21</v>
      </c>
      <c r="AC266">
        <v>46.1463999999999</v>
      </c>
      <c r="AD266">
        <v>-1.1592169999999999</v>
      </c>
      <c r="AE266">
        <v>-0.81759999999997002</v>
      </c>
      <c r="AF266">
        <v>2.3319333161414901</v>
      </c>
      <c r="AG266">
        <v>-1.1592169999999999</v>
      </c>
      <c r="AH266">
        <v>46.065559397599202</v>
      </c>
      <c r="AI266">
        <v>91.439673010551999</v>
      </c>
      <c r="AJ266">
        <v>87.102043592858095</v>
      </c>
      <c r="AK266">
        <v>46.139109870669998</v>
      </c>
      <c r="AL266">
        <v>88.111489911894395</v>
      </c>
      <c r="AM266">
        <v>89.815019412203796</v>
      </c>
      <c r="AN266">
        <v>0.99999996413833603</v>
      </c>
    </row>
    <row r="267" spans="1:40" x14ac:dyDescent="0.25">
      <c r="A267" t="str">
        <f>"20190312160308301"</f>
        <v>20190312160308301</v>
      </c>
      <c r="B267" t="str">
        <f>"1552377788294714"</f>
        <v>1552377788294714</v>
      </c>
      <c r="C267" t="s">
        <v>40</v>
      </c>
      <c r="D267">
        <v>5.3167220000000004</v>
      </c>
      <c r="E267">
        <v>0.51671959999999995</v>
      </c>
      <c r="F267" t="s">
        <v>43</v>
      </c>
      <c r="G267">
        <v>-413.38279999999997</v>
      </c>
      <c r="H267">
        <v>-0.05</v>
      </c>
      <c r="I267">
        <v>366.79160000000002</v>
      </c>
      <c r="J267">
        <v>-458.77629999999999</v>
      </c>
      <c r="K267">
        <v>1.1092120000000001</v>
      </c>
      <c r="L267">
        <v>367.59739999999999</v>
      </c>
      <c r="M267">
        <v>0.99945090000000003</v>
      </c>
      <c r="N267">
        <v>0</v>
      </c>
      <c r="O267">
        <v>3.2861590000000003E-2</v>
      </c>
      <c r="P267">
        <v>0.99914599999999998</v>
      </c>
      <c r="Q267">
        <v>2.8514910000000001E-2</v>
      </c>
      <c r="R267">
        <v>2.9903699999999998E-2</v>
      </c>
      <c r="S267">
        <v>3.006348</v>
      </c>
      <c r="T267">
        <v>-7.6484319999999995E-2</v>
      </c>
      <c r="U267">
        <v>-5.2795410000000001E-2</v>
      </c>
      <c r="V267">
        <v>2.948286E-3</v>
      </c>
      <c r="W267">
        <v>3.2751250000000003E-2</v>
      </c>
      <c r="X267">
        <v>0.99945919999999999</v>
      </c>
      <c r="Y267">
        <v>5.0379010000000002E-2</v>
      </c>
      <c r="Z267">
        <v>-1.4764769999999999E-3</v>
      </c>
      <c r="AA267">
        <v>0.99872910000000004</v>
      </c>
      <c r="AB267">
        <v>21</v>
      </c>
      <c r="AC267">
        <v>45.393500000000003</v>
      </c>
      <c r="AD267">
        <v>-1.1592119999999999</v>
      </c>
      <c r="AE267">
        <v>-0.80579999999997598</v>
      </c>
      <c r="AF267">
        <v>2.2955842489279399</v>
      </c>
      <c r="AG267">
        <v>-1.1592119999999999</v>
      </c>
      <c r="AH267">
        <v>45.312962050410299</v>
      </c>
      <c r="AI267">
        <v>91.463564882958707</v>
      </c>
      <c r="AJ267">
        <v>87.099837787780899</v>
      </c>
      <c r="AK267">
        <v>45.385878963470503</v>
      </c>
      <c r="AL267">
        <v>88.123155995601195</v>
      </c>
      <c r="AM267">
        <v>89.830984741930294</v>
      </c>
      <c r="AN267">
        <v>1.0000000146157699</v>
      </c>
    </row>
    <row r="268" spans="1:40" x14ac:dyDescent="0.25">
      <c r="A268" t="str">
        <f>"20190312160308316"</f>
        <v>20190312160308316</v>
      </c>
      <c r="B268" t="str">
        <f>"1552377788305450"</f>
        <v>1552377788305450</v>
      </c>
      <c r="C268" t="s">
        <v>40</v>
      </c>
      <c r="D268">
        <v>5.3126410000000002</v>
      </c>
      <c r="E268">
        <v>0.51675000000000004</v>
      </c>
      <c r="F268" t="s">
        <v>43</v>
      </c>
      <c r="G268">
        <v>-413.21800000000002</v>
      </c>
      <c r="H268">
        <v>-0.05</v>
      </c>
      <c r="I268">
        <v>366.8048</v>
      </c>
      <c r="J268">
        <v>-458.64240000000001</v>
      </c>
      <c r="K268">
        <v>1.1092109999999999</v>
      </c>
      <c r="L268">
        <v>367.60180000000003</v>
      </c>
      <c r="M268">
        <v>0.99945090000000003</v>
      </c>
      <c r="N268">
        <v>0</v>
      </c>
      <c r="O268">
        <v>3.2862019999999999E-2</v>
      </c>
      <c r="P268">
        <v>0.99914289999999994</v>
      </c>
      <c r="Q268">
        <v>2.848028E-2</v>
      </c>
      <c r="R268">
        <v>3.0039880000000001E-2</v>
      </c>
      <c r="S268">
        <v>3.0063780000000002</v>
      </c>
      <c r="T268">
        <v>-7.6495889999999997E-2</v>
      </c>
      <c r="U268">
        <v>-5.230713E-2</v>
      </c>
      <c r="V268">
        <v>2.812883E-3</v>
      </c>
      <c r="W268">
        <v>3.2729800000000003E-2</v>
      </c>
      <c r="X268">
        <v>0.99946029999999997</v>
      </c>
      <c r="Y268">
        <v>5.021714E-2</v>
      </c>
      <c r="Z268">
        <v>-1.474639E-3</v>
      </c>
      <c r="AA268">
        <v>0.99873719999999999</v>
      </c>
      <c r="AB268">
        <v>21</v>
      </c>
      <c r="AC268">
        <v>45.424399999999899</v>
      </c>
      <c r="AD268">
        <v>-1.159211</v>
      </c>
      <c r="AE268">
        <v>-0.79700000000002502</v>
      </c>
      <c r="AF268">
        <v>2.2878310092215002</v>
      </c>
      <c r="AG268">
        <v>-1.159211</v>
      </c>
      <c r="AH268">
        <v>45.344153268616097</v>
      </c>
      <c r="AI268">
        <v>91.462572480892604</v>
      </c>
      <c r="AJ268">
        <v>87.111601187932493</v>
      </c>
      <c r="AK268">
        <v>45.416628854606003</v>
      </c>
      <c r="AL268">
        <v>88.124385662576501</v>
      </c>
      <c r="AM268">
        <v>89.838747073154394</v>
      </c>
      <c r="AN268">
        <v>1.0000000216974501</v>
      </c>
    </row>
    <row r="269" spans="1:40" x14ac:dyDescent="0.25">
      <c r="A269" t="str">
        <f>"20190312160308331"</f>
        <v>20190312160308331</v>
      </c>
      <c r="B269" t="str">
        <f>"1552377788324970"</f>
        <v>1552377788324970</v>
      </c>
      <c r="C269" t="s">
        <v>40</v>
      </c>
      <c r="D269">
        <v>5.2996540000000003</v>
      </c>
      <c r="E269">
        <v>0.51680630000000005</v>
      </c>
      <c r="F269" t="s">
        <v>43</v>
      </c>
      <c r="G269">
        <v>-413.02030000000002</v>
      </c>
      <c r="H269">
        <v>-0.05</v>
      </c>
      <c r="I269">
        <v>366.81270000000001</v>
      </c>
      <c r="J269">
        <v>-458.49889999999999</v>
      </c>
      <c r="K269">
        <v>1.1092109999999999</v>
      </c>
      <c r="L269">
        <v>367.60660000000001</v>
      </c>
      <c r="M269">
        <v>0.99945099999999998</v>
      </c>
      <c r="N269">
        <v>0</v>
      </c>
      <c r="O269">
        <v>3.2860670000000002E-2</v>
      </c>
      <c r="P269">
        <v>0.99913850000000004</v>
      </c>
      <c r="Q269">
        <v>2.867716E-2</v>
      </c>
      <c r="R269">
        <v>2.9996709999999999E-2</v>
      </c>
      <c r="S269">
        <v>3.0063170000000001</v>
      </c>
      <c r="T269">
        <v>-7.638752E-2</v>
      </c>
      <c r="U269">
        <v>-5.2001949999999998E-2</v>
      </c>
      <c r="V269">
        <v>2.8546800000000001E-3</v>
      </c>
      <c r="W269">
        <v>3.2940450000000003E-2</v>
      </c>
      <c r="X269">
        <v>0.99945320000000004</v>
      </c>
      <c r="Y269">
        <v>5.0114899999999997E-2</v>
      </c>
      <c r="Z269">
        <v>-1.4712480000000001E-3</v>
      </c>
      <c r="AA269">
        <v>0.99874240000000003</v>
      </c>
      <c r="AB269">
        <v>21</v>
      </c>
      <c r="AC269">
        <v>45.478599999999901</v>
      </c>
      <c r="AD269">
        <v>-1.159211</v>
      </c>
      <c r="AE269">
        <v>-0.79390000000000704</v>
      </c>
      <c r="AF269">
        <v>2.2864568126703602</v>
      </c>
      <c r="AG269">
        <v>-1.159211</v>
      </c>
      <c r="AH269">
        <v>45.398463918895096</v>
      </c>
      <c r="AI269">
        <v>91.4608302030788</v>
      </c>
      <c r="AJ269">
        <v>87.116780701970399</v>
      </c>
      <c r="AK269">
        <v>45.470783818777001</v>
      </c>
      <c r="AL269">
        <v>88.112309680182193</v>
      </c>
      <c r="AM269">
        <v>89.836349845016201</v>
      </c>
      <c r="AN269">
        <v>0.99999996071717101</v>
      </c>
    </row>
    <row r="270" spans="1:40" x14ac:dyDescent="0.25">
      <c r="A270" t="str">
        <f>"20190312160308346"</f>
        <v>20190312160308346</v>
      </c>
      <c r="B270" t="str">
        <f>"1552377788334730"</f>
        <v>1552377788334730</v>
      </c>
      <c r="C270" t="s">
        <v>40</v>
      </c>
      <c r="D270">
        <v>5.3910179999999999</v>
      </c>
      <c r="E270">
        <v>0.51691690000000001</v>
      </c>
      <c r="F270" t="s">
        <v>43</v>
      </c>
      <c r="G270">
        <v>-412.68700000000001</v>
      </c>
      <c r="H270">
        <v>-0.05</v>
      </c>
      <c r="I270">
        <v>366.80720000000002</v>
      </c>
      <c r="J270">
        <v>-458.34190000000001</v>
      </c>
      <c r="K270">
        <v>1.1092139999999999</v>
      </c>
      <c r="L270">
        <v>367.61169999999998</v>
      </c>
      <c r="M270">
        <v>0.99945099999999998</v>
      </c>
      <c r="N270">
        <v>0</v>
      </c>
      <c r="O270">
        <v>3.2856999999999997E-2</v>
      </c>
      <c r="P270">
        <v>0.99911019999999995</v>
      </c>
      <c r="Q270">
        <v>2.9137139999999999E-2</v>
      </c>
      <c r="R270">
        <v>3.049868E-2</v>
      </c>
      <c r="S270">
        <v>3.006348</v>
      </c>
      <c r="T270">
        <v>-7.6071739999999999E-2</v>
      </c>
      <c r="U270">
        <v>-5.2459720000000001E-2</v>
      </c>
      <c r="V270">
        <v>2.3482749999999999E-3</v>
      </c>
      <c r="W270">
        <v>3.3416550000000003E-2</v>
      </c>
      <c r="X270">
        <v>0.99943879999999996</v>
      </c>
      <c r="Y270">
        <v>5.0263269999999999E-2</v>
      </c>
      <c r="Z270">
        <v>-1.4669360000000001E-3</v>
      </c>
      <c r="AA270">
        <v>0.99873500000000004</v>
      </c>
      <c r="AB270">
        <v>22</v>
      </c>
      <c r="AC270">
        <v>45.654899999999998</v>
      </c>
      <c r="AD270">
        <v>-1.159214</v>
      </c>
      <c r="AE270">
        <v>-0.80449999999996102</v>
      </c>
      <c r="AF270">
        <v>2.30267819222184</v>
      </c>
      <c r="AG270">
        <v>-1.159214</v>
      </c>
      <c r="AH270">
        <v>45.574442718895199</v>
      </c>
      <c r="AI270">
        <v>91.455183806289</v>
      </c>
      <c r="AJ270">
        <v>87.107553331310697</v>
      </c>
      <c r="AK270">
        <v>45.647299296810402</v>
      </c>
      <c r="AL270">
        <v>88.085016297941095</v>
      </c>
      <c r="AM270">
        <v>89.865378451341499</v>
      </c>
      <c r="AN270">
        <v>1.0000000475774</v>
      </c>
    </row>
    <row r="271" spans="1:40" x14ac:dyDescent="0.25">
      <c r="A271" t="str">
        <f>"20190312160308361"</f>
        <v>20190312160308361</v>
      </c>
      <c r="B271" t="str">
        <f>"1552377788355226"</f>
        <v>1552377788355226</v>
      </c>
      <c r="C271" t="s">
        <v>40</v>
      </c>
      <c r="D271">
        <v>5.3434089999999896</v>
      </c>
      <c r="E271">
        <v>0.51697979999999999</v>
      </c>
      <c r="F271" t="s">
        <v>43</v>
      </c>
      <c r="G271">
        <v>-411.81229999999999</v>
      </c>
      <c r="H271">
        <v>-0.05</v>
      </c>
      <c r="I271">
        <v>366.80829999999997</v>
      </c>
      <c r="J271">
        <v>-458.20600000000002</v>
      </c>
      <c r="K271">
        <v>1.109219</v>
      </c>
      <c r="L271">
        <v>367.61619999999999</v>
      </c>
      <c r="M271">
        <v>0.99945110000000004</v>
      </c>
      <c r="N271">
        <v>0</v>
      </c>
      <c r="O271">
        <v>3.2852800000000001E-2</v>
      </c>
      <c r="P271">
        <v>0.99911430000000001</v>
      </c>
      <c r="Q271">
        <v>2.908583E-2</v>
      </c>
      <c r="R271">
        <v>3.0416329999999998E-2</v>
      </c>
      <c r="S271">
        <v>3.0064389999999999</v>
      </c>
      <c r="T271">
        <v>-7.4900869999999994E-2</v>
      </c>
      <c r="U271">
        <v>-5.1910400000000002E-2</v>
      </c>
      <c r="V271">
        <v>2.426377E-3</v>
      </c>
      <c r="W271">
        <v>3.337938E-2</v>
      </c>
      <c r="X271">
        <v>0.99943979999999999</v>
      </c>
      <c r="Y271">
        <v>5.007698E-2</v>
      </c>
      <c r="Z271">
        <v>-1.4418969999999999E-3</v>
      </c>
      <c r="AA271">
        <v>0.99874430000000003</v>
      </c>
      <c r="AB271">
        <v>22</v>
      </c>
      <c r="AC271">
        <v>46.393699999999903</v>
      </c>
      <c r="AD271">
        <v>-1.159219</v>
      </c>
      <c r="AE271">
        <v>-0.80790000000001705</v>
      </c>
      <c r="AF271">
        <v>2.3301863399853899</v>
      </c>
      <c r="AG271">
        <v>-1.159219</v>
      </c>
      <c r="AH271">
        <v>46.3132083792662</v>
      </c>
      <c r="AI271">
        <v>91.432002604301601</v>
      </c>
      <c r="AJ271">
        <v>87.119669316180406</v>
      </c>
      <c r="AK271">
        <v>46.386278439322403</v>
      </c>
      <c r="AL271">
        <v>88.087147064490907</v>
      </c>
      <c r="AM271">
        <v>89.860901188363002</v>
      </c>
      <c r="AN271">
        <v>0.99999999206928503</v>
      </c>
    </row>
    <row r="272" spans="1:40" x14ac:dyDescent="0.25">
      <c r="A272" t="str">
        <f>"20190312160308379"</f>
        <v>20190312160308379</v>
      </c>
      <c r="B272" t="str">
        <f>"1552377788374745"</f>
        <v>1552377788374745</v>
      </c>
      <c r="C272" t="s">
        <v>40</v>
      </c>
      <c r="D272">
        <v>5.3217290000000004</v>
      </c>
      <c r="E272">
        <v>0.51705459999999903</v>
      </c>
      <c r="F272" t="s">
        <v>43</v>
      </c>
      <c r="G272">
        <v>-411.94589999999999</v>
      </c>
      <c r="H272">
        <v>-0.05</v>
      </c>
      <c r="I272">
        <v>366.80799999999999</v>
      </c>
      <c r="J272">
        <v>-458.02620000000002</v>
      </c>
      <c r="K272">
        <v>1.109218</v>
      </c>
      <c r="L272">
        <v>367.62209999999999</v>
      </c>
      <c r="M272">
        <v>0.99945110000000004</v>
      </c>
      <c r="N272">
        <v>0</v>
      </c>
      <c r="O272">
        <v>3.2845970000000002E-2</v>
      </c>
      <c r="P272">
        <v>0.99909550000000003</v>
      </c>
      <c r="Q272">
        <v>2.958686E-2</v>
      </c>
      <c r="R272">
        <v>3.0541889999999999E-2</v>
      </c>
      <c r="S272">
        <v>3.0064700000000002</v>
      </c>
      <c r="T272">
        <v>-7.5338240000000001E-2</v>
      </c>
      <c r="U272">
        <v>-5.2520749999999998E-2</v>
      </c>
      <c r="V272">
        <v>2.293453E-3</v>
      </c>
      <c r="W272">
        <v>3.3898829999999998E-2</v>
      </c>
      <c r="X272">
        <v>0.99942260000000005</v>
      </c>
      <c r="Y272">
        <v>5.0272339999999999E-2</v>
      </c>
      <c r="Z272">
        <v>-1.4525740000000001E-3</v>
      </c>
      <c r="AA272">
        <v>0.99873449999999997</v>
      </c>
      <c r="AB272">
        <v>22</v>
      </c>
      <c r="AC272">
        <v>46.080300000000001</v>
      </c>
      <c r="AD272">
        <v>-1.1592180000000001</v>
      </c>
      <c r="AE272">
        <v>-0.81409999999993898</v>
      </c>
      <c r="AF272">
        <v>2.3257555915970101</v>
      </c>
      <c r="AG272">
        <v>-1.1592180000000001</v>
      </c>
      <c r="AH272">
        <v>45.999593947971299</v>
      </c>
      <c r="AI272">
        <v>91.441742425038399</v>
      </c>
      <c r="AJ272">
        <v>87.105570019256405</v>
      </c>
      <c r="AK272">
        <v>46.072937488525803</v>
      </c>
      <c r="AL272">
        <v>88.057367859154994</v>
      </c>
      <c r="AM272">
        <v>89.868519136196994</v>
      </c>
      <c r="AN272">
        <v>0.99999996199639496</v>
      </c>
    </row>
    <row r="273" spans="1:40" x14ac:dyDescent="0.25">
      <c r="A273" t="str">
        <f>"20190312160308392"</f>
        <v>20190312160308392</v>
      </c>
      <c r="B273" t="str">
        <f>"1552377788385481"</f>
        <v>1552377788385481</v>
      </c>
      <c r="C273" t="s">
        <v>40</v>
      </c>
      <c r="D273">
        <v>5.3319369999999999</v>
      </c>
      <c r="E273">
        <v>0.5171133</v>
      </c>
      <c r="F273" t="s">
        <v>43</v>
      </c>
      <c r="G273">
        <v>-411.18759999999997</v>
      </c>
      <c r="H273">
        <v>-0.05</v>
      </c>
      <c r="I273">
        <v>366.79820000000001</v>
      </c>
      <c r="J273">
        <v>-457.899</v>
      </c>
      <c r="K273">
        <v>1.109219</v>
      </c>
      <c r="L273">
        <v>367.62630000000001</v>
      </c>
      <c r="M273">
        <v>0.99945130000000004</v>
      </c>
      <c r="N273">
        <v>0</v>
      </c>
      <c r="O273">
        <v>3.2840340000000003E-2</v>
      </c>
      <c r="P273">
        <v>0.99908779999999997</v>
      </c>
      <c r="Q273">
        <v>2.9788889999999998E-2</v>
      </c>
      <c r="R273">
        <v>3.0600909999999999E-2</v>
      </c>
      <c r="S273">
        <v>3.0065309999999998</v>
      </c>
      <c r="T273">
        <v>-7.4409249999999996E-2</v>
      </c>
      <c r="U273">
        <v>-5.2886959999999997E-2</v>
      </c>
      <c r="V273">
        <v>2.2283139999999999E-3</v>
      </c>
      <c r="W273">
        <v>3.4114249999999999E-2</v>
      </c>
      <c r="X273">
        <v>0.99941550000000001</v>
      </c>
      <c r="Y273">
        <v>5.0388570000000001E-2</v>
      </c>
      <c r="Z273">
        <v>-1.435937E-3</v>
      </c>
      <c r="AA273">
        <v>0.99872859999999997</v>
      </c>
      <c r="AB273">
        <v>22</v>
      </c>
      <c r="AC273">
        <v>46.711399999999998</v>
      </c>
      <c r="AD273">
        <v>-1.159219</v>
      </c>
      <c r="AE273">
        <v>-0.82810000000000605</v>
      </c>
      <c r="AF273">
        <v>2.3602327291713001</v>
      </c>
      <c r="AG273">
        <v>-1.159219</v>
      </c>
      <c r="AH273">
        <v>46.630299630323897</v>
      </c>
      <c r="AI273">
        <v>91.422247212765896</v>
      </c>
      <c r="AJ273">
        <v>87.102397662245096</v>
      </c>
      <c r="AK273">
        <v>46.704382351548098</v>
      </c>
      <c r="AL273">
        <v>88.045018220272595</v>
      </c>
      <c r="AM273">
        <v>89.872252555550503</v>
      </c>
      <c r="AN273">
        <v>1.0000000445382899</v>
      </c>
    </row>
    <row r="274" spans="1:40" x14ac:dyDescent="0.25">
      <c r="A274" t="str">
        <f>"20190312160308404"</f>
        <v>20190312160308404</v>
      </c>
      <c r="B274" t="str">
        <f>"1552377788395242"</f>
        <v>1552377788395242</v>
      </c>
      <c r="C274" t="s">
        <v>40</v>
      </c>
      <c r="D274">
        <v>5.342625</v>
      </c>
      <c r="E274">
        <v>0.51718560000000002</v>
      </c>
      <c r="F274" t="s">
        <v>43</v>
      </c>
      <c r="G274">
        <v>-410.83409999999998</v>
      </c>
      <c r="H274">
        <v>-0.05</v>
      </c>
      <c r="I274">
        <v>366.79309999999998</v>
      </c>
      <c r="J274">
        <v>-457.77870000000001</v>
      </c>
      <c r="K274">
        <v>1.109221</v>
      </c>
      <c r="L274">
        <v>367.6302</v>
      </c>
      <c r="M274">
        <v>0.99945150000000005</v>
      </c>
      <c r="N274">
        <v>0</v>
      </c>
      <c r="O274">
        <v>3.2834349999999998E-2</v>
      </c>
      <c r="P274">
        <v>0.99908909999999995</v>
      </c>
      <c r="Q274">
        <v>2.9688550000000001E-2</v>
      </c>
      <c r="R274">
        <v>3.0654649999999999E-2</v>
      </c>
      <c r="S274">
        <v>3.0065919999999999</v>
      </c>
      <c r="T274">
        <v>-7.4053049999999995E-2</v>
      </c>
      <c r="U274">
        <v>-5.3222659999999998E-2</v>
      </c>
      <c r="V274">
        <v>2.1687070000000002E-3</v>
      </c>
      <c r="W274">
        <v>3.4027040000000001E-2</v>
      </c>
      <c r="X274">
        <v>0.99941860000000005</v>
      </c>
      <c r="Y274">
        <v>5.0493919999999998E-2</v>
      </c>
      <c r="Z274">
        <v>-1.430185E-3</v>
      </c>
      <c r="AA274">
        <v>0.99872329999999998</v>
      </c>
      <c r="AB274">
        <v>22</v>
      </c>
      <c r="AC274">
        <v>46.944600000000001</v>
      </c>
      <c r="AD274">
        <v>-1.1592209999999901</v>
      </c>
      <c r="AE274">
        <v>-0.83710000000002005</v>
      </c>
      <c r="AF274">
        <v>2.3766096907521299</v>
      </c>
      <c r="AG274">
        <v>-1.1592209999999901</v>
      </c>
      <c r="AH274">
        <v>46.863235064430498</v>
      </c>
      <c r="AI274">
        <v>91.415176206498003</v>
      </c>
      <c r="AJ274">
        <v>87.096804201831603</v>
      </c>
      <c r="AK274">
        <v>46.937776552080997</v>
      </c>
      <c r="AL274">
        <v>88.050017879549699</v>
      </c>
      <c r="AM274">
        <v>89.875670151558495</v>
      </c>
      <c r="AN274">
        <v>1.00000004038358</v>
      </c>
    </row>
    <row r="275" spans="1:40" x14ac:dyDescent="0.25">
      <c r="A275" t="str">
        <f>"20190312160308415"</f>
        <v>20190312160308415</v>
      </c>
      <c r="B275" t="str">
        <f>"1552377788405002"</f>
        <v>1552377788405002</v>
      </c>
      <c r="C275" t="s">
        <v>40</v>
      </c>
      <c r="D275">
        <v>5.2796750000000001</v>
      </c>
      <c r="E275">
        <v>0.51718189999999997</v>
      </c>
      <c r="F275" t="s">
        <v>43</v>
      </c>
      <c r="G275">
        <v>-411.08949999999999</v>
      </c>
      <c r="H275">
        <v>-0.05</v>
      </c>
      <c r="I275">
        <v>366.79610000000002</v>
      </c>
      <c r="J275">
        <v>-457.66109999999998</v>
      </c>
      <c r="K275">
        <v>1.1092150000000001</v>
      </c>
      <c r="L275">
        <v>367.63409999999999</v>
      </c>
      <c r="M275">
        <v>0.9994516</v>
      </c>
      <c r="N275">
        <v>0</v>
      </c>
      <c r="O275">
        <v>3.282819E-2</v>
      </c>
      <c r="P275">
        <v>0.99908260000000004</v>
      </c>
      <c r="Q275">
        <v>2.9816470000000001E-2</v>
      </c>
      <c r="R275">
        <v>3.0743599999999999E-2</v>
      </c>
      <c r="S275">
        <v>3.0065919999999999</v>
      </c>
      <c r="T275">
        <v>-7.4648980000000004E-2</v>
      </c>
      <c r="U275">
        <v>-5.3710939999999999E-2</v>
      </c>
      <c r="V275">
        <v>2.0734429999999999E-3</v>
      </c>
      <c r="W275">
        <v>3.4167610000000001E-2</v>
      </c>
      <c r="X275">
        <v>0.99941400000000002</v>
      </c>
      <c r="Y275">
        <v>5.0649449999999999E-2</v>
      </c>
      <c r="Z275">
        <v>-1.443466E-3</v>
      </c>
      <c r="AA275">
        <v>0.99871549999999998</v>
      </c>
      <c r="AB275">
        <v>22</v>
      </c>
      <c r="AC275">
        <v>46.571599999999897</v>
      </c>
      <c r="AD275">
        <v>-1.1592149999999899</v>
      </c>
      <c r="AE275">
        <v>-0.837999999999965</v>
      </c>
      <c r="AF275">
        <v>2.3649592619300299</v>
      </c>
      <c r="AG275">
        <v>-1.1592149999999899</v>
      </c>
      <c r="AH275">
        <v>46.4901933123245</v>
      </c>
      <c r="AI275">
        <v>91.4265083682469</v>
      </c>
      <c r="AJ275">
        <v>87.0878700779637</v>
      </c>
      <c r="AK275">
        <v>46.564738654309203</v>
      </c>
      <c r="AL275">
        <v>88.041959113743602</v>
      </c>
      <c r="AM275">
        <v>89.881130980239007</v>
      </c>
      <c r="AN275">
        <v>1.0000000340674899</v>
      </c>
    </row>
    <row r="276" spans="1:40" x14ac:dyDescent="0.25">
      <c r="A276" t="str">
        <f>"20190312160308436"</f>
        <v>20190312160308436</v>
      </c>
      <c r="B276" t="str">
        <f>"1552377788425497"</f>
        <v>1552377788425497</v>
      </c>
      <c r="C276" t="s">
        <v>40</v>
      </c>
      <c r="D276">
        <v>5.2399610000000001</v>
      </c>
      <c r="E276">
        <v>0.5172099</v>
      </c>
      <c r="F276" t="s">
        <v>43</v>
      </c>
      <c r="G276">
        <v>-410.6123</v>
      </c>
      <c r="H276">
        <v>-0.05</v>
      </c>
      <c r="I276">
        <v>366.79829999999998</v>
      </c>
      <c r="J276">
        <v>-457.46100000000001</v>
      </c>
      <c r="K276">
        <v>1.1092150000000001</v>
      </c>
      <c r="L276">
        <v>367.64069999999998</v>
      </c>
      <c r="M276">
        <v>0.9994518</v>
      </c>
      <c r="N276">
        <v>0</v>
      </c>
      <c r="O276">
        <v>3.281717E-2</v>
      </c>
      <c r="P276">
        <v>0.99908929999999996</v>
      </c>
      <c r="Q276">
        <v>3.0001030000000001E-2</v>
      </c>
      <c r="R276">
        <v>3.0339339999999999E-2</v>
      </c>
      <c r="S276">
        <v>3.0066220000000001</v>
      </c>
      <c r="T276">
        <v>-7.4078920000000006E-2</v>
      </c>
      <c r="U276">
        <v>-5.3405759999999997E-2</v>
      </c>
      <c r="V276">
        <v>2.4668630000000001E-3</v>
      </c>
      <c r="W276">
        <v>3.4373969999999997E-2</v>
      </c>
      <c r="X276">
        <v>0.99940600000000002</v>
      </c>
      <c r="Y276">
        <v>5.0537360000000003E-2</v>
      </c>
      <c r="Z276">
        <v>-1.4307809999999999E-3</v>
      </c>
      <c r="AA276">
        <v>0.99872110000000003</v>
      </c>
      <c r="AB276">
        <v>22</v>
      </c>
      <c r="AC276">
        <v>46.848700000000001</v>
      </c>
      <c r="AD276">
        <v>-1.1592149999999899</v>
      </c>
      <c r="AE276">
        <v>-0.84239999999999704</v>
      </c>
      <c r="AF276">
        <v>2.3779472695770298</v>
      </c>
      <c r="AG276">
        <v>-1.1592149999999899</v>
      </c>
      <c r="AH276">
        <v>46.767195797919896</v>
      </c>
      <c r="AI276">
        <v>91.418064303766997</v>
      </c>
      <c r="AJ276">
        <v>87.089218063112199</v>
      </c>
      <c r="AK276">
        <v>46.8419578522726</v>
      </c>
      <c r="AL276">
        <v>88.030128548445504</v>
      </c>
      <c r="AM276">
        <v>89.858575442321396</v>
      </c>
      <c r="AN276">
        <v>1.00000000403131</v>
      </c>
    </row>
    <row r="277" spans="1:40" x14ac:dyDescent="0.25">
      <c r="A277" t="str">
        <f>"20190312160308458"</f>
        <v>20190312160308458</v>
      </c>
      <c r="B277" t="str">
        <f>"1552377788454778"</f>
        <v>1552377788454778</v>
      </c>
      <c r="C277" t="s">
        <v>40</v>
      </c>
      <c r="D277">
        <v>5.2568260000000002</v>
      </c>
      <c r="E277">
        <v>0.51730229999999999</v>
      </c>
      <c r="F277" t="s">
        <v>43</v>
      </c>
      <c r="G277">
        <v>-410.04079999999999</v>
      </c>
      <c r="H277">
        <v>-0.05</v>
      </c>
      <c r="I277">
        <v>366.78050000000002</v>
      </c>
      <c r="J277">
        <v>-457.24380000000002</v>
      </c>
      <c r="K277">
        <v>1.109216</v>
      </c>
      <c r="L277">
        <v>367.64780000000002</v>
      </c>
      <c r="M277">
        <v>0.99945229999999996</v>
      </c>
      <c r="N277">
        <v>0</v>
      </c>
      <c r="O277">
        <v>3.2803699999999998E-2</v>
      </c>
      <c r="P277">
        <v>0.99907140000000005</v>
      </c>
      <c r="Q277">
        <v>3.0569329999999999E-2</v>
      </c>
      <c r="R277">
        <v>3.0367069999999999E-2</v>
      </c>
      <c r="S277">
        <v>3.0065919999999999</v>
      </c>
      <c r="T277">
        <v>-7.3498010000000003E-2</v>
      </c>
      <c r="U277">
        <v>-5.4534909999999999E-2</v>
      </c>
      <c r="V277">
        <v>2.4250750000000001E-3</v>
      </c>
      <c r="W277">
        <v>3.4966320000000002E-2</v>
      </c>
      <c r="X277">
        <v>0.99938550000000004</v>
      </c>
      <c r="Y277">
        <v>5.0899319999999998E-2</v>
      </c>
      <c r="Z277">
        <v>-1.423669E-3</v>
      </c>
      <c r="AA277">
        <v>0.9987028</v>
      </c>
      <c r="AB277">
        <v>22</v>
      </c>
      <c r="AC277">
        <v>47.203000000000003</v>
      </c>
      <c r="AD277">
        <v>-1.159216</v>
      </c>
      <c r="AE277">
        <v>-0.86729999999999996</v>
      </c>
      <c r="AF277">
        <v>2.4138257093868498</v>
      </c>
      <c r="AG277">
        <v>-1.159216</v>
      </c>
      <c r="AH277">
        <v>47.120735656375203</v>
      </c>
      <c r="AI277">
        <v>91.4074030800831</v>
      </c>
      <c r="AJ277">
        <v>87.067506714366203</v>
      </c>
      <c r="AK277">
        <v>47.196759052798697</v>
      </c>
      <c r="AL277">
        <v>87.996168870752598</v>
      </c>
      <c r="AM277">
        <v>89.860968275217502</v>
      </c>
      <c r="AN277">
        <v>0.99999995106667205</v>
      </c>
    </row>
    <row r="278" spans="1:40" x14ac:dyDescent="0.25">
      <c r="A278" t="str">
        <f>"20190312160308471"</f>
        <v>20190312160308471</v>
      </c>
      <c r="B278" t="str">
        <f>"1552377788464539"</f>
        <v>1552377788464539</v>
      </c>
      <c r="C278" t="s">
        <v>40</v>
      </c>
      <c r="D278">
        <v>5.2957280000000004</v>
      </c>
      <c r="E278">
        <v>0.51733580000000001</v>
      </c>
      <c r="F278" t="s">
        <v>43</v>
      </c>
      <c r="G278">
        <v>-409.33139999999997</v>
      </c>
      <c r="H278">
        <v>-0.05</v>
      </c>
      <c r="I278">
        <v>366.76560000000001</v>
      </c>
      <c r="J278">
        <v>-457.11259999999999</v>
      </c>
      <c r="K278">
        <v>1.109216</v>
      </c>
      <c r="L278">
        <v>367.65210000000002</v>
      </c>
      <c r="M278">
        <v>0.99945240000000002</v>
      </c>
      <c r="N278">
        <v>0</v>
      </c>
      <c r="O278">
        <v>3.2795190000000002E-2</v>
      </c>
      <c r="P278">
        <v>0.99906200000000001</v>
      </c>
      <c r="Q278">
        <v>3.0644190000000002E-2</v>
      </c>
      <c r="R278">
        <v>3.059566E-2</v>
      </c>
      <c r="S278">
        <v>3.0067140000000001</v>
      </c>
      <c r="T278">
        <v>-7.2745920000000006E-2</v>
      </c>
      <c r="U278">
        <v>-5.5358890000000001E-2</v>
      </c>
      <c r="V278">
        <v>2.1878729999999999E-3</v>
      </c>
      <c r="W278">
        <v>3.5055910000000003E-2</v>
      </c>
      <c r="X278">
        <v>0.99938300000000002</v>
      </c>
      <c r="Y278">
        <v>5.1164130000000002E-2</v>
      </c>
      <c r="Z278">
        <v>-1.412043E-3</v>
      </c>
      <c r="AA278">
        <v>0.99868920000000005</v>
      </c>
      <c r="AB278">
        <v>22</v>
      </c>
      <c r="AC278">
        <v>47.781199999999998</v>
      </c>
      <c r="AD278">
        <v>-1.159216</v>
      </c>
      <c r="AE278">
        <v>-0.88650000000001195</v>
      </c>
      <c r="AF278">
        <v>2.45158935943248</v>
      </c>
      <c r="AG278">
        <v>-1.159216</v>
      </c>
      <c r="AH278">
        <v>47.698359216816002</v>
      </c>
      <c r="AI278">
        <v>91.390354076117305</v>
      </c>
      <c r="AJ278">
        <v>87.057713713759497</v>
      </c>
      <c r="AK278">
        <v>47.775386383559002</v>
      </c>
      <c r="AL278">
        <v>87.991032775740393</v>
      </c>
      <c r="AM278">
        <v>89.874566919042195</v>
      </c>
      <c r="AN278">
        <v>1.00000004215159</v>
      </c>
    </row>
    <row r="279" spans="1:40" x14ac:dyDescent="0.25">
      <c r="A279" t="str">
        <f>"20190312160308483"</f>
        <v>20190312160308483</v>
      </c>
      <c r="B279" t="str">
        <f>"1552377788475274"</f>
        <v>1552377788475274</v>
      </c>
      <c r="C279" t="s">
        <v>40</v>
      </c>
      <c r="D279">
        <v>5.2389340000000004</v>
      </c>
      <c r="E279">
        <v>0.51730580000000004</v>
      </c>
      <c r="F279" t="s">
        <v>43</v>
      </c>
      <c r="G279">
        <v>-409.24270000000001</v>
      </c>
      <c r="H279">
        <v>-0.05</v>
      </c>
      <c r="I279">
        <v>366.77030000000002</v>
      </c>
      <c r="J279">
        <v>-456.98840000000001</v>
      </c>
      <c r="K279">
        <v>1.1092219999999999</v>
      </c>
      <c r="L279">
        <v>367.65620000000001</v>
      </c>
      <c r="M279">
        <v>0.99945269999999997</v>
      </c>
      <c r="N279">
        <v>0</v>
      </c>
      <c r="O279">
        <v>3.278669E-2</v>
      </c>
      <c r="P279">
        <v>0.99905219999999995</v>
      </c>
      <c r="Q279">
        <v>3.0742539999999999E-2</v>
      </c>
      <c r="R279">
        <v>3.0822240000000001E-2</v>
      </c>
      <c r="S279">
        <v>3.0067439999999999</v>
      </c>
      <c r="T279">
        <v>-7.2811130000000002E-2</v>
      </c>
      <c r="U279">
        <v>-5.5389399999999998E-2</v>
      </c>
      <c r="V279">
        <v>1.952708E-3</v>
      </c>
      <c r="W279">
        <v>3.5168369999999997E-2</v>
      </c>
      <c r="X279">
        <v>0.99937949999999998</v>
      </c>
      <c r="Y279">
        <v>5.1165540000000002E-2</v>
      </c>
      <c r="Z279">
        <v>-1.413105E-3</v>
      </c>
      <c r="AA279">
        <v>0.99868920000000005</v>
      </c>
      <c r="AB279">
        <v>22</v>
      </c>
      <c r="AC279">
        <v>47.745699999999999</v>
      </c>
      <c r="AD279">
        <v>-1.159222</v>
      </c>
      <c r="AE279">
        <v>-0.88589999999999203</v>
      </c>
      <c r="AF279">
        <v>2.44941893154075</v>
      </c>
      <c r="AG279">
        <v>-1.159222</v>
      </c>
      <c r="AH279">
        <v>47.662897694352502</v>
      </c>
      <c r="AI279">
        <v>91.391395821666606</v>
      </c>
      <c r="AJ279">
        <v>87.058130685872598</v>
      </c>
      <c r="AK279">
        <v>47.739870814339099</v>
      </c>
      <c r="AL279">
        <v>87.984585244453996</v>
      </c>
      <c r="AM279">
        <v>89.888048749608501</v>
      </c>
      <c r="AN279">
        <v>1.0000000061686201</v>
      </c>
    </row>
    <row r="280" spans="1:40" x14ac:dyDescent="0.25">
      <c r="A280" t="str">
        <f>"20190312160308494"</f>
        <v>20190312160308494</v>
      </c>
      <c r="B280" t="str">
        <f>"1552377788485035"</f>
        <v>1552377788485035</v>
      </c>
      <c r="C280" t="s">
        <v>40</v>
      </c>
      <c r="D280">
        <v>5.2466439999999999</v>
      </c>
      <c r="E280">
        <v>0.51736040000000005</v>
      </c>
      <c r="F280" t="s">
        <v>43</v>
      </c>
      <c r="G280">
        <v>-408.82569999999998</v>
      </c>
      <c r="H280">
        <v>-0.05</v>
      </c>
      <c r="I280">
        <v>366.7851</v>
      </c>
      <c r="J280">
        <v>-456.86959999999999</v>
      </c>
      <c r="K280">
        <v>1.109221</v>
      </c>
      <c r="L280">
        <v>367.66</v>
      </c>
      <c r="M280">
        <v>0.99945280000000003</v>
      </c>
      <c r="N280">
        <v>0</v>
      </c>
      <c r="O280">
        <v>3.2778010000000003E-2</v>
      </c>
      <c r="P280">
        <v>0.99904919999999997</v>
      </c>
      <c r="Q280">
        <v>3.066719E-2</v>
      </c>
      <c r="R280">
        <v>3.09894E-2</v>
      </c>
      <c r="S280">
        <v>3.0068049999999999</v>
      </c>
      <c r="T280">
        <v>-7.2370409999999996E-2</v>
      </c>
      <c r="U280">
        <v>-5.4382319999999998E-2</v>
      </c>
      <c r="V280">
        <v>1.776955E-3</v>
      </c>
      <c r="W280">
        <v>3.5106430000000001E-2</v>
      </c>
      <c r="X280">
        <v>0.99938199999999999</v>
      </c>
      <c r="Y280">
        <v>5.0822510000000001E-2</v>
      </c>
      <c r="Z280">
        <v>-1.4001930000000001E-3</v>
      </c>
      <c r="AA280">
        <v>0.99870669999999995</v>
      </c>
      <c r="AB280">
        <v>22</v>
      </c>
      <c r="AC280">
        <v>48.043900000000001</v>
      </c>
      <c r="AD280">
        <v>-1.1592209999999901</v>
      </c>
      <c r="AE280">
        <v>-0.87490000000002499</v>
      </c>
      <c r="AF280">
        <v>2.4478042316585502</v>
      </c>
      <c r="AG280">
        <v>-1.1592209999999901</v>
      </c>
      <c r="AH280">
        <v>47.961492776957797</v>
      </c>
      <c r="AI280">
        <v>91.382760520483501</v>
      </c>
      <c r="AJ280">
        <v>87.078338021064297</v>
      </c>
      <c r="AK280">
        <v>48.037905119577601</v>
      </c>
      <c r="AL280">
        <v>87.988136326358898</v>
      </c>
      <c r="AM280">
        <v>89.898125126735493</v>
      </c>
      <c r="AN280">
        <v>1.0000000004602001</v>
      </c>
    </row>
    <row r="281" spans="1:40" x14ac:dyDescent="0.25">
      <c r="A281" t="str">
        <f>"20190312160308514"</f>
        <v>20190312160308514</v>
      </c>
      <c r="B281" t="str">
        <f>"1552377788504554"</f>
        <v>1552377788504554</v>
      </c>
      <c r="C281" t="s">
        <v>40</v>
      </c>
      <c r="D281">
        <v>5.2728229999999998</v>
      </c>
      <c r="E281">
        <v>0.51717120000000005</v>
      </c>
      <c r="F281" t="s">
        <v>43</v>
      </c>
      <c r="G281">
        <v>-409.53519999999997</v>
      </c>
      <c r="H281">
        <v>-0.05</v>
      </c>
      <c r="I281">
        <v>366.80579999999998</v>
      </c>
      <c r="J281">
        <v>-456.67970000000003</v>
      </c>
      <c r="K281">
        <v>1.1092219999999999</v>
      </c>
      <c r="L281">
        <v>367.66629999999998</v>
      </c>
      <c r="M281">
        <v>0.99945320000000004</v>
      </c>
      <c r="N281">
        <v>0</v>
      </c>
      <c r="O281">
        <v>3.2763420000000001E-2</v>
      </c>
      <c r="P281">
        <v>0.99905219999999995</v>
      </c>
      <c r="Q281">
        <v>3.011024E-2</v>
      </c>
      <c r="R281">
        <v>3.143381E-2</v>
      </c>
      <c r="S281">
        <v>3.0067750000000002</v>
      </c>
      <c r="T281">
        <v>-7.3636049999999995E-2</v>
      </c>
      <c r="U281">
        <v>-5.4260250000000003E-2</v>
      </c>
      <c r="V281">
        <v>1.3182999999999999E-3</v>
      </c>
      <c r="W281">
        <v>3.4571259999999999E-2</v>
      </c>
      <c r="X281">
        <v>0.9994014</v>
      </c>
      <c r="Y281">
        <v>5.0766739999999998E-2</v>
      </c>
      <c r="Z281">
        <v>-1.42364799999999E-3</v>
      </c>
      <c r="AA281">
        <v>0.99870950000000003</v>
      </c>
      <c r="AB281">
        <v>23</v>
      </c>
      <c r="AC281">
        <v>47.144500000000001</v>
      </c>
      <c r="AD281">
        <v>-1.159222</v>
      </c>
      <c r="AE281">
        <v>-0.86050000000000104</v>
      </c>
      <c r="AF281">
        <v>2.4032158999202999</v>
      </c>
      <c r="AG281">
        <v>-1.159222</v>
      </c>
      <c r="AH281">
        <v>47.062551324460202</v>
      </c>
      <c r="AI281">
        <v>91.409161317193494</v>
      </c>
      <c r="AJ281">
        <v>87.0767706093432</v>
      </c>
      <c r="AK281">
        <v>47.138126601238199</v>
      </c>
      <c r="AL281">
        <v>88.018818001241399</v>
      </c>
      <c r="AM281">
        <v>89.924421776552293</v>
      </c>
      <c r="AN281">
        <v>1.00000003412741</v>
      </c>
    </row>
    <row r="282" spans="1:40" x14ac:dyDescent="0.25">
      <c r="A282" t="str">
        <f>"20190312160308526"</f>
        <v>20190312160308526</v>
      </c>
      <c r="B282" t="str">
        <f>"1552377788515290"</f>
        <v>1552377788515290</v>
      </c>
      <c r="C282" t="s">
        <v>40</v>
      </c>
      <c r="D282">
        <v>5.2788510000000004</v>
      </c>
      <c r="E282">
        <v>0.51706759999999996</v>
      </c>
      <c r="F282" t="s">
        <v>43</v>
      </c>
      <c r="G282">
        <v>-411.1918</v>
      </c>
      <c r="H282">
        <v>-0.05</v>
      </c>
      <c r="I282">
        <v>366.89019999999999</v>
      </c>
      <c r="J282">
        <v>-456.5489</v>
      </c>
      <c r="K282">
        <v>1.109221</v>
      </c>
      <c r="L282">
        <v>367.67059999999998</v>
      </c>
      <c r="M282">
        <v>0.99945349999999999</v>
      </c>
      <c r="N282">
        <v>0</v>
      </c>
      <c r="O282">
        <v>3.275289E-2</v>
      </c>
      <c r="P282">
        <v>0.99906110000000004</v>
      </c>
      <c r="Q282">
        <v>2.9853580000000001E-2</v>
      </c>
      <c r="R282">
        <v>3.1399209999999997E-2</v>
      </c>
      <c r="S282">
        <v>3.0067439999999999</v>
      </c>
      <c r="T282">
        <v>-7.6624390000000001E-2</v>
      </c>
      <c r="U282">
        <v>-5.130005E-2</v>
      </c>
      <c r="V282">
        <v>1.342708E-3</v>
      </c>
      <c r="W282">
        <v>3.4329650000000003E-2</v>
      </c>
      <c r="X282">
        <v>0.99940969999999996</v>
      </c>
      <c r="Y282">
        <v>4.977169E-2</v>
      </c>
      <c r="Z282">
        <v>-1.4684850000000001E-3</v>
      </c>
      <c r="AA282">
        <v>0.99875959999999997</v>
      </c>
      <c r="AB282">
        <v>23</v>
      </c>
      <c r="AC282">
        <v>45.357100000000003</v>
      </c>
      <c r="AD282">
        <v>-1.1592209999999901</v>
      </c>
      <c r="AE282">
        <v>-0.78039999999998599</v>
      </c>
      <c r="AF282">
        <v>2.2640937632037699</v>
      </c>
      <c r="AG282">
        <v>-1.1592209999999901</v>
      </c>
      <c r="AH282">
        <v>45.277637610081598</v>
      </c>
      <c r="AI282">
        <v>91.464765806027003</v>
      </c>
      <c r="AJ282">
        <v>87.137327319401194</v>
      </c>
      <c r="AK282">
        <v>45.349028450952403</v>
      </c>
      <c r="AL282">
        <v>88.032669464025105</v>
      </c>
      <c r="AM282">
        <v>89.923023105307493</v>
      </c>
      <c r="AN282">
        <v>1.00000003809399</v>
      </c>
    </row>
    <row r="283" spans="1:40" x14ac:dyDescent="0.25">
      <c r="A283" t="str">
        <f>"20190312160308538"</f>
        <v>20190312160308538</v>
      </c>
      <c r="B283" t="str">
        <f>"1552377788534810"</f>
        <v>1552377788534810</v>
      </c>
      <c r="C283" t="s">
        <v>40</v>
      </c>
      <c r="D283">
        <v>5.2790759999999999</v>
      </c>
      <c r="E283">
        <v>0.51690570000000002</v>
      </c>
      <c r="F283" t="s">
        <v>43</v>
      </c>
      <c r="G283">
        <v>-411.68349999999998</v>
      </c>
      <c r="H283">
        <v>-0.05</v>
      </c>
      <c r="I283">
        <v>366.91059999999999</v>
      </c>
      <c r="J283">
        <v>-456.4282</v>
      </c>
      <c r="K283">
        <v>1.1092219999999999</v>
      </c>
      <c r="L283">
        <v>367.67450000000002</v>
      </c>
      <c r="M283">
        <v>0.99945379999999995</v>
      </c>
      <c r="N283">
        <v>0</v>
      </c>
      <c r="O283">
        <v>3.2742779999999999E-2</v>
      </c>
      <c r="P283">
        <v>0.99905250000000001</v>
      </c>
      <c r="Q283">
        <v>3.0061850000000001E-2</v>
      </c>
      <c r="R283">
        <v>3.1472809999999997E-2</v>
      </c>
      <c r="S283">
        <v>3.0067750000000002</v>
      </c>
      <c r="T283">
        <v>-7.7688220000000002E-2</v>
      </c>
      <c r="U283">
        <v>-5.0933840000000001E-2</v>
      </c>
      <c r="V283">
        <v>1.258772E-3</v>
      </c>
      <c r="W283">
        <v>3.4551239999999997E-2</v>
      </c>
      <c r="X283">
        <v>0.99940209999999996</v>
      </c>
      <c r="Y283">
        <v>4.963911E-2</v>
      </c>
      <c r="Z283">
        <v>-1.486879E-3</v>
      </c>
      <c r="AA283">
        <v>0.99876609999999999</v>
      </c>
      <c r="AB283">
        <v>23</v>
      </c>
      <c r="AC283">
        <v>44.744700000000002</v>
      </c>
      <c r="AD283">
        <v>-1.159222</v>
      </c>
      <c r="AE283">
        <v>-0.763900000000035</v>
      </c>
      <c r="AF283">
        <v>2.22707655368934</v>
      </c>
      <c r="AG283">
        <v>-1.159222</v>
      </c>
      <c r="AH283">
        <v>44.665724696704999</v>
      </c>
      <c r="AI283">
        <v>91.484835832047807</v>
      </c>
      <c r="AJ283">
        <v>87.145540547288903</v>
      </c>
      <c r="AK283">
        <v>44.736233953062197</v>
      </c>
      <c r="AL283">
        <v>88.019965611639407</v>
      </c>
      <c r="AM283">
        <v>89.927834567456898</v>
      </c>
      <c r="AN283">
        <v>0.99999996508844702</v>
      </c>
    </row>
    <row r="284" spans="1:40" x14ac:dyDescent="0.25">
      <c r="A284" t="str">
        <f>"20190312160308557"</f>
        <v>20190312160308557</v>
      </c>
      <c r="B284" t="str">
        <f>"1552377788544569"</f>
        <v>1552377788544569</v>
      </c>
      <c r="C284" t="s">
        <v>40</v>
      </c>
      <c r="D284">
        <v>5.2187190000000001</v>
      </c>
      <c r="E284">
        <v>0.5167697</v>
      </c>
      <c r="F284" t="s">
        <v>43</v>
      </c>
      <c r="G284">
        <v>-411.53699999999998</v>
      </c>
      <c r="H284">
        <v>-0.05</v>
      </c>
      <c r="I284">
        <v>366.93770000000001</v>
      </c>
      <c r="J284">
        <v>-456.2355</v>
      </c>
      <c r="K284">
        <v>1.109216</v>
      </c>
      <c r="L284">
        <v>367.68079999999998</v>
      </c>
      <c r="M284">
        <v>0.99945419999999996</v>
      </c>
      <c r="N284">
        <v>0</v>
      </c>
      <c r="O284">
        <v>3.2726640000000001E-2</v>
      </c>
      <c r="P284">
        <v>0.99904579999999998</v>
      </c>
      <c r="Q284">
        <v>3.0247900000000001E-2</v>
      </c>
      <c r="R284">
        <v>3.1505760000000001E-2</v>
      </c>
      <c r="S284">
        <v>3.0067439999999999</v>
      </c>
      <c r="T284">
        <v>-7.7642920000000004E-2</v>
      </c>
      <c r="U284">
        <v>-4.9346920000000002E-2</v>
      </c>
      <c r="V284">
        <v>1.209468E-3</v>
      </c>
      <c r="W284">
        <v>3.4759499999999999E-2</v>
      </c>
      <c r="X284">
        <v>0.99939500000000003</v>
      </c>
      <c r="Y284">
        <v>4.9096380000000002E-2</v>
      </c>
      <c r="Z284">
        <v>-1.4786090000000001E-3</v>
      </c>
      <c r="AA284">
        <v>0.99879289999999998</v>
      </c>
      <c r="AB284">
        <v>23</v>
      </c>
      <c r="AC284">
        <v>44.698500000000003</v>
      </c>
      <c r="AD284">
        <v>-1.159216</v>
      </c>
      <c r="AE284">
        <v>-0.74309999999996901</v>
      </c>
      <c r="AF284">
        <v>2.20406648881402</v>
      </c>
      <c r="AG284">
        <v>-1.159216</v>
      </c>
      <c r="AH284">
        <v>44.620234597338097</v>
      </c>
      <c r="AI284">
        <v>91.486375436810306</v>
      </c>
      <c r="AJ284">
        <v>87.172109267268496</v>
      </c>
      <c r="AK284">
        <v>44.689674717357903</v>
      </c>
      <c r="AL284">
        <v>88.008026141374899</v>
      </c>
      <c r="AM284">
        <v>89.930660671680798</v>
      </c>
      <c r="AN284">
        <v>1.00000002583904</v>
      </c>
    </row>
    <row r="285" spans="1:40" x14ac:dyDescent="0.25">
      <c r="A285" t="str">
        <f>"20190312160308568"</f>
        <v>20190312160308568</v>
      </c>
      <c r="B285" t="str">
        <f>"1552377788565066"</f>
        <v>1552377788565066</v>
      </c>
      <c r="C285" t="s">
        <v>40</v>
      </c>
      <c r="D285">
        <v>5.2368969999999999</v>
      </c>
      <c r="E285">
        <v>0.51653729999999998</v>
      </c>
      <c r="F285" t="s">
        <v>43</v>
      </c>
      <c r="G285">
        <v>-410.95890000000003</v>
      </c>
      <c r="H285">
        <v>-0.05</v>
      </c>
      <c r="I285">
        <v>366.96120000000002</v>
      </c>
      <c r="J285">
        <v>-456.1157</v>
      </c>
      <c r="K285">
        <v>1.109216</v>
      </c>
      <c r="L285">
        <v>367.68470000000002</v>
      </c>
      <c r="M285">
        <v>0.99945439999999997</v>
      </c>
      <c r="N285">
        <v>0</v>
      </c>
      <c r="O285">
        <v>3.2716479999999999E-2</v>
      </c>
      <c r="P285">
        <v>0.99903929999999996</v>
      </c>
      <c r="Q285">
        <v>3.0390170000000001E-2</v>
      </c>
      <c r="R285">
        <v>3.157708E-2</v>
      </c>
      <c r="S285">
        <v>3.0067140000000001</v>
      </c>
      <c r="T285">
        <v>-7.698083E-2</v>
      </c>
      <c r="U285">
        <v>-4.7790529999999998E-2</v>
      </c>
      <c r="V285">
        <v>1.1277329999999999E-3</v>
      </c>
      <c r="W285">
        <v>3.4916290000000003E-2</v>
      </c>
      <c r="X285">
        <v>0.99938959999999999</v>
      </c>
      <c r="Y285">
        <v>4.8570149999999999E-2</v>
      </c>
      <c r="Z285">
        <v>-1.4590289999999999E-3</v>
      </c>
      <c r="AA285">
        <v>0.99881869999999995</v>
      </c>
      <c r="AB285">
        <v>23</v>
      </c>
      <c r="AC285">
        <v>45.156799999999897</v>
      </c>
      <c r="AD285">
        <v>-1.159216</v>
      </c>
      <c r="AE285">
        <v>-0.72350000000000103</v>
      </c>
      <c r="AF285">
        <v>2.1990506029550398</v>
      </c>
      <c r="AG285">
        <v>-1.159216</v>
      </c>
      <c r="AH285">
        <v>45.079255817853998</v>
      </c>
      <c r="AI285">
        <v>91.471291285941405</v>
      </c>
      <c r="AJ285">
        <v>87.207218367199104</v>
      </c>
      <c r="AK285">
        <v>45.147745352127302</v>
      </c>
      <c r="AL285">
        <v>87.9990372198221</v>
      </c>
      <c r="AM285">
        <v>89.935346221441094</v>
      </c>
      <c r="AN285">
        <v>0.99999999583862098</v>
      </c>
    </row>
    <row r="286" spans="1:40" x14ac:dyDescent="0.25">
      <c r="A286" t="str">
        <f>"20190312160308580"</f>
        <v>20190312160308580</v>
      </c>
      <c r="B286" t="str">
        <f>"1552377788574827"</f>
        <v>1552377788574827</v>
      </c>
      <c r="C286" t="s">
        <v>40</v>
      </c>
      <c r="D286">
        <v>5.2505360000000003</v>
      </c>
      <c r="E286">
        <v>0.51644709999999905</v>
      </c>
      <c r="F286" t="s">
        <v>43</v>
      </c>
      <c r="G286">
        <v>-410.59750000000003</v>
      </c>
      <c r="H286">
        <v>-0.05</v>
      </c>
      <c r="I286">
        <v>366.98750000000001</v>
      </c>
      <c r="J286">
        <v>-455.98660000000001</v>
      </c>
      <c r="K286">
        <v>1.1092139999999999</v>
      </c>
      <c r="L286">
        <v>367.68889999999999</v>
      </c>
      <c r="M286">
        <v>0.99945490000000003</v>
      </c>
      <c r="N286">
        <v>0</v>
      </c>
      <c r="O286">
        <v>3.270518E-2</v>
      </c>
      <c r="P286">
        <v>0.99905690000000003</v>
      </c>
      <c r="Q286">
        <v>2.996002E-2</v>
      </c>
      <c r="R286">
        <v>3.1432099999999998E-2</v>
      </c>
      <c r="S286">
        <v>3.006653</v>
      </c>
      <c r="T286">
        <v>-7.6570750000000007E-2</v>
      </c>
      <c r="U286">
        <v>-4.605103E-2</v>
      </c>
      <c r="V286">
        <v>1.2618970000000001E-3</v>
      </c>
      <c r="W286">
        <v>3.450073E-2</v>
      </c>
      <c r="X286">
        <v>0.99940390000000001</v>
      </c>
      <c r="Y286">
        <v>4.7981910000000003E-2</v>
      </c>
      <c r="Z286">
        <v>-1.4435170000000001E-3</v>
      </c>
      <c r="AA286">
        <v>0.99884720000000005</v>
      </c>
      <c r="AB286">
        <v>23</v>
      </c>
      <c r="AC286">
        <v>45.3890999999999</v>
      </c>
      <c r="AD286">
        <v>-1.159214</v>
      </c>
      <c r="AE286">
        <v>-0.70139999999997804</v>
      </c>
      <c r="AF286">
        <v>2.1840742518418299</v>
      </c>
      <c r="AG286">
        <v>-1.159214</v>
      </c>
      <c r="AH286">
        <v>45.312330030816199</v>
      </c>
      <c r="AI286">
        <v>91.463765297883199</v>
      </c>
      <c r="AJ286">
        <v>87.240453954448995</v>
      </c>
      <c r="AK286">
        <v>45.379744493077098</v>
      </c>
      <c r="AL286">
        <v>88.022861464612106</v>
      </c>
      <c r="AM286">
        <v>89.927655541611003</v>
      </c>
      <c r="AN286">
        <v>1.0000000240448901</v>
      </c>
    </row>
    <row r="287" spans="1:40" x14ac:dyDescent="0.25">
      <c r="A287" t="str">
        <f>"20190312160308593"</f>
        <v>20190312160308593</v>
      </c>
      <c r="B287" t="str">
        <f>"1552377788584586"</f>
        <v>1552377788584586</v>
      </c>
      <c r="C287" t="s">
        <v>40</v>
      </c>
      <c r="D287">
        <v>5.2675010000000002</v>
      </c>
      <c r="E287">
        <v>0.51639369999999996</v>
      </c>
      <c r="F287" t="s">
        <v>43</v>
      </c>
      <c r="G287">
        <v>-411.31939999999997</v>
      </c>
      <c r="H287">
        <v>-0.05</v>
      </c>
      <c r="I287">
        <v>367.0102</v>
      </c>
      <c r="J287">
        <v>-455.86559999999997</v>
      </c>
      <c r="K287">
        <v>1.1092139999999999</v>
      </c>
      <c r="L287">
        <v>367.69290000000001</v>
      </c>
      <c r="M287">
        <v>0.99945519999999999</v>
      </c>
      <c r="N287">
        <v>0</v>
      </c>
      <c r="O287">
        <v>3.2694719999999997E-2</v>
      </c>
      <c r="P287">
        <v>0.99905860000000002</v>
      </c>
      <c r="Q287">
        <v>2.9997090000000001E-2</v>
      </c>
      <c r="R287">
        <v>3.1342000000000002E-2</v>
      </c>
      <c r="S287">
        <v>3.0066220000000001</v>
      </c>
      <c r="T287">
        <v>-7.8028680000000003E-2</v>
      </c>
      <c r="U287">
        <v>-4.5684809999999999E-2</v>
      </c>
      <c r="V287">
        <v>1.341526E-3</v>
      </c>
      <c r="W287">
        <v>3.4551720000000001E-2</v>
      </c>
      <c r="X287">
        <v>0.99940200000000001</v>
      </c>
      <c r="Y287">
        <v>4.7849019999999999E-2</v>
      </c>
      <c r="Z287">
        <v>-1.4690129999999999E-3</v>
      </c>
      <c r="AA287">
        <v>0.99885349999999995</v>
      </c>
      <c r="AB287">
        <v>23</v>
      </c>
      <c r="AC287">
        <v>44.546199999999999</v>
      </c>
      <c r="AD287">
        <v>-1.159214</v>
      </c>
      <c r="AE287">
        <v>-0.68270000000001096</v>
      </c>
      <c r="AF287">
        <v>2.1373283502231</v>
      </c>
      <c r="AG287">
        <v>-1.159214</v>
      </c>
      <c r="AH287">
        <v>44.469956306513097</v>
      </c>
      <c r="AI287">
        <v>91.491490205458803</v>
      </c>
      <c r="AJ287">
        <v>87.248350548347602</v>
      </c>
      <c r="AK287">
        <v>44.536377978879798</v>
      </c>
      <c r="AL287">
        <v>88.0199381412435</v>
      </c>
      <c r="AM287">
        <v>89.923090276243599</v>
      </c>
      <c r="AN287">
        <v>0.99999998932548295</v>
      </c>
    </row>
    <row r="288" spans="1:40" x14ac:dyDescent="0.25">
      <c r="A288" t="str">
        <f>"20190312160308604"</f>
        <v>20190312160308604</v>
      </c>
      <c r="B288" t="str">
        <f>"1552377788595322"</f>
        <v>1552377788595322</v>
      </c>
      <c r="C288" t="s">
        <v>40</v>
      </c>
      <c r="D288">
        <v>5.2648739999999998</v>
      </c>
      <c r="E288">
        <v>0.51632290000000003</v>
      </c>
      <c r="F288" t="s">
        <v>43</v>
      </c>
      <c r="G288">
        <v>-411.18830000000003</v>
      </c>
      <c r="H288">
        <v>-0.05</v>
      </c>
      <c r="I288">
        <v>367.01900000000001</v>
      </c>
      <c r="J288">
        <v>-455.7441</v>
      </c>
      <c r="K288">
        <v>1.1092139999999999</v>
      </c>
      <c r="L288">
        <v>367.6968</v>
      </c>
      <c r="M288">
        <v>0.99945530000000005</v>
      </c>
      <c r="N288">
        <v>0</v>
      </c>
      <c r="O288">
        <v>3.268455E-2</v>
      </c>
      <c r="P288">
        <v>0.9990715</v>
      </c>
      <c r="Q288">
        <v>2.9784850000000002E-2</v>
      </c>
      <c r="R288">
        <v>3.113409E-2</v>
      </c>
      <c r="S288">
        <v>3.0066220000000001</v>
      </c>
      <c r="T288">
        <v>-7.8010919999999997E-2</v>
      </c>
      <c r="U288">
        <v>-4.534912E-2</v>
      </c>
      <c r="V288">
        <v>1.5394439999999901E-3</v>
      </c>
      <c r="W288">
        <v>3.4353950000000001E-2</v>
      </c>
      <c r="X288">
        <v>0.99940850000000003</v>
      </c>
      <c r="Y288">
        <v>4.7727430000000001E-2</v>
      </c>
      <c r="Z288">
        <v>-1.4668400000000001E-3</v>
      </c>
      <c r="AA288">
        <v>0.99885930000000001</v>
      </c>
      <c r="AB288">
        <v>23</v>
      </c>
      <c r="AC288">
        <v>44.555799999999898</v>
      </c>
      <c r="AD288">
        <v>-1.159214</v>
      </c>
      <c r="AE288">
        <v>-0.67779999999998997</v>
      </c>
      <c r="AF288">
        <v>2.13229629305</v>
      </c>
      <c r="AG288">
        <v>-1.159214</v>
      </c>
      <c r="AH288">
        <v>44.479739325720502</v>
      </c>
      <c r="AI288">
        <v>91.491171140221795</v>
      </c>
      <c r="AJ288">
        <v>87.255421882487397</v>
      </c>
      <c r="AK288">
        <v>44.5459052558504</v>
      </c>
      <c r="AL288">
        <v>88.031276194837304</v>
      </c>
      <c r="AM288">
        <v>89.911744222470801</v>
      </c>
      <c r="AN288">
        <v>0.99999995682033904</v>
      </c>
    </row>
    <row r="289" spans="1:40" x14ac:dyDescent="0.25">
      <c r="A289" t="str">
        <f>"20190312160308616"</f>
        <v>20190312160308616</v>
      </c>
      <c r="B289" t="str">
        <f>"1552377788605082"</f>
        <v>1552377788605082</v>
      </c>
      <c r="C289" t="s">
        <v>40</v>
      </c>
      <c r="D289">
        <v>5.2466239999999997</v>
      </c>
      <c r="E289">
        <v>0.51622679999999999</v>
      </c>
      <c r="F289" t="s">
        <v>43</v>
      </c>
      <c r="G289">
        <v>-411.5634</v>
      </c>
      <c r="H289">
        <v>-0.05</v>
      </c>
      <c r="I289">
        <v>367.02589999999998</v>
      </c>
      <c r="J289">
        <v>-455.62599999999998</v>
      </c>
      <c r="K289">
        <v>1.109218</v>
      </c>
      <c r="L289">
        <v>367.70069999999998</v>
      </c>
      <c r="M289">
        <v>0.99945550000000005</v>
      </c>
      <c r="N289">
        <v>0</v>
      </c>
      <c r="O289">
        <v>3.2674740000000001E-2</v>
      </c>
      <c r="P289">
        <v>0.99907800000000002</v>
      </c>
      <c r="Q289">
        <v>2.9767189999999999E-2</v>
      </c>
      <c r="R289">
        <v>3.0937019999999999E-2</v>
      </c>
      <c r="S289">
        <v>3.0065309999999998</v>
      </c>
      <c r="T289">
        <v>-7.8885319999999995E-2</v>
      </c>
      <c r="U289">
        <v>-4.5654300000000002E-2</v>
      </c>
      <c r="V289">
        <v>1.7268299999999999E-3</v>
      </c>
      <c r="W289">
        <v>3.4349659999999997E-2</v>
      </c>
      <c r="X289">
        <v>0.99940839999999997</v>
      </c>
      <c r="Y289">
        <v>4.7818810000000003E-2</v>
      </c>
      <c r="Z289">
        <v>-1.484261E-3</v>
      </c>
      <c r="AA289">
        <v>0.99885489999999999</v>
      </c>
      <c r="AB289">
        <v>23</v>
      </c>
      <c r="AC289">
        <v>44.062599999999897</v>
      </c>
      <c r="AD289">
        <v>-1.1592180000000001</v>
      </c>
      <c r="AE289">
        <v>-0.67480000000000395</v>
      </c>
      <c r="AF289">
        <v>2.1127268912244599</v>
      </c>
      <c r="AG289">
        <v>-1.1592180000000001</v>
      </c>
      <c r="AH289">
        <v>43.986585149949299</v>
      </c>
      <c r="AI289">
        <v>91.507880202972004</v>
      </c>
      <c r="AJ289">
        <v>87.250130353508396</v>
      </c>
      <c r="AK289">
        <v>44.052549011858098</v>
      </c>
      <c r="AL289">
        <v>88.031522254525996</v>
      </c>
      <c r="AM289">
        <v>89.901001459987896</v>
      </c>
      <c r="AN289">
        <v>1.0000000155372599</v>
      </c>
    </row>
    <row r="290" spans="1:40" x14ac:dyDescent="0.25">
      <c r="A290" t="str">
        <f>"20190312160308637"</f>
        <v>20190312160308637</v>
      </c>
      <c r="B290" t="str">
        <f>"1552377788624602"</f>
        <v>1552377788624602</v>
      </c>
      <c r="C290" t="s">
        <v>40</v>
      </c>
      <c r="D290">
        <v>5.2407380000000003</v>
      </c>
      <c r="E290">
        <v>0.51609119999999997</v>
      </c>
      <c r="F290" t="s">
        <v>43</v>
      </c>
      <c r="G290">
        <v>-411.62369999999999</v>
      </c>
      <c r="H290">
        <v>-0.05</v>
      </c>
      <c r="I290">
        <v>367.03699999999998</v>
      </c>
      <c r="J290">
        <v>-455.41039999999998</v>
      </c>
      <c r="K290">
        <v>1.1092169999999999</v>
      </c>
      <c r="L290">
        <v>367.70780000000002</v>
      </c>
      <c r="M290">
        <v>0.99945600000000001</v>
      </c>
      <c r="N290">
        <v>0</v>
      </c>
      <c r="O290">
        <v>3.2656919999999999E-2</v>
      </c>
      <c r="P290">
        <v>0.99908129999999995</v>
      </c>
      <c r="Q290">
        <v>2.973379E-2</v>
      </c>
      <c r="R290">
        <v>3.0866729999999998E-2</v>
      </c>
      <c r="S290">
        <v>3.0065309999999998</v>
      </c>
      <c r="T290">
        <v>-7.9205629999999999E-2</v>
      </c>
      <c r="U290">
        <v>-4.534912E-2</v>
      </c>
      <c r="V290">
        <v>1.7793590000000001E-3</v>
      </c>
      <c r="W290">
        <v>3.434156E-2</v>
      </c>
      <c r="X290">
        <v>0.99940850000000003</v>
      </c>
      <c r="Y290">
        <v>4.7699459999999999E-2</v>
      </c>
      <c r="Z290">
        <v>-1.4882459999999999E-3</v>
      </c>
      <c r="AA290">
        <v>0.99886059999999999</v>
      </c>
      <c r="AB290">
        <v>23</v>
      </c>
      <c r="AC290">
        <v>43.786700000000003</v>
      </c>
      <c r="AD290">
        <v>-1.1592169999999999</v>
      </c>
      <c r="AE290">
        <v>-0.67080000000004203</v>
      </c>
      <c r="AF290">
        <v>2.0989253848736702</v>
      </c>
      <c r="AG290">
        <v>-1.1592169999999999</v>
      </c>
      <c r="AH290">
        <v>43.710809142084898</v>
      </c>
      <c r="AI290">
        <v>91.517388756578001</v>
      </c>
      <c r="AJ290">
        <v>87.250857036975205</v>
      </c>
      <c r="AK290">
        <v>43.776524618568402</v>
      </c>
      <c r="AL290">
        <v>88.031986454652795</v>
      </c>
      <c r="AM290">
        <v>89.897990007873204</v>
      </c>
      <c r="AN290">
        <v>0.99999992936696402</v>
      </c>
    </row>
    <row r="291" spans="1:40" x14ac:dyDescent="0.25">
      <c r="A291" t="str">
        <f>"20190312160308651"</f>
        <v>20190312160308651</v>
      </c>
      <c r="B291" t="str">
        <f>"1552377788645098"</f>
        <v>1552377788645098</v>
      </c>
      <c r="C291" t="s">
        <v>40</v>
      </c>
      <c r="D291">
        <v>5.3328049999999996</v>
      </c>
      <c r="E291">
        <v>0.51592939999999998</v>
      </c>
      <c r="F291" t="s">
        <v>43</v>
      </c>
      <c r="G291">
        <v>-411.68259999999998</v>
      </c>
      <c r="H291">
        <v>-0.05</v>
      </c>
      <c r="I291">
        <v>367.06020000000001</v>
      </c>
      <c r="J291">
        <v>-455.26119999999997</v>
      </c>
      <c r="K291">
        <v>1.1092229999999901</v>
      </c>
      <c r="L291">
        <v>367.71260000000001</v>
      </c>
      <c r="M291">
        <v>0.99945629999999996</v>
      </c>
      <c r="N291">
        <v>0</v>
      </c>
      <c r="O291">
        <v>3.2645140000000003E-2</v>
      </c>
      <c r="P291">
        <v>0.99907829999999997</v>
      </c>
      <c r="Q291">
        <v>2.9829680000000001E-2</v>
      </c>
      <c r="R291">
        <v>3.0865610000000002E-2</v>
      </c>
      <c r="S291">
        <v>3.0065</v>
      </c>
      <c r="T291">
        <v>-7.9702019999999998E-2</v>
      </c>
      <c r="U291">
        <v>-4.4525149999999999E-2</v>
      </c>
      <c r="V291">
        <v>1.7685999999999999E-3</v>
      </c>
      <c r="W291">
        <v>3.445546E-2</v>
      </c>
      <c r="X291">
        <v>0.99940469999999904</v>
      </c>
      <c r="Y291">
        <v>4.7413900000000002E-2</v>
      </c>
      <c r="Z291">
        <v>-1.4934900000000001E-3</v>
      </c>
      <c r="AA291">
        <v>0.99887420000000005</v>
      </c>
      <c r="AB291">
        <v>23</v>
      </c>
      <c r="AC291">
        <v>43.578600000000002</v>
      </c>
      <c r="AD291">
        <v>-1.1592229999999999</v>
      </c>
      <c r="AE291">
        <v>-0.65239999999999998</v>
      </c>
      <c r="AF291">
        <v>2.0732302989811102</v>
      </c>
      <c r="AG291">
        <v>-1.1592229999999999</v>
      </c>
      <c r="AH291">
        <v>43.503298417530502</v>
      </c>
      <c r="AI291">
        <v>91.524657480853094</v>
      </c>
      <c r="AJ291">
        <v>87.2715278201742</v>
      </c>
      <c r="AK291">
        <v>43.568096757157697</v>
      </c>
      <c r="AL291">
        <v>88.025456800330204</v>
      </c>
      <c r="AM291">
        <v>89.898606430542003</v>
      </c>
      <c r="AN291">
        <v>1.00000003052593</v>
      </c>
    </row>
    <row r="292" spans="1:40" x14ac:dyDescent="0.25">
      <c r="A292" t="str">
        <f>"20190312160308669"</f>
        <v>20190312160308669</v>
      </c>
      <c r="B292" t="str">
        <f>"1552377788654858"</f>
        <v>1552377788654858</v>
      </c>
      <c r="C292" t="s">
        <v>40</v>
      </c>
      <c r="D292">
        <v>5.243703</v>
      </c>
      <c r="E292">
        <v>0.51586560000000004</v>
      </c>
      <c r="F292" t="s">
        <v>43</v>
      </c>
      <c r="G292">
        <v>-411.69889999999998</v>
      </c>
      <c r="H292">
        <v>-0.05</v>
      </c>
      <c r="I292">
        <v>367.08159999999998</v>
      </c>
      <c r="J292">
        <v>-455.07330000000002</v>
      </c>
      <c r="K292">
        <v>1.1092229999999901</v>
      </c>
      <c r="L292">
        <v>367.71879999999999</v>
      </c>
      <c r="M292">
        <v>0.99945669999999998</v>
      </c>
      <c r="N292">
        <v>0</v>
      </c>
      <c r="O292">
        <v>3.2629829999999999E-2</v>
      </c>
      <c r="P292">
        <v>0.99906419999999996</v>
      </c>
      <c r="Q292">
        <v>2.9900530000000002E-2</v>
      </c>
      <c r="R292">
        <v>3.1259450000000001E-2</v>
      </c>
      <c r="S292">
        <v>3.0064700000000002</v>
      </c>
      <c r="T292">
        <v>-8.0004329999999999E-2</v>
      </c>
      <c r="U292">
        <v>-4.3548580000000003E-2</v>
      </c>
      <c r="V292">
        <v>1.3591289999999999E-3</v>
      </c>
      <c r="W292">
        <v>3.4548860000000001E-2</v>
      </c>
      <c r="X292">
        <v>0.99940209999999996</v>
      </c>
      <c r="Y292">
        <v>4.7074270000000001E-2</v>
      </c>
      <c r="Z292">
        <v>-1.4942460000000001E-3</v>
      </c>
      <c r="AA292">
        <v>0.99889030000000001</v>
      </c>
      <c r="AB292">
        <v>23</v>
      </c>
      <c r="AC292">
        <v>43.374400000000001</v>
      </c>
      <c r="AD292">
        <v>-1.1592229999999999</v>
      </c>
      <c r="AE292">
        <v>-0.63720000000000698</v>
      </c>
      <c r="AF292">
        <v>2.0507108094998698</v>
      </c>
      <c r="AG292">
        <v>-1.1592229999999999</v>
      </c>
      <c r="AH292">
        <v>43.299589658823997</v>
      </c>
      <c r="AI292">
        <v>91.531848502023195</v>
      </c>
      <c r="AJ292">
        <v>87.288442170449201</v>
      </c>
      <c r="AK292">
        <v>43.363621590112501</v>
      </c>
      <c r="AL292">
        <v>88.020102154379103</v>
      </c>
      <c r="AM292">
        <v>89.922081104785406</v>
      </c>
      <c r="AN292">
        <v>1.0000000142216701</v>
      </c>
    </row>
    <row r="293" spans="1:40" x14ac:dyDescent="0.25">
      <c r="A293" t="str">
        <f>"20190312160308681"</f>
        <v>20190312160308681</v>
      </c>
      <c r="B293" t="str">
        <f>"1552377788675354"</f>
        <v>1552377788675354</v>
      </c>
      <c r="C293" t="s">
        <v>40</v>
      </c>
      <c r="D293">
        <v>5.2230319999999999</v>
      </c>
      <c r="E293">
        <v>0.51572259999999903</v>
      </c>
      <c r="F293" t="s">
        <v>43</v>
      </c>
      <c r="G293">
        <v>-411.42790000000002</v>
      </c>
      <c r="H293">
        <v>-0.05</v>
      </c>
      <c r="I293">
        <v>367.11399999999998</v>
      </c>
      <c r="J293">
        <v>-454.9357</v>
      </c>
      <c r="K293">
        <v>1.109227</v>
      </c>
      <c r="L293">
        <v>367.72320000000002</v>
      </c>
      <c r="M293">
        <v>0.99945709999999999</v>
      </c>
      <c r="N293">
        <v>0</v>
      </c>
      <c r="O293">
        <v>3.26187E-2</v>
      </c>
      <c r="P293">
        <v>0.99905500000000003</v>
      </c>
      <c r="Q293">
        <v>2.996569E-2</v>
      </c>
      <c r="R293">
        <v>3.1485840000000001E-2</v>
      </c>
      <c r="S293">
        <v>3.0065</v>
      </c>
      <c r="T293">
        <v>-7.9852699999999999E-2</v>
      </c>
      <c r="U293">
        <v>-4.1656489999999997E-2</v>
      </c>
      <c r="V293">
        <v>1.1215330000000001E-3</v>
      </c>
      <c r="W293">
        <v>3.4630349999999997E-2</v>
      </c>
      <c r="X293">
        <v>0.9993995</v>
      </c>
      <c r="Y293">
        <v>4.6434820000000002E-2</v>
      </c>
      <c r="Z293">
        <v>-1.4826189999999999E-3</v>
      </c>
      <c r="AA293">
        <v>0.99892020000000004</v>
      </c>
      <c r="AB293">
        <v>24</v>
      </c>
      <c r="AC293">
        <v>43.507799999999897</v>
      </c>
      <c r="AD293">
        <v>-1.159227</v>
      </c>
      <c r="AE293">
        <v>-0.60919999999998697</v>
      </c>
      <c r="AF293">
        <v>2.0266205346663702</v>
      </c>
      <c r="AG293">
        <v>-1.159227</v>
      </c>
      <c r="AH293">
        <v>43.433948000265602</v>
      </c>
      <c r="AI293">
        <v>91.527167606089805</v>
      </c>
      <c r="AJ293">
        <v>87.3285263931717</v>
      </c>
      <c r="AK293">
        <v>43.496653169167303</v>
      </c>
      <c r="AL293">
        <v>88.015430177975901</v>
      </c>
      <c r="AM293">
        <v>89.935702308726505</v>
      </c>
      <c r="AN293">
        <v>0.99999993978881896</v>
      </c>
    </row>
    <row r="294" spans="1:40" x14ac:dyDescent="0.25">
      <c r="A294" t="str">
        <f>"20190312160308693"</f>
        <v>20190312160308693</v>
      </c>
      <c r="B294" t="str">
        <f>"1552377788685115"</f>
        <v>1552377788685115</v>
      </c>
      <c r="C294" t="s">
        <v>40</v>
      </c>
      <c r="D294">
        <v>5.2334670000000001</v>
      </c>
      <c r="E294">
        <v>0.51564880000000002</v>
      </c>
      <c r="F294" t="s">
        <v>43</v>
      </c>
      <c r="G294">
        <v>-411.38639999999998</v>
      </c>
      <c r="H294">
        <v>-0.05</v>
      </c>
      <c r="I294">
        <v>367.14280000000002</v>
      </c>
      <c r="J294">
        <v>-454.80529999999999</v>
      </c>
      <c r="K294">
        <v>1.1092299999999999</v>
      </c>
      <c r="L294">
        <v>367.72750000000002</v>
      </c>
      <c r="M294">
        <v>0.99945740000000005</v>
      </c>
      <c r="N294">
        <v>0</v>
      </c>
      <c r="O294">
        <v>3.2607990000000003E-2</v>
      </c>
      <c r="P294">
        <v>0.99904939999999998</v>
      </c>
      <c r="Q294">
        <v>3.0085259999999999E-2</v>
      </c>
      <c r="R294">
        <v>3.1551509999999998E-2</v>
      </c>
      <c r="S294">
        <v>3.0065</v>
      </c>
      <c r="T294">
        <v>-8.0029370000000002E-2</v>
      </c>
      <c r="U294">
        <v>-4.006958E-2</v>
      </c>
      <c r="V294">
        <v>1.0450769999999999E-3</v>
      </c>
      <c r="W294">
        <v>3.4765219999999999E-2</v>
      </c>
      <c r="X294">
        <v>0.99939500000000003</v>
      </c>
      <c r="Y294">
        <v>4.5897029999999998E-2</v>
      </c>
      <c r="Z294">
        <v>-1.47846E-3</v>
      </c>
      <c r="AA294">
        <v>0.99894510000000003</v>
      </c>
      <c r="AB294">
        <v>24</v>
      </c>
      <c r="AC294">
        <v>43.418900000000001</v>
      </c>
      <c r="AD294">
        <v>-1.15923</v>
      </c>
      <c r="AE294">
        <v>-0.584699999999997</v>
      </c>
      <c r="AF294">
        <v>1.9987829060011499</v>
      </c>
      <c r="AG294">
        <v>-1.15923</v>
      </c>
      <c r="AH294">
        <v>43.345851707680602</v>
      </c>
      <c r="AI294">
        <v>91.530312666277098</v>
      </c>
      <c r="AJ294">
        <v>87.359822171101101</v>
      </c>
      <c r="AK294">
        <v>43.407393466579599</v>
      </c>
      <c r="AL294">
        <v>88.007698238287006</v>
      </c>
      <c r="AM294">
        <v>89.940085272049203</v>
      </c>
      <c r="AN294">
        <v>1.00000003936629</v>
      </c>
    </row>
    <row r="295" spans="1:40" x14ac:dyDescent="0.25">
      <c r="A295" t="str">
        <f>"20190312160308705"</f>
        <v>20190312160308705</v>
      </c>
      <c r="B295" t="str">
        <f>"1552377788694875"</f>
        <v>1552377788694875</v>
      </c>
      <c r="C295" t="s">
        <v>40</v>
      </c>
      <c r="D295">
        <v>5.220326</v>
      </c>
      <c r="E295">
        <v>0.51558519999999997</v>
      </c>
      <c r="F295" t="s">
        <v>43</v>
      </c>
      <c r="G295">
        <v>-411.11799999999999</v>
      </c>
      <c r="H295">
        <v>-0.05</v>
      </c>
      <c r="I295">
        <v>367.16160000000002</v>
      </c>
      <c r="J295">
        <v>-454.67579999999998</v>
      </c>
      <c r="K295">
        <v>1.109232</v>
      </c>
      <c r="L295">
        <v>367.73169999999999</v>
      </c>
      <c r="M295">
        <v>0.9994577</v>
      </c>
      <c r="N295">
        <v>0</v>
      </c>
      <c r="O295">
        <v>3.2597519999999998E-2</v>
      </c>
      <c r="P295">
        <v>0.99904570000000004</v>
      </c>
      <c r="Q295">
        <v>2.9987670000000001E-2</v>
      </c>
      <c r="R295">
        <v>3.1764859999999999E-2</v>
      </c>
      <c r="S295">
        <v>3.0064700000000002</v>
      </c>
      <c r="T295">
        <v>-7.9775929999999995E-2</v>
      </c>
      <c r="U295">
        <v>-3.8940429999999998E-2</v>
      </c>
      <c r="V295">
        <v>8.2107699999999905E-4</v>
      </c>
      <c r="W295">
        <v>3.4683249999999999E-2</v>
      </c>
      <c r="X295">
        <v>0.99939800000000001</v>
      </c>
      <c r="Y295">
        <v>4.5511889999999999E-2</v>
      </c>
      <c r="Z295">
        <v>-1.468411E-3</v>
      </c>
      <c r="AA295">
        <v>0.99896269999999998</v>
      </c>
      <c r="AB295">
        <v>24</v>
      </c>
      <c r="AC295">
        <v>43.557799999999901</v>
      </c>
      <c r="AD295">
        <v>-1.159232</v>
      </c>
      <c r="AE295">
        <v>-0.57009999999996797</v>
      </c>
      <c r="AF295">
        <v>1.9882806564550399</v>
      </c>
      <c r="AG295">
        <v>-1.159232</v>
      </c>
      <c r="AH295">
        <v>43.485272328279002</v>
      </c>
      <c r="AI295">
        <v>91.525438397510698</v>
      </c>
      <c r="AJ295">
        <v>87.382083718972098</v>
      </c>
      <c r="AK295">
        <v>43.546136318429497</v>
      </c>
      <c r="AL295">
        <v>88.012397493521902</v>
      </c>
      <c r="AM295">
        <v>89.952927426139894</v>
      </c>
      <c r="AN295">
        <v>0.99999998220100095</v>
      </c>
    </row>
    <row r="296" spans="1:40" x14ac:dyDescent="0.25">
      <c r="A296" t="str">
        <f>"20190312160308718"</f>
        <v>20190312160308718</v>
      </c>
      <c r="B296" t="str">
        <f>"1552377788704634"</f>
        <v>1552377788704634</v>
      </c>
      <c r="C296" t="s">
        <v>40</v>
      </c>
      <c r="D296">
        <v>5.1909720000000004</v>
      </c>
      <c r="E296">
        <v>0.51549299999999998</v>
      </c>
      <c r="F296" t="s">
        <v>43</v>
      </c>
      <c r="G296">
        <v>-411.26049999999998</v>
      </c>
      <c r="H296">
        <v>-0.05</v>
      </c>
      <c r="I296">
        <v>367.18130000000002</v>
      </c>
      <c r="J296">
        <v>-454.55360000000002</v>
      </c>
      <c r="K296">
        <v>1.1092329999999999</v>
      </c>
      <c r="L296">
        <v>367.73570000000001</v>
      </c>
      <c r="M296">
        <v>0.99945779999999995</v>
      </c>
      <c r="N296">
        <v>0</v>
      </c>
      <c r="O296">
        <v>3.2586209999999997E-2</v>
      </c>
      <c r="P296">
        <v>0.99902789999999997</v>
      </c>
      <c r="Q296">
        <v>3.0349750000000002E-2</v>
      </c>
      <c r="R296">
        <v>3.1971819999999998E-2</v>
      </c>
      <c r="S296">
        <v>3.0065</v>
      </c>
      <c r="T296">
        <v>-8.0276490000000006E-2</v>
      </c>
      <c r="U296">
        <v>-3.8116459999999998E-2</v>
      </c>
      <c r="V296">
        <v>6.0256959999999897E-4</v>
      </c>
      <c r="W296">
        <v>3.5059720000000003E-2</v>
      </c>
      <c r="X296">
        <v>0.99938510000000003</v>
      </c>
      <c r="Y296">
        <v>4.5226490000000001E-2</v>
      </c>
      <c r="Z296">
        <v>-1.473497E-3</v>
      </c>
      <c r="AA296">
        <v>0.99897570000000002</v>
      </c>
      <c r="AB296">
        <v>24</v>
      </c>
      <c r="AC296">
        <v>43.293100000000003</v>
      </c>
      <c r="AD296">
        <v>-1.159233</v>
      </c>
      <c r="AE296">
        <v>-0.55439999999998602</v>
      </c>
      <c r="AF296">
        <v>1.96347177724875</v>
      </c>
      <c r="AG296">
        <v>-1.159233</v>
      </c>
      <c r="AH296">
        <v>43.221058414605601</v>
      </c>
      <c r="AI296">
        <v>91.534780952393703</v>
      </c>
      <c r="AJ296">
        <v>87.398921824462903</v>
      </c>
      <c r="AK296">
        <v>43.281161410561602</v>
      </c>
      <c r="AL296">
        <v>87.990814385616801</v>
      </c>
      <c r="AM296">
        <v>89.965454066946506</v>
      </c>
      <c r="AN296">
        <v>1.0000000625793</v>
      </c>
    </row>
    <row r="297" spans="1:40" x14ac:dyDescent="0.25">
      <c r="A297" t="str">
        <f>"20190312160308736"</f>
        <v>20190312160308736</v>
      </c>
      <c r="B297" t="str">
        <f>"1552377788725130"</f>
        <v>1552377788725130</v>
      </c>
      <c r="C297" t="s">
        <v>40</v>
      </c>
      <c r="D297">
        <v>5.2272740000000004</v>
      </c>
      <c r="E297">
        <v>0.51537469999999996</v>
      </c>
      <c r="F297" t="s">
        <v>43</v>
      </c>
      <c r="G297">
        <v>-410.65519999999998</v>
      </c>
      <c r="H297">
        <v>-0.05</v>
      </c>
      <c r="I297">
        <v>367.20139999999998</v>
      </c>
      <c r="J297">
        <v>-454.35320000000002</v>
      </c>
      <c r="K297">
        <v>1.109235</v>
      </c>
      <c r="L297">
        <v>367.74220000000003</v>
      </c>
      <c r="M297">
        <v>0.99945850000000003</v>
      </c>
      <c r="N297">
        <v>0</v>
      </c>
      <c r="O297">
        <v>3.2564559999999999E-2</v>
      </c>
      <c r="P297">
        <v>0.99902069999999998</v>
      </c>
      <c r="Q297">
        <v>3.0342170000000002E-2</v>
      </c>
      <c r="R297">
        <v>3.2205869999999998E-2</v>
      </c>
      <c r="S297">
        <v>3.0065309999999998</v>
      </c>
      <c r="T297">
        <v>-7.9394099999999995E-2</v>
      </c>
      <c r="U297">
        <v>-3.6590579999999998E-2</v>
      </c>
      <c r="V297">
        <v>3.4701769999999902E-4</v>
      </c>
      <c r="W297">
        <v>3.5076400000000001E-2</v>
      </c>
      <c r="X297">
        <v>0.99938459999999996</v>
      </c>
      <c r="Y297">
        <v>4.4698590000000003E-2</v>
      </c>
      <c r="Z297">
        <v>-1.4497539999999999E-3</v>
      </c>
      <c r="AA297">
        <v>0.99899950000000004</v>
      </c>
      <c r="AB297">
        <v>24</v>
      </c>
      <c r="AC297">
        <v>43.698</v>
      </c>
      <c r="AD297">
        <v>-1.159235</v>
      </c>
      <c r="AE297">
        <v>-0.54080000000004702</v>
      </c>
      <c r="AF297">
        <v>1.9621544908845401</v>
      </c>
      <c r="AG297">
        <v>-1.159235</v>
      </c>
      <c r="AH297">
        <v>43.626514883629198</v>
      </c>
      <c r="AI297">
        <v>91.5205573584132</v>
      </c>
      <c r="AJ297">
        <v>87.424789537046095</v>
      </c>
      <c r="AK297">
        <v>43.686000926187397</v>
      </c>
      <c r="AL297">
        <v>87.989858031311798</v>
      </c>
      <c r="AM297">
        <v>89.980105107856104</v>
      </c>
      <c r="AN297">
        <v>1.0000000264877</v>
      </c>
    </row>
    <row r="298" spans="1:40" x14ac:dyDescent="0.25">
      <c r="A298" t="str">
        <f>"20190312160308748"</f>
        <v>20190312160308748</v>
      </c>
      <c r="B298" t="str">
        <f>"1552377788744651"</f>
        <v>1552377788744651</v>
      </c>
      <c r="C298" t="s">
        <v>40</v>
      </c>
      <c r="D298">
        <v>5.2143459999999999</v>
      </c>
      <c r="E298">
        <v>0.51523929999999996</v>
      </c>
      <c r="F298" t="s">
        <v>43</v>
      </c>
      <c r="G298">
        <v>-410.66750000000002</v>
      </c>
      <c r="H298">
        <v>-0.05</v>
      </c>
      <c r="I298">
        <v>367.23090000000002</v>
      </c>
      <c r="J298">
        <v>-454.22300000000001</v>
      </c>
      <c r="K298">
        <v>1.109232</v>
      </c>
      <c r="L298">
        <v>367.74639999999999</v>
      </c>
      <c r="M298">
        <v>0.99945879999999998</v>
      </c>
      <c r="N298">
        <v>0</v>
      </c>
      <c r="O298">
        <v>3.2548960000000002E-2</v>
      </c>
      <c r="P298">
        <v>0.99901070000000003</v>
      </c>
      <c r="Q298">
        <v>3.0439750000000002E-2</v>
      </c>
      <c r="R298">
        <v>3.2421449999999997E-2</v>
      </c>
      <c r="S298">
        <v>3.0064700000000002</v>
      </c>
      <c r="T298">
        <v>-7.9779030000000001E-2</v>
      </c>
      <c r="U298">
        <v>-3.5186769999999999E-2</v>
      </c>
      <c r="V298">
        <v>1.157065E-4</v>
      </c>
      <c r="W298">
        <v>3.5189819999999997E-2</v>
      </c>
      <c r="X298">
        <v>0.99938059999999995</v>
      </c>
      <c r="Y298">
        <v>4.4216760000000001E-2</v>
      </c>
      <c r="Z298">
        <v>-1.4500069999999999E-3</v>
      </c>
      <c r="AA298">
        <v>0.99902089999999999</v>
      </c>
      <c r="AB298">
        <v>24</v>
      </c>
      <c r="AC298">
        <v>43.555500000000002</v>
      </c>
      <c r="AD298">
        <v>-1.159232</v>
      </c>
      <c r="AE298">
        <v>-0.51549999999997398</v>
      </c>
      <c r="AF298">
        <v>1.9315610996379999</v>
      </c>
      <c r="AG298">
        <v>-1.159232</v>
      </c>
      <c r="AH298">
        <v>43.484843419192998</v>
      </c>
      <c r="AI298">
        <v>91.525542863317398</v>
      </c>
      <c r="AJ298">
        <v>87.4566402976549</v>
      </c>
      <c r="AK298">
        <v>43.5431550797963</v>
      </c>
      <c r="AL298">
        <v>87.983355396137796</v>
      </c>
      <c r="AM298">
        <v>89.993366397063696</v>
      </c>
      <c r="AN298">
        <v>0.99999996023799198</v>
      </c>
    </row>
    <row r="299" spans="1:40" x14ac:dyDescent="0.25">
      <c r="A299" t="str">
        <f>"20190312160308760"</f>
        <v>20190312160308760</v>
      </c>
      <c r="B299" t="str">
        <f>"1552377788755386"</f>
        <v>1552377788755386</v>
      </c>
      <c r="C299" t="s">
        <v>40</v>
      </c>
      <c r="D299">
        <v>5.2119090000000003</v>
      </c>
      <c r="E299">
        <v>0.51519219999999999</v>
      </c>
      <c r="F299" t="s">
        <v>43</v>
      </c>
      <c r="G299">
        <v>-410.60989999999998</v>
      </c>
      <c r="H299">
        <v>-0.05</v>
      </c>
      <c r="I299">
        <v>367.25850000000003</v>
      </c>
      <c r="J299">
        <v>-454.0908</v>
      </c>
      <c r="K299">
        <v>1.109229</v>
      </c>
      <c r="L299">
        <v>367.75069999999999</v>
      </c>
      <c r="M299">
        <v>0.9994594</v>
      </c>
      <c r="N299">
        <v>0</v>
      </c>
      <c r="O299">
        <v>3.2529639999999999E-2</v>
      </c>
      <c r="P299">
        <v>0.99899640000000001</v>
      </c>
      <c r="Q299">
        <v>3.0770829999999999E-2</v>
      </c>
      <c r="R299">
        <v>3.2550290000000003E-2</v>
      </c>
      <c r="S299">
        <v>3.0065</v>
      </c>
      <c r="T299">
        <v>-7.9912419999999998E-2</v>
      </c>
      <c r="U299">
        <v>-3.363037E-2</v>
      </c>
      <c r="V299" s="1">
        <v>-3.2606530000000002E-5</v>
      </c>
      <c r="W299">
        <v>3.5536739999999997E-2</v>
      </c>
      <c r="X299">
        <v>0.99936840000000005</v>
      </c>
      <c r="Y299">
        <v>4.3680339999999998E-2</v>
      </c>
      <c r="Z299">
        <v>-1.4447780000000001E-3</v>
      </c>
      <c r="AA299">
        <v>0.9990445</v>
      </c>
      <c r="AB299">
        <v>24</v>
      </c>
      <c r="AC299">
        <v>43.480899999999998</v>
      </c>
      <c r="AD299">
        <v>-1.1592290000000001</v>
      </c>
      <c r="AE299">
        <v>-0.492199999999968</v>
      </c>
      <c r="AF299">
        <v>1.9050197110437199</v>
      </c>
      <c r="AG299">
        <v>-1.1592290000000001</v>
      </c>
      <c r="AH299">
        <v>43.411024685289398</v>
      </c>
      <c r="AI299">
        <v>91.528167874097704</v>
      </c>
      <c r="AJ299">
        <v>87.487283329661693</v>
      </c>
      <c r="AK299">
        <v>43.468264011813403</v>
      </c>
      <c r="AL299">
        <v>87.963466045010904</v>
      </c>
      <c r="AM299">
        <v>90.001869397264201</v>
      </c>
      <c r="AN299">
        <v>1.0000000299357801</v>
      </c>
    </row>
    <row r="300" spans="1:40" x14ac:dyDescent="0.25">
      <c r="A300" t="str">
        <f>"20190312160308772"</f>
        <v>20190312160308772</v>
      </c>
      <c r="B300" t="str">
        <f>"1552377788765146"</f>
        <v>1552377788765146</v>
      </c>
      <c r="C300" t="s">
        <v>40</v>
      </c>
      <c r="D300">
        <v>5.1654799999999996</v>
      </c>
      <c r="E300">
        <v>0.51512040000000003</v>
      </c>
      <c r="F300" t="s">
        <v>43</v>
      </c>
      <c r="G300">
        <v>-410.09100000000001</v>
      </c>
      <c r="H300">
        <v>-0.05</v>
      </c>
      <c r="I300">
        <v>367.27190000000002</v>
      </c>
      <c r="J300">
        <v>-453.95859999999999</v>
      </c>
      <c r="K300">
        <v>1.109227</v>
      </c>
      <c r="L300">
        <v>367.755</v>
      </c>
      <c r="M300">
        <v>0.99946009999999996</v>
      </c>
      <c r="N300">
        <v>0</v>
      </c>
      <c r="O300">
        <v>3.2508189999999999E-2</v>
      </c>
      <c r="P300">
        <v>0.99899110000000002</v>
      </c>
      <c r="Q300">
        <v>3.0836840000000001E-2</v>
      </c>
      <c r="R300">
        <v>3.2655049999999998E-2</v>
      </c>
      <c r="S300">
        <v>3.0065309999999998</v>
      </c>
      <c r="T300">
        <v>-7.9210760000000005E-2</v>
      </c>
      <c r="U300">
        <v>-3.2714840000000002E-2</v>
      </c>
      <c r="V300">
        <v>-1.5851139999999999E-4</v>
      </c>
      <c r="W300">
        <v>3.5618230000000001E-2</v>
      </c>
      <c r="X300">
        <v>0.99936539999999996</v>
      </c>
      <c r="Y300">
        <v>4.3355169999999998E-2</v>
      </c>
      <c r="Z300">
        <v>-1.427235E-3</v>
      </c>
      <c r="AA300">
        <v>0.99905869999999997</v>
      </c>
      <c r="AB300">
        <v>24</v>
      </c>
      <c r="AC300">
        <v>43.867599999999896</v>
      </c>
      <c r="AD300">
        <v>-1.159227</v>
      </c>
      <c r="AE300">
        <v>-0.48309999999997899</v>
      </c>
      <c r="AF300">
        <v>1.9075852139340399</v>
      </c>
      <c r="AG300">
        <v>-1.159227</v>
      </c>
      <c r="AH300">
        <v>43.7981281766154</v>
      </c>
      <c r="AI300">
        <v>91.514686841927002</v>
      </c>
      <c r="AJ300">
        <v>87.506113737618804</v>
      </c>
      <c r="AK300">
        <v>43.854973724324402</v>
      </c>
      <c r="AL300">
        <v>87.958793876962801</v>
      </c>
      <c r="AM300">
        <v>90.009087801267199</v>
      </c>
      <c r="AN300">
        <v>0.99999994307567597</v>
      </c>
    </row>
    <row r="301" spans="1:40" x14ac:dyDescent="0.25">
      <c r="A301" t="str">
        <f>"20190312160308784"</f>
        <v>20190312160308784</v>
      </c>
      <c r="B301" t="str">
        <f>"1552377788774907"</f>
        <v>1552377788774907</v>
      </c>
      <c r="C301" t="s">
        <v>40</v>
      </c>
      <c r="D301">
        <v>5.2088169999999998</v>
      </c>
      <c r="E301">
        <v>0.51507619999999998</v>
      </c>
      <c r="F301" t="s">
        <v>43</v>
      </c>
      <c r="G301">
        <v>-409.83569999999997</v>
      </c>
      <c r="H301">
        <v>-0.05</v>
      </c>
      <c r="I301">
        <v>367.28789999999998</v>
      </c>
      <c r="J301">
        <v>-453.82319999999999</v>
      </c>
      <c r="K301">
        <v>1.1092120000000001</v>
      </c>
      <c r="L301">
        <v>367.7593</v>
      </c>
      <c r="M301">
        <v>0.99946089999999999</v>
      </c>
      <c r="N301">
        <v>0</v>
      </c>
      <c r="O301">
        <v>3.2483749999999999E-2</v>
      </c>
      <c r="P301">
        <v>0.99898399999999998</v>
      </c>
      <c r="Q301">
        <v>3.1059280000000002E-2</v>
      </c>
      <c r="R301">
        <v>3.2661429999999998E-2</v>
      </c>
      <c r="S301">
        <v>3.0064700000000002</v>
      </c>
      <c r="T301">
        <v>-7.8988080000000002E-2</v>
      </c>
      <c r="U301">
        <v>-3.1829830000000003E-2</v>
      </c>
      <c r="V301">
        <v>-1.8948439999999999E-4</v>
      </c>
      <c r="W301">
        <v>3.5856970000000002E-2</v>
      </c>
      <c r="X301">
        <v>0.99935689999999999</v>
      </c>
      <c r="Y301">
        <v>4.3037180000000001E-2</v>
      </c>
      <c r="Z301">
        <v>-1.4184359999999999E-3</v>
      </c>
      <c r="AA301">
        <v>0.99907250000000003</v>
      </c>
      <c r="AB301">
        <v>24</v>
      </c>
      <c r="AC301">
        <v>43.987499999999997</v>
      </c>
      <c r="AD301">
        <v>-1.1592119999999999</v>
      </c>
      <c r="AE301">
        <v>-0.47140000000001597</v>
      </c>
      <c r="AF301">
        <v>1.89872790192614</v>
      </c>
      <c r="AG301">
        <v>-1.1592119999999999</v>
      </c>
      <c r="AH301">
        <v>43.918475138016902</v>
      </c>
      <c r="AI301">
        <v>91.510539625198305</v>
      </c>
      <c r="AJ301">
        <v>87.524472518548194</v>
      </c>
      <c r="AK301">
        <v>43.974781392920001</v>
      </c>
      <c r="AL301">
        <v>87.945106426274705</v>
      </c>
      <c r="AM301">
        <v>90.010863642681997</v>
      </c>
      <c r="AN301">
        <v>0.99999998588976402</v>
      </c>
    </row>
    <row r="302" spans="1:40" x14ac:dyDescent="0.25">
      <c r="A302" t="str">
        <f>"20190312160308804"</f>
        <v>20190312160308804</v>
      </c>
      <c r="B302" t="str">
        <f>"1552377788795402"</f>
        <v>1552377788795402</v>
      </c>
      <c r="C302" t="s">
        <v>40</v>
      </c>
      <c r="D302">
        <v>5.1974999999999998</v>
      </c>
      <c r="E302">
        <v>0.51493829999999996</v>
      </c>
      <c r="F302" t="s">
        <v>43</v>
      </c>
      <c r="G302">
        <v>-409.47809999999998</v>
      </c>
      <c r="H302">
        <v>-0.05</v>
      </c>
      <c r="I302">
        <v>367.29610000000002</v>
      </c>
      <c r="J302">
        <v>-453.61720000000003</v>
      </c>
      <c r="K302">
        <v>1.109205</v>
      </c>
      <c r="L302">
        <v>367.76600000000002</v>
      </c>
      <c r="M302">
        <v>0.99946219999999997</v>
      </c>
      <c r="N302">
        <v>0</v>
      </c>
      <c r="O302">
        <v>3.2438219999999997E-2</v>
      </c>
      <c r="P302">
        <v>0.99896490000000004</v>
      </c>
      <c r="Q302">
        <v>3.158358E-2</v>
      </c>
      <c r="R302">
        <v>3.2740470000000001E-2</v>
      </c>
      <c r="S302">
        <v>3.0065309999999998</v>
      </c>
      <c r="T302">
        <v>-7.859302E-2</v>
      </c>
      <c r="U302">
        <v>-3.1402590000000001E-2</v>
      </c>
      <c r="V302">
        <v>-3.1337619999999999E-4</v>
      </c>
      <c r="W302">
        <v>3.6405939999999998E-2</v>
      </c>
      <c r="X302">
        <v>0.99933700000000003</v>
      </c>
      <c r="Y302">
        <v>4.284984E-2</v>
      </c>
      <c r="Z302">
        <v>-1.407679E-3</v>
      </c>
      <c r="AA302">
        <v>0.99908050000000004</v>
      </c>
      <c r="AB302">
        <v>24</v>
      </c>
      <c r="AC302">
        <v>44.139099999999999</v>
      </c>
      <c r="AD302">
        <v>-1.15920499999999</v>
      </c>
      <c r="AE302">
        <v>-0.46989999999993798</v>
      </c>
      <c r="AF302">
        <v>1.9001526332646399</v>
      </c>
      <c r="AG302">
        <v>-1.15920499999999</v>
      </c>
      <c r="AH302">
        <v>44.070235305796203</v>
      </c>
      <c r="AI302">
        <v>91.505338802982195</v>
      </c>
      <c r="AJ302">
        <v>87.531137828298895</v>
      </c>
      <c r="AK302">
        <v>44.126409055915403</v>
      </c>
      <c r="AL302">
        <v>87.913632166780999</v>
      </c>
      <c r="AM302">
        <v>90.017967045222207</v>
      </c>
      <c r="AN302">
        <v>0.99999996512046196</v>
      </c>
    </row>
    <row r="303" spans="1:40" x14ac:dyDescent="0.25">
      <c r="A303" t="str">
        <f>"20190312160308816"</f>
        <v>20190312160308816</v>
      </c>
      <c r="B303" t="str">
        <f>"1552377788805163"</f>
        <v>1552377788805163</v>
      </c>
      <c r="C303" t="s">
        <v>40</v>
      </c>
      <c r="D303">
        <v>5.1689309999999997</v>
      </c>
      <c r="E303">
        <v>0.51489499999999999</v>
      </c>
      <c r="F303" t="s">
        <v>43</v>
      </c>
      <c r="G303">
        <v>-408.68259999999998</v>
      </c>
      <c r="H303">
        <v>-0.05</v>
      </c>
      <c r="I303">
        <v>367.32319999999999</v>
      </c>
      <c r="J303">
        <v>-453.48439999999999</v>
      </c>
      <c r="K303">
        <v>1.1092</v>
      </c>
      <c r="L303">
        <v>367.77030000000002</v>
      </c>
      <c r="M303">
        <v>0.9994632</v>
      </c>
      <c r="N303">
        <v>0</v>
      </c>
      <c r="O303">
        <v>3.2402680000000003E-2</v>
      </c>
      <c r="P303">
        <v>0.99896750000000001</v>
      </c>
      <c r="Q303">
        <v>3.1685100000000001E-2</v>
      </c>
      <c r="R303">
        <v>3.2560449999999998E-2</v>
      </c>
      <c r="S303">
        <v>3.0065309999999998</v>
      </c>
      <c r="T303">
        <v>-7.7561260000000007E-2</v>
      </c>
      <c r="U303">
        <v>-2.963257E-2</v>
      </c>
      <c r="V303">
        <v>-1.6898950000000001E-4</v>
      </c>
      <c r="W303">
        <v>3.6523630000000001E-2</v>
      </c>
      <c r="X303">
        <v>0.99933280000000002</v>
      </c>
      <c r="Y303">
        <v>4.222708E-2</v>
      </c>
      <c r="Z303">
        <v>-1.3802599999999999E-3</v>
      </c>
      <c r="AA303">
        <v>0.99910710000000003</v>
      </c>
      <c r="AB303">
        <v>24</v>
      </c>
      <c r="AC303">
        <v>44.8018</v>
      </c>
      <c r="AD303">
        <v>-1.1592</v>
      </c>
      <c r="AE303">
        <v>-0.44710000000003403</v>
      </c>
      <c r="AF303">
        <v>1.89731052785892</v>
      </c>
      <c r="AG303">
        <v>-1.1592</v>
      </c>
      <c r="AH303">
        <v>44.733841789107501</v>
      </c>
      <c r="AI303">
        <v>91.483055924149497</v>
      </c>
      <c r="AJ303">
        <v>87.571351640985796</v>
      </c>
      <c r="AK303">
        <v>44.789062650294703</v>
      </c>
      <c r="AL303">
        <v>87.906884663281005</v>
      </c>
      <c r="AM303">
        <v>90.009688849440096</v>
      </c>
      <c r="AN303">
        <v>1.00000002463083</v>
      </c>
    </row>
    <row r="304" spans="1:40" x14ac:dyDescent="0.25">
      <c r="A304" t="str">
        <f>"20190312160308830"</f>
        <v>20190312160308830</v>
      </c>
      <c r="B304" t="str">
        <f>"1552377788824682"</f>
        <v>1552377788824682</v>
      </c>
      <c r="C304" t="s">
        <v>40</v>
      </c>
      <c r="D304">
        <v>5.1511180000000003</v>
      </c>
      <c r="E304">
        <v>0.51479200000000003</v>
      </c>
      <c r="F304" t="s">
        <v>43</v>
      </c>
      <c r="G304">
        <v>-408.52539999999999</v>
      </c>
      <c r="H304">
        <v>-0.05</v>
      </c>
      <c r="I304">
        <v>367.31900000000002</v>
      </c>
      <c r="J304">
        <v>-453.34129999999999</v>
      </c>
      <c r="K304">
        <v>1.109194</v>
      </c>
      <c r="L304">
        <v>367.7749</v>
      </c>
      <c r="M304">
        <v>0.99946460000000004</v>
      </c>
      <c r="N304">
        <v>0</v>
      </c>
      <c r="O304">
        <v>3.2360939999999998E-2</v>
      </c>
      <c r="P304">
        <v>0.99896529999999994</v>
      </c>
      <c r="Q304">
        <v>3.1783949999999998E-2</v>
      </c>
      <c r="R304">
        <v>3.2539859999999997E-2</v>
      </c>
      <c r="S304">
        <v>3.006561</v>
      </c>
      <c r="T304">
        <v>-7.7519660000000004E-2</v>
      </c>
      <c r="U304">
        <v>-3.0181880000000001E-2</v>
      </c>
      <c r="V304">
        <v>-1.8947899999999999E-4</v>
      </c>
      <c r="W304">
        <v>3.6639419999999999E-2</v>
      </c>
      <c r="X304">
        <v>0.99932860000000001</v>
      </c>
      <c r="Y304">
        <v>4.2367759999999997E-2</v>
      </c>
      <c r="Z304">
        <v>-1.380243E-3</v>
      </c>
      <c r="AA304">
        <v>0.99910109999999996</v>
      </c>
      <c r="AB304">
        <v>24</v>
      </c>
      <c r="AC304">
        <v>44.815899999999999</v>
      </c>
      <c r="AD304">
        <v>-1.1591940000000001</v>
      </c>
      <c r="AE304">
        <v>-0.45589999999998498</v>
      </c>
      <c r="AF304">
        <v>1.9046885813721399</v>
      </c>
      <c r="AG304">
        <v>-1.1591940000000001</v>
      </c>
      <c r="AH304">
        <v>44.747738846670103</v>
      </c>
      <c r="AI304">
        <v>91.482578339583995</v>
      </c>
      <c r="AJ304">
        <v>87.562675021641596</v>
      </c>
      <c r="AK304">
        <v>44.803255475595002</v>
      </c>
      <c r="AL304">
        <v>87.900246030420604</v>
      </c>
      <c r="AM304">
        <v>90.010863640724594</v>
      </c>
      <c r="AN304">
        <v>1.00000006688909</v>
      </c>
    </row>
    <row r="305" spans="1:40" x14ac:dyDescent="0.25">
      <c r="A305" t="str">
        <f>"20190312160308849"</f>
        <v>20190312160308849</v>
      </c>
      <c r="B305" t="str">
        <f>"1552377788845179"</f>
        <v>1552377788845179</v>
      </c>
      <c r="C305" t="s">
        <v>40</v>
      </c>
      <c r="D305">
        <v>5.1762290000000002</v>
      </c>
      <c r="E305">
        <v>0.51472680000000004</v>
      </c>
      <c r="F305" t="s">
        <v>43</v>
      </c>
      <c r="G305">
        <v>-408.54539999999997</v>
      </c>
      <c r="H305">
        <v>-0.05</v>
      </c>
      <c r="I305">
        <v>367.33429999999998</v>
      </c>
      <c r="J305">
        <v>-453.1327</v>
      </c>
      <c r="K305">
        <v>1.109189</v>
      </c>
      <c r="L305">
        <v>367.78160000000003</v>
      </c>
      <c r="M305">
        <v>0.99946670000000004</v>
      </c>
      <c r="N305">
        <v>0</v>
      </c>
      <c r="O305">
        <v>3.2289829999999999E-2</v>
      </c>
      <c r="P305">
        <v>0.99895579999999995</v>
      </c>
      <c r="Q305">
        <v>3.212694E-2</v>
      </c>
      <c r="R305">
        <v>3.2484970000000002E-2</v>
      </c>
      <c r="S305">
        <v>3.0065309999999998</v>
      </c>
      <c r="T305">
        <v>-7.7800750000000002E-2</v>
      </c>
      <c r="U305">
        <v>-2.9571529999999999E-2</v>
      </c>
      <c r="V305">
        <v>-2.052012E-4</v>
      </c>
      <c r="W305">
        <v>3.7007770000000002E-2</v>
      </c>
      <c r="X305">
        <v>0.99931499999999995</v>
      </c>
      <c r="Y305">
        <v>4.2093909999999998E-2</v>
      </c>
      <c r="Z305">
        <v>-1.3798790000000001E-3</v>
      </c>
      <c r="AA305">
        <v>0.99911269999999996</v>
      </c>
      <c r="AB305">
        <v>25</v>
      </c>
      <c r="AC305">
        <v>44.587299999999999</v>
      </c>
      <c r="AD305">
        <v>-1.159189</v>
      </c>
      <c r="AE305">
        <v>-0.447300000000041</v>
      </c>
      <c r="AF305">
        <v>1.88552582470801</v>
      </c>
      <c r="AG305">
        <v>-1.159189</v>
      </c>
      <c r="AH305">
        <v>44.519517906468202</v>
      </c>
      <c r="AI305">
        <v>91.490182053907603</v>
      </c>
      <c r="AJ305">
        <v>87.574813215133702</v>
      </c>
      <c r="AK305">
        <v>44.5745039388854</v>
      </c>
      <c r="AL305">
        <v>87.879126757588594</v>
      </c>
      <c r="AM305">
        <v>90.011765221722598</v>
      </c>
      <c r="AN305">
        <v>1.00000004318645</v>
      </c>
    </row>
    <row r="306" spans="1:40" x14ac:dyDescent="0.25">
      <c r="A306" t="str">
        <f>"20190312160308863"</f>
        <v>20190312160308863</v>
      </c>
      <c r="B306" t="str">
        <f>"1552377788854938"</f>
        <v>1552377788854938</v>
      </c>
      <c r="C306" t="s">
        <v>40</v>
      </c>
      <c r="D306">
        <v>5.1422119999999998</v>
      </c>
      <c r="E306">
        <v>0.51469860000000001</v>
      </c>
      <c r="F306" t="s">
        <v>43</v>
      </c>
      <c r="G306">
        <v>-408.08</v>
      </c>
      <c r="H306">
        <v>-0.05</v>
      </c>
      <c r="I306">
        <v>367.34800000000001</v>
      </c>
      <c r="J306">
        <v>-452.9556</v>
      </c>
      <c r="K306">
        <v>1.109183</v>
      </c>
      <c r="L306">
        <v>367.78719999999998</v>
      </c>
      <c r="M306">
        <v>0.99946889999999999</v>
      </c>
      <c r="N306">
        <v>0</v>
      </c>
      <c r="O306">
        <v>3.2220940000000003E-2</v>
      </c>
      <c r="P306">
        <v>0.99896680000000004</v>
      </c>
      <c r="Q306">
        <v>3.2320880000000003E-2</v>
      </c>
      <c r="R306">
        <v>3.1957560000000003E-2</v>
      </c>
      <c r="S306">
        <v>3.006561</v>
      </c>
      <c r="T306">
        <v>-7.735765E-2</v>
      </c>
      <c r="U306">
        <v>-2.893066E-2</v>
      </c>
      <c r="V306">
        <v>2.5415019999999998E-4</v>
      </c>
      <c r="W306">
        <v>3.7223150000000003E-2</v>
      </c>
      <c r="X306">
        <v>0.9993069</v>
      </c>
      <c r="Y306">
        <v>4.18124E-2</v>
      </c>
      <c r="Z306">
        <v>-1.3666170000000001E-3</v>
      </c>
      <c r="AA306">
        <v>0.99912449999999997</v>
      </c>
      <c r="AB306">
        <v>25</v>
      </c>
      <c r="AC306">
        <v>44.875599999999999</v>
      </c>
      <c r="AD306">
        <v>-1.1591830000000001</v>
      </c>
      <c r="AE306">
        <v>-0.439199999999971</v>
      </c>
      <c r="AF306">
        <v>1.8836663784906</v>
      </c>
      <c r="AG306">
        <v>-1.1591830000000001</v>
      </c>
      <c r="AH306">
        <v>44.808252025734497</v>
      </c>
      <c r="AI306">
        <v>91.480595888578506</v>
      </c>
      <c r="AJ306">
        <v>87.592795537772602</v>
      </c>
      <c r="AK306">
        <v>44.862805907061698</v>
      </c>
      <c r="AL306">
        <v>87.866777694059905</v>
      </c>
      <c r="AM306">
        <v>89.985428166753906</v>
      </c>
      <c r="AN306">
        <v>0.99999995393792696</v>
      </c>
    </row>
    <row r="307" spans="1:40" x14ac:dyDescent="0.25">
      <c r="A307" t="str">
        <f>"20190312160308882"</f>
        <v>20190312160308882</v>
      </c>
      <c r="B307" t="str">
        <f>"1552377788875435"</f>
        <v>1552377788875435</v>
      </c>
      <c r="C307" t="s">
        <v>40</v>
      </c>
      <c r="D307">
        <v>5.0857330000000003</v>
      </c>
      <c r="E307">
        <v>0.51462299999999905</v>
      </c>
      <c r="F307" t="s">
        <v>43</v>
      </c>
      <c r="G307">
        <v>-407.67399999999998</v>
      </c>
      <c r="H307">
        <v>-0.05</v>
      </c>
      <c r="I307">
        <v>367.32670000000002</v>
      </c>
      <c r="J307">
        <v>-452.75790000000001</v>
      </c>
      <c r="K307">
        <v>1.109175</v>
      </c>
      <c r="L307">
        <v>367.79349999999999</v>
      </c>
      <c r="M307">
        <v>0.99947140000000001</v>
      </c>
      <c r="N307">
        <v>0</v>
      </c>
      <c r="O307">
        <v>3.2137079999999998E-2</v>
      </c>
      <c r="P307">
        <v>0.99897630000000004</v>
      </c>
      <c r="Q307">
        <v>3.2354189999999998E-2</v>
      </c>
      <c r="R307">
        <v>3.1618510000000002E-2</v>
      </c>
      <c r="S307">
        <v>3.0065919999999999</v>
      </c>
      <c r="T307">
        <v>-7.6966999999999994E-2</v>
      </c>
      <c r="U307">
        <v>-3.0578609999999999E-2</v>
      </c>
      <c r="V307">
        <v>5.10232E-4</v>
      </c>
      <c r="W307">
        <v>3.728033E-2</v>
      </c>
      <c r="X307">
        <v>0.99930469999999905</v>
      </c>
      <c r="Y307">
        <v>4.2276179999999997E-2</v>
      </c>
      <c r="Z307">
        <v>-1.363492E-3</v>
      </c>
      <c r="AA307">
        <v>0.99910500000000002</v>
      </c>
      <c r="AB307">
        <v>25</v>
      </c>
      <c r="AC307">
        <v>45.0838999999999</v>
      </c>
      <c r="AD307">
        <v>-1.1591750000000001</v>
      </c>
      <c r="AE307">
        <v>-0.46679999999997701</v>
      </c>
      <c r="AF307">
        <v>1.91417596836996</v>
      </c>
      <c r="AG307">
        <v>-1.1591750000000001</v>
      </c>
      <c r="AH307">
        <v>45.0158545479064</v>
      </c>
      <c r="AI307">
        <v>91.473730496954403</v>
      </c>
      <c r="AJ307">
        <v>87.565120672532004</v>
      </c>
      <c r="AK307">
        <v>45.071442366500499</v>
      </c>
      <c r="AL307">
        <v>87.863499308665098</v>
      </c>
      <c r="AM307">
        <v>89.9707455217291</v>
      </c>
      <c r="AN307">
        <v>0.99999998339184604</v>
      </c>
    </row>
    <row r="308" spans="1:40" x14ac:dyDescent="0.25">
      <c r="A308" t="str">
        <f>"20190312160308894"</f>
        <v>20190312160308894</v>
      </c>
      <c r="B308" t="str">
        <f>"1552377788885195"</f>
        <v>1552377788885195</v>
      </c>
      <c r="C308" t="s">
        <v>40</v>
      </c>
      <c r="D308">
        <v>5.1165560000000001</v>
      </c>
      <c r="E308">
        <v>0.51457730000000002</v>
      </c>
      <c r="F308" t="s">
        <v>43</v>
      </c>
      <c r="G308">
        <v>-407.61880000000002</v>
      </c>
      <c r="H308">
        <v>-0.05</v>
      </c>
      <c r="I308">
        <v>367.33030000000002</v>
      </c>
      <c r="J308">
        <v>-452.61559999999997</v>
      </c>
      <c r="K308">
        <v>1.1091719999999901</v>
      </c>
      <c r="L308">
        <v>367.798</v>
      </c>
      <c r="M308">
        <v>0.99947330000000001</v>
      </c>
      <c r="N308">
        <v>0</v>
      </c>
      <c r="O308">
        <v>3.207227E-2</v>
      </c>
      <c r="P308">
        <v>0.998996</v>
      </c>
      <c r="Q308">
        <v>3.2184579999999997E-2</v>
      </c>
      <c r="R308">
        <v>3.1158410000000001E-2</v>
      </c>
      <c r="S308">
        <v>3.006561</v>
      </c>
      <c r="T308">
        <v>-7.7208639999999995E-2</v>
      </c>
      <c r="U308">
        <v>-3.0853269999999999E-2</v>
      </c>
      <c r="V308">
        <v>9.0662580000000004E-4</v>
      </c>
      <c r="W308">
        <v>3.7127849999999997E-2</v>
      </c>
      <c r="X308">
        <v>0.99931009999999998</v>
      </c>
      <c r="Y308">
        <v>4.2302619999999999E-2</v>
      </c>
      <c r="Z308">
        <v>-1.366461E-3</v>
      </c>
      <c r="AA308">
        <v>0.99910390000000004</v>
      </c>
      <c r="AB308">
        <v>25</v>
      </c>
      <c r="AC308">
        <v>44.996799999999901</v>
      </c>
      <c r="AD308">
        <v>-1.1591720000000001</v>
      </c>
      <c r="AE308">
        <v>-0.46769999999997902</v>
      </c>
      <c r="AF308">
        <v>1.9093595885310799</v>
      </c>
      <c r="AG308">
        <v>-1.1591720000000001</v>
      </c>
      <c r="AH308">
        <v>44.928837204465999</v>
      </c>
      <c r="AI308">
        <v>91.476581264745406</v>
      </c>
      <c r="AJ308">
        <v>87.566541552957105</v>
      </c>
      <c r="AK308">
        <v>44.984327785455498</v>
      </c>
      <c r="AL308">
        <v>87.872241830758696</v>
      </c>
      <c r="AM308">
        <v>89.948018320153693</v>
      </c>
      <c r="AN308">
        <v>0.99999998758898601</v>
      </c>
    </row>
    <row r="309" spans="1:40" x14ac:dyDescent="0.25">
      <c r="A309" t="str">
        <f>"20190312160308906"</f>
        <v>20190312160308906</v>
      </c>
      <c r="B309" t="str">
        <f>"1552377788894955"</f>
        <v>1552377788894955</v>
      </c>
      <c r="C309" t="s">
        <v>40</v>
      </c>
      <c r="D309">
        <v>5.0733790000000001</v>
      </c>
      <c r="E309">
        <v>0.51453190000000004</v>
      </c>
      <c r="F309" t="s">
        <v>43</v>
      </c>
      <c r="G309">
        <v>-407.89800000000002</v>
      </c>
      <c r="H309">
        <v>-0.05</v>
      </c>
      <c r="I309">
        <v>367.32600000000002</v>
      </c>
      <c r="J309">
        <v>-452.48829999999998</v>
      </c>
      <c r="K309">
        <v>1.1091679999999999</v>
      </c>
      <c r="L309">
        <v>367.8021</v>
      </c>
      <c r="M309">
        <v>0.99947520000000001</v>
      </c>
      <c r="N309">
        <v>0</v>
      </c>
      <c r="O309">
        <v>3.2011829999999998E-2</v>
      </c>
      <c r="P309">
        <v>0.99900520000000004</v>
      </c>
      <c r="Q309">
        <v>3.2273429999999999E-2</v>
      </c>
      <c r="R309">
        <v>3.077452E-2</v>
      </c>
      <c r="S309">
        <v>3.0065309999999998</v>
      </c>
      <c r="T309">
        <v>-7.7935459999999998E-2</v>
      </c>
      <c r="U309">
        <v>-3.1738280000000001E-2</v>
      </c>
      <c r="V309">
        <v>1.2304849999999999E-3</v>
      </c>
      <c r="W309">
        <v>3.7232189999999998E-2</v>
      </c>
      <c r="X309">
        <v>0.99930589999999997</v>
      </c>
      <c r="Y309">
        <v>4.253585E-2</v>
      </c>
      <c r="Z309">
        <v>-1.3807890000000001E-3</v>
      </c>
      <c r="AA309">
        <v>0.99909400000000004</v>
      </c>
      <c r="AB309">
        <v>25</v>
      </c>
      <c r="AC309">
        <v>44.5902999999999</v>
      </c>
      <c r="AD309">
        <v>-1.159168</v>
      </c>
      <c r="AE309">
        <v>-0.47610000000003</v>
      </c>
      <c r="AF309">
        <v>1.90200541512684</v>
      </c>
      <c r="AG309">
        <v>-1.159168</v>
      </c>
      <c r="AH309">
        <v>44.522121256207399</v>
      </c>
      <c r="AI309">
        <v>91.4900447240544</v>
      </c>
      <c r="AJ309">
        <v>87.553785473569306</v>
      </c>
      <c r="AK309">
        <v>44.577803626960197</v>
      </c>
      <c r="AL309">
        <v>87.866259513214999</v>
      </c>
      <c r="AM309">
        <v>89.929449469253797</v>
      </c>
      <c r="AN309">
        <v>1.0000000159201701</v>
      </c>
    </row>
    <row r="310" spans="1:40" x14ac:dyDescent="0.25">
      <c r="A310" t="str">
        <f>"20190312160308919"</f>
        <v>20190312160308919</v>
      </c>
      <c r="B310" t="str">
        <f>"1552377788915451"</f>
        <v>1552377788915451</v>
      </c>
      <c r="C310" t="s">
        <v>40</v>
      </c>
      <c r="D310">
        <v>5.0592389999999998</v>
      </c>
      <c r="E310">
        <v>0.51444670000000003</v>
      </c>
      <c r="F310" t="s">
        <v>43</v>
      </c>
      <c r="G310">
        <v>-407.6651</v>
      </c>
      <c r="H310">
        <v>-0.05</v>
      </c>
      <c r="I310">
        <v>367.3175</v>
      </c>
      <c r="J310">
        <v>-452.34789999999998</v>
      </c>
      <c r="K310">
        <v>1.1091719999999901</v>
      </c>
      <c r="L310">
        <v>367.80650000000003</v>
      </c>
      <c r="M310">
        <v>0.99947739999999996</v>
      </c>
      <c r="N310">
        <v>0</v>
      </c>
      <c r="O310">
        <v>3.1941959999999998E-2</v>
      </c>
      <c r="P310">
        <v>0.9990059</v>
      </c>
      <c r="Q310">
        <v>3.2592969999999999E-2</v>
      </c>
      <c r="R310">
        <v>3.0416450000000001E-2</v>
      </c>
      <c r="S310">
        <v>3.0065</v>
      </c>
      <c r="T310">
        <v>-7.7750920000000001E-2</v>
      </c>
      <c r="U310">
        <v>-3.2501219999999997E-2</v>
      </c>
      <c r="V310">
        <v>1.518819E-3</v>
      </c>
      <c r="W310">
        <v>3.7568619999999997E-2</v>
      </c>
      <c r="X310">
        <v>0.99929290000000004</v>
      </c>
      <c r="Y310">
        <v>4.2719699999999902E-2</v>
      </c>
      <c r="Z310">
        <v>-1.3781049999999999E-3</v>
      </c>
      <c r="AA310">
        <v>0.99908609999999998</v>
      </c>
      <c r="AB310">
        <v>25</v>
      </c>
      <c r="AC310">
        <v>44.682799999999901</v>
      </c>
      <c r="AD310">
        <v>-1.1591720000000001</v>
      </c>
      <c r="AE310">
        <v>-0.48900000000003202</v>
      </c>
      <c r="AF310">
        <v>1.9147357999127199</v>
      </c>
      <c r="AG310">
        <v>-1.1591720000000001</v>
      </c>
      <c r="AH310">
        <v>44.614357266890401</v>
      </c>
      <c r="AI310">
        <v>91.486958193382407</v>
      </c>
      <c r="AJ310">
        <v>87.542517590617294</v>
      </c>
      <c r="AK310">
        <v>44.670468625780003</v>
      </c>
      <c r="AL310">
        <v>87.846969972949793</v>
      </c>
      <c r="AM310">
        <v>89.912916571772598</v>
      </c>
      <c r="AN310">
        <v>1.00000000400513</v>
      </c>
    </row>
    <row r="311" spans="1:40" x14ac:dyDescent="0.25">
      <c r="A311" t="str">
        <f>"20190312160308936"</f>
        <v>20190312160308936</v>
      </c>
      <c r="B311" t="str">
        <f>"1552377788925211"</f>
        <v>1552377788925211</v>
      </c>
      <c r="C311" t="s">
        <v>40</v>
      </c>
      <c r="D311">
        <v>5.0276009999999998</v>
      </c>
      <c r="E311">
        <v>0.51439489999999999</v>
      </c>
      <c r="F311" t="s">
        <v>43</v>
      </c>
      <c r="G311">
        <v>-407.20249999999999</v>
      </c>
      <c r="H311">
        <v>-0.05</v>
      </c>
      <c r="I311">
        <v>367.31200000000001</v>
      </c>
      <c r="J311">
        <v>-452.1481</v>
      </c>
      <c r="K311">
        <v>1.1091719999999901</v>
      </c>
      <c r="L311">
        <v>367.81279999999998</v>
      </c>
      <c r="M311">
        <v>0.99948049999999999</v>
      </c>
      <c r="N311">
        <v>0</v>
      </c>
      <c r="O311">
        <v>3.1839350000000002E-2</v>
      </c>
      <c r="P311">
        <v>0.99902210000000002</v>
      </c>
      <c r="Q311">
        <v>3.2718560000000001E-2</v>
      </c>
      <c r="R311">
        <v>2.9749660000000001E-2</v>
      </c>
      <c r="S311">
        <v>3.0065309999999998</v>
      </c>
      <c r="T311">
        <v>-7.7196840000000003E-2</v>
      </c>
      <c r="U311">
        <v>-3.2928470000000001E-2</v>
      </c>
      <c r="V311">
        <v>2.0833119999999999E-3</v>
      </c>
      <c r="W311">
        <v>3.7718710000000003E-2</v>
      </c>
      <c r="X311">
        <v>0.99928620000000001</v>
      </c>
      <c r="Y311">
        <v>4.2759350000000002E-2</v>
      </c>
      <c r="Z311">
        <v>-1.366148E-3</v>
      </c>
      <c r="AA311">
        <v>0.99908450000000004</v>
      </c>
      <c r="AB311">
        <v>25</v>
      </c>
      <c r="AC311">
        <v>44.945599999999999</v>
      </c>
      <c r="AD311">
        <v>-1.1591720000000001</v>
      </c>
      <c r="AE311">
        <v>-0.500800000000026</v>
      </c>
      <c r="AF311">
        <v>1.93031885780158</v>
      </c>
      <c r="AG311">
        <v>-1.1591720000000001</v>
      </c>
      <c r="AH311">
        <v>44.877020268782204</v>
      </c>
      <c r="AI311">
        <v>91.478252886697106</v>
      </c>
      <c r="AJ311">
        <v>87.537024744358305</v>
      </c>
      <c r="AK311">
        <v>44.933470362560001</v>
      </c>
      <c r="AL311">
        <v>87.838364288106604</v>
      </c>
      <c r="AM311">
        <v>89.880549924462301</v>
      </c>
      <c r="AN311">
        <v>0.99999997539169605</v>
      </c>
    </row>
    <row r="312" spans="1:40" x14ac:dyDescent="0.25">
      <c r="A312" t="str">
        <f>"20190312160308948"</f>
        <v>20190312160308948</v>
      </c>
      <c r="B312" t="str">
        <f>"1552377788944730"</f>
        <v>1552377788944730</v>
      </c>
      <c r="C312" t="s">
        <v>40</v>
      </c>
      <c r="D312">
        <v>5.0508699999999997</v>
      </c>
      <c r="E312">
        <v>0.51429959999999997</v>
      </c>
      <c r="F312" t="s">
        <v>43</v>
      </c>
      <c r="G312">
        <v>-406.8272</v>
      </c>
      <c r="H312">
        <v>-0.05</v>
      </c>
      <c r="I312">
        <v>367.29480000000001</v>
      </c>
      <c r="J312">
        <v>-452.01799999999997</v>
      </c>
      <c r="K312">
        <v>1.1091719999999901</v>
      </c>
      <c r="L312">
        <v>367.8168</v>
      </c>
      <c r="M312">
        <v>0.9994826</v>
      </c>
      <c r="N312">
        <v>0</v>
      </c>
      <c r="O312">
        <v>3.1771109999999998E-2</v>
      </c>
      <c r="P312">
        <v>0.99903189999999997</v>
      </c>
      <c r="Q312">
        <v>3.2800379999999997E-2</v>
      </c>
      <c r="R312">
        <v>2.9319620000000001E-2</v>
      </c>
      <c r="S312">
        <v>3.0064389999999999</v>
      </c>
      <c r="T312">
        <v>-7.6895710000000006E-2</v>
      </c>
      <c r="U312">
        <v>-3.4362789999999997E-2</v>
      </c>
      <c r="V312">
        <v>2.4457569999999998E-3</v>
      </c>
      <c r="W312">
        <v>3.7815920000000003E-2</v>
      </c>
      <c r="X312">
        <v>0.99928170000000005</v>
      </c>
      <c r="Y312">
        <v>4.3168150000000002E-2</v>
      </c>
      <c r="Z312">
        <v>-1.3643429999999901E-3</v>
      </c>
      <c r="AA312">
        <v>0.99906689999999998</v>
      </c>
      <c r="AB312">
        <v>25</v>
      </c>
      <c r="AC312">
        <v>45.190800000000003</v>
      </c>
      <c r="AD312">
        <v>-1.1591720000000001</v>
      </c>
      <c r="AE312">
        <v>-0.52199999999999103</v>
      </c>
      <c r="AF312">
        <v>1.9562294524303201</v>
      </c>
      <c r="AG312">
        <v>-1.1591720000000001</v>
      </c>
      <c r="AH312">
        <v>45.121717000571302</v>
      </c>
      <c r="AI312">
        <v>91.470218196330293</v>
      </c>
      <c r="AJ312">
        <v>87.517524746836798</v>
      </c>
      <c r="AK312">
        <v>45.178975845804501</v>
      </c>
      <c r="AL312">
        <v>87.832790578665396</v>
      </c>
      <c r="AM312">
        <v>89.8597679973483</v>
      </c>
      <c r="AN312">
        <v>0.99999997074381897</v>
      </c>
    </row>
    <row r="313" spans="1:40" x14ac:dyDescent="0.25">
      <c r="A313" t="str">
        <f>"20190312160308971"</f>
        <v>20190312160308971</v>
      </c>
      <c r="B313" t="str">
        <f>"1552377788965226"</f>
        <v>1552377788965226</v>
      </c>
      <c r="C313" t="s">
        <v>40</v>
      </c>
      <c r="D313">
        <v>4.999987</v>
      </c>
      <c r="E313">
        <v>0.51419910000000002</v>
      </c>
      <c r="F313" t="s">
        <v>43</v>
      </c>
      <c r="G313">
        <v>-406.63529999999997</v>
      </c>
      <c r="H313">
        <v>-0.05</v>
      </c>
      <c r="I313">
        <v>367.28609999999998</v>
      </c>
      <c r="J313">
        <v>-451.76519999999999</v>
      </c>
      <c r="K313">
        <v>1.1091690000000001</v>
      </c>
      <c r="L313">
        <v>367.82470000000001</v>
      </c>
      <c r="M313">
        <v>0.99948669999999995</v>
      </c>
      <c r="N313">
        <v>0</v>
      </c>
      <c r="O313">
        <v>3.1635829999999997E-2</v>
      </c>
      <c r="P313">
        <v>0.99902519999999995</v>
      </c>
      <c r="Q313">
        <v>3.3218129999999998E-2</v>
      </c>
      <c r="R313">
        <v>2.9072029999999999E-2</v>
      </c>
      <c r="S313">
        <v>3.0064700000000002</v>
      </c>
      <c r="T313">
        <v>-7.6791639999999994E-2</v>
      </c>
      <c r="U313">
        <v>-3.515625E-2</v>
      </c>
      <c r="V313">
        <v>2.5580210000000002E-3</v>
      </c>
      <c r="W313">
        <v>3.8264769999999997E-2</v>
      </c>
      <c r="X313">
        <v>0.99926440000000005</v>
      </c>
      <c r="Y313">
        <v>4.329653E-2</v>
      </c>
      <c r="Z313">
        <v>-1.360668E-3</v>
      </c>
      <c r="AA313">
        <v>0.99906130000000004</v>
      </c>
      <c r="AB313">
        <v>25</v>
      </c>
      <c r="AC313">
        <v>45.129899999999999</v>
      </c>
      <c r="AD313">
        <v>-1.1591689999999999</v>
      </c>
      <c r="AE313">
        <v>-0.53860000000003005</v>
      </c>
      <c r="AF313">
        <v>1.9647744274132499</v>
      </c>
      <c r="AG313">
        <v>-1.1591689999999999</v>
      </c>
      <c r="AH313">
        <v>45.060547450487299</v>
      </c>
      <c r="AI313">
        <v>91.472193458108904</v>
      </c>
      <c r="AJ313">
        <v>87.503314366641405</v>
      </c>
      <c r="AK313">
        <v>45.118255150867697</v>
      </c>
      <c r="AL313">
        <v>87.807054888446203</v>
      </c>
      <c r="AM313">
        <v>89.853328621476393</v>
      </c>
      <c r="AN313">
        <v>1.00000003860097</v>
      </c>
    </row>
    <row r="314" spans="1:40" x14ac:dyDescent="0.25">
      <c r="A314" t="str">
        <f>"20190312160308982"</f>
        <v>20190312160308982</v>
      </c>
      <c r="B314" t="str">
        <f>"1552377788974988"</f>
        <v>1552377788974988</v>
      </c>
      <c r="C314" t="s">
        <v>40</v>
      </c>
      <c r="D314">
        <v>5.017347</v>
      </c>
      <c r="E314">
        <v>0.51414689999999996</v>
      </c>
      <c r="F314" t="s">
        <v>43</v>
      </c>
      <c r="G314">
        <v>-405.7303</v>
      </c>
      <c r="H314">
        <v>-0.05</v>
      </c>
      <c r="I314">
        <v>367.2869</v>
      </c>
      <c r="J314">
        <v>-451.62810000000002</v>
      </c>
      <c r="K314">
        <v>1.10917</v>
      </c>
      <c r="L314">
        <v>367.82900000000001</v>
      </c>
      <c r="M314">
        <v>0.99948899999999996</v>
      </c>
      <c r="N314">
        <v>0</v>
      </c>
      <c r="O314">
        <v>3.1561930000000002E-2</v>
      </c>
      <c r="P314">
        <v>0.99902650000000004</v>
      </c>
      <c r="Q314">
        <v>3.31983E-2</v>
      </c>
      <c r="R314">
        <v>2.905512E-2</v>
      </c>
      <c r="S314">
        <v>3.0064700000000002</v>
      </c>
      <c r="T314">
        <v>-7.5703499999999896E-2</v>
      </c>
      <c r="U314">
        <v>-3.5125730000000001E-2</v>
      </c>
      <c r="V314">
        <v>2.5011730000000002E-3</v>
      </c>
      <c r="W314">
        <v>3.8261440000000001E-2</v>
      </c>
      <c r="X314">
        <v>0.99926470000000001</v>
      </c>
      <c r="Y314">
        <v>4.321324E-2</v>
      </c>
      <c r="Z314">
        <v>-1.3384849999999999E-3</v>
      </c>
      <c r="AA314">
        <v>0.99906499999999998</v>
      </c>
      <c r="AB314">
        <v>25</v>
      </c>
      <c r="AC314">
        <v>45.897799999999997</v>
      </c>
      <c r="AD314">
        <v>-1.15917</v>
      </c>
      <c r="AE314">
        <v>-0.54210000000000402</v>
      </c>
      <c r="AF314">
        <v>1.9892029867000101</v>
      </c>
      <c r="AG314">
        <v>-1.15917</v>
      </c>
      <c r="AH314">
        <v>45.828595954370101</v>
      </c>
      <c r="AI314">
        <v>91.447544997627503</v>
      </c>
      <c r="AJ314">
        <v>87.514620763178698</v>
      </c>
      <c r="AK314">
        <v>45.886390256372302</v>
      </c>
      <c r="AL314">
        <v>87.807245885863395</v>
      </c>
      <c r="AM314">
        <v>89.856588191839904</v>
      </c>
      <c r="AN314">
        <v>1.00000006716166</v>
      </c>
    </row>
    <row r="315" spans="1:40" x14ac:dyDescent="0.25">
      <c r="A315" t="str">
        <f>"20190312160308997"</f>
        <v>20190312160308997</v>
      </c>
      <c r="B315" t="str">
        <f>"1552377788984747"</f>
        <v>1552377788984747</v>
      </c>
      <c r="C315" t="s">
        <v>40</v>
      </c>
      <c r="D315">
        <v>4.9937849999999999</v>
      </c>
      <c r="E315">
        <v>0.51409389999999999</v>
      </c>
      <c r="F315" t="s">
        <v>43</v>
      </c>
      <c r="G315">
        <v>-405.68610000000001</v>
      </c>
      <c r="H315">
        <v>-0.05</v>
      </c>
      <c r="I315">
        <v>367.30340000000001</v>
      </c>
      <c r="J315">
        <v>-451.47019999999998</v>
      </c>
      <c r="K315">
        <v>1.1091709999999999</v>
      </c>
      <c r="L315">
        <v>367.83390000000003</v>
      </c>
      <c r="M315">
        <v>0.99949149999999998</v>
      </c>
      <c r="N315">
        <v>0</v>
      </c>
      <c r="O315">
        <v>3.1476940000000002E-2</v>
      </c>
      <c r="P315">
        <v>0.99902060000000004</v>
      </c>
      <c r="Q315">
        <v>3.334554E-2</v>
      </c>
      <c r="R315">
        <v>2.9083890000000001E-2</v>
      </c>
      <c r="S315">
        <v>3.0064700000000002</v>
      </c>
      <c r="T315">
        <v>-7.5856800000000002E-2</v>
      </c>
      <c r="U315">
        <v>-3.4393310000000003E-2</v>
      </c>
      <c r="V315">
        <v>2.3873179999999998E-3</v>
      </c>
      <c r="W315">
        <v>3.8428209999999997E-2</v>
      </c>
      <c r="X315">
        <v>0.99925850000000005</v>
      </c>
      <c r="Y315">
        <v>4.2884980000000003E-2</v>
      </c>
      <c r="Z315">
        <v>-1.3349119999999999E-3</v>
      </c>
      <c r="AA315">
        <v>0.9990791</v>
      </c>
      <c r="AB315">
        <v>25</v>
      </c>
      <c r="AC315">
        <v>45.784099999999903</v>
      </c>
      <c r="AD315">
        <v>-1.159171</v>
      </c>
      <c r="AE315">
        <v>-0.53050000000001696</v>
      </c>
      <c r="AF315">
        <v>1.9701364721263499</v>
      </c>
      <c r="AG315">
        <v>-1.159171</v>
      </c>
      <c r="AH315">
        <v>45.715413504755297</v>
      </c>
      <c r="AI315">
        <v>91.451147944711096</v>
      </c>
      <c r="AJ315">
        <v>87.532326799873402</v>
      </c>
      <c r="AK315">
        <v>45.772526115966201</v>
      </c>
      <c r="AL315">
        <v>87.797683463002301</v>
      </c>
      <c r="AM315">
        <v>89.863115514639006</v>
      </c>
      <c r="AN315">
        <v>0.99999998821664304</v>
      </c>
    </row>
    <row r="316" spans="1:40" x14ac:dyDescent="0.25">
      <c r="A316" t="str">
        <f>"20190312160309009"</f>
        <v>20190312160309009</v>
      </c>
      <c r="B316" t="str">
        <f>"1552377789005243"</f>
        <v>1552377789005243</v>
      </c>
      <c r="C316" t="s">
        <v>40</v>
      </c>
      <c r="D316">
        <v>5.0044750000000002</v>
      </c>
      <c r="E316">
        <v>0.51399110000000003</v>
      </c>
      <c r="F316" t="s">
        <v>43</v>
      </c>
      <c r="G316">
        <v>-405.29270000000002</v>
      </c>
      <c r="H316">
        <v>-0.05</v>
      </c>
      <c r="I316">
        <v>367.30880000000002</v>
      </c>
      <c r="J316">
        <v>-451.33229999999998</v>
      </c>
      <c r="K316">
        <v>1.1091719999999901</v>
      </c>
      <c r="L316">
        <v>367.8381</v>
      </c>
      <c r="M316">
        <v>0.99949390000000005</v>
      </c>
      <c r="N316">
        <v>0</v>
      </c>
      <c r="O316">
        <v>3.1402560000000003E-2</v>
      </c>
      <c r="P316">
        <v>0.99901830000000003</v>
      </c>
      <c r="Q316">
        <v>3.3374479999999998E-2</v>
      </c>
      <c r="R316">
        <v>2.912994E-2</v>
      </c>
      <c r="S316">
        <v>3.0064090000000001</v>
      </c>
      <c r="T316">
        <v>-7.5468300000000002E-2</v>
      </c>
      <c r="U316">
        <v>-3.4179689999999999E-2</v>
      </c>
      <c r="V316">
        <v>2.2668369999999998E-3</v>
      </c>
      <c r="W316">
        <v>3.8473E-2</v>
      </c>
      <c r="X316">
        <v>0.99925710000000001</v>
      </c>
      <c r="Y316">
        <v>4.2740189999999997E-2</v>
      </c>
      <c r="Z316">
        <v>-1.3244210000000001E-3</v>
      </c>
      <c r="AA316">
        <v>0.99908540000000001</v>
      </c>
      <c r="AB316">
        <v>25</v>
      </c>
      <c r="AC316">
        <v>46.039599999999901</v>
      </c>
      <c r="AD316">
        <v>-1.1591720000000001</v>
      </c>
      <c r="AE316">
        <v>-0.52929999999997701</v>
      </c>
      <c r="AF316">
        <v>1.9735680069852499</v>
      </c>
      <c r="AG316">
        <v>-1.1591720000000001</v>
      </c>
      <c r="AH316">
        <v>45.971133870846501</v>
      </c>
      <c r="AI316">
        <v>91.443090637764698</v>
      </c>
      <c r="AJ316">
        <v>87.541767709532394</v>
      </c>
      <c r="AK316">
        <v>46.028076211971701</v>
      </c>
      <c r="AL316">
        <v>87.795115380422601</v>
      </c>
      <c r="AM316">
        <v>89.870023470287407</v>
      </c>
      <c r="AN316">
        <v>1.0000000310896899</v>
      </c>
    </row>
    <row r="317" spans="1:40" x14ac:dyDescent="0.25">
      <c r="A317" t="str">
        <f>"20190312160309025"</f>
        <v>20190312160309025</v>
      </c>
      <c r="B317" t="str">
        <f>"1552377789014574"</f>
        <v>1552377789014574</v>
      </c>
      <c r="C317" t="s">
        <v>40</v>
      </c>
      <c r="D317">
        <v>4.9845550000000003</v>
      </c>
      <c r="E317">
        <v>0.51394549999999894</v>
      </c>
      <c r="F317" t="s">
        <v>43</v>
      </c>
      <c r="G317">
        <v>-405.30349999999999</v>
      </c>
      <c r="H317">
        <v>-0.05</v>
      </c>
      <c r="I317">
        <v>367.33260000000001</v>
      </c>
      <c r="J317">
        <v>-451.13729999999998</v>
      </c>
      <c r="K317">
        <v>1.109173</v>
      </c>
      <c r="L317">
        <v>367.84410000000003</v>
      </c>
      <c r="M317">
        <v>0.99949690000000002</v>
      </c>
      <c r="N317">
        <v>0</v>
      </c>
      <c r="O317">
        <v>3.1297770000000003E-2</v>
      </c>
      <c r="P317">
        <v>0.99900639999999996</v>
      </c>
      <c r="Q317">
        <v>3.336008E-2</v>
      </c>
      <c r="R317">
        <v>2.9558609999999999E-2</v>
      </c>
      <c r="S317">
        <v>3.0064389999999999</v>
      </c>
      <c r="T317">
        <v>-7.5712920000000003E-2</v>
      </c>
      <c r="U317">
        <v>-3.3020019999999997E-2</v>
      </c>
      <c r="V317">
        <v>1.7331270000000001E-3</v>
      </c>
      <c r="W317">
        <v>3.848348E-2</v>
      </c>
      <c r="X317">
        <v>0.99925770000000003</v>
      </c>
      <c r="Y317">
        <v>4.2250040000000003E-2</v>
      </c>
      <c r="Z317">
        <v>-1.3198929999999999E-3</v>
      </c>
      <c r="AA317">
        <v>0.99910620000000006</v>
      </c>
      <c r="AB317">
        <v>26</v>
      </c>
      <c r="AC317">
        <v>45.833799999999997</v>
      </c>
      <c r="AD317">
        <v>-1.159173</v>
      </c>
      <c r="AE317">
        <v>-0.51150000000001195</v>
      </c>
      <c r="AF317">
        <v>1.94452046864105</v>
      </c>
      <c r="AG317">
        <v>-1.159173</v>
      </c>
      <c r="AH317">
        <v>45.766067195964503</v>
      </c>
      <c r="AI317">
        <v>91.4495825986059</v>
      </c>
      <c r="AJ317">
        <v>87.567065456195195</v>
      </c>
      <c r="AK317">
        <v>45.822022527191301</v>
      </c>
      <c r="AL317">
        <v>87.794514333111294</v>
      </c>
      <c r="AM317">
        <v>89.900625471399096</v>
      </c>
      <c r="AN317">
        <v>0.999999966485698</v>
      </c>
    </row>
    <row r="318" spans="1:40" x14ac:dyDescent="0.25">
      <c r="A318" t="str">
        <f>"20190312160309038"</f>
        <v>20190312160309038</v>
      </c>
      <c r="B318" t="str">
        <f>"1552377789025311"</f>
        <v>1552377789025311</v>
      </c>
      <c r="C318" t="s">
        <v>40</v>
      </c>
      <c r="D318">
        <v>4.9945700000000004</v>
      </c>
      <c r="E318">
        <v>0.51390999999999998</v>
      </c>
      <c r="F318" t="s">
        <v>43</v>
      </c>
      <c r="G318">
        <v>-405.21499999999997</v>
      </c>
      <c r="H318">
        <v>-0.05</v>
      </c>
      <c r="I318">
        <v>367.36439999999999</v>
      </c>
      <c r="J318">
        <v>-450.99220000000003</v>
      </c>
      <c r="K318">
        <v>1.1091719999999901</v>
      </c>
      <c r="L318">
        <v>367.84859999999998</v>
      </c>
      <c r="M318">
        <v>0.99949940000000004</v>
      </c>
      <c r="N318">
        <v>0</v>
      </c>
      <c r="O318">
        <v>3.1220109999999999E-2</v>
      </c>
      <c r="P318">
        <v>0.99900310000000003</v>
      </c>
      <c r="Q318">
        <v>3.3368309999999998E-2</v>
      </c>
      <c r="R318">
        <v>2.9659399999999999E-2</v>
      </c>
      <c r="S318">
        <v>3.0064700000000002</v>
      </c>
      <c r="T318">
        <v>-7.5889590000000007E-2</v>
      </c>
      <c r="U318">
        <v>-3.1402590000000001E-2</v>
      </c>
      <c r="V318">
        <v>1.5549019999999999E-3</v>
      </c>
      <c r="W318">
        <v>3.8508729999999998E-2</v>
      </c>
      <c r="X318">
        <v>0.99925699999999995</v>
      </c>
      <c r="Y318">
        <v>4.1634959999999999E-2</v>
      </c>
      <c r="Z318">
        <v>-1.3132389999999999E-3</v>
      </c>
      <c r="AA318">
        <v>0.99913200000000002</v>
      </c>
      <c r="AB318">
        <v>26</v>
      </c>
      <c r="AC318">
        <v>45.777200000000001</v>
      </c>
      <c r="AD318">
        <v>-1.1591720000000001</v>
      </c>
      <c r="AE318">
        <v>-0.48419999999998697</v>
      </c>
      <c r="AF318">
        <v>1.91192614258008</v>
      </c>
      <c r="AG318">
        <v>-1.1591720000000001</v>
      </c>
      <c r="AH318">
        <v>45.710461063988603</v>
      </c>
      <c r="AI318">
        <v>91.451384367893894</v>
      </c>
      <c r="AJ318">
        <v>87.6048921756705</v>
      </c>
      <c r="AK318">
        <v>45.765111078011003</v>
      </c>
      <c r="AL318">
        <v>87.793066496283004</v>
      </c>
      <c r="AM318">
        <v>89.910844507216794</v>
      </c>
      <c r="AN318">
        <v>0.99999994602771902</v>
      </c>
    </row>
    <row r="319" spans="1:40" x14ac:dyDescent="0.25">
      <c r="A319" t="str">
        <f>"20190312160309053"</f>
        <v>20190312160309053</v>
      </c>
      <c r="B319" t="str">
        <f>"1552377789044830"</f>
        <v>1552377789044830</v>
      </c>
      <c r="C319" t="s">
        <v>40</v>
      </c>
      <c r="D319">
        <v>4.9911099999999999</v>
      </c>
      <c r="E319">
        <v>0.51386469999999995</v>
      </c>
      <c r="F319" t="s">
        <v>43</v>
      </c>
      <c r="G319">
        <v>-405.14510000000001</v>
      </c>
      <c r="H319">
        <v>-0.05</v>
      </c>
      <c r="I319">
        <v>367.37810000000002</v>
      </c>
      <c r="J319">
        <v>-450.82139999999998</v>
      </c>
      <c r="K319">
        <v>1.109173</v>
      </c>
      <c r="L319">
        <v>367.85390000000001</v>
      </c>
      <c r="M319">
        <v>0.99950209999999995</v>
      </c>
      <c r="N319">
        <v>0</v>
      </c>
      <c r="O319">
        <v>3.1128619999999999E-2</v>
      </c>
      <c r="P319">
        <v>0.99900029999999995</v>
      </c>
      <c r="Q319">
        <v>3.3174830000000002E-2</v>
      </c>
      <c r="R319">
        <v>2.9968649999999999E-2</v>
      </c>
      <c r="S319">
        <v>3.0064389999999999</v>
      </c>
      <c r="T319">
        <v>-7.6013209999999998E-2</v>
      </c>
      <c r="U319">
        <v>-3.0853269999999999E-2</v>
      </c>
      <c r="V319">
        <v>1.1542639999999999E-3</v>
      </c>
      <c r="W319">
        <v>3.8336240000000001E-2</v>
      </c>
      <c r="X319">
        <v>0.99926420000000005</v>
      </c>
      <c r="Y319">
        <v>4.1361120000000001E-2</v>
      </c>
      <c r="Z319">
        <v>-1.309618E-3</v>
      </c>
      <c r="AA319">
        <v>0.99914340000000001</v>
      </c>
      <c r="AB319">
        <v>26</v>
      </c>
      <c r="AC319">
        <v>45.676299999999898</v>
      </c>
      <c r="AD319">
        <v>-1.159173</v>
      </c>
      <c r="AE319">
        <v>-0.47579999999999201</v>
      </c>
      <c r="AF319">
        <v>1.8962073778900299</v>
      </c>
      <c r="AG319">
        <v>-1.159173</v>
      </c>
      <c r="AH319">
        <v>45.609981303211697</v>
      </c>
      <c r="AI319">
        <v>91.454596962859696</v>
      </c>
      <c r="AJ319">
        <v>87.619333605338596</v>
      </c>
      <c r="AK319">
        <v>45.664096169126303</v>
      </c>
      <c r="AL319">
        <v>87.802956802781395</v>
      </c>
      <c r="AM319">
        <v>89.933816876227695</v>
      </c>
      <c r="AN319">
        <v>0.99999997051217904</v>
      </c>
    </row>
    <row r="320" spans="1:40" x14ac:dyDescent="0.25">
      <c r="A320" t="str">
        <f>"20190312160309073"</f>
        <v>20190312160309073</v>
      </c>
      <c r="B320" t="str">
        <f>"1552377789065326"</f>
        <v>1552377789065326</v>
      </c>
      <c r="C320" t="s">
        <v>40</v>
      </c>
      <c r="D320">
        <v>4.965192</v>
      </c>
      <c r="E320">
        <v>0.5137834</v>
      </c>
      <c r="F320" t="s">
        <v>43</v>
      </c>
      <c r="G320">
        <v>-405.57049999999998</v>
      </c>
      <c r="H320">
        <v>-0.05</v>
      </c>
      <c r="I320">
        <v>367.40730000000002</v>
      </c>
      <c r="J320">
        <v>-450.59879999999998</v>
      </c>
      <c r="K320">
        <v>1.1091679999999999</v>
      </c>
      <c r="L320">
        <v>367.86059999999998</v>
      </c>
      <c r="M320">
        <v>0.99950570000000005</v>
      </c>
      <c r="N320">
        <v>0</v>
      </c>
      <c r="O320">
        <v>3.1008009999999999E-2</v>
      </c>
      <c r="P320">
        <v>0.99898670000000001</v>
      </c>
      <c r="Q320">
        <v>3.3151130000000001E-2</v>
      </c>
      <c r="R320">
        <v>3.0443919999999999E-2</v>
      </c>
      <c r="S320">
        <v>3.0064090000000001</v>
      </c>
      <c r="T320">
        <v>-7.7013970000000001E-2</v>
      </c>
      <c r="U320">
        <v>-2.966309E-2</v>
      </c>
      <c r="V320">
        <v>5.582909E-4</v>
      </c>
      <c r="W320">
        <v>3.8340050000000001E-2</v>
      </c>
      <c r="X320">
        <v>0.99926459999999995</v>
      </c>
      <c r="Y320">
        <v>4.0844749999999999E-2</v>
      </c>
      <c r="Z320">
        <v>-1.317169E-3</v>
      </c>
      <c r="AA320">
        <v>0.99916459999999996</v>
      </c>
      <c r="AB320">
        <v>26</v>
      </c>
      <c r="AC320">
        <v>45.028300000000002</v>
      </c>
      <c r="AD320">
        <v>-1.159168</v>
      </c>
      <c r="AE320">
        <v>-0.45329999999995602</v>
      </c>
      <c r="AF320">
        <v>1.8481141119878199</v>
      </c>
      <c r="AG320">
        <v>-1.159168</v>
      </c>
      <c r="AH320">
        <v>44.962796664086603</v>
      </c>
      <c r="AI320">
        <v>91.475547241316406</v>
      </c>
      <c r="AJ320">
        <v>87.646285937119202</v>
      </c>
      <c r="AK320">
        <v>45.015689265845403</v>
      </c>
      <c r="AL320">
        <v>87.802738423193901</v>
      </c>
      <c r="AM320">
        <v>89.967988749944396</v>
      </c>
      <c r="AN320">
        <v>1.0000000059679399</v>
      </c>
    </row>
    <row r="321" spans="1:40" x14ac:dyDescent="0.25">
      <c r="A321" t="str">
        <f>"20190312160309094"</f>
        <v>20190312160309094</v>
      </c>
      <c r="B321" t="str">
        <f>"1552377789084847"</f>
        <v>1552377789084847</v>
      </c>
      <c r="C321" t="s">
        <v>40</v>
      </c>
      <c r="D321">
        <v>4.9839890000000002</v>
      </c>
      <c r="E321">
        <v>0.51368639999999999</v>
      </c>
      <c r="F321" t="s">
        <v>43</v>
      </c>
      <c r="G321">
        <v>-405.70150000000001</v>
      </c>
      <c r="H321">
        <v>-0.05</v>
      </c>
      <c r="I321">
        <v>367.44639999999998</v>
      </c>
      <c r="J321">
        <v>-450.34160000000003</v>
      </c>
      <c r="K321">
        <v>1.1091679999999999</v>
      </c>
      <c r="L321">
        <v>367.86840000000001</v>
      </c>
      <c r="M321">
        <v>0.99951000000000001</v>
      </c>
      <c r="N321">
        <v>0</v>
      </c>
      <c r="O321">
        <v>3.086568E-2</v>
      </c>
      <c r="P321">
        <v>0.99898750000000003</v>
      </c>
      <c r="Q321">
        <v>3.2888340000000002E-2</v>
      </c>
      <c r="R321">
        <v>3.0706870000000001E-2</v>
      </c>
      <c r="S321">
        <v>3.0064090000000001</v>
      </c>
      <c r="T321">
        <v>-7.7620030000000007E-2</v>
      </c>
      <c r="U321">
        <v>-2.7740480000000001E-2</v>
      </c>
      <c r="V321">
        <v>1.5331359999999999E-4</v>
      </c>
      <c r="W321">
        <v>3.8108490000000002E-2</v>
      </c>
      <c r="X321">
        <v>0.99927359999999998</v>
      </c>
      <c r="Y321">
        <v>4.0063479999999999E-2</v>
      </c>
      <c r="Z321">
        <v>-1.3137769999999999E-3</v>
      </c>
      <c r="AA321">
        <v>0.99919630000000004</v>
      </c>
      <c r="AB321">
        <v>26</v>
      </c>
      <c r="AC321">
        <v>44.640099999999997</v>
      </c>
      <c r="AD321">
        <v>-1.159168</v>
      </c>
      <c r="AE321">
        <v>-0.42200000000002502</v>
      </c>
      <c r="AF321">
        <v>1.7984520621647999</v>
      </c>
      <c r="AG321">
        <v>-1.159168</v>
      </c>
      <c r="AH321">
        <v>44.5757507692865</v>
      </c>
      <c r="AI321">
        <v>91.488399303501097</v>
      </c>
      <c r="AJ321">
        <v>87.689599072369603</v>
      </c>
      <c r="AK321">
        <v>44.627073138596799</v>
      </c>
      <c r="AL321">
        <v>87.816015532843096</v>
      </c>
      <c r="AM321">
        <v>89.991209392349504</v>
      </c>
      <c r="AN321">
        <v>1.0000000040860499</v>
      </c>
    </row>
    <row r="322" spans="1:40" x14ac:dyDescent="0.25">
      <c r="A322" t="str">
        <f>"20190312160309106"</f>
        <v>20190312160309106</v>
      </c>
      <c r="B322" t="str">
        <f>"1552377789095582"</f>
        <v>1552377789095582</v>
      </c>
      <c r="C322" t="s">
        <v>40</v>
      </c>
      <c r="D322">
        <v>4.9743559999999896</v>
      </c>
      <c r="E322">
        <v>0.51365130000000003</v>
      </c>
      <c r="F322" t="s">
        <v>43</v>
      </c>
      <c r="G322">
        <v>-406.24700000000001</v>
      </c>
      <c r="H322">
        <v>-0.05</v>
      </c>
      <c r="I322">
        <v>367.48660000000001</v>
      </c>
      <c r="J322">
        <v>-450.20150000000001</v>
      </c>
      <c r="K322">
        <v>1.1091679999999999</v>
      </c>
      <c r="L322">
        <v>367.87270000000001</v>
      </c>
      <c r="M322">
        <v>0.99951239999999997</v>
      </c>
      <c r="N322">
        <v>0</v>
      </c>
      <c r="O322">
        <v>3.0786830000000001E-2</v>
      </c>
      <c r="P322">
        <v>0.99897919999999996</v>
      </c>
      <c r="Q322">
        <v>3.3081399999999997E-2</v>
      </c>
      <c r="R322">
        <v>3.0766890000000002E-2</v>
      </c>
      <c r="S322">
        <v>3.0064700000000002</v>
      </c>
      <c r="T322">
        <v>-7.9034809999999997E-2</v>
      </c>
      <c r="U322">
        <v>-2.6031490000000001E-2</v>
      </c>
      <c r="V322" s="1">
        <v>1.44759E-5</v>
      </c>
      <c r="W322">
        <v>3.8318140000000001E-2</v>
      </c>
      <c r="X322">
        <v>0.99926559999999998</v>
      </c>
      <c r="Y322">
        <v>3.9415909999999998E-2</v>
      </c>
      <c r="Z322">
        <v>-1.3271069999999999E-3</v>
      </c>
      <c r="AA322">
        <v>0.99922200000000005</v>
      </c>
      <c r="AB322">
        <v>26</v>
      </c>
      <c r="AC322">
        <v>43.954500000000003</v>
      </c>
      <c r="AD322">
        <v>-1.159168</v>
      </c>
      <c r="AE322">
        <v>-0.386099999999998</v>
      </c>
      <c r="AF322">
        <v>1.7379464338642101</v>
      </c>
      <c r="AG322">
        <v>-1.159168</v>
      </c>
      <c r="AH322">
        <v>43.891253632497801</v>
      </c>
      <c r="AI322">
        <v>91.511645828311998</v>
      </c>
      <c r="AJ322">
        <v>87.732463890274104</v>
      </c>
      <c r="AK322">
        <v>43.940940746545898</v>
      </c>
      <c r="AL322">
        <v>87.803994705069002</v>
      </c>
      <c r="AM322">
        <v>89.999169982460501</v>
      </c>
      <c r="AN322">
        <v>1.00000000970298</v>
      </c>
    </row>
    <row r="323" spans="1:40" x14ac:dyDescent="0.25">
      <c r="A323" t="str">
        <f>"20190312160309119"</f>
        <v>20190312160309119</v>
      </c>
      <c r="B323" t="str">
        <f>"1552377789114688"</f>
        <v>1552377789114688</v>
      </c>
      <c r="C323" t="s">
        <v>40</v>
      </c>
      <c r="D323">
        <v>4.9814660000000002</v>
      </c>
      <c r="E323">
        <v>0.51357849999999905</v>
      </c>
      <c r="F323" t="s">
        <v>43</v>
      </c>
      <c r="G323">
        <v>-405.88339999999999</v>
      </c>
      <c r="H323">
        <v>-0.05</v>
      </c>
      <c r="I323">
        <v>367.49349999999998</v>
      </c>
      <c r="J323">
        <v>-450.06020000000001</v>
      </c>
      <c r="K323">
        <v>1.1091660000000001</v>
      </c>
      <c r="L323">
        <v>367.87700000000001</v>
      </c>
      <c r="M323">
        <v>0.99951489999999998</v>
      </c>
      <c r="N323">
        <v>0</v>
      </c>
      <c r="O323">
        <v>3.0703910000000001E-2</v>
      </c>
      <c r="P323">
        <v>0.99896229999999997</v>
      </c>
      <c r="Q323">
        <v>3.3381859999999999E-2</v>
      </c>
      <c r="R323">
        <v>3.0991390000000001E-2</v>
      </c>
      <c r="S323">
        <v>3.0065309999999998</v>
      </c>
      <c r="T323">
        <v>-7.8637719999999994E-2</v>
      </c>
      <c r="U323">
        <v>-2.572632E-2</v>
      </c>
      <c r="V323">
        <v>-2.9286120000000001E-4</v>
      </c>
      <c r="W323">
        <v>3.8635950000000002E-2</v>
      </c>
      <c r="X323">
        <v>0.99925330000000001</v>
      </c>
      <c r="Y323">
        <v>3.9231759999999997E-2</v>
      </c>
      <c r="Z323">
        <v>-1.3158390000000001E-3</v>
      </c>
      <c r="AA323">
        <v>0.99922929999999999</v>
      </c>
      <c r="AB323">
        <v>26</v>
      </c>
      <c r="AC323">
        <v>44.1768</v>
      </c>
      <c r="AD323">
        <v>-1.1591659999999999</v>
      </c>
      <c r="AE323">
        <v>-0.38349999999996898</v>
      </c>
      <c r="AF323">
        <v>1.7385412539345799</v>
      </c>
      <c r="AG323">
        <v>-1.1591659999999999</v>
      </c>
      <c r="AH323">
        <v>44.113826015741601</v>
      </c>
      <c r="AI323">
        <v>91.504030918441799</v>
      </c>
      <c r="AJ323">
        <v>87.743121325108405</v>
      </c>
      <c r="AK323">
        <v>44.163286078532501</v>
      </c>
      <c r="AL323">
        <v>87.785771995620294</v>
      </c>
      <c r="AM323">
        <v>90.016792249035007</v>
      </c>
      <c r="AN323">
        <v>0.999999989980487</v>
      </c>
    </row>
    <row r="324" spans="1:40" x14ac:dyDescent="0.25">
      <c r="A324" t="str">
        <f>"20190312160309132"</f>
        <v>20190312160309132</v>
      </c>
      <c r="B324" t="str">
        <f>"1552377789125424"</f>
        <v>1552377789125424</v>
      </c>
      <c r="C324" t="s">
        <v>40</v>
      </c>
      <c r="D324">
        <v>4.9851330000000003</v>
      </c>
      <c r="E324">
        <v>0.51357109999999995</v>
      </c>
      <c r="F324" t="s">
        <v>43</v>
      </c>
      <c r="G324">
        <v>-404.85669999999999</v>
      </c>
      <c r="H324">
        <v>-0.05</v>
      </c>
      <c r="I324">
        <v>367.51089999999999</v>
      </c>
      <c r="J324">
        <v>-449.90980000000002</v>
      </c>
      <c r="K324">
        <v>1.109164</v>
      </c>
      <c r="L324">
        <v>367.88159999999999</v>
      </c>
      <c r="M324">
        <v>0.9995174</v>
      </c>
      <c r="N324">
        <v>0</v>
      </c>
      <c r="O324">
        <v>3.0613049999999999E-2</v>
      </c>
      <c r="P324">
        <v>0.9989574</v>
      </c>
      <c r="Q324">
        <v>3.3364940000000003E-2</v>
      </c>
      <c r="R324">
        <v>3.115743E-2</v>
      </c>
      <c r="S324">
        <v>3.0064700000000002</v>
      </c>
      <c r="T324">
        <v>-7.7095629999999998E-2</v>
      </c>
      <c r="U324">
        <v>-2.4353030000000001E-2</v>
      </c>
      <c r="V324">
        <v>-5.4920779999999996E-4</v>
      </c>
      <c r="W324">
        <v>3.8637369999999997E-2</v>
      </c>
      <c r="X324">
        <v>0.99925319999999995</v>
      </c>
      <c r="Y324">
        <v>3.8685839999999999E-2</v>
      </c>
      <c r="Z324">
        <v>-1.280745E-3</v>
      </c>
      <c r="AA324">
        <v>0.99925059999999999</v>
      </c>
      <c r="AB324">
        <v>26</v>
      </c>
      <c r="AC324">
        <v>45.053100000000001</v>
      </c>
      <c r="AD324">
        <v>-1.1591639999999901</v>
      </c>
      <c r="AE324">
        <v>-0.37069999999999897</v>
      </c>
      <c r="AF324">
        <v>1.74860078366966</v>
      </c>
      <c r="AG324">
        <v>-1.1591639999999901</v>
      </c>
      <c r="AH324">
        <v>44.990854369650101</v>
      </c>
      <c r="AI324">
        <v>91.474754027700996</v>
      </c>
      <c r="AJ324">
        <v>87.774279989913097</v>
      </c>
      <c r="AK324">
        <v>45.0397407051884</v>
      </c>
      <c r="AL324">
        <v>87.785690714099502</v>
      </c>
      <c r="AM324">
        <v>90.031490803178897</v>
      </c>
      <c r="AN324">
        <v>1.0000000528499799</v>
      </c>
    </row>
    <row r="325" spans="1:40" x14ac:dyDescent="0.25">
      <c r="A325" t="str">
        <f>"20190312160309149"</f>
        <v>20190312160309149</v>
      </c>
      <c r="B325" t="str">
        <f>"1552377789144943"</f>
        <v>1552377789144943</v>
      </c>
      <c r="C325" t="s">
        <v>40</v>
      </c>
      <c r="D325">
        <v>5.0107559999999998</v>
      </c>
      <c r="E325">
        <v>0.51352200000000003</v>
      </c>
      <c r="F325" t="s">
        <v>43</v>
      </c>
      <c r="G325">
        <v>-404.91210000000001</v>
      </c>
      <c r="H325">
        <v>-0.05</v>
      </c>
      <c r="I325">
        <v>367.52339999999998</v>
      </c>
      <c r="J325">
        <v>-449.70580000000001</v>
      </c>
      <c r="K325">
        <v>1.1091530000000001</v>
      </c>
      <c r="L325">
        <v>367.8877</v>
      </c>
      <c r="M325">
        <v>0.99952129999999995</v>
      </c>
      <c r="N325">
        <v>0</v>
      </c>
      <c r="O325">
        <v>3.0481979999999999E-2</v>
      </c>
      <c r="P325">
        <v>0.99895069999999997</v>
      </c>
      <c r="Q325">
        <v>3.342154E-2</v>
      </c>
      <c r="R325">
        <v>3.1311730000000003E-2</v>
      </c>
      <c r="S325">
        <v>3.0064389999999999</v>
      </c>
      <c r="T325">
        <v>-7.7447409999999994E-2</v>
      </c>
      <c r="U325">
        <v>-2.3925780000000001E-2</v>
      </c>
      <c r="V325">
        <v>-8.3414100000000005E-4</v>
      </c>
      <c r="W325">
        <v>3.8718379999999997E-2</v>
      </c>
      <c r="X325">
        <v>0.99924979999999997</v>
      </c>
      <c r="Y325">
        <v>3.8412830000000002E-2</v>
      </c>
      <c r="Z325">
        <v>-1.2797100000000001E-3</v>
      </c>
      <c r="AA325">
        <v>0.99926110000000001</v>
      </c>
      <c r="AB325">
        <v>26</v>
      </c>
      <c r="AC325">
        <v>44.793700000000001</v>
      </c>
      <c r="AD325">
        <v>-1.1591530000000001</v>
      </c>
      <c r="AE325">
        <v>-0.364300000000014</v>
      </c>
      <c r="AF325">
        <v>1.72839316671767</v>
      </c>
      <c r="AG325">
        <v>-1.1591530000000001</v>
      </c>
      <c r="AH325">
        <v>44.731827109963199</v>
      </c>
      <c r="AI325">
        <v>91.483288973339498</v>
      </c>
      <c r="AJ325">
        <v>87.7872490026203</v>
      </c>
      <c r="AK325">
        <v>44.780211424375899</v>
      </c>
      <c r="AL325">
        <v>87.7810455586107</v>
      </c>
      <c r="AM325">
        <v>90.0478286287548</v>
      </c>
      <c r="AN325">
        <v>0.99999998577053595</v>
      </c>
    </row>
    <row r="326" spans="1:40" x14ac:dyDescent="0.25">
      <c r="A326" t="str">
        <f>"20190312160309160"</f>
        <v>20190312160309160</v>
      </c>
      <c r="B326" t="str">
        <f>"1552377789154704"</f>
        <v>1552377789154704</v>
      </c>
      <c r="C326" t="s">
        <v>40</v>
      </c>
      <c r="D326">
        <v>4.9858669999999998</v>
      </c>
      <c r="E326">
        <v>0.51349979999999995</v>
      </c>
      <c r="F326" t="s">
        <v>43</v>
      </c>
      <c r="G326">
        <v>-404.58510000000001</v>
      </c>
      <c r="H326">
        <v>-0.05</v>
      </c>
      <c r="I326">
        <v>367.54230000000001</v>
      </c>
      <c r="J326">
        <v>-449.5643</v>
      </c>
      <c r="K326">
        <v>1.1091470000000001</v>
      </c>
      <c r="L326">
        <v>367.89190000000002</v>
      </c>
      <c r="M326">
        <v>0.99952430000000003</v>
      </c>
      <c r="N326">
        <v>0</v>
      </c>
      <c r="O326">
        <v>3.03836E-2</v>
      </c>
      <c r="P326">
        <v>0.99894269999999996</v>
      </c>
      <c r="Q326">
        <v>3.3602859999999998E-2</v>
      </c>
      <c r="R326">
        <v>3.1375819999999999E-2</v>
      </c>
      <c r="S326">
        <v>3.0064700000000002</v>
      </c>
      <c r="T326">
        <v>-7.7236289999999999E-2</v>
      </c>
      <c r="U326">
        <v>-2.3010249999999999E-2</v>
      </c>
      <c r="V326">
        <v>-9.9661289999999989E-4</v>
      </c>
      <c r="W326">
        <v>3.8915650000000003E-2</v>
      </c>
      <c r="X326">
        <v>0.99924199999999996</v>
      </c>
      <c r="Y326">
        <v>3.8010389999999998E-2</v>
      </c>
      <c r="Z326">
        <v>-1.268515E-3</v>
      </c>
      <c r="AA326">
        <v>0.99927650000000001</v>
      </c>
      <c r="AB326">
        <v>26</v>
      </c>
      <c r="AC326">
        <v>44.979199999999899</v>
      </c>
      <c r="AD326">
        <v>-1.1591469999999999</v>
      </c>
      <c r="AE326">
        <v>-0.34960000000000901</v>
      </c>
      <c r="AF326">
        <v>1.7149488694111501</v>
      </c>
      <c r="AG326">
        <v>-1.1591469999999999</v>
      </c>
      <c r="AH326">
        <v>44.917981189403697</v>
      </c>
      <c r="AI326">
        <v>91.477162866209099</v>
      </c>
      <c r="AJ326">
        <v>87.8135341818722</v>
      </c>
      <c r="AK326">
        <v>44.965650284677601</v>
      </c>
      <c r="AL326">
        <v>87.769734321971299</v>
      </c>
      <c r="AM326">
        <v>90.0571450099619</v>
      </c>
      <c r="AN326">
        <v>0.99999999780809701</v>
      </c>
    </row>
    <row r="327" spans="1:40" x14ac:dyDescent="0.25">
      <c r="A327" t="str">
        <f>"20190312160309173"</f>
        <v>20190312160309173</v>
      </c>
      <c r="B327" t="str">
        <f>"1552377789165440"</f>
        <v>1552377789165440</v>
      </c>
      <c r="C327" t="s">
        <v>40</v>
      </c>
      <c r="D327">
        <v>4.9865560000000002</v>
      </c>
      <c r="E327">
        <v>0.5134841</v>
      </c>
      <c r="F327" t="s">
        <v>43</v>
      </c>
      <c r="G327">
        <v>-404.13850000000002</v>
      </c>
      <c r="H327">
        <v>-0.05</v>
      </c>
      <c r="I327">
        <v>367.54419999999999</v>
      </c>
      <c r="J327">
        <v>-449.42419999999998</v>
      </c>
      <c r="K327">
        <v>1.1091409999999999</v>
      </c>
      <c r="L327">
        <v>367.89600000000002</v>
      </c>
      <c r="M327">
        <v>0.99952719999999995</v>
      </c>
      <c r="N327">
        <v>0</v>
      </c>
      <c r="O327">
        <v>3.028254E-2</v>
      </c>
      <c r="P327">
        <v>0.9989498</v>
      </c>
      <c r="Q327">
        <v>3.3532310000000003E-2</v>
      </c>
      <c r="R327">
        <v>3.1223290000000001E-2</v>
      </c>
      <c r="S327">
        <v>3.0065</v>
      </c>
      <c r="T327">
        <v>-7.6717969999999996E-2</v>
      </c>
      <c r="U327">
        <v>-2.3010249999999999E-2</v>
      </c>
      <c r="V327">
        <v>-9.4372620000000005E-4</v>
      </c>
      <c r="W327">
        <v>3.8859419999999999E-2</v>
      </c>
      <c r="X327">
        <v>0.99924420000000003</v>
      </c>
      <c r="Y327">
        <v>3.7909659999999998E-2</v>
      </c>
      <c r="Z327">
        <v>-1.2561300000000001E-3</v>
      </c>
      <c r="AA327">
        <v>0.99928039999999996</v>
      </c>
      <c r="AB327">
        <v>26</v>
      </c>
      <c r="AC327">
        <v>45.285699999999899</v>
      </c>
      <c r="AD327">
        <v>-1.159141</v>
      </c>
      <c r="AE327">
        <v>-0.35179999999996803</v>
      </c>
      <c r="AF327">
        <v>1.72189605259922</v>
      </c>
      <c r="AG327">
        <v>-1.159141</v>
      </c>
      <c r="AH327">
        <v>45.224649079751998</v>
      </c>
      <c r="AI327">
        <v>91.467148919675907</v>
      </c>
      <c r="AJ327">
        <v>87.819557540349294</v>
      </c>
      <c r="AK327">
        <v>45.272258815532403</v>
      </c>
      <c r="AL327">
        <v>87.772958414170503</v>
      </c>
      <c r="AM327">
        <v>90.054112410358996</v>
      </c>
      <c r="AN327">
        <v>0.999999958187757</v>
      </c>
    </row>
    <row r="328" spans="1:40" x14ac:dyDescent="0.25">
      <c r="A328" t="str">
        <f>"20190312160309184"</f>
        <v>20190312160309184</v>
      </c>
      <c r="B328" t="str">
        <f>"1552377789175201"</f>
        <v>1552377789175201</v>
      </c>
      <c r="C328" t="s">
        <v>40</v>
      </c>
      <c r="D328">
        <v>5.004975</v>
      </c>
      <c r="E328">
        <v>0.51346190000000003</v>
      </c>
      <c r="F328" t="s">
        <v>43</v>
      </c>
      <c r="G328">
        <v>-404.26049999999998</v>
      </c>
      <c r="H328">
        <v>-0.05</v>
      </c>
      <c r="I328">
        <v>367.55130000000003</v>
      </c>
      <c r="J328">
        <v>-449.28019999999998</v>
      </c>
      <c r="K328">
        <v>1.1091329999999999</v>
      </c>
      <c r="L328">
        <v>367.90030000000002</v>
      </c>
      <c r="M328">
        <v>0.99953029999999998</v>
      </c>
      <c r="N328">
        <v>0</v>
      </c>
      <c r="O328">
        <v>3.0174739999999999E-2</v>
      </c>
      <c r="P328">
        <v>0.99894669999999997</v>
      </c>
      <c r="Q328">
        <v>3.360204E-2</v>
      </c>
      <c r="R328">
        <v>3.1250399999999998E-2</v>
      </c>
      <c r="S328">
        <v>3.0064700000000002</v>
      </c>
      <c r="T328">
        <v>-7.7162030000000006E-2</v>
      </c>
      <c r="U328">
        <v>-2.2949219999999999E-2</v>
      </c>
      <c r="V328">
        <v>-1.0785650000000001E-3</v>
      </c>
      <c r="W328">
        <v>3.8943279999999997E-2</v>
      </c>
      <c r="X328">
        <v>0.99924080000000004</v>
      </c>
      <c r="Y328">
        <v>3.7781500000000003E-2</v>
      </c>
      <c r="Z328">
        <v>-1.259002E-3</v>
      </c>
      <c r="AA328">
        <v>0.99928519999999998</v>
      </c>
      <c r="AB328">
        <v>26</v>
      </c>
      <c r="AC328">
        <v>45.0197</v>
      </c>
      <c r="AD328">
        <v>-1.159133</v>
      </c>
      <c r="AE328">
        <v>-0.34899999999998899</v>
      </c>
      <c r="AF328">
        <v>1.7061872886254801</v>
      </c>
      <c r="AG328">
        <v>-1.159133</v>
      </c>
      <c r="AH328">
        <v>44.958865699221697</v>
      </c>
      <c r="AI328">
        <v>91.4758152210687</v>
      </c>
      <c r="AJ328">
        <v>87.826670231484101</v>
      </c>
      <c r="AK328">
        <v>45.006158126818697</v>
      </c>
      <c r="AL328">
        <v>87.768149952804606</v>
      </c>
      <c r="AM328">
        <v>90.061844150510197</v>
      </c>
      <c r="AN328">
        <v>0.99999995937212804</v>
      </c>
    </row>
    <row r="329" spans="1:40" x14ac:dyDescent="0.25">
      <c r="A329" t="str">
        <f>"20190312160309197"</f>
        <v>20190312160309197</v>
      </c>
      <c r="B329" t="str">
        <f>"1552377789184960"</f>
        <v>1552377789184960</v>
      </c>
      <c r="C329" t="s">
        <v>40</v>
      </c>
      <c r="D329">
        <v>4.9906940000000004</v>
      </c>
      <c r="E329">
        <v>0.51343609999999995</v>
      </c>
      <c r="F329" t="s">
        <v>43</v>
      </c>
      <c r="G329">
        <v>-403.8759</v>
      </c>
      <c r="H329">
        <v>-0.05</v>
      </c>
      <c r="I329">
        <v>367.55930000000001</v>
      </c>
      <c r="J329">
        <v>-449.13959999999997</v>
      </c>
      <c r="K329">
        <v>1.109124</v>
      </c>
      <c r="L329">
        <v>367.90440000000001</v>
      </c>
      <c r="M329">
        <v>0.99953369999999997</v>
      </c>
      <c r="N329">
        <v>0</v>
      </c>
      <c r="O329">
        <v>3.0061580000000001E-2</v>
      </c>
      <c r="P329">
        <v>0.99895860000000003</v>
      </c>
      <c r="Q329">
        <v>3.332997E-2</v>
      </c>
      <c r="R329">
        <v>3.115967E-2</v>
      </c>
      <c r="S329">
        <v>3.0064090000000001</v>
      </c>
      <c r="T329">
        <v>-7.6750990000000005E-2</v>
      </c>
      <c r="U329">
        <v>-2.2583010000000001E-2</v>
      </c>
      <c r="V329">
        <v>-1.099542E-3</v>
      </c>
      <c r="W329">
        <v>3.8684080000000003E-2</v>
      </c>
      <c r="X329">
        <v>0.99925090000000005</v>
      </c>
      <c r="Y329">
        <v>3.7547160000000003E-2</v>
      </c>
      <c r="Z329">
        <v>-1.2464450000000001E-3</v>
      </c>
      <c r="AA329">
        <v>0.99929409999999996</v>
      </c>
      <c r="AB329">
        <v>26</v>
      </c>
      <c r="AC329">
        <v>45.263699999999901</v>
      </c>
      <c r="AD329">
        <v>-1.159124</v>
      </c>
      <c r="AE329">
        <v>-0.34510000000000202</v>
      </c>
      <c r="AF329">
        <v>1.70454413636337</v>
      </c>
      <c r="AG329">
        <v>-1.159124</v>
      </c>
      <c r="AH329">
        <v>45.203226266440097</v>
      </c>
      <c r="AI329">
        <v>91.467842720202398</v>
      </c>
      <c r="AJ329">
        <v>87.840487449379395</v>
      </c>
      <c r="AK329">
        <v>45.250201149333698</v>
      </c>
      <c r="AL329">
        <v>87.783012340114098</v>
      </c>
      <c r="AM329">
        <v>90.063046318567999</v>
      </c>
      <c r="AN329">
        <v>1.0000000140944301</v>
      </c>
    </row>
    <row r="330" spans="1:40" x14ac:dyDescent="0.25">
      <c r="A330" t="str">
        <f>"20190312160309211"</f>
        <v>20190312160309211</v>
      </c>
      <c r="B330" t="str">
        <f>"1552377789205455"</f>
        <v>1552377789205455</v>
      </c>
      <c r="C330" t="s">
        <v>40</v>
      </c>
      <c r="D330">
        <v>4.9814870000000004</v>
      </c>
      <c r="E330">
        <v>0.51339809999999997</v>
      </c>
      <c r="F330" t="s">
        <v>43</v>
      </c>
      <c r="G330">
        <v>-404.32159999999999</v>
      </c>
      <c r="H330">
        <v>-0.05</v>
      </c>
      <c r="I330">
        <v>367.56319999999999</v>
      </c>
      <c r="J330">
        <v>-448.96550000000002</v>
      </c>
      <c r="K330">
        <v>1.1091139999999999</v>
      </c>
      <c r="L330">
        <v>367.90949999999998</v>
      </c>
      <c r="M330">
        <v>0.99953809999999998</v>
      </c>
      <c r="N330">
        <v>0</v>
      </c>
      <c r="O330">
        <v>2.9915859999999999E-2</v>
      </c>
      <c r="P330">
        <v>0.99896030000000002</v>
      </c>
      <c r="Q330">
        <v>3.3389509999999997E-2</v>
      </c>
      <c r="R330">
        <v>3.1050540000000001E-2</v>
      </c>
      <c r="S330">
        <v>3.0064700000000002</v>
      </c>
      <c r="T330">
        <v>-7.7756049999999993E-2</v>
      </c>
      <c r="U330">
        <v>-2.2888180000000001E-2</v>
      </c>
      <c r="V330">
        <v>-1.1352739999999999E-3</v>
      </c>
      <c r="W330">
        <v>3.875841E-2</v>
      </c>
      <c r="X330">
        <v>0.99924800000000003</v>
      </c>
      <c r="Y330">
        <v>3.7502239999999999E-2</v>
      </c>
      <c r="Z330">
        <v>-1.258388E-3</v>
      </c>
      <c r="AA330">
        <v>0.99929579999999996</v>
      </c>
      <c r="AB330">
        <v>26</v>
      </c>
      <c r="AC330">
        <v>44.643900000000002</v>
      </c>
      <c r="AD330">
        <v>-1.159114</v>
      </c>
      <c r="AE330">
        <v>-0.34629999999998501</v>
      </c>
      <c r="AF330">
        <v>1.68059195005769</v>
      </c>
      <c r="AG330">
        <v>-1.159114</v>
      </c>
      <c r="AH330">
        <v>44.583505532192397</v>
      </c>
      <c r="AI330">
        <v>91.488224849791095</v>
      </c>
      <c r="AJ330">
        <v>87.841236222958003</v>
      </c>
      <c r="AK330">
        <v>44.6302240651627</v>
      </c>
      <c r="AL330">
        <v>87.778750393619106</v>
      </c>
      <c r="AM330">
        <v>90.065095332493897</v>
      </c>
      <c r="AN330">
        <v>1.0000000343483899</v>
      </c>
    </row>
    <row r="331" spans="1:40" x14ac:dyDescent="0.25">
      <c r="A331" t="str">
        <f>"20190312160309227"</f>
        <v>20190312160309227</v>
      </c>
      <c r="B331" t="str">
        <f>"1552377789214887"</f>
        <v>1552377789214887</v>
      </c>
      <c r="C331" t="s">
        <v>40</v>
      </c>
      <c r="D331">
        <v>4.983911</v>
      </c>
      <c r="E331">
        <v>0.51338229999999996</v>
      </c>
      <c r="F331" t="s">
        <v>43</v>
      </c>
      <c r="G331">
        <v>-404.0686</v>
      </c>
      <c r="H331">
        <v>-0.05</v>
      </c>
      <c r="I331">
        <v>367.56729999999999</v>
      </c>
      <c r="J331">
        <v>-448.77699999999999</v>
      </c>
      <c r="K331">
        <v>1.109102</v>
      </c>
      <c r="L331">
        <v>367.91500000000002</v>
      </c>
      <c r="M331">
        <v>0.99954290000000001</v>
      </c>
      <c r="N331">
        <v>0</v>
      </c>
      <c r="O331">
        <v>2.974866E-2</v>
      </c>
      <c r="P331">
        <v>0.99898399999999998</v>
      </c>
      <c r="Q331">
        <v>3.3093499999999998E-2</v>
      </c>
      <c r="R331">
        <v>3.058955E-2</v>
      </c>
      <c r="S331">
        <v>3.0064700000000002</v>
      </c>
      <c r="T331">
        <v>-7.7618720000000002E-2</v>
      </c>
      <c r="U331">
        <v>-2.29187E-2</v>
      </c>
      <c r="V331">
        <v>-8.3986670000000001E-4</v>
      </c>
      <c r="W331">
        <v>3.8478230000000002E-2</v>
      </c>
      <c r="X331">
        <v>0.99925909999999996</v>
      </c>
      <c r="Y331">
        <v>3.7345410000000002E-2</v>
      </c>
      <c r="Z331">
        <v>-1.249827E-3</v>
      </c>
      <c r="AA331">
        <v>0.99930160000000001</v>
      </c>
      <c r="AB331">
        <v>27</v>
      </c>
      <c r="AC331">
        <v>44.708399999999898</v>
      </c>
      <c r="AD331">
        <v>-1.1591020000000001</v>
      </c>
      <c r="AE331">
        <v>-0.34770000000003098</v>
      </c>
      <c r="AF331">
        <v>1.6764536319378001</v>
      </c>
      <c r="AG331">
        <v>-1.1591020000000001</v>
      </c>
      <c r="AH331">
        <v>44.648259772541103</v>
      </c>
      <c r="AI331">
        <v>91.486060262041903</v>
      </c>
      <c r="AJ331">
        <v>87.849667249406806</v>
      </c>
      <c r="AK331">
        <v>44.694754892970998</v>
      </c>
      <c r="AL331">
        <v>87.794815464295596</v>
      </c>
      <c r="AM331">
        <v>90.048156485072099</v>
      </c>
      <c r="AN331">
        <v>1.0000000142464001</v>
      </c>
    </row>
    <row r="332" spans="1:40" x14ac:dyDescent="0.25">
      <c r="A332" t="str">
        <f>"20190312160309241"</f>
        <v>20190312160309241</v>
      </c>
      <c r="B332" t="str">
        <f>"1552377789235384"</f>
        <v>1552377789235384</v>
      </c>
      <c r="C332" t="s">
        <v>40</v>
      </c>
      <c r="D332">
        <v>5.0110400000000004</v>
      </c>
      <c r="E332">
        <v>0.51333450000000003</v>
      </c>
      <c r="F332" t="s">
        <v>43</v>
      </c>
      <c r="G332">
        <v>-404.41930000000002</v>
      </c>
      <c r="H332">
        <v>-0.05</v>
      </c>
      <c r="I332">
        <v>367.5625</v>
      </c>
      <c r="J332">
        <v>-448.64139999999998</v>
      </c>
      <c r="K332">
        <v>1.109094</v>
      </c>
      <c r="L332">
        <v>367.91890000000001</v>
      </c>
      <c r="M332">
        <v>0.99954670000000001</v>
      </c>
      <c r="N332">
        <v>0</v>
      </c>
      <c r="O332">
        <v>2.962006E-2</v>
      </c>
      <c r="P332">
        <v>0.99899369999999998</v>
      </c>
      <c r="Q332">
        <v>3.2956439999999997E-2</v>
      </c>
      <c r="R332">
        <v>3.0426450000000001E-2</v>
      </c>
      <c r="S332">
        <v>3.0063780000000002</v>
      </c>
      <c r="T332">
        <v>-7.8559039999999997E-2</v>
      </c>
      <c r="U332">
        <v>-2.3895260000000001E-2</v>
      </c>
      <c r="V332">
        <v>-8.0461080000000004E-4</v>
      </c>
      <c r="W332">
        <v>3.8352440000000002E-2</v>
      </c>
      <c r="X332">
        <v>0.99926389999999998</v>
      </c>
      <c r="Y332">
        <v>3.7541079999999998E-2</v>
      </c>
      <c r="Z332">
        <v>-1.264198E-3</v>
      </c>
      <c r="AA332">
        <v>0.99929429999999997</v>
      </c>
      <c r="AB332">
        <v>27</v>
      </c>
      <c r="AC332">
        <v>44.222099999999898</v>
      </c>
      <c r="AD332">
        <v>-1.1590940000000001</v>
      </c>
      <c r="AE332">
        <v>-0.35640000000000699</v>
      </c>
      <c r="AF332">
        <v>1.6649801250321801</v>
      </c>
      <c r="AG332">
        <v>-1.1590940000000001</v>
      </c>
      <c r="AH332">
        <v>44.161802035253402</v>
      </c>
      <c r="AI332">
        <v>91.502403232607094</v>
      </c>
      <c r="AJ332">
        <v>87.840867704353201</v>
      </c>
      <c r="AK332">
        <v>44.208374961295497</v>
      </c>
      <c r="AL332">
        <v>87.802027881696304</v>
      </c>
      <c r="AM332">
        <v>90.046134752819</v>
      </c>
      <c r="AN332">
        <v>0.99999994944784998</v>
      </c>
    </row>
    <row r="333" spans="1:40" x14ac:dyDescent="0.25">
      <c r="A333" t="str">
        <f>"20190312160309254"</f>
        <v>20190312160309254</v>
      </c>
      <c r="B333" t="str">
        <f>"1552377789245144"</f>
        <v>1552377789245144</v>
      </c>
      <c r="C333" t="s">
        <v>40</v>
      </c>
      <c r="D333">
        <v>5.0189769999999996</v>
      </c>
      <c r="E333">
        <v>0.51332709999999904</v>
      </c>
      <c r="F333" t="s">
        <v>43</v>
      </c>
      <c r="G333">
        <v>-404.25439999999998</v>
      </c>
      <c r="H333">
        <v>-0.05</v>
      </c>
      <c r="I333">
        <v>367.5616</v>
      </c>
      <c r="J333">
        <v>-448.45249999999999</v>
      </c>
      <c r="K333">
        <v>1.1090819999999999</v>
      </c>
      <c r="L333">
        <v>367.92430000000002</v>
      </c>
      <c r="M333">
        <v>0.99955210000000005</v>
      </c>
      <c r="N333">
        <v>0</v>
      </c>
      <c r="O333">
        <v>2.9435880000000001E-2</v>
      </c>
      <c r="P333">
        <v>0.99899700000000002</v>
      </c>
      <c r="Q333">
        <v>3.3133500000000003E-2</v>
      </c>
      <c r="R333">
        <v>3.0123339999999998E-2</v>
      </c>
      <c r="S333">
        <v>3.006348</v>
      </c>
      <c r="T333">
        <v>-7.8505870000000005E-2</v>
      </c>
      <c r="U333">
        <v>-2.420044E-2</v>
      </c>
      <c r="V333">
        <v>-6.8453090000000002E-4</v>
      </c>
      <c r="W333">
        <v>3.8545419999999997E-2</v>
      </c>
      <c r="X333">
        <v>0.99925660000000005</v>
      </c>
      <c r="Y333">
        <v>3.7458600000000002E-2</v>
      </c>
      <c r="Z333">
        <v>-1.257471E-3</v>
      </c>
      <c r="AA333">
        <v>0.9992974</v>
      </c>
      <c r="AB333">
        <v>27</v>
      </c>
      <c r="AC333">
        <v>44.198099999999997</v>
      </c>
      <c r="AD333">
        <v>-1.1590819999999999</v>
      </c>
      <c r="AE333">
        <v>-0.36270000000001701</v>
      </c>
      <c r="AF333">
        <v>1.66242850995583</v>
      </c>
      <c r="AG333">
        <v>-1.1590819999999999</v>
      </c>
      <c r="AH333">
        <v>44.137917410251703</v>
      </c>
      <c r="AI333">
        <v>91.503202423962506</v>
      </c>
      <c r="AJ333">
        <v>87.843007998768499</v>
      </c>
      <c r="AK333">
        <v>44.1844191197263</v>
      </c>
      <c r="AL333">
        <v>87.790962838937105</v>
      </c>
      <c r="AM333">
        <v>90.039249903759497</v>
      </c>
      <c r="AN333">
        <v>0.99999998531454404</v>
      </c>
    </row>
    <row r="334" spans="1:40" x14ac:dyDescent="0.25">
      <c r="A334" t="str">
        <f>"20190312160309268"</f>
        <v>20190312160309268</v>
      </c>
      <c r="B334" t="str">
        <f>"1552377789254904"</f>
        <v>1552377789254904</v>
      </c>
      <c r="C334" t="s">
        <v>40</v>
      </c>
      <c r="D334">
        <v>5.00115</v>
      </c>
      <c r="E334">
        <v>0.51330310000000001</v>
      </c>
      <c r="F334" t="s">
        <v>43</v>
      </c>
      <c r="G334">
        <v>-403.9477</v>
      </c>
      <c r="H334">
        <v>-0.05</v>
      </c>
      <c r="I334">
        <v>367.55430000000001</v>
      </c>
      <c r="J334">
        <v>-448.28640000000001</v>
      </c>
      <c r="K334">
        <v>1.109075</v>
      </c>
      <c r="L334">
        <v>367.92899999999997</v>
      </c>
      <c r="M334">
        <v>0.99955680000000002</v>
      </c>
      <c r="N334">
        <v>0</v>
      </c>
      <c r="O334">
        <v>2.9268229999999999E-2</v>
      </c>
      <c r="P334">
        <v>0.99900770000000005</v>
      </c>
      <c r="Q334">
        <v>3.298603E-2</v>
      </c>
      <c r="R334">
        <v>2.9926620000000001E-2</v>
      </c>
      <c r="S334">
        <v>3.0064090000000001</v>
      </c>
      <c r="T334">
        <v>-7.8298809999999996E-2</v>
      </c>
      <c r="U334">
        <v>-2.4993899999999999E-2</v>
      </c>
      <c r="V334">
        <v>-6.5451599999999995E-4</v>
      </c>
      <c r="W334">
        <v>3.8412479999999999E-2</v>
      </c>
      <c r="X334">
        <v>0.99926170000000003</v>
      </c>
      <c r="Y334">
        <v>3.7554700000000003E-2</v>
      </c>
      <c r="Z334">
        <v>-1.2510170000000001E-3</v>
      </c>
      <c r="AA334">
        <v>0.99929380000000001</v>
      </c>
      <c r="AB334">
        <v>27</v>
      </c>
      <c r="AC334">
        <v>44.338700000000003</v>
      </c>
      <c r="AD334">
        <v>-1.1590750000000001</v>
      </c>
      <c r="AE334">
        <v>-0.37470000000001802</v>
      </c>
      <c r="AF334">
        <v>1.67113200756555</v>
      </c>
      <c r="AG334">
        <v>-1.1590750000000001</v>
      </c>
      <c r="AH334">
        <v>44.278480974582898</v>
      </c>
      <c r="AI334">
        <v>91.498419248083394</v>
      </c>
      <c r="AJ334">
        <v>87.838602730181705</v>
      </c>
      <c r="AK334">
        <v>44.325162317343299</v>
      </c>
      <c r="AL334">
        <v>87.798585298674894</v>
      </c>
      <c r="AM334">
        <v>90.037528706504801</v>
      </c>
      <c r="AN334">
        <v>0.99999994604891496</v>
      </c>
    </row>
    <row r="335" spans="1:40" x14ac:dyDescent="0.25">
      <c r="A335" t="str">
        <f>"20190312160309286"</f>
        <v>20190312160309286</v>
      </c>
      <c r="B335" t="str">
        <f>"1552377789275400"</f>
        <v>1552377789275400</v>
      </c>
      <c r="C335" t="s">
        <v>40</v>
      </c>
      <c r="D335">
        <v>4.982691</v>
      </c>
      <c r="E335">
        <v>0.51326559999999999</v>
      </c>
      <c r="F335" t="s">
        <v>43</v>
      </c>
      <c r="G335">
        <v>-404.14139999999998</v>
      </c>
      <c r="H335">
        <v>-0.05</v>
      </c>
      <c r="I335">
        <v>367.55840000000001</v>
      </c>
      <c r="J335">
        <v>-448.07369999999997</v>
      </c>
      <c r="K335">
        <v>1.109056</v>
      </c>
      <c r="L335">
        <v>367.93509999999998</v>
      </c>
      <c r="M335">
        <v>0.99956330000000004</v>
      </c>
      <c r="N335">
        <v>0</v>
      </c>
      <c r="O335">
        <v>2.9044E-2</v>
      </c>
      <c r="P335">
        <v>0.99902389999999996</v>
      </c>
      <c r="Q335">
        <v>3.285221E-2</v>
      </c>
      <c r="R335">
        <v>2.9528530000000001E-2</v>
      </c>
      <c r="S335">
        <v>3.006348</v>
      </c>
      <c r="T335">
        <v>-7.8934790000000005E-2</v>
      </c>
      <c r="U335">
        <v>-2.523804E-2</v>
      </c>
      <c r="V335">
        <v>-4.7964809999999998E-4</v>
      </c>
      <c r="W335">
        <v>3.8297650000000003E-2</v>
      </c>
      <c r="X335">
        <v>0.99926630000000005</v>
      </c>
      <c r="Y335">
        <v>3.7411590000000002E-2</v>
      </c>
      <c r="Z335">
        <v>-1.253437E-3</v>
      </c>
      <c r="AA335">
        <v>0.99929920000000005</v>
      </c>
      <c r="AB335">
        <v>27</v>
      </c>
      <c r="AC335">
        <v>43.932299999999998</v>
      </c>
      <c r="AD335">
        <v>-1.1590559999999901</v>
      </c>
      <c r="AE335">
        <v>-0.376699999999971</v>
      </c>
      <c r="AF335">
        <v>1.65138035950013</v>
      </c>
      <c r="AG335">
        <v>-1.1590559999999901</v>
      </c>
      <c r="AH335">
        <v>43.872289772766301</v>
      </c>
      <c r="AI335">
        <v>91.512266891475704</v>
      </c>
      <c r="AJ335">
        <v>87.844368771926099</v>
      </c>
      <c r="AK335">
        <v>43.918655236794898</v>
      </c>
      <c r="AL335">
        <v>87.805169622685099</v>
      </c>
      <c r="AM335">
        <v>90.027501987879305</v>
      </c>
      <c r="AN335">
        <v>1.0000000391867501</v>
      </c>
    </row>
    <row r="336" spans="1:40" x14ac:dyDescent="0.25">
      <c r="A336" t="str">
        <f>"20190312160309308"</f>
        <v>20190312160309308</v>
      </c>
      <c r="B336" t="str">
        <f>"1552377789294920"</f>
        <v>1552377789294920</v>
      </c>
      <c r="C336" t="s">
        <v>40</v>
      </c>
      <c r="D336">
        <v>5.020073</v>
      </c>
      <c r="E336">
        <v>0.51322440000000003</v>
      </c>
      <c r="F336" t="s">
        <v>43</v>
      </c>
      <c r="G336">
        <v>-404.51530000000002</v>
      </c>
      <c r="H336">
        <v>-0.05</v>
      </c>
      <c r="I336">
        <v>367.55220000000003</v>
      </c>
      <c r="J336">
        <v>-447.8107</v>
      </c>
      <c r="K336">
        <v>1.1090469999999999</v>
      </c>
      <c r="L336">
        <v>367.94240000000002</v>
      </c>
      <c r="M336">
        <v>0.99957149999999995</v>
      </c>
      <c r="N336">
        <v>0</v>
      </c>
      <c r="O336">
        <v>2.8757459999999999E-2</v>
      </c>
      <c r="P336">
        <v>0.99904409999999999</v>
      </c>
      <c r="Q336">
        <v>3.2777269999999997E-2</v>
      </c>
      <c r="R336">
        <v>2.893252E-2</v>
      </c>
      <c r="S336">
        <v>3.006348</v>
      </c>
      <c r="T336">
        <v>-7.9996590000000006E-2</v>
      </c>
      <c r="U336">
        <v>-2.6428219999999999E-2</v>
      </c>
      <c r="V336">
        <v>-1.6945520000000001E-4</v>
      </c>
      <c r="W336">
        <v>3.8246189999999999E-2</v>
      </c>
      <c r="X336">
        <v>0.99926839999999995</v>
      </c>
      <c r="Y336">
        <v>3.7520159999999997E-2</v>
      </c>
      <c r="Z336">
        <v>-1.2641130000000001E-3</v>
      </c>
      <c r="AA336">
        <v>0.99929509999999999</v>
      </c>
      <c r="AB336">
        <v>27</v>
      </c>
      <c r="AC336">
        <v>43.295399999999901</v>
      </c>
      <c r="AD336">
        <v>-1.1590469999999999</v>
      </c>
      <c r="AE336">
        <v>-0.390199999999993</v>
      </c>
      <c r="AF336">
        <v>1.63395200929581</v>
      </c>
      <c r="AG336">
        <v>-1.1590469999999999</v>
      </c>
      <c r="AH336">
        <v>43.235289098615198</v>
      </c>
      <c r="AI336">
        <v>91.534516414100693</v>
      </c>
      <c r="AJ336">
        <v>87.8357026360665</v>
      </c>
      <c r="AK336">
        <v>43.2816752512853</v>
      </c>
      <c r="AL336">
        <v>87.808120287200794</v>
      </c>
      <c r="AM336">
        <v>90.009716176037799</v>
      </c>
      <c r="AN336">
        <v>1.0000000675015599</v>
      </c>
    </row>
    <row r="337" spans="1:40" x14ac:dyDescent="0.25">
      <c r="A337" t="str">
        <f>"20190312160309321"</f>
        <v>20190312160309321</v>
      </c>
      <c r="B337" t="str">
        <f>"1552377789314747"</f>
        <v>1552377789314747</v>
      </c>
      <c r="C337" t="s">
        <v>40</v>
      </c>
      <c r="D337">
        <v>5.0081610000000003</v>
      </c>
      <c r="E337">
        <v>0.51318549999999996</v>
      </c>
      <c r="F337" t="s">
        <v>43</v>
      </c>
      <c r="G337">
        <v>-404.68099999999998</v>
      </c>
      <c r="H337">
        <v>-0.05</v>
      </c>
      <c r="I337">
        <v>367.5444</v>
      </c>
      <c r="J337">
        <v>-447.63389999999998</v>
      </c>
      <c r="K337">
        <v>1.1090420000000001</v>
      </c>
      <c r="L337">
        <v>367.94729999999998</v>
      </c>
      <c r="M337">
        <v>0.9995771</v>
      </c>
      <c r="N337">
        <v>0</v>
      </c>
      <c r="O337">
        <v>2.8559009999999999E-2</v>
      </c>
      <c r="P337">
        <v>0.99905409999999994</v>
      </c>
      <c r="Q337">
        <v>3.2636749999999999E-2</v>
      </c>
      <c r="R337">
        <v>2.874264E-2</v>
      </c>
      <c r="S337">
        <v>3.0062869999999999</v>
      </c>
      <c r="T337">
        <v>-8.0789689999999997E-2</v>
      </c>
      <c r="U337">
        <v>-2.7740480000000001E-2</v>
      </c>
      <c r="V337">
        <v>-1.7707970000000001E-4</v>
      </c>
      <c r="W337">
        <v>3.8121349999999998E-2</v>
      </c>
      <c r="X337">
        <v>0.99927310000000003</v>
      </c>
      <c r="Y337">
        <v>3.7757619999999999E-2</v>
      </c>
      <c r="Z337">
        <v>-1.2745250000000001E-3</v>
      </c>
      <c r="AA337">
        <v>0.99928609999999896</v>
      </c>
      <c r="AB337">
        <v>27</v>
      </c>
      <c r="AC337">
        <v>42.9529</v>
      </c>
      <c r="AD337">
        <v>-1.1590419999999999</v>
      </c>
      <c r="AE337">
        <v>-0.40289999999998799</v>
      </c>
      <c r="AF337">
        <v>1.6282608660397799</v>
      </c>
      <c r="AG337">
        <v>-1.1590419999999999</v>
      </c>
      <c r="AH337">
        <v>42.892643752102998</v>
      </c>
      <c r="AI337">
        <v>91.546752312151</v>
      </c>
      <c r="AJ337">
        <v>87.826021136941407</v>
      </c>
      <c r="AK337">
        <v>42.939183735260499</v>
      </c>
      <c r="AL337">
        <v>87.815278161191401</v>
      </c>
      <c r="AM337">
        <v>90.0101532997748</v>
      </c>
      <c r="AN337">
        <v>0.999999998533326</v>
      </c>
    </row>
    <row r="338" spans="1:40" x14ac:dyDescent="0.25">
      <c r="A338" t="str">
        <f>"20190312160309340"</f>
        <v>20190312160309340</v>
      </c>
      <c r="B338" t="str">
        <f>"1552377789335242"</f>
        <v>1552377789335242</v>
      </c>
      <c r="C338" t="s">
        <v>40</v>
      </c>
      <c r="D338">
        <v>4.9859980000000004</v>
      </c>
      <c r="E338">
        <v>0.51313260000000005</v>
      </c>
      <c r="F338" t="s">
        <v>43</v>
      </c>
      <c r="G338">
        <v>-405.12959999999998</v>
      </c>
      <c r="H338">
        <v>-0.05</v>
      </c>
      <c r="I338">
        <v>367.54689999999999</v>
      </c>
      <c r="J338">
        <v>-447.41649999999998</v>
      </c>
      <c r="K338">
        <v>1.109035</v>
      </c>
      <c r="L338">
        <v>367.95330000000001</v>
      </c>
      <c r="M338">
        <v>0.99958400000000003</v>
      </c>
      <c r="N338">
        <v>0</v>
      </c>
      <c r="O338">
        <v>2.8311429999999999E-2</v>
      </c>
      <c r="P338">
        <v>0.99906170000000005</v>
      </c>
      <c r="Q338">
        <v>3.2616829999999999E-2</v>
      </c>
      <c r="R338">
        <v>2.8491499999999999E-2</v>
      </c>
      <c r="S338">
        <v>3.0063170000000001</v>
      </c>
      <c r="T338">
        <v>-8.1978800000000004E-2</v>
      </c>
      <c r="U338">
        <v>-2.8320310000000001E-2</v>
      </c>
      <c r="V338">
        <v>-1.7231479999999999E-4</v>
      </c>
      <c r="W338">
        <v>3.8122299999999998E-2</v>
      </c>
      <c r="X338">
        <v>0.99927310000000003</v>
      </c>
      <c r="Y338">
        <v>3.7702140000000002E-2</v>
      </c>
      <c r="Z338">
        <v>-1.2857599999999999E-3</v>
      </c>
      <c r="AA338">
        <v>0.99928819999999996</v>
      </c>
      <c r="AB338">
        <v>27</v>
      </c>
      <c r="AC338">
        <v>42.286900000000003</v>
      </c>
      <c r="AD338">
        <v>-1.159035</v>
      </c>
      <c r="AE338">
        <v>-0.40640000000001902</v>
      </c>
      <c r="AF338">
        <v>1.6022542575129599</v>
      </c>
      <c r="AG338">
        <v>-1.159035</v>
      </c>
      <c r="AH338">
        <v>42.226723219709399</v>
      </c>
      <c r="AI338">
        <v>91.571124193260999</v>
      </c>
      <c r="AJ338">
        <v>87.827006689654496</v>
      </c>
      <c r="AK338">
        <v>42.2730024331238</v>
      </c>
      <c r="AL338">
        <v>87.815223767948197</v>
      </c>
      <c r="AM338">
        <v>90.009880092529002</v>
      </c>
      <c r="AN338">
        <v>1.0000000339166399</v>
      </c>
    </row>
    <row r="339" spans="1:40" x14ac:dyDescent="0.25">
      <c r="A339" t="str">
        <f>"20190312160309363"</f>
        <v>20190312160309363</v>
      </c>
      <c r="B339" t="str">
        <f>"1552377789354763"</f>
        <v>1552377789354763</v>
      </c>
      <c r="C339" t="s">
        <v>40</v>
      </c>
      <c r="D339">
        <v>5.0278679999999998</v>
      </c>
      <c r="E339">
        <v>0.51309850000000001</v>
      </c>
      <c r="F339" t="s">
        <v>43</v>
      </c>
      <c r="G339">
        <v>-405.2457</v>
      </c>
      <c r="H339">
        <v>-0.05</v>
      </c>
      <c r="I339">
        <v>367.5539</v>
      </c>
      <c r="J339">
        <v>-447.13</v>
      </c>
      <c r="K339">
        <v>1.1090279999999999</v>
      </c>
      <c r="L339">
        <v>367.96100000000001</v>
      </c>
      <c r="M339">
        <v>0.99959330000000002</v>
      </c>
      <c r="N339">
        <v>0</v>
      </c>
      <c r="O339">
        <v>2.797912E-2</v>
      </c>
      <c r="P339">
        <v>0.99907590000000002</v>
      </c>
      <c r="Q339">
        <v>3.2720920000000001E-2</v>
      </c>
      <c r="R339">
        <v>2.7870659999999998E-2</v>
      </c>
      <c r="S339">
        <v>3.0063170000000001</v>
      </c>
      <c r="T339">
        <v>-8.2626459999999999E-2</v>
      </c>
      <c r="U339">
        <v>-2.8472899999999999E-2</v>
      </c>
      <c r="V339">
        <v>1.166743E-4</v>
      </c>
      <c r="W339">
        <v>3.8253809999999999E-2</v>
      </c>
      <c r="X339">
        <v>0.99926809999999999</v>
      </c>
      <c r="Y339">
        <v>3.7420490000000001E-2</v>
      </c>
      <c r="Z339">
        <v>-1.282914E-3</v>
      </c>
      <c r="AA339">
        <v>0.99929880000000004</v>
      </c>
      <c r="AB339">
        <v>27</v>
      </c>
      <c r="AC339">
        <v>41.884300000000003</v>
      </c>
      <c r="AD339">
        <v>-1.1590279999999999</v>
      </c>
      <c r="AE339">
        <v>-0.40710000000001401</v>
      </c>
      <c r="AF339">
        <v>1.5776363333251899</v>
      </c>
      <c r="AG339">
        <v>-1.1590279999999999</v>
      </c>
      <c r="AH339">
        <v>41.824487698488397</v>
      </c>
      <c r="AI339">
        <v>91.586230188062501</v>
      </c>
      <c r="AJ339">
        <v>87.839804518468696</v>
      </c>
      <c r="AK339">
        <v>41.870276492352197</v>
      </c>
      <c r="AL339">
        <v>87.807683338855995</v>
      </c>
      <c r="AM339">
        <v>89.993310158767898</v>
      </c>
      <c r="AN339">
        <v>1.0000000516350001</v>
      </c>
    </row>
    <row r="340" spans="1:40" x14ac:dyDescent="0.25">
      <c r="A340" t="str">
        <f>"20190312160309385"</f>
        <v>20190312160309385</v>
      </c>
      <c r="B340" t="str">
        <f>"1552377789375260"</f>
        <v>1552377789375260</v>
      </c>
      <c r="C340" t="s">
        <v>40</v>
      </c>
      <c r="D340">
        <v>5.0239820000000002</v>
      </c>
      <c r="E340">
        <v>0.51305409999999996</v>
      </c>
      <c r="F340" t="s">
        <v>43</v>
      </c>
      <c r="G340">
        <v>-405.08539999999999</v>
      </c>
      <c r="H340">
        <v>-0.05</v>
      </c>
      <c r="I340">
        <v>367.54059999999998</v>
      </c>
      <c r="J340">
        <v>-446.86700000000002</v>
      </c>
      <c r="K340">
        <v>1.1090249999999999</v>
      </c>
      <c r="L340">
        <v>367.96809999999999</v>
      </c>
      <c r="M340">
        <v>0.99960179999999998</v>
      </c>
      <c r="N340">
        <v>0</v>
      </c>
      <c r="O340">
        <v>2.7669289999999999E-2</v>
      </c>
      <c r="P340">
        <v>0.99906819999999996</v>
      </c>
      <c r="Q340">
        <v>3.2981490000000002E-2</v>
      </c>
      <c r="R340">
        <v>2.784143E-2</v>
      </c>
      <c r="S340">
        <v>3.0063170000000001</v>
      </c>
      <c r="T340">
        <v>-8.2874059999999999E-2</v>
      </c>
      <c r="U340">
        <v>-3.0059809999999999E-2</v>
      </c>
      <c r="V340">
        <v>-1.6325899999999999E-4</v>
      </c>
      <c r="W340">
        <v>3.854113E-2</v>
      </c>
      <c r="X340">
        <v>0.99925699999999995</v>
      </c>
      <c r="Y340">
        <v>3.7638089999999999E-2</v>
      </c>
      <c r="Z340">
        <v>-1.2812170000000001E-3</v>
      </c>
      <c r="AA340">
        <v>0.99929060000000003</v>
      </c>
      <c r="AB340">
        <v>27</v>
      </c>
      <c r="AC340">
        <v>41.781599999999898</v>
      </c>
      <c r="AD340">
        <v>-1.159025</v>
      </c>
      <c r="AE340">
        <v>-0.42750000000000898</v>
      </c>
      <c r="AF340">
        <v>1.5822038465144901</v>
      </c>
      <c r="AG340">
        <v>-1.159025</v>
      </c>
      <c r="AH340">
        <v>41.721671892925997</v>
      </c>
      <c r="AI340">
        <v>91.590120907508293</v>
      </c>
      <c r="AJ340">
        <v>87.828222635144598</v>
      </c>
      <c r="AK340">
        <v>41.767746090775802</v>
      </c>
      <c r="AL340">
        <v>87.791208850200903</v>
      </c>
      <c r="AM340">
        <v>90.009361006812298</v>
      </c>
      <c r="AN340">
        <v>0.999999998702088</v>
      </c>
    </row>
    <row r="341" spans="1:40" x14ac:dyDescent="0.25">
      <c r="A341" t="str">
        <f>"20190312160309397"</f>
        <v>20190312160309397</v>
      </c>
      <c r="B341" t="str">
        <f>"1552377789385018"</f>
        <v>1552377789385018</v>
      </c>
      <c r="C341" t="s">
        <v>40</v>
      </c>
      <c r="D341">
        <v>5.0013350000000001</v>
      </c>
      <c r="E341">
        <v>0.51303679999999996</v>
      </c>
      <c r="F341" t="s">
        <v>43</v>
      </c>
      <c r="G341">
        <v>-404.67700000000002</v>
      </c>
      <c r="H341">
        <v>-0.05</v>
      </c>
      <c r="I341">
        <v>367.54930000000002</v>
      </c>
      <c r="J341">
        <v>-446.7099</v>
      </c>
      <c r="K341">
        <v>1.109024</v>
      </c>
      <c r="L341">
        <v>367.97230000000002</v>
      </c>
      <c r="M341">
        <v>0.99960689999999996</v>
      </c>
      <c r="N341">
        <v>0</v>
      </c>
      <c r="O341">
        <v>2.7480689999999999E-2</v>
      </c>
      <c r="P341">
        <v>0.99906660000000003</v>
      </c>
      <c r="Q341">
        <v>3.2942350000000002E-2</v>
      </c>
      <c r="R341">
        <v>2.79487E-2</v>
      </c>
      <c r="S341">
        <v>3.0063170000000001</v>
      </c>
      <c r="T341">
        <v>-8.2588320000000007E-2</v>
      </c>
      <c r="U341">
        <v>-2.9846190000000002E-2</v>
      </c>
      <c r="V341">
        <v>-4.5867869999999998E-4</v>
      </c>
      <c r="W341">
        <v>3.8518259999999999E-2</v>
      </c>
      <c r="X341">
        <v>0.99925779999999997</v>
      </c>
      <c r="Y341">
        <v>3.7378880000000003E-2</v>
      </c>
      <c r="Z341">
        <v>-1.268063E-3</v>
      </c>
      <c r="AA341">
        <v>0.99930039999999998</v>
      </c>
      <c r="AB341">
        <v>27</v>
      </c>
      <c r="AC341">
        <v>42.032899999999998</v>
      </c>
      <c r="AD341">
        <v>-1.1590240000000001</v>
      </c>
      <c r="AE341">
        <v>-0.42300000000000099</v>
      </c>
      <c r="AF341">
        <v>1.57675241725981</v>
      </c>
      <c r="AG341">
        <v>-1.1590240000000001</v>
      </c>
      <c r="AH341">
        <v>41.973489856243802</v>
      </c>
      <c r="AI341">
        <v>91.580605823616594</v>
      </c>
      <c r="AJ341">
        <v>87.848670679562204</v>
      </c>
      <c r="AK341">
        <v>42.019082992494198</v>
      </c>
      <c r="AL341">
        <v>87.792520200702</v>
      </c>
      <c r="AM341">
        <v>90.026299871581401</v>
      </c>
      <c r="AN341">
        <v>1.0000000088001999</v>
      </c>
    </row>
    <row r="342" spans="1:40" x14ac:dyDescent="0.25">
      <c r="A342" t="str">
        <f>"20190312160309410"</f>
        <v>20190312160309410</v>
      </c>
      <c r="B342" t="str">
        <f>"1552377789405514"</f>
        <v>1552377789405514</v>
      </c>
      <c r="C342" t="s">
        <v>40</v>
      </c>
      <c r="D342">
        <v>4.9940870000000004</v>
      </c>
      <c r="E342">
        <v>0.51298739999999998</v>
      </c>
      <c r="F342" t="s">
        <v>43</v>
      </c>
      <c r="G342">
        <v>-404.57619999999997</v>
      </c>
      <c r="H342">
        <v>-0.05</v>
      </c>
      <c r="I342">
        <v>367.56079999999997</v>
      </c>
      <c r="J342">
        <v>-446.55220000000003</v>
      </c>
      <c r="K342">
        <v>1.1090230000000001</v>
      </c>
      <c r="L342">
        <v>367.97640000000001</v>
      </c>
      <c r="M342">
        <v>0.99961199999999995</v>
      </c>
      <c r="N342">
        <v>0</v>
      </c>
      <c r="O342">
        <v>2.7289569999999999E-2</v>
      </c>
      <c r="P342">
        <v>0.99904599999999999</v>
      </c>
      <c r="Q342">
        <v>3.317283E-2</v>
      </c>
      <c r="R342">
        <v>2.8408820000000001E-2</v>
      </c>
      <c r="S342">
        <v>3.0063780000000002</v>
      </c>
      <c r="T342">
        <v>-8.2700250000000003E-2</v>
      </c>
      <c r="U342">
        <v>-2.9357910000000001E-2</v>
      </c>
      <c r="V342">
        <v>-1.110497E-3</v>
      </c>
      <c r="W342">
        <v>3.876603E-2</v>
      </c>
      <c r="X342">
        <v>0.99924769999999896</v>
      </c>
      <c r="Y342">
        <v>3.7025469999999998E-2</v>
      </c>
      <c r="Z342">
        <v>-1.2596409999999999E-3</v>
      </c>
      <c r="AA342">
        <v>0.99931349999999997</v>
      </c>
      <c r="AB342">
        <v>28</v>
      </c>
      <c r="AC342">
        <v>41.975999999999999</v>
      </c>
      <c r="AD342">
        <v>-1.1590229999999999</v>
      </c>
      <c r="AE342">
        <v>-0.41560000000003999</v>
      </c>
      <c r="AF342">
        <v>1.55978097524927</v>
      </c>
      <c r="AG342">
        <v>-1.1590229999999999</v>
      </c>
      <c r="AH342">
        <v>41.917070306587199</v>
      </c>
      <c r="AI342">
        <v>91.582751768856497</v>
      </c>
      <c r="AJ342">
        <v>87.868943327460698</v>
      </c>
      <c r="AK342">
        <v>41.9620904399751</v>
      </c>
      <c r="AL342">
        <v>87.778313399794499</v>
      </c>
      <c r="AM342">
        <v>90.063674667520004</v>
      </c>
      <c r="AN342">
        <v>1.0000000021204101</v>
      </c>
    </row>
    <row r="343" spans="1:40" x14ac:dyDescent="0.25">
      <c r="A343" t="str">
        <f>"20190312160309422"</f>
        <v>20190312160309422</v>
      </c>
      <c r="B343" t="str">
        <f>"1552377789415275"</f>
        <v>1552377789415275</v>
      </c>
      <c r="C343" t="s">
        <v>40</v>
      </c>
      <c r="D343">
        <v>5.0051129999999997</v>
      </c>
      <c r="E343">
        <v>0.51296399999999998</v>
      </c>
      <c r="F343" t="s">
        <v>43</v>
      </c>
      <c r="G343">
        <v>-404.37529999999998</v>
      </c>
      <c r="H343">
        <v>-0.05</v>
      </c>
      <c r="I343">
        <v>367.58679999999998</v>
      </c>
      <c r="J343">
        <v>-446.39850000000001</v>
      </c>
      <c r="K343">
        <v>1.1090180000000001</v>
      </c>
      <c r="L343">
        <v>367.98039999999997</v>
      </c>
      <c r="M343">
        <v>0.99961699999999998</v>
      </c>
      <c r="N343">
        <v>0</v>
      </c>
      <c r="O343">
        <v>2.7099109999999999E-2</v>
      </c>
      <c r="P343">
        <v>0.99904979999999999</v>
      </c>
      <c r="Q343">
        <v>3.3000620000000001E-2</v>
      </c>
      <c r="R343">
        <v>2.846593E-2</v>
      </c>
      <c r="S343">
        <v>3.0063780000000002</v>
      </c>
      <c r="T343">
        <v>-8.2615259999999996E-2</v>
      </c>
      <c r="U343">
        <v>-2.7771000000000001E-2</v>
      </c>
      <c r="V343">
        <v>-1.3573210000000001E-3</v>
      </c>
      <c r="W343">
        <v>3.8610230000000002E-2</v>
      </c>
      <c r="X343">
        <v>0.99925350000000002</v>
      </c>
      <c r="Y343">
        <v>3.6308020000000003E-2</v>
      </c>
      <c r="Z343">
        <v>-1.2432610000000001E-3</v>
      </c>
      <c r="AA343">
        <v>0.99933989999999995</v>
      </c>
      <c r="AB343">
        <v>28</v>
      </c>
      <c r="AC343">
        <v>42.023200000000003</v>
      </c>
      <c r="AD343">
        <v>-1.1590180000000001</v>
      </c>
      <c r="AE343">
        <v>-0.39359999999999201</v>
      </c>
      <c r="AF343">
        <v>1.53110012202835</v>
      </c>
      <c r="AG343">
        <v>-1.1590180000000001</v>
      </c>
      <c r="AH343">
        <v>41.965180904056197</v>
      </c>
      <c r="AI343">
        <v>91.580973562732794</v>
      </c>
      <c r="AJ343">
        <v>87.910489632180997</v>
      </c>
      <c r="AK343">
        <v>42.009094237059699</v>
      </c>
      <c r="AL343">
        <v>87.787246931071607</v>
      </c>
      <c r="AM343">
        <v>90.077826814631905</v>
      </c>
      <c r="AN343">
        <v>1.00000007472159</v>
      </c>
    </row>
    <row r="344" spans="1:40" x14ac:dyDescent="0.25">
      <c r="A344" t="str">
        <f>"20190312160309440"</f>
        <v>20190312160309440</v>
      </c>
      <c r="B344" t="str">
        <f>"1552377789434794"</f>
        <v>1552377789434794</v>
      </c>
      <c r="C344" t="s">
        <v>40</v>
      </c>
      <c r="D344">
        <v>5.00502</v>
      </c>
      <c r="E344">
        <v>0.51292320000000002</v>
      </c>
      <c r="F344" t="s">
        <v>43</v>
      </c>
      <c r="G344">
        <v>-404.6454</v>
      </c>
      <c r="H344">
        <v>-0.05</v>
      </c>
      <c r="I344">
        <v>367.59640000000002</v>
      </c>
      <c r="J344">
        <v>-446.18150000000003</v>
      </c>
      <c r="K344">
        <v>1.1090120000000001</v>
      </c>
      <c r="L344">
        <v>367.98599999999999</v>
      </c>
      <c r="M344">
        <v>0.99962430000000002</v>
      </c>
      <c r="N344">
        <v>0</v>
      </c>
      <c r="O344">
        <v>2.6824259999999999E-2</v>
      </c>
      <c r="P344">
        <v>0.99907429999999997</v>
      </c>
      <c r="Q344">
        <v>3.2179270000000003E-2</v>
      </c>
      <c r="R344">
        <v>2.855249E-2</v>
      </c>
      <c r="S344">
        <v>3.0064389999999999</v>
      </c>
      <c r="T344">
        <v>-8.3455440000000006E-2</v>
      </c>
      <c r="U344">
        <v>-2.7648929999999999E-2</v>
      </c>
      <c r="V344">
        <v>-1.7175929999999999E-3</v>
      </c>
      <c r="W344">
        <v>3.7812579999999998E-2</v>
      </c>
      <c r="X344">
        <v>0.99928340000000004</v>
      </c>
      <c r="Y344">
        <v>3.599223E-2</v>
      </c>
      <c r="Z344">
        <v>-1.2438659999999999E-3</v>
      </c>
      <c r="AA344">
        <v>0.99935130000000005</v>
      </c>
      <c r="AB344">
        <v>28</v>
      </c>
      <c r="AC344">
        <v>41.536099999999998</v>
      </c>
      <c r="AD344">
        <v>-1.1590119999999999</v>
      </c>
      <c r="AE344">
        <v>-0.38959999999997302</v>
      </c>
      <c r="AF344">
        <v>1.50248286235936</v>
      </c>
      <c r="AG344">
        <v>-1.1590119999999999</v>
      </c>
      <c r="AH344">
        <v>41.478409482879698</v>
      </c>
      <c r="AI344">
        <v>91.599524471510605</v>
      </c>
      <c r="AJ344">
        <v>87.9254675941296</v>
      </c>
      <c r="AK344">
        <v>41.5217920711194</v>
      </c>
      <c r="AL344">
        <v>87.832982206426706</v>
      </c>
      <c r="AM344">
        <v>90.098481304610601</v>
      </c>
      <c r="AN344">
        <v>1.0000000274237599</v>
      </c>
    </row>
    <row r="345" spans="1:40" x14ac:dyDescent="0.25">
      <c r="A345" t="str">
        <f>"20190312160309453"</f>
        <v>20190312160309453</v>
      </c>
      <c r="B345" t="str">
        <f>"1552377789445531"</f>
        <v>1552377789445531</v>
      </c>
      <c r="C345" t="s">
        <v>40</v>
      </c>
      <c r="D345">
        <v>5.0121260000000003</v>
      </c>
      <c r="E345">
        <v>0.51290950000000002</v>
      </c>
      <c r="F345" t="s">
        <v>43</v>
      </c>
      <c r="G345">
        <v>-405.96289999999999</v>
      </c>
      <c r="H345">
        <v>-0.05</v>
      </c>
      <c r="I345">
        <v>367.62959999999998</v>
      </c>
      <c r="J345">
        <v>-446.01839999999999</v>
      </c>
      <c r="K345">
        <v>1.1090059999999999</v>
      </c>
      <c r="L345">
        <v>367.99020000000002</v>
      </c>
      <c r="M345">
        <v>0.99962989999999996</v>
      </c>
      <c r="N345">
        <v>0</v>
      </c>
      <c r="O345">
        <v>2.6612259999999999E-2</v>
      </c>
      <c r="P345">
        <v>0.99907950000000001</v>
      </c>
      <c r="Q345">
        <v>3.2124220000000002E-2</v>
      </c>
      <c r="R345">
        <v>2.8433440000000001E-2</v>
      </c>
      <c r="S345">
        <v>3.0063780000000002</v>
      </c>
      <c r="T345">
        <v>-8.6637140000000001E-2</v>
      </c>
      <c r="U345">
        <v>-2.6641850000000002E-2</v>
      </c>
      <c r="V345">
        <v>-1.8095590000000001E-3</v>
      </c>
      <c r="W345">
        <v>3.7775419999999997E-2</v>
      </c>
      <c r="X345">
        <v>0.99928459999999997</v>
      </c>
      <c r="Y345">
        <v>3.5444160000000002E-2</v>
      </c>
      <c r="Z345">
        <v>-1.277294E-3</v>
      </c>
      <c r="AA345">
        <v>0.9993708</v>
      </c>
      <c r="AB345">
        <v>28</v>
      </c>
      <c r="AC345">
        <v>40.055500000000002</v>
      </c>
      <c r="AD345">
        <v>-1.159006</v>
      </c>
      <c r="AE345">
        <v>-0.36060000000003301</v>
      </c>
      <c r="AF345">
        <v>1.42526345646694</v>
      </c>
      <c r="AG345">
        <v>-1.159006</v>
      </c>
      <c r="AH345">
        <v>39.998231420856101</v>
      </c>
      <c r="AI345">
        <v>91.658710656767795</v>
      </c>
      <c r="AJ345">
        <v>87.959233654862203</v>
      </c>
      <c r="AK345">
        <v>40.0403944489154</v>
      </c>
      <c r="AL345">
        <v>87.835112746421999</v>
      </c>
      <c r="AM345">
        <v>90.103754205909993</v>
      </c>
      <c r="AN345">
        <v>0.99999998432855497</v>
      </c>
    </row>
    <row r="346" spans="1:40" x14ac:dyDescent="0.25">
      <c r="A346" t="str">
        <f>"20190312160309467"</f>
        <v>20190312160309467</v>
      </c>
      <c r="B346" t="str">
        <f>"1552377789455290"</f>
        <v>1552377789455290</v>
      </c>
      <c r="C346" t="s">
        <v>40</v>
      </c>
      <c r="D346">
        <v>5.0325689999999996</v>
      </c>
      <c r="E346">
        <v>0.51286920000000003</v>
      </c>
      <c r="F346" t="s">
        <v>43</v>
      </c>
      <c r="G346">
        <v>-405.92399999999998</v>
      </c>
      <c r="H346">
        <v>-0.05</v>
      </c>
      <c r="I346">
        <v>367.63240000000002</v>
      </c>
      <c r="J346">
        <v>-445.83929999999998</v>
      </c>
      <c r="K346">
        <v>1.1090059999999999</v>
      </c>
      <c r="L346">
        <v>367.9948</v>
      </c>
      <c r="M346">
        <v>0.99963610000000003</v>
      </c>
      <c r="N346">
        <v>0</v>
      </c>
      <c r="O346">
        <v>2.6374069999999999E-2</v>
      </c>
      <c r="P346">
        <v>0.99908509999999995</v>
      </c>
      <c r="Q346">
        <v>3.1692779999999997E-2</v>
      </c>
      <c r="R346">
        <v>2.8717920000000001E-2</v>
      </c>
      <c r="S346">
        <v>3.0062869999999999</v>
      </c>
      <c r="T346">
        <v>-8.6902380000000001E-2</v>
      </c>
      <c r="U346">
        <v>-2.682495E-2</v>
      </c>
      <c r="V346">
        <v>-2.331835E-3</v>
      </c>
      <c r="W346">
        <v>3.7364189999999999E-2</v>
      </c>
      <c r="X346">
        <v>0.99929900000000005</v>
      </c>
      <c r="Y346">
        <v>3.5267199999999999E-2</v>
      </c>
      <c r="Z346">
        <v>-1.271802E-3</v>
      </c>
      <c r="AA346">
        <v>0.99937710000000002</v>
      </c>
      <c r="AB346">
        <v>28</v>
      </c>
      <c r="AC346">
        <v>39.915299999999903</v>
      </c>
      <c r="AD346">
        <v>-1.159006</v>
      </c>
      <c r="AE346">
        <v>-0.36239999999997902</v>
      </c>
      <c r="AF346">
        <v>1.4138277962155399</v>
      </c>
      <c r="AG346">
        <v>-1.159006</v>
      </c>
      <c r="AH346">
        <v>39.858253883014903</v>
      </c>
      <c r="AI346">
        <v>91.664542139452493</v>
      </c>
      <c r="AJ346">
        <v>87.968490618232295</v>
      </c>
      <c r="AK346">
        <v>39.900157976482497</v>
      </c>
      <c r="AL346">
        <v>87.858691182522506</v>
      </c>
      <c r="AM346">
        <v>90.133697783672403</v>
      </c>
      <c r="AN346">
        <v>1.0000000057749101</v>
      </c>
    </row>
    <row r="347" spans="1:40" x14ac:dyDescent="0.25">
      <c r="A347" t="str">
        <f>"20190312160309486"</f>
        <v>20190312160309486</v>
      </c>
      <c r="B347" t="str">
        <f>"1552377789474810"</f>
        <v>1552377789474810</v>
      </c>
      <c r="C347" t="s">
        <v>40</v>
      </c>
      <c r="D347">
        <v>4.9899950000000004</v>
      </c>
      <c r="E347">
        <v>0.51282680000000003</v>
      </c>
      <c r="F347" t="s">
        <v>43</v>
      </c>
      <c r="G347">
        <v>-406.39710000000002</v>
      </c>
      <c r="H347">
        <v>-0.05</v>
      </c>
      <c r="I347">
        <v>367.6592</v>
      </c>
      <c r="J347">
        <v>-445.59840000000003</v>
      </c>
      <c r="K347">
        <v>1.108994</v>
      </c>
      <c r="L347">
        <v>368.00080000000003</v>
      </c>
      <c r="M347">
        <v>0.9996448</v>
      </c>
      <c r="N347">
        <v>0</v>
      </c>
      <c r="O347">
        <v>2.6040689999999998E-2</v>
      </c>
      <c r="P347">
        <v>0.99909239999999999</v>
      </c>
      <c r="Q347">
        <v>3.1658850000000002E-2</v>
      </c>
      <c r="R347">
        <v>2.8502220000000002E-2</v>
      </c>
      <c r="S347">
        <v>3.0062869999999999</v>
      </c>
      <c r="T347">
        <v>-8.8339570000000006E-2</v>
      </c>
      <c r="U347">
        <v>-2.5573729999999999E-2</v>
      </c>
      <c r="V347">
        <v>-2.4481020000000002E-3</v>
      </c>
      <c r="W347">
        <v>3.7357050000000003E-2</v>
      </c>
      <c r="X347">
        <v>0.99929900000000005</v>
      </c>
      <c r="Y347">
        <v>3.4517590000000001E-2</v>
      </c>
      <c r="Z347">
        <v>-1.2720240000000001E-3</v>
      </c>
      <c r="AA347">
        <v>0.99940329999999999</v>
      </c>
      <c r="AB347">
        <v>28</v>
      </c>
      <c r="AC347">
        <v>39.201300000000003</v>
      </c>
      <c r="AD347">
        <v>-1.1589940000000001</v>
      </c>
      <c r="AE347">
        <v>-0.34160000000002799</v>
      </c>
      <c r="AF347">
        <v>1.3611397856727101</v>
      </c>
      <c r="AG347">
        <v>-1.1589940000000001</v>
      </c>
      <c r="AH347">
        <v>39.144896150507201</v>
      </c>
      <c r="AI347">
        <v>91.694882448474303</v>
      </c>
      <c r="AJ347">
        <v>88.0085230919791</v>
      </c>
      <c r="AK347">
        <v>39.185697176931399</v>
      </c>
      <c r="AL347">
        <v>87.859100584010704</v>
      </c>
      <c r="AM347">
        <v>90.140364026994106</v>
      </c>
      <c r="AN347">
        <v>1.00000001689455</v>
      </c>
    </row>
    <row r="348" spans="1:40" x14ac:dyDescent="0.25">
      <c r="A348" t="str">
        <f>"20190312160309506"</f>
        <v>20190312160309506</v>
      </c>
      <c r="B348" t="str">
        <f>"1552377789495306"</f>
        <v>1552377789495306</v>
      </c>
      <c r="C348" t="s">
        <v>40</v>
      </c>
      <c r="D348">
        <v>5.0204559999999896</v>
      </c>
      <c r="E348">
        <v>0.51278820000000003</v>
      </c>
      <c r="F348" t="s">
        <v>43</v>
      </c>
      <c r="G348">
        <v>-406.27109999999999</v>
      </c>
      <c r="H348">
        <v>-0.05</v>
      </c>
      <c r="I348">
        <v>367.66059999999999</v>
      </c>
      <c r="J348">
        <v>-445.35359999999997</v>
      </c>
      <c r="K348">
        <v>1.1089850000000001</v>
      </c>
      <c r="L348">
        <v>368.00670000000002</v>
      </c>
      <c r="M348">
        <v>0.99965380000000004</v>
      </c>
      <c r="N348">
        <v>0</v>
      </c>
      <c r="O348">
        <v>2.5686259999999999E-2</v>
      </c>
      <c r="P348">
        <v>0.9991004</v>
      </c>
      <c r="Q348">
        <v>3.1601619999999997E-2</v>
      </c>
      <c r="R348">
        <v>2.8282439999999999E-2</v>
      </c>
      <c r="S348">
        <v>3.006348</v>
      </c>
      <c r="T348">
        <v>-8.8598369999999996E-2</v>
      </c>
      <c r="U348">
        <v>-2.600098E-2</v>
      </c>
      <c r="V348">
        <v>-2.5810490000000002E-3</v>
      </c>
      <c r="W348">
        <v>3.7327510000000001E-2</v>
      </c>
      <c r="X348">
        <v>0.99929979999999996</v>
      </c>
      <c r="Y348">
        <v>3.4305189999999999E-2</v>
      </c>
      <c r="Z348">
        <v>-1.262153E-3</v>
      </c>
      <c r="AA348">
        <v>0.99941060000000004</v>
      </c>
      <c r="AB348">
        <v>28</v>
      </c>
      <c r="AC348">
        <v>39.082499999999897</v>
      </c>
      <c r="AD348">
        <v>-1.1589849999999999</v>
      </c>
      <c r="AE348">
        <v>-0.34610000000003499</v>
      </c>
      <c r="AF348">
        <v>1.34869940434701</v>
      </c>
      <c r="AG348">
        <v>-1.1589849999999999</v>
      </c>
      <c r="AH348">
        <v>39.026396813915802</v>
      </c>
      <c r="AI348">
        <v>91.700025103655605</v>
      </c>
      <c r="AJ348">
        <v>88.0207231786177</v>
      </c>
      <c r="AK348">
        <v>39.066889876092397</v>
      </c>
      <c r="AL348">
        <v>87.860794348211797</v>
      </c>
      <c r="AM348">
        <v>90.147986505718507</v>
      </c>
      <c r="AN348">
        <v>1.0000000475483799</v>
      </c>
    </row>
    <row r="349" spans="1:40" x14ac:dyDescent="0.25">
      <c r="A349" t="str">
        <f>"20190312160309519"</f>
        <v>20190312160309519</v>
      </c>
      <c r="B349" t="str">
        <f>"1552377789514826"</f>
        <v>1552377789514826</v>
      </c>
      <c r="C349" t="s">
        <v>40</v>
      </c>
      <c r="D349">
        <v>5.0157800000000003</v>
      </c>
      <c r="E349">
        <v>0.51277490000000003</v>
      </c>
      <c r="F349" t="s">
        <v>43</v>
      </c>
      <c r="G349">
        <v>-406.25040000000001</v>
      </c>
      <c r="H349">
        <v>-0.05</v>
      </c>
      <c r="I349">
        <v>367.66059999999999</v>
      </c>
      <c r="J349">
        <v>-445.1909</v>
      </c>
      <c r="K349">
        <v>1.1089739999999999</v>
      </c>
      <c r="L349">
        <v>368.01069999999999</v>
      </c>
      <c r="M349">
        <v>0.99965999999999999</v>
      </c>
      <c r="N349">
        <v>0</v>
      </c>
      <c r="O349">
        <v>2.5438929999999998E-2</v>
      </c>
      <c r="P349">
        <v>0.99912049999999997</v>
      </c>
      <c r="Q349">
        <v>3.1440860000000001E-2</v>
      </c>
      <c r="R349">
        <v>2.7748689999999999E-2</v>
      </c>
      <c r="S349">
        <v>3.006256</v>
      </c>
      <c r="T349">
        <v>-8.9102860000000006E-2</v>
      </c>
      <c r="U349">
        <v>-2.6611329999999999E-2</v>
      </c>
      <c r="V349">
        <v>-2.2937299999999999E-3</v>
      </c>
      <c r="W349">
        <v>3.7185019999999999E-2</v>
      </c>
      <c r="X349">
        <v>0.99930580000000002</v>
      </c>
      <c r="Y349">
        <v>3.4260909999999999E-2</v>
      </c>
      <c r="Z349">
        <v>-1.2613909999999999E-3</v>
      </c>
      <c r="AA349">
        <v>0.99941210000000003</v>
      </c>
      <c r="AB349">
        <v>28</v>
      </c>
      <c r="AC349">
        <v>38.940499999999901</v>
      </c>
      <c r="AD349">
        <v>-1.1589739999999999</v>
      </c>
      <c r="AE349">
        <v>-0.35009999999999702</v>
      </c>
      <c r="AF349">
        <v>1.33942118204986</v>
      </c>
      <c r="AG349">
        <v>-1.1589739999999999</v>
      </c>
      <c r="AH349">
        <v>38.884549434686498</v>
      </c>
      <c r="AI349">
        <v>91.706213414144798</v>
      </c>
      <c r="AJ349">
        <v>88.027163728777097</v>
      </c>
      <c r="AK349">
        <v>38.924869358472897</v>
      </c>
      <c r="AL349">
        <v>87.868964067338098</v>
      </c>
      <c r="AM349">
        <v>90.131512113254601</v>
      </c>
      <c r="AN349">
        <v>1.00000003441167</v>
      </c>
    </row>
    <row r="350" spans="1:40" x14ac:dyDescent="0.25">
      <c r="A350" t="str">
        <f>"20190312160309531"</f>
        <v>20190312160309531</v>
      </c>
      <c r="B350" t="str">
        <f>"1552377789524586"</f>
        <v>1552377789524586</v>
      </c>
      <c r="C350" t="s">
        <v>40</v>
      </c>
      <c r="D350">
        <v>4.990469</v>
      </c>
      <c r="E350">
        <v>0.51275800000000005</v>
      </c>
      <c r="F350" t="s">
        <v>43</v>
      </c>
      <c r="G350">
        <v>-406.51749999999998</v>
      </c>
      <c r="H350">
        <v>-0.05</v>
      </c>
      <c r="I350">
        <v>367.64830000000001</v>
      </c>
      <c r="J350">
        <v>-445.03789999999998</v>
      </c>
      <c r="K350">
        <v>1.108962</v>
      </c>
      <c r="L350">
        <v>368.01429999999999</v>
      </c>
      <c r="M350">
        <v>0.9996659</v>
      </c>
      <c r="N350">
        <v>0</v>
      </c>
      <c r="O350">
        <v>2.5201319999999999E-2</v>
      </c>
      <c r="P350">
        <v>0.99911490000000003</v>
      </c>
      <c r="Q350">
        <v>3.1547949999999998E-2</v>
      </c>
      <c r="R350">
        <v>2.783047E-2</v>
      </c>
      <c r="S350">
        <v>3.0062259999999998</v>
      </c>
      <c r="T350">
        <v>-9.0091229999999994E-2</v>
      </c>
      <c r="U350">
        <v>-2.816772E-2</v>
      </c>
      <c r="V350">
        <v>-2.6120240000000001E-3</v>
      </c>
      <c r="W350">
        <v>3.7309879999999997E-2</v>
      </c>
      <c r="X350">
        <v>0.99930030000000003</v>
      </c>
      <c r="Y350">
        <v>3.4540229999999998E-2</v>
      </c>
      <c r="Z350">
        <v>-1.272455E-3</v>
      </c>
      <c r="AA350">
        <v>0.99940249999999997</v>
      </c>
      <c r="AB350">
        <v>28</v>
      </c>
      <c r="AC350">
        <v>38.520400000000002</v>
      </c>
      <c r="AD350">
        <v>-1.158962</v>
      </c>
      <c r="AE350">
        <v>-0.365999999999985</v>
      </c>
      <c r="AF350">
        <v>1.33545590962391</v>
      </c>
      <c r="AG350">
        <v>-1.158962</v>
      </c>
      <c r="AH350">
        <v>38.464125972003799</v>
      </c>
      <c r="AI350">
        <v>91.724817462723493</v>
      </c>
      <c r="AJ350">
        <v>88.011516904053295</v>
      </c>
      <c r="AK350">
        <v>38.504748047405499</v>
      </c>
      <c r="AL350">
        <v>87.861805010347098</v>
      </c>
      <c r="AM350">
        <v>90.149762399106507</v>
      </c>
      <c r="AN350">
        <v>0.99999996969754001</v>
      </c>
    </row>
    <row r="351" spans="1:40" x14ac:dyDescent="0.25">
      <c r="A351" t="str">
        <f>"20190312160309543"</f>
        <v>20190312160309543</v>
      </c>
      <c r="B351" t="str">
        <f>"1552377789535323"</f>
        <v>1552377789535323</v>
      </c>
      <c r="C351" t="s">
        <v>40</v>
      </c>
      <c r="D351">
        <v>5.010586</v>
      </c>
      <c r="E351">
        <v>0.51274600000000004</v>
      </c>
      <c r="F351" t="s">
        <v>43</v>
      </c>
      <c r="G351">
        <v>-406.28980000000001</v>
      </c>
      <c r="H351">
        <v>-0.05</v>
      </c>
      <c r="I351">
        <v>367.65600000000001</v>
      </c>
      <c r="J351">
        <v>-444.88260000000002</v>
      </c>
      <c r="K351">
        <v>1.108951</v>
      </c>
      <c r="L351">
        <v>368.01799999999997</v>
      </c>
      <c r="M351">
        <v>0.99967209999999995</v>
      </c>
      <c r="N351">
        <v>0</v>
      </c>
      <c r="O351">
        <v>2.495095E-2</v>
      </c>
      <c r="P351">
        <v>0.99912939999999995</v>
      </c>
      <c r="Q351">
        <v>3.1456379999999999E-2</v>
      </c>
      <c r="R351">
        <v>2.7406699999999999E-2</v>
      </c>
      <c r="S351">
        <v>3.0062869999999999</v>
      </c>
      <c r="T351">
        <v>-8.9918380000000006E-2</v>
      </c>
      <c r="U351">
        <v>-2.7801510000000001E-2</v>
      </c>
      <c r="V351">
        <v>-2.4371530000000001E-3</v>
      </c>
      <c r="W351">
        <v>3.7235530000000003E-2</v>
      </c>
      <c r="X351">
        <v>0.99930350000000001</v>
      </c>
      <c r="Y351">
        <v>3.4168379999999998E-2</v>
      </c>
      <c r="Z351">
        <v>-1.2569440000000001E-3</v>
      </c>
      <c r="AA351">
        <v>0.99941530000000001</v>
      </c>
      <c r="AB351">
        <v>28</v>
      </c>
      <c r="AC351">
        <v>38.592799999999997</v>
      </c>
      <c r="AD351">
        <v>-1.1589510000000001</v>
      </c>
      <c r="AE351">
        <v>-0.36200000000002303</v>
      </c>
      <c r="AF351">
        <v>1.3236367069433601</v>
      </c>
      <c r="AG351">
        <v>-1.1589510000000001</v>
      </c>
      <c r="AH351">
        <v>38.537002167402001</v>
      </c>
      <c r="AI351">
        <v>91.721563442896993</v>
      </c>
      <c r="AJ351">
        <v>88.032825837414904</v>
      </c>
      <c r="AK351">
        <v>38.577139831806001</v>
      </c>
      <c r="AL351">
        <v>87.866067881953398</v>
      </c>
      <c r="AM351">
        <v>90.139735629938201</v>
      </c>
      <c r="AN351">
        <v>0.99999995476068704</v>
      </c>
    </row>
    <row r="352" spans="1:40" x14ac:dyDescent="0.25">
      <c r="A352" t="str">
        <f>"20190312160309554"</f>
        <v>20190312160309554</v>
      </c>
      <c r="B352" t="str">
        <f>"1552377789545082"</f>
        <v>1552377789545082</v>
      </c>
      <c r="C352" t="s">
        <v>40</v>
      </c>
      <c r="D352">
        <v>5.0070739999999896</v>
      </c>
      <c r="E352">
        <v>0.51273639999999998</v>
      </c>
      <c r="F352" t="s">
        <v>43</v>
      </c>
      <c r="G352">
        <v>-406.3501</v>
      </c>
      <c r="H352">
        <v>-0.05</v>
      </c>
      <c r="I352">
        <v>367.64530000000002</v>
      </c>
      <c r="J352">
        <v>-444.73239999999998</v>
      </c>
      <c r="K352">
        <v>1.108941</v>
      </c>
      <c r="L352">
        <v>368.0215</v>
      </c>
      <c r="M352">
        <v>0.99967810000000001</v>
      </c>
      <c r="N352">
        <v>0</v>
      </c>
      <c r="O352">
        <v>2.4701770000000001E-2</v>
      </c>
      <c r="P352">
        <v>0.99914320000000001</v>
      </c>
      <c r="Q352">
        <v>3.1475110000000001E-2</v>
      </c>
      <c r="R352">
        <v>2.6880950000000001E-2</v>
      </c>
      <c r="S352">
        <v>3.006256</v>
      </c>
      <c r="T352">
        <v>-9.0419890000000003E-2</v>
      </c>
      <c r="U352">
        <v>-2.9083250000000001E-2</v>
      </c>
      <c r="V352">
        <v>-2.1593480000000002E-3</v>
      </c>
      <c r="W352">
        <v>3.7271749999999999E-2</v>
      </c>
      <c r="X352">
        <v>0.99930280000000005</v>
      </c>
      <c r="Y352">
        <v>3.4345180000000003E-2</v>
      </c>
      <c r="Z352">
        <v>-1.2591290000000001E-3</v>
      </c>
      <c r="AA352">
        <v>0.99940929999999994</v>
      </c>
      <c r="AB352">
        <v>28</v>
      </c>
      <c r="AC352">
        <v>38.382300000000001</v>
      </c>
      <c r="AD352">
        <v>-1.158941</v>
      </c>
      <c r="AE352">
        <v>-0.37619999999998199</v>
      </c>
      <c r="AF352">
        <v>1.3230057485036799</v>
      </c>
      <c r="AG352">
        <v>-1.158941</v>
      </c>
      <c r="AH352">
        <v>38.326355369786199</v>
      </c>
      <c r="AI352">
        <v>91.730994466723004</v>
      </c>
      <c r="AJ352">
        <v>88.022964673501804</v>
      </c>
      <c r="AK352">
        <v>38.366691340056903</v>
      </c>
      <c r="AL352">
        <v>87.863991211424604</v>
      </c>
      <c r="AM352">
        <v>90.123807653032202</v>
      </c>
      <c r="AN352">
        <v>0.99999996610984299</v>
      </c>
    </row>
    <row r="353" spans="1:40" x14ac:dyDescent="0.25">
      <c r="A353" t="str">
        <f>"20190312160309566"</f>
        <v>20190312160309566</v>
      </c>
      <c r="B353" t="str">
        <f>"1552377789554843"</f>
        <v>1552377789554843</v>
      </c>
      <c r="C353" t="s">
        <v>40</v>
      </c>
      <c r="D353">
        <v>4.9849050000000004</v>
      </c>
      <c r="E353">
        <v>0.51271409999999995</v>
      </c>
      <c r="F353" t="s">
        <v>43</v>
      </c>
      <c r="G353">
        <v>-406.27890000000002</v>
      </c>
      <c r="H353">
        <v>-0.05</v>
      </c>
      <c r="I353">
        <v>367.63150000000002</v>
      </c>
      <c r="J353">
        <v>-444.58139999999997</v>
      </c>
      <c r="K353">
        <v>1.1089310000000001</v>
      </c>
      <c r="L353">
        <v>368.02499999999998</v>
      </c>
      <c r="M353">
        <v>0.99968420000000002</v>
      </c>
      <c r="N353">
        <v>0</v>
      </c>
      <c r="O353">
        <v>2.444735E-2</v>
      </c>
      <c r="P353">
        <v>0.99915019999999999</v>
      </c>
      <c r="Q353">
        <v>3.1295379999999998E-2</v>
      </c>
      <c r="R353">
        <v>2.6825760000000001E-2</v>
      </c>
      <c r="S353">
        <v>3.006195</v>
      </c>
      <c r="T353">
        <v>-9.0602989999999994E-2</v>
      </c>
      <c r="U353">
        <v>-3.048706E-2</v>
      </c>
      <c r="V353">
        <v>-2.3575879999999999E-3</v>
      </c>
      <c r="W353">
        <v>3.7110209999999998E-2</v>
      </c>
      <c r="X353">
        <v>0.99930839999999999</v>
      </c>
      <c r="Y353">
        <v>3.4557570000000003E-2</v>
      </c>
      <c r="Z353">
        <v>-1.257237E-3</v>
      </c>
      <c r="AA353">
        <v>0.99940189999999995</v>
      </c>
      <c r="AB353">
        <v>28</v>
      </c>
      <c r="AC353">
        <v>38.302499999999903</v>
      </c>
      <c r="AD353">
        <v>-1.1589309999999999</v>
      </c>
      <c r="AE353">
        <v>-0.39349999999995999</v>
      </c>
      <c r="AF353">
        <v>1.3285766571867601</v>
      </c>
      <c r="AG353">
        <v>-1.1589309999999999</v>
      </c>
      <c r="AH353">
        <v>38.246420413655798</v>
      </c>
      <c r="AI353">
        <v>91.734582017429602</v>
      </c>
      <c r="AJ353">
        <v>88.010500372502193</v>
      </c>
      <c r="AK353">
        <v>38.287033202572601</v>
      </c>
      <c r="AL353">
        <v>87.873253256217694</v>
      </c>
      <c r="AM353">
        <v>90.135173077317404</v>
      </c>
      <c r="AN353">
        <v>1.0000000021089901</v>
      </c>
    </row>
    <row r="354" spans="1:40" x14ac:dyDescent="0.25">
      <c r="A354" t="str">
        <f>"20190312160309585"</f>
        <v>20190312160309585</v>
      </c>
      <c r="B354" t="str">
        <f>"1552377789575338"</f>
        <v>1552377789575338</v>
      </c>
      <c r="C354" t="s">
        <v>40</v>
      </c>
      <c r="D354">
        <v>4.9690960000000004</v>
      </c>
      <c r="E354">
        <v>0.51269439999999999</v>
      </c>
      <c r="F354" t="s">
        <v>43</v>
      </c>
      <c r="G354">
        <v>-406.44589999999999</v>
      </c>
      <c r="H354">
        <v>-0.05</v>
      </c>
      <c r="I354">
        <v>367.63869999999997</v>
      </c>
      <c r="J354">
        <v>-444.34949999999998</v>
      </c>
      <c r="K354">
        <v>1.108919</v>
      </c>
      <c r="L354">
        <v>368.03030000000001</v>
      </c>
      <c r="M354">
        <v>0.99969399999999997</v>
      </c>
      <c r="N354">
        <v>0</v>
      </c>
      <c r="O354">
        <v>2.4039970000000001E-2</v>
      </c>
      <c r="P354">
        <v>0.9991582</v>
      </c>
      <c r="Q354">
        <v>3.1535180000000003E-2</v>
      </c>
      <c r="R354">
        <v>2.6237389999999999E-2</v>
      </c>
      <c r="S354">
        <v>3.006256</v>
      </c>
      <c r="T354">
        <v>-9.1359620000000002E-2</v>
      </c>
      <c r="U354">
        <v>-3.0456540000000001E-2</v>
      </c>
      <c r="V354">
        <v>-2.1741109999999998E-3</v>
      </c>
      <c r="W354">
        <v>3.737658E-2</v>
      </c>
      <c r="X354">
        <v>0.99929889999999999</v>
      </c>
      <c r="Y354">
        <v>3.4139900000000001E-2</v>
      </c>
      <c r="Z354">
        <v>-1.248985E-3</v>
      </c>
      <c r="AA354">
        <v>0.99941630000000004</v>
      </c>
      <c r="AB354">
        <v>28</v>
      </c>
      <c r="AC354">
        <v>37.903599999999898</v>
      </c>
      <c r="AD354">
        <v>-1.158919</v>
      </c>
      <c r="AE354">
        <v>-0.39160000000003897</v>
      </c>
      <c r="AF354">
        <v>1.30148713978062</v>
      </c>
      <c r="AG354">
        <v>-1.158919</v>
      </c>
      <c r="AH354">
        <v>37.847852646590098</v>
      </c>
      <c r="AI354">
        <v>91.752840222675502</v>
      </c>
      <c r="AJ354">
        <v>88.030526352536896</v>
      </c>
      <c r="AK354">
        <v>37.887952068983203</v>
      </c>
      <c r="AL354">
        <v>87.857980808188103</v>
      </c>
      <c r="AM354">
        <v>90.124654583279707</v>
      </c>
      <c r="AN354">
        <v>1.00000001351617</v>
      </c>
    </row>
    <row r="355" spans="1:40" x14ac:dyDescent="0.25">
      <c r="A355" t="str">
        <f>"20190312160309597"</f>
        <v>20190312160309597</v>
      </c>
      <c r="B355" t="str">
        <f>"1552377789585099"</f>
        <v>1552377789585099</v>
      </c>
      <c r="C355" t="s">
        <v>40</v>
      </c>
      <c r="D355">
        <v>4.9900630000000001</v>
      </c>
      <c r="E355">
        <v>0.51267529999999994</v>
      </c>
      <c r="F355" t="s">
        <v>43</v>
      </c>
      <c r="G355">
        <v>-406.17829999999998</v>
      </c>
      <c r="H355">
        <v>-0.05</v>
      </c>
      <c r="I355">
        <v>367.62580000000003</v>
      </c>
      <c r="J355">
        <v>-444.19549999999998</v>
      </c>
      <c r="K355">
        <v>1.1089100000000001</v>
      </c>
      <c r="L355">
        <v>368.03379999999999</v>
      </c>
      <c r="M355">
        <v>0.99970040000000004</v>
      </c>
      <c r="N355">
        <v>0</v>
      </c>
      <c r="O355">
        <v>2.376267E-2</v>
      </c>
      <c r="P355">
        <v>0.99915089999999995</v>
      </c>
      <c r="Q355">
        <v>3.160789E-2</v>
      </c>
      <c r="R355">
        <v>2.6425799999999999E-2</v>
      </c>
      <c r="S355">
        <v>3.0062869999999999</v>
      </c>
      <c r="T355">
        <v>-9.1274259999999996E-2</v>
      </c>
      <c r="U355">
        <v>-3.1860350000000003E-2</v>
      </c>
      <c r="V355">
        <v>-2.6396459999999998E-3</v>
      </c>
      <c r="W355">
        <v>3.7467599999999997E-2</v>
      </c>
      <c r="X355">
        <v>0.99929429999999997</v>
      </c>
      <c r="Y355">
        <v>3.4329310000000002E-2</v>
      </c>
      <c r="Z355">
        <v>-1.242263E-3</v>
      </c>
      <c r="AA355">
        <v>0.99940980000000001</v>
      </c>
      <c r="AB355">
        <v>28</v>
      </c>
      <c r="AC355">
        <v>38.017200000000003</v>
      </c>
      <c r="AD355">
        <v>-1.1589100000000001</v>
      </c>
      <c r="AE355">
        <v>-0.40799999999995801</v>
      </c>
      <c r="AF355">
        <v>1.3100732616456201</v>
      </c>
      <c r="AG355">
        <v>-1.1589100000000001</v>
      </c>
      <c r="AH355">
        <v>37.961497102405602</v>
      </c>
      <c r="AI355">
        <v>91.747575075469797</v>
      </c>
      <c r="AJ355">
        <v>88.023473867895603</v>
      </c>
      <c r="AK355">
        <v>38.001771361278998</v>
      </c>
      <c r="AL355">
        <v>87.852761940312206</v>
      </c>
      <c r="AM355">
        <v>90.151347029044203</v>
      </c>
      <c r="AN355">
        <v>0.99999994339662601</v>
      </c>
    </row>
    <row r="356" spans="1:40" x14ac:dyDescent="0.25">
      <c r="A356" t="str">
        <f>"20190312160309608"</f>
        <v>20190312160309608</v>
      </c>
      <c r="B356" t="str">
        <f>"1552377789604618"</f>
        <v>1552377789604618</v>
      </c>
      <c r="C356" t="s">
        <v>40</v>
      </c>
      <c r="D356">
        <v>5.0002089999999999</v>
      </c>
      <c r="E356">
        <v>0.512625</v>
      </c>
      <c r="F356" t="s">
        <v>43</v>
      </c>
      <c r="G356">
        <v>-406.02839999999998</v>
      </c>
      <c r="H356">
        <v>-0.05</v>
      </c>
      <c r="I356">
        <v>367.63470000000001</v>
      </c>
      <c r="J356">
        <v>-444.04849999999999</v>
      </c>
      <c r="K356">
        <v>1.1089039999999999</v>
      </c>
      <c r="L356">
        <v>368.03699999999998</v>
      </c>
      <c r="M356">
        <v>0.99970669999999995</v>
      </c>
      <c r="N356">
        <v>0</v>
      </c>
      <c r="O356">
        <v>2.349569E-2</v>
      </c>
      <c r="P356">
        <v>0.99914519999999996</v>
      </c>
      <c r="Q356">
        <v>3.2102720000000001E-2</v>
      </c>
      <c r="R356">
        <v>2.6051089999999999E-2</v>
      </c>
      <c r="S356">
        <v>3.0062259999999998</v>
      </c>
      <c r="T356">
        <v>-9.1281409999999993E-2</v>
      </c>
      <c r="U356">
        <v>-3.143311E-2</v>
      </c>
      <c r="V356">
        <v>-2.5309540000000002E-3</v>
      </c>
      <c r="W356">
        <v>3.7979350000000002E-2</v>
      </c>
      <c r="X356">
        <v>0.99927529999999998</v>
      </c>
      <c r="Y356">
        <v>3.3920899999999997E-2</v>
      </c>
      <c r="Z356">
        <v>-1.2280839999999999E-3</v>
      </c>
      <c r="AA356">
        <v>0.99942370000000003</v>
      </c>
      <c r="AB356">
        <v>29</v>
      </c>
      <c r="AC356">
        <v>38.020099999999999</v>
      </c>
      <c r="AD356">
        <v>-1.1589039999999999</v>
      </c>
      <c r="AE356">
        <v>-0.40229999999996802</v>
      </c>
      <c r="AF356">
        <v>1.2943103892424499</v>
      </c>
      <c r="AG356">
        <v>-1.1589039999999999</v>
      </c>
      <c r="AH356">
        <v>37.964881554692496</v>
      </c>
      <c r="AI356">
        <v>91.747435365763593</v>
      </c>
      <c r="AJ356">
        <v>88.047410961256901</v>
      </c>
      <c r="AK356">
        <v>38.004611948114302</v>
      </c>
      <c r="AL356">
        <v>87.823420019832497</v>
      </c>
      <c r="AM356">
        <v>90.145117839153698</v>
      </c>
      <c r="AN356">
        <v>0.999999980972331</v>
      </c>
    </row>
    <row r="357" spans="1:40" x14ac:dyDescent="0.25">
      <c r="A357" t="str">
        <f>"20190312160309620"</f>
        <v>20190312160309620</v>
      </c>
      <c r="B357" t="str">
        <f>"1552377789615355"</f>
        <v>1552377789615355</v>
      </c>
      <c r="C357" t="s">
        <v>40</v>
      </c>
      <c r="D357">
        <v>4.9718549999999997</v>
      </c>
      <c r="E357">
        <v>0.51259639999999995</v>
      </c>
      <c r="F357" t="s">
        <v>43</v>
      </c>
      <c r="G357">
        <v>-405.24810000000002</v>
      </c>
      <c r="H357">
        <v>-0.05</v>
      </c>
      <c r="I357">
        <v>367.6234</v>
      </c>
      <c r="J357">
        <v>-443.88810000000001</v>
      </c>
      <c r="K357">
        <v>1.1089</v>
      </c>
      <c r="L357">
        <v>368.04050000000001</v>
      </c>
      <c r="M357">
        <v>0.99971350000000003</v>
      </c>
      <c r="N357">
        <v>0</v>
      </c>
      <c r="O357">
        <v>2.3198489999999999E-2</v>
      </c>
      <c r="P357">
        <v>0.99915180000000003</v>
      </c>
      <c r="Q357">
        <v>3.223674E-2</v>
      </c>
      <c r="R357">
        <v>2.5628350000000001E-2</v>
      </c>
      <c r="S357">
        <v>3.0063170000000001</v>
      </c>
      <c r="T357">
        <v>-8.9793680000000001E-2</v>
      </c>
      <c r="U357">
        <v>-3.2043460000000003E-2</v>
      </c>
      <c r="V357">
        <v>-2.4041940000000001E-3</v>
      </c>
      <c r="W357">
        <v>3.8131829999999999E-2</v>
      </c>
      <c r="X357">
        <v>0.99926979999999999</v>
      </c>
      <c r="Y357">
        <v>3.3827379999999997E-2</v>
      </c>
      <c r="Z357">
        <v>-1.1977699999999999E-3</v>
      </c>
      <c r="AA357">
        <v>0.99942699999999995</v>
      </c>
      <c r="AB357">
        <v>29</v>
      </c>
      <c r="AC357">
        <v>38.639999999999901</v>
      </c>
      <c r="AD357">
        <v>-1.1589</v>
      </c>
      <c r="AE357">
        <v>-0.41710000000000402</v>
      </c>
      <c r="AF357">
        <v>1.3122127307903599</v>
      </c>
      <c r="AG357">
        <v>-1.1589</v>
      </c>
      <c r="AH357">
        <v>38.585219855949703</v>
      </c>
      <c r="AI357">
        <v>91.719357665365607</v>
      </c>
      <c r="AJ357">
        <v>88.052226040136304</v>
      </c>
      <c r="AK357">
        <v>38.624916087841797</v>
      </c>
      <c r="AL357">
        <v>87.814677212848096</v>
      </c>
      <c r="AM357">
        <v>90.1378505620184</v>
      </c>
      <c r="AN357">
        <v>0.99999997489998804</v>
      </c>
    </row>
    <row r="358" spans="1:40" x14ac:dyDescent="0.25">
      <c r="A358" t="str">
        <f>"20190312160309632"</f>
        <v>20190312160309632</v>
      </c>
      <c r="B358" t="str">
        <f>"1552377789625114"</f>
        <v>1552377789625114</v>
      </c>
      <c r="C358" t="s">
        <v>40</v>
      </c>
      <c r="D358">
        <v>4.9904169999999999</v>
      </c>
      <c r="E358">
        <v>0.51256950000000001</v>
      </c>
      <c r="F358" t="s">
        <v>43</v>
      </c>
      <c r="G358">
        <v>-404.99220000000003</v>
      </c>
      <c r="H358">
        <v>-0.05</v>
      </c>
      <c r="I358">
        <v>367.60969999999998</v>
      </c>
      <c r="J358">
        <v>-443.73919999999998</v>
      </c>
      <c r="K358">
        <v>1.1088979999999999</v>
      </c>
      <c r="L358">
        <v>368.0437</v>
      </c>
      <c r="M358">
        <v>0.99971989999999999</v>
      </c>
      <c r="N358">
        <v>0</v>
      </c>
      <c r="O358">
        <v>2.2920449999999998E-2</v>
      </c>
      <c r="P358">
        <v>0.99915719999999997</v>
      </c>
      <c r="Q358">
        <v>3.2265540000000002E-2</v>
      </c>
      <c r="R358">
        <v>2.537679E-2</v>
      </c>
      <c r="S358">
        <v>3.0062869999999999</v>
      </c>
      <c r="T358">
        <v>-8.9572070000000004E-2</v>
      </c>
      <c r="U358">
        <v>-3.329468E-2</v>
      </c>
      <c r="V358">
        <v>-2.429919E-3</v>
      </c>
      <c r="W358">
        <v>3.8178530000000002E-2</v>
      </c>
      <c r="X358">
        <v>0.99926800000000005</v>
      </c>
      <c r="Y358">
        <v>3.3965639999999998E-2</v>
      </c>
      <c r="Z358">
        <v>-1.1886030000000001E-3</v>
      </c>
      <c r="AA358">
        <v>0.99942229999999999</v>
      </c>
      <c r="AB358">
        <v>29</v>
      </c>
      <c r="AC358">
        <v>38.7469999999999</v>
      </c>
      <c r="AD358">
        <v>-1.158898</v>
      </c>
      <c r="AE358">
        <v>-0.43400000000002498</v>
      </c>
      <c r="AF358">
        <v>1.32081868254377</v>
      </c>
      <c r="AG358">
        <v>-1.158898</v>
      </c>
      <c r="AH358">
        <v>38.692264258572898</v>
      </c>
      <c r="AI358">
        <v>91.714593364074901</v>
      </c>
      <c r="AJ358">
        <v>88.044881519026504</v>
      </c>
      <c r="AK358">
        <v>38.732143240747703</v>
      </c>
      <c r="AL358">
        <v>87.811999649328698</v>
      </c>
      <c r="AM358">
        <v>90.139325815338296</v>
      </c>
      <c r="AN358">
        <v>1.0000000202416499</v>
      </c>
    </row>
    <row r="359" spans="1:40" x14ac:dyDescent="0.25">
      <c r="A359" t="str">
        <f>"20190312160309644"</f>
        <v>20190312160309644</v>
      </c>
      <c r="B359" t="str">
        <f>"1552377789634874"</f>
        <v>1552377789634874</v>
      </c>
      <c r="C359" t="s">
        <v>40</v>
      </c>
      <c r="D359">
        <v>4.9679339999999996</v>
      </c>
      <c r="E359">
        <v>0.51254299999999997</v>
      </c>
      <c r="F359" t="s">
        <v>43</v>
      </c>
      <c r="G359">
        <v>-404.86090000000002</v>
      </c>
      <c r="H359">
        <v>-0.05</v>
      </c>
      <c r="I359">
        <v>367.60719999999998</v>
      </c>
      <c r="J359">
        <v>-443.5779</v>
      </c>
      <c r="K359">
        <v>1.108887</v>
      </c>
      <c r="L359">
        <v>368.0471</v>
      </c>
      <c r="M359">
        <v>0.99972669999999997</v>
      </c>
      <c r="N359">
        <v>0</v>
      </c>
      <c r="O359">
        <v>2.2617189999999999E-2</v>
      </c>
      <c r="P359">
        <v>0.99915399999999999</v>
      </c>
      <c r="Q359">
        <v>3.2540470000000002E-2</v>
      </c>
      <c r="R359">
        <v>2.515653E-2</v>
      </c>
      <c r="S359">
        <v>3.0062869999999999</v>
      </c>
      <c r="T359">
        <v>-8.9612360000000002E-2</v>
      </c>
      <c r="U359">
        <v>-3.3752440000000002E-2</v>
      </c>
      <c r="V359">
        <v>-2.5123239999999998E-3</v>
      </c>
      <c r="W359">
        <v>3.8472050000000001E-2</v>
      </c>
      <c r="X359">
        <v>0.99925649999999999</v>
      </c>
      <c r="Y359">
        <v>3.3814810000000001E-2</v>
      </c>
      <c r="Z359">
        <v>-1.1778540000000001E-3</v>
      </c>
      <c r="AA359">
        <v>0.99942739999999997</v>
      </c>
      <c r="AB359">
        <v>29</v>
      </c>
      <c r="AC359">
        <v>38.716999999999899</v>
      </c>
      <c r="AD359">
        <v>-1.158887</v>
      </c>
      <c r="AE359">
        <v>-0.439900000000022</v>
      </c>
      <c r="AF359">
        <v>1.3142951564255101</v>
      </c>
      <c r="AG359">
        <v>-1.158887</v>
      </c>
      <c r="AH359">
        <v>38.662511508105702</v>
      </c>
      <c r="AI359">
        <v>91.715904076774706</v>
      </c>
      <c r="AJ359">
        <v>88.053034429306507</v>
      </c>
      <c r="AK359">
        <v>38.702198735361002</v>
      </c>
      <c r="AL359">
        <v>87.795169742563402</v>
      </c>
      <c r="AM359">
        <v>90.144052361600004</v>
      </c>
      <c r="AN359">
        <v>0.99999998159766601</v>
      </c>
    </row>
    <row r="360" spans="1:40" x14ac:dyDescent="0.25">
      <c r="A360" t="str">
        <f>"20190312160309665"</f>
        <v>20190312160309665</v>
      </c>
      <c r="B360" t="str">
        <f>"1552377789655370"</f>
        <v>1552377789655370</v>
      </c>
      <c r="C360" t="s">
        <v>40</v>
      </c>
      <c r="D360">
        <v>4.9876069999999997</v>
      </c>
      <c r="E360">
        <v>0.51251099999999905</v>
      </c>
      <c r="F360" t="s">
        <v>43</v>
      </c>
      <c r="G360">
        <v>-404.40699999999998</v>
      </c>
      <c r="H360">
        <v>-0.05</v>
      </c>
      <c r="I360">
        <v>367.60169999999999</v>
      </c>
      <c r="J360">
        <v>-443.32769999999999</v>
      </c>
      <c r="K360">
        <v>1.1088849999999999</v>
      </c>
      <c r="L360">
        <v>368.0523</v>
      </c>
      <c r="M360">
        <v>0.99973710000000005</v>
      </c>
      <c r="N360">
        <v>0</v>
      </c>
      <c r="O360">
        <v>2.2142820000000001E-2</v>
      </c>
      <c r="P360">
        <v>0.99914630000000004</v>
      </c>
      <c r="Q360">
        <v>3.288758E-2</v>
      </c>
      <c r="R360">
        <v>2.500921E-2</v>
      </c>
      <c r="S360">
        <v>3.0063170000000001</v>
      </c>
      <c r="T360">
        <v>-8.8942999999999994E-2</v>
      </c>
      <c r="U360">
        <v>-3.4179689999999999E-2</v>
      </c>
      <c r="V360">
        <v>-2.8381959999999999E-3</v>
      </c>
      <c r="W360">
        <v>3.8848939999999998E-2</v>
      </c>
      <c r="X360">
        <v>0.99924109999999999</v>
      </c>
      <c r="Y360">
        <v>3.3483209999999999E-2</v>
      </c>
      <c r="Z360">
        <v>-1.150114E-3</v>
      </c>
      <c r="AA360">
        <v>0.99943859999999995</v>
      </c>
      <c r="AB360">
        <v>29</v>
      </c>
      <c r="AC360">
        <v>38.920699999999997</v>
      </c>
      <c r="AD360">
        <v>-1.1588849999999999</v>
      </c>
      <c r="AE360">
        <v>-0.45060000000000799</v>
      </c>
      <c r="AF360">
        <v>1.31115654390067</v>
      </c>
      <c r="AG360">
        <v>-1.1588849999999999</v>
      </c>
      <c r="AH360">
        <v>38.866725304130398</v>
      </c>
      <c r="AI360">
        <v>91.706905732083698</v>
      </c>
      <c r="AJ360">
        <v>88.067877922637706</v>
      </c>
      <c r="AK360">
        <v>38.906098259688903</v>
      </c>
      <c r="AL360">
        <v>87.773559500411096</v>
      </c>
      <c r="AM360">
        <v>90.162739718096503</v>
      </c>
      <c r="AN360">
        <v>1.0000000357124299</v>
      </c>
    </row>
    <row r="361" spans="1:40" x14ac:dyDescent="0.25">
      <c r="A361" t="str">
        <f>"20190312160309678"</f>
        <v>20190312160309678</v>
      </c>
      <c r="B361" t="str">
        <f>"1552377789674890"</f>
        <v>1552377789674890</v>
      </c>
      <c r="C361" t="s">
        <v>40</v>
      </c>
      <c r="D361">
        <v>4.9575199999999997</v>
      </c>
      <c r="E361">
        <v>0.51247790000000004</v>
      </c>
      <c r="F361" t="s">
        <v>43</v>
      </c>
      <c r="G361">
        <v>-403.7672</v>
      </c>
      <c r="H361">
        <v>-0.05</v>
      </c>
      <c r="I361">
        <v>367.60090000000002</v>
      </c>
      <c r="J361">
        <v>-443.15370000000001</v>
      </c>
      <c r="K361">
        <v>1.108886</v>
      </c>
      <c r="L361">
        <v>368.05579999999998</v>
      </c>
      <c r="M361">
        <v>0.99974439999999998</v>
      </c>
      <c r="N361">
        <v>0</v>
      </c>
      <c r="O361">
        <v>2.181162E-2</v>
      </c>
      <c r="P361">
        <v>0.99914179999999997</v>
      </c>
      <c r="Q361">
        <v>3.3109279999999998E-2</v>
      </c>
      <c r="R361">
        <v>2.4893760000000001E-2</v>
      </c>
      <c r="S361">
        <v>3.0063170000000001</v>
      </c>
      <c r="T361">
        <v>-8.8067049999999994E-2</v>
      </c>
      <c r="U361">
        <v>-3.4301760000000001E-2</v>
      </c>
      <c r="V361">
        <v>-3.053535E-3</v>
      </c>
      <c r="W361">
        <v>3.9090989999999999E-2</v>
      </c>
      <c r="X361">
        <v>0.99923099999999998</v>
      </c>
      <c r="Y361">
        <v>3.3193439999999998E-2</v>
      </c>
      <c r="Z361">
        <v>-1.1248499999999999E-3</v>
      </c>
      <c r="AA361">
        <v>0.99944829999999996</v>
      </c>
      <c r="AB361">
        <v>29</v>
      </c>
      <c r="AC361">
        <v>39.386499999999998</v>
      </c>
      <c r="AD361">
        <v>-1.1588860000000001</v>
      </c>
      <c r="AE361">
        <v>-0.45489999999995201</v>
      </c>
      <c r="AF361">
        <v>1.31275399691798</v>
      </c>
      <c r="AG361">
        <v>-1.1588860000000001</v>
      </c>
      <c r="AH361">
        <v>39.3331595895717</v>
      </c>
      <c r="AI361">
        <v>91.686697827924505</v>
      </c>
      <c r="AJ361">
        <v>88.088448642615802</v>
      </c>
      <c r="AK361">
        <v>39.372119362769098</v>
      </c>
      <c r="AL361">
        <v>87.759680458135904</v>
      </c>
      <c r="AM361">
        <v>90.175088766759302</v>
      </c>
      <c r="AN361">
        <v>1.00000001046808</v>
      </c>
    </row>
    <row r="362" spans="1:40" x14ac:dyDescent="0.25">
      <c r="A362" t="str">
        <f>"20190312160309697"</f>
        <v>20190312160309697</v>
      </c>
      <c r="B362" t="str">
        <f>"1552377789684650"</f>
        <v>1552377789684650</v>
      </c>
      <c r="C362" t="s">
        <v>40</v>
      </c>
      <c r="D362">
        <v>4.9519000000000002</v>
      </c>
      <c r="E362">
        <v>0.51245949999999996</v>
      </c>
      <c r="F362" t="s">
        <v>43</v>
      </c>
      <c r="G362">
        <v>-403.39339999999999</v>
      </c>
      <c r="H362">
        <v>-0.05</v>
      </c>
      <c r="I362">
        <v>367.60050000000001</v>
      </c>
      <c r="J362">
        <v>-442.91129999999998</v>
      </c>
      <c r="K362">
        <v>1.1088849999999999</v>
      </c>
      <c r="L362">
        <v>368.06060000000002</v>
      </c>
      <c r="M362">
        <v>0.99975400000000003</v>
      </c>
      <c r="N362">
        <v>0</v>
      </c>
      <c r="O362">
        <v>2.1349739999999999E-2</v>
      </c>
      <c r="P362">
        <v>0.99913870000000005</v>
      </c>
      <c r="Q362">
        <v>3.3119639999999999E-2</v>
      </c>
      <c r="R362">
        <v>2.5001470000000001E-2</v>
      </c>
      <c r="S362">
        <v>3.006348</v>
      </c>
      <c r="T362">
        <v>-8.7625270000000005E-2</v>
      </c>
      <c r="U362">
        <v>-3.4423830000000002E-2</v>
      </c>
      <c r="V362">
        <v>-3.62291E-3</v>
      </c>
      <c r="W362">
        <v>3.9130529999999997E-2</v>
      </c>
      <c r="X362">
        <v>0.99922750000000005</v>
      </c>
      <c r="Y362">
        <v>3.2772759999999998E-2</v>
      </c>
      <c r="Z362">
        <v>-1.0996109999999999E-3</v>
      </c>
      <c r="AA362">
        <v>0.99946219999999997</v>
      </c>
      <c r="AB362">
        <v>29</v>
      </c>
      <c r="AC362">
        <v>39.517899999999997</v>
      </c>
      <c r="AD362">
        <v>-1.1588849999999999</v>
      </c>
      <c r="AE362">
        <v>-0.460100000000011</v>
      </c>
      <c r="AF362">
        <v>1.3025871971680401</v>
      </c>
      <c r="AG362">
        <v>-1.1588849999999999</v>
      </c>
      <c r="AH362">
        <v>39.465134113841202</v>
      </c>
      <c r="AI362">
        <v>91.681079736017196</v>
      </c>
      <c r="AJ362">
        <v>88.109580351352406</v>
      </c>
      <c r="AK362">
        <v>39.503627155907097</v>
      </c>
      <c r="AL362">
        <v>87.757413135802196</v>
      </c>
      <c r="AM362">
        <v>90.207737019821593</v>
      </c>
      <c r="AN362">
        <v>0.99999996030559801</v>
      </c>
    </row>
    <row r="363" spans="1:40" x14ac:dyDescent="0.25">
      <c r="A363" t="str">
        <f>"20190312160309710"</f>
        <v>20190312160309710</v>
      </c>
      <c r="B363" t="str">
        <f>"1552377789705146"</f>
        <v>1552377789705146</v>
      </c>
      <c r="C363" t="s">
        <v>40</v>
      </c>
      <c r="D363">
        <v>4.9641659999999996</v>
      </c>
      <c r="E363">
        <v>0.51243419999999995</v>
      </c>
      <c r="F363" t="s">
        <v>43</v>
      </c>
      <c r="G363">
        <v>-403.2011</v>
      </c>
      <c r="H363">
        <v>-0.05</v>
      </c>
      <c r="I363">
        <v>367.61160000000001</v>
      </c>
      <c r="J363">
        <v>-442.73899999999998</v>
      </c>
      <c r="K363">
        <v>1.1088819999999999</v>
      </c>
      <c r="L363">
        <v>368.06400000000002</v>
      </c>
      <c r="M363">
        <v>0.99976089999999995</v>
      </c>
      <c r="N363">
        <v>0</v>
      </c>
      <c r="O363">
        <v>2.1021709999999999E-2</v>
      </c>
      <c r="P363">
        <v>0.99913879999999999</v>
      </c>
      <c r="Q363">
        <v>3.335987E-2</v>
      </c>
      <c r="R363">
        <v>2.467807E-2</v>
      </c>
      <c r="S363">
        <v>3.006348</v>
      </c>
      <c r="T363">
        <v>-8.7736010000000003E-2</v>
      </c>
      <c r="U363">
        <v>-3.3996579999999998E-2</v>
      </c>
      <c r="V363">
        <v>-3.6266850000000002E-3</v>
      </c>
      <c r="W363">
        <v>3.9390689999999999E-2</v>
      </c>
      <c r="X363">
        <v>0.99921729999999997</v>
      </c>
      <c r="Y363">
        <v>3.230309E-2</v>
      </c>
      <c r="Z363">
        <v>-1.084579E-3</v>
      </c>
      <c r="AA363">
        <v>0.99947750000000002</v>
      </c>
      <c r="AB363">
        <v>29</v>
      </c>
      <c r="AC363">
        <v>39.5379</v>
      </c>
      <c r="AD363">
        <v>-1.158882</v>
      </c>
      <c r="AE363">
        <v>-0.45240000000001102</v>
      </c>
      <c r="AF363">
        <v>1.28236779255037</v>
      </c>
      <c r="AG363">
        <v>-1.158882</v>
      </c>
      <c r="AH363">
        <v>39.485733841668697</v>
      </c>
      <c r="AI363">
        <v>91.680227941249697</v>
      </c>
      <c r="AJ363">
        <v>88.139873836879104</v>
      </c>
      <c r="AK363">
        <v>39.523545535040199</v>
      </c>
      <c r="AL363">
        <v>87.742495644330305</v>
      </c>
      <c r="AM363">
        <v>90.207955598523498</v>
      </c>
      <c r="AN363">
        <v>0.99999999596102696</v>
      </c>
    </row>
    <row r="364" spans="1:40" x14ac:dyDescent="0.25">
      <c r="A364" t="str">
        <f>"20190312160309721"</f>
        <v>20190312160309721</v>
      </c>
      <c r="B364" t="str">
        <f>"1552377789714907"</f>
        <v>1552377789714907</v>
      </c>
      <c r="C364" t="s">
        <v>40</v>
      </c>
      <c r="D364">
        <v>4.9512340000000004</v>
      </c>
      <c r="E364">
        <v>0.51241329999999996</v>
      </c>
      <c r="F364" t="s">
        <v>43</v>
      </c>
      <c r="G364">
        <v>-402.8426</v>
      </c>
      <c r="H364">
        <v>-0.05</v>
      </c>
      <c r="I364">
        <v>367.60390000000001</v>
      </c>
      <c r="J364">
        <v>-442.58240000000001</v>
      </c>
      <c r="K364">
        <v>1.108881</v>
      </c>
      <c r="L364">
        <v>368.06700000000001</v>
      </c>
      <c r="M364">
        <v>0.99976710000000002</v>
      </c>
      <c r="N364">
        <v>0</v>
      </c>
      <c r="O364">
        <v>2.0723720000000001E-2</v>
      </c>
      <c r="P364">
        <v>0.99913640000000004</v>
      </c>
      <c r="Q364">
        <v>3.3544150000000002E-2</v>
      </c>
      <c r="R364">
        <v>2.4528330000000001E-2</v>
      </c>
      <c r="S364">
        <v>3.0063780000000002</v>
      </c>
      <c r="T364">
        <v>-8.7327119999999994E-2</v>
      </c>
      <c r="U364">
        <v>-3.4667969999999999E-2</v>
      </c>
      <c r="V364">
        <v>-3.7743579999999998E-3</v>
      </c>
      <c r="W364">
        <v>3.9593660000000003E-2</v>
      </c>
      <c r="X364">
        <v>0.99920869999999995</v>
      </c>
      <c r="Y364">
        <v>3.2228619999999999E-2</v>
      </c>
      <c r="Z364">
        <v>-1.06978E-3</v>
      </c>
      <c r="AA364">
        <v>0.99947989999999998</v>
      </c>
      <c r="AB364">
        <v>29</v>
      </c>
      <c r="AC364">
        <v>39.739800000000002</v>
      </c>
      <c r="AD364">
        <v>-1.158881</v>
      </c>
      <c r="AE364">
        <v>-0.46309999999994</v>
      </c>
      <c r="AF364">
        <v>1.2854789357048</v>
      </c>
      <c r="AG364">
        <v>-1.158881</v>
      </c>
      <c r="AH364">
        <v>39.687921602996298</v>
      </c>
      <c r="AI364">
        <v>91.671676259940796</v>
      </c>
      <c r="AJ364">
        <v>88.144856802083694</v>
      </c>
      <c r="AK364">
        <v>39.725641372190402</v>
      </c>
      <c r="AL364">
        <v>87.7308571700747</v>
      </c>
      <c r="AM364">
        <v>90.216425012359494</v>
      </c>
      <c r="AN364">
        <v>0.99999996492309795</v>
      </c>
    </row>
    <row r="365" spans="1:40" x14ac:dyDescent="0.25">
      <c r="A365" t="str">
        <f>"20190312160309733"</f>
        <v>20190312160309733</v>
      </c>
      <c r="B365" t="str">
        <f>"1552377789724666"</f>
        <v>1552377789724666</v>
      </c>
      <c r="C365" t="s">
        <v>40</v>
      </c>
      <c r="D365">
        <v>4.9543619999999997</v>
      </c>
      <c r="E365">
        <v>0.51240269999999999</v>
      </c>
      <c r="F365" t="s">
        <v>43</v>
      </c>
      <c r="G365">
        <v>-402.49799999999999</v>
      </c>
      <c r="H365">
        <v>-0.05</v>
      </c>
      <c r="I365">
        <v>367.5994</v>
      </c>
      <c r="J365">
        <v>-442.42860000000002</v>
      </c>
      <c r="K365">
        <v>1.108881</v>
      </c>
      <c r="L365">
        <v>368.06990000000002</v>
      </c>
      <c r="M365">
        <v>0.99977300000000002</v>
      </c>
      <c r="N365">
        <v>0</v>
      </c>
      <c r="O365">
        <v>2.043182E-2</v>
      </c>
      <c r="P365">
        <v>0.99914959999999997</v>
      </c>
      <c r="Q365">
        <v>3.3372739999999998E-2</v>
      </c>
      <c r="R365">
        <v>2.4223100000000001E-2</v>
      </c>
      <c r="S365">
        <v>3.0063780000000002</v>
      </c>
      <c r="T365">
        <v>-8.6917640000000004E-2</v>
      </c>
      <c r="U365">
        <v>-3.5064699999999997E-2</v>
      </c>
      <c r="V365">
        <v>-3.7610400000000002E-3</v>
      </c>
      <c r="W365">
        <v>3.9440240000000001E-2</v>
      </c>
      <c r="X365">
        <v>0.99921479999999996</v>
      </c>
      <c r="Y365">
        <v>3.206908E-2</v>
      </c>
      <c r="Z365">
        <v>-1.0540230000000001E-3</v>
      </c>
      <c r="AA365">
        <v>0.99948510000000002</v>
      </c>
      <c r="AB365">
        <v>29</v>
      </c>
      <c r="AC365">
        <v>39.930599999999899</v>
      </c>
      <c r="AD365">
        <v>-1.158881</v>
      </c>
      <c r="AE365">
        <v>-0.47050000000001502</v>
      </c>
      <c r="AF365">
        <v>1.2851891333451499</v>
      </c>
      <c r="AG365">
        <v>-1.158881</v>
      </c>
      <c r="AH365">
        <v>39.879065366599498</v>
      </c>
      <c r="AI365">
        <v>91.663677007877396</v>
      </c>
      <c r="AJ365">
        <v>88.1541584311029</v>
      </c>
      <c r="AK365">
        <v>39.916595180377598</v>
      </c>
      <c r="AL365">
        <v>87.739654320391097</v>
      </c>
      <c r="AM365">
        <v>90.215660037178395</v>
      </c>
      <c r="AN365">
        <v>0.99999994724608798</v>
      </c>
    </row>
    <row r="366" spans="1:40" x14ac:dyDescent="0.25">
      <c r="A366" t="str">
        <f>"20190312160309745"</f>
        <v>20190312160309745</v>
      </c>
      <c r="B366" t="str">
        <f>"1552377789735403"</f>
        <v>1552377789735403</v>
      </c>
      <c r="C366" t="s">
        <v>40</v>
      </c>
      <c r="D366">
        <v>4.9725419999999998</v>
      </c>
      <c r="E366">
        <v>0.51239069999999998</v>
      </c>
      <c r="F366" t="s">
        <v>43</v>
      </c>
      <c r="G366">
        <v>-402.70319999999998</v>
      </c>
      <c r="H366">
        <v>-0.05</v>
      </c>
      <c r="I366">
        <v>367.59410000000003</v>
      </c>
      <c r="J366">
        <v>-442.26749999999998</v>
      </c>
      <c r="K366">
        <v>1.108881</v>
      </c>
      <c r="L366">
        <v>368.0729</v>
      </c>
      <c r="M366">
        <v>0.99977899999999997</v>
      </c>
      <c r="N366">
        <v>0</v>
      </c>
      <c r="O366">
        <v>2.0125850000000001E-2</v>
      </c>
      <c r="P366">
        <v>0.99915529999999997</v>
      </c>
      <c r="Q366">
        <v>3.3416800000000003E-2</v>
      </c>
      <c r="R366">
        <v>2.3918350000000001E-2</v>
      </c>
      <c r="S366">
        <v>3.0063170000000001</v>
      </c>
      <c r="T366">
        <v>-8.7700959999999994E-2</v>
      </c>
      <c r="U366">
        <v>-3.6010739999999999E-2</v>
      </c>
      <c r="V366">
        <v>-3.761983E-3</v>
      </c>
      <c r="W366">
        <v>3.9503129999999997E-2</v>
      </c>
      <c r="X366">
        <v>0.9992124</v>
      </c>
      <c r="Y366">
        <v>3.2077639999999998E-2</v>
      </c>
      <c r="Z366">
        <v>-1.05474E-3</v>
      </c>
      <c r="AA366">
        <v>0.99948479999999995</v>
      </c>
      <c r="AB366">
        <v>29</v>
      </c>
      <c r="AC366">
        <v>39.564300000000003</v>
      </c>
      <c r="AD366">
        <v>-1.158881</v>
      </c>
      <c r="AE366">
        <v>-0.47879999999997802</v>
      </c>
      <c r="AF366">
        <v>1.2738900809173199</v>
      </c>
      <c r="AG366">
        <v>-1.158881</v>
      </c>
      <c r="AH366">
        <v>39.512754016337801</v>
      </c>
      <c r="AI366">
        <v>91.679090996942804</v>
      </c>
      <c r="AJ366">
        <v>88.153425285056002</v>
      </c>
      <c r="AK366">
        <v>39.5502658785758</v>
      </c>
      <c r="AL366">
        <v>87.736048377220001</v>
      </c>
      <c r="AM366">
        <v>90.215714626906902</v>
      </c>
      <c r="AN366">
        <v>1.0000000350548199</v>
      </c>
    </row>
    <row r="367" spans="1:40" x14ac:dyDescent="0.25">
      <c r="A367" t="str">
        <f>"20190312160309763"</f>
        <v>20190312160309763</v>
      </c>
      <c r="B367" t="str">
        <f>"1552377789754922"</f>
        <v>1552377789754922</v>
      </c>
      <c r="C367" t="s">
        <v>40</v>
      </c>
      <c r="D367">
        <v>4.9812669999999999</v>
      </c>
      <c r="E367">
        <v>0.51235839999999999</v>
      </c>
      <c r="F367" t="s">
        <v>43</v>
      </c>
      <c r="G367">
        <v>-402.53820000000002</v>
      </c>
      <c r="H367">
        <v>-0.05</v>
      </c>
      <c r="I367">
        <v>367.5881</v>
      </c>
      <c r="J367">
        <v>-442.03309999999999</v>
      </c>
      <c r="K367">
        <v>1.108878</v>
      </c>
      <c r="L367">
        <v>368.0772</v>
      </c>
      <c r="M367">
        <v>0.9997876</v>
      </c>
      <c r="N367">
        <v>0</v>
      </c>
      <c r="O367">
        <v>1.968114E-2</v>
      </c>
      <c r="P367">
        <v>0.99917520000000004</v>
      </c>
      <c r="Q367">
        <v>3.3137270000000003E-2</v>
      </c>
      <c r="R367">
        <v>2.3472860000000002E-2</v>
      </c>
      <c r="S367">
        <v>3.0063780000000002</v>
      </c>
      <c r="T367">
        <v>-8.7694289999999994E-2</v>
      </c>
      <c r="U367">
        <v>-3.668213E-2</v>
      </c>
      <c r="V367">
        <v>-3.7605920000000001E-3</v>
      </c>
      <c r="W367">
        <v>3.9251559999999998E-2</v>
      </c>
      <c r="X367">
        <v>0.99922230000000001</v>
      </c>
      <c r="Y367">
        <v>3.1856280000000001E-2</v>
      </c>
      <c r="Z367">
        <v>-1.0384420000000001E-3</v>
      </c>
      <c r="AA367">
        <v>0.99949189999999999</v>
      </c>
      <c r="AB367">
        <v>29</v>
      </c>
      <c r="AC367">
        <v>39.494899999999902</v>
      </c>
      <c r="AD367">
        <v>-1.1588780000000001</v>
      </c>
      <c r="AE367">
        <v>-0.48910000000000697</v>
      </c>
      <c r="AF367">
        <v>1.2652352805768701</v>
      </c>
      <c r="AG367">
        <v>-1.1588780000000001</v>
      </c>
      <c r="AH367">
        <v>39.4436685976966</v>
      </c>
      <c r="AI367">
        <v>91.682034678240896</v>
      </c>
      <c r="AJ367">
        <v>88.162752193825796</v>
      </c>
      <c r="AK367">
        <v>39.480967705706199</v>
      </c>
      <c r="AL367">
        <v>87.750473420858995</v>
      </c>
      <c r="AM367">
        <v>90.215632730361307</v>
      </c>
      <c r="AN367">
        <v>1.0000000159159499</v>
      </c>
    </row>
    <row r="368" spans="1:40" x14ac:dyDescent="0.25">
      <c r="A368" t="str">
        <f>"20190312160309776"</f>
        <v>20190312160309776</v>
      </c>
      <c r="B368" t="str">
        <f>"1552377789764683"</f>
        <v>1552377789764683</v>
      </c>
      <c r="C368" t="s">
        <v>40</v>
      </c>
      <c r="D368">
        <v>5.0171400000000004</v>
      </c>
      <c r="E368">
        <v>0.51233039999999996</v>
      </c>
      <c r="F368" t="s">
        <v>43</v>
      </c>
      <c r="G368">
        <v>-402.68389999999999</v>
      </c>
      <c r="H368">
        <v>-0.05</v>
      </c>
      <c r="I368">
        <v>367.58420000000001</v>
      </c>
      <c r="J368">
        <v>-441.875</v>
      </c>
      <c r="K368">
        <v>1.1088789999999999</v>
      </c>
      <c r="L368">
        <v>368.08</v>
      </c>
      <c r="M368">
        <v>0.9997933</v>
      </c>
      <c r="N368">
        <v>0</v>
      </c>
      <c r="O368">
        <v>1.9382079999999999E-2</v>
      </c>
      <c r="P368">
        <v>0.9991854</v>
      </c>
      <c r="Q368">
        <v>3.3099389999999999E-2</v>
      </c>
      <c r="R368">
        <v>2.308286E-2</v>
      </c>
      <c r="S368">
        <v>3.0062869999999999</v>
      </c>
      <c r="T368">
        <v>-8.8538649999999997E-2</v>
      </c>
      <c r="U368">
        <v>-3.7658690000000002E-2</v>
      </c>
      <c r="V368">
        <v>-3.6691129999999999E-3</v>
      </c>
      <c r="W368">
        <v>3.9231549999999997E-2</v>
      </c>
      <c r="X368">
        <v>0.99922339999999998</v>
      </c>
      <c r="Y368">
        <v>3.1882010000000002E-2</v>
      </c>
      <c r="Z368">
        <v>-1.040041E-3</v>
      </c>
      <c r="AA368">
        <v>0.99949109999999997</v>
      </c>
      <c r="AB368">
        <v>29</v>
      </c>
      <c r="AC368">
        <v>39.191099999999999</v>
      </c>
      <c r="AD368">
        <v>-1.158879</v>
      </c>
      <c r="AE368">
        <v>-0.49579999999997398</v>
      </c>
      <c r="AF368">
        <v>1.2542297113106</v>
      </c>
      <c r="AG368">
        <v>-1.158879</v>
      </c>
      <c r="AH368">
        <v>39.139910089702298</v>
      </c>
      <c r="AI368">
        <v>91.6950843018992</v>
      </c>
      <c r="AJ368">
        <v>88.164597558776805</v>
      </c>
      <c r="AK368">
        <v>39.177144542900997</v>
      </c>
      <c r="AL368">
        <v>87.751620734864204</v>
      </c>
      <c r="AM368">
        <v>90.210387131267794</v>
      </c>
      <c r="AN368">
        <v>0.99999999000658402</v>
      </c>
    </row>
    <row r="369" spans="1:40" x14ac:dyDescent="0.25">
      <c r="A369" t="str">
        <f>"20190312160309788"</f>
        <v>20190312160309788</v>
      </c>
      <c r="B369" t="str">
        <f>"1552377789785178"</f>
        <v>1552377789785178</v>
      </c>
      <c r="C369" t="s">
        <v>40</v>
      </c>
      <c r="D369">
        <v>5.0108879999999996</v>
      </c>
      <c r="E369">
        <v>0.51232069999999996</v>
      </c>
      <c r="F369" t="s">
        <v>43</v>
      </c>
      <c r="G369">
        <v>-402.48599999999999</v>
      </c>
      <c r="H369">
        <v>-0.05</v>
      </c>
      <c r="I369">
        <v>367.5754</v>
      </c>
      <c r="J369">
        <v>-441.71190000000001</v>
      </c>
      <c r="K369">
        <v>1.1088769999999999</v>
      </c>
      <c r="L369">
        <v>368.0829</v>
      </c>
      <c r="M369">
        <v>0.99979929999999995</v>
      </c>
      <c r="N369">
        <v>0</v>
      </c>
      <c r="O369">
        <v>1.9073130000000001E-2</v>
      </c>
      <c r="P369">
        <v>0.99918600000000002</v>
      </c>
      <c r="Q369">
        <v>3.3331880000000001E-2</v>
      </c>
      <c r="R369">
        <v>2.2727420000000002E-2</v>
      </c>
      <c r="S369">
        <v>3.0062259999999998</v>
      </c>
      <c r="T369">
        <v>-8.8447330000000005E-2</v>
      </c>
      <c r="U369">
        <v>-3.8513180000000001E-2</v>
      </c>
      <c r="V369">
        <v>-3.6223840000000002E-3</v>
      </c>
      <c r="W369">
        <v>3.9483600000000001E-2</v>
      </c>
      <c r="X369">
        <v>0.99921360000000004</v>
      </c>
      <c r="Y369">
        <v>3.1857650000000001E-2</v>
      </c>
      <c r="Z369">
        <v>-1.029543E-3</v>
      </c>
      <c r="AA369">
        <v>0.99949189999999999</v>
      </c>
      <c r="AB369">
        <v>29</v>
      </c>
      <c r="AC369">
        <v>39.225900000000003</v>
      </c>
      <c r="AD369">
        <v>-1.1588769999999999</v>
      </c>
      <c r="AE369">
        <v>-0.50749999999999296</v>
      </c>
      <c r="AF369">
        <v>1.25448765540188</v>
      </c>
      <c r="AG369">
        <v>-1.1588769999999999</v>
      </c>
      <c r="AH369">
        <v>39.174897165400502</v>
      </c>
      <c r="AI369">
        <v>91.693569577633198</v>
      </c>
      <c r="AJ369">
        <v>88.165858762609702</v>
      </c>
      <c r="AK369">
        <v>39.212106588378902</v>
      </c>
      <c r="AL369">
        <v>87.737168038936105</v>
      </c>
      <c r="AM369">
        <v>90.207709748710897</v>
      </c>
      <c r="AN369">
        <v>0.99999994737987996</v>
      </c>
    </row>
    <row r="370" spans="1:40" x14ac:dyDescent="0.25">
      <c r="A370" t="str">
        <f>"20190312160309800"</f>
        <v>20190312160309800</v>
      </c>
      <c r="B370" t="str">
        <f>"1552377789794939"</f>
        <v>1552377789794939</v>
      </c>
      <c r="C370" t="s">
        <v>40</v>
      </c>
      <c r="D370">
        <v>4.987457</v>
      </c>
      <c r="E370">
        <v>0.51229910000000001</v>
      </c>
      <c r="F370" t="s">
        <v>43</v>
      </c>
      <c r="G370">
        <v>-402.03730000000002</v>
      </c>
      <c r="H370">
        <v>-0.05</v>
      </c>
      <c r="I370">
        <v>367.5625</v>
      </c>
      <c r="J370">
        <v>-441.53989999999999</v>
      </c>
      <c r="K370">
        <v>1.108873</v>
      </c>
      <c r="L370">
        <v>368.08580000000001</v>
      </c>
      <c r="M370">
        <v>0.99980519999999995</v>
      </c>
      <c r="N370">
        <v>0</v>
      </c>
      <c r="O370">
        <v>1.8748250000000001E-2</v>
      </c>
      <c r="P370">
        <v>0.99919880000000005</v>
      </c>
      <c r="Q370">
        <v>3.3377480000000001E-2</v>
      </c>
      <c r="R370">
        <v>2.2092259999999999E-2</v>
      </c>
      <c r="S370">
        <v>3.0062259999999998</v>
      </c>
      <c r="T370">
        <v>-8.7810639999999995E-2</v>
      </c>
      <c r="U370">
        <v>-3.9428709999999999E-2</v>
      </c>
      <c r="V370">
        <v>-3.3117210000000001E-3</v>
      </c>
      <c r="W370">
        <v>3.954887E-2</v>
      </c>
      <c r="X370">
        <v>0.99921210000000005</v>
      </c>
      <c r="Y370">
        <v>3.183768E-2</v>
      </c>
      <c r="Z370">
        <v>-1.0123549999999999E-3</v>
      </c>
      <c r="AA370">
        <v>0.99949250000000001</v>
      </c>
      <c r="AB370">
        <v>29</v>
      </c>
      <c r="AC370">
        <v>39.502599999999902</v>
      </c>
      <c r="AD370">
        <v>-1.158873</v>
      </c>
      <c r="AE370">
        <v>-0.52330000000000598</v>
      </c>
      <c r="AF370">
        <v>1.26274016472087</v>
      </c>
      <c r="AG370">
        <v>-1.158873</v>
      </c>
      <c r="AH370">
        <v>39.451897629377498</v>
      </c>
      <c r="AI370">
        <v>91.681680545232993</v>
      </c>
      <c r="AJ370">
        <v>88.166755079236594</v>
      </c>
      <c r="AK370">
        <v>39.489108953135599</v>
      </c>
      <c r="AL370">
        <v>87.733425427486594</v>
      </c>
      <c r="AM370">
        <v>90.189896560949904</v>
      </c>
      <c r="AN370">
        <v>0.99999995070033298</v>
      </c>
    </row>
    <row r="371" spans="1:40" x14ac:dyDescent="0.25">
      <c r="A371" t="str">
        <f>"20190312160309819"</f>
        <v>20190312160309819</v>
      </c>
      <c r="B371" t="str">
        <f>"1552377789815434"</f>
        <v>1552377789815434</v>
      </c>
      <c r="C371" t="s">
        <v>40</v>
      </c>
      <c r="D371">
        <v>4.9994690000000004</v>
      </c>
      <c r="E371">
        <v>0.51228109999999905</v>
      </c>
      <c r="F371" t="s">
        <v>43</v>
      </c>
      <c r="G371">
        <v>-401.83949999999999</v>
      </c>
      <c r="H371">
        <v>-0.05</v>
      </c>
      <c r="I371">
        <v>367.53769999999997</v>
      </c>
      <c r="J371">
        <v>-441.29790000000003</v>
      </c>
      <c r="K371">
        <v>1.108867</v>
      </c>
      <c r="L371">
        <v>368.0899</v>
      </c>
      <c r="M371">
        <v>0.99981359999999997</v>
      </c>
      <c r="N371">
        <v>0</v>
      </c>
      <c r="O371">
        <v>1.8291020000000002E-2</v>
      </c>
      <c r="P371">
        <v>0.9992238</v>
      </c>
      <c r="Q371">
        <v>3.3145260000000003E-2</v>
      </c>
      <c r="R371">
        <v>2.1289849999999999E-2</v>
      </c>
      <c r="S371">
        <v>3.006256</v>
      </c>
      <c r="T371">
        <v>-8.7753890000000001E-2</v>
      </c>
      <c r="U371">
        <v>-4.1503909999999998E-2</v>
      </c>
      <c r="V371">
        <v>-2.9653570000000001E-3</v>
      </c>
      <c r="W371">
        <v>3.9344469999999999E-2</v>
      </c>
      <c r="X371">
        <v>0.99922129999999998</v>
      </c>
      <c r="Y371">
        <v>3.2070399999999999E-2</v>
      </c>
      <c r="Z371">
        <v>-1.001741E-3</v>
      </c>
      <c r="AA371">
        <v>0.99948510000000002</v>
      </c>
      <c r="AB371">
        <v>29</v>
      </c>
      <c r="AC371">
        <v>39.458399999999997</v>
      </c>
      <c r="AD371">
        <v>-1.1588670000000001</v>
      </c>
      <c r="AE371">
        <v>-0.552200000000027</v>
      </c>
      <c r="AF371">
        <v>1.27275817417615</v>
      </c>
      <c r="AG371">
        <v>-1.1588670000000001</v>
      </c>
      <c r="AH371">
        <v>39.407713294309701</v>
      </c>
      <c r="AI371">
        <v>91.683540588929006</v>
      </c>
      <c r="AJ371">
        <v>88.150150675416796</v>
      </c>
      <c r="AK371">
        <v>39.445288098581997</v>
      </c>
      <c r="AL371">
        <v>87.745145904253604</v>
      </c>
      <c r="AM371">
        <v>90.170034347818898</v>
      </c>
      <c r="AN371">
        <v>0.99999999351770397</v>
      </c>
    </row>
    <row r="372" spans="1:40" x14ac:dyDescent="0.25">
      <c r="A372" t="str">
        <f>"20190312160309831"</f>
        <v>20190312160309831</v>
      </c>
      <c r="B372" t="str">
        <f>"1552377789825195"</f>
        <v>1552377789825195</v>
      </c>
      <c r="C372" t="s">
        <v>40</v>
      </c>
      <c r="D372">
        <v>5.0339859999999996</v>
      </c>
      <c r="E372">
        <v>0.51226470000000002</v>
      </c>
      <c r="F372" t="s">
        <v>43</v>
      </c>
      <c r="G372">
        <v>-402.09679999999997</v>
      </c>
      <c r="H372">
        <v>-0.05</v>
      </c>
      <c r="I372">
        <v>367.52089999999998</v>
      </c>
      <c r="J372">
        <v>-441.13869999999997</v>
      </c>
      <c r="K372">
        <v>1.1088389999999999</v>
      </c>
      <c r="L372">
        <v>368.09249999999997</v>
      </c>
      <c r="M372">
        <v>0.99981960000000003</v>
      </c>
      <c r="N372">
        <v>0</v>
      </c>
      <c r="O372">
        <v>1.798729E-2</v>
      </c>
      <c r="P372">
        <v>0.99924800000000003</v>
      </c>
      <c r="Q372">
        <v>3.2787669999999998E-2</v>
      </c>
      <c r="R372">
        <v>2.0699470000000001E-2</v>
      </c>
      <c r="S372">
        <v>3.006195</v>
      </c>
      <c r="T372">
        <v>-8.8869569999999995E-2</v>
      </c>
      <c r="U372">
        <v>-4.3640140000000001E-2</v>
      </c>
      <c r="V372">
        <v>-2.679524E-3</v>
      </c>
      <c r="W372">
        <v>3.8902779999999998E-2</v>
      </c>
      <c r="X372">
        <v>0.9992394</v>
      </c>
      <c r="Y372">
        <v>3.2476539999999998E-2</v>
      </c>
      <c r="Z372">
        <v>-1.011512E-3</v>
      </c>
      <c r="AA372">
        <v>0.99947200000000003</v>
      </c>
      <c r="AB372">
        <v>30</v>
      </c>
      <c r="AC372">
        <v>39.041899999999998</v>
      </c>
      <c r="AD372">
        <v>-1.158839</v>
      </c>
      <c r="AE372">
        <v>-0.57159999999998901</v>
      </c>
      <c r="AF372">
        <v>1.27265757639623</v>
      </c>
      <c r="AG372">
        <v>-1.158839</v>
      </c>
      <c r="AH372">
        <v>38.990957331897</v>
      </c>
      <c r="AI372">
        <v>91.701464653959505</v>
      </c>
      <c r="AJ372">
        <v>88.130540133522203</v>
      </c>
      <c r="AK372">
        <v>39.028929255008897</v>
      </c>
      <c r="AL372">
        <v>87.770472265244607</v>
      </c>
      <c r="AM372">
        <v>90.153641908351702</v>
      </c>
      <c r="AN372">
        <v>0.99999999232647696</v>
      </c>
    </row>
    <row r="373" spans="1:40" x14ac:dyDescent="0.25">
      <c r="A373" t="str">
        <f>"20190312160309842"</f>
        <v>20190312160309842</v>
      </c>
      <c r="B373" t="str">
        <f>"1552377789834955"</f>
        <v>1552377789834955</v>
      </c>
      <c r="C373" t="s">
        <v>40</v>
      </c>
      <c r="D373">
        <v>5.0016970000000001</v>
      </c>
      <c r="E373">
        <v>0.51223699999999905</v>
      </c>
      <c r="F373" t="s">
        <v>43</v>
      </c>
      <c r="G373">
        <v>-402.38130000000001</v>
      </c>
      <c r="H373">
        <v>-0.05</v>
      </c>
      <c r="I373">
        <v>367.51220000000001</v>
      </c>
      <c r="J373">
        <v>-440.97730000000001</v>
      </c>
      <c r="K373">
        <v>1.1087590000000001</v>
      </c>
      <c r="L373">
        <v>368.09519999999998</v>
      </c>
      <c r="M373">
        <v>0.99982680000000002</v>
      </c>
      <c r="N373">
        <v>0</v>
      </c>
      <c r="O373">
        <v>1.7672719999999999E-2</v>
      </c>
      <c r="P373">
        <v>0.99925560000000002</v>
      </c>
      <c r="Q373">
        <v>3.2858499999999999E-2</v>
      </c>
      <c r="R373">
        <v>2.0209290000000001E-2</v>
      </c>
      <c r="S373">
        <v>3.0061339999999999</v>
      </c>
      <c r="T373">
        <v>-8.988285E-2</v>
      </c>
      <c r="U373">
        <v>-4.501343E-2</v>
      </c>
      <c r="V373">
        <v>-2.503725E-3</v>
      </c>
      <c r="W373">
        <v>3.8690750000000003E-2</v>
      </c>
      <c r="X373">
        <v>0.99924809999999997</v>
      </c>
      <c r="Y373">
        <v>3.2618429999999997E-2</v>
      </c>
      <c r="Z373">
        <v>-1.0157759999999999E-3</v>
      </c>
      <c r="AA373">
        <v>0.99946740000000001</v>
      </c>
      <c r="AB373">
        <v>30</v>
      </c>
      <c r="AC373">
        <v>38.595999999999997</v>
      </c>
      <c r="AD373">
        <v>-1.1587590000000001</v>
      </c>
      <c r="AE373">
        <v>-0.58299999999996999</v>
      </c>
      <c r="AF373">
        <v>1.26387790149683</v>
      </c>
      <c r="AG373">
        <v>-1.1587590000000001</v>
      </c>
      <c r="AH373">
        <v>38.544933499513398</v>
      </c>
      <c r="AI373">
        <v>91.7210142543655</v>
      </c>
      <c r="AJ373">
        <v>88.121959825661605</v>
      </c>
      <c r="AK373">
        <v>38.583053381658097</v>
      </c>
      <c r="AL373">
        <v>87.782629868701903</v>
      </c>
      <c r="AM373">
        <v>90.143560518513695</v>
      </c>
      <c r="AN373">
        <v>1.00000000406402</v>
      </c>
    </row>
    <row r="374" spans="1:40" x14ac:dyDescent="0.25">
      <c r="A374" t="str">
        <f>"20190312160309856"</f>
        <v>20190312160309856</v>
      </c>
      <c r="B374" t="str">
        <f>"1552377789844715"</f>
        <v>1552377789844715</v>
      </c>
      <c r="C374" t="s">
        <v>40</v>
      </c>
      <c r="D374">
        <v>5.0061580000000001</v>
      </c>
      <c r="E374">
        <v>0.51221419999999995</v>
      </c>
      <c r="F374" t="s">
        <v>43</v>
      </c>
      <c r="G374">
        <v>-402.19909999999999</v>
      </c>
      <c r="H374">
        <v>-0.05</v>
      </c>
      <c r="I374">
        <v>367.49959999999999</v>
      </c>
      <c r="J374">
        <v>-440.80529999999999</v>
      </c>
      <c r="K374">
        <v>1.1086370000000001</v>
      </c>
      <c r="L374">
        <v>368.09789999999998</v>
      </c>
      <c r="M374">
        <v>0.99983440000000001</v>
      </c>
      <c r="N374">
        <v>0</v>
      </c>
      <c r="O374">
        <v>1.7337499999999999E-2</v>
      </c>
      <c r="P374">
        <v>0.9992529</v>
      </c>
      <c r="Q374">
        <v>3.3204490000000003E-2</v>
      </c>
      <c r="R374">
        <v>1.9784380000000001E-2</v>
      </c>
      <c r="S374">
        <v>3.0061339999999999</v>
      </c>
      <c r="T374">
        <v>-8.9828249999999998E-2</v>
      </c>
      <c r="U374">
        <v>-4.6173100000000002E-2</v>
      </c>
      <c r="V374">
        <v>-2.4141420000000002E-3</v>
      </c>
      <c r="W374">
        <v>3.875174E-2</v>
      </c>
      <c r="X374">
        <v>0.99924590000000002</v>
      </c>
      <c r="Y374">
        <v>3.2668910000000002E-2</v>
      </c>
      <c r="Z374">
        <v>-1.005896E-3</v>
      </c>
      <c r="AA374">
        <v>0.99946570000000001</v>
      </c>
      <c r="AB374">
        <v>30</v>
      </c>
      <c r="AC374">
        <v>38.606200000000001</v>
      </c>
      <c r="AD374">
        <v>-1.1586369999999999</v>
      </c>
      <c r="AE374">
        <v>-0.59829999999999395</v>
      </c>
      <c r="AF374">
        <v>1.2664149100528901</v>
      </c>
      <c r="AG374">
        <v>-1.1586369999999999</v>
      </c>
      <c r="AH374">
        <v>38.555305437777797</v>
      </c>
      <c r="AI374">
        <v>91.720367303591701</v>
      </c>
      <c r="AJ374">
        <v>88.118698573786602</v>
      </c>
      <c r="AK374">
        <v>38.593494579041597</v>
      </c>
      <c r="AL374">
        <v>87.779132649801099</v>
      </c>
      <c r="AM374">
        <v>90.138424264364502</v>
      </c>
      <c r="AN374">
        <v>0.99999994705071504</v>
      </c>
    </row>
    <row r="375" spans="1:40" x14ac:dyDescent="0.25">
      <c r="A375" t="str">
        <f>"20190312160309875"</f>
        <v>20190312160309875</v>
      </c>
      <c r="B375" t="str">
        <f>"1552377789865210"</f>
        <v>1552377789865210</v>
      </c>
      <c r="C375" t="s">
        <v>40</v>
      </c>
      <c r="D375">
        <v>5.194401</v>
      </c>
      <c r="E375">
        <v>0.51219159999999997</v>
      </c>
      <c r="F375" t="s">
        <v>43</v>
      </c>
      <c r="G375">
        <v>-401.697</v>
      </c>
      <c r="H375">
        <v>-0.05</v>
      </c>
      <c r="I375">
        <v>367.48099999999999</v>
      </c>
      <c r="J375">
        <v>-440.54169999999999</v>
      </c>
      <c r="K375">
        <v>1.1083879999999999</v>
      </c>
      <c r="L375">
        <v>368.10199999999998</v>
      </c>
      <c r="M375">
        <v>0.99984479999999998</v>
      </c>
      <c r="N375">
        <v>0</v>
      </c>
      <c r="O375">
        <v>1.6825219999999998E-2</v>
      </c>
      <c r="P375">
        <v>0.99926510000000002</v>
      </c>
      <c r="Q375">
        <v>3.3411499999999997E-2</v>
      </c>
      <c r="R375">
        <v>1.8795240000000001E-2</v>
      </c>
      <c r="S375">
        <v>3.0061339999999999</v>
      </c>
      <c r="T375">
        <v>-8.906066E-2</v>
      </c>
      <c r="U375">
        <v>-4.7424319999999999E-2</v>
      </c>
      <c r="V375">
        <v>-1.9371950000000001E-3</v>
      </c>
      <c r="W375">
        <v>3.8649290000000003E-2</v>
      </c>
      <c r="X375">
        <v>0.99925090000000005</v>
      </c>
      <c r="Y375">
        <v>3.2573339999999999E-2</v>
      </c>
      <c r="Z375">
        <v>-9.8071269999999993E-4</v>
      </c>
      <c r="AA375">
        <v>0.99946889999999999</v>
      </c>
      <c r="AB375">
        <v>30</v>
      </c>
      <c r="AC375">
        <v>38.844700000000003</v>
      </c>
      <c r="AD375">
        <v>-1.158388</v>
      </c>
      <c r="AE375">
        <v>-0.62099999999998001</v>
      </c>
      <c r="AF375">
        <v>1.2733595337880199</v>
      </c>
      <c r="AG375">
        <v>-1.158388</v>
      </c>
      <c r="AH375">
        <v>38.7942619963681</v>
      </c>
      <c r="AI375">
        <v>91.709410944082407</v>
      </c>
      <c r="AJ375">
        <v>88.120032727524304</v>
      </c>
      <c r="AK375">
        <v>38.832435812136303</v>
      </c>
      <c r="AL375">
        <v>87.7850069895009</v>
      </c>
      <c r="AM375">
        <v>90.111076165699401</v>
      </c>
      <c r="AN375">
        <v>0.99999994074638898</v>
      </c>
    </row>
    <row r="376" spans="1:40" x14ac:dyDescent="0.25">
      <c r="A376" t="str">
        <f>"20190312160309897"</f>
        <v>20190312160309897</v>
      </c>
      <c r="B376" t="str">
        <f>"1552377789884730"</f>
        <v>1552377789884730</v>
      </c>
      <c r="C376" t="s">
        <v>40</v>
      </c>
      <c r="D376">
        <v>5.0250349999999999</v>
      </c>
      <c r="E376">
        <v>0.50490649999999904</v>
      </c>
      <c r="F376" t="s">
        <v>43</v>
      </c>
      <c r="G376">
        <v>-401.27030000000002</v>
      </c>
      <c r="H376">
        <v>-0.05</v>
      </c>
      <c r="I376">
        <v>367.44459999999998</v>
      </c>
      <c r="J376">
        <v>-440.2414</v>
      </c>
      <c r="K376">
        <v>1.1079760000000001</v>
      </c>
      <c r="L376">
        <v>368.10660000000001</v>
      </c>
      <c r="M376">
        <v>0.99985429999999997</v>
      </c>
      <c r="N376">
        <v>0</v>
      </c>
      <c r="O376">
        <v>1.6251430000000001E-2</v>
      </c>
      <c r="P376">
        <v>0.99928620000000001</v>
      </c>
      <c r="Q376">
        <v>3.325082E-2</v>
      </c>
      <c r="R376">
        <v>1.7925650000000001E-2</v>
      </c>
      <c r="S376">
        <v>3.0060730000000002</v>
      </c>
      <c r="T376">
        <v>-8.8669899999999996E-2</v>
      </c>
      <c r="U376">
        <v>-5.0323489999999999E-2</v>
      </c>
      <c r="V376">
        <v>-1.6408359999999999E-3</v>
      </c>
      <c r="W376">
        <v>3.848062E-2</v>
      </c>
      <c r="X376">
        <v>0.99925799999999998</v>
      </c>
      <c r="Y376">
        <v>3.2964029999999998E-2</v>
      </c>
      <c r="Z376">
        <v>-9.6526529999999998E-4</v>
      </c>
      <c r="AA376">
        <v>0.99945600000000001</v>
      </c>
      <c r="AB376">
        <v>30</v>
      </c>
      <c r="AC376">
        <v>38.9710999999999</v>
      </c>
      <c r="AD376">
        <v>-1.1579759999999999</v>
      </c>
      <c r="AE376">
        <v>-0.66200000000003401</v>
      </c>
      <c r="AF376">
        <v>1.29411506053529</v>
      </c>
      <c r="AG376">
        <v>-1.1579759999999999</v>
      </c>
      <c r="AH376">
        <v>38.920841140332797</v>
      </c>
      <c r="AI376">
        <v>91.703225238315397</v>
      </c>
      <c r="AJ376">
        <v>88.095621204501398</v>
      </c>
      <c r="AK376">
        <v>38.959562590941701</v>
      </c>
      <c r="AL376">
        <v>87.794678395587297</v>
      </c>
      <c r="AM376">
        <v>90.094082702541399</v>
      </c>
      <c r="AN376">
        <v>1.00000000051118</v>
      </c>
    </row>
    <row r="377" spans="1:40" x14ac:dyDescent="0.25">
      <c r="A377" t="str">
        <f>"20190312160309909"</f>
        <v>20190312160309909</v>
      </c>
      <c r="B377" t="str">
        <f>"1552377789905227"</f>
        <v>1552377789905227</v>
      </c>
      <c r="C377" t="s">
        <v>40</v>
      </c>
      <c r="D377">
        <v>5.0539969999999999</v>
      </c>
      <c r="E377">
        <v>0.50600020000000001</v>
      </c>
      <c r="F377" t="s">
        <v>43</v>
      </c>
      <c r="G377">
        <v>-414.47750000000002</v>
      </c>
      <c r="H377">
        <v>-0.05</v>
      </c>
      <c r="I377">
        <v>368.1343</v>
      </c>
      <c r="J377">
        <v>-440.08690000000001</v>
      </c>
      <c r="K377">
        <v>1.1077090000000001</v>
      </c>
      <c r="L377">
        <v>368.10890000000001</v>
      </c>
      <c r="M377">
        <v>0.99985840000000004</v>
      </c>
      <c r="N377">
        <v>0</v>
      </c>
      <c r="O377">
        <v>1.596119E-2</v>
      </c>
      <c r="P377">
        <v>0.99929950000000001</v>
      </c>
      <c r="Q377">
        <v>3.3013430000000003E-2</v>
      </c>
      <c r="R377">
        <v>1.7622140000000001E-2</v>
      </c>
      <c r="S377">
        <v>3.0065919999999999</v>
      </c>
      <c r="T377">
        <v>-0.13513329999999901</v>
      </c>
      <c r="U377">
        <v>3.2348630000000001E-3</v>
      </c>
      <c r="V377">
        <v>-1.6265489999999999E-3</v>
      </c>
      <c r="W377">
        <v>3.8361020000000003E-2</v>
      </c>
      <c r="X377">
        <v>0.9992626</v>
      </c>
      <c r="Y377">
        <v>1.485451E-2</v>
      </c>
      <c r="Z377">
        <v>-1.050664E-3</v>
      </c>
      <c r="AA377">
        <v>0.99988909999999998</v>
      </c>
      <c r="AB377">
        <v>30</v>
      </c>
      <c r="AC377">
        <v>25.609399999999901</v>
      </c>
      <c r="AD377">
        <v>-1.1577090000000001</v>
      </c>
      <c r="AE377">
        <v>2.53999999999905E-2</v>
      </c>
      <c r="AF377">
        <v>0.38258368888786298</v>
      </c>
      <c r="AG377">
        <v>-1.1577090000000001</v>
      </c>
      <c r="AH377">
        <v>25.554319747765501</v>
      </c>
      <c r="AI377">
        <v>92.593655317944297</v>
      </c>
      <c r="AJ377">
        <v>89.142266616621797</v>
      </c>
      <c r="AK377">
        <v>25.583391451852599</v>
      </c>
      <c r="AL377">
        <v>87.801535986059605</v>
      </c>
      <c r="AM377">
        <v>90.093263082760203</v>
      </c>
      <c r="AN377">
        <v>0.999999978637924</v>
      </c>
    </row>
    <row r="378" spans="1:40" x14ac:dyDescent="0.25">
      <c r="A378" t="str">
        <f>"20190312160309921"</f>
        <v>20190312160309921</v>
      </c>
      <c r="B378" t="str">
        <f>"1552377789914987"</f>
        <v>1552377789914987</v>
      </c>
      <c r="C378" t="s">
        <v>40</v>
      </c>
      <c r="D378">
        <v>5.0166779999999997</v>
      </c>
      <c r="E378">
        <v>0.50611010000000001</v>
      </c>
      <c r="F378" t="s">
        <v>43</v>
      </c>
      <c r="G378">
        <v>-414.02960000000002</v>
      </c>
      <c r="H378">
        <v>-0.05</v>
      </c>
      <c r="I378">
        <v>368.05220000000003</v>
      </c>
      <c r="J378">
        <v>-439.91390000000001</v>
      </c>
      <c r="K378">
        <v>1.107318</v>
      </c>
      <c r="L378">
        <v>368.1114</v>
      </c>
      <c r="M378">
        <v>0.99986180000000002</v>
      </c>
      <c r="N378">
        <v>0</v>
      </c>
      <c r="O378">
        <v>1.5643480000000001E-2</v>
      </c>
      <c r="P378">
        <v>0.99932069999999995</v>
      </c>
      <c r="Q378">
        <v>3.2703089999999997E-2</v>
      </c>
      <c r="R378">
        <v>1.699846E-2</v>
      </c>
      <c r="S378">
        <v>3.0066220000000001</v>
      </c>
      <c r="T378">
        <v>-0.1335828</v>
      </c>
      <c r="U378">
        <v>-6.5307619999999999E-3</v>
      </c>
      <c r="V378">
        <v>-1.3187400000000001E-3</v>
      </c>
      <c r="W378">
        <v>3.8339100000000001E-2</v>
      </c>
      <c r="X378">
        <v>0.99926389999999998</v>
      </c>
      <c r="Y378">
        <v>1.7782570000000001E-2</v>
      </c>
      <c r="Z378">
        <v>-1.0895220000000001E-3</v>
      </c>
      <c r="AA378">
        <v>0.99984130000000004</v>
      </c>
      <c r="AB378">
        <v>30</v>
      </c>
      <c r="AC378">
        <v>25.8843</v>
      </c>
      <c r="AD378">
        <v>-1.1573180000000001</v>
      </c>
      <c r="AE378">
        <v>-5.9199999999975703E-2</v>
      </c>
      <c r="AF378">
        <v>0.46319373397539099</v>
      </c>
      <c r="AG378">
        <v>-1.1573180000000001</v>
      </c>
      <c r="AH378">
        <v>25.828573016074898</v>
      </c>
      <c r="AI378">
        <v>92.565162015788104</v>
      </c>
      <c r="AJ378">
        <v>88.972602878807194</v>
      </c>
      <c r="AK378">
        <v>25.858637192145899</v>
      </c>
      <c r="AL378">
        <v>87.802792845399495</v>
      </c>
      <c r="AM378">
        <v>90.075613851766306</v>
      </c>
      <c r="AN378">
        <v>0.99999998375360299</v>
      </c>
    </row>
    <row r="379" spans="1:40" x14ac:dyDescent="0.25">
      <c r="A379" t="str">
        <f>"20190312160309934"</f>
        <v>20190312160309934</v>
      </c>
      <c r="B379" t="str">
        <f>"1552377789924747"</f>
        <v>1552377789924747</v>
      </c>
      <c r="C379" t="s">
        <v>40</v>
      </c>
      <c r="D379">
        <v>5.0516180000000004</v>
      </c>
      <c r="E379">
        <v>0.50635870000000005</v>
      </c>
      <c r="F379" t="s">
        <v>43</v>
      </c>
      <c r="G379">
        <v>-414.02109999999999</v>
      </c>
      <c r="H379">
        <v>-0.05</v>
      </c>
      <c r="I379">
        <v>368.03070000000002</v>
      </c>
      <c r="J379">
        <v>-439.74520000000001</v>
      </c>
      <c r="K379">
        <v>1.1068750000000001</v>
      </c>
      <c r="L379">
        <v>368.11380000000003</v>
      </c>
      <c r="M379">
        <v>0.99986450000000004</v>
      </c>
      <c r="N379">
        <v>0</v>
      </c>
      <c r="O379">
        <v>1.5335949999999999E-2</v>
      </c>
      <c r="P379">
        <v>0.99934420000000002</v>
      </c>
      <c r="Q379">
        <v>3.2099540000000003E-2</v>
      </c>
      <c r="R379">
        <v>1.6768970000000001E-2</v>
      </c>
      <c r="S379">
        <v>3.0065919999999999</v>
      </c>
      <c r="T379">
        <v>-0.13438369999999999</v>
      </c>
      <c r="U379">
        <v>-9.3688959999999998E-3</v>
      </c>
      <c r="V379">
        <v>-1.39499E-3</v>
      </c>
      <c r="W379">
        <v>3.8108009999999998E-2</v>
      </c>
      <c r="X379">
        <v>0.99927259999999996</v>
      </c>
      <c r="Y379">
        <v>1.8418190000000001E-2</v>
      </c>
      <c r="Z379">
        <v>-1.0965199999999999E-3</v>
      </c>
      <c r="AA379">
        <v>0.99982979999999999</v>
      </c>
      <c r="AB379">
        <v>30</v>
      </c>
      <c r="AC379">
        <v>25.7241</v>
      </c>
      <c r="AD379">
        <v>-1.1568750000000001</v>
      </c>
      <c r="AE379">
        <v>-8.31000000000017E-2</v>
      </c>
      <c r="AF379">
        <v>0.47663680148514198</v>
      </c>
      <c r="AG379">
        <v>-1.1568750000000001</v>
      </c>
      <c r="AH379">
        <v>25.6678869970333</v>
      </c>
      <c r="AI379">
        <v>92.580182183241007</v>
      </c>
      <c r="AJ379">
        <v>88.936175042688106</v>
      </c>
      <c r="AK379">
        <v>25.698365031624601</v>
      </c>
      <c r="AL379">
        <v>87.816042931750601</v>
      </c>
      <c r="AM379">
        <v>90.079985168753296</v>
      </c>
      <c r="AN379">
        <v>0.99999994776700796</v>
      </c>
    </row>
    <row r="380" spans="1:40" x14ac:dyDescent="0.25">
      <c r="A380" t="str">
        <f>"20190312160309946"</f>
        <v>20190312160309946</v>
      </c>
      <c r="B380" t="str">
        <f>"1552377789935483"</f>
        <v>1552377789935483</v>
      </c>
      <c r="C380" t="s">
        <v>40</v>
      </c>
      <c r="D380">
        <v>5.0292370000000002</v>
      </c>
      <c r="E380">
        <v>0.50639259999999997</v>
      </c>
      <c r="F380" t="s">
        <v>43</v>
      </c>
      <c r="G380">
        <v>-413.39370000000002</v>
      </c>
      <c r="H380">
        <v>-0.05</v>
      </c>
      <c r="I380">
        <v>368.01080000000002</v>
      </c>
      <c r="J380">
        <v>-439.5761</v>
      </c>
      <c r="K380">
        <v>1.1063769999999999</v>
      </c>
      <c r="L380">
        <v>368.11610000000002</v>
      </c>
      <c r="M380">
        <v>0.99986620000000004</v>
      </c>
      <c r="N380">
        <v>0</v>
      </c>
      <c r="O380">
        <v>1.503007E-2</v>
      </c>
      <c r="P380">
        <v>0.99935929999999995</v>
      </c>
      <c r="Q380">
        <v>3.1740890000000001E-2</v>
      </c>
      <c r="R380">
        <v>1.6542830000000001E-2</v>
      </c>
      <c r="S380">
        <v>3.0064389999999999</v>
      </c>
      <c r="T380">
        <v>-0.13198760000000001</v>
      </c>
      <c r="U380">
        <v>-1.1749269999999999E-2</v>
      </c>
      <c r="V380">
        <v>-1.472653E-3</v>
      </c>
      <c r="W380">
        <v>3.8198540000000003E-2</v>
      </c>
      <c r="X380">
        <v>0.99926910000000002</v>
      </c>
      <c r="Y380">
        <v>1.8905140000000001E-2</v>
      </c>
      <c r="Z380">
        <v>-1.0743059999999999E-3</v>
      </c>
      <c r="AA380">
        <v>0.99982070000000001</v>
      </c>
      <c r="AB380">
        <v>31</v>
      </c>
      <c r="AC380">
        <v>26.182399999999902</v>
      </c>
      <c r="AD380">
        <v>-1.156377</v>
      </c>
      <c r="AE380">
        <v>-0.10529999999999901</v>
      </c>
      <c r="AF380">
        <v>0.49784849703633699</v>
      </c>
      <c r="AG380">
        <v>-1.156377</v>
      </c>
      <c r="AH380">
        <v>26.1268959895189</v>
      </c>
      <c r="AI380">
        <v>92.533799154277702</v>
      </c>
      <c r="AJ380">
        <v>88.908359947910199</v>
      </c>
      <c r="AK380">
        <v>26.1572122929656</v>
      </c>
      <c r="AL380">
        <v>87.810852313920194</v>
      </c>
      <c r="AM380">
        <v>90.084438456569799</v>
      </c>
      <c r="AN380">
        <v>1.0000000156898901</v>
      </c>
    </row>
    <row r="381" spans="1:40" x14ac:dyDescent="0.25">
      <c r="A381" t="str">
        <f>"20190312160309965"</f>
        <v>20190312160309965</v>
      </c>
      <c r="B381" t="str">
        <f>"1552377789955006"</f>
        <v>1552377789955006</v>
      </c>
      <c r="C381" t="s">
        <v>40</v>
      </c>
      <c r="D381">
        <v>5.0459740000000002</v>
      </c>
      <c r="E381">
        <v>0.50664979999999904</v>
      </c>
      <c r="F381" t="s">
        <v>43</v>
      </c>
      <c r="G381">
        <v>-413.5958</v>
      </c>
      <c r="H381">
        <v>-0.05</v>
      </c>
      <c r="I381">
        <v>368.00479999999999</v>
      </c>
      <c r="J381">
        <v>-439.31610000000001</v>
      </c>
      <c r="K381">
        <v>1.1054900000000001</v>
      </c>
      <c r="L381">
        <v>368.11959999999999</v>
      </c>
      <c r="M381">
        <v>0.99986439999999999</v>
      </c>
      <c r="N381">
        <v>0</v>
      </c>
      <c r="O381">
        <v>1.462372E-2</v>
      </c>
      <c r="P381">
        <v>0.99939299999999998</v>
      </c>
      <c r="Q381">
        <v>3.077119E-2</v>
      </c>
      <c r="R381">
        <v>1.6341430000000001E-2</v>
      </c>
      <c r="S381">
        <v>3.0063780000000002</v>
      </c>
      <c r="T381">
        <v>-0.13381279999999901</v>
      </c>
      <c r="U381">
        <v>-1.287842E-2</v>
      </c>
      <c r="V381">
        <v>-1.6737200000000001E-3</v>
      </c>
      <c r="W381">
        <v>3.8362449999999999E-2</v>
      </c>
      <c r="X381">
        <v>0.99926250000000005</v>
      </c>
      <c r="Y381">
        <v>1.887405E-2</v>
      </c>
      <c r="Z381">
        <v>-1.070407E-3</v>
      </c>
      <c r="AA381">
        <v>0.99982130000000002</v>
      </c>
      <c r="AB381">
        <v>31</v>
      </c>
      <c r="AC381">
        <v>25.720300000000002</v>
      </c>
      <c r="AD381">
        <v>-1.1554899999999999</v>
      </c>
      <c r="AE381">
        <v>-0.114800000000002</v>
      </c>
      <c r="AF381">
        <v>0.48993616464249801</v>
      </c>
      <c r="AG381">
        <v>-1.1554899999999999</v>
      </c>
      <c r="AH381">
        <v>25.664074534000701</v>
      </c>
      <c r="AI381">
        <v>92.577454456900398</v>
      </c>
      <c r="AJ381">
        <v>88.906336362878307</v>
      </c>
      <c r="AK381">
        <v>25.694744915493299</v>
      </c>
      <c r="AL381">
        <v>87.801454064820007</v>
      </c>
      <c r="AM381">
        <v>90.095967778644507</v>
      </c>
      <c r="AN381">
        <v>1.0000000114074401</v>
      </c>
    </row>
    <row r="382" spans="1:40" x14ac:dyDescent="0.25">
      <c r="A382" t="str">
        <f>"20190312160309977"</f>
        <v>20190312160309977</v>
      </c>
      <c r="B382" t="str">
        <f>"1552377789964763"</f>
        <v>1552377789964763</v>
      </c>
      <c r="C382" t="s">
        <v>40</v>
      </c>
      <c r="D382">
        <v>5.0461099999999997</v>
      </c>
      <c r="E382">
        <v>0.50667659999999903</v>
      </c>
      <c r="F382" t="s">
        <v>43</v>
      </c>
      <c r="G382">
        <v>-413.48520000000002</v>
      </c>
      <c r="H382">
        <v>-0.05</v>
      </c>
      <c r="I382">
        <v>367.98540000000003</v>
      </c>
      <c r="J382">
        <v>-439.15300000000002</v>
      </c>
      <c r="K382">
        <v>1.104878</v>
      </c>
      <c r="L382">
        <v>368.12180000000001</v>
      </c>
      <c r="M382">
        <v>0.99986030000000004</v>
      </c>
      <c r="N382">
        <v>0</v>
      </c>
      <c r="O382">
        <v>1.4381440000000001E-2</v>
      </c>
      <c r="P382">
        <v>0.99941639999999998</v>
      </c>
      <c r="Q382">
        <v>3.008303E-2</v>
      </c>
      <c r="R382">
        <v>1.62027E-2</v>
      </c>
      <c r="S382">
        <v>3.006195</v>
      </c>
      <c r="T382">
        <v>-0.13447590000000001</v>
      </c>
      <c r="U382">
        <v>-1.5625E-2</v>
      </c>
      <c r="V382">
        <v>-1.775195E-3</v>
      </c>
      <c r="W382">
        <v>3.8610699999999998E-2</v>
      </c>
      <c r="X382">
        <v>0.99925269999999999</v>
      </c>
      <c r="Y382">
        <v>1.9544840000000001E-2</v>
      </c>
      <c r="Z382">
        <v>-1.079939E-3</v>
      </c>
      <c r="AA382">
        <v>0.99980840000000004</v>
      </c>
      <c r="AB382">
        <v>31</v>
      </c>
      <c r="AC382">
        <v>25.6678</v>
      </c>
      <c r="AD382">
        <v>-1.1548780000000001</v>
      </c>
      <c r="AE382">
        <v>-0.13639999999998001</v>
      </c>
      <c r="AF382">
        <v>0.50451789661559099</v>
      </c>
      <c r="AG382">
        <v>-1.1548780000000001</v>
      </c>
      <c r="AH382">
        <v>25.611337628660699</v>
      </c>
      <c r="AI382">
        <v>92.581358061539504</v>
      </c>
      <c r="AJ382">
        <v>88.871476048671795</v>
      </c>
      <c r="AK382">
        <v>25.6423262718526</v>
      </c>
      <c r="AL382">
        <v>87.787219701337193</v>
      </c>
      <c r="AM382">
        <v>90.101787139841207</v>
      </c>
      <c r="AN382">
        <v>0.99999994796453195</v>
      </c>
    </row>
    <row r="383" spans="1:40" x14ac:dyDescent="0.25">
      <c r="A383" t="str">
        <f>"20190312160309992"</f>
        <v>20190312160309992</v>
      </c>
      <c r="B383" t="str">
        <f>"1552377789985258"</f>
        <v>1552377789985258</v>
      </c>
      <c r="C383" t="s">
        <v>40</v>
      </c>
      <c r="D383">
        <v>5.0474240000000004</v>
      </c>
      <c r="E383">
        <v>0.50677059999999996</v>
      </c>
      <c r="F383" t="s">
        <v>43</v>
      </c>
      <c r="G383">
        <v>-413.67840000000001</v>
      </c>
      <c r="H383">
        <v>-0.05</v>
      </c>
      <c r="I383">
        <v>367.98649999999998</v>
      </c>
      <c r="J383">
        <v>-438.94709999999998</v>
      </c>
      <c r="K383">
        <v>1.1040669999999999</v>
      </c>
      <c r="L383">
        <v>368.12430000000001</v>
      </c>
      <c r="M383">
        <v>0.99985299999999999</v>
      </c>
      <c r="N383">
        <v>0</v>
      </c>
      <c r="O383">
        <v>1.406894E-2</v>
      </c>
      <c r="P383">
        <v>0.99946060000000003</v>
      </c>
      <c r="Q383">
        <v>2.8745929999999999E-2</v>
      </c>
      <c r="R383">
        <v>1.5891240000000001E-2</v>
      </c>
      <c r="S383">
        <v>3.0061339999999999</v>
      </c>
      <c r="T383">
        <v>-0.13628189999999901</v>
      </c>
      <c r="U383">
        <v>-1.596069E-2</v>
      </c>
      <c r="V383">
        <v>-1.7737689999999999E-3</v>
      </c>
      <c r="W383">
        <v>3.8555899999999997E-2</v>
      </c>
      <c r="X383">
        <v>0.99925489999999995</v>
      </c>
      <c r="Y383">
        <v>1.9343869999999999E-2</v>
      </c>
      <c r="Z383">
        <v>-1.075744E-3</v>
      </c>
      <c r="AA383">
        <v>0.99981229999999999</v>
      </c>
      <c r="AB383">
        <v>31</v>
      </c>
      <c r="AC383">
        <v>25.2686999999999</v>
      </c>
      <c r="AD383">
        <v>-1.154067</v>
      </c>
      <c r="AE383">
        <v>-0.13780000000002601</v>
      </c>
      <c r="AF383">
        <v>0.49228043382775799</v>
      </c>
      <c r="AG383">
        <v>-1.154067</v>
      </c>
      <c r="AH383">
        <v>25.2116722641947</v>
      </c>
      <c r="AI383">
        <v>92.620392117314694</v>
      </c>
      <c r="AJ383">
        <v>88.881390843101599</v>
      </c>
      <c r="AK383">
        <v>25.242872836172602</v>
      </c>
      <c r="AL383">
        <v>87.790362029995705</v>
      </c>
      <c r="AM383">
        <v>90.1017051512964</v>
      </c>
      <c r="AN383">
        <v>1.0000000294276401</v>
      </c>
    </row>
    <row r="384" spans="1:40" x14ac:dyDescent="0.25">
      <c r="A384" t="str">
        <f>"20190312160310004"</f>
        <v>20190312160310004</v>
      </c>
      <c r="B384" t="str">
        <f>"1552377789995018"</f>
        <v>1552377789995018</v>
      </c>
      <c r="C384" t="s">
        <v>40</v>
      </c>
      <c r="D384">
        <v>5.0505620000000002</v>
      </c>
      <c r="E384">
        <v>0.50678290000000004</v>
      </c>
      <c r="F384" t="s">
        <v>43</v>
      </c>
      <c r="G384">
        <v>-414.05919999999998</v>
      </c>
      <c r="H384">
        <v>-0.05</v>
      </c>
      <c r="I384">
        <v>367.976</v>
      </c>
      <c r="J384">
        <v>-438.76830000000001</v>
      </c>
      <c r="K384">
        <v>1.1033109999999999</v>
      </c>
      <c r="L384">
        <v>368.12650000000002</v>
      </c>
      <c r="M384">
        <v>0.99984459999999997</v>
      </c>
      <c r="N384">
        <v>0</v>
      </c>
      <c r="O384">
        <v>1.3779980000000001E-2</v>
      </c>
      <c r="P384">
        <v>0.99949460000000001</v>
      </c>
      <c r="Q384">
        <v>2.7575269999999999E-2</v>
      </c>
      <c r="R384">
        <v>1.5827330000000001E-2</v>
      </c>
      <c r="S384">
        <v>3.0059200000000001</v>
      </c>
      <c r="T384">
        <v>-0.13938639999999999</v>
      </c>
      <c r="U384">
        <v>-1.791382E-2</v>
      </c>
      <c r="V384">
        <v>-1.9981899999999999E-3</v>
      </c>
      <c r="W384">
        <v>3.857973E-2</v>
      </c>
      <c r="X384">
        <v>0.99925350000000002</v>
      </c>
      <c r="Y384">
        <v>1.9703430000000001E-2</v>
      </c>
      <c r="Z384">
        <v>-1.0952480000000001E-3</v>
      </c>
      <c r="AA384">
        <v>0.99980530000000001</v>
      </c>
      <c r="AB384">
        <v>31</v>
      </c>
      <c r="AC384">
        <v>24.709099999999999</v>
      </c>
      <c r="AD384">
        <v>-1.153311</v>
      </c>
      <c r="AE384">
        <v>-0.15050000000002201</v>
      </c>
      <c r="AF384">
        <v>0.489929869508898</v>
      </c>
      <c r="AG384">
        <v>-1.153311</v>
      </c>
      <c r="AH384">
        <v>24.650976800568198</v>
      </c>
      <c r="AI384">
        <v>92.678136615671093</v>
      </c>
      <c r="AJ384">
        <v>88.861415559377704</v>
      </c>
      <c r="AK384">
        <v>24.682804029564998</v>
      </c>
      <c r="AL384">
        <v>87.788995529732105</v>
      </c>
      <c r="AM384">
        <v>90.114573229979698</v>
      </c>
      <c r="AN384">
        <v>0.99999997279619901</v>
      </c>
    </row>
    <row r="385" spans="1:40" x14ac:dyDescent="0.25">
      <c r="A385" t="str">
        <f>"20190312160310021"</f>
        <v>20190312160310021</v>
      </c>
      <c r="B385" t="str">
        <f>"1552377790015515"</f>
        <v>1552377790015515</v>
      </c>
      <c r="C385" t="s">
        <v>40</v>
      </c>
      <c r="D385">
        <v>5.0724289999999996</v>
      </c>
      <c r="E385">
        <v>0.5069361</v>
      </c>
      <c r="F385" t="s">
        <v>43</v>
      </c>
      <c r="G385">
        <v>-414.51920000000001</v>
      </c>
      <c r="H385">
        <v>-0.05</v>
      </c>
      <c r="I385">
        <v>367.98070000000001</v>
      </c>
      <c r="J385">
        <v>-438.55040000000002</v>
      </c>
      <c r="K385">
        <v>1.1022510000000001</v>
      </c>
      <c r="L385">
        <v>368.12909999999999</v>
      </c>
      <c r="M385">
        <v>0.99983670000000002</v>
      </c>
      <c r="N385">
        <v>0</v>
      </c>
      <c r="O385">
        <v>1.336596E-2</v>
      </c>
      <c r="P385">
        <v>0.99952819999999998</v>
      </c>
      <c r="Q385">
        <v>2.6383230000000001E-2</v>
      </c>
      <c r="R385">
        <v>1.5736429999999999E-2</v>
      </c>
      <c r="S385">
        <v>3.0057070000000001</v>
      </c>
      <c r="T385">
        <v>-0.1429541</v>
      </c>
      <c r="U385">
        <v>-1.8066410000000001E-2</v>
      </c>
      <c r="V385">
        <v>-2.3207710000000001E-3</v>
      </c>
      <c r="W385">
        <v>3.8547329999999998E-2</v>
      </c>
      <c r="X385">
        <v>0.99925410000000003</v>
      </c>
      <c r="Y385">
        <v>1.9339789999999999E-2</v>
      </c>
      <c r="Z385">
        <v>-1.0950160000000001E-3</v>
      </c>
      <c r="AA385">
        <v>0.99981240000000005</v>
      </c>
      <c r="AB385">
        <v>31</v>
      </c>
      <c r="AC385">
        <v>24.031199999999998</v>
      </c>
      <c r="AD385">
        <v>-1.1522509999999999</v>
      </c>
      <c r="AE385">
        <v>-0.14839999999998099</v>
      </c>
      <c r="AF385">
        <v>0.46853343100917899</v>
      </c>
      <c r="AG385">
        <v>-1.1522509999999999</v>
      </c>
      <c r="AH385">
        <v>23.971959379022</v>
      </c>
      <c r="AI385">
        <v>92.751371623206694</v>
      </c>
      <c r="AJ385">
        <v>88.880293005250294</v>
      </c>
      <c r="AK385">
        <v>24.0042088478761</v>
      </c>
      <c r="AL385">
        <v>87.790853398158006</v>
      </c>
      <c r="AM385">
        <v>90.133069400901505</v>
      </c>
      <c r="AN385">
        <v>1.0000000194974801</v>
      </c>
    </row>
    <row r="386" spans="1:40" x14ac:dyDescent="0.25">
      <c r="A386" t="str">
        <f>"20190312160310033"</f>
        <v>20190312160310033</v>
      </c>
      <c r="B386" t="str">
        <f>"1552377790025275"</f>
        <v>1552377790025275</v>
      </c>
      <c r="C386" t="s">
        <v>40</v>
      </c>
      <c r="D386">
        <v>5.088762</v>
      </c>
      <c r="E386">
        <v>0.506934</v>
      </c>
      <c r="F386" t="s">
        <v>43</v>
      </c>
      <c r="G386">
        <v>-415.04539999999997</v>
      </c>
      <c r="H386">
        <v>-0.05</v>
      </c>
      <c r="I386">
        <v>367.97710000000001</v>
      </c>
      <c r="J386">
        <v>-438.37849999999997</v>
      </c>
      <c r="K386">
        <v>1.101345</v>
      </c>
      <c r="L386">
        <v>368.1311</v>
      </c>
      <c r="M386">
        <v>0.99983140000000004</v>
      </c>
      <c r="N386">
        <v>0</v>
      </c>
      <c r="O386">
        <v>1.3019579999999999E-2</v>
      </c>
      <c r="P386">
        <v>0.99956540000000005</v>
      </c>
      <c r="Q386">
        <v>2.5151150000000001E-2</v>
      </c>
      <c r="R386">
        <v>1.5389659999999999E-2</v>
      </c>
      <c r="S386">
        <v>3.005585</v>
      </c>
      <c r="T386">
        <v>-0.14733859999999999</v>
      </c>
      <c r="U386">
        <v>-1.9439700000000001E-2</v>
      </c>
      <c r="V386">
        <v>-2.321287E-3</v>
      </c>
      <c r="W386">
        <v>3.8100849999999999E-2</v>
      </c>
      <c r="X386">
        <v>0.99927120000000003</v>
      </c>
      <c r="Y386">
        <v>1.9448590000000002E-2</v>
      </c>
      <c r="Z386">
        <v>-1.1143080000000001E-3</v>
      </c>
      <c r="AA386">
        <v>0.99981019999999998</v>
      </c>
      <c r="AB386">
        <v>31</v>
      </c>
      <c r="AC386">
        <v>23.333100000000002</v>
      </c>
      <c r="AD386">
        <v>-1.1513450000000001</v>
      </c>
      <c r="AE386">
        <v>-0.153999999999996</v>
      </c>
      <c r="AF386">
        <v>0.4566876752922</v>
      </c>
      <c r="AG386">
        <v>-1.1513450000000001</v>
      </c>
      <c r="AH386">
        <v>23.2724551421129</v>
      </c>
      <c r="AI386">
        <v>92.831708226468706</v>
      </c>
      <c r="AJ386">
        <v>88.875798954693906</v>
      </c>
      <c r="AK386">
        <v>23.305392665292</v>
      </c>
      <c r="AL386">
        <v>87.816453575575196</v>
      </c>
      <c r="AM386">
        <v>90.133096709788404</v>
      </c>
      <c r="AN386">
        <v>0.99999999714674903</v>
      </c>
    </row>
    <row r="387" spans="1:40" x14ac:dyDescent="0.25">
      <c r="A387" t="str">
        <f>"20190312160310044"</f>
        <v>20190312160310044</v>
      </c>
      <c r="B387" t="str">
        <f>"1552377790035035"</f>
        <v>1552377790035035</v>
      </c>
      <c r="C387" t="s">
        <v>40</v>
      </c>
      <c r="D387">
        <v>5.0827479999999996</v>
      </c>
      <c r="E387">
        <v>0.50697389999999998</v>
      </c>
      <c r="F387" t="s">
        <v>43</v>
      </c>
      <c r="G387">
        <v>-415.55739999999997</v>
      </c>
      <c r="H387">
        <v>-0.05</v>
      </c>
      <c r="I387">
        <v>367.97669999999999</v>
      </c>
      <c r="J387">
        <v>-438.20890000000003</v>
      </c>
      <c r="K387">
        <v>1.1003810000000001</v>
      </c>
      <c r="L387">
        <v>368.13299999999998</v>
      </c>
      <c r="M387">
        <v>0.99982700000000002</v>
      </c>
      <c r="N387">
        <v>0</v>
      </c>
      <c r="O387">
        <v>1.266455E-2</v>
      </c>
      <c r="P387">
        <v>0.99958650000000004</v>
      </c>
      <c r="Q387">
        <v>2.4456829999999999E-2</v>
      </c>
      <c r="R387">
        <v>1.5130869999999999E-2</v>
      </c>
      <c r="S387">
        <v>3.0054020000000001</v>
      </c>
      <c r="T387">
        <v>-0.15162539999999999</v>
      </c>
      <c r="U387">
        <v>-2.0324709999999999E-2</v>
      </c>
      <c r="V387">
        <v>-2.4175389999999998E-3</v>
      </c>
      <c r="W387">
        <v>3.8084659999999999E-2</v>
      </c>
      <c r="X387">
        <v>0.99927160000000004</v>
      </c>
      <c r="Y387">
        <v>1.93867E-2</v>
      </c>
      <c r="Z387">
        <v>-1.127301E-3</v>
      </c>
      <c r="AA387">
        <v>0.99981140000000002</v>
      </c>
      <c r="AB387">
        <v>31</v>
      </c>
      <c r="AC387">
        <v>22.651499999999999</v>
      </c>
      <c r="AD387">
        <v>-1.1503809999999901</v>
      </c>
      <c r="AE387">
        <v>-0.15630000000004399</v>
      </c>
      <c r="AF387">
        <v>0.44204505930580201</v>
      </c>
      <c r="AG387">
        <v>-1.1503809999999901</v>
      </c>
      <c r="AH387">
        <v>22.589442876974299</v>
      </c>
      <c r="AI387">
        <v>92.914746602938393</v>
      </c>
      <c r="AJ387">
        <v>88.878941625495699</v>
      </c>
      <c r="AK387">
        <v>22.623034937242601</v>
      </c>
      <c r="AL387">
        <v>87.817381892120096</v>
      </c>
      <c r="AM387">
        <v>90.138615478780693</v>
      </c>
      <c r="AN387">
        <v>1.0000000081943401</v>
      </c>
    </row>
    <row r="388" spans="1:40" x14ac:dyDescent="0.25">
      <c r="A388" t="str">
        <f>"20190312160310057"</f>
        <v>20190312160310057</v>
      </c>
      <c r="B388" t="str">
        <f>"1552377790044795"</f>
        <v>1552377790044795</v>
      </c>
      <c r="C388" t="s">
        <v>40</v>
      </c>
      <c r="D388">
        <v>5.163538</v>
      </c>
      <c r="E388">
        <v>0.50685349999999996</v>
      </c>
      <c r="F388" t="s">
        <v>43</v>
      </c>
      <c r="G388">
        <v>-415.74200000000002</v>
      </c>
      <c r="H388">
        <v>-0.05</v>
      </c>
      <c r="I388">
        <v>367.97219999999999</v>
      </c>
      <c r="J388">
        <v>-438.04680000000002</v>
      </c>
      <c r="K388">
        <v>1.0993889999999999</v>
      </c>
      <c r="L388">
        <v>368.13479999999998</v>
      </c>
      <c r="M388">
        <v>0.99982269999999895</v>
      </c>
      <c r="N388">
        <v>0</v>
      </c>
      <c r="O388">
        <v>1.2334619999999999E-2</v>
      </c>
      <c r="P388">
        <v>0.99960839999999995</v>
      </c>
      <c r="Q388">
        <v>2.376704E-2</v>
      </c>
      <c r="R388">
        <v>1.4776579999999999E-2</v>
      </c>
      <c r="S388">
        <v>3.0053100000000001</v>
      </c>
      <c r="T388">
        <v>-0.15388250000000001</v>
      </c>
      <c r="U388">
        <v>-2.1514889999999998E-2</v>
      </c>
      <c r="V388">
        <v>-2.3922940000000001E-3</v>
      </c>
      <c r="W388">
        <v>3.7988889999999997E-2</v>
      </c>
      <c r="X388">
        <v>0.99927529999999998</v>
      </c>
      <c r="Y388">
        <v>1.945214E-2</v>
      </c>
      <c r="Z388">
        <v>-1.12889E-3</v>
      </c>
      <c r="AA388">
        <v>0.99981019999999998</v>
      </c>
      <c r="AB388">
        <v>31</v>
      </c>
      <c r="AC388">
        <v>22.3048</v>
      </c>
      <c r="AD388">
        <v>-1.149389</v>
      </c>
      <c r="AE388">
        <v>-0.162599999999997</v>
      </c>
      <c r="AF388">
        <v>0.43657746392841501</v>
      </c>
      <c r="AG388">
        <v>-1.149389</v>
      </c>
      <c r="AH388">
        <v>22.242037639688501</v>
      </c>
      <c r="AI388">
        <v>92.957641008675296</v>
      </c>
      <c r="AJ388">
        <v>88.875515147816998</v>
      </c>
      <c r="AK388">
        <v>22.275994552896002</v>
      </c>
      <c r="AL388">
        <v>87.822873069169802</v>
      </c>
      <c r="AM388">
        <v>90.1371674929741</v>
      </c>
      <c r="AN388">
        <v>1.0000000020120501</v>
      </c>
    </row>
    <row r="389" spans="1:40" x14ac:dyDescent="0.25">
      <c r="A389" t="str">
        <f>"20190312160310072"</f>
        <v>20190312160310072</v>
      </c>
      <c r="B389" t="str">
        <f>"1552377790065291"</f>
        <v>1552377790065291</v>
      </c>
      <c r="C389" t="s">
        <v>40</v>
      </c>
      <c r="D389">
        <v>5.0838919999999996</v>
      </c>
      <c r="E389">
        <v>0.50681350000000003</v>
      </c>
      <c r="F389" t="s">
        <v>43</v>
      </c>
      <c r="G389">
        <v>-416.21230000000003</v>
      </c>
      <c r="H389">
        <v>-0.05</v>
      </c>
      <c r="I389">
        <v>367.97649999999999</v>
      </c>
      <c r="J389">
        <v>-437.84829999999999</v>
      </c>
      <c r="K389">
        <v>1.098122</v>
      </c>
      <c r="L389">
        <v>368.13690000000003</v>
      </c>
      <c r="M389">
        <v>0.99981770000000003</v>
      </c>
      <c r="N389">
        <v>0</v>
      </c>
      <c r="O389">
        <v>1.193812E-2</v>
      </c>
      <c r="P389">
        <v>0.99963440000000003</v>
      </c>
      <c r="Q389">
        <v>2.2955360000000001E-2</v>
      </c>
      <c r="R389">
        <v>1.429307E-2</v>
      </c>
      <c r="S389">
        <v>3.0052490000000001</v>
      </c>
      <c r="T389">
        <v>-0.1581997</v>
      </c>
      <c r="U389">
        <v>-2.1789550000000001E-2</v>
      </c>
      <c r="V389">
        <v>-2.3046310000000001E-3</v>
      </c>
      <c r="W389">
        <v>3.7862609999999998E-2</v>
      </c>
      <c r="X389">
        <v>0.99928030000000001</v>
      </c>
      <c r="Y389">
        <v>1.9145880000000001E-2</v>
      </c>
      <c r="Z389">
        <v>-1.1316340000000001E-3</v>
      </c>
      <c r="AA389">
        <v>0.99981609999999999</v>
      </c>
      <c r="AB389">
        <v>31</v>
      </c>
      <c r="AC389">
        <v>21.6359999999999</v>
      </c>
      <c r="AD389">
        <v>-1.1481219999999901</v>
      </c>
      <c r="AE389">
        <v>-0.16040000000003801</v>
      </c>
      <c r="AF389">
        <v>0.41753472819621401</v>
      </c>
      <c r="AG389">
        <v>-1.1481219999999901</v>
      </c>
      <c r="AH389">
        <v>21.5718013651157</v>
      </c>
      <c r="AI389">
        <v>93.046025256520295</v>
      </c>
      <c r="AJ389">
        <v>88.891145412339398</v>
      </c>
      <c r="AK389">
        <v>21.6063678926409</v>
      </c>
      <c r="AL389">
        <v>87.830113592035204</v>
      </c>
      <c r="AM389">
        <v>90.132140497035493</v>
      </c>
      <c r="AN389">
        <v>1.0000000032640699</v>
      </c>
    </row>
    <row r="390" spans="1:40" x14ac:dyDescent="0.25">
      <c r="A390" t="str">
        <f>"20190312160310088"</f>
        <v>20190312160310088</v>
      </c>
      <c r="B390" t="str">
        <f>"1552377790075051"</f>
        <v>1552377790075051</v>
      </c>
      <c r="C390" t="s">
        <v>40</v>
      </c>
      <c r="D390">
        <v>5.06846</v>
      </c>
      <c r="E390">
        <v>0.50685899999999995</v>
      </c>
      <c r="F390" t="s">
        <v>43</v>
      </c>
      <c r="G390">
        <v>-416.38569999999999</v>
      </c>
      <c r="H390">
        <v>-0.05</v>
      </c>
      <c r="I390">
        <v>367.97320000000002</v>
      </c>
      <c r="J390">
        <v>-437.60829999999999</v>
      </c>
      <c r="K390">
        <v>1.096479</v>
      </c>
      <c r="L390">
        <v>368.13940000000002</v>
      </c>
      <c r="M390">
        <v>0.99981200000000003</v>
      </c>
      <c r="N390">
        <v>0</v>
      </c>
      <c r="O390">
        <v>1.1477599999999999E-2</v>
      </c>
      <c r="P390">
        <v>0.99966580000000005</v>
      </c>
      <c r="Q390">
        <v>2.2086720000000001E-2</v>
      </c>
      <c r="R390">
        <v>1.343137E-2</v>
      </c>
      <c r="S390">
        <v>3.0051570000000001</v>
      </c>
      <c r="T390">
        <v>-0.1607585</v>
      </c>
      <c r="U390">
        <v>-2.29187E-2</v>
      </c>
      <c r="V390">
        <v>-1.9020040000000001E-3</v>
      </c>
      <c r="W390">
        <v>3.7715850000000002E-2</v>
      </c>
      <c r="X390">
        <v>0.99928669999999997</v>
      </c>
      <c r="Y390">
        <v>1.9060730000000001E-2</v>
      </c>
      <c r="Z390">
        <v>-1.123057E-3</v>
      </c>
      <c r="AA390">
        <v>0.99981770000000003</v>
      </c>
      <c r="AB390">
        <v>31</v>
      </c>
      <c r="AC390">
        <v>21.2226</v>
      </c>
      <c r="AD390">
        <v>-1.146479</v>
      </c>
      <c r="AE390">
        <v>-0.16620000000000301</v>
      </c>
      <c r="AF390">
        <v>0.40861092409126398</v>
      </c>
      <c r="AG390">
        <v>-1.146479</v>
      </c>
      <c r="AH390">
        <v>21.157552894926599</v>
      </c>
      <c r="AI390">
        <v>93.101115547027305</v>
      </c>
      <c r="AJ390">
        <v>88.893597408884503</v>
      </c>
      <c r="AK390">
        <v>21.192532210341099</v>
      </c>
      <c r="AL390">
        <v>87.838528336649802</v>
      </c>
      <c r="AM390">
        <v>90.109054458762799</v>
      </c>
      <c r="AN390">
        <v>1.00000000587866</v>
      </c>
    </row>
    <row r="391" spans="1:40" x14ac:dyDescent="0.25">
      <c r="A391" t="str">
        <f>"20190312160310112"</f>
        <v>20190312160310112</v>
      </c>
      <c r="B391" t="str">
        <f>"1552377790105307"</f>
        <v>1552377790105307</v>
      </c>
      <c r="C391" t="s">
        <v>40</v>
      </c>
      <c r="D391">
        <v>5.0889680000000004</v>
      </c>
      <c r="E391">
        <v>0.50679810000000003</v>
      </c>
      <c r="F391" t="s">
        <v>43</v>
      </c>
      <c r="G391">
        <v>-416.54860000000002</v>
      </c>
      <c r="H391">
        <v>-0.05</v>
      </c>
      <c r="I391">
        <v>367.95650000000001</v>
      </c>
      <c r="J391">
        <v>-437.28149999999999</v>
      </c>
      <c r="K391">
        <v>1.093996</v>
      </c>
      <c r="L391">
        <v>368.14249999999998</v>
      </c>
      <c r="M391">
        <v>0.99980880000000005</v>
      </c>
      <c r="N391">
        <v>0</v>
      </c>
      <c r="O391">
        <v>1.0871509999999999E-2</v>
      </c>
      <c r="P391">
        <v>0.99968950000000001</v>
      </c>
      <c r="Q391">
        <v>2.1614009999999999E-2</v>
      </c>
      <c r="R391">
        <v>1.2417600000000001E-2</v>
      </c>
      <c r="S391">
        <v>3.0049739999999998</v>
      </c>
      <c r="T391">
        <v>-0.16358900000000001</v>
      </c>
      <c r="U391">
        <v>-2.6092529999999999E-2</v>
      </c>
      <c r="V391">
        <v>-1.4912549999999999E-3</v>
      </c>
      <c r="W391">
        <v>3.7865469999999998E-2</v>
      </c>
      <c r="X391">
        <v>0.99928170000000005</v>
      </c>
      <c r="Y391">
        <v>1.9509820000000001E-2</v>
      </c>
      <c r="Z391">
        <v>-1.122114E-3</v>
      </c>
      <c r="AA391">
        <v>0.99980899999999995</v>
      </c>
      <c r="AB391">
        <v>31</v>
      </c>
      <c r="AC391">
        <v>20.732899999999901</v>
      </c>
      <c r="AD391">
        <v>-1.143996</v>
      </c>
      <c r="AE391">
        <v>-0.18599999999997799</v>
      </c>
      <c r="AF391">
        <v>0.41016801960003302</v>
      </c>
      <c r="AG391">
        <v>-1.143996</v>
      </c>
      <c r="AH391">
        <v>20.666735379028299</v>
      </c>
      <c r="AI391">
        <v>93.167721039870301</v>
      </c>
      <c r="AJ391">
        <v>88.863012900277496</v>
      </c>
      <c r="AK391">
        <v>20.702437438115801</v>
      </c>
      <c r="AL391">
        <v>87.829949529363006</v>
      </c>
      <c r="AM391">
        <v>90.085503971752701</v>
      </c>
      <c r="AN391">
        <v>0.99999996680734204</v>
      </c>
    </row>
    <row r="392" spans="1:40" x14ac:dyDescent="0.25">
      <c r="A392" t="str">
        <f>"20190312160310123"</f>
        <v>20190312160310123</v>
      </c>
      <c r="B392" t="str">
        <f>"1552377790115066"</f>
        <v>1552377790115066</v>
      </c>
      <c r="C392" t="s">
        <v>40</v>
      </c>
      <c r="D392">
        <v>5.0784969999999996</v>
      </c>
      <c r="E392">
        <v>0.50670490000000001</v>
      </c>
      <c r="F392" t="s">
        <v>43</v>
      </c>
      <c r="G392">
        <v>-416.0016</v>
      </c>
      <c r="H392">
        <v>-0.05</v>
      </c>
      <c r="I392">
        <v>367.94040000000001</v>
      </c>
      <c r="J392">
        <v>-437.11189999999999</v>
      </c>
      <c r="K392">
        <v>1.0926209999999901</v>
      </c>
      <c r="L392">
        <v>368.14409999999998</v>
      </c>
      <c r="M392">
        <v>0.99980939999999996</v>
      </c>
      <c r="N392">
        <v>0</v>
      </c>
      <c r="O392">
        <v>1.0561579999999999E-2</v>
      </c>
      <c r="P392">
        <v>0.99969660000000005</v>
      </c>
      <c r="Q392">
        <v>2.1435389999999999E-2</v>
      </c>
      <c r="R392">
        <v>1.215052E-2</v>
      </c>
      <c r="S392">
        <v>3.004791</v>
      </c>
      <c r="T392">
        <v>-0.1615366</v>
      </c>
      <c r="U392">
        <v>-2.8533940000000001E-2</v>
      </c>
      <c r="V392">
        <v>-1.53366299999999E-3</v>
      </c>
      <c r="W392">
        <v>3.7856899999999999E-2</v>
      </c>
      <c r="X392">
        <v>0.999282</v>
      </c>
      <c r="Y392">
        <v>2.0013570000000001E-2</v>
      </c>
      <c r="Z392">
        <v>-1.1050019999999999E-3</v>
      </c>
      <c r="AA392">
        <v>0.99979910000000005</v>
      </c>
      <c r="AB392">
        <v>31</v>
      </c>
      <c r="AC392">
        <v>21.110299999999899</v>
      </c>
      <c r="AD392">
        <v>-1.1426210000000001</v>
      </c>
      <c r="AE392">
        <v>-0.20369999999996899</v>
      </c>
      <c r="AF392">
        <v>0.42543057430417403</v>
      </c>
      <c r="AG392">
        <v>-1.1426210000000001</v>
      </c>
      <c r="AH392">
        <v>21.045320907173799</v>
      </c>
      <c r="AI392">
        <v>93.107095116810697</v>
      </c>
      <c r="AJ392">
        <v>88.841925147535605</v>
      </c>
      <c r="AK392">
        <v>21.080609716256301</v>
      </c>
      <c r="AL392">
        <v>87.830440992163005</v>
      </c>
      <c r="AM392">
        <v>90.087935485779596</v>
      </c>
      <c r="AN392">
        <v>1.0000000062619001</v>
      </c>
    </row>
    <row r="393" spans="1:40" x14ac:dyDescent="0.25">
      <c r="A393" t="str">
        <f>"20190312160310135"</f>
        <v>20190312160310135</v>
      </c>
      <c r="B393" t="str">
        <f>"1552377790124826"</f>
        <v>1552377790124826</v>
      </c>
      <c r="C393" t="s">
        <v>40</v>
      </c>
      <c r="D393">
        <v>5.0417489999999896</v>
      </c>
      <c r="E393">
        <v>0.50664989999999999</v>
      </c>
      <c r="F393" t="s">
        <v>43</v>
      </c>
      <c r="G393">
        <v>-415.73860000000002</v>
      </c>
      <c r="H393">
        <v>-0.05</v>
      </c>
      <c r="I393">
        <v>367.94220000000001</v>
      </c>
      <c r="J393">
        <v>-436.95370000000003</v>
      </c>
      <c r="K393">
        <v>1.09128</v>
      </c>
      <c r="L393">
        <v>368.14550000000003</v>
      </c>
      <c r="M393">
        <v>0.99981140000000002</v>
      </c>
      <c r="N393">
        <v>0</v>
      </c>
      <c r="O393">
        <v>1.029774E-2</v>
      </c>
      <c r="P393">
        <v>0.99970289999999995</v>
      </c>
      <c r="Q393">
        <v>2.129907E-2</v>
      </c>
      <c r="R393">
        <v>1.1859979999999999E-2</v>
      </c>
      <c r="S393">
        <v>3.0047000000000001</v>
      </c>
      <c r="T393">
        <v>-0.16063239999999901</v>
      </c>
      <c r="U393">
        <v>-2.838135E-2</v>
      </c>
      <c r="V393">
        <v>-1.5050790000000001E-3</v>
      </c>
      <c r="W393">
        <v>3.7769690000000002E-2</v>
      </c>
      <c r="X393">
        <v>0.99928530000000004</v>
      </c>
      <c r="Y393">
        <v>1.9700570000000001E-2</v>
      </c>
      <c r="Z393">
        <v>-1.0764030000000001E-3</v>
      </c>
      <c r="AA393">
        <v>0.99980530000000001</v>
      </c>
      <c r="AB393">
        <v>31</v>
      </c>
      <c r="AC393">
        <v>21.2151</v>
      </c>
      <c r="AD393">
        <v>-1.1412799999999901</v>
      </c>
      <c r="AE393">
        <v>-0.203300000000012</v>
      </c>
      <c r="AF393">
        <v>0.42056941879828802</v>
      </c>
      <c r="AG393">
        <v>-1.1412799999999901</v>
      </c>
      <c r="AH393">
        <v>21.150677153387502</v>
      </c>
      <c r="AI393">
        <v>93.088047112941695</v>
      </c>
      <c r="AJ393">
        <v>88.860855500055493</v>
      </c>
      <c r="AK393">
        <v>21.185621131353599</v>
      </c>
      <c r="AL393">
        <v>87.835441239016504</v>
      </c>
      <c r="AM393">
        <v>90.086296285280994</v>
      </c>
      <c r="AN393">
        <v>0.99999996277078995</v>
      </c>
    </row>
    <row r="394" spans="1:40" x14ac:dyDescent="0.25">
      <c r="A394" t="str">
        <f>"20190312160310147"</f>
        <v>20190312160310147</v>
      </c>
      <c r="B394" t="str">
        <f>"1552377790135562"</f>
        <v>1552377790135562</v>
      </c>
      <c r="C394" t="s">
        <v>40</v>
      </c>
      <c r="D394">
        <v>5.102627</v>
      </c>
      <c r="E394">
        <v>0.50674949999999996</v>
      </c>
      <c r="F394" t="s">
        <v>43</v>
      </c>
      <c r="G394">
        <v>-415.28800000000001</v>
      </c>
      <c r="H394">
        <v>-0.05</v>
      </c>
      <c r="I394">
        <v>367.93819999999999</v>
      </c>
      <c r="J394">
        <v>-436.78730000000002</v>
      </c>
      <c r="K394">
        <v>1.089844</v>
      </c>
      <c r="L394">
        <v>368.14690000000002</v>
      </c>
      <c r="M394">
        <v>0.99981390000000003</v>
      </c>
      <c r="N394">
        <v>0</v>
      </c>
      <c r="O394">
        <v>1.00315E-2</v>
      </c>
      <c r="P394">
        <v>0.99970599999999998</v>
      </c>
      <c r="Q394">
        <v>2.1311429999999999E-2</v>
      </c>
      <c r="R394">
        <v>1.1583660000000001E-2</v>
      </c>
      <c r="S394">
        <v>3.0046080000000002</v>
      </c>
      <c r="T394">
        <v>-0.1582732</v>
      </c>
      <c r="U394">
        <v>-2.8747559999999998E-2</v>
      </c>
      <c r="V394">
        <v>-1.494595E-3</v>
      </c>
      <c r="W394">
        <v>3.7785899999999997E-2</v>
      </c>
      <c r="X394">
        <v>0.99928470000000003</v>
      </c>
      <c r="Y394">
        <v>1.9558280000000001E-2</v>
      </c>
      <c r="Z394">
        <v>-1.042886E-3</v>
      </c>
      <c r="AA394">
        <v>0.99980820000000004</v>
      </c>
      <c r="AB394">
        <v>31</v>
      </c>
      <c r="AC394">
        <v>21.499300000000002</v>
      </c>
      <c r="AD394">
        <v>-1.1398440000000001</v>
      </c>
      <c r="AE394">
        <v>-0.20870000000002101</v>
      </c>
      <c r="AF394">
        <v>0.42319956010020399</v>
      </c>
      <c r="AG394">
        <v>-1.1398440000000001</v>
      </c>
      <c r="AH394">
        <v>21.4358760898253</v>
      </c>
      <c r="AI394">
        <v>93.043221215224705</v>
      </c>
      <c r="AJ394">
        <v>88.868980255272405</v>
      </c>
      <c r="AK394">
        <v>21.470331295775299</v>
      </c>
      <c r="AL394">
        <v>87.834511804616795</v>
      </c>
      <c r="AM394">
        <v>90.085695219517106</v>
      </c>
      <c r="AN394">
        <v>0.99999995985355605</v>
      </c>
    </row>
    <row r="395" spans="1:40" x14ac:dyDescent="0.25">
      <c r="A395" t="str">
        <f>"20190312160310158"</f>
        <v>20190312160310158</v>
      </c>
      <c r="B395" t="str">
        <f>"1552377790155083"</f>
        <v>1552377790155083</v>
      </c>
      <c r="C395" t="s">
        <v>40</v>
      </c>
      <c r="D395">
        <v>5.0700269999999996</v>
      </c>
      <c r="E395">
        <v>0.50668970000000002</v>
      </c>
      <c r="F395" t="s">
        <v>43</v>
      </c>
      <c r="G395">
        <v>-414.81459999999998</v>
      </c>
      <c r="H395">
        <v>-0.05</v>
      </c>
      <c r="I395">
        <v>367.92349999999999</v>
      </c>
      <c r="J395">
        <v>-436.62540000000001</v>
      </c>
      <c r="K395">
        <v>1.088414</v>
      </c>
      <c r="L395">
        <v>368.14819999999997</v>
      </c>
      <c r="M395">
        <v>0.99981730000000002</v>
      </c>
      <c r="N395">
        <v>0</v>
      </c>
      <c r="O395">
        <v>9.771854E-3</v>
      </c>
      <c r="P395">
        <v>0.99970840000000005</v>
      </c>
      <c r="Q395">
        <v>2.1368249999999998E-2</v>
      </c>
      <c r="R395">
        <v>1.1259750000000001E-2</v>
      </c>
      <c r="S395">
        <v>3.0045470000000001</v>
      </c>
      <c r="T395">
        <v>-0.1558621</v>
      </c>
      <c r="U395">
        <v>-3.0548100000000002E-2</v>
      </c>
      <c r="V395">
        <v>-1.42979E-3</v>
      </c>
      <c r="W395">
        <v>3.7803999999999997E-2</v>
      </c>
      <c r="X395">
        <v>0.99928410000000001</v>
      </c>
      <c r="Y395">
        <v>1.9899050000000001E-2</v>
      </c>
      <c r="Z395">
        <v>-1.0224089999999999E-3</v>
      </c>
      <c r="AA395">
        <v>0.99980150000000001</v>
      </c>
      <c r="AB395">
        <v>31</v>
      </c>
      <c r="AC395">
        <v>21.8108</v>
      </c>
      <c r="AD395">
        <v>-1.138414</v>
      </c>
      <c r="AE395">
        <v>-0.224699999999984</v>
      </c>
      <c r="AF395">
        <v>0.43666051306290699</v>
      </c>
      <c r="AG395">
        <v>-1.138414</v>
      </c>
      <c r="AH395">
        <v>21.748319337824402</v>
      </c>
      <c r="AI395">
        <v>92.995805510772897</v>
      </c>
      <c r="AJ395">
        <v>88.849775790648394</v>
      </c>
      <c r="AK395">
        <v>21.782471229386498</v>
      </c>
      <c r="AL395">
        <v>87.8334739872829</v>
      </c>
      <c r="AM395">
        <v>90.081979565857594</v>
      </c>
      <c r="AN395">
        <v>0.99999994961412497</v>
      </c>
    </row>
    <row r="396" spans="1:40" x14ac:dyDescent="0.25">
      <c r="A396" t="str">
        <f>"20190312160310177"</f>
        <v>20190312160310177</v>
      </c>
      <c r="B396" t="str">
        <f>"1552377790164843"</f>
        <v>1552377790164843</v>
      </c>
      <c r="C396" t="s">
        <v>40</v>
      </c>
      <c r="D396">
        <v>5.0647520000000004</v>
      </c>
      <c r="E396">
        <v>0.50670569999999904</v>
      </c>
      <c r="F396" t="s">
        <v>43</v>
      </c>
      <c r="G396">
        <v>-414.1266</v>
      </c>
      <c r="H396">
        <v>-0.05</v>
      </c>
      <c r="I396">
        <v>367.91989999999998</v>
      </c>
      <c r="J396">
        <v>-436.36989999999997</v>
      </c>
      <c r="K396">
        <v>1.0861540000000001</v>
      </c>
      <c r="L396">
        <v>368.15019999999998</v>
      </c>
      <c r="M396">
        <v>0.99982309999999996</v>
      </c>
      <c r="N396">
        <v>0</v>
      </c>
      <c r="O396">
        <v>9.3450070000000007E-3</v>
      </c>
      <c r="P396">
        <v>0.99971180000000004</v>
      </c>
      <c r="Q396">
        <v>2.1463610000000001E-2</v>
      </c>
      <c r="R396">
        <v>1.077738E-2</v>
      </c>
      <c r="S396">
        <v>3.0044559999999998</v>
      </c>
      <c r="T396">
        <v>-0.15202209999999999</v>
      </c>
      <c r="U396">
        <v>-3.048706E-2</v>
      </c>
      <c r="V396">
        <v>-1.3754699999999999E-3</v>
      </c>
      <c r="W396">
        <v>3.7794010000000003E-2</v>
      </c>
      <c r="X396">
        <v>0.99928459999999997</v>
      </c>
      <c r="Y396">
        <v>1.945525E-2</v>
      </c>
      <c r="Z396">
        <v>-9.6447579999999996E-4</v>
      </c>
      <c r="AA396">
        <v>0.99981030000000004</v>
      </c>
      <c r="AB396">
        <v>31</v>
      </c>
      <c r="AC396">
        <v>22.243299999999898</v>
      </c>
      <c r="AD396">
        <v>-1.1361540000000001</v>
      </c>
      <c r="AE396">
        <v>-0.23029999999999901</v>
      </c>
      <c r="AF396">
        <v>0.43704130894711402</v>
      </c>
      <c r="AG396">
        <v>-1.1361540000000001</v>
      </c>
      <c r="AH396">
        <v>22.182308343308598</v>
      </c>
      <c r="AI396">
        <v>92.931498160199695</v>
      </c>
      <c r="AJ396">
        <v>88.871290455203706</v>
      </c>
      <c r="AK396">
        <v>22.215684874769501</v>
      </c>
      <c r="AL396">
        <v>87.834046880822498</v>
      </c>
      <c r="AM396">
        <v>90.078864996094097</v>
      </c>
      <c r="AN396">
        <v>0.99999999545338003</v>
      </c>
    </row>
    <row r="397" spans="1:40" x14ac:dyDescent="0.25">
      <c r="A397" t="str">
        <f>"20190312160310188"</f>
        <v>20190312160310188</v>
      </c>
      <c r="B397" t="str">
        <f>"1552377790185339"</f>
        <v>1552377790185339</v>
      </c>
      <c r="C397" t="s">
        <v>40</v>
      </c>
      <c r="D397">
        <v>5.0211220000000001</v>
      </c>
      <c r="E397">
        <v>0.50658199999999998</v>
      </c>
      <c r="F397" t="s">
        <v>43</v>
      </c>
      <c r="G397">
        <v>-413.5249</v>
      </c>
      <c r="H397">
        <v>-0.05</v>
      </c>
      <c r="I397">
        <v>367.90719999999999</v>
      </c>
      <c r="J397">
        <v>-436.20949999999999</v>
      </c>
      <c r="K397">
        <v>1.0847329999999999</v>
      </c>
      <c r="L397">
        <v>368.15140000000002</v>
      </c>
      <c r="M397">
        <v>0.99982709999999997</v>
      </c>
      <c r="N397">
        <v>0</v>
      </c>
      <c r="O397">
        <v>9.0654180000000004E-3</v>
      </c>
      <c r="P397">
        <v>0.99971699999999997</v>
      </c>
      <c r="Q397">
        <v>2.1297050000000001E-2</v>
      </c>
      <c r="R397">
        <v>1.060466E-2</v>
      </c>
      <c r="S397">
        <v>3.0044249999999999</v>
      </c>
      <c r="T397">
        <v>-0.14941940000000001</v>
      </c>
      <c r="U397">
        <v>-3.1951899999999998E-2</v>
      </c>
      <c r="V397">
        <v>-1.48365E-3</v>
      </c>
      <c r="W397">
        <v>3.7530010000000003E-2</v>
      </c>
      <c r="X397">
        <v>0.99929440000000003</v>
      </c>
      <c r="Y397">
        <v>1.966451E-2</v>
      </c>
      <c r="Z397">
        <v>-9.392933E-4</v>
      </c>
      <c r="AA397">
        <v>0.99980619999999998</v>
      </c>
      <c r="AB397">
        <v>31</v>
      </c>
      <c r="AC397">
        <v>22.6845999999999</v>
      </c>
      <c r="AD397">
        <v>-1.134733</v>
      </c>
      <c r="AE397">
        <v>-0.244200000000034</v>
      </c>
      <c r="AF397">
        <v>0.44873973765281899</v>
      </c>
      <c r="AG397">
        <v>-1.134733</v>
      </c>
      <c r="AH397">
        <v>22.6248477991629</v>
      </c>
      <c r="AI397">
        <v>92.870659192867095</v>
      </c>
      <c r="AJ397">
        <v>88.863748270705003</v>
      </c>
      <c r="AK397">
        <v>22.6577299010453</v>
      </c>
      <c r="AL397">
        <v>87.849183716355995</v>
      </c>
      <c r="AM397">
        <v>90.085066843978794</v>
      </c>
      <c r="AN397">
        <v>1.0000000003696401</v>
      </c>
    </row>
    <row r="398" spans="1:40" x14ac:dyDescent="0.25">
      <c r="A398" t="str">
        <f>"20190312160310199"</f>
        <v>20190312160310199</v>
      </c>
      <c r="B398" t="str">
        <f>"1552377790195101"</f>
        <v>1552377790195101</v>
      </c>
      <c r="C398" t="s">
        <v>40</v>
      </c>
      <c r="D398">
        <v>5.0268959999999998</v>
      </c>
      <c r="E398">
        <v>0.50653510000000002</v>
      </c>
      <c r="F398" t="s">
        <v>43</v>
      </c>
      <c r="G398">
        <v>-413.07900000000001</v>
      </c>
      <c r="H398">
        <v>-0.05</v>
      </c>
      <c r="I398">
        <v>367.9101</v>
      </c>
      <c r="J398">
        <v>-436.04969999999997</v>
      </c>
      <c r="K398">
        <v>1.0833219999999999</v>
      </c>
      <c r="L398">
        <v>368.15260000000001</v>
      </c>
      <c r="M398">
        <v>0.99983250000000001</v>
      </c>
      <c r="N398">
        <v>0</v>
      </c>
      <c r="O398">
        <v>8.7678849999999996E-3</v>
      </c>
      <c r="P398">
        <v>0.99971279999999996</v>
      </c>
      <c r="Q398">
        <v>2.1650849999999999E-2</v>
      </c>
      <c r="R398">
        <v>1.0288220000000001E-2</v>
      </c>
      <c r="S398">
        <v>3.0043030000000002</v>
      </c>
      <c r="T398">
        <v>-0.1473846</v>
      </c>
      <c r="U398">
        <v>-3.1341550000000003E-2</v>
      </c>
      <c r="V398">
        <v>-1.4660090000000001E-3</v>
      </c>
      <c r="W398">
        <v>3.7714419999999999E-2</v>
      </c>
      <c r="X398">
        <v>0.9992875</v>
      </c>
      <c r="Y398">
        <v>1.9166200000000001E-2</v>
      </c>
      <c r="Z398">
        <v>-8.9975099999999996E-4</v>
      </c>
      <c r="AA398">
        <v>0.99981589999999998</v>
      </c>
      <c r="AB398">
        <v>31</v>
      </c>
      <c r="AC398">
        <v>22.970699999999901</v>
      </c>
      <c r="AD398">
        <v>-1.1333219999999999</v>
      </c>
      <c r="AE398">
        <v>-0.24250000000000599</v>
      </c>
      <c r="AF398">
        <v>0.44284327433974802</v>
      </c>
      <c r="AG398">
        <v>-1.1333219999999999</v>
      </c>
      <c r="AH398">
        <v>22.9119240857699</v>
      </c>
      <c r="AI398">
        <v>92.8312589563036</v>
      </c>
      <c r="AJ398">
        <v>88.892721028346799</v>
      </c>
      <c r="AK398">
        <v>22.944210473088798</v>
      </c>
      <c r="AL398">
        <v>87.838610352337298</v>
      </c>
      <c r="AM398">
        <v>90.084055958038206</v>
      </c>
      <c r="AN398">
        <v>1.00000001715728</v>
      </c>
    </row>
    <row r="399" spans="1:40" x14ac:dyDescent="0.25">
      <c r="A399" t="str">
        <f>"20190312160310211"</f>
        <v>20190312160310211</v>
      </c>
      <c r="B399" t="str">
        <f>"1552377790204859"</f>
        <v>1552377790204859</v>
      </c>
      <c r="C399" t="s">
        <v>40</v>
      </c>
      <c r="D399">
        <v>5.0262989999999999</v>
      </c>
      <c r="E399">
        <v>0.5064864</v>
      </c>
      <c r="F399" t="s">
        <v>43</v>
      </c>
      <c r="G399">
        <v>-412.6266</v>
      </c>
      <c r="H399">
        <v>-0.05</v>
      </c>
      <c r="I399">
        <v>367.90339999999998</v>
      </c>
      <c r="J399">
        <v>-435.88189999999997</v>
      </c>
      <c r="K399">
        <v>1.0818559999999999</v>
      </c>
      <c r="L399">
        <v>368.15370000000001</v>
      </c>
      <c r="M399">
        <v>0.99983860000000002</v>
      </c>
      <c r="N399">
        <v>0</v>
      </c>
      <c r="O399">
        <v>8.4535110000000004E-3</v>
      </c>
      <c r="P399">
        <v>0.99971259999999995</v>
      </c>
      <c r="Q399">
        <v>2.178304E-2</v>
      </c>
      <c r="R399">
        <v>1.001551E-2</v>
      </c>
      <c r="S399">
        <v>3.0043329999999999</v>
      </c>
      <c r="T399">
        <v>-0.1453641</v>
      </c>
      <c r="U399">
        <v>-3.1951899999999998E-2</v>
      </c>
      <c r="V399">
        <v>-1.5088979999999901E-3</v>
      </c>
      <c r="W399">
        <v>3.7637230000000001E-2</v>
      </c>
      <c r="X399">
        <v>0.99929029999999996</v>
      </c>
      <c r="Y399">
        <v>1.9056199999999999E-2</v>
      </c>
      <c r="Z399">
        <v>-8.6955609999999999E-4</v>
      </c>
      <c r="AA399">
        <v>0.99981799999999998</v>
      </c>
      <c r="AB399">
        <v>31</v>
      </c>
      <c r="AC399">
        <v>23.255299999999899</v>
      </c>
      <c r="AD399">
        <v>-1.131856</v>
      </c>
      <c r="AE399">
        <v>-0.25030000000003799</v>
      </c>
      <c r="AF399">
        <v>0.44584866727600497</v>
      </c>
      <c r="AG399">
        <v>-1.131856</v>
      </c>
      <c r="AH399">
        <v>23.197407735001601</v>
      </c>
      <c r="AI399">
        <v>92.792865337000407</v>
      </c>
      <c r="AJ399">
        <v>88.898924291023704</v>
      </c>
      <c r="AK399">
        <v>23.2292833437185</v>
      </c>
      <c r="AL399">
        <v>87.843036055626698</v>
      </c>
      <c r="AM399">
        <v>90.086514820979303</v>
      </c>
      <c r="AN399">
        <v>0.99999997076466796</v>
      </c>
    </row>
    <row r="400" spans="1:40" x14ac:dyDescent="0.25">
      <c r="A400" t="str">
        <f>"20190312160310223"</f>
        <v>20190312160310223</v>
      </c>
      <c r="B400" t="str">
        <f>"1552377790215595"</f>
        <v>1552377790215595</v>
      </c>
      <c r="C400" t="s">
        <v>40</v>
      </c>
      <c r="D400">
        <v>5.0323580000000003</v>
      </c>
      <c r="E400">
        <v>0.5064864</v>
      </c>
      <c r="F400" t="s">
        <v>43</v>
      </c>
      <c r="G400">
        <v>-412.21870000000001</v>
      </c>
      <c r="H400">
        <v>-0.05</v>
      </c>
      <c r="I400">
        <v>367.89850000000001</v>
      </c>
      <c r="J400">
        <v>-435.71010000000001</v>
      </c>
      <c r="K400">
        <v>1.0803769999999999</v>
      </c>
      <c r="L400">
        <v>368.1549</v>
      </c>
      <c r="M400">
        <v>0.99984550000000005</v>
      </c>
      <c r="N400">
        <v>0</v>
      </c>
      <c r="O400">
        <v>8.1279070000000002E-3</v>
      </c>
      <c r="P400">
        <v>0.99970970000000003</v>
      </c>
      <c r="Q400">
        <v>2.2173390000000001E-2</v>
      </c>
      <c r="R400">
        <v>9.4380379999999993E-3</v>
      </c>
      <c r="S400">
        <v>3.0043329999999999</v>
      </c>
      <c r="T400">
        <v>-0.1437032</v>
      </c>
      <c r="U400">
        <v>-3.2409670000000002E-2</v>
      </c>
      <c r="V400">
        <v>-1.2582540000000001E-3</v>
      </c>
      <c r="W400">
        <v>3.7758260000000002E-2</v>
      </c>
      <c r="X400">
        <v>0.99928609999999896</v>
      </c>
      <c r="Y400">
        <v>1.88842E-2</v>
      </c>
      <c r="Z400">
        <v>-8.3995139999999897E-4</v>
      </c>
      <c r="AA400">
        <v>0.99982130000000002</v>
      </c>
      <c r="AB400">
        <v>31</v>
      </c>
      <c r="AC400">
        <v>23.491399999999999</v>
      </c>
      <c r="AD400">
        <v>-1.130377</v>
      </c>
      <c r="AE400">
        <v>-0.25639999999998497</v>
      </c>
      <c r="AF400">
        <v>0.44631735094775699</v>
      </c>
      <c r="AG400">
        <v>-1.130377</v>
      </c>
      <c r="AH400">
        <v>23.434285963619502</v>
      </c>
      <c r="AI400">
        <v>92.761080713168894</v>
      </c>
      <c r="AJ400">
        <v>88.908905979975003</v>
      </c>
      <c r="AK400">
        <v>23.4657774208437</v>
      </c>
      <c r="AL400">
        <v>87.836096655202596</v>
      </c>
      <c r="AM400">
        <v>90.072144109334999</v>
      </c>
      <c r="AN400">
        <v>0.99999998952728197</v>
      </c>
    </row>
    <row r="401" spans="1:40" x14ac:dyDescent="0.25">
      <c r="A401" t="str">
        <f>"20190312160310236"</f>
        <v>20190312160310236</v>
      </c>
      <c r="B401" t="str">
        <f>"1552377790225355"</f>
        <v>1552377790225355</v>
      </c>
      <c r="C401" t="s">
        <v>40</v>
      </c>
      <c r="D401">
        <v>5.1039190000000003</v>
      </c>
      <c r="E401">
        <v>0.5051485</v>
      </c>
      <c r="F401" t="s">
        <v>43</v>
      </c>
      <c r="G401">
        <v>-411.88900000000001</v>
      </c>
      <c r="H401">
        <v>-0.05</v>
      </c>
      <c r="I401">
        <v>367.88659999999999</v>
      </c>
      <c r="J401">
        <v>-435.54079999999999</v>
      </c>
      <c r="K401">
        <v>1.0789660000000001</v>
      </c>
      <c r="L401">
        <v>368.15600000000001</v>
      </c>
      <c r="M401">
        <v>0.99985270000000004</v>
      </c>
      <c r="N401">
        <v>0</v>
      </c>
      <c r="O401">
        <v>7.8144349999999998E-3</v>
      </c>
      <c r="P401">
        <v>0.99970510000000001</v>
      </c>
      <c r="Q401">
        <v>2.248874E-2</v>
      </c>
      <c r="R401">
        <v>9.1603159999999999E-3</v>
      </c>
      <c r="S401">
        <v>3.0043329999999999</v>
      </c>
      <c r="T401">
        <v>-0.1425641</v>
      </c>
      <c r="U401">
        <v>-3.3843989999999997E-2</v>
      </c>
      <c r="V401">
        <v>-1.2949439999999999E-3</v>
      </c>
      <c r="W401">
        <v>3.7765399999999998E-2</v>
      </c>
      <c r="X401">
        <v>0.9992858</v>
      </c>
      <c r="Y401">
        <v>1.904863E-2</v>
      </c>
      <c r="Z401">
        <v>-8.2232810000000003E-4</v>
      </c>
      <c r="AA401">
        <v>0.99981819999999999</v>
      </c>
      <c r="AB401">
        <v>31</v>
      </c>
      <c r="AC401">
        <v>23.651799999999898</v>
      </c>
      <c r="AD401">
        <v>-1.1289659999999999</v>
      </c>
      <c r="AE401">
        <v>-0.26940000000001801</v>
      </c>
      <c r="AF401">
        <v>0.45320635013926103</v>
      </c>
      <c r="AG401">
        <v>-1.1289659999999999</v>
      </c>
      <c r="AH401">
        <v>23.5952194225978</v>
      </c>
      <c r="AI401">
        <v>92.738851019640506</v>
      </c>
      <c r="AJ401">
        <v>88.899623773714893</v>
      </c>
      <c r="AK401">
        <v>23.626560050618799</v>
      </c>
      <c r="AL401">
        <v>87.8356873074476</v>
      </c>
      <c r="AM401">
        <v>90.074247812162</v>
      </c>
      <c r="AN401">
        <v>1.0000000061993799</v>
      </c>
    </row>
    <row r="402" spans="1:40" x14ac:dyDescent="0.25">
      <c r="A402" t="str">
        <f>"20190312160310248"</f>
        <v>20190312160310248</v>
      </c>
      <c r="B402" t="str">
        <f>"1552377790235115"</f>
        <v>1552377790235115</v>
      </c>
      <c r="C402" t="s">
        <v>40</v>
      </c>
      <c r="D402">
        <v>5.0354239999999999</v>
      </c>
      <c r="E402">
        <v>0.50548599999999999</v>
      </c>
      <c r="F402" t="s">
        <v>41</v>
      </c>
      <c r="G402">
        <v>-361.3263</v>
      </c>
      <c r="H402" s="1">
        <v>-4.0465129999999999E-6</v>
      </c>
      <c r="I402">
        <v>367.6814</v>
      </c>
      <c r="J402">
        <v>-435.37180000000001</v>
      </c>
      <c r="K402">
        <v>1.0775680000000001</v>
      </c>
      <c r="L402">
        <v>368.15710000000001</v>
      </c>
      <c r="M402">
        <v>0.99986010000000003</v>
      </c>
      <c r="N402">
        <v>0</v>
      </c>
      <c r="O402">
        <v>7.5050189999999999E-3</v>
      </c>
      <c r="P402">
        <v>0.9997007</v>
      </c>
      <c r="Q402">
        <v>2.2831230000000001E-2</v>
      </c>
      <c r="R402">
        <v>8.8019589999999998E-3</v>
      </c>
      <c r="S402">
        <v>3.0020449999999999</v>
      </c>
      <c r="T402">
        <v>-4.3645259999999998E-2</v>
      </c>
      <c r="U402">
        <v>-1.919556E-2</v>
      </c>
      <c r="V402">
        <v>-1.247293E-3</v>
      </c>
      <c r="W402">
        <v>3.7781130000000003E-2</v>
      </c>
      <c r="X402">
        <v>0.99928530000000004</v>
      </c>
      <c r="Y402">
        <v>1.389729E-2</v>
      </c>
      <c r="Z402">
        <v>-2.101336E-4</v>
      </c>
      <c r="AA402">
        <v>0.9999034</v>
      </c>
      <c r="AB402">
        <v>31</v>
      </c>
      <c r="AC402">
        <v>74.045500000000004</v>
      </c>
      <c r="AD402">
        <v>-1.0775720465130001</v>
      </c>
      <c r="AE402">
        <v>-0.475700000000017</v>
      </c>
      <c r="AF402">
        <v>1.0312431901843599</v>
      </c>
      <c r="AG402">
        <v>-1.0775720465130001</v>
      </c>
      <c r="AH402">
        <v>74.024167085507102</v>
      </c>
      <c r="AI402">
        <v>90.833916587466902</v>
      </c>
      <c r="AJ402">
        <v>89.201854437442606</v>
      </c>
      <c r="AK402">
        <v>74.039191896831298</v>
      </c>
      <c r="AL402">
        <v>87.834785474750007</v>
      </c>
      <c r="AM402">
        <v>90.0715156998738</v>
      </c>
      <c r="AN402">
        <v>1.00000004015999</v>
      </c>
    </row>
    <row r="403" spans="1:40" x14ac:dyDescent="0.25">
      <c r="A403" t="str">
        <f>"20190312160310268"</f>
        <v>20190312160310268</v>
      </c>
      <c r="B403" t="str">
        <f>"1552377790255610"</f>
        <v>1552377790255610</v>
      </c>
      <c r="C403" t="s">
        <v>40</v>
      </c>
      <c r="D403">
        <v>5.0274780000000003</v>
      </c>
      <c r="E403">
        <v>0.50601569999999996</v>
      </c>
      <c r="F403" t="s">
        <v>41</v>
      </c>
      <c r="G403">
        <v>-377.44310000000002</v>
      </c>
      <c r="H403" s="1">
        <v>-1.4189310000000001E-6</v>
      </c>
      <c r="I403">
        <v>367.7013</v>
      </c>
      <c r="J403">
        <v>-435.09930000000003</v>
      </c>
      <c r="K403">
        <v>1.075464</v>
      </c>
      <c r="L403">
        <v>368.15870000000001</v>
      </c>
      <c r="M403">
        <v>0.99987179999999998</v>
      </c>
      <c r="N403">
        <v>0</v>
      </c>
      <c r="O403">
        <v>7.0321330000000003E-3</v>
      </c>
      <c r="P403">
        <v>0.99968979999999996</v>
      </c>
      <c r="Q403">
        <v>2.3551780000000001E-2</v>
      </c>
      <c r="R403">
        <v>8.1014859999999998E-3</v>
      </c>
      <c r="S403">
        <v>3.0023499999999999</v>
      </c>
      <c r="T403">
        <v>-5.5848599999999998E-2</v>
      </c>
      <c r="U403">
        <v>-2.362061E-2</v>
      </c>
      <c r="V403">
        <v>-1.0204750000000001E-3</v>
      </c>
      <c r="W403">
        <v>3.7931230000000003E-2</v>
      </c>
      <c r="X403">
        <v>0.9992799</v>
      </c>
      <c r="Y403">
        <v>1.4895780000000001E-2</v>
      </c>
      <c r="Z403">
        <v>-2.6933829999999998E-4</v>
      </c>
      <c r="AA403">
        <v>0.99988900000000003</v>
      </c>
      <c r="AB403">
        <v>31</v>
      </c>
      <c r="AC403">
        <v>57.656199999999998</v>
      </c>
      <c r="AD403">
        <v>-1.075465418931</v>
      </c>
      <c r="AE403">
        <v>-0.45740000000000602</v>
      </c>
      <c r="AF403">
        <v>0.86257660769859901</v>
      </c>
      <c r="AG403">
        <v>-1.075465418931</v>
      </c>
      <c r="AH403">
        <v>57.631506398193103</v>
      </c>
      <c r="AI403">
        <v>91.0689566155053</v>
      </c>
      <c r="AJ403">
        <v>89.142512276641597</v>
      </c>
      <c r="AK403">
        <v>57.6479938419061</v>
      </c>
      <c r="AL403">
        <v>87.826179272450403</v>
      </c>
      <c r="AM403">
        <v>90.058511024061801</v>
      </c>
      <c r="AN403">
        <v>1.00000006906127</v>
      </c>
    </row>
    <row r="404" spans="1:40" x14ac:dyDescent="0.25">
      <c r="A404" t="str">
        <f>"20190312160310290"</f>
        <v>20190312160310290</v>
      </c>
      <c r="B404" t="str">
        <f>"1552377790284891"</f>
        <v>1552377790284891</v>
      </c>
      <c r="C404" t="s">
        <v>40</v>
      </c>
      <c r="D404">
        <v>5.0009759999999996</v>
      </c>
      <c r="E404">
        <v>0.50615949999999998</v>
      </c>
      <c r="F404" t="s">
        <v>41</v>
      </c>
      <c r="G404">
        <v>-372.52409999999998</v>
      </c>
      <c r="H404" s="1">
        <v>-3.5584990000000001E-6</v>
      </c>
      <c r="I404">
        <v>367.53590000000003</v>
      </c>
      <c r="J404">
        <v>-434.7731</v>
      </c>
      <c r="K404">
        <v>1.0731850000000001</v>
      </c>
      <c r="L404">
        <v>368.16039999999998</v>
      </c>
      <c r="M404">
        <v>0.99988529999999998</v>
      </c>
      <c r="N404">
        <v>0</v>
      </c>
      <c r="O404">
        <v>6.49645E-3</v>
      </c>
      <c r="P404">
        <v>0.99967329999999999</v>
      </c>
      <c r="Q404">
        <v>2.450925E-2</v>
      </c>
      <c r="R404">
        <v>7.270243E-3</v>
      </c>
      <c r="S404">
        <v>3.0023499999999999</v>
      </c>
      <c r="T404">
        <v>-5.1600689999999998E-2</v>
      </c>
      <c r="U404">
        <v>-2.9876710000000001E-2</v>
      </c>
      <c r="V404">
        <v>-7.2599479999999896E-4</v>
      </c>
      <c r="W404">
        <v>3.8194730000000003E-2</v>
      </c>
      <c r="X404">
        <v>0.99926999999999999</v>
      </c>
      <c r="Y404">
        <v>1.6443760000000002E-2</v>
      </c>
      <c r="Z404">
        <v>-2.5294629999999998E-4</v>
      </c>
      <c r="AA404">
        <v>0.9998648</v>
      </c>
      <c r="AB404">
        <v>32</v>
      </c>
      <c r="AC404">
        <v>62.249000000000002</v>
      </c>
      <c r="AD404">
        <v>-1.073188558499</v>
      </c>
      <c r="AE404">
        <v>-0.62449999999995398</v>
      </c>
      <c r="AF404">
        <v>1.0286164876108801</v>
      </c>
      <c r="AG404">
        <v>-1.073188558499</v>
      </c>
      <c r="AH404">
        <v>62.225135664568199</v>
      </c>
      <c r="AI404">
        <v>90.987939707676304</v>
      </c>
      <c r="AJ404">
        <v>89.052954798561601</v>
      </c>
      <c r="AK404">
        <v>62.242889505827002</v>
      </c>
      <c r="AL404">
        <v>87.811070623514496</v>
      </c>
      <c r="AM404">
        <v>90.041626818246996</v>
      </c>
      <c r="AN404">
        <v>0.99999994868411002</v>
      </c>
    </row>
    <row r="405" spans="1:40" x14ac:dyDescent="0.25">
      <c r="A405" t="str">
        <f>"20190312160310313"</f>
        <v>20190312160310313</v>
      </c>
      <c r="B405" t="str">
        <f>"1552377790305387"</f>
        <v>1552377790305387</v>
      </c>
      <c r="C405" t="s">
        <v>40</v>
      </c>
      <c r="D405">
        <v>5.016635</v>
      </c>
      <c r="E405">
        <v>0.50670990000000005</v>
      </c>
      <c r="F405" t="s">
        <v>41</v>
      </c>
      <c r="G405">
        <v>-370.88529999999997</v>
      </c>
      <c r="H405" s="1">
        <v>-4.278384E-6</v>
      </c>
      <c r="I405">
        <v>367.4409</v>
      </c>
      <c r="J405">
        <v>-434.45389999999998</v>
      </c>
      <c r="K405">
        <v>1.071188</v>
      </c>
      <c r="L405">
        <v>368.16199999999998</v>
      </c>
      <c r="M405">
        <v>0.99989729999999999</v>
      </c>
      <c r="N405">
        <v>0</v>
      </c>
      <c r="O405">
        <v>5.9909109999999998E-3</v>
      </c>
      <c r="P405">
        <v>0.99964920000000002</v>
      </c>
      <c r="Q405">
        <v>2.5688900000000001E-2</v>
      </c>
      <c r="R405">
        <v>6.4898630000000002E-3</v>
      </c>
      <c r="S405">
        <v>3.002472</v>
      </c>
      <c r="T405">
        <v>-5.0435540000000001E-2</v>
      </c>
      <c r="U405">
        <v>-3.381348E-2</v>
      </c>
      <c r="V405">
        <v>-4.5200440000000002E-4</v>
      </c>
      <c r="W405">
        <v>3.871695E-2</v>
      </c>
      <c r="X405">
        <v>0.99925010000000003</v>
      </c>
      <c r="Y405">
        <v>1.724873E-2</v>
      </c>
      <c r="Z405">
        <v>-2.4549130000000002E-4</v>
      </c>
      <c r="AA405">
        <v>0.99985119999999905</v>
      </c>
      <c r="AB405">
        <v>32</v>
      </c>
      <c r="AC405">
        <v>63.568600000000004</v>
      </c>
      <c r="AD405">
        <v>-1.071192278384</v>
      </c>
      <c r="AE405">
        <v>-0.72109999999997798</v>
      </c>
      <c r="AF405">
        <v>1.10164038556596</v>
      </c>
      <c r="AG405">
        <v>-1.071192278384</v>
      </c>
      <c r="AH405">
        <v>63.545096984864301</v>
      </c>
      <c r="AI405">
        <v>90.965609757469096</v>
      </c>
      <c r="AJ405">
        <v>89.006799497067504</v>
      </c>
      <c r="AK405">
        <v>63.563672134735803</v>
      </c>
      <c r="AL405">
        <v>87.781127550097807</v>
      </c>
      <c r="AM405">
        <v>90.025917378116802</v>
      </c>
      <c r="AN405">
        <v>0.99999998443764504</v>
      </c>
    </row>
    <row r="406" spans="1:40" x14ac:dyDescent="0.25">
      <c r="A406" t="str">
        <f>"20190312160310326"</f>
        <v>20190312160310326</v>
      </c>
      <c r="B406" t="str">
        <f>"1552377790315148"</f>
        <v>1552377790315148</v>
      </c>
      <c r="C406" t="s">
        <v>40</v>
      </c>
      <c r="D406">
        <v>4.959473</v>
      </c>
      <c r="E406">
        <v>0.50684050000000003</v>
      </c>
      <c r="F406" t="s">
        <v>41</v>
      </c>
      <c r="G406">
        <v>-368.68220000000002</v>
      </c>
      <c r="H406" s="1">
        <v>-1.0568330000000001E-6</v>
      </c>
      <c r="I406">
        <v>367.27749999999997</v>
      </c>
      <c r="J406">
        <v>-434.25420000000003</v>
      </c>
      <c r="K406">
        <v>1.0700400000000001</v>
      </c>
      <c r="L406">
        <v>368.1628</v>
      </c>
      <c r="M406">
        <v>0.99990400000000002</v>
      </c>
      <c r="N406">
        <v>0</v>
      </c>
      <c r="O406">
        <v>5.6810630000000001E-3</v>
      </c>
      <c r="P406">
        <v>0.99963460000000004</v>
      </c>
      <c r="Q406">
        <v>2.6337570000000001E-2</v>
      </c>
      <c r="R406">
        <v>6.1161269999999998E-3</v>
      </c>
      <c r="S406">
        <v>3.0025940000000002</v>
      </c>
      <c r="T406">
        <v>-4.8901559999999997E-2</v>
      </c>
      <c r="U406">
        <v>-4.0374760000000003E-2</v>
      </c>
      <c r="V406">
        <v>-3.891055E-4</v>
      </c>
      <c r="W406">
        <v>3.8970440000000002E-2</v>
      </c>
      <c r="X406">
        <v>0.99924029999999997</v>
      </c>
      <c r="Y406">
        <v>1.912291E-2</v>
      </c>
      <c r="Z406">
        <v>-2.482265E-4</v>
      </c>
      <c r="AA406">
        <v>0.99981710000000001</v>
      </c>
      <c r="AB406">
        <v>32</v>
      </c>
      <c r="AC406">
        <v>65.572000000000003</v>
      </c>
      <c r="AD406">
        <v>-1.0700410568330001</v>
      </c>
      <c r="AE406">
        <v>-0.88530000000002895</v>
      </c>
      <c r="AF406">
        <v>1.2574993210260901</v>
      </c>
      <c r="AG406">
        <v>-1.0700410568330001</v>
      </c>
      <c r="AH406">
        <v>65.548459738162407</v>
      </c>
      <c r="AI406">
        <v>90.935065686646993</v>
      </c>
      <c r="AJ406">
        <v>88.900957136981006</v>
      </c>
      <c r="AK406">
        <v>65.569252446944901</v>
      </c>
      <c r="AL406">
        <v>87.766592734495603</v>
      </c>
      <c r="AM406">
        <v>90.022311051514293</v>
      </c>
      <c r="AN406">
        <v>1.0000000118704799</v>
      </c>
    </row>
    <row r="407" spans="1:40" x14ac:dyDescent="0.25">
      <c r="A407" t="str">
        <f>"20190312160310346"</f>
        <v>20190312160310346</v>
      </c>
      <c r="B407" t="str">
        <f>"1552377790334667"</f>
        <v>1552377790334667</v>
      </c>
      <c r="C407" t="s">
        <v>40</v>
      </c>
      <c r="D407">
        <v>4.9446289999999999</v>
      </c>
      <c r="E407">
        <v>0.50673409999999997</v>
      </c>
      <c r="F407" t="s">
        <v>41</v>
      </c>
      <c r="G407">
        <v>-361.69580000000002</v>
      </c>
      <c r="H407" s="1">
        <v>-3.9855250000000003E-6</v>
      </c>
      <c r="I407">
        <v>367.13170000000002</v>
      </c>
      <c r="J407">
        <v>-433.98379999999997</v>
      </c>
      <c r="K407">
        <v>1.068657</v>
      </c>
      <c r="L407">
        <v>368.16399999999999</v>
      </c>
      <c r="M407">
        <v>0.99991240000000003</v>
      </c>
      <c r="N407">
        <v>0</v>
      </c>
      <c r="O407">
        <v>5.2749540000000001E-3</v>
      </c>
      <c r="P407">
        <v>0.99961630000000001</v>
      </c>
      <c r="Q407">
        <v>2.7086099999999998E-2</v>
      </c>
      <c r="R407">
        <v>5.8077429999999998E-3</v>
      </c>
      <c r="S407">
        <v>3.0025019999999998</v>
      </c>
      <c r="T407">
        <v>-4.4278860000000003E-2</v>
      </c>
      <c r="U407">
        <v>-4.2663569999999998E-2</v>
      </c>
      <c r="V407">
        <v>-4.8820729999999999E-4</v>
      </c>
      <c r="W407">
        <v>3.921964E-2</v>
      </c>
      <c r="X407">
        <v>0.99923050000000002</v>
      </c>
      <c r="Y407">
        <v>1.9479819999999998E-2</v>
      </c>
      <c r="Z407">
        <v>-2.2141199999999999E-4</v>
      </c>
      <c r="AA407">
        <v>0.99981019999999998</v>
      </c>
      <c r="AB407">
        <v>32</v>
      </c>
      <c r="AC407">
        <v>72.287999999999897</v>
      </c>
      <c r="AD407">
        <v>-1.068660985525</v>
      </c>
      <c r="AE407">
        <v>-1.03229999999996</v>
      </c>
      <c r="AF407">
        <v>1.41332079449735</v>
      </c>
      <c r="AG407">
        <v>-1.068660985525</v>
      </c>
      <c r="AH407">
        <v>72.265758056063703</v>
      </c>
      <c r="AI407">
        <v>90.847062277675093</v>
      </c>
      <c r="AJ407">
        <v>88.879593919447004</v>
      </c>
      <c r="AK407">
        <v>72.287476781166404</v>
      </c>
      <c r="AL407">
        <v>87.752303687628199</v>
      </c>
      <c r="AM407">
        <v>90.027993756787495</v>
      </c>
      <c r="AN407">
        <v>1.00000000531917</v>
      </c>
    </row>
    <row r="408" spans="1:40" x14ac:dyDescent="0.25">
      <c r="A408" t="str">
        <f>"20190312160310361"</f>
        <v>20190312160310361</v>
      </c>
      <c r="B408" t="str">
        <f>"1552377790355163"</f>
        <v>1552377790355163</v>
      </c>
      <c r="C408" t="s">
        <v>40</v>
      </c>
      <c r="D408">
        <v>4.9104799999999997</v>
      </c>
      <c r="E408">
        <v>0.50662589999999996</v>
      </c>
      <c r="F408" t="s">
        <v>41</v>
      </c>
      <c r="G408">
        <v>-354.31639999999999</v>
      </c>
      <c r="H408" s="1">
        <v>-2.880278E-6</v>
      </c>
      <c r="I408">
        <v>367.02460000000002</v>
      </c>
      <c r="J408">
        <v>-433.76560000000001</v>
      </c>
      <c r="K408">
        <v>1.067666</v>
      </c>
      <c r="L408">
        <v>368.16480000000001</v>
      </c>
      <c r="M408">
        <v>0.99991859999999999</v>
      </c>
      <c r="N408">
        <v>0</v>
      </c>
      <c r="O408">
        <v>4.9600709999999999E-3</v>
      </c>
      <c r="P408">
        <v>0.99960380000000004</v>
      </c>
      <c r="Q408">
        <v>2.7547990000000001E-2</v>
      </c>
      <c r="R408">
        <v>5.8049709999999999E-3</v>
      </c>
      <c r="S408">
        <v>3.0025019999999998</v>
      </c>
      <c r="T408">
        <v>-4.0275569999999997E-2</v>
      </c>
      <c r="U408">
        <v>-4.2938230000000001E-2</v>
      </c>
      <c r="V408">
        <v>-8.0219839999999998E-4</v>
      </c>
      <c r="W408">
        <v>3.9308250000000003E-2</v>
      </c>
      <c r="X408">
        <v>0.99922679999999997</v>
      </c>
      <c r="Y408">
        <v>1.92569E-2</v>
      </c>
      <c r="Z408">
        <v>-1.9567670000000001E-4</v>
      </c>
      <c r="AA408">
        <v>0.9998146</v>
      </c>
      <c r="AB408">
        <v>32</v>
      </c>
      <c r="AC408">
        <v>79.449200000000005</v>
      </c>
      <c r="AD408">
        <v>-1.0676688802779899</v>
      </c>
      <c r="AE408">
        <v>-1.1401999999999901</v>
      </c>
      <c r="AF408">
        <v>1.53400990658014</v>
      </c>
      <c r="AG408">
        <v>-1.0676688802779899</v>
      </c>
      <c r="AH408">
        <v>79.4282256751858</v>
      </c>
      <c r="AI408">
        <v>90.769976073892707</v>
      </c>
      <c r="AJ408">
        <v>88.893575083788605</v>
      </c>
      <c r="AK408">
        <v>79.450211687192095</v>
      </c>
      <c r="AL408">
        <v>87.7472227559538</v>
      </c>
      <c r="AM408">
        <v>90.045998138538295</v>
      </c>
      <c r="AN408">
        <v>0.99999998993928696</v>
      </c>
    </row>
    <row r="409" spans="1:40" x14ac:dyDescent="0.25">
      <c r="A409" t="str">
        <f>"20190312160310377"</f>
        <v>20190312160310377</v>
      </c>
      <c r="B409" t="str">
        <f>"1552377790364923"</f>
        <v>1552377790364923</v>
      </c>
      <c r="C409" t="s">
        <v>40</v>
      </c>
      <c r="D409">
        <v>4.9284749999999997</v>
      </c>
      <c r="E409">
        <v>0.50662269999999998</v>
      </c>
      <c r="F409" t="s">
        <v>41</v>
      </c>
      <c r="G409">
        <v>-356.10469999999998</v>
      </c>
      <c r="H409" s="1">
        <v>-2.1026929999999998E-6</v>
      </c>
      <c r="I409">
        <v>367.08330000000001</v>
      </c>
      <c r="J409">
        <v>-433.53179999999998</v>
      </c>
      <c r="K409">
        <v>1.0666910000000001</v>
      </c>
      <c r="L409">
        <v>368.16570000000002</v>
      </c>
      <c r="M409">
        <v>0.99992440000000005</v>
      </c>
      <c r="N409">
        <v>0</v>
      </c>
      <c r="O409">
        <v>4.6351270000000002E-3</v>
      </c>
      <c r="P409">
        <v>0.99960099999999996</v>
      </c>
      <c r="Q409">
        <v>2.761419E-2</v>
      </c>
      <c r="R409">
        <v>5.9276819999999897E-3</v>
      </c>
      <c r="S409">
        <v>3.0025330000000001</v>
      </c>
      <c r="T409">
        <v>-4.1278240000000001E-2</v>
      </c>
      <c r="U409">
        <v>-4.1809079999999998E-2</v>
      </c>
      <c r="V409">
        <v>-1.2520000000000001E-3</v>
      </c>
      <c r="W409">
        <v>3.900141E-2</v>
      </c>
      <c r="X409">
        <v>0.99923839999999997</v>
      </c>
      <c r="Y409">
        <v>1.85559E-2</v>
      </c>
      <c r="Z409">
        <v>-1.9126049999999999E-4</v>
      </c>
      <c r="AA409">
        <v>0.99982780000000004</v>
      </c>
      <c r="AB409">
        <v>32</v>
      </c>
      <c r="AC409">
        <v>77.427099999999996</v>
      </c>
      <c r="AD409">
        <v>-1.066693102693</v>
      </c>
      <c r="AE409">
        <v>-1.0824</v>
      </c>
      <c r="AF409">
        <v>1.4410226398777399</v>
      </c>
      <c r="AG409">
        <v>-1.066693102693</v>
      </c>
      <c r="AH409">
        <v>77.4065619773816</v>
      </c>
      <c r="AI409">
        <v>90.789371821030201</v>
      </c>
      <c r="AJ409">
        <v>88.933488617739201</v>
      </c>
      <c r="AK409">
        <v>77.427322164609294</v>
      </c>
      <c r="AL409">
        <v>87.764816971961295</v>
      </c>
      <c r="AM409">
        <v>90.071788952878507</v>
      </c>
      <c r="AN409">
        <v>1.0000000287602699</v>
      </c>
    </row>
    <row r="410" spans="1:40" x14ac:dyDescent="0.25">
      <c r="A410" t="str">
        <f>"20190312160310390"</f>
        <v>20190312160310390</v>
      </c>
      <c r="B410" t="str">
        <f>"1552377790385419"</f>
        <v>1552377790385419</v>
      </c>
      <c r="C410" t="s">
        <v>40</v>
      </c>
      <c r="D410">
        <v>4.9008659999999997</v>
      </c>
      <c r="E410">
        <v>0.50656159999999995</v>
      </c>
      <c r="F410" t="s">
        <v>41</v>
      </c>
      <c r="G410">
        <v>-353.3279</v>
      </c>
      <c r="H410" s="1">
        <v>-3.298044E-6</v>
      </c>
      <c r="I410">
        <v>367.06020000000001</v>
      </c>
      <c r="J410">
        <v>-433.35700000000003</v>
      </c>
      <c r="K410">
        <v>1.06602</v>
      </c>
      <c r="L410">
        <v>368.16629999999998</v>
      </c>
      <c r="M410">
        <v>0.99992840000000005</v>
      </c>
      <c r="N410">
        <v>0</v>
      </c>
      <c r="O410">
        <v>4.3993519999999996E-3</v>
      </c>
      <c r="P410">
        <v>0.9996081</v>
      </c>
      <c r="Q410">
        <v>2.7387350000000001E-2</v>
      </c>
      <c r="R410">
        <v>5.8136369999999904E-3</v>
      </c>
      <c r="S410">
        <v>3.0025330000000001</v>
      </c>
      <c r="T410">
        <v>-3.9932969999999998E-2</v>
      </c>
      <c r="U410">
        <v>-4.1381840000000003E-2</v>
      </c>
      <c r="V410">
        <v>-1.375432E-3</v>
      </c>
      <c r="W410">
        <v>3.8510160000000002E-2</v>
      </c>
      <c r="X410">
        <v>0.99925730000000001</v>
      </c>
      <c r="Y410">
        <v>1.8178079999999999E-2</v>
      </c>
      <c r="Z410">
        <v>-1.7937979999999999E-4</v>
      </c>
      <c r="AA410">
        <v>0.99983480000000002</v>
      </c>
      <c r="AB410">
        <v>32</v>
      </c>
      <c r="AC410">
        <v>80.0290999999999</v>
      </c>
      <c r="AD410">
        <v>-1.0660232980440001</v>
      </c>
      <c r="AE410">
        <v>-1.1060999999999599</v>
      </c>
      <c r="AF410">
        <v>1.45792864144325</v>
      </c>
      <c r="AG410">
        <v>-1.0660232980440001</v>
      </c>
      <c r="AH410">
        <v>80.009265347245304</v>
      </c>
      <c r="AI410">
        <v>90.763222680520997</v>
      </c>
      <c r="AJ410">
        <v>88.956071975143303</v>
      </c>
      <c r="AK410">
        <v>80.0296476501142</v>
      </c>
      <c r="AL410">
        <v>87.792984705401594</v>
      </c>
      <c r="AM410">
        <v>90.078864971852298</v>
      </c>
      <c r="AN410">
        <v>1.0000000379198499</v>
      </c>
    </row>
    <row r="411" spans="1:40" x14ac:dyDescent="0.25">
      <c r="A411" t="str">
        <f>"20190312160310402"</f>
        <v>20190312160310402</v>
      </c>
      <c r="B411" t="str">
        <f>"1552377790395179"</f>
        <v>1552377790395179</v>
      </c>
      <c r="C411" t="s">
        <v>40</v>
      </c>
      <c r="D411">
        <v>4.9059220000000003</v>
      </c>
      <c r="E411">
        <v>0.50654600000000005</v>
      </c>
      <c r="F411" t="s">
        <v>41</v>
      </c>
      <c r="G411">
        <v>-357.72629999999998</v>
      </c>
      <c r="H411" s="1">
        <v>-1.422611E-6</v>
      </c>
      <c r="I411">
        <v>367.12540000000001</v>
      </c>
      <c r="J411">
        <v>-433.17149999999998</v>
      </c>
      <c r="K411">
        <v>1.0653820000000001</v>
      </c>
      <c r="L411">
        <v>368.16680000000002</v>
      </c>
      <c r="M411">
        <v>0.9999323</v>
      </c>
      <c r="N411">
        <v>0</v>
      </c>
      <c r="O411">
        <v>4.1599239999999997E-3</v>
      </c>
      <c r="P411">
        <v>0.99960689999999996</v>
      </c>
      <c r="Q411">
        <v>2.7448710000000001E-2</v>
      </c>
      <c r="R411">
        <v>5.732638E-3</v>
      </c>
      <c r="S411">
        <v>3.0025629999999999</v>
      </c>
      <c r="T411">
        <v>-4.2321320000000003E-2</v>
      </c>
      <c r="U411">
        <v>-4.1320799999999998E-2</v>
      </c>
      <c r="V411">
        <v>-1.5355430000000001E-3</v>
      </c>
      <c r="W411">
        <v>3.8312899999999997E-2</v>
      </c>
      <c r="X411">
        <v>0.99926459999999995</v>
      </c>
      <c r="Y411">
        <v>1.7918E-2</v>
      </c>
      <c r="Z411">
        <v>-1.8489790000000001E-4</v>
      </c>
      <c r="AA411">
        <v>0.99983940000000004</v>
      </c>
      <c r="AB411">
        <v>32</v>
      </c>
      <c r="AC411">
        <v>75.4452</v>
      </c>
      <c r="AD411">
        <v>-1.0653834226109999</v>
      </c>
      <c r="AE411">
        <v>-1.0414000000000001</v>
      </c>
      <c r="AF411">
        <v>1.35498567184826</v>
      </c>
      <c r="AG411">
        <v>-1.0653834226109999</v>
      </c>
      <c r="AH411">
        <v>75.425177002534795</v>
      </c>
      <c r="AI411">
        <v>90.809120658753002</v>
      </c>
      <c r="AJ411">
        <v>88.9708130184205</v>
      </c>
      <c r="AK411">
        <v>75.444869632545604</v>
      </c>
      <c r="AL411">
        <v>87.804295109009004</v>
      </c>
      <c r="AM411">
        <v>90.088044812064695</v>
      </c>
      <c r="AN411">
        <v>0.99999998850593697</v>
      </c>
    </row>
    <row r="412" spans="1:40" x14ac:dyDescent="0.25">
      <c r="A412" t="str">
        <f>"20190312160310414"</f>
        <v>20190312160310414</v>
      </c>
      <c r="B412" t="str">
        <f>"1552377790404939"</f>
        <v>1552377790404939</v>
      </c>
      <c r="C412" t="s">
        <v>40</v>
      </c>
      <c r="D412">
        <v>4.8665430000000001</v>
      </c>
      <c r="E412">
        <v>0.50652569999999997</v>
      </c>
      <c r="F412" t="s">
        <v>41</v>
      </c>
      <c r="G412">
        <v>-352.16660000000002</v>
      </c>
      <c r="H412" s="1">
        <v>-3.7984259999999998E-6</v>
      </c>
      <c r="I412">
        <v>367.04790000000003</v>
      </c>
      <c r="J412">
        <v>-432.99880000000002</v>
      </c>
      <c r="K412">
        <v>1.0648340000000001</v>
      </c>
      <c r="L412">
        <v>368.16739999999999</v>
      </c>
      <c r="M412">
        <v>0.99993560000000004</v>
      </c>
      <c r="N412">
        <v>0</v>
      </c>
      <c r="O412">
        <v>3.9447309999999999E-3</v>
      </c>
      <c r="P412">
        <v>0.99960009999999999</v>
      </c>
      <c r="Q412">
        <v>2.7720430000000001E-2</v>
      </c>
      <c r="R412">
        <v>5.6085469999999898E-3</v>
      </c>
      <c r="S412">
        <v>3.0025330000000001</v>
      </c>
      <c r="T412">
        <v>-3.9489629999999998E-2</v>
      </c>
      <c r="U412">
        <v>-4.1473389999999999E-2</v>
      </c>
      <c r="V412">
        <v>-1.6275020000000001E-3</v>
      </c>
      <c r="W412">
        <v>3.8359110000000002E-2</v>
      </c>
      <c r="X412">
        <v>0.99926269999999995</v>
      </c>
      <c r="Y412">
        <v>1.7754079999999998E-2</v>
      </c>
      <c r="Z412">
        <v>-1.6862109999999999E-4</v>
      </c>
      <c r="AA412">
        <v>0.99984229999999996</v>
      </c>
      <c r="AB412">
        <v>32</v>
      </c>
      <c r="AC412">
        <v>80.8322</v>
      </c>
      <c r="AD412">
        <v>-1.064837798426</v>
      </c>
      <c r="AE412">
        <v>-1.11949999999995</v>
      </c>
      <c r="AF412">
        <v>1.4381211057287699</v>
      </c>
      <c r="AG412">
        <v>-1.064837798426</v>
      </c>
      <c r="AH412">
        <v>80.813133064929303</v>
      </c>
      <c r="AI412">
        <v>90.754797175188997</v>
      </c>
      <c r="AJ412">
        <v>88.980492771098596</v>
      </c>
      <c r="AK412">
        <v>80.832942218019497</v>
      </c>
      <c r="AL412">
        <v>87.801645563650297</v>
      </c>
      <c r="AM412">
        <v>90.093317716448496</v>
      </c>
      <c r="AN412">
        <v>1.0000000068470201</v>
      </c>
    </row>
    <row r="413" spans="1:40" x14ac:dyDescent="0.25">
      <c r="A413" t="str">
        <f>"20190312160310427"</f>
        <v>20190312160310427</v>
      </c>
      <c r="B413" t="str">
        <f>"1552377790414699"</f>
        <v>1552377790414699</v>
      </c>
      <c r="C413" t="s">
        <v>40</v>
      </c>
      <c r="D413">
        <v>4.8561509999999997</v>
      </c>
      <c r="E413">
        <v>0.50651899999999905</v>
      </c>
      <c r="F413" t="s">
        <v>41</v>
      </c>
      <c r="G413">
        <v>-348.99169999999998</v>
      </c>
      <c r="H413" s="1">
        <v>-1.064779E-6</v>
      </c>
      <c r="I413">
        <v>367.0104</v>
      </c>
      <c r="J413">
        <v>-432.81760000000003</v>
      </c>
      <c r="K413">
        <v>1.064295</v>
      </c>
      <c r="L413">
        <v>368.16789999999997</v>
      </c>
      <c r="M413">
        <v>0.99993880000000002</v>
      </c>
      <c r="N413">
        <v>0</v>
      </c>
      <c r="O413">
        <v>3.7243269999999999E-3</v>
      </c>
      <c r="P413">
        <v>0.99959810000000004</v>
      </c>
      <c r="Q413">
        <v>2.780521E-2</v>
      </c>
      <c r="R413">
        <v>5.5396289999999999E-3</v>
      </c>
      <c r="S413">
        <v>3.0025330000000001</v>
      </c>
      <c r="T413">
        <v>-3.8058759999999997E-2</v>
      </c>
      <c r="U413">
        <v>-4.1351319999999997E-2</v>
      </c>
      <c r="V413">
        <v>-1.7804629999999999E-3</v>
      </c>
      <c r="W413">
        <v>3.8218080000000001E-2</v>
      </c>
      <c r="X413">
        <v>0.99926780000000004</v>
      </c>
      <c r="Y413">
        <v>1.749322E-2</v>
      </c>
      <c r="Z413">
        <v>-1.5806500000000001E-4</v>
      </c>
      <c r="AA413">
        <v>0.99984700000000004</v>
      </c>
      <c r="AB413">
        <v>32</v>
      </c>
      <c r="AC413">
        <v>83.825900000000004</v>
      </c>
      <c r="AD413">
        <v>-1.0642960647790001</v>
      </c>
      <c r="AE413">
        <v>-1.15749999999997</v>
      </c>
      <c r="AF413">
        <v>1.4694671413037499</v>
      </c>
      <c r="AG413">
        <v>-1.0642960647790001</v>
      </c>
      <c r="AH413">
        <v>83.807500134070295</v>
      </c>
      <c r="AI413">
        <v>90.727465021534002</v>
      </c>
      <c r="AJ413">
        <v>88.995488009009406</v>
      </c>
      <c r="AK413">
        <v>83.827138436875401</v>
      </c>
      <c r="AL413">
        <v>87.809731822817298</v>
      </c>
      <c r="AM413">
        <v>90.102087656107699</v>
      </c>
      <c r="AN413">
        <v>0.99999996390210899</v>
      </c>
    </row>
    <row r="414" spans="1:40" x14ac:dyDescent="0.25">
      <c r="A414" t="str">
        <f>"20190312160310444"</f>
        <v>20190312160310444</v>
      </c>
      <c r="B414" t="str">
        <f>"1552377790435198"</f>
        <v>1552377790435198</v>
      </c>
      <c r="C414" t="s">
        <v>40</v>
      </c>
      <c r="D414">
        <v>4.8549769999999999</v>
      </c>
      <c r="E414">
        <v>0.50636729999999996</v>
      </c>
      <c r="F414" t="s">
        <v>41</v>
      </c>
      <c r="G414">
        <v>-345.54919999999998</v>
      </c>
      <c r="H414" s="1">
        <v>-2.5565710000000001E-6</v>
      </c>
      <c r="I414">
        <v>366.9545</v>
      </c>
      <c r="J414">
        <v>-432.56079999999997</v>
      </c>
      <c r="K414">
        <v>1.0636330000000001</v>
      </c>
      <c r="L414">
        <v>368.16860000000003</v>
      </c>
      <c r="M414">
        <v>0.99994280000000002</v>
      </c>
      <c r="N414">
        <v>0</v>
      </c>
      <c r="O414">
        <v>3.4308440000000002E-3</v>
      </c>
      <c r="P414">
        <v>0.99959319999999896</v>
      </c>
      <c r="Q414">
        <v>2.8000879999999999E-2</v>
      </c>
      <c r="R414">
        <v>5.4346019999999898E-3</v>
      </c>
      <c r="S414">
        <v>3.0024410000000001</v>
      </c>
      <c r="T414">
        <v>-3.6616799999999998E-2</v>
      </c>
      <c r="U414">
        <v>-4.1748050000000002E-2</v>
      </c>
      <c r="V414">
        <v>-1.970589E-3</v>
      </c>
      <c r="W414">
        <v>3.8127069999999999E-2</v>
      </c>
      <c r="X414">
        <v>0.99927100000000002</v>
      </c>
      <c r="Y414">
        <v>1.7332420000000001E-2</v>
      </c>
      <c r="Z414">
        <v>-1.4752149999999999E-4</v>
      </c>
      <c r="AA414">
        <v>0.99984980000000001</v>
      </c>
      <c r="AB414">
        <v>32</v>
      </c>
      <c r="AC414">
        <v>87.011599999999902</v>
      </c>
      <c r="AD414">
        <v>-1.0636355565710001</v>
      </c>
      <c r="AE414">
        <v>-1.2141000000000299</v>
      </c>
      <c r="AF414">
        <v>1.51240544752743</v>
      </c>
      <c r="AG414">
        <v>-1.0636355565710001</v>
      </c>
      <c r="AH414">
        <v>86.993925471209707</v>
      </c>
      <c r="AI414">
        <v>90.700388968141297</v>
      </c>
      <c r="AJ414">
        <v>89.004002637097898</v>
      </c>
      <c r="AK414">
        <v>87.013572273096003</v>
      </c>
      <c r="AL414">
        <v>87.814950290436201</v>
      </c>
      <c r="AM414">
        <v>90.112988655224697</v>
      </c>
      <c r="AN414">
        <v>1.0000000440643899</v>
      </c>
    </row>
    <row r="415" spans="1:40" x14ac:dyDescent="0.25">
      <c r="A415" t="str">
        <f>"20190312160310457"</f>
        <v>20190312160310457</v>
      </c>
      <c r="B415" t="str">
        <f>"1552377790444956"</f>
        <v>1552377790444956</v>
      </c>
      <c r="C415" t="s">
        <v>40</v>
      </c>
      <c r="D415">
        <v>4.8798750000000002</v>
      </c>
      <c r="E415">
        <v>0.50630329999999901</v>
      </c>
      <c r="F415" t="s">
        <v>41</v>
      </c>
      <c r="G415">
        <v>-344.6327</v>
      </c>
      <c r="H415" s="1">
        <v>-2.9872189999999999E-6</v>
      </c>
      <c r="I415">
        <v>366.9692</v>
      </c>
      <c r="J415">
        <v>-432.38920000000002</v>
      </c>
      <c r="K415">
        <v>1.0632360000000001</v>
      </c>
      <c r="L415">
        <v>368.16899999999998</v>
      </c>
      <c r="M415">
        <v>0.99994519999999998</v>
      </c>
      <c r="N415">
        <v>0</v>
      </c>
      <c r="O415">
        <v>3.243952E-3</v>
      </c>
      <c r="P415">
        <v>0.99960119999999997</v>
      </c>
      <c r="Q415">
        <v>2.772175E-2</v>
      </c>
      <c r="R415">
        <v>5.3683460000000004E-3</v>
      </c>
      <c r="S415">
        <v>3.002472</v>
      </c>
      <c r="T415">
        <v>-3.6319850000000001E-2</v>
      </c>
      <c r="U415">
        <v>-4.0954589999999999E-2</v>
      </c>
      <c r="V415">
        <v>-2.0921289999999999E-3</v>
      </c>
      <c r="W415">
        <v>3.7674399999999997E-2</v>
      </c>
      <c r="X415">
        <v>0.99928790000000001</v>
      </c>
      <c r="Y415">
        <v>1.688129E-2</v>
      </c>
      <c r="Z415">
        <v>-1.4133489999999999E-4</v>
      </c>
      <c r="AA415">
        <v>0.99985749999999995</v>
      </c>
      <c r="AB415">
        <v>32</v>
      </c>
      <c r="AC415">
        <v>87.756500000000003</v>
      </c>
      <c r="AD415">
        <v>-1.063238987219</v>
      </c>
      <c r="AE415">
        <v>-1.19980000000003</v>
      </c>
      <c r="AF415">
        <v>1.48426782493625</v>
      </c>
      <c r="AG415">
        <v>-1.063238987219</v>
      </c>
      <c r="AH415">
        <v>87.739268886123497</v>
      </c>
      <c r="AI415">
        <v>90.694186444891002</v>
      </c>
      <c r="AJ415">
        <v>89.030831096579305</v>
      </c>
      <c r="AK415">
        <v>87.758263615408694</v>
      </c>
      <c r="AL415">
        <v>87.840904971148504</v>
      </c>
      <c r="AM415">
        <v>90.119955407002607</v>
      </c>
      <c r="AN415">
        <v>1.0000000222527601</v>
      </c>
    </row>
    <row r="416" spans="1:40" x14ac:dyDescent="0.25">
      <c r="A416" t="str">
        <f>"20190312160310470"</f>
        <v>20190312160310470</v>
      </c>
      <c r="B416" t="str">
        <f>"1552377790465451"</f>
        <v>1552377790465451</v>
      </c>
      <c r="C416" t="s">
        <v>40</v>
      </c>
      <c r="D416">
        <v>4.8612590000000004</v>
      </c>
      <c r="E416">
        <v>0.50628149999999905</v>
      </c>
      <c r="F416" t="s">
        <v>41</v>
      </c>
      <c r="G416">
        <v>-347.86439999999999</v>
      </c>
      <c r="H416" s="1">
        <v>-1.4943659999999999E-6</v>
      </c>
      <c r="I416">
        <v>367.02289999999999</v>
      </c>
      <c r="J416">
        <v>-432.20030000000003</v>
      </c>
      <c r="K416">
        <v>1.062827</v>
      </c>
      <c r="L416">
        <v>368.1694</v>
      </c>
      <c r="M416">
        <v>0.99994749999999999</v>
      </c>
      <c r="N416">
        <v>0</v>
      </c>
      <c r="O416">
        <v>3.0432179999999999E-3</v>
      </c>
      <c r="P416">
        <v>0.99960179999999998</v>
      </c>
      <c r="Q416">
        <v>2.7756019999999999E-2</v>
      </c>
      <c r="R416">
        <v>5.0716329999999999E-3</v>
      </c>
      <c r="S416">
        <v>3.002472</v>
      </c>
      <c r="T416">
        <v>-3.7768129999999997E-2</v>
      </c>
      <c r="U416">
        <v>-4.0710450000000002E-2</v>
      </c>
      <c r="V416">
        <v>-1.9977929999999999E-3</v>
      </c>
      <c r="W416">
        <v>3.7535249999999999E-2</v>
      </c>
      <c r="X416">
        <v>0.99929330000000005</v>
      </c>
      <c r="Y416">
        <v>1.6599200000000001E-2</v>
      </c>
      <c r="Z416">
        <v>-1.4267119999999999E-4</v>
      </c>
      <c r="AA416">
        <v>0.99986220000000003</v>
      </c>
      <c r="AB416">
        <v>32</v>
      </c>
      <c r="AC416">
        <v>84.335899999999995</v>
      </c>
      <c r="AD416">
        <v>-1.062828494366</v>
      </c>
      <c r="AE416">
        <v>-1.1465000000000001</v>
      </c>
      <c r="AF416">
        <v>1.4029367344685</v>
      </c>
      <c r="AG416">
        <v>-1.062828494366</v>
      </c>
      <c r="AH416">
        <v>84.318631326388896</v>
      </c>
      <c r="AI416">
        <v>90.722069787361704</v>
      </c>
      <c r="AJ416">
        <v>89.046771323386295</v>
      </c>
      <c r="AK416">
        <v>84.336999144176602</v>
      </c>
      <c r="AL416">
        <v>87.848883258484193</v>
      </c>
      <c r="AM416">
        <v>90.114545904332701</v>
      </c>
      <c r="AN416">
        <v>0.99999999279716101</v>
      </c>
    </row>
    <row r="417" spans="1:40" x14ac:dyDescent="0.25">
      <c r="A417" t="str">
        <f>"20190312160310483"</f>
        <v>20190312160310483</v>
      </c>
      <c r="B417" t="str">
        <f>"1552377790475212"</f>
        <v>1552377790475212</v>
      </c>
      <c r="C417" t="s">
        <v>40</v>
      </c>
      <c r="D417">
        <v>4.8619789999999998</v>
      </c>
      <c r="E417">
        <v>0.50629049999999998</v>
      </c>
      <c r="F417" t="s">
        <v>41</v>
      </c>
      <c r="G417">
        <v>-339.75920000000002</v>
      </c>
      <c r="H417" s="1">
        <v>-7.8903169999999904E-7</v>
      </c>
      <c r="I417">
        <v>366.90649999999999</v>
      </c>
      <c r="J417">
        <v>-431.99059999999997</v>
      </c>
      <c r="K417">
        <v>1.0624400000000001</v>
      </c>
      <c r="L417">
        <v>368.16989999999998</v>
      </c>
      <c r="M417">
        <v>0.99994950000000005</v>
      </c>
      <c r="N417">
        <v>0</v>
      </c>
      <c r="O417">
        <v>2.8311339999999999E-3</v>
      </c>
      <c r="P417">
        <v>0.99960919999999998</v>
      </c>
      <c r="Q417">
        <v>2.7526459999999999E-2</v>
      </c>
      <c r="R417">
        <v>4.8675180000000004E-3</v>
      </c>
      <c r="S417">
        <v>3.0023499999999999</v>
      </c>
      <c r="T417">
        <v>-3.4519080000000001E-2</v>
      </c>
      <c r="U417">
        <v>-4.1015629999999997E-2</v>
      </c>
      <c r="V417">
        <v>-2.0073510000000001E-3</v>
      </c>
      <c r="W417">
        <v>3.7168819999999998E-2</v>
      </c>
      <c r="X417">
        <v>0.99930699999999995</v>
      </c>
      <c r="Y417">
        <v>1.6489569999999999E-2</v>
      </c>
      <c r="Z417">
        <v>-1.2733530000000001E-4</v>
      </c>
      <c r="AA417">
        <v>0.99986399999999998</v>
      </c>
      <c r="AB417">
        <v>32</v>
      </c>
      <c r="AC417">
        <v>92.231399999999894</v>
      </c>
      <c r="AD417">
        <v>-1.06244078903169</v>
      </c>
      <c r="AE417">
        <v>-1.2633999999999901</v>
      </c>
      <c r="AF417">
        <v>1.5243242982034799</v>
      </c>
      <c r="AG417">
        <v>-1.06244078903169</v>
      </c>
      <c r="AH417">
        <v>92.215219184674197</v>
      </c>
      <c r="AI417">
        <v>90.660003486127195</v>
      </c>
      <c r="AJ417">
        <v>89.052982835260806</v>
      </c>
      <c r="AK417">
        <v>92.233936239725793</v>
      </c>
      <c r="AL417">
        <v>87.869892860614897</v>
      </c>
      <c r="AM417">
        <v>90.115092344602502</v>
      </c>
      <c r="AN417">
        <v>1.0000000154436099</v>
      </c>
    </row>
    <row r="418" spans="1:40" x14ac:dyDescent="0.25">
      <c r="A418" t="str">
        <f>"20190312160310502"</f>
        <v>20190312160310502</v>
      </c>
      <c r="B418" t="str">
        <f>"1552377790494730"</f>
        <v>1552377790494730</v>
      </c>
      <c r="C418" t="s">
        <v>40</v>
      </c>
      <c r="D418">
        <v>4.8195459999999999</v>
      </c>
      <c r="E418">
        <v>0.50624139999999995</v>
      </c>
      <c r="F418" t="s">
        <v>41</v>
      </c>
      <c r="G418">
        <v>-337.01900000000001</v>
      </c>
      <c r="H418" s="1">
        <v>-1.7516450000000001E-6</v>
      </c>
      <c r="I418">
        <v>366.85120000000001</v>
      </c>
      <c r="J418">
        <v>-431.73660000000001</v>
      </c>
      <c r="K418">
        <v>1.062044</v>
      </c>
      <c r="L418">
        <v>368.17039999999997</v>
      </c>
      <c r="M418">
        <v>0.99995069999999997</v>
      </c>
      <c r="N418">
        <v>0</v>
      </c>
      <c r="O418">
        <v>2.5866249999999999E-3</v>
      </c>
      <c r="P418">
        <v>0.99961840000000002</v>
      </c>
      <c r="Q418">
        <v>2.7178259999999999E-2</v>
      </c>
      <c r="R418">
        <v>4.9385760000000001E-3</v>
      </c>
      <c r="S418">
        <v>3.0023499999999999</v>
      </c>
      <c r="T418">
        <v>-3.3587099999999898E-2</v>
      </c>
      <c r="U418">
        <v>-4.1687009999999997E-2</v>
      </c>
      <c r="V418">
        <v>-2.323786E-3</v>
      </c>
      <c r="W418">
        <v>3.6765230000000003E-2</v>
      </c>
      <c r="X418">
        <v>0.99932120000000002</v>
      </c>
      <c r="Y418">
        <v>1.6468710000000001E-2</v>
      </c>
      <c r="Z418">
        <v>-1.210455E-4</v>
      </c>
      <c r="AA418">
        <v>0.99986439999999999</v>
      </c>
      <c r="AB418">
        <v>32</v>
      </c>
      <c r="AC418">
        <v>94.717600000000004</v>
      </c>
      <c r="AD418">
        <v>-1.0620457516449999</v>
      </c>
      <c r="AE418">
        <v>-1.31919999999996</v>
      </c>
      <c r="AF418">
        <v>1.5640091594029599</v>
      </c>
      <c r="AG418">
        <v>-1.0620457516449999</v>
      </c>
      <c r="AH418">
        <v>94.701966487887205</v>
      </c>
      <c r="AI418">
        <v>90.642435368060404</v>
      </c>
      <c r="AJ418">
        <v>89.053842475049507</v>
      </c>
      <c r="AK418">
        <v>94.720834680138793</v>
      </c>
      <c r="AL418">
        <v>87.893032587713293</v>
      </c>
      <c r="AM418">
        <v>90.133233329093599</v>
      </c>
      <c r="AN418">
        <v>0.99999997144388297</v>
      </c>
    </row>
    <row r="419" spans="1:40" x14ac:dyDescent="0.25">
      <c r="A419" t="str">
        <f>"20190312160310517"</f>
        <v>20190312160310517</v>
      </c>
      <c r="B419" t="str">
        <f>"1552377790505467"</f>
        <v>1552377790505467</v>
      </c>
      <c r="C419" t="s">
        <v>40</v>
      </c>
      <c r="D419">
        <v>4.8432409999999999</v>
      </c>
      <c r="E419">
        <v>0.50612120000000005</v>
      </c>
      <c r="F419" t="s">
        <v>41</v>
      </c>
      <c r="G419">
        <v>-335.11919999999998</v>
      </c>
      <c r="H419" s="1">
        <v>-2.5659470000000001E-6</v>
      </c>
      <c r="I419">
        <v>366.8553</v>
      </c>
      <c r="J419">
        <v>-431.52890000000002</v>
      </c>
      <c r="K419">
        <v>1.0618099999999999</v>
      </c>
      <c r="L419">
        <v>368.17070000000001</v>
      </c>
      <c r="M419">
        <v>0.99994970000000005</v>
      </c>
      <c r="N419">
        <v>0</v>
      </c>
      <c r="O419">
        <v>2.3988780000000001E-3</v>
      </c>
      <c r="P419">
        <v>0.99963190000000002</v>
      </c>
      <c r="Q419">
        <v>2.6691960000000001E-2</v>
      </c>
      <c r="R419">
        <v>4.8960740000000003E-3</v>
      </c>
      <c r="S419">
        <v>3.0022579999999999</v>
      </c>
      <c r="T419">
        <v>-3.3001660000000002E-2</v>
      </c>
      <c r="U419">
        <v>-4.0863040000000003E-2</v>
      </c>
      <c r="V419">
        <v>-2.4705809999999999E-3</v>
      </c>
      <c r="W419">
        <v>3.6441179999999997E-2</v>
      </c>
      <c r="X419">
        <v>0.99933269999999996</v>
      </c>
      <c r="Y419">
        <v>1.6007130000000001E-2</v>
      </c>
      <c r="Z419">
        <v>-1.143391E-4</v>
      </c>
      <c r="AA419">
        <v>0.99987190000000004</v>
      </c>
      <c r="AB419">
        <v>32</v>
      </c>
      <c r="AC419">
        <v>96.409700000000001</v>
      </c>
      <c r="AD419">
        <v>-1.0618125659469999</v>
      </c>
      <c r="AE419">
        <v>-1.3154000000000099</v>
      </c>
      <c r="AF419">
        <v>1.54649473924512</v>
      </c>
      <c r="AG419">
        <v>-1.0618125659469999</v>
      </c>
      <c r="AH419">
        <v>96.394576629340406</v>
      </c>
      <c r="AI419">
        <v>90.631021924362699</v>
      </c>
      <c r="AJ419">
        <v>89.080860940201404</v>
      </c>
      <c r="AK419">
        <v>96.412828479686794</v>
      </c>
      <c r="AL419">
        <v>87.911611700213399</v>
      </c>
      <c r="AM419">
        <v>90.141648097632896</v>
      </c>
      <c r="AN419">
        <v>0.99999995432977795</v>
      </c>
    </row>
    <row r="420" spans="1:40" x14ac:dyDescent="0.25">
      <c r="A420" t="str">
        <f>"20190312160310535"</f>
        <v>20190312160310535</v>
      </c>
      <c r="B420" t="str">
        <f>"1552377790524987"</f>
        <v>1552377790524987</v>
      </c>
      <c r="C420" t="s">
        <v>40</v>
      </c>
      <c r="D420">
        <v>4.8512690000000003</v>
      </c>
      <c r="E420">
        <v>0.50619629999999904</v>
      </c>
      <c r="F420" t="s">
        <v>41</v>
      </c>
      <c r="G420">
        <v>-338.01190000000003</v>
      </c>
      <c r="H420" s="1">
        <v>-1.380923E-6</v>
      </c>
      <c r="I420">
        <v>366.91680000000002</v>
      </c>
      <c r="J420">
        <v>-431.25839999999999</v>
      </c>
      <c r="K420">
        <v>1.0615829999999999</v>
      </c>
      <c r="L420">
        <v>368.17110000000002</v>
      </c>
      <c r="M420">
        <v>0.99994660000000002</v>
      </c>
      <c r="N420">
        <v>0</v>
      </c>
      <c r="O420">
        <v>2.1654069999999998E-3</v>
      </c>
      <c r="P420">
        <v>0.99963709999999995</v>
      </c>
      <c r="Q420">
        <v>2.650404E-2</v>
      </c>
      <c r="R420">
        <v>4.8589569999999997E-3</v>
      </c>
      <c r="S420">
        <v>3.0022280000000001</v>
      </c>
      <c r="T420">
        <v>-3.4087899999999997E-2</v>
      </c>
      <c r="U420">
        <v>-4.0252690000000001E-2</v>
      </c>
      <c r="V420">
        <v>-2.6678439999999999E-3</v>
      </c>
      <c r="W420">
        <v>3.6611299999999999E-2</v>
      </c>
      <c r="X420">
        <v>0.99932600000000005</v>
      </c>
      <c r="Y420">
        <v>1.5570550000000001E-2</v>
      </c>
      <c r="Z420">
        <v>-1.129747E-4</v>
      </c>
      <c r="AA420">
        <v>0.99987879999999996</v>
      </c>
      <c r="AB420">
        <v>32</v>
      </c>
      <c r="AC420">
        <v>93.246499999999898</v>
      </c>
      <c r="AD420">
        <v>-1.0615843809229999</v>
      </c>
      <c r="AE420">
        <v>-1.2543</v>
      </c>
      <c r="AF420">
        <v>1.4560353073166099</v>
      </c>
      <c r="AG420">
        <v>-1.0615843809229999</v>
      </c>
      <c r="AH420">
        <v>93.231483454759697</v>
      </c>
      <c r="AI420">
        <v>90.6522931799432</v>
      </c>
      <c r="AJ420">
        <v>89.105260441004603</v>
      </c>
      <c r="AK420">
        <v>93.248895475437607</v>
      </c>
      <c r="AL420">
        <v>87.9018580858543</v>
      </c>
      <c r="AM420">
        <v>90.152958932786404</v>
      </c>
      <c r="AN420">
        <v>0.99999997947764896</v>
      </c>
    </row>
    <row r="421" spans="1:40" x14ac:dyDescent="0.25">
      <c r="A421" t="str">
        <f>"20190312160310547"</f>
        <v>20190312160310547</v>
      </c>
      <c r="B421" t="str">
        <f>"1552377790534747"</f>
        <v>1552377790534747</v>
      </c>
      <c r="C421" t="s">
        <v>40</v>
      </c>
      <c r="D421">
        <v>4.7787920000000002</v>
      </c>
      <c r="E421">
        <v>0.50618099999999999</v>
      </c>
      <c r="F421" t="s">
        <v>41</v>
      </c>
      <c r="G421">
        <v>-327.8836</v>
      </c>
      <c r="H421" s="1">
        <v>-1.465263E-6</v>
      </c>
      <c r="I421">
        <v>366.76389999999998</v>
      </c>
      <c r="J421">
        <v>-431.08049999999997</v>
      </c>
      <c r="K421">
        <v>1.0614539999999999</v>
      </c>
      <c r="L421">
        <v>368.17140000000001</v>
      </c>
      <c r="M421">
        <v>0.99994459999999996</v>
      </c>
      <c r="N421">
        <v>0</v>
      </c>
      <c r="O421">
        <v>2.014554E-3</v>
      </c>
      <c r="P421">
        <v>0.99963550000000001</v>
      </c>
      <c r="Q421">
        <v>2.6544129999999999E-2</v>
      </c>
      <c r="R421">
        <v>4.9991239999999998E-3</v>
      </c>
      <c r="S421">
        <v>3.0021059999999999</v>
      </c>
      <c r="T421">
        <v>-3.0829430000000001E-2</v>
      </c>
      <c r="U421">
        <v>-4.0863040000000003E-2</v>
      </c>
      <c r="V421">
        <v>-2.9594410000000002E-3</v>
      </c>
      <c r="W421">
        <v>3.6891970000000003E-2</v>
      </c>
      <c r="X421">
        <v>0.99931490000000001</v>
      </c>
      <c r="Y421">
        <v>1.5623710000000001E-2</v>
      </c>
      <c r="Z421">
        <v>-1.009039E-4</v>
      </c>
      <c r="AA421">
        <v>0.99987789999999999</v>
      </c>
      <c r="AB421">
        <v>32</v>
      </c>
      <c r="AC421">
        <v>103.196899999999</v>
      </c>
      <c r="AD421">
        <v>-1.0614554652629999</v>
      </c>
      <c r="AE421">
        <v>-1.40750000000002</v>
      </c>
      <c r="AF421">
        <v>1.61523311356883</v>
      </c>
      <c r="AG421">
        <v>-1.0614554652629999</v>
      </c>
      <c r="AH421">
        <v>103.18294059543101</v>
      </c>
      <c r="AI421">
        <v>90.589315669216703</v>
      </c>
      <c r="AJ421">
        <v>89.103161031784595</v>
      </c>
      <c r="AK421">
        <v>103.201041155776</v>
      </c>
      <c r="AL421">
        <v>87.885766098827105</v>
      </c>
      <c r="AM421">
        <v>90.169679230553598</v>
      </c>
      <c r="AN421">
        <v>1.00000002255176</v>
      </c>
    </row>
    <row r="422" spans="1:40" x14ac:dyDescent="0.25">
      <c r="A422" t="str">
        <f>"20190312160310560"</f>
        <v>20190312160310560</v>
      </c>
      <c r="B422" t="str">
        <f>"1552377790555246"</f>
        <v>1552377790555246</v>
      </c>
      <c r="C422" t="s">
        <v>40</v>
      </c>
      <c r="D422">
        <v>4.7927039999999996</v>
      </c>
      <c r="E422">
        <v>0.50612800000000002</v>
      </c>
      <c r="F422" t="s">
        <v>43</v>
      </c>
      <c r="G422">
        <v>-311.19569999999999</v>
      </c>
      <c r="H422">
        <v>-0.05</v>
      </c>
      <c r="I422">
        <v>366.56509999999997</v>
      </c>
      <c r="J422">
        <v>-430.90649999999999</v>
      </c>
      <c r="K422">
        <v>1.0613109999999999</v>
      </c>
      <c r="L422">
        <v>368.17160000000001</v>
      </c>
      <c r="M422">
        <v>0.99994320000000003</v>
      </c>
      <c r="N422">
        <v>0</v>
      </c>
      <c r="O422">
        <v>1.870956E-3</v>
      </c>
      <c r="P422">
        <v>0.99963690000000005</v>
      </c>
      <c r="Q422">
        <v>2.651119E-2</v>
      </c>
      <c r="R422">
        <v>4.8214759999999999E-3</v>
      </c>
      <c r="S422">
        <v>3.002075</v>
      </c>
      <c r="T422">
        <v>-2.7832269999999999E-2</v>
      </c>
      <c r="U422">
        <v>-4.0222170000000002E-2</v>
      </c>
      <c r="V422">
        <v>-2.926073E-3</v>
      </c>
      <c r="W422">
        <v>3.7004429999999998E-2</v>
      </c>
      <c r="X422">
        <v>0.99931080000000005</v>
      </c>
      <c r="Y422">
        <v>1.5267050000000001E-2</v>
      </c>
      <c r="Z422" s="1">
        <v>-8.8111299999999896E-5</v>
      </c>
      <c r="AA422">
        <v>0.99988350000000004</v>
      </c>
      <c r="AB422">
        <v>32</v>
      </c>
      <c r="AC422">
        <v>119.71080000000001</v>
      </c>
      <c r="AD422">
        <v>-1.1113109999999999</v>
      </c>
      <c r="AE422">
        <v>-1.60650000000003</v>
      </c>
      <c r="AF422">
        <v>1.8303254494632</v>
      </c>
      <c r="AG422">
        <v>-1.1113109999999999</v>
      </c>
      <c r="AH422">
        <v>119.69727099047</v>
      </c>
      <c r="AI422">
        <v>90.531876439941499</v>
      </c>
      <c r="AJ422">
        <v>89.123942008162601</v>
      </c>
      <c r="AK422">
        <v>119.716422373689</v>
      </c>
      <c r="AL422">
        <v>87.879318127621303</v>
      </c>
      <c r="AM422">
        <v>90.167766779181306</v>
      </c>
      <c r="AN422">
        <v>0.99999998236973298</v>
      </c>
    </row>
    <row r="423" spans="1:40" x14ac:dyDescent="0.25">
      <c r="A423" t="str">
        <f>"20190312160310579"</f>
        <v>20190312160310579</v>
      </c>
      <c r="B423" t="str">
        <f>"1552377790575739"</f>
        <v>1552377790575739</v>
      </c>
      <c r="C423" t="s">
        <v>40</v>
      </c>
      <c r="D423">
        <v>4.7898899999999998</v>
      </c>
      <c r="E423">
        <v>0.50610350000000004</v>
      </c>
      <c r="F423" t="s">
        <v>43</v>
      </c>
      <c r="G423">
        <v>-282.52280000000002</v>
      </c>
      <c r="H423">
        <v>-0.05</v>
      </c>
      <c r="I423">
        <v>366.2</v>
      </c>
      <c r="J423">
        <v>-430.625</v>
      </c>
      <c r="K423">
        <v>1.061086</v>
      </c>
      <c r="L423">
        <v>368.17180000000002</v>
      </c>
      <c r="M423">
        <v>0.99994170000000004</v>
      </c>
      <c r="N423">
        <v>0</v>
      </c>
      <c r="O423">
        <v>1.6485099999999999E-3</v>
      </c>
      <c r="P423">
        <v>0.99962390000000001</v>
      </c>
      <c r="Q423">
        <v>2.7016499999999999E-2</v>
      </c>
      <c r="R423">
        <v>4.7551379999999999E-3</v>
      </c>
      <c r="S423">
        <v>3.0018310000000001</v>
      </c>
      <c r="T423">
        <v>-2.2482039999999998E-2</v>
      </c>
      <c r="U423">
        <v>-3.988647E-2</v>
      </c>
      <c r="V423">
        <v>-3.0818109999999998E-3</v>
      </c>
      <c r="W423">
        <v>3.769869E-2</v>
      </c>
      <c r="X423">
        <v>0.99928439999999996</v>
      </c>
      <c r="Y423">
        <v>1.493418E-2</v>
      </c>
      <c r="Z423" s="1">
        <v>-6.8267539999999999E-5</v>
      </c>
      <c r="AA423">
        <v>0.99988849999999996</v>
      </c>
      <c r="AB423">
        <v>32</v>
      </c>
      <c r="AC423">
        <v>148.10219999999899</v>
      </c>
      <c r="AD423">
        <v>-1.111086</v>
      </c>
      <c r="AE423">
        <v>-1.97180000000003</v>
      </c>
      <c r="AF423">
        <v>2.2158344906984899</v>
      </c>
      <c r="AG423">
        <v>-1.111086</v>
      </c>
      <c r="AH423">
        <v>148.09041461817199</v>
      </c>
      <c r="AI423">
        <v>90.429819982042602</v>
      </c>
      <c r="AJ423">
        <v>89.142763618779696</v>
      </c>
      <c r="AK423">
        <v>148.111158716593</v>
      </c>
      <c r="AL423">
        <v>87.839512220172793</v>
      </c>
      <c r="AM423">
        <v>90.1767006507351</v>
      </c>
      <c r="AN423">
        <v>1.00000000043505</v>
      </c>
    </row>
    <row r="424" spans="1:40" x14ac:dyDescent="0.25">
      <c r="A424" t="str">
        <f>"20190312160310590"</f>
        <v>20190312160310590</v>
      </c>
      <c r="B424" t="str">
        <f>"1552377790585499"</f>
        <v>1552377790585499</v>
      </c>
      <c r="C424" t="s">
        <v>40</v>
      </c>
      <c r="D424">
        <v>4.8031230000000003</v>
      </c>
      <c r="E424">
        <v>0.5060846</v>
      </c>
      <c r="F424" t="s">
        <v>41</v>
      </c>
      <c r="G424">
        <v>-232.26300000000001</v>
      </c>
      <c r="H424" s="1">
        <v>-4.0266900000000001E-6</v>
      </c>
      <c r="I424">
        <v>365.52800000000002</v>
      </c>
      <c r="J424">
        <v>-430.46080000000001</v>
      </c>
      <c r="K424">
        <v>1.060962</v>
      </c>
      <c r="L424">
        <v>368.17200000000003</v>
      </c>
      <c r="M424">
        <v>0.99994090000000002</v>
      </c>
      <c r="N424">
        <v>0</v>
      </c>
      <c r="O424">
        <v>1.5244220000000001E-3</v>
      </c>
      <c r="P424">
        <v>0.99962930000000005</v>
      </c>
      <c r="Q424">
        <v>2.6846350000000001E-2</v>
      </c>
      <c r="R424">
        <v>4.5948509999999996E-3</v>
      </c>
      <c r="S424">
        <v>3.00177</v>
      </c>
      <c r="T424">
        <v>-1.6057249999999999E-2</v>
      </c>
      <c r="U424">
        <v>-4.0008540000000002E-2</v>
      </c>
      <c r="V424">
        <v>-3.0460819999999999E-3</v>
      </c>
      <c r="W424">
        <v>3.7619600000000003E-2</v>
      </c>
      <c r="X424">
        <v>0.9992875</v>
      </c>
      <c r="Y424">
        <v>1.485126E-2</v>
      </c>
      <c r="Z424" s="1">
        <v>-4.7874190000000003E-5</v>
      </c>
      <c r="AA424">
        <v>0.99988969999999999</v>
      </c>
      <c r="AB424">
        <v>32</v>
      </c>
      <c r="AC424">
        <v>198.1978</v>
      </c>
      <c r="AD424">
        <v>-1.0609660266900001</v>
      </c>
      <c r="AE424">
        <v>-2.6439999999999402</v>
      </c>
      <c r="AF424">
        <v>2.94606711491913</v>
      </c>
      <c r="AG424">
        <v>-1.0609660266900001</v>
      </c>
      <c r="AH424">
        <v>198.187860749142</v>
      </c>
      <c r="AI424">
        <v>90.306686694613802</v>
      </c>
      <c r="AJ424">
        <v>89.148359642822498</v>
      </c>
      <c r="AK424">
        <v>198.21259573668999</v>
      </c>
      <c r="AL424">
        <v>87.844046981376593</v>
      </c>
      <c r="AM424">
        <v>90.174651541315299</v>
      </c>
      <c r="AN424">
        <v>1.00000001028798</v>
      </c>
    </row>
    <row r="425" spans="1:40" x14ac:dyDescent="0.25">
      <c r="A425" t="str">
        <f>"20190312160310602"</f>
        <v>20190312160310602</v>
      </c>
      <c r="B425" t="str">
        <f>"1552377790595259"</f>
        <v>1552377790595259</v>
      </c>
      <c r="C425" t="s">
        <v>40</v>
      </c>
      <c r="D425">
        <v>4.8161769999999997</v>
      </c>
      <c r="E425">
        <v>0.50604059999999995</v>
      </c>
      <c r="F425" t="s">
        <v>50</v>
      </c>
      <c r="G425">
        <v>-209.3004</v>
      </c>
      <c r="H425" s="1">
        <v>-5.7372510000000002E-6</v>
      </c>
      <c r="I425">
        <v>365.22190000000001</v>
      </c>
      <c r="J425">
        <v>-430.29</v>
      </c>
      <c r="K425">
        <v>1.060846</v>
      </c>
      <c r="L425">
        <v>368.1721</v>
      </c>
      <c r="M425">
        <v>0.99994000000000005</v>
      </c>
      <c r="N425">
        <v>0</v>
      </c>
      <c r="O425">
        <v>1.3999699999999999E-3</v>
      </c>
      <c r="P425">
        <v>0.99963440000000003</v>
      </c>
      <c r="Q425">
        <v>2.664801E-2</v>
      </c>
      <c r="R425">
        <v>4.5747419999999997E-3</v>
      </c>
      <c r="S425">
        <v>3.0016780000000001</v>
      </c>
      <c r="T425">
        <v>-1.439989E-2</v>
      </c>
      <c r="U425">
        <v>-4.0039060000000001E-2</v>
      </c>
      <c r="V425">
        <v>-3.1509250000000002E-3</v>
      </c>
      <c r="W425">
        <v>3.7511910000000002E-2</v>
      </c>
      <c r="X425">
        <v>0.99929120000000005</v>
      </c>
      <c r="Y425">
        <v>1.4737429999999999E-2</v>
      </c>
      <c r="Z425" s="1">
        <v>-4.2064119999999997E-5</v>
      </c>
      <c r="AA425">
        <v>0.99989139999999999</v>
      </c>
      <c r="AB425">
        <v>32</v>
      </c>
      <c r="AC425">
        <v>220.9896</v>
      </c>
      <c r="AD425">
        <v>-1.060851737251</v>
      </c>
      <c r="AE425">
        <v>-2.9501999999999899</v>
      </c>
      <c r="AF425">
        <v>3.2595190791771298</v>
      </c>
      <c r="AG425">
        <v>-1.060851737251</v>
      </c>
      <c r="AH425">
        <v>220.98016152709801</v>
      </c>
      <c r="AI425">
        <v>90.275025816280007</v>
      </c>
      <c r="AJ425">
        <v>89.154932539222997</v>
      </c>
      <c r="AK425">
        <v>221.00674573319699</v>
      </c>
      <c r="AL425">
        <v>87.850221472101495</v>
      </c>
      <c r="AM425">
        <v>90.180662159087007</v>
      </c>
      <c r="AN425">
        <v>0.99999998705882098</v>
      </c>
    </row>
    <row r="426" spans="1:40" x14ac:dyDescent="0.25">
      <c r="A426" t="str">
        <f>"20190312160310613"</f>
        <v>20190312160310613</v>
      </c>
      <c r="B426" t="str">
        <f>"1552377790605019"</f>
        <v>1552377790605019</v>
      </c>
      <c r="C426" t="s">
        <v>40</v>
      </c>
      <c r="D426">
        <v>4.8378769999999998</v>
      </c>
      <c r="E426">
        <v>0.50600579999999995</v>
      </c>
      <c r="F426" t="s">
        <v>50</v>
      </c>
      <c r="G426">
        <v>-191.53120000000001</v>
      </c>
      <c r="H426" s="1">
        <v>-6.5397810000000002E-6</v>
      </c>
      <c r="I426">
        <v>365.02609999999999</v>
      </c>
      <c r="J426">
        <v>-430.11930000000001</v>
      </c>
      <c r="K426">
        <v>1.0607439999999999</v>
      </c>
      <c r="L426">
        <v>368.17219999999998</v>
      </c>
      <c r="M426">
        <v>0.99993920000000003</v>
      </c>
      <c r="N426">
        <v>0</v>
      </c>
      <c r="O426">
        <v>1.2780510000000001E-3</v>
      </c>
      <c r="P426">
        <v>0.99962810000000002</v>
      </c>
      <c r="Q426">
        <v>2.6878220000000001E-2</v>
      </c>
      <c r="R426">
        <v>4.6081749999999999E-3</v>
      </c>
      <c r="S426">
        <v>3.001617</v>
      </c>
      <c r="T426">
        <v>-1.3336779999999999E-2</v>
      </c>
      <c r="U426">
        <v>-3.9550780000000001E-2</v>
      </c>
      <c r="V426">
        <v>-3.306224E-3</v>
      </c>
      <c r="W426">
        <v>3.7831160000000003E-2</v>
      </c>
      <c r="X426">
        <v>0.99927869999999996</v>
      </c>
      <c r="Y426">
        <v>1.4453199999999999E-2</v>
      </c>
      <c r="Z426" s="1">
        <v>-3.778638E-5</v>
      </c>
      <c r="AA426">
        <v>0.9998956</v>
      </c>
      <c r="AB426">
        <v>32</v>
      </c>
      <c r="AC426">
        <v>238.5881</v>
      </c>
      <c r="AD426">
        <v>-1.060750539781</v>
      </c>
      <c r="AE426">
        <v>-3.1460999999999899</v>
      </c>
      <c r="AF426">
        <v>3.4509752799779698</v>
      </c>
      <c r="AG426">
        <v>-1.060750539781</v>
      </c>
      <c r="AH426">
        <v>238.57916895599101</v>
      </c>
      <c r="AI426">
        <v>90.254715329527301</v>
      </c>
      <c r="AJ426">
        <v>89.171291729204398</v>
      </c>
      <c r="AK426">
        <v>238.60648415712001</v>
      </c>
      <c r="AL426">
        <v>87.831916881270701</v>
      </c>
      <c r="AM426">
        <v>90.189568726017697</v>
      </c>
      <c r="AN426">
        <v>1.00000002402888</v>
      </c>
    </row>
    <row r="427" spans="1:40" x14ac:dyDescent="0.25">
      <c r="A427" t="str">
        <f>"20190312160310625"</f>
        <v>20190312160310625</v>
      </c>
      <c r="B427" t="str">
        <f>"1552377790614779"</f>
        <v>1552377790614779</v>
      </c>
      <c r="C427" t="s">
        <v>40</v>
      </c>
      <c r="D427">
        <v>4.8368289999999998</v>
      </c>
      <c r="E427">
        <v>0.50598310000000002</v>
      </c>
      <c r="F427" t="s">
        <v>42</v>
      </c>
      <c r="G427">
        <v>-158.19499999999999</v>
      </c>
      <c r="H427">
        <v>5.515051E-2</v>
      </c>
      <c r="I427">
        <v>364.64440000000002</v>
      </c>
      <c r="J427">
        <v>-429.94940000000003</v>
      </c>
      <c r="K427">
        <v>1.060648</v>
      </c>
      <c r="L427">
        <v>368.17230000000001</v>
      </c>
      <c r="M427">
        <v>0.99993840000000001</v>
      </c>
      <c r="N427">
        <v>0</v>
      </c>
      <c r="O427">
        <v>1.158837E-3</v>
      </c>
      <c r="P427">
        <v>0.99962819999999997</v>
      </c>
      <c r="Q427">
        <v>2.6879050000000002E-2</v>
      </c>
      <c r="R427">
        <v>4.5739149999999996E-3</v>
      </c>
      <c r="S427">
        <v>3.0015559999999999</v>
      </c>
      <c r="T427">
        <v>-1.109898E-2</v>
      </c>
      <c r="U427">
        <v>-3.8940429999999998E-2</v>
      </c>
      <c r="V427">
        <v>-3.391505E-3</v>
      </c>
      <c r="W427">
        <v>3.7919309999999998E-2</v>
      </c>
      <c r="X427">
        <v>0.99927500000000002</v>
      </c>
      <c r="Y427">
        <v>1.4131019999999999E-2</v>
      </c>
      <c r="Z427" s="1">
        <v>-3.0410399999999999E-5</v>
      </c>
      <c r="AA427">
        <v>0.99990020000000002</v>
      </c>
      <c r="AB427">
        <v>32</v>
      </c>
      <c r="AC427">
        <v>271.75439999999998</v>
      </c>
      <c r="AD427">
        <v>-1.00549749</v>
      </c>
      <c r="AE427">
        <v>-3.5278999999999798</v>
      </c>
      <c r="AF427">
        <v>3.8427832737580001</v>
      </c>
      <c r="AG427">
        <v>-1.00549749</v>
      </c>
      <c r="AH427">
        <v>271.74640937019097</v>
      </c>
      <c r="AI427">
        <v>90.211979766163296</v>
      </c>
      <c r="AJ427">
        <v>89.189830734783399</v>
      </c>
      <c r="AK427">
        <v>271.77543857766602</v>
      </c>
      <c r="AL427">
        <v>87.826862473104896</v>
      </c>
      <c r="AM427">
        <v>90.194459159473197</v>
      </c>
      <c r="AN427">
        <v>0.99999995100101902</v>
      </c>
    </row>
    <row r="428" spans="1:40" x14ac:dyDescent="0.25">
      <c r="A428" t="str">
        <f>"20190312160310637"</f>
        <v>20190312160310637</v>
      </c>
      <c r="B428" t="str">
        <f>"1552377790625516"</f>
        <v>1552377790625516</v>
      </c>
      <c r="C428" t="s">
        <v>40</v>
      </c>
      <c r="D428">
        <v>4.8479760000000001</v>
      </c>
      <c r="E428">
        <v>0.50597130000000001</v>
      </c>
      <c r="F428" t="s">
        <v>42</v>
      </c>
      <c r="G428">
        <v>-158.19499999999999</v>
      </c>
      <c r="H428">
        <v>0.19589329999999999</v>
      </c>
      <c r="I428">
        <v>364.64120000000003</v>
      </c>
      <c r="J428">
        <v>-429.7946</v>
      </c>
      <c r="K428">
        <v>1.060573</v>
      </c>
      <c r="L428">
        <v>368.17239999999998</v>
      </c>
      <c r="M428">
        <v>0.99993779999999999</v>
      </c>
      <c r="N428">
        <v>0</v>
      </c>
      <c r="O428">
        <v>1.0525339999999999E-3</v>
      </c>
      <c r="P428">
        <v>0.9996313</v>
      </c>
      <c r="Q428">
        <v>2.675918E-2</v>
      </c>
      <c r="R428">
        <v>4.5976940000000003E-3</v>
      </c>
      <c r="S428">
        <v>3.0015559999999999</v>
      </c>
      <c r="T428">
        <v>-9.5503329999999994E-3</v>
      </c>
      <c r="U428">
        <v>-3.9001460000000002E-2</v>
      </c>
      <c r="V428">
        <v>-3.5225460000000001E-3</v>
      </c>
      <c r="W428">
        <v>3.7871189999999999E-2</v>
      </c>
      <c r="X428">
        <v>0.99927639999999995</v>
      </c>
      <c r="Y428">
        <v>1.404508E-2</v>
      </c>
      <c r="Z428" s="1">
        <v>-2.569228E-5</v>
      </c>
      <c r="AA428">
        <v>0.99990140000000005</v>
      </c>
      <c r="AB428">
        <v>32</v>
      </c>
      <c r="AC428">
        <v>271.59960000000001</v>
      </c>
      <c r="AD428">
        <v>-0.86467969999999905</v>
      </c>
      <c r="AE428">
        <v>-3.5311999999999499</v>
      </c>
      <c r="AF428">
        <v>3.8170447991212799</v>
      </c>
      <c r="AG428">
        <v>-0.86467969999999905</v>
      </c>
      <c r="AH428">
        <v>271.59298029103098</v>
      </c>
      <c r="AI428">
        <v>90.182395870040494</v>
      </c>
      <c r="AJ428">
        <v>89.194801871467504</v>
      </c>
      <c r="AK428">
        <v>271.62117819740502</v>
      </c>
      <c r="AL428">
        <v>87.829621589771605</v>
      </c>
      <c r="AM428">
        <v>90.201972330136797</v>
      </c>
      <c r="AN428">
        <v>0.99999997947964803</v>
      </c>
    </row>
    <row r="429" spans="1:40" x14ac:dyDescent="0.25">
      <c r="A429" t="str">
        <f>"20190312160310648"</f>
        <v>20190312160310648</v>
      </c>
      <c r="B429" t="str">
        <f>"1552377790645035"</f>
        <v>1552377790645035</v>
      </c>
      <c r="C429" t="s">
        <v>40</v>
      </c>
      <c r="D429">
        <v>4.9956899999999997</v>
      </c>
      <c r="E429">
        <v>0.50571169999999999</v>
      </c>
      <c r="F429" t="s">
        <v>42</v>
      </c>
      <c r="G429">
        <v>-158.19499999999999</v>
      </c>
      <c r="H429">
        <v>0.28631210000000001</v>
      </c>
      <c r="I429">
        <v>364.67910000000001</v>
      </c>
      <c r="J429">
        <v>-429.62389999999999</v>
      </c>
      <c r="K429">
        <v>1.060489</v>
      </c>
      <c r="L429">
        <v>368.17239999999998</v>
      </c>
      <c r="M429">
        <v>0.99993699999999996</v>
      </c>
      <c r="N429">
        <v>0</v>
      </c>
      <c r="O429">
        <v>9.3679370000000002E-4</v>
      </c>
      <c r="P429">
        <v>0.9996254</v>
      </c>
      <c r="Q429">
        <v>2.6998230000000002E-2</v>
      </c>
      <c r="R429">
        <v>4.5007060000000002E-3</v>
      </c>
      <c r="S429">
        <v>3.0014949999999998</v>
      </c>
      <c r="T429">
        <v>-8.5555319999999994E-3</v>
      </c>
      <c r="U429">
        <v>-3.8604739999999999E-2</v>
      </c>
      <c r="V429">
        <v>-3.5415640000000001E-3</v>
      </c>
      <c r="W429">
        <v>3.8187579999999999E-2</v>
      </c>
      <c r="X429">
        <v>0.99926429999999999</v>
      </c>
      <c r="Y429">
        <v>1.3797480000000001E-2</v>
      </c>
      <c r="Z429" s="1">
        <v>-2.2333780000000002E-5</v>
      </c>
      <c r="AA429">
        <v>0.99990480000000004</v>
      </c>
      <c r="AB429">
        <v>32</v>
      </c>
      <c r="AC429">
        <v>271.4289</v>
      </c>
      <c r="AD429">
        <v>-0.77417689999999995</v>
      </c>
      <c r="AE429">
        <v>-3.4932999999999699</v>
      </c>
      <c r="AF429">
        <v>3.74755677702802</v>
      </c>
      <c r="AG429">
        <v>-0.77417689999999995</v>
      </c>
      <c r="AH429">
        <v>271.42330046107401</v>
      </c>
      <c r="AI429">
        <v>90.163407936019198</v>
      </c>
      <c r="AJ429">
        <v>89.208964213136795</v>
      </c>
      <c r="AK429">
        <v>271.45027457133301</v>
      </c>
      <c r="AL429">
        <v>87.811480672653204</v>
      </c>
      <c r="AM429">
        <v>90.203065215538601</v>
      </c>
      <c r="AN429">
        <v>0.999999987598156</v>
      </c>
    </row>
    <row r="430" spans="1:40" x14ac:dyDescent="0.25">
      <c r="A430" t="str">
        <f>"20190312160310659"</f>
        <v>20190312160310659</v>
      </c>
      <c r="B430" t="str">
        <f>"1552377790654795"</f>
        <v>1552377790654795</v>
      </c>
      <c r="C430" t="s">
        <v>40</v>
      </c>
      <c r="D430">
        <v>4.8076990000000004</v>
      </c>
      <c r="E430">
        <v>0.50580069999999999</v>
      </c>
      <c r="F430" t="s">
        <v>42</v>
      </c>
      <c r="G430">
        <v>-158.19499999999999</v>
      </c>
      <c r="H430">
        <v>0.22612380000000001</v>
      </c>
      <c r="I430">
        <v>364.80840000000001</v>
      </c>
      <c r="J430">
        <v>-429.45979999999997</v>
      </c>
      <c r="K430">
        <v>1.060422</v>
      </c>
      <c r="L430">
        <v>368.17250000000001</v>
      </c>
      <c r="M430">
        <v>0.99993639999999995</v>
      </c>
      <c r="N430">
        <v>0</v>
      </c>
      <c r="O430">
        <v>8.3047890000000004E-4</v>
      </c>
      <c r="P430">
        <v>0.99962770000000001</v>
      </c>
      <c r="Q430">
        <v>2.6921380000000002E-2</v>
      </c>
      <c r="R430">
        <v>4.4872000000000002E-3</v>
      </c>
      <c r="S430">
        <v>3.0015559999999999</v>
      </c>
      <c r="T430">
        <v>-9.2257260000000001E-3</v>
      </c>
      <c r="U430">
        <v>-3.720093E-2</v>
      </c>
      <c r="V430">
        <v>-3.635433E-3</v>
      </c>
      <c r="W430">
        <v>3.8174710000000001E-2</v>
      </c>
      <c r="X430">
        <v>0.9992645</v>
      </c>
      <c r="Y430">
        <v>1.322333E-2</v>
      </c>
      <c r="Z430" s="1">
        <v>-2.2873759999999998E-5</v>
      </c>
      <c r="AA430">
        <v>0.99991260000000004</v>
      </c>
      <c r="AB430">
        <v>32</v>
      </c>
      <c r="AC430">
        <v>271.26479999999998</v>
      </c>
      <c r="AD430">
        <v>-0.83429819999999999</v>
      </c>
      <c r="AE430">
        <v>-3.3641000000000001</v>
      </c>
      <c r="AF430">
        <v>3.5893588361164399</v>
      </c>
      <c r="AG430">
        <v>-0.83429819999999999</v>
      </c>
      <c r="AH430">
        <v>271.25934694268398</v>
      </c>
      <c r="AI430">
        <v>90.176205654407497</v>
      </c>
      <c r="AJ430">
        <v>89.241894838848793</v>
      </c>
      <c r="AK430">
        <v>271.28437635461501</v>
      </c>
      <c r="AL430">
        <v>87.812218706598699</v>
      </c>
      <c r="AM430">
        <v>90.208447361658301</v>
      </c>
      <c r="AN430">
        <v>1.00000003290846</v>
      </c>
    </row>
    <row r="431" spans="1:40" x14ac:dyDescent="0.25">
      <c r="A431" t="str">
        <f>"20190312160310724"</f>
        <v>20190312160310724</v>
      </c>
      <c r="B431" t="str">
        <f>"1552377790715307"</f>
        <v>1552377790715307</v>
      </c>
      <c r="C431" t="s">
        <v>40</v>
      </c>
      <c r="D431">
        <v>4.2403490000000001</v>
      </c>
      <c r="E431">
        <v>0.50580069999999999</v>
      </c>
      <c r="F431" t="s">
        <v>42</v>
      </c>
      <c r="G431">
        <v>-158.19499999999999</v>
      </c>
      <c r="H431">
        <v>0.61263389999999995</v>
      </c>
      <c r="I431">
        <v>364.79649999999998</v>
      </c>
      <c r="J431">
        <v>-428.53</v>
      </c>
      <c r="K431">
        <v>1.0601309999999999</v>
      </c>
      <c r="L431">
        <v>368.17239999999998</v>
      </c>
      <c r="M431">
        <v>0.99993350000000003</v>
      </c>
      <c r="N431">
        <v>0</v>
      </c>
      <c r="O431">
        <v>2.8248470000000002E-4</v>
      </c>
      <c r="P431">
        <v>0.99962830000000003</v>
      </c>
      <c r="Q431">
        <v>2.6813480000000001E-2</v>
      </c>
      <c r="R431">
        <v>4.9778510000000002E-3</v>
      </c>
      <c r="S431">
        <v>3.0014340000000002</v>
      </c>
      <c r="T431">
        <v>-4.9536229999999999E-3</v>
      </c>
      <c r="U431">
        <v>-3.7353520000000001E-2</v>
      </c>
      <c r="V431">
        <v>-4.677474E-3</v>
      </c>
      <c r="W431">
        <v>3.8355309999999997E-2</v>
      </c>
      <c r="X431">
        <v>0.99925319999999995</v>
      </c>
      <c r="Y431">
        <v>1.272672E-2</v>
      </c>
      <c r="Z431" s="1">
        <v>-1.0968029999999999E-5</v>
      </c>
      <c r="AA431">
        <v>0.999919</v>
      </c>
      <c r="AB431">
        <v>32</v>
      </c>
      <c r="AC431">
        <v>270.33499999999998</v>
      </c>
      <c r="AD431">
        <v>-0.44749709999999998</v>
      </c>
      <c r="AE431">
        <v>-3.3759000000000001</v>
      </c>
      <c r="AF431">
        <v>3.4522609839863798</v>
      </c>
      <c r="AG431">
        <v>-0.44749709999999998</v>
      </c>
      <c r="AH431">
        <v>270.33329486810402</v>
      </c>
      <c r="AI431">
        <v>90.094836935762501</v>
      </c>
      <c r="AJ431">
        <v>89.268350453403301</v>
      </c>
      <c r="AK431">
        <v>270.35570767749903</v>
      </c>
      <c r="AL431">
        <v>87.801863395815303</v>
      </c>
      <c r="AM431">
        <v>90.268197851741704</v>
      </c>
      <c r="AN431">
        <v>0.999999983139228</v>
      </c>
    </row>
    <row r="432" spans="1:40" x14ac:dyDescent="0.25">
      <c r="A432" t="str">
        <f>"20190312160310736"</f>
        <v>20190312160310736</v>
      </c>
      <c r="B432" t="str">
        <f>"1552377790725607"</f>
        <v>1552377790725607</v>
      </c>
      <c r="C432" t="s">
        <v>40</v>
      </c>
      <c r="D432">
        <v>4.9478439999999999</v>
      </c>
      <c r="E432">
        <v>0.50570329999999997</v>
      </c>
      <c r="F432" t="s">
        <v>42</v>
      </c>
      <c r="G432">
        <v>-158.19499999999999</v>
      </c>
      <c r="H432">
        <v>0.58757159999999997</v>
      </c>
      <c r="I432">
        <v>364.90699999999998</v>
      </c>
      <c r="J432">
        <v>-428.36849999999998</v>
      </c>
      <c r="K432">
        <v>1.0600969999999901</v>
      </c>
      <c r="L432">
        <v>368.17230000000001</v>
      </c>
      <c r="M432">
        <v>0.99993299999999996</v>
      </c>
      <c r="N432">
        <v>0</v>
      </c>
      <c r="O432">
        <v>1.9653699999999999E-4</v>
      </c>
      <c r="P432">
        <v>0.99962430000000002</v>
      </c>
      <c r="Q432">
        <v>2.6981080000000001E-2</v>
      </c>
      <c r="R432">
        <v>4.8666919999999997E-3</v>
      </c>
      <c r="S432">
        <v>3.0014340000000002</v>
      </c>
      <c r="T432">
        <v>-5.2456859999999899E-3</v>
      </c>
      <c r="U432">
        <v>-3.6254880000000003E-2</v>
      </c>
      <c r="V432">
        <v>-4.6521840000000002E-3</v>
      </c>
      <c r="W432">
        <v>3.8560190000000001E-2</v>
      </c>
      <c r="X432">
        <v>0.99924550000000001</v>
      </c>
      <c r="Y432">
        <v>1.227483E-2</v>
      </c>
      <c r="Z432" s="1">
        <v>-1.106962E-5</v>
      </c>
      <c r="AA432">
        <v>0.9999247</v>
      </c>
      <c r="AB432">
        <v>32</v>
      </c>
      <c r="AC432">
        <v>270.17349999999999</v>
      </c>
      <c r="AD432">
        <v>-0.47252539999999899</v>
      </c>
      <c r="AE432">
        <v>-3.2653000000000199</v>
      </c>
      <c r="AF432">
        <v>3.3183924338112898</v>
      </c>
      <c r="AG432">
        <v>-0.47252539999999899</v>
      </c>
      <c r="AH432">
        <v>270.172026678441</v>
      </c>
      <c r="AI432">
        <v>90.100201497262205</v>
      </c>
      <c r="AJ432">
        <v>89.296299015791703</v>
      </c>
      <c r="AK432">
        <v>270.19281820236199</v>
      </c>
      <c r="AL432">
        <v>87.790116094047306</v>
      </c>
      <c r="AM432">
        <v>90.266749845628894</v>
      </c>
      <c r="AN432">
        <v>1.0000000501695201</v>
      </c>
    </row>
    <row r="433" spans="1:40" x14ac:dyDescent="0.25">
      <c r="A433" t="str">
        <f>"20190312160310748"</f>
        <v>20190312160310748</v>
      </c>
      <c r="B433" t="str">
        <f>"1552377790745128"</f>
        <v>1552377790745128</v>
      </c>
      <c r="C433" t="s">
        <v>40</v>
      </c>
      <c r="D433">
        <v>4.9108039999999997</v>
      </c>
      <c r="E433">
        <v>0.50561590000000001</v>
      </c>
      <c r="F433" t="s">
        <v>42</v>
      </c>
      <c r="G433">
        <v>-158.19499999999999</v>
      </c>
      <c r="H433">
        <v>1.422293</v>
      </c>
      <c r="I433">
        <v>365.01299999999998</v>
      </c>
      <c r="J433">
        <v>-428.19400000000002</v>
      </c>
      <c r="K433">
        <v>1.060068</v>
      </c>
      <c r="L433">
        <v>368.17219999999998</v>
      </c>
      <c r="M433">
        <v>0.99993259999999995</v>
      </c>
      <c r="N433">
        <v>0</v>
      </c>
      <c r="O433">
        <v>1.04926E-4</v>
      </c>
      <c r="P433">
        <v>0.99962549999999994</v>
      </c>
      <c r="Q433">
        <v>2.6926249999999999E-2</v>
      </c>
      <c r="R433">
        <v>4.9288190000000001E-3</v>
      </c>
      <c r="S433">
        <v>3.0011899999999998</v>
      </c>
      <c r="T433">
        <v>4.0243859999999996E-3</v>
      </c>
      <c r="U433">
        <v>-3.5095210000000002E-2</v>
      </c>
      <c r="V433">
        <v>-4.8070430000000004E-3</v>
      </c>
      <c r="W433">
        <v>3.854399E-2</v>
      </c>
      <c r="X433">
        <v>0.9992453</v>
      </c>
      <c r="Y433">
        <v>1.179788E-2</v>
      </c>
      <c r="Z433" s="1">
        <v>8.0504970000000004E-6</v>
      </c>
      <c r="AA433">
        <v>0.9999304</v>
      </c>
      <c r="AB433">
        <v>32</v>
      </c>
      <c r="AC433">
        <v>269.99900000000002</v>
      </c>
      <c r="AD433">
        <v>0.36222500000000002</v>
      </c>
      <c r="AE433">
        <v>-3.1591999999999398</v>
      </c>
      <c r="AF433">
        <v>3.1875260708565301</v>
      </c>
      <c r="AG433">
        <v>0.36222500000000002</v>
      </c>
      <c r="AH433">
        <v>269.998181123493</v>
      </c>
      <c r="AI433">
        <v>89.923138352061102</v>
      </c>
      <c r="AJ433">
        <v>89.323612825424604</v>
      </c>
      <c r="AK433">
        <v>270.01723896706602</v>
      </c>
      <c r="AL433">
        <v>87.7910447729097</v>
      </c>
      <c r="AM433">
        <v>90.275629168532404</v>
      </c>
      <c r="AN433">
        <v>0.99999995819980603</v>
      </c>
    </row>
    <row r="434" spans="1:40" x14ac:dyDescent="0.25">
      <c r="A434" t="str">
        <f>"20190312160310759"</f>
        <v>20190312160310759</v>
      </c>
      <c r="B434" t="str">
        <f>"1552377790754887"</f>
        <v>1552377790754887</v>
      </c>
      <c r="C434" t="s">
        <v>40</v>
      </c>
      <c r="D434">
        <v>4.6490090000000004</v>
      </c>
      <c r="E434">
        <v>0.50537429999999905</v>
      </c>
      <c r="F434" t="s">
        <v>42</v>
      </c>
      <c r="G434">
        <v>-158.19499999999999</v>
      </c>
      <c r="H434">
        <v>0.69315150000000003</v>
      </c>
      <c r="I434">
        <v>365.06459999999998</v>
      </c>
      <c r="J434">
        <v>-428.01929999999999</v>
      </c>
      <c r="K434">
        <v>1.060039</v>
      </c>
      <c r="L434">
        <v>368.1721</v>
      </c>
      <c r="M434">
        <v>0.99993220000000005</v>
      </c>
      <c r="N434">
        <v>0</v>
      </c>
      <c r="O434" s="1">
        <v>1.6958769999999999E-5</v>
      </c>
      <c r="P434">
        <v>0.99962600000000001</v>
      </c>
      <c r="Q434">
        <v>2.6909840000000001E-2</v>
      </c>
      <c r="R434">
        <v>4.9029080000000001E-3</v>
      </c>
      <c r="S434">
        <v>3.001404</v>
      </c>
      <c r="T434">
        <v>-4.0777920000000002E-3</v>
      </c>
      <c r="U434">
        <v>-3.4545899999999997E-2</v>
      </c>
      <c r="V434">
        <v>-4.8694580000000001E-3</v>
      </c>
      <c r="W434">
        <v>3.856163E-2</v>
      </c>
      <c r="X434">
        <v>0.99924429999999997</v>
      </c>
      <c r="Y434">
        <v>1.1526099999999999E-2</v>
      </c>
      <c r="Z434" s="1">
        <v>-7.8526199999999997E-6</v>
      </c>
      <c r="AA434">
        <v>0.99993359999999998</v>
      </c>
      <c r="AB434">
        <v>32</v>
      </c>
      <c r="AC434">
        <v>269.82429999999999</v>
      </c>
      <c r="AD434">
        <v>-0.36688749999999898</v>
      </c>
      <c r="AE434">
        <v>-3.1075000000000101</v>
      </c>
      <c r="AF434">
        <v>3.1120704450474599</v>
      </c>
      <c r="AG434">
        <v>-0.36688749999999898</v>
      </c>
      <c r="AH434">
        <v>269.823748458426</v>
      </c>
      <c r="AI434">
        <v>90.077901572526898</v>
      </c>
      <c r="AJ434">
        <v>89.339196059994805</v>
      </c>
      <c r="AK434">
        <v>269.84194414702898</v>
      </c>
      <c r="AL434">
        <v>87.790033285352195</v>
      </c>
      <c r="AM434">
        <v>90.279208181057399</v>
      </c>
      <c r="AN434">
        <v>0.999999941005978</v>
      </c>
    </row>
    <row r="435" spans="1:40" x14ac:dyDescent="0.25">
      <c r="A435" t="str">
        <f>"20190312160310772"</f>
        <v>20190312160310772</v>
      </c>
      <c r="B435" t="str">
        <f>"1552377790765623"</f>
        <v>1552377790765623</v>
      </c>
      <c r="C435" t="s">
        <v>40</v>
      </c>
      <c r="D435">
        <v>4.8548119999999999</v>
      </c>
      <c r="E435">
        <v>0.50551639999999998</v>
      </c>
      <c r="F435" t="s">
        <v>42</v>
      </c>
      <c r="G435">
        <v>-158.19499999999999</v>
      </c>
      <c r="H435">
        <v>0.73242039999999997</v>
      </c>
      <c r="I435">
        <v>365.21730000000002</v>
      </c>
      <c r="J435">
        <v>-427.84390000000002</v>
      </c>
      <c r="K435">
        <v>1.060012</v>
      </c>
      <c r="L435">
        <v>368.17200000000003</v>
      </c>
      <c r="M435">
        <v>0.99993160000000003</v>
      </c>
      <c r="N435">
        <v>0</v>
      </c>
      <c r="O435" s="1">
        <v>-6.9634689999999999E-5</v>
      </c>
      <c r="P435">
        <v>0.99962439999999997</v>
      </c>
      <c r="Q435">
        <v>2.6944599999999999E-2</v>
      </c>
      <c r="R435">
        <v>4.9959749999999997E-3</v>
      </c>
      <c r="S435">
        <v>3.0013730000000001</v>
      </c>
      <c r="T435">
        <v>-3.6432740000000002E-3</v>
      </c>
      <c r="U435">
        <v>-3.2867430000000003E-2</v>
      </c>
      <c r="V435">
        <v>-5.0500290000000001E-3</v>
      </c>
      <c r="W435">
        <v>3.862881E-2</v>
      </c>
      <c r="X435">
        <v>0.99924089999999999</v>
      </c>
      <c r="Y435">
        <v>1.08805E-2</v>
      </c>
      <c r="Z435" s="1">
        <v>-6.5190200000000003E-6</v>
      </c>
      <c r="AA435">
        <v>0.99994079999999996</v>
      </c>
      <c r="AB435">
        <v>32</v>
      </c>
      <c r="AC435">
        <v>269.64890000000003</v>
      </c>
      <c r="AD435">
        <v>-0.32759159999999998</v>
      </c>
      <c r="AE435">
        <v>-2.9546999999999399</v>
      </c>
      <c r="AF435">
        <v>2.93591745817863</v>
      </c>
      <c r="AG435">
        <v>-0.32759159999999998</v>
      </c>
      <c r="AH435">
        <v>269.64870717276</v>
      </c>
      <c r="AI435">
        <v>90.069603502294001</v>
      </c>
      <c r="AJ435">
        <v>89.376191955720699</v>
      </c>
      <c r="AK435">
        <v>269.66488871842103</v>
      </c>
      <c r="AL435">
        <v>87.786181486165304</v>
      </c>
      <c r="AM435">
        <v>90.289562691752295</v>
      </c>
      <c r="AN435">
        <v>1.00000003199386</v>
      </c>
    </row>
    <row r="436" spans="1:40" x14ac:dyDescent="0.25">
      <c r="A436" t="str">
        <f>"20190312160310791"</f>
        <v>20190312160310791</v>
      </c>
      <c r="B436" t="str">
        <f>"1552377790785144"</f>
        <v>1552377790785144</v>
      </c>
      <c r="C436" t="s">
        <v>40</v>
      </c>
      <c r="D436">
        <v>4.9301890000000004</v>
      </c>
      <c r="E436">
        <v>0.50561639999999997</v>
      </c>
      <c r="F436" t="s">
        <v>42</v>
      </c>
      <c r="G436">
        <v>-158.19499999999999</v>
      </c>
      <c r="H436">
        <v>0.76312950000000002</v>
      </c>
      <c r="I436">
        <v>365.11770000000001</v>
      </c>
      <c r="J436">
        <v>-427.56099999999998</v>
      </c>
      <c r="K436">
        <v>1.0599799999999999</v>
      </c>
      <c r="L436">
        <v>368.17180000000002</v>
      </c>
      <c r="M436">
        <v>0.99993120000000002</v>
      </c>
      <c r="N436">
        <v>0</v>
      </c>
      <c r="O436">
        <v>-2.050036E-4</v>
      </c>
      <c r="P436">
        <v>0.99963409999999997</v>
      </c>
      <c r="Q436">
        <v>2.6650719999999999E-2</v>
      </c>
      <c r="R436">
        <v>4.6627530000000004E-3</v>
      </c>
      <c r="S436">
        <v>3.0013730000000001</v>
      </c>
      <c r="T436">
        <v>-3.303528E-3</v>
      </c>
      <c r="U436">
        <v>-3.3996579999999998E-2</v>
      </c>
      <c r="V436">
        <v>-4.852337E-3</v>
      </c>
      <c r="W436">
        <v>3.8384849999999998E-2</v>
      </c>
      <c r="X436">
        <v>0.99925120000000001</v>
      </c>
      <c r="Y436">
        <v>1.1121270000000001E-2</v>
      </c>
      <c r="Z436" s="1">
        <v>-5.89458899999999E-6</v>
      </c>
      <c r="AA436">
        <v>0.99993810000000005</v>
      </c>
      <c r="AB436">
        <v>32</v>
      </c>
      <c r="AC436">
        <v>269.36599999999999</v>
      </c>
      <c r="AD436">
        <v>-0.29685049999999902</v>
      </c>
      <c r="AE436">
        <v>-3.0541</v>
      </c>
      <c r="AF436">
        <v>2.9988714961930998</v>
      </c>
      <c r="AG436">
        <v>-0.29685049999999902</v>
      </c>
      <c r="AH436">
        <v>269.366293385868</v>
      </c>
      <c r="AI436">
        <v>90.063137892088406</v>
      </c>
      <c r="AJ436">
        <v>89.362148917947906</v>
      </c>
      <c r="AK436">
        <v>269.38314973826999</v>
      </c>
      <c r="AL436">
        <v>87.800169561075606</v>
      </c>
      <c r="AM436">
        <v>90.278224580202803</v>
      </c>
      <c r="AN436">
        <v>0.99999995129265995</v>
      </c>
    </row>
    <row r="437" spans="1:40" x14ac:dyDescent="0.25">
      <c r="A437" t="str">
        <f>"20190312160310803"</f>
        <v>20190312160310803</v>
      </c>
      <c r="B437" t="str">
        <f>"1552377790794904"</f>
        <v>1552377790794904</v>
      </c>
      <c r="C437" t="s">
        <v>40</v>
      </c>
      <c r="D437">
        <v>4.9421489999999997</v>
      </c>
      <c r="E437">
        <v>0.50570649999999995</v>
      </c>
      <c r="F437" t="s">
        <v>42</v>
      </c>
      <c r="G437">
        <v>-158.19499999999999</v>
      </c>
      <c r="H437">
        <v>0.60203909999999905</v>
      </c>
      <c r="I437">
        <v>364.9975</v>
      </c>
      <c r="J437">
        <v>-427.38139999999999</v>
      </c>
      <c r="K437">
        <v>1.059963</v>
      </c>
      <c r="L437">
        <v>368.17169999999999</v>
      </c>
      <c r="M437">
        <v>0.99993069999999895</v>
      </c>
      <c r="N437">
        <v>0</v>
      </c>
      <c r="O437">
        <v>-2.8813340000000002E-4</v>
      </c>
      <c r="P437">
        <v>0.99963639999999998</v>
      </c>
      <c r="Q437">
        <v>2.6558060000000001E-2</v>
      </c>
      <c r="R437">
        <v>4.6823480000000002E-3</v>
      </c>
      <c r="S437">
        <v>3.0013730000000001</v>
      </c>
      <c r="T437">
        <v>-5.1015619999999996E-3</v>
      </c>
      <c r="U437">
        <v>-3.5369869999999998E-2</v>
      </c>
      <c r="V437">
        <v>-4.9557439999999998E-3</v>
      </c>
      <c r="W437">
        <v>3.8329090000000003E-2</v>
      </c>
      <c r="X437">
        <v>0.9992529</v>
      </c>
      <c r="Y437">
        <v>1.14956E-2</v>
      </c>
      <c r="Z437" s="1">
        <v>-9.2796630000000007E-6</v>
      </c>
      <c r="AA437">
        <v>0.99993390000000004</v>
      </c>
      <c r="AB437">
        <v>32</v>
      </c>
      <c r="AC437">
        <v>269.18639999999999</v>
      </c>
      <c r="AD437">
        <v>-0.45792389999999999</v>
      </c>
      <c r="AE437">
        <v>-3.1741999999999799</v>
      </c>
      <c r="AF437">
        <v>3.09662394337332</v>
      </c>
      <c r="AG437">
        <v>-0.45792389999999999</v>
      </c>
      <c r="AH437">
        <v>269.18652459582199</v>
      </c>
      <c r="AI437">
        <v>90.097461586124396</v>
      </c>
      <c r="AJ437">
        <v>89.340919248404902</v>
      </c>
      <c r="AK437">
        <v>269.20472469502101</v>
      </c>
      <c r="AL437">
        <v>87.803366874059094</v>
      </c>
      <c r="AM437">
        <v>90.284153178452499</v>
      </c>
      <c r="AN437">
        <v>1.00000001834861</v>
      </c>
    </row>
    <row r="438" spans="1:40" x14ac:dyDescent="0.25">
      <c r="A438" t="str">
        <f>"20190312160310816"</f>
        <v>20190312160310816</v>
      </c>
      <c r="B438" t="str">
        <f>"1552377790804663"</f>
        <v>1552377790804663</v>
      </c>
      <c r="C438" t="s">
        <v>40</v>
      </c>
      <c r="D438">
        <v>4.9663760000000003</v>
      </c>
      <c r="E438">
        <v>0.50577570000000005</v>
      </c>
      <c r="F438" t="s">
        <v>42</v>
      </c>
      <c r="G438">
        <v>-158.19499999999999</v>
      </c>
      <c r="H438">
        <v>0.50081659999999995</v>
      </c>
      <c r="I438">
        <v>364.92020000000002</v>
      </c>
      <c r="J438">
        <v>-427.20830000000001</v>
      </c>
      <c r="K438">
        <v>1.0598339999999999</v>
      </c>
      <c r="L438">
        <v>368.17160000000001</v>
      </c>
      <c r="M438">
        <v>0.99993520000000002</v>
      </c>
      <c r="N438">
        <v>0</v>
      </c>
      <c r="O438">
        <v>-3.645408E-4</v>
      </c>
      <c r="P438">
        <v>0.99962099999999998</v>
      </c>
      <c r="Q438">
        <v>2.7157939999999998E-2</v>
      </c>
      <c r="R438">
        <v>4.5453990000000003E-3</v>
      </c>
      <c r="S438">
        <v>3.001465</v>
      </c>
      <c r="T438">
        <v>-6.2335730000000001E-3</v>
      </c>
      <c r="U438">
        <v>-3.6254880000000003E-2</v>
      </c>
      <c r="V438">
        <v>-4.8956670000000002E-3</v>
      </c>
      <c r="W438">
        <v>3.8540659999999997E-2</v>
      </c>
      <c r="X438">
        <v>0.99924500000000005</v>
      </c>
      <c r="Y438">
        <v>1.1713619999999999E-2</v>
      </c>
      <c r="Z438" s="1">
        <v>-1.140611E-5</v>
      </c>
      <c r="AA438">
        <v>0.99993140000000003</v>
      </c>
      <c r="AB438">
        <v>32</v>
      </c>
      <c r="AC438">
        <v>269.01330000000002</v>
      </c>
      <c r="AD438">
        <v>-0.559017399999999</v>
      </c>
      <c r="AE438">
        <v>-3.2513999999999799</v>
      </c>
      <c r="AF438">
        <v>3.1533134970859198</v>
      </c>
      <c r="AG438">
        <v>-0.559017399999999</v>
      </c>
      <c r="AH438">
        <v>269.013305983142</v>
      </c>
      <c r="AI438">
        <v>90.119053930417607</v>
      </c>
      <c r="AJ438">
        <v>89.328422510074404</v>
      </c>
      <c r="AK438">
        <v>269.03236735092702</v>
      </c>
      <c r="AL438">
        <v>87.791235713772906</v>
      </c>
      <c r="AM438">
        <v>90.280710749286897</v>
      </c>
      <c r="AN438">
        <v>0.99999996002680402</v>
      </c>
    </row>
    <row r="439" spans="1:40" x14ac:dyDescent="0.25">
      <c r="A439" t="str">
        <f>"20190312160310830"</f>
        <v>20190312160310830</v>
      </c>
      <c r="B439" t="str">
        <f>"1552377790825161"</f>
        <v>1552377790825161</v>
      </c>
      <c r="C439" t="s">
        <v>40</v>
      </c>
      <c r="D439">
        <v>4.9742699999999997</v>
      </c>
      <c r="E439">
        <v>0.50587529999999903</v>
      </c>
      <c r="F439" t="s">
        <v>42</v>
      </c>
      <c r="G439">
        <v>-158.19499999999999</v>
      </c>
      <c r="H439">
        <v>0.57267669999999904</v>
      </c>
      <c r="I439">
        <v>364.82369999999997</v>
      </c>
      <c r="J439">
        <v>-427.02030000000002</v>
      </c>
      <c r="K439">
        <v>1.0596540000000001</v>
      </c>
      <c r="L439">
        <v>368.17140000000001</v>
      </c>
      <c r="M439">
        <v>0.99994179999999999</v>
      </c>
      <c r="N439">
        <v>0</v>
      </c>
      <c r="O439">
        <v>-4.459469E-4</v>
      </c>
      <c r="P439">
        <v>0.99961149999999999</v>
      </c>
      <c r="Q439">
        <v>2.7549830000000001E-2</v>
      </c>
      <c r="R439">
        <v>4.2551189999999999E-3</v>
      </c>
      <c r="S439">
        <v>3.001465</v>
      </c>
      <c r="T439">
        <v>-5.4343940000000004E-3</v>
      </c>
      <c r="U439">
        <v>-3.7353520000000001E-2</v>
      </c>
      <c r="V439">
        <v>-4.6874819999999998E-3</v>
      </c>
      <c r="W439">
        <v>3.8341970000000003E-2</v>
      </c>
      <c r="X439">
        <v>0.99925370000000002</v>
      </c>
      <c r="Y439">
        <v>1.1998170000000001E-2</v>
      </c>
      <c r="Z439" s="1">
        <v>-1.005397E-5</v>
      </c>
      <c r="AA439">
        <v>0.99992800000000004</v>
      </c>
      <c r="AB439">
        <v>32</v>
      </c>
      <c r="AC439">
        <v>268.82530000000003</v>
      </c>
      <c r="AD439">
        <v>-0.4869773</v>
      </c>
      <c r="AE439">
        <v>-3.3477000000000299</v>
      </c>
      <c r="AF439">
        <v>3.2278003018034198</v>
      </c>
      <c r="AG439">
        <v>-0.4869773</v>
      </c>
      <c r="AH439">
        <v>268.825884224611</v>
      </c>
      <c r="AI439">
        <v>90.103783541950705</v>
      </c>
      <c r="AJ439">
        <v>89.312080947058803</v>
      </c>
      <c r="AK439">
        <v>268.845702719651</v>
      </c>
      <c r="AL439">
        <v>87.802628360928907</v>
      </c>
      <c r="AM439">
        <v>90.268771549365596</v>
      </c>
      <c r="AN439">
        <v>1.0000000180573301</v>
      </c>
    </row>
    <row r="440" spans="1:40" x14ac:dyDescent="0.25">
      <c r="A440" t="str">
        <f>"20190312160310840"</f>
        <v>20190312160310840</v>
      </c>
      <c r="B440" t="str">
        <f>"1552377790834920"</f>
        <v>1552377790834920</v>
      </c>
      <c r="C440" t="s">
        <v>40</v>
      </c>
      <c r="D440">
        <v>4.9238619999999997</v>
      </c>
      <c r="E440">
        <v>0.50587269999999995</v>
      </c>
      <c r="F440" t="s">
        <v>42</v>
      </c>
      <c r="G440">
        <v>-158.19499999999999</v>
      </c>
      <c r="H440">
        <v>0.56443330000000003</v>
      </c>
      <c r="I440">
        <v>364.66730000000001</v>
      </c>
      <c r="J440">
        <v>-426.84780000000001</v>
      </c>
      <c r="K440">
        <v>1.0594779999999999</v>
      </c>
      <c r="L440">
        <v>368.1712</v>
      </c>
      <c r="M440">
        <v>0.99994870000000002</v>
      </c>
      <c r="N440">
        <v>0</v>
      </c>
      <c r="O440">
        <v>-5.2029989999999998E-4</v>
      </c>
      <c r="P440">
        <v>0.9995906</v>
      </c>
      <c r="Q440">
        <v>2.8307470000000001E-2</v>
      </c>
      <c r="R440">
        <v>4.2022190000000001E-3</v>
      </c>
      <c r="S440">
        <v>3.001465</v>
      </c>
      <c r="T440">
        <v>-5.5282119999999898E-3</v>
      </c>
      <c r="U440">
        <v>-3.9123539999999998E-2</v>
      </c>
      <c r="V440">
        <v>-4.709385E-3</v>
      </c>
      <c r="W440">
        <v>3.8426780000000001E-2</v>
      </c>
      <c r="X440">
        <v>0.99925030000000004</v>
      </c>
      <c r="Y440">
        <v>1.2513399999999999E-2</v>
      </c>
      <c r="Z440" s="1">
        <v>-1.0565019999999999E-5</v>
      </c>
      <c r="AA440">
        <v>0.99992170000000002</v>
      </c>
      <c r="AB440">
        <v>33</v>
      </c>
      <c r="AC440">
        <v>268.65280000000001</v>
      </c>
      <c r="AD440">
        <v>-0.4950447</v>
      </c>
      <c r="AE440">
        <v>-3.5038999999999798</v>
      </c>
      <c r="AF440">
        <v>3.3641009276188298</v>
      </c>
      <c r="AG440">
        <v>-0.4950447</v>
      </c>
      <c r="AH440">
        <v>268.65367474126299</v>
      </c>
      <c r="AI440">
        <v>90.105569806202297</v>
      </c>
      <c r="AJ440">
        <v>89.282575562545702</v>
      </c>
      <c r="AK440">
        <v>268.67519274449398</v>
      </c>
      <c r="AL440">
        <v>87.797765435977794</v>
      </c>
      <c r="AM440">
        <v>90.270028327096099</v>
      </c>
      <c r="AN440">
        <v>0.99999997888916803</v>
      </c>
    </row>
    <row r="441" spans="1:40" x14ac:dyDescent="0.25">
      <c r="A441" t="str">
        <f>"20190312160310858"</f>
        <v>20190312160310858</v>
      </c>
      <c r="B441" t="str">
        <f>"1552377790845656"</f>
        <v>1552377790845656</v>
      </c>
      <c r="C441" t="s">
        <v>40</v>
      </c>
      <c r="D441">
        <v>4.9032309999999999</v>
      </c>
      <c r="E441">
        <v>0.50592000000000004</v>
      </c>
      <c r="F441" t="s">
        <v>42</v>
      </c>
      <c r="G441">
        <v>-158.19499999999999</v>
      </c>
      <c r="H441">
        <v>0.4725704</v>
      </c>
      <c r="I441">
        <v>364.65320000000003</v>
      </c>
      <c r="J441">
        <v>-426.59690000000001</v>
      </c>
      <c r="K441">
        <v>1.0592539999999999</v>
      </c>
      <c r="L441">
        <v>368.17099999999999</v>
      </c>
      <c r="M441">
        <v>0.99995809999999996</v>
      </c>
      <c r="N441">
        <v>0</v>
      </c>
      <c r="O441">
        <v>-6.2780550000000001E-4</v>
      </c>
      <c r="P441">
        <v>0.9995579</v>
      </c>
      <c r="Q441">
        <v>2.9489049999999999E-2</v>
      </c>
      <c r="R441">
        <v>3.8489589999999999E-3</v>
      </c>
      <c r="S441">
        <v>3.0015869999999998</v>
      </c>
      <c r="T441">
        <v>-6.5563919999999899E-3</v>
      </c>
      <c r="U441">
        <v>-3.9306639999999997E-2</v>
      </c>
      <c r="V441">
        <v>-4.4644410000000004E-3</v>
      </c>
      <c r="W441">
        <v>3.8624520000000002E-2</v>
      </c>
      <c r="X441">
        <v>0.99924380000000002</v>
      </c>
      <c r="Y441">
        <v>1.2466349999999999E-2</v>
      </c>
      <c r="Z441" s="1">
        <v>-1.2243260000000001E-5</v>
      </c>
      <c r="AA441">
        <v>0.99992230000000004</v>
      </c>
      <c r="AB441">
        <v>33</v>
      </c>
      <c r="AC441">
        <v>268.40190000000001</v>
      </c>
      <c r="AD441">
        <v>-0.58668359999999997</v>
      </c>
      <c r="AE441">
        <v>-3.5177999999999598</v>
      </c>
      <c r="AF441">
        <v>3.3492720905226299</v>
      </c>
      <c r="AG441">
        <v>-0.58668359999999997</v>
      </c>
      <c r="AH441">
        <v>268.40277350756497</v>
      </c>
      <c r="AI441">
        <v>90.125229048174504</v>
      </c>
      <c r="AJ441">
        <v>89.285069996828398</v>
      </c>
      <c r="AK441">
        <v>268.42431083591498</v>
      </c>
      <c r="AL441">
        <v>87.786427349729806</v>
      </c>
      <c r="AM441">
        <v>90.255985501441103</v>
      </c>
      <c r="AN441">
        <v>0.99999997830855603</v>
      </c>
    </row>
    <row r="442" spans="1:40" x14ac:dyDescent="0.25">
      <c r="A442" t="str">
        <f>"20190312160310870"</f>
        <v>20190312160310870</v>
      </c>
      <c r="B442" t="str">
        <f>"1552377790865176"</f>
        <v>1552377790865176</v>
      </c>
      <c r="C442" t="s">
        <v>40</v>
      </c>
      <c r="D442">
        <v>4.9932169999999996</v>
      </c>
      <c r="E442">
        <v>0.5060521</v>
      </c>
      <c r="F442" t="s">
        <v>42</v>
      </c>
      <c r="G442">
        <v>-158.19499999999999</v>
      </c>
      <c r="H442">
        <v>0.61176090000000005</v>
      </c>
      <c r="I442">
        <v>364.51710000000003</v>
      </c>
      <c r="J442">
        <v>-426.42110000000002</v>
      </c>
      <c r="K442">
        <v>1.059107</v>
      </c>
      <c r="L442">
        <v>368.17079999999999</v>
      </c>
      <c r="M442">
        <v>0.99996419999999997</v>
      </c>
      <c r="N442">
        <v>0</v>
      </c>
      <c r="O442">
        <v>-7.0243740000000001E-4</v>
      </c>
      <c r="P442">
        <v>0.99952909999999995</v>
      </c>
      <c r="Q442">
        <v>3.0478290000000002E-2</v>
      </c>
      <c r="R442">
        <v>3.6226779999999998E-3</v>
      </c>
      <c r="S442">
        <v>3.001617</v>
      </c>
      <c r="T442">
        <v>-5.0034520000000002E-3</v>
      </c>
      <c r="U442">
        <v>-4.0863040000000003E-2</v>
      </c>
      <c r="V442">
        <v>-4.3133470000000004E-3</v>
      </c>
      <c r="W442">
        <v>3.8925179999999997E-2</v>
      </c>
      <c r="X442">
        <v>0.99923280000000003</v>
      </c>
      <c r="Y442">
        <v>1.291E-2</v>
      </c>
      <c r="Z442" s="1">
        <v>-9.5885619999999994E-6</v>
      </c>
      <c r="AA442">
        <v>0.99991669999999999</v>
      </c>
      <c r="AB442">
        <v>33</v>
      </c>
      <c r="AC442">
        <v>268.22609999999997</v>
      </c>
      <c r="AD442">
        <v>-0.44734609999999903</v>
      </c>
      <c r="AE442">
        <v>-3.65369999999995</v>
      </c>
      <c r="AF442">
        <v>3.4652707183342302</v>
      </c>
      <c r="AG442">
        <v>-0.44734609999999903</v>
      </c>
      <c r="AH442">
        <v>268.227854460255</v>
      </c>
      <c r="AI442">
        <v>90.095548917212795</v>
      </c>
      <c r="AJ442">
        <v>89.259829511241506</v>
      </c>
      <c r="AK442">
        <v>268.25061067598</v>
      </c>
      <c r="AL442">
        <v>87.769187842979306</v>
      </c>
      <c r="AM442">
        <v>90.2473247912624</v>
      </c>
      <c r="AN442">
        <v>0.99999998159810699</v>
      </c>
    </row>
    <row r="443" spans="1:40" x14ac:dyDescent="0.25">
      <c r="A443" t="str">
        <f>"20190312160310893"</f>
        <v>20190312160310893</v>
      </c>
      <c r="B443" t="str">
        <f>"1552377790884696"</f>
        <v>1552377790884696</v>
      </c>
      <c r="C443" t="s">
        <v>40</v>
      </c>
      <c r="D443">
        <v>4.9212569999999998</v>
      </c>
      <c r="E443">
        <v>0.50718399999999997</v>
      </c>
      <c r="F443" t="s">
        <v>42</v>
      </c>
      <c r="G443">
        <v>-158.19499999999999</v>
      </c>
      <c r="H443">
        <v>0.75636359999999903</v>
      </c>
      <c r="I443">
        <v>364.35849999999999</v>
      </c>
      <c r="J443">
        <v>-426.07510000000002</v>
      </c>
      <c r="K443">
        <v>1.0588690000000001</v>
      </c>
      <c r="L443">
        <v>368.1705</v>
      </c>
      <c r="M443">
        <v>0.99997429999999998</v>
      </c>
      <c r="N443">
        <v>0</v>
      </c>
      <c r="O443">
        <v>-8.4231159999999998E-4</v>
      </c>
      <c r="P443">
        <v>0.99948309999999996</v>
      </c>
      <c r="Q443">
        <v>3.1955820000000003E-2</v>
      </c>
      <c r="R443">
        <v>3.5571219999999998E-3</v>
      </c>
      <c r="S443">
        <v>3.0016780000000001</v>
      </c>
      <c r="T443">
        <v>-3.3869740000000001E-3</v>
      </c>
      <c r="U443">
        <v>-4.2663569999999998E-2</v>
      </c>
      <c r="V443">
        <v>-4.3881270000000003E-3</v>
      </c>
      <c r="W443">
        <v>3.9079080000000002E-2</v>
      </c>
      <c r="X443">
        <v>0.99922650000000002</v>
      </c>
      <c r="Y443">
        <v>1.3369539999999999E-2</v>
      </c>
      <c r="Z443" s="1">
        <v>-6.5920419999999996E-6</v>
      </c>
      <c r="AA443">
        <v>0.99991070000000004</v>
      </c>
      <c r="AB443">
        <v>33</v>
      </c>
      <c r="AC443">
        <v>267.88010000000003</v>
      </c>
      <c r="AD443">
        <v>-0.30250539999999998</v>
      </c>
      <c r="AE443">
        <v>-3.81200000000001</v>
      </c>
      <c r="AF443">
        <v>3.58634984053591</v>
      </c>
      <c r="AG443">
        <v>-0.30250539999999998</v>
      </c>
      <c r="AH443">
        <v>267.88287439877001</v>
      </c>
      <c r="AI443">
        <v>90.064695148328894</v>
      </c>
      <c r="AJ443">
        <v>89.232984060117801</v>
      </c>
      <c r="AK443">
        <v>267.90705069266602</v>
      </c>
      <c r="AL443">
        <v>87.7603633811093</v>
      </c>
      <c r="AM443">
        <v>90.251614164382801</v>
      </c>
      <c r="AN443">
        <v>1.0000000142272301</v>
      </c>
    </row>
    <row r="444" spans="1:40" x14ac:dyDescent="0.25">
      <c r="A444" t="str">
        <f>"20190312160311015"</f>
        <v>20190312160311015</v>
      </c>
      <c r="B444" t="str">
        <f>"1552377791004744"</f>
        <v>1552377791004744</v>
      </c>
      <c r="C444" t="s">
        <v>40</v>
      </c>
      <c r="D444">
        <v>4.305593</v>
      </c>
      <c r="E444">
        <v>0.50718399999999997</v>
      </c>
      <c r="F444" t="s">
        <v>42</v>
      </c>
      <c r="G444">
        <v>-158.19499999999999</v>
      </c>
      <c r="H444">
        <v>1.2353179999999999</v>
      </c>
      <c r="I444">
        <v>363.54880000000003</v>
      </c>
      <c r="J444">
        <v>-424.2054</v>
      </c>
      <c r="K444">
        <v>1.0585059999999999</v>
      </c>
      <c r="L444">
        <v>368.16800000000001</v>
      </c>
      <c r="M444">
        <v>0.99999539999999998</v>
      </c>
      <c r="N444">
        <v>0</v>
      </c>
      <c r="O444">
        <v>-1.3862519999999999E-3</v>
      </c>
      <c r="P444">
        <v>0.99930859999999999</v>
      </c>
      <c r="Q444">
        <v>3.704619E-2</v>
      </c>
      <c r="R444">
        <v>3.177713E-3</v>
      </c>
      <c r="S444">
        <v>3.001709</v>
      </c>
      <c r="T444">
        <v>1.9781590000000002E-3</v>
      </c>
      <c r="U444">
        <v>-5.178833E-2</v>
      </c>
      <c r="V444">
        <v>-4.5523839999999996E-3</v>
      </c>
      <c r="W444">
        <v>3.9772340000000003E-2</v>
      </c>
      <c r="X444">
        <v>0.99919840000000004</v>
      </c>
      <c r="Y444">
        <v>1.586431E-2</v>
      </c>
      <c r="Z444" s="1">
        <v>4.3135009999999997E-6</v>
      </c>
      <c r="AA444">
        <v>0.99987420000000005</v>
      </c>
      <c r="AB444">
        <v>35</v>
      </c>
      <c r="AC444">
        <v>266.0104</v>
      </c>
      <c r="AD444">
        <v>0.176812</v>
      </c>
      <c r="AE444">
        <v>-4.61919999999997</v>
      </c>
      <c r="AF444">
        <v>4.2504348933524199</v>
      </c>
      <c r="AG444">
        <v>0.176812</v>
      </c>
      <c r="AH444">
        <v>266.01643031040697</v>
      </c>
      <c r="AI444">
        <v>89.9619223258277</v>
      </c>
      <c r="AJ444">
        <v>89.084600681054496</v>
      </c>
      <c r="AK444">
        <v>266.05044381537499</v>
      </c>
      <c r="AL444">
        <v>87.720611576095905</v>
      </c>
      <c r="AM444">
        <v>90.261039834737105</v>
      </c>
      <c r="AN444">
        <v>1.00000000289585</v>
      </c>
    </row>
    <row r="445" spans="1:40" x14ac:dyDescent="0.25">
      <c r="A445" t="str">
        <f>"20190312160311026"</f>
        <v>20190312160311026</v>
      </c>
      <c r="B445" t="str">
        <f>"1552377791015479"</f>
        <v>1552377791015479</v>
      </c>
      <c r="C445" t="s">
        <v>40</v>
      </c>
      <c r="D445">
        <v>5.0402820000000004</v>
      </c>
      <c r="E445">
        <v>0.55611460000000001</v>
      </c>
      <c r="F445" t="s">
        <v>42</v>
      </c>
      <c r="G445">
        <v>-158.19499999999999</v>
      </c>
      <c r="H445">
        <v>2.5914109999999999</v>
      </c>
      <c r="I445">
        <v>363.45929999999998</v>
      </c>
      <c r="J445">
        <v>-424.02199999999999</v>
      </c>
      <c r="K445">
        <v>1.0585739999999999</v>
      </c>
      <c r="L445">
        <v>368.16770000000002</v>
      </c>
      <c r="M445">
        <v>0.99999539999999998</v>
      </c>
      <c r="N445">
        <v>0</v>
      </c>
      <c r="O445">
        <v>-1.4223739999999999E-3</v>
      </c>
      <c r="P445">
        <v>0.99930779999999997</v>
      </c>
      <c r="Q445">
        <v>3.7079649999999999E-2</v>
      </c>
      <c r="R445">
        <v>3.0799149999999999E-3</v>
      </c>
      <c r="S445">
        <v>3.0015869999999998</v>
      </c>
      <c r="T445">
        <v>1.7297860000000002E-2</v>
      </c>
      <c r="U445">
        <v>-5.3131100000000001E-2</v>
      </c>
      <c r="V445">
        <v>-4.4913899999999996E-3</v>
      </c>
      <c r="W445">
        <v>3.9812359999999998E-2</v>
      </c>
      <c r="X445">
        <v>0.99919709999999995</v>
      </c>
      <c r="Y445">
        <v>1.6275810000000002E-2</v>
      </c>
      <c r="Z445" s="1">
        <v>3.8697630000000002E-5</v>
      </c>
      <c r="AA445">
        <v>0.99986759999999997</v>
      </c>
      <c r="AB445">
        <v>35</v>
      </c>
      <c r="AC445">
        <v>265.827</v>
      </c>
      <c r="AD445">
        <v>1.532837</v>
      </c>
      <c r="AE445">
        <v>-4.7084000000000401</v>
      </c>
      <c r="AF445">
        <v>4.3301445341108904</v>
      </c>
      <c r="AG445">
        <v>1.532837</v>
      </c>
      <c r="AH445">
        <v>265.82459228526102</v>
      </c>
      <c r="AI445">
        <v>89.669660104565395</v>
      </c>
      <c r="AJ445">
        <v>89.066764050222602</v>
      </c>
      <c r="AK445">
        <v>265.86427666119403</v>
      </c>
      <c r="AL445">
        <v>87.718316821925598</v>
      </c>
      <c r="AM445">
        <v>90.2575427390627</v>
      </c>
      <c r="AN445">
        <v>1.0000000206206501</v>
      </c>
    </row>
    <row r="446" spans="1:40" x14ac:dyDescent="0.25">
      <c r="A446" t="str">
        <f>"20190312160311037"</f>
        <v>20190312160311037</v>
      </c>
      <c r="B446" t="str">
        <f>"1552377791035000"</f>
        <v>1552377791035000</v>
      </c>
      <c r="C446" t="s">
        <v>40</v>
      </c>
      <c r="D446">
        <v>5.1935729999999998</v>
      </c>
      <c r="E446">
        <v>0.53295890000000001</v>
      </c>
      <c r="F446" t="s">
        <v>49</v>
      </c>
      <c r="G446">
        <v>-423.3254</v>
      </c>
      <c r="H446">
        <v>0.90994379999999997</v>
      </c>
      <c r="I446">
        <v>368.05669999999998</v>
      </c>
      <c r="J446">
        <v>-423.84800000000001</v>
      </c>
      <c r="K446">
        <v>1.0586420000000001</v>
      </c>
      <c r="L446">
        <v>368.16739999999999</v>
      </c>
      <c r="M446">
        <v>0.99999510000000003</v>
      </c>
      <c r="N446">
        <v>0</v>
      </c>
      <c r="O446">
        <v>-1.4555049999999999E-3</v>
      </c>
      <c r="P446">
        <v>0.99931130000000001</v>
      </c>
      <c r="Q446">
        <v>3.6990429999999998E-2</v>
      </c>
      <c r="R446">
        <v>3.0201619999999998E-3</v>
      </c>
      <c r="S446">
        <v>3.0275270000000001</v>
      </c>
      <c r="T446">
        <v>-0.646096</v>
      </c>
      <c r="U446">
        <v>-0.4803772</v>
      </c>
      <c r="V446">
        <v>-4.4647109999999997E-3</v>
      </c>
      <c r="W446">
        <v>3.9804260000000001E-2</v>
      </c>
      <c r="X446">
        <v>0.99919749999999996</v>
      </c>
      <c r="Y446">
        <v>0.15196519999999999</v>
      </c>
      <c r="Z446">
        <v>-1.5632960000000001E-2</v>
      </c>
      <c r="AA446">
        <v>0.98826219999999998</v>
      </c>
      <c r="AB446">
        <v>35</v>
      </c>
      <c r="AC446">
        <v>0.52260000000001094</v>
      </c>
      <c r="AD446">
        <v>-0.1486982</v>
      </c>
      <c r="AE446">
        <v>-0.110700000000008</v>
      </c>
      <c r="AF446">
        <v>0.102033314443489</v>
      </c>
      <c r="AG446">
        <v>-0.1486982</v>
      </c>
      <c r="AH446">
        <v>0.48516796375680799</v>
      </c>
      <c r="AI446">
        <v>106.695418264957</v>
      </c>
      <c r="AJ446">
        <v>78.123477355431504</v>
      </c>
      <c r="AK446">
        <v>0.51760014006517796</v>
      </c>
      <c r="AL446">
        <v>87.718781189488595</v>
      </c>
      <c r="AM446">
        <v>90.256012844906806</v>
      </c>
      <c r="AN446">
        <v>0.99999997838235499</v>
      </c>
    </row>
    <row r="447" spans="1:40" x14ac:dyDescent="0.25">
      <c r="A447" t="str">
        <f>"20190312160311050"</f>
        <v>20190312160311050</v>
      </c>
      <c r="B447" t="str">
        <f>"1552377791044760"</f>
        <v>1552377791044760</v>
      </c>
      <c r="C447" t="s">
        <v>40</v>
      </c>
      <c r="D447">
        <v>5.0859230000000002</v>
      </c>
      <c r="E447">
        <v>0.53797209999999995</v>
      </c>
      <c r="F447" t="s">
        <v>41</v>
      </c>
      <c r="G447">
        <v>-363.3272</v>
      </c>
      <c r="H447" s="1">
        <v>-4.0524710000000004E-6</v>
      </c>
      <c r="I447">
        <v>362.86770000000001</v>
      </c>
      <c r="J447">
        <v>-423.6499</v>
      </c>
      <c r="K447">
        <v>1.0587200000000001</v>
      </c>
      <c r="L447">
        <v>368.16699999999997</v>
      </c>
      <c r="M447">
        <v>0.99999459999999996</v>
      </c>
      <c r="N447">
        <v>0</v>
      </c>
      <c r="O447">
        <v>-1.4928509999999999E-3</v>
      </c>
      <c r="P447">
        <v>0.99931080000000005</v>
      </c>
      <c r="Q447">
        <v>3.6995239999999999E-2</v>
      </c>
      <c r="R447">
        <v>3.0802109999999998E-3</v>
      </c>
      <c r="S447">
        <v>3.0048520000000001</v>
      </c>
      <c r="T447">
        <v>-5.256164E-2</v>
      </c>
      <c r="U447">
        <v>-0.26312259999999998</v>
      </c>
      <c r="V447">
        <v>-4.562839E-3</v>
      </c>
      <c r="W447">
        <v>3.9917660000000001E-2</v>
      </c>
      <c r="X447">
        <v>0.99919250000000004</v>
      </c>
      <c r="Y447">
        <v>8.5732030000000001E-2</v>
      </c>
      <c r="Z447">
        <v>-7.2227339999999998E-4</v>
      </c>
      <c r="AA447">
        <v>0.99631800000000004</v>
      </c>
      <c r="AB447">
        <v>35</v>
      </c>
      <c r="AC447">
        <v>60.322699999999998</v>
      </c>
      <c r="AD447">
        <v>-1.058724052471</v>
      </c>
      <c r="AE447">
        <v>-5.2992999999999597</v>
      </c>
      <c r="AF447">
        <v>5.2076490384105503</v>
      </c>
      <c r="AG447">
        <v>-1.058724052471</v>
      </c>
      <c r="AH447">
        <v>60.312107752242902</v>
      </c>
      <c r="AI447">
        <v>91.001944592742305</v>
      </c>
      <c r="AJ447">
        <v>85.065035682139793</v>
      </c>
      <c r="AK447">
        <v>60.545774804231399</v>
      </c>
      <c r="AL447">
        <v>87.712278604877696</v>
      </c>
      <c r="AM447">
        <v>90.261640875102998</v>
      </c>
      <c r="AN447">
        <v>0.99999994556793104</v>
      </c>
    </row>
    <row r="448" spans="1:40" x14ac:dyDescent="0.25">
      <c r="A448" t="str">
        <f>"20190312160311062"</f>
        <v>20190312160311062</v>
      </c>
      <c r="B448" t="str">
        <f>"1552377791055496"</f>
        <v>1552377791055496</v>
      </c>
      <c r="C448" t="s">
        <v>40</v>
      </c>
      <c r="D448">
        <v>5.3566609999999999</v>
      </c>
      <c r="E448">
        <v>0.54414479999999998</v>
      </c>
      <c r="F448" t="s">
        <v>46</v>
      </c>
      <c r="G448">
        <v>-162.6302</v>
      </c>
      <c r="H448">
        <v>9.0122949999999999</v>
      </c>
      <c r="I448">
        <v>342.49040000000002</v>
      </c>
      <c r="J448">
        <v>-423.4547</v>
      </c>
      <c r="K448">
        <v>1.0587879999999901</v>
      </c>
      <c r="L448">
        <v>368.16669999999999</v>
      </c>
      <c r="M448">
        <v>0.99999420000000006</v>
      </c>
      <c r="N448">
        <v>0</v>
      </c>
      <c r="O448">
        <v>-1.5288159999999999E-3</v>
      </c>
      <c r="P448">
        <v>0.99931979999999998</v>
      </c>
      <c r="Q448">
        <v>3.6767969999999997E-2</v>
      </c>
      <c r="R448">
        <v>2.8614550000000002E-3</v>
      </c>
      <c r="S448">
        <v>2.9996339999999999</v>
      </c>
      <c r="T448">
        <v>9.1402410000000003E-2</v>
      </c>
      <c r="U448">
        <v>-0.29507450000000002</v>
      </c>
      <c r="V448">
        <v>-4.3798969999999998E-3</v>
      </c>
      <c r="W448">
        <v>3.9828080000000002E-2</v>
      </c>
      <c r="X448">
        <v>0.99919690000000005</v>
      </c>
      <c r="Y448">
        <v>9.6332479999999998E-2</v>
      </c>
      <c r="Z448">
        <v>1.4173510000000001E-3</v>
      </c>
      <c r="AA448">
        <v>0.99534820000000002</v>
      </c>
      <c r="AB448">
        <v>35</v>
      </c>
      <c r="AC448">
        <v>260.8245</v>
      </c>
      <c r="AD448">
        <v>7.9535070000000001</v>
      </c>
      <c r="AE448">
        <v>-25.676299999999902</v>
      </c>
      <c r="AF448">
        <v>25.254257781417401</v>
      </c>
      <c r="AG448">
        <v>7.9535070000000001</v>
      </c>
      <c r="AH448">
        <v>260.62343074984301</v>
      </c>
      <c r="AI448">
        <v>88.260177512794598</v>
      </c>
      <c r="AJ448">
        <v>84.465351884203301</v>
      </c>
      <c r="AK448">
        <v>261.96489930047397</v>
      </c>
      <c r="AL448">
        <v>87.717415261119299</v>
      </c>
      <c r="AM448">
        <v>90.251149703869999</v>
      </c>
      <c r="AN448">
        <v>0.99999995221191196</v>
      </c>
    </row>
    <row r="449" spans="1:40" x14ac:dyDescent="0.25">
      <c r="A449" t="str">
        <f>"20190312160311318"</f>
        <v>20190312160311318</v>
      </c>
      <c r="B449" t="str">
        <f>"1552377791315112"</f>
        <v>1552377791315112</v>
      </c>
      <c r="C449" t="s">
        <v>40</v>
      </c>
      <c r="D449">
        <v>5.4779900000000001</v>
      </c>
      <c r="E449">
        <v>0.54138310000000001</v>
      </c>
      <c r="F449" t="s">
        <v>46</v>
      </c>
      <c r="G449">
        <v>-168.40530000000001</v>
      </c>
      <c r="H449">
        <v>15.6928</v>
      </c>
      <c r="I449">
        <v>339.16149999999999</v>
      </c>
      <c r="J449">
        <v>-419.40069999999997</v>
      </c>
      <c r="K449">
        <v>1.0591330000000001</v>
      </c>
      <c r="L449">
        <v>368.15960000000001</v>
      </c>
      <c r="M449">
        <v>0.99998189999999998</v>
      </c>
      <c r="N449">
        <v>0</v>
      </c>
      <c r="O449">
        <v>-1.764121E-3</v>
      </c>
      <c r="P449">
        <v>0.99942390000000003</v>
      </c>
      <c r="Q449">
        <v>3.3895870000000002E-2</v>
      </c>
      <c r="R449">
        <v>1.7856269999999999E-3</v>
      </c>
      <c r="S449">
        <v>2.9966430000000002</v>
      </c>
      <c r="T449">
        <v>0.17193889999999901</v>
      </c>
      <c r="U449">
        <v>-0.34078979999999998</v>
      </c>
      <c r="V449">
        <v>-3.5466030000000002E-3</v>
      </c>
      <c r="W449">
        <v>3.9640830000000002E-2</v>
      </c>
      <c r="X449">
        <v>0.99920770000000003</v>
      </c>
      <c r="Y449">
        <v>0.111065</v>
      </c>
      <c r="Z449">
        <v>3.072665E-3</v>
      </c>
      <c r="AA449">
        <v>0.99380840000000004</v>
      </c>
      <c r="AB449">
        <v>36</v>
      </c>
      <c r="AC449">
        <v>250.99539999999999</v>
      </c>
      <c r="AD449">
        <v>14.633667000000001</v>
      </c>
      <c r="AE449">
        <v>-28.998100000000001</v>
      </c>
      <c r="AF449">
        <v>28.459795435004501</v>
      </c>
      <c r="AG449">
        <v>14.633667000000001</v>
      </c>
      <c r="AH449">
        <v>250.206869678038</v>
      </c>
      <c r="AI449">
        <v>86.674193313707306</v>
      </c>
      <c r="AJ449">
        <v>83.510777928457799</v>
      </c>
      <c r="AK449">
        <v>252.24508280668601</v>
      </c>
      <c r="AL449">
        <v>87.728152486102303</v>
      </c>
      <c r="AM449">
        <v>90.203365656773997</v>
      </c>
      <c r="AN449">
        <v>1.0000000007676</v>
      </c>
    </row>
    <row r="450" spans="1:40" x14ac:dyDescent="0.25">
      <c r="A450" t="str">
        <f>"20190312160311340"</f>
        <v>20190312160311340</v>
      </c>
      <c r="B450" t="str">
        <f>"1552377791335608"</f>
        <v>1552377791335608</v>
      </c>
      <c r="C450" t="s">
        <v>40</v>
      </c>
      <c r="D450">
        <v>5.2944399999999998</v>
      </c>
      <c r="E450">
        <v>0.53647080000000003</v>
      </c>
      <c r="F450" t="s">
        <v>44</v>
      </c>
      <c r="G450">
        <v>-325.6891</v>
      </c>
      <c r="H450">
        <v>6.0422120000000001</v>
      </c>
      <c r="I450">
        <v>358.08620000000002</v>
      </c>
      <c r="J450">
        <v>-419.03359999999998</v>
      </c>
      <c r="K450">
        <v>1.059132</v>
      </c>
      <c r="L450">
        <v>368.15899999999999</v>
      </c>
      <c r="M450">
        <v>0.99998120000000001</v>
      </c>
      <c r="N450">
        <v>0</v>
      </c>
      <c r="O450">
        <v>-1.763297E-3</v>
      </c>
      <c r="P450">
        <v>0.99943269999999995</v>
      </c>
      <c r="Q450">
        <v>3.3629300000000001E-2</v>
      </c>
      <c r="R450">
        <v>1.924636E-3</v>
      </c>
      <c r="S450">
        <v>2.9968870000000001</v>
      </c>
      <c r="T450">
        <v>0.15936120000000001</v>
      </c>
      <c r="U450">
        <v>-0.32214359999999997</v>
      </c>
      <c r="V450">
        <v>-3.6852740000000001E-3</v>
      </c>
      <c r="W450">
        <v>3.9503610000000002E-2</v>
      </c>
      <c r="X450">
        <v>0.99921260000000001</v>
      </c>
      <c r="Y450">
        <v>0.1049795</v>
      </c>
      <c r="Z450">
        <v>2.6877799999999999E-3</v>
      </c>
      <c r="AA450">
        <v>0.99447079999999999</v>
      </c>
      <c r="AB450">
        <v>36</v>
      </c>
      <c r="AC450">
        <v>93.344499999999897</v>
      </c>
      <c r="AD450">
        <v>4.9830800000000002</v>
      </c>
      <c r="AE450">
        <v>-10.0727999999999</v>
      </c>
      <c r="AF450">
        <v>9.8803542454707394</v>
      </c>
      <c r="AG450">
        <v>4.9830800000000002</v>
      </c>
      <c r="AH450">
        <v>93.099852154809795</v>
      </c>
      <c r="AI450">
        <v>86.9532987062736</v>
      </c>
      <c r="AJ450">
        <v>83.942079074428193</v>
      </c>
      <c r="AK450">
        <v>93.755186296811502</v>
      </c>
      <c r="AL450">
        <v>87.736020702378696</v>
      </c>
      <c r="AM450">
        <v>90.211316079434695</v>
      </c>
      <c r="AN450">
        <v>0.99999996822312298</v>
      </c>
    </row>
    <row r="451" spans="1:40" x14ac:dyDescent="0.25">
      <c r="A451" t="str">
        <f>"20190312160311361"</f>
        <v>20190312160311361</v>
      </c>
      <c r="B451" t="str">
        <f>"1552377791355129"</f>
        <v>1552377791355129</v>
      </c>
      <c r="C451" t="s">
        <v>40</v>
      </c>
      <c r="D451">
        <v>5.2842989999999999</v>
      </c>
      <c r="E451">
        <v>0.53348769999999901</v>
      </c>
      <c r="F451" t="s">
        <v>46</v>
      </c>
      <c r="G451">
        <v>-148.1241</v>
      </c>
      <c r="H451">
        <v>15.44781</v>
      </c>
      <c r="I451">
        <v>342.64400000000001</v>
      </c>
      <c r="J451">
        <v>-418.67919999999998</v>
      </c>
      <c r="K451">
        <v>1.059126</v>
      </c>
      <c r="L451">
        <v>368.1583</v>
      </c>
      <c r="M451">
        <v>0.9999806</v>
      </c>
      <c r="N451">
        <v>0</v>
      </c>
      <c r="O451">
        <v>-1.762785E-3</v>
      </c>
      <c r="P451">
        <v>0.99942549999999997</v>
      </c>
      <c r="Q451">
        <v>3.3842900000000002E-2</v>
      </c>
      <c r="R451">
        <v>1.923E-3</v>
      </c>
      <c r="S451">
        <v>2.996918</v>
      </c>
      <c r="T451">
        <v>0.159173799999999</v>
      </c>
      <c r="U451">
        <v>-0.28225709999999998</v>
      </c>
      <c r="V451">
        <v>-3.6828439999999998E-3</v>
      </c>
      <c r="W451">
        <v>3.9827599999999998E-2</v>
      </c>
      <c r="X451">
        <v>0.99919979999999997</v>
      </c>
      <c r="Y451">
        <v>9.1886419999999996E-2</v>
      </c>
      <c r="Z451">
        <v>2.339715E-3</v>
      </c>
      <c r="AA451">
        <v>0.99576679999999995</v>
      </c>
      <c r="AB451">
        <v>36</v>
      </c>
      <c r="AC451">
        <v>270.55509999999998</v>
      </c>
      <c r="AD451">
        <v>14.388684</v>
      </c>
      <c r="AE451">
        <v>-25.514299999999899</v>
      </c>
      <c r="AF451">
        <v>24.967327892896101</v>
      </c>
      <c r="AG451">
        <v>14.388684</v>
      </c>
      <c r="AH451">
        <v>269.84317749262198</v>
      </c>
      <c r="AI451">
        <v>86.960699940291505</v>
      </c>
      <c r="AJ451">
        <v>84.713740163803394</v>
      </c>
      <c r="AK451">
        <v>271.37749009208198</v>
      </c>
      <c r="AL451">
        <v>87.717442941323199</v>
      </c>
      <c r="AM451">
        <v>90.211179448072002</v>
      </c>
      <c r="AN451">
        <v>1.0000000206908599</v>
      </c>
    </row>
    <row r="452" spans="1:40" x14ac:dyDescent="0.25">
      <c r="A452" t="str">
        <f>"20190312160311374"</f>
        <v>20190312160311374</v>
      </c>
      <c r="B452" t="str">
        <f>"1552377791364888"</f>
        <v>1552377791364888</v>
      </c>
      <c r="C452" t="s">
        <v>40</v>
      </c>
      <c r="D452">
        <v>5.2932540000000001</v>
      </c>
      <c r="E452">
        <v>0.53113319999999997</v>
      </c>
      <c r="F452" t="s">
        <v>45</v>
      </c>
      <c r="G452">
        <v>0</v>
      </c>
      <c r="H452">
        <v>0</v>
      </c>
      <c r="I452">
        <v>0</v>
      </c>
      <c r="J452">
        <v>-418.47230000000002</v>
      </c>
      <c r="K452">
        <v>1.059115</v>
      </c>
      <c r="L452">
        <v>368.15800000000002</v>
      </c>
      <c r="M452">
        <v>0.99998030000000004</v>
      </c>
      <c r="N452">
        <v>0</v>
      </c>
      <c r="O452">
        <v>-1.7624819999999999E-3</v>
      </c>
      <c r="P452">
        <v>0.99942609999999998</v>
      </c>
      <c r="Q452">
        <v>3.3820959999999997E-2</v>
      </c>
      <c r="R452">
        <v>2.0165809999999999E-3</v>
      </c>
      <c r="S452">
        <v>2.9971009999999998</v>
      </c>
      <c r="T452">
        <v>0.15145910000000001</v>
      </c>
      <c r="U452">
        <v>-0.25903320000000002</v>
      </c>
      <c r="V452">
        <v>-3.776223E-3</v>
      </c>
      <c r="W452">
        <v>3.9864289999999997E-2</v>
      </c>
      <c r="X452">
        <v>0.99919800000000003</v>
      </c>
      <c r="Y452">
        <v>8.4246340000000003E-2</v>
      </c>
      <c r="Z452">
        <v>2.03455E-3</v>
      </c>
      <c r="AA452">
        <v>0.99644290000000002</v>
      </c>
      <c r="AB452">
        <v>36</v>
      </c>
      <c r="AC452">
        <v>2.9971009999999998</v>
      </c>
      <c r="AD452">
        <v>0.15145910000000001</v>
      </c>
      <c r="AE452">
        <v>-0.25903320000000002</v>
      </c>
      <c r="AF452">
        <v>0.25310876702673102</v>
      </c>
      <c r="AG452">
        <v>0.15145910000000001</v>
      </c>
      <c r="AH452">
        <v>2.98997369521115</v>
      </c>
      <c r="AI452">
        <v>87.110440231659993</v>
      </c>
      <c r="AJ452">
        <v>85.161304765790106</v>
      </c>
      <c r="AK452">
        <v>3.0044877441875601</v>
      </c>
      <c r="AL452">
        <v>87.715339115039896</v>
      </c>
      <c r="AM452">
        <v>90.216534270813696</v>
      </c>
      <c r="AN452">
        <v>1.0000000323406699</v>
      </c>
    </row>
    <row r="453" spans="1:40" x14ac:dyDescent="0.25">
      <c r="A453" t="str">
        <f>"20190312160311386"</f>
        <v>20190312160311386</v>
      </c>
      <c r="B453" t="str">
        <f>"1552377791375624"</f>
        <v>1552377791375624</v>
      </c>
      <c r="C453" t="s">
        <v>40</v>
      </c>
      <c r="D453">
        <v>5.2390679999999996</v>
      </c>
      <c r="E453">
        <v>0.53043249999999997</v>
      </c>
      <c r="F453" t="s">
        <v>45</v>
      </c>
      <c r="G453">
        <v>0</v>
      </c>
      <c r="H453">
        <v>0</v>
      </c>
      <c r="I453">
        <v>0</v>
      </c>
      <c r="J453">
        <v>-418.2747</v>
      </c>
      <c r="K453">
        <v>1.0591109999999999</v>
      </c>
      <c r="L453">
        <v>368.1576</v>
      </c>
      <c r="M453">
        <v>0.99997990000000003</v>
      </c>
      <c r="N453">
        <v>0</v>
      </c>
      <c r="O453">
        <v>-1.761926E-3</v>
      </c>
      <c r="P453">
        <v>0.99943269999999995</v>
      </c>
      <c r="Q453">
        <v>3.3622810000000003E-2</v>
      </c>
      <c r="R453">
        <v>1.9541200000000002E-3</v>
      </c>
      <c r="S453">
        <v>2.9980769999999999</v>
      </c>
      <c r="T453">
        <v>0.1220651</v>
      </c>
      <c r="U453">
        <v>-0.24133299999999999</v>
      </c>
      <c r="V453">
        <v>-3.7133539999999999E-3</v>
      </c>
      <c r="W453">
        <v>3.9720409999999998E-2</v>
      </c>
      <c r="X453">
        <v>0.99920390000000003</v>
      </c>
      <c r="Y453">
        <v>7.8416910000000006E-2</v>
      </c>
      <c r="Z453">
        <v>1.521526E-3</v>
      </c>
      <c r="AA453">
        <v>0.99691949999999996</v>
      </c>
      <c r="AB453">
        <v>36</v>
      </c>
      <c r="AC453">
        <v>2.9980769999999999</v>
      </c>
      <c r="AD453">
        <v>0.1220651</v>
      </c>
      <c r="AE453">
        <v>-0.24133299999999999</v>
      </c>
      <c r="AF453">
        <v>0.235662003274588</v>
      </c>
      <c r="AG453">
        <v>0.1220651</v>
      </c>
      <c r="AH453">
        <v>2.9935671725514599</v>
      </c>
      <c r="AI453">
        <v>87.672206106860997</v>
      </c>
      <c r="AJ453">
        <v>85.498798635588798</v>
      </c>
      <c r="AK453">
        <v>3.0053087836365799</v>
      </c>
      <c r="AL453">
        <v>87.7235892168638</v>
      </c>
      <c r="AM453">
        <v>90.212928044590001</v>
      </c>
      <c r="AN453">
        <v>0.999999966871853</v>
      </c>
    </row>
    <row r="454" spans="1:40" x14ac:dyDescent="0.25">
      <c r="A454" t="str">
        <f>"20190312160311405"</f>
        <v>20190312160311405</v>
      </c>
      <c r="B454" t="str">
        <f>"1552377791395144"</f>
        <v>1552377791395144</v>
      </c>
      <c r="C454" t="s">
        <v>40</v>
      </c>
      <c r="D454">
        <v>5.2645249999999999</v>
      </c>
      <c r="E454">
        <v>0.52875509999999903</v>
      </c>
      <c r="F454" t="s">
        <v>45</v>
      </c>
      <c r="G454">
        <v>0</v>
      </c>
      <c r="H454">
        <v>0</v>
      </c>
      <c r="I454">
        <v>0</v>
      </c>
      <c r="J454">
        <v>-417.9726</v>
      </c>
      <c r="K454">
        <v>1.059107</v>
      </c>
      <c r="L454">
        <v>368.15710000000001</v>
      </c>
      <c r="M454">
        <v>0.99997959999999997</v>
      </c>
      <c r="N454">
        <v>0</v>
      </c>
      <c r="O454">
        <v>-1.7616719999999999E-3</v>
      </c>
      <c r="P454">
        <v>0.99944679999999997</v>
      </c>
      <c r="Q454">
        <v>3.3224579999999997E-2</v>
      </c>
      <c r="R454">
        <v>1.6032760000000001E-3</v>
      </c>
      <c r="S454">
        <v>2.998138</v>
      </c>
      <c r="T454">
        <v>0.11931940000000001</v>
      </c>
      <c r="U454">
        <v>-0.2361145</v>
      </c>
      <c r="V454">
        <v>-3.3622470000000001E-3</v>
      </c>
      <c r="W454">
        <v>3.939546E-2</v>
      </c>
      <c r="X454">
        <v>0.99921800000000005</v>
      </c>
      <c r="Y454">
        <v>7.6695269999999996E-2</v>
      </c>
      <c r="Z454">
        <v>1.453219E-3</v>
      </c>
      <c r="AA454">
        <v>0.99705350000000004</v>
      </c>
      <c r="AB454">
        <v>36</v>
      </c>
      <c r="AC454">
        <v>2.998138</v>
      </c>
      <c r="AD454">
        <v>0.11931940000000001</v>
      </c>
      <c r="AE454">
        <v>-0.2361145</v>
      </c>
      <c r="AF454">
        <v>0.230469515106034</v>
      </c>
      <c r="AG454">
        <v>0.11931940000000001</v>
      </c>
      <c r="AH454">
        <v>2.9938366988951399</v>
      </c>
      <c r="AI454">
        <v>87.724409535538697</v>
      </c>
      <c r="AJ454">
        <v>85.597976937778498</v>
      </c>
      <c r="AK454">
        <v>3.0050643081739401</v>
      </c>
      <c r="AL454">
        <v>87.742222048226594</v>
      </c>
      <c r="AM454">
        <v>90.192792599539104</v>
      </c>
      <c r="AN454">
        <v>0.99999995924874896</v>
      </c>
    </row>
    <row r="455" spans="1:40" x14ac:dyDescent="0.25">
      <c r="A455" t="str">
        <f>"20190312160311417"</f>
        <v>20190312160311417</v>
      </c>
      <c r="B455" t="str">
        <f>"1552377791404904"</f>
        <v>1552377791404904</v>
      </c>
      <c r="C455" t="s">
        <v>40</v>
      </c>
      <c r="D455">
        <v>5.3102819999999999</v>
      </c>
      <c r="E455">
        <v>0.52864219999999995</v>
      </c>
      <c r="F455" t="s">
        <v>45</v>
      </c>
      <c r="G455">
        <v>0</v>
      </c>
      <c r="H455">
        <v>0</v>
      </c>
      <c r="I455">
        <v>0</v>
      </c>
      <c r="J455">
        <v>-417.77949999999998</v>
      </c>
      <c r="K455">
        <v>1.059104</v>
      </c>
      <c r="L455">
        <v>368.1567</v>
      </c>
      <c r="M455">
        <v>0.99997910000000001</v>
      </c>
      <c r="N455">
        <v>0</v>
      </c>
      <c r="O455">
        <v>-1.761327E-3</v>
      </c>
      <c r="P455">
        <v>0.99944820000000001</v>
      </c>
      <c r="Q455">
        <v>3.3178779999999998E-2</v>
      </c>
      <c r="R455">
        <v>1.5198779999999999E-3</v>
      </c>
      <c r="S455">
        <v>2.9984440000000001</v>
      </c>
      <c r="T455">
        <v>0.1087022</v>
      </c>
      <c r="U455">
        <v>-0.2242432</v>
      </c>
      <c r="V455">
        <v>-3.278389E-3</v>
      </c>
      <c r="W455">
        <v>3.9393070000000002E-2</v>
      </c>
      <c r="X455">
        <v>0.99921839999999995</v>
      </c>
      <c r="Y455">
        <v>7.2775300000000001E-2</v>
      </c>
      <c r="Z455">
        <v>1.253143E-3</v>
      </c>
      <c r="AA455">
        <v>0.9973476</v>
      </c>
      <c r="AB455">
        <v>36</v>
      </c>
      <c r="AC455">
        <v>2.9984440000000001</v>
      </c>
      <c r="AD455">
        <v>0.1087022</v>
      </c>
      <c r="AE455">
        <v>-0.2242432</v>
      </c>
      <c r="AF455">
        <v>0.21867570903203301</v>
      </c>
      <c r="AG455">
        <v>0.1087022</v>
      </c>
      <c r="AH455">
        <v>2.9949200791993702</v>
      </c>
      <c r="AI455">
        <v>87.926846095066793</v>
      </c>
      <c r="AJ455">
        <v>85.823928409894407</v>
      </c>
      <c r="AK455">
        <v>3.0048596497668698</v>
      </c>
      <c r="AL455">
        <v>87.742359152738999</v>
      </c>
      <c r="AM455">
        <v>90.1879841076817</v>
      </c>
      <c r="AN455">
        <v>0.99999998634850995</v>
      </c>
    </row>
    <row r="456" spans="1:40" x14ac:dyDescent="0.25">
      <c r="A456" t="str">
        <f>"20190312160311429"</f>
        <v>20190312160311429</v>
      </c>
      <c r="B456" t="str">
        <f>"1552377791425400"</f>
        <v>1552377791425400</v>
      </c>
      <c r="C456" t="s">
        <v>40</v>
      </c>
      <c r="D456">
        <v>5.2426180000000002</v>
      </c>
      <c r="E456">
        <v>0.52812179999999997</v>
      </c>
      <c r="F456" t="s">
        <v>45</v>
      </c>
      <c r="G456">
        <v>0</v>
      </c>
      <c r="H456">
        <v>0</v>
      </c>
      <c r="I456">
        <v>0</v>
      </c>
      <c r="J456">
        <v>-417.58190000000002</v>
      </c>
      <c r="K456">
        <v>1.0591010000000001</v>
      </c>
      <c r="L456">
        <v>368.15640000000002</v>
      </c>
      <c r="M456">
        <v>0.99997899999999995</v>
      </c>
      <c r="N456">
        <v>0</v>
      </c>
      <c r="O456">
        <v>-1.7612210000000001E-3</v>
      </c>
      <c r="P456">
        <v>0.99945110000000004</v>
      </c>
      <c r="Q456">
        <v>3.3111710000000003E-2</v>
      </c>
      <c r="R456">
        <v>1.258861E-3</v>
      </c>
      <c r="S456">
        <v>2.998383</v>
      </c>
      <c r="T456">
        <v>0.11014839999999999</v>
      </c>
      <c r="U456">
        <v>-0.2234497</v>
      </c>
      <c r="V456">
        <v>-3.0177659999999999E-3</v>
      </c>
      <c r="W456">
        <v>3.9368769999999997E-2</v>
      </c>
      <c r="X456">
        <v>0.9992202</v>
      </c>
      <c r="Y456">
        <v>7.2513380000000002E-2</v>
      </c>
      <c r="Z456">
        <v>1.2650440000000001E-3</v>
      </c>
      <c r="AA456">
        <v>0.99736670000000005</v>
      </c>
      <c r="AB456">
        <v>37</v>
      </c>
      <c r="AC456">
        <v>2.998383</v>
      </c>
      <c r="AD456">
        <v>0.11014839999999999</v>
      </c>
      <c r="AE456">
        <v>-0.2234497</v>
      </c>
      <c r="AF456">
        <v>0.21787602957207</v>
      </c>
      <c r="AG456">
        <v>0.11014839999999999</v>
      </c>
      <c r="AH456">
        <v>2.99475271774102</v>
      </c>
      <c r="AI456">
        <v>87.899131604431005</v>
      </c>
      <c r="AJ456">
        <v>85.838914521741799</v>
      </c>
      <c r="AK456">
        <v>3.0046874171370699</v>
      </c>
      <c r="AL456">
        <v>87.743752568882101</v>
      </c>
      <c r="AM456">
        <v>90.173039665995304</v>
      </c>
      <c r="AN456">
        <v>1.00000000752549</v>
      </c>
    </row>
    <row r="457" spans="1:40" x14ac:dyDescent="0.25">
      <c r="A457" t="str">
        <f>"20190312160311441"</f>
        <v>20190312160311441</v>
      </c>
      <c r="B457" t="str">
        <f>"1552377791435160"</f>
        <v>1552377791435160</v>
      </c>
      <c r="C457" t="s">
        <v>40</v>
      </c>
      <c r="D457">
        <v>5.2476139999999996</v>
      </c>
      <c r="E457">
        <v>0.52788570000000001</v>
      </c>
      <c r="F457" t="s">
        <v>45</v>
      </c>
      <c r="G457">
        <v>0</v>
      </c>
      <c r="H457">
        <v>0</v>
      </c>
      <c r="I457">
        <v>0</v>
      </c>
      <c r="J457">
        <v>-417.3827</v>
      </c>
      <c r="K457">
        <v>1.059094</v>
      </c>
      <c r="L457">
        <v>368.15600000000001</v>
      </c>
      <c r="M457">
        <v>0.99997860000000005</v>
      </c>
      <c r="N457">
        <v>0</v>
      </c>
      <c r="O457">
        <v>-1.7607479999999999E-3</v>
      </c>
      <c r="P457">
        <v>0.99946190000000001</v>
      </c>
      <c r="Q457">
        <v>3.2776840000000002E-2</v>
      </c>
      <c r="R457">
        <v>1.1756239999999999E-3</v>
      </c>
      <c r="S457">
        <v>2.9985050000000002</v>
      </c>
      <c r="T457">
        <v>0.1039059</v>
      </c>
      <c r="U457">
        <v>-0.22039790000000001</v>
      </c>
      <c r="V457">
        <v>-2.933466E-3</v>
      </c>
      <c r="W457">
        <v>3.9073360000000001E-2</v>
      </c>
      <c r="X457">
        <v>0.99923209999999996</v>
      </c>
      <c r="Y457">
        <v>7.1507089999999995E-2</v>
      </c>
      <c r="Z457">
        <v>1.176E-3</v>
      </c>
      <c r="AA457">
        <v>0.99743939999999998</v>
      </c>
      <c r="AB457">
        <v>37</v>
      </c>
      <c r="AC457">
        <v>2.9985050000000002</v>
      </c>
      <c r="AD457">
        <v>0.1039059</v>
      </c>
      <c r="AE457">
        <v>-0.22039790000000001</v>
      </c>
      <c r="AF457">
        <v>0.214861222813507</v>
      </c>
      <c r="AG457">
        <v>0.1039059</v>
      </c>
      <c r="AH457">
        <v>2.9953109813108401</v>
      </c>
      <c r="AI457">
        <v>88.018321393610194</v>
      </c>
      <c r="AJ457">
        <v>85.897056683922699</v>
      </c>
      <c r="AK457">
        <v>3.00480442889135</v>
      </c>
      <c r="AL457">
        <v>87.760691468655097</v>
      </c>
      <c r="AM457">
        <v>90.168203902074495</v>
      </c>
      <c r="AN457">
        <v>1.00000006117743</v>
      </c>
    </row>
    <row r="458" spans="1:40" x14ac:dyDescent="0.25">
      <c r="A458" t="str">
        <f>"20190312160311453"</f>
        <v>20190312160311453</v>
      </c>
      <c r="B458" t="str">
        <f>"1552377791444921"</f>
        <v>1552377791444921</v>
      </c>
      <c r="C458" t="s">
        <v>40</v>
      </c>
      <c r="D458">
        <v>5.3762530000000002</v>
      </c>
      <c r="E458">
        <v>0.52743909999999905</v>
      </c>
      <c r="F458" t="s">
        <v>45</v>
      </c>
      <c r="G458">
        <v>0</v>
      </c>
      <c r="H458">
        <v>0</v>
      </c>
      <c r="I458">
        <v>0</v>
      </c>
      <c r="J458">
        <v>-417.18979999999999</v>
      </c>
      <c r="K458">
        <v>1.0590930000000001</v>
      </c>
      <c r="L458">
        <v>368.15570000000002</v>
      </c>
      <c r="M458">
        <v>0.99997849999999999</v>
      </c>
      <c r="N458">
        <v>0</v>
      </c>
      <c r="O458">
        <v>-1.760504E-3</v>
      </c>
      <c r="P458">
        <v>0.99946109999999999</v>
      </c>
      <c r="Q458">
        <v>3.2797739999999999E-2</v>
      </c>
      <c r="R458">
        <v>1.3532640000000001E-3</v>
      </c>
      <c r="S458">
        <v>2.998535</v>
      </c>
      <c r="T458">
        <v>0.100976</v>
      </c>
      <c r="U458">
        <v>-0.21908569999999999</v>
      </c>
      <c r="V458">
        <v>-3.1116590000000001E-3</v>
      </c>
      <c r="W458">
        <v>3.9131010000000001E-2</v>
      </c>
      <c r="X458">
        <v>0.99922929999999999</v>
      </c>
      <c r="Y458">
        <v>7.1074949999999998E-2</v>
      </c>
      <c r="Z458">
        <v>1.1356090000000001E-3</v>
      </c>
      <c r="AA458">
        <v>0.99747030000000003</v>
      </c>
      <c r="AB458">
        <v>37</v>
      </c>
      <c r="AC458">
        <v>2.998535</v>
      </c>
      <c r="AD458">
        <v>0.100976</v>
      </c>
      <c r="AE458">
        <v>-0.21908569999999999</v>
      </c>
      <c r="AF458">
        <v>0.213565422316779</v>
      </c>
      <c r="AG458">
        <v>0.100976</v>
      </c>
      <c r="AH458">
        <v>2.99553712163741</v>
      </c>
      <c r="AI458">
        <v>88.074242654696704</v>
      </c>
      <c r="AJ458">
        <v>85.922024104244201</v>
      </c>
      <c r="AK458">
        <v>3.0048375978233999</v>
      </c>
      <c r="AL458">
        <v>87.757385827848097</v>
      </c>
      <c r="AM458">
        <v>90.178421861417903</v>
      </c>
      <c r="AN458">
        <v>1.00000005617191</v>
      </c>
    </row>
    <row r="459" spans="1:40" x14ac:dyDescent="0.25">
      <c r="A459" t="str">
        <f>"20190312160311473"</f>
        <v>20190312160311473</v>
      </c>
      <c r="B459" t="str">
        <f>"1552377791465416"</f>
        <v>1552377791465416</v>
      </c>
      <c r="C459" t="s">
        <v>40</v>
      </c>
      <c r="D459">
        <v>5.2332599999999996</v>
      </c>
      <c r="E459">
        <v>0.52653249999999996</v>
      </c>
      <c r="F459" t="s">
        <v>45</v>
      </c>
      <c r="G459">
        <v>0</v>
      </c>
      <c r="H459">
        <v>0</v>
      </c>
      <c r="I459">
        <v>0</v>
      </c>
      <c r="J459">
        <v>-416.858</v>
      </c>
      <c r="K459">
        <v>1.0590889999999999</v>
      </c>
      <c r="L459">
        <v>368.1551</v>
      </c>
      <c r="M459">
        <v>0.99997800000000003</v>
      </c>
      <c r="N459">
        <v>0</v>
      </c>
      <c r="O459">
        <v>-1.7599709999999999E-3</v>
      </c>
      <c r="P459">
        <v>0.99946489999999999</v>
      </c>
      <c r="Q459">
        <v>3.2684030000000003E-2</v>
      </c>
      <c r="R459">
        <v>1.2990650000000001E-3</v>
      </c>
      <c r="S459">
        <v>2.9986570000000001</v>
      </c>
      <c r="T459">
        <v>0.1002458</v>
      </c>
      <c r="U459">
        <v>-0.21496580000000001</v>
      </c>
      <c r="V459">
        <v>-3.0563949999999999E-3</v>
      </c>
      <c r="W459">
        <v>3.9075270000000002E-2</v>
      </c>
      <c r="X459">
        <v>0.9992316</v>
      </c>
      <c r="Y459">
        <v>6.9710499999999995E-2</v>
      </c>
      <c r="Z459">
        <v>1.1046579999999999E-3</v>
      </c>
      <c r="AA459">
        <v>0.99756659999999997</v>
      </c>
      <c r="AB459">
        <v>37</v>
      </c>
      <c r="AC459">
        <v>2.9986570000000001</v>
      </c>
      <c r="AD459">
        <v>0.1002458</v>
      </c>
      <c r="AE459">
        <v>-0.21496580000000001</v>
      </c>
      <c r="AF459">
        <v>0.20945492385953099</v>
      </c>
      <c r="AG459">
        <v>0.1002458</v>
      </c>
      <c r="AH459">
        <v>2.9956998787267501</v>
      </c>
      <c r="AI459">
        <v>88.088077353624001</v>
      </c>
      <c r="AJ459">
        <v>86.000472363606704</v>
      </c>
      <c r="AK459">
        <v>3.0046860649575602</v>
      </c>
      <c r="AL459">
        <v>87.760581822775507</v>
      </c>
      <c r="AM459">
        <v>90.175252652033905</v>
      </c>
      <c r="AN459">
        <v>1.0000000043572601</v>
      </c>
    </row>
    <row r="460" spans="1:40" x14ac:dyDescent="0.25">
      <c r="A460" t="str">
        <f>"20190312160311485"</f>
        <v>20190312160311485</v>
      </c>
      <c r="B460" t="str">
        <f>"1552377791475176"</f>
        <v>1552377791475176</v>
      </c>
      <c r="C460" t="s">
        <v>40</v>
      </c>
      <c r="D460">
        <v>5.2872700000000004</v>
      </c>
      <c r="E460">
        <v>0.52615239999999996</v>
      </c>
      <c r="F460" t="s">
        <v>45</v>
      </c>
      <c r="G460">
        <v>0</v>
      </c>
      <c r="H460">
        <v>0</v>
      </c>
      <c r="I460">
        <v>0</v>
      </c>
      <c r="J460">
        <v>-416.65140000000002</v>
      </c>
      <c r="K460">
        <v>1.059088</v>
      </c>
      <c r="L460">
        <v>368.15469999999999</v>
      </c>
      <c r="M460">
        <v>0.99997780000000003</v>
      </c>
      <c r="N460">
        <v>0</v>
      </c>
      <c r="O460">
        <v>-1.7597209999999999E-3</v>
      </c>
      <c r="P460">
        <v>0.99946889999999999</v>
      </c>
      <c r="Q460">
        <v>3.2566339999999999E-2</v>
      </c>
      <c r="R460">
        <v>1.3446489999999901E-3</v>
      </c>
      <c r="S460">
        <v>2.9985050000000002</v>
      </c>
      <c r="T460">
        <v>0.1038014</v>
      </c>
      <c r="U460">
        <v>-0.20770259999999999</v>
      </c>
      <c r="V460">
        <v>-3.1026230000000001E-3</v>
      </c>
      <c r="W460">
        <v>3.8991409999999997E-2</v>
      </c>
      <c r="X460">
        <v>0.99923470000000003</v>
      </c>
      <c r="Y460">
        <v>6.7308419999999994E-2</v>
      </c>
      <c r="Z460">
        <v>1.102464E-3</v>
      </c>
      <c r="AA460">
        <v>0.99773160000000005</v>
      </c>
      <c r="AB460">
        <v>37</v>
      </c>
      <c r="AC460">
        <v>2.9985050000000002</v>
      </c>
      <c r="AD460">
        <v>0.1038014</v>
      </c>
      <c r="AE460">
        <v>-0.20770259999999999</v>
      </c>
      <c r="AF460">
        <v>0.20218449907691</v>
      </c>
      <c r="AG460">
        <v>0.1038014</v>
      </c>
      <c r="AH460">
        <v>2.9952934852531201</v>
      </c>
      <c r="AI460">
        <v>88.019721228379595</v>
      </c>
      <c r="AJ460">
        <v>86.138350911114898</v>
      </c>
      <c r="AK460">
        <v>3.0039035212717402</v>
      </c>
      <c r="AL460">
        <v>87.765390236762698</v>
      </c>
      <c r="AM460">
        <v>90.177902781036096</v>
      </c>
      <c r="AN460">
        <v>0.99999997100367799</v>
      </c>
    </row>
    <row r="461" spans="1:40" x14ac:dyDescent="0.25">
      <c r="A461" t="str">
        <f>"20190312160311507"</f>
        <v>20190312160311507</v>
      </c>
      <c r="B461" t="str">
        <f>"1552377791495672"</f>
        <v>1552377791495672</v>
      </c>
      <c r="C461" t="s">
        <v>40</v>
      </c>
      <c r="D461">
        <v>5.2986529999999998</v>
      </c>
      <c r="E461">
        <v>0.52530909999999997</v>
      </c>
      <c r="F461" t="s">
        <v>45</v>
      </c>
      <c r="G461">
        <v>0</v>
      </c>
      <c r="H461">
        <v>0</v>
      </c>
      <c r="I461">
        <v>0</v>
      </c>
      <c r="J461">
        <v>-416.29399999999998</v>
      </c>
      <c r="K461">
        <v>1.059083</v>
      </c>
      <c r="L461">
        <v>368.15410000000003</v>
      </c>
      <c r="M461">
        <v>0.99997749999999996</v>
      </c>
      <c r="N461">
        <v>0</v>
      </c>
      <c r="O461">
        <v>-1.759416E-3</v>
      </c>
      <c r="P461">
        <v>0.9994691</v>
      </c>
      <c r="Q461">
        <v>3.256655E-2</v>
      </c>
      <c r="R461">
        <v>9.5678169999999999E-4</v>
      </c>
      <c r="S461">
        <v>2.9984739999999999</v>
      </c>
      <c r="T461">
        <v>0.10442319999999999</v>
      </c>
      <c r="U461">
        <v>-0.20449829999999999</v>
      </c>
      <c r="V461">
        <v>-2.7138150000000001E-3</v>
      </c>
      <c r="W461">
        <v>3.9045249999999997E-2</v>
      </c>
      <c r="X461">
        <v>0.99923379999999995</v>
      </c>
      <c r="Y461">
        <v>6.6248349999999998E-2</v>
      </c>
      <c r="Z461">
        <v>1.090695E-3</v>
      </c>
      <c r="AA461">
        <v>0.99780259999999998</v>
      </c>
      <c r="AB461">
        <v>37</v>
      </c>
      <c r="AC461">
        <v>2.9984739999999999</v>
      </c>
      <c r="AD461">
        <v>0.10442319999999999</v>
      </c>
      <c r="AE461">
        <v>-0.20449829999999999</v>
      </c>
      <c r="AF461">
        <v>0.19898209926242599</v>
      </c>
      <c r="AG461">
        <v>0.10442319999999999</v>
      </c>
      <c r="AH461">
        <v>2.99521335220851</v>
      </c>
      <c r="AI461">
        <v>88.007673416045094</v>
      </c>
      <c r="AJ461">
        <v>86.199233475345196</v>
      </c>
      <c r="AK461">
        <v>3.0036313198815301</v>
      </c>
      <c r="AL461">
        <v>87.762303239298802</v>
      </c>
      <c r="AM461">
        <v>90.155608991186895</v>
      </c>
      <c r="AN461">
        <v>1.0000000417009201</v>
      </c>
    </row>
    <row r="462" spans="1:40" x14ac:dyDescent="0.25">
      <c r="A462" t="str">
        <f>"20190312160311530"</f>
        <v>20190312160311530</v>
      </c>
      <c r="B462" t="str">
        <f>"1552377791524953"</f>
        <v>1552377791524953</v>
      </c>
      <c r="C462" t="s">
        <v>40</v>
      </c>
      <c r="D462">
        <v>5.3197559999999999</v>
      </c>
      <c r="E462">
        <v>0.524113099999999</v>
      </c>
      <c r="F462" t="s">
        <v>42</v>
      </c>
      <c r="G462">
        <v>-158.78319999999999</v>
      </c>
      <c r="H462">
        <v>10.078659999999999</v>
      </c>
      <c r="I462">
        <v>351.06540000000001</v>
      </c>
      <c r="J462">
        <v>-415.90989999999999</v>
      </c>
      <c r="K462">
        <v>1.0590809999999999</v>
      </c>
      <c r="L462">
        <v>368.15350000000001</v>
      </c>
      <c r="M462">
        <v>0.99997720000000001</v>
      </c>
      <c r="N462">
        <v>0</v>
      </c>
      <c r="O462">
        <v>-1.75886799999999E-3</v>
      </c>
      <c r="P462">
        <v>0.99947450000000004</v>
      </c>
      <c r="Q462">
        <v>3.2397389999999998E-2</v>
      </c>
      <c r="R462">
        <v>1.0502980000000001E-3</v>
      </c>
      <c r="S462">
        <v>2.9983520000000001</v>
      </c>
      <c r="T462">
        <v>0.1050212</v>
      </c>
      <c r="U462">
        <v>-0.1989746</v>
      </c>
      <c r="V462">
        <v>-2.8072169999999999E-3</v>
      </c>
      <c r="W462">
        <v>3.892756E-2</v>
      </c>
      <c r="X462">
        <v>0.99923810000000002</v>
      </c>
      <c r="Y462">
        <v>6.4422270000000004E-2</v>
      </c>
      <c r="Z462">
        <v>1.065133E-3</v>
      </c>
      <c r="AA462">
        <v>0.99792219999999998</v>
      </c>
      <c r="AB462">
        <v>37</v>
      </c>
      <c r="AC462">
        <v>257.12670000000003</v>
      </c>
      <c r="AD462">
        <v>9.0195790000000002</v>
      </c>
      <c r="AE462">
        <v>-17.088099999999901</v>
      </c>
      <c r="AF462">
        <v>16.6154567745875</v>
      </c>
      <c r="AG462">
        <v>9.0195790000000002</v>
      </c>
      <c r="AH462">
        <v>256.84170709471198</v>
      </c>
      <c r="AI462">
        <v>87.9929471804315</v>
      </c>
      <c r="AJ462">
        <v>86.298611874076698</v>
      </c>
      <c r="AK462">
        <v>257.536577426375</v>
      </c>
      <c r="AL462">
        <v>87.769051434394697</v>
      </c>
      <c r="AM462">
        <v>90.160963901528802</v>
      </c>
      <c r="AN462">
        <v>1.0000000079432201</v>
      </c>
    </row>
    <row r="463" spans="1:40" x14ac:dyDescent="0.25">
      <c r="A463" t="str">
        <f>"20190312160311551"</f>
        <v>20190312160311551</v>
      </c>
      <c r="B463" t="str">
        <f>"1552377791545448"</f>
        <v>1552377791545448</v>
      </c>
      <c r="C463" t="s">
        <v>40</v>
      </c>
      <c r="D463">
        <v>5.4157209999999996</v>
      </c>
      <c r="E463">
        <v>0.524113099999999</v>
      </c>
      <c r="F463" t="s">
        <v>42</v>
      </c>
      <c r="G463">
        <v>-158.78319999999999</v>
      </c>
      <c r="H463">
        <v>9.9808439999999994</v>
      </c>
      <c r="I463">
        <v>351.94650000000001</v>
      </c>
      <c r="J463">
        <v>-415.56630000000001</v>
      </c>
      <c r="K463">
        <v>1.059088</v>
      </c>
      <c r="L463">
        <v>368.15289999999999</v>
      </c>
      <c r="M463">
        <v>0.99997689999999995</v>
      </c>
      <c r="N463">
        <v>0</v>
      </c>
      <c r="O463">
        <v>-1.75841E-3</v>
      </c>
      <c r="P463">
        <v>0.99947169999999996</v>
      </c>
      <c r="Q463">
        <v>3.2475900000000002E-2</v>
      </c>
      <c r="R463">
        <v>1.27268E-3</v>
      </c>
      <c r="S463">
        <v>2.9984440000000001</v>
      </c>
      <c r="T463">
        <v>0.1040407</v>
      </c>
      <c r="U463">
        <v>-0.18899540000000001</v>
      </c>
      <c r="V463">
        <v>-3.0282859999999998E-3</v>
      </c>
      <c r="W463">
        <v>3.9048579999999999E-2</v>
      </c>
      <c r="X463">
        <v>0.99923269999999997</v>
      </c>
      <c r="Y463">
        <v>6.1115679999999999E-2</v>
      </c>
      <c r="Z463">
        <v>9.9799960000000005E-4</v>
      </c>
      <c r="AA463">
        <v>0.99813019999999997</v>
      </c>
      <c r="AB463">
        <v>37</v>
      </c>
      <c r="AC463">
        <v>256.78309999999999</v>
      </c>
      <c r="AD463">
        <v>8.9217559999999896</v>
      </c>
      <c r="AE463">
        <v>-16.206399999999899</v>
      </c>
      <c r="AF463">
        <v>15.7359147093053</v>
      </c>
      <c r="AG463">
        <v>8.9217559999999896</v>
      </c>
      <c r="AH463">
        <v>256.50278757716302</v>
      </c>
      <c r="AI463">
        <v>88.011659400334906</v>
      </c>
      <c r="AJ463">
        <v>86.489422295191105</v>
      </c>
      <c r="AK463">
        <v>257.139838952888</v>
      </c>
      <c r="AL463">
        <v>87.762112150369305</v>
      </c>
      <c r="AM463">
        <v>90.173640710277596</v>
      </c>
      <c r="AN463">
        <v>0.99999997543270103</v>
      </c>
    </row>
    <row r="464" spans="1:40" x14ac:dyDescent="0.25">
      <c r="A464" t="str">
        <f>"20190312160311562"</f>
        <v>20190312160311562</v>
      </c>
      <c r="B464" t="str">
        <f>"1552377791555209"</f>
        <v>1552377791555209</v>
      </c>
      <c r="C464" t="s">
        <v>40</v>
      </c>
      <c r="D464">
        <v>5.3708269999999896</v>
      </c>
      <c r="E464">
        <v>0.50140450000000003</v>
      </c>
      <c r="F464" t="s">
        <v>42</v>
      </c>
      <c r="G464">
        <v>-158.78319999999999</v>
      </c>
      <c r="H464">
        <v>10.004049999999999</v>
      </c>
      <c r="I464">
        <v>351.99889999999999</v>
      </c>
      <c r="J464">
        <v>-415.37079999999997</v>
      </c>
      <c r="K464">
        <v>1.0590889999999999</v>
      </c>
      <c r="L464">
        <v>368.15249999999997</v>
      </c>
      <c r="M464">
        <v>0.9999768</v>
      </c>
      <c r="N464">
        <v>0</v>
      </c>
      <c r="O464">
        <v>-1.758126E-3</v>
      </c>
      <c r="P464">
        <v>0.99947370000000002</v>
      </c>
      <c r="Q464">
        <v>3.2421890000000002E-2</v>
      </c>
      <c r="R464">
        <v>1.3511339999999999E-3</v>
      </c>
      <c r="S464">
        <v>2.9984440000000001</v>
      </c>
      <c r="T464">
        <v>0.1044508</v>
      </c>
      <c r="U464">
        <v>-0.1886292</v>
      </c>
      <c r="V464">
        <v>-3.1073849999999998E-3</v>
      </c>
      <c r="W464">
        <v>3.9016660000000002E-2</v>
      </c>
      <c r="X464">
        <v>0.9992337</v>
      </c>
      <c r="Y464">
        <v>6.0994329999999999E-2</v>
      </c>
      <c r="Z464">
        <v>9.9983360000000009E-4</v>
      </c>
      <c r="AA464">
        <v>0.99813759999999996</v>
      </c>
      <c r="AB464">
        <v>37</v>
      </c>
      <c r="AC464">
        <v>256.58759999999899</v>
      </c>
      <c r="AD464">
        <v>8.9449609999999993</v>
      </c>
      <c r="AE464">
        <v>-16.153599999999901</v>
      </c>
      <c r="AF464">
        <v>15.683466970184901</v>
      </c>
      <c r="AG464">
        <v>8.9449609999999993</v>
      </c>
      <c r="AH464">
        <v>256.30534441242202</v>
      </c>
      <c r="AI464">
        <v>88.004938407984895</v>
      </c>
      <c r="AJ464">
        <v>86.498405263826498</v>
      </c>
      <c r="AK464">
        <v>256.94048540054303</v>
      </c>
      <c r="AL464">
        <v>87.763942417476898</v>
      </c>
      <c r="AM464">
        <v>90.178176008179193</v>
      </c>
      <c r="AN464">
        <v>0.99999997140739105</v>
      </c>
    </row>
    <row r="465" spans="1:40" x14ac:dyDescent="0.25">
      <c r="A465" t="str">
        <f>"20190312160311574"</f>
        <v>20190312160311574</v>
      </c>
      <c r="B465" t="str">
        <f>"1552377791564969"</f>
        <v>1552377791564969</v>
      </c>
      <c r="C465" t="s">
        <v>40</v>
      </c>
      <c r="D465">
        <v>5.3193250000000001</v>
      </c>
      <c r="E465">
        <v>0.50146520000000006</v>
      </c>
      <c r="F465" t="s">
        <v>41</v>
      </c>
      <c r="G465">
        <v>-382.89859999999999</v>
      </c>
      <c r="H465" s="1">
        <v>-3.323714E-6</v>
      </c>
      <c r="I465">
        <v>367.95359999999999</v>
      </c>
      <c r="J465">
        <v>-415.17750000000001</v>
      </c>
      <c r="K465">
        <v>1.059094</v>
      </c>
      <c r="L465">
        <v>368.15219999999999</v>
      </c>
      <c r="M465">
        <v>0.99997659999999999</v>
      </c>
      <c r="N465">
        <v>0</v>
      </c>
      <c r="O465">
        <v>-1.757839E-3</v>
      </c>
      <c r="P465">
        <v>0.99947640000000004</v>
      </c>
      <c r="Q465">
        <v>3.2325529999999998E-2</v>
      </c>
      <c r="R465">
        <v>1.48555E-3</v>
      </c>
      <c r="S465">
        <v>3.0048520000000001</v>
      </c>
      <c r="T465">
        <v>-9.8004099999999997E-2</v>
      </c>
      <c r="U465">
        <v>-1.8402100000000001E-2</v>
      </c>
      <c r="V465">
        <v>-3.2412819999999998E-3</v>
      </c>
      <c r="W465">
        <v>3.8941370000000003E-2</v>
      </c>
      <c r="X465">
        <v>0.99923620000000002</v>
      </c>
      <c r="Y465">
        <v>4.3647740000000001E-3</v>
      </c>
      <c r="Z465" s="1">
        <v>-1.38418E-5</v>
      </c>
      <c r="AA465">
        <v>0.9999905</v>
      </c>
      <c r="AB465">
        <v>37</v>
      </c>
      <c r="AC465">
        <v>32.2789</v>
      </c>
      <c r="AD465">
        <v>-1.059097323714</v>
      </c>
      <c r="AE465">
        <v>-0.198599999999999</v>
      </c>
      <c r="AF465">
        <v>0.14170479719635101</v>
      </c>
      <c r="AG465">
        <v>-1.059097323714</v>
      </c>
      <c r="AH465">
        <v>32.244487745444303</v>
      </c>
      <c r="AI465">
        <v>91.881233586848097</v>
      </c>
      <c r="AJ465">
        <v>89.7482039531276</v>
      </c>
      <c r="AK465">
        <v>32.2621877335799</v>
      </c>
      <c r="AL465">
        <v>87.768259471773703</v>
      </c>
      <c r="AM465">
        <v>90.185853082048197</v>
      </c>
      <c r="AN465">
        <v>0.99999995979845901</v>
      </c>
    </row>
    <row r="466" spans="1:40" x14ac:dyDescent="0.25">
      <c r="A466" t="str">
        <f>"20190312160311586"</f>
        <v>20190312160311586</v>
      </c>
      <c r="B466" t="str">
        <f>"1552377791574728"</f>
        <v>1552377791574728</v>
      </c>
      <c r="C466" t="s">
        <v>40</v>
      </c>
      <c r="D466">
        <v>5.3322940000000001</v>
      </c>
      <c r="E466">
        <v>0.50142549999999997</v>
      </c>
      <c r="F466" t="s">
        <v>41</v>
      </c>
      <c r="G466">
        <v>-384.4076</v>
      </c>
      <c r="H466" s="1">
        <v>-2.6747520000000002E-6</v>
      </c>
      <c r="I466">
        <v>367.96269999999998</v>
      </c>
      <c r="J466">
        <v>-414.96749999999997</v>
      </c>
      <c r="K466">
        <v>1.059094</v>
      </c>
      <c r="L466">
        <v>368.15179999999998</v>
      </c>
      <c r="M466">
        <v>0.99997650000000005</v>
      </c>
      <c r="N466">
        <v>0</v>
      </c>
      <c r="O466">
        <v>-1.757436E-3</v>
      </c>
      <c r="P466">
        <v>0.99947450000000004</v>
      </c>
      <c r="Q466">
        <v>3.2368149999999998E-2</v>
      </c>
      <c r="R466">
        <v>1.673924E-3</v>
      </c>
      <c r="S466">
        <v>3.0049739999999998</v>
      </c>
      <c r="T466">
        <v>-0.1034306</v>
      </c>
      <c r="U466">
        <v>-1.849365E-2</v>
      </c>
      <c r="V466">
        <v>-3.4285280000000001E-3</v>
      </c>
      <c r="W466">
        <v>3.9006649999999997E-2</v>
      </c>
      <c r="X466">
        <v>0.99923309999999999</v>
      </c>
      <c r="Y466">
        <v>4.3952180000000002E-3</v>
      </c>
      <c r="Z466" s="1">
        <v>-1.514481E-5</v>
      </c>
      <c r="AA466">
        <v>0.9999903</v>
      </c>
      <c r="AB466">
        <v>37</v>
      </c>
      <c r="AC466">
        <v>30.559899999999899</v>
      </c>
      <c r="AD466">
        <v>-1.0590966747519901</v>
      </c>
      <c r="AE466">
        <v>-0.18909999999999599</v>
      </c>
      <c r="AF466">
        <v>0.135229047373192</v>
      </c>
      <c r="AG466">
        <v>-1.0590966747519901</v>
      </c>
      <c r="AH466">
        <v>30.523525737293301</v>
      </c>
      <c r="AI466">
        <v>91.987216045279794</v>
      </c>
      <c r="AJ466">
        <v>89.746162908667699</v>
      </c>
      <c r="AK466">
        <v>30.5421937014506</v>
      </c>
      <c r="AL466">
        <v>87.764516518108493</v>
      </c>
      <c r="AM466">
        <v>90.196590178468497</v>
      </c>
      <c r="AN466">
        <v>1.00000003084203</v>
      </c>
    </row>
    <row r="467" spans="1:40" x14ac:dyDescent="0.25">
      <c r="A467" t="str">
        <f>"20190312160311600"</f>
        <v>20190312160311600</v>
      </c>
      <c r="B467" t="str">
        <f>"1552377791595224"</f>
        <v>1552377791595224</v>
      </c>
      <c r="C467" t="s">
        <v>40</v>
      </c>
      <c r="D467">
        <v>5.3407920000000004</v>
      </c>
      <c r="E467">
        <v>0.50146749999999995</v>
      </c>
      <c r="F467" t="s">
        <v>41</v>
      </c>
      <c r="G467">
        <v>-381.42039999999997</v>
      </c>
      <c r="H467" s="1">
        <v>-3.9567270000000003E-6</v>
      </c>
      <c r="I467">
        <v>367.9599</v>
      </c>
      <c r="J467">
        <v>-414.74860000000001</v>
      </c>
      <c r="K467">
        <v>1.0590980000000001</v>
      </c>
      <c r="L467">
        <v>368.15140000000002</v>
      </c>
      <c r="M467">
        <v>0.99997630000000004</v>
      </c>
      <c r="N467">
        <v>0</v>
      </c>
      <c r="O467">
        <v>-1.757031E-3</v>
      </c>
      <c r="P467">
        <v>0.99948090000000001</v>
      </c>
      <c r="Q467">
        <v>3.2188799999999997E-2</v>
      </c>
      <c r="R467">
        <v>1.3662469999999999E-3</v>
      </c>
      <c r="S467">
        <v>3.0046689999999998</v>
      </c>
      <c r="T467">
        <v>-9.4858769999999995E-2</v>
      </c>
      <c r="U467">
        <v>-1.7181399999999999E-2</v>
      </c>
      <c r="V467">
        <v>-3.1212229999999998E-3</v>
      </c>
      <c r="W467">
        <v>3.8848939999999998E-2</v>
      </c>
      <c r="X467">
        <v>0.99924020000000002</v>
      </c>
      <c r="Y467">
        <v>3.9599919999999999E-3</v>
      </c>
      <c r="Z467" s="1">
        <v>-7.0361570000000004E-6</v>
      </c>
      <c r="AA467">
        <v>0.99999210000000005</v>
      </c>
      <c r="AB467">
        <v>37</v>
      </c>
      <c r="AC467">
        <v>33.328200000000002</v>
      </c>
      <c r="AD467">
        <v>-1.0591019567269999</v>
      </c>
      <c r="AE467">
        <v>-0.19150000000001899</v>
      </c>
      <c r="AF467">
        <v>0.132805618571748</v>
      </c>
      <c r="AG467">
        <v>-1.0591019567269999</v>
      </c>
      <c r="AH467">
        <v>33.294863714454301</v>
      </c>
      <c r="AI467">
        <v>91.821936728948899</v>
      </c>
      <c r="AJ467">
        <v>89.771461413672299</v>
      </c>
      <c r="AK467">
        <v>33.311969080964801</v>
      </c>
      <c r="AL467">
        <v>87.773559375715806</v>
      </c>
      <c r="AM467">
        <v>90.178968303323899</v>
      </c>
      <c r="AN467">
        <v>0.99999997973408905</v>
      </c>
    </row>
    <row r="468" spans="1:40" x14ac:dyDescent="0.25">
      <c r="A468" t="str">
        <f>"20190312160311617"</f>
        <v>20190312160311617</v>
      </c>
      <c r="B468" t="str">
        <f>"1552377791604985"</f>
        <v>1552377791604985</v>
      </c>
      <c r="C468" t="s">
        <v>40</v>
      </c>
      <c r="D468">
        <v>5.4704269999999999</v>
      </c>
      <c r="E468">
        <v>0.50122169999999999</v>
      </c>
      <c r="F468" t="s">
        <v>41</v>
      </c>
      <c r="G468">
        <v>-377.16460000000001</v>
      </c>
      <c r="H468" s="1">
        <v>-1.497888E-6</v>
      </c>
      <c r="I468">
        <v>367.92950000000002</v>
      </c>
      <c r="J468">
        <v>-414.46129999999999</v>
      </c>
      <c r="K468">
        <v>1.05909599999999</v>
      </c>
      <c r="L468">
        <v>368.15089999999998</v>
      </c>
      <c r="M468">
        <v>0.99997599999999998</v>
      </c>
      <c r="N468">
        <v>0</v>
      </c>
      <c r="O468">
        <v>-1.756407E-3</v>
      </c>
      <c r="P468">
        <v>0.99947909999999995</v>
      </c>
      <c r="Q468">
        <v>3.223094E-2</v>
      </c>
      <c r="R468">
        <v>1.6688439999999901E-3</v>
      </c>
      <c r="S468">
        <v>3.0043030000000002</v>
      </c>
      <c r="T468">
        <v>-8.4659869999999998E-2</v>
      </c>
      <c r="U468">
        <v>-1.773071E-2</v>
      </c>
      <c r="V468">
        <v>-3.4228219999999998E-3</v>
      </c>
      <c r="W468">
        <v>3.8918029999999999E-2</v>
      </c>
      <c r="X468">
        <v>0.99923649999999997</v>
      </c>
      <c r="Y468">
        <v>4.1442969999999999E-3</v>
      </c>
      <c r="Z468" s="1">
        <v>-8.8945960000000002E-6</v>
      </c>
      <c r="AA468">
        <v>0.99999139999999997</v>
      </c>
      <c r="AB468">
        <v>37</v>
      </c>
      <c r="AC468">
        <v>37.296699999999902</v>
      </c>
      <c r="AD468">
        <v>-1.0590974978879999</v>
      </c>
      <c r="AE468">
        <v>-0.22139999999995999</v>
      </c>
      <c r="AF468">
        <v>0.15576440397555599</v>
      </c>
      <c r="AG468">
        <v>-1.0590974978879999</v>
      </c>
      <c r="AH468">
        <v>37.266981655822697</v>
      </c>
      <c r="AI468">
        <v>91.627847380111604</v>
      </c>
      <c r="AJ468">
        <v>89.760522838727397</v>
      </c>
      <c r="AK468">
        <v>37.282353356447402</v>
      </c>
      <c r="AL468">
        <v>87.769597761006594</v>
      </c>
      <c r="AM468">
        <v>90.196262333882302</v>
      </c>
      <c r="AN468">
        <v>0.99999995585088597</v>
      </c>
    </row>
    <row r="469" spans="1:40" x14ac:dyDescent="0.25">
      <c r="A469" t="str">
        <f>"20190312160311628"</f>
        <v>20190312160311628</v>
      </c>
      <c r="B469" t="str">
        <f>"1552377791625481"</f>
        <v>1552377791625481</v>
      </c>
      <c r="C469" t="s">
        <v>40</v>
      </c>
      <c r="D469">
        <v>5.2806139999999999</v>
      </c>
      <c r="E469">
        <v>0.50126380000000004</v>
      </c>
      <c r="F469" t="s">
        <v>41</v>
      </c>
      <c r="G469">
        <v>-375.98329999999999</v>
      </c>
      <c r="H469" s="1">
        <v>-1.998852E-6</v>
      </c>
      <c r="I469">
        <v>367.9624</v>
      </c>
      <c r="J469">
        <v>-414.27089999999998</v>
      </c>
      <c r="K469">
        <v>1.059097</v>
      </c>
      <c r="L469">
        <v>368.1506</v>
      </c>
      <c r="M469">
        <v>0.99997599999999998</v>
      </c>
      <c r="N469">
        <v>0</v>
      </c>
      <c r="O469">
        <v>-1.756107E-3</v>
      </c>
      <c r="P469">
        <v>0.9994845</v>
      </c>
      <c r="Q469">
        <v>3.207774E-2</v>
      </c>
      <c r="R469">
        <v>1.3918660000000001E-3</v>
      </c>
      <c r="S469">
        <v>3.004181</v>
      </c>
      <c r="T469">
        <v>-8.2689170000000006E-2</v>
      </c>
      <c r="U469">
        <v>-1.4709470000000001E-2</v>
      </c>
      <c r="V469">
        <v>-3.145531E-3</v>
      </c>
      <c r="W469">
        <v>3.8782230000000001E-2</v>
      </c>
      <c r="X469">
        <v>0.99924270000000004</v>
      </c>
      <c r="Y469">
        <v>3.1396190000000002E-3</v>
      </c>
      <c r="Z469" s="1">
        <v>5.1278180000000003E-6</v>
      </c>
      <c r="AA469">
        <v>0.99999510000000003</v>
      </c>
      <c r="AB469">
        <v>37</v>
      </c>
      <c r="AC469">
        <v>38.287599999999998</v>
      </c>
      <c r="AD469">
        <v>-1.0590989988520001</v>
      </c>
      <c r="AE469">
        <v>-0.18819999999999401</v>
      </c>
      <c r="AF469">
        <v>0.120868594819339</v>
      </c>
      <c r="AG469">
        <v>-1.0590989988520001</v>
      </c>
      <c r="AH469">
        <v>38.258597916849702</v>
      </c>
      <c r="AI469">
        <v>91.585685565952005</v>
      </c>
      <c r="AJ469">
        <v>89.818988732050499</v>
      </c>
      <c r="AK469">
        <v>38.2734452913474</v>
      </c>
      <c r="AL469">
        <v>87.777384426244197</v>
      </c>
      <c r="AM469">
        <v>90.180361643195994</v>
      </c>
      <c r="AN469">
        <v>0.99999996461616603</v>
      </c>
    </row>
    <row r="470" spans="1:40" x14ac:dyDescent="0.25">
      <c r="A470" t="str">
        <f>"20190312160311651"</f>
        <v>20190312160311651</v>
      </c>
      <c r="B470" t="str">
        <f>"1552377791645001"</f>
        <v>1552377791645001</v>
      </c>
      <c r="C470" t="s">
        <v>40</v>
      </c>
      <c r="D470">
        <v>5.3377919999999897</v>
      </c>
      <c r="E470">
        <v>0.50129690000000005</v>
      </c>
      <c r="F470" t="s">
        <v>41</v>
      </c>
      <c r="G470">
        <v>-374.27019999999999</v>
      </c>
      <c r="H470" s="1">
        <v>-2.737597E-6</v>
      </c>
      <c r="I470">
        <v>367.94080000000002</v>
      </c>
      <c r="J470">
        <v>-413.87869999999998</v>
      </c>
      <c r="K470">
        <v>1.0590980000000001</v>
      </c>
      <c r="L470">
        <v>368.1499</v>
      </c>
      <c r="M470">
        <v>0.99997570000000002</v>
      </c>
      <c r="N470">
        <v>0</v>
      </c>
      <c r="O470">
        <v>-1.755384E-3</v>
      </c>
      <c r="P470">
        <v>0.99949149999999998</v>
      </c>
      <c r="Q470">
        <v>3.1859800000000001E-2</v>
      </c>
      <c r="R470">
        <v>1.338767E-3</v>
      </c>
      <c r="S470">
        <v>3.0041199999999999</v>
      </c>
      <c r="T470">
        <v>-7.95398999999999E-2</v>
      </c>
      <c r="U470">
        <v>-1.5747069999999998E-2</v>
      </c>
      <c r="V470">
        <v>-3.0917119999999999E-3</v>
      </c>
      <c r="W470">
        <v>3.8597840000000001E-2</v>
      </c>
      <c r="X470">
        <v>0.99925010000000003</v>
      </c>
      <c r="Y470">
        <v>3.4857389999999999E-3</v>
      </c>
      <c r="Z470" s="1">
        <v>3.3227839999999997E-7</v>
      </c>
      <c r="AA470">
        <v>0.99999389999999999</v>
      </c>
      <c r="AB470">
        <v>38</v>
      </c>
      <c r="AC470">
        <v>39.6084999999999</v>
      </c>
      <c r="AD470">
        <v>-1.0591007375970001</v>
      </c>
      <c r="AE470">
        <v>-0.209099999999978</v>
      </c>
      <c r="AF470">
        <v>0.13947025167070901</v>
      </c>
      <c r="AG470">
        <v>-1.0591007375970001</v>
      </c>
      <c r="AH470">
        <v>39.5805072983418</v>
      </c>
      <c r="AI470">
        <v>91.532753203901393</v>
      </c>
      <c r="AJ470">
        <v>89.798107092094</v>
      </c>
      <c r="AK470">
        <v>39.5949201832453</v>
      </c>
      <c r="AL470">
        <v>87.787957316382304</v>
      </c>
      <c r="AM470">
        <v>90.177274421899796</v>
      </c>
      <c r="AN470">
        <v>1.00000005714288</v>
      </c>
    </row>
    <row r="471" spans="1:40" x14ac:dyDescent="0.25">
      <c r="A471" t="str">
        <f>"20190312160311663"</f>
        <v>20190312160311663</v>
      </c>
      <c r="B471" t="str">
        <f>"1552377791654760"</f>
        <v>1552377791654760</v>
      </c>
      <c r="C471" t="s">
        <v>40</v>
      </c>
      <c r="D471">
        <v>5.3818710000000003</v>
      </c>
      <c r="E471">
        <v>0.50129690000000005</v>
      </c>
      <c r="F471" t="s">
        <v>41</v>
      </c>
      <c r="G471">
        <v>-372.94819999999999</v>
      </c>
      <c r="H471" s="1">
        <v>-3.3063040000000001E-6</v>
      </c>
      <c r="I471">
        <v>367.93200000000002</v>
      </c>
      <c r="J471">
        <v>-413.6746</v>
      </c>
      <c r="K471">
        <v>1.0590999999999999</v>
      </c>
      <c r="L471">
        <v>368.14960000000002</v>
      </c>
      <c r="M471">
        <v>0.99997570000000002</v>
      </c>
      <c r="N471">
        <v>0</v>
      </c>
      <c r="O471">
        <v>-1.755082E-3</v>
      </c>
      <c r="P471">
        <v>0.99949219999999905</v>
      </c>
      <c r="Q471">
        <v>3.1839329999999999E-2</v>
      </c>
      <c r="R471">
        <v>1.292617E-3</v>
      </c>
      <c r="S471">
        <v>3.0040279999999999</v>
      </c>
      <c r="T471">
        <v>-7.7730949999999993E-2</v>
      </c>
      <c r="U471">
        <v>-1.5991209999999999E-2</v>
      </c>
      <c r="V471">
        <v>-3.0454929999999998E-3</v>
      </c>
      <c r="W471">
        <v>3.8593549999999997E-2</v>
      </c>
      <c r="X471">
        <v>0.99925039999999998</v>
      </c>
      <c r="Y471">
        <v>3.5674679999999999E-3</v>
      </c>
      <c r="Z471" s="1">
        <v>-7.4029229999999899E-7</v>
      </c>
      <c r="AA471">
        <v>0.99999360000000004</v>
      </c>
      <c r="AB471">
        <v>38</v>
      </c>
      <c r="AC471">
        <v>40.726399999999998</v>
      </c>
      <c r="AD471">
        <v>-1.0591033063039901</v>
      </c>
      <c r="AE471">
        <v>-0.21760000000006099</v>
      </c>
      <c r="AF471">
        <v>0.14602111851362901</v>
      </c>
      <c r="AG471">
        <v>-1.0591033063039901</v>
      </c>
      <c r="AH471">
        <v>40.699196043045099</v>
      </c>
      <c r="AI471">
        <v>91.490645346337402</v>
      </c>
      <c r="AJ471">
        <v>89.794434319943207</v>
      </c>
      <c r="AK471">
        <v>40.713235937845702</v>
      </c>
      <c r="AL471">
        <v>87.788203281661097</v>
      </c>
      <c r="AM471">
        <v>90.1746242534918</v>
      </c>
      <c r="AN471">
        <v>1.0000000495146799</v>
      </c>
    </row>
    <row r="472" spans="1:40" x14ac:dyDescent="0.25">
      <c r="A472" t="str">
        <f>"20190312160311687"</f>
        <v>20190312160311687</v>
      </c>
      <c r="B472" t="str">
        <f>"1552377791675257"</f>
        <v>1552377791675257</v>
      </c>
      <c r="C472" t="s">
        <v>40</v>
      </c>
      <c r="D472">
        <v>5.4427399999999997</v>
      </c>
      <c r="E472">
        <v>0.49804290000000001</v>
      </c>
      <c r="F472" t="s">
        <v>41</v>
      </c>
      <c r="G472">
        <v>-372.77260000000001</v>
      </c>
      <c r="H472" s="1">
        <v>-3.3821580000000001E-6</v>
      </c>
      <c r="I472">
        <v>367.92880000000002</v>
      </c>
      <c r="J472">
        <v>-413.2747</v>
      </c>
      <c r="K472">
        <v>1.0590949999999999</v>
      </c>
      <c r="L472">
        <v>368.14890000000003</v>
      </c>
      <c r="M472">
        <v>0.99997539999999996</v>
      </c>
      <c r="N472">
        <v>0</v>
      </c>
      <c r="O472">
        <v>-1.75423299999999E-3</v>
      </c>
      <c r="P472">
        <v>0.99949860000000001</v>
      </c>
      <c r="Q472">
        <v>3.1634469999999998E-2</v>
      </c>
      <c r="R472">
        <v>1.2799E-3</v>
      </c>
      <c r="S472">
        <v>3.0040279999999999</v>
      </c>
      <c r="T472">
        <v>-7.7785370000000006E-2</v>
      </c>
      <c r="U472">
        <v>-1.620483E-2</v>
      </c>
      <c r="V472">
        <v>-3.031696E-3</v>
      </c>
      <c r="W472">
        <v>3.8419630000000003E-2</v>
      </c>
      <c r="X472">
        <v>0.99925710000000001</v>
      </c>
      <c r="Y472">
        <v>3.6394019999999999E-3</v>
      </c>
      <c r="Z472" s="1">
        <v>-1.6939340000000001E-6</v>
      </c>
      <c r="AA472">
        <v>0.99999340000000003</v>
      </c>
      <c r="AB472">
        <v>38</v>
      </c>
      <c r="AC472">
        <v>40.502099999999899</v>
      </c>
      <c r="AD472">
        <v>-1.059098382158</v>
      </c>
      <c r="AE472">
        <v>-0.22010000000000199</v>
      </c>
      <c r="AF472">
        <v>0.14894605879459699</v>
      </c>
      <c r="AG472">
        <v>-1.059098382158</v>
      </c>
      <c r="AH472">
        <v>40.474748714894197</v>
      </c>
      <c r="AI472">
        <v>91.498900293412404</v>
      </c>
      <c r="AJ472">
        <v>89.789153922079507</v>
      </c>
      <c r="AK472">
        <v>40.488876964486799</v>
      </c>
      <c r="AL472">
        <v>87.798175462224705</v>
      </c>
      <c r="AM472">
        <v>90.173831992385402</v>
      </c>
      <c r="AN472">
        <v>1.0000000055251901</v>
      </c>
    </row>
    <row r="473" spans="1:40" x14ac:dyDescent="0.25">
      <c r="A473" t="str">
        <f>"20190312160311700"</f>
        <v>20190312160311700</v>
      </c>
      <c r="B473" t="str">
        <f>"1552377791694776"</f>
        <v>1552377791694776</v>
      </c>
      <c r="C473" t="s">
        <v>40</v>
      </c>
      <c r="D473">
        <v>5.2568869999999999</v>
      </c>
      <c r="E473">
        <v>0.50089620000000001</v>
      </c>
      <c r="F473" t="s">
        <v>49</v>
      </c>
      <c r="G473">
        <v>-412.2022</v>
      </c>
      <c r="H473">
        <v>0.99418229999999996</v>
      </c>
      <c r="I473">
        <v>368.15010000000001</v>
      </c>
      <c r="J473">
        <v>-413.05470000000003</v>
      </c>
      <c r="K473">
        <v>1.0590949999999999</v>
      </c>
      <c r="L473">
        <v>368.14850000000001</v>
      </c>
      <c r="M473">
        <v>0.99997530000000001</v>
      </c>
      <c r="N473">
        <v>0</v>
      </c>
      <c r="O473">
        <v>-1.7536909999999999E-3</v>
      </c>
      <c r="P473">
        <v>0.99949770000000004</v>
      </c>
      <c r="Q473">
        <v>3.1671919999999999E-2</v>
      </c>
      <c r="R473">
        <v>9.2784989999999999E-4</v>
      </c>
      <c r="S473">
        <v>3.007263</v>
      </c>
      <c r="T473">
        <v>-0.182112</v>
      </c>
      <c r="U473">
        <v>3.8757319999999998E-3</v>
      </c>
      <c r="V473">
        <v>-2.6795690000000001E-3</v>
      </c>
      <c r="W473">
        <v>3.8472520000000003E-2</v>
      </c>
      <c r="X473">
        <v>0.99925609999999998</v>
      </c>
      <c r="Y473">
        <v>-3.0337469999999998E-3</v>
      </c>
      <c r="Z473">
        <v>1.9787790000000001E-4</v>
      </c>
      <c r="AA473">
        <v>0.99999539999999998</v>
      </c>
      <c r="AB473">
        <v>38</v>
      </c>
      <c r="AC473">
        <v>0.85250000000002002</v>
      </c>
      <c r="AD473">
        <v>-6.4912700000000004E-2</v>
      </c>
      <c r="AE473">
        <v>1.59999999999627E-3</v>
      </c>
      <c r="AF473">
        <v>-3.07721244480802E-3</v>
      </c>
      <c r="AG473">
        <v>-6.4912700000000004E-2</v>
      </c>
      <c r="AH473">
        <v>0.84758170806980604</v>
      </c>
      <c r="AI473">
        <v>94.379463681422706</v>
      </c>
      <c r="AJ473">
        <v>90.208015946334001</v>
      </c>
      <c r="AK473">
        <v>0.85006933817909802</v>
      </c>
      <c r="AL473">
        <v>87.795142909492498</v>
      </c>
      <c r="AM473">
        <v>90.153641920845004</v>
      </c>
      <c r="AN473">
        <v>1.0000000341361901</v>
      </c>
    </row>
    <row r="474" spans="1:40" x14ac:dyDescent="0.25">
      <c r="A474" t="str">
        <f>"20190312160311719"</f>
        <v>20190312160311719</v>
      </c>
      <c r="B474" t="str">
        <f>"1552377791705513"</f>
        <v>1552377791705513</v>
      </c>
      <c r="C474" t="s">
        <v>40</v>
      </c>
      <c r="D474">
        <v>5.202623</v>
      </c>
      <c r="E474">
        <v>0.50150509999999904</v>
      </c>
      <c r="F474" t="s">
        <v>41</v>
      </c>
      <c r="G474">
        <v>-391.89019999999999</v>
      </c>
      <c r="H474" s="1">
        <v>-3.7446429999999998E-6</v>
      </c>
      <c r="I474">
        <v>368.01929999999999</v>
      </c>
      <c r="J474">
        <v>-412.74509999999998</v>
      </c>
      <c r="K474">
        <v>1.059091</v>
      </c>
      <c r="L474">
        <v>368.14800000000002</v>
      </c>
      <c r="M474">
        <v>0.99997530000000001</v>
      </c>
      <c r="N474">
        <v>0</v>
      </c>
      <c r="O474">
        <v>-1.753288E-3</v>
      </c>
      <c r="P474">
        <v>0.99950000000000006</v>
      </c>
      <c r="Q474">
        <v>3.1598340000000003E-2</v>
      </c>
      <c r="R474">
        <v>1.181348E-3</v>
      </c>
      <c r="S474">
        <v>3.006256</v>
      </c>
      <c r="T474">
        <v>-0.15043689999999901</v>
      </c>
      <c r="U474">
        <v>-1.8341059999999999E-2</v>
      </c>
      <c r="V474">
        <v>-2.932587E-3</v>
      </c>
      <c r="W474">
        <v>3.842106E-2</v>
      </c>
      <c r="X474">
        <v>0.99925730000000001</v>
      </c>
      <c r="Y474">
        <v>4.3443040000000002E-3</v>
      </c>
      <c r="Z474" s="1">
        <v>-2.0945300000000001E-5</v>
      </c>
      <c r="AA474">
        <v>0.99999059999999995</v>
      </c>
      <c r="AB474">
        <v>38</v>
      </c>
      <c r="AC474">
        <v>20.854899999999901</v>
      </c>
      <c r="AD474">
        <v>-1.0590947446429999</v>
      </c>
      <c r="AE474">
        <v>-0.12870000000003701</v>
      </c>
      <c r="AF474">
        <v>9.1897314029968993E-2</v>
      </c>
      <c r="AG474">
        <v>-1.0590947446429999</v>
      </c>
      <c r="AH474">
        <v>20.801448450644401</v>
      </c>
      <c r="AI474">
        <v>92.914639103446603</v>
      </c>
      <c r="AJ474">
        <v>89.746878492596196</v>
      </c>
      <c r="AK474">
        <v>20.828595354446598</v>
      </c>
      <c r="AL474">
        <v>87.798093378917997</v>
      </c>
      <c r="AM474">
        <v>90.168149260221696</v>
      </c>
      <c r="AN474">
        <v>0.999999964760662</v>
      </c>
    </row>
    <row r="475" spans="1:40" x14ac:dyDescent="0.25">
      <c r="A475" t="str">
        <f>"20190312160311742"</f>
        <v>20190312160311742</v>
      </c>
      <c r="B475" t="str">
        <f>"1552377791734794"</f>
        <v>1552377791734794</v>
      </c>
      <c r="C475" t="s">
        <v>40</v>
      </c>
      <c r="D475">
        <v>5.1724230000000002</v>
      </c>
      <c r="E475">
        <v>0.50327390000000005</v>
      </c>
      <c r="F475" t="s">
        <v>41</v>
      </c>
      <c r="G475">
        <v>-389.53269999999998</v>
      </c>
      <c r="H475" s="1">
        <v>-5.7986439999999998E-7</v>
      </c>
      <c r="I475">
        <v>367.98219999999998</v>
      </c>
      <c r="J475">
        <v>-412.34980000000002</v>
      </c>
      <c r="K475">
        <v>1.059088</v>
      </c>
      <c r="L475">
        <v>368.1472</v>
      </c>
      <c r="M475">
        <v>0.99997499999999995</v>
      </c>
      <c r="N475">
        <v>0</v>
      </c>
      <c r="O475">
        <v>-1.7525450000000001E-3</v>
      </c>
      <c r="P475">
        <v>0.99951389999999996</v>
      </c>
      <c r="Q475">
        <v>3.117027E-2</v>
      </c>
      <c r="R475">
        <v>7.174042E-4</v>
      </c>
      <c r="S475">
        <v>3.0058590000000001</v>
      </c>
      <c r="T475">
        <v>-0.1371454</v>
      </c>
      <c r="U475">
        <v>-2.1453860000000002E-2</v>
      </c>
      <c r="V475">
        <v>-2.468053E-3</v>
      </c>
      <c r="W475">
        <v>3.8019850000000001E-2</v>
      </c>
      <c r="X475">
        <v>0.999274</v>
      </c>
      <c r="Y475">
        <v>5.3808369999999899E-3</v>
      </c>
      <c r="Z475" s="1">
        <v>-4.2766940000000002E-5</v>
      </c>
      <c r="AA475">
        <v>0.99998549999999997</v>
      </c>
      <c r="AB475">
        <v>38</v>
      </c>
      <c r="AC475">
        <v>22.8171</v>
      </c>
      <c r="AD475">
        <v>-1.0590885798644001</v>
      </c>
      <c r="AE475">
        <v>-0.16500000000001999</v>
      </c>
      <c r="AF475">
        <v>0.124742072768844</v>
      </c>
      <c r="AG475">
        <v>-1.0590885798644001</v>
      </c>
      <c r="AH475">
        <v>22.768302710040899</v>
      </c>
      <c r="AI475">
        <v>92.663206322870707</v>
      </c>
      <c r="AJ475">
        <v>89.686093299194198</v>
      </c>
      <c r="AK475">
        <v>22.793262984942999</v>
      </c>
      <c r="AL475">
        <v>87.8210980438447</v>
      </c>
      <c r="AM475">
        <v>90.141511470304806</v>
      </c>
      <c r="AN475">
        <v>1.0000000636778099</v>
      </c>
    </row>
    <row r="476" spans="1:40" x14ac:dyDescent="0.25">
      <c r="A476" t="str">
        <f>"20190312160311763"</f>
        <v>20190312160311763</v>
      </c>
      <c r="B476" t="str">
        <f>"1552377791755288"</f>
        <v>1552377791755288</v>
      </c>
      <c r="C476" t="s">
        <v>40</v>
      </c>
      <c r="D476">
        <v>5.1002559999999999</v>
      </c>
      <c r="E476">
        <v>0.5039479</v>
      </c>
      <c r="F476" t="s">
        <v>41</v>
      </c>
      <c r="G476">
        <v>-384.40170000000001</v>
      </c>
      <c r="H476" s="1">
        <v>-2.7029430000000001E-6</v>
      </c>
      <c r="I476">
        <v>367.81799999999998</v>
      </c>
      <c r="J476">
        <v>-411.98390000000001</v>
      </c>
      <c r="K476">
        <v>1.0590900000000001</v>
      </c>
      <c r="L476">
        <v>368.14659999999998</v>
      </c>
      <c r="M476">
        <v>0.99997499999999995</v>
      </c>
      <c r="N476">
        <v>0</v>
      </c>
      <c r="O476">
        <v>-1.7521489999999999E-3</v>
      </c>
      <c r="P476">
        <v>0.99952600000000003</v>
      </c>
      <c r="Q476">
        <v>3.0792130000000001E-2</v>
      </c>
      <c r="R476" s="1">
        <v>1.975059E-5</v>
      </c>
      <c r="S476">
        <v>3.0050659999999998</v>
      </c>
      <c r="T476">
        <v>-0.11387650000000001</v>
      </c>
      <c r="U476">
        <v>-3.5400389999999997E-2</v>
      </c>
      <c r="V476">
        <v>-1.770017E-3</v>
      </c>
      <c r="W476">
        <v>3.7665339999999999E-2</v>
      </c>
      <c r="X476">
        <v>0.99928890000000004</v>
      </c>
      <c r="Y476">
        <v>1.00214E-2</v>
      </c>
      <c r="Z476">
        <v>-1.234323E-4</v>
      </c>
      <c r="AA476">
        <v>0.9999498</v>
      </c>
      <c r="AB476">
        <v>38</v>
      </c>
      <c r="AC476">
        <v>27.5822</v>
      </c>
      <c r="AD476">
        <v>-1.059092702943</v>
      </c>
      <c r="AE476">
        <v>-0.328599999999937</v>
      </c>
      <c r="AF476">
        <v>0.27985767869129802</v>
      </c>
      <c r="AG476">
        <v>-1.059092702943</v>
      </c>
      <c r="AH476">
        <v>27.542131556587201</v>
      </c>
      <c r="AI476">
        <v>92.202027508285596</v>
      </c>
      <c r="AJ476">
        <v>89.417833292659296</v>
      </c>
      <c r="AK476">
        <v>27.563907711972</v>
      </c>
      <c r="AL476">
        <v>87.841424517295195</v>
      </c>
      <c r="AM476">
        <v>90.101486564802798</v>
      </c>
      <c r="AN476">
        <v>1.0000000582303501</v>
      </c>
    </row>
    <row r="477" spans="1:40" x14ac:dyDescent="0.25">
      <c r="A477" t="str">
        <f>"20190312160311774"</f>
        <v>20190312160311774</v>
      </c>
      <c r="B477" t="str">
        <f>"1552377791765049"</f>
        <v>1552377791765049</v>
      </c>
      <c r="C477" t="s">
        <v>40</v>
      </c>
      <c r="D477">
        <v>5.0762859999999996</v>
      </c>
      <c r="E477">
        <v>0.50397199999999998</v>
      </c>
      <c r="F477" t="s">
        <v>41</v>
      </c>
      <c r="G477">
        <v>-380.39850000000001</v>
      </c>
      <c r="H477" s="1">
        <v>-4.4403310000000003E-6</v>
      </c>
      <c r="I477">
        <v>367.70510000000002</v>
      </c>
      <c r="J477">
        <v>-411.78550000000001</v>
      </c>
      <c r="K477">
        <v>1.059097</v>
      </c>
      <c r="L477">
        <v>368.14620000000002</v>
      </c>
      <c r="M477">
        <v>0.99997480000000005</v>
      </c>
      <c r="N477">
        <v>0</v>
      </c>
      <c r="O477">
        <v>-1.7518329999999999E-3</v>
      </c>
      <c r="P477">
        <v>0.99951959999999995</v>
      </c>
      <c r="Q477">
        <v>3.0999019999999999E-2</v>
      </c>
      <c r="R477" s="1">
        <v>3.199792E-6</v>
      </c>
      <c r="S477">
        <v>3.0045169999999999</v>
      </c>
      <c r="T477">
        <v>-0.10074470000000001</v>
      </c>
      <c r="U477">
        <v>-4.1992189999999999E-2</v>
      </c>
      <c r="V477">
        <v>-1.7528489999999999E-3</v>
      </c>
      <c r="W477">
        <v>3.7884059999999997E-2</v>
      </c>
      <c r="X477">
        <v>0.99928059999999996</v>
      </c>
      <c r="Y477">
        <v>1.221738E-2</v>
      </c>
      <c r="Z477">
        <v>-1.4604090000000001E-4</v>
      </c>
      <c r="AA477">
        <v>0.99992539999999996</v>
      </c>
      <c r="AB477">
        <v>38</v>
      </c>
      <c r="AC477">
        <v>31.386999999999901</v>
      </c>
      <c r="AD477">
        <v>-1.059101440331</v>
      </c>
      <c r="AE477">
        <v>-0.44110000000000499</v>
      </c>
      <c r="AF477">
        <v>0.38567419317863499</v>
      </c>
      <c r="AG477">
        <v>-1.059101440331</v>
      </c>
      <c r="AH477">
        <v>31.35203385538</v>
      </c>
      <c r="AI477">
        <v>91.934623782281307</v>
      </c>
      <c r="AJ477">
        <v>89.295216727982293</v>
      </c>
      <c r="AK477">
        <v>31.3722882065222</v>
      </c>
      <c r="AL477">
        <v>87.828883699431799</v>
      </c>
      <c r="AM477">
        <v>90.100503048711701</v>
      </c>
      <c r="AN477">
        <v>0.99999999600903</v>
      </c>
    </row>
    <row r="478" spans="1:40" x14ac:dyDescent="0.25">
      <c r="A478" t="str">
        <f>"20190312160311796"</f>
        <v>20190312160311796</v>
      </c>
      <c r="B478" t="str">
        <f>"1552377791785544"</f>
        <v>1552377791785544</v>
      </c>
      <c r="C478" t="s">
        <v>40</v>
      </c>
      <c r="D478">
        <v>4.9879629999999997</v>
      </c>
      <c r="E478">
        <v>0.50441659999999999</v>
      </c>
      <c r="F478" t="s">
        <v>41</v>
      </c>
      <c r="G478">
        <v>-379.38229999999999</v>
      </c>
      <c r="H478" s="1">
        <v>-7.0926100000000001E-7</v>
      </c>
      <c r="I478">
        <v>367.68830000000003</v>
      </c>
      <c r="J478">
        <v>-411.4271</v>
      </c>
      <c r="K478">
        <v>1.0590999999999999</v>
      </c>
      <c r="L478">
        <v>368.1456</v>
      </c>
      <c r="M478">
        <v>0.99997469999999999</v>
      </c>
      <c r="N478">
        <v>0</v>
      </c>
      <c r="O478">
        <v>-1.7510729999999999E-3</v>
      </c>
      <c r="P478">
        <v>0.99952030000000003</v>
      </c>
      <c r="Q478">
        <v>3.0973190000000001E-2</v>
      </c>
      <c r="R478">
        <v>-3.7449489999999999E-4</v>
      </c>
      <c r="S478">
        <v>3.0045169999999999</v>
      </c>
      <c r="T478">
        <v>-9.8202230000000001E-2</v>
      </c>
      <c r="U478">
        <v>-4.244995E-2</v>
      </c>
      <c r="V478">
        <v>-1.374513E-3</v>
      </c>
      <c r="W478">
        <v>3.787977E-2</v>
      </c>
      <c r="X478">
        <v>0.99928130000000004</v>
      </c>
      <c r="Y478">
        <v>1.237067E-2</v>
      </c>
      <c r="Z478">
        <v>-1.4488620000000001E-4</v>
      </c>
      <c r="AA478">
        <v>0.99992349999999997</v>
      </c>
      <c r="AB478">
        <v>38</v>
      </c>
      <c r="AC478">
        <v>32.044800000000002</v>
      </c>
      <c r="AD478">
        <v>-1.0591007092610001</v>
      </c>
      <c r="AE478">
        <v>-0.457299999999975</v>
      </c>
      <c r="AF478">
        <v>0.40074751616833398</v>
      </c>
      <c r="AG478">
        <v>-1.0591007092610001</v>
      </c>
      <c r="AH478">
        <v>32.010592198032398</v>
      </c>
      <c r="AI478">
        <v>91.894845394079198</v>
      </c>
      <c r="AJ478">
        <v>89.282739234403607</v>
      </c>
      <c r="AK478">
        <v>32.030615132288702</v>
      </c>
      <c r="AL478">
        <v>87.829129556266693</v>
      </c>
      <c r="AM478">
        <v>90.078810385142205</v>
      </c>
      <c r="AN478">
        <v>0.999999941395463</v>
      </c>
    </row>
    <row r="479" spans="1:40" x14ac:dyDescent="0.25">
      <c r="A479" t="str">
        <f>"20190312160311807"</f>
        <v>20190312160311807</v>
      </c>
      <c r="B479" t="str">
        <f>"1552377791795305"</f>
        <v>1552377791795305</v>
      </c>
      <c r="C479" t="s">
        <v>40</v>
      </c>
      <c r="D479">
        <v>4.970834</v>
      </c>
      <c r="E479">
        <v>0.50460830000000001</v>
      </c>
      <c r="F479" t="s">
        <v>41</v>
      </c>
      <c r="G479">
        <v>-376.6361</v>
      </c>
      <c r="H479" s="1">
        <v>-1.7818389999999901E-6</v>
      </c>
      <c r="I479">
        <v>367.6069</v>
      </c>
      <c r="J479">
        <v>-411.22820000000002</v>
      </c>
      <c r="K479">
        <v>1.05909599999999</v>
      </c>
      <c r="L479">
        <v>368.14519999999999</v>
      </c>
      <c r="M479">
        <v>0.99997449999999999</v>
      </c>
      <c r="N479">
        <v>0</v>
      </c>
      <c r="O479">
        <v>-1.750637E-3</v>
      </c>
      <c r="P479">
        <v>0.99952580000000002</v>
      </c>
      <c r="Q479">
        <v>3.0791510000000001E-2</v>
      </c>
      <c r="R479">
        <v>-3.095563E-4</v>
      </c>
      <c r="S479">
        <v>3.0042719999999998</v>
      </c>
      <c r="T479">
        <v>-9.1455579999999995E-2</v>
      </c>
      <c r="U479">
        <v>-4.6508790000000001E-2</v>
      </c>
      <c r="V479">
        <v>-1.4388490000000001E-3</v>
      </c>
      <c r="W479">
        <v>3.7710140000000003E-2</v>
      </c>
      <c r="X479">
        <v>0.9992877</v>
      </c>
      <c r="Y479">
        <v>1.3722989999999999E-2</v>
      </c>
      <c r="Z479">
        <v>-1.5553760000000001E-4</v>
      </c>
      <c r="AA479">
        <v>0.99990579999999996</v>
      </c>
      <c r="AB479">
        <v>38</v>
      </c>
      <c r="AC479">
        <v>34.592100000000002</v>
      </c>
      <c r="AD479">
        <v>-1.0590977818389899</v>
      </c>
      <c r="AE479">
        <v>-0.53829999999999201</v>
      </c>
      <c r="AF479">
        <v>0.47729221493388602</v>
      </c>
      <c r="AG479">
        <v>-1.0590977818389899</v>
      </c>
      <c r="AH479">
        <v>34.560600615175801</v>
      </c>
      <c r="AI479">
        <v>91.755092989554697</v>
      </c>
      <c r="AJ479">
        <v>89.208778474517004</v>
      </c>
      <c r="AK479">
        <v>34.580118722347102</v>
      </c>
      <c r="AL479">
        <v>87.838855750677794</v>
      </c>
      <c r="AM479">
        <v>90.082498681895203</v>
      </c>
      <c r="AN479">
        <v>1.0000000161582701</v>
      </c>
    </row>
    <row r="480" spans="1:40" x14ac:dyDescent="0.25">
      <c r="A480" t="str">
        <f>"20190312160311819"</f>
        <v>20190312160311819</v>
      </c>
      <c r="B480" t="str">
        <f>"1552377791814825"</f>
        <v>1552377791814825</v>
      </c>
      <c r="C480" t="s">
        <v>40</v>
      </c>
      <c r="D480">
        <v>4.9020320000000002</v>
      </c>
      <c r="E480">
        <v>0.5048916</v>
      </c>
      <c r="F480" t="s">
        <v>41</v>
      </c>
      <c r="G480">
        <v>-375.2629</v>
      </c>
      <c r="H480" s="1">
        <v>-2.3770190000000002E-6</v>
      </c>
      <c r="I480">
        <v>367.57260000000002</v>
      </c>
      <c r="J480">
        <v>-411.0206</v>
      </c>
      <c r="K480">
        <v>1.05909599999999</v>
      </c>
      <c r="L480">
        <v>368.14490000000001</v>
      </c>
      <c r="M480">
        <v>0.99997440000000004</v>
      </c>
      <c r="N480">
        <v>0</v>
      </c>
      <c r="O480">
        <v>-1.7502010000000001E-3</v>
      </c>
      <c r="P480">
        <v>0.99952790000000002</v>
      </c>
      <c r="Q480">
        <v>3.0716050000000002E-2</v>
      </c>
      <c r="R480">
        <v>-6.2634520000000001E-4</v>
      </c>
      <c r="S480">
        <v>3.0041199999999999</v>
      </c>
      <c r="T480">
        <v>-8.8464619999999994E-2</v>
      </c>
      <c r="U480">
        <v>-4.7821040000000002E-2</v>
      </c>
      <c r="V480">
        <v>-1.1215039999999999E-3</v>
      </c>
      <c r="W480">
        <v>3.7646279999999997E-2</v>
      </c>
      <c r="X480">
        <v>0.99929049999999997</v>
      </c>
      <c r="Y480">
        <v>1.416105E-2</v>
      </c>
      <c r="Z480">
        <v>-1.569211E-4</v>
      </c>
      <c r="AA480">
        <v>0.99989969999999995</v>
      </c>
      <c r="AB480">
        <v>38</v>
      </c>
      <c r="AC480">
        <v>35.7577</v>
      </c>
      <c r="AD480">
        <v>-1.0590983770189999</v>
      </c>
      <c r="AE480">
        <v>-0.57229999999998404</v>
      </c>
      <c r="AF480">
        <v>0.50926780368145097</v>
      </c>
      <c r="AG480">
        <v>-1.0590983770189999</v>
      </c>
      <c r="AH480">
        <v>35.727312409566103</v>
      </c>
      <c r="AI480">
        <v>91.697803134208499</v>
      </c>
      <c r="AJ480">
        <v>89.183344118896699</v>
      </c>
      <c r="AK480">
        <v>35.746634737815597</v>
      </c>
      <c r="AL480">
        <v>87.842517228011303</v>
      </c>
      <c r="AM480">
        <v>90.064303041936597</v>
      </c>
      <c r="AN480">
        <v>1.00000000177965</v>
      </c>
    </row>
    <row r="481" spans="1:40" x14ac:dyDescent="0.25">
      <c r="A481" t="str">
        <f>"20190312160311831"</f>
        <v>20190312160311831</v>
      </c>
      <c r="B481" t="str">
        <f>"1552377791825562"</f>
        <v>1552377791825562</v>
      </c>
      <c r="C481" t="s">
        <v>40</v>
      </c>
      <c r="D481">
        <v>5.0185839999999997</v>
      </c>
      <c r="E481">
        <v>0.5048916</v>
      </c>
      <c r="F481" t="s">
        <v>41</v>
      </c>
      <c r="G481">
        <v>-371.69619999999998</v>
      </c>
      <c r="H481" s="1">
        <v>-3.9226539999999997E-6</v>
      </c>
      <c r="I481">
        <v>367.48520000000002</v>
      </c>
      <c r="J481">
        <v>-410.83030000000002</v>
      </c>
      <c r="K481">
        <v>1.0590980000000001</v>
      </c>
      <c r="L481">
        <v>368.14449999999999</v>
      </c>
      <c r="M481">
        <v>0.99997440000000004</v>
      </c>
      <c r="N481">
        <v>0</v>
      </c>
      <c r="O481">
        <v>-1.749881E-3</v>
      </c>
      <c r="P481">
        <v>0.99952059999999998</v>
      </c>
      <c r="Q481">
        <v>3.095548E-2</v>
      </c>
      <c r="R481">
        <v>-7.0990179999999895E-4</v>
      </c>
      <c r="S481">
        <v>3.0039060000000002</v>
      </c>
      <c r="T481">
        <v>-8.0902219999999997E-2</v>
      </c>
      <c r="U481">
        <v>-5.0384520000000002E-2</v>
      </c>
      <c r="V481">
        <v>-1.0381069999999999E-3</v>
      </c>
      <c r="W481">
        <v>3.7896449999999998E-2</v>
      </c>
      <c r="X481">
        <v>0.99928110000000003</v>
      </c>
      <c r="Y481">
        <v>1.5016130000000001E-2</v>
      </c>
      <c r="Z481">
        <v>-1.550414E-4</v>
      </c>
      <c r="AA481">
        <v>0.99988719999999998</v>
      </c>
      <c r="AB481">
        <v>38</v>
      </c>
      <c r="AC481">
        <v>39.134099999999997</v>
      </c>
      <c r="AD481">
        <v>-1.0591019226539999</v>
      </c>
      <c r="AE481">
        <v>-0.65929999999997302</v>
      </c>
      <c r="AF481">
        <v>0.59038503250690999</v>
      </c>
      <c r="AG481">
        <v>-1.0591019226539999</v>
      </c>
      <c r="AH481">
        <v>39.106559202152098</v>
      </c>
      <c r="AI481">
        <v>91.551154925093797</v>
      </c>
      <c r="AJ481">
        <v>89.135081126046998</v>
      </c>
      <c r="AK481">
        <v>39.125352701293302</v>
      </c>
      <c r="AL481">
        <v>87.828173233078303</v>
      </c>
      <c r="AM481">
        <v>90.059521918693306</v>
      </c>
      <c r="AN481">
        <v>0.99999996770297706</v>
      </c>
    </row>
    <row r="482" spans="1:40" x14ac:dyDescent="0.25">
      <c r="A482" t="str">
        <f>"20190312160311842"</f>
        <v>20190312160311842</v>
      </c>
      <c r="B482" t="str">
        <f>"1552377791835321"</f>
        <v>1552377791835321</v>
      </c>
      <c r="C482" t="s">
        <v>40</v>
      </c>
      <c r="D482">
        <v>4.8469870000000004</v>
      </c>
      <c r="E482">
        <v>0.50251869999999998</v>
      </c>
      <c r="F482" t="s">
        <v>41</v>
      </c>
      <c r="G482">
        <v>-371.13600000000002</v>
      </c>
      <c r="H482" s="1">
        <v>-4.1656310000000002E-6</v>
      </c>
      <c r="I482">
        <v>367.47019999999998</v>
      </c>
      <c r="J482">
        <v>-410.6225</v>
      </c>
      <c r="K482">
        <v>1.059097</v>
      </c>
      <c r="L482">
        <v>368.14420000000001</v>
      </c>
      <c r="M482">
        <v>0.99997429999999998</v>
      </c>
      <c r="N482">
        <v>0</v>
      </c>
      <c r="O482">
        <v>-1.7493249999999999E-3</v>
      </c>
      <c r="P482">
        <v>0.99952220000000003</v>
      </c>
      <c r="Q482">
        <v>3.0905599999999998E-2</v>
      </c>
      <c r="R482">
        <v>-4.6727329999999998E-4</v>
      </c>
      <c r="S482">
        <v>3.0039370000000001</v>
      </c>
      <c r="T482">
        <v>-8.0149289999999998E-2</v>
      </c>
      <c r="U482">
        <v>-5.1025389999999997E-2</v>
      </c>
      <c r="V482">
        <v>-1.2801679999999999E-3</v>
      </c>
      <c r="W482">
        <v>3.7857849999999998E-2</v>
      </c>
      <c r="X482">
        <v>0.99928229999999996</v>
      </c>
      <c r="Y482">
        <v>1.522979E-2</v>
      </c>
      <c r="Z482">
        <v>-1.5646160000000001E-4</v>
      </c>
      <c r="AA482">
        <v>0.999884</v>
      </c>
      <c r="AB482">
        <v>38</v>
      </c>
      <c r="AC482">
        <v>39.486499999999999</v>
      </c>
      <c r="AD482">
        <v>-1.0591011656310001</v>
      </c>
      <c r="AE482">
        <v>-0.67400000000003502</v>
      </c>
      <c r="AF482">
        <v>0.60448782843687099</v>
      </c>
      <c r="AG482">
        <v>-1.0591011656310001</v>
      </c>
      <c r="AH482">
        <v>39.459239475895998</v>
      </c>
      <c r="AI482">
        <v>91.537291341323296</v>
      </c>
      <c r="AJ482">
        <v>89.122337561028502</v>
      </c>
      <c r="AK482">
        <v>39.478078484519401</v>
      </c>
      <c r="AL482">
        <v>87.830386476766193</v>
      </c>
      <c r="AM482">
        <v>90.073400863141202</v>
      </c>
      <c r="AN482">
        <v>0.99999998536501</v>
      </c>
    </row>
    <row r="483" spans="1:40" x14ac:dyDescent="0.25">
      <c r="A483" t="str">
        <f>"20190312160311855"</f>
        <v>20190312160311855</v>
      </c>
      <c r="B483" t="str">
        <f>"1552377791845081"</f>
        <v>1552377791845081</v>
      </c>
      <c r="C483" t="s">
        <v>40</v>
      </c>
      <c r="D483">
        <v>4.8484230000000004</v>
      </c>
      <c r="E483">
        <v>0.50321660000000001</v>
      </c>
      <c r="F483" t="s">
        <v>42</v>
      </c>
      <c r="G483">
        <v>-158.19499999999999</v>
      </c>
      <c r="H483">
        <v>5.769031</v>
      </c>
      <c r="I483">
        <v>366.15390000000002</v>
      </c>
      <c r="J483">
        <v>-410.40870000000001</v>
      </c>
      <c r="K483">
        <v>1.0590980000000001</v>
      </c>
      <c r="L483">
        <v>368.1438</v>
      </c>
      <c r="M483">
        <v>0.99997429999999998</v>
      </c>
      <c r="N483">
        <v>0</v>
      </c>
      <c r="O483">
        <v>-1.749128E-3</v>
      </c>
      <c r="P483">
        <v>0.99952019999999997</v>
      </c>
      <c r="Q483">
        <v>3.097811E-2</v>
      </c>
      <c r="R483">
        <v>-2.794311E-4</v>
      </c>
      <c r="S483">
        <v>2.9996640000000001</v>
      </c>
      <c r="T483">
        <v>5.5970430000000002E-2</v>
      </c>
      <c r="U483">
        <v>-2.3651120000000001E-2</v>
      </c>
      <c r="V483">
        <v>-1.467426E-3</v>
      </c>
      <c r="W483">
        <v>3.7942660000000003E-2</v>
      </c>
      <c r="X483">
        <v>0.99927880000000002</v>
      </c>
      <c r="Y483">
        <v>6.1344549999999996E-3</v>
      </c>
      <c r="Z483" s="1">
        <v>2.4591040000000002E-5</v>
      </c>
      <c r="AA483">
        <v>0.99998120000000001</v>
      </c>
      <c r="AB483">
        <v>38</v>
      </c>
      <c r="AC483">
        <v>252.21369999999999</v>
      </c>
      <c r="AD483">
        <v>4.7099330000000004</v>
      </c>
      <c r="AE483">
        <v>-1.98989999999997</v>
      </c>
      <c r="AF483">
        <v>1.54819237713742</v>
      </c>
      <c r="AG483">
        <v>4.7099330000000004</v>
      </c>
      <c r="AH483">
        <v>252.12887484058101</v>
      </c>
      <c r="AI483">
        <v>88.929821849623295</v>
      </c>
      <c r="AJ483">
        <v>89.648180819121606</v>
      </c>
      <c r="AK483">
        <v>252.17761577284901</v>
      </c>
      <c r="AL483">
        <v>87.825523671519605</v>
      </c>
      <c r="AM483">
        <v>90.0841379363914</v>
      </c>
      <c r="AN483">
        <v>0.99999995945818898</v>
      </c>
    </row>
    <row r="484" spans="1:40" x14ac:dyDescent="0.25">
      <c r="A484" t="str">
        <f>"20190312160311874"</f>
        <v>20190312160311874</v>
      </c>
      <c r="B484" t="str">
        <f>"1552377791865576"</f>
        <v>1552377791865576</v>
      </c>
      <c r="C484" t="s">
        <v>40</v>
      </c>
      <c r="D484">
        <v>4.7508470000000003</v>
      </c>
      <c r="E484">
        <v>0.50272669999999997</v>
      </c>
      <c r="F484" t="s">
        <v>42</v>
      </c>
      <c r="G484">
        <v>-158.19499999999999</v>
      </c>
      <c r="H484">
        <v>5.4441410000000001</v>
      </c>
      <c r="I484">
        <v>365.7217</v>
      </c>
      <c r="J484">
        <v>-410.08</v>
      </c>
      <c r="K484">
        <v>1.059104</v>
      </c>
      <c r="L484">
        <v>368.14319999999998</v>
      </c>
      <c r="M484">
        <v>0.99997409999999998</v>
      </c>
      <c r="N484">
        <v>0</v>
      </c>
      <c r="O484">
        <v>-1.748475E-3</v>
      </c>
      <c r="P484">
        <v>0.99951460000000003</v>
      </c>
      <c r="Q484">
        <v>3.1154660000000001E-2</v>
      </c>
      <c r="R484">
        <v>1.1083909999999999E-4</v>
      </c>
      <c r="S484">
        <v>2.9998469999999999</v>
      </c>
      <c r="T484">
        <v>5.2157040000000002E-2</v>
      </c>
      <c r="U484">
        <v>-2.8808589999999999E-2</v>
      </c>
      <c r="V484">
        <v>-1.8571830000000001E-3</v>
      </c>
      <c r="W484">
        <v>3.8137070000000002E-2</v>
      </c>
      <c r="X484">
        <v>0.99927080000000001</v>
      </c>
      <c r="Y484">
        <v>7.8535369999999903E-3</v>
      </c>
      <c r="Z484" s="1">
        <v>3.7868650000000002E-5</v>
      </c>
      <c r="AA484">
        <v>0.9999692</v>
      </c>
      <c r="AB484">
        <v>39</v>
      </c>
      <c r="AC484">
        <v>251.88499999999999</v>
      </c>
      <c r="AD484">
        <v>4.3850369999999996</v>
      </c>
      <c r="AE484">
        <v>-2.42149999999998</v>
      </c>
      <c r="AF484">
        <v>1.98047077482675</v>
      </c>
      <c r="AG484">
        <v>4.3850369999999996</v>
      </c>
      <c r="AH484">
        <v>251.81253939756201</v>
      </c>
      <c r="AI484">
        <v>89.002389021235103</v>
      </c>
      <c r="AJ484">
        <v>89.549385914025507</v>
      </c>
      <c r="AK484">
        <v>251.858503552749</v>
      </c>
      <c r="AL484">
        <v>87.814376837854198</v>
      </c>
      <c r="AM484">
        <v>90.106486274957604</v>
      </c>
      <c r="AN484">
        <v>1.00000000848476</v>
      </c>
    </row>
    <row r="485" spans="1:40" x14ac:dyDescent="0.25">
      <c r="A485" t="str">
        <f>"20190312160311886"</f>
        <v>20190312160311886</v>
      </c>
      <c r="B485" t="str">
        <f>"1552377791875337"</f>
        <v>1552377791875337</v>
      </c>
      <c r="C485" t="s">
        <v>40</v>
      </c>
      <c r="D485">
        <v>4.7820999999999998</v>
      </c>
      <c r="E485">
        <v>0.502494</v>
      </c>
      <c r="F485" t="s">
        <v>42</v>
      </c>
      <c r="G485">
        <v>-158.19499999999999</v>
      </c>
      <c r="H485">
        <v>5.725422</v>
      </c>
      <c r="I485">
        <v>366.15989999999999</v>
      </c>
      <c r="J485">
        <v>-409.87459999999999</v>
      </c>
      <c r="K485">
        <v>1.059104</v>
      </c>
      <c r="L485">
        <v>368.1429</v>
      </c>
      <c r="M485">
        <v>0.99997400000000003</v>
      </c>
      <c r="N485">
        <v>0</v>
      </c>
      <c r="O485">
        <v>-1.7480359999999999E-3</v>
      </c>
      <c r="P485">
        <v>0.99951599999999996</v>
      </c>
      <c r="Q485">
        <v>3.110798E-2</v>
      </c>
      <c r="R485">
        <v>3.23844E-4</v>
      </c>
      <c r="S485">
        <v>2.9997859999999998</v>
      </c>
      <c r="T485">
        <v>5.5573820000000003E-2</v>
      </c>
      <c r="U485">
        <v>-2.362061E-2</v>
      </c>
      <c r="V485">
        <v>-2.0692240000000001E-3</v>
      </c>
      <c r="W485">
        <v>3.810086E-2</v>
      </c>
      <c r="X485">
        <v>0.99927180000000004</v>
      </c>
      <c r="Y485">
        <v>6.1250640000000004E-3</v>
      </c>
      <c r="Z485" s="1">
        <v>2.4349060000000001E-5</v>
      </c>
      <c r="AA485">
        <v>0.99998120000000001</v>
      </c>
      <c r="AB485">
        <v>39</v>
      </c>
      <c r="AC485">
        <v>251.67959999999999</v>
      </c>
      <c r="AD485">
        <v>4.6663180000000004</v>
      </c>
      <c r="AE485">
        <v>-1.9830000000000001</v>
      </c>
      <c r="AF485">
        <v>1.54251098490978</v>
      </c>
      <c r="AG485">
        <v>4.6663180000000004</v>
      </c>
      <c r="AH485">
        <v>251.596199099822</v>
      </c>
      <c r="AI485">
        <v>88.937485321299306</v>
      </c>
      <c r="AJ485">
        <v>89.648729741162001</v>
      </c>
      <c r="AK485">
        <v>251.64419577111801</v>
      </c>
      <c r="AL485">
        <v>87.8164531040063</v>
      </c>
      <c r="AM485">
        <v>90.118644029193803</v>
      </c>
      <c r="AN485">
        <v>1.0000000437479699</v>
      </c>
    </row>
    <row r="486" spans="1:40" x14ac:dyDescent="0.25">
      <c r="A486" t="str">
        <f>"20190312160311898"</f>
        <v>20190312160311898</v>
      </c>
      <c r="B486" t="str">
        <f>"1552377791885097"</f>
        <v>1552377791885097</v>
      </c>
      <c r="C486" t="s">
        <v>40</v>
      </c>
      <c r="D486">
        <v>4.7493860000000003</v>
      </c>
      <c r="E486">
        <v>0.50242469999999995</v>
      </c>
      <c r="F486" t="s">
        <v>42</v>
      </c>
      <c r="G486">
        <v>-158.19499999999999</v>
      </c>
      <c r="H486">
        <v>5.797085</v>
      </c>
      <c r="I486">
        <v>366.37110000000001</v>
      </c>
      <c r="J486">
        <v>-409.6617</v>
      </c>
      <c r="K486">
        <v>1.0591060000000001</v>
      </c>
      <c r="L486">
        <v>368.14249999999998</v>
      </c>
      <c r="M486">
        <v>0.99997400000000003</v>
      </c>
      <c r="N486">
        <v>0</v>
      </c>
      <c r="O486">
        <v>-1.747717E-3</v>
      </c>
      <c r="P486">
        <v>0.99951860000000003</v>
      </c>
      <c r="Q486">
        <v>3.102268E-2</v>
      </c>
      <c r="R486">
        <v>4.6642930000000002E-4</v>
      </c>
      <c r="S486">
        <v>2.9997250000000002</v>
      </c>
      <c r="T486">
        <v>5.6472179999999997E-2</v>
      </c>
      <c r="U486">
        <v>-2.111816E-2</v>
      </c>
      <c r="V486">
        <v>-2.2121770000000001E-3</v>
      </c>
      <c r="W486">
        <v>3.8026530000000003E-2</v>
      </c>
      <c r="X486">
        <v>0.99927429999999995</v>
      </c>
      <c r="Y486">
        <v>5.2915030000000004E-3</v>
      </c>
      <c r="Z486" s="1">
        <v>1.6903749999999999E-5</v>
      </c>
      <c r="AA486">
        <v>0.99998600000000004</v>
      </c>
      <c r="AB486">
        <v>39</v>
      </c>
      <c r="AC486">
        <v>251.4667</v>
      </c>
      <c r="AD486">
        <v>4.7379790000000002</v>
      </c>
      <c r="AE486">
        <v>-1.7713999999999701</v>
      </c>
      <c r="AF486">
        <v>1.3314212843434601</v>
      </c>
      <c r="AG486">
        <v>4.7379790000000002</v>
      </c>
      <c r="AH486">
        <v>251.38017700115901</v>
      </c>
      <c r="AI486">
        <v>88.920240018044495</v>
      </c>
      <c r="AJ486">
        <v>89.696538892022005</v>
      </c>
      <c r="AK486">
        <v>251.428348673682</v>
      </c>
      <c r="AL486">
        <v>87.820714932969196</v>
      </c>
      <c r="AM486">
        <v>90.126840246545598</v>
      </c>
      <c r="AN486">
        <v>1.0000000186757001</v>
      </c>
    </row>
    <row r="487" spans="1:40" x14ac:dyDescent="0.25">
      <c r="A487" t="str">
        <f>"20190312160311913"</f>
        <v>20190312160311913</v>
      </c>
      <c r="B487" t="str">
        <f>"1552377791905593"</f>
        <v>1552377791905593</v>
      </c>
      <c r="C487" t="s">
        <v>40</v>
      </c>
      <c r="D487">
        <v>4.6734179999999999</v>
      </c>
      <c r="E487">
        <v>0.50223799999999996</v>
      </c>
      <c r="F487" t="s">
        <v>42</v>
      </c>
      <c r="G487">
        <v>-158.19499999999999</v>
      </c>
      <c r="H487">
        <v>5.9221009999999996</v>
      </c>
      <c r="I487">
        <v>366.45909999999998</v>
      </c>
      <c r="J487">
        <v>-409.41770000000002</v>
      </c>
      <c r="K487">
        <v>1.0591010000000001</v>
      </c>
      <c r="L487">
        <v>368.14210000000003</v>
      </c>
      <c r="M487">
        <v>0.99997400000000003</v>
      </c>
      <c r="N487">
        <v>0</v>
      </c>
      <c r="O487">
        <v>-1.7474039999999999E-3</v>
      </c>
      <c r="P487">
        <v>0.99951570000000001</v>
      </c>
      <c r="Q487">
        <v>3.1117200000000001E-2</v>
      </c>
      <c r="R487">
        <v>8.3191059999999895E-4</v>
      </c>
      <c r="S487">
        <v>2.9996640000000001</v>
      </c>
      <c r="T487">
        <v>5.8010100000000002E-2</v>
      </c>
      <c r="U487">
        <v>-2.0080569999999999E-2</v>
      </c>
      <c r="V487">
        <v>-2.5771589999999999E-3</v>
      </c>
      <c r="W487">
        <v>3.8133729999999998E-2</v>
      </c>
      <c r="X487">
        <v>0.99926930000000003</v>
      </c>
      <c r="Y487">
        <v>4.9461059999999996E-3</v>
      </c>
      <c r="Z487" s="1">
        <v>1.40309999999999E-5</v>
      </c>
      <c r="AA487">
        <v>0.99998779999999998</v>
      </c>
      <c r="AB487">
        <v>39</v>
      </c>
      <c r="AC487">
        <v>251.2227</v>
      </c>
      <c r="AD487">
        <v>4.8630000000000004</v>
      </c>
      <c r="AE487">
        <v>-1.68300000000004</v>
      </c>
      <c r="AF487">
        <v>1.24353319724957</v>
      </c>
      <c r="AG487">
        <v>4.8630000000000004</v>
      </c>
      <c r="AH487">
        <v>251.131161230591</v>
      </c>
      <c r="AI487">
        <v>88.890654823998801</v>
      </c>
      <c r="AJ487">
        <v>89.716289204366305</v>
      </c>
      <c r="AK487">
        <v>251.18131953797399</v>
      </c>
      <c r="AL487">
        <v>87.814568279538605</v>
      </c>
      <c r="AM487">
        <v>90.147767980512896</v>
      </c>
      <c r="AN487">
        <v>0.999999978517356</v>
      </c>
    </row>
    <row r="488" spans="1:40" x14ac:dyDescent="0.25">
      <c r="A488" t="str">
        <f>"20190312160311931"</f>
        <v>20190312160311931</v>
      </c>
      <c r="B488" t="str">
        <f>"1552377791925112"</f>
        <v>1552377791925112</v>
      </c>
      <c r="C488" t="s">
        <v>40</v>
      </c>
      <c r="D488">
        <v>4.7800120000000001</v>
      </c>
      <c r="E488">
        <v>0.50257680000000005</v>
      </c>
      <c r="F488" t="s">
        <v>42</v>
      </c>
      <c r="G488">
        <v>-158.19499999999999</v>
      </c>
      <c r="H488">
        <v>6.1860160000000004</v>
      </c>
      <c r="I488">
        <v>366.71080000000001</v>
      </c>
      <c r="J488">
        <v>-409.0908</v>
      </c>
      <c r="K488">
        <v>1.0591010000000001</v>
      </c>
      <c r="L488">
        <v>368.14150000000001</v>
      </c>
      <c r="M488">
        <v>0.99997380000000002</v>
      </c>
      <c r="N488">
        <v>0</v>
      </c>
      <c r="O488">
        <v>-1.746984E-3</v>
      </c>
      <c r="P488">
        <v>0.99950519999999998</v>
      </c>
      <c r="Q488">
        <v>3.1440349999999999E-2</v>
      </c>
      <c r="R488">
        <v>1.0395700000000001E-3</v>
      </c>
      <c r="S488">
        <v>2.999603</v>
      </c>
      <c r="T488">
        <v>6.1216470000000002E-2</v>
      </c>
      <c r="U488">
        <v>-1.7089839999999999E-2</v>
      </c>
      <c r="V488">
        <v>-2.7843949999999998E-3</v>
      </c>
      <c r="W488">
        <v>3.847395E-2</v>
      </c>
      <c r="X488">
        <v>0.99925569999999997</v>
      </c>
      <c r="Y488">
        <v>3.9498099999999998E-3</v>
      </c>
      <c r="Z488" s="1">
        <v>4.650126E-6</v>
      </c>
      <c r="AA488">
        <v>0.9999922</v>
      </c>
      <c r="AB488">
        <v>39</v>
      </c>
      <c r="AC488">
        <v>250.89580000000001</v>
      </c>
      <c r="AD488">
        <v>5.1269150000000003</v>
      </c>
      <c r="AE488">
        <v>-1.4307000000000001</v>
      </c>
      <c r="AF488">
        <v>0.99196185688027305</v>
      </c>
      <c r="AG488">
        <v>5.1269150000000003</v>
      </c>
      <c r="AH488">
        <v>250.793197206565</v>
      </c>
      <c r="AI488">
        <v>88.828886158318397</v>
      </c>
      <c r="AJ488">
        <v>89.773379293820497</v>
      </c>
      <c r="AK488">
        <v>250.84755731486399</v>
      </c>
      <c r="AL488">
        <v>87.795060787207206</v>
      </c>
      <c r="AM488">
        <v>90.159652498457802</v>
      </c>
      <c r="AN488">
        <v>0.99999997583330302</v>
      </c>
    </row>
    <row r="489" spans="1:40" x14ac:dyDescent="0.25">
      <c r="A489" t="str">
        <f>"20190312160311943"</f>
        <v>20190312160311943</v>
      </c>
      <c r="B489" t="str">
        <f>"1552377791934872"</f>
        <v>1552377791934872</v>
      </c>
      <c r="C489" t="s">
        <v>40</v>
      </c>
      <c r="D489">
        <v>4.6632930000000004</v>
      </c>
      <c r="E489">
        <v>0.50264600000000004</v>
      </c>
      <c r="F489" t="s">
        <v>42</v>
      </c>
      <c r="G489">
        <v>-158.19499999999999</v>
      </c>
      <c r="H489">
        <v>6.3012360000000003</v>
      </c>
      <c r="I489">
        <v>366.54360000000003</v>
      </c>
      <c r="J489">
        <v>-408.86509999999998</v>
      </c>
      <c r="K489">
        <v>1.059105</v>
      </c>
      <c r="L489">
        <v>368.14109999999999</v>
      </c>
      <c r="M489">
        <v>0.99997380000000002</v>
      </c>
      <c r="N489">
        <v>0</v>
      </c>
      <c r="O489">
        <v>-1.746666E-3</v>
      </c>
      <c r="P489">
        <v>0.99949840000000001</v>
      </c>
      <c r="Q489">
        <v>3.165084E-2</v>
      </c>
      <c r="R489">
        <v>1.2352750000000001E-3</v>
      </c>
      <c r="S489">
        <v>2.9995419999999999</v>
      </c>
      <c r="T489">
        <v>6.2672500000000006E-2</v>
      </c>
      <c r="U489">
        <v>-1.9103999999999999E-2</v>
      </c>
      <c r="V489">
        <v>-2.979251E-3</v>
      </c>
      <c r="W489">
        <v>3.8695510000000002E-2</v>
      </c>
      <c r="X489">
        <v>0.99924659999999998</v>
      </c>
      <c r="Y489">
        <v>4.6215329999999997E-3</v>
      </c>
      <c r="Z489" s="1">
        <v>1.1784090000000001E-5</v>
      </c>
      <c r="AA489">
        <v>0.99998929999999997</v>
      </c>
      <c r="AB489">
        <v>39</v>
      </c>
      <c r="AC489">
        <v>250.67009999999999</v>
      </c>
      <c r="AD489">
        <v>5.2421309999999997</v>
      </c>
      <c r="AE489">
        <v>-1.59749999999996</v>
      </c>
      <c r="AF489">
        <v>1.15914290942347</v>
      </c>
      <c r="AG489">
        <v>5.2421309999999997</v>
      </c>
      <c r="AH489">
        <v>250.562933380375</v>
      </c>
      <c r="AI489">
        <v>88.8014789139404</v>
      </c>
      <c r="AJ489">
        <v>89.7349427471556</v>
      </c>
      <c r="AK489">
        <v>250.620444365347</v>
      </c>
      <c r="AL489">
        <v>87.782356911903094</v>
      </c>
      <c r="AM489">
        <v>90.170826703452903</v>
      </c>
      <c r="AN489">
        <v>0.99999999302111997</v>
      </c>
    </row>
    <row r="490" spans="1:40" x14ac:dyDescent="0.25">
      <c r="A490" t="str">
        <f>"20190312160311958"</f>
        <v>20190312160311958</v>
      </c>
      <c r="B490" t="str">
        <f>"1552377791945609"</f>
        <v>1552377791945609</v>
      </c>
      <c r="C490" t="s">
        <v>40</v>
      </c>
      <c r="D490">
        <v>4.653505</v>
      </c>
      <c r="E490">
        <v>0.50264600000000004</v>
      </c>
      <c r="F490" t="s">
        <v>42</v>
      </c>
      <c r="G490">
        <v>-158.19499999999999</v>
      </c>
      <c r="H490">
        <v>6.3968540000000003</v>
      </c>
      <c r="I490">
        <v>366.5369</v>
      </c>
      <c r="J490">
        <v>-408.63659999999999</v>
      </c>
      <c r="K490">
        <v>1.0591060000000001</v>
      </c>
      <c r="L490">
        <v>368.14069999999998</v>
      </c>
      <c r="M490">
        <v>0.99997360000000002</v>
      </c>
      <c r="N490">
        <v>0</v>
      </c>
      <c r="O490">
        <v>-1.7459909999999999E-3</v>
      </c>
      <c r="P490">
        <v>0.99949379999999999</v>
      </c>
      <c r="Q490">
        <v>3.1787429999999998E-2</v>
      </c>
      <c r="R490">
        <v>1.355169E-3</v>
      </c>
      <c r="S490">
        <v>2.9995419999999999</v>
      </c>
      <c r="T490">
        <v>6.3873050000000001E-2</v>
      </c>
      <c r="U490">
        <v>-1.919556E-2</v>
      </c>
      <c r="V490">
        <v>-3.099306E-3</v>
      </c>
      <c r="W490">
        <v>3.8843229999999999E-2</v>
      </c>
      <c r="X490">
        <v>0.99924049999999998</v>
      </c>
      <c r="Y490">
        <v>4.6526969999999999E-3</v>
      </c>
      <c r="Z490" s="1">
        <v>1.23559E-5</v>
      </c>
      <c r="AA490">
        <v>0.99998920000000002</v>
      </c>
      <c r="AB490">
        <v>39</v>
      </c>
      <c r="AC490">
        <v>250.44159999999999</v>
      </c>
      <c r="AD490">
        <v>5.3377480000000004</v>
      </c>
      <c r="AE490">
        <v>-1.6037999999999699</v>
      </c>
      <c r="AF490">
        <v>1.1659882595080999</v>
      </c>
      <c r="AG490">
        <v>5.3377480000000004</v>
      </c>
      <c r="AH490">
        <v>250.330308495525</v>
      </c>
      <c r="AI490">
        <v>88.778490782262296</v>
      </c>
      <c r="AJ490">
        <v>89.733129705639101</v>
      </c>
      <c r="AK490">
        <v>250.389924784919</v>
      </c>
      <c r="AL490">
        <v>87.773886803559506</v>
      </c>
      <c r="AM490">
        <v>90.177711555700597</v>
      </c>
      <c r="AN490">
        <v>0.999999989527382</v>
      </c>
    </row>
    <row r="491" spans="1:40" x14ac:dyDescent="0.25">
      <c r="A491" t="str">
        <f>"20190312160311974"</f>
        <v>20190312160311974</v>
      </c>
      <c r="B491" t="str">
        <f>"1552377791965132"</f>
        <v>1552377791965132</v>
      </c>
      <c r="C491" t="s">
        <v>40</v>
      </c>
      <c r="D491">
        <v>4.6028739999999999</v>
      </c>
      <c r="E491">
        <v>0.50458959999999997</v>
      </c>
      <c r="F491" t="s">
        <v>42</v>
      </c>
      <c r="G491">
        <v>-158.19499999999999</v>
      </c>
      <c r="H491">
        <v>6.4259110000000002</v>
      </c>
      <c r="I491">
        <v>366.57619999999997</v>
      </c>
      <c r="J491">
        <v>-408.33550000000002</v>
      </c>
      <c r="K491">
        <v>1.0591079999999999</v>
      </c>
      <c r="L491">
        <v>368.14019999999999</v>
      </c>
      <c r="M491">
        <v>0.99997349999999996</v>
      </c>
      <c r="N491">
        <v>0</v>
      </c>
      <c r="O491">
        <v>-1.7454479999999999E-3</v>
      </c>
      <c r="P491">
        <v>0.99948599999999999</v>
      </c>
      <c r="Q491">
        <v>3.2026310000000002E-2</v>
      </c>
      <c r="R491">
        <v>1.425817E-3</v>
      </c>
      <c r="S491">
        <v>2.9995419999999999</v>
      </c>
      <c r="T491">
        <v>6.4279320000000001E-2</v>
      </c>
      <c r="U491">
        <v>-1.8737790000000001E-2</v>
      </c>
      <c r="V491">
        <v>-3.1688390000000001E-3</v>
      </c>
      <c r="W491">
        <v>3.9097180000000002E-2</v>
      </c>
      <c r="X491">
        <v>0.99923039999999996</v>
      </c>
      <c r="Y491">
        <v>4.5006619999999999E-3</v>
      </c>
      <c r="Z491" s="1">
        <v>1.0817279999999999E-5</v>
      </c>
      <c r="AA491">
        <v>0.99998989999999999</v>
      </c>
      <c r="AB491">
        <v>39</v>
      </c>
      <c r="AC491">
        <v>250.1405</v>
      </c>
      <c r="AD491">
        <v>5.366803</v>
      </c>
      <c r="AE491">
        <v>-1.56400000000002</v>
      </c>
      <c r="AF491">
        <v>1.1268607763585301</v>
      </c>
      <c r="AG491">
        <v>5.366803</v>
      </c>
      <c r="AH491">
        <v>250.02775970224801</v>
      </c>
      <c r="AI491">
        <v>88.770357226383595</v>
      </c>
      <c r="AJ491">
        <v>89.741772955486397</v>
      </c>
      <c r="AK491">
        <v>250.08789057324401</v>
      </c>
      <c r="AL491">
        <v>87.759325528590196</v>
      </c>
      <c r="AM491">
        <v>90.181700328578799</v>
      </c>
      <c r="AN491">
        <v>1.0000000116543599</v>
      </c>
    </row>
    <row r="492" spans="1:40" x14ac:dyDescent="0.25">
      <c r="A492" t="str">
        <f>"20190312160311988"</f>
        <v>20190312160311988</v>
      </c>
      <c r="B492" t="str">
        <f>"1552377791974890"</f>
        <v>1552377791974890</v>
      </c>
      <c r="C492" t="s">
        <v>40</v>
      </c>
      <c r="D492">
        <v>4.6302329999999996</v>
      </c>
      <c r="E492">
        <v>0.50502970000000003</v>
      </c>
      <c r="F492" t="s">
        <v>43</v>
      </c>
      <c r="G492">
        <v>-304.18810000000002</v>
      </c>
      <c r="H492">
        <v>-0.05</v>
      </c>
      <c r="I492">
        <v>366.7704</v>
      </c>
      <c r="J492">
        <v>-408.10140000000001</v>
      </c>
      <c r="K492">
        <v>1.0591079999999999</v>
      </c>
      <c r="L492">
        <v>368.13979999999998</v>
      </c>
      <c r="M492">
        <v>0.99997340000000001</v>
      </c>
      <c r="N492">
        <v>0</v>
      </c>
      <c r="O492">
        <v>-1.7451319999999999E-3</v>
      </c>
      <c r="P492">
        <v>0.99948110000000001</v>
      </c>
      <c r="Q492">
        <v>3.2181340000000003E-2</v>
      </c>
      <c r="R492">
        <v>1.45393E-3</v>
      </c>
      <c r="S492">
        <v>3.0025940000000002</v>
      </c>
      <c r="T492">
        <v>-3.1975870000000003E-2</v>
      </c>
      <c r="U492">
        <v>-3.9489749999999997E-2</v>
      </c>
      <c r="V492">
        <v>-3.1969300000000002E-3</v>
      </c>
      <c r="W492">
        <v>3.9263470000000002E-2</v>
      </c>
      <c r="X492">
        <v>0.9992238</v>
      </c>
      <c r="Y492">
        <v>1.1405149999999999E-2</v>
      </c>
      <c r="Z492" s="1">
        <v>-4.2141039999999998E-5</v>
      </c>
      <c r="AA492">
        <v>0.99993500000000002</v>
      </c>
      <c r="AB492">
        <v>39</v>
      </c>
      <c r="AC492">
        <v>103.91330000000001</v>
      </c>
      <c r="AD492">
        <v>-1.109108</v>
      </c>
      <c r="AE492">
        <v>-1.36939999999998</v>
      </c>
      <c r="AF492">
        <v>1.1879156363749099</v>
      </c>
      <c r="AG492">
        <v>-1.109108</v>
      </c>
      <c r="AH492">
        <v>103.90369680070999</v>
      </c>
      <c r="AI492">
        <v>90.611533985016095</v>
      </c>
      <c r="AJ492">
        <v>89.344974344301306</v>
      </c>
      <c r="AK492">
        <v>103.916406178085</v>
      </c>
      <c r="AL492">
        <v>87.749790514178201</v>
      </c>
      <c r="AM492">
        <v>90.183312258384404</v>
      </c>
      <c r="AN492">
        <v>1.0000000214621501</v>
      </c>
    </row>
    <row r="493" spans="1:40" x14ac:dyDescent="0.25">
      <c r="A493" t="str">
        <f>"20190312160312008"</f>
        <v>20190312160312008</v>
      </c>
      <c r="B493" t="str">
        <f>"1552377791995384"</f>
        <v>1552377791995384</v>
      </c>
      <c r="C493" t="s">
        <v>40</v>
      </c>
      <c r="D493">
        <v>4.6332509999999996</v>
      </c>
      <c r="E493">
        <v>0.5054805</v>
      </c>
      <c r="F493" t="s">
        <v>50</v>
      </c>
      <c r="G493">
        <v>-202.4949</v>
      </c>
      <c r="H493" s="1">
        <v>-2.632777E-6</v>
      </c>
      <c r="I493">
        <v>365.25130000000001</v>
      </c>
      <c r="J493">
        <v>-407.74970000000002</v>
      </c>
      <c r="K493">
        <v>1.0591120000000001</v>
      </c>
      <c r="L493">
        <v>368.13909999999998</v>
      </c>
      <c r="M493">
        <v>0.99997320000000001</v>
      </c>
      <c r="N493">
        <v>0</v>
      </c>
      <c r="O493">
        <v>-1.744359E-3</v>
      </c>
      <c r="P493">
        <v>0.99947739999999996</v>
      </c>
      <c r="Q493">
        <v>3.2293009999999997E-2</v>
      </c>
      <c r="R493">
        <v>1.5078960000000001E-3</v>
      </c>
      <c r="S493">
        <v>3.0021059999999999</v>
      </c>
      <c r="T493">
        <v>-1.546431E-2</v>
      </c>
      <c r="U493">
        <v>-4.2175289999999997E-2</v>
      </c>
      <c r="V493">
        <v>-3.2498010000000001E-3</v>
      </c>
      <c r="W493">
        <v>3.9392589999999998E-2</v>
      </c>
      <c r="X493">
        <v>0.99921850000000001</v>
      </c>
      <c r="Y493">
        <v>1.2302789999999999E-2</v>
      </c>
      <c r="Z493" s="1">
        <v>-2.269986E-5</v>
      </c>
      <c r="AA493">
        <v>0.99992429999999999</v>
      </c>
      <c r="AB493">
        <v>39</v>
      </c>
      <c r="AC493">
        <v>205.25479999999999</v>
      </c>
      <c r="AD493">
        <v>-1.059114632777</v>
      </c>
      <c r="AE493">
        <v>-2.8877999999999702</v>
      </c>
      <c r="AF493">
        <v>2.52968115677018</v>
      </c>
      <c r="AG493">
        <v>-1.059114632777</v>
      </c>
      <c r="AH493">
        <v>205.25406126820701</v>
      </c>
      <c r="AI493">
        <v>90.295622173948303</v>
      </c>
      <c r="AJ493">
        <v>89.293886245484401</v>
      </c>
      <c r="AK493">
        <v>205.272381672872</v>
      </c>
      <c r="AL493">
        <v>87.742386648292594</v>
      </c>
      <c r="AM493">
        <v>90.186344853540405</v>
      </c>
      <c r="AN493">
        <v>0.99999997404784802</v>
      </c>
    </row>
    <row r="494" spans="1:40" x14ac:dyDescent="0.25">
      <c r="A494" t="str">
        <f>"20190312160312030"</f>
        <v>20190312160312030</v>
      </c>
      <c r="B494" t="str">
        <f>"1552377792025658"</f>
        <v>1552377792025658</v>
      </c>
      <c r="C494" t="s">
        <v>40</v>
      </c>
      <c r="D494">
        <v>4.5376629999999896</v>
      </c>
      <c r="E494">
        <v>0.50540260000000004</v>
      </c>
      <c r="F494" t="s">
        <v>42</v>
      </c>
      <c r="G494">
        <v>-158.19499999999999</v>
      </c>
      <c r="H494">
        <v>1.9217120000000001</v>
      </c>
      <c r="I494">
        <v>364.46480000000003</v>
      </c>
      <c r="J494">
        <v>-407.3526</v>
      </c>
      <c r="K494">
        <v>1.0591120000000001</v>
      </c>
      <c r="L494">
        <v>368.13850000000002</v>
      </c>
      <c r="M494">
        <v>0.99997320000000001</v>
      </c>
      <c r="N494">
        <v>0</v>
      </c>
      <c r="O494">
        <v>-1.743355E-3</v>
      </c>
      <c r="P494">
        <v>0.99946250000000003</v>
      </c>
      <c r="Q494">
        <v>3.2764439999999999E-2</v>
      </c>
      <c r="R494">
        <v>1.1820470000000001E-3</v>
      </c>
      <c r="S494">
        <v>3.001312</v>
      </c>
      <c r="T494">
        <v>1.0375260000000001E-2</v>
      </c>
      <c r="U494">
        <v>-4.4189449999999998E-2</v>
      </c>
      <c r="V494">
        <v>-2.92289E-3</v>
      </c>
      <c r="W494">
        <v>3.9882870000000001E-2</v>
      </c>
      <c r="X494">
        <v>0.99920010000000004</v>
      </c>
      <c r="Y494">
        <v>1.2978480000000001E-2</v>
      </c>
      <c r="Z494" s="1">
        <v>1.6405020000000001E-5</v>
      </c>
      <c r="AA494">
        <v>0.99991580000000002</v>
      </c>
      <c r="AB494">
        <v>39</v>
      </c>
      <c r="AC494">
        <v>249.1576</v>
      </c>
      <c r="AD494">
        <v>0.86259999999999903</v>
      </c>
      <c r="AE494">
        <v>-3.67369999999999</v>
      </c>
      <c r="AF494">
        <v>3.2392744707798702</v>
      </c>
      <c r="AG494">
        <v>0.86259999999999903</v>
      </c>
      <c r="AH494">
        <v>249.16064030978501</v>
      </c>
      <c r="AI494">
        <v>89.801658216486501</v>
      </c>
      <c r="AJ494">
        <v>89.255154023508496</v>
      </c>
      <c r="AK494">
        <v>249.183188954309</v>
      </c>
      <c r="AL494">
        <v>87.714273668489199</v>
      </c>
      <c r="AM494">
        <v>90.167602848825695</v>
      </c>
      <c r="AN494">
        <v>1.0000000132226901</v>
      </c>
    </row>
    <row r="495" spans="1:40" x14ac:dyDescent="0.25">
      <c r="A495" t="str">
        <f>"20190312160312042"</f>
        <v>20190312160312042</v>
      </c>
      <c r="B495" t="str">
        <f>"1552377792035418"</f>
        <v>1552377792035418</v>
      </c>
      <c r="C495" t="s">
        <v>40</v>
      </c>
      <c r="D495">
        <v>4.5187780000000002</v>
      </c>
      <c r="E495">
        <v>0.50537069999999995</v>
      </c>
      <c r="F495" t="s">
        <v>42</v>
      </c>
      <c r="G495">
        <v>-158.19499999999999</v>
      </c>
      <c r="H495">
        <v>3.7892809999999999</v>
      </c>
      <c r="I495">
        <v>364.54770000000002</v>
      </c>
      <c r="J495">
        <v>-407.15159999999997</v>
      </c>
      <c r="K495">
        <v>1.0591090000000001</v>
      </c>
      <c r="L495">
        <v>368.13810000000001</v>
      </c>
      <c r="M495">
        <v>0.99997309999999995</v>
      </c>
      <c r="N495">
        <v>0</v>
      </c>
      <c r="O495">
        <v>-1.7429120000000001E-3</v>
      </c>
      <c r="P495">
        <v>0.99946029999999997</v>
      </c>
      <c r="Q495">
        <v>3.2835650000000001E-2</v>
      </c>
      <c r="R495">
        <v>1.0965829999999999E-3</v>
      </c>
      <c r="S495">
        <v>3.0005799999999998</v>
      </c>
      <c r="T495">
        <v>3.2880189999999997E-2</v>
      </c>
      <c r="U495">
        <v>-4.3243410000000003E-2</v>
      </c>
      <c r="V495">
        <v>-2.8371189999999999E-3</v>
      </c>
      <c r="W495">
        <v>3.9963400000000003E-2</v>
      </c>
      <c r="X495">
        <v>0.99919709999999995</v>
      </c>
      <c r="Y495">
        <v>1.2666739999999999E-2</v>
      </c>
      <c r="Z495" s="1">
        <v>5.0297429999999898E-5</v>
      </c>
      <c r="AA495">
        <v>0.99991980000000003</v>
      </c>
      <c r="AB495">
        <v>39</v>
      </c>
      <c r="AC495">
        <v>248.95660000000001</v>
      </c>
      <c r="AD495">
        <v>2.730172</v>
      </c>
      <c r="AE495">
        <v>-3.5903999999999798</v>
      </c>
      <c r="AF495">
        <v>3.1560946042862099</v>
      </c>
      <c r="AG495">
        <v>2.730172</v>
      </c>
      <c r="AH495">
        <v>248.93254855993999</v>
      </c>
      <c r="AI495">
        <v>89.371683241629896</v>
      </c>
      <c r="AJ495">
        <v>89.273613622054398</v>
      </c>
      <c r="AK495">
        <v>248.96752500044599</v>
      </c>
      <c r="AL495">
        <v>87.709655890127493</v>
      </c>
      <c r="AM495">
        <v>90.162685127718106</v>
      </c>
      <c r="AN495">
        <v>0.99999998361609399</v>
      </c>
    </row>
    <row r="496" spans="1:40" x14ac:dyDescent="0.25">
      <c r="A496" t="str">
        <f>"20190312160312053"</f>
        <v>20190312160312053</v>
      </c>
      <c r="B496" t="str">
        <f>"1552377792045178"</f>
        <v>1552377792045178</v>
      </c>
      <c r="C496" t="s">
        <v>40</v>
      </c>
      <c r="D496">
        <v>4.5701470000000004</v>
      </c>
      <c r="E496">
        <v>0.50539730000000005</v>
      </c>
      <c r="F496" t="s">
        <v>42</v>
      </c>
      <c r="G496">
        <v>-158.19499999999999</v>
      </c>
      <c r="H496">
        <v>4.2722540000000002</v>
      </c>
      <c r="I496">
        <v>364.55759999999998</v>
      </c>
      <c r="J496">
        <v>-406.9425</v>
      </c>
      <c r="K496">
        <v>1.0591090000000001</v>
      </c>
      <c r="L496">
        <v>368.1377</v>
      </c>
      <c r="M496">
        <v>0.99997309999999995</v>
      </c>
      <c r="N496">
        <v>0</v>
      </c>
      <c r="O496">
        <v>-1.742471E-3</v>
      </c>
      <c r="P496">
        <v>0.99945039999999996</v>
      </c>
      <c r="Q496">
        <v>3.3135150000000002E-2</v>
      </c>
      <c r="R496">
        <v>1.0375009999999999E-3</v>
      </c>
      <c r="S496">
        <v>3.000397</v>
      </c>
      <c r="T496">
        <v>3.8725500000000003E-2</v>
      </c>
      <c r="U496">
        <v>-4.315186E-2</v>
      </c>
      <c r="V496">
        <v>-2.7775270000000001E-3</v>
      </c>
      <c r="W496">
        <v>4.0273089999999998E-2</v>
      </c>
      <c r="X496">
        <v>0.99918479999999998</v>
      </c>
      <c r="Y496">
        <v>1.2637300000000001E-2</v>
      </c>
      <c r="Z496" s="1">
        <v>5.9057769999999899E-5</v>
      </c>
      <c r="AA496">
        <v>0.99992009999999998</v>
      </c>
      <c r="AB496">
        <v>39</v>
      </c>
      <c r="AC496">
        <v>248.7475</v>
      </c>
      <c r="AD496">
        <v>3.2131449999999999</v>
      </c>
      <c r="AE496">
        <v>-3.5801000000000101</v>
      </c>
      <c r="AF496">
        <v>3.1461234155075601</v>
      </c>
      <c r="AG496">
        <v>3.2131449999999999</v>
      </c>
      <c r="AH496">
        <v>248.71187013076701</v>
      </c>
      <c r="AI496">
        <v>89.259887833272501</v>
      </c>
      <c r="AJ496">
        <v>89.275265874255297</v>
      </c>
      <c r="AK496">
        <v>248.752521067185</v>
      </c>
      <c r="AL496">
        <v>87.691897586860804</v>
      </c>
      <c r="AM496">
        <v>90.159270001584503</v>
      </c>
      <c r="AN496">
        <v>0.99999995049270995</v>
      </c>
    </row>
    <row r="497" spans="1:40" x14ac:dyDescent="0.25">
      <c r="A497" t="str">
        <f>"20190312160312066"</f>
        <v>20190312160312066</v>
      </c>
      <c r="B497" t="str">
        <f>"1552377792054938"</f>
        <v>1552377792054938</v>
      </c>
      <c r="C497" t="s">
        <v>40</v>
      </c>
      <c r="D497">
        <v>4.5774650000000001</v>
      </c>
      <c r="E497">
        <v>0.50541550000000002</v>
      </c>
      <c r="F497" t="s">
        <v>42</v>
      </c>
      <c r="G497">
        <v>-158.19499999999999</v>
      </c>
      <c r="H497">
        <v>4.6897979999999997</v>
      </c>
      <c r="I497">
        <v>364.5677</v>
      </c>
      <c r="J497">
        <v>-406.71530000000001</v>
      </c>
      <c r="K497">
        <v>1.0591090000000001</v>
      </c>
      <c r="L497">
        <v>368.13729999999998</v>
      </c>
      <c r="M497">
        <v>0.99997290000000005</v>
      </c>
      <c r="N497">
        <v>0</v>
      </c>
      <c r="O497">
        <v>-1.741914E-3</v>
      </c>
      <c r="P497">
        <v>0.99944129999999998</v>
      </c>
      <c r="Q497">
        <v>3.3413360000000003E-2</v>
      </c>
      <c r="R497">
        <v>8.4957079999999996E-4</v>
      </c>
      <c r="S497">
        <v>3.0002439999999999</v>
      </c>
      <c r="T497">
        <v>4.3792249999999998E-2</v>
      </c>
      <c r="U497">
        <v>-4.3060300000000003E-2</v>
      </c>
      <c r="V497">
        <v>-2.5893000000000001E-3</v>
      </c>
      <c r="W497">
        <v>4.0561819999999998E-2</v>
      </c>
      <c r="X497">
        <v>0.99917370000000005</v>
      </c>
      <c r="Y497">
        <v>1.260783E-2</v>
      </c>
      <c r="Z497" s="1">
        <v>6.6580479999999996E-5</v>
      </c>
      <c r="AA497">
        <v>0.99992049999999999</v>
      </c>
      <c r="AB497">
        <v>39</v>
      </c>
      <c r="AC497">
        <v>248.52029999999999</v>
      </c>
      <c r="AD497">
        <v>3.6306889999999998</v>
      </c>
      <c r="AE497">
        <v>-3.5695999999999799</v>
      </c>
      <c r="AF497">
        <v>3.1360133396258201</v>
      </c>
      <c r="AG497">
        <v>3.6306889999999998</v>
      </c>
      <c r="AH497">
        <v>248.47312049280501</v>
      </c>
      <c r="AI497">
        <v>89.162920359141296</v>
      </c>
      <c r="AJ497">
        <v>89.276900500141494</v>
      </c>
      <c r="AK497">
        <v>248.51943201631701</v>
      </c>
      <c r="AL497">
        <v>87.675341218438106</v>
      </c>
      <c r="AM497">
        <v>90.148478317430005</v>
      </c>
      <c r="AN497">
        <v>1.00000002424394</v>
      </c>
    </row>
    <row r="498" spans="1:40" x14ac:dyDescent="0.25">
      <c r="A498" t="str">
        <f>"20190312160312078"</f>
        <v>20190312160312078</v>
      </c>
      <c r="B498" t="str">
        <f>"1552377792075433"</f>
        <v>1552377792075433</v>
      </c>
      <c r="C498" t="s">
        <v>40</v>
      </c>
      <c r="D498">
        <v>4.557569</v>
      </c>
      <c r="E498">
        <v>0.50543190000000005</v>
      </c>
      <c r="F498" t="s">
        <v>42</v>
      </c>
      <c r="G498">
        <v>-158.19499999999999</v>
      </c>
      <c r="H498">
        <v>5.0160650000000002</v>
      </c>
      <c r="I498">
        <v>364.51990000000001</v>
      </c>
      <c r="J498">
        <v>-406.51659999999998</v>
      </c>
      <c r="K498">
        <v>1.0591090000000001</v>
      </c>
      <c r="L498">
        <v>368.137</v>
      </c>
      <c r="M498">
        <v>0.9999728</v>
      </c>
      <c r="N498">
        <v>0</v>
      </c>
      <c r="O498">
        <v>-1.74147E-3</v>
      </c>
      <c r="P498">
        <v>0.99943879999999996</v>
      </c>
      <c r="Q498">
        <v>3.3487259999999998E-2</v>
      </c>
      <c r="R498">
        <v>9.2458519999999997E-4</v>
      </c>
      <c r="S498">
        <v>3.0001530000000001</v>
      </c>
      <c r="T498">
        <v>4.776967E-2</v>
      </c>
      <c r="U498">
        <v>-4.3670649999999998E-2</v>
      </c>
      <c r="V498">
        <v>-2.6636160000000002E-3</v>
      </c>
      <c r="W498">
        <v>4.0645189999999998E-2</v>
      </c>
      <c r="X498">
        <v>0.99917009999999995</v>
      </c>
      <c r="Y498">
        <v>1.281185E-2</v>
      </c>
      <c r="Z498" s="1">
        <v>7.4260109999999896E-5</v>
      </c>
      <c r="AA498">
        <v>0.99991790000000003</v>
      </c>
      <c r="AB498">
        <v>39</v>
      </c>
      <c r="AC498">
        <v>248.32159999999999</v>
      </c>
      <c r="AD498">
        <v>3.9569559999999999</v>
      </c>
      <c r="AE498">
        <v>-3.61709999999993</v>
      </c>
      <c r="AF498">
        <v>3.1838305308096899</v>
      </c>
      <c r="AG498">
        <v>3.9569559999999999</v>
      </c>
      <c r="AH498">
        <v>248.26449722251201</v>
      </c>
      <c r="AI498">
        <v>89.0869453762093</v>
      </c>
      <c r="AJ498">
        <v>89.265259210954994</v>
      </c>
      <c r="AK498">
        <v>248.31644097558501</v>
      </c>
      <c r="AL498">
        <v>87.670560487996298</v>
      </c>
      <c r="AM498">
        <v>90.152740352739599</v>
      </c>
      <c r="AN498">
        <v>1.00000000752717</v>
      </c>
    </row>
    <row r="499" spans="1:40" x14ac:dyDescent="0.25">
      <c r="A499" t="str">
        <f>"20190312160312090"</f>
        <v>20190312160312090</v>
      </c>
      <c r="B499" t="str">
        <f>"1552377792085193"</f>
        <v>1552377792085193</v>
      </c>
      <c r="C499" t="s">
        <v>40</v>
      </c>
      <c r="D499">
        <v>4.5175409999999996</v>
      </c>
      <c r="E499">
        <v>0.50548070000000001</v>
      </c>
      <c r="F499" t="s">
        <v>42</v>
      </c>
      <c r="G499">
        <v>-158.19499999999999</v>
      </c>
      <c r="H499">
        <v>5.5091510000000001</v>
      </c>
      <c r="I499">
        <v>364.5752</v>
      </c>
      <c r="J499">
        <v>-406.3098</v>
      </c>
      <c r="K499">
        <v>1.05911</v>
      </c>
      <c r="L499">
        <v>368.13670000000002</v>
      </c>
      <c r="M499">
        <v>0.9999728</v>
      </c>
      <c r="N499">
        <v>0</v>
      </c>
      <c r="O499">
        <v>-1.7410279999999999E-3</v>
      </c>
      <c r="P499">
        <v>0.99943179999999998</v>
      </c>
      <c r="Q499">
        <v>3.3699939999999998E-2</v>
      </c>
      <c r="R499">
        <v>8.6684220000000001E-4</v>
      </c>
      <c r="S499">
        <v>2.9999389999999999</v>
      </c>
      <c r="T499">
        <v>5.3761360000000001E-2</v>
      </c>
      <c r="U499">
        <v>-4.3029789999999998E-2</v>
      </c>
      <c r="V499">
        <v>-2.6054659999999999E-3</v>
      </c>
      <c r="W499">
        <v>4.0867689999999998E-2</v>
      </c>
      <c r="X499">
        <v>0.99916119999999997</v>
      </c>
      <c r="Y499">
        <v>1.259942E-2</v>
      </c>
      <c r="Z499" s="1">
        <v>8.1683840000000002E-5</v>
      </c>
      <c r="AA499">
        <v>0.99992060000000005</v>
      </c>
      <c r="AB499">
        <v>39</v>
      </c>
      <c r="AC499">
        <v>248.1148</v>
      </c>
      <c r="AD499">
        <v>4.4500409999999997</v>
      </c>
      <c r="AE499">
        <v>-3.5615000000000201</v>
      </c>
      <c r="AF499">
        <v>3.1285025264591502</v>
      </c>
      <c r="AG499">
        <v>4.4500409999999997</v>
      </c>
      <c r="AH499">
        <v>248.040851679311</v>
      </c>
      <c r="AI499">
        <v>88.972262253983203</v>
      </c>
      <c r="AJ499">
        <v>89.277375136453102</v>
      </c>
      <c r="AK499">
        <v>248.10049273380599</v>
      </c>
      <c r="AL499">
        <v>87.657801628697001</v>
      </c>
      <c r="AM499">
        <v>90.149407189851203</v>
      </c>
      <c r="AN499">
        <v>1.00000003006222</v>
      </c>
    </row>
    <row r="500" spans="1:40" x14ac:dyDescent="0.25">
      <c r="A500" t="str">
        <f>"20190312160312102"</f>
        <v>20190312160312102</v>
      </c>
      <c r="B500" t="str">
        <f>"1552377792094954"</f>
        <v>1552377792094954</v>
      </c>
      <c r="C500" t="s">
        <v>40</v>
      </c>
      <c r="D500">
        <v>4.524184</v>
      </c>
      <c r="E500">
        <v>0.50558890000000001</v>
      </c>
      <c r="F500" t="s">
        <v>42</v>
      </c>
      <c r="G500">
        <v>-158.19499999999999</v>
      </c>
      <c r="H500">
        <v>5.7522169999999999</v>
      </c>
      <c r="I500">
        <v>364.52460000000002</v>
      </c>
      <c r="J500">
        <v>-406.07369999999997</v>
      </c>
      <c r="K500">
        <v>1.0591090000000001</v>
      </c>
      <c r="L500">
        <v>368.13619999999997</v>
      </c>
      <c r="M500">
        <v>0.9999728</v>
      </c>
      <c r="N500">
        <v>0</v>
      </c>
      <c r="O500">
        <v>-1.7405910000000001E-3</v>
      </c>
      <c r="P500">
        <v>0.99941749999999996</v>
      </c>
      <c r="Q500">
        <v>3.4120350000000001E-2</v>
      </c>
      <c r="R500">
        <v>8.3074940000000001E-4</v>
      </c>
      <c r="S500">
        <v>2.9997859999999998</v>
      </c>
      <c r="T500">
        <v>5.6742189999999998E-2</v>
      </c>
      <c r="U500">
        <v>-4.3670649999999998E-2</v>
      </c>
      <c r="V500">
        <v>-2.5687349999999999E-3</v>
      </c>
      <c r="W500">
        <v>4.1298870000000001E-2</v>
      </c>
      <c r="X500">
        <v>0.99914349999999996</v>
      </c>
      <c r="Y500">
        <v>1.2813929999999999E-2</v>
      </c>
      <c r="Z500" s="1">
        <v>8.8253069999999893E-5</v>
      </c>
      <c r="AA500">
        <v>0.99991790000000003</v>
      </c>
      <c r="AB500">
        <v>40</v>
      </c>
      <c r="AC500">
        <v>247.87870000000001</v>
      </c>
      <c r="AD500">
        <v>4.6931079999999996</v>
      </c>
      <c r="AE500">
        <v>-3.61159999999995</v>
      </c>
      <c r="AF500">
        <v>3.17898870855243</v>
      </c>
      <c r="AG500">
        <v>4.6931079999999996</v>
      </c>
      <c r="AH500">
        <v>247.795804530542</v>
      </c>
      <c r="AI500">
        <v>88.915070333062999</v>
      </c>
      <c r="AJ500">
        <v>89.2649889904026</v>
      </c>
      <c r="AK500">
        <v>247.86063014292401</v>
      </c>
      <c r="AL500">
        <v>87.633075804112195</v>
      </c>
      <c r="AM500">
        <v>90.147303515382106</v>
      </c>
      <c r="AN500">
        <v>0.99999996432751204</v>
      </c>
    </row>
    <row r="501" spans="1:40" x14ac:dyDescent="0.25">
      <c r="A501" t="str">
        <f>"20190312160312116"</f>
        <v>20190312160312116</v>
      </c>
      <c r="B501" t="str">
        <f>"1552377792104713"</f>
        <v>1552377792104713</v>
      </c>
      <c r="C501" t="s">
        <v>40</v>
      </c>
      <c r="D501">
        <v>4.5248499999999998</v>
      </c>
      <c r="E501">
        <v>0.50566089999999997</v>
      </c>
      <c r="F501" t="s">
        <v>42</v>
      </c>
      <c r="G501">
        <v>-158.19499999999999</v>
      </c>
      <c r="H501">
        <v>6.0264239999999996</v>
      </c>
      <c r="I501">
        <v>364.4545</v>
      </c>
      <c r="J501">
        <v>-405.84730000000002</v>
      </c>
      <c r="K501">
        <v>1.0591120000000001</v>
      </c>
      <c r="L501">
        <v>368.13580000000002</v>
      </c>
      <c r="M501">
        <v>0.99997259999999999</v>
      </c>
      <c r="N501">
        <v>0</v>
      </c>
      <c r="O501">
        <v>-1.739914E-3</v>
      </c>
      <c r="P501">
        <v>0.99941029999999997</v>
      </c>
      <c r="Q501">
        <v>3.4325670000000003E-2</v>
      </c>
      <c r="R501">
        <v>8.9370729999999998E-4</v>
      </c>
      <c r="S501">
        <v>2.9997250000000002</v>
      </c>
      <c r="T501">
        <v>6.0113430000000002E-2</v>
      </c>
      <c r="U501">
        <v>-4.4555659999999997E-2</v>
      </c>
      <c r="V501">
        <v>-2.6311239999999999E-3</v>
      </c>
      <c r="W501">
        <v>4.151469E-2</v>
      </c>
      <c r="X501">
        <v>0.99913439999999998</v>
      </c>
      <c r="Y501">
        <v>1.3109539999999999E-2</v>
      </c>
      <c r="Z501" s="1">
        <v>9.6472249999999998E-5</v>
      </c>
      <c r="AA501">
        <v>0.99991410000000003</v>
      </c>
      <c r="AB501">
        <v>40</v>
      </c>
      <c r="AC501">
        <v>247.6523</v>
      </c>
      <c r="AD501">
        <v>4.9673119999999997</v>
      </c>
      <c r="AE501">
        <v>-3.6813000000000198</v>
      </c>
      <c r="AF501">
        <v>3.24908272742669</v>
      </c>
      <c r="AG501">
        <v>4.9673119999999997</v>
      </c>
      <c r="AH501">
        <v>247.55875768531399</v>
      </c>
      <c r="AI501">
        <v>88.850602859722599</v>
      </c>
      <c r="AJ501">
        <v>89.2480652203093</v>
      </c>
      <c r="AK501">
        <v>247.629903755122</v>
      </c>
      <c r="AL501">
        <v>87.620699629703196</v>
      </c>
      <c r="AM501">
        <v>90.1508825560378</v>
      </c>
      <c r="AN501">
        <v>0.99999997078132896</v>
      </c>
    </row>
    <row r="502" spans="1:40" x14ac:dyDescent="0.25">
      <c r="A502" t="str">
        <f>"20190312160312133"</f>
        <v>20190312160312133</v>
      </c>
      <c r="B502" t="str">
        <f>"1552377792125210"</f>
        <v>1552377792125210</v>
      </c>
      <c r="C502" t="s">
        <v>40</v>
      </c>
      <c r="D502">
        <v>4.5336349999999896</v>
      </c>
      <c r="E502">
        <v>0.50578809999999996</v>
      </c>
      <c r="F502" t="s">
        <v>42</v>
      </c>
      <c r="G502">
        <v>-158.19499999999999</v>
      </c>
      <c r="H502">
        <v>6.3039779999999999</v>
      </c>
      <c r="I502">
        <v>364.43970000000002</v>
      </c>
      <c r="J502">
        <v>-405.55619999999999</v>
      </c>
      <c r="K502">
        <v>1.059113</v>
      </c>
      <c r="L502">
        <v>368.13529999999997</v>
      </c>
      <c r="M502">
        <v>0.99997259999999999</v>
      </c>
      <c r="N502">
        <v>0</v>
      </c>
      <c r="O502">
        <v>-1.739485E-3</v>
      </c>
      <c r="P502">
        <v>0.99940600000000002</v>
      </c>
      <c r="Q502">
        <v>3.4460739999999997E-2</v>
      </c>
      <c r="R502">
        <v>7.229634E-4</v>
      </c>
      <c r="S502">
        <v>2.9996339999999999</v>
      </c>
      <c r="T502">
        <v>6.3528299999999996E-2</v>
      </c>
      <c r="U502">
        <v>-4.4769290000000003E-2</v>
      </c>
      <c r="V502">
        <v>-2.4600720000000002E-3</v>
      </c>
      <c r="W502">
        <v>4.1663329999999998E-2</v>
      </c>
      <c r="X502">
        <v>0.99912869999999998</v>
      </c>
      <c r="Y502">
        <v>1.318133E-2</v>
      </c>
      <c r="Z502">
        <v>1.027236E-4</v>
      </c>
      <c r="AA502">
        <v>0.9999131</v>
      </c>
      <c r="AB502">
        <v>40</v>
      </c>
      <c r="AC502">
        <v>247.3612</v>
      </c>
      <c r="AD502">
        <v>5.2448649999999999</v>
      </c>
      <c r="AE502">
        <v>-3.69559999999995</v>
      </c>
      <c r="AF502">
        <v>3.2638351501905198</v>
      </c>
      <c r="AG502">
        <v>5.2448649999999999</v>
      </c>
      <c r="AH502">
        <v>247.256118141716</v>
      </c>
      <c r="AI502">
        <v>88.784914182527999</v>
      </c>
      <c r="AJ502">
        <v>89.243727030416693</v>
      </c>
      <c r="AK502">
        <v>247.33327553579599</v>
      </c>
      <c r="AL502">
        <v>87.612175932587206</v>
      </c>
      <c r="AM502">
        <v>90.141074376162607</v>
      </c>
      <c r="AN502">
        <v>1.00000002209231</v>
      </c>
    </row>
    <row r="503" spans="1:40" x14ac:dyDescent="0.25">
      <c r="A503" t="str">
        <f>"20190312160312145"</f>
        <v>20190312160312145</v>
      </c>
      <c r="B503" t="str">
        <f>"1552377792134970"</f>
        <v>1552377792134970</v>
      </c>
      <c r="C503" t="s">
        <v>40</v>
      </c>
      <c r="D503">
        <v>4.465668</v>
      </c>
      <c r="E503">
        <v>0.50582950000000004</v>
      </c>
      <c r="F503" t="s">
        <v>42</v>
      </c>
      <c r="G503">
        <v>-158.19499999999999</v>
      </c>
      <c r="H503">
        <v>6.3889570000000004</v>
      </c>
      <c r="I503">
        <v>364.33280000000002</v>
      </c>
      <c r="J503">
        <v>-405.32240000000002</v>
      </c>
      <c r="K503">
        <v>1.0591090000000001</v>
      </c>
      <c r="L503">
        <v>368.13490000000002</v>
      </c>
      <c r="M503">
        <v>0.99997259999999999</v>
      </c>
      <c r="N503">
        <v>0</v>
      </c>
      <c r="O503">
        <v>-1.7391660000000001E-3</v>
      </c>
      <c r="P503">
        <v>0.99940019999999996</v>
      </c>
      <c r="Q503">
        <v>3.4634829999999998E-2</v>
      </c>
      <c r="R503">
        <v>6.8201179999999903E-4</v>
      </c>
      <c r="S503">
        <v>2.999603</v>
      </c>
      <c r="T503">
        <v>6.4632889999999998E-2</v>
      </c>
      <c r="U503">
        <v>-4.6112060000000003E-2</v>
      </c>
      <c r="V503">
        <v>-2.4186049999999999E-3</v>
      </c>
      <c r="W503">
        <v>4.1847710000000003E-2</v>
      </c>
      <c r="X503">
        <v>0.99912109999999998</v>
      </c>
      <c r="Y503">
        <v>1.362912E-2</v>
      </c>
      <c r="Z503">
        <v>1.093403E-4</v>
      </c>
      <c r="AA503">
        <v>0.99990710000000005</v>
      </c>
      <c r="AB503">
        <v>40</v>
      </c>
      <c r="AC503">
        <v>247.12739999999999</v>
      </c>
      <c r="AD503">
        <v>5.3298479999999904</v>
      </c>
      <c r="AE503">
        <v>-3.80209999999999</v>
      </c>
      <c r="AF503">
        <v>3.3707200504734298</v>
      </c>
      <c r="AG503">
        <v>5.3298479999999904</v>
      </c>
      <c r="AH503">
        <v>247.01876667296199</v>
      </c>
      <c r="AI503">
        <v>88.764053397971296</v>
      </c>
      <c r="AJ503">
        <v>89.218213054096395</v>
      </c>
      <c r="AK503">
        <v>247.09925156097299</v>
      </c>
      <c r="AL503">
        <v>87.601602525972396</v>
      </c>
      <c r="AM503">
        <v>90.138697489351202</v>
      </c>
      <c r="AN503">
        <v>1.00000002647379</v>
      </c>
    </row>
    <row r="504" spans="1:40" x14ac:dyDescent="0.25">
      <c r="A504" t="str">
        <f>"20190312160312166"</f>
        <v>20190312160312166</v>
      </c>
      <c r="B504" t="str">
        <f>"1552377792155466"</f>
        <v>1552377792155466</v>
      </c>
      <c r="C504" t="s">
        <v>40</v>
      </c>
      <c r="D504">
        <v>4.5111629999999998</v>
      </c>
      <c r="E504">
        <v>0.50588599999999995</v>
      </c>
      <c r="F504" t="s">
        <v>42</v>
      </c>
      <c r="G504">
        <v>-158.19499999999999</v>
      </c>
      <c r="H504">
        <v>6.5354089999999996</v>
      </c>
      <c r="I504">
        <v>364.29809999999998</v>
      </c>
      <c r="J504">
        <v>-404.95650000000001</v>
      </c>
      <c r="K504">
        <v>1.0591120000000001</v>
      </c>
      <c r="L504">
        <v>368.1343</v>
      </c>
      <c r="M504">
        <v>0.99997230000000004</v>
      </c>
      <c r="N504">
        <v>0</v>
      </c>
      <c r="O504">
        <v>-1.738035E-3</v>
      </c>
      <c r="P504">
        <v>0.99938649999999996</v>
      </c>
      <c r="Q504">
        <v>3.502007E-2</v>
      </c>
      <c r="R504">
        <v>3.9248959999999998E-4</v>
      </c>
      <c r="S504">
        <v>2.9995120000000002</v>
      </c>
      <c r="T504">
        <v>6.6469669999999995E-2</v>
      </c>
      <c r="U504">
        <v>-4.6569819999999998E-2</v>
      </c>
      <c r="V504">
        <v>-2.127954E-3</v>
      </c>
      <c r="W504">
        <v>4.2249809999999999E-2</v>
      </c>
      <c r="X504">
        <v>0.99910480000000002</v>
      </c>
      <c r="Y504">
        <v>1.378308E-2</v>
      </c>
      <c r="Z504">
        <v>1.141808E-4</v>
      </c>
      <c r="AA504">
        <v>0.99990500000000004</v>
      </c>
      <c r="AB504">
        <v>40</v>
      </c>
      <c r="AC504">
        <v>246.76150000000001</v>
      </c>
      <c r="AD504">
        <v>5.4762969999999997</v>
      </c>
      <c r="AE504">
        <v>-3.83620000000001</v>
      </c>
      <c r="AF504">
        <v>3.4056259339261201</v>
      </c>
      <c r="AG504">
        <v>5.4762969999999997</v>
      </c>
      <c r="AH504">
        <v>246.64634730428</v>
      </c>
      <c r="AI504">
        <v>88.728190088345301</v>
      </c>
      <c r="AJ504">
        <v>89.208925672075594</v>
      </c>
      <c r="AK504">
        <v>246.73064008221101</v>
      </c>
      <c r="AL504">
        <v>87.5785434059556</v>
      </c>
      <c r="AM504">
        <v>90.122031841743507</v>
      </c>
      <c r="AN504">
        <v>0.99999998800815104</v>
      </c>
    </row>
    <row r="505" spans="1:40" x14ac:dyDescent="0.25">
      <c r="A505" t="str">
        <f>"20190312160312178"</f>
        <v>20190312160312178</v>
      </c>
      <c r="B505" t="str">
        <f>"1552377792174987"</f>
        <v>1552377792174987</v>
      </c>
      <c r="C505" t="s">
        <v>40</v>
      </c>
      <c r="D505">
        <v>4.4696179999999996</v>
      </c>
      <c r="E505">
        <v>0.50653539999999997</v>
      </c>
      <c r="F505" t="s">
        <v>42</v>
      </c>
      <c r="G505">
        <v>-158.19499999999999</v>
      </c>
      <c r="H505">
        <v>6.6608340000000004</v>
      </c>
      <c r="I505">
        <v>364.21019999999999</v>
      </c>
      <c r="J505">
        <v>-404.73700000000002</v>
      </c>
      <c r="K505">
        <v>1.0591170000000001</v>
      </c>
      <c r="L505">
        <v>368.13389999999998</v>
      </c>
      <c r="M505">
        <v>0.99997230000000004</v>
      </c>
      <c r="N505">
        <v>0</v>
      </c>
      <c r="O505">
        <v>-1.737714E-3</v>
      </c>
      <c r="P505">
        <v>0.99938680000000002</v>
      </c>
      <c r="Q505">
        <v>3.5019040000000001E-2</v>
      </c>
      <c r="R505">
        <v>3.5397489999999999E-4</v>
      </c>
      <c r="S505">
        <v>2.9994809999999998</v>
      </c>
      <c r="T505">
        <v>6.8092109999999997E-2</v>
      </c>
      <c r="U505">
        <v>-4.769897E-2</v>
      </c>
      <c r="V505">
        <v>-2.0893639999999998E-3</v>
      </c>
      <c r="W505">
        <v>4.2258850000000001E-2</v>
      </c>
      <c r="X505">
        <v>0.99910449999999995</v>
      </c>
      <c r="Y505">
        <v>1.4159639999999999E-2</v>
      </c>
      <c r="Z505">
        <v>1.212486E-4</v>
      </c>
      <c r="AA505">
        <v>0.99989969999999995</v>
      </c>
      <c r="AB505">
        <v>40</v>
      </c>
      <c r="AC505">
        <v>246.542</v>
      </c>
      <c r="AD505">
        <v>5.6017169999999901</v>
      </c>
      <c r="AE505">
        <v>-3.92369999999999</v>
      </c>
      <c r="AF505">
        <v>3.49346032592543</v>
      </c>
      <c r="AG505">
        <v>5.6017169999999901</v>
      </c>
      <c r="AH505">
        <v>246.42126330100101</v>
      </c>
      <c r="AI505">
        <v>88.697891414062497</v>
      </c>
      <c r="AJ505">
        <v>89.187784682168598</v>
      </c>
      <c r="AK505">
        <v>246.50968034797</v>
      </c>
      <c r="AL505">
        <v>87.578024991217205</v>
      </c>
      <c r="AM505">
        <v>90.1198188623476</v>
      </c>
      <c r="AN505">
        <v>0.99999998888274799</v>
      </c>
    </row>
    <row r="506" spans="1:40" x14ac:dyDescent="0.25">
      <c r="A506" t="str">
        <f>"20190312160312191"</f>
        <v>20190312160312191</v>
      </c>
      <c r="B506" t="str">
        <f>"1552377792184746"</f>
        <v>1552377792184746</v>
      </c>
      <c r="C506" t="s">
        <v>40</v>
      </c>
      <c r="D506">
        <v>4.5070629999999996</v>
      </c>
      <c r="E506">
        <v>0.5071059</v>
      </c>
      <c r="F506" t="s">
        <v>42</v>
      </c>
      <c r="G506">
        <v>-158.19499999999999</v>
      </c>
      <c r="H506">
        <v>6.247509</v>
      </c>
      <c r="I506">
        <v>363.72449999999998</v>
      </c>
      <c r="J506">
        <v>-404.517</v>
      </c>
      <c r="K506">
        <v>1.059115</v>
      </c>
      <c r="L506">
        <v>368.13350000000003</v>
      </c>
      <c r="M506">
        <v>0.99997230000000004</v>
      </c>
      <c r="N506">
        <v>0</v>
      </c>
      <c r="O506">
        <v>-1.7373919999999999E-3</v>
      </c>
      <c r="P506">
        <v>0.99937379999999998</v>
      </c>
      <c r="Q506">
        <v>3.5386250000000001E-2</v>
      </c>
      <c r="R506">
        <v>2.956379E-4</v>
      </c>
      <c r="S506">
        <v>2.999695</v>
      </c>
      <c r="T506">
        <v>6.3128589999999998E-2</v>
      </c>
      <c r="U506">
        <v>-5.36499E-2</v>
      </c>
      <c r="V506">
        <v>-2.0307329999999998E-3</v>
      </c>
      <c r="W506">
        <v>4.2635689999999997E-2</v>
      </c>
      <c r="X506">
        <v>0.99908859999999999</v>
      </c>
      <c r="Y506">
        <v>1.6141880000000001E-2</v>
      </c>
      <c r="Z506">
        <v>1.332634E-4</v>
      </c>
      <c r="AA506">
        <v>0.99986969999999997</v>
      </c>
      <c r="AB506">
        <v>40</v>
      </c>
      <c r="AC506">
        <v>246.322</v>
      </c>
      <c r="AD506">
        <v>5.1883939999999997</v>
      </c>
      <c r="AE506">
        <v>-4.4090000000000398</v>
      </c>
      <c r="AF506">
        <v>3.9792593540405798</v>
      </c>
      <c r="AG506">
        <v>5.1883939999999997</v>
      </c>
      <c r="AH506">
        <v>246.220083244107</v>
      </c>
      <c r="AI506">
        <v>88.792989228355097</v>
      </c>
      <c r="AJ506">
        <v>89.074101037368806</v>
      </c>
      <c r="AK506">
        <v>246.30688851520401</v>
      </c>
      <c r="AL506">
        <v>87.556414145757898</v>
      </c>
      <c r="AM506">
        <v>90.1164584101804</v>
      </c>
      <c r="AN506">
        <v>0.99999997829412601</v>
      </c>
    </row>
    <row r="507" spans="1:40" x14ac:dyDescent="0.25">
      <c r="A507" t="str">
        <f>"20190312160312210"</f>
        <v>20190312160312210</v>
      </c>
      <c r="B507" t="str">
        <f>"1552377792205241"</f>
        <v>1552377792205241</v>
      </c>
      <c r="C507" t="s">
        <v>40</v>
      </c>
      <c r="D507">
        <v>4.4909520000000001</v>
      </c>
      <c r="E507">
        <v>0.50809219999999999</v>
      </c>
      <c r="F507" t="s">
        <v>42</v>
      </c>
      <c r="G507">
        <v>-158.19499999999999</v>
      </c>
      <c r="H507">
        <v>6.4968159999999999</v>
      </c>
      <c r="I507">
        <v>363.35700000000003</v>
      </c>
      <c r="J507">
        <v>-404.18150000000003</v>
      </c>
      <c r="K507">
        <v>1.05911</v>
      </c>
      <c r="L507">
        <v>368.13299999999998</v>
      </c>
      <c r="M507">
        <v>0.99997219999999998</v>
      </c>
      <c r="N507">
        <v>0</v>
      </c>
      <c r="O507">
        <v>-1.7366129999999999E-3</v>
      </c>
      <c r="P507">
        <v>0.99936789999999998</v>
      </c>
      <c r="Q507">
        <v>3.5549589999999999E-2</v>
      </c>
      <c r="R507">
        <v>5.1165789999999998E-4</v>
      </c>
      <c r="S507">
        <v>2.9995419999999999</v>
      </c>
      <c r="T507">
        <v>6.6217659999999998E-2</v>
      </c>
      <c r="U507">
        <v>-5.8166500000000003E-2</v>
      </c>
      <c r="V507">
        <v>-2.2455729999999998E-3</v>
      </c>
      <c r="W507">
        <v>4.2814339999999999E-2</v>
      </c>
      <c r="X507">
        <v>0.99908050000000004</v>
      </c>
      <c r="Y507">
        <v>1.7647909999999999E-2</v>
      </c>
      <c r="Z507">
        <v>1.564251E-4</v>
      </c>
      <c r="AA507">
        <v>0.99984430000000002</v>
      </c>
      <c r="AB507">
        <v>40</v>
      </c>
      <c r="AC507">
        <v>245.98650000000001</v>
      </c>
      <c r="AD507">
        <v>5.4377059999999897</v>
      </c>
      <c r="AE507">
        <v>-4.7760000000000602</v>
      </c>
      <c r="AF507">
        <v>4.34667495618688</v>
      </c>
      <c r="AG507">
        <v>5.4377059999999897</v>
      </c>
      <c r="AH507">
        <v>245.874319083361</v>
      </c>
      <c r="AI507">
        <v>88.733262688764697</v>
      </c>
      <c r="AJ507">
        <v>88.987205369296902</v>
      </c>
      <c r="AK507">
        <v>245.972850157133</v>
      </c>
      <c r="AL507">
        <v>87.546168898283497</v>
      </c>
      <c r="AM507">
        <v>90.128780052085403</v>
      </c>
      <c r="AN507">
        <v>0.99999997789399098</v>
      </c>
    </row>
    <row r="508" spans="1:40" x14ac:dyDescent="0.25">
      <c r="A508" t="str">
        <f>"20190312160312220"</f>
        <v>20190312160312220</v>
      </c>
      <c r="B508" t="str">
        <f>"1552377792215003"</f>
        <v>1552377792215003</v>
      </c>
      <c r="C508" t="s">
        <v>40</v>
      </c>
      <c r="D508">
        <v>4.4866010000000003</v>
      </c>
      <c r="E508">
        <v>0.50874949999999997</v>
      </c>
      <c r="F508" t="s">
        <v>42</v>
      </c>
      <c r="G508">
        <v>-168.2148</v>
      </c>
      <c r="H508">
        <v>6.6740880000000002</v>
      </c>
      <c r="I508">
        <v>363.02159999999998</v>
      </c>
      <c r="J508">
        <v>-403.97800000000001</v>
      </c>
      <c r="K508">
        <v>1.0591120000000001</v>
      </c>
      <c r="L508">
        <v>368.1327</v>
      </c>
      <c r="M508">
        <v>0.99997219999999998</v>
      </c>
      <c r="N508">
        <v>0</v>
      </c>
      <c r="O508">
        <v>-1.73617E-3</v>
      </c>
      <c r="P508">
        <v>0.99937180000000003</v>
      </c>
      <c r="Q508">
        <v>3.5435620000000001E-2</v>
      </c>
      <c r="R508">
        <v>7.085832E-4</v>
      </c>
      <c r="S508">
        <v>2.99939</v>
      </c>
      <c r="T508">
        <v>7.137346E-2</v>
      </c>
      <c r="U508">
        <v>-6.4971920000000002E-2</v>
      </c>
      <c r="V508">
        <v>-2.4418600000000001E-3</v>
      </c>
      <c r="W508">
        <v>4.2709530000000002E-2</v>
      </c>
      <c r="X508">
        <v>0.99908450000000004</v>
      </c>
      <c r="Y508">
        <v>1.9915660000000002E-2</v>
      </c>
      <c r="Z508">
        <v>1.9559110000000001E-4</v>
      </c>
      <c r="AA508">
        <v>0.99980159999999996</v>
      </c>
      <c r="AB508">
        <v>40</v>
      </c>
      <c r="AC508">
        <v>235.76320000000001</v>
      </c>
      <c r="AD508">
        <v>5.6149760000000004</v>
      </c>
      <c r="AE508">
        <v>-5.11110000000002</v>
      </c>
      <c r="AF508">
        <v>4.6990924194068304</v>
      </c>
      <c r="AG508">
        <v>5.6149760000000004</v>
      </c>
      <c r="AH508">
        <v>235.63812514131899</v>
      </c>
      <c r="AI508">
        <v>88.635239346378796</v>
      </c>
      <c r="AJ508">
        <v>88.857559738858001</v>
      </c>
      <c r="AK508">
        <v>235.75185141407101</v>
      </c>
      <c r="AL508">
        <v>87.552179504612894</v>
      </c>
      <c r="AM508">
        <v>90.140036196714902</v>
      </c>
      <c r="AN508">
        <v>0.99999995238666395</v>
      </c>
    </row>
    <row r="509" spans="1:40" x14ac:dyDescent="0.25">
      <c r="A509" t="str">
        <f>"20190312160312232"</f>
        <v>20190312160312232</v>
      </c>
      <c r="B509" t="str">
        <f>"1552377792224762"</f>
        <v>1552377792224762</v>
      </c>
      <c r="C509" t="s">
        <v>40</v>
      </c>
      <c r="D509">
        <v>4.4624699999999997</v>
      </c>
      <c r="E509">
        <v>0.5093318</v>
      </c>
      <c r="F509" t="s">
        <v>42</v>
      </c>
      <c r="G509">
        <v>-170.08879999999999</v>
      </c>
      <c r="H509">
        <v>6.8519969999999999</v>
      </c>
      <c r="I509">
        <v>362.68759999999997</v>
      </c>
      <c r="J509">
        <v>-403.7731</v>
      </c>
      <c r="K509">
        <v>1.05911</v>
      </c>
      <c r="L509">
        <v>368.13229999999999</v>
      </c>
      <c r="M509">
        <v>0.99997199999999997</v>
      </c>
      <c r="N509">
        <v>0</v>
      </c>
      <c r="O509">
        <v>-1.7357270000000001E-3</v>
      </c>
      <c r="P509">
        <v>0.99935390000000002</v>
      </c>
      <c r="Q509">
        <v>3.592853E-2</v>
      </c>
      <c r="R509">
        <v>9.6726009999999999E-4</v>
      </c>
      <c r="S509">
        <v>2.9992369999999999</v>
      </c>
      <c r="T509">
        <v>7.4285149999999994E-2</v>
      </c>
      <c r="U509">
        <v>-6.9824220000000006E-2</v>
      </c>
      <c r="V509">
        <v>-2.700011E-3</v>
      </c>
      <c r="W509">
        <v>4.3211180000000002E-2</v>
      </c>
      <c r="X509">
        <v>0.99906229999999996</v>
      </c>
      <c r="Y509">
        <v>2.1532949999999999E-2</v>
      </c>
      <c r="Z509">
        <v>2.2360819999999999E-4</v>
      </c>
      <c r="AA509">
        <v>0.99976810000000005</v>
      </c>
      <c r="AB509">
        <v>40</v>
      </c>
      <c r="AC509">
        <v>233.68430000000001</v>
      </c>
      <c r="AD509">
        <v>5.7928870000000003</v>
      </c>
      <c r="AE509">
        <v>-5.4447000000000099</v>
      </c>
      <c r="AF509">
        <v>5.0359759090426</v>
      </c>
      <c r="AG509">
        <v>5.7928870000000003</v>
      </c>
      <c r="AH509">
        <v>233.54995712288601</v>
      </c>
      <c r="AI509">
        <v>88.5794780108087</v>
      </c>
      <c r="AJ509">
        <v>88.764737693482203</v>
      </c>
      <c r="AK509">
        <v>233.676060102983</v>
      </c>
      <c r="AL509">
        <v>87.523410602507994</v>
      </c>
      <c r="AM509">
        <v>90.154844055583197</v>
      </c>
      <c r="AN509">
        <v>0.99999998770884102</v>
      </c>
    </row>
    <row r="510" spans="1:40" x14ac:dyDescent="0.25">
      <c r="A510" t="str">
        <f>"20190312160312243"</f>
        <v>20190312160312243</v>
      </c>
      <c r="B510" t="str">
        <f>"1552377792235499"</f>
        <v>1552377792235499</v>
      </c>
      <c r="C510" t="s">
        <v>40</v>
      </c>
      <c r="D510">
        <v>4.4149219999999998</v>
      </c>
      <c r="E510">
        <v>0.50985709999999995</v>
      </c>
      <c r="F510" t="s">
        <v>42</v>
      </c>
      <c r="G510">
        <v>-170.08879999999999</v>
      </c>
      <c r="H510">
        <v>7.2060599999999999</v>
      </c>
      <c r="I510">
        <v>362.42559999999997</v>
      </c>
      <c r="J510">
        <v>-403.56729999999999</v>
      </c>
      <c r="K510">
        <v>1.059113</v>
      </c>
      <c r="L510">
        <v>368.13200000000001</v>
      </c>
      <c r="M510">
        <v>0.99997190000000002</v>
      </c>
      <c r="N510">
        <v>0</v>
      </c>
      <c r="O510">
        <v>-1.7352839999999999E-3</v>
      </c>
      <c r="P510">
        <v>0.99935050000000003</v>
      </c>
      <c r="Q510">
        <v>3.6018479999999999E-2</v>
      </c>
      <c r="R510">
        <v>1.055072E-3</v>
      </c>
      <c r="S510">
        <v>2.9991759999999998</v>
      </c>
      <c r="T510">
        <v>7.8892950000000003E-2</v>
      </c>
      <c r="U510">
        <v>-7.3242189999999999E-2</v>
      </c>
      <c r="V510">
        <v>-2.787178E-3</v>
      </c>
      <c r="W510">
        <v>4.3310269999999998E-2</v>
      </c>
      <c r="X510">
        <v>0.9990578</v>
      </c>
      <c r="Y510">
        <v>2.2671409999999999E-2</v>
      </c>
      <c r="Z510">
        <v>2.524556E-4</v>
      </c>
      <c r="AA510">
        <v>0.99974289999999999</v>
      </c>
      <c r="AB510">
        <v>40</v>
      </c>
      <c r="AC510">
        <v>233.4785</v>
      </c>
      <c r="AD510">
        <v>6.1469469999999999</v>
      </c>
      <c r="AE510">
        <v>-5.7063999999999702</v>
      </c>
      <c r="AF510">
        <v>5.2975593340167801</v>
      </c>
      <c r="AG510">
        <v>6.1469469999999999</v>
      </c>
      <c r="AH510">
        <v>233.32641806201701</v>
      </c>
      <c r="AI510">
        <v>88.491289594934301</v>
      </c>
      <c r="AJ510">
        <v>88.699351515381693</v>
      </c>
      <c r="AK510">
        <v>233.46748479813999</v>
      </c>
      <c r="AL510">
        <v>87.517727918267497</v>
      </c>
      <c r="AM510">
        <v>90.159843726613502</v>
      </c>
      <c r="AN510">
        <v>1.0000000177947499</v>
      </c>
    </row>
    <row r="511" spans="1:40" x14ac:dyDescent="0.25">
      <c r="A511" t="str">
        <f>"20190312160312255"</f>
        <v>20190312160312255</v>
      </c>
      <c r="B511" t="str">
        <f>"1552377792245257"</f>
        <v>1552377792245257</v>
      </c>
      <c r="C511" t="s">
        <v>40</v>
      </c>
      <c r="D511">
        <v>4.3884460000000001</v>
      </c>
      <c r="E511">
        <v>0.51027579999999995</v>
      </c>
      <c r="F511" t="s">
        <v>42</v>
      </c>
      <c r="G511">
        <v>-170.08879999999999</v>
      </c>
      <c r="H511">
        <v>7.5008189999999999</v>
      </c>
      <c r="I511">
        <v>362.14249999999998</v>
      </c>
      <c r="J511">
        <v>-403.36099999999999</v>
      </c>
      <c r="K511">
        <v>1.0591140000000001</v>
      </c>
      <c r="L511">
        <v>368.13170000000002</v>
      </c>
      <c r="M511">
        <v>0.99997190000000002</v>
      </c>
      <c r="N511">
        <v>0</v>
      </c>
      <c r="O511">
        <v>-1.735079E-3</v>
      </c>
      <c r="P511">
        <v>0.99936029999999998</v>
      </c>
      <c r="Q511">
        <v>3.5744409999999997E-2</v>
      </c>
      <c r="R511">
        <v>1.270644E-3</v>
      </c>
      <c r="S511">
        <v>2.9990230000000002</v>
      </c>
      <c r="T511">
        <v>8.2744600000000001E-2</v>
      </c>
      <c r="U511">
        <v>-7.6934810000000006E-2</v>
      </c>
      <c r="V511">
        <v>-3.0030159999999998E-3</v>
      </c>
      <c r="W511">
        <v>4.304587E-2</v>
      </c>
      <c r="X511">
        <v>0.99906859999999997</v>
      </c>
      <c r="Y511">
        <v>2.3901829999999999E-2</v>
      </c>
      <c r="Z511">
        <v>2.8175930000000002E-4</v>
      </c>
      <c r="AA511">
        <v>0.99971429999999994</v>
      </c>
      <c r="AB511">
        <v>40</v>
      </c>
      <c r="AC511">
        <v>233.2722</v>
      </c>
      <c r="AD511">
        <v>6.4417049999999998</v>
      </c>
      <c r="AE511">
        <v>-5.9892000000000296</v>
      </c>
      <c r="AF511">
        <v>5.5801820875104902</v>
      </c>
      <c r="AG511">
        <v>6.4417049999999998</v>
      </c>
      <c r="AH511">
        <v>233.104601028887</v>
      </c>
      <c r="AI511">
        <v>88.417521689050105</v>
      </c>
      <c r="AJ511">
        <v>88.628685020653705</v>
      </c>
      <c r="AK511">
        <v>233.26034600050099</v>
      </c>
      <c r="AL511">
        <v>87.532891059641599</v>
      </c>
      <c r="AM511">
        <v>90.172220030165505</v>
      </c>
      <c r="AN511">
        <v>1.00000001626755</v>
      </c>
    </row>
    <row r="512" spans="1:40" x14ac:dyDescent="0.25">
      <c r="A512" t="str">
        <f>"20190312160312266"</f>
        <v>20190312160312266</v>
      </c>
      <c r="B512" t="str">
        <f>"1552377792255018"</f>
        <v>1552377792255018</v>
      </c>
      <c r="C512" t="s">
        <v>40</v>
      </c>
      <c r="D512">
        <v>4.4238379999999999</v>
      </c>
      <c r="E512">
        <v>0.51059880000000002</v>
      </c>
      <c r="F512" t="s">
        <v>42</v>
      </c>
      <c r="G512">
        <v>-170.08879999999999</v>
      </c>
      <c r="H512">
        <v>7.4044749999999997</v>
      </c>
      <c r="I512">
        <v>361.94110000000001</v>
      </c>
      <c r="J512">
        <v>-403.15260000000001</v>
      </c>
      <c r="K512">
        <v>1.0591140000000001</v>
      </c>
      <c r="L512">
        <v>368.13130000000001</v>
      </c>
      <c r="M512">
        <v>0.99997170000000002</v>
      </c>
      <c r="N512">
        <v>0</v>
      </c>
      <c r="O512">
        <v>-1.7345170000000001E-3</v>
      </c>
      <c r="P512">
        <v>0.9993533</v>
      </c>
      <c r="Q512">
        <v>3.593205E-2</v>
      </c>
      <c r="R512">
        <v>1.3519230000000001E-3</v>
      </c>
      <c r="S512">
        <v>2.9990839999999999</v>
      </c>
      <c r="T512">
        <v>8.1580760000000002E-2</v>
      </c>
      <c r="U512">
        <v>-7.9589839999999995E-2</v>
      </c>
      <c r="V512">
        <v>-3.083976E-3</v>
      </c>
      <c r="W512">
        <v>4.3242620000000002E-2</v>
      </c>
      <c r="X512">
        <v>0.9990599</v>
      </c>
      <c r="Y512">
        <v>2.478619E-2</v>
      </c>
      <c r="Z512">
        <v>2.8982790000000002E-4</v>
      </c>
      <c r="AA512">
        <v>0.99969269999999999</v>
      </c>
      <c r="AB512">
        <v>40</v>
      </c>
      <c r="AC512">
        <v>233.06379999999999</v>
      </c>
      <c r="AD512">
        <v>6.3453609999999996</v>
      </c>
      <c r="AE512">
        <v>-6.1901999999999999</v>
      </c>
      <c r="AF512">
        <v>5.7816441260348297</v>
      </c>
      <c r="AG512">
        <v>6.3453609999999996</v>
      </c>
      <c r="AH512">
        <v>232.90167068890801</v>
      </c>
      <c r="AI512">
        <v>88.439854034779998</v>
      </c>
      <c r="AJ512">
        <v>88.577958740950905</v>
      </c>
      <c r="AK512">
        <v>233.05981898367801</v>
      </c>
      <c r="AL512">
        <v>87.521607715708001</v>
      </c>
      <c r="AM512">
        <v>90.176864518012707</v>
      </c>
      <c r="AN512">
        <v>1.0000000594402101</v>
      </c>
    </row>
    <row r="513" spans="1:40" x14ac:dyDescent="0.25">
      <c r="A513" t="str">
        <f>"20190312160312278"</f>
        <v>20190312160312278</v>
      </c>
      <c r="B513" t="str">
        <f>"1552377792264778"</f>
        <v>1552377792264778</v>
      </c>
      <c r="C513" t="s">
        <v>40</v>
      </c>
      <c r="D513">
        <v>4.3860140000000003</v>
      </c>
      <c r="E513">
        <v>0.51098209999999999</v>
      </c>
      <c r="F513" t="s">
        <v>42</v>
      </c>
      <c r="G513">
        <v>-170.08879999999999</v>
      </c>
      <c r="H513">
        <v>7.3712089999999897</v>
      </c>
      <c r="I513">
        <v>361.74950000000001</v>
      </c>
      <c r="J513">
        <v>-402.95319999999998</v>
      </c>
      <c r="K513">
        <v>1.059118</v>
      </c>
      <c r="L513">
        <v>368.1309</v>
      </c>
      <c r="M513">
        <v>0.99997170000000002</v>
      </c>
      <c r="N513">
        <v>0</v>
      </c>
      <c r="O513">
        <v>-1.733954E-3</v>
      </c>
      <c r="P513">
        <v>0.99934230000000002</v>
      </c>
      <c r="Q513">
        <v>3.6230180000000001E-2</v>
      </c>
      <c r="R513">
        <v>1.4622369999999999E-3</v>
      </c>
      <c r="S513">
        <v>2.9991460000000001</v>
      </c>
      <c r="T513">
        <v>8.1227300000000002E-2</v>
      </c>
      <c r="U513">
        <v>-8.2122799999999996E-2</v>
      </c>
      <c r="V513">
        <v>-3.1935029999999999E-3</v>
      </c>
      <c r="W513">
        <v>4.3549890000000001E-2</v>
      </c>
      <c r="X513">
        <v>0.99904610000000005</v>
      </c>
      <c r="Y513">
        <v>2.5629659999999999E-2</v>
      </c>
      <c r="Z513">
        <v>2.9999660000000001E-4</v>
      </c>
      <c r="AA513">
        <v>0.99967150000000005</v>
      </c>
      <c r="AB513">
        <v>40</v>
      </c>
      <c r="AC513">
        <v>232.86439999999999</v>
      </c>
      <c r="AD513">
        <v>6.3120909999999997</v>
      </c>
      <c r="AE513">
        <v>-6.3813999999999798</v>
      </c>
      <c r="AF513">
        <v>5.9732178927639499</v>
      </c>
      <c r="AG513">
        <v>6.3120909999999997</v>
      </c>
      <c r="AH513">
        <v>232.70426383495001</v>
      </c>
      <c r="AI513">
        <v>88.446747336923593</v>
      </c>
      <c r="AJ513">
        <v>88.529614223370203</v>
      </c>
      <c r="AK513">
        <v>232.86647726058101</v>
      </c>
      <c r="AL513">
        <v>87.503985569924794</v>
      </c>
      <c r="AM513">
        <v>90.183148325747098</v>
      </c>
      <c r="AN513">
        <v>0.999999950652815</v>
      </c>
    </row>
    <row r="514" spans="1:40" x14ac:dyDescent="0.25">
      <c r="A514" t="str">
        <f>"20190312160312290"</f>
        <v>20190312160312290</v>
      </c>
      <c r="B514" t="str">
        <f>"1552377792285275"</f>
        <v>1552377792285275</v>
      </c>
      <c r="C514" t="s">
        <v>40</v>
      </c>
      <c r="D514">
        <v>4.4500419999999998</v>
      </c>
      <c r="E514">
        <v>0.51168440000000004</v>
      </c>
      <c r="F514" t="s">
        <v>42</v>
      </c>
      <c r="G514">
        <v>-170.08879999999999</v>
      </c>
      <c r="H514">
        <v>7.3392649999999904</v>
      </c>
      <c r="I514">
        <v>361.52010000000001</v>
      </c>
      <c r="J514">
        <v>-402.73399999999998</v>
      </c>
      <c r="K514">
        <v>1.0591189999999999</v>
      </c>
      <c r="L514">
        <v>368.13049999999998</v>
      </c>
      <c r="M514">
        <v>0.99997150000000001</v>
      </c>
      <c r="N514">
        <v>0</v>
      </c>
      <c r="O514">
        <v>-1.7333940000000001E-3</v>
      </c>
      <c r="P514">
        <v>0.99933609999999995</v>
      </c>
      <c r="Q514">
        <v>3.6396350000000001E-2</v>
      </c>
      <c r="R514">
        <v>1.526176E-3</v>
      </c>
      <c r="S514">
        <v>2.9991460000000001</v>
      </c>
      <c r="T514">
        <v>8.0885410000000005E-2</v>
      </c>
      <c r="U514">
        <v>-8.5144040000000004E-2</v>
      </c>
      <c r="V514">
        <v>-3.2568369999999998E-3</v>
      </c>
      <c r="W514">
        <v>4.3725199999999902E-2</v>
      </c>
      <c r="X514">
        <v>0.99903830000000005</v>
      </c>
      <c r="Y514">
        <v>2.6636159999999999E-2</v>
      </c>
      <c r="Z514">
        <v>3.123124E-4</v>
      </c>
      <c r="AA514">
        <v>0.99964520000000001</v>
      </c>
      <c r="AB514">
        <v>40</v>
      </c>
      <c r="AC514">
        <v>232.64519999999999</v>
      </c>
      <c r="AD514">
        <v>6.2801459999999896</v>
      </c>
      <c r="AE514">
        <v>-6.6103999999999701</v>
      </c>
      <c r="AF514">
        <v>6.2025971745898998</v>
      </c>
      <c r="AG514">
        <v>6.2801459999999896</v>
      </c>
      <c r="AH514">
        <v>232.48703159446401</v>
      </c>
      <c r="AI514">
        <v>88.453201981966501</v>
      </c>
      <c r="AJ514">
        <v>88.471749779611599</v>
      </c>
      <c r="AK514">
        <v>232.654534245729</v>
      </c>
      <c r="AL514">
        <v>87.493931624113699</v>
      </c>
      <c r="AM514">
        <v>90.186781981862097</v>
      </c>
      <c r="AN514">
        <v>1.00000001248458</v>
      </c>
    </row>
    <row r="515" spans="1:40" x14ac:dyDescent="0.25">
      <c r="A515" t="str">
        <f>"20190312160312303"</f>
        <v>20190312160312303</v>
      </c>
      <c r="B515" t="str">
        <f>"1552377792295035"</f>
        <v>1552377792295035</v>
      </c>
      <c r="C515" t="s">
        <v>40</v>
      </c>
      <c r="D515">
        <v>4.3838549999999996</v>
      </c>
      <c r="E515">
        <v>0.51201160000000001</v>
      </c>
      <c r="F515" t="s">
        <v>42</v>
      </c>
      <c r="G515">
        <v>-170.08879999999999</v>
      </c>
      <c r="H515">
        <v>7.6753729999999996</v>
      </c>
      <c r="I515">
        <v>361.15390000000002</v>
      </c>
      <c r="J515">
        <v>-402.48840000000001</v>
      </c>
      <c r="K515">
        <v>1.0591200000000001</v>
      </c>
      <c r="L515">
        <v>368.13010000000003</v>
      </c>
      <c r="M515">
        <v>0.99997170000000002</v>
      </c>
      <c r="N515">
        <v>0</v>
      </c>
      <c r="O515">
        <v>-1.7331950000000001E-3</v>
      </c>
      <c r="P515">
        <v>0.99932960000000004</v>
      </c>
      <c r="Q515">
        <v>3.6582259999999998E-2</v>
      </c>
      <c r="R515">
        <v>1.547566E-3</v>
      </c>
      <c r="S515">
        <v>2.998993</v>
      </c>
      <c r="T515">
        <v>8.5290190000000002E-2</v>
      </c>
      <c r="U515">
        <v>-8.9935299999999996E-2</v>
      </c>
      <c r="V515">
        <v>-3.2777689999999998E-3</v>
      </c>
      <c r="W515">
        <v>4.3922419999999997E-2</v>
      </c>
      <c r="X515">
        <v>0.99902959999999996</v>
      </c>
      <c r="Y515">
        <v>2.8231820000000001E-2</v>
      </c>
      <c r="Z515">
        <v>3.520083E-4</v>
      </c>
      <c r="AA515">
        <v>0.99960139999999997</v>
      </c>
      <c r="AB515">
        <v>40</v>
      </c>
      <c r="AC515">
        <v>232.39959999999999</v>
      </c>
      <c r="AD515">
        <v>6.6162530000000004</v>
      </c>
      <c r="AE515">
        <v>-6.9762000000000004</v>
      </c>
      <c r="AF515">
        <v>6.5680662717226701</v>
      </c>
      <c r="AG515">
        <v>6.6162530000000004</v>
      </c>
      <c r="AH515">
        <v>232.22329463804101</v>
      </c>
      <c r="AI515">
        <v>88.368684580449198</v>
      </c>
      <c r="AJ515">
        <v>88.379911976028396</v>
      </c>
      <c r="AK515">
        <v>232.41035448287599</v>
      </c>
      <c r="AL515">
        <v>87.482620933788098</v>
      </c>
      <c r="AM515">
        <v>90.187984075794702</v>
      </c>
      <c r="AN515">
        <v>1.00000003221221</v>
      </c>
    </row>
    <row r="516" spans="1:40" x14ac:dyDescent="0.25">
      <c r="A516" t="str">
        <f>"20190312160312323"</f>
        <v>20190312160312323</v>
      </c>
      <c r="B516" t="str">
        <f>"1552377792315530"</f>
        <v>1552377792315530</v>
      </c>
      <c r="C516" t="s">
        <v>40</v>
      </c>
      <c r="D516">
        <v>4.4602680000000001</v>
      </c>
      <c r="E516">
        <v>0.51254179999999905</v>
      </c>
      <c r="F516" t="s">
        <v>42</v>
      </c>
      <c r="G516">
        <v>-170.08879999999999</v>
      </c>
      <c r="H516">
        <v>7.9317359999999999</v>
      </c>
      <c r="I516">
        <v>360.96660000000003</v>
      </c>
      <c r="J516">
        <v>-402.1395</v>
      </c>
      <c r="K516">
        <v>1.0591140000000001</v>
      </c>
      <c r="L516">
        <v>368.12950000000001</v>
      </c>
      <c r="M516">
        <v>0.99997150000000001</v>
      </c>
      <c r="N516">
        <v>0</v>
      </c>
      <c r="O516">
        <v>-1.7324179999999999E-3</v>
      </c>
      <c r="P516">
        <v>0.99931550000000002</v>
      </c>
      <c r="Q516">
        <v>3.6976549999999997E-2</v>
      </c>
      <c r="R516">
        <v>1.24468E-3</v>
      </c>
      <c r="S516">
        <v>2.9988709999999998</v>
      </c>
      <c r="T516">
        <v>8.868492E-2</v>
      </c>
      <c r="U516">
        <v>-9.2437740000000004E-2</v>
      </c>
      <c r="V516">
        <v>-2.9747409999999999E-3</v>
      </c>
      <c r="W516">
        <v>4.4332110000000001E-2</v>
      </c>
      <c r="X516">
        <v>0.99901240000000002</v>
      </c>
      <c r="Y516">
        <v>2.9065919999999999E-2</v>
      </c>
      <c r="Z516">
        <v>3.7837400000000001E-4</v>
      </c>
      <c r="AA516">
        <v>0.99957739999999995</v>
      </c>
      <c r="AB516">
        <v>40</v>
      </c>
      <c r="AC516">
        <v>232.05070000000001</v>
      </c>
      <c r="AD516">
        <v>6.8726219999999998</v>
      </c>
      <c r="AE516">
        <v>-7.1628999999999703</v>
      </c>
      <c r="AF516">
        <v>6.75495005041362</v>
      </c>
      <c r="AG516">
        <v>6.8726219999999998</v>
      </c>
      <c r="AH516">
        <v>231.85957672646001</v>
      </c>
      <c r="AI516">
        <v>88.3028947193813</v>
      </c>
      <c r="AJ516">
        <v>88.331228371089395</v>
      </c>
      <c r="AK516">
        <v>232.059745761974</v>
      </c>
      <c r="AL516">
        <v>87.459124406827797</v>
      </c>
      <c r="AM516">
        <v>90.170608093259304</v>
      </c>
      <c r="AN516">
        <v>0.99999998020741399</v>
      </c>
    </row>
    <row r="517" spans="1:40" x14ac:dyDescent="0.25">
      <c r="A517" t="str">
        <f>"20190312160312337"</f>
        <v>20190312160312337</v>
      </c>
      <c r="B517" t="str">
        <f>"1552377792325290"</f>
        <v>1552377792325290</v>
      </c>
      <c r="C517" t="s">
        <v>40</v>
      </c>
      <c r="D517">
        <v>4.3805670000000001</v>
      </c>
      <c r="E517">
        <v>0.51280579999999998</v>
      </c>
      <c r="F517" t="s">
        <v>42</v>
      </c>
      <c r="G517">
        <v>-170.08879999999999</v>
      </c>
      <c r="H517">
        <v>8.3313679999999994</v>
      </c>
      <c r="I517">
        <v>360.59370000000001</v>
      </c>
      <c r="J517">
        <v>-401.87900000000002</v>
      </c>
      <c r="K517">
        <v>1.0591120000000001</v>
      </c>
      <c r="L517">
        <v>368.12900000000002</v>
      </c>
      <c r="M517">
        <v>0.99997139999999995</v>
      </c>
      <c r="N517">
        <v>0</v>
      </c>
      <c r="O517">
        <v>-1.731984E-3</v>
      </c>
      <c r="P517">
        <v>0.99931689999999995</v>
      </c>
      <c r="Q517">
        <v>3.6943089999999998E-2</v>
      </c>
      <c r="R517">
        <v>1.132503E-3</v>
      </c>
      <c r="S517">
        <v>2.998688</v>
      </c>
      <c r="T517">
        <v>9.3977210000000005E-2</v>
      </c>
      <c r="U517">
        <v>-9.7381590000000004E-2</v>
      </c>
      <c r="V517">
        <v>-2.861845E-3</v>
      </c>
      <c r="W517">
        <v>4.4310189999999999E-2</v>
      </c>
      <c r="X517">
        <v>0.9990137</v>
      </c>
      <c r="Y517">
        <v>3.0712239999999998E-2</v>
      </c>
      <c r="Z517">
        <v>4.2675459999999999E-4</v>
      </c>
      <c r="AA517">
        <v>0.99952819999999998</v>
      </c>
      <c r="AB517">
        <v>40</v>
      </c>
      <c r="AC517">
        <v>231.7902</v>
      </c>
      <c r="AD517">
        <v>7.2722559999999996</v>
      </c>
      <c r="AE517">
        <v>-7.5353000000000003</v>
      </c>
      <c r="AF517">
        <v>7.1268130496273301</v>
      </c>
      <c r="AG517">
        <v>7.2722559999999996</v>
      </c>
      <c r="AH517">
        <v>231.575194024979</v>
      </c>
      <c r="AI517">
        <v>88.202157598438305</v>
      </c>
      <c r="AJ517">
        <v>88.237257366596907</v>
      </c>
      <c r="AK517">
        <v>231.79893800291799</v>
      </c>
      <c r="AL517">
        <v>87.460381559946498</v>
      </c>
      <c r="AM517">
        <v>90.164133076040201</v>
      </c>
      <c r="AN517">
        <v>0.99999997794116402</v>
      </c>
    </row>
    <row r="518" spans="1:40" x14ac:dyDescent="0.25">
      <c r="A518" t="str">
        <f>"20190312160312356"</f>
        <v>20190312160312356</v>
      </c>
      <c r="B518" t="str">
        <f>"1552377792344811"</f>
        <v>1552377792344811</v>
      </c>
      <c r="C518" t="s">
        <v>40</v>
      </c>
      <c r="D518">
        <v>4.433325</v>
      </c>
      <c r="E518">
        <v>0.51331939999999998</v>
      </c>
      <c r="F518" t="s">
        <v>42</v>
      </c>
      <c r="G518">
        <v>-170.08879999999999</v>
      </c>
      <c r="H518">
        <v>8.4568720000000006</v>
      </c>
      <c r="I518">
        <v>360.44119999999998</v>
      </c>
      <c r="J518">
        <v>-401.53019999999998</v>
      </c>
      <c r="K518">
        <v>1.059113</v>
      </c>
      <c r="L518">
        <v>368.1284</v>
      </c>
      <c r="M518">
        <v>0.99997119999999995</v>
      </c>
      <c r="N518">
        <v>0</v>
      </c>
      <c r="O518">
        <v>-1.7312060000000001E-3</v>
      </c>
      <c r="P518">
        <v>0.99932069999999995</v>
      </c>
      <c r="Q518">
        <v>3.6843809999999998E-2</v>
      </c>
      <c r="R518">
        <v>8.1153599999999996E-4</v>
      </c>
      <c r="S518">
        <v>2.9986570000000001</v>
      </c>
      <c r="T518">
        <v>9.5705509999999994E-2</v>
      </c>
      <c r="U518">
        <v>-9.9456790000000003E-2</v>
      </c>
      <c r="V518">
        <v>-2.5398310000000002E-3</v>
      </c>
      <c r="W518">
        <v>4.4225880000000002E-2</v>
      </c>
      <c r="X518">
        <v>0.99901830000000003</v>
      </c>
      <c r="Y518">
        <v>3.1403439999999998E-2</v>
      </c>
      <c r="Z518">
        <v>4.4564769999999999E-4</v>
      </c>
      <c r="AA518">
        <v>0.99950669999999997</v>
      </c>
      <c r="AB518">
        <v>41</v>
      </c>
      <c r="AC518">
        <v>231.44139999999999</v>
      </c>
      <c r="AD518">
        <v>7.3977589999999998</v>
      </c>
      <c r="AE518">
        <v>-7.6872000000000096</v>
      </c>
      <c r="AF518">
        <v>7.2790760515009696</v>
      </c>
      <c r="AG518">
        <v>7.3977589999999998</v>
      </c>
      <c r="AH518">
        <v>231.21838893540101</v>
      </c>
      <c r="AI518">
        <v>88.168371638255707</v>
      </c>
      <c r="AJ518">
        <v>88.196844807443</v>
      </c>
      <c r="AK518">
        <v>231.45119392275299</v>
      </c>
      <c r="AL518">
        <v>87.465216890948696</v>
      </c>
      <c r="AM518">
        <v>90.145664282080702</v>
      </c>
      <c r="AN518">
        <v>0.99999997146908604</v>
      </c>
    </row>
    <row r="519" spans="1:40" x14ac:dyDescent="0.25">
      <c r="A519" t="str">
        <f>"20190312160312377"</f>
        <v>20190312160312377</v>
      </c>
      <c r="B519" t="str">
        <f>"1552377792365306"</f>
        <v>1552377792365306</v>
      </c>
      <c r="C519" t="s">
        <v>40</v>
      </c>
      <c r="D519">
        <v>4.4523840000000003</v>
      </c>
      <c r="E519">
        <v>0.51375979999999999</v>
      </c>
      <c r="F519" t="s">
        <v>42</v>
      </c>
      <c r="G519">
        <v>-170.08879999999999</v>
      </c>
      <c r="H519">
        <v>8.4444189999999999</v>
      </c>
      <c r="I519">
        <v>360.04219999999998</v>
      </c>
      <c r="J519">
        <v>-401.14640000000003</v>
      </c>
      <c r="K519">
        <v>1.0592790000000001</v>
      </c>
      <c r="L519">
        <v>368.1277</v>
      </c>
      <c r="M519">
        <v>0.99996629999999997</v>
      </c>
      <c r="N519">
        <v>0</v>
      </c>
      <c r="O519">
        <v>-1.7308039999999901E-3</v>
      </c>
      <c r="P519">
        <v>0.99934310000000004</v>
      </c>
      <c r="Q519">
        <v>3.6236079999999997E-2</v>
      </c>
      <c r="R519">
        <v>6.720157E-4</v>
      </c>
      <c r="S519">
        <v>2.998596</v>
      </c>
      <c r="T519">
        <v>9.5686439999999998E-2</v>
      </c>
      <c r="U519">
        <v>-0.10476679999999999</v>
      </c>
      <c r="V519">
        <v>-2.4002519999999999E-3</v>
      </c>
      <c r="W519">
        <v>4.4254460000000002E-2</v>
      </c>
      <c r="X519">
        <v>0.99901740000000006</v>
      </c>
      <c r="Y519">
        <v>3.3171480000000003E-2</v>
      </c>
      <c r="Z519">
        <v>4.7376070000000001E-4</v>
      </c>
      <c r="AA519">
        <v>0.99944960000000005</v>
      </c>
      <c r="AB519">
        <v>41</v>
      </c>
      <c r="AC519">
        <v>231.05760000000001</v>
      </c>
      <c r="AD519">
        <v>7.3851399999999998</v>
      </c>
      <c r="AE519">
        <v>-8.0855000000000192</v>
      </c>
      <c r="AF519">
        <v>7.6777256910023697</v>
      </c>
      <c r="AG519">
        <v>7.3851399999999998</v>
      </c>
      <c r="AH519">
        <v>230.83571754147101</v>
      </c>
      <c r="AI519">
        <v>88.168570011650004</v>
      </c>
      <c r="AJ519">
        <v>88.095012440748803</v>
      </c>
      <c r="AK519">
        <v>231.081406126697</v>
      </c>
      <c r="AL519">
        <v>87.463577824738607</v>
      </c>
      <c r="AM519">
        <v>90.137659308783597</v>
      </c>
      <c r="AN519">
        <v>0.99999999197115697</v>
      </c>
    </row>
    <row r="520" spans="1:40" x14ac:dyDescent="0.25">
      <c r="A520" t="str">
        <f>"20190312160312389"</f>
        <v>20190312160312389</v>
      </c>
      <c r="B520" t="str">
        <f>"1552377792375066"</f>
        <v>1552377792375066</v>
      </c>
      <c r="C520" t="s">
        <v>40</v>
      </c>
      <c r="D520">
        <v>4.454758</v>
      </c>
      <c r="E520">
        <v>0.5140055</v>
      </c>
      <c r="F520" t="s">
        <v>42</v>
      </c>
      <c r="G520">
        <v>-170.08879999999999</v>
      </c>
      <c r="H520">
        <v>8.2364689999999996</v>
      </c>
      <c r="I520">
        <v>359.75400000000002</v>
      </c>
      <c r="J520">
        <v>-400.9348</v>
      </c>
      <c r="K520">
        <v>1.0595110000000001</v>
      </c>
      <c r="L520">
        <v>368.12740000000002</v>
      </c>
      <c r="M520">
        <v>0.99996019999999997</v>
      </c>
      <c r="N520">
        <v>0</v>
      </c>
      <c r="O520">
        <v>-1.7310800000000001E-3</v>
      </c>
      <c r="P520">
        <v>0.99937330000000002</v>
      </c>
      <c r="Q520">
        <v>3.5399060000000003E-2</v>
      </c>
      <c r="R520">
        <v>5.4553449999999895E-4</v>
      </c>
      <c r="S520">
        <v>2.9986269999999999</v>
      </c>
      <c r="T520">
        <v>9.3145489999999997E-2</v>
      </c>
      <c r="U520">
        <v>-0.10867309999999999</v>
      </c>
      <c r="V520">
        <v>-2.2745E-3</v>
      </c>
      <c r="W520">
        <v>4.416204E-2</v>
      </c>
      <c r="X520">
        <v>0.99902179999999996</v>
      </c>
      <c r="Y520">
        <v>3.4471349999999998E-2</v>
      </c>
      <c r="Z520">
        <v>4.813393E-4</v>
      </c>
      <c r="AA520">
        <v>0.99940560000000001</v>
      </c>
      <c r="AB520">
        <v>41</v>
      </c>
      <c r="AC520">
        <v>230.84599999999901</v>
      </c>
      <c r="AD520">
        <v>7.1769579999999902</v>
      </c>
      <c r="AE520">
        <v>-8.3734000000000002</v>
      </c>
      <c r="AF520">
        <v>7.9660695569727</v>
      </c>
      <c r="AG520">
        <v>7.1769579999999902</v>
      </c>
      <c r="AH520">
        <v>230.63751386195</v>
      </c>
      <c r="AI520">
        <v>88.218711596822402</v>
      </c>
      <c r="AJ520">
        <v>88.021827463006602</v>
      </c>
      <c r="AK520">
        <v>230.88661674237699</v>
      </c>
      <c r="AL520">
        <v>87.468878323385695</v>
      </c>
      <c r="AM520">
        <v>90.130446628225599</v>
      </c>
      <c r="AN520">
        <v>1.0000000080012199</v>
      </c>
    </row>
    <row r="521" spans="1:40" x14ac:dyDescent="0.25">
      <c r="A521" t="str">
        <f>"20190312160312401"</f>
        <v>20190312160312401</v>
      </c>
      <c r="B521" t="str">
        <f>"1552377792395562"</f>
        <v>1552377792395562</v>
      </c>
      <c r="C521" t="s">
        <v>40</v>
      </c>
      <c r="D521">
        <v>4.4651339999999999</v>
      </c>
      <c r="E521">
        <v>0.51438329999999999</v>
      </c>
      <c r="F521" t="s">
        <v>42</v>
      </c>
      <c r="G521">
        <v>-170.08879999999999</v>
      </c>
      <c r="H521">
        <v>8.1268799999999999</v>
      </c>
      <c r="I521">
        <v>359.56880000000001</v>
      </c>
      <c r="J521">
        <v>-400.71890000000002</v>
      </c>
      <c r="K521">
        <v>1.059925</v>
      </c>
      <c r="L521">
        <v>368.12700000000001</v>
      </c>
      <c r="M521">
        <v>0.9999517</v>
      </c>
      <c r="N521">
        <v>0</v>
      </c>
      <c r="O521">
        <v>-1.7310019999999999E-3</v>
      </c>
      <c r="P521">
        <v>0.99940660000000003</v>
      </c>
      <c r="Q521">
        <v>3.4438799999999999E-2</v>
      </c>
      <c r="R521">
        <v>7.3065949999999999E-4</v>
      </c>
      <c r="S521">
        <v>2.998688</v>
      </c>
      <c r="T521">
        <v>9.1806170000000006E-2</v>
      </c>
      <c r="U521">
        <v>-0.1111755</v>
      </c>
      <c r="V521">
        <v>-2.4593359999999999E-3</v>
      </c>
      <c r="W521">
        <v>4.4112489999999997E-2</v>
      </c>
      <c r="X521">
        <v>0.99902360000000001</v>
      </c>
      <c r="Y521">
        <v>3.5303620000000001E-2</v>
      </c>
      <c r="Z521">
        <v>4.8713929999999998E-4</v>
      </c>
      <c r="AA521">
        <v>0.9993765</v>
      </c>
      <c r="AB521">
        <v>40</v>
      </c>
      <c r="AC521">
        <v>230.6301</v>
      </c>
      <c r="AD521">
        <v>7.0669550000000001</v>
      </c>
      <c r="AE521">
        <v>-8.5581999999999407</v>
      </c>
      <c r="AF521">
        <v>8.1513043571829193</v>
      </c>
      <c r="AG521">
        <v>7.0669550000000001</v>
      </c>
      <c r="AH521">
        <v>230.428510933985</v>
      </c>
      <c r="AI521">
        <v>88.244457897548898</v>
      </c>
      <c r="AJ521">
        <v>87.974032502010004</v>
      </c>
      <c r="AK521">
        <v>230.680914396812</v>
      </c>
      <c r="AL521">
        <v>87.471720221901805</v>
      </c>
      <c r="AM521">
        <v>90.141047006858102</v>
      </c>
      <c r="AN521">
        <v>1.00000005673225</v>
      </c>
    </row>
    <row r="522" spans="1:40" x14ac:dyDescent="0.25">
      <c r="A522" t="str">
        <f>"20190312160312412"</f>
        <v>20190312160312412</v>
      </c>
      <c r="B522" t="str">
        <f>"1552377792405323"</f>
        <v>1552377792405323</v>
      </c>
      <c r="C522" t="s">
        <v>40</v>
      </c>
      <c r="D522">
        <v>4.467041</v>
      </c>
      <c r="E522">
        <v>0.51453260000000001</v>
      </c>
      <c r="F522" t="s">
        <v>42</v>
      </c>
      <c r="G522">
        <v>-170.08879999999999</v>
      </c>
      <c r="H522">
        <v>7.843235</v>
      </c>
      <c r="I522">
        <v>359.38690000000003</v>
      </c>
      <c r="J522">
        <v>-400.52269999999999</v>
      </c>
      <c r="K522">
        <v>1.0602780000000001</v>
      </c>
      <c r="L522">
        <v>368.12670000000003</v>
      </c>
      <c r="M522">
        <v>0.99994749999999999</v>
      </c>
      <c r="N522">
        <v>0</v>
      </c>
      <c r="O522">
        <v>-1.7310279999999999E-3</v>
      </c>
      <c r="P522">
        <v>0.99941809999999998</v>
      </c>
      <c r="Q522">
        <v>3.4097139999999998E-2</v>
      </c>
      <c r="R522">
        <v>9.8210110000000002E-4</v>
      </c>
      <c r="S522">
        <v>2.9988709999999998</v>
      </c>
      <c r="T522">
        <v>8.8204149999999995E-2</v>
      </c>
      <c r="U522">
        <v>-0.113647499999999</v>
      </c>
      <c r="V522">
        <v>-2.7108520000000001E-3</v>
      </c>
      <c r="W522">
        <v>4.4184899999999999E-2</v>
      </c>
      <c r="X522">
        <v>0.99901969999999995</v>
      </c>
      <c r="Y522">
        <v>3.6124799999999999E-2</v>
      </c>
      <c r="Z522">
        <v>4.8006749999999999E-4</v>
      </c>
      <c r="AA522">
        <v>0.99934719999999999</v>
      </c>
      <c r="AB522">
        <v>40</v>
      </c>
      <c r="AC522">
        <v>230.43389999999999</v>
      </c>
      <c r="AD522">
        <v>6.7829569999999997</v>
      </c>
      <c r="AE522">
        <v>-8.7398000000000007</v>
      </c>
      <c r="AF522">
        <v>8.3336686600355598</v>
      </c>
      <c r="AG522">
        <v>6.7829569999999997</v>
      </c>
      <c r="AH522">
        <v>230.249470383561</v>
      </c>
      <c r="AI522">
        <v>88.313705763957898</v>
      </c>
      <c r="AJ522">
        <v>87.927136588900893</v>
      </c>
      <c r="AK522">
        <v>230.50005889567501</v>
      </c>
      <c r="AL522">
        <v>87.467567260967797</v>
      </c>
      <c r="AM522">
        <v>90.155472406871098</v>
      </c>
      <c r="AN522">
        <v>1.0000000075473301</v>
      </c>
    </row>
    <row r="523" spans="1:40" x14ac:dyDescent="0.25">
      <c r="A523" t="str">
        <f>"20190312160312423"</f>
        <v>20190312160312423</v>
      </c>
      <c r="B523" t="str">
        <f>"1552377792415082"</f>
        <v>1552377792415082</v>
      </c>
      <c r="C523" t="s">
        <v>40</v>
      </c>
      <c r="D523">
        <v>4.4660640000000003</v>
      </c>
      <c r="E523">
        <v>0.51451440000000004</v>
      </c>
      <c r="F523" t="s">
        <v>42</v>
      </c>
      <c r="G523">
        <v>-170.08879999999999</v>
      </c>
      <c r="H523">
        <v>7.8224739999999997</v>
      </c>
      <c r="I523">
        <v>359.35890000000001</v>
      </c>
      <c r="J523">
        <v>-400.31420000000003</v>
      </c>
      <c r="K523">
        <v>1.0606260000000001</v>
      </c>
      <c r="L523">
        <v>368.12630000000001</v>
      </c>
      <c r="M523">
        <v>0.99994799999999995</v>
      </c>
      <c r="N523">
        <v>0</v>
      </c>
      <c r="O523">
        <v>-1.7308060000000001E-3</v>
      </c>
      <c r="P523">
        <v>0.99940830000000003</v>
      </c>
      <c r="Q523">
        <v>3.4380250000000001E-2</v>
      </c>
      <c r="R523">
        <v>1.105462E-3</v>
      </c>
      <c r="S523">
        <v>2.9988709999999998</v>
      </c>
      <c r="T523">
        <v>8.8004470000000001E-2</v>
      </c>
      <c r="U523">
        <v>-0.1141052</v>
      </c>
      <c r="V523">
        <v>-2.8342020000000001E-3</v>
      </c>
      <c r="W523">
        <v>4.4423570000000003E-2</v>
      </c>
      <c r="X523">
        <v>0.99900880000000003</v>
      </c>
      <c r="Y523">
        <v>3.6277339999999998E-2</v>
      </c>
      <c r="Z523">
        <v>4.8122330000000002E-4</v>
      </c>
      <c r="AA523">
        <v>0.9993417</v>
      </c>
      <c r="AB523">
        <v>40</v>
      </c>
      <c r="AC523">
        <v>230.22540000000001</v>
      </c>
      <c r="AD523">
        <v>6.7618479999999996</v>
      </c>
      <c r="AE523">
        <v>-8.7674000000000092</v>
      </c>
      <c r="AF523">
        <v>8.3616886435210809</v>
      </c>
      <c r="AG523">
        <v>6.7618479999999996</v>
      </c>
      <c r="AH523">
        <v>230.04207683000899</v>
      </c>
      <c r="AI523">
        <v>88.317445338873696</v>
      </c>
      <c r="AJ523">
        <v>87.918299777088507</v>
      </c>
      <c r="AK523">
        <v>230.29328591517799</v>
      </c>
      <c r="AL523">
        <v>87.453879105024896</v>
      </c>
      <c r="AM523">
        <v>90.162548495290594</v>
      </c>
      <c r="AN523">
        <v>1.00000003437498</v>
      </c>
    </row>
    <row r="524" spans="1:40" x14ac:dyDescent="0.25">
      <c r="A524" t="str">
        <f>"20190312160312435"</f>
        <v>20190312160312435</v>
      </c>
      <c r="B524" t="str">
        <f>"1552377792424842"</f>
        <v>1552377792424842</v>
      </c>
      <c r="C524" t="s">
        <v>40</v>
      </c>
      <c r="D524">
        <v>4.4675789999999997</v>
      </c>
      <c r="E524">
        <v>0.51418679999999894</v>
      </c>
      <c r="F524" t="s">
        <v>42</v>
      </c>
      <c r="G524">
        <v>-170.08879999999999</v>
      </c>
      <c r="H524">
        <v>7.7242600000000001</v>
      </c>
      <c r="I524">
        <v>359.40890000000002</v>
      </c>
      <c r="J524">
        <v>-400.11529999999999</v>
      </c>
      <c r="K524">
        <v>1.060962</v>
      </c>
      <c r="L524">
        <v>368.12599999999998</v>
      </c>
      <c r="M524">
        <v>0.9999538</v>
      </c>
      <c r="N524">
        <v>0</v>
      </c>
      <c r="O524">
        <v>-1.730589E-3</v>
      </c>
      <c r="P524">
        <v>0.99938850000000001</v>
      </c>
      <c r="Q524">
        <v>3.4941939999999998E-2</v>
      </c>
      <c r="R524">
        <v>1.3880699999999999E-3</v>
      </c>
      <c r="S524">
        <v>2.9989620000000001</v>
      </c>
      <c r="T524">
        <v>8.6802959999999998E-2</v>
      </c>
      <c r="U524">
        <v>-0.1135559</v>
      </c>
      <c r="V524">
        <v>-3.1162120000000001E-3</v>
      </c>
      <c r="W524">
        <v>4.4404510000000001E-2</v>
      </c>
      <c r="X524">
        <v>0.99900880000000003</v>
      </c>
      <c r="Y524">
        <v>3.6094099999999997E-2</v>
      </c>
      <c r="Z524">
        <v>4.7199939999999999E-4</v>
      </c>
      <c r="AA524">
        <v>0.99934829999999997</v>
      </c>
      <c r="AB524">
        <v>40</v>
      </c>
      <c r="AC524">
        <v>230.0265</v>
      </c>
      <c r="AD524">
        <v>6.6632980000000002</v>
      </c>
      <c r="AE524">
        <v>-8.7170999999999594</v>
      </c>
      <c r="AF524">
        <v>8.3120230575606406</v>
      </c>
      <c r="AG524">
        <v>6.6632980000000002</v>
      </c>
      <c r="AH524">
        <v>229.84864848702901</v>
      </c>
      <c r="AI524">
        <v>88.340548122418795</v>
      </c>
      <c r="AJ524">
        <v>87.928913650993294</v>
      </c>
      <c r="AK524">
        <v>230.095394301711</v>
      </c>
      <c r="AL524">
        <v>87.454972222157394</v>
      </c>
      <c r="AM524">
        <v>90.178722366193895</v>
      </c>
      <c r="AN524">
        <v>1.0000000268814999</v>
      </c>
    </row>
    <row r="525" spans="1:40" x14ac:dyDescent="0.25">
      <c r="A525" t="str">
        <f>"20190312160312447"</f>
        <v>20190312160312447</v>
      </c>
      <c r="B525" t="str">
        <f>"1552377792435416"</f>
        <v>1552377792435416</v>
      </c>
      <c r="C525" t="s">
        <v>40</v>
      </c>
      <c r="D525">
        <v>4.4983300000000002</v>
      </c>
      <c r="E525">
        <v>0.51385170000000002</v>
      </c>
      <c r="F525" t="s">
        <v>42</v>
      </c>
      <c r="G525">
        <v>-170.08879999999999</v>
      </c>
      <c r="H525">
        <v>7.710528</v>
      </c>
      <c r="I525">
        <v>359.65719999999999</v>
      </c>
      <c r="J525">
        <v>-399.90179999999998</v>
      </c>
      <c r="K525">
        <v>1.061321</v>
      </c>
      <c r="L525">
        <v>368.12560000000002</v>
      </c>
      <c r="M525">
        <v>0.9999614</v>
      </c>
      <c r="N525">
        <v>0</v>
      </c>
      <c r="O525">
        <v>-1.7298260000000001E-3</v>
      </c>
      <c r="P525">
        <v>0.99935499999999999</v>
      </c>
      <c r="Q525">
        <v>3.5874400000000001E-2</v>
      </c>
      <c r="R525">
        <v>1.6122210000000001E-3</v>
      </c>
      <c r="S525">
        <v>2.9989620000000001</v>
      </c>
      <c r="T525">
        <v>8.6694599999999997E-2</v>
      </c>
      <c r="U525">
        <v>-0.1104126</v>
      </c>
      <c r="V525">
        <v>-3.3396150000000002E-3</v>
      </c>
      <c r="W525">
        <v>4.448502E-2</v>
      </c>
      <c r="X525">
        <v>0.99900449999999996</v>
      </c>
      <c r="Y525">
        <v>3.5049339999999998E-2</v>
      </c>
      <c r="Z525">
        <v>4.5634929999999998E-4</v>
      </c>
      <c r="AA525">
        <v>0.99938550000000004</v>
      </c>
      <c r="AB525">
        <v>40</v>
      </c>
      <c r="AC525">
        <v>229.81299999999999</v>
      </c>
      <c r="AD525">
        <v>6.6492069999999996</v>
      </c>
      <c r="AE525">
        <v>-8.4684000000000292</v>
      </c>
      <c r="AF525">
        <v>8.0640945714098695</v>
      </c>
      <c r="AG525">
        <v>6.6492069999999996</v>
      </c>
      <c r="AH525">
        <v>229.63533264214001</v>
      </c>
      <c r="AI525">
        <v>88.342456353869196</v>
      </c>
      <c r="AJ525">
        <v>87.988772934701302</v>
      </c>
      <c r="AK525">
        <v>229.87306839351899</v>
      </c>
      <c r="AL525">
        <v>87.450354785610898</v>
      </c>
      <c r="AM525">
        <v>90.191535805817693</v>
      </c>
      <c r="AN525">
        <v>1.00000003052649</v>
      </c>
    </row>
    <row r="526" spans="1:40" x14ac:dyDescent="0.25">
      <c r="A526" t="str">
        <f>"20190312160312458"</f>
        <v>20190312160312458</v>
      </c>
      <c r="B526" t="str">
        <f>"1552377792445175"</f>
        <v>1552377792445175</v>
      </c>
      <c r="C526" t="s">
        <v>40</v>
      </c>
      <c r="D526">
        <v>4.4941570000000004</v>
      </c>
      <c r="E526">
        <v>0.513602</v>
      </c>
      <c r="F526" t="s">
        <v>42</v>
      </c>
      <c r="G526">
        <v>-170.08879999999999</v>
      </c>
      <c r="H526">
        <v>7.8077500000000004</v>
      </c>
      <c r="I526">
        <v>359.91019999999997</v>
      </c>
      <c r="J526">
        <v>-399.69979999999998</v>
      </c>
      <c r="K526">
        <v>1.0617859999999999</v>
      </c>
      <c r="L526">
        <v>368.12529999999998</v>
      </c>
      <c r="M526">
        <v>0.99997000000000003</v>
      </c>
      <c r="N526">
        <v>0</v>
      </c>
      <c r="O526">
        <v>-1.7291699999999999E-3</v>
      </c>
      <c r="P526">
        <v>0.99931449999999999</v>
      </c>
      <c r="Q526">
        <v>3.6974960000000001E-2</v>
      </c>
      <c r="R526">
        <v>1.916355E-3</v>
      </c>
      <c r="S526">
        <v>2.9989620000000001</v>
      </c>
      <c r="T526">
        <v>8.8039160000000005E-2</v>
      </c>
      <c r="U526">
        <v>-0.10720830000000001</v>
      </c>
      <c r="V526">
        <v>-3.6430479999999999E-3</v>
      </c>
      <c r="W526">
        <v>4.4543140000000002E-2</v>
      </c>
      <c r="X526">
        <v>0.99900080000000002</v>
      </c>
      <c r="Y526">
        <v>3.3983590000000001E-2</v>
      </c>
      <c r="Z526">
        <v>4.4781740000000001E-4</v>
      </c>
      <c r="AA526">
        <v>0.99942229999999999</v>
      </c>
      <c r="AB526">
        <v>40</v>
      </c>
      <c r="AC526">
        <v>229.61099999999999</v>
      </c>
      <c r="AD526">
        <v>6.7459639999999998</v>
      </c>
      <c r="AE526">
        <v>-8.2150999999999996</v>
      </c>
      <c r="AF526">
        <v>7.8113059838630097</v>
      </c>
      <c r="AG526">
        <v>6.7459639999999998</v>
      </c>
      <c r="AH526">
        <v>229.42707814614101</v>
      </c>
      <c r="AI526">
        <v>88.316762340606104</v>
      </c>
      <c r="AJ526">
        <v>88.050003277192801</v>
      </c>
      <c r="AK526">
        <v>229.65911416301</v>
      </c>
      <c r="AL526">
        <v>87.447021323726005</v>
      </c>
      <c r="AM526">
        <v>90.208939121680004</v>
      </c>
      <c r="AN526">
        <v>0.99999998076021401</v>
      </c>
    </row>
    <row r="527" spans="1:40" x14ac:dyDescent="0.25">
      <c r="A527" t="str">
        <f>"20190312160312470"</f>
        <v>20190312160312470</v>
      </c>
      <c r="B527" t="str">
        <f>"1552377792465672"</f>
        <v>1552377792465672</v>
      </c>
      <c r="C527" t="s">
        <v>40</v>
      </c>
      <c r="D527">
        <v>4.4562540000000004</v>
      </c>
      <c r="E527">
        <v>0.51308940000000003</v>
      </c>
      <c r="F527" t="s">
        <v>42</v>
      </c>
      <c r="G527">
        <v>-170.08879999999999</v>
      </c>
      <c r="H527">
        <v>8.1316429999999897</v>
      </c>
      <c r="I527">
        <v>360.17149999999998</v>
      </c>
      <c r="J527">
        <v>-399.48160000000001</v>
      </c>
      <c r="K527">
        <v>1.062327</v>
      </c>
      <c r="L527">
        <v>368.12490000000003</v>
      </c>
      <c r="M527">
        <v>0.99997789999999998</v>
      </c>
      <c r="N527">
        <v>0</v>
      </c>
      <c r="O527">
        <v>-1.728409E-3</v>
      </c>
      <c r="P527">
        <v>0.99927089999999996</v>
      </c>
      <c r="Q527">
        <v>3.8123690000000002E-2</v>
      </c>
      <c r="R527">
        <v>2.1086080000000001E-3</v>
      </c>
      <c r="S527">
        <v>2.9988709999999998</v>
      </c>
      <c r="T527">
        <v>9.2338089999999998E-2</v>
      </c>
      <c r="U527">
        <v>-0.1038818</v>
      </c>
      <c r="V527">
        <v>-3.8345419999999998E-3</v>
      </c>
      <c r="W527">
        <v>4.456123E-2</v>
      </c>
      <c r="X527">
        <v>0.99899930000000003</v>
      </c>
      <c r="Y527">
        <v>3.2877360000000001E-2</v>
      </c>
      <c r="Z527">
        <v>4.5269949999999999E-4</v>
      </c>
      <c r="AA527">
        <v>0.99945930000000005</v>
      </c>
      <c r="AB527">
        <v>41</v>
      </c>
      <c r="AC527">
        <v>229.39279999999999</v>
      </c>
      <c r="AD527">
        <v>7.0693159999999899</v>
      </c>
      <c r="AE527">
        <v>-7.9534000000000402</v>
      </c>
      <c r="AF527">
        <v>7.5497338508815703</v>
      </c>
      <c r="AG527">
        <v>7.0693159999999899</v>
      </c>
      <c r="AH527">
        <v>229.188800689413</v>
      </c>
      <c r="AI527">
        <v>88.234232137377404</v>
      </c>
      <c r="AJ527">
        <v>88.113295569593006</v>
      </c>
      <c r="AK527">
        <v>229.42205663662401</v>
      </c>
      <c r="AL527">
        <v>87.445983872685304</v>
      </c>
      <c r="AM527">
        <v>90.219922070015301</v>
      </c>
      <c r="AN527">
        <v>1.00000000416597</v>
      </c>
    </row>
    <row r="528" spans="1:40" x14ac:dyDescent="0.25">
      <c r="A528" t="str">
        <f>"20190312160312488"</f>
        <v>20190312160312488</v>
      </c>
      <c r="B528" t="str">
        <f>"1552377792485191"</f>
        <v>1552377792485191</v>
      </c>
      <c r="C528" t="s">
        <v>40</v>
      </c>
      <c r="D528">
        <v>4.470567</v>
      </c>
      <c r="E528">
        <v>0.51269039999999999</v>
      </c>
      <c r="F528" t="s">
        <v>42</v>
      </c>
      <c r="G528">
        <v>-170.08879999999999</v>
      </c>
      <c r="H528">
        <v>8.3052410000000005</v>
      </c>
      <c r="I528">
        <v>360.51229999999998</v>
      </c>
      <c r="J528">
        <v>-399.15280000000001</v>
      </c>
      <c r="K528">
        <v>1.0633360000000001</v>
      </c>
      <c r="L528">
        <v>368.12430000000001</v>
      </c>
      <c r="M528">
        <v>0.99998710000000002</v>
      </c>
      <c r="N528">
        <v>0</v>
      </c>
      <c r="O528">
        <v>-1.7264029999999901E-3</v>
      </c>
      <c r="P528">
        <v>0.99921219999999999</v>
      </c>
      <c r="Q528">
        <v>3.9603670000000001E-2</v>
      </c>
      <c r="R528">
        <v>2.612624E-3</v>
      </c>
      <c r="S528">
        <v>2.9988100000000002</v>
      </c>
      <c r="T528">
        <v>9.4686389999999995E-2</v>
      </c>
      <c r="U528">
        <v>-9.9517820000000007E-2</v>
      </c>
      <c r="V528">
        <v>-4.3361889999999998E-3</v>
      </c>
      <c r="W528">
        <v>4.4355440000000003E-2</v>
      </c>
      <c r="X528">
        <v>0.99900639999999996</v>
      </c>
      <c r="Y528">
        <v>3.1427209999999997E-2</v>
      </c>
      <c r="Z528">
        <v>4.414094E-4</v>
      </c>
      <c r="AA528">
        <v>0.99950589999999995</v>
      </c>
      <c r="AB528">
        <v>41</v>
      </c>
      <c r="AC528">
        <v>229.06399999999999</v>
      </c>
      <c r="AD528">
        <v>7.241905</v>
      </c>
      <c r="AE528">
        <v>-7.6120000000000196</v>
      </c>
      <c r="AF528">
        <v>7.2093294388955496</v>
      </c>
      <c r="AG528">
        <v>7.241905</v>
      </c>
      <c r="AH528">
        <v>228.848313760168</v>
      </c>
      <c r="AI528">
        <v>88.188378011118402</v>
      </c>
      <c r="AJ528">
        <v>88.195627573160095</v>
      </c>
      <c r="AK528">
        <v>229.07634170699501</v>
      </c>
      <c r="AL528">
        <v>87.457786423868498</v>
      </c>
      <c r="AM528">
        <v>90.248690867901999</v>
      </c>
      <c r="AN528">
        <v>0.99999999741679801</v>
      </c>
    </row>
    <row r="529" spans="1:40" x14ac:dyDescent="0.25">
      <c r="A529" t="str">
        <f>"20190312160312499"</f>
        <v>20190312160312499</v>
      </c>
      <c r="B529" t="str">
        <f>"1552377792494952"</f>
        <v>1552377792494952</v>
      </c>
      <c r="C529" t="s">
        <v>40</v>
      </c>
      <c r="D529">
        <v>4.5059420000000001</v>
      </c>
      <c r="E529">
        <v>0.51249270000000002</v>
      </c>
      <c r="F529" t="s">
        <v>42</v>
      </c>
      <c r="G529">
        <v>-168.84350000000001</v>
      </c>
      <c r="H529">
        <v>8.8090169999999901</v>
      </c>
      <c r="I529">
        <v>360.85820000000001</v>
      </c>
      <c r="J529">
        <v>-398.94369999999998</v>
      </c>
      <c r="K529">
        <v>1.0640849999999999</v>
      </c>
      <c r="L529">
        <v>368.12389999999999</v>
      </c>
      <c r="M529">
        <v>0.99999150000000003</v>
      </c>
      <c r="N529">
        <v>0</v>
      </c>
      <c r="O529">
        <v>-1.725103E-3</v>
      </c>
      <c r="P529">
        <v>0.99916899999999997</v>
      </c>
      <c r="Q529">
        <v>4.0665359999999998E-2</v>
      </c>
      <c r="R529">
        <v>2.7927669999999998E-3</v>
      </c>
      <c r="S529">
        <v>2.9986269999999999</v>
      </c>
      <c r="T529">
        <v>0.10084990000000001</v>
      </c>
      <c r="U529">
        <v>-9.4604489999999999E-2</v>
      </c>
      <c r="V529">
        <v>-4.5148109999999997E-3</v>
      </c>
      <c r="W529">
        <v>4.4423089999999998E-2</v>
      </c>
      <c r="X529">
        <v>0.99900259999999996</v>
      </c>
      <c r="Y529">
        <v>2.9793429999999999E-2</v>
      </c>
      <c r="Z529">
        <v>4.427527E-4</v>
      </c>
      <c r="AA529">
        <v>0.999556</v>
      </c>
      <c r="AB529">
        <v>41</v>
      </c>
      <c r="AC529">
        <v>230.1002</v>
      </c>
      <c r="AD529">
        <v>7.7449319999999897</v>
      </c>
      <c r="AE529">
        <v>-7.2656999999999803</v>
      </c>
      <c r="AF529">
        <v>6.8609746313591904</v>
      </c>
      <c r="AG529">
        <v>7.7449319999999897</v>
      </c>
      <c r="AH529">
        <v>229.85224576309301</v>
      </c>
      <c r="AI529">
        <v>88.070992283872002</v>
      </c>
      <c r="AJ529">
        <v>88.290257292881293</v>
      </c>
      <c r="AK529">
        <v>230.08501000046499</v>
      </c>
      <c r="AL529">
        <v>87.453906532901499</v>
      </c>
      <c r="AM529">
        <v>90.258936117392693</v>
      </c>
      <c r="AN529">
        <v>0.999999994625136</v>
      </c>
    </row>
    <row r="530" spans="1:40" x14ac:dyDescent="0.25">
      <c r="A530" t="str">
        <f>"20190312160312513"</f>
        <v>20190312160312513</v>
      </c>
      <c r="B530" t="str">
        <f>"1552377792505688"</f>
        <v>1552377792505688</v>
      </c>
      <c r="C530" t="s">
        <v>40</v>
      </c>
      <c r="D530">
        <v>4.497935</v>
      </c>
      <c r="E530">
        <v>0.51232869999999997</v>
      </c>
      <c r="F530" t="s">
        <v>42</v>
      </c>
      <c r="G530">
        <v>-168.84350000000001</v>
      </c>
      <c r="H530">
        <v>9.1047569999999993</v>
      </c>
      <c r="I530">
        <v>361.01170000000002</v>
      </c>
      <c r="J530">
        <v>-398.70150000000001</v>
      </c>
      <c r="K530">
        <v>1.0650269999999999</v>
      </c>
      <c r="L530">
        <v>368.12349999999998</v>
      </c>
      <c r="M530">
        <v>0.99999459999999996</v>
      </c>
      <c r="N530">
        <v>0</v>
      </c>
      <c r="O530">
        <v>-1.723519E-3</v>
      </c>
      <c r="P530">
        <v>0.99912179999999995</v>
      </c>
      <c r="Q530">
        <v>4.1795980000000003E-2</v>
      </c>
      <c r="R530">
        <v>2.9489809999999998E-3</v>
      </c>
      <c r="S530">
        <v>2.9984739999999999</v>
      </c>
      <c r="T530">
        <v>0.104780399999999</v>
      </c>
      <c r="U530">
        <v>-9.2681879999999994E-2</v>
      </c>
      <c r="V530">
        <v>-4.6691149999999997E-3</v>
      </c>
      <c r="W530">
        <v>4.4598859999999997E-2</v>
      </c>
      <c r="X530">
        <v>0.9989941</v>
      </c>
      <c r="Y530">
        <v>2.9155460000000001E-2</v>
      </c>
      <c r="Z530">
        <v>4.4894109999999999E-4</v>
      </c>
      <c r="AA530">
        <v>0.99957479999999999</v>
      </c>
      <c r="AB530">
        <v>41</v>
      </c>
      <c r="AC530">
        <v>229.858</v>
      </c>
      <c r="AD530">
        <v>8.0397300000000005</v>
      </c>
      <c r="AE530">
        <v>-7.1117999999999597</v>
      </c>
      <c r="AF530">
        <v>6.7074253300408504</v>
      </c>
      <c r="AG530">
        <v>8.0397300000000005</v>
      </c>
      <c r="AH530">
        <v>229.589308131433</v>
      </c>
      <c r="AI530">
        <v>87.995297618616405</v>
      </c>
      <c r="AJ530">
        <v>88.326586349832496</v>
      </c>
      <c r="AK530">
        <v>229.827929593644</v>
      </c>
      <c r="AL530">
        <v>87.443825766747295</v>
      </c>
      <c r="AM530">
        <v>90.267788003583107</v>
      </c>
      <c r="AN530">
        <v>1.00000003539149</v>
      </c>
    </row>
    <row r="531" spans="1:40" x14ac:dyDescent="0.25">
      <c r="A531" t="str">
        <f>"20190312160312526"</f>
        <v>20190312160312526</v>
      </c>
      <c r="B531" t="str">
        <f>"1552377792515448"</f>
        <v>1552377792515448</v>
      </c>
      <c r="C531" t="s">
        <v>40</v>
      </c>
      <c r="D531">
        <v>4.5145030000000004</v>
      </c>
      <c r="E531">
        <v>0.51211589999999996</v>
      </c>
      <c r="F531" t="s">
        <v>42</v>
      </c>
      <c r="G531">
        <v>-168.84350000000001</v>
      </c>
      <c r="H531">
        <v>9.4052150000000001</v>
      </c>
      <c r="I531">
        <v>361.18209999999999</v>
      </c>
      <c r="J531">
        <v>-398.45639999999997</v>
      </c>
      <c r="K531">
        <v>1.066093</v>
      </c>
      <c r="L531">
        <v>368.12310000000002</v>
      </c>
      <c r="M531">
        <v>0.99999629999999995</v>
      </c>
      <c r="N531">
        <v>0</v>
      </c>
      <c r="O531">
        <v>-1.7215939999999999E-3</v>
      </c>
      <c r="P531">
        <v>0.99908730000000001</v>
      </c>
      <c r="Q531">
        <v>4.2596530000000001E-2</v>
      </c>
      <c r="R531">
        <v>3.1694179999999998E-3</v>
      </c>
      <c r="S531">
        <v>2.9983219999999999</v>
      </c>
      <c r="T531">
        <v>0.1087924</v>
      </c>
      <c r="U531">
        <v>-9.0545650000000005E-2</v>
      </c>
      <c r="V531">
        <v>-4.8877369999999996E-3</v>
      </c>
      <c r="W531">
        <v>4.4718910000000001E-2</v>
      </c>
      <c r="X531">
        <v>0.99898770000000003</v>
      </c>
      <c r="Y531">
        <v>2.8446590000000001E-2</v>
      </c>
      <c r="Z531">
        <v>4.5336520000000002E-4</v>
      </c>
      <c r="AA531">
        <v>0.99959520000000002</v>
      </c>
      <c r="AB531">
        <v>41</v>
      </c>
      <c r="AC531">
        <v>229.6129</v>
      </c>
      <c r="AD531">
        <v>8.3391219999999997</v>
      </c>
      <c r="AE531">
        <v>-6.94100000000003</v>
      </c>
      <c r="AF531">
        <v>6.5370740520072399</v>
      </c>
      <c r="AG531">
        <v>8.3391219999999997</v>
      </c>
      <c r="AH531">
        <v>229.32230707225199</v>
      </c>
      <c r="AI531">
        <v>87.918247423266493</v>
      </c>
      <c r="AJ531">
        <v>88.367165601377394</v>
      </c>
      <c r="AK531">
        <v>229.56697239331299</v>
      </c>
      <c r="AL531">
        <v>87.436940571096599</v>
      </c>
      <c r="AM531">
        <v>90.280328243157896</v>
      </c>
      <c r="AN531">
        <v>1.0000000478179201</v>
      </c>
    </row>
    <row r="532" spans="1:40" x14ac:dyDescent="0.25">
      <c r="A532" t="str">
        <f>"20190312160312546"</f>
        <v>20190312160312546</v>
      </c>
      <c r="B532" t="str">
        <f>"1552377792534967"</f>
        <v>1552377792534967</v>
      </c>
      <c r="C532" t="s">
        <v>40</v>
      </c>
      <c r="D532">
        <v>4.5696659999999998</v>
      </c>
      <c r="E532">
        <v>0.51175669999999995</v>
      </c>
      <c r="F532" t="s">
        <v>42</v>
      </c>
      <c r="G532">
        <v>-168.84350000000001</v>
      </c>
      <c r="H532">
        <v>9.445919</v>
      </c>
      <c r="I532">
        <v>361.37610000000001</v>
      </c>
      <c r="J532">
        <v>-398.09719999999999</v>
      </c>
      <c r="K532">
        <v>1.0681689999999999</v>
      </c>
      <c r="L532">
        <v>368.1225</v>
      </c>
      <c r="M532">
        <v>0.99999669999999896</v>
      </c>
      <c r="N532">
        <v>0</v>
      </c>
      <c r="O532">
        <v>-1.7185359999999999E-3</v>
      </c>
      <c r="P532">
        <v>0.99905690000000003</v>
      </c>
      <c r="Q532">
        <v>4.3285520000000001E-2</v>
      </c>
      <c r="R532">
        <v>3.4355750000000002E-3</v>
      </c>
      <c r="S532">
        <v>2.9983520000000001</v>
      </c>
      <c r="T532">
        <v>0.10942730000000001</v>
      </c>
      <c r="U532">
        <v>-8.8104249999999995E-2</v>
      </c>
      <c r="V532">
        <v>-5.1510459999999899E-3</v>
      </c>
      <c r="W532">
        <v>4.5216699999999999E-2</v>
      </c>
      <c r="X532">
        <v>0.99896390000000002</v>
      </c>
      <c r="Y532">
        <v>2.763647E-2</v>
      </c>
      <c r="Z532">
        <v>4.4134680000000001E-4</v>
      </c>
      <c r="AA532">
        <v>0.99961789999999995</v>
      </c>
      <c r="AB532">
        <v>41</v>
      </c>
      <c r="AC532">
        <v>229.25370000000001</v>
      </c>
      <c r="AD532">
        <v>8.37774999999999</v>
      </c>
      <c r="AE532">
        <v>-6.7463999999999897</v>
      </c>
      <c r="AF532">
        <v>6.3439440011330701</v>
      </c>
      <c r="AG532">
        <v>8.37774999999999</v>
      </c>
      <c r="AH532">
        <v>228.959459965371</v>
      </c>
      <c r="AI532">
        <v>87.905254660054098</v>
      </c>
      <c r="AJ532">
        <v>88.412870808507606</v>
      </c>
      <c r="AK532">
        <v>229.20049438905301</v>
      </c>
      <c r="AL532">
        <v>87.408390245692601</v>
      </c>
      <c r="AM532">
        <v>90.295436682165004</v>
      </c>
      <c r="AN532">
        <v>0.99999997836849597</v>
      </c>
    </row>
    <row r="533" spans="1:40" x14ac:dyDescent="0.25">
      <c r="A533" t="str">
        <f>"20190312160312558"</f>
        <v>20190312160312558</v>
      </c>
      <c r="B533" t="str">
        <f>"1552377792555464"</f>
        <v>1552377792555464</v>
      </c>
      <c r="C533" t="s">
        <v>40</v>
      </c>
      <c r="D533">
        <v>4.5381720000000003</v>
      </c>
      <c r="E533">
        <v>0.51144920000000005</v>
      </c>
      <c r="F533" t="s">
        <v>42</v>
      </c>
      <c r="G533">
        <v>-168.84350000000001</v>
      </c>
      <c r="H533">
        <v>9.7087040000000009</v>
      </c>
      <c r="I533">
        <v>361.65190000000001</v>
      </c>
      <c r="J533">
        <v>-397.87049999999999</v>
      </c>
      <c r="K533">
        <v>1.069717</v>
      </c>
      <c r="L533">
        <v>368.12209999999999</v>
      </c>
      <c r="M533">
        <v>0.99999660000000001</v>
      </c>
      <c r="N533">
        <v>0</v>
      </c>
      <c r="O533">
        <v>-1.71696E-3</v>
      </c>
      <c r="P533">
        <v>0.99905600000000006</v>
      </c>
      <c r="Q533">
        <v>4.3303719999999997E-2</v>
      </c>
      <c r="R533">
        <v>3.4799660000000001E-3</v>
      </c>
      <c r="S533">
        <v>2.9982600000000001</v>
      </c>
      <c r="T533">
        <v>0.11300499999999999</v>
      </c>
      <c r="U533">
        <v>-8.4625240000000004E-2</v>
      </c>
      <c r="V533">
        <v>-5.193891E-3</v>
      </c>
      <c r="W533">
        <v>4.5326739999999997E-2</v>
      </c>
      <c r="X533">
        <v>0.99895869999999998</v>
      </c>
      <c r="Y533">
        <v>2.647967E-2</v>
      </c>
      <c r="Z533">
        <v>4.3405929999999998E-4</v>
      </c>
      <c r="AA533">
        <v>0.99964929999999996</v>
      </c>
      <c r="AB533">
        <v>41</v>
      </c>
      <c r="AC533">
        <v>229.02699999999999</v>
      </c>
      <c r="AD533">
        <v>8.6389869999999895</v>
      </c>
      <c r="AE533">
        <v>-6.47019999999997</v>
      </c>
      <c r="AF533">
        <v>6.0683322029043598</v>
      </c>
      <c r="AG533">
        <v>8.6389869999999895</v>
      </c>
      <c r="AH533">
        <v>228.71261241564801</v>
      </c>
      <c r="AI533">
        <v>87.837598887528799</v>
      </c>
      <c r="AJ533">
        <v>88.480152597894502</v>
      </c>
      <c r="AK533">
        <v>228.956143901187</v>
      </c>
      <c r="AL533">
        <v>87.402078969722496</v>
      </c>
      <c r="AM533">
        <v>90.297895550688096</v>
      </c>
      <c r="AN533">
        <v>0.999999987084218</v>
      </c>
    </row>
    <row r="534" spans="1:40" x14ac:dyDescent="0.25">
      <c r="A534" t="str">
        <f>"20190312160312570"</f>
        <v>20190312160312570</v>
      </c>
      <c r="B534" t="str">
        <f>"1552377792565224"</f>
        <v>1552377792565224</v>
      </c>
      <c r="C534" t="s">
        <v>40</v>
      </c>
      <c r="D534">
        <v>4.5764230000000001</v>
      </c>
      <c r="E534">
        <v>0.51130500000000001</v>
      </c>
      <c r="F534" t="s">
        <v>42</v>
      </c>
      <c r="G534">
        <v>-168.84350000000001</v>
      </c>
      <c r="H534">
        <v>9.8010850000000005</v>
      </c>
      <c r="I534">
        <v>361.8605</v>
      </c>
      <c r="J534">
        <v>-397.66309999999999</v>
      </c>
      <c r="K534">
        <v>1.0711740000000001</v>
      </c>
      <c r="L534">
        <v>368.12169999999998</v>
      </c>
      <c r="M534">
        <v>0.99999640000000001</v>
      </c>
      <c r="N534">
        <v>0</v>
      </c>
      <c r="O534">
        <v>-1.7153660000000001E-3</v>
      </c>
      <c r="P534">
        <v>0.99906150000000005</v>
      </c>
      <c r="Q534">
        <v>4.3174369999999997E-2</v>
      </c>
      <c r="R534">
        <v>3.4541039999999999E-3</v>
      </c>
      <c r="S534">
        <v>2.9981689999999999</v>
      </c>
      <c r="T534">
        <v>0.1143025</v>
      </c>
      <c r="U534">
        <v>-8.1970210000000002E-2</v>
      </c>
      <c r="V534">
        <v>-5.166276E-3</v>
      </c>
      <c r="W534">
        <v>4.5270049999999999E-2</v>
      </c>
      <c r="X534">
        <v>0.9989614</v>
      </c>
      <c r="Y534">
        <v>2.5597780000000001E-2</v>
      </c>
      <c r="Z534">
        <v>4.2231739999999999E-4</v>
      </c>
      <c r="AA534">
        <v>0.99967220000000001</v>
      </c>
      <c r="AB534">
        <v>41</v>
      </c>
      <c r="AC534">
        <v>228.81960000000001</v>
      </c>
      <c r="AD534">
        <v>8.7299109999999995</v>
      </c>
      <c r="AE534">
        <v>-6.2611999999999703</v>
      </c>
      <c r="AF534">
        <v>5.8601571018519296</v>
      </c>
      <c r="AG534">
        <v>8.7299109999999995</v>
      </c>
      <c r="AH534">
        <v>228.497658054521</v>
      </c>
      <c r="AI534">
        <v>87.812757790556404</v>
      </c>
      <c r="AJ534">
        <v>88.530887860167894</v>
      </c>
      <c r="AK534">
        <v>228.73944243118001</v>
      </c>
      <c r="AL534">
        <v>87.405330369213402</v>
      </c>
      <c r="AM534">
        <v>90.296310920179593</v>
      </c>
      <c r="AN534">
        <v>0.99999997326233403</v>
      </c>
    </row>
    <row r="535" spans="1:40" x14ac:dyDescent="0.25">
      <c r="A535" t="str">
        <f>"20190312160312580"</f>
        <v>20190312160312580</v>
      </c>
      <c r="B535" t="str">
        <f>"1552377792574984"</f>
        <v>1552377792574984</v>
      </c>
      <c r="C535" t="s">
        <v>40</v>
      </c>
      <c r="D535">
        <v>4.5616450000000004</v>
      </c>
      <c r="E535">
        <v>0.51115059999999901</v>
      </c>
      <c r="F535" t="s">
        <v>42</v>
      </c>
      <c r="G535">
        <v>-168.84350000000001</v>
      </c>
      <c r="H535">
        <v>9.8083080000000002</v>
      </c>
      <c r="I535">
        <v>361.9427</v>
      </c>
      <c r="J535">
        <v>-397.45240000000001</v>
      </c>
      <c r="K535">
        <v>1.072719</v>
      </c>
      <c r="L535">
        <v>368.12130000000002</v>
      </c>
      <c r="M535">
        <v>0.99999649999999995</v>
      </c>
      <c r="N535">
        <v>0</v>
      </c>
      <c r="O535">
        <v>-1.7140009999999999E-3</v>
      </c>
      <c r="P535">
        <v>0.99905679999999997</v>
      </c>
      <c r="Q535">
        <v>4.3286489999999997E-2</v>
      </c>
      <c r="R535">
        <v>3.4938170000000002E-3</v>
      </c>
      <c r="S535">
        <v>2.9981689999999999</v>
      </c>
      <c r="T535">
        <v>0.11448170000000001</v>
      </c>
      <c r="U535">
        <v>-8.0963129999999994E-2</v>
      </c>
      <c r="V535">
        <v>-5.2043699999999998E-3</v>
      </c>
      <c r="W535">
        <v>4.5331030000000001E-2</v>
      </c>
      <c r="X535">
        <v>0.99895849999999997</v>
      </c>
      <c r="Y535">
        <v>2.5263790000000001E-2</v>
      </c>
      <c r="Z535">
        <v>4.1665989999999998E-4</v>
      </c>
      <c r="AA535">
        <v>0.99968080000000004</v>
      </c>
      <c r="AB535">
        <v>41</v>
      </c>
      <c r="AC535">
        <v>228.60890000000001</v>
      </c>
      <c r="AD535">
        <v>8.7355889999999992</v>
      </c>
      <c r="AE535">
        <v>-6.1786000000000101</v>
      </c>
      <c r="AF535">
        <v>5.7783231725635904</v>
      </c>
      <c r="AG535">
        <v>8.7355889999999992</v>
      </c>
      <c r="AH535">
        <v>228.28606525666501</v>
      </c>
      <c r="AI535">
        <v>87.809291279834895</v>
      </c>
      <c r="AJ535">
        <v>88.550052310101094</v>
      </c>
      <c r="AK535">
        <v>228.52620664648899</v>
      </c>
      <c r="AL535">
        <v>87.401833045702702</v>
      </c>
      <c r="AM535">
        <v>90.298496622493104</v>
      </c>
      <c r="AN535">
        <v>1.0000000362351</v>
      </c>
    </row>
    <row r="536" spans="1:40" x14ac:dyDescent="0.25">
      <c r="A536" t="str">
        <f>"20190312160312592"</f>
        <v>20190312160312592</v>
      </c>
      <c r="B536" t="str">
        <f>"1552377792585719"</f>
        <v>1552377792585719</v>
      </c>
      <c r="C536" t="s">
        <v>40</v>
      </c>
      <c r="D536">
        <v>4.5513629999999896</v>
      </c>
      <c r="E536">
        <v>0.51105290000000003</v>
      </c>
      <c r="F536" t="s">
        <v>42</v>
      </c>
      <c r="G536">
        <v>-168.84350000000001</v>
      </c>
      <c r="H536">
        <v>9.7181010000000008</v>
      </c>
      <c r="I536">
        <v>362.05270000000002</v>
      </c>
      <c r="J536">
        <v>-397.24239999999998</v>
      </c>
      <c r="K536">
        <v>1.0742769999999999</v>
      </c>
      <c r="L536">
        <v>368.12099999999998</v>
      </c>
      <c r="M536">
        <v>0.99999660000000001</v>
      </c>
      <c r="N536">
        <v>0</v>
      </c>
      <c r="O536">
        <v>-1.712479E-3</v>
      </c>
      <c r="P536">
        <v>0.99906019999999895</v>
      </c>
      <c r="Q536">
        <v>4.3217150000000003E-2</v>
      </c>
      <c r="R536">
        <v>3.3302760000000001E-3</v>
      </c>
      <c r="S536">
        <v>2.9981689999999999</v>
      </c>
      <c r="T536">
        <v>0.1133839</v>
      </c>
      <c r="U536">
        <v>-7.9589839999999995E-2</v>
      </c>
      <c r="V536">
        <v>-5.0395910000000004E-3</v>
      </c>
      <c r="W536">
        <v>4.5171919999999997E-2</v>
      </c>
      <c r="X536">
        <v>0.99896649999999998</v>
      </c>
      <c r="Y536">
        <v>2.480839E-2</v>
      </c>
      <c r="Z536">
        <v>4.0412089999999998E-4</v>
      </c>
      <c r="AA536">
        <v>0.99969209999999997</v>
      </c>
      <c r="AB536">
        <v>41</v>
      </c>
      <c r="AC536">
        <v>228.3989</v>
      </c>
      <c r="AD536">
        <v>8.6438239999999897</v>
      </c>
      <c r="AE536">
        <v>-6.0682999999999598</v>
      </c>
      <c r="AF536">
        <v>5.6690481660506098</v>
      </c>
      <c r="AG536">
        <v>8.6438239999999897</v>
      </c>
      <c r="AH536">
        <v>228.08251246655601</v>
      </c>
      <c r="AI536">
        <v>87.8303244696191</v>
      </c>
      <c r="AJ536">
        <v>88.576192154767199</v>
      </c>
      <c r="AK536">
        <v>228.31663604194199</v>
      </c>
      <c r="AL536">
        <v>87.410958589568395</v>
      </c>
      <c r="AM536">
        <v>90.289043571796</v>
      </c>
      <c r="AN536">
        <v>0.99999998397809098</v>
      </c>
    </row>
    <row r="537" spans="1:40" x14ac:dyDescent="0.25">
      <c r="A537" t="str">
        <f>"20190312160312603"</f>
        <v>20190312160312603</v>
      </c>
      <c r="B537" t="str">
        <f>"1552377792595480"</f>
        <v>1552377792595480</v>
      </c>
      <c r="C537" t="s">
        <v>40</v>
      </c>
      <c r="D537">
        <v>4.570964</v>
      </c>
      <c r="E537">
        <v>0.51077399999999995</v>
      </c>
      <c r="F537" t="s">
        <v>42</v>
      </c>
      <c r="G537">
        <v>-168.84350000000001</v>
      </c>
      <c r="H537">
        <v>9.7130150000000004</v>
      </c>
      <c r="I537">
        <v>362.0788</v>
      </c>
      <c r="J537">
        <v>-397.03500000000003</v>
      </c>
      <c r="K537">
        <v>1.0758430000000001</v>
      </c>
      <c r="L537">
        <v>368.12060000000002</v>
      </c>
      <c r="M537">
        <v>0.99999700000000002</v>
      </c>
      <c r="N537">
        <v>0</v>
      </c>
      <c r="O537">
        <v>-1.7113979999999901E-3</v>
      </c>
      <c r="P537">
        <v>0.99906830000000002</v>
      </c>
      <c r="Q537">
        <v>4.3041629999999997E-2</v>
      </c>
      <c r="R537">
        <v>3.1559650000000002E-3</v>
      </c>
      <c r="S537">
        <v>2.9981689999999999</v>
      </c>
      <c r="T537">
        <v>0.1134009</v>
      </c>
      <c r="U537">
        <v>-7.9315189999999994E-2</v>
      </c>
      <c r="V537">
        <v>-4.8638880000000002E-3</v>
      </c>
      <c r="W537">
        <v>4.4864679999999997E-2</v>
      </c>
      <c r="X537">
        <v>0.99898120000000001</v>
      </c>
      <c r="Y537">
        <v>2.4718009999999999E-2</v>
      </c>
      <c r="Z537">
        <v>4.0251479999999998E-4</v>
      </c>
      <c r="AA537">
        <v>0.99969439999999998</v>
      </c>
      <c r="AB537">
        <v>41</v>
      </c>
      <c r="AC537">
        <v>228.19149999999999</v>
      </c>
      <c r="AD537">
        <v>8.6371719999999907</v>
      </c>
      <c r="AE537">
        <v>-6.0418000000000198</v>
      </c>
      <c r="AF537">
        <v>5.6431849540205796</v>
      </c>
      <c r="AG537">
        <v>8.6371719999999907</v>
      </c>
      <c r="AH537">
        <v>227.87526588221101</v>
      </c>
      <c r="AI537">
        <v>87.830017838455404</v>
      </c>
      <c r="AJ537">
        <v>88.581396681098994</v>
      </c>
      <c r="AK537">
        <v>228.10870890317</v>
      </c>
      <c r="AL537">
        <v>87.428579967911503</v>
      </c>
      <c r="AM537">
        <v>90.278962259103096</v>
      </c>
      <c r="AN537">
        <v>0.99999996743570896</v>
      </c>
    </row>
    <row r="538" spans="1:40" x14ac:dyDescent="0.25">
      <c r="A538" t="str">
        <f>"20190312160312615"</f>
        <v>20190312160312615</v>
      </c>
      <c r="B538" t="str">
        <f>"1552377792605239"</f>
        <v>1552377792605239</v>
      </c>
      <c r="C538" t="s">
        <v>40</v>
      </c>
      <c r="D538">
        <v>4.6389399999999998</v>
      </c>
      <c r="E538">
        <v>0.51077399999999995</v>
      </c>
      <c r="F538" t="s">
        <v>42</v>
      </c>
      <c r="G538">
        <v>-168.84350000000001</v>
      </c>
      <c r="H538">
        <v>9.60745</v>
      </c>
      <c r="I538">
        <v>362.20240000000001</v>
      </c>
      <c r="J538">
        <v>-396.83010000000002</v>
      </c>
      <c r="K538">
        <v>1.0774109999999999</v>
      </c>
      <c r="L538">
        <v>368.12029999999999</v>
      </c>
      <c r="M538">
        <v>0.99999729999999998</v>
      </c>
      <c r="N538">
        <v>0</v>
      </c>
      <c r="O538">
        <v>-1.7102339999999999E-3</v>
      </c>
      <c r="P538">
        <v>0.99905290000000002</v>
      </c>
      <c r="Q538">
        <v>4.3401740000000001E-2</v>
      </c>
      <c r="R538">
        <v>3.1605420000000001E-3</v>
      </c>
      <c r="S538">
        <v>2.9981689999999999</v>
      </c>
      <c r="T538">
        <v>0.1120964</v>
      </c>
      <c r="U538">
        <v>-7.7758789999999994E-2</v>
      </c>
      <c r="V538">
        <v>-4.8676420000000001E-3</v>
      </c>
      <c r="W538">
        <v>4.5124289999999997E-2</v>
      </c>
      <c r="X538">
        <v>0.99896949999999995</v>
      </c>
      <c r="Y538">
        <v>2.420131E-2</v>
      </c>
      <c r="Z538">
        <v>3.8827959999999999E-4</v>
      </c>
      <c r="AA538">
        <v>0.99970700000000001</v>
      </c>
      <c r="AB538">
        <v>41</v>
      </c>
      <c r="AC538">
        <v>227.98660000000001</v>
      </c>
      <c r="AD538">
        <v>8.5300390000000004</v>
      </c>
      <c r="AE538">
        <v>-5.9178999999999702</v>
      </c>
      <c r="AF538">
        <v>5.5202580642498402</v>
      </c>
      <c r="AG538">
        <v>8.5300390000000004</v>
      </c>
      <c r="AH538">
        <v>227.677885911289</v>
      </c>
      <c r="AI538">
        <v>87.855025041687099</v>
      </c>
      <c r="AJ538">
        <v>88.611083674406601</v>
      </c>
      <c r="AK538">
        <v>227.904485579972</v>
      </c>
      <c r="AL538">
        <v>87.413690359540198</v>
      </c>
      <c r="AM538">
        <v>90.2791808314023</v>
      </c>
      <c r="AN538">
        <v>0.99999997870844604</v>
      </c>
    </row>
    <row r="539" spans="1:40" x14ac:dyDescent="0.25">
      <c r="A539" t="str">
        <f>"20190312160312625"</f>
        <v>20190312160312625</v>
      </c>
      <c r="B539" t="str">
        <f>"1552377792615000"</f>
        <v>1552377792615000</v>
      </c>
      <c r="C539" t="s">
        <v>40</v>
      </c>
      <c r="D539">
        <v>4.0611139999999999</v>
      </c>
      <c r="E539">
        <v>0.43655270000000002</v>
      </c>
      <c r="F539" t="s">
        <v>42</v>
      </c>
      <c r="G539">
        <v>-168.84350000000001</v>
      </c>
      <c r="H539">
        <v>9.6816750000000003</v>
      </c>
      <c r="I539">
        <v>362.21660000000003</v>
      </c>
      <c r="J539">
        <v>-396.62920000000003</v>
      </c>
      <c r="K539">
        <v>1.0789629999999999</v>
      </c>
      <c r="L539">
        <v>368.11989999999997</v>
      </c>
      <c r="M539">
        <v>0.99999729999999998</v>
      </c>
      <c r="N539">
        <v>0</v>
      </c>
      <c r="O539">
        <v>-1.7089679999999999E-3</v>
      </c>
      <c r="P539">
        <v>0.99905840000000001</v>
      </c>
      <c r="Q539">
        <v>4.3259390000000002E-2</v>
      </c>
      <c r="R539">
        <v>3.2918130000000002E-3</v>
      </c>
      <c r="S539">
        <v>2.9981689999999999</v>
      </c>
      <c r="T539">
        <v>0.11315260000000001</v>
      </c>
      <c r="U539">
        <v>-7.7636720000000006E-2</v>
      </c>
      <c r="V539">
        <v>-4.9972590000000004E-3</v>
      </c>
      <c r="W539">
        <v>4.4896119999999998E-2</v>
      </c>
      <c r="X539">
        <v>0.99897919999999996</v>
      </c>
      <c r="Y539">
        <v>2.416163E-2</v>
      </c>
      <c r="Z539">
        <v>3.9123510000000001E-4</v>
      </c>
      <c r="AA539">
        <v>0.99970800000000004</v>
      </c>
      <c r="AB539">
        <v>41</v>
      </c>
      <c r="AC539">
        <v>227.78569999999999</v>
      </c>
      <c r="AD539">
        <v>8.6027120000000004</v>
      </c>
      <c r="AE539">
        <v>-5.9032999999999403</v>
      </c>
      <c r="AF539">
        <v>5.5061641279585203</v>
      </c>
      <c r="AG539">
        <v>8.6027120000000004</v>
      </c>
      <c r="AH539">
        <v>227.47122627645899</v>
      </c>
      <c r="AI539">
        <v>87.834802343488803</v>
      </c>
      <c r="AJ539">
        <v>88.613370243286994</v>
      </c>
      <c r="AK539">
        <v>227.70042441961999</v>
      </c>
      <c r="AL539">
        <v>87.4267769535696</v>
      </c>
      <c r="AM539">
        <v>90.286612035161596</v>
      </c>
      <c r="AN539">
        <v>1.0000000381106</v>
      </c>
    </row>
    <row r="540" spans="1:40" x14ac:dyDescent="0.25">
      <c r="A540" t="str">
        <f>"20190312160312879"</f>
        <v>20190312160312879</v>
      </c>
      <c r="B540" t="str">
        <f>"1552377792875591"</f>
        <v>1552377792875591</v>
      </c>
      <c r="C540" t="s">
        <v>40</v>
      </c>
      <c r="D540">
        <v>5.0955190000000004</v>
      </c>
      <c r="E540">
        <v>0.44836599999999999</v>
      </c>
      <c r="F540" t="s">
        <v>51</v>
      </c>
      <c r="G540">
        <v>-261.44670000000002</v>
      </c>
      <c r="H540">
        <v>11.68966</v>
      </c>
      <c r="I540">
        <v>391.75</v>
      </c>
      <c r="J540">
        <v>-391.8587</v>
      </c>
      <c r="K540">
        <v>1.1036170000000001</v>
      </c>
      <c r="L540">
        <v>368.11180000000002</v>
      </c>
      <c r="M540">
        <v>0.99998430000000005</v>
      </c>
      <c r="N540">
        <v>0</v>
      </c>
      <c r="O540">
        <v>-1.6812680000000001E-3</v>
      </c>
      <c r="P540">
        <v>0.99927999999999995</v>
      </c>
      <c r="Q540">
        <v>3.7927910000000002E-2</v>
      </c>
      <c r="R540">
        <v>1.0474449999999999E-3</v>
      </c>
      <c r="S540">
        <v>2.9909669999999999</v>
      </c>
      <c r="T540">
        <v>0.23476659999999999</v>
      </c>
      <c r="U540">
        <v>0.52282709999999999</v>
      </c>
      <c r="V540">
        <v>-2.7262050000000002E-3</v>
      </c>
      <c r="W540">
        <v>4.3269299999999997E-2</v>
      </c>
      <c r="X540">
        <v>0.99905969999999999</v>
      </c>
      <c r="Y540">
        <v>-0.1733247</v>
      </c>
      <c r="Z540">
        <v>-6.8717550000000002E-3</v>
      </c>
      <c r="AA540">
        <v>0.98484079999999996</v>
      </c>
      <c r="AB540">
        <v>42</v>
      </c>
      <c r="AC540">
        <v>130.41199999999901</v>
      </c>
      <c r="AD540">
        <v>10.586043</v>
      </c>
      <c r="AE540">
        <v>23.638199999999902</v>
      </c>
      <c r="AF540">
        <v>-23.7061913528293</v>
      </c>
      <c r="AG540">
        <v>10.586043</v>
      </c>
      <c r="AH540">
        <v>129.54562438463699</v>
      </c>
      <c r="AI540">
        <v>85.404336249555797</v>
      </c>
      <c r="AJ540">
        <v>100.370097627848</v>
      </c>
      <c r="AK540">
        <v>132.12159782586701</v>
      </c>
      <c r="AL540">
        <v>87.5200774211051</v>
      </c>
      <c r="AM540">
        <v>90.156346665660493</v>
      </c>
      <c r="AN540">
        <v>0.99999997434013999</v>
      </c>
    </row>
    <row r="541" spans="1:40" x14ac:dyDescent="0.25">
      <c r="A541" t="str">
        <f>"20190312160312890"</f>
        <v>20190312160312890</v>
      </c>
      <c r="B541" t="str">
        <f>"1552377792885353"</f>
        <v>1552377792885353</v>
      </c>
      <c r="C541" t="s">
        <v>40</v>
      </c>
      <c r="D541">
        <v>4.809787</v>
      </c>
      <c r="E541">
        <v>0.44836599999999999</v>
      </c>
      <c r="F541" t="s">
        <v>52</v>
      </c>
      <c r="G541">
        <v>-223.1044</v>
      </c>
      <c r="H541">
        <v>13.278689999999999</v>
      </c>
      <c r="I541">
        <v>391.87</v>
      </c>
      <c r="J541">
        <v>-391.64879999999999</v>
      </c>
      <c r="K541">
        <v>1.104082</v>
      </c>
      <c r="L541">
        <v>368.1114</v>
      </c>
      <c r="M541">
        <v>0.99998339999999997</v>
      </c>
      <c r="N541">
        <v>0</v>
      </c>
      <c r="O541">
        <v>-1.6801159999999999E-3</v>
      </c>
      <c r="P541">
        <v>0.99928519999999998</v>
      </c>
      <c r="Q541">
        <v>3.7794840000000003E-2</v>
      </c>
      <c r="R541">
        <v>8.0973399999999902E-4</v>
      </c>
      <c r="S541">
        <v>2.9935299999999998</v>
      </c>
      <c r="T541">
        <v>0.21597340000000001</v>
      </c>
      <c r="U541">
        <v>0.42144779999999998</v>
      </c>
      <c r="V541">
        <v>-2.4870560000000001E-3</v>
      </c>
      <c r="W541">
        <v>4.3282630000000002E-2</v>
      </c>
      <c r="X541">
        <v>0.99905980000000005</v>
      </c>
      <c r="Y541">
        <v>-0.1407119</v>
      </c>
      <c r="Z541">
        <v>-5.1650580000000001E-3</v>
      </c>
      <c r="AA541">
        <v>0.9900371</v>
      </c>
      <c r="AB541">
        <v>42</v>
      </c>
      <c r="AC541">
        <v>168.5444</v>
      </c>
      <c r="AD541">
        <v>12.174607999999999</v>
      </c>
      <c r="AE541">
        <v>23.758600000000001</v>
      </c>
      <c r="AF541">
        <v>-23.919371806559599</v>
      </c>
      <c r="AG541">
        <v>12.174607999999999</v>
      </c>
      <c r="AH541">
        <v>167.646553334766</v>
      </c>
      <c r="AI541">
        <v>85.887930965913995</v>
      </c>
      <c r="AJ541">
        <v>98.120008711811707</v>
      </c>
      <c r="AK541">
        <v>169.781401433139</v>
      </c>
      <c r="AL541">
        <v>87.519313084712095</v>
      </c>
      <c r="AM541">
        <v>90.142631620105504</v>
      </c>
      <c r="AN541">
        <v>1.0000000277416501</v>
      </c>
    </row>
    <row r="542" spans="1:40" x14ac:dyDescent="0.25">
      <c r="A542" t="str">
        <f>"20190312160312901"</f>
        <v>20190312160312901</v>
      </c>
      <c r="B542" t="str">
        <f>"1552377792895112"</f>
        <v>1552377792895112</v>
      </c>
      <c r="C542" t="s">
        <v>40</v>
      </c>
      <c r="D542">
        <v>4.7701570000000002</v>
      </c>
      <c r="E542">
        <v>0.51568170000000002</v>
      </c>
      <c r="F542" t="s">
        <v>52</v>
      </c>
      <c r="G542">
        <v>-222.62629999999999</v>
      </c>
      <c r="H542">
        <v>13.277699999999999</v>
      </c>
      <c r="I542">
        <v>391.87</v>
      </c>
      <c r="J542">
        <v>-391.42309999999998</v>
      </c>
      <c r="K542">
        <v>1.1045320000000001</v>
      </c>
      <c r="L542">
        <v>368.11099999999999</v>
      </c>
      <c r="M542">
        <v>0.99998279999999995</v>
      </c>
      <c r="N542">
        <v>0</v>
      </c>
      <c r="O542">
        <v>-1.6790990000000001E-3</v>
      </c>
      <c r="P542">
        <v>0.9992991</v>
      </c>
      <c r="Q542">
        <v>3.7430159999999997E-2</v>
      </c>
      <c r="R542">
        <v>8.9087719999999995E-4</v>
      </c>
      <c r="S542">
        <v>2.9936829999999999</v>
      </c>
      <c r="T542">
        <v>0.215616</v>
      </c>
      <c r="U542">
        <v>0.42080689999999998</v>
      </c>
      <c r="V542">
        <v>-2.5675899999999998E-3</v>
      </c>
      <c r="W542">
        <v>4.3065399999999997E-2</v>
      </c>
      <c r="X542">
        <v>0.99906899999999998</v>
      </c>
      <c r="Y542">
        <v>-0.14049790000000001</v>
      </c>
      <c r="Z542">
        <v>-5.1486149999999996E-3</v>
      </c>
      <c r="AA542">
        <v>0.99006760000000005</v>
      </c>
      <c r="AB542">
        <v>43</v>
      </c>
      <c r="AC542">
        <v>168.79679999999999</v>
      </c>
      <c r="AD542">
        <v>12.173168</v>
      </c>
      <c r="AE542">
        <v>23.759</v>
      </c>
      <c r="AF542">
        <v>-23.920406668375101</v>
      </c>
      <c r="AG542">
        <v>12.173168</v>
      </c>
      <c r="AH542">
        <v>167.90039828769801</v>
      </c>
      <c r="AI542">
        <v>85.894490814568897</v>
      </c>
      <c r="AJ542">
        <v>98.108241723913494</v>
      </c>
      <c r="AK542">
        <v>170.032101732303</v>
      </c>
      <c r="AL542">
        <v>87.531771102898603</v>
      </c>
      <c r="AM542">
        <v>90.147248835304396</v>
      </c>
      <c r="AN542">
        <v>1.0000000439782799</v>
      </c>
    </row>
    <row r="543" spans="1:40" x14ac:dyDescent="0.25">
      <c r="A543" t="str">
        <f>"20190312160312913"</f>
        <v>20190312160312913</v>
      </c>
      <c r="B543" t="str">
        <f>"1552377792904872"</f>
        <v>1552377792904872</v>
      </c>
      <c r="C543" t="s">
        <v>40</v>
      </c>
      <c r="D543">
        <v>4.7382679999999997</v>
      </c>
      <c r="E543">
        <v>0.52053159999999998</v>
      </c>
      <c r="F543" t="s">
        <v>41</v>
      </c>
      <c r="G543">
        <v>-213.7081</v>
      </c>
      <c r="H543" s="1">
        <v>-4.5734979999999999E-6</v>
      </c>
      <c r="I543">
        <v>360.42259999999999</v>
      </c>
      <c r="J543">
        <v>-391.20429999999999</v>
      </c>
      <c r="K543">
        <v>1.1049340000000001</v>
      </c>
      <c r="L543">
        <v>368.11070000000001</v>
      </c>
      <c r="M543">
        <v>0.99998209999999998</v>
      </c>
      <c r="N543">
        <v>0</v>
      </c>
      <c r="O543">
        <v>-1.6779410000000001E-3</v>
      </c>
      <c r="P543">
        <v>0.99930699999999995</v>
      </c>
      <c r="Q543">
        <v>3.7216640000000002E-2</v>
      </c>
      <c r="R543">
        <v>8.6268289999999904E-4</v>
      </c>
      <c r="S543">
        <v>3.0028990000000002</v>
      </c>
      <c r="T543">
        <v>-1.8663639999999999E-2</v>
      </c>
      <c r="U543">
        <v>-0.12991330000000001</v>
      </c>
      <c r="V543">
        <v>-2.5385389999999998E-3</v>
      </c>
      <c r="W543">
        <v>4.2988699999999998E-2</v>
      </c>
      <c r="X543">
        <v>0.99907230000000002</v>
      </c>
      <c r="Y543">
        <v>4.1544980000000002E-2</v>
      </c>
      <c r="Z543">
        <v>-1.1861990000000001E-4</v>
      </c>
      <c r="AA543">
        <v>0.99913660000000004</v>
      </c>
      <c r="AB543">
        <v>43</v>
      </c>
      <c r="AC543">
        <v>177.49619999999999</v>
      </c>
      <c r="AD543">
        <v>-1.104938573498</v>
      </c>
      <c r="AE543">
        <v>-7.6881000000000101</v>
      </c>
      <c r="AF543">
        <v>7.3899702709991502</v>
      </c>
      <c r="AG543">
        <v>-1.104938573498</v>
      </c>
      <c r="AH543">
        <v>177.501984773706</v>
      </c>
      <c r="AI543">
        <v>90.356349286945402</v>
      </c>
      <c r="AJ543">
        <v>87.615971875443407</v>
      </c>
      <c r="AK543">
        <v>177.65918819037299</v>
      </c>
      <c r="AL543">
        <v>87.536169571715405</v>
      </c>
      <c r="AM543">
        <v>90.145582314533101</v>
      </c>
      <c r="AN543">
        <v>0.99999996656761603</v>
      </c>
    </row>
    <row r="544" spans="1:40" x14ac:dyDescent="0.25">
      <c r="A544" t="str">
        <f>"20190312160312927"</f>
        <v>20190312160312927</v>
      </c>
      <c r="B544" t="str">
        <f>"1552377792915609"</f>
        <v>1552377792915609</v>
      </c>
      <c r="C544" t="s">
        <v>40</v>
      </c>
      <c r="D544">
        <v>4.7586879999999896</v>
      </c>
      <c r="E544">
        <v>0.52232159999999905</v>
      </c>
      <c r="F544" t="s">
        <v>41</v>
      </c>
      <c r="G544">
        <v>-266.30020000000002</v>
      </c>
      <c r="H544" s="1">
        <v>-3.5196869999999998E-6</v>
      </c>
      <c r="I544">
        <v>361.06760000000003</v>
      </c>
      <c r="J544">
        <v>-390.94659999999999</v>
      </c>
      <c r="K544">
        <v>1.1053789999999999</v>
      </c>
      <c r="L544">
        <v>368.11020000000002</v>
      </c>
      <c r="M544">
        <v>0.99998100000000001</v>
      </c>
      <c r="N544">
        <v>0</v>
      </c>
      <c r="O544">
        <v>-1.676369E-3</v>
      </c>
      <c r="P544">
        <v>0.99931519999999996</v>
      </c>
      <c r="Q544">
        <v>3.6990370000000002E-2</v>
      </c>
      <c r="R544">
        <v>9.8138080000000007E-4</v>
      </c>
      <c r="S544">
        <v>3.0032040000000002</v>
      </c>
      <c r="T544">
        <v>-2.6567219999999999E-2</v>
      </c>
      <c r="U544">
        <v>-0.16934199999999999</v>
      </c>
      <c r="V544">
        <v>-2.6552640000000001E-3</v>
      </c>
      <c r="W544">
        <v>4.2917719999999999E-2</v>
      </c>
      <c r="X544">
        <v>0.99907509999999999</v>
      </c>
      <c r="Y544">
        <v>5.462181E-2</v>
      </c>
      <c r="Z544">
        <v>-2.2658610000000001E-4</v>
      </c>
      <c r="AA544">
        <v>0.99850709999999998</v>
      </c>
      <c r="AB544">
        <v>43</v>
      </c>
      <c r="AC544">
        <v>124.64639999999901</v>
      </c>
      <c r="AD544">
        <v>-1.105382519687</v>
      </c>
      <c r="AE544">
        <v>-7.0425999999999904</v>
      </c>
      <c r="AF544">
        <v>6.8330973943379103</v>
      </c>
      <c r="AG544">
        <v>-1.105382519687</v>
      </c>
      <c r="AH544">
        <v>124.648259410313</v>
      </c>
      <c r="AI544">
        <v>90.507324785000904</v>
      </c>
      <c r="AJ544">
        <v>86.862241218043906</v>
      </c>
      <c r="AK544">
        <v>124.84030464772199</v>
      </c>
      <c r="AL544">
        <v>87.540240310385101</v>
      </c>
      <c r="AM544">
        <v>90.1522759024745</v>
      </c>
      <c r="AN544">
        <v>1.0000000182784501</v>
      </c>
    </row>
    <row r="545" spans="1:40" x14ac:dyDescent="0.25">
      <c r="A545" t="str">
        <f>"20190312160312947"</f>
        <v>20190312160312947</v>
      </c>
      <c r="B545" t="str">
        <f>"1552377792935128"</f>
        <v>1552377792935128</v>
      </c>
      <c r="C545" t="s">
        <v>40</v>
      </c>
      <c r="D545">
        <v>4.760383</v>
      </c>
      <c r="E545">
        <v>0.52465240000000002</v>
      </c>
      <c r="F545" t="s">
        <v>41</v>
      </c>
      <c r="G545">
        <v>-332.06060000000002</v>
      </c>
      <c r="H545" s="1">
        <v>-4.2985749999999998E-6</v>
      </c>
      <c r="I545">
        <v>364.48469999999998</v>
      </c>
      <c r="J545">
        <v>-390.57060000000001</v>
      </c>
      <c r="K545">
        <v>1.1059289999999999</v>
      </c>
      <c r="L545">
        <v>368.1096</v>
      </c>
      <c r="M545">
        <v>0.99997990000000003</v>
      </c>
      <c r="N545">
        <v>0</v>
      </c>
      <c r="O545">
        <v>-1.674493E-3</v>
      </c>
      <c r="P545">
        <v>0.99932739999999998</v>
      </c>
      <c r="Q545">
        <v>3.6659780000000003E-2</v>
      </c>
      <c r="R545">
        <v>1.0040989999999901E-3</v>
      </c>
      <c r="S545">
        <v>3.0043639999999998</v>
      </c>
      <c r="T545">
        <v>-5.6396599999999998E-2</v>
      </c>
      <c r="U545">
        <v>-0.18496699999999999</v>
      </c>
      <c r="V545">
        <v>-2.676239E-3</v>
      </c>
      <c r="W545">
        <v>4.2794329999999998E-2</v>
      </c>
      <c r="X545">
        <v>0.99908030000000003</v>
      </c>
      <c r="Y545">
        <v>5.9768139999999997E-2</v>
      </c>
      <c r="Z545">
        <v>-5.2899030000000001E-4</v>
      </c>
      <c r="AA545">
        <v>0.99821219999999999</v>
      </c>
      <c r="AB545">
        <v>43</v>
      </c>
      <c r="AC545">
        <v>58.509999999999899</v>
      </c>
      <c r="AD545">
        <v>-1.1059332985749999</v>
      </c>
      <c r="AE545">
        <v>-3.6249000000000202</v>
      </c>
      <c r="AF545">
        <v>3.52566369953326</v>
      </c>
      <c r="AG545">
        <v>-1.1059332985749999</v>
      </c>
      <c r="AH545">
        <v>58.4951692352112</v>
      </c>
      <c r="AI545">
        <v>91.081166524011905</v>
      </c>
      <c r="AJ545">
        <v>86.550799512549304</v>
      </c>
      <c r="AK545">
        <v>58.6117583496614</v>
      </c>
      <c r="AL545">
        <v>87.547316447191093</v>
      </c>
      <c r="AM545">
        <v>90.153477986619805</v>
      </c>
      <c r="AN545">
        <v>0.99999998139171198</v>
      </c>
    </row>
    <row r="546" spans="1:40" x14ac:dyDescent="0.25">
      <c r="A546" t="str">
        <f>"20190312160312960"</f>
        <v>20190312160312960</v>
      </c>
      <c r="B546" t="str">
        <f>"1552377792955624"</f>
        <v>1552377792955624</v>
      </c>
      <c r="C546" t="s">
        <v>40</v>
      </c>
      <c r="D546">
        <v>4.773428</v>
      </c>
      <c r="E546">
        <v>0.52724780000000004</v>
      </c>
      <c r="F546" t="s">
        <v>41</v>
      </c>
      <c r="G546">
        <v>-351.0865</v>
      </c>
      <c r="H546" s="1">
        <v>-4.5515639999999996E-6</v>
      </c>
      <c r="I546">
        <v>365.41430000000003</v>
      </c>
      <c r="J546">
        <v>-390.32069999999999</v>
      </c>
      <c r="K546">
        <v>1.1062510000000001</v>
      </c>
      <c r="L546">
        <v>368.10919999999999</v>
      </c>
      <c r="M546">
        <v>0.99997899999999995</v>
      </c>
      <c r="N546">
        <v>0</v>
      </c>
      <c r="O546">
        <v>-1.672977E-3</v>
      </c>
      <c r="P546">
        <v>0.99934369999999995</v>
      </c>
      <c r="Q546">
        <v>3.6192710000000003E-2</v>
      </c>
      <c r="R546">
        <v>1.524355E-3</v>
      </c>
      <c r="S546">
        <v>3.00528</v>
      </c>
      <c r="T546">
        <v>-8.4176420000000002E-2</v>
      </c>
      <c r="U546">
        <v>-0.20513919999999999</v>
      </c>
      <c r="V546">
        <v>-3.1950839999999999E-3</v>
      </c>
      <c r="W546">
        <v>4.2452280000000002E-2</v>
      </c>
      <c r="X546">
        <v>0.99909340000000002</v>
      </c>
      <c r="Y546">
        <v>6.6406640000000003E-2</v>
      </c>
      <c r="Z546">
        <v>-8.8195050000000001E-4</v>
      </c>
      <c r="AA546">
        <v>0.99779220000000002</v>
      </c>
      <c r="AB546">
        <v>43</v>
      </c>
      <c r="AC546">
        <v>39.234199999999902</v>
      </c>
      <c r="AD546">
        <v>-1.106255551564</v>
      </c>
      <c r="AE546">
        <v>-2.6948999999999601</v>
      </c>
      <c r="AF546">
        <v>2.6271781608994398</v>
      </c>
      <c r="AG546">
        <v>-1.106255551564</v>
      </c>
      <c r="AH546">
        <v>39.207628976555498</v>
      </c>
      <c r="AI546">
        <v>91.612575408343204</v>
      </c>
      <c r="AJ546">
        <v>86.166523037995702</v>
      </c>
      <c r="AK546">
        <v>39.3111184831684</v>
      </c>
      <c r="AL546">
        <v>87.566932373279897</v>
      </c>
      <c r="AM546">
        <v>90.183230320928601</v>
      </c>
      <c r="AN546">
        <v>1.0000000132812601</v>
      </c>
    </row>
    <row r="547" spans="1:40" x14ac:dyDescent="0.25">
      <c r="A547" t="str">
        <f>"20190312160312972"</f>
        <v>20190312160312972</v>
      </c>
      <c r="B547" t="str">
        <f>"1552377792965385"</f>
        <v>1552377792965385</v>
      </c>
      <c r="C547" t="s">
        <v>40</v>
      </c>
      <c r="D547">
        <v>4.7898759999999996</v>
      </c>
      <c r="E547">
        <v>0.52770779999999995</v>
      </c>
      <c r="F547" t="s">
        <v>41</v>
      </c>
      <c r="G547">
        <v>-350.27480000000003</v>
      </c>
      <c r="H547" s="1">
        <v>-4.9514809999999996E-6</v>
      </c>
      <c r="I547">
        <v>365.12270000000001</v>
      </c>
      <c r="J547">
        <v>-390.08420000000001</v>
      </c>
      <c r="K547">
        <v>1.10653</v>
      </c>
      <c r="L547">
        <v>368.1087</v>
      </c>
      <c r="M547">
        <v>0.99997829999999999</v>
      </c>
      <c r="N547">
        <v>0</v>
      </c>
      <c r="O547">
        <v>-1.671671E-3</v>
      </c>
      <c r="P547">
        <v>0.99934230000000002</v>
      </c>
      <c r="Q547">
        <v>3.6239979999999998E-2</v>
      </c>
      <c r="R547">
        <v>1.323999E-3</v>
      </c>
      <c r="S547">
        <v>3.0053100000000001</v>
      </c>
      <c r="T547">
        <v>-8.3020570000000002E-2</v>
      </c>
      <c r="U547">
        <v>-0.22412109999999999</v>
      </c>
      <c r="V547">
        <v>-2.9935439999999999E-3</v>
      </c>
      <c r="W547">
        <v>4.2614260000000001E-2</v>
      </c>
      <c r="X547">
        <v>0.99908710000000001</v>
      </c>
      <c r="Y547">
        <v>7.2674420000000003E-2</v>
      </c>
      <c r="Z547">
        <v>-9.5611290000000005E-4</v>
      </c>
      <c r="AA547">
        <v>0.99735529999999994</v>
      </c>
      <c r="AB547">
        <v>43</v>
      </c>
      <c r="AC547">
        <v>39.809399999999897</v>
      </c>
      <c r="AD547">
        <v>-1.1065349514809999</v>
      </c>
      <c r="AE547">
        <v>-2.98599999999999</v>
      </c>
      <c r="AF547">
        <v>2.9172050115828099</v>
      </c>
      <c r="AG547">
        <v>-1.1065349514809999</v>
      </c>
      <c r="AH547">
        <v>39.783770802991</v>
      </c>
      <c r="AI547">
        <v>91.588934684719803</v>
      </c>
      <c r="AJ547">
        <v>85.806206149094905</v>
      </c>
      <c r="AK547">
        <v>39.905925925648901</v>
      </c>
      <c r="AL547">
        <v>87.557643127495496</v>
      </c>
      <c r="AM547">
        <v>90.171673644582796</v>
      </c>
      <c r="AN547">
        <v>0.999999984923718</v>
      </c>
    </row>
    <row r="548" spans="1:40" x14ac:dyDescent="0.25">
      <c r="A548" t="str">
        <f>"20190312160312985"</f>
        <v>20190312160312985</v>
      </c>
      <c r="B548" t="str">
        <f>"1552377792975144"</f>
        <v>1552377792975144</v>
      </c>
      <c r="C548" t="s">
        <v>40</v>
      </c>
      <c r="D548">
        <v>4.7489039999999996</v>
      </c>
      <c r="E548">
        <v>0.52818940000000003</v>
      </c>
      <c r="F548" t="s">
        <v>41</v>
      </c>
      <c r="G548">
        <v>-348.95600000000002</v>
      </c>
      <c r="H548" s="1">
        <v>-1.6172679999999999E-6</v>
      </c>
      <c r="I548">
        <v>364.9855</v>
      </c>
      <c r="J548">
        <v>-389.82589999999999</v>
      </c>
      <c r="K548">
        <v>1.106811</v>
      </c>
      <c r="L548">
        <v>368.10829999999999</v>
      </c>
      <c r="M548">
        <v>0.99997760000000002</v>
      </c>
      <c r="N548">
        <v>0</v>
      </c>
      <c r="O548">
        <v>-1.670146E-3</v>
      </c>
      <c r="P548">
        <v>0.99935510000000005</v>
      </c>
      <c r="Q548">
        <v>3.5876129999999999E-2</v>
      </c>
      <c r="R548">
        <v>1.551979E-3</v>
      </c>
      <c r="S548">
        <v>3.0052189999999999</v>
      </c>
      <c r="T548">
        <v>-8.0853699999999903E-2</v>
      </c>
      <c r="U548">
        <v>-0.22821040000000001</v>
      </c>
      <c r="V548">
        <v>-3.220344E-3</v>
      </c>
      <c r="W548">
        <v>4.2368429999999999E-2</v>
      </c>
      <c r="X548">
        <v>0.99909689999999995</v>
      </c>
      <c r="Y548">
        <v>7.4028540000000004E-2</v>
      </c>
      <c r="Z548">
        <v>-9.4937549999999998E-4</v>
      </c>
      <c r="AA548">
        <v>0.99725569999999997</v>
      </c>
      <c r="AB548">
        <v>43</v>
      </c>
      <c r="AC548">
        <v>40.869900000000001</v>
      </c>
      <c r="AD548">
        <v>-1.106812617268</v>
      </c>
      <c r="AE548">
        <v>-3.1227999999999798</v>
      </c>
      <c r="AF548">
        <v>3.0523099391674999</v>
      </c>
      <c r="AG548">
        <v>-1.106812617268</v>
      </c>
      <c r="AH548">
        <v>40.845276576606899</v>
      </c>
      <c r="AI548">
        <v>91.547889528256405</v>
      </c>
      <c r="AJ548">
        <v>85.726310630880903</v>
      </c>
      <c r="AK548">
        <v>40.974116814813698</v>
      </c>
      <c r="AL548">
        <v>87.571741003571603</v>
      </c>
      <c r="AM548">
        <v>90.184678263735805</v>
      </c>
      <c r="AN548">
        <v>1.0000000350328699</v>
      </c>
    </row>
    <row r="549" spans="1:40" x14ac:dyDescent="0.25">
      <c r="A549" t="str">
        <f>"20190312160313003"</f>
        <v>20190312160313003</v>
      </c>
      <c r="B549" t="str">
        <f>"1552377792995640"</f>
        <v>1552377792995640</v>
      </c>
      <c r="C549" t="s">
        <v>40</v>
      </c>
      <c r="D549">
        <v>4.8175600000000003</v>
      </c>
      <c r="E549">
        <v>0.52866859999999904</v>
      </c>
      <c r="F549" t="s">
        <v>41</v>
      </c>
      <c r="G549">
        <v>-349.50810000000001</v>
      </c>
      <c r="H549" s="1">
        <v>-1.40152E-6</v>
      </c>
      <c r="I549">
        <v>364.99959999999999</v>
      </c>
      <c r="J549">
        <v>-389.49009999999998</v>
      </c>
      <c r="K549">
        <v>1.107124</v>
      </c>
      <c r="L549">
        <v>368.1078</v>
      </c>
      <c r="M549">
        <v>0.99997659999999999</v>
      </c>
      <c r="N549">
        <v>0</v>
      </c>
      <c r="O549">
        <v>-1.6679889999999999E-3</v>
      </c>
      <c r="P549">
        <v>0.99938550000000004</v>
      </c>
      <c r="Q549">
        <v>3.5025349999999997E-2</v>
      </c>
      <c r="R549">
        <v>1.4344099999999999E-3</v>
      </c>
      <c r="S549">
        <v>3.00528</v>
      </c>
      <c r="T549">
        <v>-8.2501409999999997E-2</v>
      </c>
      <c r="U549">
        <v>-0.23172000000000001</v>
      </c>
      <c r="V549">
        <v>-3.100383E-3</v>
      </c>
      <c r="W549">
        <v>4.1659050000000003E-2</v>
      </c>
      <c r="X549">
        <v>0.99912710000000005</v>
      </c>
      <c r="Y549">
        <v>7.5185399999999999E-2</v>
      </c>
      <c r="Z549">
        <v>-9.8456470000000008E-4</v>
      </c>
      <c r="AA549">
        <v>0.99716910000000003</v>
      </c>
      <c r="AB549">
        <v>43</v>
      </c>
      <c r="AC549">
        <v>39.9819999999999</v>
      </c>
      <c r="AD549">
        <v>-1.1071254015200001</v>
      </c>
      <c r="AE549">
        <v>-3.1082000000000098</v>
      </c>
      <c r="AF549">
        <v>3.0391883152536501</v>
      </c>
      <c r="AG549">
        <v>-1.1071254015200001</v>
      </c>
      <c r="AH549">
        <v>39.956675438280101</v>
      </c>
      <c r="AI549">
        <v>91.582584700722293</v>
      </c>
      <c r="AJ549">
        <v>85.650338494531198</v>
      </c>
      <c r="AK549">
        <v>40.087383356242199</v>
      </c>
      <c r="AL549">
        <v>87.612421379482598</v>
      </c>
      <c r="AM549">
        <v>90.177793486539699</v>
      </c>
      <c r="AN549">
        <v>1.0000000253880199</v>
      </c>
    </row>
    <row r="550" spans="1:40" x14ac:dyDescent="0.25">
      <c r="A550" t="str">
        <f>"20190312160313016"</f>
        <v>20190312160313016</v>
      </c>
      <c r="B550" t="str">
        <f>"1552377793005401"</f>
        <v>1552377793005401</v>
      </c>
      <c r="C550" t="s">
        <v>40</v>
      </c>
      <c r="D550">
        <v>4.8464340000000004</v>
      </c>
      <c r="E550">
        <v>0.52845969999999998</v>
      </c>
      <c r="F550" t="s">
        <v>41</v>
      </c>
      <c r="G550">
        <v>-353.774</v>
      </c>
      <c r="H550" s="1">
        <v>-3.4183400000000002E-6</v>
      </c>
      <c r="I550">
        <v>365.3032</v>
      </c>
      <c r="J550">
        <v>-389.2423</v>
      </c>
      <c r="K550">
        <v>1.1073219999999999</v>
      </c>
      <c r="L550">
        <v>368.10739999999998</v>
      </c>
      <c r="M550">
        <v>0.99997599999999998</v>
      </c>
      <c r="N550">
        <v>0</v>
      </c>
      <c r="O550">
        <v>-1.666407E-3</v>
      </c>
      <c r="P550">
        <v>0.99939290000000003</v>
      </c>
      <c r="Q550">
        <v>3.4811740000000001E-2</v>
      </c>
      <c r="R550">
        <v>1.419336E-3</v>
      </c>
      <c r="S550">
        <v>3.0054319999999999</v>
      </c>
      <c r="T550">
        <v>-9.3161939999999999E-2</v>
      </c>
      <c r="U550">
        <v>-0.23599239999999999</v>
      </c>
      <c r="V550">
        <v>-3.0832469999999999E-3</v>
      </c>
      <c r="W550">
        <v>4.1541849999999998E-2</v>
      </c>
      <c r="X550">
        <v>0.99913200000000002</v>
      </c>
      <c r="Y550">
        <v>7.6583799999999994E-2</v>
      </c>
      <c r="Z550">
        <v>-1.133296E-3</v>
      </c>
      <c r="AA550">
        <v>0.99706249999999996</v>
      </c>
      <c r="AB550">
        <v>43</v>
      </c>
      <c r="AC550">
        <v>35.468299999999999</v>
      </c>
      <c r="AD550">
        <v>-1.1073254183400001</v>
      </c>
      <c r="AE550">
        <v>-2.8041999999999798</v>
      </c>
      <c r="AF550">
        <v>2.7424337084549899</v>
      </c>
      <c r="AG550">
        <v>-1.1073254183400001</v>
      </c>
      <c r="AH550">
        <v>35.438596463238802</v>
      </c>
      <c r="AI550">
        <v>91.784368050084197</v>
      </c>
      <c r="AJ550">
        <v>85.574956215463203</v>
      </c>
      <c r="AK550">
        <v>35.561794548527097</v>
      </c>
      <c r="AL550">
        <v>87.619142184581605</v>
      </c>
      <c r="AM550">
        <v>90.176809950571993</v>
      </c>
      <c r="AN550">
        <v>0.99999999256874195</v>
      </c>
    </row>
    <row r="551" spans="1:40" x14ac:dyDescent="0.25">
      <c r="A551" t="str">
        <f>"20190312160313027"</f>
        <v>20190312160313027</v>
      </c>
      <c r="B551" t="str">
        <f>"1552377793015159"</f>
        <v>1552377793015159</v>
      </c>
      <c r="C551" t="s">
        <v>40</v>
      </c>
      <c r="D551">
        <v>4.7941279999999997</v>
      </c>
      <c r="E551">
        <v>0.52884549999999997</v>
      </c>
      <c r="F551" t="s">
        <v>41</v>
      </c>
      <c r="G551">
        <v>-356.40410000000003</v>
      </c>
      <c r="H551" s="1">
        <v>-2.293319E-6</v>
      </c>
      <c r="I551">
        <v>365.54399999999998</v>
      </c>
      <c r="J551">
        <v>-389.012</v>
      </c>
      <c r="K551">
        <v>1.107497</v>
      </c>
      <c r="L551">
        <v>368.10700000000003</v>
      </c>
      <c r="M551">
        <v>0.99997539999999996</v>
      </c>
      <c r="N551">
        <v>0</v>
      </c>
      <c r="O551">
        <v>-1.6650339999999999E-3</v>
      </c>
      <c r="P551">
        <v>0.99940079999999998</v>
      </c>
      <c r="Q551">
        <v>3.4582729999999999E-2</v>
      </c>
      <c r="R551">
        <v>1.4788519999999999E-3</v>
      </c>
      <c r="S551">
        <v>3.0056759999999998</v>
      </c>
      <c r="T551">
        <v>-0.1013529</v>
      </c>
      <c r="U551">
        <v>-0.2346191</v>
      </c>
      <c r="V551">
        <v>-3.1413890000000001E-3</v>
      </c>
      <c r="W551">
        <v>4.1399869999999998E-2</v>
      </c>
      <c r="X551">
        <v>0.99913770000000002</v>
      </c>
      <c r="Y551">
        <v>7.6119770000000003E-2</v>
      </c>
      <c r="Z551">
        <v>-1.225042E-3</v>
      </c>
      <c r="AA551">
        <v>0.99709789999999998</v>
      </c>
      <c r="AB551">
        <v>43</v>
      </c>
      <c r="AC551">
        <v>32.607899999999901</v>
      </c>
      <c r="AD551">
        <v>-1.107499293319</v>
      </c>
      <c r="AE551">
        <v>-2.56299999999993</v>
      </c>
      <c r="AF551">
        <v>2.5058290421002898</v>
      </c>
      <c r="AG551">
        <v>-1.107499293319</v>
      </c>
      <c r="AH551">
        <v>32.574776055613299</v>
      </c>
      <c r="AI551">
        <v>91.941499113527797</v>
      </c>
      <c r="AJ551">
        <v>85.601159940258796</v>
      </c>
      <c r="AK551">
        <v>32.689780802971001</v>
      </c>
      <c r="AL551">
        <v>87.627284015246005</v>
      </c>
      <c r="AM551">
        <v>90.180143075803102</v>
      </c>
      <c r="AN551">
        <v>0.99999998056107797</v>
      </c>
    </row>
    <row r="552" spans="1:40" x14ac:dyDescent="0.25">
      <c r="A552" t="str">
        <f>"20190312160313039"</f>
        <v>20190312160313039</v>
      </c>
      <c r="B552" t="str">
        <f>"1552377793035656"</f>
        <v>1552377793035656</v>
      </c>
      <c r="C552" t="s">
        <v>40</v>
      </c>
      <c r="D552">
        <v>4.7917449999999997</v>
      </c>
      <c r="E552">
        <v>0.52904779999999996</v>
      </c>
      <c r="F552" t="s">
        <v>41</v>
      </c>
      <c r="G552">
        <v>-358.46620000000001</v>
      </c>
      <c r="H552" s="1">
        <v>-1.553168E-6</v>
      </c>
      <c r="I552">
        <v>365.68830000000003</v>
      </c>
      <c r="J552">
        <v>-388.7901</v>
      </c>
      <c r="K552">
        <v>1.1076410000000001</v>
      </c>
      <c r="L552">
        <v>368.10660000000001</v>
      </c>
      <c r="M552">
        <v>0.9999749</v>
      </c>
      <c r="N552">
        <v>0</v>
      </c>
      <c r="O552">
        <v>-1.6636279999999999E-3</v>
      </c>
      <c r="P552">
        <v>0.99939690000000003</v>
      </c>
      <c r="Q552">
        <v>3.4708999999999997E-2</v>
      </c>
      <c r="R552">
        <v>1.317882E-3</v>
      </c>
      <c r="S552">
        <v>3.00589</v>
      </c>
      <c r="T552">
        <v>-0.1089844</v>
      </c>
      <c r="U552">
        <v>-0.23800660000000001</v>
      </c>
      <c r="V552">
        <v>-2.9798559999999999E-3</v>
      </c>
      <c r="W552">
        <v>4.160283E-2</v>
      </c>
      <c r="X552">
        <v>0.99912979999999996</v>
      </c>
      <c r="Y552">
        <v>7.7225100000000005E-2</v>
      </c>
      <c r="Z552">
        <v>-1.3371240000000001E-3</v>
      </c>
      <c r="AA552">
        <v>0.99701280000000003</v>
      </c>
      <c r="AB552">
        <v>43</v>
      </c>
      <c r="AC552">
        <v>30.323899999999899</v>
      </c>
      <c r="AD552">
        <v>-1.1076425531680001</v>
      </c>
      <c r="AE552">
        <v>-2.4182999999999799</v>
      </c>
      <c r="AF552">
        <v>2.3647126475099101</v>
      </c>
      <c r="AG552">
        <v>-1.1076425531680001</v>
      </c>
      <c r="AH552">
        <v>30.2877260167879</v>
      </c>
      <c r="AI552">
        <v>92.088063124756204</v>
      </c>
      <c r="AJ552">
        <v>85.535691294978307</v>
      </c>
      <c r="AK552">
        <v>30.400083638024601</v>
      </c>
      <c r="AL552">
        <v>87.6156453210248</v>
      </c>
      <c r="AM552">
        <v>90.170881367100293</v>
      </c>
      <c r="AN552">
        <v>1.00000001612691</v>
      </c>
    </row>
    <row r="553" spans="1:40" x14ac:dyDescent="0.25">
      <c r="A553" t="str">
        <f>"20190312160313051"</f>
        <v>20190312160313051</v>
      </c>
      <c r="B553" t="str">
        <f>"1552377793045417"</f>
        <v>1552377793045417</v>
      </c>
      <c r="C553" t="s">
        <v>40</v>
      </c>
      <c r="D553">
        <v>4.8496199999999998</v>
      </c>
      <c r="E553">
        <v>0.52877850000000004</v>
      </c>
      <c r="F553" t="s">
        <v>41</v>
      </c>
      <c r="G553">
        <v>-358.96420000000001</v>
      </c>
      <c r="H553" s="1">
        <v>-1.374088E-6</v>
      </c>
      <c r="I553">
        <v>365.7244</v>
      </c>
      <c r="J553">
        <v>-388.56799999999998</v>
      </c>
      <c r="K553">
        <v>1.107783</v>
      </c>
      <c r="L553">
        <v>368.1062</v>
      </c>
      <c r="M553">
        <v>0.99997429999999998</v>
      </c>
      <c r="N553">
        <v>0</v>
      </c>
      <c r="O553">
        <v>-1.6622189999999999E-3</v>
      </c>
      <c r="P553">
        <v>0.9993995</v>
      </c>
      <c r="Q553">
        <v>3.4621590000000001E-2</v>
      </c>
      <c r="R553">
        <v>1.334184E-3</v>
      </c>
      <c r="S553">
        <v>3.0059809999999998</v>
      </c>
      <c r="T553">
        <v>-0.1116327</v>
      </c>
      <c r="U553">
        <v>-0.24008180000000001</v>
      </c>
      <c r="V553">
        <v>-2.9941490000000002E-3</v>
      </c>
      <c r="W553">
        <v>4.1589960000000002E-2</v>
      </c>
      <c r="X553">
        <v>0.99913019999999997</v>
      </c>
      <c r="Y553">
        <v>7.7905180000000004E-2</v>
      </c>
      <c r="Z553">
        <v>-1.382171E-3</v>
      </c>
      <c r="AA553">
        <v>0.99695979999999995</v>
      </c>
      <c r="AB553">
        <v>43</v>
      </c>
      <c r="AC553">
        <v>29.6038</v>
      </c>
      <c r="AD553">
        <v>-1.107784374088</v>
      </c>
      <c r="AE553">
        <v>-2.3817999999999899</v>
      </c>
      <c r="AF553">
        <v>2.3293467492150501</v>
      </c>
      <c r="AG553">
        <v>-1.107784374088</v>
      </c>
      <c r="AH553">
        <v>29.566582987263999</v>
      </c>
      <c r="AI553">
        <v>92.139100878194398</v>
      </c>
      <c r="AJ553">
        <v>85.495365858230301</v>
      </c>
      <c r="AK553">
        <v>29.678879224801001</v>
      </c>
      <c r="AL553">
        <v>87.616383134662996</v>
      </c>
      <c r="AM553">
        <v>90.1717009328637</v>
      </c>
      <c r="AN553">
        <v>0.99999992312653496</v>
      </c>
    </row>
    <row r="554" spans="1:40" x14ac:dyDescent="0.25">
      <c r="A554" t="str">
        <f>"20190312160313062"</f>
        <v>20190312160313062</v>
      </c>
      <c r="B554" t="str">
        <f>"1552377793055177"</f>
        <v>1552377793055177</v>
      </c>
      <c r="C554" t="s">
        <v>40</v>
      </c>
      <c r="D554">
        <v>4.9069770000000004</v>
      </c>
      <c r="E554">
        <v>0.52878809999999998</v>
      </c>
      <c r="F554" t="s">
        <v>41</v>
      </c>
      <c r="G554">
        <v>-360.54700000000003</v>
      </c>
      <c r="H554" s="1">
        <v>-4.6995609999999998E-6</v>
      </c>
      <c r="I554">
        <v>365.88459999999998</v>
      </c>
      <c r="J554">
        <v>-388.32799999999997</v>
      </c>
      <c r="K554">
        <v>1.107915</v>
      </c>
      <c r="L554">
        <v>368.10590000000002</v>
      </c>
      <c r="M554">
        <v>0.99997400000000003</v>
      </c>
      <c r="N554">
        <v>0</v>
      </c>
      <c r="O554">
        <v>-1.660934E-3</v>
      </c>
      <c r="P554">
        <v>0.99940819999999997</v>
      </c>
      <c r="Q554">
        <v>3.4370449999999997E-2</v>
      </c>
      <c r="R554">
        <v>1.5003880000000001E-3</v>
      </c>
      <c r="S554">
        <v>3.0062259999999998</v>
      </c>
      <c r="T554">
        <v>-0.11884840000000001</v>
      </c>
      <c r="U554">
        <v>-0.23834230000000001</v>
      </c>
      <c r="V554">
        <v>-3.1590149999999998E-3</v>
      </c>
      <c r="W554">
        <v>4.1413690000000003E-2</v>
      </c>
      <c r="X554">
        <v>0.9991371</v>
      </c>
      <c r="Y554">
        <v>7.7320260000000002E-2</v>
      </c>
      <c r="Z554">
        <v>-1.45987E-3</v>
      </c>
      <c r="AA554">
        <v>0.99700520000000004</v>
      </c>
      <c r="AB554">
        <v>43</v>
      </c>
      <c r="AC554">
        <v>27.780999999999999</v>
      </c>
      <c r="AD554">
        <v>-1.1079196995609999</v>
      </c>
      <c r="AE554">
        <v>-2.2213000000000398</v>
      </c>
      <c r="AF554">
        <v>2.17172131382025</v>
      </c>
      <c r="AG554">
        <v>-1.1079196995609999</v>
      </c>
      <c r="AH554">
        <v>27.740811027005101</v>
      </c>
      <c r="AI554">
        <v>92.280109187021196</v>
      </c>
      <c r="AJ554">
        <v>85.523663809484603</v>
      </c>
      <c r="AK554">
        <v>27.847736998930099</v>
      </c>
      <c r="AL554">
        <v>87.626491575053294</v>
      </c>
      <c r="AM554">
        <v>90.181153941534703</v>
      </c>
      <c r="AN554">
        <v>1.0000000088457901</v>
      </c>
    </row>
    <row r="555" spans="1:40" x14ac:dyDescent="0.25">
      <c r="A555" t="str">
        <f>"20190312160313081"</f>
        <v>20190312160313081</v>
      </c>
      <c r="B555" t="str">
        <f>"1552377793075673"</f>
        <v>1552377793075673</v>
      </c>
      <c r="C555" t="s">
        <v>40</v>
      </c>
      <c r="D555">
        <v>4.8933489999999997</v>
      </c>
      <c r="E555">
        <v>0.52831450000000002</v>
      </c>
      <c r="F555" t="s">
        <v>41</v>
      </c>
      <c r="G555">
        <v>-360.89089999999999</v>
      </c>
      <c r="H555" s="1">
        <v>-4.5437180000000003E-6</v>
      </c>
      <c r="I555">
        <v>365.9314</v>
      </c>
      <c r="J555">
        <v>-387.98750000000001</v>
      </c>
      <c r="K555">
        <v>1.108082</v>
      </c>
      <c r="L555">
        <v>368.1053</v>
      </c>
      <c r="M555">
        <v>0.99997320000000001</v>
      </c>
      <c r="N555">
        <v>0</v>
      </c>
      <c r="O555">
        <v>-1.6585459999999999E-3</v>
      </c>
      <c r="P555">
        <v>0.99940399999999996</v>
      </c>
      <c r="Q555">
        <v>3.4504970000000003E-2</v>
      </c>
      <c r="R555">
        <v>1.1626729999999999E-3</v>
      </c>
      <c r="S555">
        <v>3.0063170000000001</v>
      </c>
      <c r="T555">
        <v>-0.1213958</v>
      </c>
      <c r="U555">
        <v>-0.23825070000000001</v>
      </c>
      <c r="V555">
        <v>-2.8188190000000002E-3</v>
      </c>
      <c r="W555">
        <v>4.1647610000000002E-2</v>
      </c>
      <c r="X555">
        <v>0.99912840000000003</v>
      </c>
      <c r="Y555">
        <v>7.7287579999999995E-2</v>
      </c>
      <c r="Z555">
        <v>-1.490531E-3</v>
      </c>
      <c r="AA555">
        <v>0.99700770000000005</v>
      </c>
      <c r="AB555">
        <v>43</v>
      </c>
      <c r="AC555">
        <v>27.096599999999999</v>
      </c>
      <c r="AD555">
        <v>-1.1080865437180001</v>
      </c>
      <c r="AE555">
        <v>-2.1739000000000002</v>
      </c>
      <c r="AF555">
        <v>2.1254232665631401</v>
      </c>
      <c r="AG555">
        <v>-1.1080865437180001</v>
      </c>
      <c r="AH555">
        <v>27.0552128855715</v>
      </c>
      <c r="AI555">
        <v>92.338127487694393</v>
      </c>
      <c r="AJ555">
        <v>85.508141415738905</v>
      </c>
      <c r="AK555">
        <v>27.161182303684999</v>
      </c>
      <c r="AL555">
        <v>87.613077386351307</v>
      </c>
      <c r="AM555">
        <v>90.161646894837403</v>
      </c>
      <c r="AN555">
        <v>1.00000001442291</v>
      </c>
    </row>
    <row r="556" spans="1:40" x14ac:dyDescent="0.25">
      <c r="A556" t="str">
        <f>"20190312160313092"</f>
        <v>20190312160313092</v>
      </c>
      <c r="B556" t="str">
        <f>"1552377793085432"</f>
        <v>1552377793085432</v>
      </c>
      <c r="C556" t="s">
        <v>40</v>
      </c>
      <c r="D556">
        <v>4.842149</v>
      </c>
      <c r="E556">
        <v>0.52841439999999995</v>
      </c>
      <c r="F556" t="s">
        <v>41</v>
      </c>
      <c r="G556">
        <v>-362.75470000000001</v>
      </c>
      <c r="H556" s="1">
        <v>-3.7100289999999998E-6</v>
      </c>
      <c r="I556">
        <v>366.12380000000002</v>
      </c>
      <c r="J556">
        <v>-387.77600000000001</v>
      </c>
      <c r="K556">
        <v>1.108176</v>
      </c>
      <c r="L556">
        <v>368.10489999999999</v>
      </c>
      <c r="M556">
        <v>0.99997270000000005</v>
      </c>
      <c r="N556">
        <v>0</v>
      </c>
      <c r="O556">
        <v>-1.6573250000000001E-3</v>
      </c>
      <c r="P556">
        <v>0.99941899999999995</v>
      </c>
      <c r="Q556">
        <v>3.4066609999999997E-2</v>
      </c>
      <c r="R556">
        <v>1.2480950000000001E-3</v>
      </c>
      <c r="S556">
        <v>3.0066220000000001</v>
      </c>
      <c r="T556">
        <v>-0.1320335</v>
      </c>
      <c r="U556">
        <v>-0.23608399999999999</v>
      </c>
      <c r="V556">
        <v>-2.9036679999999999E-3</v>
      </c>
      <c r="W556">
        <v>4.1267419999999999E-2</v>
      </c>
      <c r="X556">
        <v>0.99914389999999997</v>
      </c>
      <c r="Y556">
        <v>7.6556250000000006E-2</v>
      </c>
      <c r="Z556">
        <v>-1.60493299999999E-3</v>
      </c>
      <c r="AA556">
        <v>0.99706399999999995</v>
      </c>
      <c r="AB556">
        <v>43</v>
      </c>
      <c r="AC556">
        <v>25.0213</v>
      </c>
      <c r="AD556">
        <v>-1.1081797100290001</v>
      </c>
      <c r="AE556">
        <v>-1.9810999999999599</v>
      </c>
      <c r="AF556">
        <v>1.9358541487268699</v>
      </c>
      <c r="AG556">
        <v>-1.1081797100290001</v>
      </c>
      <c r="AH556">
        <v>24.9758627112409</v>
      </c>
      <c r="AI556">
        <v>92.532961747219304</v>
      </c>
      <c r="AJ556">
        <v>85.567922687287194</v>
      </c>
      <c r="AK556">
        <v>25.0752729142798</v>
      </c>
      <c r="AL556">
        <v>87.634879335936802</v>
      </c>
      <c r="AM556">
        <v>90.166510002355693</v>
      </c>
      <c r="AN556">
        <v>0.99999998207426</v>
      </c>
    </row>
    <row r="557" spans="1:40" x14ac:dyDescent="0.25">
      <c r="A557" t="str">
        <f>"20190312160313103"</f>
        <v>20190312160313103</v>
      </c>
      <c r="B557" t="str">
        <f>"1552377793095192"</f>
        <v>1552377793095192</v>
      </c>
      <c r="C557" t="s">
        <v>40</v>
      </c>
      <c r="D557">
        <v>4.8558810000000001</v>
      </c>
      <c r="E557">
        <v>0.52855600000000003</v>
      </c>
      <c r="F557" t="s">
        <v>41</v>
      </c>
      <c r="G557">
        <v>-362.99669999999998</v>
      </c>
      <c r="H557" s="1">
        <v>-3.6003780000000001E-6</v>
      </c>
      <c r="I557">
        <v>366.15679999999998</v>
      </c>
      <c r="J557">
        <v>-387.5609</v>
      </c>
      <c r="K557">
        <v>1.1082590000000001</v>
      </c>
      <c r="L557">
        <v>368.10449999999997</v>
      </c>
      <c r="M557">
        <v>0.99997230000000004</v>
      </c>
      <c r="N557">
        <v>0</v>
      </c>
      <c r="O557">
        <v>-1.6559770000000001E-3</v>
      </c>
      <c r="P557">
        <v>0.99942310000000001</v>
      </c>
      <c r="Q557">
        <v>3.3952160000000002E-2</v>
      </c>
      <c r="R557">
        <v>9.51164E-4</v>
      </c>
      <c r="S557">
        <v>3.0066220000000001</v>
      </c>
      <c r="T557">
        <v>-0.13446140000000001</v>
      </c>
      <c r="U557">
        <v>-0.2363586</v>
      </c>
      <c r="V557">
        <v>-2.6049530000000001E-3</v>
      </c>
      <c r="W557">
        <v>4.120882E-2</v>
      </c>
      <c r="X557">
        <v>0.99914720000000001</v>
      </c>
      <c r="Y557">
        <v>7.6645370000000004E-2</v>
      </c>
      <c r="Z557">
        <v>-1.636459E-3</v>
      </c>
      <c r="AA557">
        <v>0.99705710000000003</v>
      </c>
      <c r="AB557">
        <v>43</v>
      </c>
      <c r="AC557">
        <v>24.5642</v>
      </c>
      <c r="AD557">
        <v>-1.1082626003780001</v>
      </c>
      <c r="AE557">
        <v>-1.94769999999999</v>
      </c>
      <c r="AF557">
        <v>1.90316873112452</v>
      </c>
      <c r="AG557">
        <v>-1.1082626003780001</v>
      </c>
      <c r="AH557">
        <v>24.517796541596901</v>
      </c>
      <c r="AI557">
        <v>92.580391612759399</v>
      </c>
      <c r="AJ557">
        <v>85.561374735833496</v>
      </c>
      <c r="AK557">
        <v>24.616511622601401</v>
      </c>
      <c r="AL557">
        <v>87.638239863962994</v>
      </c>
      <c r="AM557">
        <v>90.149379865705299</v>
      </c>
      <c r="AN557">
        <v>1.00000003994688</v>
      </c>
    </row>
    <row r="558" spans="1:40" x14ac:dyDescent="0.25">
      <c r="A558" t="str">
        <f>"20190312160313115"</f>
        <v>20190312160313115</v>
      </c>
      <c r="B558" t="str">
        <f>"1552377793104952"</f>
        <v>1552377793104952</v>
      </c>
      <c r="C558" t="s">
        <v>40</v>
      </c>
      <c r="D558">
        <v>4.8658199999999896</v>
      </c>
      <c r="E558">
        <v>0.52901009999999904</v>
      </c>
      <c r="F558" t="s">
        <v>41</v>
      </c>
      <c r="G558">
        <v>-362.2629</v>
      </c>
      <c r="H558" s="1">
        <v>-3.925649E-6</v>
      </c>
      <c r="I558">
        <v>366.0976</v>
      </c>
      <c r="J558">
        <v>-387.32639999999998</v>
      </c>
      <c r="K558">
        <v>1.1083379999999901</v>
      </c>
      <c r="L558">
        <v>368.10419999999999</v>
      </c>
      <c r="M558">
        <v>0.99997190000000002</v>
      </c>
      <c r="N558">
        <v>0</v>
      </c>
      <c r="O558">
        <v>-1.65451799999999E-3</v>
      </c>
      <c r="P558">
        <v>0.99942520000000001</v>
      </c>
      <c r="Q558">
        <v>3.3888429999999997E-2</v>
      </c>
      <c r="R558">
        <v>9.3662469999999996E-4</v>
      </c>
      <c r="S558">
        <v>3.0064389999999999</v>
      </c>
      <c r="T558">
        <v>-0.13170709999999999</v>
      </c>
      <c r="U558">
        <v>-0.23849490000000001</v>
      </c>
      <c r="V558">
        <v>-2.5892319999999999E-3</v>
      </c>
      <c r="W558">
        <v>4.1202629999999997E-2</v>
      </c>
      <c r="X558">
        <v>0.99914749999999997</v>
      </c>
      <c r="Y558">
        <v>7.7357949999999995E-2</v>
      </c>
      <c r="Z558">
        <v>-1.6186620000000001E-3</v>
      </c>
      <c r="AA558">
        <v>0.9970021</v>
      </c>
      <c r="AB558">
        <v>43</v>
      </c>
      <c r="AC558">
        <v>25.063499999999902</v>
      </c>
      <c r="AD558">
        <v>-1.1083419256489999</v>
      </c>
      <c r="AE558">
        <v>-2.0065999999999899</v>
      </c>
      <c r="AF558">
        <v>1.9613171492311701</v>
      </c>
      <c r="AG558">
        <v>-1.1083419256489999</v>
      </c>
      <c r="AH558">
        <v>25.018173583164401</v>
      </c>
      <c r="AI558">
        <v>92.528879701392896</v>
      </c>
      <c r="AJ558">
        <v>85.517425572153698</v>
      </c>
      <c r="AK558">
        <v>25.119398802944399</v>
      </c>
      <c r="AL558">
        <v>87.638594835400298</v>
      </c>
      <c r="AM558">
        <v>90.148478311452607</v>
      </c>
      <c r="AN558">
        <v>1.00000004379875</v>
      </c>
    </row>
    <row r="559" spans="1:40" x14ac:dyDescent="0.25">
      <c r="A559" t="str">
        <f>"20190312160313130"</f>
        <v>20190312160313130</v>
      </c>
      <c r="B559" t="str">
        <f>"1552377793125450"</f>
        <v>1552377793125450</v>
      </c>
      <c r="C559" t="s">
        <v>40</v>
      </c>
      <c r="D559">
        <v>4.8158539999999999</v>
      </c>
      <c r="E559">
        <v>0.52969060000000001</v>
      </c>
      <c r="F559" t="s">
        <v>41</v>
      </c>
      <c r="G559">
        <v>-360.5942</v>
      </c>
      <c r="H559" s="1">
        <v>-4.66651E-6</v>
      </c>
      <c r="I559">
        <v>365.95670000000001</v>
      </c>
      <c r="J559">
        <v>-387.04340000000002</v>
      </c>
      <c r="K559">
        <v>1.108428</v>
      </c>
      <c r="L559">
        <v>368.1037</v>
      </c>
      <c r="M559">
        <v>0.99997139999999995</v>
      </c>
      <c r="N559">
        <v>0</v>
      </c>
      <c r="O559">
        <v>-1.6528529999999999E-3</v>
      </c>
      <c r="P559">
        <v>0.99942989999999998</v>
      </c>
      <c r="Q559">
        <v>3.3751360000000001E-2</v>
      </c>
      <c r="R559">
        <v>1.0093000000000001E-3</v>
      </c>
      <c r="S559">
        <v>3.0061650000000002</v>
      </c>
      <c r="T559">
        <v>-0.1246384</v>
      </c>
      <c r="U559">
        <v>-0.24148559999999999</v>
      </c>
      <c r="V559">
        <v>-2.6602280000000002E-3</v>
      </c>
      <c r="W559">
        <v>4.113116E-2</v>
      </c>
      <c r="X559">
        <v>0.99915019999999999</v>
      </c>
      <c r="Y559">
        <v>7.8359040000000005E-2</v>
      </c>
      <c r="Z559">
        <v>-1.552725E-3</v>
      </c>
      <c r="AA559">
        <v>0.99692400000000003</v>
      </c>
      <c r="AB559">
        <v>43</v>
      </c>
      <c r="AC559">
        <v>26.449200000000001</v>
      </c>
      <c r="AD559">
        <v>-1.1084326665099999</v>
      </c>
      <c r="AE559">
        <v>-2.14699999999999</v>
      </c>
      <c r="AF559">
        <v>2.0996158643696501</v>
      </c>
      <c r="AG559">
        <v>-1.1084326665099999</v>
      </c>
      <c r="AH559">
        <v>26.406638805801801</v>
      </c>
      <c r="AI559">
        <v>92.396056585163706</v>
      </c>
      <c r="AJ559">
        <v>85.453924444858501</v>
      </c>
      <c r="AK559">
        <v>26.513158672142001</v>
      </c>
      <c r="AL559">
        <v>87.642693101708701</v>
      </c>
      <c r="AM559">
        <v>90.152549113019504</v>
      </c>
      <c r="AN559">
        <v>0.99999998564799797</v>
      </c>
    </row>
    <row r="560" spans="1:40" x14ac:dyDescent="0.25">
      <c r="A560" t="str">
        <f>"20190312160313147"</f>
        <v>20190312160313147</v>
      </c>
      <c r="B560" t="str">
        <f>"1552377793144968"</f>
        <v>1552377793144968</v>
      </c>
      <c r="C560" t="s">
        <v>40</v>
      </c>
      <c r="D560">
        <v>4.7764179999999996</v>
      </c>
      <c r="E560">
        <v>0.53092439999999996</v>
      </c>
      <c r="F560" t="s">
        <v>41</v>
      </c>
      <c r="G560">
        <v>-355.96280000000002</v>
      </c>
      <c r="H560" s="1">
        <v>-2.438199E-6</v>
      </c>
      <c r="I560">
        <v>365.56389999999999</v>
      </c>
      <c r="J560">
        <v>-386.68830000000003</v>
      </c>
      <c r="K560">
        <v>1.108525</v>
      </c>
      <c r="L560">
        <v>368.10309999999998</v>
      </c>
      <c r="M560">
        <v>0.99997080000000005</v>
      </c>
      <c r="N560">
        <v>0</v>
      </c>
      <c r="O560">
        <v>-1.6507519999999999E-3</v>
      </c>
      <c r="P560">
        <v>0.99943249999999995</v>
      </c>
      <c r="Q560">
        <v>3.3684529999999997E-2</v>
      </c>
      <c r="R560">
        <v>6.1252520000000001E-4</v>
      </c>
      <c r="S560">
        <v>3.005585</v>
      </c>
      <c r="T560">
        <v>-0.1071883</v>
      </c>
      <c r="U560">
        <v>-0.2456055</v>
      </c>
      <c r="V560">
        <v>-2.2614530000000001E-3</v>
      </c>
      <c r="W560">
        <v>4.1140690000000001E-2</v>
      </c>
      <c r="X560">
        <v>0.99915080000000001</v>
      </c>
      <c r="Y560">
        <v>7.9750150000000006E-2</v>
      </c>
      <c r="Z560">
        <v>-1.360497E-3</v>
      </c>
      <c r="AA560">
        <v>0.99681399999999998</v>
      </c>
      <c r="AB560">
        <v>43</v>
      </c>
      <c r="AC560">
        <v>30.7255</v>
      </c>
      <c r="AD560">
        <v>-1.108527438199</v>
      </c>
      <c r="AE560">
        <v>-2.5391999999999899</v>
      </c>
      <c r="AF560">
        <v>2.4852619443649901</v>
      </c>
      <c r="AG560">
        <v>-1.108527438199</v>
      </c>
      <c r="AH560">
        <v>30.6899731440651</v>
      </c>
      <c r="AI560">
        <v>92.061890986028004</v>
      </c>
      <c r="AJ560">
        <v>85.370312720709606</v>
      </c>
      <c r="AK560">
        <v>30.810384801180099</v>
      </c>
      <c r="AL560">
        <v>87.642146634399296</v>
      </c>
      <c r="AM560">
        <v>90.129681616837303</v>
      </c>
      <c r="AN560">
        <v>0.99999999584199295</v>
      </c>
    </row>
    <row r="561" spans="1:40" x14ac:dyDescent="0.25">
      <c r="A561" t="str">
        <f>"20190312160313161"</f>
        <v>20190312160313161</v>
      </c>
      <c r="B561" t="str">
        <f>"1552377793155704"</f>
        <v>1552377793155704</v>
      </c>
      <c r="C561" t="s">
        <v>40</v>
      </c>
      <c r="D561">
        <v>4.9078290000000004</v>
      </c>
      <c r="E561">
        <v>0.5318543</v>
      </c>
      <c r="F561" t="s">
        <v>41</v>
      </c>
      <c r="G561">
        <v>-351.10410000000002</v>
      </c>
      <c r="H561" s="1">
        <v>-4.6047939999999998E-6</v>
      </c>
      <c r="I561">
        <v>365.07150000000001</v>
      </c>
      <c r="J561">
        <v>-386.42149999999998</v>
      </c>
      <c r="K561">
        <v>1.1085860000000001</v>
      </c>
      <c r="L561">
        <v>368.10270000000003</v>
      </c>
      <c r="M561">
        <v>0.99997049999999998</v>
      </c>
      <c r="N561">
        <v>0</v>
      </c>
      <c r="O561">
        <v>-1.649279E-3</v>
      </c>
      <c r="P561">
        <v>0.99942759999999997</v>
      </c>
      <c r="Q561">
        <v>3.3832269999999998E-2</v>
      </c>
      <c r="R561">
        <v>5.6451919999999896E-4</v>
      </c>
      <c r="S561">
        <v>3.0050349999999999</v>
      </c>
      <c r="T561">
        <v>-9.3613740000000001E-2</v>
      </c>
      <c r="U561">
        <v>-0.25601200000000002</v>
      </c>
      <c r="V561">
        <v>-2.2118860000000001E-3</v>
      </c>
      <c r="W561">
        <v>4.1340790000000002E-2</v>
      </c>
      <c r="X561">
        <v>0.99914259999999999</v>
      </c>
      <c r="Y561">
        <v>8.3204059999999996E-2</v>
      </c>
      <c r="Z561">
        <v>-1.2420689999999999E-3</v>
      </c>
      <c r="AA561">
        <v>0.99653179999999997</v>
      </c>
      <c r="AB561">
        <v>44</v>
      </c>
      <c r="AC561">
        <v>35.3173999999999</v>
      </c>
      <c r="AD561">
        <v>-1.108590604794</v>
      </c>
      <c r="AE561">
        <v>-3.0312000000000099</v>
      </c>
      <c r="AF561">
        <v>2.9700410332092799</v>
      </c>
      <c r="AG561">
        <v>-1.108590604794</v>
      </c>
      <c r="AH561">
        <v>35.287836822819997</v>
      </c>
      <c r="AI561">
        <v>91.793057203824404</v>
      </c>
      <c r="AJ561">
        <v>85.188974326257096</v>
      </c>
      <c r="AK561">
        <v>35.429952646058602</v>
      </c>
      <c r="AL561">
        <v>87.630671864349196</v>
      </c>
      <c r="AM561">
        <v>90.126840278388698</v>
      </c>
      <c r="AN561">
        <v>0.99999994424612904</v>
      </c>
    </row>
    <row r="562" spans="1:40" x14ac:dyDescent="0.25">
      <c r="A562" t="str">
        <f>"20190312160313174"</f>
        <v>20190312160313174</v>
      </c>
      <c r="B562" t="str">
        <f>"1552377793165464"</f>
        <v>1552377793165464</v>
      </c>
      <c r="C562" t="s">
        <v>40</v>
      </c>
      <c r="D562">
        <v>4.8313030000000001</v>
      </c>
      <c r="E562">
        <v>0.53264469999999997</v>
      </c>
      <c r="F562" t="s">
        <v>41</v>
      </c>
      <c r="G562">
        <v>-346.89299999999997</v>
      </c>
      <c r="H562" s="1">
        <v>-2.5010260000000002E-6</v>
      </c>
      <c r="I562">
        <v>364.64150000000001</v>
      </c>
      <c r="J562">
        <v>-386.17720000000003</v>
      </c>
      <c r="K562">
        <v>1.1086370000000001</v>
      </c>
      <c r="L562">
        <v>368.10230000000001</v>
      </c>
      <c r="M562">
        <v>0.99997009999999997</v>
      </c>
      <c r="N562">
        <v>0</v>
      </c>
      <c r="O562">
        <v>-1.6479029999999901E-3</v>
      </c>
      <c r="P562">
        <v>0.99942980000000003</v>
      </c>
      <c r="Q562">
        <v>3.3768449999999998E-2</v>
      </c>
      <c r="R562">
        <v>3.7895490000000001E-4</v>
      </c>
      <c r="S562">
        <v>3.0047000000000001</v>
      </c>
      <c r="T562">
        <v>-8.4267620000000001E-2</v>
      </c>
      <c r="U562">
        <v>-0.26309199999999999</v>
      </c>
      <c r="V562">
        <v>-2.0251280000000002E-3</v>
      </c>
      <c r="W562">
        <v>4.1322690000000002E-2</v>
      </c>
      <c r="X562">
        <v>0.99914380000000003</v>
      </c>
      <c r="Y562">
        <v>8.5551920000000004E-2</v>
      </c>
      <c r="Z562">
        <v>-1.15102E-3</v>
      </c>
      <c r="AA562">
        <v>0.99633309999999997</v>
      </c>
      <c r="AB562">
        <v>44</v>
      </c>
      <c r="AC562">
        <v>39.284199999999998</v>
      </c>
      <c r="AD562">
        <v>-1.108639501026</v>
      </c>
      <c r="AE562">
        <v>-3.4607999999999999</v>
      </c>
      <c r="AF562">
        <v>3.3933751462419699</v>
      </c>
      <c r="AG562">
        <v>-1.108639501026</v>
      </c>
      <c r="AH562">
        <v>39.258823966607501</v>
      </c>
      <c r="AI562">
        <v>91.611553885110396</v>
      </c>
      <c r="AJ562">
        <v>85.059861294521198</v>
      </c>
      <c r="AK562">
        <v>39.420798262686702</v>
      </c>
      <c r="AL562">
        <v>87.631709935808502</v>
      </c>
      <c r="AM562">
        <v>90.116130559466797</v>
      </c>
      <c r="AN562">
        <v>0.99999999946534601</v>
      </c>
    </row>
    <row r="563" spans="1:40" x14ac:dyDescent="0.25">
      <c r="A563" t="str">
        <f>"20190312160313184"</f>
        <v>20190312160313184</v>
      </c>
      <c r="B563" t="str">
        <f>"1552377793175225"</f>
        <v>1552377793175225</v>
      </c>
      <c r="C563" t="s">
        <v>40</v>
      </c>
      <c r="D563">
        <v>4.8765130000000001</v>
      </c>
      <c r="E563">
        <v>0.53368409999999999</v>
      </c>
      <c r="F563" t="s">
        <v>41</v>
      </c>
      <c r="G563">
        <v>-341.95670000000001</v>
      </c>
      <c r="H563" s="1">
        <v>-4.7555469999999999E-6</v>
      </c>
      <c r="I563">
        <v>364.13150000000002</v>
      </c>
      <c r="J563">
        <v>-385.95080000000002</v>
      </c>
      <c r="K563">
        <v>1.1086800000000001</v>
      </c>
      <c r="L563">
        <v>368.1019</v>
      </c>
      <c r="M563">
        <v>0.99996980000000002</v>
      </c>
      <c r="N563">
        <v>0</v>
      </c>
      <c r="O563">
        <v>-1.6466269999999999E-3</v>
      </c>
      <c r="P563">
        <v>0.99941950000000002</v>
      </c>
      <c r="Q563">
        <v>3.4073329999999999E-2</v>
      </c>
      <c r="R563">
        <v>2.1387009999999999E-4</v>
      </c>
      <c r="S563">
        <v>3.0043329999999999</v>
      </c>
      <c r="T563">
        <v>-7.5320960000000006E-2</v>
      </c>
      <c r="U563">
        <v>-0.2697754</v>
      </c>
      <c r="V563">
        <v>-1.8583510000000001E-3</v>
      </c>
      <c r="W563">
        <v>4.1668089999999998E-2</v>
      </c>
      <c r="X563">
        <v>0.99912979999999996</v>
      </c>
      <c r="Y563">
        <v>8.7768550000000001E-2</v>
      </c>
      <c r="Z563">
        <v>-1.0566389999999901E-3</v>
      </c>
      <c r="AA563">
        <v>0.99614040000000004</v>
      </c>
      <c r="AB563">
        <v>44</v>
      </c>
      <c r="AC563">
        <v>43.994100000000003</v>
      </c>
      <c r="AD563">
        <v>-1.1086847555470001</v>
      </c>
      <c r="AE563">
        <v>-3.9703999999999802</v>
      </c>
      <c r="AF563">
        <v>3.8954966960872901</v>
      </c>
      <c r="AG563">
        <v>-1.1086847555470001</v>
      </c>
      <c r="AH563">
        <v>43.972877705434001</v>
      </c>
      <c r="AI563">
        <v>91.438656224547699</v>
      </c>
      <c r="AJ563">
        <v>84.937461678710406</v>
      </c>
      <c r="AK563">
        <v>44.159008708229202</v>
      </c>
      <c r="AL563">
        <v>87.611902963169001</v>
      </c>
      <c r="AM563">
        <v>90.106568282089498</v>
      </c>
      <c r="AN563">
        <v>1.0000000202203601</v>
      </c>
    </row>
    <row r="564" spans="1:40" x14ac:dyDescent="0.25">
      <c r="A564" t="str">
        <f>"20190312160313203"</f>
        <v>20190312160313203</v>
      </c>
      <c r="B564" t="str">
        <f>"1552377793195720"</f>
        <v>1552377793195720</v>
      </c>
      <c r="C564" t="s">
        <v>40</v>
      </c>
      <c r="D564">
        <v>4.7952969999999997</v>
      </c>
      <c r="E564">
        <v>0.53468680000000002</v>
      </c>
      <c r="F564" t="s">
        <v>41</v>
      </c>
      <c r="G564">
        <v>-335.62560000000002</v>
      </c>
      <c r="H564" s="1">
        <v>-3.1163589999999999E-6</v>
      </c>
      <c r="I564">
        <v>363.44639999999998</v>
      </c>
      <c r="J564">
        <v>-385.59530000000001</v>
      </c>
      <c r="K564">
        <v>1.1087359999999999</v>
      </c>
      <c r="L564">
        <v>368.10129999999998</v>
      </c>
      <c r="M564">
        <v>0.99996940000000001</v>
      </c>
      <c r="N564">
        <v>0</v>
      </c>
      <c r="O564">
        <v>-1.644579E-3</v>
      </c>
      <c r="P564">
        <v>0.99942089999999995</v>
      </c>
      <c r="Q564">
        <v>3.4029259999999999E-2</v>
      </c>
      <c r="R564">
        <v>3.2894450000000002E-4</v>
      </c>
      <c r="S564">
        <v>3.0040279999999999</v>
      </c>
      <c r="T564">
        <v>-6.6179870000000002E-2</v>
      </c>
      <c r="U564">
        <v>-0.277893099999999</v>
      </c>
      <c r="V564">
        <v>-1.9717379999999998E-3</v>
      </c>
      <c r="W564">
        <v>4.1680960000000003E-2</v>
      </c>
      <c r="X564">
        <v>0.99912900000000004</v>
      </c>
      <c r="Y564">
        <v>9.0454380000000001E-2</v>
      </c>
      <c r="Z564">
        <v>-9.5798019999999995E-4</v>
      </c>
      <c r="AA564">
        <v>0.99590020000000001</v>
      </c>
      <c r="AB564">
        <v>44</v>
      </c>
      <c r="AC564">
        <v>49.969699999999897</v>
      </c>
      <c r="AD564">
        <v>-1.1087391163589999</v>
      </c>
      <c r="AE564">
        <v>-4.6548999999999898</v>
      </c>
      <c r="AF564">
        <v>4.5704814120203103</v>
      </c>
      <c r="AG564">
        <v>-1.1087391163589999</v>
      </c>
      <c r="AH564">
        <v>49.952906879746799</v>
      </c>
      <c r="AI564">
        <v>91.266223144955902</v>
      </c>
      <c r="AJ564">
        <v>84.772232178541699</v>
      </c>
      <c r="AK564">
        <v>50.173812975519603</v>
      </c>
      <c r="AL564">
        <v>87.611164815824594</v>
      </c>
      <c r="AM564">
        <v>90.113070603543505</v>
      </c>
      <c r="AN564">
        <v>0.99999997440913002</v>
      </c>
    </row>
    <row r="565" spans="1:40" x14ac:dyDescent="0.25">
      <c r="A565" t="str">
        <f>"20190312160313215"</f>
        <v>20190312160313215</v>
      </c>
      <c r="B565" t="str">
        <f>"1552377793205481"</f>
        <v>1552377793205481</v>
      </c>
      <c r="C565" t="s">
        <v>40</v>
      </c>
      <c r="D565">
        <v>4.8986850000000004</v>
      </c>
      <c r="E565">
        <v>0.53492259999999903</v>
      </c>
      <c r="F565" t="s">
        <v>41</v>
      </c>
      <c r="G565">
        <v>-332.94349999999997</v>
      </c>
      <c r="H565" s="1">
        <v>-4.1650370000000003E-6</v>
      </c>
      <c r="I565">
        <v>363.10210000000001</v>
      </c>
      <c r="J565">
        <v>-385.37189999999998</v>
      </c>
      <c r="K565">
        <v>1.1087640000000001</v>
      </c>
      <c r="L565">
        <v>368.101</v>
      </c>
      <c r="M565">
        <v>0.9999692</v>
      </c>
      <c r="N565">
        <v>0</v>
      </c>
      <c r="O565">
        <v>-1.6435060000000001E-3</v>
      </c>
      <c r="P565">
        <v>0.99940960000000001</v>
      </c>
      <c r="Q565">
        <v>3.4362070000000002E-2</v>
      </c>
      <c r="R565">
        <v>5.1412500000000004E-4</v>
      </c>
      <c r="S565">
        <v>3.0039669999999998</v>
      </c>
      <c r="T565">
        <v>-6.3257460000000001E-2</v>
      </c>
      <c r="U565">
        <v>-0.28521729999999901</v>
      </c>
      <c r="V565">
        <v>-2.1556040000000002E-3</v>
      </c>
      <c r="W565">
        <v>4.204447E-2</v>
      </c>
      <c r="X565">
        <v>0.99911340000000004</v>
      </c>
      <c r="Y565">
        <v>9.2865400000000001E-2</v>
      </c>
      <c r="Z565">
        <v>-9.4094929999999995E-4</v>
      </c>
      <c r="AA565">
        <v>0.99567819999999996</v>
      </c>
      <c r="AB565">
        <v>44</v>
      </c>
      <c r="AC565">
        <v>52.428400000000003</v>
      </c>
      <c r="AD565">
        <v>-1.10876816503699</v>
      </c>
      <c r="AE565">
        <v>-4.9988999999999901</v>
      </c>
      <c r="AF565">
        <v>4.9105478748514697</v>
      </c>
      <c r="AG565">
        <v>-1.10876816503699</v>
      </c>
      <c r="AH565">
        <v>52.413314599634496</v>
      </c>
      <c r="AI565">
        <v>91.206590299299407</v>
      </c>
      <c r="AJ565">
        <v>84.647642989517706</v>
      </c>
      <c r="AK565">
        <v>52.654519222904902</v>
      </c>
      <c r="AL565">
        <v>87.590318978014594</v>
      </c>
      <c r="AM565">
        <v>90.123616418181598</v>
      </c>
      <c r="AN565">
        <v>0.99999998507287202</v>
      </c>
    </row>
    <row r="566" spans="1:40" x14ac:dyDescent="0.25">
      <c r="A566" t="str">
        <f>"20190312160313226"</f>
        <v>20190312160313226</v>
      </c>
      <c r="B566" t="str">
        <f>"1552377793215240"</f>
        <v>1552377793215240</v>
      </c>
      <c r="C566" t="s">
        <v>40</v>
      </c>
      <c r="D566">
        <v>4.8795390000000003</v>
      </c>
      <c r="E566">
        <v>0.53510119999999906</v>
      </c>
      <c r="F566" t="s">
        <v>41</v>
      </c>
      <c r="G566">
        <v>-328.47399999999999</v>
      </c>
      <c r="H566" s="1">
        <v>-2.3520429999999998E-6</v>
      </c>
      <c r="I566">
        <v>362.67599999999999</v>
      </c>
      <c r="J566">
        <v>-385.14089999999999</v>
      </c>
      <c r="K566">
        <v>1.108795</v>
      </c>
      <c r="L566">
        <v>368.10059999999999</v>
      </c>
      <c r="M566">
        <v>0.99996890000000005</v>
      </c>
      <c r="N566">
        <v>0</v>
      </c>
      <c r="O566">
        <v>-1.6419539999999999E-3</v>
      </c>
      <c r="P566">
        <v>0.99942770000000003</v>
      </c>
      <c r="Q566">
        <v>3.381899E-2</v>
      </c>
      <c r="R566">
        <v>8.2628409999999997E-4</v>
      </c>
      <c r="S566">
        <v>3.0039370000000001</v>
      </c>
      <c r="T566">
        <v>-5.8537480000000003E-2</v>
      </c>
      <c r="U566">
        <v>-0.28640749999999998</v>
      </c>
      <c r="V566">
        <v>-2.466279E-3</v>
      </c>
      <c r="W566">
        <v>4.1531360000000003E-2</v>
      </c>
      <c r="X566">
        <v>0.99913419999999997</v>
      </c>
      <c r="Y566">
        <v>9.3261650000000001E-2</v>
      </c>
      <c r="Z566">
        <v>-8.7462839999999896E-4</v>
      </c>
      <c r="AA566">
        <v>0.9956412</v>
      </c>
      <c r="AB566">
        <v>44</v>
      </c>
      <c r="AC566">
        <v>56.666899999999998</v>
      </c>
      <c r="AD566">
        <v>-1.1087973520429999</v>
      </c>
      <c r="AE566">
        <v>-5.4245999999999901</v>
      </c>
      <c r="AF566">
        <v>5.3295235175595703</v>
      </c>
      <c r="AG566">
        <v>-1.1087973520429999</v>
      </c>
      <c r="AH566">
        <v>56.654236869786203</v>
      </c>
      <c r="AI566">
        <v>91.116282976970894</v>
      </c>
      <c r="AJ566">
        <v>84.6259409881485</v>
      </c>
      <c r="AK566">
        <v>56.915163250138903</v>
      </c>
      <c r="AL566">
        <v>87.619743856577401</v>
      </c>
      <c r="AM566">
        <v>90.1414295404999</v>
      </c>
      <c r="AN566">
        <v>1.0000000430025899</v>
      </c>
    </row>
    <row r="567" spans="1:40" x14ac:dyDescent="0.25">
      <c r="A567" t="str">
        <f>"20190312160313237"</f>
        <v>20190312160313237</v>
      </c>
      <c r="B567" t="str">
        <f>"1552377793235736"</f>
        <v>1552377793235736</v>
      </c>
      <c r="C567" t="s">
        <v>40</v>
      </c>
      <c r="D567">
        <v>4.9311800000000003</v>
      </c>
      <c r="E567">
        <v>0.53530659999999997</v>
      </c>
      <c r="F567" t="s">
        <v>41</v>
      </c>
      <c r="G567">
        <v>-326.8304</v>
      </c>
      <c r="H567" s="1">
        <v>-2.9481120000000001E-6</v>
      </c>
      <c r="I567">
        <v>362.5378</v>
      </c>
      <c r="J567">
        <v>-384.92880000000002</v>
      </c>
      <c r="K567">
        <v>1.108819</v>
      </c>
      <c r="L567">
        <v>368.10019999999997</v>
      </c>
      <c r="M567">
        <v>0.99996879999999999</v>
      </c>
      <c r="N567">
        <v>0</v>
      </c>
      <c r="O567">
        <v>-1.6408499999999999E-3</v>
      </c>
      <c r="P567">
        <v>0.99942949999999997</v>
      </c>
      <c r="Q567">
        <v>3.3772959999999998E-2</v>
      </c>
      <c r="R567">
        <v>6.0079760000000002E-4</v>
      </c>
      <c r="S567">
        <v>3.0038450000000001</v>
      </c>
      <c r="T567">
        <v>-5.7119370000000003E-2</v>
      </c>
      <c r="U567">
        <v>-0.28656009999999998</v>
      </c>
      <c r="V567">
        <v>-2.2395029999999999E-3</v>
      </c>
      <c r="W567">
        <v>4.150848E-2</v>
      </c>
      <c r="X567">
        <v>0.99913560000000001</v>
      </c>
      <c r="Y567">
        <v>9.3316560000000007E-2</v>
      </c>
      <c r="Z567">
        <v>-8.540094E-4</v>
      </c>
      <c r="AA567">
        <v>0.99563610000000002</v>
      </c>
      <c r="AB567">
        <v>44</v>
      </c>
      <c r="AC567">
        <v>58.098399999999998</v>
      </c>
      <c r="AD567">
        <v>-1.1088219481119901</v>
      </c>
      <c r="AE567">
        <v>-5.5623999999999603</v>
      </c>
      <c r="AF567">
        <v>5.4650863488059596</v>
      </c>
      <c r="AG567">
        <v>-1.1088219481119901</v>
      </c>
      <c r="AH567">
        <v>58.086483504847997</v>
      </c>
      <c r="AI567">
        <v>91.088788034641198</v>
      </c>
      <c r="AJ567">
        <v>84.625129579325105</v>
      </c>
      <c r="AK567">
        <v>58.353545058303901</v>
      </c>
      <c r="AL567">
        <v>87.621055713605699</v>
      </c>
      <c r="AM567">
        <v>90.128424865675697</v>
      </c>
      <c r="AN567">
        <v>0.99999995823647703</v>
      </c>
    </row>
    <row r="568" spans="1:40" x14ac:dyDescent="0.25">
      <c r="A568" t="str">
        <f>"20190312160313250"</f>
        <v>20190312160313250</v>
      </c>
      <c r="B568" t="str">
        <f>"1552377793245497"</f>
        <v>1552377793245497</v>
      </c>
      <c r="C568" t="s">
        <v>40</v>
      </c>
      <c r="D568">
        <v>4.9815269999999998</v>
      </c>
      <c r="E568">
        <v>0.53537389999999996</v>
      </c>
      <c r="F568" t="s">
        <v>41</v>
      </c>
      <c r="G568">
        <v>-324.08980000000003</v>
      </c>
      <c r="H568" s="1">
        <v>-3.9570959999999997E-6</v>
      </c>
      <c r="I568">
        <v>362.2509</v>
      </c>
      <c r="J568">
        <v>-384.6986</v>
      </c>
      <c r="K568">
        <v>1.1088389999999999</v>
      </c>
      <c r="L568">
        <v>368.09989999999999</v>
      </c>
      <c r="M568">
        <v>0.99996859999999999</v>
      </c>
      <c r="N568">
        <v>0</v>
      </c>
      <c r="O568">
        <v>-1.63951299999999E-3</v>
      </c>
      <c r="P568">
        <v>0.99942699999999995</v>
      </c>
      <c r="Q568">
        <v>3.3844440000000003E-2</v>
      </c>
      <c r="R568">
        <v>8.7950289999999998E-4</v>
      </c>
      <c r="S568">
        <v>3.0037539999999998</v>
      </c>
      <c r="T568">
        <v>-5.4744960000000002E-2</v>
      </c>
      <c r="U568">
        <v>-0.28878779999999998</v>
      </c>
      <c r="V568">
        <v>-2.517249E-3</v>
      </c>
      <c r="W568">
        <v>4.160378E-2</v>
      </c>
      <c r="X568">
        <v>0.99913099999999999</v>
      </c>
      <c r="Y568">
        <v>9.4053670000000006E-2</v>
      </c>
      <c r="Z568">
        <v>-8.2523639999999897E-4</v>
      </c>
      <c r="AA568">
        <v>0.99556679999999997</v>
      </c>
      <c r="AB568">
        <v>44</v>
      </c>
      <c r="AC568">
        <v>60.608799999999903</v>
      </c>
      <c r="AD568">
        <v>-1.1088429570959999</v>
      </c>
      <c r="AE568">
        <v>-5.8489999999999798</v>
      </c>
      <c r="AF568">
        <v>5.7477141699881598</v>
      </c>
      <c r="AG568">
        <v>-1.1088429570959999</v>
      </c>
      <c r="AH568">
        <v>60.598212659543996</v>
      </c>
      <c r="AI568">
        <v>91.043614274725002</v>
      </c>
      <c r="AJ568">
        <v>84.581729763902004</v>
      </c>
      <c r="AK568">
        <v>60.880285219557798</v>
      </c>
      <c r="AL568">
        <v>87.615590764089603</v>
      </c>
      <c r="AM568">
        <v>90.144352881173205</v>
      </c>
      <c r="AN568">
        <v>0.99999998310690796</v>
      </c>
    </row>
    <row r="569" spans="1:40" x14ac:dyDescent="0.25">
      <c r="A569" t="str">
        <f>"20190312160313269"</f>
        <v>20190312160313269</v>
      </c>
      <c r="B569" t="str">
        <f>"1552377793265017"</f>
        <v>1552377793265017</v>
      </c>
      <c r="C569" t="s">
        <v>40</v>
      </c>
      <c r="D569">
        <v>4.943702</v>
      </c>
      <c r="E569">
        <v>0.53582669999999999</v>
      </c>
      <c r="F569" t="s">
        <v>43</v>
      </c>
      <c r="G569">
        <v>-312.6798</v>
      </c>
      <c r="H569">
        <v>-0.05</v>
      </c>
      <c r="I569">
        <v>361.19009999999997</v>
      </c>
      <c r="J569">
        <v>-384.29849999999999</v>
      </c>
      <c r="K569">
        <v>1.1088709999999999</v>
      </c>
      <c r="L569">
        <v>368.0992</v>
      </c>
      <c r="M569">
        <v>0.99996819999999997</v>
      </c>
      <c r="N569">
        <v>0</v>
      </c>
      <c r="O569">
        <v>-1.6370320000000001E-3</v>
      </c>
      <c r="P569">
        <v>0.99942109999999995</v>
      </c>
      <c r="Q569">
        <v>3.3999929999999998E-2</v>
      </c>
      <c r="R569">
        <v>1.2066030000000001E-3</v>
      </c>
      <c r="S569">
        <v>3.0036010000000002</v>
      </c>
      <c r="T569">
        <v>-4.8330310000000001E-2</v>
      </c>
      <c r="U569">
        <v>-0.28817749999999998</v>
      </c>
      <c r="V569">
        <v>-2.8411930000000001E-3</v>
      </c>
      <c r="W569">
        <v>4.1795300000000001E-2</v>
      </c>
      <c r="X569">
        <v>0.99912210000000001</v>
      </c>
      <c r="Y569">
        <v>9.3863870000000002E-2</v>
      </c>
      <c r="Z569">
        <v>-7.2711409999999998E-4</v>
      </c>
      <c r="AA569">
        <v>0.99558480000000005</v>
      </c>
      <c r="AB569">
        <v>44</v>
      </c>
      <c r="AC569">
        <v>71.618699999999905</v>
      </c>
      <c r="AD569">
        <v>-1.158871</v>
      </c>
      <c r="AE569">
        <v>-6.90910000000002</v>
      </c>
      <c r="AF569">
        <v>6.7900836206367901</v>
      </c>
      <c r="AG569">
        <v>-1.158871</v>
      </c>
      <c r="AH569">
        <v>71.611337773714396</v>
      </c>
      <c r="AI569">
        <v>90.922985376057198</v>
      </c>
      <c r="AJ569">
        <v>84.583490684343303</v>
      </c>
      <c r="AK569">
        <v>71.941864830645699</v>
      </c>
      <c r="AL569">
        <v>87.604607832166096</v>
      </c>
      <c r="AM569">
        <v>90.162930965979399</v>
      </c>
      <c r="AN569">
        <v>0.99999994509407997</v>
      </c>
    </row>
    <row r="570" spans="1:40" x14ac:dyDescent="0.25">
      <c r="A570" t="str">
        <f>"20190312160313281"</f>
        <v>20190312160313281</v>
      </c>
      <c r="B570" t="str">
        <f>"1552377793275753"</f>
        <v>1552377793275753</v>
      </c>
      <c r="C570" t="s">
        <v>40</v>
      </c>
      <c r="D570">
        <v>4.9164019999999997</v>
      </c>
      <c r="E570">
        <v>0.53604989999999997</v>
      </c>
      <c r="F570" t="s">
        <v>43</v>
      </c>
      <c r="G570">
        <v>-299.65440000000001</v>
      </c>
      <c r="H570">
        <v>-0.05</v>
      </c>
      <c r="I570">
        <v>359.91059999999999</v>
      </c>
      <c r="J570">
        <v>-384.06650000000002</v>
      </c>
      <c r="K570">
        <v>1.108884</v>
      </c>
      <c r="L570">
        <v>368.09879999999998</v>
      </c>
      <c r="M570">
        <v>0.99996810000000003</v>
      </c>
      <c r="N570">
        <v>0</v>
      </c>
      <c r="O570">
        <v>-1.635676E-3</v>
      </c>
      <c r="P570">
        <v>0.99941849999999999</v>
      </c>
      <c r="Q570">
        <v>3.4072060000000001E-2</v>
      </c>
      <c r="R570">
        <v>1.224522E-3</v>
      </c>
      <c r="S570">
        <v>3.003479</v>
      </c>
      <c r="T570">
        <v>-4.112089E-2</v>
      </c>
      <c r="U570">
        <v>-0.29055789999999998</v>
      </c>
      <c r="V570">
        <v>-2.8578570000000001E-3</v>
      </c>
      <c r="W570">
        <v>4.1886300000000001E-2</v>
      </c>
      <c r="X570">
        <v>0.99911830000000001</v>
      </c>
      <c r="Y570">
        <v>9.4654020000000005E-2</v>
      </c>
      <c r="Z570">
        <v>-6.2407800000000002E-4</v>
      </c>
      <c r="AA570">
        <v>0.99551000000000001</v>
      </c>
      <c r="AB570">
        <v>44</v>
      </c>
      <c r="AC570">
        <v>84.412099999999995</v>
      </c>
      <c r="AD570">
        <v>-1.158884</v>
      </c>
      <c r="AE570">
        <v>-8.1881999999999895</v>
      </c>
      <c r="AF570">
        <v>8.0486111006670598</v>
      </c>
      <c r="AG570">
        <v>-1.158884</v>
      </c>
      <c r="AH570">
        <v>84.409619314892097</v>
      </c>
      <c r="AI570">
        <v>90.783029715074406</v>
      </c>
      <c r="AJ570">
        <v>84.553210475811298</v>
      </c>
      <c r="AK570">
        <v>84.800394961699595</v>
      </c>
      <c r="AL570">
        <v>87.599389486197694</v>
      </c>
      <c r="AM570">
        <v>90.163887197326503</v>
      </c>
      <c r="AN570">
        <v>1.0000000034345999</v>
      </c>
    </row>
    <row r="571" spans="1:40" x14ac:dyDescent="0.25">
      <c r="A571" t="str">
        <f>"20190312160313293"</f>
        <v>20190312160313293</v>
      </c>
      <c r="B571" t="str">
        <f>"1552377793285512"</f>
        <v>1552377793285512</v>
      </c>
      <c r="C571" t="s">
        <v>40</v>
      </c>
      <c r="D571">
        <v>4.823455</v>
      </c>
      <c r="E571">
        <v>0.53587680000000004</v>
      </c>
      <c r="F571" t="s">
        <v>43</v>
      </c>
      <c r="G571">
        <v>-292.55079999999998</v>
      </c>
      <c r="H571">
        <v>-0.05</v>
      </c>
      <c r="I571">
        <v>359.20049999999998</v>
      </c>
      <c r="J571">
        <v>-383.84100000000001</v>
      </c>
      <c r="K571">
        <v>1.1089</v>
      </c>
      <c r="L571">
        <v>368.09840000000003</v>
      </c>
      <c r="M571">
        <v>0.99996810000000003</v>
      </c>
      <c r="N571">
        <v>0</v>
      </c>
      <c r="O571">
        <v>-1.634553E-3</v>
      </c>
      <c r="P571">
        <v>0.99943380000000004</v>
      </c>
      <c r="Q571">
        <v>3.3629729999999997E-2</v>
      </c>
      <c r="R571">
        <v>1.2178720000000001E-3</v>
      </c>
      <c r="S571">
        <v>3.0033569999999998</v>
      </c>
      <c r="T571">
        <v>-3.8032169999999997E-2</v>
      </c>
      <c r="U571">
        <v>-0.29202270000000002</v>
      </c>
      <c r="V571">
        <v>-2.8502850000000001E-3</v>
      </c>
      <c r="W571">
        <v>4.14618E-2</v>
      </c>
      <c r="X571">
        <v>0.99913600000000002</v>
      </c>
      <c r="Y571">
        <v>9.5141219999999999E-2</v>
      </c>
      <c r="Z571">
        <v>-5.8030669999999996E-4</v>
      </c>
      <c r="AA571">
        <v>0.9954636</v>
      </c>
      <c r="AB571">
        <v>44</v>
      </c>
      <c r="AC571">
        <v>91.290199999999999</v>
      </c>
      <c r="AD571">
        <v>-1.1589</v>
      </c>
      <c r="AE571">
        <v>-8.8979000000000497</v>
      </c>
      <c r="AF571">
        <v>8.7472684819822604</v>
      </c>
      <c r="AG571">
        <v>-1.1589</v>
      </c>
      <c r="AH571">
        <v>91.290049179545093</v>
      </c>
      <c r="AI571">
        <v>90.723998171141403</v>
      </c>
      <c r="AJ571">
        <v>84.526718366297004</v>
      </c>
      <c r="AK571">
        <v>91.715488519168005</v>
      </c>
      <c r="AL571">
        <v>87.623732626784701</v>
      </c>
      <c r="AM571">
        <v>90.163450078766104</v>
      </c>
      <c r="AN571">
        <v>0.99999997573990995</v>
      </c>
    </row>
    <row r="572" spans="1:40" x14ac:dyDescent="0.25">
      <c r="A572" t="str">
        <f>"20190312160313305"</f>
        <v>20190312160313305</v>
      </c>
      <c r="B572" t="str">
        <f>"1552377793295272"</f>
        <v>1552377793295272</v>
      </c>
      <c r="C572" t="s">
        <v>40</v>
      </c>
      <c r="D572">
        <v>4.842568</v>
      </c>
      <c r="E572">
        <v>0.53581769999999995</v>
      </c>
      <c r="F572" t="s">
        <v>43</v>
      </c>
      <c r="G572">
        <v>-279.6397</v>
      </c>
      <c r="H572">
        <v>-0.05</v>
      </c>
      <c r="I572">
        <v>358.02420000000001</v>
      </c>
      <c r="J572">
        <v>-383.5924</v>
      </c>
      <c r="K572">
        <v>1.1089150000000001</v>
      </c>
      <c r="L572">
        <v>368.09809999999999</v>
      </c>
      <c r="M572">
        <v>0.99996779999999996</v>
      </c>
      <c r="N572">
        <v>0</v>
      </c>
      <c r="O572">
        <v>-1.6327189999999999E-3</v>
      </c>
      <c r="P572">
        <v>0.99943409999999999</v>
      </c>
      <c r="Q572">
        <v>3.361981E-2</v>
      </c>
      <c r="R572">
        <v>1.0950999999999999E-3</v>
      </c>
      <c r="S572">
        <v>3.0031430000000001</v>
      </c>
      <c r="T572">
        <v>-3.3400180000000002E-2</v>
      </c>
      <c r="U572">
        <v>-0.2903442</v>
      </c>
      <c r="V572">
        <v>-2.7259369999999999E-3</v>
      </c>
      <c r="W572">
        <v>4.1469909999999999E-2</v>
      </c>
      <c r="X572">
        <v>0.99913600000000002</v>
      </c>
      <c r="Y572">
        <v>9.4600400000000001E-2</v>
      </c>
      <c r="Z572">
        <v>-5.0670469999999999E-4</v>
      </c>
      <c r="AA572">
        <v>0.99551520000000004</v>
      </c>
      <c r="AB572">
        <v>44</v>
      </c>
      <c r="AC572">
        <v>103.95269999999999</v>
      </c>
      <c r="AD572">
        <v>-1.1589149999999999</v>
      </c>
      <c r="AE572">
        <v>-10.073899999999901</v>
      </c>
      <c r="AF572">
        <v>9.9029364127319202</v>
      </c>
      <c r="AG572">
        <v>-1.1589149999999999</v>
      </c>
      <c r="AH572">
        <v>103.956209420123</v>
      </c>
      <c r="AI572">
        <v>90.635834834038604</v>
      </c>
      <c r="AJ572">
        <v>84.558387113922706</v>
      </c>
      <c r="AK572">
        <v>104.43325481173299</v>
      </c>
      <c r="AL572">
        <v>87.623267533254804</v>
      </c>
      <c r="AM572">
        <v>90.156319357720406</v>
      </c>
      <c r="AN572">
        <v>0.999999965331967</v>
      </c>
    </row>
    <row r="573" spans="1:40" x14ac:dyDescent="0.25">
      <c r="A573" t="str">
        <f>"20190312160313327"</f>
        <v>20190312160313327</v>
      </c>
      <c r="B573" t="str">
        <f>"1552377793315768"</f>
        <v>1552377793315768</v>
      </c>
      <c r="C573" t="s">
        <v>40</v>
      </c>
      <c r="D573">
        <v>4.8482099999999999</v>
      </c>
      <c r="E573">
        <v>0.53553609999999996</v>
      </c>
      <c r="F573" t="s">
        <v>43</v>
      </c>
      <c r="G573">
        <v>-267.70960000000002</v>
      </c>
      <c r="H573">
        <v>-0.05</v>
      </c>
      <c r="I573">
        <v>356.90359999999998</v>
      </c>
      <c r="J573">
        <v>-383.1696</v>
      </c>
      <c r="K573">
        <v>1.1089310000000001</v>
      </c>
      <c r="L573">
        <v>368.09739999999999</v>
      </c>
      <c r="M573">
        <v>0.99996759999999996</v>
      </c>
      <c r="N573">
        <v>0</v>
      </c>
      <c r="O573">
        <v>-1.63009299999999E-3</v>
      </c>
      <c r="P573">
        <v>0.99942949999999997</v>
      </c>
      <c r="Q573">
        <v>3.3755540000000001E-2</v>
      </c>
      <c r="R573">
        <v>9.9639699999999999E-4</v>
      </c>
      <c r="S573">
        <v>3.0030519999999998</v>
      </c>
      <c r="T573">
        <v>-3.003275E-2</v>
      </c>
      <c r="U573">
        <v>-0.29010010000000003</v>
      </c>
      <c r="V573">
        <v>-2.6239639999999999E-3</v>
      </c>
      <c r="W573">
        <v>4.1635220000000001E-2</v>
      </c>
      <c r="X573">
        <v>0.99912939999999995</v>
      </c>
      <c r="Y573">
        <v>9.4526830000000006E-2</v>
      </c>
      <c r="Z573">
        <v>-4.55296E-4</v>
      </c>
      <c r="AA573">
        <v>0.99552220000000002</v>
      </c>
      <c r="AB573">
        <v>44</v>
      </c>
      <c r="AC573">
        <v>115.459999999999</v>
      </c>
      <c r="AD573">
        <v>-1.1589309999999999</v>
      </c>
      <c r="AE573">
        <v>-11.1938</v>
      </c>
      <c r="AF573">
        <v>11.0044703468454</v>
      </c>
      <c r="AG573">
        <v>-1.1589309999999999</v>
      </c>
      <c r="AH573">
        <v>115.466568974881</v>
      </c>
      <c r="AI573">
        <v>90.572461218287799</v>
      </c>
      <c r="AJ573">
        <v>84.555904008108499</v>
      </c>
      <c r="AK573">
        <v>115.99556043016599</v>
      </c>
      <c r="AL573">
        <v>87.613787784912404</v>
      </c>
      <c r="AM573">
        <v>90.150472718698595</v>
      </c>
      <c r="AN573">
        <v>0.99999996733794005</v>
      </c>
    </row>
    <row r="574" spans="1:40" x14ac:dyDescent="0.25">
      <c r="A574" t="str">
        <f>"20190312160313342"</f>
        <v>20190312160313342</v>
      </c>
      <c r="B574" t="str">
        <f>"1552377793335289"</f>
        <v>1552377793335289</v>
      </c>
      <c r="C574" t="s">
        <v>40</v>
      </c>
      <c r="D574">
        <v>4.8675369999999996</v>
      </c>
      <c r="E574">
        <v>0.53532270000000004</v>
      </c>
      <c r="F574" t="s">
        <v>41</v>
      </c>
      <c r="G574">
        <v>-244.69739999999999</v>
      </c>
      <c r="H574">
        <v>7.9985420000000002E-2</v>
      </c>
      <c r="I574">
        <v>354.82740000000001</v>
      </c>
      <c r="J574">
        <v>-382.88339999999999</v>
      </c>
      <c r="K574">
        <v>1.1089420000000001</v>
      </c>
      <c r="L574">
        <v>368.09690000000001</v>
      </c>
      <c r="M574">
        <v>0.99996750000000001</v>
      </c>
      <c r="N574">
        <v>0</v>
      </c>
      <c r="O574">
        <v>-1.628497E-3</v>
      </c>
      <c r="P574">
        <v>0.99943230000000005</v>
      </c>
      <c r="Q574">
        <v>3.3674160000000002E-2</v>
      </c>
      <c r="R574">
        <v>1.10527E-3</v>
      </c>
      <c r="S574">
        <v>3.0026860000000002</v>
      </c>
      <c r="T574">
        <v>-2.231205E-2</v>
      </c>
      <c r="U574">
        <v>-0.28775020000000001</v>
      </c>
      <c r="V574">
        <v>-2.7316430000000002E-3</v>
      </c>
      <c r="W574">
        <v>4.1572329999999998E-2</v>
      </c>
      <c r="X574">
        <v>0.99913169999999996</v>
      </c>
      <c r="Y574">
        <v>9.3770160000000005E-2</v>
      </c>
      <c r="Z574">
        <v>-3.3551460000000001E-4</v>
      </c>
      <c r="AA574">
        <v>0.99559379999999997</v>
      </c>
      <c r="AB574">
        <v>44</v>
      </c>
      <c r="AC574">
        <v>138.18600000000001</v>
      </c>
      <c r="AD574">
        <v>-1.02895658</v>
      </c>
      <c r="AE574">
        <v>-13.269499999999899</v>
      </c>
      <c r="AF574">
        <v>13.043723294229499</v>
      </c>
      <c r="AG574">
        <v>-1.02895658</v>
      </c>
      <c r="AH574">
        <v>138.199834225926</v>
      </c>
      <c r="AI574">
        <v>90.424696212022894</v>
      </c>
      <c r="AJ574">
        <v>84.608221407439501</v>
      </c>
      <c r="AK574">
        <v>138.81783620664001</v>
      </c>
      <c r="AL574">
        <v>87.6173941673147</v>
      </c>
      <c r="AM574">
        <v>90.156647241871397</v>
      </c>
      <c r="AN574">
        <v>0.99999993721999703</v>
      </c>
    </row>
    <row r="575" spans="1:40" x14ac:dyDescent="0.25">
      <c r="A575" t="str">
        <f>"20190312160313356"</f>
        <v>20190312160313356</v>
      </c>
      <c r="B575" t="str">
        <f>"1552377793345048"</f>
        <v>1552377793345048</v>
      </c>
      <c r="C575" t="s">
        <v>40</v>
      </c>
      <c r="D575">
        <v>4.8234969999999997</v>
      </c>
      <c r="E575">
        <v>0.53522910000000001</v>
      </c>
      <c r="F575" t="s">
        <v>43</v>
      </c>
      <c r="G575">
        <v>-109.54859999999999</v>
      </c>
      <c r="H575">
        <v>-0.05</v>
      </c>
      <c r="I575">
        <v>342.14780000000002</v>
      </c>
      <c r="J575">
        <v>-382.60590000000002</v>
      </c>
      <c r="K575">
        <v>1.1089530000000001</v>
      </c>
      <c r="L575">
        <v>368.09640000000002</v>
      </c>
      <c r="M575">
        <v>0.99996750000000001</v>
      </c>
      <c r="N575">
        <v>0</v>
      </c>
      <c r="O575">
        <v>-1.6268960000000001E-3</v>
      </c>
      <c r="P575">
        <v>0.99942739999999997</v>
      </c>
      <c r="Q575">
        <v>3.3823989999999998E-2</v>
      </c>
      <c r="R575">
        <v>9.716293E-4</v>
      </c>
      <c r="S575">
        <v>3.0024109999999999</v>
      </c>
      <c r="T575">
        <v>-1.273024E-2</v>
      </c>
      <c r="U575">
        <v>-0.28503420000000002</v>
      </c>
      <c r="V575">
        <v>-2.5963200000000001E-3</v>
      </c>
      <c r="W575">
        <v>4.1739560000000002E-2</v>
      </c>
      <c r="X575">
        <v>0.99912509999999999</v>
      </c>
      <c r="Y575">
        <v>9.2889550000000001E-2</v>
      </c>
      <c r="Z575">
        <v>-1.8960090000000001E-4</v>
      </c>
      <c r="AA575">
        <v>0.99567640000000002</v>
      </c>
      <c r="AB575">
        <v>44</v>
      </c>
      <c r="AC575">
        <v>273.0573</v>
      </c>
      <c r="AD575">
        <v>-1.1589529999999999</v>
      </c>
      <c r="AE575">
        <v>-25.948599999999999</v>
      </c>
      <c r="AF575">
        <v>25.503860648936602</v>
      </c>
      <c r="AG575">
        <v>-1.1589529999999999</v>
      </c>
      <c r="AH575">
        <v>273.09427995671302</v>
      </c>
      <c r="AI575">
        <v>90.242096019476506</v>
      </c>
      <c r="AJ575">
        <v>84.664708552641201</v>
      </c>
      <c r="AK575">
        <v>274.28502661489199</v>
      </c>
      <c r="AL575">
        <v>87.6078042968349</v>
      </c>
      <c r="AM575">
        <v>90.148888105631102</v>
      </c>
      <c r="AN575">
        <v>0.99999994859827102</v>
      </c>
    </row>
    <row r="576" spans="1:40" x14ac:dyDescent="0.25">
      <c r="A576" t="str">
        <f>"20190312160313372"</f>
        <v>20190312160313372</v>
      </c>
      <c r="B576" t="str">
        <f>"1552377793365545"</f>
        <v>1552377793365545</v>
      </c>
      <c r="C576" t="s">
        <v>40</v>
      </c>
      <c r="D576">
        <v>4.8745240000000001</v>
      </c>
      <c r="E576">
        <v>0.53566740000000002</v>
      </c>
      <c r="F576" t="s">
        <v>45</v>
      </c>
      <c r="G576">
        <v>0</v>
      </c>
      <c r="H576">
        <v>0</v>
      </c>
      <c r="I576">
        <v>0</v>
      </c>
      <c r="J576">
        <v>-382.27839999999998</v>
      </c>
      <c r="K576">
        <v>1.108968</v>
      </c>
      <c r="L576">
        <v>368.09589999999997</v>
      </c>
      <c r="M576">
        <v>0.9999673</v>
      </c>
      <c r="N576">
        <v>0</v>
      </c>
      <c r="O576">
        <v>-1.624948E-3</v>
      </c>
      <c r="P576">
        <v>0.99943380000000004</v>
      </c>
      <c r="Q576">
        <v>3.3634209999999998E-2</v>
      </c>
      <c r="R576">
        <v>1.223123E-3</v>
      </c>
      <c r="S576">
        <v>3.0022579999999999</v>
      </c>
      <c r="T576">
        <v>-7.8858139999999997E-3</v>
      </c>
      <c r="U576">
        <v>-0.2847595</v>
      </c>
      <c r="V576">
        <v>-2.8459850000000001E-3</v>
      </c>
      <c r="W576">
        <v>4.1569479999999999E-2</v>
      </c>
      <c r="X576">
        <v>0.99913160000000001</v>
      </c>
      <c r="Y576">
        <v>9.28065E-2</v>
      </c>
      <c r="Z576">
        <v>-1.173523E-4</v>
      </c>
      <c r="AA576">
        <v>0.99568409999999996</v>
      </c>
      <c r="AB576">
        <v>44</v>
      </c>
      <c r="AC576">
        <v>3.0022579999999999</v>
      </c>
      <c r="AD576">
        <v>-7.8858139999999997E-3</v>
      </c>
      <c r="AE576">
        <v>-0.2847595</v>
      </c>
      <c r="AF576">
        <v>0.27987854409058499</v>
      </c>
      <c r="AG576">
        <v>-7.8858139999999997E-3</v>
      </c>
      <c r="AH576">
        <v>3.00269623856838</v>
      </c>
      <c r="AI576">
        <v>90.149822955316395</v>
      </c>
      <c r="AJ576">
        <v>84.674899096408097</v>
      </c>
      <c r="AK576">
        <v>3.01572195114493</v>
      </c>
      <c r="AL576">
        <v>87.617557841121993</v>
      </c>
      <c r="AM576">
        <v>90.163204214584098</v>
      </c>
      <c r="AN576">
        <v>1.00000003770832</v>
      </c>
    </row>
    <row r="577" spans="1:40" x14ac:dyDescent="0.25">
      <c r="A577" t="str">
        <f>"20190312160313393"</f>
        <v>20190312160313393</v>
      </c>
      <c r="B577" t="str">
        <f>"1552377793385068"</f>
        <v>1552377793385068</v>
      </c>
      <c r="C577" t="s">
        <v>40</v>
      </c>
      <c r="D577">
        <v>4.9007569999999996</v>
      </c>
      <c r="E577">
        <v>0.53610080000000004</v>
      </c>
      <c r="F577" t="s">
        <v>45</v>
      </c>
      <c r="G577">
        <v>0</v>
      </c>
      <c r="H577">
        <v>0</v>
      </c>
      <c r="I577">
        <v>0</v>
      </c>
      <c r="J577">
        <v>-381.85469999999998</v>
      </c>
      <c r="K577">
        <v>1.108984</v>
      </c>
      <c r="L577">
        <v>368.09519999999998</v>
      </c>
      <c r="M577">
        <v>0.9999671</v>
      </c>
      <c r="N577">
        <v>0</v>
      </c>
      <c r="O577">
        <v>-1.6225409999999999E-3</v>
      </c>
      <c r="P577">
        <v>0.99944140000000004</v>
      </c>
      <c r="Q577">
        <v>3.3390299999999998E-2</v>
      </c>
      <c r="R577">
        <v>1.5348130000000001E-3</v>
      </c>
      <c r="S577">
        <v>3.0022890000000002</v>
      </c>
      <c r="T577">
        <v>-6.4892769999999999E-3</v>
      </c>
      <c r="U577">
        <v>-0.28720089999999998</v>
      </c>
      <c r="V577">
        <v>-3.1552110000000002E-3</v>
      </c>
      <c r="W577">
        <v>4.134985E-2</v>
      </c>
      <c r="X577">
        <v>0.99913969999999996</v>
      </c>
      <c r="Y577">
        <v>9.3610410000000005E-2</v>
      </c>
      <c r="Z577" s="1">
        <v>-9.7437219999999997E-5</v>
      </c>
      <c r="AA577">
        <v>0.99560890000000002</v>
      </c>
      <c r="AB577">
        <v>44</v>
      </c>
      <c r="AC577">
        <v>3.0022890000000002</v>
      </c>
      <c r="AD577">
        <v>-6.4892769999999999E-3</v>
      </c>
      <c r="AE577">
        <v>-0.28720089999999998</v>
      </c>
      <c r="AF577">
        <v>0.28232772404352602</v>
      </c>
      <c r="AG577">
        <v>-6.4892769999999999E-3</v>
      </c>
      <c r="AH577">
        <v>3.0027371566407699</v>
      </c>
      <c r="AI577">
        <v>90.123279175712995</v>
      </c>
      <c r="AJ577">
        <v>84.628644000411697</v>
      </c>
      <c r="AK577">
        <v>3.0159876469161202</v>
      </c>
      <c r="AL577">
        <v>87.630152340548804</v>
      </c>
      <c r="AM577">
        <v>90.180935331498304</v>
      </c>
      <c r="AN577">
        <v>0.99999995278378195</v>
      </c>
    </row>
    <row r="578" spans="1:40" x14ac:dyDescent="0.25">
      <c r="A578" t="str">
        <f>"20190312160313404"</f>
        <v>20190312160313404</v>
      </c>
      <c r="B578" t="str">
        <f>"1552377793394824"</f>
        <v>1552377793394824</v>
      </c>
      <c r="C578" t="s">
        <v>40</v>
      </c>
      <c r="D578">
        <v>4.9048160000000003</v>
      </c>
      <c r="E578">
        <v>0.53627519999999995</v>
      </c>
      <c r="F578" t="s">
        <v>45</v>
      </c>
      <c r="G578">
        <v>0</v>
      </c>
      <c r="H578">
        <v>0</v>
      </c>
      <c r="I578">
        <v>0</v>
      </c>
      <c r="J578">
        <v>-381.63369999999998</v>
      </c>
      <c r="K578">
        <v>1.1089910000000001</v>
      </c>
      <c r="L578">
        <v>368.0949</v>
      </c>
      <c r="M578">
        <v>0.99996700000000005</v>
      </c>
      <c r="N578">
        <v>0</v>
      </c>
      <c r="O578">
        <v>-1.621515E-3</v>
      </c>
      <c r="P578">
        <v>0.99942869999999995</v>
      </c>
      <c r="Q578">
        <v>3.3760369999999998E-2</v>
      </c>
      <c r="R578">
        <v>1.655959E-3</v>
      </c>
      <c r="S578">
        <v>3.0022280000000001</v>
      </c>
      <c r="T578">
        <v>-2.8840300000000001E-3</v>
      </c>
      <c r="U578">
        <v>-0.28930660000000002</v>
      </c>
      <c r="V578">
        <v>-3.2756959999999998E-3</v>
      </c>
      <c r="W578">
        <v>4.173193E-2</v>
      </c>
      <c r="X578">
        <v>0.99912350000000005</v>
      </c>
      <c r="Y578">
        <v>9.4305399999999998E-2</v>
      </c>
      <c r="Z578" s="1">
        <v>-4.3637529999999999E-5</v>
      </c>
      <c r="AA578">
        <v>0.99554330000000002</v>
      </c>
      <c r="AB578">
        <v>44</v>
      </c>
      <c r="AC578">
        <v>3.0022280000000001</v>
      </c>
      <c r="AD578">
        <v>-2.8840300000000001E-3</v>
      </c>
      <c r="AE578">
        <v>-0.28930660000000002</v>
      </c>
      <c r="AF578">
        <v>0.28443764758092399</v>
      </c>
      <c r="AG578">
        <v>-2.8840300000000001E-3</v>
      </c>
      <c r="AH578">
        <v>3.0026904372896799</v>
      </c>
      <c r="AI578">
        <v>90.054786287491794</v>
      </c>
      <c r="AJ578">
        <v>84.588655881103307</v>
      </c>
      <c r="AK578">
        <v>3.0161337760751401</v>
      </c>
      <c r="AL578">
        <v>87.6082420306317</v>
      </c>
      <c r="AM578">
        <v>90.1878475316623</v>
      </c>
      <c r="AN578">
        <v>1.0000000262090201</v>
      </c>
    </row>
    <row r="579" spans="1:40" x14ac:dyDescent="0.25">
      <c r="A579" t="str">
        <f>"20190312160313415"</f>
        <v>20190312160313415</v>
      </c>
      <c r="B579" t="str">
        <f>"1552377793405560"</f>
        <v>1552377793405560</v>
      </c>
      <c r="C579" t="s">
        <v>40</v>
      </c>
      <c r="D579">
        <v>4.964874</v>
      </c>
      <c r="E579">
        <v>0.53646649999999996</v>
      </c>
      <c r="F579" t="s">
        <v>45</v>
      </c>
      <c r="G579">
        <v>0</v>
      </c>
      <c r="H579">
        <v>0</v>
      </c>
      <c r="I579">
        <v>0</v>
      </c>
      <c r="J579">
        <v>-381.41989999999998</v>
      </c>
      <c r="K579">
        <v>1.108997</v>
      </c>
      <c r="L579">
        <v>368.09449999999998</v>
      </c>
      <c r="M579">
        <v>0.99996680000000004</v>
      </c>
      <c r="N579">
        <v>0</v>
      </c>
      <c r="O579">
        <v>-1.62048799999999E-3</v>
      </c>
      <c r="P579">
        <v>0.99942229999999999</v>
      </c>
      <c r="Q579">
        <v>3.3941869999999999E-2</v>
      </c>
      <c r="R579">
        <v>1.79466E-3</v>
      </c>
      <c r="S579">
        <v>3.0021969999999998</v>
      </c>
      <c r="T579">
        <v>2.9373170000000001E-4</v>
      </c>
      <c r="U579">
        <v>-0.29037479999999999</v>
      </c>
      <c r="V579">
        <v>-3.4128769999999999E-3</v>
      </c>
      <c r="W579">
        <v>4.1924889999999999E-2</v>
      </c>
      <c r="X579">
        <v>0.99911490000000003</v>
      </c>
      <c r="Y579">
        <v>9.4658370000000006E-2</v>
      </c>
      <c r="Z579" s="1">
        <v>4.4616760000000002E-6</v>
      </c>
      <c r="AA579">
        <v>0.9955098</v>
      </c>
      <c r="AB579">
        <v>44</v>
      </c>
      <c r="AC579">
        <v>3.0021969999999998</v>
      </c>
      <c r="AD579">
        <v>2.9373170000000001E-4</v>
      </c>
      <c r="AE579">
        <v>-0.29037479999999999</v>
      </c>
      <c r="AF579">
        <v>0.28550923666038702</v>
      </c>
      <c r="AG579">
        <v>2.9373170000000001E-4</v>
      </c>
      <c r="AH579">
        <v>3.0026635932966199</v>
      </c>
      <c r="AI579">
        <v>89.994420281128697</v>
      </c>
      <c r="AJ579">
        <v>84.568342636303697</v>
      </c>
      <c r="AK579">
        <v>3.0162069333859902</v>
      </c>
      <c r="AL579">
        <v>87.597176402757697</v>
      </c>
      <c r="AM579">
        <v>90.195715915701399</v>
      </c>
      <c r="AN579">
        <v>0.99999996376646905</v>
      </c>
    </row>
    <row r="580" spans="1:40" x14ac:dyDescent="0.25">
      <c r="A580" t="str">
        <f>"20190312160313426"</f>
        <v>20190312160313426</v>
      </c>
      <c r="B580" t="str">
        <f>"1552377793415321"</f>
        <v>1552377793415321</v>
      </c>
      <c r="C580" t="s">
        <v>40</v>
      </c>
      <c r="D580">
        <v>4.8933720000000003</v>
      </c>
      <c r="E580">
        <v>0.536634099999999</v>
      </c>
      <c r="F580" t="s">
        <v>45</v>
      </c>
      <c r="G580">
        <v>0</v>
      </c>
      <c r="H580">
        <v>0</v>
      </c>
      <c r="I580">
        <v>0</v>
      </c>
      <c r="J580">
        <v>-381.2</v>
      </c>
      <c r="K580">
        <v>1.1090040000000001</v>
      </c>
      <c r="L580">
        <v>368.0942</v>
      </c>
      <c r="M580">
        <v>0.99996669999999999</v>
      </c>
      <c r="N580">
        <v>0</v>
      </c>
      <c r="O580">
        <v>-1.6191039999999999E-3</v>
      </c>
      <c r="P580">
        <v>0.99941650000000004</v>
      </c>
      <c r="Q580">
        <v>3.4104699999999898E-2</v>
      </c>
      <c r="R580">
        <v>1.9045990000000001E-3</v>
      </c>
      <c r="S580">
        <v>3.0022280000000001</v>
      </c>
      <c r="T580">
        <v>2.97153E-3</v>
      </c>
      <c r="U580">
        <v>-0.29141240000000002</v>
      </c>
      <c r="V580">
        <v>-3.5219499999999998E-3</v>
      </c>
      <c r="W580">
        <v>4.2099730000000002E-2</v>
      </c>
      <c r="X580">
        <v>0.99910719999999997</v>
      </c>
      <c r="Y580">
        <v>9.4999570000000005E-2</v>
      </c>
      <c r="Z580" s="1">
        <v>4.5305059999999903E-5</v>
      </c>
      <c r="AA580">
        <v>0.99547730000000001</v>
      </c>
      <c r="AB580">
        <v>44</v>
      </c>
      <c r="AC580">
        <v>3.0022280000000001</v>
      </c>
      <c r="AD580">
        <v>2.97153E-3</v>
      </c>
      <c r="AE580">
        <v>-0.29141240000000002</v>
      </c>
      <c r="AF580">
        <v>0.28655066504073801</v>
      </c>
      <c r="AG580">
        <v>2.97153E-3</v>
      </c>
      <c r="AH580">
        <v>3.0026929925097399</v>
      </c>
      <c r="AI580">
        <v>89.943555316033695</v>
      </c>
      <c r="AJ580">
        <v>84.5487022187409</v>
      </c>
      <c r="AK580">
        <v>3.0163364071159098</v>
      </c>
      <c r="AL580">
        <v>87.587150029455799</v>
      </c>
      <c r="AM580">
        <v>90.201972355734597</v>
      </c>
      <c r="AN580">
        <v>0.99999999424485697</v>
      </c>
    </row>
    <row r="581" spans="1:40" x14ac:dyDescent="0.25">
      <c r="A581" t="str">
        <f>"20190312160313437"</f>
        <v>20190312160313437</v>
      </c>
      <c r="B581" t="str">
        <f>"1552377793425080"</f>
        <v>1552377793425080</v>
      </c>
      <c r="C581" t="s">
        <v>40</v>
      </c>
      <c r="D581">
        <v>4.908925</v>
      </c>
      <c r="E581">
        <v>0.53684240000000005</v>
      </c>
      <c r="F581" t="s">
        <v>45</v>
      </c>
      <c r="G581">
        <v>0</v>
      </c>
      <c r="H581">
        <v>0</v>
      </c>
      <c r="I581">
        <v>0</v>
      </c>
      <c r="J581">
        <v>-380.98149999999998</v>
      </c>
      <c r="K581">
        <v>1.1090089999999999</v>
      </c>
      <c r="L581">
        <v>368.09379999999999</v>
      </c>
      <c r="M581">
        <v>0.99996669999999999</v>
      </c>
      <c r="N581">
        <v>0</v>
      </c>
      <c r="O581">
        <v>-1.6179580000000001E-3</v>
      </c>
      <c r="P581">
        <v>0.99940419999999996</v>
      </c>
      <c r="Q581">
        <v>3.446051E-2</v>
      </c>
      <c r="R581">
        <v>2.0269429999999998E-3</v>
      </c>
      <c r="S581">
        <v>3.0021969999999998</v>
      </c>
      <c r="T581">
        <v>3.0912159999999999E-3</v>
      </c>
      <c r="U581">
        <v>-0.2924194</v>
      </c>
      <c r="V581">
        <v>-3.6424249999999999E-3</v>
      </c>
      <c r="W581">
        <v>4.2467039999999998E-2</v>
      </c>
      <c r="X581">
        <v>0.99909119999999996</v>
      </c>
      <c r="Y581">
        <v>9.5332470000000002E-2</v>
      </c>
      <c r="Z581" s="1">
        <v>4.7301700000000001E-5</v>
      </c>
      <c r="AA581">
        <v>0.99544549999999998</v>
      </c>
      <c r="AB581">
        <v>44</v>
      </c>
      <c r="AC581">
        <v>3.0021969999999998</v>
      </c>
      <c r="AD581">
        <v>3.0912159999999999E-3</v>
      </c>
      <c r="AE581">
        <v>-0.2924194</v>
      </c>
      <c r="AF581">
        <v>0.28756113117429999</v>
      </c>
      <c r="AG581">
        <v>3.0912159999999999E-3</v>
      </c>
      <c r="AH581">
        <v>3.00266305418049</v>
      </c>
      <c r="AI581">
        <v>89.941283154803997</v>
      </c>
      <c r="AJ581">
        <v>84.529541452817497</v>
      </c>
      <c r="AK581">
        <v>3.0164028870028399</v>
      </c>
      <c r="AL581">
        <v>87.566085822079799</v>
      </c>
      <c r="AM581">
        <v>90.208884489304793</v>
      </c>
      <c r="AN581">
        <v>0.99999997133184004</v>
      </c>
    </row>
    <row r="582" spans="1:40" x14ac:dyDescent="0.25">
      <c r="A582" t="str">
        <f>"20190312160313448"</f>
        <v>20190312160313448</v>
      </c>
      <c r="B582" t="str">
        <f>"1552377793445576"</f>
        <v>1552377793445576</v>
      </c>
      <c r="C582" t="s">
        <v>40</v>
      </c>
      <c r="D582">
        <v>4.8896439999999997</v>
      </c>
      <c r="E582">
        <v>0.53722479999999995</v>
      </c>
      <c r="F582" t="s">
        <v>45</v>
      </c>
      <c r="G582">
        <v>0</v>
      </c>
      <c r="H582">
        <v>0</v>
      </c>
      <c r="I582">
        <v>0</v>
      </c>
      <c r="J582">
        <v>-380.76389999999998</v>
      </c>
      <c r="K582">
        <v>1.1090150000000001</v>
      </c>
      <c r="L582">
        <v>368.09339999999997</v>
      </c>
      <c r="M582">
        <v>0.99996640000000003</v>
      </c>
      <c r="N582">
        <v>0</v>
      </c>
      <c r="O582">
        <v>-1.616574E-3</v>
      </c>
      <c r="P582">
        <v>0.99939860000000003</v>
      </c>
      <c r="Q582">
        <v>3.4611080000000002E-2</v>
      </c>
      <c r="R582">
        <v>2.1280750000000001E-3</v>
      </c>
      <c r="S582">
        <v>3.0021969999999998</v>
      </c>
      <c r="T582">
        <v>5.872726E-3</v>
      </c>
      <c r="U582">
        <v>-0.29364010000000001</v>
      </c>
      <c r="V582">
        <v>-3.7424440000000002E-3</v>
      </c>
      <c r="W582">
        <v>4.2628550000000001E-2</v>
      </c>
      <c r="X582">
        <v>0.99908399999999997</v>
      </c>
      <c r="Y582">
        <v>9.5734639999999996E-2</v>
      </c>
      <c r="Z582" s="1">
        <v>9.0257590000000001E-5</v>
      </c>
      <c r="AA582">
        <v>0.99540689999999998</v>
      </c>
      <c r="AB582">
        <v>45</v>
      </c>
      <c r="AC582">
        <v>3.0021969999999998</v>
      </c>
      <c r="AD582">
        <v>5.872726E-3</v>
      </c>
      <c r="AE582">
        <v>-0.29364010000000001</v>
      </c>
      <c r="AF582">
        <v>0.28878519137823</v>
      </c>
      <c r="AG582">
        <v>5.872726E-3</v>
      </c>
      <c r="AH582">
        <v>3.0026564024124398</v>
      </c>
      <c r="AI582">
        <v>89.888453276091596</v>
      </c>
      <c r="AJ582">
        <v>84.506385435832499</v>
      </c>
      <c r="AK582">
        <v>3.0165173373641498</v>
      </c>
      <c r="AL582">
        <v>87.556823709680401</v>
      </c>
      <c r="AM582">
        <v>90.214621836961996</v>
      </c>
      <c r="AN582">
        <v>1.0000000191090901</v>
      </c>
    </row>
    <row r="583" spans="1:40" x14ac:dyDescent="0.25">
      <c r="A583" t="str">
        <f>"20190312160313459"</f>
        <v>20190312160313459</v>
      </c>
      <c r="B583" t="str">
        <f>"1552377793455338"</f>
        <v>1552377793455338</v>
      </c>
      <c r="C583" t="s">
        <v>40</v>
      </c>
      <c r="D583">
        <v>4.8708039999999997</v>
      </c>
      <c r="E583">
        <v>0.53733999999999904</v>
      </c>
      <c r="F583" t="s">
        <v>45</v>
      </c>
      <c r="G583">
        <v>0</v>
      </c>
      <c r="H583">
        <v>0</v>
      </c>
      <c r="I583">
        <v>0</v>
      </c>
      <c r="J583">
        <v>-380.53919999999999</v>
      </c>
      <c r="K583">
        <v>1.1090199999999999</v>
      </c>
      <c r="L583">
        <v>368.09309999999999</v>
      </c>
      <c r="M583">
        <v>0.99996640000000003</v>
      </c>
      <c r="N583">
        <v>0</v>
      </c>
      <c r="O583">
        <v>-1.6154279999999999E-3</v>
      </c>
      <c r="P583">
        <v>0.99939739999999999</v>
      </c>
      <c r="Q583">
        <v>3.4637229999999998E-2</v>
      </c>
      <c r="R583">
        <v>2.335494E-3</v>
      </c>
      <c r="S583">
        <v>3.002075</v>
      </c>
      <c r="T583">
        <v>9.3488689999999992E-3</v>
      </c>
      <c r="U583">
        <v>-0.29629519999999998</v>
      </c>
      <c r="V583">
        <v>-3.9487189999999998E-3</v>
      </c>
      <c r="W583">
        <v>4.2666179999999998E-2</v>
      </c>
      <c r="X583">
        <v>0.99908160000000001</v>
      </c>
      <c r="Y583">
        <v>9.6611310000000006E-2</v>
      </c>
      <c r="Z583">
        <v>1.450469E-4</v>
      </c>
      <c r="AA583">
        <v>0.99532220000000005</v>
      </c>
      <c r="AB583">
        <v>45</v>
      </c>
      <c r="AC583">
        <v>3.002075</v>
      </c>
      <c r="AD583">
        <v>9.3488689999999992E-3</v>
      </c>
      <c r="AE583">
        <v>-0.29629519999999998</v>
      </c>
      <c r="AF583">
        <v>0.29144222163549999</v>
      </c>
      <c r="AG583">
        <v>9.3488689999999992E-3</v>
      </c>
      <c r="AH583">
        <v>3.0025209045785601</v>
      </c>
      <c r="AI583">
        <v>89.822434764596295</v>
      </c>
      <c r="AJ583">
        <v>84.455905093552502</v>
      </c>
      <c r="AK583">
        <v>3.0166467728812201</v>
      </c>
      <c r="AL583">
        <v>87.554665706817502</v>
      </c>
      <c r="AM583">
        <v>90.226451728399496</v>
      </c>
      <c r="AN583">
        <v>1.0000000193780401</v>
      </c>
    </row>
    <row r="584" spans="1:40" x14ac:dyDescent="0.25">
      <c r="A584" t="str">
        <f>"20190312160313471"</f>
        <v>20190312160313471</v>
      </c>
      <c r="B584" t="str">
        <f>"1552377793465098"</f>
        <v>1552377793465098</v>
      </c>
      <c r="C584" t="s">
        <v>40</v>
      </c>
      <c r="D584">
        <v>4.8881199999999998</v>
      </c>
      <c r="E584">
        <v>0.53749609999999903</v>
      </c>
      <c r="F584" t="s">
        <v>45</v>
      </c>
      <c r="G584">
        <v>0</v>
      </c>
      <c r="H584">
        <v>0</v>
      </c>
      <c r="I584">
        <v>0</v>
      </c>
      <c r="J584">
        <v>-380.29829999999998</v>
      </c>
      <c r="K584">
        <v>1.1090169999999999</v>
      </c>
      <c r="L584">
        <v>368.09269999999998</v>
      </c>
      <c r="M584">
        <v>0.99996629999999997</v>
      </c>
      <c r="N584">
        <v>0</v>
      </c>
      <c r="O584">
        <v>-1.613927E-3</v>
      </c>
      <c r="P584">
        <v>0.99938329999999997</v>
      </c>
      <c r="Q584">
        <v>3.50151E-2</v>
      </c>
      <c r="R584">
        <v>2.5916860000000002E-3</v>
      </c>
      <c r="S584">
        <v>3.0021969999999998</v>
      </c>
      <c r="T584">
        <v>8.7001319999999993E-3</v>
      </c>
      <c r="U584">
        <v>-0.29678339999999998</v>
      </c>
      <c r="V584">
        <v>-4.2035220000000003E-3</v>
      </c>
      <c r="W584">
        <v>4.3055879999999998E-2</v>
      </c>
      <c r="X584">
        <v>0.99906379999999995</v>
      </c>
      <c r="Y584">
        <v>9.6769229999999998E-2</v>
      </c>
      <c r="Z584">
        <v>1.3520789999999999E-4</v>
      </c>
      <c r="AA584">
        <v>0.99530680000000005</v>
      </c>
      <c r="AB584">
        <v>45</v>
      </c>
      <c r="AC584">
        <v>3.0021969999999998</v>
      </c>
      <c r="AD584">
        <v>8.7001319999999993E-3</v>
      </c>
      <c r="AE584">
        <v>-0.29678339999999998</v>
      </c>
      <c r="AF584">
        <v>0.29193510174047799</v>
      </c>
      <c r="AG584">
        <v>8.7001319999999993E-3</v>
      </c>
      <c r="AH584">
        <v>3.0026471199578499</v>
      </c>
      <c r="AI584">
        <v>89.834765797206103</v>
      </c>
      <c r="AJ584">
        <v>84.446819592939505</v>
      </c>
      <c r="AK584">
        <v>3.0168181123356099</v>
      </c>
      <c r="AL584">
        <v>87.532316900788004</v>
      </c>
      <c r="AM584">
        <v>90.241068336683199</v>
      </c>
      <c r="AN584">
        <v>0.99999997743510904</v>
      </c>
    </row>
    <row r="585" spans="1:40" x14ac:dyDescent="0.25">
      <c r="A585" t="str">
        <f>"20190312160313482"</f>
        <v>20190312160313482</v>
      </c>
      <c r="B585" t="str">
        <f>"1552377793474856"</f>
        <v>1552377793474856</v>
      </c>
      <c r="C585" t="s">
        <v>40</v>
      </c>
      <c r="D585">
        <v>4.874187</v>
      </c>
      <c r="E585">
        <v>0.53758249999999996</v>
      </c>
      <c r="F585" t="s">
        <v>45</v>
      </c>
      <c r="G585">
        <v>0</v>
      </c>
      <c r="H585">
        <v>0</v>
      </c>
      <c r="I585">
        <v>0</v>
      </c>
      <c r="J585">
        <v>-380.06900000000002</v>
      </c>
      <c r="K585">
        <v>1.10902099999999</v>
      </c>
      <c r="L585">
        <v>368.09230000000002</v>
      </c>
      <c r="M585">
        <v>0.99996629999999997</v>
      </c>
      <c r="N585">
        <v>0</v>
      </c>
      <c r="O585">
        <v>-1.6126619999999999E-3</v>
      </c>
      <c r="P585">
        <v>0.99938669999999996</v>
      </c>
      <c r="Q585">
        <v>3.491847E-2</v>
      </c>
      <c r="R585">
        <v>2.6403170000000001E-3</v>
      </c>
      <c r="S585">
        <v>3.0021969999999998</v>
      </c>
      <c r="T585">
        <v>1.119828E-2</v>
      </c>
      <c r="U585">
        <v>-0.29696660000000002</v>
      </c>
      <c r="V585">
        <v>-4.250701E-3</v>
      </c>
      <c r="W585">
        <v>4.2970599999999998E-2</v>
      </c>
      <c r="X585">
        <v>0.99906729999999999</v>
      </c>
      <c r="Y585">
        <v>9.6830349999999996E-2</v>
      </c>
      <c r="Z585">
        <v>1.741491E-4</v>
      </c>
      <c r="AA585">
        <v>0.99530090000000004</v>
      </c>
      <c r="AB585">
        <v>45</v>
      </c>
      <c r="AC585">
        <v>3.0021969999999998</v>
      </c>
      <c r="AD585">
        <v>1.119828E-2</v>
      </c>
      <c r="AE585">
        <v>-0.29696660000000002</v>
      </c>
      <c r="AF585">
        <v>0.29212050300669701</v>
      </c>
      <c r="AG585">
        <v>1.119828E-2</v>
      </c>
      <c r="AH585">
        <v>3.0026306469962498</v>
      </c>
      <c r="AI585">
        <v>89.7873210948691</v>
      </c>
      <c r="AJ585">
        <v>84.443284666967102</v>
      </c>
      <c r="AK585">
        <v>3.0168279022895801</v>
      </c>
      <c r="AL585">
        <v>87.5372076802972</v>
      </c>
      <c r="AM585">
        <v>90.2437731249004</v>
      </c>
      <c r="AN585">
        <v>1.0000000054263201</v>
      </c>
    </row>
    <row r="586" spans="1:40" x14ac:dyDescent="0.25">
      <c r="A586" t="str">
        <f>"20190312160313494"</f>
        <v>20190312160313494</v>
      </c>
      <c r="B586" t="str">
        <f>"1552377793485592"</f>
        <v>1552377793485592</v>
      </c>
      <c r="C586" t="s">
        <v>40</v>
      </c>
      <c r="D586">
        <v>4.9031120000000001</v>
      </c>
      <c r="E586">
        <v>0.53769960000000006</v>
      </c>
      <c r="F586" t="s">
        <v>45</v>
      </c>
      <c r="G586">
        <v>0</v>
      </c>
      <c r="H586">
        <v>0</v>
      </c>
      <c r="I586">
        <v>0</v>
      </c>
      <c r="J586">
        <v>-379.84829999999999</v>
      </c>
      <c r="K586">
        <v>1.1090230000000001</v>
      </c>
      <c r="L586">
        <v>368.09199999999998</v>
      </c>
      <c r="M586">
        <v>0.99996620000000003</v>
      </c>
      <c r="N586">
        <v>0</v>
      </c>
      <c r="O586">
        <v>-1.6112749999999999E-3</v>
      </c>
      <c r="P586">
        <v>0.99938039999999995</v>
      </c>
      <c r="Q586">
        <v>3.5072249999999999E-2</v>
      </c>
      <c r="R586">
        <v>2.9525749999999998E-3</v>
      </c>
      <c r="S586">
        <v>3.0021969999999998</v>
      </c>
      <c r="T586">
        <v>1.213932E-2</v>
      </c>
      <c r="U586">
        <v>-0.29745480000000002</v>
      </c>
      <c r="V586">
        <v>-4.5612760000000004E-3</v>
      </c>
      <c r="W586">
        <v>4.3135439999999997E-2</v>
      </c>
      <c r="X586">
        <v>0.99905880000000002</v>
      </c>
      <c r="Y586">
        <v>9.6991930000000004E-2</v>
      </c>
      <c r="Z586">
        <v>1.891134E-4</v>
      </c>
      <c r="AA586">
        <v>0.99528519999999998</v>
      </c>
      <c r="AB586">
        <v>45</v>
      </c>
      <c r="AC586">
        <v>3.0021969999999998</v>
      </c>
      <c r="AD586">
        <v>1.213932E-2</v>
      </c>
      <c r="AE586">
        <v>-0.29745480000000002</v>
      </c>
      <c r="AF586">
        <v>0.29261215402839902</v>
      </c>
      <c r="AG586">
        <v>1.213932E-2</v>
      </c>
      <c r="AH586">
        <v>3.00262378481627</v>
      </c>
      <c r="AI586">
        <v>89.769452069440206</v>
      </c>
      <c r="AJ586">
        <v>84.433978521129205</v>
      </c>
      <c r="AK586">
        <v>3.0168723587383601</v>
      </c>
      <c r="AL586">
        <v>87.527754212480403</v>
      </c>
      <c r="AM586">
        <v>90.261586253155301</v>
      </c>
      <c r="AN586">
        <v>0.99999997864009005</v>
      </c>
    </row>
    <row r="587" spans="1:40" x14ac:dyDescent="0.25">
      <c r="A587" t="str">
        <f>"20190312160313505"</f>
        <v>20190312160313505</v>
      </c>
      <c r="B587" t="str">
        <f>"1552377793495353"</f>
        <v>1552377793495353</v>
      </c>
      <c r="C587" t="s">
        <v>40</v>
      </c>
      <c r="D587">
        <v>4.893516</v>
      </c>
      <c r="E587">
        <v>0.53781519999999905</v>
      </c>
      <c r="F587" t="s">
        <v>45</v>
      </c>
      <c r="G587">
        <v>0</v>
      </c>
      <c r="H587">
        <v>0</v>
      </c>
      <c r="I587">
        <v>0</v>
      </c>
      <c r="J587">
        <v>-379.6216</v>
      </c>
      <c r="K587">
        <v>1.109027</v>
      </c>
      <c r="L587">
        <v>368.09160000000003</v>
      </c>
      <c r="M587">
        <v>0.99996609999999997</v>
      </c>
      <c r="N587">
        <v>0</v>
      </c>
      <c r="O587">
        <v>-1.609889E-3</v>
      </c>
      <c r="P587">
        <v>0.9993744</v>
      </c>
      <c r="Q587">
        <v>3.5250610000000002E-2</v>
      </c>
      <c r="R587">
        <v>2.895023E-3</v>
      </c>
      <c r="S587">
        <v>3.0022280000000001</v>
      </c>
      <c r="T587">
        <v>1.361966E-2</v>
      </c>
      <c r="U587">
        <v>-0.29757689999999998</v>
      </c>
      <c r="V587">
        <v>-4.5031189999999999E-3</v>
      </c>
      <c r="W587">
        <v>4.3324559999999998E-2</v>
      </c>
      <c r="X587">
        <v>0.99905089999999996</v>
      </c>
      <c r="Y587">
        <v>9.7032170000000001E-2</v>
      </c>
      <c r="Z587">
        <v>2.122696E-4</v>
      </c>
      <c r="AA587">
        <v>0.99528119999999998</v>
      </c>
      <c r="AB587">
        <v>45</v>
      </c>
      <c r="AC587">
        <v>3.0022280000000001</v>
      </c>
      <c r="AD587">
        <v>1.361966E-2</v>
      </c>
      <c r="AE587">
        <v>-0.29757689999999998</v>
      </c>
      <c r="AF587">
        <v>0.29273713701603399</v>
      </c>
      <c r="AG587">
        <v>1.361966E-2</v>
      </c>
      <c r="AH587">
        <v>3.0026419974870402</v>
      </c>
      <c r="AI587">
        <v>89.741340655234595</v>
      </c>
      <c r="AJ587">
        <v>84.431649616513397</v>
      </c>
      <c r="AK587">
        <v>3.0169089299479701</v>
      </c>
      <c r="AL587">
        <v>87.516908343630803</v>
      </c>
      <c r="AM587">
        <v>90.258253074063305</v>
      </c>
      <c r="AN587">
        <v>0.999999998185365</v>
      </c>
    </row>
    <row r="588" spans="1:40" x14ac:dyDescent="0.25">
      <c r="A588" t="str">
        <f>"20190312160313517"</f>
        <v>20190312160313517</v>
      </c>
      <c r="B588" t="str">
        <f>"1552377793505114"</f>
        <v>1552377793505114</v>
      </c>
      <c r="C588" t="s">
        <v>40</v>
      </c>
      <c r="D588">
        <v>4.8554940000000002</v>
      </c>
      <c r="E588">
        <v>0.53784980000000004</v>
      </c>
      <c r="F588" t="s">
        <v>45</v>
      </c>
      <c r="G588">
        <v>0</v>
      </c>
      <c r="H588">
        <v>0</v>
      </c>
      <c r="I588">
        <v>0</v>
      </c>
      <c r="J588">
        <v>-379.38869999999997</v>
      </c>
      <c r="K588">
        <v>1.109029</v>
      </c>
      <c r="L588">
        <v>368.09129999999999</v>
      </c>
      <c r="M588">
        <v>0.99996609999999997</v>
      </c>
      <c r="N588">
        <v>0</v>
      </c>
      <c r="O588">
        <v>-1.608504E-3</v>
      </c>
      <c r="P588">
        <v>0.99937240000000005</v>
      </c>
      <c r="Q588">
        <v>3.5302609999999998E-2</v>
      </c>
      <c r="R588">
        <v>2.9764100000000001E-3</v>
      </c>
      <c r="S588">
        <v>3.0021969999999998</v>
      </c>
      <c r="T588">
        <v>1.529086E-2</v>
      </c>
      <c r="U588">
        <v>-0.29858400000000002</v>
      </c>
      <c r="V588">
        <v>-4.5826629999999998E-3</v>
      </c>
      <c r="W588">
        <v>4.3387450000000001E-2</v>
      </c>
      <c r="X588">
        <v>0.99904780000000004</v>
      </c>
      <c r="Y588">
        <v>9.7364880000000001E-2</v>
      </c>
      <c r="Z588">
        <v>2.3916639999999999E-4</v>
      </c>
      <c r="AA588">
        <v>0.99524869999999999</v>
      </c>
      <c r="AB588">
        <v>45</v>
      </c>
      <c r="AC588">
        <v>3.0021969999999998</v>
      </c>
      <c r="AD588">
        <v>1.529086E-2</v>
      </c>
      <c r="AE588">
        <v>-0.29858400000000002</v>
      </c>
      <c r="AF588">
        <v>0.29374686493686197</v>
      </c>
      <c r="AG588">
        <v>1.529086E-2</v>
      </c>
      <c r="AH588">
        <v>3.0025962779605599</v>
      </c>
      <c r="AI588">
        <v>89.7096074484366</v>
      </c>
      <c r="AJ588">
        <v>84.412479693758698</v>
      </c>
      <c r="AK588">
        <v>3.0169695788128799</v>
      </c>
      <c r="AL588">
        <v>87.513301598119895</v>
      </c>
      <c r="AM588">
        <v>90.262815660379601</v>
      </c>
      <c r="AN588">
        <v>0.99999998915125698</v>
      </c>
    </row>
    <row r="589" spans="1:40" x14ac:dyDescent="0.25">
      <c r="A589" t="str">
        <f>"20190312160313529"</f>
        <v>20190312160313529</v>
      </c>
      <c r="B589" t="str">
        <f>"1552377793525609"</f>
        <v>1552377793525609</v>
      </c>
      <c r="C589" t="s">
        <v>40</v>
      </c>
      <c r="D589">
        <v>4.8813149999999998</v>
      </c>
      <c r="E589">
        <v>0.53811569999999997</v>
      </c>
      <c r="F589" t="s">
        <v>45</v>
      </c>
      <c r="G589">
        <v>0</v>
      </c>
      <c r="H589">
        <v>0</v>
      </c>
      <c r="I589">
        <v>0</v>
      </c>
      <c r="J589">
        <v>-379.13819999999998</v>
      </c>
      <c r="K589">
        <v>1.109032</v>
      </c>
      <c r="L589">
        <v>368.09089999999998</v>
      </c>
      <c r="M589">
        <v>0.99996600000000002</v>
      </c>
      <c r="N589">
        <v>0</v>
      </c>
      <c r="O589">
        <v>-1.6068829999999999E-3</v>
      </c>
      <c r="P589">
        <v>0.99937750000000003</v>
      </c>
      <c r="Q589">
        <v>3.5142329999999999E-2</v>
      </c>
      <c r="R589">
        <v>3.1022329999999998E-3</v>
      </c>
      <c r="S589">
        <v>3.0021969999999998</v>
      </c>
      <c r="T589">
        <v>1.7550469999999999E-2</v>
      </c>
      <c r="U589">
        <v>-0.29837039999999998</v>
      </c>
      <c r="V589">
        <v>-4.7065529999999996E-3</v>
      </c>
      <c r="W589">
        <v>4.3238800000000001E-2</v>
      </c>
      <c r="X589">
        <v>0.99905370000000004</v>
      </c>
      <c r="Y589">
        <v>9.7295980000000004E-2</v>
      </c>
      <c r="Z589">
        <v>2.7431820000000003E-4</v>
      </c>
      <c r="AA589">
        <v>0.99525549999999996</v>
      </c>
      <c r="AB589">
        <v>45</v>
      </c>
      <c r="AC589">
        <v>3.0021969999999998</v>
      </c>
      <c r="AD589">
        <v>1.7550469999999999E-2</v>
      </c>
      <c r="AE589">
        <v>-0.29837039999999998</v>
      </c>
      <c r="AF589">
        <v>0.29353574439215802</v>
      </c>
      <c r="AG589">
        <v>1.7550469999999999E-2</v>
      </c>
      <c r="AH589">
        <v>3.0025709787519599</v>
      </c>
      <c r="AI589">
        <v>89.666690482968306</v>
      </c>
      <c r="AJ589">
        <v>84.416423399217095</v>
      </c>
      <c r="AK589">
        <v>3.0169361502485601</v>
      </c>
      <c r="AL589">
        <v>87.521826693854507</v>
      </c>
      <c r="AM589">
        <v>90.269919052427895</v>
      </c>
      <c r="AN589">
        <v>1.00000002047513</v>
      </c>
    </row>
    <row r="590" spans="1:40" x14ac:dyDescent="0.25">
      <c r="A590" t="str">
        <f>"20190312160313543"</f>
        <v>20190312160313543</v>
      </c>
      <c r="B590" t="str">
        <f>"1552377793535369"</f>
        <v>1552377793535369</v>
      </c>
      <c r="C590" t="s">
        <v>40</v>
      </c>
      <c r="D590">
        <v>5.0006519999999997</v>
      </c>
      <c r="E590">
        <v>0.53836969999999995</v>
      </c>
      <c r="F590" t="s">
        <v>45</v>
      </c>
      <c r="G590">
        <v>0</v>
      </c>
      <c r="H590">
        <v>0</v>
      </c>
      <c r="I590">
        <v>0</v>
      </c>
      <c r="J590">
        <v>-378.86700000000002</v>
      </c>
      <c r="K590">
        <v>1.1090310000000001</v>
      </c>
      <c r="L590">
        <v>368.09039999999999</v>
      </c>
      <c r="M590">
        <v>0.99996589999999996</v>
      </c>
      <c r="N590">
        <v>0</v>
      </c>
      <c r="O590">
        <v>-1.605265E-3</v>
      </c>
      <c r="P590">
        <v>0.99937980000000004</v>
      </c>
      <c r="Q590">
        <v>3.5062370000000002E-2</v>
      </c>
      <c r="R590">
        <v>3.3331950000000002E-3</v>
      </c>
      <c r="S590">
        <v>3.0021059999999999</v>
      </c>
      <c r="T590">
        <v>1.9547459999999999E-2</v>
      </c>
      <c r="U590">
        <v>-0.29977419999999999</v>
      </c>
      <c r="V590">
        <v>-4.9361860000000004E-3</v>
      </c>
      <c r="W590">
        <v>4.317116E-2</v>
      </c>
      <c r="X590">
        <v>0.99905549999999999</v>
      </c>
      <c r="Y590">
        <v>9.7761009999999995E-2</v>
      </c>
      <c r="Z590">
        <v>3.070541E-4</v>
      </c>
      <c r="AA590">
        <v>0.99520989999999998</v>
      </c>
      <c r="AB590">
        <v>45</v>
      </c>
      <c r="AC590">
        <v>3.0021059999999999</v>
      </c>
      <c r="AD590">
        <v>1.9547459999999999E-2</v>
      </c>
      <c r="AE590">
        <v>-0.29977419999999999</v>
      </c>
      <c r="AF590">
        <v>0.29494209889390899</v>
      </c>
      <c r="AG590">
        <v>1.9547459999999999E-2</v>
      </c>
      <c r="AH590">
        <v>3.0024573279654798</v>
      </c>
      <c r="AI590">
        <v>89.628768640915695</v>
      </c>
      <c r="AJ590">
        <v>84.389631264167207</v>
      </c>
      <c r="AK590">
        <v>3.0169724810057601</v>
      </c>
      <c r="AL590">
        <v>87.525705760558495</v>
      </c>
      <c r="AM590">
        <v>90.283087699633199</v>
      </c>
      <c r="AN590">
        <v>1.0000000035341099</v>
      </c>
    </row>
    <row r="591" spans="1:40" x14ac:dyDescent="0.25">
      <c r="A591" t="str">
        <f>"20190312160313562"</f>
        <v>20190312160313562</v>
      </c>
      <c r="B591" t="str">
        <f>"1552377793554888"</f>
        <v>1552377793554888</v>
      </c>
      <c r="C591" t="s">
        <v>40</v>
      </c>
      <c r="D591">
        <v>4.8802909999999997</v>
      </c>
      <c r="E591">
        <v>0.53856369999999998</v>
      </c>
      <c r="F591" t="s">
        <v>45</v>
      </c>
      <c r="G591">
        <v>0</v>
      </c>
      <c r="H591">
        <v>0</v>
      </c>
      <c r="I591">
        <v>0</v>
      </c>
      <c r="J591">
        <v>-378.47539999999998</v>
      </c>
      <c r="K591">
        <v>1.10903</v>
      </c>
      <c r="L591">
        <v>368.08980000000003</v>
      </c>
      <c r="M591">
        <v>0.99996569999999996</v>
      </c>
      <c r="N591">
        <v>0</v>
      </c>
      <c r="O591">
        <v>-1.6028349999999999E-3</v>
      </c>
      <c r="P591">
        <v>0.99938519999999997</v>
      </c>
      <c r="Q591">
        <v>3.4907649999999998E-2</v>
      </c>
      <c r="R591">
        <v>3.3263849999999998E-3</v>
      </c>
      <c r="S591">
        <v>3.002167</v>
      </c>
      <c r="T591">
        <v>1.9591330000000001E-2</v>
      </c>
      <c r="U591">
        <v>-0.30136109999999999</v>
      </c>
      <c r="V591">
        <v>-4.927163E-3</v>
      </c>
      <c r="W591">
        <v>4.303444E-2</v>
      </c>
      <c r="X591">
        <v>0.99906150000000005</v>
      </c>
      <c r="Y591">
        <v>9.8282209999999995E-2</v>
      </c>
      <c r="Z591">
        <v>3.0944099999999998E-4</v>
      </c>
      <c r="AA591">
        <v>0.9951586</v>
      </c>
      <c r="AB591">
        <v>45</v>
      </c>
      <c r="AC591">
        <v>3.002167</v>
      </c>
      <c r="AD591">
        <v>1.9591330000000001E-2</v>
      </c>
      <c r="AE591">
        <v>-0.30136109999999999</v>
      </c>
      <c r="AF591">
        <v>0.29653607358899597</v>
      </c>
      <c r="AG591">
        <v>1.9591330000000001E-2</v>
      </c>
      <c r="AH591">
        <v>3.0025196042096902</v>
      </c>
      <c r="AI591">
        <v>89.627962426706603</v>
      </c>
      <c r="AJ591">
        <v>84.359622022118103</v>
      </c>
      <c r="AK591">
        <v>3.01719098447782</v>
      </c>
      <c r="AL591">
        <v>87.533546666660897</v>
      </c>
      <c r="AM591">
        <v>90.282568546688097</v>
      </c>
      <c r="AN591">
        <v>1.00000006037179</v>
      </c>
    </row>
    <row r="592" spans="1:40" x14ac:dyDescent="0.25">
      <c r="A592" t="str">
        <f>"20190312160313575"</f>
        <v>20190312160313575</v>
      </c>
      <c r="B592" t="str">
        <f>"1552377793565624"</f>
        <v>1552377793565624</v>
      </c>
      <c r="C592" t="s">
        <v>40</v>
      </c>
      <c r="D592">
        <v>4.8939360000000001</v>
      </c>
      <c r="E592">
        <v>0.5386417</v>
      </c>
      <c r="F592" t="s">
        <v>45</v>
      </c>
      <c r="G592">
        <v>0</v>
      </c>
      <c r="H592">
        <v>0</v>
      </c>
      <c r="I592">
        <v>0</v>
      </c>
      <c r="J592">
        <v>-378.22120000000001</v>
      </c>
      <c r="K592">
        <v>1.1090260000000001</v>
      </c>
      <c r="L592">
        <v>368.08940000000001</v>
      </c>
      <c r="M592">
        <v>0.99996549999999995</v>
      </c>
      <c r="N592">
        <v>0</v>
      </c>
      <c r="O592">
        <v>-1.601332E-3</v>
      </c>
      <c r="P592">
        <v>0.99937920000000002</v>
      </c>
      <c r="Q592">
        <v>3.5076950000000003E-2</v>
      </c>
      <c r="R592">
        <v>3.2924320000000001E-3</v>
      </c>
      <c r="S592">
        <v>3.002075</v>
      </c>
      <c r="T592">
        <v>2.2622819999999998E-2</v>
      </c>
      <c r="U592">
        <v>-0.30267329999999998</v>
      </c>
      <c r="V592">
        <v>-4.8913960000000001E-3</v>
      </c>
      <c r="W592">
        <v>4.3215459999999997E-2</v>
      </c>
      <c r="X592">
        <v>0.99905379999999999</v>
      </c>
      <c r="Y592">
        <v>9.8716670000000006E-2</v>
      </c>
      <c r="Z592">
        <v>3.589687E-4</v>
      </c>
      <c r="AA592">
        <v>0.99511550000000004</v>
      </c>
      <c r="AB592">
        <v>45</v>
      </c>
      <c r="AC592">
        <v>3.002075</v>
      </c>
      <c r="AD592">
        <v>2.2622819999999998E-2</v>
      </c>
      <c r="AE592">
        <v>-0.30267329999999998</v>
      </c>
      <c r="AF592">
        <v>0.29784868965759198</v>
      </c>
      <c r="AG592">
        <v>2.2622819999999998E-2</v>
      </c>
      <c r="AH592">
        <v>3.0023870657467699</v>
      </c>
      <c r="AI592">
        <v>89.570396350587998</v>
      </c>
      <c r="AJ592">
        <v>84.334568501385903</v>
      </c>
      <c r="AK592">
        <v>3.01720959273282</v>
      </c>
      <c r="AL592">
        <v>87.523165174065696</v>
      </c>
      <c r="AM592">
        <v>90.280519534992706</v>
      </c>
      <c r="AN592">
        <v>0.99999999851613997</v>
      </c>
    </row>
    <row r="593" spans="1:40" x14ac:dyDescent="0.25">
      <c r="A593" t="str">
        <f>"20190312160313586"</f>
        <v>20190312160313586</v>
      </c>
      <c r="B593" t="str">
        <f>"1552377793575385"</f>
        <v>1552377793575385</v>
      </c>
      <c r="C593" t="s">
        <v>40</v>
      </c>
      <c r="D593">
        <v>4.8659819999999998</v>
      </c>
      <c r="E593">
        <v>0.53871469999999999</v>
      </c>
      <c r="F593" t="s">
        <v>45</v>
      </c>
      <c r="G593">
        <v>0</v>
      </c>
      <c r="H593">
        <v>0</v>
      </c>
      <c r="I593">
        <v>0</v>
      </c>
      <c r="J593">
        <v>-377.9853</v>
      </c>
      <c r="K593">
        <v>1.1090260000000001</v>
      </c>
      <c r="L593">
        <v>368.089</v>
      </c>
      <c r="M593">
        <v>0.9999654</v>
      </c>
      <c r="N593">
        <v>0</v>
      </c>
      <c r="O593">
        <v>-1.5998259999999999E-3</v>
      </c>
      <c r="P593">
        <v>0.99938260000000001</v>
      </c>
      <c r="Q593">
        <v>3.4970300000000003E-2</v>
      </c>
      <c r="R593">
        <v>3.409839E-3</v>
      </c>
      <c r="S593">
        <v>3.0019840000000002</v>
      </c>
      <c r="T593">
        <v>2.5113340000000001E-2</v>
      </c>
      <c r="U593">
        <v>-0.30331419999999998</v>
      </c>
      <c r="V593">
        <v>-5.0076540000000003E-3</v>
      </c>
      <c r="W593">
        <v>4.3119709999999999E-2</v>
      </c>
      <c r="X593">
        <v>0.99905739999999998</v>
      </c>
      <c r="Y593">
        <v>9.8930840000000006E-2</v>
      </c>
      <c r="Z593">
        <v>3.9939979999999999E-4</v>
      </c>
      <c r="AA593">
        <v>0.99509420000000004</v>
      </c>
      <c r="AB593">
        <v>45</v>
      </c>
      <c r="AC593">
        <v>3.0019840000000002</v>
      </c>
      <c r="AD593">
        <v>2.5113340000000001E-2</v>
      </c>
      <c r="AE593">
        <v>-0.30331419999999998</v>
      </c>
      <c r="AF593">
        <v>0.298490321595208</v>
      </c>
      <c r="AG593">
        <v>2.5113340000000001E-2</v>
      </c>
      <c r="AH593">
        <v>3.0022574405703502</v>
      </c>
      <c r="AI593">
        <v>89.523093493840307</v>
      </c>
      <c r="AJ593">
        <v>84.322200028826003</v>
      </c>
      <c r="AK593">
        <v>3.0171637163720502</v>
      </c>
      <c r="AL593">
        <v>87.528656459366303</v>
      </c>
      <c r="AM593">
        <v>90.287185737942394</v>
      </c>
      <c r="AN593">
        <v>1.00000003724191</v>
      </c>
    </row>
    <row r="594" spans="1:40" x14ac:dyDescent="0.25">
      <c r="A594" t="str">
        <f>"20190312160313597"</f>
        <v>20190312160313597</v>
      </c>
      <c r="B594" t="str">
        <f>"1552377793585147"</f>
        <v>1552377793585147</v>
      </c>
      <c r="C594" t="s">
        <v>40</v>
      </c>
      <c r="D594">
        <v>4.8991730000000002</v>
      </c>
      <c r="E594">
        <v>0.53878519999999996</v>
      </c>
      <c r="F594" t="s">
        <v>45</v>
      </c>
      <c r="G594">
        <v>0</v>
      </c>
      <c r="H594">
        <v>0</v>
      </c>
      <c r="I594">
        <v>0</v>
      </c>
      <c r="J594">
        <v>-377.7638</v>
      </c>
      <c r="K594">
        <v>1.1090260000000001</v>
      </c>
      <c r="L594">
        <v>368.08870000000002</v>
      </c>
      <c r="M594">
        <v>0.9999654</v>
      </c>
      <c r="N594">
        <v>0</v>
      </c>
      <c r="O594">
        <v>-1.5986730000000001E-3</v>
      </c>
      <c r="P594">
        <v>0.99939020000000001</v>
      </c>
      <c r="Q594">
        <v>3.4762469999999997E-2</v>
      </c>
      <c r="R594">
        <v>3.3503830000000002E-3</v>
      </c>
      <c r="S594">
        <v>3.0019529999999999</v>
      </c>
      <c r="T594">
        <v>2.674317E-2</v>
      </c>
      <c r="U594">
        <v>-0.30337520000000001</v>
      </c>
      <c r="V594">
        <v>-4.9467189999999996E-3</v>
      </c>
      <c r="W594">
        <v>4.2921059999999997E-2</v>
      </c>
      <c r="X594">
        <v>0.99906620000000002</v>
      </c>
      <c r="Y594">
        <v>9.8952559999999995E-2</v>
      </c>
      <c r="Z594">
        <v>4.2543000000000002E-4</v>
      </c>
      <c r="AA594">
        <v>0.99509199999999998</v>
      </c>
      <c r="AB594">
        <v>45</v>
      </c>
      <c r="AC594">
        <v>3.0019529999999999</v>
      </c>
      <c r="AD594">
        <v>2.674317E-2</v>
      </c>
      <c r="AE594">
        <v>-0.30337520000000001</v>
      </c>
      <c r="AF594">
        <v>0.29855205672380303</v>
      </c>
      <c r="AG594">
        <v>2.674317E-2</v>
      </c>
      <c r="AH594">
        <v>3.00219832287411</v>
      </c>
      <c r="AI594">
        <v>89.492135448781994</v>
      </c>
      <c r="AJ594">
        <v>84.320922299293599</v>
      </c>
      <c r="AK594">
        <v>3.0171250052962302</v>
      </c>
      <c r="AL594">
        <v>87.540048671028202</v>
      </c>
      <c r="AM594">
        <v>90.283688713553204</v>
      </c>
      <c r="AN594">
        <v>0.99999997970141397</v>
      </c>
    </row>
    <row r="595" spans="1:40" x14ac:dyDescent="0.25">
      <c r="A595" t="str">
        <f>"20190312160313609"</f>
        <v>20190312160313609</v>
      </c>
      <c r="B595" t="str">
        <f>"1552377793605641"</f>
        <v>1552377793605641</v>
      </c>
      <c r="C595" t="s">
        <v>40</v>
      </c>
      <c r="D595">
        <v>4.8856830000000002</v>
      </c>
      <c r="E595">
        <v>0.53893690000000005</v>
      </c>
      <c r="F595" t="s">
        <v>45</v>
      </c>
      <c r="G595">
        <v>0</v>
      </c>
      <c r="H595">
        <v>0</v>
      </c>
      <c r="I595">
        <v>0</v>
      </c>
      <c r="J595">
        <v>-377.54</v>
      </c>
      <c r="K595">
        <v>1.109029</v>
      </c>
      <c r="L595">
        <v>368.0883</v>
      </c>
      <c r="M595">
        <v>0.99996529999999995</v>
      </c>
      <c r="N595">
        <v>0</v>
      </c>
      <c r="O595">
        <v>-1.5972829999999999E-3</v>
      </c>
      <c r="P595">
        <v>0.99939009999999995</v>
      </c>
      <c r="Q595">
        <v>3.4754750000000001E-2</v>
      </c>
      <c r="R595">
        <v>3.3809579999999999E-3</v>
      </c>
      <c r="S595">
        <v>3.0018919999999998</v>
      </c>
      <c r="T595">
        <v>2.776897E-2</v>
      </c>
      <c r="U595">
        <v>-0.30401610000000001</v>
      </c>
      <c r="V595">
        <v>-4.9762549999999997E-3</v>
      </c>
      <c r="W595">
        <v>4.292344E-2</v>
      </c>
      <c r="X595">
        <v>0.99906600000000001</v>
      </c>
      <c r="Y595">
        <v>9.9165950000000003E-2</v>
      </c>
      <c r="Z595">
        <v>4.4274910000000002E-4</v>
      </c>
      <c r="AA595">
        <v>0.99507080000000003</v>
      </c>
      <c r="AB595">
        <v>45</v>
      </c>
      <c r="AC595">
        <v>3.0018919999999998</v>
      </c>
      <c r="AD595">
        <v>2.776897E-2</v>
      </c>
      <c r="AE595">
        <v>-0.30401610000000001</v>
      </c>
      <c r="AF595">
        <v>0.29919533814337701</v>
      </c>
      <c r="AG595">
        <v>2.776897E-2</v>
      </c>
      <c r="AH595">
        <v>3.0021194984363202</v>
      </c>
      <c r="AI595">
        <v>89.472653564536699</v>
      </c>
      <c r="AJ595">
        <v>84.3086175510917</v>
      </c>
      <c r="AK595">
        <v>3.0171195615939999</v>
      </c>
      <c r="AL595">
        <v>87.539912301616795</v>
      </c>
      <c r="AM595">
        <v>90.285382598787507</v>
      </c>
      <c r="AN595">
        <v>1.0000000285856201</v>
      </c>
    </row>
    <row r="596" spans="1:40" x14ac:dyDescent="0.25">
      <c r="A596" t="str">
        <f>"20190312160313620"</f>
        <v>20190312160313620</v>
      </c>
      <c r="B596" t="str">
        <f>"1552377793615401"</f>
        <v>1552377793615401</v>
      </c>
      <c r="C596" t="s">
        <v>40</v>
      </c>
      <c r="D596">
        <v>4.8920669999999999</v>
      </c>
      <c r="E596">
        <v>0.53904059999999998</v>
      </c>
      <c r="F596" t="s">
        <v>45</v>
      </c>
      <c r="G596">
        <v>0</v>
      </c>
      <c r="H596">
        <v>0</v>
      </c>
      <c r="I596">
        <v>0</v>
      </c>
      <c r="J596">
        <v>-377.30549999999999</v>
      </c>
      <c r="K596">
        <v>1.109029</v>
      </c>
      <c r="L596">
        <v>368.08789999999999</v>
      </c>
      <c r="M596">
        <v>0.9999652</v>
      </c>
      <c r="N596">
        <v>0</v>
      </c>
      <c r="O596">
        <v>-1.595894E-3</v>
      </c>
      <c r="P596">
        <v>0.99938859999999996</v>
      </c>
      <c r="Q596">
        <v>3.4790479999999999E-2</v>
      </c>
      <c r="R596">
        <v>3.4388930000000002E-3</v>
      </c>
      <c r="S596">
        <v>3.00177</v>
      </c>
      <c r="T596">
        <v>3.1130189999999999E-2</v>
      </c>
      <c r="U596">
        <v>-0.3051758</v>
      </c>
      <c r="V596">
        <v>-5.0324580000000001E-3</v>
      </c>
      <c r="W596">
        <v>4.2969640000000003E-2</v>
      </c>
      <c r="X596">
        <v>0.9990637</v>
      </c>
      <c r="Y596">
        <v>9.9550819999999998E-2</v>
      </c>
      <c r="Z596">
        <v>4.9835319999999995E-4</v>
      </c>
      <c r="AA596">
        <v>0.99503240000000004</v>
      </c>
      <c r="AB596">
        <v>45</v>
      </c>
      <c r="AC596">
        <v>3.00177</v>
      </c>
      <c r="AD596">
        <v>3.1130189999999999E-2</v>
      </c>
      <c r="AE596">
        <v>-0.3051758</v>
      </c>
      <c r="AF596">
        <v>0.30035277165070801</v>
      </c>
      <c r="AG596">
        <v>3.1130189999999999E-2</v>
      </c>
      <c r="AH596">
        <v>3.0019336678782702</v>
      </c>
      <c r="AI596">
        <v>89.408812927649194</v>
      </c>
      <c r="AJ596">
        <v>84.2863945539859</v>
      </c>
      <c r="AK596">
        <v>3.0170824686290598</v>
      </c>
      <c r="AL596">
        <v>87.537262712178901</v>
      </c>
      <c r="AM596">
        <v>90.288606387490702</v>
      </c>
      <c r="AN596">
        <v>0.99999999612646995</v>
      </c>
    </row>
    <row r="597" spans="1:40" x14ac:dyDescent="0.25">
      <c r="A597" t="str">
        <f>"20190312160313631"</f>
        <v>20190312160313631</v>
      </c>
      <c r="B597" t="str">
        <f>"1552377793625160"</f>
        <v>1552377793625160</v>
      </c>
      <c r="C597" t="s">
        <v>40</v>
      </c>
      <c r="D597">
        <v>4.9160069999999996</v>
      </c>
      <c r="E597">
        <v>0.53914849999999903</v>
      </c>
      <c r="F597" t="s">
        <v>45</v>
      </c>
      <c r="G597">
        <v>0</v>
      </c>
      <c r="H597">
        <v>0</v>
      </c>
      <c r="I597">
        <v>0</v>
      </c>
      <c r="J597">
        <v>-377.08420000000001</v>
      </c>
      <c r="K597">
        <v>1.109027</v>
      </c>
      <c r="L597">
        <v>368.08760000000001</v>
      </c>
      <c r="M597">
        <v>0.99996529999999995</v>
      </c>
      <c r="N597">
        <v>0</v>
      </c>
      <c r="O597">
        <v>-1.594741E-3</v>
      </c>
      <c r="P597">
        <v>0.99939979999999995</v>
      </c>
      <c r="Q597">
        <v>3.4479000000000003E-2</v>
      </c>
      <c r="R597">
        <v>3.4250560000000001E-3</v>
      </c>
      <c r="S597">
        <v>3.0017399999999999</v>
      </c>
      <c r="T597">
        <v>3.2705779999999997E-2</v>
      </c>
      <c r="U597">
        <v>-0.305481</v>
      </c>
      <c r="V597">
        <v>-5.017756E-3</v>
      </c>
      <c r="W597">
        <v>4.2668089999999999E-2</v>
      </c>
      <c r="X597">
        <v>0.99907670000000004</v>
      </c>
      <c r="Y597">
        <v>9.9652560000000001E-2</v>
      </c>
      <c r="Z597">
        <v>5.2414269999999895E-4</v>
      </c>
      <c r="AA597">
        <v>0.99502219999999997</v>
      </c>
      <c r="AB597">
        <v>45</v>
      </c>
      <c r="AC597">
        <v>3.0017399999999999</v>
      </c>
      <c r="AD597">
        <v>3.2705779999999997E-2</v>
      </c>
      <c r="AE597">
        <v>-0.305481</v>
      </c>
      <c r="AF597">
        <v>0.30065812710920498</v>
      </c>
      <c r="AG597">
        <v>3.2705779999999997E-2</v>
      </c>
      <c r="AH597">
        <v>3.0018706501886201</v>
      </c>
      <c r="AI597">
        <v>89.378886860817005</v>
      </c>
      <c r="AJ597">
        <v>84.280505003975804</v>
      </c>
      <c r="AK597">
        <v>3.0170668500890199</v>
      </c>
      <c r="AL597">
        <v>87.554556120142706</v>
      </c>
      <c r="AM597">
        <v>90.287759512511002</v>
      </c>
      <c r="AN597">
        <v>0.99999999813120599</v>
      </c>
    </row>
    <row r="598" spans="1:40" x14ac:dyDescent="0.25">
      <c r="A598" t="str">
        <f>"20190312160313642"</f>
        <v>20190312160313642</v>
      </c>
      <c r="B598" t="str">
        <f>"1552377793634921"</f>
        <v>1552377793634921</v>
      </c>
      <c r="C598" t="s">
        <v>40</v>
      </c>
      <c r="D598">
        <v>4.8867820000000002</v>
      </c>
      <c r="E598">
        <v>0.53923569999999998</v>
      </c>
      <c r="F598" t="s">
        <v>45</v>
      </c>
      <c r="G598">
        <v>0</v>
      </c>
      <c r="H598">
        <v>0</v>
      </c>
      <c r="I598">
        <v>0</v>
      </c>
      <c r="J598">
        <v>-376.84379999999999</v>
      </c>
      <c r="K598">
        <v>1.10902099999999</v>
      </c>
      <c r="L598">
        <v>368.0872</v>
      </c>
      <c r="M598">
        <v>0.99996510000000005</v>
      </c>
      <c r="N598">
        <v>0</v>
      </c>
      <c r="O598">
        <v>-1.5933529999999901E-3</v>
      </c>
      <c r="P598">
        <v>0.99940379999999995</v>
      </c>
      <c r="Q598">
        <v>3.4371569999999997E-2</v>
      </c>
      <c r="R598">
        <v>3.323805E-3</v>
      </c>
      <c r="S598">
        <v>3.001709</v>
      </c>
      <c r="T598">
        <v>3.3242819999999999E-2</v>
      </c>
      <c r="U598">
        <v>-0.30633539999999998</v>
      </c>
      <c r="V598">
        <v>-4.9148760000000003E-3</v>
      </c>
      <c r="W598">
        <v>4.2570900000000002E-2</v>
      </c>
      <c r="X598">
        <v>0.99908140000000001</v>
      </c>
      <c r="Y598">
        <v>9.9935079999999996E-2</v>
      </c>
      <c r="Z598">
        <v>5.3432209999999998E-4</v>
      </c>
      <c r="AA598">
        <v>0.99499380000000004</v>
      </c>
      <c r="AB598">
        <v>45</v>
      </c>
      <c r="AC598">
        <v>3.001709</v>
      </c>
      <c r="AD598">
        <v>3.3242819999999999E-2</v>
      </c>
      <c r="AE598">
        <v>-0.30633539999999998</v>
      </c>
      <c r="AF598">
        <v>0.30151546929311102</v>
      </c>
      <c r="AG598">
        <v>3.3242819999999999E-2</v>
      </c>
      <c r="AH598">
        <v>3.00182893448966</v>
      </c>
      <c r="AI598">
        <v>89.368698009234606</v>
      </c>
      <c r="AJ598">
        <v>84.264224983097606</v>
      </c>
      <c r="AK598">
        <v>3.01711677189398</v>
      </c>
      <c r="AL598">
        <v>87.560129865182304</v>
      </c>
      <c r="AM598">
        <v>90.281858295064296</v>
      </c>
      <c r="AN598">
        <v>1.00000004067943</v>
      </c>
    </row>
    <row r="599" spans="1:40" x14ac:dyDescent="0.25">
      <c r="A599" t="str">
        <f>"20190312160313653"</f>
        <v>20190312160313653</v>
      </c>
      <c r="B599" t="str">
        <f>"1552377793645657"</f>
        <v>1552377793645657</v>
      </c>
      <c r="C599" t="s">
        <v>40</v>
      </c>
      <c r="D599">
        <v>4.8704039999999997</v>
      </c>
      <c r="E599">
        <v>0.53934819999999895</v>
      </c>
      <c r="F599" t="s">
        <v>45</v>
      </c>
      <c r="G599">
        <v>0</v>
      </c>
      <c r="H599">
        <v>0</v>
      </c>
      <c r="I599">
        <v>0</v>
      </c>
      <c r="J599">
        <v>-376.62560000000002</v>
      </c>
      <c r="K599">
        <v>1.10902099999999</v>
      </c>
      <c r="L599">
        <v>368.08690000000001</v>
      </c>
      <c r="M599">
        <v>0.99996510000000005</v>
      </c>
      <c r="N599">
        <v>0</v>
      </c>
      <c r="O599">
        <v>-1.5922E-3</v>
      </c>
      <c r="P599">
        <v>0.99941610000000003</v>
      </c>
      <c r="Q599">
        <v>3.4024119999999998E-2</v>
      </c>
      <c r="R599">
        <v>3.2112479999999999E-3</v>
      </c>
      <c r="S599">
        <v>3.0016479999999999</v>
      </c>
      <c r="T599">
        <v>3.4194950000000002E-2</v>
      </c>
      <c r="U599">
        <v>-0.30712889999999998</v>
      </c>
      <c r="V599">
        <v>-4.8015610000000002E-3</v>
      </c>
      <c r="W599">
        <v>4.2233130000000001E-2</v>
      </c>
      <c r="X599">
        <v>0.99909630000000005</v>
      </c>
      <c r="Y599">
        <v>0.1001982</v>
      </c>
      <c r="Z599">
        <v>5.5113669999999897E-4</v>
      </c>
      <c r="AA599">
        <v>0.9949673</v>
      </c>
      <c r="AB599">
        <v>45</v>
      </c>
      <c r="AC599">
        <v>3.0016479999999999</v>
      </c>
      <c r="AD599">
        <v>3.4194950000000002E-2</v>
      </c>
      <c r="AE599">
        <v>-0.30712889999999998</v>
      </c>
      <c r="AF599">
        <v>0.302310298951944</v>
      </c>
      <c r="AG599">
        <v>3.4194950000000002E-2</v>
      </c>
      <c r="AH599">
        <v>3.0017476945125598</v>
      </c>
      <c r="AI599">
        <v>89.350617712603395</v>
      </c>
      <c r="AJ599">
        <v>84.249051431838197</v>
      </c>
      <c r="AK599">
        <v>3.01712612148869</v>
      </c>
      <c r="AL599">
        <v>87.579500114310306</v>
      </c>
      <c r="AM599">
        <v>90.275355901492702</v>
      </c>
      <c r="AN599">
        <v>1.00000005446566</v>
      </c>
    </row>
    <row r="600" spans="1:40" x14ac:dyDescent="0.25">
      <c r="A600" t="str">
        <f>"20190312160313665"</f>
        <v>20190312160313665</v>
      </c>
      <c r="B600" t="str">
        <f>"1552377793655417"</f>
        <v>1552377793655417</v>
      </c>
      <c r="C600" t="s">
        <v>40</v>
      </c>
      <c r="D600">
        <v>4.8781210000000002</v>
      </c>
      <c r="E600">
        <v>0.53945180000000004</v>
      </c>
      <c r="F600" t="s">
        <v>45</v>
      </c>
      <c r="G600">
        <v>0</v>
      </c>
      <c r="H600">
        <v>0</v>
      </c>
      <c r="I600">
        <v>0</v>
      </c>
      <c r="J600">
        <v>-376.39499999999998</v>
      </c>
      <c r="K600">
        <v>1.1090199999999999</v>
      </c>
      <c r="L600">
        <v>368.0865</v>
      </c>
      <c r="M600">
        <v>0.99996499999999999</v>
      </c>
      <c r="N600">
        <v>0</v>
      </c>
      <c r="O600">
        <v>-1.59081E-3</v>
      </c>
      <c r="P600">
        <v>0.99942390000000003</v>
      </c>
      <c r="Q600">
        <v>3.381029E-2</v>
      </c>
      <c r="R600">
        <v>2.967005E-3</v>
      </c>
      <c r="S600">
        <v>3.001617</v>
      </c>
      <c r="T600">
        <v>3.4374000000000002E-2</v>
      </c>
      <c r="U600">
        <v>-0.3085022</v>
      </c>
      <c r="V600">
        <v>-4.5557740000000003E-3</v>
      </c>
      <c r="W600">
        <v>4.2029219999999999E-2</v>
      </c>
      <c r="X600">
        <v>0.99910600000000005</v>
      </c>
      <c r="Y600">
        <v>0.100651</v>
      </c>
      <c r="Z600">
        <v>5.5661649999999997E-4</v>
      </c>
      <c r="AA600">
        <v>0.99492159999999996</v>
      </c>
      <c r="AB600">
        <v>45</v>
      </c>
      <c r="AC600">
        <v>3.001617</v>
      </c>
      <c r="AD600">
        <v>3.4374000000000002E-2</v>
      </c>
      <c r="AE600">
        <v>-0.3085022</v>
      </c>
      <c r="AF600">
        <v>0.30368723563149402</v>
      </c>
      <c r="AG600">
        <v>3.4374000000000002E-2</v>
      </c>
      <c r="AH600">
        <v>3.0017144436449801</v>
      </c>
      <c r="AI600">
        <v>89.347240501478495</v>
      </c>
      <c r="AJ600">
        <v>84.222970719472599</v>
      </c>
      <c r="AK600">
        <v>3.0172333536119398</v>
      </c>
      <c r="AL600">
        <v>87.591193559302397</v>
      </c>
      <c r="AM600">
        <v>90.261258378519301</v>
      </c>
      <c r="AN600">
        <v>1.00000000482327</v>
      </c>
    </row>
    <row r="601" spans="1:40" x14ac:dyDescent="0.25">
      <c r="A601" t="str">
        <f>"20190312160313676"</f>
        <v>20190312160313676</v>
      </c>
      <c r="B601" t="str">
        <f>"1552377793665177"</f>
        <v>1552377793665177</v>
      </c>
      <c r="C601" t="s">
        <v>40</v>
      </c>
      <c r="D601">
        <v>5.23651</v>
      </c>
      <c r="E601">
        <v>0.53954880000000005</v>
      </c>
      <c r="F601" t="s">
        <v>45</v>
      </c>
      <c r="G601">
        <v>0</v>
      </c>
      <c r="H601">
        <v>0</v>
      </c>
      <c r="I601">
        <v>0</v>
      </c>
      <c r="J601">
        <v>-376.16550000000001</v>
      </c>
      <c r="K601">
        <v>1.1090260000000001</v>
      </c>
      <c r="L601">
        <v>368.08620000000002</v>
      </c>
      <c r="M601">
        <v>0.99996510000000005</v>
      </c>
      <c r="N601">
        <v>0</v>
      </c>
      <c r="O601">
        <v>-1.5896580000000001E-3</v>
      </c>
      <c r="P601">
        <v>0.99943090000000001</v>
      </c>
      <c r="Q601">
        <v>3.3631069999999999E-2</v>
      </c>
      <c r="R601">
        <v>2.7388690000000001E-3</v>
      </c>
      <c r="S601">
        <v>3.001465</v>
      </c>
      <c r="T601">
        <v>3.4909009999999997E-2</v>
      </c>
      <c r="U601">
        <v>-0.30984499999999998</v>
      </c>
      <c r="V601">
        <v>-4.3266509999999999E-3</v>
      </c>
      <c r="W601">
        <v>4.185962E-2</v>
      </c>
      <c r="X601">
        <v>0.99911419999999995</v>
      </c>
      <c r="Y601">
        <v>0.10109750000000001</v>
      </c>
      <c r="Z601">
        <v>5.6789799999999995E-4</v>
      </c>
      <c r="AA601">
        <v>0.99487639999999999</v>
      </c>
      <c r="AB601">
        <v>45</v>
      </c>
      <c r="AC601">
        <v>3.001465</v>
      </c>
      <c r="AD601">
        <v>3.4909009999999997E-2</v>
      </c>
      <c r="AE601">
        <v>-0.30984499999999998</v>
      </c>
      <c r="AF601">
        <v>0.30503231783475598</v>
      </c>
      <c r="AG601">
        <v>3.4909009999999997E-2</v>
      </c>
      <c r="AH601">
        <v>3.0015520263040401</v>
      </c>
      <c r="AI601">
        <v>89.337075914796799</v>
      </c>
      <c r="AJ601">
        <v>84.197245654137106</v>
      </c>
      <c r="AK601">
        <v>3.01721360206942</v>
      </c>
      <c r="AL601">
        <v>87.600919630072994</v>
      </c>
      <c r="AM601">
        <v>90.248117074222506</v>
      </c>
      <c r="AN601">
        <v>1.00000006616852</v>
      </c>
    </row>
    <row r="602" spans="1:40" x14ac:dyDescent="0.25">
      <c r="A602" t="str">
        <f>"20190312160313687"</f>
        <v>20190312160313687</v>
      </c>
      <c r="B602" t="str">
        <f>"1552377793685673"</f>
        <v>1552377793685673</v>
      </c>
      <c r="C602" t="s">
        <v>40</v>
      </c>
      <c r="D602">
        <v>4.857056</v>
      </c>
      <c r="E602">
        <v>0.5396938</v>
      </c>
      <c r="F602" t="s">
        <v>45</v>
      </c>
      <c r="G602">
        <v>0</v>
      </c>
      <c r="H602">
        <v>0</v>
      </c>
      <c r="I602">
        <v>0</v>
      </c>
      <c r="J602">
        <v>-375.93849999999998</v>
      </c>
      <c r="K602">
        <v>1.1090249999999999</v>
      </c>
      <c r="L602">
        <v>368.08580000000001</v>
      </c>
      <c r="M602">
        <v>0.99996490000000005</v>
      </c>
      <c r="N602">
        <v>0</v>
      </c>
      <c r="O602">
        <v>-1.5883869999999999E-3</v>
      </c>
      <c r="P602">
        <v>0.99942830000000005</v>
      </c>
      <c r="Q602">
        <v>3.3716679999999999E-2</v>
      </c>
      <c r="R602">
        <v>2.5541460000000002E-3</v>
      </c>
      <c r="S602">
        <v>3.0013730000000001</v>
      </c>
      <c r="T602">
        <v>3.5786749999999999E-2</v>
      </c>
      <c r="U602">
        <v>-0.31127929999999998</v>
      </c>
      <c r="V602">
        <v>-4.1403569999999999E-3</v>
      </c>
      <c r="W602">
        <v>4.1954900000000003E-2</v>
      </c>
      <c r="X602">
        <v>0.99911090000000002</v>
      </c>
      <c r="Y602">
        <v>0.1015718</v>
      </c>
      <c r="Z602">
        <v>5.850149E-4</v>
      </c>
      <c r="AA602">
        <v>0.99482800000000005</v>
      </c>
      <c r="AB602">
        <v>45</v>
      </c>
      <c r="AC602">
        <v>3.0013730000000001</v>
      </c>
      <c r="AD602">
        <v>3.5786749999999999E-2</v>
      </c>
      <c r="AE602">
        <v>-0.31127929999999998</v>
      </c>
      <c r="AF602">
        <v>0.30646829752502902</v>
      </c>
      <c r="AG602">
        <v>3.5786749999999999E-2</v>
      </c>
      <c r="AH602">
        <v>3.0014414916349401</v>
      </c>
      <c r="AI602">
        <v>89.320417135264506</v>
      </c>
      <c r="AJ602">
        <v>84.169902927824296</v>
      </c>
      <c r="AK602">
        <v>3.0172594413757698</v>
      </c>
      <c r="AL602">
        <v>87.595455465184202</v>
      </c>
      <c r="AM602">
        <v>90.237434727046093</v>
      </c>
      <c r="AN602">
        <v>0.99999997334445301</v>
      </c>
    </row>
    <row r="603" spans="1:40" x14ac:dyDescent="0.25">
      <c r="A603" t="str">
        <f>"20190312160313698"</f>
        <v>20190312160313698</v>
      </c>
      <c r="B603" t="str">
        <f>"1552377793695433"</f>
        <v>1552377793695433</v>
      </c>
      <c r="C603" t="s">
        <v>40</v>
      </c>
      <c r="D603">
        <v>4.8989449999999897</v>
      </c>
      <c r="E603">
        <v>0.53977909999999996</v>
      </c>
      <c r="F603" t="s">
        <v>45</v>
      </c>
      <c r="G603">
        <v>0</v>
      </c>
      <c r="H603">
        <v>0</v>
      </c>
      <c r="I603">
        <v>0</v>
      </c>
      <c r="J603">
        <v>-375.7124</v>
      </c>
      <c r="K603">
        <v>1.1090260000000001</v>
      </c>
      <c r="L603">
        <v>368.08539999999999</v>
      </c>
      <c r="M603">
        <v>0.99996479999999999</v>
      </c>
      <c r="N603">
        <v>0</v>
      </c>
      <c r="O603">
        <v>-1.586877E-3</v>
      </c>
      <c r="P603">
        <v>0.99943360000000003</v>
      </c>
      <c r="Q603">
        <v>3.3567600000000003E-2</v>
      </c>
      <c r="R603">
        <v>2.4670579999999998E-3</v>
      </c>
      <c r="S603">
        <v>3.0012210000000001</v>
      </c>
      <c r="T603">
        <v>3.8899419999999997E-2</v>
      </c>
      <c r="U603">
        <v>-0.3126526</v>
      </c>
      <c r="V603">
        <v>-4.0517679999999999E-3</v>
      </c>
      <c r="W603">
        <v>4.1815320000000003E-2</v>
      </c>
      <c r="X603">
        <v>0.99911709999999998</v>
      </c>
      <c r="Y603">
        <v>0.1020276</v>
      </c>
      <c r="Z603">
        <v>6.3887630000000002E-4</v>
      </c>
      <c r="AA603">
        <v>0.99478140000000004</v>
      </c>
      <c r="AB603">
        <v>45</v>
      </c>
      <c r="AC603">
        <v>3.0012210000000001</v>
      </c>
      <c r="AD603">
        <v>3.8899419999999997E-2</v>
      </c>
      <c r="AE603">
        <v>-0.3126526</v>
      </c>
      <c r="AF603">
        <v>0.30783831671572698</v>
      </c>
      <c r="AG603">
        <v>3.8899419999999997E-2</v>
      </c>
      <c r="AH603">
        <v>3.0012146098511598</v>
      </c>
      <c r="AI603">
        <v>89.261293364222396</v>
      </c>
      <c r="AJ603">
        <v>84.1435814874839</v>
      </c>
      <c r="AK603">
        <v>3.0172117473751801</v>
      </c>
      <c r="AL603">
        <v>87.603459799464702</v>
      </c>
      <c r="AM603">
        <v>90.232353077880703</v>
      </c>
      <c r="AN603">
        <v>0.99999995866151803</v>
      </c>
    </row>
    <row r="604" spans="1:40" x14ac:dyDescent="0.25">
      <c r="A604" t="str">
        <f>"20190312160313710"</f>
        <v>20190312160313710</v>
      </c>
      <c r="B604" t="str">
        <f>"1552377793705193"</f>
        <v>1552377793705193</v>
      </c>
      <c r="C604" t="s">
        <v>40</v>
      </c>
      <c r="D604">
        <v>4.8979759999999999</v>
      </c>
      <c r="E604">
        <v>0.539857699999999</v>
      </c>
      <c r="F604" t="s">
        <v>45</v>
      </c>
      <c r="G604">
        <v>0</v>
      </c>
      <c r="H604">
        <v>0</v>
      </c>
      <c r="I604">
        <v>0</v>
      </c>
      <c r="J604">
        <v>-375.48360000000002</v>
      </c>
      <c r="K604">
        <v>1.1090279999999999</v>
      </c>
      <c r="L604">
        <v>368.08510000000001</v>
      </c>
      <c r="M604">
        <v>0.99996470000000004</v>
      </c>
      <c r="N604">
        <v>0</v>
      </c>
      <c r="O604">
        <v>-1.585487E-3</v>
      </c>
      <c r="P604">
        <v>0.99943000000000004</v>
      </c>
      <c r="Q604">
        <v>3.3681210000000003E-2</v>
      </c>
      <c r="R604">
        <v>2.3340969999999998E-3</v>
      </c>
      <c r="S604">
        <v>3.0011290000000002</v>
      </c>
      <c r="T604">
        <v>3.9886360000000003E-2</v>
      </c>
      <c r="U604">
        <v>-0.31384279999999998</v>
      </c>
      <c r="V604">
        <v>-3.9173979999999999E-3</v>
      </c>
      <c r="W604">
        <v>4.1938709999999997E-2</v>
      </c>
      <c r="X604">
        <v>0.99911249999999996</v>
      </c>
      <c r="Y604">
        <v>0.1024219</v>
      </c>
      <c r="Z604">
        <v>6.5772210000000005E-4</v>
      </c>
      <c r="AA604">
        <v>0.99474079999999998</v>
      </c>
      <c r="AB604">
        <v>45</v>
      </c>
      <c r="AC604">
        <v>3.0011290000000002</v>
      </c>
      <c r="AD604">
        <v>3.9886360000000003E-2</v>
      </c>
      <c r="AE604">
        <v>-0.31384279999999998</v>
      </c>
      <c r="AF604">
        <v>0.30902999713610901</v>
      </c>
      <c r="AG604">
        <v>3.9886360000000003E-2</v>
      </c>
      <c r="AH604">
        <v>3.0010984703810499</v>
      </c>
      <c r="AI604">
        <v>89.242554942606603</v>
      </c>
      <c r="AJ604">
        <v>84.120843131994604</v>
      </c>
      <c r="AK604">
        <v>3.0172309307985499</v>
      </c>
      <c r="AL604">
        <v>87.596383951997893</v>
      </c>
      <c r="AM604">
        <v>90.224648597534198</v>
      </c>
      <c r="AN604">
        <v>0.99999999452990196</v>
      </c>
    </row>
    <row r="605" spans="1:40" x14ac:dyDescent="0.25">
      <c r="A605" t="str">
        <f>"20190312160313721"</f>
        <v>20190312160313721</v>
      </c>
      <c r="B605" t="str">
        <f>"1552377793714953"</f>
        <v>1552377793714953</v>
      </c>
      <c r="C605" t="s">
        <v>40</v>
      </c>
      <c r="D605">
        <v>4.9250150000000001</v>
      </c>
      <c r="E605">
        <v>0.53995109999999902</v>
      </c>
      <c r="F605" t="s">
        <v>45</v>
      </c>
      <c r="G605">
        <v>0</v>
      </c>
      <c r="H605">
        <v>0</v>
      </c>
      <c r="I605">
        <v>0</v>
      </c>
      <c r="J605">
        <v>-375.24009999999998</v>
      </c>
      <c r="K605">
        <v>1.109027</v>
      </c>
      <c r="L605">
        <v>368.0847</v>
      </c>
      <c r="M605">
        <v>0.99996450000000003</v>
      </c>
      <c r="N605">
        <v>0</v>
      </c>
      <c r="O605">
        <v>-1.5839809999999999E-3</v>
      </c>
      <c r="P605">
        <v>0.99942489999999995</v>
      </c>
      <c r="Q605">
        <v>3.3834490000000002E-2</v>
      </c>
      <c r="R605">
        <v>2.3048080000000002E-3</v>
      </c>
      <c r="S605">
        <v>3.0010379999999999</v>
      </c>
      <c r="T605">
        <v>4.1757820000000001E-2</v>
      </c>
      <c r="U605">
        <v>-0.31484990000000002</v>
      </c>
      <c r="V605">
        <v>-3.886881E-3</v>
      </c>
      <c r="W605">
        <v>4.210212E-2</v>
      </c>
      <c r="X605">
        <v>0.99910580000000004</v>
      </c>
      <c r="Y605">
        <v>0.10275579999999999</v>
      </c>
      <c r="Z605">
        <v>6.9092600000000002E-4</v>
      </c>
      <c r="AA605">
        <v>0.99470639999999999</v>
      </c>
      <c r="AB605">
        <v>46</v>
      </c>
      <c r="AC605">
        <v>3.0010379999999999</v>
      </c>
      <c r="AD605">
        <v>4.1757820000000001E-2</v>
      </c>
      <c r="AE605">
        <v>-0.31484990000000002</v>
      </c>
      <c r="AF605">
        <v>0.310036381726365</v>
      </c>
      <c r="AG605">
        <v>4.1757820000000001E-2</v>
      </c>
      <c r="AH605">
        <v>3.00095827186068</v>
      </c>
      <c r="AI605">
        <v>89.207010693951602</v>
      </c>
      <c r="AJ605">
        <v>84.101558268962194</v>
      </c>
      <c r="AK605">
        <v>3.0172200488154899</v>
      </c>
      <c r="AL605">
        <v>87.587013100742894</v>
      </c>
      <c r="AM605">
        <v>90.222900070499307</v>
      </c>
      <c r="AN605">
        <v>1.00000004797302</v>
      </c>
    </row>
    <row r="606" spans="1:40" x14ac:dyDescent="0.25">
      <c r="A606" t="str">
        <f>"20190312160313734"</f>
        <v>20190312160313734</v>
      </c>
      <c r="B606" t="str">
        <f>"1552377793725688"</f>
        <v>1552377793725688</v>
      </c>
      <c r="C606" t="s">
        <v>40</v>
      </c>
      <c r="D606">
        <v>5.013109</v>
      </c>
      <c r="E606">
        <v>0.53990709999999997</v>
      </c>
      <c r="F606" t="s">
        <v>45</v>
      </c>
      <c r="G606">
        <v>0</v>
      </c>
      <c r="H606">
        <v>0</v>
      </c>
      <c r="I606">
        <v>0</v>
      </c>
      <c r="J606">
        <v>-374.9982</v>
      </c>
      <c r="K606">
        <v>1.109027</v>
      </c>
      <c r="L606">
        <v>368.08429999999998</v>
      </c>
      <c r="M606">
        <v>0.99996450000000003</v>
      </c>
      <c r="N606">
        <v>0</v>
      </c>
      <c r="O606">
        <v>-1.582712E-3</v>
      </c>
      <c r="P606">
        <v>0.99942419999999998</v>
      </c>
      <c r="Q606">
        <v>3.3860210000000002E-2</v>
      </c>
      <c r="R606">
        <v>2.275263E-3</v>
      </c>
      <c r="S606">
        <v>3.0009769999999998</v>
      </c>
      <c r="T606">
        <v>4.351783E-2</v>
      </c>
      <c r="U606">
        <v>-0.3156738</v>
      </c>
      <c r="V606">
        <v>-3.8559079999999999E-3</v>
      </c>
      <c r="W606">
        <v>4.213832E-2</v>
      </c>
      <c r="X606">
        <v>0.99910429999999995</v>
      </c>
      <c r="Y606">
        <v>0.10302840000000001</v>
      </c>
      <c r="Z606">
        <v>7.2203770000000005E-4</v>
      </c>
      <c r="AA606">
        <v>0.99467810000000001</v>
      </c>
      <c r="AB606">
        <v>46</v>
      </c>
      <c r="AC606">
        <v>3.0009769999999998</v>
      </c>
      <c r="AD606">
        <v>4.351783E-2</v>
      </c>
      <c r="AE606">
        <v>-0.3156738</v>
      </c>
      <c r="AF606">
        <v>0.310858905918171</v>
      </c>
      <c r="AG606">
        <v>4.351783E-2</v>
      </c>
      <c r="AH606">
        <v>3.0008487501713499</v>
      </c>
      <c r="AI606">
        <v>89.173585639973894</v>
      </c>
      <c r="AJ606">
        <v>84.085806200285901</v>
      </c>
      <c r="AK606">
        <v>3.01722062208276</v>
      </c>
      <c r="AL606">
        <v>87.584936924620493</v>
      </c>
      <c r="AM606">
        <v>90.221124218681695</v>
      </c>
      <c r="AN606">
        <v>0.99999995415870702</v>
      </c>
    </row>
    <row r="607" spans="1:40" x14ac:dyDescent="0.25">
      <c r="A607" t="str">
        <f>"20190312160313752"</f>
        <v>20190312160313752</v>
      </c>
      <c r="B607" t="str">
        <f>"1552377793745209"</f>
        <v>1552377793745209</v>
      </c>
      <c r="C607" t="s">
        <v>40</v>
      </c>
      <c r="D607">
        <v>4.941154</v>
      </c>
      <c r="E607">
        <v>0.48861529999999997</v>
      </c>
      <c r="F607" t="s">
        <v>45</v>
      </c>
      <c r="G607">
        <v>0</v>
      </c>
      <c r="H607">
        <v>0</v>
      </c>
      <c r="I607">
        <v>0</v>
      </c>
      <c r="J607">
        <v>-374.63990000000001</v>
      </c>
      <c r="K607">
        <v>1.1090230000000001</v>
      </c>
      <c r="L607">
        <v>368.08370000000002</v>
      </c>
      <c r="M607">
        <v>0.99996419999999997</v>
      </c>
      <c r="N607">
        <v>0</v>
      </c>
      <c r="O607">
        <v>-1.580391E-3</v>
      </c>
      <c r="P607">
        <v>0.99942359999999997</v>
      </c>
      <c r="Q607">
        <v>3.3859199999999999E-2</v>
      </c>
      <c r="R607">
        <v>2.4682839999999998E-3</v>
      </c>
      <c r="S607">
        <v>3.0009769999999998</v>
      </c>
      <c r="T607">
        <v>4.4687030000000003E-2</v>
      </c>
      <c r="U607">
        <v>-0.31497190000000003</v>
      </c>
      <c r="V607">
        <v>-4.0464699999999999E-3</v>
      </c>
      <c r="W607">
        <v>4.2152139999999998E-2</v>
      </c>
      <c r="X607">
        <v>0.99910299999999996</v>
      </c>
      <c r="Y607">
        <v>0.10280010000000001</v>
      </c>
      <c r="Z607">
        <v>7.3978300000000004E-4</v>
      </c>
      <c r="AA607">
        <v>0.99470170000000002</v>
      </c>
      <c r="AB607">
        <v>46</v>
      </c>
      <c r="AC607">
        <v>3.0009769999999998</v>
      </c>
      <c r="AD607">
        <v>4.4687030000000003E-2</v>
      </c>
      <c r="AE607">
        <v>-0.31497190000000003</v>
      </c>
      <c r="AF607">
        <v>0.31016060106679799</v>
      </c>
      <c r="AG607">
        <v>4.4687030000000003E-2</v>
      </c>
      <c r="AH607">
        <v>3.0008129075443501</v>
      </c>
      <c r="AI607">
        <v>89.1513552051522</v>
      </c>
      <c r="AJ607">
        <v>84.098927841452493</v>
      </c>
      <c r="AK607">
        <v>3.0171301985809502</v>
      </c>
      <c r="AL607">
        <v>87.584144481115999</v>
      </c>
      <c r="AM607">
        <v>90.232052536383307</v>
      </c>
      <c r="AN607">
        <v>0.99999999071751999</v>
      </c>
    </row>
    <row r="608" spans="1:40" x14ac:dyDescent="0.25">
      <c r="A608" t="str">
        <f>"20190312160313764"</f>
        <v>20190312160313764</v>
      </c>
      <c r="B608" t="str">
        <f>"1552377793754969"</f>
        <v>1552377793754969</v>
      </c>
      <c r="C608" t="s">
        <v>40</v>
      </c>
      <c r="D608">
        <v>4.8941280000000003</v>
      </c>
      <c r="E608">
        <v>0.48234159999999998</v>
      </c>
      <c r="F608" t="s">
        <v>42</v>
      </c>
      <c r="G608">
        <v>-158.19499999999999</v>
      </c>
      <c r="H608">
        <v>5.063097</v>
      </c>
      <c r="I608">
        <v>374.98719999999997</v>
      </c>
      <c r="J608">
        <v>-374.36290000000002</v>
      </c>
      <c r="K608">
        <v>1.109024</v>
      </c>
      <c r="L608">
        <v>368.08330000000001</v>
      </c>
      <c r="M608">
        <v>0.99996430000000003</v>
      </c>
      <c r="N608">
        <v>0</v>
      </c>
      <c r="O608">
        <v>-1.5788899999999999E-3</v>
      </c>
      <c r="P608">
        <v>0.99943409999999999</v>
      </c>
      <c r="Q608">
        <v>3.3538619999999998E-2</v>
      </c>
      <c r="R608">
        <v>2.6114620000000002E-3</v>
      </c>
      <c r="S608">
        <v>2.9996339999999999</v>
      </c>
      <c r="T608">
        <v>5.4799319999999999E-2</v>
      </c>
      <c r="U608">
        <v>9.5672610000000005E-2</v>
      </c>
      <c r="V608">
        <v>-4.1880169999999996E-3</v>
      </c>
      <c r="W608">
        <v>4.1843890000000002E-2</v>
      </c>
      <c r="X608">
        <v>0.99911539999999999</v>
      </c>
      <c r="Y608">
        <v>-3.3450809999999997E-2</v>
      </c>
      <c r="Z608">
        <v>-3.3428350000000001E-4</v>
      </c>
      <c r="AA608">
        <v>0.99944029999999995</v>
      </c>
      <c r="AB608">
        <v>46</v>
      </c>
      <c r="AC608">
        <v>216.1679</v>
      </c>
      <c r="AD608">
        <v>3.9540730000000002</v>
      </c>
      <c r="AE608">
        <v>6.9038999999999602</v>
      </c>
      <c r="AF608">
        <v>-7.2427876277319001</v>
      </c>
      <c r="AG608">
        <v>3.9540730000000002</v>
      </c>
      <c r="AH608">
        <v>216.084504619987</v>
      </c>
      <c r="AI608">
        <v>88.9522649917064</v>
      </c>
      <c r="AJ608">
        <v>91.919739044195794</v>
      </c>
      <c r="AK608">
        <v>216.242007488773</v>
      </c>
      <c r="AL608">
        <v>87.601821563952399</v>
      </c>
      <c r="AM608">
        <v>90.240166744760998</v>
      </c>
      <c r="AN608">
        <v>1.00000001656694</v>
      </c>
    </row>
    <row r="609" spans="1:40" x14ac:dyDescent="0.25">
      <c r="A609" t="str">
        <f>"20190312160313779"</f>
        <v>20190312160313779</v>
      </c>
      <c r="B609" t="str">
        <f>"1552377793765704"</f>
        <v>1552377793765704</v>
      </c>
      <c r="C609" t="s">
        <v>40</v>
      </c>
      <c r="D609">
        <v>4.9443190000000001</v>
      </c>
      <c r="E609">
        <v>0.47989229999999999</v>
      </c>
      <c r="F609" t="s">
        <v>42</v>
      </c>
      <c r="G609">
        <v>-158.19499999999999</v>
      </c>
      <c r="H609">
        <v>2.1728589999999999</v>
      </c>
      <c r="I609">
        <v>378.44850000000002</v>
      </c>
      <c r="J609">
        <v>-374.09</v>
      </c>
      <c r="K609">
        <v>1.1090230000000001</v>
      </c>
      <c r="L609">
        <v>368.0829</v>
      </c>
      <c r="M609">
        <v>0.99996439999999998</v>
      </c>
      <c r="N609">
        <v>0</v>
      </c>
      <c r="O609">
        <v>-1.5773880000000001E-3</v>
      </c>
      <c r="P609">
        <v>0.99943599999999999</v>
      </c>
      <c r="Q609">
        <v>3.3477430000000002E-2</v>
      </c>
      <c r="R609">
        <v>2.781291E-3</v>
      </c>
      <c r="S609">
        <v>3.0008539999999999</v>
      </c>
      <c r="T609">
        <v>1.476943E-2</v>
      </c>
      <c r="U609">
        <v>0.1438904</v>
      </c>
      <c r="V609">
        <v>-4.3566780000000001E-3</v>
      </c>
      <c r="W609">
        <v>4.1793879999999999E-2</v>
      </c>
      <c r="X609">
        <v>0.99911680000000003</v>
      </c>
      <c r="Y609">
        <v>-4.9469720000000002E-2</v>
      </c>
      <c r="Z609">
        <v>-1.2942729999999999E-4</v>
      </c>
      <c r="AA609">
        <v>0.99877559999999999</v>
      </c>
      <c r="AB609">
        <v>46</v>
      </c>
      <c r="AC609">
        <v>215.89500000000001</v>
      </c>
      <c r="AD609">
        <v>1.063836</v>
      </c>
      <c r="AE609">
        <v>10.365600000000001</v>
      </c>
      <c r="AF609">
        <v>-10.7058896356319</v>
      </c>
      <c r="AG609">
        <v>1.063836</v>
      </c>
      <c r="AH609">
        <v>215.87315072432401</v>
      </c>
      <c r="AI609">
        <v>89.717991786006607</v>
      </c>
      <c r="AJ609">
        <v>92.839168009099694</v>
      </c>
      <c r="AK609">
        <v>216.14107666885599</v>
      </c>
      <c r="AL609">
        <v>87.604689501685797</v>
      </c>
      <c r="AM609">
        <v>90.249838337230202</v>
      </c>
      <c r="AN609">
        <v>1.00000004454544</v>
      </c>
    </row>
    <row r="610" spans="1:40" x14ac:dyDescent="0.25">
      <c r="A610" t="str">
        <f>"20190312160313794"</f>
        <v>20190312160313794</v>
      </c>
      <c r="B610" t="str">
        <f>"1552377793785228"</f>
        <v>1552377793785228</v>
      </c>
      <c r="C610" t="s">
        <v>40</v>
      </c>
      <c r="D610">
        <v>4.9235340000000001</v>
      </c>
      <c r="E610">
        <v>0.47672310000000001</v>
      </c>
      <c r="F610" t="s">
        <v>42</v>
      </c>
      <c r="G610">
        <v>-158.19499999999999</v>
      </c>
      <c r="H610">
        <v>1.7824549999999999</v>
      </c>
      <c r="I610">
        <v>379.86860000000001</v>
      </c>
      <c r="J610">
        <v>-373.75049999999999</v>
      </c>
      <c r="K610">
        <v>1.10902099999999</v>
      </c>
      <c r="L610">
        <v>368.08229999999998</v>
      </c>
      <c r="M610">
        <v>0.99996410000000002</v>
      </c>
      <c r="N610">
        <v>0</v>
      </c>
      <c r="O610">
        <v>-1.5750629999999901E-3</v>
      </c>
      <c r="P610">
        <v>0.9994459</v>
      </c>
      <c r="Q610">
        <v>3.3142310000000001E-2</v>
      </c>
      <c r="R610">
        <v>3.131389E-3</v>
      </c>
      <c r="S610">
        <v>3.0008849999999998</v>
      </c>
      <c r="T610">
        <v>9.361744E-3</v>
      </c>
      <c r="U610">
        <v>0.1638184</v>
      </c>
      <c r="V610">
        <v>-4.7045239999999999E-3</v>
      </c>
      <c r="W610">
        <v>4.1472759999999997E-2</v>
      </c>
      <c r="X610">
        <v>0.99912860000000003</v>
      </c>
      <c r="Y610">
        <v>-5.6081289999999999E-2</v>
      </c>
      <c r="Z610" s="1">
        <v>-9.2322240000000005E-5</v>
      </c>
      <c r="AA610">
        <v>0.99842620000000004</v>
      </c>
      <c r="AB610">
        <v>46</v>
      </c>
      <c r="AC610">
        <v>215.55549999999999</v>
      </c>
      <c r="AD610">
        <v>0.67343399999999998</v>
      </c>
      <c r="AE610">
        <v>11.786300000000001</v>
      </c>
      <c r="AF610">
        <v>-12.1256926394248</v>
      </c>
      <c r="AG610">
        <v>0.67343399999999998</v>
      </c>
      <c r="AH610">
        <v>215.53457034195</v>
      </c>
      <c r="AI610">
        <v>89.821263549057605</v>
      </c>
      <c r="AJ610">
        <v>93.2199912430182</v>
      </c>
      <c r="AK610">
        <v>215.87643907528999</v>
      </c>
      <c r="AL610">
        <v>87.623104279283396</v>
      </c>
      <c r="AM610">
        <v>90.2697824662106</v>
      </c>
      <c r="AN610">
        <v>1.0000000408530201</v>
      </c>
    </row>
    <row r="611" spans="1:40" x14ac:dyDescent="0.25">
      <c r="A611" t="str">
        <f>"20190312160313817"</f>
        <v>20190312160313817</v>
      </c>
      <c r="B611" t="str">
        <f>"1552377793805720"</f>
        <v>1552377793805720</v>
      </c>
      <c r="C611" t="s">
        <v>40</v>
      </c>
      <c r="D611">
        <v>4.8018799999999997</v>
      </c>
      <c r="E611">
        <v>0.47571059999999998</v>
      </c>
      <c r="F611" t="s">
        <v>44</v>
      </c>
      <c r="G611">
        <v>-180.19280000000001</v>
      </c>
      <c r="H611">
        <v>0.28680290000000003</v>
      </c>
      <c r="I611">
        <v>380.27609999999999</v>
      </c>
      <c r="J611">
        <v>-373.3066</v>
      </c>
      <c r="K611">
        <v>1.10902099999999</v>
      </c>
      <c r="L611">
        <v>368.08159999999998</v>
      </c>
      <c r="M611">
        <v>0.99996390000000002</v>
      </c>
      <c r="N611">
        <v>0</v>
      </c>
      <c r="O611">
        <v>-1.5726360000000001E-3</v>
      </c>
      <c r="P611">
        <v>0.99945320000000004</v>
      </c>
      <c r="Q611">
        <v>3.2893279999999997E-2</v>
      </c>
      <c r="R611">
        <v>3.4371990000000002E-3</v>
      </c>
      <c r="S611">
        <v>3.0014949999999998</v>
      </c>
      <c r="T611">
        <v>-1.274812E-2</v>
      </c>
      <c r="U611">
        <v>0.1890869</v>
      </c>
      <c r="V611">
        <v>-5.0080519999999998E-3</v>
      </c>
      <c r="W611">
        <v>4.1242170000000002E-2</v>
      </c>
      <c r="X611">
        <v>0.99913660000000004</v>
      </c>
      <c r="Y611">
        <v>-6.444184E-2</v>
      </c>
      <c r="Z611">
        <v>1.4338750000000001E-4</v>
      </c>
      <c r="AA611">
        <v>0.99792150000000002</v>
      </c>
      <c r="AB611">
        <v>46</v>
      </c>
      <c r="AC611">
        <v>193.1138</v>
      </c>
      <c r="AD611">
        <v>-0.82221809999999895</v>
      </c>
      <c r="AE611">
        <v>12.1945</v>
      </c>
      <c r="AF611">
        <v>-12.497967559537001</v>
      </c>
      <c r="AG611">
        <v>-0.82221809999999895</v>
      </c>
      <c r="AH611">
        <v>193.09089657200701</v>
      </c>
      <c r="AI611">
        <v>90.243465500133198</v>
      </c>
      <c r="AJ611">
        <v>93.703350710944804</v>
      </c>
      <c r="AK611">
        <v>193.49669137921899</v>
      </c>
      <c r="AL611">
        <v>87.636327261651402</v>
      </c>
      <c r="AM611">
        <v>90.287185796410697</v>
      </c>
      <c r="AN611">
        <v>0.99999997131535101</v>
      </c>
    </row>
    <row r="612" spans="1:40" x14ac:dyDescent="0.25">
      <c r="A612" t="str">
        <f>"20190312160313828"</f>
        <v>20190312160313828</v>
      </c>
      <c r="B612" t="str">
        <f>"1552377793815481"</f>
        <v>1552377793815481</v>
      </c>
      <c r="C612" t="s">
        <v>40</v>
      </c>
      <c r="D612">
        <v>4.8238539999999999</v>
      </c>
      <c r="E612">
        <v>0.475269</v>
      </c>
      <c r="F612" t="s">
        <v>41</v>
      </c>
      <c r="G612">
        <v>-249.11359999999999</v>
      </c>
      <c r="H612" s="1">
        <v>-2.1626770000000001E-6</v>
      </c>
      <c r="I612">
        <v>376.24290000000002</v>
      </c>
      <c r="J612">
        <v>-373.07220000000001</v>
      </c>
      <c r="K612">
        <v>1.1090199999999999</v>
      </c>
      <c r="L612">
        <v>368.0813</v>
      </c>
      <c r="M612">
        <v>0.99996379999999996</v>
      </c>
      <c r="N612">
        <v>0</v>
      </c>
      <c r="O612">
        <v>-1.571245E-3</v>
      </c>
      <c r="P612">
        <v>0.99945459999999997</v>
      </c>
      <c r="Q612">
        <v>3.2830980000000003E-2</v>
      </c>
      <c r="R612">
        <v>3.5620109999999999E-3</v>
      </c>
      <c r="S612">
        <v>3.001862</v>
      </c>
      <c r="T612">
        <v>-2.6806119999999999E-2</v>
      </c>
      <c r="U612">
        <v>0.19726560000000001</v>
      </c>
      <c r="V612">
        <v>-5.1314569999999999E-3</v>
      </c>
      <c r="W612">
        <v>4.1189759999999999E-2</v>
      </c>
      <c r="X612">
        <v>0.99913819999999998</v>
      </c>
      <c r="Y612">
        <v>-6.7138119999999996E-2</v>
      </c>
      <c r="Z612">
        <v>3.1345340000000002E-4</v>
      </c>
      <c r="AA612">
        <v>0.99774370000000001</v>
      </c>
      <c r="AB612">
        <v>46</v>
      </c>
      <c r="AC612">
        <v>123.9586</v>
      </c>
      <c r="AD612">
        <v>-1.109022162677</v>
      </c>
      <c r="AE612">
        <v>8.1616000000000195</v>
      </c>
      <c r="AF612">
        <v>-8.3557001312496109</v>
      </c>
      <c r="AG612">
        <v>-1.109022162677</v>
      </c>
      <c r="AH612">
        <v>123.935745197099</v>
      </c>
      <c r="AI612">
        <v>90.511528635479294</v>
      </c>
      <c r="AJ612">
        <v>93.8570225097518</v>
      </c>
      <c r="AK612">
        <v>124.222045516893</v>
      </c>
      <c r="AL612">
        <v>87.639332838831095</v>
      </c>
      <c r="AM612">
        <v>90.294261838676206</v>
      </c>
      <c r="AN612">
        <v>1.00000003543951</v>
      </c>
    </row>
    <row r="613" spans="1:40" x14ac:dyDescent="0.25">
      <c r="A613" t="str">
        <f>"20190312160313838"</f>
        <v>20190312160313838</v>
      </c>
      <c r="B613" t="str">
        <f>"1552377793835001"</f>
        <v>1552377793835001</v>
      </c>
      <c r="C613" t="s">
        <v>40</v>
      </c>
      <c r="D613">
        <v>4.8036719999999997</v>
      </c>
      <c r="E613">
        <v>0.47488590000000003</v>
      </c>
      <c r="F613" t="s">
        <v>41</v>
      </c>
      <c r="G613">
        <v>-273.36130000000003</v>
      </c>
      <c r="H613" s="1">
        <v>-4.0440359999999999E-6</v>
      </c>
      <c r="I613">
        <v>374.75700000000001</v>
      </c>
      <c r="J613">
        <v>-372.84100000000001</v>
      </c>
      <c r="K613">
        <v>1.1090180000000001</v>
      </c>
      <c r="L613">
        <v>368.08089999999999</v>
      </c>
      <c r="M613">
        <v>0.99996370000000001</v>
      </c>
      <c r="N613">
        <v>0</v>
      </c>
      <c r="O613">
        <v>-1.5698540000000001E-3</v>
      </c>
      <c r="P613">
        <v>0.99945910000000004</v>
      </c>
      <c r="Q613">
        <v>3.2696070000000001E-2</v>
      </c>
      <c r="R613">
        <v>3.547461E-3</v>
      </c>
      <c r="S613">
        <v>3.002014</v>
      </c>
      <c r="T613">
        <v>-3.338957E-2</v>
      </c>
      <c r="U613">
        <v>0.2009888</v>
      </c>
      <c r="V613">
        <v>-5.1152849999999998E-3</v>
      </c>
      <c r="W613">
        <v>4.106398E-2</v>
      </c>
      <c r="X613">
        <v>0.99914340000000001</v>
      </c>
      <c r="Y613">
        <v>-6.8363789999999994E-2</v>
      </c>
      <c r="Z613">
        <v>3.9718890000000001E-4</v>
      </c>
      <c r="AA613">
        <v>0.9976604</v>
      </c>
      <c r="AB613">
        <v>46</v>
      </c>
      <c r="AC613">
        <v>99.479699999999895</v>
      </c>
      <c r="AD613">
        <v>-1.1090220440359999</v>
      </c>
      <c r="AE613">
        <v>6.67609999999996</v>
      </c>
      <c r="AF613">
        <v>-6.8314206324591096</v>
      </c>
      <c r="AG613">
        <v>-1.1090220440359999</v>
      </c>
      <c r="AH613">
        <v>99.456791181399595</v>
      </c>
      <c r="AI613">
        <v>90.637365237522403</v>
      </c>
      <c r="AJ613">
        <v>93.929321961269594</v>
      </c>
      <c r="AK613">
        <v>99.6972996116357</v>
      </c>
      <c r="AL613">
        <v>87.646545462313895</v>
      </c>
      <c r="AM613">
        <v>90.293332949872095</v>
      </c>
      <c r="AN613">
        <v>0.999999975178815</v>
      </c>
    </row>
    <row r="614" spans="1:40" x14ac:dyDescent="0.25">
      <c r="A614" t="str">
        <f>"20190312160313851"</f>
        <v>20190312160313851</v>
      </c>
      <c r="B614" t="str">
        <f>"1552377793845738"</f>
        <v>1552377793845738</v>
      </c>
      <c r="C614" t="s">
        <v>40</v>
      </c>
      <c r="D614">
        <v>4.8410169999999999</v>
      </c>
      <c r="E614">
        <v>0.47463</v>
      </c>
      <c r="F614" t="s">
        <v>43</v>
      </c>
      <c r="G614">
        <v>-294.91219999999998</v>
      </c>
      <c r="H614">
        <v>-0.05</v>
      </c>
      <c r="I614">
        <v>373.3571</v>
      </c>
      <c r="J614">
        <v>-372.59859999999998</v>
      </c>
      <c r="K614">
        <v>1.1090169999999999</v>
      </c>
      <c r="L614">
        <v>368.08049999999997</v>
      </c>
      <c r="M614">
        <v>0.99996370000000001</v>
      </c>
      <c r="N614">
        <v>0</v>
      </c>
      <c r="O614">
        <v>-1.5687019999999999E-3</v>
      </c>
      <c r="P614">
        <v>0.99945550000000005</v>
      </c>
      <c r="Q614">
        <v>3.2797149999999997E-2</v>
      </c>
      <c r="R614">
        <v>3.6367000000000001E-3</v>
      </c>
      <c r="S614">
        <v>3.00238</v>
      </c>
      <c r="T614">
        <v>-4.4653770000000002E-2</v>
      </c>
      <c r="U614">
        <v>0.2032776</v>
      </c>
      <c r="V614">
        <v>-5.2029249999999997E-3</v>
      </c>
      <c r="W614">
        <v>4.1174519999999999E-2</v>
      </c>
      <c r="X614">
        <v>0.99913839999999998</v>
      </c>
      <c r="Y614">
        <v>-6.9108139999999998E-2</v>
      </c>
      <c r="Z614">
        <v>5.3660359999999996E-4</v>
      </c>
      <c r="AA614">
        <v>0.99760899999999997</v>
      </c>
      <c r="AB614">
        <v>46</v>
      </c>
      <c r="AC614">
        <v>77.686399999999907</v>
      </c>
      <c r="AD614">
        <v>-1.159017</v>
      </c>
      <c r="AE614">
        <v>5.2766000000000304</v>
      </c>
      <c r="AF614">
        <v>-5.39726877519412</v>
      </c>
      <c r="AG614">
        <v>-1.159017</v>
      </c>
      <c r="AH614">
        <v>77.6608201996915</v>
      </c>
      <c r="AI614">
        <v>90.852966728630193</v>
      </c>
      <c r="AJ614">
        <v>93.975547575378599</v>
      </c>
      <c r="AK614">
        <v>77.856771219507905</v>
      </c>
      <c r="AL614">
        <v>87.640206629747993</v>
      </c>
      <c r="AM614">
        <v>90.298360016066297</v>
      </c>
      <c r="AN614">
        <v>0.99999997694017195</v>
      </c>
    </row>
    <row r="615" spans="1:40" x14ac:dyDescent="0.25">
      <c r="A615" t="str">
        <f>"20190312160313863"</f>
        <v>20190312160313863</v>
      </c>
      <c r="B615" t="str">
        <f>"1552377793855496"</f>
        <v>1552377793855496</v>
      </c>
      <c r="C615" t="s">
        <v>40</v>
      </c>
      <c r="D615">
        <v>4.7511539999999997</v>
      </c>
      <c r="E615">
        <v>0.4745277</v>
      </c>
      <c r="F615" t="s">
        <v>43</v>
      </c>
      <c r="G615">
        <v>-290.54469999999998</v>
      </c>
      <c r="H615">
        <v>-0.05</v>
      </c>
      <c r="I615">
        <v>373.7038</v>
      </c>
      <c r="J615">
        <v>-372.33609999999999</v>
      </c>
      <c r="K615">
        <v>1.1090169999999999</v>
      </c>
      <c r="L615">
        <v>368.08010000000002</v>
      </c>
      <c r="M615">
        <v>0.99996350000000001</v>
      </c>
      <c r="N615">
        <v>0</v>
      </c>
      <c r="O615">
        <v>-1.567078E-3</v>
      </c>
      <c r="P615">
        <v>0.99945519999999999</v>
      </c>
      <c r="Q615">
        <v>3.2780459999999997E-2</v>
      </c>
      <c r="R615">
        <v>3.8393799999999999E-3</v>
      </c>
      <c r="S615">
        <v>3.0022890000000002</v>
      </c>
      <c r="T615">
        <v>-4.2407510000000002E-2</v>
      </c>
      <c r="U615">
        <v>0.2057495</v>
      </c>
      <c r="V615">
        <v>-5.4044540000000004E-3</v>
      </c>
      <c r="W615">
        <v>4.1168799999999998E-2</v>
      </c>
      <c r="X615">
        <v>0.99913759999999996</v>
      </c>
      <c r="Y615">
        <v>-6.9926799999999997E-2</v>
      </c>
      <c r="Z615">
        <v>5.1536629999999995E-4</v>
      </c>
      <c r="AA615">
        <v>0.99755199999999999</v>
      </c>
      <c r="AB615">
        <v>46</v>
      </c>
      <c r="AC615">
        <v>81.791399999999996</v>
      </c>
      <c r="AD615">
        <v>-1.159017</v>
      </c>
      <c r="AE615">
        <v>5.6236999999999799</v>
      </c>
      <c r="AF615">
        <v>-5.7507218057505698</v>
      </c>
      <c r="AG615">
        <v>-1.159017</v>
      </c>
      <c r="AH615">
        <v>81.766145064724299</v>
      </c>
      <c r="AI615">
        <v>90.810099761251195</v>
      </c>
      <c r="AJ615">
        <v>94.023063799418097</v>
      </c>
      <c r="AK615">
        <v>81.9763173144474</v>
      </c>
      <c r="AL615">
        <v>87.6405347200878</v>
      </c>
      <c r="AM615">
        <v>90.309916656955394</v>
      </c>
      <c r="AN615">
        <v>1.0000000109751099</v>
      </c>
    </row>
    <row r="616" spans="1:40" x14ac:dyDescent="0.25">
      <c r="A616" t="str">
        <f>"20190312160313875"</f>
        <v>20190312160313875</v>
      </c>
      <c r="B616" t="str">
        <f>"1552377793865257"</f>
        <v>1552377793865257</v>
      </c>
      <c r="C616" t="s">
        <v>40</v>
      </c>
      <c r="D616">
        <v>4.754359</v>
      </c>
      <c r="E616">
        <v>0.47444579999999997</v>
      </c>
      <c r="F616" t="s">
        <v>43</v>
      </c>
      <c r="G616">
        <v>-291.14710000000002</v>
      </c>
      <c r="H616">
        <v>-0.05</v>
      </c>
      <c r="I616">
        <v>373.68369999999999</v>
      </c>
      <c r="J616">
        <v>-372.11470000000003</v>
      </c>
      <c r="K616">
        <v>1.109022</v>
      </c>
      <c r="L616">
        <v>368.07979999999998</v>
      </c>
      <c r="M616">
        <v>0.99996359999999995</v>
      </c>
      <c r="N616">
        <v>0</v>
      </c>
      <c r="O616">
        <v>-1.5658040000000001E-3</v>
      </c>
      <c r="P616">
        <v>0.99945130000000004</v>
      </c>
      <c r="Q616">
        <v>3.2920020000000001E-2</v>
      </c>
      <c r="R616">
        <v>3.6922809999999999E-3</v>
      </c>
      <c r="S616">
        <v>3.0022890000000002</v>
      </c>
      <c r="T616">
        <v>-4.2859319999999999E-2</v>
      </c>
      <c r="U616">
        <v>0.20721439999999999</v>
      </c>
      <c r="V616">
        <v>-5.2562529999999998E-3</v>
      </c>
      <c r="W616">
        <v>4.1317439999999997E-2</v>
      </c>
      <c r="X616">
        <v>0.99913220000000003</v>
      </c>
      <c r="Y616">
        <v>-7.0409769999999997E-2</v>
      </c>
      <c r="Z616">
        <v>5.2427259999999999E-4</v>
      </c>
      <c r="AA616">
        <v>0.99751800000000002</v>
      </c>
      <c r="AB616">
        <v>46</v>
      </c>
      <c r="AC616">
        <v>80.967600000000004</v>
      </c>
      <c r="AD616">
        <v>-1.159022</v>
      </c>
      <c r="AE616">
        <v>5.6039000000000003</v>
      </c>
      <c r="AF616">
        <v>-5.7295085510761199</v>
      </c>
      <c r="AG616">
        <v>-1.159022</v>
      </c>
      <c r="AH616">
        <v>80.942219109448502</v>
      </c>
      <c r="AI616">
        <v>90.818322260688205</v>
      </c>
      <c r="AJ616">
        <v>94.048937916396198</v>
      </c>
      <c r="AK616">
        <v>81.153024802500795</v>
      </c>
      <c r="AL616">
        <v>87.632010892926601</v>
      </c>
      <c r="AM616">
        <v>90.301419906861597</v>
      </c>
      <c r="AN616">
        <v>0.99999995606029501</v>
      </c>
    </row>
    <row r="617" spans="1:40" x14ac:dyDescent="0.25">
      <c r="A617" t="str">
        <f>"20190312160313886"</f>
        <v>20190312160313886</v>
      </c>
      <c r="B617" t="str">
        <f>"1552377793875017"</f>
        <v>1552377793875017</v>
      </c>
      <c r="C617" t="s">
        <v>40</v>
      </c>
      <c r="D617">
        <v>4.7600059999999997</v>
      </c>
      <c r="E617">
        <v>0.47433750000000002</v>
      </c>
      <c r="F617" t="s">
        <v>43</v>
      </c>
      <c r="G617">
        <v>-291.06790000000001</v>
      </c>
      <c r="H617">
        <v>-0.05</v>
      </c>
      <c r="I617">
        <v>373.67349999999999</v>
      </c>
      <c r="J617">
        <v>-371.86270000000002</v>
      </c>
      <c r="K617">
        <v>1.1090230000000001</v>
      </c>
      <c r="L617">
        <v>368.07940000000002</v>
      </c>
      <c r="M617">
        <v>0.99996350000000001</v>
      </c>
      <c r="N617">
        <v>0</v>
      </c>
      <c r="O617">
        <v>-1.564298E-3</v>
      </c>
      <c r="P617">
        <v>0.99945589999999995</v>
      </c>
      <c r="Q617">
        <v>3.2774049999999999E-2</v>
      </c>
      <c r="R617">
        <v>3.758637E-3</v>
      </c>
      <c r="S617">
        <v>3.002319</v>
      </c>
      <c r="T617">
        <v>-4.2935130000000002E-2</v>
      </c>
      <c r="U617">
        <v>0.20721439999999999</v>
      </c>
      <c r="V617">
        <v>-5.3210769999999996E-3</v>
      </c>
      <c r="W617">
        <v>4.1181660000000002E-2</v>
      </c>
      <c r="X617">
        <v>0.99913750000000001</v>
      </c>
      <c r="Y617">
        <v>-7.0407529999999996E-2</v>
      </c>
      <c r="Z617">
        <v>5.2515709999999998E-4</v>
      </c>
      <c r="AA617">
        <v>0.99751820000000002</v>
      </c>
      <c r="AB617">
        <v>46</v>
      </c>
      <c r="AC617">
        <v>80.794799999999995</v>
      </c>
      <c r="AD617">
        <v>-1.1590229999999999</v>
      </c>
      <c r="AE617">
        <v>5.5940999999999601</v>
      </c>
      <c r="AF617">
        <v>-5.7193134145175204</v>
      </c>
      <c r="AG617">
        <v>-1.1590229999999999</v>
      </c>
      <c r="AH617">
        <v>80.769408023250705</v>
      </c>
      <c r="AI617">
        <v>90.820072122811396</v>
      </c>
      <c r="AJ617">
        <v>94.050375935618902</v>
      </c>
      <c r="AK617">
        <v>80.979942903625002</v>
      </c>
      <c r="AL617">
        <v>87.639797229569098</v>
      </c>
      <c r="AM617">
        <v>90.305135551657997</v>
      </c>
      <c r="AN617">
        <v>0.99999999344352197</v>
      </c>
    </row>
    <row r="618" spans="1:40" x14ac:dyDescent="0.25">
      <c r="A618" t="str">
        <f>"20190312160313898"</f>
        <v>20190312160313898</v>
      </c>
      <c r="B618" t="str">
        <f>"1552377793885753"</f>
        <v>1552377793885753</v>
      </c>
      <c r="C618" t="s">
        <v>40</v>
      </c>
      <c r="D618">
        <v>5.9116600000000004</v>
      </c>
      <c r="E618">
        <v>0.4741457</v>
      </c>
      <c r="F618" t="s">
        <v>43</v>
      </c>
      <c r="G618">
        <v>-292.36880000000002</v>
      </c>
      <c r="H618">
        <v>-0.05</v>
      </c>
      <c r="I618">
        <v>373.59750000000003</v>
      </c>
      <c r="J618">
        <v>-371.63189999999997</v>
      </c>
      <c r="K618">
        <v>1.10902099999999</v>
      </c>
      <c r="L618">
        <v>368.07900000000001</v>
      </c>
      <c r="M618">
        <v>0.99996339999999995</v>
      </c>
      <c r="N618">
        <v>0</v>
      </c>
      <c r="O618">
        <v>-1.5631449999999999E-3</v>
      </c>
      <c r="P618">
        <v>0.99945669999999998</v>
      </c>
      <c r="Q618">
        <v>3.276598E-2</v>
      </c>
      <c r="R618">
        <v>3.6191180000000002E-3</v>
      </c>
      <c r="S618">
        <v>3.0022890000000002</v>
      </c>
      <c r="T618">
        <v>-4.3773409999999999E-2</v>
      </c>
      <c r="U618">
        <v>0.20840449999999999</v>
      </c>
      <c r="V618">
        <v>-5.1800539999999999E-3</v>
      </c>
      <c r="W618">
        <v>4.1183099999999903E-2</v>
      </c>
      <c r="X618">
        <v>0.99913819999999998</v>
      </c>
      <c r="Y618">
        <v>-7.0800299999999997E-2</v>
      </c>
      <c r="Z618">
        <v>5.3825040000000002E-4</v>
      </c>
      <c r="AA618">
        <v>0.99749030000000005</v>
      </c>
      <c r="AB618">
        <v>46</v>
      </c>
      <c r="AC618">
        <v>79.263099999999895</v>
      </c>
      <c r="AD618">
        <v>-1.1590210000000001</v>
      </c>
      <c r="AE618">
        <v>5.5185000000000102</v>
      </c>
      <c r="AF618">
        <v>-5.6411969989580504</v>
      </c>
      <c r="AG618">
        <v>-1.1590210000000001</v>
      </c>
      <c r="AH618">
        <v>79.237516103162207</v>
      </c>
      <c r="AI618">
        <v>90.835900212885505</v>
      </c>
      <c r="AJ618">
        <v>94.072216968960205</v>
      </c>
      <c r="AK618">
        <v>79.446525357994005</v>
      </c>
      <c r="AL618">
        <v>87.639714696688799</v>
      </c>
      <c r="AM618">
        <v>90.297048569136706</v>
      </c>
      <c r="AN618">
        <v>1.0000000116921399</v>
      </c>
    </row>
    <row r="619" spans="1:40" x14ac:dyDescent="0.25">
      <c r="A619" t="str">
        <f>"20190312160313909"</f>
        <v>20190312160313909</v>
      </c>
      <c r="B619" t="str">
        <f>"1552377793905273"</f>
        <v>1552377793905273</v>
      </c>
      <c r="C619" t="s">
        <v>40</v>
      </c>
      <c r="D619">
        <v>4.7618429999999998</v>
      </c>
      <c r="E619">
        <v>0.47393390000000002</v>
      </c>
      <c r="F619" t="s">
        <v>43</v>
      </c>
      <c r="G619">
        <v>-283.50389999999999</v>
      </c>
      <c r="H619">
        <v>-0.05</v>
      </c>
      <c r="I619">
        <v>374.23250000000002</v>
      </c>
      <c r="J619">
        <v>-371.40769999999998</v>
      </c>
      <c r="K619">
        <v>1.109022</v>
      </c>
      <c r="L619">
        <v>368.07870000000003</v>
      </c>
      <c r="M619">
        <v>0.99996339999999995</v>
      </c>
      <c r="N619">
        <v>0</v>
      </c>
      <c r="O619">
        <v>-1.561872E-3</v>
      </c>
      <c r="P619">
        <v>0.99945059999999997</v>
      </c>
      <c r="Q619">
        <v>3.2933089999999998E-2</v>
      </c>
      <c r="R619">
        <v>3.7887699999999999E-3</v>
      </c>
      <c r="S619">
        <v>3.002167</v>
      </c>
      <c r="T619">
        <v>-3.9483190000000001E-2</v>
      </c>
      <c r="U619">
        <v>0.20962520000000001</v>
      </c>
      <c r="V619">
        <v>-5.3481939999999997E-3</v>
      </c>
      <c r="W619">
        <v>4.1358899999999997E-2</v>
      </c>
      <c r="X619">
        <v>0.99913010000000002</v>
      </c>
      <c r="Y619">
        <v>-7.1206850000000002E-2</v>
      </c>
      <c r="Z619">
        <v>4.8816750000000003E-4</v>
      </c>
      <c r="AA619">
        <v>0.99746140000000005</v>
      </c>
      <c r="AB619">
        <v>46</v>
      </c>
      <c r="AC619">
        <v>87.903799999999904</v>
      </c>
      <c r="AD619">
        <v>-1.159022</v>
      </c>
      <c r="AE619">
        <v>6.1537999999999897</v>
      </c>
      <c r="AF619">
        <v>-6.2900036676499402</v>
      </c>
      <c r="AG619">
        <v>-1.159022</v>
      </c>
      <c r="AH619">
        <v>87.878877984271497</v>
      </c>
      <c r="AI619">
        <v>90.753694126227998</v>
      </c>
      <c r="AJ619">
        <v>94.094011181448394</v>
      </c>
      <c r="AK619">
        <v>88.111319783044905</v>
      </c>
      <c r="AL619">
        <v>87.629633622286903</v>
      </c>
      <c r="AM619">
        <v>90.306692809638903</v>
      </c>
      <c r="AN619">
        <v>1.0000000592571301</v>
      </c>
    </row>
    <row r="620" spans="1:40" x14ac:dyDescent="0.25">
      <c r="A620" t="str">
        <f>"20190312160313919"</f>
        <v>20190312160313919</v>
      </c>
      <c r="B620" t="str">
        <f>"1552377793915032"</f>
        <v>1552377793915032</v>
      </c>
      <c r="C620" t="s">
        <v>40</v>
      </c>
      <c r="D620">
        <v>4.792783</v>
      </c>
      <c r="E620">
        <v>0.47379599999999999</v>
      </c>
      <c r="F620" t="s">
        <v>41</v>
      </c>
      <c r="G620">
        <v>-266.84030000000001</v>
      </c>
      <c r="H620" s="1">
        <v>-2.8944850000000002E-6</v>
      </c>
      <c r="I620">
        <v>375.46679999999998</v>
      </c>
      <c r="J620">
        <v>-371.17</v>
      </c>
      <c r="K620">
        <v>1.109022</v>
      </c>
      <c r="L620">
        <v>368.07830000000001</v>
      </c>
      <c r="M620">
        <v>0.99996320000000005</v>
      </c>
      <c r="N620">
        <v>0</v>
      </c>
      <c r="O620">
        <v>-1.5606000000000001E-3</v>
      </c>
      <c r="P620">
        <v>0.99945430000000002</v>
      </c>
      <c r="Q620">
        <v>3.2838619999999999E-2</v>
      </c>
      <c r="R620">
        <v>3.5697960000000001E-3</v>
      </c>
      <c r="S620">
        <v>3.0018919999999998</v>
      </c>
      <c r="T620">
        <v>-3.1837579999999997E-2</v>
      </c>
      <c r="U620">
        <v>0.21209720000000001</v>
      </c>
      <c r="V620">
        <v>-5.1285810000000001E-3</v>
      </c>
      <c r="W620">
        <v>4.1274100000000001E-2</v>
      </c>
      <c r="X620">
        <v>0.99913470000000004</v>
      </c>
      <c r="Y620">
        <v>-7.2031380000000006E-2</v>
      </c>
      <c r="Z620">
        <v>3.9802160000000002E-4</v>
      </c>
      <c r="AA620">
        <v>0.99740229999999996</v>
      </c>
      <c r="AB620">
        <v>46</v>
      </c>
      <c r="AC620">
        <v>104.3297</v>
      </c>
      <c r="AD620">
        <v>-1.1090248944850001</v>
      </c>
      <c r="AE620">
        <v>7.3884999999999597</v>
      </c>
      <c r="AF620">
        <v>-7.5504648037204296</v>
      </c>
      <c r="AG620">
        <v>-1.1090248944850001</v>
      </c>
      <c r="AH620">
        <v>104.306314564118</v>
      </c>
      <c r="AI620">
        <v>90.607578195770202</v>
      </c>
      <c r="AJ620">
        <v>94.140272034650707</v>
      </c>
      <c r="AK620">
        <v>104.585117071778</v>
      </c>
      <c r="AL620">
        <v>87.634496319042498</v>
      </c>
      <c r="AM620">
        <v>90.294097948442399</v>
      </c>
      <c r="AN620">
        <v>1.00000000120898</v>
      </c>
    </row>
    <row r="621" spans="1:40" x14ac:dyDescent="0.25">
      <c r="A621" t="str">
        <f>"20190312160313932"</f>
        <v>20190312160313932</v>
      </c>
      <c r="B621" t="str">
        <f>"1552377793925770"</f>
        <v>1552377793925770</v>
      </c>
      <c r="C621" t="s">
        <v>40</v>
      </c>
      <c r="D621">
        <v>4.7628009999999996</v>
      </c>
      <c r="E621">
        <v>0.47369329999999998</v>
      </c>
      <c r="F621" t="s">
        <v>41</v>
      </c>
      <c r="G621">
        <v>-255.589</v>
      </c>
      <c r="H621" s="1">
        <v>-3.555482E-6</v>
      </c>
      <c r="I621">
        <v>376.2765</v>
      </c>
      <c r="J621">
        <v>-370.93189999999998</v>
      </c>
      <c r="K621">
        <v>1.109024</v>
      </c>
      <c r="L621">
        <v>368.0779</v>
      </c>
      <c r="M621">
        <v>0.99996309999999999</v>
      </c>
      <c r="N621">
        <v>0</v>
      </c>
      <c r="O621">
        <v>-1.559447E-3</v>
      </c>
      <c r="P621">
        <v>0.99945700000000004</v>
      </c>
      <c r="Q621">
        <v>3.2782409999999998E-2</v>
      </c>
      <c r="R621">
        <v>3.3886400000000001E-3</v>
      </c>
      <c r="S621">
        <v>3.0018310000000001</v>
      </c>
      <c r="T621">
        <v>-2.8803229999999999E-2</v>
      </c>
      <c r="U621">
        <v>0.2129211</v>
      </c>
      <c r="V621">
        <v>-4.94612E-3</v>
      </c>
      <c r="W621">
        <v>4.1227399999999997E-2</v>
      </c>
      <c r="X621">
        <v>0.99913750000000001</v>
      </c>
      <c r="Y621">
        <v>-7.2304800000000002E-2</v>
      </c>
      <c r="Z621">
        <v>3.6139199999999998E-4</v>
      </c>
      <c r="AA621">
        <v>0.99738249999999995</v>
      </c>
      <c r="AB621">
        <v>46</v>
      </c>
      <c r="AC621">
        <v>115.34289999999901</v>
      </c>
      <c r="AD621">
        <v>-1.1090275554819999</v>
      </c>
      <c r="AE621">
        <v>8.1985999999999901</v>
      </c>
      <c r="AF621">
        <v>-8.3776969708981692</v>
      </c>
      <c r="AG621">
        <v>-1.1090275554819999</v>
      </c>
      <c r="AH621">
        <v>115.319366417618</v>
      </c>
      <c r="AI621">
        <v>90.549548945806507</v>
      </c>
      <c r="AJ621">
        <v>94.155112132582701</v>
      </c>
      <c r="AK621">
        <v>115.628595164068</v>
      </c>
      <c r="AL621">
        <v>87.637174198022095</v>
      </c>
      <c r="AM621">
        <v>90.283634120461102</v>
      </c>
      <c r="AN621">
        <v>0.99999995326003099</v>
      </c>
    </row>
    <row r="622" spans="1:40" x14ac:dyDescent="0.25">
      <c r="A622" t="str">
        <f>"20190312160313945"</f>
        <v>20190312160313945</v>
      </c>
      <c r="B622" t="str">
        <f>"1552377793935529"</f>
        <v>1552377793935529</v>
      </c>
      <c r="C622" t="s">
        <v>40</v>
      </c>
      <c r="D622">
        <v>4.7771400000000002</v>
      </c>
      <c r="E622">
        <v>0.47361969999999998</v>
      </c>
      <c r="F622" t="s">
        <v>41</v>
      </c>
      <c r="G622">
        <v>-243.30179999999999</v>
      </c>
      <c r="H622" s="1">
        <v>-4.7793229999999997E-6</v>
      </c>
      <c r="I622">
        <v>377.14769999999999</v>
      </c>
      <c r="J622">
        <v>-370.65460000000002</v>
      </c>
      <c r="K622">
        <v>1.1090260000000001</v>
      </c>
      <c r="L622">
        <v>368.07749999999999</v>
      </c>
      <c r="M622">
        <v>0.99996309999999999</v>
      </c>
      <c r="N622">
        <v>0</v>
      </c>
      <c r="O622">
        <v>-1.557945E-3</v>
      </c>
      <c r="P622">
        <v>0.99944730000000004</v>
      </c>
      <c r="Q622">
        <v>3.3083929999999998E-2</v>
      </c>
      <c r="R622">
        <v>3.3089759999999999E-3</v>
      </c>
      <c r="S622">
        <v>3.0018009999999999</v>
      </c>
      <c r="T622">
        <v>-2.6083829999999999E-2</v>
      </c>
      <c r="U622">
        <v>0.2133179</v>
      </c>
      <c r="V622">
        <v>-4.8650639999999997E-3</v>
      </c>
      <c r="W622">
        <v>4.1539939999999997E-2</v>
      </c>
      <c r="X622">
        <v>0.99912500000000004</v>
      </c>
      <c r="Y622">
        <v>-7.2435780000000005E-2</v>
      </c>
      <c r="Z622">
        <v>3.2783029999999998E-4</v>
      </c>
      <c r="AA622">
        <v>0.99737299999999995</v>
      </c>
      <c r="AB622">
        <v>46</v>
      </c>
      <c r="AC622">
        <v>127.3528</v>
      </c>
      <c r="AD622">
        <v>-1.1090307793230001</v>
      </c>
      <c r="AE622">
        <v>9.0701999999999998</v>
      </c>
      <c r="AF622">
        <v>-9.2679054450211993</v>
      </c>
      <c r="AG622">
        <v>-1.1090307793230001</v>
      </c>
      <c r="AH622">
        <v>127.328906790182</v>
      </c>
      <c r="AI622">
        <v>90.497715190044303</v>
      </c>
      <c r="AJ622">
        <v>94.163053693373101</v>
      </c>
      <c r="AK622">
        <v>127.67057031669501</v>
      </c>
      <c r="AL622">
        <v>87.619251733064601</v>
      </c>
      <c r="AM622">
        <v>90.278989547080599</v>
      </c>
      <c r="AN622">
        <v>1.00000000054396</v>
      </c>
    </row>
    <row r="623" spans="1:40" x14ac:dyDescent="0.25">
      <c r="A623" t="str">
        <f>"20190312160313957"</f>
        <v>20190312160313957</v>
      </c>
      <c r="B623" t="str">
        <f>"1552377793945289"</f>
        <v>1552377793945289</v>
      </c>
      <c r="C623" t="s">
        <v>40</v>
      </c>
      <c r="D623">
        <v>4.8228140000000002</v>
      </c>
      <c r="E623">
        <v>0.47359770000000001</v>
      </c>
      <c r="F623" t="s">
        <v>41</v>
      </c>
      <c r="G623">
        <v>-223.56270000000001</v>
      </c>
      <c r="H623" s="1">
        <v>-4.6499089999999998E-6</v>
      </c>
      <c r="I623">
        <v>378.5591</v>
      </c>
      <c r="J623">
        <v>-370.40440000000001</v>
      </c>
      <c r="K623">
        <v>1.109027</v>
      </c>
      <c r="L623">
        <v>368.07709999999997</v>
      </c>
      <c r="M623">
        <v>0.99996300000000005</v>
      </c>
      <c r="N623">
        <v>0</v>
      </c>
      <c r="O623">
        <v>-1.5564379999999901E-3</v>
      </c>
      <c r="P623">
        <v>0.99944829999999996</v>
      </c>
      <c r="Q623">
        <v>3.3053440000000003E-2</v>
      </c>
      <c r="R623">
        <v>3.324956E-3</v>
      </c>
      <c r="S623">
        <v>3.001709</v>
      </c>
      <c r="T623">
        <v>-2.2631999999999999E-2</v>
      </c>
      <c r="U623">
        <v>0.2138977</v>
      </c>
      <c r="V623">
        <v>-4.8793609999999996E-3</v>
      </c>
      <c r="W623">
        <v>4.1519449999999999E-2</v>
      </c>
      <c r="X623">
        <v>0.99912579999999995</v>
      </c>
      <c r="Y623">
        <v>-7.2628799999999993E-2</v>
      </c>
      <c r="Z623">
        <v>2.8517000000000001E-4</v>
      </c>
      <c r="AA623">
        <v>0.997359</v>
      </c>
      <c r="AB623">
        <v>46</v>
      </c>
      <c r="AC623">
        <v>146.8417</v>
      </c>
      <c r="AD623">
        <v>-1.1090316499090001</v>
      </c>
      <c r="AE623">
        <v>10.481999999999999</v>
      </c>
      <c r="AF623">
        <v>-10.709937673264699</v>
      </c>
      <c r="AG623">
        <v>-1.1090316499090001</v>
      </c>
      <c r="AH623">
        <v>146.81687479617099</v>
      </c>
      <c r="AI623">
        <v>90.431648193721102</v>
      </c>
      <c r="AJ623">
        <v>94.172199115430999</v>
      </c>
      <c r="AK623">
        <v>147.21116615624101</v>
      </c>
      <c r="AL623">
        <v>87.620426780189902</v>
      </c>
      <c r="AM623">
        <v>90.279809178695004</v>
      </c>
      <c r="AN623">
        <v>1.00000001855885</v>
      </c>
    </row>
    <row r="624" spans="1:40" x14ac:dyDescent="0.25">
      <c r="A624" t="str">
        <f>"20190312160313975"</f>
        <v>20190312160313975</v>
      </c>
      <c r="B624" t="str">
        <f>"1552377793964809"</f>
        <v>1552377793964809</v>
      </c>
      <c r="C624" t="s">
        <v>40</v>
      </c>
      <c r="D624">
        <v>4.8079289999999997</v>
      </c>
      <c r="E624">
        <v>0.47357359999999998</v>
      </c>
      <c r="F624" t="s">
        <v>41</v>
      </c>
      <c r="G624">
        <v>-219.6534</v>
      </c>
      <c r="H624" s="1">
        <v>-2.5834320000000002E-6</v>
      </c>
      <c r="I624">
        <v>378.83339999999998</v>
      </c>
      <c r="J624">
        <v>-370.03379999999999</v>
      </c>
      <c r="K624">
        <v>1.109032</v>
      </c>
      <c r="L624">
        <v>368.07650000000001</v>
      </c>
      <c r="M624">
        <v>0.99996280000000004</v>
      </c>
      <c r="N624">
        <v>0</v>
      </c>
      <c r="O624">
        <v>-1.5543550000000001E-3</v>
      </c>
      <c r="P624">
        <v>0.99945019999999996</v>
      </c>
      <c r="Q624">
        <v>3.3031669999999999E-2</v>
      </c>
      <c r="R624">
        <v>2.904523E-3</v>
      </c>
      <c r="S624">
        <v>3.0016479999999999</v>
      </c>
      <c r="T624">
        <v>-2.2082210000000001E-2</v>
      </c>
      <c r="U624">
        <v>0.21417240000000001</v>
      </c>
      <c r="V624">
        <v>-4.4567770000000003E-3</v>
      </c>
      <c r="W624">
        <v>4.1512779999999999E-2</v>
      </c>
      <c r="X624">
        <v>0.99912800000000002</v>
      </c>
      <c r="Y624">
        <v>-7.2719039999999999E-2</v>
      </c>
      <c r="Z624">
        <v>2.785636E-4</v>
      </c>
      <c r="AA624">
        <v>0.99735240000000003</v>
      </c>
      <c r="AB624">
        <v>46</v>
      </c>
      <c r="AC624">
        <v>150.38039999999901</v>
      </c>
      <c r="AD624">
        <v>-1.1090345834319999</v>
      </c>
      <c r="AE624">
        <v>10.7568999999999</v>
      </c>
      <c r="AF624">
        <v>-10.990045254408299</v>
      </c>
      <c r="AG624">
        <v>-1.1090345834319999</v>
      </c>
      <c r="AH624">
        <v>150.35536169791999</v>
      </c>
      <c r="AI624">
        <v>90.4214867265636</v>
      </c>
      <c r="AJ624">
        <v>94.180531908427696</v>
      </c>
      <c r="AK624">
        <v>150.76055798421999</v>
      </c>
      <c r="AL624">
        <v>87.620809150241996</v>
      </c>
      <c r="AM624">
        <v>90.255575680701895</v>
      </c>
      <c r="AN624">
        <v>0.99999996707427696</v>
      </c>
    </row>
    <row r="625" spans="1:40" x14ac:dyDescent="0.25">
      <c r="A625" t="str">
        <f>"20190312160313992"</f>
        <v>20190312160313992</v>
      </c>
      <c r="B625" t="str">
        <f>"1552377793975547"</f>
        <v>1552377793975547</v>
      </c>
      <c r="C625" t="s">
        <v>40</v>
      </c>
      <c r="D625">
        <v>4.7570519999999998</v>
      </c>
      <c r="E625">
        <v>0.47302670000000002</v>
      </c>
      <c r="F625" t="s">
        <v>41</v>
      </c>
      <c r="G625">
        <v>-249.90299999999999</v>
      </c>
      <c r="H625" s="1">
        <v>-1.8840910000000001E-6</v>
      </c>
      <c r="I625">
        <v>376.59840000000003</v>
      </c>
      <c r="J625">
        <v>-369.71159999999998</v>
      </c>
      <c r="K625">
        <v>1.109032</v>
      </c>
      <c r="L625">
        <v>368.07600000000002</v>
      </c>
      <c r="M625">
        <v>0.99996269999999998</v>
      </c>
      <c r="N625">
        <v>0</v>
      </c>
      <c r="O625">
        <v>-1.5523829999999901E-3</v>
      </c>
      <c r="P625">
        <v>0.99944040000000001</v>
      </c>
      <c r="Q625">
        <v>3.3337680000000001E-2</v>
      </c>
      <c r="R625">
        <v>2.7646239999999998E-3</v>
      </c>
      <c r="S625">
        <v>3.0019230000000001</v>
      </c>
      <c r="T625">
        <v>-2.7713419999999999E-2</v>
      </c>
      <c r="U625">
        <v>0.21295169999999999</v>
      </c>
      <c r="V625">
        <v>-4.3147460000000004E-3</v>
      </c>
      <c r="W625">
        <v>4.183104E-2</v>
      </c>
      <c r="X625">
        <v>0.99911539999999999</v>
      </c>
      <c r="Y625">
        <v>-7.2305949999999994E-2</v>
      </c>
      <c r="Z625">
        <v>3.4764829999999998E-4</v>
      </c>
      <c r="AA625">
        <v>0.99738249999999995</v>
      </c>
      <c r="AB625">
        <v>46</v>
      </c>
      <c r="AC625">
        <v>119.808599999999</v>
      </c>
      <c r="AD625">
        <v>-1.1090338840909999</v>
      </c>
      <c r="AE625">
        <v>8.5224000000000597</v>
      </c>
      <c r="AF625">
        <v>-8.7076429044322801</v>
      </c>
      <c r="AG625">
        <v>-1.1090338840909999</v>
      </c>
      <c r="AH625">
        <v>119.785012806285</v>
      </c>
      <c r="AI625">
        <v>90.529063922273295</v>
      </c>
      <c r="AJ625">
        <v>94.157741737658696</v>
      </c>
      <c r="AK625">
        <v>120.10621255417701</v>
      </c>
      <c r="AL625">
        <v>87.602558462698198</v>
      </c>
      <c r="AM625">
        <v>90.247434078808993</v>
      </c>
      <c r="AN625">
        <v>1.00000001772884</v>
      </c>
    </row>
    <row r="626" spans="1:40" x14ac:dyDescent="0.25">
      <c r="A626" t="str">
        <f>"20190312160314005"</f>
        <v>20190312160314005</v>
      </c>
      <c r="B626" t="str">
        <f>"1552377793995064"</f>
        <v>1552377793995064</v>
      </c>
      <c r="C626" t="s">
        <v>40</v>
      </c>
      <c r="D626">
        <v>4.8359699999999997</v>
      </c>
      <c r="E626">
        <v>0.44528040000000002</v>
      </c>
      <c r="F626" t="s">
        <v>41</v>
      </c>
      <c r="G626">
        <v>-256.96120000000002</v>
      </c>
      <c r="H626" s="1">
        <v>-3.0392789999999999E-6</v>
      </c>
      <c r="I626">
        <v>376.20600000000002</v>
      </c>
      <c r="J626">
        <v>-369.38150000000002</v>
      </c>
      <c r="K626">
        <v>1.1090310000000001</v>
      </c>
      <c r="L626">
        <v>368.07549999999998</v>
      </c>
      <c r="M626">
        <v>0.99996269999999998</v>
      </c>
      <c r="N626">
        <v>0</v>
      </c>
      <c r="O626">
        <v>-1.550531E-3</v>
      </c>
      <c r="P626">
        <v>0.99943769999999998</v>
      </c>
      <c r="Q626">
        <v>3.3414619999999999E-2</v>
      </c>
      <c r="R626">
        <v>2.849524E-3</v>
      </c>
      <c r="S626">
        <v>3.002014</v>
      </c>
      <c r="T626">
        <v>-2.952838E-2</v>
      </c>
      <c r="U626">
        <v>0.21646119999999999</v>
      </c>
      <c r="V626">
        <v>-4.397626E-3</v>
      </c>
      <c r="W626">
        <v>4.1920590000000001E-2</v>
      </c>
      <c r="X626">
        <v>0.99911130000000004</v>
      </c>
      <c r="Y626">
        <v>-7.3461470000000001E-2</v>
      </c>
      <c r="Z626">
        <v>3.760452E-4</v>
      </c>
      <c r="AA626">
        <v>0.99729800000000002</v>
      </c>
      <c r="AB626">
        <v>46</v>
      </c>
      <c r="AC626">
        <v>112.4203</v>
      </c>
      <c r="AD626">
        <v>-1.1090340392789999</v>
      </c>
      <c r="AE626">
        <v>8.1304999999999801</v>
      </c>
      <c r="AF626">
        <v>-8.3040037412714192</v>
      </c>
      <c r="AG626">
        <v>-1.1090340392789999</v>
      </c>
      <c r="AH626">
        <v>112.396676322684</v>
      </c>
      <c r="AI626">
        <v>90.563790769650694</v>
      </c>
      <c r="AJ626">
        <v>94.225405303682294</v>
      </c>
      <c r="AK626">
        <v>112.70847032509</v>
      </c>
      <c r="AL626">
        <v>87.597423156361302</v>
      </c>
      <c r="AM626">
        <v>90.252187901930895</v>
      </c>
      <c r="AN626">
        <v>1.0000000323840299</v>
      </c>
    </row>
    <row r="627" spans="1:40" x14ac:dyDescent="0.25">
      <c r="A627" t="str">
        <f>"20190312160314019"</f>
        <v>20190312160314019</v>
      </c>
      <c r="B627" t="str">
        <f>"1552377794004826"</f>
        <v>1552377794004826</v>
      </c>
      <c r="C627" t="s">
        <v>40</v>
      </c>
      <c r="D627">
        <v>4.7906279999999999</v>
      </c>
      <c r="E627">
        <v>0.44398510000000002</v>
      </c>
      <c r="F627" t="s">
        <v>43</v>
      </c>
      <c r="G627">
        <v>-309.17349999999999</v>
      </c>
      <c r="H627">
        <v>-0.05</v>
      </c>
      <c r="I627">
        <v>376.83539999999999</v>
      </c>
      <c r="J627">
        <v>-369.13069999999999</v>
      </c>
      <c r="K627">
        <v>1.109032</v>
      </c>
      <c r="L627">
        <v>368.0752</v>
      </c>
      <c r="M627">
        <v>0.99996260000000003</v>
      </c>
      <c r="N627">
        <v>0</v>
      </c>
      <c r="O627">
        <v>-1.5490229999999901E-3</v>
      </c>
      <c r="P627">
        <v>0.99944</v>
      </c>
      <c r="Q627">
        <v>3.3342530000000002E-2</v>
      </c>
      <c r="R627">
        <v>2.9066370000000001E-3</v>
      </c>
      <c r="S627">
        <v>3.00238</v>
      </c>
      <c r="T627">
        <v>-5.7797189999999998E-2</v>
      </c>
      <c r="U627">
        <v>0.43682860000000001</v>
      </c>
      <c r="V627">
        <v>-4.4538549999999996E-3</v>
      </c>
      <c r="W627">
        <v>4.1858670000000001E-2</v>
      </c>
      <c r="X627">
        <v>0.99911360000000005</v>
      </c>
      <c r="Y627">
        <v>-0.14548429999999901</v>
      </c>
      <c r="Z627">
        <v>1.4225220000000001E-3</v>
      </c>
      <c r="AA627">
        <v>0.98935960000000001</v>
      </c>
      <c r="AB627">
        <v>46</v>
      </c>
      <c r="AC627">
        <v>59.9572</v>
      </c>
      <c r="AD627">
        <v>-1.1590320000000001</v>
      </c>
      <c r="AE627">
        <v>8.7601999999999904</v>
      </c>
      <c r="AF627">
        <v>-8.8498299873569604</v>
      </c>
      <c r="AG627">
        <v>-1.1590320000000001</v>
      </c>
      <c r="AH627">
        <v>59.921633893850398</v>
      </c>
      <c r="AI627">
        <v>91.096215253872799</v>
      </c>
      <c r="AJ627">
        <v>98.401284747766297</v>
      </c>
      <c r="AK627">
        <v>60.582712505225302</v>
      </c>
      <c r="AL627">
        <v>87.600973914910398</v>
      </c>
      <c r="AM627">
        <v>90.255411800741001</v>
      </c>
      <c r="AN627">
        <v>0.99999998539174495</v>
      </c>
    </row>
    <row r="628" spans="1:40" x14ac:dyDescent="0.25">
      <c r="A628" t="str">
        <f>"20190312160314031"</f>
        <v>20190312160314031</v>
      </c>
      <c r="B628" t="str">
        <f>"1552377794025322"</f>
        <v>1552377794025322</v>
      </c>
      <c r="C628" t="s">
        <v>40</v>
      </c>
      <c r="D628">
        <v>4.8409789999999999</v>
      </c>
      <c r="E628">
        <v>0.4431889</v>
      </c>
      <c r="F628" t="s">
        <v>44</v>
      </c>
      <c r="G628">
        <v>-285.74740000000003</v>
      </c>
      <c r="H628">
        <v>0.13459289999999999</v>
      </c>
      <c r="I628">
        <v>380.5401</v>
      </c>
      <c r="J628">
        <v>-368.88099999999997</v>
      </c>
      <c r="K628">
        <v>1.1090310000000001</v>
      </c>
      <c r="L628">
        <v>368.07479999999998</v>
      </c>
      <c r="M628">
        <v>0.99996260000000003</v>
      </c>
      <c r="N628">
        <v>0</v>
      </c>
      <c r="O628">
        <v>-1.547634E-3</v>
      </c>
      <c r="P628">
        <v>0.99943610000000005</v>
      </c>
      <c r="Q628">
        <v>3.3458000000000002E-2</v>
      </c>
      <c r="R628">
        <v>2.911987E-3</v>
      </c>
      <c r="S628">
        <v>3.0015559999999999</v>
      </c>
      <c r="T628">
        <v>-3.5074229999999998E-2</v>
      </c>
      <c r="U628">
        <v>0.44869999999999999</v>
      </c>
      <c r="V628">
        <v>-4.4576420000000004E-3</v>
      </c>
      <c r="W628">
        <v>4.1983489999999998E-2</v>
      </c>
      <c r="X628">
        <v>0.99910840000000001</v>
      </c>
      <c r="Y628">
        <v>-0.14936669999999999</v>
      </c>
      <c r="Z628">
        <v>8.8583529999999996E-4</v>
      </c>
      <c r="AA628">
        <v>0.98878149999999998</v>
      </c>
      <c r="AB628">
        <v>47</v>
      </c>
      <c r="AC628">
        <v>83.133599999999902</v>
      </c>
      <c r="AD628">
        <v>-0.97443809999999997</v>
      </c>
      <c r="AE628">
        <v>12.465299999999999</v>
      </c>
      <c r="AF628">
        <v>-12.592258104622401</v>
      </c>
      <c r="AG628">
        <v>-0.97443809999999997</v>
      </c>
      <c r="AH628">
        <v>83.103041534884497</v>
      </c>
      <c r="AI628">
        <v>90.664218810568102</v>
      </c>
      <c r="AJ628">
        <v>98.616246797386694</v>
      </c>
      <c r="AK628">
        <v>84.057301920373902</v>
      </c>
      <c r="AL628">
        <v>87.593816093444104</v>
      </c>
      <c r="AM628">
        <v>90.255630298478906</v>
      </c>
      <c r="AN628">
        <v>1.00000003947766</v>
      </c>
    </row>
    <row r="629" spans="1:40" x14ac:dyDescent="0.25">
      <c r="A629" t="str">
        <f>"20190312160314041"</f>
        <v>20190312160314041</v>
      </c>
      <c r="B629" t="str">
        <f>"1552377794035082"</f>
        <v>1552377794035082</v>
      </c>
      <c r="C629" t="s">
        <v>40</v>
      </c>
      <c r="D629">
        <v>4.9118959999999996</v>
      </c>
      <c r="E629">
        <v>0.44304909999999997</v>
      </c>
      <c r="F629" t="s">
        <v>44</v>
      </c>
      <c r="G629">
        <v>-285.74740000000003</v>
      </c>
      <c r="H629">
        <v>0.18744340000000001</v>
      </c>
      <c r="I629">
        <v>380.68180000000001</v>
      </c>
      <c r="J629">
        <v>-368.6361</v>
      </c>
      <c r="K629">
        <v>1.109024</v>
      </c>
      <c r="L629">
        <v>368.07440000000003</v>
      </c>
      <c r="M629">
        <v>0.99996240000000003</v>
      </c>
      <c r="N629">
        <v>0</v>
      </c>
      <c r="O629">
        <v>-1.5461239999999901E-3</v>
      </c>
      <c r="P629">
        <v>0.9994305</v>
      </c>
      <c r="Q629">
        <v>3.3601779999999998E-2</v>
      </c>
      <c r="R629">
        <v>3.108511E-3</v>
      </c>
      <c r="S629">
        <v>3.0014949999999998</v>
      </c>
      <c r="T629">
        <v>-3.3270719999999997E-2</v>
      </c>
      <c r="U629">
        <v>0.45516970000000001</v>
      </c>
      <c r="V629">
        <v>-4.6524649999999997E-3</v>
      </c>
      <c r="W629">
        <v>4.2136899999999998E-2</v>
      </c>
      <c r="X629">
        <v>0.99910100000000002</v>
      </c>
      <c r="Y629">
        <v>-0.151452799999999</v>
      </c>
      <c r="Z629">
        <v>8.5165030000000001E-4</v>
      </c>
      <c r="AA629">
        <v>0.98846409999999996</v>
      </c>
      <c r="AB629">
        <v>47</v>
      </c>
      <c r="AC629">
        <v>82.888699999999901</v>
      </c>
      <c r="AD629">
        <v>-0.92158059999999997</v>
      </c>
      <c r="AE629">
        <v>12.607399999999901</v>
      </c>
      <c r="AF629">
        <v>-12.734007265530201</v>
      </c>
      <c r="AG629">
        <v>-0.92158059999999997</v>
      </c>
      <c r="AH629">
        <v>82.859096468653107</v>
      </c>
      <c r="AI629">
        <v>90.629838544646006</v>
      </c>
      <c r="AJ629">
        <v>98.737011738312404</v>
      </c>
      <c r="AK629">
        <v>83.836949607213398</v>
      </c>
      <c r="AL629">
        <v>87.585018433867305</v>
      </c>
      <c r="AM629">
        <v>90.2668045393591</v>
      </c>
      <c r="AN629">
        <v>0.99999998598659301</v>
      </c>
    </row>
    <row r="630" spans="1:40" x14ac:dyDescent="0.25">
      <c r="A630" t="str">
        <f>"20190312160314052"</f>
        <v>20190312160314052</v>
      </c>
      <c r="B630" t="str">
        <f>"1552377794044858"</f>
        <v>1552377794044858</v>
      </c>
      <c r="C630" t="s">
        <v>40</v>
      </c>
      <c r="D630">
        <v>4.9409989999999997</v>
      </c>
      <c r="E630">
        <v>0.44274390000000002</v>
      </c>
      <c r="F630" t="s">
        <v>44</v>
      </c>
      <c r="G630">
        <v>-285.50450000000001</v>
      </c>
      <c r="H630">
        <v>0.30835069999999998</v>
      </c>
      <c r="I630">
        <v>380.73110000000003</v>
      </c>
      <c r="J630">
        <v>-368.41269999999997</v>
      </c>
      <c r="K630">
        <v>1.109024</v>
      </c>
      <c r="L630">
        <v>368.07400000000001</v>
      </c>
      <c r="M630">
        <v>0.99996229999999997</v>
      </c>
      <c r="N630">
        <v>0</v>
      </c>
      <c r="O630">
        <v>-1.54485E-3</v>
      </c>
      <c r="P630">
        <v>0.99943749999999998</v>
      </c>
      <c r="Q630">
        <v>3.3392379999999999E-2</v>
      </c>
      <c r="R630">
        <v>3.175448E-3</v>
      </c>
      <c r="S630">
        <v>3.0012509999999999</v>
      </c>
      <c r="T630">
        <v>-2.8903479999999999E-2</v>
      </c>
      <c r="U630">
        <v>0.4569397</v>
      </c>
      <c r="V630">
        <v>-4.7182489999999999E-3</v>
      </c>
      <c r="W630">
        <v>4.1936319999999999E-2</v>
      </c>
      <c r="X630">
        <v>0.99910909999999997</v>
      </c>
      <c r="Y630">
        <v>-0.15203539999999999</v>
      </c>
      <c r="Z630">
        <v>7.4266950000000001E-4</v>
      </c>
      <c r="AA630">
        <v>0.9883748</v>
      </c>
      <c r="AB630">
        <v>47</v>
      </c>
      <c r="AC630">
        <v>82.908199999999894</v>
      </c>
      <c r="AD630">
        <v>-0.80067329999999903</v>
      </c>
      <c r="AE630">
        <v>12.6571</v>
      </c>
      <c r="AF630">
        <v>-12.7840051671217</v>
      </c>
      <c r="AG630">
        <v>-0.80067329999999903</v>
      </c>
      <c r="AH630">
        <v>82.880993233267404</v>
      </c>
      <c r="AI630">
        <v>90.5470210656311</v>
      </c>
      <c r="AJ630">
        <v>98.768502553258699</v>
      </c>
      <c r="AK630">
        <v>83.864956359490506</v>
      </c>
      <c r="AL630">
        <v>87.596520915040102</v>
      </c>
      <c r="AM630">
        <v>90.270574799868598</v>
      </c>
      <c r="AN630">
        <v>0.999999955255788</v>
      </c>
    </row>
    <row r="631" spans="1:40" x14ac:dyDescent="0.25">
      <c r="A631" t="str">
        <f>"20190312160314064"</f>
        <v>20190312160314064</v>
      </c>
      <c r="B631" t="str">
        <f>"1552377794055593"</f>
        <v>1552377794055593</v>
      </c>
      <c r="C631" t="s">
        <v>40</v>
      </c>
      <c r="D631">
        <v>4.8281349999999996</v>
      </c>
      <c r="E631">
        <v>0.44243860000000002</v>
      </c>
      <c r="F631" t="s">
        <v>44</v>
      </c>
      <c r="G631">
        <v>-285.49419999999998</v>
      </c>
      <c r="H631">
        <v>0.35480489999999998</v>
      </c>
      <c r="I631">
        <v>380.7765</v>
      </c>
      <c r="J631">
        <v>-368.1678</v>
      </c>
      <c r="K631">
        <v>1.1090230000000001</v>
      </c>
      <c r="L631">
        <v>368.0736</v>
      </c>
      <c r="M631">
        <v>0.99996229999999997</v>
      </c>
      <c r="N631">
        <v>0</v>
      </c>
      <c r="O631">
        <v>-1.5434610000000001E-3</v>
      </c>
      <c r="P631">
        <v>0.99944409999999895</v>
      </c>
      <c r="Q631">
        <v>3.3201040000000001E-2</v>
      </c>
      <c r="R631">
        <v>3.137178E-3</v>
      </c>
      <c r="S631">
        <v>3.0011290000000002</v>
      </c>
      <c r="T631">
        <v>-2.729523E-2</v>
      </c>
      <c r="U631">
        <v>0.45974730000000003</v>
      </c>
      <c r="V631">
        <v>-4.6787419999999996E-3</v>
      </c>
      <c r="W631">
        <v>4.1754329999999999E-2</v>
      </c>
      <c r="X631">
        <v>0.99911700000000003</v>
      </c>
      <c r="Y631">
        <v>-0.15294430000000001</v>
      </c>
      <c r="Z631">
        <v>7.0542269999999995E-4</v>
      </c>
      <c r="AA631">
        <v>0.98823459999999996</v>
      </c>
      <c r="AB631">
        <v>47</v>
      </c>
      <c r="AC631">
        <v>82.673599999999993</v>
      </c>
      <c r="AD631">
        <v>-0.754218099999999</v>
      </c>
      <c r="AE631">
        <v>12.7029</v>
      </c>
      <c r="AF631">
        <v>-12.8294498841655</v>
      </c>
      <c r="AG631">
        <v>-0.754218099999999</v>
      </c>
      <c r="AH631">
        <v>82.647174603204604</v>
      </c>
      <c r="AI631">
        <v>90.516665291323207</v>
      </c>
      <c r="AJ631">
        <v>98.823688698823503</v>
      </c>
      <c r="AK631">
        <v>83.640415465044597</v>
      </c>
      <c r="AL631">
        <v>87.606957535812398</v>
      </c>
      <c r="AM631">
        <v>90.268307125700005</v>
      </c>
      <c r="AN631">
        <v>1.0000000471947199</v>
      </c>
    </row>
    <row r="632" spans="1:40" x14ac:dyDescent="0.25">
      <c r="A632" t="str">
        <f>"20190312160314076"</f>
        <v>20190312160314076</v>
      </c>
      <c r="B632" t="str">
        <f>"1552377794065353"</f>
        <v>1552377794065353</v>
      </c>
      <c r="C632" t="s">
        <v>40</v>
      </c>
      <c r="D632">
        <v>4.8112430000000002</v>
      </c>
      <c r="E632">
        <v>0.44223750000000001</v>
      </c>
      <c r="F632" t="s">
        <v>44</v>
      </c>
      <c r="G632">
        <v>-285.48610000000002</v>
      </c>
      <c r="H632">
        <v>0.39054179999999999</v>
      </c>
      <c r="I632">
        <v>380.80399999999997</v>
      </c>
      <c r="J632">
        <v>-367.94130000000001</v>
      </c>
      <c r="K632">
        <v>1.1090180000000001</v>
      </c>
      <c r="L632">
        <v>368.07330000000002</v>
      </c>
      <c r="M632">
        <v>0.99996220000000002</v>
      </c>
      <c r="N632">
        <v>0</v>
      </c>
      <c r="O632">
        <v>-1.542187E-3</v>
      </c>
      <c r="P632">
        <v>0.99944029999999995</v>
      </c>
      <c r="Q632">
        <v>3.3324819999999998E-2</v>
      </c>
      <c r="R632">
        <v>2.972092E-3</v>
      </c>
      <c r="S632">
        <v>3.0010680000000001</v>
      </c>
      <c r="T632">
        <v>-2.607572E-2</v>
      </c>
      <c r="U632">
        <v>0.4620667</v>
      </c>
      <c r="V632">
        <v>-4.5124479999999996E-3</v>
      </c>
      <c r="W632">
        <v>4.1886769999999997E-2</v>
      </c>
      <c r="X632">
        <v>0.99911220000000001</v>
      </c>
      <c r="Y632">
        <v>-0.15369260000000001</v>
      </c>
      <c r="Z632">
        <v>6.7710190000000003E-4</v>
      </c>
      <c r="AA632">
        <v>0.98811850000000001</v>
      </c>
      <c r="AB632">
        <v>47</v>
      </c>
      <c r="AC632">
        <v>82.455199999999905</v>
      </c>
      <c r="AD632">
        <v>-0.71847620000000001</v>
      </c>
      <c r="AE632">
        <v>12.730700000000001</v>
      </c>
      <c r="AF632">
        <v>-12.856897412484701</v>
      </c>
      <c r="AG632">
        <v>-0.71847620000000001</v>
      </c>
      <c r="AH632">
        <v>82.429355312208202</v>
      </c>
      <c r="AI632">
        <v>90.493426910466994</v>
      </c>
      <c r="AJ632">
        <v>98.865263233129696</v>
      </c>
      <c r="AK632">
        <v>83.429099457631594</v>
      </c>
      <c r="AL632">
        <v>87.599362587582206</v>
      </c>
      <c r="AM632">
        <v>90.258772205695905</v>
      </c>
      <c r="AN632">
        <v>1.0000000259384101</v>
      </c>
    </row>
    <row r="633" spans="1:40" x14ac:dyDescent="0.25">
      <c r="A633" t="str">
        <f>"20190312160314086"</f>
        <v>20190312160314086</v>
      </c>
      <c r="B633" t="str">
        <f>"1552377794075113"</f>
        <v>1552377794075113</v>
      </c>
      <c r="C633" t="s">
        <v>40</v>
      </c>
      <c r="D633">
        <v>4.8384309999999999</v>
      </c>
      <c r="E633">
        <v>0.4417065</v>
      </c>
      <c r="F633" t="s">
        <v>44</v>
      </c>
      <c r="G633">
        <v>-285.47500000000002</v>
      </c>
      <c r="H633">
        <v>0.44028719999999999</v>
      </c>
      <c r="I633">
        <v>380.80869999999999</v>
      </c>
      <c r="J633">
        <v>-367.70620000000002</v>
      </c>
      <c r="K633">
        <v>1.1090169999999999</v>
      </c>
      <c r="L633">
        <v>368.07299999999998</v>
      </c>
      <c r="M633">
        <v>0.99996220000000002</v>
      </c>
      <c r="N633">
        <v>0</v>
      </c>
      <c r="O633">
        <v>-1.5409149999999999E-3</v>
      </c>
      <c r="P633">
        <v>0.99944339999999998</v>
      </c>
      <c r="Q633">
        <v>3.3243590000000003E-2</v>
      </c>
      <c r="R633">
        <v>2.893255E-3</v>
      </c>
      <c r="S633">
        <v>3.0011290000000002</v>
      </c>
      <c r="T633">
        <v>-2.4333830000000001E-2</v>
      </c>
      <c r="U633">
        <v>0.46347050000000001</v>
      </c>
      <c r="V633">
        <v>-4.4324239999999999E-3</v>
      </c>
      <c r="W633">
        <v>4.1814839999999999E-2</v>
      </c>
      <c r="X633">
        <v>0.99911550000000005</v>
      </c>
      <c r="Y633">
        <v>-0.15414050000000001</v>
      </c>
      <c r="Z633">
        <v>6.336321E-4</v>
      </c>
      <c r="AA633">
        <v>0.9880487</v>
      </c>
      <c r="AB633">
        <v>47</v>
      </c>
      <c r="AC633">
        <v>82.231200000000001</v>
      </c>
      <c r="AD633">
        <v>-0.66872979999999904</v>
      </c>
      <c r="AE633">
        <v>12.7356999999999</v>
      </c>
      <c r="AF633">
        <v>-12.861570139432001</v>
      </c>
      <c r="AG633">
        <v>-0.66872979999999904</v>
      </c>
      <c r="AH633">
        <v>82.206167706734504</v>
      </c>
      <c r="AI633">
        <v>90.460477271269994</v>
      </c>
      <c r="AJ633">
        <v>98.892127339648397</v>
      </c>
      <c r="AK633">
        <v>83.208900936286199</v>
      </c>
      <c r="AL633">
        <v>87.603487316216004</v>
      </c>
      <c r="AM633">
        <v>90.254182346445106</v>
      </c>
      <c r="AN633">
        <v>0.99999995478349402</v>
      </c>
    </row>
    <row r="634" spans="1:40" x14ac:dyDescent="0.25">
      <c r="A634" t="str">
        <f>"20190312160314100"</f>
        <v>20190312160314100</v>
      </c>
      <c r="B634" t="str">
        <f>"1552377794095609"</f>
        <v>1552377794095609</v>
      </c>
      <c r="C634" t="s">
        <v>40</v>
      </c>
      <c r="D634">
        <v>4.8283129999999996</v>
      </c>
      <c r="E634">
        <v>0.44094100000000003</v>
      </c>
      <c r="F634" t="s">
        <v>44</v>
      </c>
      <c r="G634">
        <v>-285.46879999999999</v>
      </c>
      <c r="H634">
        <v>0.46801029999999999</v>
      </c>
      <c r="I634">
        <v>380.88440000000003</v>
      </c>
      <c r="J634">
        <v>-367.45150000000001</v>
      </c>
      <c r="K634">
        <v>1.1090150000000001</v>
      </c>
      <c r="L634">
        <v>368.07260000000002</v>
      </c>
      <c r="M634">
        <v>0.99996189999999996</v>
      </c>
      <c r="N634">
        <v>0</v>
      </c>
      <c r="O634">
        <v>-1.5392889999999999E-3</v>
      </c>
      <c r="P634">
        <v>0.99944549999999999</v>
      </c>
      <c r="Q634">
        <v>3.3186479999999997E-2</v>
      </c>
      <c r="R634">
        <v>2.7303710000000001E-3</v>
      </c>
      <c r="S634">
        <v>3.001099</v>
      </c>
      <c r="T634">
        <v>-2.338958E-2</v>
      </c>
      <c r="U634">
        <v>0.46752929999999998</v>
      </c>
      <c r="V634">
        <v>-4.2675919999999997E-3</v>
      </c>
      <c r="W634">
        <v>4.176767E-2</v>
      </c>
      <c r="X634">
        <v>0.99911819999999896</v>
      </c>
      <c r="Y634">
        <v>-0.15544549999999999</v>
      </c>
      <c r="Z634">
        <v>6.1403079999999995E-4</v>
      </c>
      <c r="AA634">
        <v>0.98784430000000001</v>
      </c>
      <c r="AB634">
        <v>47</v>
      </c>
      <c r="AC634">
        <v>81.982699999999994</v>
      </c>
      <c r="AD634">
        <v>-0.64100469999999898</v>
      </c>
      <c r="AE634">
        <v>12.8118</v>
      </c>
      <c r="AF634">
        <v>-12.937212507418501</v>
      </c>
      <c r="AG634">
        <v>-0.64100469999999898</v>
      </c>
      <c r="AH634">
        <v>81.957990156978596</v>
      </c>
      <c r="AI634">
        <v>90.442628650028695</v>
      </c>
      <c r="AJ634">
        <v>98.970223772573505</v>
      </c>
      <c r="AK634">
        <v>82.975264416926805</v>
      </c>
      <c r="AL634">
        <v>87.6061923437275</v>
      </c>
      <c r="AM634">
        <v>90.244729325601099</v>
      </c>
      <c r="AN634">
        <v>0.99999996408497205</v>
      </c>
    </row>
    <row r="635" spans="1:40" x14ac:dyDescent="0.25">
      <c r="A635" t="str">
        <f>"20190312160314113"</f>
        <v>20190312160314113</v>
      </c>
      <c r="B635" t="str">
        <f>"1552377794105369"</f>
        <v>1552377794105369</v>
      </c>
      <c r="C635" t="s">
        <v>40</v>
      </c>
      <c r="D635">
        <v>4.8348769999999996</v>
      </c>
      <c r="E635">
        <v>0.44053520000000002</v>
      </c>
      <c r="F635" t="s">
        <v>44</v>
      </c>
      <c r="G635">
        <v>-285.4169</v>
      </c>
      <c r="H635">
        <v>0.70009619999999995</v>
      </c>
      <c r="I635">
        <v>381.01519999999999</v>
      </c>
      <c r="J635">
        <v>-367.16669999999999</v>
      </c>
      <c r="K635">
        <v>1.109019</v>
      </c>
      <c r="L635">
        <v>368.07209999999998</v>
      </c>
      <c r="M635">
        <v>0.99996189999999996</v>
      </c>
      <c r="N635">
        <v>0</v>
      </c>
      <c r="O635">
        <v>-1.5375479999999999E-3</v>
      </c>
      <c r="P635">
        <v>0.99943979999999999</v>
      </c>
      <c r="Q635">
        <v>3.3362719999999998E-2</v>
      </c>
      <c r="R635">
        <v>2.6604279999999998E-3</v>
      </c>
      <c r="S635">
        <v>3.0008849999999998</v>
      </c>
      <c r="T635">
        <v>-1.495576E-2</v>
      </c>
      <c r="U635">
        <v>0.47344969999999997</v>
      </c>
      <c r="V635">
        <v>-4.1960979999999997E-3</v>
      </c>
      <c r="W635">
        <v>4.1954900000000003E-2</v>
      </c>
      <c r="X635">
        <v>0.99911070000000002</v>
      </c>
      <c r="Y635">
        <v>-0.1573591</v>
      </c>
      <c r="Z635">
        <v>3.9732530000000002E-4</v>
      </c>
      <c r="AA635">
        <v>0.98754140000000001</v>
      </c>
      <c r="AB635">
        <v>47</v>
      </c>
      <c r="AC635">
        <v>81.749799999999993</v>
      </c>
      <c r="AD635">
        <v>-0.40892279999999998</v>
      </c>
      <c r="AE635">
        <v>12.943099999999999</v>
      </c>
      <c r="AF635">
        <v>-13.068464588512599</v>
      </c>
      <c r="AG635">
        <v>-0.40892279999999998</v>
      </c>
      <c r="AH635">
        <v>81.727807063940801</v>
      </c>
      <c r="AI635">
        <v>90.283079349998303</v>
      </c>
      <c r="AJ635">
        <v>99.084818947776995</v>
      </c>
      <c r="AK635">
        <v>82.767061274629597</v>
      </c>
      <c r="AL635">
        <v>87.595455543423498</v>
      </c>
      <c r="AM635">
        <v>90.240631285691094</v>
      </c>
      <c r="AN635">
        <v>1.0000000058634599</v>
      </c>
    </row>
    <row r="636" spans="1:40" x14ac:dyDescent="0.25">
      <c r="A636" t="str">
        <f>"20190312160314122"</f>
        <v>20190312160314122</v>
      </c>
      <c r="B636" t="str">
        <f>"1552377794115129"</f>
        <v>1552377794115129</v>
      </c>
      <c r="C636" t="s">
        <v>40</v>
      </c>
      <c r="D636">
        <v>4.9508549999999998</v>
      </c>
      <c r="E636">
        <v>0.4401407</v>
      </c>
      <c r="F636" t="s">
        <v>44</v>
      </c>
      <c r="G636">
        <v>-285.39640000000003</v>
      </c>
      <c r="H636">
        <v>0.79133730000000002</v>
      </c>
      <c r="I636">
        <v>381.06740000000002</v>
      </c>
      <c r="J636">
        <v>-366.92790000000002</v>
      </c>
      <c r="K636">
        <v>1.1090180000000001</v>
      </c>
      <c r="L636">
        <v>368.0718</v>
      </c>
      <c r="M636">
        <v>0.99996180000000001</v>
      </c>
      <c r="N636">
        <v>0</v>
      </c>
      <c r="O636">
        <v>-1.536276E-3</v>
      </c>
      <c r="P636">
        <v>0.99944560000000005</v>
      </c>
      <c r="Q636">
        <v>3.3189450000000002E-2</v>
      </c>
      <c r="R636">
        <v>2.7367469999999999E-3</v>
      </c>
      <c r="S636">
        <v>3.0007929999999998</v>
      </c>
      <c r="T636">
        <v>-1.1655449999999999E-2</v>
      </c>
      <c r="U636">
        <v>0.47689819999999999</v>
      </c>
      <c r="V636">
        <v>-4.2713990000000004E-3</v>
      </c>
      <c r="W636">
        <v>4.1791010000000003E-2</v>
      </c>
      <c r="X636">
        <v>0.99911729999999999</v>
      </c>
      <c r="Y636">
        <v>-0.15847020000000001</v>
      </c>
      <c r="Z636">
        <v>3.1176899999999999E-4</v>
      </c>
      <c r="AA636">
        <v>0.98736369999999896</v>
      </c>
      <c r="AB636">
        <v>47</v>
      </c>
      <c r="AC636">
        <v>81.531499999999994</v>
      </c>
      <c r="AD636">
        <v>-0.31768069999999998</v>
      </c>
      <c r="AE636">
        <v>12.9956</v>
      </c>
      <c r="AF636">
        <v>-13.1206499238709</v>
      </c>
      <c r="AG636">
        <v>-0.31768069999999998</v>
      </c>
      <c r="AH636">
        <v>81.510231379953197</v>
      </c>
      <c r="AI636">
        <v>90.220467370417495</v>
      </c>
      <c r="AJ636">
        <v>99.144422712996402</v>
      </c>
      <c r="AK636">
        <v>82.560100502999802</v>
      </c>
      <c r="AL636">
        <v>87.604854112440293</v>
      </c>
      <c r="AM636">
        <v>90.244947859804398</v>
      </c>
      <c r="AN636">
        <v>1.00000005626276</v>
      </c>
    </row>
    <row r="637" spans="1:40" x14ac:dyDescent="0.25">
      <c r="A637" t="str">
        <f>"20190312160314134"</f>
        <v>20190312160314134</v>
      </c>
      <c r="B637" t="str">
        <f>"1552377794124891"</f>
        <v>1552377794124891</v>
      </c>
      <c r="C637" t="s">
        <v>40</v>
      </c>
      <c r="D637">
        <v>4.8394700000000004</v>
      </c>
      <c r="E637">
        <v>0.43979010000000002</v>
      </c>
      <c r="F637" t="s">
        <v>52</v>
      </c>
      <c r="G637">
        <v>-218.24549999999999</v>
      </c>
      <c r="H637">
        <v>0.62543249999999995</v>
      </c>
      <c r="I637">
        <v>391.87</v>
      </c>
      <c r="J637">
        <v>-366.69920000000002</v>
      </c>
      <c r="K637">
        <v>1.1090169999999999</v>
      </c>
      <c r="L637">
        <v>368.07139999999998</v>
      </c>
      <c r="M637">
        <v>0.99996180000000001</v>
      </c>
      <c r="N637">
        <v>0</v>
      </c>
      <c r="O637">
        <v>-1.5350029999999901E-3</v>
      </c>
      <c r="P637">
        <v>0.99945209999999995</v>
      </c>
      <c r="Q637">
        <v>3.2984850000000003E-2</v>
      </c>
      <c r="R637">
        <v>2.800351E-3</v>
      </c>
      <c r="S637">
        <v>3.0006409999999999</v>
      </c>
      <c r="T637">
        <v>-9.7595449999999997E-3</v>
      </c>
      <c r="U637">
        <v>0.48028559999999998</v>
      </c>
      <c r="V637">
        <v>-4.3333690000000001E-3</v>
      </c>
      <c r="W637">
        <v>4.1595199999999999E-2</v>
      </c>
      <c r="X637">
        <v>0.99912509999999999</v>
      </c>
      <c r="Y637">
        <v>-0.15956400000000001</v>
      </c>
      <c r="Z637">
        <v>2.6280949999999998E-4</v>
      </c>
      <c r="AA637">
        <v>0.98718760000000005</v>
      </c>
      <c r="AB637">
        <v>47</v>
      </c>
      <c r="AC637">
        <v>148.4537</v>
      </c>
      <c r="AD637">
        <v>-0.48358449999999997</v>
      </c>
      <c r="AE637">
        <v>23.7986</v>
      </c>
      <c r="AF637">
        <v>-24.0262087138805</v>
      </c>
      <c r="AG637">
        <v>-0.48358449999999997</v>
      </c>
      <c r="AH637">
        <v>148.41545741534901</v>
      </c>
      <c r="AI637">
        <v>90.184287954955707</v>
      </c>
      <c r="AJ637">
        <v>99.195542150204005</v>
      </c>
      <c r="AK637">
        <v>150.348397260958</v>
      </c>
      <c r="AL637">
        <v>87.616082713837699</v>
      </c>
      <c r="AM637">
        <v>90.2484996102785</v>
      </c>
      <c r="AN637">
        <v>0.99999995209996895</v>
      </c>
    </row>
    <row r="638" spans="1:40" x14ac:dyDescent="0.25">
      <c r="A638" t="str">
        <f>"20190312160314146"</f>
        <v>20190312160314146</v>
      </c>
      <c r="B638" t="str">
        <f>"1552377794135625"</f>
        <v>1552377794135625</v>
      </c>
      <c r="C638" t="s">
        <v>40</v>
      </c>
      <c r="D638">
        <v>4.9109150000000001</v>
      </c>
      <c r="E638">
        <v>0.43948670000000001</v>
      </c>
      <c r="F638" t="s">
        <v>52</v>
      </c>
      <c r="G638">
        <v>-218.99510000000001</v>
      </c>
      <c r="H638">
        <v>0.66880729999999999</v>
      </c>
      <c r="I638">
        <v>391.87</v>
      </c>
      <c r="J638">
        <v>-366.44850000000002</v>
      </c>
      <c r="K638">
        <v>1.1090150000000001</v>
      </c>
      <c r="L638">
        <v>368.07100000000003</v>
      </c>
      <c r="M638">
        <v>0.99996169999999995</v>
      </c>
      <c r="N638">
        <v>0</v>
      </c>
      <c r="O638">
        <v>-1.5336150000000001E-3</v>
      </c>
      <c r="P638">
        <v>0.99945150000000005</v>
      </c>
      <c r="Q638">
        <v>3.3004400000000003E-2</v>
      </c>
      <c r="R638">
        <v>2.8005199999999999E-3</v>
      </c>
      <c r="S638">
        <v>3.0005489999999999</v>
      </c>
      <c r="T638">
        <v>-8.9427229999999996E-3</v>
      </c>
      <c r="U638">
        <v>0.48345949999999999</v>
      </c>
      <c r="V638">
        <v>-4.3324110000000004E-3</v>
      </c>
      <c r="W638">
        <v>4.1624269999999998E-2</v>
      </c>
      <c r="X638">
        <v>0.99912389999999995</v>
      </c>
      <c r="Y638">
        <v>-0.16058529999999999</v>
      </c>
      <c r="Z638">
        <v>2.423092E-4</v>
      </c>
      <c r="AA638">
        <v>0.98702190000000001</v>
      </c>
      <c r="AB638">
        <v>47</v>
      </c>
      <c r="AC638">
        <v>147.45339999999999</v>
      </c>
      <c r="AD638">
        <v>-0.44020769999999898</v>
      </c>
      <c r="AE638">
        <v>23.798999999999999</v>
      </c>
      <c r="AF638">
        <v>-24.024908463340601</v>
      </c>
      <c r="AG638">
        <v>-0.44020769999999898</v>
      </c>
      <c r="AH638">
        <v>147.41544622358799</v>
      </c>
      <c r="AI638">
        <v>90.168866587615497</v>
      </c>
      <c r="AJ638">
        <v>99.256352668560496</v>
      </c>
      <c r="AK638">
        <v>149.36098484808701</v>
      </c>
      <c r="AL638">
        <v>87.614415697199902</v>
      </c>
      <c r="AM638">
        <v>90.248444972281405</v>
      </c>
      <c r="AN638">
        <v>0.99999995859465696</v>
      </c>
    </row>
    <row r="639" spans="1:40" x14ac:dyDescent="0.25">
      <c r="A639" t="str">
        <f>"20190312160314165"</f>
        <v>20190312160314165</v>
      </c>
      <c r="B639" t="str">
        <f>"1552377794155560"</f>
        <v>1552377794155560</v>
      </c>
      <c r="C639" t="s">
        <v>40</v>
      </c>
      <c r="D639">
        <v>4.8434569999999999</v>
      </c>
      <c r="E639">
        <v>0.43894339999999998</v>
      </c>
      <c r="F639" t="s">
        <v>52</v>
      </c>
      <c r="G639">
        <v>-219.36680000000001</v>
      </c>
      <c r="H639">
        <v>0.74405840000000001</v>
      </c>
      <c r="I639">
        <v>391.87</v>
      </c>
      <c r="J639">
        <v>-366.07029999999997</v>
      </c>
      <c r="K639">
        <v>1.109016</v>
      </c>
      <c r="L639">
        <v>368.07049999999998</v>
      </c>
      <c r="M639">
        <v>0.99996149999999995</v>
      </c>
      <c r="N639">
        <v>0</v>
      </c>
      <c r="O639">
        <v>-1.5314129999999999E-3</v>
      </c>
      <c r="P639">
        <v>0.99947350000000001</v>
      </c>
      <c r="Q639">
        <v>3.233925E-2</v>
      </c>
      <c r="R639">
        <v>2.6470140000000001E-3</v>
      </c>
      <c r="S639">
        <v>3.0004879999999998</v>
      </c>
      <c r="T639">
        <v>-7.4452160000000002E-3</v>
      </c>
      <c r="U639">
        <v>0.4855042</v>
      </c>
      <c r="V639">
        <v>-4.1767339999999997E-3</v>
      </c>
      <c r="W639">
        <v>4.097394E-2</v>
      </c>
      <c r="X639">
        <v>0.99915149999999997</v>
      </c>
      <c r="Y639">
        <v>-0.161242</v>
      </c>
      <c r="Z639">
        <v>2.0253050000000001E-4</v>
      </c>
      <c r="AA639">
        <v>0.98691490000000004</v>
      </c>
      <c r="AB639">
        <v>47</v>
      </c>
      <c r="AC639">
        <v>146.703499999999</v>
      </c>
      <c r="AD639">
        <v>-0.36495759999999899</v>
      </c>
      <c r="AE639">
        <v>23.799499999999998</v>
      </c>
      <c r="AF639">
        <v>-24.023999257515701</v>
      </c>
      <c r="AG639">
        <v>-0.36495759999999899</v>
      </c>
      <c r="AH639">
        <v>146.66599533117599</v>
      </c>
      <c r="AI639">
        <v>90.140697155926304</v>
      </c>
      <c r="AJ639">
        <v>99.3024810834889</v>
      </c>
      <c r="AK639">
        <v>148.620994212997</v>
      </c>
      <c r="AL639">
        <v>87.651708812168494</v>
      </c>
      <c r="AM639">
        <v>90.239511061542899</v>
      </c>
      <c r="AN639">
        <v>1.0000000144091401</v>
      </c>
    </row>
    <row r="640" spans="1:40" x14ac:dyDescent="0.25">
      <c r="A640" t="str">
        <f>"20190312160314185"</f>
        <v>20190312160314185</v>
      </c>
      <c r="B640" t="str">
        <f>"1552377794175079"</f>
        <v>1552377794175079</v>
      </c>
      <c r="C640" t="s">
        <v>40</v>
      </c>
      <c r="D640">
        <v>4.9557859999999998</v>
      </c>
      <c r="E640">
        <v>0.4384866</v>
      </c>
      <c r="F640" t="s">
        <v>52</v>
      </c>
      <c r="G640">
        <v>-220.26079999999999</v>
      </c>
      <c r="H640">
        <v>0.83504120000000004</v>
      </c>
      <c r="I640">
        <v>391.87</v>
      </c>
      <c r="J640">
        <v>-365.63209999999998</v>
      </c>
      <c r="K640">
        <v>1.1090199999999999</v>
      </c>
      <c r="L640">
        <v>368.06979999999999</v>
      </c>
      <c r="M640">
        <v>0.9999614</v>
      </c>
      <c r="N640">
        <v>0</v>
      </c>
      <c r="O640">
        <v>-1.5288630000000001E-3</v>
      </c>
      <c r="P640">
        <v>0.99947989999999998</v>
      </c>
      <c r="Q640">
        <v>3.2144260000000001E-2</v>
      </c>
      <c r="R640">
        <v>2.6094299999999998E-3</v>
      </c>
      <c r="S640">
        <v>3.0004580000000001</v>
      </c>
      <c r="T640">
        <v>-5.6378840000000001E-3</v>
      </c>
      <c r="U640">
        <v>0.48974609999999902</v>
      </c>
      <c r="V640">
        <v>-4.1362680000000002E-3</v>
      </c>
      <c r="W640">
        <v>4.0795749999999999E-2</v>
      </c>
      <c r="X640">
        <v>0.99915889999999996</v>
      </c>
      <c r="Y640">
        <v>-0.16260050000000001</v>
      </c>
      <c r="Z640">
        <v>1.5461359999999999E-4</v>
      </c>
      <c r="AA640">
        <v>0.98669200000000001</v>
      </c>
      <c r="AB640">
        <v>47</v>
      </c>
      <c r="AC640">
        <v>145.37129999999999</v>
      </c>
      <c r="AD640">
        <v>-0.27397880000000002</v>
      </c>
      <c r="AE640">
        <v>23.8002</v>
      </c>
      <c r="AF640">
        <v>-24.022350203040901</v>
      </c>
      <c r="AG640">
        <v>-0.27397880000000002</v>
      </c>
      <c r="AH640">
        <v>145.33423872737501</v>
      </c>
      <c r="AI640">
        <v>90.106565858379994</v>
      </c>
      <c r="AJ640">
        <v>99.385580421301398</v>
      </c>
      <c r="AK640">
        <v>147.30644697407499</v>
      </c>
      <c r="AL640">
        <v>87.661926750972597</v>
      </c>
      <c r="AM640">
        <v>90.237188845074797</v>
      </c>
      <c r="AN640">
        <v>0.99999995469011904</v>
      </c>
    </row>
    <row r="641" spans="1:40" x14ac:dyDescent="0.25">
      <c r="A641" t="str">
        <f>"20190312160314196"</f>
        <v>20190312160314196</v>
      </c>
      <c r="B641" t="str">
        <f>"1552377794184839"</f>
        <v>1552377794184839</v>
      </c>
      <c r="C641" t="s">
        <v>40</v>
      </c>
      <c r="D641">
        <v>4.9314790000000004</v>
      </c>
      <c r="E641">
        <v>0.4382645</v>
      </c>
      <c r="F641" t="s">
        <v>52</v>
      </c>
      <c r="G641">
        <v>-220.9485</v>
      </c>
      <c r="H641">
        <v>0.91423560000000004</v>
      </c>
      <c r="I641">
        <v>391.87</v>
      </c>
      <c r="J641">
        <v>-365.40190000000001</v>
      </c>
      <c r="K641">
        <v>1.1090180000000001</v>
      </c>
      <c r="L641">
        <v>368.06950000000001</v>
      </c>
      <c r="M641">
        <v>0.9999614</v>
      </c>
      <c r="N641">
        <v>0</v>
      </c>
      <c r="O641">
        <v>-1.527591E-3</v>
      </c>
      <c r="P641">
        <v>0.99947710000000001</v>
      </c>
      <c r="Q641">
        <v>3.2227869999999999E-2</v>
      </c>
      <c r="R641">
        <v>2.674629E-3</v>
      </c>
      <c r="S641">
        <v>3.000397</v>
      </c>
      <c r="T641">
        <v>-4.0394070000000001E-3</v>
      </c>
      <c r="U641">
        <v>0.49356080000000002</v>
      </c>
      <c r="V641">
        <v>-4.2000930000000002E-3</v>
      </c>
      <c r="W641">
        <v>4.0888180000000003E-2</v>
      </c>
      <c r="X641">
        <v>0.99915489999999996</v>
      </c>
      <c r="Y641">
        <v>-0.1638241</v>
      </c>
      <c r="Z641">
        <v>1.115843E-4</v>
      </c>
      <c r="AA641">
        <v>0.98648950000000002</v>
      </c>
      <c r="AB641">
        <v>47</v>
      </c>
      <c r="AC641">
        <v>144.45339999999999</v>
      </c>
      <c r="AD641">
        <v>-0.19478239999999999</v>
      </c>
      <c r="AE641">
        <v>23.8005</v>
      </c>
      <c r="AF641">
        <v>-24.021103681464002</v>
      </c>
      <c r="AG641">
        <v>-0.19478239999999999</v>
      </c>
      <c r="AH641">
        <v>144.41661701331</v>
      </c>
      <c r="AI641">
        <v>90.076230515602106</v>
      </c>
      <c r="AJ641">
        <v>99.443664042421005</v>
      </c>
      <c r="AK641">
        <v>146.40085598051701</v>
      </c>
      <c r="AL641">
        <v>87.656626583555806</v>
      </c>
      <c r="AM641">
        <v>90.240849727116498</v>
      </c>
      <c r="AN641">
        <v>0.99999999911946502</v>
      </c>
    </row>
    <row r="642" spans="1:40" x14ac:dyDescent="0.25">
      <c r="A642" t="str">
        <f>"20190312160314208"</f>
        <v>20190312160314208</v>
      </c>
      <c r="B642" t="str">
        <f>"1552377794195574"</f>
        <v>1552377794195574</v>
      </c>
      <c r="C642" t="s">
        <v>40</v>
      </c>
      <c r="D642">
        <v>4.9079410000000001</v>
      </c>
      <c r="E642">
        <v>0.43807829999999898</v>
      </c>
      <c r="F642" t="s">
        <v>52</v>
      </c>
      <c r="G642">
        <v>-221.2894</v>
      </c>
      <c r="H642">
        <v>0.97638559999999996</v>
      </c>
      <c r="I642">
        <v>391.87</v>
      </c>
      <c r="J642">
        <v>-365.16590000000002</v>
      </c>
      <c r="K642">
        <v>1.109016</v>
      </c>
      <c r="L642">
        <v>368.06909999999999</v>
      </c>
      <c r="M642">
        <v>0.99996110000000005</v>
      </c>
      <c r="N642">
        <v>0</v>
      </c>
      <c r="O642">
        <v>-1.5263179999999901E-3</v>
      </c>
      <c r="P642">
        <v>0.99947200000000003</v>
      </c>
      <c r="Q642">
        <v>3.23839E-2</v>
      </c>
      <c r="R642">
        <v>2.6226380000000001E-3</v>
      </c>
      <c r="S642">
        <v>3.0003359999999999</v>
      </c>
      <c r="T642">
        <v>-2.7613640000000001E-3</v>
      </c>
      <c r="U642">
        <v>0.49551390000000001</v>
      </c>
      <c r="V642">
        <v>-4.146706E-3</v>
      </c>
      <c r="W642">
        <v>4.10535E-2</v>
      </c>
      <c r="X642">
        <v>0.99914840000000005</v>
      </c>
      <c r="Y642">
        <v>-0.16445129999999999</v>
      </c>
      <c r="Z642" s="1">
        <v>7.6562790000000004E-5</v>
      </c>
      <c r="AA642">
        <v>0.98638519999999996</v>
      </c>
      <c r="AB642">
        <v>47</v>
      </c>
      <c r="AC642">
        <v>143.87649999999999</v>
      </c>
      <c r="AD642">
        <v>-0.13263040000000001</v>
      </c>
      <c r="AE642">
        <v>23.800899999999999</v>
      </c>
      <c r="AF642">
        <v>-24.020461984379899</v>
      </c>
      <c r="AG642">
        <v>-0.13263040000000001</v>
      </c>
      <c r="AH642">
        <v>143.83988430721999</v>
      </c>
      <c r="AI642">
        <v>90.052109097267405</v>
      </c>
      <c r="AJ642">
        <v>99.480594105299105</v>
      </c>
      <c r="AK642">
        <v>145.83179523780299</v>
      </c>
      <c r="AL642">
        <v>87.647146617086406</v>
      </c>
      <c r="AM642">
        <v>90.237789890450898</v>
      </c>
      <c r="AN642">
        <v>1.0000000551277199</v>
      </c>
    </row>
    <row r="643" spans="1:40" x14ac:dyDescent="0.25">
      <c r="A643" t="str">
        <f>"20190312160314221"</f>
        <v>20190312160314221</v>
      </c>
      <c r="B643" t="str">
        <f>"1552377794215095"</f>
        <v>1552377794215095</v>
      </c>
      <c r="C643" t="s">
        <v>40</v>
      </c>
      <c r="D643">
        <v>4.9994839999999998</v>
      </c>
      <c r="E643">
        <v>0.43798120000000001</v>
      </c>
      <c r="F643" t="s">
        <v>52</v>
      </c>
      <c r="G643">
        <v>-221.4435</v>
      </c>
      <c r="H643">
        <v>1.0325029999999999</v>
      </c>
      <c r="I643">
        <v>391.87</v>
      </c>
      <c r="J643">
        <v>-364.86079999999998</v>
      </c>
      <c r="K643">
        <v>1.1090139999999999</v>
      </c>
      <c r="L643">
        <v>368.0686</v>
      </c>
      <c r="M643">
        <v>0.99996110000000005</v>
      </c>
      <c r="N643">
        <v>0</v>
      </c>
      <c r="O643">
        <v>-1.5244620000000001E-3</v>
      </c>
      <c r="P643">
        <v>0.99948389999999998</v>
      </c>
      <c r="Q643">
        <v>3.202029E-2</v>
      </c>
      <c r="R643">
        <v>2.5557980000000002E-3</v>
      </c>
      <c r="S643">
        <v>3.0002749999999998</v>
      </c>
      <c r="T643">
        <v>-1.5972849999999999E-3</v>
      </c>
      <c r="U643">
        <v>0.49685669999999998</v>
      </c>
      <c r="V643">
        <v>-4.0781569999999998E-3</v>
      </c>
      <c r="W643">
        <v>4.070141E-2</v>
      </c>
      <c r="X643">
        <v>0.99916300000000002</v>
      </c>
      <c r="Y643">
        <v>-0.16488249999999999</v>
      </c>
      <c r="Z643" s="1">
        <v>4.4399340000000003E-5</v>
      </c>
      <c r="AA643">
        <v>0.9863132</v>
      </c>
      <c r="AB643">
        <v>47</v>
      </c>
      <c r="AC643">
        <v>143.41729999999899</v>
      </c>
      <c r="AD643">
        <v>-7.6510999999999704E-2</v>
      </c>
      <c r="AE643">
        <v>23.801400000000001</v>
      </c>
      <c r="AF643">
        <v>-24.0200081629613</v>
      </c>
      <c r="AG643">
        <v>-7.6510999999999704E-2</v>
      </c>
      <c r="AH643">
        <v>143.380807925049</v>
      </c>
      <c r="AI643">
        <v>90.030154016705893</v>
      </c>
      <c r="AJ643">
        <v>99.510219018976699</v>
      </c>
      <c r="AK643">
        <v>145.378893678971</v>
      </c>
      <c r="AL643">
        <v>87.667336560141294</v>
      </c>
      <c r="AM643">
        <v>90.233855623922594</v>
      </c>
      <c r="AN643">
        <v>0.99999996835475102</v>
      </c>
    </row>
    <row r="644" spans="1:40" x14ac:dyDescent="0.25">
      <c r="A644" t="str">
        <f>"20190312160314234"</f>
        <v>20190312160314234</v>
      </c>
      <c r="B644" t="str">
        <f>"1552377794224857"</f>
        <v>1552377794224857</v>
      </c>
      <c r="C644" t="s">
        <v>40</v>
      </c>
      <c r="D644">
        <v>5.2509319999999997</v>
      </c>
      <c r="E644">
        <v>0.43874859999999999</v>
      </c>
      <c r="F644" t="s">
        <v>52</v>
      </c>
      <c r="G644">
        <v>-221.2782</v>
      </c>
      <c r="H644">
        <v>0.89975319999999903</v>
      </c>
      <c r="I644">
        <v>391.87</v>
      </c>
      <c r="J644">
        <v>-364.59440000000001</v>
      </c>
      <c r="K644">
        <v>1.1090199999999999</v>
      </c>
      <c r="L644">
        <v>368.06819999999999</v>
      </c>
      <c r="M644">
        <v>0.99996079999999998</v>
      </c>
      <c r="N644">
        <v>0</v>
      </c>
      <c r="O644">
        <v>-1.522937E-3</v>
      </c>
      <c r="P644">
        <v>0.99949849999999996</v>
      </c>
      <c r="Q644">
        <v>3.1567070000000003E-2</v>
      </c>
      <c r="R644">
        <v>2.4850660000000002E-3</v>
      </c>
      <c r="S644">
        <v>3.0004270000000002</v>
      </c>
      <c r="T644">
        <v>-4.3729540000000001E-3</v>
      </c>
      <c r="U644">
        <v>0.49737550000000003</v>
      </c>
      <c r="V644">
        <v>-4.0058079999999996E-3</v>
      </c>
      <c r="W644">
        <v>4.0281190000000001E-2</v>
      </c>
      <c r="X644">
        <v>0.99918039999999997</v>
      </c>
      <c r="Y644">
        <v>-0.16503870000000001</v>
      </c>
      <c r="Z644">
        <v>1.216569E-4</v>
      </c>
      <c r="AA644">
        <v>0.98628709999999997</v>
      </c>
      <c r="AB644">
        <v>47</v>
      </c>
      <c r="AC644">
        <v>143.31620000000001</v>
      </c>
      <c r="AD644">
        <v>-0.2092668</v>
      </c>
      <c r="AE644">
        <v>23.8018</v>
      </c>
      <c r="AF644">
        <v>-24.019992403748301</v>
      </c>
      <c r="AG644">
        <v>-0.2092668</v>
      </c>
      <c r="AH644">
        <v>143.27948647901101</v>
      </c>
      <c r="AI644">
        <v>90.082531548560695</v>
      </c>
      <c r="AJ644">
        <v>99.516815157862894</v>
      </c>
      <c r="AK644">
        <v>145.27909372431699</v>
      </c>
      <c r="AL644">
        <v>87.691433335318806</v>
      </c>
      <c r="AM644">
        <v>90.229702926813502</v>
      </c>
      <c r="AN644">
        <v>1.00000004625485</v>
      </c>
    </row>
    <row r="645" spans="1:40" x14ac:dyDescent="0.25">
      <c r="A645" t="str">
        <f>"20190312160314246"</f>
        <v>20190312160314246</v>
      </c>
      <c r="B645" t="str">
        <f>"1552377794235590"</f>
        <v>1552377794235590</v>
      </c>
      <c r="C645" t="s">
        <v>40</v>
      </c>
      <c r="D645">
        <v>5.2213729999999998</v>
      </c>
      <c r="E645">
        <v>0.43874859999999999</v>
      </c>
      <c r="F645" t="s">
        <v>44</v>
      </c>
      <c r="G645">
        <v>-285.38220000000001</v>
      </c>
      <c r="H645">
        <v>0.85499409999999898</v>
      </c>
      <c r="I645">
        <v>381.02690000000001</v>
      </c>
      <c r="J645">
        <v>-364.3528</v>
      </c>
      <c r="K645">
        <v>1.109022</v>
      </c>
      <c r="L645">
        <v>368.06779999999998</v>
      </c>
      <c r="M645">
        <v>0.99996050000000003</v>
      </c>
      <c r="N645">
        <v>0</v>
      </c>
      <c r="O645">
        <v>-1.5215789999999999E-3</v>
      </c>
      <c r="P645">
        <v>0.99950240000000001</v>
      </c>
      <c r="Q645">
        <v>3.144976E-2</v>
      </c>
      <c r="R645">
        <v>2.4192430000000002E-3</v>
      </c>
      <c r="S645">
        <v>3.0005799999999998</v>
      </c>
      <c r="T645">
        <v>-9.6197130000000002E-3</v>
      </c>
      <c r="U645">
        <v>0.49087520000000001</v>
      </c>
      <c r="V645">
        <v>-3.9386400000000002E-3</v>
      </c>
      <c r="W645">
        <v>4.0207809999999997E-2</v>
      </c>
      <c r="X645">
        <v>0.99918359999999995</v>
      </c>
      <c r="Y645">
        <v>-0.16294800000000001</v>
      </c>
      <c r="Z645">
        <v>2.6432270000000002E-4</v>
      </c>
      <c r="AA645">
        <v>0.98663460000000003</v>
      </c>
      <c r="AB645">
        <v>47</v>
      </c>
      <c r="AC645">
        <v>78.970599999999905</v>
      </c>
      <c r="AD645">
        <v>-0.25402789999999997</v>
      </c>
      <c r="AE645">
        <v>12.959099999999999</v>
      </c>
      <c r="AF645">
        <v>-13.079117825111799</v>
      </c>
      <c r="AG645">
        <v>-0.25402789999999997</v>
      </c>
      <c r="AH645">
        <v>78.949994019565807</v>
      </c>
      <c r="AI645">
        <v>90.181874301942102</v>
      </c>
      <c r="AJ645">
        <v>99.406379100646404</v>
      </c>
      <c r="AK645">
        <v>80.026429440195699</v>
      </c>
      <c r="AL645">
        <v>87.695641056276003</v>
      </c>
      <c r="AM645">
        <v>90.225850664689503</v>
      </c>
      <c r="AN645">
        <v>1.0000000236894999</v>
      </c>
    </row>
    <row r="646" spans="1:40" x14ac:dyDescent="0.25">
      <c r="A646" t="str">
        <f>"20190312160314259"</f>
        <v>20190312160314259</v>
      </c>
      <c r="B646" t="str">
        <f>"1552377794245350"</f>
        <v>1552377794245350</v>
      </c>
      <c r="C646" t="s">
        <v>40</v>
      </c>
      <c r="D646">
        <v>5.1466479999999999</v>
      </c>
      <c r="E646">
        <v>0.49943929999999997</v>
      </c>
      <c r="F646" t="s">
        <v>44</v>
      </c>
      <c r="G646">
        <v>-285.38420000000002</v>
      </c>
      <c r="H646">
        <v>0.84623859999999995</v>
      </c>
      <c r="I646">
        <v>380.98250000000002</v>
      </c>
      <c r="J646">
        <v>-364.09140000000002</v>
      </c>
      <c r="K646">
        <v>1.109049</v>
      </c>
      <c r="L646">
        <v>368.06740000000002</v>
      </c>
      <c r="M646">
        <v>0.99995940000000005</v>
      </c>
      <c r="N646">
        <v>0</v>
      </c>
      <c r="O646">
        <v>-1.520083E-3</v>
      </c>
      <c r="P646">
        <v>0.99951540000000005</v>
      </c>
      <c r="Q646">
        <v>3.10444E-2</v>
      </c>
      <c r="R646">
        <v>2.3604300000000002E-3</v>
      </c>
      <c r="S646">
        <v>3.00061</v>
      </c>
      <c r="T646">
        <v>-9.9822279999999992E-3</v>
      </c>
      <c r="U646">
        <v>0.49072270000000001</v>
      </c>
      <c r="V646">
        <v>-3.8786519999999998E-3</v>
      </c>
      <c r="W646">
        <v>3.992242E-2</v>
      </c>
      <c r="X646">
        <v>0.99919530000000001</v>
      </c>
      <c r="Y646">
        <v>-0.16289600000000001</v>
      </c>
      <c r="Z646">
        <v>2.7419100000000002E-4</v>
      </c>
      <c r="AA646">
        <v>0.98664320000000005</v>
      </c>
      <c r="AB646">
        <v>47</v>
      </c>
      <c r="AC646">
        <v>78.7072</v>
      </c>
      <c r="AD646">
        <v>-0.262810399999999</v>
      </c>
      <c r="AE646">
        <v>12.915099999999899</v>
      </c>
      <c r="AF646">
        <v>-13.0345897548327</v>
      </c>
      <c r="AG646">
        <v>-0.262810399999999</v>
      </c>
      <c r="AH646">
        <v>78.686621946873402</v>
      </c>
      <c r="AI646">
        <v>90.188792333319498</v>
      </c>
      <c r="AJ646">
        <v>99.405743408777695</v>
      </c>
      <c r="AK646">
        <v>79.759351005341799</v>
      </c>
      <c r="AL646">
        <v>87.712005888263903</v>
      </c>
      <c r="AM646">
        <v>90.222408245522502</v>
      </c>
      <c r="AN646">
        <v>1.0000000455510401</v>
      </c>
    </row>
    <row r="647" spans="1:40" x14ac:dyDescent="0.25">
      <c r="A647" t="str">
        <f>"20190312160314274"</f>
        <v>20190312160314274</v>
      </c>
      <c r="B647" t="str">
        <f>"1552377794264871"</f>
        <v>1552377794264871</v>
      </c>
      <c r="C647" t="s">
        <v>40</v>
      </c>
      <c r="D647">
        <v>5.0771050000000004</v>
      </c>
      <c r="E647">
        <v>0.50908059999999999</v>
      </c>
      <c r="F647" t="s">
        <v>41</v>
      </c>
      <c r="G647">
        <v>-240.59909999999999</v>
      </c>
      <c r="H647" s="1">
        <v>-4.6645960000000001E-6</v>
      </c>
      <c r="I647">
        <v>368.262</v>
      </c>
      <c r="J647">
        <v>-363.7509</v>
      </c>
      <c r="K647">
        <v>1.109102</v>
      </c>
      <c r="L647">
        <v>368.06700000000001</v>
      </c>
      <c r="M647">
        <v>0.99995750000000005</v>
      </c>
      <c r="N647">
        <v>0</v>
      </c>
      <c r="O647">
        <v>-1.518099E-3</v>
      </c>
      <c r="P647">
        <v>0.99953040000000004</v>
      </c>
      <c r="Q647">
        <v>3.0543629999999999E-2</v>
      </c>
      <c r="R647">
        <v>2.4730759999999998E-3</v>
      </c>
      <c r="S647">
        <v>3.0023499999999999</v>
      </c>
      <c r="T647">
        <v>-2.6963350000000001E-2</v>
      </c>
      <c r="U647">
        <v>4.7302250000000002E-3</v>
      </c>
      <c r="V647">
        <v>-3.989711E-3</v>
      </c>
      <c r="W647">
        <v>3.964322E-2</v>
      </c>
      <c r="X647">
        <v>0.99920589999999998</v>
      </c>
      <c r="Y647">
        <v>-3.0934780000000002E-3</v>
      </c>
      <c r="Z647" s="1">
        <v>2.7524529999999999E-5</v>
      </c>
      <c r="AA647">
        <v>0.99999519999999997</v>
      </c>
      <c r="AB647">
        <v>47</v>
      </c>
      <c r="AC647">
        <v>123.15179999999999</v>
      </c>
      <c r="AD647">
        <v>-1.1091066645959999</v>
      </c>
      <c r="AE647">
        <v>0.19499999999999301</v>
      </c>
      <c r="AF647">
        <v>-0.38193315238631198</v>
      </c>
      <c r="AG647">
        <v>-1.1091066645959999</v>
      </c>
      <c r="AH647">
        <v>123.141374279342</v>
      </c>
      <c r="AI647">
        <v>90.516033765102407</v>
      </c>
      <c r="AJ647">
        <v>90.177707026949193</v>
      </c>
      <c r="AK647">
        <v>123.146961188376</v>
      </c>
      <c r="AL647">
        <v>87.728015363887593</v>
      </c>
      <c r="AM647">
        <v>90.228774056436194</v>
      </c>
      <c r="AN647">
        <v>0.99999996664031998</v>
      </c>
    </row>
    <row r="648" spans="1:40" x14ac:dyDescent="0.25">
      <c r="A648" t="str">
        <f>"20190312160314286"</f>
        <v>20190312160314286</v>
      </c>
      <c r="B648" t="str">
        <f>"1552377794275608"</f>
        <v>1552377794275608</v>
      </c>
      <c r="C648" t="s">
        <v>40</v>
      </c>
      <c r="D648">
        <v>5.0994419999999998</v>
      </c>
      <c r="E648">
        <v>0.51144460000000003</v>
      </c>
      <c r="F648" t="s">
        <v>43</v>
      </c>
      <c r="G648">
        <v>-302.82670000000002</v>
      </c>
      <c r="H648">
        <v>-0.05</v>
      </c>
      <c r="I648">
        <v>366.57679999999999</v>
      </c>
      <c r="J648">
        <v>-363.50700000000001</v>
      </c>
      <c r="K648">
        <v>1.109148</v>
      </c>
      <c r="L648">
        <v>368.06659999999999</v>
      </c>
      <c r="M648">
        <v>0.9999555</v>
      </c>
      <c r="N648">
        <v>0</v>
      </c>
      <c r="O648">
        <v>-1.51666E-3</v>
      </c>
      <c r="P648">
        <v>0.99953789999999998</v>
      </c>
      <c r="Q648">
        <v>3.029453E-2</v>
      </c>
      <c r="R648">
        <v>2.5581459999999999E-3</v>
      </c>
      <c r="S648">
        <v>3.0033259999999999</v>
      </c>
      <c r="T648">
        <v>-5.7139280000000001E-2</v>
      </c>
      <c r="U648">
        <v>-7.3455809999999996E-2</v>
      </c>
      <c r="V648">
        <v>-4.0730970000000003E-3</v>
      </c>
      <c r="W648">
        <v>3.9598899999999999E-2</v>
      </c>
      <c r="X648">
        <v>0.99920739999999997</v>
      </c>
      <c r="Y648">
        <v>2.293067E-2</v>
      </c>
      <c r="Z648">
        <v>-1.892303E-4</v>
      </c>
      <c r="AA648">
        <v>0.99973699999999999</v>
      </c>
      <c r="AB648">
        <v>47</v>
      </c>
      <c r="AC648">
        <v>60.680299999999903</v>
      </c>
      <c r="AD648">
        <v>-1.1591480000000001</v>
      </c>
      <c r="AE648">
        <v>-1.4898</v>
      </c>
      <c r="AF648">
        <v>1.3972533523256101</v>
      </c>
      <c r="AG648">
        <v>-1.1591480000000001</v>
      </c>
      <c r="AH648">
        <v>60.660367756229697</v>
      </c>
      <c r="AI648">
        <v>91.094431234394406</v>
      </c>
      <c r="AJ648">
        <v>88.6804800402616</v>
      </c>
      <c r="AK648">
        <v>60.687528845204497</v>
      </c>
      <c r="AL648">
        <v>87.730556887746999</v>
      </c>
      <c r="AM648">
        <v>90.233555090824595</v>
      </c>
      <c r="AN648">
        <v>1.00000004560756</v>
      </c>
    </row>
    <row r="649" spans="1:40" x14ac:dyDescent="0.25">
      <c r="A649" t="str">
        <f>"20190312160314300"</f>
        <v>20190312160314300</v>
      </c>
      <c r="B649" t="str">
        <f>"1552377794295127"</f>
        <v>1552377794295127</v>
      </c>
      <c r="C649" t="s">
        <v>40</v>
      </c>
      <c r="D649">
        <v>5.0885879999999997</v>
      </c>
      <c r="E649">
        <v>0.51326260000000001</v>
      </c>
      <c r="F649" t="s">
        <v>43</v>
      </c>
      <c r="G649">
        <v>-307.81270000000001</v>
      </c>
      <c r="H649">
        <v>-0.05</v>
      </c>
      <c r="I649">
        <v>366.35590000000002</v>
      </c>
      <c r="J649">
        <v>-363.23919999999998</v>
      </c>
      <c r="K649">
        <v>1.1091690000000001</v>
      </c>
      <c r="L649">
        <v>368.06619999999998</v>
      </c>
      <c r="M649">
        <v>0.99995429999999996</v>
      </c>
      <c r="N649">
        <v>0</v>
      </c>
      <c r="O649">
        <v>-1.5151520000000001E-3</v>
      </c>
      <c r="P649">
        <v>0.99954019999999999</v>
      </c>
      <c r="Q649">
        <v>3.0192110000000001E-2</v>
      </c>
      <c r="R649">
        <v>2.832481E-3</v>
      </c>
      <c r="S649">
        <v>3.0035099999999999</v>
      </c>
      <c r="T649">
        <v>-6.2511090000000005E-2</v>
      </c>
      <c r="U649">
        <v>-9.2254639999999999E-2</v>
      </c>
      <c r="V649">
        <v>-4.3461029999999996E-3</v>
      </c>
      <c r="W649">
        <v>3.9632250000000001E-2</v>
      </c>
      <c r="X649">
        <v>0.99920489999999995</v>
      </c>
      <c r="Y649">
        <v>2.9180609999999999E-2</v>
      </c>
      <c r="Z649">
        <v>-2.7203420000000001E-4</v>
      </c>
      <c r="AA649">
        <v>0.99957410000000002</v>
      </c>
      <c r="AB649">
        <v>47</v>
      </c>
      <c r="AC649">
        <v>55.426499999999898</v>
      </c>
      <c r="AD649">
        <v>-1.1591689999999999</v>
      </c>
      <c r="AE649">
        <v>-1.71029999999996</v>
      </c>
      <c r="AF649">
        <v>1.62560439271965</v>
      </c>
      <c r="AG649">
        <v>-1.1591689999999999</v>
      </c>
      <c r="AH649">
        <v>55.404817963241598</v>
      </c>
      <c r="AI649">
        <v>91.198041063861297</v>
      </c>
      <c r="AJ649">
        <v>88.319396019376995</v>
      </c>
      <c r="AK649">
        <v>55.440780261032899</v>
      </c>
      <c r="AL649">
        <v>87.728644509711003</v>
      </c>
      <c r="AM649">
        <v>90.249209935731798</v>
      </c>
      <c r="AN649">
        <v>1.00000001801767</v>
      </c>
    </row>
    <row r="650" spans="1:40" x14ac:dyDescent="0.25">
      <c r="A650" t="str">
        <f>"20190312160314311"</f>
        <v>20190312160314311</v>
      </c>
      <c r="B650" t="str">
        <f>"1552377794304887"</f>
        <v>1552377794304887</v>
      </c>
      <c r="C650" t="s">
        <v>40</v>
      </c>
      <c r="D650">
        <v>5.0853609999999998</v>
      </c>
      <c r="E650">
        <v>0.51379079999999999</v>
      </c>
      <c r="F650" t="s">
        <v>43</v>
      </c>
      <c r="G650">
        <v>-306.34899999999999</v>
      </c>
      <c r="H650">
        <v>-0.05</v>
      </c>
      <c r="I650">
        <v>366.06439999999998</v>
      </c>
      <c r="J650">
        <v>-362.96370000000002</v>
      </c>
      <c r="K650">
        <v>1.1091850000000001</v>
      </c>
      <c r="L650">
        <v>368.06569999999999</v>
      </c>
      <c r="M650">
        <v>0.99995310000000004</v>
      </c>
      <c r="N650">
        <v>0</v>
      </c>
      <c r="O650">
        <v>-1.5136920000000001E-3</v>
      </c>
      <c r="P650">
        <v>0.99953840000000005</v>
      </c>
      <c r="Q650">
        <v>3.0254130000000001E-2</v>
      </c>
      <c r="R650">
        <v>2.754332E-3</v>
      </c>
      <c r="S650">
        <v>3.0035400000000001</v>
      </c>
      <c r="T650">
        <v>-6.1198710000000003E-2</v>
      </c>
      <c r="U650">
        <v>-0.105682399999999</v>
      </c>
      <c r="V650">
        <v>-4.2660270000000004E-3</v>
      </c>
      <c r="W650">
        <v>3.9813309999999998E-2</v>
      </c>
      <c r="X650">
        <v>0.99919800000000003</v>
      </c>
      <c r="Y650">
        <v>3.3644649999999998E-2</v>
      </c>
      <c r="Z650">
        <v>-3.1179150000000002E-4</v>
      </c>
      <c r="AA650">
        <v>0.99943380000000004</v>
      </c>
      <c r="AB650">
        <v>47</v>
      </c>
      <c r="AC650">
        <v>56.614699999999999</v>
      </c>
      <c r="AD650">
        <v>-1.1591849999999999</v>
      </c>
      <c r="AE650">
        <v>-2.0013000000000098</v>
      </c>
      <c r="AF650">
        <v>1.9147948394916601</v>
      </c>
      <c r="AG650">
        <v>-1.1591849999999999</v>
      </c>
      <c r="AH650">
        <v>56.593968633355999</v>
      </c>
      <c r="AI650">
        <v>91.172724906464694</v>
      </c>
      <c r="AJ650">
        <v>88.062199355206204</v>
      </c>
      <c r="AK650">
        <v>56.638215321590501</v>
      </c>
      <c r="AL650">
        <v>87.718262234286797</v>
      </c>
      <c r="AM650">
        <v>90.244620042533498</v>
      </c>
      <c r="AN650">
        <v>0.99999997092175996</v>
      </c>
    </row>
    <row r="651" spans="1:40" x14ac:dyDescent="0.25">
      <c r="A651" t="str">
        <f>"20190312160314324"</f>
        <v>20190312160314324</v>
      </c>
      <c r="B651" t="str">
        <f>"1552377794315624"</f>
        <v>1552377794315624</v>
      </c>
      <c r="C651" t="s">
        <v>40</v>
      </c>
      <c r="D651">
        <v>5.0840189999999996</v>
      </c>
      <c r="E651">
        <v>0.51413180000000003</v>
      </c>
      <c r="F651" t="s">
        <v>43</v>
      </c>
      <c r="G651">
        <v>-307.28719999999998</v>
      </c>
      <c r="H651">
        <v>-0.05</v>
      </c>
      <c r="I651">
        <v>366.02069999999998</v>
      </c>
      <c r="J651">
        <v>-362.70249999999999</v>
      </c>
      <c r="K651">
        <v>1.109192</v>
      </c>
      <c r="L651">
        <v>368.06529999999998</v>
      </c>
      <c r="M651">
        <v>0.99995230000000002</v>
      </c>
      <c r="N651">
        <v>0</v>
      </c>
      <c r="O651">
        <v>-1.512579E-3</v>
      </c>
      <c r="P651">
        <v>0.99953709999999996</v>
      </c>
      <c r="Q651">
        <v>3.0268260000000002E-2</v>
      </c>
      <c r="R651">
        <v>3.047948E-3</v>
      </c>
      <c r="S651">
        <v>3.003571</v>
      </c>
      <c r="T651">
        <v>-6.2534329999999999E-2</v>
      </c>
      <c r="U651">
        <v>-0.110321</v>
      </c>
      <c r="V651">
        <v>-4.5590270000000002E-3</v>
      </c>
      <c r="W651">
        <v>3.991861E-2</v>
      </c>
      <c r="X651">
        <v>0.99919250000000004</v>
      </c>
      <c r="Y651">
        <v>3.5186259999999997E-2</v>
      </c>
      <c r="Z651">
        <v>-3.3464669999999999E-4</v>
      </c>
      <c r="AA651">
        <v>0.99938070000000001</v>
      </c>
      <c r="AB651">
        <v>47</v>
      </c>
      <c r="AC651">
        <v>55.415300000000002</v>
      </c>
      <c r="AD651">
        <v>-1.159192</v>
      </c>
      <c r="AE651">
        <v>-2.0446</v>
      </c>
      <c r="AF651">
        <v>1.9599172966024601</v>
      </c>
      <c r="AG651">
        <v>-1.159192</v>
      </c>
      <c r="AH651">
        <v>55.394123296331799</v>
      </c>
      <c r="AI651">
        <v>91.198062152303294</v>
      </c>
      <c r="AJ651">
        <v>87.973644867017995</v>
      </c>
      <c r="AK651">
        <v>55.440904553151</v>
      </c>
      <c r="AL651">
        <v>87.712224177472194</v>
      </c>
      <c r="AM651">
        <v>90.261422291635995</v>
      </c>
      <c r="AN651">
        <v>0.99999996610388298</v>
      </c>
    </row>
    <row r="652" spans="1:40" x14ac:dyDescent="0.25">
      <c r="A652" t="str">
        <f>"20190312160314337"</f>
        <v>20190312160314337</v>
      </c>
      <c r="B652" t="str">
        <f>"1552377794325383"</f>
        <v>1552377794325383</v>
      </c>
      <c r="C652" t="s">
        <v>40</v>
      </c>
      <c r="D652">
        <v>5.1275139999999997</v>
      </c>
      <c r="E652">
        <v>0.51460870000000003</v>
      </c>
      <c r="F652" t="s">
        <v>43</v>
      </c>
      <c r="G652">
        <v>-304.29259999999999</v>
      </c>
      <c r="H652">
        <v>-0.05</v>
      </c>
      <c r="I652">
        <v>365.88189999999997</v>
      </c>
      <c r="J652">
        <v>-362.44319999999999</v>
      </c>
      <c r="K652">
        <v>1.1092040000000001</v>
      </c>
      <c r="L652">
        <v>368.06490000000002</v>
      </c>
      <c r="M652">
        <v>0.99995129999999999</v>
      </c>
      <c r="N652">
        <v>0</v>
      </c>
      <c r="O652">
        <v>-1.5115479999999999E-3</v>
      </c>
      <c r="P652">
        <v>0.99953959999999997</v>
      </c>
      <c r="Q652">
        <v>3.0189529999999999E-2</v>
      </c>
      <c r="R652">
        <v>3.098033E-3</v>
      </c>
      <c r="S652">
        <v>3.0035099999999999</v>
      </c>
      <c r="T652">
        <v>-5.9607149999999998E-2</v>
      </c>
      <c r="U652">
        <v>-0.1122742</v>
      </c>
      <c r="V652">
        <v>-4.6080970000000002E-3</v>
      </c>
      <c r="W652">
        <v>3.9946240000000001E-2</v>
      </c>
      <c r="X652">
        <v>0.99919119999999995</v>
      </c>
      <c r="Y652">
        <v>3.5837550000000003E-2</v>
      </c>
      <c r="Z652">
        <v>-3.2546810000000002E-4</v>
      </c>
      <c r="AA652">
        <v>0.99935759999999996</v>
      </c>
      <c r="AB652">
        <v>47</v>
      </c>
      <c r="AC652">
        <v>58.150599999999997</v>
      </c>
      <c r="AD652">
        <v>-1.1592039999999999</v>
      </c>
      <c r="AE652">
        <v>-2.1830000000000398</v>
      </c>
      <c r="AF652">
        <v>2.0942648444210601</v>
      </c>
      <c r="AG652">
        <v>-1.1592039999999999</v>
      </c>
      <c r="AH652">
        <v>58.130765650868803</v>
      </c>
      <c r="AI652">
        <v>91.141661403900002</v>
      </c>
      <c r="AJ652">
        <v>87.936709385072206</v>
      </c>
      <c r="AK652">
        <v>58.180027623819697</v>
      </c>
      <c r="AL652">
        <v>87.710639898439894</v>
      </c>
      <c r="AM652">
        <v>90.264236352231194</v>
      </c>
      <c r="AN652">
        <v>0.99999999540276896</v>
      </c>
    </row>
    <row r="653" spans="1:40" x14ac:dyDescent="0.25">
      <c r="A653" t="str">
        <f>"20190312160314354"</f>
        <v>20190312160314354</v>
      </c>
      <c r="B653" t="str">
        <f>"1552377794344903"</f>
        <v>1552377794344903</v>
      </c>
      <c r="C653" t="s">
        <v>40</v>
      </c>
      <c r="D653">
        <v>5.1315580000000001</v>
      </c>
      <c r="E653">
        <v>0.51508640000000006</v>
      </c>
      <c r="F653" t="s">
        <v>43</v>
      </c>
      <c r="G653">
        <v>-307.1979</v>
      </c>
      <c r="H653">
        <v>-0.05</v>
      </c>
      <c r="I653">
        <v>365.92809999999997</v>
      </c>
      <c r="J653">
        <v>-362.0641</v>
      </c>
      <c r="K653">
        <v>1.1092219999999999</v>
      </c>
      <c r="L653">
        <v>368.06439999999998</v>
      </c>
      <c r="M653">
        <v>0.99994950000000005</v>
      </c>
      <c r="N653">
        <v>0</v>
      </c>
      <c r="O653">
        <v>-1.50945299999999E-3</v>
      </c>
      <c r="P653">
        <v>0.99955119999999997</v>
      </c>
      <c r="Q653">
        <v>2.979998E-2</v>
      </c>
      <c r="R653">
        <v>3.097734E-3</v>
      </c>
      <c r="S653">
        <v>3.0037229999999999</v>
      </c>
      <c r="T653">
        <v>-6.3026670000000007E-2</v>
      </c>
      <c r="U653">
        <v>-0.1161804</v>
      </c>
      <c r="V653">
        <v>-4.6052769999999996E-3</v>
      </c>
      <c r="W653">
        <v>3.9736599999999997E-2</v>
      </c>
      <c r="X653">
        <v>0.99919959999999997</v>
      </c>
      <c r="Y653">
        <v>3.7133630000000001E-2</v>
      </c>
      <c r="Z653">
        <v>-3.577376E-4</v>
      </c>
      <c r="AA653">
        <v>0.99931029999999998</v>
      </c>
      <c r="AB653">
        <v>47</v>
      </c>
      <c r="AC653">
        <v>54.8661999999999</v>
      </c>
      <c r="AD653">
        <v>-1.159222</v>
      </c>
      <c r="AE653">
        <v>-2.1362999999999999</v>
      </c>
      <c r="AF653">
        <v>2.0525606531348899</v>
      </c>
      <c r="AG653">
        <v>-1.159222</v>
      </c>
      <c r="AH653">
        <v>54.844916623341703</v>
      </c>
      <c r="AI653">
        <v>91.2099972106232</v>
      </c>
      <c r="AJ653">
        <v>87.856716531727699</v>
      </c>
      <c r="AK653">
        <v>54.8955524637596</v>
      </c>
      <c r="AL653">
        <v>87.722660993808702</v>
      </c>
      <c r="AM653">
        <v>90.2640724308106</v>
      </c>
      <c r="AN653">
        <v>1.00000002329798</v>
      </c>
    </row>
    <row r="654" spans="1:40" x14ac:dyDescent="0.25">
      <c r="A654" t="str">
        <f>"20190312160314378"</f>
        <v>20190312160314378</v>
      </c>
      <c r="B654" t="str">
        <f>"1552377794365399"</f>
        <v>1552377794365399</v>
      </c>
      <c r="C654" t="s">
        <v>40</v>
      </c>
      <c r="D654">
        <v>5.1671769999999997</v>
      </c>
      <c r="E654">
        <v>0.51559670000000002</v>
      </c>
      <c r="F654" t="s">
        <v>43</v>
      </c>
      <c r="G654">
        <v>-308.16730000000001</v>
      </c>
      <c r="H654">
        <v>-0.05</v>
      </c>
      <c r="I654">
        <v>365.91609999999997</v>
      </c>
      <c r="J654">
        <v>-361.58960000000002</v>
      </c>
      <c r="K654">
        <v>1.1092660000000001</v>
      </c>
      <c r="L654">
        <v>368.06369999999998</v>
      </c>
      <c r="M654">
        <v>0.99994669999999997</v>
      </c>
      <c r="N654">
        <v>0</v>
      </c>
      <c r="O654">
        <v>-1.506367E-3</v>
      </c>
      <c r="P654">
        <v>0.99954880000000002</v>
      </c>
      <c r="Q654">
        <v>2.9844780000000001E-2</v>
      </c>
      <c r="R654">
        <v>3.366707E-3</v>
      </c>
      <c r="S654">
        <v>3.0036320000000001</v>
      </c>
      <c r="T654">
        <v>-6.4602729999999997E-2</v>
      </c>
      <c r="U654">
        <v>-0.11972049999999999</v>
      </c>
      <c r="V654">
        <v>-4.8710790000000004E-3</v>
      </c>
      <c r="W654">
        <v>4.0044389999999999E-2</v>
      </c>
      <c r="X654">
        <v>0.99918600000000002</v>
      </c>
      <c r="Y654">
        <v>3.8313149999999997E-2</v>
      </c>
      <c r="Z654">
        <v>-3.7942850000000002E-4</v>
      </c>
      <c r="AA654">
        <v>0.99926570000000003</v>
      </c>
      <c r="AB654">
        <v>47</v>
      </c>
      <c r="AC654">
        <v>53.4223</v>
      </c>
      <c r="AD654">
        <v>-1.1592659999999999</v>
      </c>
      <c r="AE654">
        <v>-2.1476000000000099</v>
      </c>
      <c r="AF654">
        <v>2.0661484128631198</v>
      </c>
      <c r="AG654">
        <v>-1.1592659999999999</v>
      </c>
      <c r="AH654">
        <v>53.400369406106797</v>
      </c>
      <c r="AI654">
        <v>91.242706372024799</v>
      </c>
      <c r="AJ654">
        <v>87.784236998968296</v>
      </c>
      <c r="AK654">
        <v>53.452898140619098</v>
      </c>
      <c r="AL654">
        <v>87.705011759755806</v>
      </c>
      <c r="AM654">
        <v>90.279317421810703</v>
      </c>
      <c r="AN654">
        <v>0.99999997158854703</v>
      </c>
    </row>
    <row r="655" spans="1:40" x14ac:dyDescent="0.25">
      <c r="A655" t="str">
        <f>"20190312160314397"</f>
        <v>20190312160314397</v>
      </c>
      <c r="B655" t="str">
        <f>"1552377794384919"</f>
        <v>1552377794384919</v>
      </c>
      <c r="C655" t="s">
        <v>40</v>
      </c>
      <c r="D655">
        <v>5.1678059999999997</v>
      </c>
      <c r="E655">
        <v>0.51571140000000004</v>
      </c>
      <c r="F655" t="s">
        <v>43</v>
      </c>
      <c r="G655">
        <v>-308.21910000000003</v>
      </c>
      <c r="H655">
        <v>-0.05</v>
      </c>
      <c r="I655">
        <v>365.87790000000001</v>
      </c>
      <c r="J655">
        <v>-361.15460000000002</v>
      </c>
      <c r="K655">
        <v>1.1093010000000001</v>
      </c>
      <c r="L655">
        <v>368.06299999999999</v>
      </c>
      <c r="M655">
        <v>0.99994439999999996</v>
      </c>
      <c r="N655">
        <v>0</v>
      </c>
      <c r="O655">
        <v>-1.5049060000000001E-3</v>
      </c>
      <c r="P655">
        <v>0.99954810000000005</v>
      </c>
      <c r="Q655">
        <v>2.9839299999999999E-2</v>
      </c>
      <c r="R655">
        <v>3.6672720000000001E-3</v>
      </c>
      <c r="S655">
        <v>3.0036930000000002</v>
      </c>
      <c r="T655">
        <v>-6.5243480000000006E-2</v>
      </c>
      <c r="U655">
        <v>-0.1230164</v>
      </c>
      <c r="V655">
        <v>-5.1702390000000001E-3</v>
      </c>
      <c r="W655">
        <v>4.0287389999999999E-2</v>
      </c>
      <c r="X655">
        <v>0.99917480000000003</v>
      </c>
      <c r="Y655">
        <v>3.9408039999999998E-2</v>
      </c>
      <c r="Z655">
        <v>-3.9509099999999998E-4</v>
      </c>
      <c r="AA655">
        <v>0.99922310000000003</v>
      </c>
      <c r="AB655">
        <v>47</v>
      </c>
      <c r="AC655">
        <v>52.935499999999898</v>
      </c>
      <c r="AD655">
        <v>-1.1593009999999999</v>
      </c>
      <c r="AE655">
        <v>-2.18510000000003</v>
      </c>
      <c r="AF655">
        <v>2.1044226256915901</v>
      </c>
      <c r="AG655">
        <v>-1.1593009999999999</v>
      </c>
      <c r="AH655">
        <v>52.913393383304701</v>
      </c>
      <c r="AI655">
        <v>91.254124533771602</v>
      </c>
      <c r="AJ655">
        <v>87.722485464255897</v>
      </c>
      <c r="AK655">
        <v>52.9679126710924</v>
      </c>
      <c r="AL655">
        <v>87.691077805528593</v>
      </c>
      <c r="AM655">
        <v>90.296474880956097</v>
      </c>
      <c r="AN655">
        <v>1.00000004305968</v>
      </c>
    </row>
    <row r="656" spans="1:40" x14ac:dyDescent="0.25">
      <c r="A656" t="str">
        <f>"20190312160314409"</f>
        <v>20190312160314409</v>
      </c>
      <c r="B656" t="str">
        <f>"1552377794405415"</f>
        <v>1552377794405415</v>
      </c>
      <c r="C656" t="s">
        <v>40</v>
      </c>
      <c r="D656">
        <v>5.1568680000000002</v>
      </c>
      <c r="E656">
        <v>0.51579969999999997</v>
      </c>
      <c r="F656" t="s">
        <v>43</v>
      </c>
      <c r="G656">
        <v>-305.19959999999998</v>
      </c>
      <c r="H656">
        <v>-0.05</v>
      </c>
      <c r="I656">
        <v>365.77019999999999</v>
      </c>
      <c r="J656">
        <v>-360.91609999999997</v>
      </c>
      <c r="K656">
        <v>1.109318</v>
      </c>
      <c r="L656">
        <v>368.06259999999997</v>
      </c>
      <c r="M656">
        <v>0.99994300000000003</v>
      </c>
      <c r="N656">
        <v>0</v>
      </c>
      <c r="O656">
        <v>-1.50465E-3</v>
      </c>
      <c r="P656">
        <v>0.99954900000000002</v>
      </c>
      <c r="Q656">
        <v>2.9800710000000001E-2</v>
      </c>
      <c r="R656">
        <v>3.7544089999999998E-3</v>
      </c>
      <c r="S656">
        <v>3.0036619999999998</v>
      </c>
      <c r="T656">
        <v>-6.2231300000000003E-2</v>
      </c>
      <c r="U656">
        <v>-0.1230774</v>
      </c>
      <c r="V656">
        <v>-5.2574079999999999E-3</v>
      </c>
      <c r="W656">
        <v>4.0382199999999903E-2</v>
      </c>
      <c r="X656">
        <v>0.99917049999999996</v>
      </c>
      <c r="Y656">
        <v>3.9429789999999999E-2</v>
      </c>
      <c r="Z656">
        <v>-3.7708840000000001E-4</v>
      </c>
      <c r="AA656">
        <v>0.99922230000000001</v>
      </c>
      <c r="AB656">
        <v>47</v>
      </c>
      <c r="AC656">
        <v>55.716500000000003</v>
      </c>
      <c r="AD656">
        <v>-1.1593180000000001</v>
      </c>
      <c r="AE656">
        <v>-2.2923999999999798</v>
      </c>
      <c r="AF656">
        <v>2.2076047224387501</v>
      </c>
      <c r="AG656">
        <v>-1.1593180000000001</v>
      </c>
      <c r="AH656">
        <v>55.695813636865097</v>
      </c>
      <c r="AI656">
        <v>91.191514025552607</v>
      </c>
      <c r="AJ656">
        <v>87.730165921615594</v>
      </c>
      <c r="AK656">
        <v>55.751602609324699</v>
      </c>
      <c r="AL656">
        <v>87.6856411274279</v>
      </c>
      <c r="AM656">
        <v>90.301474582839404</v>
      </c>
      <c r="AN656">
        <v>1.0000000252429799</v>
      </c>
    </row>
    <row r="657" spans="1:40" x14ac:dyDescent="0.25">
      <c r="A657" t="str">
        <f>"20190312160314422"</f>
        <v>20190312160314422</v>
      </c>
      <c r="B657" t="str">
        <f>"1552377794415175"</f>
        <v>1552377794415175</v>
      </c>
      <c r="C657" t="s">
        <v>40</v>
      </c>
      <c r="D657">
        <v>5.1733409999999997</v>
      </c>
      <c r="E657">
        <v>0.51578930000000001</v>
      </c>
      <c r="F657" t="s">
        <v>43</v>
      </c>
      <c r="G657">
        <v>-307.35050000000001</v>
      </c>
      <c r="H657">
        <v>-0.05</v>
      </c>
      <c r="I657">
        <v>365.85640000000001</v>
      </c>
      <c r="J657">
        <v>-360.61430000000001</v>
      </c>
      <c r="K657">
        <v>1.109335</v>
      </c>
      <c r="L657">
        <v>368.06220000000002</v>
      </c>
      <c r="M657">
        <v>0.99994130000000003</v>
      </c>
      <c r="N657">
        <v>0</v>
      </c>
      <c r="O657">
        <v>-1.503948E-3</v>
      </c>
      <c r="P657">
        <v>0.99954969999999999</v>
      </c>
      <c r="Q657">
        <v>2.9770919999999999E-2</v>
      </c>
      <c r="R657">
        <v>3.798807E-3</v>
      </c>
      <c r="S657">
        <v>3.0037539999999998</v>
      </c>
      <c r="T657">
        <v>-6.5010070000000003E-2</v>
      </c>
      <c r="U657">
        <v>-0.1237183</v>
      </c>
      <c r="V657">
        <v>-5.3012119999999996E-3</v>
      </c>
      <c r="W657">
        <v>4.0511320000000003E-2</v>
      </c>
      <c r="X657">
        <v>0.99916499999999997</v>
      </c>
      <c r="Y657">
        <v>3.9641269999999999E-2</v>
      </c>
      <c r="Z657">
        <v>-3.9621120000000001E-4</v>
      </c>
      <c r="AA657">
        <v>0.99921389999999999</v>
      </c>
      <c r="AB657">
        <v>47</v>
      </c>
      <c r="AC657">
        <v>53.263800000000003</v>
      </c>
      <c r="AD657">
        <v>-1.159335</v>
      </c>
      <c r="AE657">
        <v>-2.2058</v>
      </c>
      <c r="AF657">
        <v>2.1246820528099399</v>
      </c>
      <c r="AG657">
        <v>-1.159335</v>
      </c>
      <c r="AH657">
        <v>53.241876946242698</v>
      </c>
      <c r="AI657">
        <v>91.2464193217223</v>
      </c>
      <c r="AJ657">
        <v>87.714754594211698</v>
      </c>
      <c r="AK657">
        <v>53.296864750439198</v>
      </c>
      <c r="AL657">
        <v>87.678236940926496</v>
      </c>
      <c r="AM657">
        <v>90.303988053927299</v>
      </c>
      <c r="AN657">
        <v>0.99999998356090503</v>
      </c>
    </row>
    <row r="658" spans="1:40" x14ac:dyDescent="0.25">
      <c r="A658" t="str">
        <f>"20190312160314433"</f>
        <v>20190312160314433</v>
      </c>
      <c r="B658" t="str">
        <f>"1552377794424935"</f>
        <v>1552377794424935</v>
      </c>
      <c r="C658" t="s">
        <v>40</v>
      </c>
      <c r="D658">
        <v>5.17265</v>
      </c>
      <c r="E658">
        <v>0.51576699999999998</v>
      </c>
      <c r="F658" t="s">
        <v>43</v>
      </c>
      <c r="G658">
        <v>-307.79379999999998</v>
      </c>
      <c r="H658">
        <v>-0.05</v>
      </c>
      <c r="I658">
        <v>365.89299999999997</v>
      </c>
      <c r="J658">
        <v>-360.39339999999999</v>
      </c>
      <c r="K658">
        <v>1.1093459999999999</v>
      </c>
      <c r="L658">
        <v>368.06180000000001</v>
      </c>
      <c r="M658">
        <v>0.99994000000000005</v>
      </c>
      <c r="N658">
        <v>0</v>
      </c>
      <c r="O658">
        <v>-1.502876E-3</v>
      </c>
      <c r="P658">
        <v>0.99955450000000001</v>
      </c>
      <c r="Q658">
        <v>2.9595940000000001E-2</v>
      </c>
      <c r="R658">
        <v>3.854714E-3</v>
      </c>
      <c r="S658">
        <v>3.0037539999999998</v>
      </c>
      <c r="T658">
        <v>-6.5928219999999996E-2</v>
      </c>
      <c r="U658">
        <v>-0.12335210000000001</v>
      </c>
      <c r="V658">
        <v>-5.3560169999999898E-3</v>
      </c>
      <c r="W658">
        <v>4.0445559999999998E-2</v>
      </c>
      <c r="X658">
        <v>0.99916740000000004</v>
      </c>
      <c r="Y658">
        <v>3.95205E-2</v>
      </c>
      <c r="Z658">
        <v>-4.0050539999999998E-4</v>
      </c>
      <c r="AA658">
        <v>0.99921870000000002</v>
      </c>
      <c r="AB658">
        <v>47</v>
      </c>
      <c r="AC658">
        <v>52.599600000000002</v>
      </c>
      <c r="AD658">
        <v>-1.159346</v>
      </c>
      <c r="AE658">
        <v>-2.1687999999999699</v>
      </c>
      <c r="AF658">
        <v>2.0887292287413102</v>
      </c>
      <c r="AG658">
        <v>-1.159346</v>
      </c>
      <c r="AH658">
        <v>52.577301298267599</v>
      </c>
      <c r="AI658">
        <v>91.262189933470196</v>
      </c>
      <c r="AJ658">
        <v>87.725016919761998</v>
      </c>
      <c r="AK658">
        <v>52.631544578774502</v>
      </c>
      <c r="AL658">
        <v>87.682007867338797</v>
      </c>
      <c r="AM658">
        <v>90.307129946198202</v>
      </c>
      <c r="AN658">
        <v>1.00000001173228</v>
      </c>
    </row>
    <row r="659" spans="1:40" x14ac:dyDescent="0.25">
      <c r="A659" t="str">
        <f>"20190312160314444"</f>
        <v>20190312160314444</v>
      </c>
      <c r="B659" t="str">
        <f>"1552377794435671"</f>
        <v>1552377794435671</v>
      </c>
      <c r="C659" t="s">
        <v>40</v>
      </c>
      <c r="D659">
        <v>5.2001860000000004</v>
      </c>
      <c r="E659">
        <v>0.51572070000000003</v>
      </c>
      <c r="F659" t="s">
        <v>43</v>
      </c>
      <c r="G659">
        <v>-308.4024</v>
      </c>
      <c r="H659">
        <v>-0.05</v>
      </c>
      <c r="I659">
        <v>365.93369999999999</v>
      </c>
      <c r="J659">
        <v>-360.16180000000003</v>
      </c>
      <c r="K659">
        <v>1.109354</v>
      </c>
      <c r="L659">
        <v>368.06150000000002</v>
      </c>
      <c r="M659">
        <v>0.99993889999999996</v>
      </c>
      <c r="N659">
        <v>0</v>
      </c>
      <c r="O659">
        <v>-1.5018179999999901E-3</v>
      </c>
      <c r="P659">
        <v>0.99955349999999998</v>
      </c>
      <c r="Q659">
        <v>2.9621140000000001E-2</v>
      </c>
      <c r="R659">
        <v>3.9651829999999997E-3</v>
      </c>
      <c r="S659">
        <v>3.003784</v>
      </c>
      <c r="T659">
        <v>-6.6981319999999997E-2</v>
      </c>
      <c r="U659">
        <v>-0.1229553</v>
      </c>
      <c r="V659">
        <v>-5.465091E-3</v>
      </c>
      <c r="W659">
        <v>4.0581829999999999E-2</v>
      </c>
      <c r="X659">
        <v>0.99916119999999997</v>
      </c>
      <c r="Y659">
        <v>3.9389130000000001E-2</v>
      </c>
      <c r="Z659">
        <v>-4.0545780000000002E-4</v>
      </c>
      <c r="AA659">
        <v>0.99922390000000005</v>
      </c>
      <c r="AB659">
        <v>47</v>
      </c>
      <c r="AC659">
        <v>51.759399999999999</v>
      </c>
      <c r="AD659">
        <v>-1.159354</v>
      </c>
      <c r="AE659">
        <v>-2.1278000000000299</v>
      </c>
      <c r="AF659">
        <v>2.0490334511266499</v>
      </c>
      <c r="AG659">
        <v>-1.159354</v>
      </c>
      <c r="AH659">
        <v>51.736624339170604</v>
      </c>
      <c r="AI659">
        <v>91.282707699412498</v>
      </c>
      <c r="AJ659">
        <v>87.731981078459896</v>
      </c>
      <c r="AK659">
        <v>51.790162558092199</v>
      </c>
      <c r="AL659">
        <v>87.6741935608689</v>
      </c>
      <c r="AM659">
        <v>90.313386394875096</v>
      </c>
      <c r="AN659">
        <v>0.99999992786561098</v>
      </c>
    </row>
    <row r="660" spans="1:40" x14ac:dyDescent="0.25">
      <c r="A660" t="str">
        <f>"20190312160314455"</f>
        <v>20190312160314455</v>
      </c>
      <c r="B660" t="str">
        <f>"1552377794445432"</f>
        <v>1552377794445432</v>
      </c>
      <c r="C660" t="s">
        <v>40</v>
      </c>
      <c r="D660">
        <v>5.1921019999999896</v>
      </c>
      <c r="E660">
        <v>0.5157138</v>
      </c>
      <c r="F660" t="s">
        <v>43</v>
      </c>
      <c r="G660">
        <v>-306.73270000000002</v>
      </c>
      <c r="H660">
        <v>-0.05</v>
      </c>
      <c r="I660">
        <v>365.88690000000003</v>
      </c>
      <c r="J660">
        <v>-359.9359</v>
      </c>
      <c r="K660">
        <v>1.1093630000000001</v>
      </c>
      <c r="L660">
        <v>368.06119999999999</v>
      </c>
      <c r="M660">
        <v>0.99993759999999998</v>
      </c>
      <c r="N660">
        <v>0</v>
      </c>
      <c r="O660">
        <v>-1.500113E-3</v>
      </c>
      <c r="P660">
        <v>0.99955340000000004</v>
      </c>
      <c r="Q660">
        <v>2.9602469999999999E-2</v>
      </c>
      <c r="R660">
        <v>4.0772009999999999E-3</v>
      </c>
      <c r="S660">
        <v>3.0037539999999998</v>
      </c>
      <c r="T660">
        <v>-6.5178280000000005E-2</v>
      </c>
      <c r="U660">
        <v>-0.122253399999999</v>
      </c>
      <c r="V660">
        <v>-5.5756069999999998E-3</v>
      </c>
      <c r="W660">
        <v>4.0663299999999999E-2</v>
      </c>
      <c r="X660">
        <v>0.99915739999999997</v>
      </c>
      <c r="Y660">
        <v>3.9158690000000003E-2</v>
      </c>
      <c r="Z660">
        <v>-3.9209009999999997E-4</v>
      </c>
      <c r="AA660">
        <v>0.99923289999999998</v>
      </c>
      <c r="AB660">
        <v>47</v>
      </c>
      <c r="AC660">
        <v>53.203199999999903</v>
      </c>
      <c r="AD660">
        <v>-1.1593629999999999</v>
      </c>
      <c r="AE660">
        <v>-2.1742999999999602</v>
      </c>
      <c r="AF660">
        <v>2.0934893988833099</v>
      </c>
      <c r="AG660">
        <v>-1.1593629999999999</v>
      </c>
      <c r="AH660">
        <v>53.181190642324097</v>
      </c>
      <c r="AI660">
        <v>91.247898026391098</v>
      </c>
      <c r="AJ660">
        <v>87.745702849411401</v>
      </c>
      <c r="AK660">
        <v>53.235005950635703</v>
      </c>
      <c r="AL660">
        <v>87.669522103488106</v>
      </c>
      <c r="AM660">
        <v>90.319724833564607</v>
      </c>
      <c r="AN660">
        <v>1.0000000506675299</v>
      </c>
    </row>
    <row r="661" spans="1:40" x14ac:dyDescent="0.25">
      <c r="A661" t="str">
        <f>"20190312160314466"</f>
        <v>20190312160314466</v>
      </c>
      <c r="B661" t="str">
        <f>"1552377794455191"</f>
        <v>1552377794455191</v>
      </c>
      <c r="C661" t="s">
        <v>40</v>
      </c>
      <c r="D661">
        <v>5.2099250000000001</v>
      </c>
      <c r="E661">
        <v>0.51570590000000005</v>
      </c>
      <c r="F661" t="s">
        <v>43</v>
      </c>
      <c r="G661">
        <v>-306.98140000000001</v>
      </c>
      <c r="H661">
        <v>-0.05</v>
      </c>
      <c r="I661">
        <v>365.91609999999997</v>
      </c>
      <c r="J661">
        <v>-359.68459999999999</v>
      </c>
      <c r="K661">
        <v>1.109372</v>
      </c>
      <c r="L661">
        <v>368.06079999999997</v>
      </c>
      <c r="M661">
        <v>0.99993659999999995</v>
      </c>
      <c r="N661">
        <v>0</v>
      </c>
      <c r="O661">
        <v>-1.49858E-3</v>
      </c>
      <c r="P661">
        <v>0.99955740000000004</v>
      </c>
      <c r="Q661">
        <v>2.9466889999999999E-2</v>
      </c>
      <c r="R661">
        <v>4.1044979999999998E-3</v>
      </c>
      <c r="S661">
        <v>3.0038149999999999</v>
      </c>
      <c r="T661">
        <v>-6.576419E-2</v>
      </c>
      <c r="U661">
        <v>-0.12167360000000001</v>
      </c>
      <c r="V661">
        <v>-5.6013399999999998E-3</v>
      </c>
      <c r="W661">
        <v>4.0636619999999998E-2</v>
      </c>
      <c r="X661">
        <v>0.99915830000000005</v>
      </c>
      <c r="Y661">
        <v>3.8966720000000003E-2</v>
      </c>
      <c r="Z661">
        <v>-3.9354059999999999E-4</v>
      </c>
      <c r="AA661">
        <v>0.99924049999999998</v>
      </c>
      <c r="AB661">
        <v>47</v>
      </c>
      <c r="AC661">
        <v>52.703199999999903</v>
      </c>
      <c r="AD661">
        <v>-1.1593719999999901</v>
      </c>
      <c r="AE661">
        <v>-2.1446999999999998</v>
      </c>
      <c r="AF661">
        <v>2.0647152103803799</v>
      </c>
      <c r="AG661">
        <v>-1.1593719999999901</v>
      </c>
      <c r="AH661">
        <v>52.680903935354102</v>
      </c>
      <c r="AI661">
        <v>91.259763237551198</v>
      </c>
      <c r="AJ661">
        <v>87.755563365547204</v>
      </c>
      <c r="AK661">
        <v>52.734095533917802</v>
      </c>
      <c r="AL661">
        <v>87.671051922678899</v>
      </c>
      <c r="AM661">
        <v>90.321200133749599</v>
      </c>
      <c r="AN661">
        <v>1.0000000091768499</v>
      </c>
    </row>
    <row r="662" spans="1:40" x14ac:dyDescent="0.25">
      <c r="A662" t="str">
        <f>"20190312160314479"</f>
        <v>20190312160314479</v>
      </c>
      <c r="B662" t="str">
        <f>"1552377794475688"</f>
        <v>1552377794475688</v>
      </c>
      <c r="C662" t="s">
        <v>40</v>
      </c>
      <c r="D662">
        <v>5.240475</v>
      </c>
      <c r="E662">
        <v>0.51575349999999998</v>
      </c>
      <c r="F662" t="s">
        <v>43</v>
      </c>
      <c r="G662">
        <v>-307.49400000000003</v>
      </c>
      <c r="H662">
        <v>-0.05</v>
      </c>
      <c r="I662">
        <v>365.94510000000002</v>
      </c>
      <c r="J662">
        <v>-359.42930000000001</v>
      </c>
      <c r="K662">
        <v>1.1093770000000001</v>
      </c>
      <c r="L662">
        <v>368.06040000000002</v>
      </c>
      <c r="M662">
        <v>0.99993540000000003</v>
      </c>
      <c r="N662">
        <v>0</v>
      </c>
      <c r="O662">
        <v>-1.4982999999999999E-3</v>
      </c>
      <c r="P662">
        <v>0.99955519999999998</v>
      </c>
      <c r="Q662">
        <v>2.9533839999999999E-2</v>
      </c>
      <c r="R662">
        <v>4.1830640000000002E-3</v>
      </c>
      <c r="S662">
        <v>3.003784</v>
      </c>
      <c r="T662">
        <v>-6.6726569999999999E-2</v>
      </c>
      <c r="U662">
        <v>-0.1217651</v>
      </c>
      <c r="V662">
        <v>-5.6794369999999999E-3</v>
      </c>
      <c r="W662">
        <v>4.080338E-2</v>
      </c>
      <c r="X662">
        <v>0.99915109999999996</v>
      </c>
      <c r="Y662">
        <v>3.8997539999999997E-2</v>
      </c>
      <c r="Z662">
        <v>-3.9965029999999998E-4</v>
      </c>
      <c r="AA662">
        <v>0.99923919999999999</v>
      </c>
      <c r="AB662">
        <v>47</v>
      </c>
      <c r="AC662">
        <v>51.935299999999899</v>
      </c>
      <c r="AD662">
        <v>-1.1593770000000001</v>
      </c>
      <c r="AE662">
        <v>-2.11529999999998</v>
      </c>
      <c r="AF662">
        <v>2.0364648583502398</v>
      </c>
      <c r="AG662">
        <v>-1.1593770000000001</v>
      </c>
      <c r="AH662">
        <v>51.912584080136803</v>
      </c>
      <c r="AI662">
        <v>91.278405637992606</v>
      </c>
      <c r="AJ662">
        <v>87.753511106146405</v>
      </c>
      <c r="AK662">
        <v>51.965447462950699</v>
      </c>
      <c r="AL662">
        <v>87.661489434025597</v>
      </c>
      <c r="AM662">
        <v>90.325680735822303</v>
      </c>
      <c r="AN662">
        <v>1.0000000462276299</v>
      </c>
    </row>
    <row r="663" spans="1:40" x14ac:dyDescent="0.25">
      <c r="A663" t="str">
        <f>"20190312160314492"</f>
        <v>20190312160314492</v>
      </c>
      <c r="B663" t="str">
        <f>"1552377794485447"</f>
        <v>1552377794485447</v>
      </c>
      <c r="C663" t="s">
        <v>40</v>
      </c>
      <c r="D663">
        <v>5.2278440000000002</v>
      </c>
      <c r="E663">
        <v>0.5158047</v>
      </c>
      <c r="F663" t="s">
        <v>43</v>
      </c>
      <c r="G663">
        <v>-306.49770000000001</v>
      </c>
      <c r="H663">
        <v>-0.05</v>
      </c>
      <c r="I663">
        <v>365.91359999999997</v>
      </c>
      <c r="J663">
        <v>-359.16469999999998</v>
      </c>
      <c r="K663">
        <v>1.1093839999999999</v>
      </c>
      <c r="L663">
        <v>368.06</v>
      </c>
      <c r="M663">
        <v>0.99993410000000005</v>
      </c>
      <c r="N663">
        <v>0</v>
      </c>
      <c r="O663">
        <v>-1.4977879999999999E-3</v>
      </c>
      <c r="P663">
        <v>0.99956210000000001</v>
      </c>
      <c r="Q663">
        <v>2.9315150000000002E-2</v>
      </c>
      <c r="R663">
        <v>4.0082479999999998E-3</v>
      </c>
      <c r="S663">
        <v>3.0037539999999998</v>
      </c>
      <c r="T663">
        <v>-6.5792199999999995E-2</v>
      </c>
      <c r="U663">
        <v>-0.1218262</v>
      </c>
      <c r="V663">
        <v>-5.5046130000000002E-3</v>
      </c>
      <c r="W663">
        <v>4.0684739999999997E-2</v>
      </c>
      <c r="X663">
        <v>0.99915690000000001</v>
      </c>
      <c r="Y663">
        <v>3.9018980000000002E-2</v>
      </c>
      <c r="Z663">
        <v>-3.9430509999999999E-4</v>
      </c>
      <c r="AA663">
        <v>0.99923839999999997</v>
      </c>
      <c r="AB663">
        <v>47</v>
      </c>
      <c r="AC663">
        <v>52.666999999999902</v>
      </c>
      <c r="AD663">
        <v>-1.159384</v>
      </c>
      <c r="AE663">
        <v>-2.1464000000000198</v>
      </c>
      <c r="AF663">
        <v>2.0665087253358001</v>
      </c>
      <c r="AG663">
        <v>-1.159384</v>
      </c>
      <c r="AH663">
        <v>52.644687013606799</v>
      </c>
      <c r="AI663">
        <v>91.260639644002097</v>
      </c>
      <c r="AJ663">
        <v>87.752071916425294</v>
      </c>
      <c r="AK663">
        <v>52.6979857331565</v>
      </c>
      <c r="AL663">
        <v>87.668292616014995</v>
      </c>
      <c r="AM663">
        <v>90.315654029814795</v>
      </c>
      <c r="AN663">
        <v>1.00000002982537</v>
      </c>
    </row>
    <row r="664" spans="1:40" x14ac:dyDescent="0.25">
      <c r="A664" t="str">
        <f>"20190312160314503"</f>
        <v>20190312160314503</v>
      </c>
      <c r="B664" t="str">
        <f>"1552377794495209"</f>
        <v>1552377794495209</v>
      </c>
      <c r="C664" t="s">
        <v>40</v>
      </c>
      <c r="D664">
        <v>5.2381609999999998</v>
      </c>
      <c r="E664">
        <v>0.5158604</v>
      </c>
      <c r="F664" t="s">
        <v>43</v>
      </c>
      <c r="G664">
        <v>-307.62610000000001</v>
      </c>
      <c r="H664">
        <v>-0.05</v>
      </c>
      <c r="I664">
        <v>365.95549999999997</v>
      </c>
      <c r="J664">
        <v>-358.90440000000001</v>
      </c>
      <c r="K664">
        <v>1.10938799999999</v>
      </c>
      <c r="L664">
        <v>368.05959999999999</v>
      </c>
      <c r="M664">
        <v>0.99993319999999997</v>
      </c>
      <c r="N664">
        <v>0</v>
      </c>
      <c r="O664">
        <v>-1.4971240000000001E-3</v>
      </c>
      <c r="P664">
        <v>0.99956199999999995</v>
      </c>
      <c r="Q664">
        <v>2.9346339999999999E-2</v>
      </c>
      <c r="R664">
        <v>3.8627269999999998E-3</v>
      </c>
      <c r="S664">
        <v>3.0037229999999999</v>
      </c>
      <c r="T664">
        <v>-6.7570089999999999E-2</v>
      </c>
      <c r="U664">
        <v>-0.1226501</v>
      </c>
      <c r="V664">
        <v>-5.3583210000000001E-3</v>
      </c>
      <c r="W664">
        <v>4.0807660000000003E-2</v>
      </c>
      <c r="X664">
        <v>0.9991527</v>
      </c>
      <c r="Y664">
        <v>3.9293149999999999E-2</v>
      </c>
      <c r="Z664">
        <v>-4.0805639999999998E-4</v>
      </c>
      <c r="AA664">
        <v>0.99922759999999999</v>
      </c>
      <c r="AB664">
        <v>47</v>
      </c>
      <c r="AC664">
        <v>51.278300000000002</v>
      </c>
      <c r="AD664">
        <v>-1.1593880000000001</v>
      </c>
      <c r="AE664">
        <v>-2.1041000000000101</v>
      </c>
      <c r="AF664">
        <v>2.02628852907343</v>
      </c>
      <c r="AG664">
        <v>-1.1593880000000001</v>
      </c>
      <c r="AH664">
        <v>51.255235225256499</v>
      </c>
      <c r="AI664">
        <v>91.294792435667702</v>
      </c>
      <c r="AJ664">
        <v>87.736087746581404</v>
      </c>
      <c r="AK664">
        <v>51.308373232192501</v>
      </c>
      <c r="AL664">
        <v>87.661244006235094</v>
      </c>
      <c r="AM664">
        <v>90.307266582374893</v>
      </c>
      <c r="AN664">
        <v>1.00000004731795</v>
      </c>
    </row>
    <row r="665" spans="1:40" x14ac:dyDescent="0.25">
      <c r="A665" t="str">
        <f>"20190312160314521"</f>
        <v>20190312160314521</v>
      </c>
      <c r="B665" t="str">
        <f>"1552377794515703"</f>
        <v>1552377794515703</v>
      </c>
      <c r="C665" t="s">
        <v>40</v>
      </c>
      <c r="D665">
        <v>5.2239259999999996</v>
      </c>
      <c r="E665">
        <v>0.51590020000000003</v>
      </c>
      <c r="F665" t="s">
        <v>43</v>
      </c>
      <c r="G665">
        <v>-307.50959999999998</v>
      </c>
      <c r="H665">
        <v>-0.05</v>
      </c>
      <c r="I665">
        <v>365.94380000000001</v>
      </c>
      <c r="J665">
        <v>-358.54860000000002</v>
      </c>
      <c r="K665">
        <v>1.1093999999999999</v>
      </c>
      <c r="L665">
        <v>368.05900000000003</v>
      </c>
      <c r="M665">
        <v>0.99993180000000004</v>
      </c>
      <c r="N665">
        <v>0</v>
      </c>
      <c r="O665">
        <v>-1.4949329999999999E-3</v>
      </c>
      <c r="P665">
        <v>0.99955959999999999</v>
      </c>
      <c r="Q665">
        <v>2.9441780000000001E-2</v>
      </c>
      <c r="R665">
        <v>3.6914740000000001E-3</v>
      </c>
      <c r="S665">
        <v>3.0038149999999999</v>
      </c>
      <c r="T665">
        <v>-6.7761420000000003E-2</v>
      </c>
      <c r="U665">
        <v>-0.12365719999999999</v>
      </c>
      <c r="V665">
        <v>-5.1843779999999999E-3</v>
      </c>
      <c r="W665">
        <v>4.1017289999999998E-2</v>
      </c>
      <c r="X665">
        <v>0.99914499999999995</v>
      </c>
      <c r="Y665">
        <v>3.9628389999999999E-2</v>
      </c>
      <c r="Z665">
        <v>-4.1302489999999999E-4</v>
      </c>
      <c r="AA665">
        <v>0.99921439999999995</v>
      </c>
      <c r="AB665">
        <v>47</v>
      </c>
      <c r="AC665">
        <v>51.039000000000001</v>
      </c>
      <c r="AD665">
        <v>-1.1594</v>
      </c>
      <c r="AE665">
        <v>-2.11520000000001</v>
      </c>
      <c r="AF665">
        <v>2.0378428775963</v>
      </c>
      <c r="AG665">
        <v>-1.1594</v>
      </c>
      <c r="AH665">
        <v>51.015825462569303</v>
      </c>
      <c r="AI665">
        <v>91.300858824486895</v>
      </c>
      <c r="AJ665">
        <v>87.712518560545107</v>
      </c>
      <c r="AK665">
        <v>51.0696726010761</v>
      </c>
      <c r="AL665">
        <v>87.649222948083406</v>
      </c>
      <c r="AM665">
        <v>90.297294499799406</v>
      </c>
      <c r="AN665">
        <v>1.0000000134395901</v>
      </c>
    </row>
    <row r="666" spans="1:40" x14ac:dyDescent="0.25">
      <c r="A666" t="str">
        <f>"20190312160314533"</f>
        <v>20190312160314533</v>
      </c>
      <c r="B666" t="str">
        <f>"1552377794525463"</f>
        <v>1552377794525463</v>
      </c>
      <c r="C666" t="s">
        <v>40</v>
      </c>
      <c r="D666">
        <v>5.2442289999999998</v>
      </c>
      <c r="E666">
        <v>0.51594430000000002</v>
      </c>
      <c r="F666" t="s">
        <v>43</v>
      </c>
      <c r="G666">
        <v>-307.39879999999999</v>
      </c>
      <c r="H666">
        <v>-0.05</v>
      </c>
      <c r="I666">
        <v>365.9341</v>
      </c>
      <c r="J666">
        <v>-358.28930000000003</v>
      </c>
      <c r="K666">
        <v>1.1094040000000001</v>
      </c>
      <c r="L666">
        <v>368.05860000000001</v>
      </c>
      <c r="M666">
        <v>0.99993100000000001</v>
      </c>
      <c r="N666">
        <v>0</v>
      </c>
      <c r="O666">
        <v>-1.4932439999999999E-3</v>
      </c>
      <c r="P666">
        <v>0.99955380000000005</v>
      </c>
      <c r="Q666">
        <v>2.9647010000000001E-2</v>
      </c>
      <c r="R666">
        <v>3.6659800000000001E-3</v>
      </c>
      <c r="S666">
        <v>3.0038149999999999</v>
      </c>
      <c r="T666">
        <v>-6.8086740000000007E-2</v>
      </c>
      <c r="U666">
        <v>-0.12478640000000001</v>
      </c>
      <c r="V666">
        <v>-5.1571610000000004E-3</v>
      </c>
      <c r="W666">
        <v>4.1299820000000001E-2</v>
      </c>
      <c r="X666">
        <v>0.99913350000000001</v>
      </c>
      <c r="Y666">
        <v>4.0004860000000003E-2</v>
      </c>
      <c r="Z666">
        <v>-4.1930659999999997E-4</v>
      </c>
      <c r="AA666">
        <v>0.99919939999999996</v>
      </c>
      <c r="AB666">
        <v>47</v>
      </c>
      <c r="AC666">
        <v>50.890500000000003</v>
      </c>
      <c r="AD666">
        <v>-1.1594040000000001</v>
      </c>
      <c r="AE666">
        <v>-2.12450000000001</v>
      </c>
      <c r="AF666">
        <v>2.0474396953937299</v>
      </c>
      <c r="AG666">
        <v>-1.1594040000000001</v>
      </c>
      <c r="AH666">
        <v>50.867259941193602</v>
      </c>
      <c r="AI666">
        <v>91.304645425761706</v>
      </c>
      <c r="AJ666">
        <v>87.695052508563805</v>
      </c>
      <c r="AK666">
        <v>50.921649235531</v>
      </c>
      <c r="AL666">
        <v>87.633021437488594</v>
      </c>
      <c r="AM666">
        <v>90.295737191751599</v>
      </c>
      <c r="AN666">
        <v>1.00000001113193</v>
      </c>
    </row>
    <row r="667" spans="1:40" x14ac:dyDescent="0.25">
      <c r="A667" t="str">
        <f>"20190312160314544"</f>
        <v>20190312160314544</v>
      </c>
      <c r="B667" t="str">
        <f>"1552377794535223"</f>
        <v>1552377794535223</v>
      </c>
      <c r="C667" t="s">
        <v>40</v>
      </c>
      <c r="D667">
        <v>5.2469130000000002</v>
      </c>
      <c r="E667">
        <v>0.51599300000000003</v>
      </c>
      <c r="F667" t="s">
        <v>43</v>
      </c>
      <c r="G667">
        <v>-307.33569999999997</v>
      </c>
      <c r="H667">
        <v>-0.05</v>
      </c>
      <c r="I667">
        <v>365.93770000000001</v>
      </c>
      <c r="J667">
        <v>-358.04880000000003</v>
      </c>
      <c r="K667">
        <v>1.1094090000000001</v>
      </c>
      <c r="L667">
        <v>368.0582</v>
      </c>
      <c r="M667">
        <v>0.99993010000000004</v>
      </c>
      <c r="N667">
        <v>0</v>
      </c>
      <c r="O667">
        <v>-1.491617E-3</v>
      </c>
      <c r="P667">
        <v>0.99954679999999996</v>
      </c>
      <c r="Q667">
        <v>2.9886030000000001E-2</v>
      </c>
      <c r="R667">
        <v>3.6269480000000001E-3</v>
      </c>
      <c r="S667">
        <v>3.0038149999999999</v>
      </c>
      <c r="T667">
        <v>-6.8349119999999999E-2</v>
      </c>
      <c r="U667">
        <v>-0.12503049999999999</v>
      </c>
      <c r="V667">
        <v>-5.1170759999999999E-3</v>
      </c>
      <c r="W667">
        <v>4.1606160000000003E-2</v>
      </c>
      <c r="X667">
        <v>0.99912100000000004</v>
      </c>
      <c r="Y667">
        <v>4.0087449999999997E-2</v>
      </c>
      <c r="Z667">
        <v>-4.2189739999999999E-4</v>
      </c>
      <c r="AA667">
        <v>0.99919610000000003</v>
      </c>
      <c r="AB667">
        <v>47</v>
      </c>
      <c r="AC667">
        <v>50.713099999999997</v>
      </c>
      <c r="AD667">
        <v>-1.1594089999999999</v>
      </c>
      <c r="AE667">
        <v>-2.1204999999999901</v>
      </c>
      <c r="AF667">
        <v>2.0437815426040902</v>
      </c>
      <c r="AG667">
        <v>-1.1594089999999999</v>
      </c>
      <c r="AH667">
        <v>50.689758660475</v>
      </c>
      <c r="AI667">
        <v>91.309214363596098</v>
      </c>
      <c r="AJ667">
        <v>87.691118151448094</v>
      </c>
      <c r="AK667">
        <v>50.744190852553501</v>
      </c>
      <c r="AL667">
        <v>87.6154543576436</v>
      </c>
      <c r="AM667">
        <v>90.293442230523496</v>
      </c>
      <c r="AN667">
        <v>1.0000000148288599</v>
      </c>
    </row>
    <row r="668" spans="1:40" x14ac:dyDescent="0.25">
      <c r="A668" t="str">
        <f>"20190312160314556"</f>
        <v>20190312160314556</v>
      </c>
      <c r="B668" t="str">
        <f>"1552377794544983"</f>
        <v>1552377794544983</v>
      </c>
      <c r="C668" t="s">
        <v>40</v>
      </c>
      <c r="D668">
        <v>5.2455449999999999</v>
      </c>
      <c r="E668">
        <v>0.51597950000000004</v>
      </c>
      <c r="F668" t="s">
        <v>43</v>
      </c>
      <c r="G668">
        <v>-307.21429999999998</v>
      </c>
      <c r="H668">
        <v>-0.05</v>
      </c>
      <c r="I668">
        <v>365.93259999999998</v>
      </c>
      <c r="J668">
        <v>-357.80810000000002</v>
      </c>
      <c r="K668">
        <v>1.1094109999999999</v>
      </c>
      <c r="L668">
        <v>368.05790000000002</v>
      </c>
      <c r="M668">
        <v>0.99992939999999997</v>
      </c>
      <c r="N668">
        <v>0</v>
      </c>
      <c r="O668">
        <v>-1.490075E-3</v>
      </c>
      <c r="P668">
        <v>0.9995541</v>
      </c>
      <c r="Q668">
        <v>2.9648109999999998E-2</v>
      </c>
      <c r="R668">
        <v>3.5822649999999998E-3</v>
      </c>
      <c r="S668">
        <v>3.003876</v>
      </c>
      <c r="T668">
        <v>-6.8510890000000005E-2</v>
      </c>
      <c r="U668">
        <v>-0.12561040000000001</v>
      </c>
      <c r="V668">
        <v>-5.0704249999999999E-3</v>
      </c>
      <c r="W668">
        <v>4.1430839999999997E-2</v>
      </c>
      <c r="X668">
        <v>0.99912849999999997</v>
      </c>
      <c r="Y668">
        <v>4.02806E-2</v>
      </c>
      <c r="Z668">
        <v>-4.2512190000000002E-4</v>
      </c>
      <c r="AA668">
        <v>0.99918830000000003</v>
      </c>
      <c r="AB668">
        <v>47</v>
      </c>
      <c r="AC668">
        <v>50.593800000000002</v>
      </c>
      <c r="AD668">
        <v>-1.159411</v>
      </c>
      <c r="AE668">
        <v>-2.1253000000000299</v>
      </c>
      <c r="AF668">
        <v>2.04882980465917</v>
      </c>
      <c r="AG668">
        <v>-1.159411</v>
      </c>
      <c r="AH668">
        <v>50.570400826754202</v>
      </c>
      <c r="AI668">
        <v>91.312295274136602</v>
      </c>
      <c r="AJ668">
        <v>87.679964292570702</v>
      </c>
      <c r="AK668">
        <v>50.625165453694699</v>
      </c>
      <c r="AL668">
        <v>87.625508067419304</v>
      </c>
      <c r="AM668">
        <v>90.290764860478902</v>
      </c>
      <c r="AN668">
        <v>0.99999999161251796</v>
      </c>
    </row>
    <row r="669" spans="1:40" x14ac:dyDescent="0.25">
      <c r="A669" t="str">
        <f>"20190312160314570"</f>
        <v>20190312160314570</v>
      </c>
      <c r="B669" t="str">
        <f>"1552377794565479"</f>
        <v>1552377794565479</v>
      </c>
      <c r="C669" t="s">
        <v>40</v>
      </c>
      <c r="D669">
        <v>5.2396469999999997</v>
      </c>
      <c r="E669">
        <v>0.51575779999999904</v>
      </c>
      <c r="F669" t="s">
        <v>43</v>
      </c>
      <c r="G669">
        <v>-308.05630000000002</v>
      </c>
      <c r="H669">
        <v>-0.05</v>
      </c>
      <c r="I669">
        <v>365.9744</v>
      </c>
      <c r="J669">
        <v>-357.52719999999999</v>
      </c>
      <c r="K669">
        <v>1.109415</v>
      </c>
      <c r="L669">
        <v>368.0575</v>
      </c>
      <c r="M669">
        <v>0.99992859999999995</v>
      </c>
      <c r="N669">
        <v>0</v>
      </c>
      <c r="O669">
        <v>-1.488468E-3</v>
      </c>
      <c r="P669">
        <v>0.99955850000000002</v>
      </c>
      <c r="Q669">
        <v>2.9524269999999998E-2</v>
      </c>
      <c r="R669">
        <v>3.352706E-3</v>
      </c>
      <c r="S669">
        <v>3.0038450000000001</v>
      </c>
      <c r="T669">
        <v>-7.0001240000000006E-2</v>
      </c>
      <c r="U669">
        <v>-0.1257935</v>
      </c>
      <c r="V669">
        <v>-4.8398470000000004E-3</v>
      </c>
      <c r="W669">
        <v>4.1377480000000001E-2</v>
      </c>
      <c r="X669">
        <v>0.99913189999999996</v>
      </c>
      <c r="Y669">
        <v>4.0342969999999999E-2</v>
      </c>
      <c r="Z669">
        <v>-4.3513489999999998E-4</v>
      </c>
      <c r="AA669">
        <v>0.99918580000000001</v>
      </c>
      <c r="AB669">
        <v>47</v>
      </c>
      <c r="AC669">
        <v>49.470899999999901</v>
      </c>
      <c r="AD669">
        <v>-1.1594149999999901</v>
      </c>
      <c r="AE669">
        <v>-2.0831</v>
      </c>
      <c r="AF669">
        <v>2.0083555065791399</v>
      </c>
      <c r="AG669">
        <v>-1.1594149999999901</v>
      </c>
      <c r="AH669">
        <v>49.446834921733803</v>
      </c>
      <c r="AI669">
        <v>91.342102472462003</v>
      </c>
      <c r="AJ669">
        <v>87.674126564626505</v>
      </c>
      <c r="AK669">
        <v>49.501184013720597</v>
      </c>
      <c r="AL669">
        <v>87.628568101370305</v>
      </c>
      <c r="AM669">
        <v>90.277541571502397</v>
      </c>
      <c r="AN669">
        <v>1.0000000367838699</v>
      </c>
    </row>
    <row r="670" spans="1:40" x14ac:dyDescent="0.25">
      <c r="A670" t="str">
        <f>"20190312160314583"</f>
        <v>20190312160314583</v>
      </c>
      <c r="B670" t="str">
        <f>"1552377794575239"</f>
        <v>1552377794575239</v>
      </c>
      <c r="C670" t="s">
        <v>40</v>
      </c>
      <c r="D670">
        <v>5.2714420000000004</v>
      </c>
      <c r="E670">
        <v>0.51571259999999997</v>
      </c>
      <c r="F670" t="s">
        <v>43</v>
      </c>
      <c r="G670">
        <v>-309.30220000000003</v>
      </c>
      <c r="H670">
        <v>-0.05</v>
      </c>
      <c r="I670">
        <v>366.05509999999998</v>
      </c>
      <c r="J670">
        <v>-357.24439999999998</v>
      </c>
      <c r="K670">
        <v>1.109415</v>
      </c>
      <c r="L670">
        <v>368.05700000000002</v>
      </c>
      <c r="M670">
        <v>0.99992760000000003</v>
      </c>
      <c r="N670">
        <v>0</v>
      </c>
      <c r="O670">
        <v>-1.4872380000000001E-3</v>
      </c>
      <c r="P670">
        <v>0.99956109999999998</v>
      </c>
      <c r="Q670">
        <v>2.945381E-2</v>
      </c>
      <c r="R670">
        <v>3.181836E-3</v>
      </c>
      <c r="S670">
        <v>3.0039060000000002</v>
      </c>
      <c r="T670">
        <v>-7.2219249999999999E-2</v>
      </c>
      <c r="U670">
        <v>-0.1247253</v>
      </c>
      <c r="V670">
        <v>-4.667381E-3</v>
      </c>
      <c r="W670">
        <v>4.1381290000000001E-2</v>
      </c>
      <c r="X670">
        <v>0.99913249999999998</v>
      </c>
      <c r="Y670">
        <v>3.9988099999999999E-2</v>
      </c>
      <c r="Z670">
        <v>-4.4467870000000002E-4</v>
      </c>
      <c r="AA670">
        <v>0.99919999999999998</v>
      </c>
      <c r="AB670">
        <v>47</v>
      </c>
      <c r="AC670">
        <v>47.9421999999999</v>
      </c>
      <c r="AD670">
        <v>-1.1594149999999901</v>
      </c>
      <c r="AE670">
        <v>-2.0018999999999698</v>
      </c>
      <c r="AF670">
        <v>1.9294647637125699</v>
      </c>
      <c r="AG670">
        <v>-1.1594149999999901</v>
      </c>
      <c r="AH670">
        <v>47.917149085502601</v>
      </c>
      <c r="AI670">
        <v>91.384950279676403</v>
      </c>
      <c r="AJ670">
        <v>87.694134585692595</v>
      </c>
      <c r="AK670">
        <v>47.969993265570899</v>
      </c>
      <c r="AL670">
        <v>87.628349468535902</v>
      </c>
      <c r="AM670">
        <v>90.267651475111705</v>
      </c>
      <c r="AN670">
        <v>0.99999997408185604</v>
      </c>
    </row>
    <row r="671" spans="1:40" x14ac:dyDescent="0.25">
      <c r="A671" t="str">
        <f>"20190312160314599"</f>
        <v>20190312160314599</v>
      </c>
      <c r="B671" t="str">
        <f>"1552377794595736"</f>
        <v>1552377794595736</v>
      </c>
      <c r="C671" t="s">
        <v>40</v>
      </c>
      <c r="D671">
        <v>5.2602460000000004</v>
      </c>
      <c r="E671">
        <v>0.51560850000000003</v>
      </c>
      <c r="F671" t="s">
        <v>43</v>
      </c>
      <c r="G671">
        <v>-310.00619999999998</v>
      </c>
      <c r="H671">
        <v>-0.05</v>
      </c>
      <c r="I671">
        <v>366.0942</v>
      </c>
      <c r="J671">
        <v>-356.89530000000002</v>
      </c>
      <c r="K671">
        <v>1.109262</v>
      </c>
      <c r="L671">
        <v>368.05650000000003</v>
      </c>
      <c r="M671">
        <v>0.99993370000000004</v>
      </c>
      <c r="N671">
        <v>0</v>
      </c>
      <c r="O671">
        <v>-1.485934E-3</v>
      </c>
      <c r="P671">
        <v>0.99954240000000005</v>
      </c>
      <c r="Q671">
        <v>3.01055E-2</v>
      </c>
      <c r="R671">
        <v>3.04062E-3</v>
      </c>
      <c r="S671">
        <v>3.0038450000000001</v>
      </c>
      <c r="T671">
        <v>-7.3726529999999998E-2</v>
      </c>
      <c r="U671">
        <v>-0.124816899999999</v>
      </c>
      <c r="V671">
        <v>-4.5249030000000003E-3</v>
      </c>
      <c r="W671">
        <v>4.1524699999999998E-2</v>
      </c>
      <c r="X671">
        <v>0.99912719999999999</v>
      </c>
      <c r="Y671">
        <v>4.0020170000000001E-2</v>
      </c>
      <c r="Z671">
        <v>-4.5439120000000002E-4</v>
      </c>
      <c r="AA671">
        <v>0.99919880000000005</v>
      </c>
      <c r="AB671">
        <v>47</v>
      </c>
      <c r="AC671">
        <v>46.889099999999999</v>
      </c>
      <c r="AD671">
        <v>-1.159262</v>
      </c>
      <c r="AE671">
        <v>-1.9623000000000199</v>
      </c>
      <c r="AF671">
        <v>1.89146504458755</v>
      </c>
      <c r="AG671">
        <v>-1.159262</v>
      </c>
      <c r="AH671">
        <v>46.863369078265301</v>
      </c>
      <c r="AI671">
        <v>91.415887852468202</v>
      </c>
      <c r="AJ671">
        <v>87.688724134498699</v>
      </c>
      <c r="AK671">
        <v>46.915849025305398</v>
      </c>
      <c r="AL671">
        <v>87.620125598792697</v>
      </c>
      <c r="AM671">
        <v>90.259482548490496</v>
      </c>
      <c r="AN671">
        <v>0.99999996861854401</v>
      </c>
    </row>
    <row r="672" spans="1:40" x14ac:dyDescent="0.25">
      <c r="A672" t="str">
        <f>"20190312160314612"</f>
        <v>20190312160314612</v>
      </c>
      <c r="B672" t="str">
        <f>"1552377794605494"</f>
        <v>1552377794605494</v>
      </c>
      <c r="C672" t="s">
        <v>40</v>
      </c>
      <c r="D672">
        <v>5.3022780000000003</v>
      </c>
      <c r="E672">
        <v>0.51543070000000002</v>
      </c>
      <c r="F672" t="s">
        <v>43</v>
      </c>
      <c r="G672">
        <v>-308.51459999999997</v>
      </c>
      <c r="H672">
        <v>-0.05</v>
      </c>
      <c r="I672">
        <v>366.05410000000001</v>
      </c>
      <c r="J672">
        <v>-356.62619999999998</v>
      </c>
      <c r="K672">
        <v>1.109092</v>
      </c>
      <c r="L672">
        <v>368.05610000000001</v>
      </c>
      <c r="M672">
        <v>0.99994079999999996</v>
      </c>
      <c r="N672">
        <v>0</v>
      </c>
      <c r="O672">
        <v>-1.485012E-3</v>
      </c>
      <c r="P672">
        <v>0.99951489999999998</v>
      </c>
      <c r="Q672">
        <v>3.0991910000000001E-2</v>
      </c>
      <c r="R672">
        <v>3.0917679999999999E-3</v>
      </c>
      <c r="S672">
        <v>3.0039370000000001</v>
      </c>
      <c r="T672">
        <v>-7.1977970000000002E-2</v>
      </c>
      <c r="U672">
        <v>-0.1243286</v>
      </c>
      <c r="V672">
        <v>-4.5744030000000003E-3</v>
      </c>
      <c r="W672">
        <v>4.177434E-2</v>
      </c>
      <c r="X672">
        <v>0.99911660000000002</v>
      </c>
      <c r="Y672">
        <v>3.9858289999999998E-2</v>
      </c>
      <c r="Z672">
        <v>-4.4168970000000001E-4</v>
      </c>
      <c r="AA672">
        <v>0.99920520000000002</v>
      </c>
      <c r="AB672">
        <v>47</v>
      </c>
      <c r="AC672">
        <v>48.111600000000003</v>
      </c>
      <c r="AD672">
        <v>-1.159092</v>
      </c>
      <c r="AE672">
        <v>-2.0019999999999998</v>
      </c>
      <c r="AF672">
        <v>1.92942941002331</v>
      </c>
      <c r="AG672">
        <v>-1.159092</v>
      </c>
      <c r="AH672">
        <v>48.086658291838603</v>
      </c>
      <c r="AI672">
        <v>91.379693687056701</v>
      </c>
      <c r="AJ672">
        <v>87.702296269384107</v>
      </c>
      <c r="AK672">
        <v>48.139307200963898</v>
      </c>
      <c r="AL672">
        <v>87.605809934309505</v>
      </c>
      <c r="AM672">
        <v>90.262323891286599</v>
      </c>
      <c r="AN672">
        <v>1.0000000005203999</v>
      </c>
    </row>
    <row r="673" spans="1:40" x14ac:dyDescent="0.25">
      <c r="A673" t="str">
        <f>"20190312160314623"</f>
        <v>20190312160314623</v>
      </c>
      <c r="B673" t="str">
        <f>"1552377794615255"</f>
        <v>1552377794615255</v>
      </c>
      <c r="C673" t="s">
        <v>40</v>
      </c>
      <c r="D673">
        <v>5.2326920000000001</v>
      </c>
      <c r="E673">
        <v>0.51519979999999999</v>
      </c>
      <c r="F673" t="s">
        <v>43</v>
      </c>
      <c r="G673">
        <v>-306.6934</v>
      </c>
      <c r="H673">
        <v>-0.05</v>
      </c>
      <c r="I673">
        <v>366.01240000000001</v>
      </c>
      <c r="J673">
        <v>-356.36880000000002</v>
      </c>
      <c r="K673">
        <v>1.1089020000000001</v>
      </c>
      <c r="L673">
        <v>368.05579999999998</v>
      </c>
      <c r="M673">
        <v>0.99994850000000002</v>
      </c>
      <c r="N673">
        <v>0</v>
      </c>
      <c r="O673">
        <v>-1.484146E-3</v>
      </c>
      <c r="P673">
        <v>0.99948099999999995</v>
      </c>
      <c r="Q673">
        <v>3.207906E-2</v>
      </c>
      <c r="R673">
        <v>3.0083589999999999E-3</v>
      </c>
      <c r="S673">
        <v>3.0040279999999999</v>
      </c>
      <c r="T673">
        <v>-6.9732669999999997E-2</v>
      </c>
      <c r="U673">
        <v>-0.1229553</v>
      </c>
      <c r="V673">
        <v>-4.4904879999999999E-3</v>
      </c>
      <c r="W673">
        <v>4.212403E-2</v>
      </c>
      <c r="X673">
        <v>0.9991023</v>
      </c>
      <c r="Y673">
        <v>3.9402689999999997E-2</v>
      </c>
      <c r="Z673">
        <v>-4.2264160000000001E-4</v>
      </c>
      <c r="AA673">
        <v>0.99922339999999998</v>
      </c>
      <c r="AB673">
        <v>48</v>
      </c>
      <c r="AC673">
        <v>49.675400000000003</v>
      </c>
      <c r="AD673">
        <v>-1.1589020000000001</v>
      </c>
      <c r="AE673">
        <v>-2.0433999999999601</v>
      </c>
      <c r="AF673">
        <v>1.9685988570094199</v>
      </c>
      <c r="AG673">
        <v>-1.1589020000000001</v>
      </c>
      <c r="AH673">
        <v>49.651400254299297</v>
      </c>
      <c r="AI673">
        <v>91.336035607691002</v>
      </c>
      <c r="AJ673">
        <v>87.729502932567101</v>
      </c>
      <c r="AK673">
        <v>49.703923210527897</v>
      </c>
      <c r="AL673">
        <v>87.585756524849799</v>
      </c>
      <c r="AM673">
        <v>90.257515449538701</v>
      </c>
      <c r="AN673">
        <v>1.0000000021255999</v>
      </c>
    </row>
    <row r="674" spans="1:40" x14ac:dyDescent="0.25">
      <c r="A674" t="str">
        <f>"20190312160314633"</f>
        <v>20190312160314633</v>
      </c>
      <c r="B674" t="str">
        <f>"1552377794625015"</f>
        <v>1552377794625015</v>
      </c>
      <c r="C674" t="s">
        <v>40</v>
      </c>
      <c r="D674">
        <v>5.2671799999999998</v>
      </c>
      <c r="E674">
        <v>0.51496989999999998</v>
      </c>
      <c r="F674" t="s">
        <v>43</v>
      </c>
      <c r="G674">
        <v>-304.55950000000001</v>
      </c>
      <c r="H674">
        <v>-0.05</v>
      </c>
      <c r="I674">
        <v>365.96260000000001</v>
      </c>
      <c r="J674">
        <v>-356.15039999999999</v>
      </c>
      <c r="K674">
        <v>1.1087590000000001</v>
      </c>
      <c r="L674">
        <v>368.05540000000002</v>
      </c>
      <c r="M674">
        <v>0.99995449999999997</v>
      </c>
      <c r="N674">
        <v>0</v>
      </c>
      <c r="O674">
        <v>-1.4831219999999999E-3</v>
      </c>
      <c r="P674">
        <v>0.99945720000000005</v>
      </c>
      <c r="Q674">
        <v>3.2822179999999999E-2</v>
      </c>
      <c r="R674">
        <v>2.8878689999999999E-3</v>
      </c>
      <c r="S674">
        <v>3.0040589999999998</v>
      </c>
      <c r="T674">
        <v>-6.7196610000000004E-2</v>
      </c>
      <c r="U674">
        <v>-0.1213684</v>
      </c>
      <c r="V674">
        <v>-4.3689820000000004E-3</v>
      </c>
      <c r="W674">
        <v>4.22417E-2</v>
      </c>
      <c r="X674">
        <v>0.99909789999999998</v>
      </c>
      <c r="Y674">
        <v>3.8877179999999997E-2</v>
      </c>
      <c r="Z674">
        <v>-4.014237E-4</v>
      </c>
      <c r="AA674">
        <v>0.99924389999999996</v>
      </c>
      <c r="AB674">
        <v>48</v>
      </c>
      <c r="AC674">
        <v>51.590899999999898</v>
      </c>
      <c r="AD674">
        <v>-1.1587590000000001</v>
      </c>
      <c r="AE674">
        <v>-2.0928000000000102</v>
      </c>
      <c r="AF674">
        <v>2.01526372096879</v>
      </c>
      <c r="AG674">
        <v>-1.1587590000000001</v>
      </c>
      <c r="AH674">
        <v>51.567975230333602</v>
      </c>
      <c r="AI674">
        <v>91.286267584822696</v>
      </c>
      <c r="AJ674">
        <v>87.762033934458501</v>
      </c>
      <c r="AK674">
        <v>51.6203455978496</v>
      </c>
      <c r="AL674">
        <v>87.579008595301502</v>
      </c>
      <c r="AM674">
        <v>90.250548653720003</v>
      </c>
      <c r="AN674">
        <v>1.0000000315035</v>
      </c>
    </row>
    <row r="675" spans="1:40" x14ac:dyDescent="0.25">
      <c r="A675" t="str">
        <f>"20190312160314645"</f>
        <v>20190312160314645</v>
      </c>
      <c r="B675" t="str">
        <f>"1552377794635751"</f>
        <v>1552377794635751</v>
      </c>
      <c r="C675" t="s">
        <v>40</v>
      </c>
      <c r="D675">
        <v>5.2478939999999996</v>
      </c>
      <c r="E675">
        <v>0.51480789999999998</v>
      </c>
      <c r="F675" t="s">
        <v>43</v>
      </c>
      <c r="G675">
        <v>-302.64780000000002</v>
      </c>
      <c r="H675">
        <v>-0.05</v>
      </c>
      <c r="I675">
        <v>365.9178</v>
      </c>
      <c r="J675">
        <v>-355.91070000000002</v>
      </c>
      <c r="K675">
        <v>1.108606</v>
      </c>
      <c r="L675">
        <v>368.05509999999998</v>
      </c>
      <c r="M675">
        <v>0.99996079999999998</v>
      </c>
      <c r="N675">
        <v>0</v>
      </c>
      <c r="O675">
        <v>-1.482262E-3</v>
      </c>
      <c r="P675">
        <v>0.99942620000000004</v>
      </c>
      <c r="Q675">
        <v>3.3736589999999997E-2</v>
      </c>
      <c r="R675">
        <v>3.044588E-3</v>
      </c>
      <c r="S675">
        <v>3.0041199999999999</v>
      </c>
      <c r="T675">
        <v>-6.5063239999999994E-2</v>
      </c>
      <c r="U675">
        <v>-0.1200256</v>
      </c>
      <c r="V675">
        <v>-4.5247239999999999E-3</v>
      </c>
      <c r="W675">
        <v>4.2469430000000002E-2</v>
      </c>
      <c r="X675">
        <v>0.99908750000000002</v>
      </c>
      <c r="Y675">
        <v>3.8431989999999999E-2</v>
      </c>
      <c r="Z675">
        <v>-3.8387810000000002E-4</v>
      </c>
      <c r="AA675">
        <v>0.99926110000000001</v>
      </c>
      <c r="AB675">
        <v>48</v>
      </c>
      <c r="AC675">
        <v>53.262900000000002</v>
      </c>
      <c r="AD675">
        <v>-1.158606</v>
      </c>
      <c r="AE675">
        <v>-2.1372999999999802</v>
      </c>
      <c r="AF675">
        <v>2.0573731381713101</v>
      </c>
      <c r="AG675">
        <v>-1.158606</v>
      </c>
      <c r="AH675">
        <v>53.240857891362197</v>
      </c>
      <c r="AI675">
        <v>91.245721343059699</v>
      </c>
      <c r="AJ675">
        <v>87.787034615249496</v>
      </c>
      <c r="AK675">
        <v>53.293190006802199</v>
      </c>
      <c r="AL675">
        <v>87.565948780511505</v>
      </c>
      <c r="AM675">
        <v>90.259482594114303</v>
      </c>
      <c r="AN675">
        <v>0.99999997913402505</v>
      </c>
    </row>
    <row r="676" spans="1:40" x14ac:dyDescent="0.25">
      <c r="A676" t="str">
        <f>"20190312160314656"</f>
        <v>20190312160314656</v>
      </c>
      <c r="B676" t="str">
        <f>"1552377794645510"</f>
        <v>1552377794645510</v>
      </c>
      <c r="C676" t="s">
        <v>40</v>
      </c>
      <c r="D676">
        <v>5.2362440000000001</v>
      </c>
      <c r="E676">
        <v>0.51461170000000001</v>
      </c>
      <c r="F676" t="s">
        <v>43</v>
      </c>
      <c r="G676">
        <v>-300.61599999999999</v>
      </c>
      <c r="H676">
        <v>-0.05</v>
      </c>
      <c r="I676">
        <v>365.8734</v>
      </c>
      <c r="J676">
        <v>-355.67450000000002</v>
      </c>
      <c r="K676">
        <v>1.108493</v>
      </c>
      <c r="L676">
        <v>368.05470000000003</v>
      </c>
      <c r="M676">
        <v>0.99996600000000002</v>
      </c>
      <c r="N676">
        <v>0</v>
      </c>
      <c r="O676">
        <v>-1.4811030000000001E-3</v>
      </c>
      <c r="P676">
        <v>0.99940700000000005</v>
      </c>
      <c r="Q676">
        <v>3.4316699999999999E-2</v>
      </c>
      <c r="R676">
        <v>2.8910910000000001E-3</v>
      </c>
      <c r="S676">
        <v>3.004181</v>
      </c>
      <c r="T676">
        <v>-6.2947390000000006E-2</v>
      </c>
      <c r="U676">
        <v>-0.11853030000000001</v>
      </c>
      <c r="V676">
        <v>-4.369899E-3</v>
      </c>
      <c r="W676">
        <v>4.2437040000000002E-2</v>
      </c>
      <c r="X676">
        <v>0.99908960000000002</v>
      </c>
      <c r="Y676">
        <v>3.7936400000000002E-2</v>
      </c>
      <c r="Z676">
        <v>-3.6622830000000001E-4</v>
      </c>
      <c r="AA676">
        <v>0.9992801</v>
      </c>
      <c r="AB676">
        <v>48</v>
      </c>
      <c r="AC676">
        <v>55.058500000000002</v>
      </c>
      <c r="AD676">
        <v>-1.158493</v>
      </c>
      <c r="AE676">
        <v>-2.1813000000000198</v>
      </c>
      <c r="AF676">
        <v>2.0988198620737299</v>
      </c>
      <c r="AG676">
        <v>-1.158493</v>
      </c>
      <c r="AH676">
        <v>55.037341994238901</v>
      </c>
      <c r="AI676">
        <v>91.204977686783707</v>
      </c>
      <c r="AJ676">
        <v>87.816114039939393</v>
      </c>
      <c r="AK676">
        <v>55.089528629634302</v>
      </c>
      <c r="AL676">
        <v>87.567806349344806</v>
      </c>
      <c r="AM676">
        <v>90.250603322242398</v>
      </c>
      <c r="AN676">
        <v>1.00000001360469</v>
      </c>
    </row>
    <row r="677" spans="1:40" x14ac:dyDescent="0.25">
      <c r="A677" t="str">
        <f>"20190312160314667"</f>
        <v>20190312160314667</v>
      </c>
      <c r="B677" t="str">
        <f>"1552377794655271"</f>
        <v>1552377794655271</v>
      </c>
      <c r="C677" t="s">
        <v>40</v>
      </c>
      <c r="D677">
        <v>5.2275720000000003</v>
      </c>
      <c r="E677">
        <v>0.51447779999999999</v>
      </c>
      <c r="F677" t="s">
        <v>43</v>
      </c>
      <c r="G677">
        <v>-299.09559999999999</v>
      </c>
      <c r="H677">
        <v>-0.05</v>
      </c>
      <c r="I677">
        <v>365.85</v>
      </c>
      <c r="J677">
        <v>-355.4341</v>
      </c>
      <c r="K677">
        <v>1.108387</v>
      </c>
      <c r="L677">
        <v>368.05430000000001</v>
      </c>
      <c r="M677">
        <v>0.99997060000000004</v>
      </c>
      <c r="N677">
        <v>0</v>
      </c>
      <c r="O677">
        <v>-1.479909E-3</v>
      </c>
      <c r="P677">
        <v>0.9993881</v>
      </c>
      <c r="Q677">
        <v>3.485444E-2</v>
      </c>
      <c r="R677">
        <v>2.9045529999999998E-3</v>
      </c>
      <c r="S677">
        <v>3.0042719999999998</v>
      </c>
      <c r="T677">
        <v>-6.15145E-2</v>
      </c>
      <c r="U677">
        <v>-0.1170654</v>
      </c>
      <c r="V677">
        <v>-4.3822990000000001E-3</v>
      </c>
      <c r="W677">
        <v>4.2365569999999998E-2</v>
      </c>
      <c r="X677">
        <v>0.9990926</v>
      </c>
      <c r="Y677">
        <v>3.7450369999999997E-2</v>
      </c>
      <c r="Z677">
        <v>-3.5293699999999902E-4</v>
      </c>
      <c r="AA677">
        <v>0.99929849999999998</v>
      </c>
      <c r="AB677">
        <v>48</v>
      </c>
      <c r="AC677">
        <v>56.338500000000003</v>
      </c>
      <c r="AD677">
        <v>-1.1583870000000001</v>
      </c>
      <c r="AE677">
        <v>-2.2042999999999799</v>
      </c>
      <c r="AF677">
        <v>2.1200244752147102</v>
      </c>
      <c r="AG677">
        <v>-1.1583870000000001</v>
      </c>
      <c r="AH677">
        <v>56.317927824005501</v>
      </c>
      <c r="AI677">
        <v>91.177500226949803</v>
      </c>
      <c r="AJ677">
        <v>87.844183330845595</v>
      </c>
      <c r="AK677">
        <v>56.369720228214497</v>
      </c>
      <c r="AL677">
        <v>87.571905016000798</v>
      </c>
      <c r="AM677">
        <v>90.251313669046596</v>
      </c>
      <c r="AN677">
        <v>1.0000000347203499</v>
      </c>
    </row>
    <row r="678" spans="1:40" x14ac:dyDescent="0.25">
      <c r="A678" t="str">
        <f>"20190312160314677"</f>
        <v>20190312160314677</v>
      </c>
      <c r="B678" t="str">
        <f>"1552377794665031"</f>
        <v>1552377794665031</v>
      </c>
      <c r="C678" t="s">
        <v>40</v>
      </c>
      <c r="D678">
        <v>5.265968</v>
      </c>
      <c r="E678">
        <v>0.51447779999999999</v>
      </c>
      <c r="F678" t="s">
        <v>43</v>
      </c>
      <c r="G678">
        <v>-297.8895</v>
      </c>
      <c r="H678">
        <v>-0.05</v>
      </c>
      <c r="I678">
        <v>365.83420000000001</v>
      </c>
      <c r="J678">
        <v>-355.21319999999997</v>
      </c>
      <c r="K678">
        <v>1.108344</v>
      </c>
      <c r="L678">
        <v>368.05399999999997</v>
      </c>
      <c r="M678">
        <v>0.99997369999999997</v>
      </c>
      <c r="N678">
        <v>0</v>
      </c>
      <c r="O678">
        <v>-1.4787159999999999E-3</v>
      </c>
      <c r="P678">
        <v>0.99936800000000003</v>
      </c>
      <c r="Q678">
        <v>3.5431169999999998E-2</v>
      </c>
      <c r="R678">
        <v>2.8605219999999999E-3</v>
      </c>
      <c r="S678">
        <v>3.0042719999999998</v>
      </c>
      <c r="T678">
        <v>-6.0476660000000002E-2</v>
      </c>
      <c r="U678">
        <v>-0.1159058</v>
      </c>
      <c r="V678">
        <v>-4.3370120000000003E-3</v>
      </c>
      <c r="W678">
        <v>4.251945E-2</v>
      </c>
      <c r="X678">
        <v>0.99908620000000004</v>
      </c>
      <c r="Y678">
        <v>3.7066729999999999E-2</v>
      </c>
      <c r="Z678">
        <v>-3.4315089999999903E-4</v>
      </c>
      <c r="AA678">
        <v>0.9993128</v>
      </c>
      <c r="AB678">
        <v>48</v>
      </c>
      <c r="AC678">
        <v>57.323699999999903</v>
      </c>
      <c r="AD678">
        <v>-1.158344</v>
      </c>
      <c r="AE678">
        <v>-2.2198000000000202</v>
      </c>
      <c r="AF678">
        <v>2.1341598364497298</v>
      </c>
      <c r="AG678">
        <v>-1.158344</v>
      </c>
      <c r="AH678">
        <v>57.303556383100997</v>
      </c>
      <c r="AI678">
        <v>91.157227018879695</v>
      </c>
      <c r="AJ678">
        <v>87.867115569481697</v>
      </c>
      <c r="AK678">
        <v>57.354982112987202</v>
      </c>
      <c r="AL678">
        <v>87.563080242315706</v>
      </c>
      <c r="AM678">
        <v>90.248718201135304</v>
      </c>
      <c r="AN678">
        <v>0.99999997416591502</v>
      </c>
    </row>
    <row r="679" spans="1:40" x14ac:dyDescent="0.25">
      <c r="A679" t="str">
        <f>"20190312160314688"</f>
        <v>20190312160314688</v>
      </c>
      <c r="B679" t="str">
        <f>"1552377794675768"</f>
        <v>1552377794675768</v>
      </c>
      <c r="C679" t="s">
        <v>40</v>
      </c>
      <c r="D679">
        <v>5.3018650000000003</v>
      </c>
      <c r="E679">
        <v>0.50434429999999997</v>
      </c>
      <c r="F679" t="s">
        <v>43</v>
      </c>
      <c r="G679">
        <v>-295.99630000000002</v>
      </c>
      <c r="H679">
        <v>-0.05</v>
      </c>
      <c r="I679">
        <v>365.76400000000001</v>
      </c>
      <c r="J679">
        <v>-354.99079999999998</v>
      </c>
      <c r="K679">
        <v>1.1083000000000001</v>
      </c>
      <c r="L679">
        <v>368.05369999999999</v>
      </c>
      <c r="M679">
        <v>0.99997659999999999</v>
      </c>
      <c r="N679">
        <v>0</v>
      </c>
      <c r="O679">
        <v>-1.477396E-3</v>
      </c>
      <c r="P679">
        <v>0.99935289999999999</v>
      </c>
      <c r="Q679">
        <v>3.5853639999999999E-2</v>
      </c>
      <c r="R679">
        <v>2.9212890000000001E-3</v>
      </c>
      <c r="S679">
        <v>3.0043030000000002</v>
      </c>
      <c r="T679">
        <v>-5.8767319999999998E-2</v>
      </c>
      <c r="U679">
        <v>-0.1161804</v>
      </c>
      <c r="V679">
        <v>-4.3965609999999898E-3</v>
      </c>
      <c r="W679">
        <v>4.2525170000000001E-2</v>
      </c>
      <c r="X679">
        <v>0.99908569999999997</v>
      </c>
      <c r="Y679">
        <v>3.7159280000000003E-2</v>
      </c>
      <c r="Z679">
        <v>-3.3438039999999998E-4</v>
      </c>
      <c r="AA679">
        <v>0.99930929999999996</v>
      </c>
      <c r="AB679">
        <v>48</v>
      </c>
      <c r="AC679">
        <v>58.994499999999903</v>
      </c>
      <c r="AD679">
        <v>-1.1583000000000001</v>
      </c>
      <c r="AE679">
        <v>-2.2896999999999799</v>
      </c>
      <c r="AF679">
        <v>2.2016898538370202</v>
      </c>
      <c r="AG679">
        <v>-1.1583000000000001</v>
      </c>
      <c r="AH679">
        <v>58.975118048448799</v>
      </c>
      <c r="AI679">
        <v>91.124389245230603</v>
      </c>
      <c r="AJ679">
        <v>87.861996976171497</v>
      </c>
      <c r="AK679">
        <v>59.027566830515397</v>
      </c>
      <c r="AL679">
        <v>87.562752222830298</v>
      </c>
      <c r="AM679">
        <v>90.252133289102005</v>
      </c>
      <c r="AN679">
        <v>0.99999997788832196</v>
      </c>
    </row>
    <row r="680" spans="1:40" x14ac:dyDescent="0.25">
      <c r="A680" t="str">
        <f>"20190312160314699"</f>
        <v>20190312160314699</v>
      </c>
      <c r="B680" t="str">
        <f>"1552377794695287"</f>
        <v>1552377794695287</v>
      </c>
      <c r="C680" t="s">
        <v>40</v>
      </c>
      <c r="D680">
        <v>5.3106530000000003</v>
      </c>
      <c r="E680">
        <v>0.50435039999999998</v>
      </c>
      <c r="F680" t="s">
        <v>41</v>
      </c>
      <c r="G680">
        <v>-331.50569999999999</v>
      </c>
      <c r="H680" s="1">
        <v>-3.9583809999999998E-6</v>
      </c>
      <c r="I680">
        <v>367.74450000000002</v>
      </c>
      <c r="J680">
        <v>-354.73009999999999</v>
      </c>
      <c r="K680">
        <v>1.1083080000000001</v>
      </c>
      <c r="L680">
        <v>368.05329999999998</v>
      </c>
      <c r="M680">
        <v>0.99997840000000005</v>
      </c>
      <c r="N680">
        <v>0</v>
      </c>
      <c r="O680">
        <v>-1.475554E-3</v>
      </c>
      <c r="P680">
        <v>0.99933430000000001</v>
      </c>
      <c r="Q680">
        <v>3.6360099999999999E-2</v>
      </c>
      <c r="R680">
        <v>2.9872420000000002E-3</v>
      </c>
      <c r="S680">
        <v>3.0071409999999998</v>
      </c>
      <c r="T680">
        <v>-0.14191210000000001</v>
      </c>
      <c r="U680">
        <v>-3.95813E-2</v>
      </c>
      <c r="V680">
        <v>-4.4603539999999997E-3</v>
      </c>
      <c r="W680">
        <v>4.2760989999999999E-2</v>
      </c>
      <c r="X680">
        <v>0.99907539999999995</v>
      </c>
      <c r="Y680">
        <v>1.1674479999999999E-2</v>
      </c>
      <c r="Z680">
        <v>-2.0571080000000001E-4</v>
      </c>
      <c r="AA680">
        <v>0.99993180000000004</v>
      </c>
      <c r="AB680">
        <v>49</v>
      </c>
      <c r="AC680">
        <v>23.224399999999999</v>
      </c>
      <c r="AD680">
        <v>-1.1083119583809999</v>
      </c>
      <c r="AE680">
        <v>-0.30879999999996199</v>
      </c>
      <c r="AF680">
        <v>0.273906426503782</v>
      </c>
      <c r="AG680">
        <v>-1.1083119583809999</v>
      </c>
      <c r="AH680">
        <v>23.1720681570932</v>
      </c>
      <c r="AI680">
        <v>92.738159323661193</v>
      </c>
      <c r="AJ680">
        <v>89.322764319499598</v>
      </c>
      <c r="AK680">
        <v>23.2001750597823</v>
      </c>
      <c r="AL680">
        <v>87.549228547999903</v>
      </c>
      <c r="AM680">
        <v>90.255794268832702</v>
      </c>
      <c r="AN680">
        <v>1.00000002595437</v>
      </c>
    </row>
    <row r="681" spans="1:40" x14ac:dyDescent="0.25">
      <c r="A681" t="str">
        <f>"20190312160314710"</f>
        <v>20190312160314710</v>
      </c>
      <c r="B681" t="str">
        <f>"1552377794705048"</f>
        <v>1552377794705048</v>
      </c>
      <c r="C681" t="s">
        <v>40</v>
      </c>
      <c r="D681">
        <v>5.3463039999999999</v>
      </c>
      <c r="E681">
        <v>0.50473190000000001</v>
      </c>
      <c r="F681" t="s">
        <v>41</v>
      </c>
      <c r="G681">
        <v>-331.46339999999998</v>
      </c>
      <c r="H681" s="1">
        <v>-3.9761979999999997E-6</v>
      </c>
      <c r="I681">
        <v>367.74630000000002</v>
      </c>
      <c r="J681">
        <v>-354.48180000000002</v>
      </c>
      <c r="K681">
        <v>1.1083259999999999</v>
      </c>
      <c r="L681">
        <v>368.053</v>
      </c>
      <c r="M681">
        <v>0.99997970000000003</v>
      </c>
      <c r="N681">
        <v>0</v>
      </c>
      <c r="O681">
        <v>-1.473748E-3</v>
      </c>
      <c r="P681">
        <v>0.99932319999999997</v>
      </c>
      <c r="Q681">
        <v>3.6644959999999997E-2</v>
      </c>
      <c r="R681">
        <v>3.2463150000000001E-3</v>
      </c>
      <c r="S681">
        <v>3.0073240000000001</v>
      </c>
      <c r="T681">
        <v>-0.1432542</v>
      </c>
      <c r="U681">
        <v>-3.9672850000000003E-2</v>
      </c>
      <c r="V681">
        <v>-4.7180649999999996E-3</v>
      </c>
      <c r="W681">
        <v>4.2851979999999998E-2</v>
      </c>
      <c r="X681">
        <v>0.99907029999999997</v>
      </c>
      <c r="Y681">
        <v>1.170567E-2</v>
      </c>
      <c r="Z681">
        <v>-2.0846969999999999E-4</v>
      </c>
      <c r="AA681">
        <v>0.99993149999999997</v>
      </c>
      <c r="AB681">
        <v>49</v>
      </c>
      <c r="AC681">
        <v>23.0184</v>
      </c>
      <c r="AD681">
        <v>-1.1083299761980001</v>
      </c>
      <c r="AE681">
        <v>-0.306700000000034</v>
      </c>
      <c r="AF681">
        <v>0.27214486616644801</v>
      </c>
      <c r="AG681">
        <v>-1.1083299761980001</v>
      </c>
      <c r="AH681">
        <v>22.965593086925701</v>
      </c>
      <c r="AI681">
        <v>92.762782999162795</v>
      </c>
      <c r="AJ681">
        <v>89.321070334289601</v>
      </c>
      <c r="AK681">
        <v>22.993932330042401</v>
      </c>
      <c r="AL681">
        <v>87.5440103788291</v>
      </c>
      <c r="AM681">
        <v>90.270574755785404</v>
      </c>
      <c r="AN681">
        <v>1.0000000083346701</v>
      </c>
    </row>
    <row r="682" spans="1:40" x14ac:dyDescent="0.25">
      <c r="A682" t="str">
        <f>"20190312160314722"</f>
        <v>20190312160314722</v>
      </c>
      <c r="B682" t="str">
        <f>"1552377794715783"</f>
        <v>1552377794715783</v>
      </c>
      <c r="C682" t="s">
        <v>40</v>
      </c>
      <c r="D682">
        <v>5.3001839999999998</v>
      </c>
      <c r="E682">
        <v>0.50423209999999996</v>
      </c>
      <c r="F682" t="s">
        <v>41</v>
      </c>
      <c r="G682">
        <v>-331.64030000000002</v>
      </c>
      <c r="H682" s="1">
        <v>-3.9032379999999999E-6</v>
      </c>
      <c r="I682">
        <v>367.73</v>
      </c>
      <c r="J682">
        <v>-354.23660000000001</v>
      </c>
      <c r="K682">
        <v>1.1083769999999999</v>
      </c>
      <c r="L682">
        <v>368.05259999999998</v>
      </c>
      <c r="M682">
        <v>0.99998019999999999</v>
      </c>
      <c r="N682">
        <v>0</v>
      </c>
      <c r="O682">
        <v>-1.4718660000000001E-3</v>
      </c>
      <c r="P682">
        <v>0.99931939999999997</v>
      </c>
      <c r="Q682">
        <v>3.6741900000000001E-2</v>
      </c>
      <c r="R682">
        <v>3.3309490000000001E-3</v>
      </c>
      <c r="S682">
        <v>3.0074770000000002</v>
      </c>
      <c r="T682">
        <v>-0.14593020000000001</v>
      </c>
      <c r="U682">
        <v>-4.2510989999999999E-2</v>
      </c>
      <c r="V682">
        <v>-4.8004759999999997E-3</v>
      </c>
      <c r="W682">
        <v>4.2880080000000001E-2</v>
      </c>
      <c r="X682">
        <v>0.99906870000000003</v>
      </c>
      <c r="Y682">
        <v>1.264878E-2</v>
      </c>
      <c r="Z682">
        <v>-2.353051E-4</v>
      </c>
      <c r="AA682">
        <v>0.99992000000000003</v>
      </c>
      <c r="AB682">
        <v>49</v>
      </c>
      <c r="AC682">
        <v>22.5962999999999</v>
      </c>
      <c r="AD682">
        <v>-1.1083809032380001</v>
      </c>
      <c r="AE682">
        <v>-0.32259999999996503</v>
      </c>
      <c r="AF682">
        <v>0.2886459492713</v>
      </c>
      <c r="AG682">
        <v>-1.1083809032380001</v>
      </c>
      <c r="AH682">
        <v>22.5425231259984</v>
      </c>
      <c r="AI682">
        <v>92.814647370737703</v>
      </c>
      <c r="AJ682">
        <v>89.266395743687596</v>
      </c>
      <c r="AK682">
        <v>22.571601041948</v>
      </c>
      <c r="AL682">
        <v>87.542398881874504</v>
      </c>
      <c r="AM682">
        <v>90.275301285849807</v>
      </c>
      <c r="AN682">
        <v>1.00000000657516</v>
      </c>
    </row>
    <row r="683" spans="1:40" x14ac:dyDescent="0.25">
      <c r="A683" t="str">
        <f>"20190312160314733"</f>
        <v>20190312160314733</v>
      </c>
      <c r="B683" t="str">
        <f>"1552377794725544"</f>
        <v>1552377794725544</v>
      </c>
      <c r="C683" t="s">
        <v>40</v>
      </c>
      <c r="D683">
        <v>5.3470779999999998</v>
      </c>
      <c r="E683">
        <v>0.50399150000000004</v>
      </c>
      <c r="F683" t="s">
        <v>41</v>
      </c>
      <c r="G683">
        <v>-330.4726</v>
      </c>
      <c r="H683" s="1">
        <v>-4.4002179999999999E-6</v>
      </c>
      <c r="I683">
        <v>367.75229999999999</v>
      </c>
      <c r="J683">
        <v>-354.00479999999999</v>
      </c>
      <c r="K683">
        <v>1.1084309999999999</v>
      </c>
      <c r="L683">
        <v>368.05220000000003</v>
      </c>
      <c r="M683">
        <v>0.99998019999999999</v>
      </c>
      <c r="N683">
        <v>0</v>
      </c>
      <c r="O683">
        <v>-1.4699069999999999E-3</v>
      </c>
      <c r="P683">
        <v>0.99931530000000002</v>
      </c>
      <c r="Q683">
        <v>3.683322E-2</v>
      </c>
      <c r="R683">
        <v>3.5125590000000002E-3</v>
      </c>
      <c r="S683">
        <v>3.007355</v>
      </c>
      <c r="T683">
        <v>-0.14026569999999999</v>
      </c>
      <c r="U683">
        <v>-3.7994380000000001E-2</v>
      </c>
      <c r="V683">
        <v>-4.9805359999999998E-3</v>
      </c>
      <c r="W683">
        <v>4.2954880000000001E-2</v>
      </c>
      <c r="X683">
        <v>0.99906459999999997</v>
      </c>
      <c r="Y683">
        <v>1.1152459999999999E-2</v>
      </c>
      <c r="Z683">
        <v>-1.914098E-4</v>
      </c>
      <c r="AA683">
        <v>0.99993779999999999</v>
      </c>
      <c r="AB683">
        <v>49</v>
      </c>
      <c r="AC683">
        <v>23.5321999999999</v>
      </c>
      <c r="AD683">
        <v>-1.1084354002179999</v>
      </c>
      <c r="AE683">
        <v>-0.29990000000003603</v>
      </c>
      <c r="AF683">
        <v>0.26472164431426798</v>
      </c>
      <c r="AG683">
        <v>-1.1084354002179999</v>
      </c>
      <c r="AH683">
        <v>23.4805279669458</v>
      </c>
      <c r="AI683">
        <v>92.702559799576804</v>
      </c>
      <c r="AJ683">
        <v>89.354069447856801</v>
      </c>
      <c r="AK683">
        <v>23.508166670158499</v>
      </c>
      <c r="AL683">
        <v>87.538109191966996</v>
      </c>
      <c r="AM683">
        <v>90.285628505479295</v>
      </c>
      <c r="AN683">
        <v>1.0000000012139101</v>
      </c>
    </row>
    <row r="684" spans="1:40" x14ac:dyDescent="0.25">
      <c r="A684" t="str">
        <f>"20190312160314744"</f>
        <v>20190312160314744</v>
      </c>
      <c r="B684" t="str">
        <f>"1552377794735303"</f>
        <v>1552377794735303</v>
      </c>
      <c r="C684" t="s">
        <v>40</v>
      </c>
      <c r="D684">
        <v>5.3624830000000001</v>
      </c>
      <c r="E684">
        <v>0.50455680000000003</v>
      </c>
      <c r="F684" t="s">
        <v>41</v>
      </c>
      <c r="G684">
        <v>-329.81130000000002</v>
      </c>
      <c r="H684" s="1">
        <v>-5.4140969999999899E-7</v>
      </c>
      <c r="I684">
        <v>367.7706</v>
      </c>
      <c r="J684">
        <v>-353.75699999999898</v>
      </c>
      <c r="K684">
        <v>1.1085</v>
      </c>
      <c r="L684">
        <v>368.05189999999999</v>
      </c>
      <c r="M684">
        <v>0.99998010000000004</v>
      </c>
      <c r="N684">
        <v>0</v>
      </c>
      <c r="O684">
        <v>-1.4679579999999999E-3</v>
      </c>
      <c r="P684">
        <v>0.99931190000000003</v>
      </c>
      <c r="Q684">
        <v>3.6903360000000003E-2</v>
      </c>
      <c r="R684">
        <v>3.7707159999999999E-3</v>
      </c>
      <c r="S684">
        <v>3.0072329999999998</v>
      </c>
      <c r="T684">
        <v>-0.13777690000000001</v>
      </c>
      <c r="U684">
        <v>-3.5003659999999999E-2</v>
      </c>
      <c r="V684">
        <v>-5.2363359999999899E-3</v>
      </c>
      <c r="W684">
        <v>4.3050640000000001E-2</v>
      </c>
      <c r="X684">
        <v>0.99905909999999998</v>
      </c>
      <c r="Y684">
        <v>1.0162020000000001E-2</v>
      </c>
      <c r="Z684">
        <v>-1.6543920000000001E-4</v>
      </c>
      <c r="AA684">
        <v>0.99994830000000001</v>
      </c>
      <c r="AB684">
        <v>49</v>
      </c>
      <c r="AC684">
        <v>23.945699999999899</v>
      </c>
      <c r="AD684">
        <v>-1.1085005414097</v>
      </c>
      <c r="AE684">
        <v>-0.281299999999987</v>
      </c>
      <c r="AF684">
        <v>0.24562146577667099</v>
      </c>
      <c r="AG684">
        <v>-1.1085005414097</v>
      </c>
      <c r="AH684">
        <v>23.8948881032216</v>
      </c>
      <c r="AI684">
        <v>92.655946806749398</v>
      </c>
      <c r="AJ684">
        <v>89.4110632512661</v>
      </c>
      <c r="AK684">
        <v>23.9218473538361</v>
      </c>
      <c r="AL684">
        <v>87.532617294811502</v>
      </c>
      <c r="AM684">
        <v>90.300299757728496</v>
      </c>
      <c r="AN684">
        <v>0.99999993105595897</v>
      </c>
    </row>
    <row r="685" spans="1:40" x14ac:dyDescent="0.25">
      <c r="A685" t="str">
        <f>"20190312160314755"</f>
        <v>20190312160314755</v>
      </c>
      <c r="B685" t="str">
        <f>"1552377794745063"</f>
        <v>1552377794745063</v>
      </c>
      <c r="C685" t="s">
        <v>40</v>
      </c>
      <c r="D685">
        <v>5.3196620000000001</v>
      </c>
      <c r="E685">
        <v>0.50442929999999997</v>
      </c>
      <c r="F685" t="s">
        <v>41</v>
      </c>
      <c r="G685">
        <v>-330.0625</v>
      </c>
      <c r="H685" s="1">
        <v>-4.5774709999999996E-6</v>
      </c>
      <c r="I685">
        <v>367.7448</v>
      </c>
      <c r="J685">
        <v>-353.52210000000002</v>
      </c>
      <c r="K685">
        <v>1.1085560000000001</v>
      </c>
      <c r="L685">
        <v>368.05149999999998</v>
      </c>
      <c r="M685">
        <v>0.99997970000000003</v>
      </c>
      <c r="N685">
        <v>0</v>
      </c>
      <c r="O685">
        <v>-1.466307E-3</v>
      </c>
      <c r="P685">
        <v>0.99931599999999998</v>
      </c>
      <c r="Q685">
        <v>3.6779640000000002E-2</v>
      </c>
      <c r="R685">
        <v>3.8562800000000001E-3</v>
      </c>
      <c r="S685">
        <v>3.0074160000000001</v>
      </c>
      <c r="T685">
        <v>-0.14069599999999999</v>
      </c>
      <c r="U685">
        <v>-3.8970949999999997E-2</v>
      </c>
      <c r="V685">
        <v>-5.3201990000000003E-3</v>
      </c>
      <c r="W685">
        <v>4.2972030000000001E-2</v>
      </c>
      <c r="X685">
        <v>0.99906209999999995</v>
      </c>
      <c r="Y685">
        <v>1.1480020000000001E-2</v>
      </c>
      <c r="Z685">
        <v>-1.9981799999999999E-4</v>
      </c>
      <c r="AA685">
        <v>0.99993410000000005</v>
      </c>
      <c r="AB685">
        <v>49</v>
      </c>
      <c r="AC685">
        <v>23.459599999999998</v>
      </c>
      <c r="AD685">
        <v>-1.1085605774709999</v>
      </c>
      <c r="AE685">
        <v>-0.30669999999997799</v>
      </c>
      <c r="AF685">
        <v>0.27169346088504098</v>
      </c>
      <c r="AG685">
        <v>-1.1085605774709999</v>
      </c>
      <c r="AH685">
        <v>23.407765228679001</v>
      </c>
      <c r="AI685">
        <v>92.711243544817606</v>
      </c>
      <c r="AJ685">
        <v>89.334998900276005</v>
      </c>
      <c r="AK685">
        <v>23.435575454670701</v>
      </c>
      <c r="AL685">
        <v>87.537125632993906</v>
      </c>
      <c r="AM685">
        <v>90.305108228549599</v>
      </c>
      <c r="AN685">
        <v>0.99999998976806503</v>
      </c>
    </row>
    <row r="686" spans="1:40" x14ac:dyDescent="0.25">
      <c r="A686" t="str">
        <f>"20190312160314767"</f>
        <v>20190312160314767</v>
      </c>
      <c r="B686" t="str">
        <f>"1552377794755799"</f>
        <v>1552377794755799</v>
      </c>
      <c r="C686" t="s">
        <v>40</v>
      </c>
      <c r="D686">
        <v>5.2346370000000002</v>
      </c>
      <c r="E686">
        <v>0.50475519999999996</v>
      </c>
      <c r="F686" t="s">
        <v>41</v>
      </c>
      <c r="G686">
        <v>-329.7106</v>
      </c>
      <c r="H686" s="1">
        <v>-5.807744E-7</v>
      </c>
      <c r="I686">
        <v>367.75139999999999</v>
      </c>
      <c r="J686">
        <v>-353.25420000000003</v>
      </c>
      <c r="K686">
        <v>1.108616</v>
      </c>
      <c r="L686">
        <v>368.05110000000002</v>
      </c>
      <c r="M686">
        <v>0.99997939999999996</v>
      </c>
      <c r="N686">
        <v>0</v>
      </c>
      <c r="O686">
        <v>-1.4642259999999999E-3</v>
      </c>
      <c r="P686">
        <v>0.99932220000000005</v>
      </c>
      <c r="Q686">
        <v>3.6602309999999999E-2</v>
      </c>
      <c r="R686">
        <v>3.9027269999999999E-3</v>
      </c>
      <c r="S686">
        <v>3.007355</v>
      </c>
      <c r="T686">
        <v>-0.14000870000000001</v>
      </c>
      <c r="U686">
        <v>-3.7902829999999998E-2</v>
      </c>
      <c r="V686">
        <v>-5.3645309999999996E-3</v>
      </c>
      <c r="W686">
        <v>4.2854360000000001E-2</v>
      </c>
      <c r="X686">
        <v>0.99906689999999998</v>
      </c>
      <c r="Y686">
        <v>1.112776E-2</v>
      </c>
      <c r="Z686">
        <v>-1.907492E-4</v>
      </c>
      <c r="AA686">
        <v>0.99993810000000005</v>
      </c>
      <c r="AB686">
        <v>49</v>
      </c>
      <c r="AC686">
        <v>23.543600000000001</v>
      </c>
      <c r="AD686">
        <v>-1.1086165807744</v>
      </c>
      <c r="AE686">
        <v>-0.299700000000029</v>
      </c>
      <c r="AF686">
        <v>0.26463917495844802</v>
      </c>
      <c r="AG686">
        <v>-1.1086165807744</v>
      </c>
      <c r="AH686">
        <v>23.491934265636701</v>
      </c>
      <c r="AI686">
        <v>92.701690694625199</v>
      </c>
      <c r="AJ686">
        <v>89.354584160658604</v>
      </c>
      <c r="AK686">
        <v>23.519567176227699</v>
      </c>
      <c r="AL686">
        <v>87.543873801473296</v>
      </c>
      <c r="AM686">
        <v>90.307649098812504</v>
      </c>
      <c r="AN686">
        <v>0.99999997251973405</v>
      </c>
    </row>
    <row r="687" spans="1:40" x14ac:dyDescent="0.25">
      <c r="A687" t="str">
        <f>"20190312160314780"</f>
        <v>20190312160314780</v>
      </c>
      <c r="B687" t="str">
        <f>"1552377794775319"</f>
        <v>1552377794775319</v>
      </c>
      <c r="C687" t="s">
        <v>40</v>
      </c>
      <c r="D687">
        <v>5.2452009999999998</v>
      </c>
      <c r="E687">
        <v>0.50503140000000002</v>
      </c>
      <c r="F687" t="s">
        <v>41</v>
      </c>
      <c r="G687">
        <v>-328.48759999999999</v>
      </c>
      <c r="H687" s="1">
        <v>-1.0053159999999999E-6</v>
      </c>
      <c r="I687">
        <v>367.7201</v>
      </c>
      <c r="J687">
        <v>-352.97609999999997</v>
      </c>
      <c r="K687">
        <v>1.1086590000000001</v>
      </c>
      <c r="L687">
        <v>368.05079999999998</v>
      </c>
      <c r="M687">
        <v>0.99997910000000001</v>
      </c>
      <c r="N687">
        <v>0</v>
      </c>
      <c r="O687">
        <v>-1.4626610000000001E-3</v>
      </c>
      <c r="P687">
        <v>0.9993225</v>
      </c>
      <c r="Q687">
        <v>3.6603589999999998E-2</v>
      </c>
      <c r="R687">
        <v>3.8711779999999999E-3</v>
      </c>
      <c r="S687">
        <v>3.0071110000000001</v>
      </c>
      <c r="T687">
        <v>-0.1346058</v>
      </c>
      <c r="U687">
        <v>-4.0191650000000002E-2</v>
      </c>
      <c r="V687">
        <v>-5.3316419999999897E-3</v>
      </c>
      <c r="W687">
        <v>4.2926770000000003E-2</v>
      </c>
      <c r="X687">
        <v>0.99906399999999995</v>
      </c>
      <c r="Y687">
        <v>1.189133E-2</v>
      </c>
      <c r="Z687">
        <v>-2.0055999999999999E-4</v>
      </c>
      <c r="AA687">
        <v>0.99992919999999996</v>
      </c>
      <c r="AB687">
        <v>49</v>
      </c>
      <c r="AC687">
        <v>24.488499999999899</v>
      </c>
      <c r="AD687">
        <v>-1.1086600053160001</v>
      </c>
      <c r="AE687">
        <v>-0.33069999999997801</v>
      </c>
      <c r="AF687">
        <v>0.29427751625940501</v>
      </c>
      <c r="AG687">
        <v>-1.1086600053160001</v>
      </c>
      <c r="AH687">
        <v>24.438876349175299</v>
      </c>
      <c r="AI687">
        <v>92.597231648127007</v>
      </c>
      <c r="AJ687">
        <v>89.310113746381006</v>
      </c>
      <c r="AK687">
        <v>24.465780254760801</v>
      </c>
      <c r="AL687">
        <v>87.539721272698998</v>
      </c>
      <c r="AM687">
        <v>90.3057638795174</v>
      </c>
      <c r="AN687">
        <v>1.00000000504252</v>
      </c>
    </row>
    <row r="688" spans="1:40" x14ac:dyDescent="0.25">
      <c r="A688" t="str">
        <f>"20190312160314793"</f>
        <v>20190312160314793</v>
      </c>
      <c r="B688" t="str">
        <f>"1552377794785079"</f>
        <v>1552377794785079</v>
      </c>
      <c r="C688" t="s">
        <v>40</v>
      </c>
      <c r="D688">
        <v>5.2446489999999999</v>
      </c>
      <c r="E688">
        <v>0.50508030000000004</v>
      </c>
      <c r="F688" t="s">
        <v>41</v>
      </c>
      <c r="G688">
        <v>-325.93979999999999</v>
      </c>
      <c r="H688" s="1">
        <v>-2.0678849999999999E-6</v>
      </c>
      <c r="I688">
        <v>367.67860000000002</v>
      </c>
      <c r="J688">
        <v>-352.68439999999998</v>
      </c>
      <c r="K688">
        <v>1.1087039999999999</v>
      </c>
      <c r="L688">
        <v>368.05029999999999</v>
      </c>
      <c r="M688">
        <v>0.99997849999999999</v>
      </c>
      <c r="N688">
        <v>0</v>
      </c>
      <c r="O688">
        <v>-1.4608829999999901E-3</v>
      </c>
      <c r="P688">
        <v>0.99932619999999905</v>
      </c>
      <c r="Q688">
        <v>3.6483769999999999E-2</v>
      </c>
      <c r="R688">
        <v>4.0497759999999997E-3</v>
      </c>
      <c r="S688">
        <v>3.0067140000000001</v>
      </c>
      <c r="T688">
        <v>-0.1232938</v>
      </c>
      <c r="U688">
        <v>-4.1381840000000003E-2</v>
      </c>
      <c r="V688">
        <v>-5.5083939999999998E-3</v>
      </c>
      <c r="W688">
        <v>4.2885810000000003E-2</v>
      </c>
      <c r="X688">
        <v>0.99906479999999998</v>
      </c>
      <c r="Y688">
        <v>1.2291949999999999E-2</v>
      </c>
      <c r="Z688">
        <v>-1.9202680000000001E-4</v>
      </c>
      <c r="AA688">
        <v>0.99992440000000005</v>
      </c>
      <c r="AB688">
        <v>49</v>
      </c>
      <c r="AC688">
        <v>26.744599999999899</v>
      </c>
      <c r="AD688">
        <v>-1.108706067885</v>
      </c>
      <c r="AE688">
        <v>-0.37169999999997499</v>
      </c>
      <c r="AF688">
        <v>0.33205752828020602</v>
      </c>
      <c r="AG688">
        <v>-1.108706067885</v>
      </c>
      <c r="AH688">
        <v>26.699239526661199</v>
      </c>
      <c r="AI688">
        <v>92.377700636524807</v>
      </c>
      <c r="AJ688">
        <v>89.287451088056201</v>
      </c>
      <c r="AK688">
        <v>26.724312575800401</v>
      </c>
      <c r="AL688">
        <v>87.542070270536101</v>
      </c>
      <c r="AM688">
        <v>90.315899959717797</v>
      </c>
      <c r="AN688">
        <v>1.0000000048514199</v>
      </c>
    </row>
    <row r="689" spans="1:40" x14ac:dyDescent="0.25">
      <c r="A689" t="str">
        <f>"20190312160314806"</f>
        <v>20190312160314806</v>
      </c>
      <c r="B689" t="str">
        <f>"1552377794795815"</f>
        <v>1552377794795815</v>
      </c>
      <c r="C689" t="s">
        <v>40</v>
      </c>
      <c r="D689">
        <v>5.231554</v>
      </c>
      <c r="E689">
        <v>0.50513799999999998</v>
      </c>
      <c r="F689" t="s">
        <v>41</v>
      </c>
      <c r="G689">
        <v>-324.92450000000002</v>
      </c>
      <c r="H689" s="1">
        <v>-2.505162E-6</v>
      </c>
      <c r="I689">
        <v>367.6687</v>
      </c>
      <c r="J689">
        <v>-352.39960000000002</v>
      </c>
      <c r="K689">
        <v>1.108743</v>
      </c>
      <c r="L689">
        <v>368.04989999999998</v>
      </c>
      <c r="M689">
        <v>0.99997789999999998</v>
      </c>
      <c r="N689">
        <v>0</v>
      </c>
      <c r="O689">
        <v>-1.459117E-3</v>
      </c>
      <c r="P689">
        <v>0.99932719999999997</v>
      </c>
      <c r="Q689">
        <v>3.6435009999999997E-2</v>
      </c>
      <c r="R689">
        <v>4.2024790000000003E-3</v>
      </c>
      <c r="S689">
        <v>3.0065919999999999</v>
      </c>
      <c r="T689">
        <v>-0.1200807</v>
      </c>
      <c r="U689">
        <v>-4.1320799999999998E-2</v>
      </c>
      <c r="V689">
        <v>-5.6594009999999997E-3</v>
      </c>
      <c r="W689">
        <v>4.2917719999999999E-2</v>
      </c>
      <c r="X689">
        <v>0.99906260000000002</v>
      </c>
      <c r="Y689">
        <v>1.2274459999999999E-2</v>
      </c>
      <c r="Z689">
        <v>-1.8675549999999999E-4</v>
      </c>
      <c r="AA689">
        <v>0.9999247</v>
      </c>
      <c r="AB689">
        <v>49</v>
      </c>
      <c r="AC689">
        <v>27.475100000000001</v>
      </c>
      <c r="AD689">
        <v>-1.1087455051620001</v>
      </c>
      <c r="AE689">
        <v>-0.381199999999978</v>
      </c>
      <c r="AF689">
        <v>0.340554881797134</v>
      </c>
      <c r="AG689">
        <v>-1.1087455051620001</v>
      </c>
      <c r="AH689">
        <v>27.430964515628801</v>
      </c>
      <c r="AI689">
        <v>92.314427899376795</v>
      </c>
      <c r="AJ689">
        <v>89.288710573411393</v>
      </c>
      <c r="AK689">
        <v>27.4554750182986</v>
      </c>
      <c r="AL689">
        <v>87.540240312442194</v>
      </c>
      <c r="AM689">
        <v>90.324560566628406</v>
      </c>
      <c r="AN689">
        <v>1.00000001911421</v>
      </c>
    </row>
    <row r="690" spans="1:40" x14ac:dyDescent="0.25">
      <c r="A690" t="str">
        <f>"20190312160314823"</f>
        <v>20190312160314823</v>
      </c>
      <c r="B690" t="str">
        <f>"1552377794815339"</f>
        <v>1552377794815339</v>
      </c>
      <c r="C690" t="s">
        <v>40</v>
      </c>
      <c r="D690">
        <v>5.3076650000000001</v>
      </c>
      <c r="E690">
        <v>0.50573889999999999</v>
      </c>
      <c r="F690" t="s">
        <v>41</v>
      </c>
      <c r="G690">
        <v>-323.77339999999998</v>
      </c>
      <c r="H690" s="1">
        <v>-3.00029E-6</v>
      </c>
      <c r="I690">
        <v>367.66129999999998</v>
      </c>
      <c r="J690">
        <v>-352.04140000000001</v>
      </c>
      <c r="K690">
        <v>1.108787</v>
      </c>
      <c r="L690">
        <v>368.04939999999999</v>
      </c>
      <c r="M690">
        <v>0.99997720000000001</v>
      </c>
      <c r="N690">
        <v>0</v>
      </c>
      <c r="O690">
        <v>-1.457095E-3</v>
      </c>
      <c r="P690">
        <v>0.99932399999999999</v>
      </c>
      <c r="Q690">
        <v>3.6520080000000003E-2</v>
      </c>
      <c r="R690">
        <v>4.2134260000000002E-3</v>
      </c>
      <c r="S690">
        <v>3.0064700000000002</v>
      </c>
      <c r="T690">
        <v>-0.1164461</v>
      </c>
      <c r="U690">
        <v>-4.0801999999999998E-2</v>
      </c>
      <c r="V690">
        <v>-5.6684049999999996E-3</v>
      </c>
      <c r="W690">
        <v>4.3114E-2</v>
      </c>
      <c r="X690">
        <v>0.99905409999999994</v>
      </c>
      <c r="Y690">
        <v>1.210516E-2</v>
      </c>
      <c r="Z690">
        <v>-1.779157E-4</v>
      </c>
      <c r="AA690">
        <v>0.99992669999999995</v>
      </c>
      <c r="AB690">
        <v>49</v>
      </c>
      <c r="AC690">
        <v>28.268000000000001</v>
      </c>
      <c r="AD690">
        <v>-1.10879000029</v>
      </c>
      <c r="AE690">
        <v>-0.38810000000000799</v>
      </c>
      <c r="AF690">
        <v>0.346376717556653</v>
      </c>
      <c r="AG690">
        <v>-1.10879000029</v>
      </c>
      <c r="AH690">
        <v>28.225118247330499</v>
      </c>
      <c r="AI690">
        <v>92.249470189780894</v>
      </c>
      <c r="AJ690">
        <v>89.296905412890695</v>
      </c>
      <c r="AK690">
        <v>28.2490122335454</v>
      </c>
      <c r="AL690">
        <v>87.528983883290607</v>
      </c>
      <c r="AM690">
        <v>90.325079690992197</v>
      </c>
      <c r="AN690">
        <v>1.0000000212690201</v>
      </c>
    </row>
    <row r="691" spans="1:40" x14ac:dyDescent="0.25">
      <c r="A691" t="str">
        <f>"20190312160314833"</f>
        <v>20190312160314833</v>
      </c>
      <c r="B691" t="str">
        <f>"1552377794825095"</f>
        <v>1552377794825095</v>
      </c>
      <c r="C691" t="s">
        <v>40</v>
      </c>
      <c r="D691">
        <v>5.2824470000000003</v>
      </c>
      <c r="E691">
        <v>0.50601409999999902</v>
      </c>
      <c r="F691" t="s">
        <v>41</v>
      </c>
      <c r="G691">
        <v>-322.5256</v>
      </c>
      <c r="H691" s="1">
        <v>-3.5464870000000001E-6</v>
      </c>
      <c r="I691">
        <v>367.59989999999999</v>
      </c>
      <c r="J691">
        <v>-351.8005</v>
      </c>
      <c r="K691">
        <v>1.1088089999999999</v>
      </c>
      <c r="L691">
        <v>368.04899999999998</v>
      </c>
      <c r="M691">
        <v>0.9999768</v>
      </c>
      <c r="N691">
        <v>0</v>
      </c>
      <c r="O691">
        <v>-1.4558010000000001E-3</v>
      </c>
      <c r="P691">
        <v>0.99932509999999997</v>
      </c>
      <c r="Q691">
        <v>3.6508489999999998E-2</v>
      </c>
      <c r="R691">
        <v>4.0868140000000002E-3</v>
      </c>
      <c r="S691">
        <v>3.006348</v>
      </c>
      <c r="T691">
        <v>-0.1129365</v>
      </c>
      <c r="U691">
        <v>-4.5776369999999997E-2</v>
      </c>
      <c r="V691">
        <v>-5.5407169999999997E-3</v>
      </c>
      <c r="W691">
        <v>4.3179259999999997E-2</v>
      </c>
      <c r="X691">
        <v>0.99905200000000005</v>
      </c>
      <c r="Y691">
        <v>1.376045E-2</v>
      </c>
      <c r="Z691">
        <v>-2.036893E-4</v>
      </c>
      <c r="AA691">
        <v>0.9999053</v>
      </c>
      <c r="AB691">
        <v>49</v>
      </c>
      <c r="AC691">
        <v>29.274899999999999</v>
      </c>
      <c r="AD691">
        <v>-1.108812546487</v>
      </c>
      <c r="AE691">
        <v>-0.44910000000004402</v>
      </c>
      <c r="AF691">
        <v>0.40589799476386101</v>
      </c>
      <c r="AG691">
        <v>-1.108812546487</v>
      </c>
      <c r="AH691">
        <v>29.233594665639899</v>
      </c>
      <c r="AI691">
        <v>92.171943832508205</v>
      </c>
      <c r="AJ691">
        <v>89.204519732175996</v>
      </c>
      <c r="AK691">
        <v>29.2574311162195</v>
      </c>
      <c r="AL691">
        <v>87.525241280703497</v>
      </c>
      <c r="AM691">
        <v>90.317757679125293</v>
      </c>
      <c r="AN691">
        <v>1.0000000233715101</v>
      </c>
    </row>
    <row r="692" spans="1:40" x14ac:dyDescent="0.25">
      <c r="A692" t="str">
        <f>"20190312160314844"</f>
        <v>20190312160314844</v>
      </c>
      <c r="B692" t="str">
        <f>"1552377794835831"</f>
        <v>1552377794835831</v>
      </c>
      <c r="C692" t="s">
        <v>40</v>
      </c>
      <c r="D692">
        <v>5.2639820000000004</v>
      </c>
      <c r="E692">
        <v>0.50618629999999998</v>
      </c>
      <c r="F692" t="s">
        <v>41</v>
      </c>
      <c r="G692">
        <v>-321.95420000000001</v>
      </c>
      <c r="H692" s="1">
        <v>-3.7966869999999999E-6</v>
      </c>
      <c r="I692">
        <v>367.57150000000001</v>
      </c>
      <c r="J692">
        <v>-351.56060000000002</v>
      </c>
      <c r="K692">
        <v>1.1088309999999999</v>
      </c>
      <c r="L692">
        <v>368.0487</v>
      </c>
      <c r="M692">
        <v>0.99997630000000004</v>
      </c>
      <c r="N692">
        <v>0</v>
      </c>
      <c r="O692">
        <v>-1.4546330000000001E-3</v>
      </c>
      <c r="P692">
        <v>0.99933079999999996</v>
      </c>
      <c r="Q692">
        <v>3.6355909999999998E-2</v>
      </c>
      <c r="R692">
        <v>4.0351370000000003E-3</v>
      </c>
      <c r="S692">
        <v>3.0063170000000001</v>
      </c>
      <c r="T692">
        <v>-0.11168649999999999</v>
      </c>
      <c r="U692">
        <v>-4.8095699999999998E-2</v>
      </c>
      <c r="V692">
        <v>-5.4873810000000004E-3</v>
      </c>
      <c r="W692">
        <v>4.3104950000000003E-2</v>
      </c>
      <c r="X692">
        <v>0.99905549999999999</v>
      </c>
      <c r="Y692">
        <v>1.4532649999999999E-2</v>
      </c>
      <c r="Z692">
        <v>-2.1581850000000001E-4</v>
      </c>
      <c r="AA692">
        <v>0.99989439999999996</v>
      </c>
      <c r="AB692">
        <v>49</v>
      </c>
      <c r="AC692">
        <v>29.606400000000001</v>
      </c>
      <c r="AD692">
        <v>-1.10883479668699</v>
      </c>
      <c r="AE692">
        <v>-0.47719999999998203</v>
      </c>
      <c r="AF692">
        <v>0.43352413040195398</v>
      </c>
      <c r="AG692">
        <v>-1.10883479668699</v>
      </c>
      <c r="AH692">
        <v>29.565602163835798</v>
      </c>
      <c r="AI692">
        <v>92.147596131892399</v>
      </c>
      <c r="AJ692">
        <v>89.159925007263595</v>
      </c>
      <c r="AK692">
        <v>29.589563854308501</v>
      </c>
      <c r="AL692">
        <v>87.529502889621</v>
      </c>
      <c r="AM692">
        <v>90.314697842372595</v>
      </c>
      <c r="AN692">
        <v>1.0000000200724899</v>
      </c>
    </row>
    <row r="693" spans="1:40" x14ac:dyDescent="0.25">
      <c r="A693" t="str">
        <f>"20190312160314855"</f>
        <v>20190312160314855</v>
      </c>
      <c r="B693" t="str">
        <f>"1552377794845591"</f>
        <v>1552377794845591</v>
      </c>
      <c r="C693" t="s">
        <v>40</v>
      </c>
      <c r="D693">
        <v>5.2561589999999896</v>
      </c>
      <c r="E693">
        <v>0.50615969999999999</v>
      </c>
      <c r="F693" t="s">
        <v>41</v>
      </c>
      <c r="G693">
        <v>-321.62099999999998</v>
      </c>
      <c r="H693" s="1">
        <v>-3.9420459999999997E-6</v>
      </c>
      <c r="I693">
        <v>367.55779999999999</v>
      </c>
      <c r="J693">
        <v>-351.32240000000002</v>
      </c>
      <c r="K693">
        <v>1.1088439999999999</v>
      </c>
      <c r="L693">
        <v>368.04829999999998</v>
      </c>
      <c r="M693">
        <v>0.99997559999999996</v>
      </c>
      <c r="N693">
        <v>0</v>
      </c>
      <c r="O693">
        <v>-1.453109E-3</v>
      </c>
      <c r="P693">
        <v>0.99933819999999995</v>
      </c>
      <c r="Q693">
        <v>3.6154579999999999E-2</v>
      </c>
      <c r="R693">
        <v>4.0286580000000001E-3</v>
      </c>
      <c r="S693">
        <v>3.006256</v>
      </c>
      <c r="T693">
        <v>-0.1113384</v>
      </c>
      <c r="U693">
        <v>-4.9285889999999999E-2</v>
      </c>
      <c r="V693">
        <v>-5.4797869999999999E-3</v>
      </c>
      <c r="W693">
        <v>4.2981560000000002E-2</v>
      </c>
      <c r="X693">
        <v>0.99906079999999997</v>
      </c>
      <c r="Y693">
        <v>1.493004E-2</v>
      </c>
      <c r="Z693">
        <v>-2.2256230000000001E-4</v>
      </c>
      <c r="AA693">
        <v>0.99988849999999996</v>
      </c>
      <c r="AB693">
        <v>49</v>
      </c>
      <c r="AC693">
        <v>29.7014</v>
      </c>
      <c r="AD693">
        <v>-1.108847942046</v>
      </c>
      <c r="AE693">
        <v>-0.49049999999999699</v>
      </c>
      <c r="AF693">
        <v>0.446716653794894</v>
      </c>
      <c r="AG693">
        <v>-1.108847942046</v>
      </c>
      <c r="AH693">
        <v>29.660752503643199</v>
      </c>
      <c r="AI693">
        <v>92.140725876554995</v>
      </c>
      <c r="AJ693">
        <v>89.137141111747496</v>
      </c>
      <c r="AK693">
        <v>29.684833477884499</v>
      </c>
      <c r="AL693">
        <v>87.536579031620604</v>
      </c>
      <c r="AM693">
        <v>90.314260672876102</v>
      </c>
      <c r="AN693">
        <v>0.99999996233111799</v>
      </c>
    </row>
    <row r="694" spans="1:40" x14ac:dyDescent="0.25">
      <c r="A694" t="str">
        <f>"20190312160314878"</f>
        <v>20190312160314878</v>
      </c>
      <c r="B694" t="str">
        <f>"1552377794865114"</f>
        <v>1552377794865114</v>
      </c>
      <c r="C694" t="s">
        <v>40</v>
      </c>
      <c r="D694">
        <v>5.2452839999999998</v>
      </c>
      <c r="E694">
        <v>0.50614950000000003</v>
      </c>
      <c r="F694" t="s">
        <v>41</v>
      </c>
      <c r="G694">
        <v>-321.01519999999999</v>
      </c>
      <c r="H694" s="1">
        <v>-4.2031670000000004E-6</v>
      </c>
      <c r="I694">
        <v>367.55079999999998</v>
      </c>
      <c r="J694">
        <v>-350.81909999999999</v>
      </c>
      <c r="K694">
        <v>1.1088690000000001</v>
      </c>
      <c r="L694">
        <v>368.04759999999999</v>
      </c>
      <c r="M694">
        <v>0.99997469999999999</v>
      </c>
      <c r="N694">
        <v>0</v>
      </c>
      <c r="O694">
        <v>-1.4503299999999999E-3</v>
      </c>
      <c r="P694">
        <v>0.99934659999999997</v>
      </c>
      <c r="Q694">
        <v>3.5933199999999998E-2</v>
      </c>
      <c r="R694">
        <v>3.964413E-3</v>
      </c>
      <c r="S694">
        <v>3.0061650000000002</v>
      </c>
      <c r="T694">
        <v>-0.1099863</v>
      </c>
      <c r="U694">
        <v>-4.9346920000000002E-2</v>
      </c>
      <c r="V694">
        <v>-5.4131070000000003E-3</v>
      </c>
      <c r="W694">
        <v>4.2921059999999997E-2</v>
      </c>
      <c r="X694">
        <v>0.99906379999999995</v>
      </c>
      <c r="Y694">
        <v>1.495381E-2</v>
      </c>
      <c r="Z694">
        <v>-2.2040420000000001E-4</v>
      </c>
      <c r="AA694">
        <v>0.9998882</v>
      </c>
      <c r="AB694">
        <v>49</v>
      </c>
      <c r="AC694">
        <v>29.803899999999999</v>
      </c>
      <c r="AD694">
        <v>-1.1088732031669899</v>
      </c>
      <c r="AE694">
        <v>-0.49680000000000701</v>
      </c>
      <c r="AF694">
        <v>0.45294611811882701</v>
      </c>
      <c r="AG694">
        <v>-1.1088732031669899</v>
      </c>
      <c r="AH694">
        <v>29.763400362485601</v>
      </c>
      <c r="AI694">
        <v>92.133393265161402</v>
      </c>
      <c r="AJ694">
        <v>89.128127248925594</v>
      </c>
      <c r="AK694">
        <v>29.787493367254498</v>
      </c>
      <c r="AL694">
        <v>87.540048715564197</v>
      </c>
      <c r="AM694">
        <v>90.310435780210994</v>
      </c>
      <c r="AN694">
        <v>0.99999999779467796</v>
      </c>
    </row>
    <row r="695" spans="1:40" x14ac:dyDescent="0.25">
      <c r="A695" t="str">
        <f>"20190312160314889"</f>
        <v>20190312160314889</v>
      </c>
      <c r="B695" t="str">
        <f>"1552377794885608"</f>
        <v>1552377794885608</v>
      </c>
      <c r="C695" t="s">
        <v>40</v>
      </c>
      <c r="D695">
        <v>5.3022640000000001</v>
      </c>
      <c r="E695">
        <v>0.50640750000000001</v>
      </c>
      <c r="F695" t="s">
        <v>43</v>
      </c>
      <c r="G695">
        <v>-317.89409999999998</v>
      </c>
      <c r="H695">
        <v>-0.05</v>
      </c>
      <c r="I695">
        <v>367.51069999999999</v>
      </c>
      <c r="J695">
        <v>-350.5908</v>
      </c>
      <c r="K695">
        <v>1.1088789999999999</v>
      </c>
      <c r="L695">
        <v>368.04719999999998</v>
      </c>
      <c r="M695">
        <v>0.99997409999999998</v>
      </c>
      <c r="N695">
        <v>0</v>
      </c>
      <c r="O695">
        <v>-1.4486739999999901E-3</v>
      </c>
      <c r="P695">
        <v>0.9993495</v>
      </c>
      <c r="Q695">
        <v>3.5854539999999997E-2</v>
      </c>
      <c r="R695">
        <v>3.9053970000000001E-3</v>
      </c>
      <c r="S695">
        <v>3.0059200000000001</v>
      </c>
      <c r="T695">
        <v>-0.1058003</v>
      </c>
      <c r="U695">
        <v>-4.9011230000000003E-2</v>
      </c>
      <c r="V695">
        <v>-5.3521300000000001E-3</v>
      </c>
      <c r="W695">
        <v>4.2913899999999998E-2</v>
      </c>
      <c r="X695">
        <v>0.99906439999999996</v>
      </c>
      <c r="Y695">
        <v>1.48459E-2</v>
      </c>
      <c r="Z695">
        <v>-2.101983E-4</v>
      </c>
      <c r="AA695">
        <v>0.99988980000000005</v>
      </c>
      <c r="AB695">
        <v>49</v>
      </c>
      <c r="AC695">
        <v>32.6967</v>
      </c>
      <c r="AD695">
        <v>-1.158879</v>
      </c>
      <c r="AE695">
        <v>-0.53649999999998899</v>
      </c>
      <c r="AF695">
        <v>0.48851787623372001</v>
      </c>
      <c r="AG695">
        <v>-1.158879</v>
      </c>
      <c r="AH695">
        <v>32.656430054009</v>
      </c>
      <c r="AI695">
        <v>92.032175750048594</v>
      </c>
      <c r="AJ695">
        <v>89.142958220485298</v>
      </c>
      <c r="AK695">
        <v>32.680637602782802</v>
      </c>
      <c r="AL695">
        <v>87.540459242917805</v>
      </c>
      <c r="AM695">
        <v>90.306938698746393</v>
      </c>
      <c r="AN695">
        <v>0.99999996172805194</v>
      </c>
    </row>
    <row r="696" spans="1:40" x14ac:dyDescent="0.25">
      <c r="A696" t="str">
        <f>"20190312160314900"</f>
        <v>20190312160314900</v>
      </c>
      <c r="B696" t="str">
        <f>"1552377794895368"</f>
        <v>1552377794895368</v>
      </c>
      <c r="C696" t="s">
        <v>40</v>
      </c>
      <c r="D696">
        <v>5.251665</v>
      </c>
      <c r="E696">
        <v>0.50634869999999998</v>
      </c>
      <c r="F696" t="s">
        <v>43</v>
      </c>
      <c r="G696">
        <v>-317.13979999999998</v>
      </c>
      <c r="H696">
        <v>-0.05</v>
      </c>
      <c r="I696">
        <v>367.47430000000003</v>
      </c>
      <c r="J696">
        <v>-350.33760000000001</v>
      </c>
      <c r="K696">
        <v>1.108887</v>
      </c>
      <c r="L696">
        <v>368.04689999999999</v>
      </c>
      <c r="M696">
        <v>0.99997349999999996</v>
      </c>
      <c r="N696">
        <v>0</v>
      </c>
      <c r="O696">
        <v>-1.4472739999999999E-3</v>
      </c>
      <c r="P696">
        <v>0.99935960000000001</v>
      </c>
      <c r="Q696">
        <v>3.560029E-2</v>
      </c>
      <c r="R696">
        <v>3.6266079999999999E-3</v>
      </c>
      <c r="S696">
        <v>3.0058590000000001</v>
      </c>
      <c r="T696">
        <v>-0.1041354</v>
      </c>
      <c r="U696">
        <v>-5.1483149999999998E-2</v>
      </c>
      <c r="V696">
        <v>-5.0720510000000002E-3</v>
      </c>
      <c r="W696">
        <v>4.2735259999999997E-2</v>
      </c>
      <c r="X696">
        <v>0.99907360000000001</v>
      </c>
      <c r="Y696">
        <v>1.566944E-2</v>
      </c>
      <c r="Z696">
        <v>-2.2120399999999999E-4</v>
      </c>
      <c r="AA696">
        <v>0.99987720000000002</v>
      </c>
      <c r="AB696">
        <v>49</v>
      </c>
      <c r="AC696">
        <v>33.197800000000001</v>
      </c>
      <c r="AD696">
        <v>-1.158887</v>
      </c>
      <c r="AE696">
        <v>-0.57259999999996503</v>
      </c>
      <c r="AF696">
        <v>0.52391360977561097</v>
      </c>
      <c r="AG696">
        <v>-1.158887</v>
      </c>
      <c r="AH696">
        <v>33.158199172864101</v>
      </c>
      <c r="AI696">
        <v>92.001436830565098</v>
      </c>
      <c r="AJ696">
        <v>89.094777709365701</v>
      </c>
      <c r="AK696">
        <v>33.182580926392703</v>
      </c>
      <c r="AL696">
        <v>87.550704159437402</v>
      </c>
      <c r="AM696">
        <v>90.2908740849183</v>
      </c>
      <c r="AN696">
        <v>1.00000004318278</v>
      </c>
    </row>
    <row r="697" spans="1:40" x14ac:dyDescent="0.25">
      <c r="A697" t="str">
        <f>"20190312160314912"</f>
        <v>20190312160314912</v>
      </c>
      <c r="B697" t="str">
        <f>"1552377794905128"</f>
        <v>1552377794905128</v>
      </c>
      <c r="C697" t="s">
        <v>40</v>
      </c>
      <c r="D697">
        <v>5.2575219999999998</v>
      </c>
      <c r="E697">
        <v>0.50639659999999997</v>
      </c>
      <c r="F697" t="s">
        <v>43</v>
      </c>
      <c r="G697">
        <v>-316.5059</v>
      </c>
      <c r="H697">
        <v>-0.05</v>
      </c>
      <c r="I697">
        <v>367.46609999999998</v>
      </c>
      <c r="J697">
        <v>-350.06459999999998</v>
      </c>
      <c r="K697">
        <v>1.1088849999999999</v>
      </c>
      <c r="L697">
        <v>368.04649999999998</v>
      </c>
      <c r="M697">
        <v>0.999973</v>
      </c>
      <c r="N697">
        <v>0</v>
      </c>
      <c r="O697">
        <v>-1.445532E-3</v>
      </c>
      <c r="P697">
        <v>0.99935249999999998</v>
      </c>
      <c r="Q697">
        <v>3.5800609999999997E-2</v>
      </c>
      <c r="R697">
        <v>3.6424740000000001E-3</v>
      </c>
      <c r="S697">
        <v>3.005798</v>
      </c>
      <c r="T697">
        <v>-0.1029621</v>
      </c>
      <c r="U697">
        <v>-5.160522E-2</v>
      </c>
      <c r="V697">
        <v>-5.0858049999999997E-3</v>
      </c>
      <c r="W697">
        <v>4.3014429999999999E-2</v>
      </c>
      <c r="X697">
        <v>0.99906150000000005</v>
      </c>
      <c r="Y697">
        <v>1.571229E-2</v>
      </c>
      <c r="Z697">
        <v>-2.1951079999999999E-4</v>
      </c>
      <c r="AA697">
        <v>0.9998766</v>
      </c>
      <c r="AB697">
        <v>49</v>
      </c>
      <c r="AC697">
        <v>33.558699999999902</v>
      </c>
      <c r="AD697">
        <v>-1.1588849999999999</v>
      </c>
      <c r="AE697">
        <v>-0.58039999999999703</v>
      </c>
      <c r="AF697">
        <v>0.531254610488607</v>
      </c>
      <c r="AG697">
        <v>-1.1588849999999999</v>
      </c>
      <c r="AH697">
        <v>33.519542735680297</v>
      </c>
      <c r="AI697">
        <v>91.979873495859707</v>
      </c>
      <c r="AJ697">
        <v>89.091989440802493</v>
      </c>
      <c r="AK697">
        <v>33.543777233840103</v>
      </c>
      <c r="AL697">
        <v>87.534694053259798</v>
      </c>
      <c r="AM697">
        <v>90.291666373783102</v>
      </c>
      <c r="AN697">
        <v>0.99999999369148596</v>
      </c>
    </row>
    <row r="698" spans="1:40" x14ac:dyDescent="0.25">
      <c r="A698" t="str">
        <f>"20190312160314923"</f>
        <v>20190312160314923</v>
      </c>
      <c r="B698" t="str">
        <f>"1552377794915863"</f>
        <v>1552377794915863</v>
      </c>
      <c r="C698" t="s">
        <v>40</v>
      </c>
      <c r="D698">
        <v>5.262937</v>
      </c>
      <c r="E698">
        <v>0.50631839999999995</v>
      </c>
      <c r="F698" t="s">
        <v>43</v>
      </c>
      <c r="G698">
        <v>-315.70850000000002</v>
      </c>
      <c r="H698">
        <v>-0.05</v>
      </c>
      <c r="I698">
        <v>367.45420000000001</v>
      </c>
      <c r="J698">
        <v>-349.8134</v>
      </c>
      <c r="K698">
        <v>1.108887</v>
      </c>
      <c r="L698">
        <v>368.04610000000002</v>
      </c>
      <c r="M698">
        <v>0.99997239999999998</v>
      </c>
      <c r="N698">
        <v>0</v>
      </c>
      <c r="O698">
        <v>-1.4439979999999999E-3</v>
      </c>
      <c r="P698">
        <v>0.99935759999999996</v>
      </c>
      <c r="Q698">
        <v>3.565629E-2</v>
      </c>
      <c r="R698">
        <v>3.591585E-3</v>
      </c>
      <c r="S698">
        <v>3.0057369999999999</v>
      </c>
      <c r="T698">
        <v>-0.10138809999999999</v>
      </c>
      <c r="U698">
        <v>-5.181885E-2</v>
      </c>
      <c r="V698">
        <v>-5.0334189999999999E-3</v>
      </c>
      <c r="W698">
        <v>4.2940109999999997E-2</v>
      </c>
      <c r="X698">
        <v>0.99906499999999998</v>
      </c>
      <c r="Y698">
        <v>1.5785420000000001E-2</v>
      </c>
      <c r="Z698">
        <v>-2.1744590000000001E-4</v>
      </c>
      <c r="AA698">
        <v>0.99987539999999997</v>
      </c>
      <c r="AB698">
        <v>49</v>
      </c>
      <c r="AC698">
        <v>34.104899999999901</v>
      </c>
      <c r="AD698">
        <v>-1.158887</v>
      </c>
      <c r="AE698">
        <v>-0.59190000000000897</v>
      </c>
      <c r="AF698">
        <v>0.542025009344411</v>
      </c>
      <c r="AG698">
        <v>-1.158887</v>
      </c>
      <c r="AH698">
        <v>34.066396403725101</v>
      </c>
      <c r="AI698">
        <v>91.948117551689705</v>
      </c>
      <c r="AJ698">
        <v>89.088452890103994</v>
      </c>
      <c r="AK698">
        <v>34.090411762330703</v>
      </c>
      <c r="AL698">
        <v>87.538956306229807</v>
      </c>
      <c r="AM698">
        <v>90.288661123333597</v>
      </c>
      <c r="AN698">
        <v>1.00000003128932</v>
      </c>
    </row>
    <row r="699" spans="1:40" x14ac:dyDescent="0.25">
      <c r="A699" t="str">
        <f>"20190312160314935"</f>
        <v>20190312160314935</v>
      </c>
      <c r="B699" t="str">
        <f>"1552377794925624"</f>
        <v>1552377794925624</v>
      </c>
      <c r="C699" t="s">
        <v>40</v>
      </c>
      <c r="D699">
        <v>5.2614749999999999</v>
      </c>
      <c r="E699">
        <v>0.50635659999999905</v>
      </c>
      <c r="F699" t="s">
        <v>43</v>
      </c>
      <c r="G699">
        <v>-314.76900000000001</v>
      </c>
      <c r="H699">
        <v>-0.05</v>
      </c>
      <c r="I699">
        <v>367.44909999999999</v>
      </c>
      <c r="J699">
        <v>-349.56959999999998</v>
      </c>
      <c r="K699">
        <v>1.108889</v>
      </c>
      <c r="L699">
        <v>368.04579999999999</v>
      </c>
      <c r="M699">
        <v>0.99997190000000002</v>
      </c>
      <c r="N699">
        <v>0</v>
      </c>
      <c r="O699">
        <v>-1.442327E-3</v>
      </c>
      <c r="P699">
        <v>0.99935960000000001</v>
      </c>
      <c r="Q699">
        <v>3.5604320000000002E-2</v>
      </c>
      <c r="R699">
        <v>3.6108350000000002E-3</v>
      </c>
      <c r="S699">
        <v>3.005646</v>
      </c>
      <c r="T699">
        <v>-9.9394079999999996E-2</v>
      </c>
      <c r="U699">
        <v>-5.1208499999999997E-2</v>
      </c>
      <c r="V699">
        <v>-5.0510429999999999E-3</v>
      </c>
      <c r="W699">
        <v>4.295202E-2</v>
      </c>
      <c r="X699">
        <v>0.99906439999999996</v>
      </c>
      <c r="Y699">
        <v>1.558506E-2</v>
      </c>
      <c r="Z699">
        <v>-2.09922E-4</v>
      </c>
      <c r="AA699">
        <v>0.9998785</v>
      </c>
      <c r="AB699">
        <v>49</v>
      </c>
      <c r="AC699">
        <v>34.800599999999903</v>
      </c>
      <c r="AD699">
        <v>-1.1588889999999901</v>
      </c>
      <c r="AE699">
        <v>-0.59669999999999801</v>
      </c>
      <c r="AF699">
        <v>0.54589898172075901</v>
      </c>
      <c r="AG699">
        <v>-1.1588889999999901</v>
      </c>
      <c r="AH699">
        <v>34.7628856431255</v>
      </c>
      <c r="AI699">
        <v>91.909124907001598</v>
      </c>
      <c r="AJ699">
        <v>89.100329662854307</v>
      </c>
      <c r="AK699">
        <v>34.7864808172598</v>
      </c>
      <c r="AL699">
        <v>87.538273285604106</v>
      </c>
      <c r="AM699">
        <v>90.289671997398997</v>
      </c>
      <c r="AN699">
        <v>1.0000000322024101</v>
      </c>
    </row>
    <row r="700" spans="1:40" x14ac:dyDescent="0.25">
      <c r="A700" t="str">
        <f>"20190312160314945"</f>
        <v>20190312160314945</v>
      </c>
      <c r="B700" t="str">
        <f>"1552377794935383"</f>
        <v>1552377794935383</v>
      </c>
      <c r="C700" t="s">
        <v>40</v>
      </c>
      <c r="D700">
        <v>5.2383360000000003</v>
      </c>
      <c r="E700">
        <v>0.50637349999999903</v>
      </c>
      <c r="F700" t="s">
        <v>43</v>
      </c>
      <c r="G700">
        <v>-314.50060000000002</v>
      </c>
      <c r="H700">
        <v>-0.05</v>
      </c>
      <c r="I700">
        <v>367.44470000000001</v>
      </c>
      <c r="J700">
        <v>-349.32799999999997</v>
      </c>
      <c r="K700">
        <v>1.1088880000000001</v>
      </c>
      <c r="L700">
        <v>368.04539999999997</v>
      </c>
      <c r="M700">
        <v>0.99997150000000001</v>
      </c>
      <c r="N700">
        <v>0</v>
      </c>
      <c r="O700">
        <v>-1.4410079999999999E-3</v>
      </c>
      <c r="P700">
        <v>0.99936130000000001</v>
      </c>
      <c r="Q700">
        <v>3.555287E-2</v>
      </c>
      <c r="R700">
        <v>3.654703E-3</v>
      </c>
      <c r="S700">
        <v>3.005646</v>
      </c>
      <c r="T700">
        <v>-9.9324460000000003E-2</v>
      </c>
      <c r="U700">
        <v>-5.1513669999999998E-2</v>
      </c>
      <c r="V700">
        <v>-5.093439E-3</v>
      </c>
      <c r="W700">
        <v>4.2962979999999998E-2</v>
      </c>
      <c r="X700">
        <v>0.9990637</v>
      </c>
      <c r="Y700">
        <v>1.568783E-2</v>
      </c>
      <c r="Z700">
        <v>-2.1151580000000001E-4</v>
      </c>
      <c r="AA700">
        <v>0.99987689999999996</v>
      </c>
      <c r="AB700">
        <v>49</v>
      </c>
      <c r="AC700">
        <v>34.827399999999997</v>
      </c>
      <c r="AD700">
        <v>-1.1588879999999999</v>
      </c>
      <c r="AE700">
        <v>-0.60069999999996004</v>
      </c>
      <c r="AF700">
        <v>0.54990274410845696</v>
      </c>
      <c r="AG700">
        <v>-1.1588879999999999</v>
      </c>
      <c r="AH700">
        <v>34.7897204452767</v>
      </c>
      <c r="AI700">
        <v>91.907648668965805</v>
      </c>
      <c r="AJ700">
        <v>89.094431274226096</v>
      </c>
      <c r="AK700">
        <v>34.813360410696099</v>
      </c>
      <c r="AL700">
        <v>87.537644710441697</v>
      </c>
      <c r="AM700">
        <v>90.292103526063201</v>
      </c>
      <c r="AN700">
        <v>1.0000000187144999</v>
      </c>
    </row>
    <row r="701" spans="1:40" x14ac:dyDescent="0.25">
      <c r="A701" t="str">
        <f>"20190312160314955"</f>
        <v>20190312160314955</v>
      </c>
      <c r="B701" t="str">
        <f>"1552377794945144"</f>
        <v>1552377794945144</v>
      </c>
      <c r="C701" t="s">
        <v>40</v>
      </c>
      <c r="D701">
        <v>5.2659320000000003</v>
      </c>
      <c r="E701">
        <v>0.50635370000000002</v>
      </c>
      <c r="F701" t="s">
        <v>43</v>
      </c>
      <c r="G701">
        <v>-314.00880000000001</v>
      </c>
      <c r="H701">
        <v>-0.05</v>
      </c>
      <c r="I701">
        <v>367.44119999999998</v>
      </c>
      <c r="J701">
        <v>-349.0992</v>
      </c>
      <c r="K701">
        <v>1.108886</v>
      </c>
      <c r="L701">
        <v>368.04509999999999</v>
      </c>
      <c r="M701">
        <v>0.9999711</v>
      </c>
      <c r="N701">
        <v>0</v>
      </c>
      <c r="O701">
        <v>-1.4395439999999901E-3</v>
      </c>
      <c r="P701">
        <v>0.99936570000000002</v>
      </c>
      <c r="Q701">
        <v>3.5444539999999997E-2</v>
      </c>
      <c r="R701">
        <v>3.502841E-3</v>
      </c>
      <c r="S701">
        <v>3.0056150000000001</v>
      </c>
      <c r="T701">
        <v>-9.8619819999999997E-2</v>
      </c>
      <c r="U701">
        <v>-5.1422120000000002E-2</v>
      </c>
      <c r="V701">
        <v>-4.9405279999999996E-3</v>
      </c>
      <c r="W701">
        <v>4.2909139999999998E-2</v>
      </c>
      <c r="X701">
        <v>0.99906680000000003</v>
      </c>
      <c r="Y701">
        <v>1.5659139999999998E-2</v>
      </c>
      <c r="Z701">
        <v>-2.095957E-4</v>
      </c>
      <c r="AA701">
        <v>0.99987740000000003</v>
      </c>
      <c r="AB701">
        <v>49</v>
      </c>
      <c r="AC701">
        <v>35.090399999999903</v>
      </c>
      <c r="AD701">
        <v>-1.1588860000000001</v>
      </c>
      <c r="AE701">
        <v>-0.60390000000000998</v>
      </c>
      <c r="AF701">
        <v>0.55278105284586199</v>
      </c>
      <c r="AG701">
        <v>-1.1588860000000001</v>
      </c>
      <c r="AH701">
        <v>35.053012049695504</v>
      </c>
      <c r="AI701">
        <v>91.893328157397093</v>
      </c>
      <c r="AJ701">
        <v>89.096528532810794</v>
      </c>
      <c r="AK701">
        <v>35.076519744830399</v>
      </c>
      <c r="AL701">
        <v>87.540732407482906</v>
      </c>
      <c r="AM701">
        <v>90.283333502373793</v>
      </c>
      <c r="AN701">
        <v>1.0000000369873401</v>
      </c>
    </row>
    <row r="702" spans="1:40" x14ac:dyDescent="0.25">
      <c r="A702" t="str">
        <f>"20190312160314968"</f>
        <v>20190312160314968</v>
      </c>
      <c r="B702" t="str">
        <f>"1552377794955880"</f>
        <v>1552377794955880</v>
      </c>
      <c r="C702" t="s">
        <v>40</v>
      </c>
      <c r="D702">
        <v>5.2570059999999996</v>
      </c>
      <c r="E702">
        <v>0.50635609999999998</v>
      </c>
      <c r="F702" t="s">
        <v>43</v>
      </c>
      <c r="G702">
        <v>-313.1703</v>
      </c>
      <c r="H702">
        <v>-0.05</v>
      </c>
      <c r="I702">
        <v>367.42739999999998</v>
      </c>
      <c r="J702">
        <v>-348.83539999999999</v>
      </c>
      <c r="K702">
        <v>1.1088849999999999</v>
      </c>
      <c r="L702">
        <v>368.04469999999998</v>
      </c>
      <c r="M702">
        <v>0.99997069999999999</v>
      </c>
      <c r="N702">
        <v>0</v>
      </c>
      <c r="O702">
        <v>-1.43810799999999E-3</v>
      </c>
      <c r="P702">
        <v>0.99937319999999996</v>
      </c>
      <c r="Q702">
        <v>3.5240939999999998E-2</v>
      </c>
      <c r="R702">
        <v>3.3902899999999998E-3</v>
      </c>
      <c r="S702">
        <v>3.005493</v>
      </c>
      <c r="T702">
        <v>-9.6942420000000001E-2</v>
      </c>
      <c r="U702">
        <v>-5.1666259999999999E-2</v>
      </c>
      <c r="V702">
        <v>-4.8266999999999997E-3</v>
      </c>
      <c r="W702">
        <v>4.2767649999999997E-2</v>
      </c>
      <c r="X702">
        <v>0.9990734</v>
      </c>
      <c r="Y702">
        <v>1.5742679999999998E-2</v>
      </c>
      <c r="Z702">
        <v>-2.0743399999999999E-4</v>
      </c>
      <c r="AA702">
        <v>0.99987610000000005</v>
      </c>
      <c r="AB702">
        <v>50</v>
      </c>
      <c r="AC702">
        <v>35.665099999999903</v>
      </c>
      <c r="AD702">
        <v>-1.1588849999999999</v>
      </c>
      <c r="AE702">
        <v>-0.61729999999999996</v>
      </c>
      <c r="AF702">
        <v>0.56541084752559101</v>
      </c>
      <c r="AG702">
        <v>-1.1588849999999999</v>
      </c>
      <c r="AH702">
        <v>35.628344695181497</v>
      </c>
      <c r="AI702">
        <v>91.862771539282804</v>
      </c>
      <c r="AJ702">
        <v>89.090809961618106</v>
      </c>
      <c r="AK702">
        <v>35.651671063056703</v>
      </c>
      <c r="AL702">
        <v>87.548846578791199</v>
      </c>
      <c r="AM702">
        <v>90.276803873895403</v>
      </c>
      <c r="AN702">
        <v>1.0000000137534799</v>
      </c>
    </row>
    <row r="703" spans="1:40" x14ac:dyDescent="0.25">
      <c r="A703" t="str">
        <f>"20190312160314981"</f>
        <v>20190312160314981</v>
      </c>
      <c r="B703" t="str">
        <f>"1552377794975400"</f>
        <v>1552377794975400</v>
      </c>
      <c r="C703" t="s">
        <v>40</v>
      </c>
      <c r="D703">
        <v>5.2538210000000003</v>
      </c>
      <c r="E703">
        <v>0.50643519999999997</v>
      </c>
      <c r="F703" t="s">
        <v>43</v>
      </c>
      <c r="G703">
        <v>-312.48309999999998</v>
      </c>
      <c r="H703">
        <v>-0.05</v>
      </c>
      <c r="I703">
        <v>367.42090000000002</v>
      </c>
      <c r="J703">
        <v>-348.54860000000002</v>
      </c>
      <c r="K703">
        <v>1.1088819999999999</v>
      </c>
      <c r="L703">
        <v>368.04430000000002</v>
      </c>
      <c r="M703">
        <v>0.99997020000000003</v>
      </c>
      <c r="N703">
        <v>0</v>
      </c>
      <c r="O703">
        <v>-1.436791E-3</v>
      </c>
      <c r="P703">
        <v>0.99936990000000003</v>
      </c>
      <c r="Q703">
        <v>3.5338580000000001E-2</v>
      </c>
      <c r="R703">
        <v>3.3548649999999998E-3</v>
      </c>
      <c r="S703">
        <v>3.0054630000000002</v>
      </c>
      <c r="T703">
        <v>-9.5811960000000002E-2</v>
      </c>
      <c r="U703">
        <v>-5.1574710000000003E-2</v>
      </c>
      <c r="V703">
        <v>-4.7899850000000001E-3</v>
      </c>
      <c r="W703">
        <v>4.292725E-2</v>
      </c>
      <c r="X703">
        <v>0.99906669999999997</v>
      </c>
      <c r="Y703">
        <v>1.5713910000000001E-2</v>
      </c>
      <c r="Z703">
        <v>-2.0460190000000001E-4</v>
      </c>
      <c r="AA703">
        <v>0.99987649999999995</v>
      </c>
      <c r="AB703">
        <v>50</v>
      </c>
      <c r="AC703">
        <v>36.0655</v>
      </c>
      <c r="AD703">
        <v>-1.158882</v>
      </c>
      <c r="AE703">
        <v>-0.62340000000000295</v>
      </c>
      <c r="AF703">
        <v>0.57098990290461005</v>
      </c>
      <c r="AG703">
        <v>-1.158882</v>
      </c>
      <c r="AH703">
        <v>36.029169105192899</v>
      </c>
      <c r="AI703">
        <v>91.842058436400094</v>
      </c>
      <c r="AJ703">
        <v>89.0920530810576</v>
      </c>
      <c r="AK703">
        <v>36.052323966281698</v>
      </c>
      <c r="AL703">
        <v>87.539693688375095</v>
      </c>
      <c r="AM703">
        <v>90.274700199274093</v>
      </c>
      <c r="AN703">
        <v>0.99999998189887596</v>
      </c>
    </row>
    <row r="704" spans="1:40" x14ac:dyDescent="0.25">
      <c r="A704" t="str">
        <f>"20190312160314994"</f>
        <v>20190312160314994</v>
      </c>
      <c r="B704" t="str">
        <f>"1552377794985160"</f>
        <v>1552377794985160</v>
      </c>
      <c r="C704" t="s">
        <v>40</v>
      </c>
      <c r="D704">
        <v>5.2282719999999996</v>
      </c>
      <c r="E704">
        <v>0.50654940000000004</v>
      </c>
      <c r="F704" t="s">
        <v>43</v>
      </c>
      <c r="G704">
        <v>-311.17110000000002</v>
      </c>
      <c r="H704">
        <v>-0.05</v>
      </c>
      <c r="I704">
        <v>367.39260000000002</v>
      </c>
      <c r="J704">
        <v>-348.25459999999998</v>
      </c>
      <c r="K704">
        <v>1.1088789999999999</v>
      </c>
      <c r="L704">
        <v>368.04390000000001</v>
      </c>
      <c r="M704">
        <v>0.99996980000000002</v>
      </c>
      <c r="N704">
        <v>0</v>
      </c>
      <c r="O704">
        <v>-1.435352E-3</v>
      </c>
      <c r="P704">
        <v>0.99937330000000002</v>
      </c>
      <c r="Q704">
        <v>3.5252789999999999E-2</v>
      </c>
      <c r="R704">
        <v>3.263363E-3</v>
      </c>
      <c r="S704">
        <v>3.0053709999999998</v>
      </c>
      <c r="T704">
        <v>-9.3180780000000005E-2</v>
      </c>
      <c r="U704">
        <v>-5.2398680000000003E-2</v>
      </c>
      <c r="V704">
        <v>-4.6966179999999996E-3</v>
      </c>
      <c r="W704">
        <v>4.2901519999999999E-2</v>
      </c>
      <c r="X704">
        <v>0.99906830000000002</v>
      </c>
      <c r="Y704">
        <v>1.599018E-2</v>
      </c>
      <c r="Z704">
        <v>-2.0331759999999999E-4</v>
      </c>
      <c r="AA704">
        <v>0.99987210000000004</v>
      </c>
      <c r="AB704">
        <v>50</v>
      </c>
      <c r="AC704">
        <v>37.083499999999901</v>
      </c>
      <c r="AD704">
        <v>-1.158879</v>
      </c>
      <c r="AE704">
        <v>-0.651299999999992</v>
      </c>
      <c r="AF704">
        <v>0.59748657764241797</v>
      </c>
      <c r="AG704">
        <v>-1.158879</v>
      </c>
      <c r="AH704">
        <v>37.0482266921641</v>
      </c>
      <c r="AI704">
        <v>91.791411181931196</v>
      </c>
      <c r="AJ704">
        <v>89.076055864958406</v>
      </c>
      <c r="AK704">
        <v>37.071162536142303</v>
      </c>
      <c r="AL704">
        <v>87.541169394773604</v>
      </c>
      <c r="AM704">
        <v>90.269345356191906</v>
      </c>
      <c r="AN704">
        <v>1.0000000333519099</v>
      </c>
    </row>
    <row r="705" spans="1:40" x14ac:dyDescent="0.25">
      <c r="A705" t="str">
        <f>"20190312160315007"</f>
        <v>20190312160315007</v>
      </c>
      <c r="B705" t="str">
        <f>"1552377794995896"</f>
        <v>1552377794995896</v>
      </c>
      <c r="C705" t="s">
        <v>40</v>
      </c>
      <c r="D705">
        <v>5.2088530000000004</v>
      </c>
      <c r="E705">
        <v>0.50663210000000003</v>
      </c>
      <c r="F705" t="s">
        <v>43</v>
      </c>
      <c r="G705">
        <v>-311.22399999999999</v>
      </c>
      <c r="H705">
        <v>-0.05</v>
      </c>
      <c r="I705">
        <v>367.3836</v>
      </c>
      <c r="J705">
        <v>-347.96449999999999</v>
      </c>
      <c r="K705">
        <v>1.1088750000000001</v>
      </c>
      <c r="L705">
        <v>368.04349999999999</v>
      </c>
      <c r="M705">
        <v>0.9999692</v>
      </c>
      <c r="N705">
        <v>0</v>
      </c>
      <c r="O705">
        <v>-1.4337830000000001E-3</v>
      </c>
      <c r="P705">
        <v>0.99936380000000002</v>
      </c>
      <c r="Q705">
        <v>3.5540540000000002E-2</v>
      </c>
      <c r="R705">
        <v>3.015982E-3</v>
      </c>
      <c r="S705">
        <v>3.0053709999999998</v>
      </c>
      <c r="T705">
        <v>-9.4053750000000005E-2</v>
      </c>
      <c r="U705">
        <v>-5.3588869999999997E-2</v>
      </c>
      <c r="V705">
        <v>-4.447398E-3</v>
      </c>
      <c r="W705">
        <v>4.3246439999999997E-2</v>
      </c>
      <c r="X705">
        <v>0.99905460000000001</v>
      </c>
      <c r="Y705">
        <v>1.6387269999999999E-2</v>
      </c>
      <c r="Z705">
        <v>-2.114812E-4</v>
      </c>
      <c r="AA705">
        <v>0.99986569999999997</v>
      </c>
      <c r="AB705">
        <v>50</v>
      </c>
      <c r="AC705">
        <v>36.740499999999997</v>
      </c>
      <c r="AD705">
        <v>-1.1588750000000001</v>
      </c>
      <c r="AE705">
        <v>-0.65989999999999305</v>
      </c>
      <c r="AF705">
        <v>0.60661651579606501</v>
      </c>
      <c r="AG705">
        <v>-1.1588750000000001</v>
      </c>
      <c r="AH705">
        <v>36.7049021792864</v>
      </c>
      <c r="AI705">
        <v>91.808138306690296</v>
      </c>
      <c r="AJ705">
        <v>89.053167283933107</v>
      </c>
      <c r="AK705">
        <v>36.728201955089503</v>
      </c>
      <c r="AL705">
        <v>87.521388651843097</v>
      </c>
      <c r="AM705">
        <v>90.255056582507905</v>
      </c>
      <c r="AN705">
        <v>1.0000000638513999</v>
      </c>
    </row>
    <row r="706" spans="1:40" x14ac:dyDescent="0.25">
      <c r="A706" t="str">
        <f>"20190312160315025"</f>
        <v>20190312160315025</v>
      </c>
      <c r="B706" t="str">
        <f>"1552377795015415"</f>
        <v>1552377795015415</v>
      </c>
      <c r="C706" t="s">
        <v>40</v>
      </c>
      <c r="D706">
        <v>5.2275109999999998</v>
      </c>
      <c r="E706">
        <v>0.50664220000000004</v>
      </c>
      <c r="F706" t="s">
        <v>43</v>
      </c>
      <c r="G706">
        <v>-310.63470000000001</v>
      </c>
      <c r="H706">
        <v>-0.05</v>
      </c>
      <c r="I706">
        <v>367.35579999999999</v>
      </c>
      <c r="J706">
        <v>-347.58539999999999</v>
      </c>
      <c r="K706">
        <v>1.1088690000000001</v>
      </c>
      <c r="L706">
        <v>368.04289999999997</v>
      </c>
      <c r="M706">
        <v>0.99996870000000004</v>
      </c>
      <c r="N706">
        <v>0</v>
      </c>
      <c r="O706">
        <v>-1.431781E-3</v>
      </c>
      <c r="P706">
        <v>0.99936829999999999</v>
      </c>
      <c r="Q706">
        <v>3.5425390000000001E-2</v>
      </c>
      <c r="R706">
        <v>2.8796590000000001E-3</v>
      </c>
      <c r="S706">
        <v>3.0054020000000001</v>
      </c>
      <c r="T706">
        <v>-9.3300460000000002E-2</v>
      </c>
      <c r="U706">
        <v>-5.5358890000000001E-2</v>
      </c>
      <c r="V706">
        <v>-4.3092540000000002E-3</v>
      </c>
      <c r="W706">
        <v>4.3198319999999998E-2</v>
      </c>
      <c r="X706">
        <v>0.99905719999999998</v>
      </c>
      <c r="Y706">
        <v>1.6977590000000001E-2</v>
      </c>
      <c r="Z706">
        <v>-2.1900730000000001E-4</v>
      </c>
      <c r="AA706">
        <v>0.99985590000000002</v>
      </c>
      <c r="AB706">
        <v>50</v>
      </c>
      <c r="AC706">
        <v>36.950699999999898</v>
      </c>
      <c r="AD706">
        <v>-1.1588689999999999</v>
      </c>
      <c r="AE706">
        <v>-0.68709999999998606</v>
      </c>
      <c r="AF706">
        <v>0.633569413330064</v>
      </c>
      <c r="AG706">
        <v>-1.1588689999999999</v>
      </c>
      <c r="AH706">
        <v>36.915348140370199</v>
      </c>
      <c r="AI706">
        <v>91.797808765679207</v>
      </c>
      <c r="AJ706">
        <v>89.016742585261298</v>
      </c>
      <c r="AK706">
        <v>36.938967444764899</v>
      </c>
      <c r="AL706">
        <v>87.524148087619807</v>
      </c>
      <c r="AM706">
        <v>90.247133533379696</v>
      </c>
      <c r="AN706">
        <v>0.99999997669634899</v>
      </c>
    </row>
    <row r="707" spans="1:40" x14ac:dyDescent="0.25">
      <c r="A707" t="str">
        <f>"20190312160315036"</f>
        <v>20190312160315036</v>
      </c>
      <c r="B707" t="str">
        <f>"1552377795025176"</f>
        <v>1552377795025176</v>
      </c>
      <c r="C707" t="s">
        <v>40</v>
      </c>
      <c r="D707">
        <v>5.2131080000000001</v>
      </c>
      <c r="E707">
        <v>0.50663800000000003</v>
      </c>
      <c r="F707" t="s">
        <v>43</v>
      </c>
      <c r="G707">
        <v>-308.72570000000002</v>
      </c>
      <c r="H707">
        <v>-0.05</v>
      </c>
      <c r="I707">
        <v>367.32510000000002</v>
      </c>
      <c r="J707">
        <v>-347.31639999999999</v>
      </c>
      <c r="K707">
        <v>1.108865</v>
      </c>
      <c r="L707">
        <v>368.04250000000002</v>
      </c>
      <c r="M707">
        <v>0.99996830000000003</v>
      </c>
      <c r="N707">
        <v>0</v>
      </c>
      <c r="O707">
        <v>-1.430286E-3</v>
      </c>
      <c r="P707">
        <v>0.99936320000000001</v>
      </c>
      <c r="Q707">
        <v>3.556086E-2</v>
      </c>
      <c r="R707">
        <v>2.9788420000000002E-3</v>
      </c>
      <c r="S707">
        <v>3.005188</v>
      </c>
      <c r="T707">
        <v>-8.9620350000000001E-2</v>
      </c>
      <c r="U707">
        <v>-5.551147E-2</v>
      </c>
      <c r="V707">
        <v>-4.4073559999999899E-3</v>
      </c>
      <c r="W707">
        <v>4.3378390000000003E-2</v>
      </c>
      <c r="X707">
        <v>0.99904899999999996</v>
      </c>
      <c r="Y707">
        <v>1.7031689999999999E-2</v>
      </c>
      <c r="Z707">
        <v>-2.112386E-4</v>
      </c>
      <c r="AA707">
        <v>0.99985489999999999</v>
      </c>
      <c r="AB707">
        <v>50</v>
      </c>
      <c r="AC707">
        <v>38.590699999999899</v>
      </c>
      <c r="AD707">
        <v>-1.158865</v>
      </c>
      <c r="AE707">
        <v>-0.71739999999999704</v>
      </c>
      <c r="AF707">
        <v>0.66160541879741297</v>
      </c>
      <c r="AG707">
        <v>-1.158865</v>
      </c>
      <c r="AH707">
        <v>38.556928805483999</v>
      </c>
      <c r="AI707">
        <v>91.721307390350105</v>
      </c>
      <c r="AJ707">
        <v>89.016947677190501</v>
      </c>
      <c r="AK707">
        <v>38.580013591619803</v>
      </c>
      <c r="AL707">
        <v>87.513821231358804</v>
      </c>
      <c r="AM707">
        <v>90.252761635764202</v>
      </c>
      <c r="AN707">
        <v>1.00000000695345</v>
      </c>
    </row>
    <row r="708" spans="1:40" x14ac:dyDescent="0.25">
      <c r="A708" t="str">
        <f>"20190312160315046"</f>
        <v>20190312160315046</v>
      </c>
      <c r="B708" t="str">
        <f>"1552377795035912"</f>
        <v>1552377795035912</v>
      </c>
      <c r="C708" t="s">
        <v>40</v>
      </c>
      <c r="D708">
        <v>5.182118</v>
      </c>
      <c r="E708">
        <v>0.5066351</v>
      </c>
      <c r="F708" t="s">
        <v>43</v>
      </c>
      <c r="G708">
        <v>-307.44060000000002</v>
      </c>
      <c r="H708">
        <v>-0.05</v>
      </c>
      <c r="I708">
        <v>367.31729999999999</v>
      </c>
      <c r="J708">
        <v>-347.07549999999998</v>
      </c>
      <c r="K708">
        <v>1.108867</v>
      </c>
      <c r="L708">
        <v>368.04219999999998</v>
      </c>
      <c r="M708">
        <v>0.99996819999999997</v>
      </c>
      <c r="N708">
        <v>0</v>
      </c>
      <c r="O708">
        <v>-1.4291270000000001E-3</v>
      </c>
      <c r="P708">
        <v>0.99935879999999999</v>
      </c>
      <c r="Q708">
        <v>3.566884E-2</v>
      </c>
      <c r="R708">
        <v>3.155981E-3</v>
      </c>
      <c r="S708">
        <v>3.0052189999999999</v>
      </c>
      <c r="T708">
        <v>-8.7337369999999998E-2</v>
      </c>
      <c r="U708">
        <v>-5.4656980000000001E-2</v>
      </c>
      <c r="V708">
        <v>-4.5831120000000003E-3</v>
      </c>
      <c r="W708">
        <v>4.3524649999999998E-2</v>
      </c>
      <c r="X708">
        <v>0.99904190000000004</v>
      </c>
      <c r="Y708">
        <v>1.6748929999999999E-2</v>
      </c>
      <c r="Z708">
        <v>-2.0178430000000001E-4</v>
      </c>
      <c r="AA708">
        <v>0.99985970000000002</v>
      </c>
      <c r="AB708">
        <v>50</v>
      </c>
      <c r="AC708">
        <v>39.634899999999902</v>
      </c>
      <c r="AD708">
        <v>-1.1588670000000001</v>
      </c>
      <c r="AE708">
        <v>-0.72489999999999</v>
      </c>
      <c r="AF708">
        <v>0.66768360345372002</v>
      </c>
      <c r="AG708">
        <v>-1.1588670000000001</v>
      </c>
      <c r="AH708">
        <v>39.602051340814299</v>
      </c>
      <c r="AI708">
        <v>91.675918701364196</v>
      </c>
      <c r="AJ708">
        <v>89.0340947728657</v>
      </c>
      <c r="AK708">
        <v>39.624629266637903</v>
      </c>
      <c r="AL708">
        <v>87.505433358488901</v>
      </c>
      <c r="AM708">
        <v>90.262842962392</v>
      </c>
      <c r="AN708">
        <v>1.00000005901441</v>
      </c>
    </row>
    <row r="709" spans="1:40" x14ac:dyDescent="0.25">
      <c r="A709" t="str">
        <f>"20190312160315057"</f>
        <v>20190312160315057</v>
      </c>
      <c r="B709" t="str">
        <f>"1552377795045672"</f>
        <v>1552377795045672</v>
      </c>
      <c r="C709" t="s">
        <v>40</v>
      </c>
      <c r="D709">
        <v>5.1738920000000004</v>
      </c>
      <c r="E709">
        <v>0.5066562</v>
      </c>
      <c r="F709" t="s">
        <v>43</v>
      </c>
      <c r="G709">
        <v>-306.4794</v>
      </c>
      <c r="H709">
        <v>-0.05</v>
      </c>
      <c r="I709">
        <v>367.30220000000003</v>
      </c>
      <c r="J709">
        <v>-346.83920000000001</v>
      </c>
      <c r="K709">
        <v>1.108865</v>
      </c>
      <c r="L709">
        <v>368.04180000000002</v>
      </c>
      <c r="M709">
        <v>0.99996779999999996</v>
      </c>
      <c r="N709">
        <v>0</v>
      </c>
      <c r="O709">
        <v>-1.4275939999999999E-3</v>
      </c>
      <c r="P709">
        <v>0.9993668</v>
      </c>
      <c r="Q709">
        <v>3.5415219999999997E-2</v>
      </c>
      <c r="R709">
        <v>3.4571430000000002E-3</v>
      </c>
      <c r="S709">
        <v>3.0051570000000001</v>
      </c>
      <c r="T709">
        <v>-8.578587E-2</v>
      </c>
      <c r="U709">
        <v>-5.4779050000000003E-2</v>
      </c>
      <c r="V709">
        <v>-4.882801E-3</v>
      </c>
      <c r="W709">
        <v>4.3305980000000001E-2</v>
      </c>
      <c r="X709">
        <v>0.99904990000000005</v>
      </c>
      <c r="Y709">
        <v>1.6791650000000002E-2</v>
      </c>
      <c r="Z709">
        <v>-1.988584E-4</v>
      </c>
      <c r="AA709">
        <v>0.99985900000000005</v>
      </c>
      <c r="AB709">
        <v>50</v>
      </c>
      <c r="AC709">
        <v>40.3598</v>
      </c>
      <c r="AD709">
        <v>-1.158865</v>
      </c>
      <c r="AE709">
        <v>-0.73959999999999504</v>
      </c>
      <c r="AF709">
        <v>0.68141843017271497</v>
      </c>
      <c r="AG709">
        <v>-1.158865</v>
      </c>
      <c r="AH709">
        <v>40.327577584602103</v>
      </c>
      <c r="AI709">
        <v>91.645780408440999</v>
      </c>
      <c r="AJ709">
        <v>89.031960573328504</v>
      </c>
      <c r="AK709">
        <v>40.349979095500203</v>
      </c>
      <c r="AL709">
        <v>87.5179738446122</v>
      </c>
      <c r="AM709">
        <v>90.280027716283399</v>
      </c>
      <c r="AN709">
        <v>0.99999997616968705</v>
      </c>
    </row>
    <row r="710" spans="1:40" x14ac:dyDescent="0.25">
      <c r="A710" t="str">
        <f>"20190312160315068"</f>
        <v>20190312160315068</v>
      </c>
      <c r="B710" t="str">
        <f>"1552377795055570"</f>
        <v>1552377795055570</v>
      </c>
      <c r="C710" t="s">
        <v>40</v>
      </c>
      <c r="D710">
        <v>5.1771140000000004</v>
      </c>
      <c r="E710">
        <v>0.50667390000000001</v>
      </c>
      <c r="F710" t="s">
        <v>43</v>
      </c>
      <c r="G710">
        <v>-306.20679999999999</v>
      </c>
      <c r="H710">
        <v>-0.05</v>
      </c>
      <c r="I710">
        <v>367.31439999999998</v>
      </c>
      <c r="J710">
        <v>-346.61149999999998</v>
      </c>
      <c r="K710">
        <v>1.108862</v>
      </c>
      <c r="L710">
        <v>368.04149999999998</v>
      </c>
      <c r="M710">
        <v>0.99996750000000001</v>
      </c>
      <c r="N710">
        <v>0</v>
      </c>
      <c r="O710">
        <v>-1.426294E-3</v>
      </c>
      <c r="P710">
        <v>0.99937279999999995</v>
      </c>
      <c r="Q710">
        <v>3.5232319999999998E-2</v>
      </c>
      <c r="R710">
        <v>3.557279E-3</v>
      </c>
      <c r="S710">
        <v>3.0051570000000001</v>
      </c>
      <c r="T710">
        <v>-8.5709209999999994E-2</v>
      </c>
      <c r="U710">
        <v>-5.3802490000000001E-2</v>
      </c>
      <c r="V710">
        <v>-4.9814459999999996E-3</v>
      </c>
      <c r="W710">
        <v>4.315592E-2</v>
      </c>
      <c r="X710">
        <v>0.9990559</v>
      </c>
      <c r="Y710">
        <v>1.6468279999999998E-2</v>
      </c>
      <c r="Z710">
        <v>-1.9410839999999999E-4</v>
      </c>
      <c r="AA710">
        <v>0.99986439999999999</v>
      </c>
      <c r="AB710">
        <v>50</v>
      </c>
      <c r="AC710">
        <v>40.404699999999899</v>
      </c>
      <c r="AD710">
        <v>-1.1588620000000001</v>
      </c>
      <c r="AE710">
        <v>-0.72710000000000696</v>
      </c>
      <c r="AF710">
        <v>0.66891837680365596</v>
      </c>
      <c r="AG710">
        <v>-1.1588620000000001</v>
      </c>
      <c r="AH710">
        <v>40.372495488590502</v>
      </c>
      <c r="AI710">
        <v>91.643955113501704</v>
      </c>
      <c r="AJ710">
        <v>89.050772244026803</v>
      </c>
      <c r="AK710">
        <v>40.3946630745465</v>
      </c>
      <c r="AL710">
        <v>87.526579679247803</v>
      </c>
      <c r="AM710">
        <v>90.285683179887599</v>
      </c>
      <c r="AN710">
        <v>0.99999996978005301</v>
      </c>
    </row>
    <row r="711" spans="1:40" x14ac:dyDescent="0.25">
      <c r="A711" t="str">
        <f>"20190312160315078"</f>
        <v>20190312160315078</v>
      </c>
      <c r="B711" t="str">
        <f>"1552377795065331"</f>
        <v>1552377795065331</v>
      </c>
      <c r="C711" t="s">
        <v>40</v>
      </c>
      <c r="D711">
        <v>5.1438769999999998</v>
      </c>
      <c r="E711">
        <v>0.50671599999999895</v>
      </c>
      <c r="F711" t="s">
        <v>43</v>
      </c>
      <c r="G711">
        <v>-305.76159999999999</v>
      </c>
      <c r="H711">
        <v>-0.05</v>
      </c>
      <c r="I711">
        <v>367.3134</v>
      </c>
      <c r="J711">
        <v>-346.37079999999997</v>
      </c>
      <c r="K711">
        <v>1.1088549999999999</v>
      </c>
      <c r="L711">
        <v>368.0412</v>
      </c>
      <c r="M711">
        <v>0.99996739999999995</v>
      </c>
      <c r="N711">
        <v>0</v>
      </c>
      <c r="O711">
        <v>-1.4251089999999999E-3</v>
      </c>
      <c r="P711">
        <v>0.99937279999999995</v>
      </c>
      <c r="Q711">
        <v>3.5249379999999997E-2</v>
      </c>
      <c r="R711">
        <v>3.4233000000000002E-3</v>
      </c>
      <c r="S711">
        <v>3.0050659999999998</v>
      </c>
      <c r="T711">
        <v>-8.5250140000000002E-2</v>
      </c>
      <c r="U711">
        <v>-5.3558349999999998E-2</v>
      </c>
      <c r="V711">
        <v>-4.846141E-3</v>
      </c>
      <c r="W711">
        <v>4.3204510000000002E-2</v>
      </c>
      <c r="X711">
        <v>0.99905449999999996</v>
      </c>
      <c r="Y711">
        <v>1.638889E-2</v>
      </c>
      <c r="Z711">
        <v>-1.9198309999999999E-4</v>
      </c>
      <c r="AA711">
        <v>0.99986569999999997</v>
      </c>
      <c r="AB711">
        <v>50</v>
      </c>
      <c r="AC711">
        <v>40.609199999999902</v>
      </c>
      <c r="AD711">
        <v>-1.158855</v>
      </c>
      <c r="AE711">
        <v>-0.727800000000002</v>
      </c>
      <c r="AF711">
        <v>0.66937996424077795</v>
      </c>
      <c r="AG711">
        <v>-1.158855</v>
      </c>
      <c r="AH711">
        <v>40.577162719683699</v>
      </c>
      <c r="AI711">
        <v>91.635659756842998</v>
      </c>
      <c r="AJ711">
        <v>89.054907592709696</v>
      </c>
      <c r="AK711">
        <v>40.599225963400301</v>
      </c>
      <c r="AL711">
        <v>87.523793163874402</v>
      </c>
      <c r="AM711">
        <v>90.277924025656603</v>
      </c>
      <c r="AN711">
        <v>1.0000000043685899</v>
      </c>
    </row>
    <row r="712" spans="1:40" x14ac:dyDescent="0.25">
      <c r="A712" t="str">
        <f>"20190312160315091"</f>
        <v>20190312160315091</v>
      </c>
      <c r="B712" t="str">
        <f>"1552377795085827"</f>
        <v>1552377795085827</v>
      </c>
      <c r="C712" t="s">
        <v>40</v>
      </c>
      <c r="D712">
        <v>5.123462</v>
      </c>
      <c r="E712">
        <v>0.50680769999999997</v>
      </c>
      <c r="F712" t="s">
        <v>43</v>
      </c>
      <c r="G712">
        <v>-305.68680000000001</v>
      </c>
      <c r="H712">
        <v>-0.05</v>
      </c>
      <c r="I712">
        <v>367.3107</v>
      </c>
      <c r="J712">
        <v>-346.08620000000002</v>
      </c>
      <c r="K712">
        <v>1.1088519999999999</v>
      </c>
      <c r="L712">
        <v>368.04079999999999</v>
      </c>
      <c r="M712">
        <v>0.99996719999999895</v>
      </c>
      <c r="N712">
        <v>0</v>
      </c>
      <c r="O712">
        <v>-1.423346E-3</v>
      </c>
      <c r="P712">
        <v>0.99937450000000005</v>
      </c>
      <c r="Q712">
        <v>3.519307E-2</v>
      </c>
      <c r="R712">
        <v>3.5350210000000002E-3</v>
      </c>
      <c r="S712">
        <v>3.0050659999999998</v>
      </c>
      <c r="T712">
        <v>-8.5597039999999999E-2</v>
      </c>
      <c r="U712">
        <v>-5.3955080000000002E-2</v>
      </c>
      <c r="V712">
        <v>-4.9561910000000004E-3</v>
      </c>
      <c r="W712">
        <v>4.3184019999999997E-2</v>
      </c>
      <c r="X712">
        <v>0.99905480000000002</v>
      </c>
      <c r="Y712">
        <v>1.6522510000000001E-2</v>
      </c>
      <c r="Z712">
        <v>-1.947164E-4</v>
      </c>
      <c r="AA712">
        <v>0.99986339999999996</v>
      </c>
      <c r="AB712">
        <v>50</v>
      </c>
      <c r="AC712">
        <v>40.3994</v>
      </c>
      <c r="AD712">
        <v>-1.158852</v>
      </c>
      <c r="AE712">
        <v>-0.73009999999999298</v>
      </c>
      <c r="AF712">
        <v>0.67204231716760499</v>
      </c>
      <c r="AG712">
        <v>-1.158852</v>
      </c>
      <c r="AH712">
        <v>40.367194104413997</v>
      </c>
      <c r="AI712">
        <v>91.644154543151799</v>
      </c>
      <c r="AJ712">
        <v>89.046214817204998</v>
      </c>
      <c r="AK712">
        <v>40.389416171782003</v>
      </c>
      <c r="AL712">
        <v>87.524968137284404</v>
      </c>
      <c r="AM712">
        <v>90.284235156342604</v>
      </c>
      <c r="AN712">
        <v>0.99999995840781297</v>
      </c>
    </row>
    <row r="713" spans="1:40" x14ac:dyDescent="0.25">
      <c r="A713" t="str">
        <f>"20190312160315102"</f>
        <v>20190312160315102</v>
      </c>
      <c r="B713" t="str">
        <f>"1552377795095587"</f>
        <v>1552377795095587</v>
      </c>
      <c r="C713" t="s">
        <v>40</v>
      </c>
      <c r="D713">
        <v>5.1112390000000003</v>
      </c>
      <c r="E713">
        <v>0.50688080000000002</v>
      </c>
      <c r="F713" t="s">
        <v>43</v>
      </c>
      <c r="G713">
        <v>-304.89299999999997</v>
      </c>
      <c r="H713">
        <v>-0.05</v>
      </c>
      <c r="I713">
        <v>367.29739999999998</v>
      </c>
      <c r="J713">
        <v>-345.83</v>
      </c>
      <c r="K713">
        <v>1.1088499999999999</v>
      </c>
      <c r="L713">
        <v>368.04039999999998</v>
      </c>
      <c r="M713">
        <v>0.99996689999999999</v>
      </c>
      <c r="N713">
        <v>0</v>
      </c>
      <c r="O713">
        <v>-1.4217989999999901E-3</v>
      </c>
      <c r="P713">
        <v>0.99936959999999997</v>
      </c>
      <c r="Q713">
        <v>3.5332679999999998E-2</v>
      </c>
      <c r="R713">
        <v>3.5208639999999999E-3</v>
      </c>
      <c r="S713">
        <v>3.0050349999999999</v>
      </c>
      <c r="T713">
        <v>-8.4537979999999999E-2</v>
      </c>
      <c r="U713">
        <v>-5.4229739999999999E-2</v>
      </c>
      <c r="V713">
        <v>-4.9409099999999997E-3</v>
      </c>
      <c r="W713">
        <v>4.33541E-2</v>
      </c>
      <c r="X713">
        <v>0.99904760000000004</v>
      </c>
      <c r="Y713">
        <v>1.6615709999999999E-2</v>
      </c>
      <c r="Z713">
        <v>-1.936641E-4</v>
      </c>
      <c r="AA713">
        <v>0.99986200000000003</v>
      </c>
      <c r="AB713">
        <v>50</v>
      </c>
      <c r="AC713">
        <v>40.936999999999998</v>
      </c>
      <c r="AD713">
        <v>-1.1588499999999999</v>
      </c>
      <c r="AE713">
        <v>-0.742999999999994</v>
      </c>
      <c r="AF713">
        <v>0.68424505606972197</v>
      </c>
      <c r="AG713">
        <v>-1.1588499999999999</v>
      </c>
      <c r="AH713">
        <v>40.9052464120617</v>
      </c>
      <c r="AI713">
        <v>91.622534641701805</v>
      </c>
      <c r="AJ713">
        <v>89.041670658164804</v>
      </c>
      <c r="AK713">
        <v>40.927378472738098</v>
      </c>
      <c r="AL713">
        <v>87.515214360433006</v>
      </c>
      <c r="AM713">
        <v>90.283360854791297</v>
      </c>
      <c r="AN713">
        <v>1.0000000488220899</v>
      </c>
    </row>
    <row r="714" spans="1:40" x14ac:dyDescent="0.25">
      <c r="A714" t="str">
        <f>"20190312160315113"</f>
        <v>20190312160315113</v>
      </c>
      <c r="B714" t="str">
        <f>"1552377795105347"</f>
        <v>1552377795105347</v>
      </c>
      <c r="C714" t="s">
        <v>40</v>
      </c>
      <c r="D714">
        <v>5.0823859999999996</v>
      </c>
      <c r="E714">
        <v>0.50692109999999901</v>
      </c>
      <c r="F714" t="s">
        <v>43</v>
      </c>
      <c r="G714">
        <v>-304.55169999999998</v>
      </c>
      <c r="H714">
        <v>-0.05</v>
      </c>
      <c r="I714">
        <v>367.2867</v>
      </c>
      <c r="J714">
        <v>-345.59350000000001</v>
      </c>
      <c r="K714">
        <v>1.1088480000000001</v>
      </c>
      <c r="L714">
        <v>368.0401</v>
      </c>
      <c r="M714">
        <v>0.99996660000000004</v>
      </c>
      <c r="N714">
        <v>0</v>
      </c>
      <c r="O714">
        <v>-1.420237E-3</v>
      </c>
      <c r="P714">
        <v>0.99936659999999999</v>
      </c>
      <c r="Q714">
        <v>3.540811E-2</v>
      </c>
      <c r="R714">
        <v>3.6177840000000002E-3</v>
      </c>
      <c r="S714">
        <v>3.0050659999999998</v>
      </c>
      <c r="T714">
        <v>-8.4364300000000003E-2</v>
      </c>
      <c r="U714">
        <v>-5.487061E-2</v>
      </c>
      <c r="V714">
        <v>-5.0361640000000001E-3</v>
      </c>
      <c r="W714">
        <v>4.3455569999999999E-2</v>
      </c>
      <c r="X714">
        <v>0.99904269999999995</v>
      </c>
      <c r="Y714">
        <v>1.6830189999999998E-2</v>
      </c>
      <c r="Z714">
        <v>-1.9631769999999999E-4</v>
      </c>
      <c r="AA714">
        <v>0.99985829999999998</v>
      </c>
      <c r="AB714">
        <v>50</v>
      </c>
      <c r="AC714">
        <v>41.041800000000002</v>
      </c>
      <c r="AD714">
        <v>-1.1588479999999901</v>
      </c>
      <c r="AE714">
        <v>-0.75339999999999896</v>
      </c>
      <c r="AF714">
        <v>0.69455471470186003</v>
      </c>
      <c r="AG714">
        <v>-1.1588479999999901</v>
      </c>
      <c r="AH714">
        <v>41.010143899706897</v>
      </c>
      <c r="AI714">
        <v>91.618378194150296</v>
      </c>
      <c r="AJ714">
        <v>89.029721775917196</v>
      </c>
      <c r="AK714">
        <v>41.032392540692499</v>
      </c>
      <c r="AL714">
        <v>87.509395034161997</v>
      </c>
      <c r="AM714">
        <v>90.288824990157806</v>
      </c>
      <c r="AN714">
        <v>1.00000003296757</v>
      </c>
    </row>
    <row r="715" spans="1:40" x14ac:dyDescent="0.25">
      <c r="A715" t="str">
        <f>"20190312160315122"</f>
        <v>20190312160315122</v>
      </c>
      <c r="B715" t="str">
        <f>"1552377795115107"</f>
        <v>1552377795115107</v>
      </c>
      <c r="C715" t="s">
        <v>40</v>
      </c>
      <c r="D715">
        <v>5.1156819999999996</v>
      </c>
      <c r="E715">
        <v>0.50693959999999905</v>
      </c>
      <c r="F715" t="s">
        <v>43</v>
      </c>
      <c r="G715">
        <v>-304.16050000000001</v>
      </c>
      <c r="H715">
        <v>-0.05</v>
      </c>
      <c r="I715">
        <v>367.28190000000001</v>
      </c>
      <c r="J715">
        <v>-345.36110000000002</v>
      </c>
      <c r="K715">
        <v>1.1088420000000001</v>
      </c>
      <c r="L715">
        <v>368.03969999999998</v>
      </c>
      <c r="M715">
        <v>0.99996640000000003</v>
      </c>
      <c r="N715">
        <v>0</v>
      </c>
      <c r="O715">
        <v>-1.4187889999999999E-3</v>
      </c>
      <c r="P715">
        <v>0.99936599999999998</v>
      </c>
      <c r="Q715">
        <v>3.5407540000000001E-2</v>
      </c>
      <c r="R715">
        <v>3.7548059999999999E-3</v>
      </c>
      <c r="S715">
        <v>3.0050659999999998</v>
      </c>
      <c r="T715">
        <v>-8.4049109999999996E-2</v>
      </c>
      <c r="U715">
        <v>-5.4992680000000002E-2</v>
      </c>
      <c r="V715">
        <v>-5.1719280000000001E-3</v>
      </c>
      <c r="W715">
        <v>4.3479860000000002E-2</v>
      </c>
      <c r="X715">
        <v>0.99904090000000001</v>
      </c>
      <c r="Y715">
        <v>1.6872270000000002E-2</v>
      </c>
      <c r="Z715">
        <v>-1.962132E-4</v>
      </c>
      <c r="AA715">
        <v>0.99985760000000001</v>
      </c>
      <c r="AB715">
        <v>50</v>
      </c>
      <c r="AC715">
        <v>41.200600000000001</v>
      </c>
      <c r="AD715">
        <v>-1.1588419999999999</v>
      </c>
      <c r="AE715">
        <v>-0.75779999999997405</v>
      </c>
      <c r="AF715">
        <v>0.69878973553594503</v>
      </c>
      <c r="AG715">
        <v>-1.1588419999999999</v>
      </c>
      <c r="AH715">
        <v>41.169075133190702</v>
      </c>
      <c r="AI715">
        <v>91.612124460021207</v>
      </c>
      <c r="AJ715">
        <v>89.027574505199397</v>
      </c>
      <c r="AK715">
        <v>41.191309389211597</v>
      </c>
      <c r="AL715">
        <v>87.508001879646898</v>
      </c>
      <c r="AM715">
        <v>90.296611479224296</v>
      </c>
      <c r="AN715">
        <v>0.99999998346883301</v>
      </c>
    </row>
    <row r="716" spans="1:40" x14ac:dyDescent="0.25">
      <c r="A716" t="str">
        <f>"20190312160315134"</f>
        <v>20190312160315134</v>
      </c>
      <c r="B716" t="str">
        <f>"1552377795125844"</f>
        <v>1552377795125844</v>
      </c>
      <c r="C716" t="s">
        <v>40</v>
      </c>
      <c r="D716">
        <v>5.1050019999999998</v>
      </c>
      <c r="E716">
        <v>0.50696830000000004</v>
      </c>
      <c r="F716" t="s">
        <v>43</v>
      </c>
      <c r="G716">
        <v>-303.37700000000001</v>
      </c>
      <c r="H716">
        <v>-0.05</v>
      </c>
      <c r="I716">
        <v>367.27519999999998</v>
      </c>
      <c r="J716">
        <v>-345.12699999999899</v>
      </c>
      <c r="K716">
        <v>1.108838</v>
      </c>
      <c r="L716">
        <v>368.0394</v>
      </c>
      <c r="M716">
        <v>0.99996629999999997</v>
      </c>
      <c r="N716">
        <v>0</v>
      </c>
      <c r="O716">
        <v>-1.4174529999999999E-3</v>
      </c>
      <c r="P716">
        <v>0.99937569999999998</v>
      </c>
      <c r="Q716">
        <v>3.5150149999999998E-2</v>
      </c>
      <c r="R716">
        <v>3.609573E-3</v>
      </c>
      <c r="S716">
        <v>3.0050050000000001</v>
      </c>
      <c r="T716">
        <v>-8.2943920000000004E-2</v>
      </c>
      <c r="U716">
        <v>-5.4718019999999999E-2</v>
      </c>
      <c r="V716">
        <v>-5.0247770000000002E-3</v>
      </c>
      <c r="W716">
        <v>4.3246430000000002E-2</v>
      </c>
      <c r="X716">
        <v>0.99905180000000005</v>
      </c>
      <c r="Y716">
        <v>1.6782809999999999E-2</v>
      </c>
      <c r="Z716">
        <v>-1.924408E-4</v>
      </c>
      <c r="AA716">
        <v>0.99985919999999895</v>
      </c>
      <c r="AB716">
        <v>50</v>
      </c>
      <c r="AC716">
        <v>41.749999999999901</v>
      </c>
      <c r="AD716">
        <v>-1.15883799999999</v>
      </c>
      <c r="AE716">
        <v>-0.76420000000001598</v>
      </c>
      <c r="AF716">
        <v>0.70447606771041604</v>
      </c>
      <c r="AG716">
        <v>-1.15883799999999</v>
      </c>
      <c r="AH716">
        <v>41.718910624630603</v>
      </c>
      <c r="AI716">
        <v>91.590885278218295</v>
      </c>
      <c r="AJ716">
        <v>89.032580932515202</v>
      </c>
      <c r="AK716">
        <v>41.740947470633003</v>
      </c>
      <c r="AL716">
        <v>87.521389068432796</v>
      </c>
      <c r="AM716">
        <v>90.288169329697396</v>
      </c>
      <c r="AN716">
        <v>1.0000000005874401</v>
      </c>
    </row>
    <row r="717" spans="1:40" x14ac:dyDescent="0.25">
      <c r="A717" t="str">
        <f>"20190312160315145"</f>
        <v>20190312160315145</v>
      </c>
      <c r="B717" t="str">
        <f>"1552377795135603"</f>
        <v>1552377795135603</v>
      </c>
      <c r="C717" t="s">
        <v>40</v>
      </c>
      <c r="D717">
        <v>5.0990830000000003</v>
      </c>
      <c r="E717">
        <v>0.50697479999999995</v>
      </c>
      <c r="F717" t="s">
        <v>43</v>
      </c>
      <c r="G717">
        <v>-303.53309999999999</v>
      </c>
      <c r="H717">
        <v>-0.05</v>
      </c>
      <c r="I717">
        <v>367.27229999999997</v>
      </c>
      <c r="J717">
        <v>-344.86689999999999</v>
      </c>
      <c r="K717">
        <v>1.1088359999999999</v>
      </c>
      <c r="L717">
        <v>368.03899999999999</v>
      </c>
      <c r="M717">
        <v>0.99996600000000002</v>
      </c>
      <c r="N717">
        <v>0</v>
      </c>
      <c r="O717">
        <v>-1.415887E-3</v>
      </c>
      <c r="P717">
        <v>0.99937359999999997</v>
      </c>
      <c r="Q717">
        <v>3.5215780000000002E-2</v>
      </c>
      <c r="R717">
        <v>3.5561540000000002E-3</v>
      </c>
      <c r="S717">
        <v>3.0050349999999999</v>
      </c>
      <c r="T717">
        <v>-8.3722469999999993E-2</v>
      </c>
      <c r="U717">
        <v>-5.5419919999999998E-2</v>
      </c>
      <c r="V717">
        <v>-4.9699740000000003E-3</v>
      </c>
      <c r="W717">
        <v>4.3336949999999999E-2</v>
      </c>
      <c r="X717">
        <v>0.99904820000000005</v>
      </c>
      <c r="Y717">
        <v>1.701745E-2</v>
      </c>
      <c r="Z717">
        <v>-1.975554E-4</v>
      </c>
      <c r="AA717">
        <v>0.99985520000000006</v>
      </c>
      <c r="AB717">
        <v>50</v>
      </c>
      <c r="AC717">
        <v>41.333799999999997</v>
      </c>
      <c r="AD717">
        <v>-1.158836</v>
      </c>
      <c r="AE717">
        <v>-0.76670000000001404</v>
      </c>
      <c r="AF717">
        <v>0.70761730048438198</v>
      </c>
      <c r="AG717">
        <v>-1.158836</v>
      </c>
      <c r="AH717">
        <v>41.302390845718797</v>
      </c>
      <c r="AI717">
        <v>91.606910915481706</v>
      </c>
      <c r="AJ717">
        <v>89.018470411963406</v>
      </c>
      <c r="AK717">
        <v>41.324703419278897</v>
      </c>
      <c r="AL717">
        <v>87.516197907592698</v>
      </c>
      <c r="AM717">
        <v>90.285027474632599</v>
      </c>
      <c r="AN717">
        <v>1.00000004890005</v>
      </c>
    </row>
    <row r="718" spans="1:40" x14ac:dyDescent="0.25">
      <c r="A718" t="str">
        <f>"20190312160315157"</f>
        <v>20190312160315157</v>
      </c>
      <c r="B718" t="str">
        <f>"1552377795145364"</f>
        <v>1552377795145364</v>
      </c>
      <c r="C718" t="s">
        <v>40</v>
      </c>
      <c r="D718">
        <v>5.1013129999999904</v>
      </c>
      <c r="E718">
        <v>0.5070576</v>
      </c>
      <c r="F718" t="s">
        <v>43</v>
      </c>
      <c r="G718">
        <v>-302.7047</v>
      </c>
      <c r="H718">
        <v>-0.05</v>
      </c>
      <c r="I718">
        <v>367.25799999999998</v>
      </c>
      <c r="J718">
        <v>-344.61649999999997</v>
      </c>
      <c r="K718">
        <v>1.1088359999999999</v>
      </c>
      <c r="L718">
        <v>368.03870000000001</v>
      </c>
      <c r="M718">
        <v>0.99996600000000002</v>
      </c>
      <c r="N718">
        <v>0</v>
      </c>
      <c r="O718">
        <v>-1.4145469999999999E-3</v>
      </c>
      <c r="P718">
        <v>0.99940079999999998</v>
      </c>
      <c r="Q718">
        <v>3.4458830000000003E-2</v>
      </c>
      <c r="R718">
        <v>3.3288559999999998E-3</v>
      </c>
      <c r="S718">
        <v>3.0049739999999998</v>
      </c>
      <c r="T718">
        <v>-8.2592250000000006E-2</v>
      </c>
      <c r="U718">
        <v>-5.5664060000000001E-2</v>
      </c>
      <c r="V718">
        <v>-4.7414600000000003E-3</v>
      </c>
      <c r="W718">
        <v>4.2602340000000002E-2</v>
      </c>
      <c r="X718">
        <v>0.99908079999999999</v>
      </c>
      <c r="Y718">
        <v>1.7100509999999999E-2</v>
      </c>
      <c r="Z718">
        <v>-1.9607119999999999E-4</v>
      </c>
      <c r="AA718">
        <v>0.99985369999999996</v>
      </c>
      <c r="AB718">
        <v>50</v>
      </c>
      <c r="AC718">
        <v>41.9117999999999</v>
      </c>
      <c r="AD718">
        <v>-1.158836</v>
      </c>
      <c r="AE718">
        <v>-0.78069999999996698</v>
      </c>
      <c r="AF718">
        <v>0.72086015282123905</v>
      </c>
      <c r="AG718">
        <v>-1.158836</v>
      </c>
      <c r="AH718">
        <v>41.880856083863101</v>
      </c>
      <c r="AI718">
        <v>91.5847252323764</v>
      </c>
      <c r="AJ718">
        <v>89.013913032169</v>
      </c>
      <c r="AK718">
        <v>41.9030863606975</v>
      </c>
      <c r="AL718">
        <v>87.558326611256405</v>
      </c>
      <c r="AM718">
        <v>90.271913550133206</v>
      </c>
      <c r="AN718">
        <v>0.99999994287252203</v>
      </c>
    </row>
    <row r="719" spans="1:40" x14ac:dyDescent="0.25">
      <c r="A719" t="str">
        <f>"20190312160315168"</f>
        <v>20190312160315168</v>
      </c>
      <c r="B719" t="str">
        <f>"1552377795155122"</f>
        <v>1552377795155122</v>
      </c>
      <c r="C719" t="s">
        <v>40</v>
      </c>
      <c r="D719">
        <v>5.0781910000000003</v>
      </c>
      <c r="E719">
        <v>0.50708509999999996</v>
      </c>
      <c r="F719" t="s">
        <v>43</v>
      </c>
      <c r="G719">
        <v>-303.37259999999998</v>
      </c>
      <c r="H719">
        <v>-0.05</v>
      </c>
      <c r="I719">
        <v>367.26080000000002</v>
      </c>
      <c r="J719">
        <v>-344.36070000000001</v>
      </c>
      <c r="K719">
        <v>1.1088309999999999</v>
      </c>
      <c r="L719">
        <v>368.03829999999999</v>
      </c>
      <c r="M719">
        <v>0.99996569999999996</v>
      </c>
      <c r="N719">
        <v>0</v>
      </c>
      <c r="O719">
        <v>-1.412969E-3</v>
      </c>
      <c r="P719">
        <v>0.99939860000000003</v>
      </c>
      <c r="Q719">
        <v>3.452964E-2</v>
      </c>
      <c r="R719">
        <v>3.2518830000000001E-3</v>
      </c>
      <c r="S719">
        <v>3.004883</v>
      </c>
      <c r="T719">
        <v>-8.4428669999999997E-2</v>
      </c>
      <c r="U719">
        <v>-5.6671140000000002E-2</v>
      </c>
      <c r="V719">
        <v>-4.6628349999999997E-3</v>
      </c>
      <c r="W719">
        <v>4.2695249999999997E-2</v>
      </c>
      <c r="X719">
        <v>0.99907729999999995</v>
      </c>
      <c r="Y719">
        <v>1.7437230000000001E-2</v>
      </c>
      <c r="Z719">
        <v>-2.0520799999999999E-4</v>
      </c>
      <c r="AA719">
        <v>0.99984790000000001</v>
      </c>
      <c r="AB719">
        <v>50</v>
      </c>
      <c r="AC719">
        <v>40.988100000000003</v>
      </c>
      <c r="AD719">
        <v>-1.1588309999999999</v>
      </c>
      <c r="AE719">
        <v>-0.77749999999997499</v>
      </c>
      <c r="AF719">
        <v>0.71900786453795296</v>
      </c>
      <c r="AG719">
        <v>-1.1588309999999999</v>
      </c>
      <c r="AH719">
        <v>40.956431883372296</v>
      </c>
      <c r="AI719">
        <v>91.620458422237604</v>
      </c>
      <c r="AJ719">
        <v>88.994251138539298</v>
      </c>
      <c r="AK719">
        <v>40.979130959711</v>
      </c>
      <c r="AL719">
        <v>87.552998647181994</v>
      </c>
      <c r="AM719">
        <v>90.267405561418897</v>
      </c>
      <c r="AN719">
        <v>1.00000003888904</v>
      </c>
    </row>
    <row r="720" spans="1:40" x14ac:dyDescent="0.25">
      <c r="A720" t="str">
        <f>"20190312160315179"</f>
        <v>20190312160315179</v>
      </c>
      <c r="B720" t="str">
        <f>"1552377795175620"</f>
        <v>1552377795175620</v>
      </c>
      <c r="C720" t="s">
        <v>40</v>
      </c>
      <c r="D720">
        <v>5.0910500000000001</v>
      </c>
      <c r="E720">
        <v>0.50718149999999995</v>
      </c>
      <c r="F720" t="s">
        <v>43</v>
      </c>
      <c r="G720">
        <v>-302.78769999999997</v>
      </c>
      <c r="H720">
        <v>-0.05</v>
      </c>
      <c r="I720">
        <v>367.24239999999998</v>
      </c>
      <c r="J720">
        <v>-344.10289999999998</v>
      </c>
      <c r="K720">
        <v>1.108827</v>
      </c>
      <c r="L720">
        <v>368.03789999999998</v>
      </c>
      <c r="M720">
        <v>0.9999654</v>
      </c>
      <c r="N720">
        <v>0</v>
      </c>
      <c r="O720">
        <v>-1.4113839999999999E-3</v>
      </c>
      <c r="P720">
        <v>0.99939730000000004</v>
      </c>
      <c r="Q720">
        <v>3.4584150000000001E-2</v>
      </c>
      <c r="R720">
        <v>3.0168970000000002E-3</v>
      </c>
      <c r="S720">
        <v>3.0048520000000001</v>
      </c>
      <c r="T720">
        <v>-8.3758949999999999E-2</v>
      </c>
      <c r="U720">
        <v>-5.7525630000000001E-2</v>
      </c>
      <c r="V720">
        <v>-4.4265270000000004E-3</v>
      </c>
      <c r="W720">
        <v>4.2770040000000002E-2</v>
      </c>
      <c r="X720">
        <v>0.99907509999999999</v>
      </c>
      <c r="Y720">
        <v>1.7723220000000001E-2</v>
      </c>
      <c r="Z720">
        <v>-2.0761130000000001E-4</v>
      </c>
      <c r="AA720">
        <v>0.99984289999999998</v>
      </c>
      <c r="AB720">
        <v>50</v>
      </c>
      <c r="AC720">
        <v>41.315199999999997</v>
      </c>
      <c r="AD720">
        <v>-1.1588270000000001</v>
      </c>
      <c r="AE720">
        <v>-0.79550000000000398</v>
      </c>
      <c r="AF720">
        <v>0.73660635123477702</v>
      </c>
      <c r="AG720">
        <v>-1.1588270000000001</v>
      </c>
      <c r="AH720">
        <v>41.283815076129798</v>
      </c>
      <c r="AI720">
        <v>91.607601150347506</v>
      </c>
      <c r="AJ720">
        <v>88.977808683484895</v>
      </c>
      <c r="AK720">
        <v>41.306644213403402</v>
      </c>
      <c r="AL720">
        <v>87.548709391860598</v>
      </c>
      <c r="AM720">
        <v>90.253854445431102</v>
      </c>
      <c r="AN720">
        <v>0.999999962951446</v>
      </c>
    </row>
    <row r="721" spans="1:40" x14ac:dyDescent="0.25">
      <c r="A721" t="str">
        <f>"20190312160315194"</f>
        <v>20190312160315194</v>
      </c>
      <c r="B721" t="str">
        <f>"1552377795185379"</f>
        <v>1552377795185379</v>
      </c>
      <c r="C721" t="s">
        <v>40</v>
      </c>
      <c r="D721">
        <v>5.0662849999999997</v>
      </c>
      <c r="E721">
        <v>0.507185</v>
      </c>
      <c r="F721" t="s">
        <v>43</v>
      </c>
      <c r="G721">
        <v>-301.96140000000003</v>
      </c>
      <c r="H721">
        <v>-0.05</v>
      </c>
      <c r="I721">
        <v>367.21530000000001</v>
      </c>
      <c r="J721">
        <v>-343.79739999999998</v>
      </c>
      <c r="K721">
        <v>1.1088260000000001</v>
      </c>
      <c r="L721">
        <v>368.03750000000002</v>
      </c>
      <c r="M721">
        <v>0.99996529999999995</v>
      </c>
      <c r="N721">
        <v>0</v>
      </c>
      <c r="O721">
        <v>-1.4094520000000001E-3</v>
      </c>
      <c r="P721">
        <v>0.99940799999999996</v>
      </c>
      <c r="Q721">
        <v>3.4271759999999998E-2</v>
      </c>
      <c r="R721">
        <v>3.0249069999999999E-3</v>
      </c>
      <c r="S721">
        <v>3.0048520000000001</v>
      </c>
      <c r="T721">
        <v>-8.2628850000000004E-2</v>
      </c>
      <c r="U721">
        <v>-5.8654789999999998E-2</v>
      </c>
      <c r="V721">
        <v>-4.4322989999999998E-3</v>
      </c>
      <c r="W721">
        <v>4.2480860000000002E-2</v>
      </c>
      <c r="X721">
        <v>0.99908750000000002</v>
      </c>
      <c r="Y721">
        <v>1.8100749999999999E-2</v>
      </c>
      <c r="Z721">
        <v>-2.100529E-4</v>
      </c>
      <c r="AA721">
        <v>0.99983610000000001</v>
      </c>
      <c r="AB721">
        <v>50</v>
      </c>
      <c r="AC721">
        <v>41.835999999999899</v>
      </c>
      <c r="AD721">
        <v>-1.1588259999999999</v>
      </c>
      <c r="AE721">
        <v>-0.82220000000000903</v>
      </c>
      <c r="AF721">
        <v>0.76264644822100103</v>
      </c>
      <c r="AG721">
        <v>-1.1588259999999999</v>
      </c>
      <c r="AH721">
        <v>41.805054843307303</v>
      </c>
      <c r="AI721">
        <v>91.587554520525899</v>
      </c>
      <c r="AJ721">
        <v>88.954873365841607</v>
      </c>
      <c r="AK721">
        <v>41.828066148881298</v>
      </c>
      <c r="AL721">
        <v>87.565293472524203</v>
      </c>
      <c r="AM721">
        <v>90.254182301585004</v>
      </c>
      <c r="AN721">
        <v>1.0000000506985001</v>
      </c>
    </row>
    <row r="722" spans="1:40" x14ac:dyDescent="0.25">
      <c r="A722" t="str">
        <f>"20190312160315209"</f>
        <v>20190312160315209</v>
      </c>
      <c r="B722" t="str">
        <f>"1552377795205875"</f>
        <v>1552377795205875</v>
      </c>
      <c r="C722" t="s">
        <v>40</v>
      </c>
      <c r="D722">
        <v>5.055396</v>
      </c>
      <c r="E722">
        <v>0.50722959999999995</v>
      </c>
      <c r="F722" t="s">
        <v>43</v>
      </c>
      <c r="G722">
        <v>-301.60289999999998</v>
      </c>
      <c r="H722">
        <v>-0.05</v>
      </c>
      <c r="I722">
        <v>367.21260000000001</v>
      </c>
      <c r="J722">
        <v>-343.44110000000001</v>
      </c>
      <c r="K722">
        <v>1.108824</v>
      </c>
      <c r="L722">
        <v>368.03699999999998</v>
      </c>
      <c r="M722">
        <v>0.99996499999999999</v>
      </c>
      <c r="N722">
        <v>0</v>
      </c>
      <c r="O722">
        <v>-1.4075299999999999E-3</v>
      </c>
      <c r="P722">
        <v>0.99940819999999997</v>
      </c>
      <c r="Q722">
        <v>3.4259789999999998E-2</v>
      </c>
      <c r="R722">
        <v>3.0751039999999999E-3</v>
      </c>
      <c r="S722">
        <v>3.0048219999999999</v>
      </c>
      <c r="T722">
        <v>-8.2524059999999996E-2</v>
      </c>
      <c r="U722">
        <v>-5.8746340000000001E-2</v>
      </c>
      <c r="V722">
        <v>-4.4808890000000001E-3</v>
      </c>
      <c r="W722">
        <v>4.2494669999999998E-2</v>
      </c>
      <c r="X722">
        <v>0.99908660000000005</v>
      </c>
      <c r="Y722">
        <v>1.813333E-2</v>
      </c>
      <c r="Z722">
        <v>-2.1028870000000001E-4</v>
      </c>
      <c r="AA722">
        <v>0.99983560000000005</v>
      </c>
      <c r="AB722">
        <v>50</v>
      </c>
      <c r="AC722">
        <v>41.838200000000001</v>
      </c>
      <c r="AD722">
        <v>-1.1588240000000001</v>
      </c>
      <c r="AE722">
        <v>-0.82439999999996805</v>
      </c>
      <c r="AF722">
        <v>0.76492206489208703</v>
      </c>
      <c r="AG722">
        <v>-1.1588240000000001</v>
      </c>
      <c r="AH722">
        <v>41.807258328792003</v>
      </c>
      <c r="AI722">
        <v>91.587466602161001</v>
      </c>
      <c r="AJ722">
        <v>88.951810803909595</v>
      </c>
      <c r="AK722">
        <v>41.8303099175548</v>
      </c>
      <c r="AL722">
        <v>87.564501269042793</v>
      </c>
      <c r="AM722">
        <v>90.256969022269004</v>
      </c>
      <c r="AN722">
        <v>0.99999995482209802</v>
      </c>
    </row>
    <row r="723" spans="1:40" x14ac:dyDescent="0.25">
      <c r="A723" t="str">
        <f>"20190312160315224"</f>
        <v>20190312160315224</v>
      </c>
      <c r="B723" t="str">
        <f>"1552377795215636"</f>
        <v>1552377795215636</v>
      </c>
      <c r="C723" t="s">
        <v>40</v>
      </c>
      <c r="D723">
        <v>5.0457939999999999</v>
      </c>
      <c r="E723">
        <v>0.50730200000000003</v>
      </c>
      <c r="F723" t="s">
        <v>43</v>
      </c>
      <c r="G723">
        <v>-301.4973</v>
      </c>
      <c r="H723">
        <v>-0.05</v>
      </c>
      <c r="I723">
        <v>367.21660000000003</v>
      </c>
      <c r="J723">
        <v>-343.09199999999998</v>
      </c>
      <c r="K723">
        <v>1.1088229999999999</v>
      </c>
      <c r="L723">
        <v>368.03649999999999</v>
      </c>
      <c r="M723">
        <v>0.99996499999999999</v>
      </c>
      <c r="N723">
        <v>0</v>
      </c>
      <c r="O723">
        <v>-1.4055980000000001E-3</v>
      </c>
      <c r="P723">
        <v>0.99939909999999998</v>
      </c>
      <c r="Q723">
        <v>3.4480789999999997E-2</v>
      </c>
      <c r="R723">
        <v>3.567027E-3</v>
      </c>
      <c r="S723">
        <v>3.004791</v>
      </c>
      <c r="T723">
        <v>-8.3016400000000004E-2</v>
      </c>
      <c r="U723">
        <v>-5.877686E-2</v>
      </c>
      <c r="V723">
        <v>-4.9705779999999998E-3</v>
      </c>
      <c r="W723">
        <v>4.2738110000000003E-2</v>
      </c>
      <c r="X723">
        <v>0.99907389999999996</v>
      </c>
      <c r="Y723">
        <v>1.8145519999999998E-2</v>
      </c>
      <c r="Z723">
        <v>-2.1176659999999999E-4</v>
      </c>
      <c r="AA723">
        <v>0.99983529999999998</v>
      </c>
      <c r="AB723">
        <v>50</v>
      </c>
      <c r="AC723">
        <v>41.594699999999897</v>
      </c>
      <c r="AD723">
        <v>-1.1588229999999999</v>
      </c>
      <c r="AE723">
        <v>-0.81989999999996099</v>
      </c>
      <c r="AF723">
        <v>0.76084145946414505</v>
      </c>
      <c r="AG723">
        <v>-1.1588229999999999</v>
      </c>
      <c r="AH723">
        <v>41.563563434044603</v>
      </c>
      <c r="AI723">
        <v>91.596767766412398</v>
      </c>
      <c r="AJ723">
        <v>88.951289719283807</v>
      </c>
      <c r="AK723">
        <v>41.586675219445198</v>
      </c>
      <c r="AL723">
        <v>87.550540501448197</v>
      </c>
      <c r="AM723">
        <v>90.285054780629807</v>
      </c>
      <c r="AN723">
        <v>0.99999995517661699</v>
      </c>
    </row>
    <row r="724" spans="1:40" x14ac:dyDescent="0.25">
      <c r="A724" t="str">
        <f>"20190312160315237"</f>
        <v>20190312160315237</v>
      </c>
      <c r="B724" t="str">
        <f>"1552377795225394"</f>
        <v>1552377795225394</v>
      </c>
      <c r="C724" t="s">
        <v>40</v>
      </c>
      <c r="D724">
        <v>5.0438429999999999</v>
      </c>
      <c r="E724">
        <v>0.50733530000000004</v>
      </c>
      <c r="F724" t="s">
        <v>43</v>
      </c>
      <c r="G724">
        <v>-301.05959999999999</v>
      </c>
      <c r="H724">
        <v>-0.05</v>
      </c>
      <c r="I724">
        <v>367.22109999999998</v>
      </c>
      <c r="J724">
        <v>-342.82479999999998</v>
      </c>
      <c r="K724">
        <v>1.1088229999999999</v>
      </c>
      <c r="L724">
        <v>368.03609999999998</v>
      </c>
      <c r="M724">
        <v>0.99996479999999999</v>
      </c>
      <c r="N724">
        <v>0</v>
      </c>
      <c r="O724">
        <v>-1.404116E-3</v>
      </c>
      <c r="P724">
        <v>0.99939719999999999</v>
      </c>
      <c r="Q724">
        <v>3.451945E-2</v>
      </c>
      <c r="R724">
        <v>3.6974780000000001E-3</v>
      </c>
      <c r="S724">
        <v>3.004883</v>
      </c>
      <c r="T724">
        <v>-8.2843780000000006E-2</v>
      </c>
      <c r="U724">
        <v>-5.8288569999999998E-2</v>
      </c>
      <c r="V724">
        <v>-5.0996690000000003E-3</v>
      </c>
      <c r="W724">
        <v>4.2793379999999999E-2</v>
      </c>
      <c r="X724">
        <v>0.99907089999999998</v>
      </c>
      <c r="Y724">
        <v>1.7984090000000001E-2</v>
      </c>
      <c r="Z724">
        <v>-2.0913649999999999E-4</v>
      </c>
      <c r="AA724">
        <v>0.99983820000000001</v>
      </c>
      <c r="AB724">
        <v>50</v>
      </c>
      <c r="AC724">
        <v>41.765199999999901</v>
      </c>
      <c r="AD724">
        <v>-1.1588229999999999</v>
      </c>
      <c r="AE724">
        <v>-0.81499999999999695</v>
      </c>
      <c r="AF724">
        <v>0.755772395955011</v>
      </c>
      <c r="AG724">
        <v>-1.1588229999999999</v>
      </c>
      <c r="AH724">
        <v>41.734186462611802</v>
      </c>
      <c r="AI724">
        <v>91.590248694412495</v>
      </c>
      <c r="AJ724">
        <v>88.962533127567795</v>
      </c>
      <c r="AK724">
        <v>41.757111757829598</v>
      </c>
      <c r="AL724">
        <v>87.547370904088893</v>
      </c>
      <c r="AM724">
        <v>90.292458696360598</v>
      </c>
      <c r="AN724">
        <v>0.99999997161127097</v>
      </c>
    </row>
    <row r="725" spans="1:40" x14ac:dyDescent="0.25">
      <c r="A725" t="str">
        <f>"20190312160315247"</f>
        <v>20190312160315247</v>
      </c>
      <c r="B725" t="str">
        <f>"1552377795235155"</f>
        <v>1552377795235155</v>
      </c>
      <c r="C725" t="s">
        <v>40</v>
      </c>
      <c r="D725">
        <v>5.0361149999999997</v>
      </c>
      <c r="E725">
        <v>0.50736000000000003</v>
      </c>
      <c r="F725" t="s">
        <v>43</v>
      </c>
      <c r="G725">
        <v>-300.29880000000003</v>
      </c>
      <c r="H725">
        <v>-0.05</v>
      </c>
      <c r="I725">
        <v>367.21510000000001</v>
      </c>
      <c r="J725">
        <v>-342.5693</v>
      </c>
      <c r="K725">
        <v>1.1088199999999999</v>
      </c>
      <c r="L725">
        <v>368.03579999999999</v>
      </c>
      <c r="M725">
        <v>0.99996470000000004</v>
      </c>
      <c r="N725">
        <v>0</v>
      </c>
      <c r="O725">
        <v>-1.4028679999999901E-3</v>
      </c>
      <c r="P725">
        <v>0.99938990000000005</v>
      </c>
      <c r="Q725">
        <v>3.4724739999999997E-2</v>
      </c>
      <c r="R725">
        <v>3.7822839999999999E-3</v>
      </c>
      <c r="S725">
        <v>3.0048520000000001</v>
      </c>
      <c r="T725">
        <v>-8.1881519999999999E-2</v>
      </c>
      <c r="U725">
        <v>-5.8013919999999997E-2</v>
      </c>
      <c r="V725">
        <v>-5.1829889999999998E-3</v>
      </c>
      <c r="W725">
        <v>4.3013950000000002E-2</v>
      </c>
      <c r="X725">
        <v>0.99906099999999998</v>
      </c>
      <c r="Y725">
        <v>1.7894360000000002E-2</v>
      </c>
      <c r="Z725">
        <v>-2.055223E-4</v>
      </c>
      <c r="AA725">
        <v>0.99983979999999995</v>
      </c>
      <c r="AB725">
        <v>51</v>
      </c>
      <c r="AC725">
        <v>42.270499999999899</v>
      </c>
      <c r="AD725">
        <v>-1.15882</v>
      </c>
      <c r="AE725">
        <v>-0.820699999999987</v>
      </c>
      <c r="AF725">
        <v>0.76082564341488101</v>
      </c>
      <c r="AG725">
        <v>-1.15882</v>
      </c>
      <c r="AH725">
        <v>42.239876408542003</v>
      </c>
      <c r="AI725">
        <v>91.571218748026396</v>
      </c>
      <c r="AJ725">
        <v>88.968098661779905</v>
      </c>
      <c r="AK725">
        <v>42.2626179792613</v>
      </c>
      <c r="AL725">
        <v>87.534721528425095</v>
      </c>
      <c r="AM725">
        <v>90.297239839067302</v>
      </c>
      <c r="AN725">
        <v>0.99999997249528705</v>
      </c>
    </row>
    <row r="726" spans="1:40" x14ac:dyDescent="0.25">
      <c r="A726" t="str">
        <f>"20190312160315258"</f>
        <v>20190312160315258</v>
      </c>
      <c r="B726" t="str">
        <f>"1552377795244915"</f>
        <v>1552377795244915</v>
      </c>
      <c r="C726" t="s">
        <v>40</v>
      </c>
      <c r="D726">
        <v>5.0321449999999999</v>
      </c>
      <c r="E726">
        <v>0.50738870000000003</v>
      </c>
      <c r="F726" t="s">
        <v>43</v>
      </c>
      <c r="G726">
        <v>-299.81880000000001</v>
      </c>
      <c r="H726">
        <v>-0.05</v>
      </c>
      <c r="I726">
        <v>367.20909999999998</v>
      </c>
      <c r="J726">
        <v>-342.32069999999999</v>
      </c>
      <c r="K726">
        <v>1.1088229999999999</v>
      </c>
      <c r="L726">
        <v>368.03539999999998</v>
      </c>
      <c r="M726">
        <v>0.99996459999999998</v>
      </c>
      <c r="N726">
        <v>0</v>
      </c>
      <c r="O726">
        <v>-1.4013750000000001E-3</v>
      </c>
      <c r="P726">
        <v>0.99939500000000003</v>
      </c>
      <c r="Q726">
        <v>3.458017E-2</v>
      </c>
      <c r="R726">
        <v>3.756059E-3</v>
      </c>
      <c r="S726">
        <v>3.004883</v>
      </c>
      <c r="T726">
        <v>-8.1452129999999998E-2</v>
      </c>
      <c r="U726">
        <v>-5.8105469999999999E-2</v>
      </c>
      <c r="V726">
        <v>-5.155387E-3</v>
      </c>
      <c r="W726">
        <v>4.2882950000000003E-2</v>
      </c>
      <c r="X726">
        <v>0.99906680000000003</v>
      </c>
      <c r="Y726">
        <v>1.7926149999999998E-2</v>
      </c>
      <c r="Z726">
        <v>-2.04914E-4</v>
      </c>
      <c r="AA726">
        <v>0.99983929999999999</v>
      </c>
      <c r="AB726">
        <v>51</v>
      </c>
      <c r="AC726">
        <v>42.5018999999999</v>
      </c>
      <c r="AD726">
        <v>-1.1588229999999999</v>
      </c>
      <c r="AE726">
        <v>-0.82630000000000303</v>
      </c>
      <c r="AF726">
        <v>0.76616669189916797</v>
      </c>
      <c r="AG726">
        <v>-1.1588229999999999</v>
      </c>
      <c r="AH726">
        <v>42.471455274692403</v>
      </c>
      <c r="AI726">
        <v>91.562659084998003</v>
      </c>
      <c r="AJ726">
        <v>88.966521004943104</v>
      </c>
      <c r="AK726">
        <v>42.494168956402703</v>
      </c>
      <c r="AL726">
        <v>87.542234270845697</v>
      </c>
      <c r="AM726">
        <v>90.295655200552204</v>
      </c>
      <c r="AN726">
        <v>0.99999999813903095</v>
      </c>
    </row>
    <row r="727" spans="1:40" x14ac:dyDescent="0.25">
      <c r="A727" t="str">
        <f>"20190312160315269"</f>
        <v>20190312160315269</v>
      </c>
      <c r="B727" t="str">
        <f>"1552377795265412"</f>
        <v>1552377795265412</v>
      </c>
      <c r="C727" t="s">
        <v>40</v>
      </c>
      <c r="D727">
        <v>5.0307620000000002</v>
      </c>
      <c r="E727">
        <v>0.50749440000000001</v>
      </c>
      <c r="F727" t="s">
        <v>43</v>
      </c>
      <c r="G727">
        <v>-300.09120000000001</v>
      </c>
      <c r="H727">
        <v>-0.05</v>
      </c>
      <c r="I727">
        <v>367.21969999999999</v>
      </c>
      <c r="J727">
        <v>-342.08370000000002</v>
      </c>
      <c r="K727">
        <v>1.1088229999999999</v>
      </c>
      <c r="L727">
        <v>368.0351</v>
      </c>
      <c r="M727">
        <v>0.99996450000000003</v>
      </c>
      <c r="N727">
        <v>0</v>
      </c>
      <c r="O727">
        <v>-1.4001179999999999E-3</v>
      </c>
      <c r="P727">
        <v>0.99939560000000005</v>
      </c>
      <c r="Q727">
        <v>3.4559590000000001E-2</v>
      </c>
      <c r="R727">
        <v>3.7791809999999999E-3</v>
      </c>
      <c r="S727">
        <v>3.0049130000000002</v>
      </c>
      <c r="T727">
        <v>-8.2457900000000001E-2</v>
      </c>
      <c r="U727">
        <v>-5.8044430000000001E-2</v>
      </c>
      <c r="V727">
        <v>-5.1773030000000003E-3</v>
      </c>
      <c r="W727">
        <v>4.2875330000000003E-2</v>
      </c>
      <c r="X727">
        <v>0.99906700000000004</v>
      </c>
      <c r="Y727">
        <v>1.7906769999999999E-2</v>
      </c>
      <c r="Z727">
        <v>-2.072098E-4</v>
      </c>
      <c r="AA727">
        <v>0.9998397</v>
      </c>
      <c r="AB727">
        <v>51</v>
      </c>
      <c r="AC727">
        <v>41.9925</v>
      </c>
      <c r="AD727">
        <v>-1.1588229999999999</v>
      </c>
      <c r="AE727">
        <v>-0.815400000000011</v>
      </c>
      <c r="AF727">
        <v>0.75602719062426105</v>
      </c>
      <c r="AG727">
        <v>-1.1588229999999999</v>
      </c>
      <c r="AH727">
        <v>41.961657241768798</v>
      </c>
      <c r="AI727">
        <v>91.581635103325695</v>
      </c>
      <c r="AJ727">
        <v>88.967808141171105</v>
      </c>
      <c r="AK727">
        <v>41.984462915869003</v>
      </c>
      <c r="AL727">
        <v>87.542671232919801</v>
      </c>
      <c r="AM727">
        <v>90.296911974718697</v>
      </c>
      <c r="AN727">
        <v>0.99999998443898097</v>
      </c>
    </row>
    <row r="728" spans="1:40" x14ac:dyDescent="0.25">
      <c r="A728" t="str">
        <f>"20190312160315282"</f>
        <v>20190312160315282</v>
      </c>
      <c r="B728" t="str">
        <f>"1552377795275172"</f>
        <v>1552377795275172</v>
      </c>
      <c r="C728" t="s">
        <v>40</v>
      </c>
      <c r="D728">
        <v>5.0548209999999996</v>
      </c>
      <c r="E728">
        <v>0.50759809999999905</v>
      </c>
      <c r="F728" t="s">
        <v>43</v>
      </c>
      <c r="G728">
        <v>-299.63900000000001</v>
      </c>
      <c r="H728">
        <v>-0.05</v>
      </c>
      <c r="I728">
        <v>367.19880000000001</v>
      </c>
      <c r="J728">
        <v>-341.7833</v>
      </c>
      <c r="K728">
        <v>1.108819</v>
      </c>
      <c r="L728">
        <v>368.03460000000001</v>
      </c>
      <c r="M728">
        <v>0.99996439999999998</v>
      </c>
      <c r="N728">
        <v>0</v>
      </c>
      <c r="O728">
        <v>-1.3985130000000001E-3</v>
      </c>
      <c r="P728">
        <v>0.99938700000000003</v>
      </c>
      <c r="Q728">
        <v>3.4801319999999997E-2</v>
      </c>
      <c r="R728">
        <v>3.8400800000000001E-3</v>
      </c>
      <c r="S728">
        <v>3.004883</v>
      </c>
      <c r="T728">
        <v>-8.2039239999999999E-2</v>
      </c>
      <c r="U728">
        <v>-5.9204100000000003E-2</v>
      </c>
      <c r="V728">
        <v>-5.2367940000000003E-3</v>
      </c>
      <c r="W728">
        <v>4.3132579999999997E-2</v>
      </c>
      <c r="X728">
        <v>0.99905560000000004</v>
      </c>
      <c r="Y728">
        <v>1.8294210000000002E-2</v>
      </c>
      <c r="Z728">
        <v>-2.1149069999999999E-4</v>
      </c>
      <c r="AA728">
        <v>0.99983259999999996</v>
      </c>
      <c r="AB728">
        <v>51</v>
      </c>
      <c r="AC728">
        <v>42.144299999999902</v>
      </c>
      <c r="AD728">
        <v>-1.158819</v>
      </c>
      <c r="AE728">
        <v>-0.83580000000000598</v>
      </c>
      <c r="AF728">
        <v>0.77627111739838806</v>
      </c>
      <c r="AG728">
        <v>-1.158819</v>
      </c>
      <c r="AH728">
        <v>42.1136000111904</v>
      </c>
      <c r="AI728">
        <v>91.575914196919697</v>
      </c>
      <c r="AJ728">
        <v>88.943998553673595</v>
      </c>
      <c r="AK728">
        <v>42.136691424754702</v>
      </c>
      <c r="AL728">
        <v>87.527918203955394</v>
      </c>
      <c r="AM728">
        <v>90.300327075303201</v>
      </c>
      <c r="AN728">
        <v>0.99999996768010602</v>
      </c>
    </row>
    <row r="729" spans="1:40" x14ac:dyDescent="0.25">
      <c r="A729" t="str">
        <f>"20190312160315292"</f>
        <v>20190312160315292</v>
      </c>
      <c r="B729" t="str">
        <f>"1552377795285909"</f>
        <v>1552377795285909</v>
      </c>
      <c r="C729" t="s">
        <v>40</v>
      </c>
      <c r="D729">
        <v>5.043488</v>
      </c>
      <c r="E729">
        <v>0.50767680000000004</v>
      </c>
      <c r="F729" t="s">
        <v>43</v>
      </c>
      <c r="G729">
        <v>-298.90559999999999</v>
      </c>
      <c r="H729">
        <v>-0.05</v>
      </c>
      <c r="I729">
        <v>367.18630000000002</v>
      </c>
      <c r="J729">
        <v>-341.54509999999999</v>
      </c>
      <c r="K729">
        <v>1.108819</v>
      </c>
      <c r="L729">
        <v>368.03429999999997</v>
      </c>
      <c r="M729">
        <v>0.99996419999999997</v>
      </c>
      <c r="N729">
        <v>0</v>
      </c>
      <c r="O729">
        <v>-1.396893E-3</v>
      </c>
      <c r="P729">
        <v>0.99938070000000001</v>
      </c>
      <c r="Q729">
        <v>3.4963359999999999E-2</v>
      </c>
      <c r="R729">
        <v>3.954188E-3</v>
      </c>
      <c r="S729">
        <v>3.004883</v>
      </c>
      <c r="T729">
        <v>-8.1210370000000004E-2</v>
      </c>
      <c r="U729">
        <v>-5.9448239999999999E-2</v>
      </c>
      <c r="V729">
        <v>-5.3491800000000003E-3</v>
      </c>
      <c r="W729">
        <v>4.3306450000000003E-2</v>
      </c>
      <c r="X729">
        <v>0.99904749999999998</v>
      </c>
      <c r="Y729">
        <v>1.8377129999999998E-2</v>
      </c>
      <c r="Z729">
        <v>-2.1051859999999999E-4</v>
      </c>
      <c r="AA729">
        <v>0.99983109999999997</v>
      </c>
      <c r="AB729">
        <v>51</v>
      </c>
      <c r="AC729">
        <v>42.639499999999998</v>
      </c>
      <c r="AD729">
        <v>-1.158819</v>
      </c>
      <c r="AE729">
        <v>-0.84799999999995601</v>
      </c>
      <c r="AF729">
        <v>0.78785260441233596</v>
      </c>
      <c r="AG729">
        <v>-1.158819</v>
      </c>
      <c r="AH729">
        <v>42.609184467310399</v>
      </c>
      <c r="AI729">
        <v>91.557592281409995</v>
      </c>
      <c r="AJ729">
        <v>88.940709934062298</v>
      </c>
      <c r="AK729">
        <v>42.632219906665902</v>
      </c>
      <c r="AL729">
        <v>87.517946911735393</v>
      </c>
      <c r="AM729">
        <v>90.306774712012398</v>
      </c>
      <c r="AN729">
        <v>0.99999998479726204</v>
      </c>
    </row>
    <row r="730" spans="1:40" x14ac:dyDescent="0.25">
      <c r="A730" t="str">
        <f>"20190312160315303"</f>
        <v>20190312160315303</v>
      </c>
      <c r="B730" t="str">
        <f>"1552377795295668"</f>
        <v>1552377795295668</v>
      </c>
      <c r="C730" t="s">
        <v>40</v>
      </c>
      <c r="D730">
        <v>5.027469</v>
      </c>
      <c r="E730">
        <v>0.50774070000000004</v>
      </c>
      <c r="F730" t="s">
        <v>43</v>
      </c>
      <c r="G730">
        <v>-298.39389999999997</v>
      </c>
      <c r="H730">
        <v>-0.05</v>
      </c>
      <c r="I730">
        <v>367.17669999999998</v>
      </c>
      <c r="J730">
        <v>-341.2901</v>
      </c>
      <c r="K730">
        <v>1.1088199999999999</v>
      </c>
      <c r="L730">
        <v>368.03390000000002</v>
      </c>
      <c r="M730">
        <v>0.99996410000000002</v>
      </c>
      <c r="N730">
        <v>0</v>
      </c>
      <c r="O730">
        <v>-1.3955129999999999E-3</v>
      </c>
      <c r="P730">
        <v>0.99937640000000005</v>
      </c>
      <c r="Q730">
        <v>3.5069780000000002E-2</v>
      </c>
      <c r="R730">
        <v>4.1093780000000003E-3</v>
      </c>
      <c r="S730">
        <v>3.0049440000000001</v>
      </c>
      <c r="T730">
        <v>-8.06973E-2</v>
      </c>
      <c r="U730">
        <v>-5.9722900000000002E-2</v>
      </c>
      <c r="V730">
        <v>-5.5025480000000003E-3</v>
      </c>
      <c r="W730">
        <v>4.3424600000000001E-2</v>
      </c>
      <c r="X730">
        <v>0.99904159999999997</v>
      </c>
      <c r="Y730">
        <v>1.84695E-2</v>
      </c>
      <c r="Z730">
        <v>-2.104617E-4</v>
      </c>
      <c r="AA730">
        <v>0.99982939999999998</v>
      </c>
      <c r="AB730">
        <v>51</v>
      </c>
      <c r="AC730">
        <v>42.8962</v>
      </c>
      <c r="AD730">
        <v>-1.15882</v>
      </c>
      <c r="AE730">
        <v>-0.85720000000003405</v>
      </c>
      <c r="AF730">
        <v>0.79675364373526303</v>
      </c>
      <c r="AG730">
        <v>-1.15882</v>
      </c>
      <c r="AH730">
        <v>42.866084009370297</v>
      </c>
      <c r="AI730">
        <v>91.5482606337292</v>
      </c>
      <c r="AJ730">
        <v>88.935163634707095</v>
      </c>
      <c r="AK730">
        <v>42.889145928306903</v>
      </c>
      <c r="AL730">
        <v>87.511171194014906</v>
      </c>
      <c r="AM730">
        <v>90.315572033208198</v>
      </c>
      <c r="AN730">
        <v>1.0000000462251</v>
      </c>
    </row>
    <row r="731" spans="1:40" x14ac:dyDescent="0.25">
      <c r="A731" t="str">
        <f>"20190312160315315"</f>
        <v>20190312160315315</v>
      </c>
      <c r="B731" t="str">
        <f>"1552377795305426"</f>
        <v>1552377795305426</v>
      </c>
      <c r="C731" t="s">
        <v>40</v>
      </c>
      <c r="D731">
        <v>5.0530179999999998</v>
      </c>
      <c r="E731">
        <v>0.50781299999999996</v>
      </c>
      <c r="F731" t="s">
        <v>43</v>
      </c>
      <c r="G731">
        <v>-298.02080000000001</v>
      </c>
      <c r="H731">
        <v>-0.05</v>
      </c>
      <c r="I731">
        <v>367.16390000000001</v>
      </c>
      <c r="J731">
        <v>-341.02910000000003</v>
      </c>
      <c r="K731">
        <v>1.1088169999999999</v>
      </c>
      <c r="L731">
        <v>368.03359999999998</v>
      </c>
      <c r="M731">
        <v>0.99996410000000002</v>
      </c>
      <c r="N731">
        <v>0</v>
      </c>
      <c r="O731">
        <v>-1.3940129999999999E-3</v>
      </c>
      <c r="P731">
        <v>0.99936429999999998</v>
      </c>
      <c r="Q731">
        <v>3.5389610000000002E-2</v>
      </c>
      <c r="R731">
        <v>4.2989650000000001E-3</v>
      </c>
      <c r="S731">
        <v>3.0049739999999998</v>
      </c>
      <c r="T731">
        <v>-8.0478069999999999E-2</v>
      </c>
      <c r="U731">
        <v>-6.0424800000000001E-2</v>
      </c>
      <c r="V731">
        <v>-5.6911119999999999E-3</v>
      </c>
      <c r="W731">
        <v>4.3756160000000002E-2</v>
      </c>
      <c r="X731">
        <v>0.99902610000000003</v>
      </c>
      <c r="Y731">
        <v>1.8704200000000001E-2</v>
      </c>
      <c r="Z731">
        <v>-2.1306950000000001E-4</v>
      </c>
      <c r="AA731">
        <v>0.99982510000000002</v>
      </c>
      <c r="AB731">
        <v>51</v>
      </c>
      <c r="AC731">
        <v>43.008299999999998</v>
      </c>
      <c r="AD731">
        <v>-1.158817</v>
      </c>
      <c r="AE731">
        <v>-0.86969999999996594</v>
      </c>
      <c r="AF731">
        <v>0.80915573997340395</v>
      </c>
      <c r="AG731">
        <v>-1.158817</v>
      </c>
      <c r="AH731">
        <v>42.978281968140003</v>
      </c>
      <c r="AI731">
        <v>91.544209820998304</v>
      </c>
      <c r="AJ731">
        <v>88.921414952073505</v>
      </c>
      <c r="AK731">
        <v>43.0015152149778</v>
      </c>
      <c r="AL731">
        <v>87.492156190225202</v>
      </c>
      <c r="AM731">
        <v>90.326391043368801</v>
      </c>
      <c r="AN731">
        <v>1.00000006938747</v>
      </c>
    </row>
    <row r="732" spans="1:40" x14ac:dyDescent="0.25">
      <c r="A732" t="str">
        <f>"20190312160315328"</f>
        <v>20190312160315328</v>
      </c>
      <c r="B732" t="str">
        <f>"1552377795325924"</f>
        <v>1552377795325924</v>
      </c>
      <c r="C732" t="s">
        <v>40</v>
      </c>
      <c r="D732">
        <v>5.0817209999999999</v>
      </c>
      <c r="E732">
        <v>0.50793869999999997</v>
      </c>
      <c r="F732" t="s">
        <v>43</v>
      </c>
      <c r="G732">
        <v>-297.20400000000001</v>
      </c>
      <c r="H732">
        <v>-0.05</v>
      </c>
      <c r="I732">
        <v>367.15410000000003</v>
      </c>
      <c r="J732">
        <v>-340.73669999999998</v>
      </c>
      <c r="K732">
        <v>1.108819</v>
      </c>
      <c r="L732">
        <v>368.03320000000002</v>
      </c>
      <c r="M732">
        <v>0.99996390000000002</v>
      </c>
      <c r="N732">
        <v>0</v>
      </c>
      <c r="O732">
        <v>-1.392279E-3</v>
      </c>
      <c r="P732">
        <v>0.99936840000000005</v>
      </c>
      <c r="Q732">
        <v>3.5277669999999997E-2</v>
      </c>
      <c r="R732">
        <v>4.3156929999999998E-3</v>
      </c>
      <c r="S732">
        <v>3.0049440000000001</v>
      </c>
      <c r="T732">
        <v>-7.9456330000000006E-2</v>
      </c>
      <c r="U732">
        <v>-6.0302729999999999E-2</v>
      </c>
      <c r="V732">
        <v>-5.7059049999999998E-3</v>
      </c>
      <c r="W732">
        <v>4.3657080000000001E-2</v>
      </c>
      <c r="X732">
        <v>0.99903030000000004</v>
      </c>
      <c r="Y732">
        <v>1.86657E-2</v>
      </c>
      <c r="Z732">
        <v>-2.099046E-4</v>
      </c>
      <c r="AA732">
        <v>0.99982579999999999</v>
      </c>
      <c r="AB732">
        <v>51</v>
      </c>
      <c r="AC732">
        <v>43.532699999999899</v>
      </c>
      <c r="AD732">
        <v>-1.158819</v>
      </c>
      <c r="AE732">
        <v>-0.879099999999994</v>
      </c>
      <c r="AF732">
        <v>0.81790802268604901</v>
      </c>
      <c r="AG732">
        <v>-1.158819</v>
      </c>
      <c r="AH732">
        <v>43.503068172350702</v>
      </c>
      <c r="AI732">
        <v>91.525593941725603</v>
      </c>
      <c r="AJ732">
        <v>88.922899943815196</v>
      </c>
      <c r="AK732">
        <v>43.526184939832802</v>
      </c>
      <c r="AL732">
        <v>87.497838359839605</v>
      </c>
      <c r="AM732">
        <v>90.327238042781801</v>
      </c>
      <c r="AN732">
        <v>1.00000001915204</v>
      </c>
    </row>
    <row r="733" spans="1:40" x14ac:dyDescent="0.25">
      <c r="A733" t="str">
        <f>"20190312160315340"</f>
        <v>20190312160315340</v>
      </c>
      <c r="B733" t="str">
        <f>"1552377795335683"</f>
        <v>1552377795335683</v>
      </c>
      <c r="C733" t="s">
        <v>40</v>
      </c>
      <c r="D733">
        <v>5.0808229999999996</v>
      </c>
      <c r="E733">
        <v>0.50799850000000002</v>
      </c>
      <c r="F733" t="s">
        <v>43</v>
      </c>
      <c r="G733">
        <v>-297.18799999999999</v>
      </c>
      <c r="H733">
        <v>-0.05</v>
      </c>
      <c r="I733">
        <v>367.14729999999997</v>
      </c>
      <c r="J733">
        <v>-340.45389999999998</v>
      </c>
      <c r="K733">
        <v>1.1088180000000001</v>
      </c>
      <c r="L733">
        <v>368.03280000000001</v>
      </c>
      <c r="M733">
        <v>0.99996379999999996</v>
      </c>
      <c r="N733">
        <v>0</v>
      </c>
      <c r="O733">
        <v>-1.390779E-3</v>
      </c>
      <c r="P733">
        <v>0.99936440000000004</v>
      </c>
      <c r="Q733">
        <v>3.5396270000000001E-2</v>
      </c>
      <c r="R733">
        <v>4.2446769999999997E-3</v>
      </c>
      <c r="S733">
        <v>3.0049440000000001</v>
      </c>
      <c r="T733">
        <v>-7.9960820000000002E-2</v>
      </c>
      <c r="U733">
        <v>-6.1126710000000001E-2</v>
      </c>
      <c r="V733">
        <v>-5.6334640000000004E-3</v>
      </c>
      <c r="W733">
        <v>4.378713E-2</v>
      </c>
      <c r="X733">
        <v>0.99902500000000005</v>
      </c>
      <c r="Y733">
        <v>1.8941070000000001E-2</v>
      </c>
      <c r="Z733">
        <v>-2.149389E-4</v>
      </c>
      <c r="AA733">
        <v>0.99982059999999995</v>
      </c>
      <c r="AB733">
        <v>51</v>
      </c>
      <c r="AC733">
        <v>43.265899999999903</v>
      </c>
      <c r="AD733">
        <v>-1.1588179999999999</v>
      </c>
      <c r="AE733">
        <v>-0.88550000000003504</v>
      </c>
      <c r="AF733">
        <v>0.824732333501628</v>
      </c>
      <c r="AG733">
        <v>-1.1588179999999999</v>
      </c>
      <c r="AH733">
        <v>43.236086748303997</v>
      </c>
      <c r="AI733">
        <v>91.535000660575406</v>
      </c>
      <c r="AJ733">
        <v>88.907210260826702</v>
      </c>
      <c r="AK733">
        <v>43.259475723659797</v>
      </c>
      <c r="AL733">
        <v>87.490379862592903</v>
      </c>
      <c r="AM733">
        <v>90.323085298295396</v>
      </c>
      <c r="AN733">
        <v>0.99999999964763797</v>
      </c>
    </row>
    <row r="734" spans="1:40" x14ac:dyDescent="0.25">
      <c r="A734" t="str">
        <f>"20190312160315353"</f>
        <v>20190312160315353</v>
      </c>
      <c r="B734" t="str">
        <f>"1552377795345443"</f>
        <v>1552377795345443</v>
      </c>
      <c r="C734" t="s">
        <v>40</v>
      </c>
      <c r="D734">
        <v>5.0861729999999996</v>
      </c>
      <c r="E734">
        <v>0.50807209999999903</v>
      </c>
      <c r="F734" t="s">
        <v>43</v>
      </c>
      <c r="G734">
        <v>-296.58240000000001</v>
      </c>
      <c r="H734">
        <v>-0.05</v>
      </c>
      <c r="I734">
        <v>367.13459999999998</v>
      </c>
      <c r="J734">
        <v>-340.1617</v>
      </c>
      <c r="K734">
        <v>1.108814</v>
      </c>
      <c r="L734">
        <v>368.0324</v>
      </c>
      <c r="M734">
        <v>0.99996379999999996</v>
      </c>
      <c r="N734">
        <v>0</v>
      </c>
      <c r="O734">
        <v>-1.3891589999999901E-3</v>
      </c>
      <c r="P734">
        <v>0.99935589999999996</v>
      </c>
      <c r="Q734">
        <v>3.563736E-2</v>
      </c>
      <c r="R734">
        <v>4.2465819999999996E-3</v>
      </c>
      <c r="S734">
        <v>3.0049739999999998</v>
      </c>
      <c r="T734">
        <v>-7.9372999999999999E-2</v>
      </c>
      <c r="U734">
        <v>-6.1523439999999999E-2</v>
      </c>
      <c r="V734">
        <v>-5.6333999999999898E-3</v>
      </c>
      <c r="W734">
        <v>4.403961E-2</v>
      </c>
      <c r="X734">
        <v>0.99901390000000001</v>
      </c>
      <c r="Y734">
        <v>1.9074480000000001E-2</v>
      </c>
      <c r="Z734">
        <v>-2.1516109999999999E-4</v>
      </c>
      <c r="AA734">
        <v>0.99981799999999998</v>
      </c>
      <c r="AB734">
        <v>51</v>
      </c>
      <c r="AC734">
        <v>43.579299999999897</v>
      </c>
      <c r="AD734">
        <v>-1.158814</v>
      </c>
      <c r="AE734">
        <v>-0.89780000000001703</v>
      </c>
      <c r="AF734">
        <v>0.83666708627717101</v>
      </c>
      <c r="AG734">
        <v>-1.158814</v>
      </c>
      <c r="AH734">
        <v>43.549725215559597</v>
      </c>
      <c r="AI734">
        <v>91.523941810569596</v>
      </c>
      <c r="AJ734">
        <v>88.899382345368295</v>
      </c>
      <c r="AK734">
        <v>43.573173261200601</v>
      </c>
      <c r="AL734">
        <v>87.4758998502639</v>
      </c>
      <c r="AM734">
        <v>90.323085217573293</v>
      </c>
      <c r="AN734">
        <v>0.99999999741886103</v>
      </c>
    </row>
    <row r="735" spans="1:40" x14ac:dyDescent="0.25">
      <c r="A735" t="str">
        <f>"20190312160315365"</f>
        <v>20190312160315365</v>
      </c>
      <c r="B735" t="str">
        <f>"1552377795355203"</f>
        <v>1552377795355203</v>
      </c>
      <c r="C735" t="s">
        <v>40</v>
      </c>
      <c r="D735">
        <v>5.0848050000000002</v>
      </c>
      <c r="E735">
        <v>0.50814440000000005</v>
      </c>
      <c r="F735" t="s">
        <v>43</v>
      </c>
      <c r="G735">
        <v>-295.9434</v>
      </c>
      <c r="H735">
        <v>-0.05</v>
      </c>
      <c r="I735">
        <v>367.11669999999998</v>
      </c>
      <c r="J735">
        <v>-339.87810000000002</v>
      </c>
      <c r="K735">
        <v>1.1088150000000001</v>
      </c>
      <c r="L735">
        <v>368.03199999999998</v>
      </c>
      <c r="M735">
        <v>0.99996359999999995</v>
      </c>
      <c r="N735">
        <v>0</v>
      </c>
      <c r="O735">
        <v>-1.387297E-3</v>
      </c>
      <c r="P735">
        <v>0.99936179999999997</v>
      </c>
      <c r="Q735">
        <v>3.5480829999999998E-2</v>
      </c>
      <c r="R735">
        <v>4.1730309999999998E-3</v>
      </c>
      <c r="S735">
        <v>3.0049739999999998</v>
      </c>
      <c r="T735">
        <v>-7.8750249999999994E-2</v>
      </c>
      <c r="U735">
        <v>-6.2225339999999997E-2</v>
      </c>
      <c r="V735">
        <v>-5.5586469999999999E-3</v>
      </c>
      <c r="W735">
        <v>4.3893840000000003E-2</v>
      </c>
      <c r="X735">
        <v>0.99902080000000004</v>
      </c>
      <c r="Y735">
        <v>1.930979E-2</v>
      </c>
      <c r="Z735">
        <v>-2.1660430000000001E-4</v>
      </c>
      <c r="AA735">
        <v>0.99981350000000002</v>
      </c>
      <c r="AB735">
        <v>51</v>
      </c>
      <c r="AC735">
        <v>43.934699999999999</v>
      </c>
      <c r="AD735">
        <v>-1.1588149999999999</v>
      </c>
      <c r="AE735">
        <v>-0.915300000000002</v>
      </c>
      <c r="AF735">
        <v>0.85375279594354503</v>
      </c>
      <c r="AG735">
        <v>-1.1588149999999999</v>
      </c>
      <c r="AH735">
        <v>43.9053964648079</v>
      </c>
      <c r="AI735">
        <v>91.511596816902497</v>
      </c>
      <c r="AJ735">
        <v>88.886007828621302</v>
      </c>
      <c r="AK735">
        <v>43.928983425214497</v>
      </c>
      <c r="AL735">
        <v>87.484260106133107</v>
      </c>
      <c r="AM735">
        <v>90.318795891204203</v>
      </c>
      <c r="AN735">
        <v>1.0000000632895201</v>
      </c>
    </row>
    <row r="736" spans="1:40" x14ac:dyDescent="0.25">
      <c r="A736" t="str">
        <f>"20190312160315382"</f>
        <v>20190312160315382</v>
      </c>
      <c r="B736" t="str">
        <f>"1552377795375700"</f>
        <v>1552377795375700</v>
      </c>
      <c r="C736" t="s">
        <v>40</v>
      </c>
      <c r="D736">
        <v>5.1144619999999996</v>
      </c>
      <c r="E736">
        <v>0.50827749999999905</v>
      </c>
      <c r="F736" t="s">
        <v>43</v>
      </c>
      <c r="G736">
        <v>-295.964</v>
      </c>
      <c r="H736">
        <v>-0.05</v>
      </c>
      <c r="I736">
        <v>367.11369999999999</v>
      </c>
      <c r="J736">
        <v>-339.52100000000002</v>
      </c>
      <c r="K736">
        <v>1.108814</v>
      </c>
      <c r="L736">
        <v>368.03149999999999</v>
      </c>
      <c r="M736">
        <v>0.99996359999999995</v>
      </c>
      <c r="N736">
        <v>0</v>
      </c>
      <c r="O736">
        <v>-1.3852059999999999E-3</v>
      </c>
      <c r="P736">
        <v>0.99935379999999996</v>
      </c>
      <c r="Q736">
        <v>3.5719979999999998E-2</v>
      </c>
      <c r="R736">
        <v>4.0713310000000001E-3</v>
      </c>
      <c r="S736">
        <v>3.0050349999999999</v>
      </c>
      <c r="T736">
        <v>-7.929754E-2</v>
      </c>
      <c r="U736">
        <v>-6.283569E-2</v>
      </c>
      <c r="V736">
        <v>-5.4547379999999998E-3</v>
      </c>
      <c r="W736">
        <v>4.4145839999999999E-2</v>
      </c>
      <c r="X736">
        <v>0.99901019999999896</v>
      </c>
      <c r="Y736">
        <v>1.9514279999999998E-2</v>
      </c>
      <c r="Z736">
        <v>-2.2085670000000001E-4</v>
      </c>
      <c r="AA736">
        <v>0.99980959999999997</v>
      </c>
      <c r="AB736">
        <v>51</v>
      </c>
      <c r="AC736">
        <v>43.556999999999903</v>
      </c>
      <c r="AD736">
        <v>-1.158814</v>
      </c>
      <c r="AE736">
        <v>-0.91779999999999895</v>
      </c>
      <c r="AF736">
        <v>0.85685534882362602</v>
      </c>
      <c r="AG736">
        <v>-1.158814</v>
      </c>
      <c r="AH736">
        <v>43.5274344803396</v>
      </c>
      <c r="AI736">
        <v>91.524707831349104</v>
      </c>
      <c r="AJ736">
        <v>88.872254806271599</v>
      </c>
      <c r="AK736">
        <v>43.551287046603598</v>
      </c>
      <c r="AL736">
        <v>87.469807387011997</v>
      </c>
      <c r="AM736">
        <v>90.312840008976394</v>
      </c>
      <c r="AN736">
        <v>0.99999999452999699</v>
      </c>
    </row>
    <row r="737" spans="1:40" x14ac:dyDescent="0.25">
      <c r="A737" t="str">
        <f>"20190312160315397"</f>
        <v>20190312160315397</v>
      </c>
      <c r="B737" t="str">
        <f>"1552377795385459"</f>
        <v>1552377795385459</v>
      </c>
      <c r="C737" t="s">
        <v>40</v>
      </c>
      <c r="D737">
        <v>5.1026360000000004</v>
      </c>
      <c r="E737">
        <v>0.50832690000000003</v>
      </c>
      <c r="F737" t="s">
        <v>43</v>
      </c>
      <c r="G737">
        <v>-295.53149999999999</v>
      </c>
      <c r="H737">
        <v>-0.05</v>
      </c>
      <c r="I737">
        <v>367.08440000000002</v>
      </c>
      <c r="J737">
        <v>-339.18400000000003</v>
      </c>
      <c r="K737">
        <v>1.108811</v>
      </c>
      <c r="L737">
        <v>368.03100000000001</v>
      </c>
      <c r="M737">
        <v>0.99996339999999995</v>
      </c>
      <c r="N737">
        <v>0</v>
      </c>
      <c r="O737">
        <v>-1.3832269999999999E-3</v>
      </c>
      <c r="P737">
        <v>0.99935160000000001</v>
      </c>
      <c r="Q737">
        <v>3.5775099999999997E-2</v>
      </c>
      <c r="R737">
        <v>4.0729199999999998E-3</v>
      </c>
      <c r="S737">
        <v>3.0050349999999999</v>
      </c>
      <c r="T737">
        <v>-7.9161640000000005E-2</v>
      </c>
      <c r="U737">
        <v>-6.4697270000000001E-2</v>
      </c>
      <c r="V737">
        <v>-5.4542449999999999E-3</v>
      </c>
      <c r="W737">
        <v>4.4212059999999997E-2</v>
      </c>
      <c r="X737">
        <v>0.99900730000000004</v>
      </c>
      <c r="Y737">
        <v>2.0135150000000001E-2</v>
      </c>
      <c r="Z737">
        <v>-2.2870449999999999E-4</v>
      </c>
      <c r="AA737">
        <v>0.99979720000000005</v>
      </c>
      <c r="AB737">
        <v>51</v>
      </c>
      <c r="AC737">
        <v>43.652500000000003</v>
      </c>
      <c r="AD737">
        <v>-1.158811</v>
      </c>
      <c r="AE737">
        <v>-0.94659999999998901</v>
      </c>
      <c r="AF737">
        <v>0.88559183834942901</v>
      </c>
      <c r="AG737">
        <v>-1.158811</v>
      </c>
      <c r="AH737">
        <v>43.623040746415001</v>
      </c>
      <c r="AI737">
        <v>91.521345138506902</v>
      </c>
      <c r="AJ737">
        <v>88.836997491207796</v>
      </c>
      <c r="AK737">
        <v>43.647414583240298</v>
      </c>
      <c r="AL737">
        <v>87.466009617598502</v>
      </c>
      <c r="AM737">
        <v>90.312812643051004</v>
      </c>
      <c r="AN737">
        <v>1.0000000202456201</v>
      </c>
    </row>
    <row r="738" spans="1:40" x14ac:dyDescent="0.25">
      <c r="A738" t="str">
        <f>"20190312160315408"</f>
        <v>20190312160315408</v>
      </c>
      <c r="B738" t="str">
        <f>"1552377795404979"</f>
        <v>1552377795404979</v>
      </c>
      <c r="C738" t="s">
        <v>40</v>
      </c>
      <c r="D738">
        <v>5.112044</v>
      </c>
      <c r="E738">
        <v>0.5084225</v>
      </c>
      <c r="F738" t="s">
        <v>43</v>
      </c>
      <c r="G738">
        <v>-295.32299999999998</v>
      </c>
      <c r="H738">
        <v>-0.05</v>
      </c>
      <c r="I738">
        <v>367.0831</v>
      </c>
      <c r="J738">
        <v>-338.90750000000003</v>
      </c>
      <c r="K738">
        <v>1.108811</v>
      </c>
      <c r="L738">
        <v>368.03059999999999</v>
      </c>
      <c r="M738">
        <v>0.99996339999999995</v>
      </c>
      <c r="N738">
        <v>0</v>
      </c>
      <c r="O738">
        <v>-1.3817160000000001E-3</v>
      </c>
      <c r="P738">
        <v>0.99935309999999999</v>
      </c>
      <c r="Q738">
        <v>3.5749250000000003E-2</v>
      </c>
      <c r="R738">
        <v>3.9728890000000003E-3</v>
      </c>
      <c r="S738">
        <v>3.0050349999999999</v>
      </c>
      <c r="T738">
        <v>-7.9393389999999994E-2</v>
      </c>
      <c r="U738">
        <v>-6.4941410000000005E-2</v>
      </c>
      <c r="V738">
        <v>-5.3523069999999997E-3</v>
      </c>
      <c r="W738">
        <v>4.4195859999999997E-2</v>
      </c>
      <c r="X738">
        <v>0.99900849999999997</v>
      </c>
      <c r="Y738">
        <v>2.0217789999999999E-2</v>
      </c>
      <c r="Z738">
        <v>-2.305047E-4</v>
      </c>
      <c r="AA738">
        <v>0.99979560000000001</v>
      </c>
      <c r="AB738">
        <v>51</v>
      </c>
      <c r="AC738">
        <v>43.584499999999998</v>
      </c>
      <c r="AD738">
        <v>-1.158811</v>
      </c>
      <c r="AE738">
        <v>-0.94749999999999002</v>
      </c>
      <c r="AF738">
        <v>0.88664906716152003</v>
      </c>
      <c r="AG738">
        <v>-1.158811</v>
      </c>
      <c r="AH738">
        <v>43.5549929150163</v>
      </c>
      <c r="AI738">
        <v>91.5237191487399</v>
      </c>
      <c r="AJ738">
        <v>88.833790793451797</v>
      </c>
      <c r="AK738">
        <v>43.579426307939599</v>
      </c>
      <c r="AL738">
        <v>87.466938544779197</v>
      </c>
      <c r="AM738">
        <v>90.306966024446695</v>
      </c>
      <c r="AN738">
        <v>0.99999995215180404</v>
      </c>
    </row>
    <row r="739" spans="1:40" x14ac:dyDescent="0.25">
      <c r="A739" t="str">
        <f>"20190312160315424"</f>
        <v>20190312160315424</v>
      </c>
      <c r="B739" t="str">
        <f>"1552377795415715"</f>
        <v>1552377795415715</v>
      </c>
      <c r="C739" t="s">
        <v>40</v>
      </c>
      <c r="D739">
        <v>5.1282389999999998</v>
      </c>
      <c r="E739">
        <v>0.50846859999999905</v>
      </c>
      <c r="F739" t="s">
        <v>43</v>
      </c>
      <c r="G739">
        <v>-295.62830000000002</v>
      </c>
      <c r="H739">
        <v>-0.05</v>
      </c>
      <c r="I739">
        <v>367.08300000000003</v>
      </c>
      <c r="J739">
        <v>-338.52659999999997</v>
      </c>
      <c r="K739">
        <v>1.108808</v>
      </c>
      <c r="L739">
        <v>368.0301</v>
      </c>
      <c r="M739">
        <v>0.9999633</v>
      </c>
      <c r="N739">
        <v>0</v>
      </c>
      <c r="O739">
        <v>-1.3796209999999999E-3</v>
      </c>
      <c r="P739">
        <v>0.99935529999999995</v>
      </c>
      <c r="Q739">
        <v>3.5706179999999997E-2</v>
      </c>
      <c r="R739">
        <v>3.805157E-3</v>
      </c>
      <c r="S739">
        <v>3.0050659999999998</v>
      </c>
      <c r="T739">
        <v>-8.0461260000000007E-2</v>
      </c>
      <c r="U739">
        <v>-6.5795899999999893E-2</v>
      </c>
      <c r="V739">
        <v>-5.1827280000000002E-3</v>
      </c>
      <c r="W739">
        <v>4.41649E-2</v>
      </c>
      <c r="X739">
        <v>0.99901079999999998</v>
      </c>
      <c r="Y739">
        <v>2.0503540000000001E-2</v>
      </c>
      <c r="Z739">
        <v>-2.374814E-4</v>
      </c>
      <c r="AA739">
        <v>0.99978979999999995</v>
      </c>
      <c r="AB739">
        <v>51</v>
      </c>
      <c r="AC739">
        <v>42.8982999999999</v>
      </c>
      <c r="AD739">
        <v>-1.1588080000000001</v>
      </c>
      <c r="AE739">
        <v>-0.94709999999997696</v>
      </c>
      <c r="AF739">
        <v>0.88726646665849096</v>
      </c>
      <c r="AG739">
        <v>-1.1588080000000001</v>
      </c>
      <c r="AH739">
        <v>42.868300209600697</v>
      </c>
      <c r="AI739">
        <v>91.548100486281001</v>
      </c>
      <c r="AJ739">
        <v>88.814290134634504</v>
      </c>
      <c r="AK739">
        <v>42.893137453725302</v>
      </c>
      <c r="AL739">
        <v>87.468714248757294</v>
      </c>
      <c r="AM739">
        <v>90.297239806411298</v>
      </c>
      <c r="AN739">
        <v>0.99999998878908503</v>
      </c>
    </row>
    <row r="740" spans="1:40" x14ac:dyDescent="0.25">
      <c r="A740" t="str">
        <f>"20190312160315437"</f>
        <v>20190312160315437</v>
      </c>
      <c r="B740" t="str">
        <f>"1552377795425475"</f>
        <v>1552377795425475</v>
      </c>
      <c r="C740" t="s">
        <v>40</v>
      </c>
      <c r="D740">
        <v>5.1192190000000002</v>
      </c>
      <c r="E740">
        <v>0.50848570000000004</v>
      </c>
      <c r="F740" t="s">
        <v>43</v>
      </c>
      <c r="G740">
        <v>-295.45170000000002</v>
      </c>
      <c r="H740">
        <v>-0.05</v>
      </c>
      <c r="I740">
        <v>367.07339999999999</v>
      </c>
      <c r="J740">
        <v>-338.27420000000001</v>
      </c>
      <c r="K740">
        <v>1.108808</v>
      </c>
      <c r="L740">
        <v>368.02969999999999</v>
      </c>
      <c r="M740">
        <v>0.9999633</v>
      </c>
      <c r="N740">
        <v>0</v>
      </c>
      <c r="O740">
        <v>-1.3783479999999999E-3</v>
      </c>
      <c r="P740">
        <v>0.99936190000000003</v>
      </c>
      <c r="Q740">
        <v>3.553539E-2</v>
      </c>
      <c r="R740">
        <v>3.6458340000000001E-3</v>
      </c>
      <c r="S740">
        <v>3.0050659999999998</v>
      </c>
      <c r="T740">
        <v>-8.0842849999999994E-2</v>
      </c>
      <c r="U740">
        <v>-6.674194E-2</v>
      </c>
      <c r="V740">
        <v>-5.0222289999999996E-3</v>
      </c>
      <c r="W740">
        <v>4.4002930000000003E-2</v>
      </c>
      <c r="X740">
        <v>0.99901879999999998</v>
      </c>
      <c r="Y740">
        <v>2.0819230000000001E-2</v>
      </c>
      <c r="Z740">
        <v>-2.428858E-4</v>
      </c>
      <c r="AA740">
        <v>0.99978319999999998</v>
      </c>
      <c r="AB740">
        <v>51</v>
      </c>
      <c r="AC740">
        <v>42.822499999999899</v>
      </c>
      <c r="AD740">
        <v>-1.1588080000000001</v>
      </c>
      <c r="AE740">
        <v>-0.95629999999999804</v>
      </c>
      <c r="AF740">
        <v>0.89661642443600997</v>
      </c>
      <c r="AG740">
        <v>-1.1588080000000001</v>
      </c>
      <c r="AH740">
        <v>42.792456912733797</v>
      </c>
      <c r="AI740">
        <v>91.550834692785202</v>
      </c>
      <c r="AJ740">
        <v>88.799675809411596</v>
      </c>
      <c r="AK740">
        <v>42.8175329231101</v>
      </c>
      <c r="AL740">
        <v>87.478003560010393</v>
      </c>
      <c r="AM740">
        <v>90.288032719127699</v>
      </c>
      <c r="AN740">
        <v>1.00000002169307</v>
      </c>
    </row>
    <row r="741" spans="1:40" x14ac:dyDescent="0.25">
      <c r="A741" t="str">
        <f>"20190312160315447"</f>
        <v>20190312160315447</v>
      </c>
      <c r="B741" t="str">
        <f>"1552377795435235"</f>
        <v>1552377795435235</v>
      </c>
      <c r="C741" t="s">
        <v>40</v>
      </c>
      <c r="D741">
        <v>5.1353460000000002</v>
      </c>
      <c r="E741">
        <v>0.50853890000000002</v>
      </c>
      <c r="F741" t="s">
        <v>43</v>
      </c>
      <c r="G741">
        <v>-295.56849999999997</v>
      </c>
      <c r="H741">
        <v>-0.05</v>
      </c>
      <c r="I741">
        <v>367.07429999999999</v>
      </c>
      <c r="J741">
        <v>-338.01199999999898</v>
      </c>
      <c r="K741">
        <v>1.1088039999999999</v>
      </c>
      <c r="L741">
        <v>368.02929999999998</v>
      </c>
      <c r="M741">
        <v>0.99996309999999999</v>
      </c>
      <c r="N741">
        <v>0</v>
      </c>
      <c r="O741">
        <v>-1.3768389999999999E-3</v>
      </c>
      <c r="P741">
        <v>0.99935320000000005</v>
      </c>
      <c r="Q741">
        <v>3.5764520000000001E-2</v>
      </c>
      <c r="R741">
        <v>3.7951970000000002E-3</v>
      </c>
      <c r="S741">
        <v>3.0050659999999998</v>
      </c>
      <c r="T741">
        <v>-8.1541660000000002E-2</v>
      </c>
      <c r="U741">
        <v>-6.7230219999999993E-2</v>
      </c>
      <c r="V741">
        <v>-5.1698489999999998E-3</v>
      </c>
      <c r="W741">
        <v>4.4242070000000001E-2</v>
      </c>
      <c r="X741">
        <v>0.99900750000000005</v>
      </c>
      <c r="Y741">
        <v>2.0982919999999999E-2</v>
      </c>
      <c r="Z741">
        <v>-2.4724520000000001E-4</v>
      </c>
      <c r="AA741">
        <v>0.9997798</v>
      </c>
      <c r="AB741">
        <v>51</v>
      </c>
      <c r="AC741">
        <v>42.443499999999901</v>
      </c>
      <c r="AD741">
        <v>-1.1588039999999999</v>
      </c>
      <c r="AE741">
        <v>-0.95499999999998397</v>
      </c>
      <c r="AF741">
        <v>0.89589165527612302</v>
      </c>
      <c r="AG741">
        <v>-1.1588039999999999</v>
      </c>
      <c r="AH741">
        <v>42.413175315681599</v>
      </c>
      <c r="AI741">
        <v>91.564685234922507</v>
      </c>
      <c r="AJ741">
        <v>88.789923693258302</v>
      </c>
      <c r="AK741">
        <v>42.4384600206835</v>
      </c>
      <c r="AL741">
        <v>87.464288528609202</v>
      </c>
      <c r="AM741">
        <v>90.296502162639598</v>
      </c>
      <c r="AN741">
        <v>1.0000000365763999</v>
      </c>
    </row>
    <row r="742" spans="1:40" x14ac:dyDescent="0.25">
      <c r="A742" t="str">
        <f>"20190312160315458"</f>
        <v>20190312160315458</v>
      </c>
      <c r="B742" t="str">
        <f>"1552377795444996"</f>
        <v>1552377795444996</v>
      </c>
      <c r="C742" t="s">
        <v>40</v>
      </c>
      <c r="D742">
        <v>5.1621259999999998</v>
      </c>
      <c r="E742">
        <v>0.50858040000000004</v>
      </c>
      <c r="F742" t="s">
        <v>43</v>
      </c>
      <c r="G742">
        <v>-294.95319999999998</v>
      </c>
      <c r="H742">
        <v>-0.05</v>
      </c>
      <c r="I742">
        <v>367.06200000000001</v>
      </c>
      <c r="J742">
        <v>-337.76639999999998</v>
      </c>
      <c r="K742">
        <v>1.10880499999999</v>
      </c>
      <c r="L742">
        <v>368.029</v>
      </c>
      <c r="M742">
        <v>0.99996300000000005</v>
      </c>
      <c r="N742">
        <v>0</v>
      </c>
      <c r="O742">
        <v>-1.375689E-3</v>
      </c>
      <c r="P742">
        <v>0.9993571</v>
      </c>
      <c r="Q742">
        <v>3.5655260000000001E-2</v>
      </c>
      <c r="R742">
        <v>3.7955200000000001E-3</v>
      </c>
      <c r="S742">
        <v>3.005096</v>
      </c>
      <c r="T742">
        <v>-8.0873490000000006E-2</v>
      </c>
      <c r="U742">
        <v>-6.7504880000000003E-2</v>
      </c>
      <c r="V742">
        <v>-5.1693950000000002E-3</v>
      </c>
      <c r="W742">
        <v>4.4142979999999998E-2</v>
      </c>
      <c r="X742">
        <v>0.99901189999999995</v>
      </c>
      <c r="Y742">
        <v>2.1075259999999998E-2</v>
      </c>
      <c r="Z742">
        <v>-2.4649040000000001E-4</v>
      </c>
      <c r="AA742">
        <v>0.9997779</v>
      </c>
      <c r="AB742">
        <v>51</v>
      </c>
      <c r="AC742">
        <v>42.813200000000002</v>
      </c>
      <c r="AD742">
        <v>-1.1588050000000001</v>
      </c>
      <c r="AE742">
        <v>-0.96700000000004105</v>
      </c>
      <c r="AF742">
        <v>0.907434867640315</v>
      </c>
      <c r="AG742">
        <v>-1.1588050000000001</v>
      </c>
      <c r="AH742">
        <v>42.783162973556102</v>
      </c>
      <c r="AI742">
        <v>91.551158997844794</v>
      </c>
      <c r="AJ742">
        <v>88.784933369855494</v>
      </c>
      <c r="AK742">
        <v>42.808472305011101</v>
      </c>
      <c r="AL742">
        <v>87.469971555386493</v>
      </c>
      <c r="AM742">
        <v>90.296474819448207</v>
      </c>
      <c r="AN742">
        <v>1.0000000508347699</v>
      </c>
    </row>
    <row r="743" spans="1:40" x14ac:dyDescent="0.25">
      <c r="A743" t="str">
        <f>"20190312160315469"</f>
        <v>20190312160315469</v>
      </c>
      <c r="B743" t="str">
        <f>"1552377795464928"</f>
        <v>1552377795464928</v>
      </c>
      <c r="C743" t="s">
        <v>40</v>
      </c>
      <c r="D743">
        <v>5.1493180000000001</v>
      </c>
      <c r="E743">
        <v>0.50864529999999997</v>
      </c>
      <c r="F743" t="s">
        <v>43</v>
      </c>
      <c r="G743">
        <v>-295.04410000000001</v>
      </c>
      <c r="H743">
        <v>-0.05</v>
      </c>
      <c r="I743">
        <v>367.06760000000003</v>
      </c>
      <c r="J743">
        <v>-337.50900000000001</v>
      </c>
      <c r="K743">
        <v>1.1088119999999999</v>
      </c>
      <c r="L743">
        <v>368.02870000000001</v>
      </c>
      <c r="M743">
        <v>0.99996300000000005</v>
      </c>
      <c r="N743">
        <v>0</v>
      </c>
      <c r="O743">
        <v>-1.3745420000000001E-3</v>
      </c>
      <c r="P743">
        <v>0.99935949999999996</v>
      </c>
      <c r="Q743">
        <v>3.5589889999999999E-2</v>
      </c>
      <c r="R743">
        <v>3.7900410000000001E-3</v>
      </c>
      <c r="S743">
        <v>3.0051570000000001</v>
      </c>
      <c r="T743">
        <v>-8.1512329999999994E-2</v>
      </c>
      <c r="U743">
        <v>-6.7626950000000005E-2</v>
      </c>
      <c r="V743">
        <v>-5.1627390000000004E-3</v>
      </c>
      <c r="W743">
        <v>4.4088679999999998E-2</v>
      </c>
      <c r="X743">
        <v>0.99901430000000002</v>
      </c>
      <c r="Y743">
        <v>2.1116409999999999E-2</v>
      </c>
      <c r="Z743">
        <v>-2.4902060000000001E-4</v>
      </c>
      <c r="AA743">
        <v>0.99977700000000003</v>
      </c>
      <c r="AB743">
        <v>51</v>
      </c>
      <c r="AC743">
        <v>42.4649</v>
      </c>
      <c r="AD743">
        <v>-1.158812</v>
      </c>
      <c r="AE743">
        <v>-0.96109999999998696</v>
      </c>
      <c r="AF743">
        <v>0.902055805892506</v>
      </c>
      <c r="AG743">
        <v>-1.158812</v>
      </c>
      <c r="AH743">
        <v>42.434597270086797</v>
      </c>
      <c r="AI743">
        <v>91.563902073349894</v>
      </c>
      <c r="AJ743">
        <v>88.782215198279701</v>
      </c>
      <c r="AK743">
        <v>42.4599999458637</v>
      </c>
      <c r="AL743">
        <v>87.473085666433406</v>
      </c>
      <c r="AM743">
        <v>90.296092380440399</v>
      </c>
      <c r="AN743">
        <v>1.0000000185913001</v>
      </c>
    </row>
    <row r="744" spans="1:40" x14ac:dyDescent="0.25">
      <c r="A744" t="str">
        <f>"20190312160315480"</f>
        <v>20190312160315480</v>
      </c>
      <c r="B744" t="str">
        <f>"1552377795475665"</f>
        <v>1552377795475665</v>
      </c>
      <c r="C744" t="s">
        <v>40</v>
      </c>
      <c r="D744">
        <v>5.1589660000000004</v>
      </c>
      <c r="E744">
        <v>0.50868270000000004</v>
      </c>
      <c r="F744" t="s">
        <v>43</v>
      </c>
      <c r="G744">
        <v>-295.03890000000001</v>
      </c>
      <c r="H744">
        <v>-0.05</v>
      </c>
      <c r="I744">
        <v>367.06689999999998</v>
      </c>
      <c r="J744">
        <v>-337.24149999999997</v>
      </c>
      <c r="K744">
        <v>1.1088119999999999</v>
      </c>
      <c r="L744">
        <v>368.02820000000003</v>
      </c>
      <c r="M744">
        <v>0.99996280000000004</v>
      </c>
      <c r="N744">
        <v>0</v>
      </c>
      <c r="O744">
        <v>-1.373041E-3</v>
      </c>
      <c r="P744">
        <v>0.99936639999999999</v>
      </c>
      <c r="Q744">
        <v>3.5412800000000001E-2</v>
      </c>
      <c r="R744">
        <v>3.6084870000000001E-3</v>
      </c>
      <c r="S744">
        <v>3.0051269999999999</v>
      </c>
      <c r="T744">
        <v>-8.1995960000000007E-2</v>
      </c>
      <c r="U744">
        <v>-6.8054199999999995E-2</v>
      </c>
      <c r="V744">
        <v>-4.9793720000000001E-3</v>
      </c>
      <c r="W744">
        <v>4.3922889999999999E-2</v>
      </c>
      <c r="X744">
        <v>0.99902250000000004</v>
      </c>
      <c r="Y744">
        <v>2.1260069999999999E-2</v>
      </c>
      <c r="Z744">
        <v>-2.524998E-4</v>
      </c>
      <c r="AA744">
        <v>0.99977389999999999</v>
      </c>
      <c r="AB744">
        <v>51</v>
      </c>
      <c r="AC744">
        <v>42.202599999999897</v>
      </c>
      <c r="AD744">
        <v>-1.158812</v>
      </c>
      <c r="AE744">
        <v>-0.961300000000051</v>
      </c>
      <c r="AF744">
        <v>0.90267086902944005</v>
      </c>
      <c r="AG744">
        <v>-1.158812</v>
      </c>
      <c r="AH744">
        <v>42.172100635095397</v>
      </c>
      <c r="AI744">
        <v>91.573626642387296</v>
      </c>
      <c r="AJ744">
        <v>88.773802251362497</v>
      </c>
      <c r="AK744">
        <v>42.197674484807202</v>
      </c>
      <c r="AL744">
        <v>87.482593859726805</v>
      </c>
      <c r="AM744">
        <v>90.285573786121802</v>
      </c>
      <c r="AN744">
        <v>0.999999984958858</v>
      </c>
    </row>
    <row r="745" spans="1:40" x14ac:dyDescent="0.25">
      <c r="A745" t="str">
        <f>"20190312160315492"</f>
        <v>20190312160315492</v>
      </c>
      <c r="B745" t="str">
        <f>"1552377795485423"</f>
        <v>1552377795485423</v>
      </c>
      <c r="C745" t="s">
        <v>40</v>
      </c>
      <c r="D745">
        <v>5.1773569999999998</v>
      </c>
      <c r="E745">
        <v>0.5086948</v>
      </c>
      <c r="F745" t="s">
        <v>43</v>
      </c>
      <c r="G745">
        <v>-295.05990000000003</v>
      </c>
      <c r="H745">
        <v>-0.05</v>
      </c>
      <c r="I745">
        <v>367.06180000000001</v>
      </c>
      <c r="J745">
        <v>-336.98719999999997</v>
      </c>
      <c r="K745">
        <v>1.1088119999999999</v>
      </c>
      <c r="L745">
        <v>368.02789999999999</v>
      </c>
      <c r="M745">
        <v>0.99996269999999998</v>
      </c>
      <c r="N745">
        <v>0</v>
      </c>
      <c r="O745">
        <v>-1.3717759999999999E-3</v>
      </c>
      <c r="P745">
        <v>0.99937050000000005</v>
      </c>
      <c r="Q745">
        <v>3.5298570000000001E-2</v>
      </c>
      <c r="R745">
        <v>3.5784850000000002E-3</v>
      </c>
      <c r="S745">
        <v>3.005096</v>
      </c>
      <c r="T745">
        <v>-8.2556009999999999E-2</v>
      </c>
      <c r="U745">
        <v>-6.8847660000000005E-2</v>
      </c>
      <c r="V745">
        <v>-4.9484330000000003E-3</v>
      </c>
      <c r="W745">
        <v>4.3819520000000001E-2</v>
      </c>
      <c r="X745">
        <v>0.9990272</v>
      </c>
      <c r="Y745">
        <v>2.1525200000000001E-2</v>
      </c>
      <c r="Z745">
        <v>-2.57901E-4</v>
      </c>
      <c r="AA745">
        <v>0.99976830000000005</v>
      </c>
      <c r="AB745">
        <v>51</v>
      </c>
      <c r="AC745">
        <v>41.927299999999903</v>
      </c>
      <c r="AD745">
        <v>-1.158812</v>
      </c>
      <c r="AE745">
        <v>-0.96609999999998297</v>
      </c>
      <c r="AF745">
        <v>0.90788897436153804</v>
      </c>
      <c r="AG745">
        <v>-1.158812</v>
      </c>
      <c r="AH745">
        <v>41.896598360895403</v>
      </c>
      <c r="AI745">
        <v>91.583960148808998</v>
      </c>
      <c r="AJ745">
        <v>88.7586088460735</v>
      </c>
      <c r="AK745">
        <v>41.922452956086602</v>
      </c>
      <c r="AL745">
        <v>87.488522249683001</v>
      </c>
      <c r="AM745">
        <v>90.283798086187403</v>
      </c>
      <c r="AN745">
        <v>0.99999999183101196</v>
      </c>
    </row>
    <row r="746" spans="1:40" x14ac:dyDescent="0.25">
      <c r="A746" t="str">
        <f>"20190312160315503"</f>
        <v>20190312160315503</v>
      </c>
      <c r="B746" t="str">
        <f>"1552377795495184"</f>
        <v>1552377795495184</v>
      </c>
      <c r="C746" t="s">
        <v>40</v>
      </c>
      <c r="D746">
        <v>5.200323</v>
      </c>
      <c r="E746">
        <v>0.50870420000000005</v>
      </c>
      <c r="F746" t="s">
        <v>43</v>
      </c>
      <c r="G746">
        <v>-294.79910000000001</v>
      </c>
      <c r="H746">
        <v>-0.05</v>
      </c>
      <c r="I746">
        <v>367.05489999999998</v>
      </c>
      <c r="J746">
        <v>-336.71190000000001</v>
      </c>
      <c r="K746">
        <v>1.108814</v>
      </c>
      <c r="L746">
        <v>368.02749999999997</v>
      </c>
      <c r="M746">
        <v>0.99996260000000003</v>
      </c>
      <c r="N746">
        <v>0</v>
      </c>
      <c r="O746">
        <v>-1.370275E-3</v>
      </c>
      <c r="P746">
        <v>0.99937410000000004</v>
      </c>
      <c r="Q746">
        <v>3.5217900000000003E-2</v>
      </c>
      <c r="R746">
        <v>3.323473E-3</v>
      </c>
      <c r="S746">
        <v>3.0050349999999999</v>
      </c>
      <c r="T746">
        <v>-8.2541470000000006E-2</v>
      </c>
      <c r="U746">
        <v>-6.9305420000000006E-2</v>
      </c>
      <c r="V746">
        <v>-4.6916800000000002E-3</v>
      </c>
      <c r="W746">
        <v>4.3750450000000003E-2</v>
      </c>
      <c r="X746">
        <v>0.99903149999999996</v>
      </c>
      <c r="Y746">
        <v>2.167933E-2</v>
      </c>
      <c r="Z746">
        <v>-2.600177E-4</v>
      </c>
      <c r="AA746">
        <v>0.99976489999999996</v>
      </c>
      <c r="AB746">
        <v>51</v>
      </c>
      <c r="AC746">
        <v>41.912799999999997</v>
      </c>
      <c r="AD746">
        <v>-1.158814</v>
      </c>
      <c r="AE746">
        <v>-0.97260000000000002</v>
      </c>
      <c r="AF746">
        <v>0.91446626727161295</v>
      </c>
      <c r="AG746">
        <v>-1.158814</v>
      </c>
      <c r="AH746">
        <v>41.882094992988499</v>
      </c>
      <c r="AI746">
        <v>91.584505447012404</v>
      </c>
      <c r="AJ746">
        <v>88.749185450351703</v>
      </c>
      <c r="AK746">
        <v>41.9081015967353</v>
      </c>
      <c r="AL746">
        <v>87.492483553497706</v>
      </c>
      <c r="AM746">
        <v>90.269072082976805</v>
      </c>
      <c r="AN746">
        <v>1.00000002586433</v>
      </c>
    </row>
    <row r="747" spans="1:40" x14ac:dyDescent="0.25">
      <c r="A747" t="str">
        <f>"20190312160315514"</f>
        <v>20190312160315514</v>
      </c>
      <c r="B747" t="str">
        <f>"1552377795504945"</f>
        <v>1552377795504945</v>
      </c>
      <c r="C747" t="s">
        <v>40</v>
      </c>
      <c r="D747">
        <v>5.1890269999999896</v>
      </c>
      <c r="E747">
        <v>0.50872700000000004</v>
      </c>
      <c r="F747" t="s">
        <v>43</v>
      </c>
      <c r="G747">
        <v>-294.79160000000002</v>
      </c>
      <c r="H747">
        <v>-0.05</v>
      </c>
      <c r="I747">
        <v>367.04919999999998</v>
      </c>
      <c r="J747">
        <v>-336.47579999999999</v>
      </c>
      <c r="K747">
        <v>1.1088129999999901</v>
      </c>
      <c r="L747">
        <v>368.02719999999999</v>
      </c>
      <c r="M747">
        <v>0.99996260000000003</v>
      </c>
      <c r="N747">
        <v>0</v>
      </c>
      <c r="O747">
        <v>-1.3690039999999901E-3</v>
      </c>
      <c r="P747">
        <v>0.99937469999999995</v>
      </c>
      <c r="Q747">
        <v>3.5210060000000001E-2</v>
      </c>
      <c r="R747">
        <v>3.2392670000000001E-3</v>
      </c>
      <c r="S747">
        <v>3.0050050000000001</v>
      </c>
      <c r="T747">
        <v>-8.3068249999999996E-2</v>
      </c>
      <c r="U747">
        <v>-7.012939E-2</v>
      </c>
      <c r="V747">
        <v>-4.6059330000000004E-3</v>
      </c>
      <c r="W747">
        <v>4.3751400000000003E-2</v>
      </c>
      <c r="X747">
        <v>0.99903180000000003</v>
      </c>
      <c r="Y747">
        <v>2.1954620000000001E-2</v>
      </c>
      <c r="Z747">
        <v>-2.6551720000000001E-4</v>
      </c>
      <c r="AA747">
        <v>0.99975899999999995</v>
      </c>
      <c r="AB747">
        <v>51</v>
      </c>
      <c r="AC747">
        <v>41.684199999999898</v>
      </c>
      <c r="AD747">
        <v>-1.1588130000000001</v>
      </c>
      <c r="AE747">
        <v>-0.97800000000000797</v>
      </c>
      <c r="AF747">
        <v>0.92022038373404302</v>
      </c>
      <c r="AG747">
        <v>-1.1588130000000001</v>
      </c>
      <c r="AH747">
        <v>41.653326654785403</v>
      </c>
      <c r="AI747">
        <v>91.593192997318695</v>
      </c>
      <c r="AJ747">
        <v>88.734406753972493</v>
      </c>
      <c r="AK747">
        <v>41.679602619673197</v>
      </c>
      <c r="AL747">
        <v>87.4924289264424</v>
      </c>
      <c r="AM747">
        <v>90.264154406137905</v>
      </c>
      <c r="AN747">
        <v>0.99999996851599904</v>
      </c>
    </row>
    <row r="748" spans="1:40" x14ac:dyDescent="0.25">
      <c r="A748" t="str">
        <f>"20190312160315525"</f>
        <v>20190312160315525</v>
      </c>
      <c r="B748" t="str">
        <f>"1552377795515681"</f>
        <v>1552377795515681</v>
      </c>
      <c r="C748" t="s">
        <v>40</v>
      </c>
      <c r="D748">
        <v>5.2119260000000001</v>
      </c>
      <c r="E748">
        <v>0.50874520000000001</v>
      </c>
      <c r="F748" t="s">
        <v>43</v>
      </c>
      <c r="G748">
        <v>-294.60410000000002</v>
      </c>
      <c r="H748">
        <v>-0.05</v>
      </c>
      <c r="I748">
        <v>367.04360000000003</v>
      </c>
      <c r="J748">
        <v>-336.22050000000002</v>
      </c>
      <c r="K748">
        <v>1.1088119999999999</v>
      </c>
      <c r="L748">
        <v>368.02679999999998</v>
      </c>
      <c r="M748">
        <v>0.99996249999999998</v>
      </c>
      <c r="N748">
        <v>0</v>
      </c>
      <c r="O748">
        <v>-1.367498E-3</v>
      </c>
      <c r="P748">
        <v>0.99937500000000001</v>
      </c>
      <c r="Q748">
        <v>3.5204119999999998E-2</v>
      </c>
      <c r="R748">
        <v>3.2191670000000002E-3</v>
      </c>
      <c r="S748">
        <v>3.0050659999999998</v>
      </c>
      <c r="T748">
        <v>-8.3166119999999996E-2</v>
      </c>
      <c r="U748">
        <v>-7.0587159999999996E-2</v>
      </c>
      <c r="V748">
        <v>-4.5849710000000002E-3</v>
      </c>
      <c r="W748">
        <v>4.3755679999999998E-2</v>
      </c>
      <c r="X748">
        <v>0.99903169999999997</v>
      </c>
      <c r="Y748">
        <v>2.210778E-2</v>
      </c>
      <c r="Z748">
        <v>-2.679844E-4</v>
      </c>
      <c r="AA748">
        <v>0.99975559999999997</v>
      </c>
      <c r="AB748">
        <v>51</v>
      </c>
      <c r="AC748">
        <v>41.616399999999999</v>
      </c>
      <c r="AD748">
        <v>-1.158812</v>
      </c>
      <c r="AE748">
        <v>-0.983199999999954</v>
      </c>
      <c r="AF748">
        <v>0.92556941732214904</v>
      </c>
      <c r="AG748">
        <v>-1.158812</v>
      </c>
      <c r="AH748">
        <v>41.5854804048885</v>
      </c>
      <c r="AI748">
        <v>91.595783733545701</v>
      </c>
      <c r="AJ748">
        <v>88.7249764447877</v>
      </c>
      <c r="AK748">
        <v>41.611917818132298</v>
      </c>
      <c r="AL748">
        <v>87.492183442929701</v>
      </c>
      <c r="AM748">
        <v>90.262952259796904</v>
      </c>
      <c r="AN748">
        <v>0.99999995954811005</v>
      </c>
    </row>
    <row r="749" spans="1:40" x14ac:dyDescent="0.25">
      <c r="A749" t="str">
        <f>"20190312160315536"</f>
        <v>20190312160315536</v>
      </c>
      <c r="B749" t="str">
        <f>"1552377795525441"</f>
        <v>1552377795525441</v>
      </c>
      <c r="C749" t="s">
        <v>40</v>
      </c>
      <c r="D749">
        <v>5.1995779999999998</v>
      </c>
      <c r="E749">
        <v>0.50876379999999999</v>
      </c>
      <c r="F749" t="s">
        <v>43</v>
      </c>
      <c r="G749">
        <v>-294.47719999999998</v>
      </c>
      <c r="H749">
        <v>-0.05</v>
      </c>
      <c r="I749">
        <v>367.03949999999998</v>
      </c>
      <c r="J749">
        <v>-335.97500000000002</v>
      </c>
      <c r="K749">
        <v>1.1088129999999901</v>
      </c>
      <c r="L749">
        <v>368.0265</v>
      </c>
      <c r="M749">
        <v>0.99996240000000003</v>
      </c>
      <c r="N749">
        <v>0</v>
      </c>
      <c r="O749">
        <v>-1.366227E-3</v>
      </c>
      <c r="P749">
        <v>0.9993805</v>
      </c>
      <c r="Q749">
        <v>3.5082339999999997E-2</v>
      </c>
      <c r="R749">
        <v>2.826744E-3</v>
      </c>
      <c r="S749">
        <v>3.0050349999999999</v>
      </c>
      <c r="T749">
        <v>-8.3421110000000007E-2</v>
      </c>
      <c r="U749">
        <v>-7.1075440000000004E-2</v>
      </c>
      <c r="V749">
        <v>-4.1910289999999998E-3</v>
      </c>
      <c r="W749">
        <v>4.3643260000000003E-2</v>
      </c>
      <c r="X749">
        <v>0.99903839999999999</v>
      </c>
      <c r="Y749">
        <v>2.2271539999999999E-2</v>
      </c>
      <c r="Z749">
        <v>-2.711155E-4</v>
      </c>
      <c r="AA749">
        <v>0.99975190000000003</v>
      </c>
      <c r="AB749">
        <v>51</v>
      </c>
      <c r="AC749">
        <v>41.497799999999998</v>
      </c>
      <c r="AD749">
        <v>-1.1588130000000001</v>
      </c>
      <c r="AE749">
        <v>-0.98700000000002297</v>
      </c>
      <c r="AF749">
        <v>0.92957712177113505</v>
      </c>
      <c r="AG749">
        <v>-1.1588130000000001</v>
      </c>
      <c r="AH749">
        <v>41.466792755779601</v>
      </c>
      <c r="AI749">
        <v>91.600344521539299</v>
      </c>
      <c r="AJ749">
        <v>88.715793456121105</v>
      </c>
      <c r="AK749">
        <v>41.4933954099332</v>
      </c>
      <c r="AL749">
        <v>87.498630924452002</v>
      </c>
      <c r="AM749">
        <v>90.240357993141203</v>
      </c>
      <c r="AN749">
        <v>1.0000000117710299</v>
      </c>
    </row>
    <row r="750" spans="1:40" x14ac:dyDescent="0.25">
      <c r="A750" t="str">
        <f>"20190312160315547"</f>
        <v>20190312160315547</v>
      </c>
      <c r="B750" t="str">
        <f>"1552377795535200"</f>
        <v>1552377795535200</v>
      </c>
      <c r="C750" t="s">
        <v>40</v>
      </c>
      <c r="D750">
        <v>5.2044629999999996</v>
      </c>
      <c r="E750">
        <v>0.50877729999999999</v>
      </c>
      <c r="F750" t="s">
        <v>43</v>
      </c>
      <c r="G750">
        <v>-294.42380000000003</v>
      </c>
      <c r="H750">
        <v>-0.05</v>
      </c>
      <c r="I750">
        <v>367.02980000000002</v>
      </c>
      <c r="J750">
        <v>-335.71429999999998</v>
      </c>
      <c r="K750">
        <v>1.1088119999999999</v>
      </c>
      <c r="L750">
        <v>368.02609999999999</v>
      </c>
      <c r="M750">
        <v>0.99996240000000003</v>
      </c>
      <c r="N750">
        <v>0</v>
      </c>
      <c r="O750">
        <v>-1.364601E-3</v>
      </c>
      <c r="P750">
        <v>0.99937410000000004</v>
      </c>
      <c r="Q750">
        <v>3.5271719999999999E-2</v>
      </c>
      <c r="R750">
        <v>2.7742270000000002E-3</v>
      </c>
      <c r="S750">
        <v>3.0050050000000001</v>
      </c>
      <c r="T750">
        <v>-8.3805920000000006E-2</v>
      </c>
      <c r="U750">
        <v>-7.2082519999999997E-2</v>
      </c>
      <c r="V750">
        <v>-4.1366850000000002E-3</v>
      </c>
      <c r="W750">
        <v>4.3842390000000002E-2</v>
      </c>
      <c r="X750">
        <v>0.99902990000000003</v>
      </c>
      <c r="Y750">
        <v>2.2608059999999999E-2</v>
      </c>
      <c r="Z750">
        <v>-2.7710359999999999E-4</v>
      </c>
      <c r="AA750">
        <v>0.99974439999999998</v>
      </c>
      <c r="AB750">
        <v>52</v>
      </c>
      <c r="AC750">
        <v>41.290499999999902</v>
      </c>
      <c r="AD750">
        <v>-1.158812</v>
      </c>
      <c r="AE750">
        <v>-0.99629999999996199</v>
      </c>
      <c r="AF750">
        <v>0.93921262108870796</v>
      </c>
      <c r="AG750">
        <v>-1.158812</v>
      </c>
      <c r="AH750">
        <v>41.259342710942597</v>
      </c>
      <c r="AI750">
        <v>91.6083728081461</v>
      </c>
      <c r="AJ750">
        <v>88.695964995416304</v>
      </c>
      <c r="AK750">
        <v>41.286297079515002</v>
      </c>
      <c r="AL750">
        <v>87.487210665805705</v>
      </c>
      <c r="AM750">
        <v>90.237243386927702</v>
      </c>
      <c r="AN750">
        <v>1.0000000042088499</v>
      </c>
    </row>
    <row r="751" spans="1:40" x14ac:dyDescent="0.25">
      <c r="A751" t="str">
        <f>"20190312160315558"</f>
        <v>20190312160315558</v>
      </c>
      <c r="B751" t="str">
        <f>"1552377795544960"</f>
        <v>1552377795544960</v>
      </c>
      <c r="C751" t="s">
        <v>40</v>
      </c>
      <c r="D751">
        <v>5.2283169999999997</v>
      </c>
      <c r="E751">
        <v>0.50881489999999996</v>
      </c>
      <c r="F751" t="s">
        <v>43</v>
      </c>
      <c r="G751">
        <v>-293.93759999999997</v>
      </c>
      <c r="H751">
        <v>-0.05</v>
      </c>
      <c r="I751">
        <v>367.02019999999999</v>
      </c>
      <c r="J751">
        <v>-335.4556</v>
      </c>
      <c r="K751">
        <v>1.108814</v>
      </c>
      <c r="L751">
        <v>368.0258</v>
      </c>
      <c r="M751">
        <v>0.99996240000000003</v>
      </c>
      <c r="N751">
        <v>0</v>
      </c>
      <c r="O751">
        <v>-1.3630910000000001E-3</v>
      </c>
      <c r="P751">
        <v>0.99937869999999995</v>
      </c>
      <c r="Q751">
        <v>3.5153169999999997E-2</v>
      </c>
      <c r="R751">
        <v>2.599797E-3</v>
      </c>
      <c r="S751">
        <v>3.0049739999999998</v>
      </c>
      <c r="T751">
        <v>-8.3352570000000001E-2</v>
      </c>
      <c r="U751">
        <v>-7.2357179999999993E-2</v>
      </c>
      <c r="V751">
        <v>-3.9609229999999999E-3</v>
      </c>
      <c r="W751">
        <v>4.373283E-2</v>
      </c>
      <c r="X751">
        <v>0.99903540000000002</v>
      </c>
      <c r="Y751">
        <v>2.2701180000000001E-2</v>
      </c>
      <c r="Z751">
        <v>-2.7694070000000001E-4</v>
      </c>
      <c r="AA751">
        <v>0.99974229999999997</v>
      </c>
      <c r="AB751">
        <v>52</v>
      </c>
      <c r="AC751">
        <v>41.518000000000001</v>
      </c>
      <c r="AD751">
        <v>-1.158814</v>
      </c>
      <c r="AE751">
        <v>-1.00560000000001</v>
      </c>
      <c r="AF751">
        <v>0.94826588300164905</v>
      </c>
      <c r="AG751">
        <v>-1.158814</v>
      </c>
      <c r="AH751">
        <v>41.487031475790602</v>
      </c>
      <c r="AI751">
        <v>91.599549707923899</v>
      </c>
      <c r="AJ751">
        <v>88.690622772194303</v>
      </c>
      <c r="AK751">
        <v>41.514043873666402</v>
      </c>
      <c r="AL751">
        <v>87.493493982075407</v>
      </c>
      <c r="AM751">
        <v>90.227162102322794</v>
      </c>
      <c r="AN751">
        <v>0.99999998989199002</v>
      </c>
    </row>
    <row r="752" spans="1:40" x14ac:dyDescent="0.25">
      <c r="A752" t="str">
        <f>"20190312160315569"</f>
        <v>20190312160315569</v>
      </c>
      <c r="B752" t="str">
        <f>"1552377795565107"</f>
        <v>1552377795565107</v>
      </c>
      <c r="C752" t="s">
        <v>40</v>
      </c>
      <c r="D752">
        <v>5.228764</v>
      </c>
      <c r="E752">
        <v>0.5088357</v>
      </c>
      <c r="F752" t="s">
        <v>43</v>
      </c>
      <c r="G752">
        <v>-293.92570000000001</v>
      </c>
      <c r="H752">
        <v>-0.05</v>
      </c>
      <c r="I752">
        <v>367.01729999999998</v>
      </c>
      <c r="J752">
        <v>-335.18819999999999</v>
      </c>
      <c r="K752">
        <v>1.1088100000000001</v>
      </c>
      <c r="L752">
        <v>368.02539999999999</v>
      </c>
      <c r="M752">
        <v>0.99996220000000002</v>
      </c>
      <c r="N752">
        <v>0</v>
      </c>
      <c r="O752">
        <v>-1.3615820000000001E-3</v>
      </c>
      <c r="P752">
        <v>0.99938170000000004</v>
      </c>
      <c r="Q752">
        <v>3.5089849999999999E-2</v>
      </c>
      <c r="R752">
        <v>2.296434E-3</v>
      </c>
      <c r="S752">
        <v>3.0050050000000001</v>
      </c>
      <c r="T752">
        <v>-8.3849069999999998E-2</v>
      </c>
      <c r="U752">
        <v>-7.2967530000000003E-2</v>
      </c>
      <c r="V752">
        <v>-3.6555730000000001E-3</v>
      </c>
      <c r="W752">
        <v>4.3678990000000001E-2</v>
      </c>
      <c r="X752">
        <v>0.99903889999999995</v>
      </c>
      <c r="Y752">
        <v>2.2905209999999999E-2</v>
      </c>
      <c r="Z752">
        <v>-2.8147380000000002E-4</v>
      </c>
      <c r="AA752">
        <v>0.9997376</v>
      </c>
      <c r="AB752">
        <v>52</v>
      </c>
      <c r="AC752">
        <v>41.262499999999903</v>
      </c>
      <c r="AD752">
        <v>-1.1588099999999999</v>
      </c>
      <c r="AE752">
        <v>-1.00810000000001</v>
      </c>
      <c r="AF752">
        <v>0.95116497752140405</v>
      </c>
      <c r="AG752">
        <v>-1.1588099999999999</v>
      </c>
      <c r="AH752">
        <v>41.231334539285797</v>
      </c>
      <c r="AI752">
        <v>91.609450764059801</v>
      </c>
      <c r="AJ752">
        <v>88.678479000790006</v>
      </c>
      <c r="AK752">
        <v>41.258580965916202</v>
      </c>
      <c r="AL752">
        <v>87.496581688952304</v>
      </c>
      <c r="AM752">
        <v>90.209649463943094</v>
      </c>
      <c r="AN752">
        <v>0.99999997054729295</v>
      </c>
    </row>
    <row r="753" spans="1:40" x14ac:dyDescent="0.25">
      <c r="A753" t="str">
        <f>"20190312160315581"</f>
        <v>20190312160315581</v>
      </c>
      <c r="B753" t="str">
        <f>"1552377795575842"</f>
        <v>1552377795575842</v>
      </c>
      <c r="C753" t="s">
        <v>40</v>
      </c>
      <c r="D753">
        <v>5.231541</v>
      </c>
      <c r="E753">
        <v>0.50885630000000004</v>
      </c>
      <c r="F753" t="s">
        <v>43</v>
      </c>
      <c r="G753">
        <v>-293.63310000000001</v>
      </c>
      <c r="H753">
        <v>-0.05</v>
      </c>
      <c r="I753">
        <v>367.00029999999998</v>
      </c>
      <c r="J753">
        <v>-334.9178</v>
      </c>
      <c r="K753">
        <v>1.1088089999999999</v>
      </c>
      <c r="L753">
        <v>368.02499999999998</v>
      </c>
      <c r="M753">
        <v>0.99996209999999996</v>
      </c>
      <c r="N753">
        <v>0</v>
      </c>
      <c r="O753">
        <v>-1.359954E-3</v>
      </c>
      <c r="P753">
        <v>0.99937929999999997</v>
      </c>
      <c r="Q753">
        <v>3.5148659999999998E-2</v>
      </c>
      <c r="R753">
        <v>2.4033100000000001E-3</v>
      </c>
      <c r="S753">
        <v>3.0049739999999998</v>
      </c>
      <c r="T753">
        <v>-8.3797099999999999E-2</v>
      </c>
      <c r="U753">
        <v>-7.4127199999999893E-2</v>
      </c>
      <c r="V753">
        <v>-3.7617950000000001E-3</v>
      </c>
      <c r="W753">
        <v>4.374712E-2</v>
      </c>
      <c r="X753">
        <v>0.99903549999999997</v>
      </c>
      <c r="Y753">
        <v>2.3292529999999999E-2</v>
      </c>
      <c r="Z753">
        <v>-2.8674480000000002E-4</v>
      </c>
      <c r="AA753">
        <v>0.99972870000000003</v>
      </c>
      <c r="AB753">
        <v>52</v>
      </c>
      <c r="AC753">
        <v>41.284700000000001</v>
      </c>
      <c r="AD753">
        <v>-1.158809</v>
      </c>
      <c r="AE753">
        <v>-1.02469999999999</v>
      </c>
      <c r="AF753">
        <v>0.96778967636302704</v>
      </c>
      <c r="AG753">
        <v>-1.158809</v>
      </c>
      <c r="AH753">
        <v>41.253573655188397</v>
      </c>
      <c r="AI753">
        <v>91.608567604690506</v>
      </c>
      <c r="AJ753">
        <v>88.656114125150197</v>
      </c>
      <c r="AK753">
        <v>41.281191776403503</v>
      </c>
      <c r="AL753">
        <v>87.492674330750901</v>
      </c>
      <c r="AM753">
        <v>90.215742041451193</v>
      </c>
      <c r="AN753">
        <v>0.99999994593508101</v>
      </c>
    </row>
    <row r="754" spans="1:40" x14ac:dyDescent="0.25">
      <c r="A754" t="str">
        <f>"20190312160315593"</f>
        <v>20190312160315593</v>
      </c>
      <c r="B754" t="str">
        <f>"1552377795585602"</f>
        <v>1552377795585602</v>
      </c>
      <c r="C754" t="s">
        <v>40</v>
      </c>
      <c r="D754">
        <v>5.2298679999999997</v>
      </c>
      <c r="E754">
        <v>0.508853</v>
      </c>
      <c r="F754" t="s">
        <v>43</v>
      </c>
      <c r="G754">
        <v>-293.43400000000003</v>
      </c>
      <c r="H754">
        <v>-0.05</v>
      </c>
      <c r="I754">
        <v>367.00209999999998</v>
      </c>
      <c r="J754">
        <v>-334.64580000000001</v>
      </c>
      <c r="K754">
        <v>1.1088100000000001</v>
      </c>
      <c r="L754">
        <v>368.0247</v>
      </c>
      <c r="M754">
        <v>0.99996200000000002</v>
      </c>
      <c r="N754">
        <v>0</v>
      </c>
      <c r="O754">
        <v>-1.3583289999999999E-3</v>
      </c>
      <c r="P754">
        <v>0.99939100000000003</v>
      </c>
      <c r="Q754">
        <v>3.4826009999999998E-2</v>
      </c>
      <c r="R754">
        <v>2.2598990000000001E-3</v>
      </c>
      <c r="S754">
        <v>3.0050050000000001</v>
      </c>
      <c r="T754">
        <v>-8.3941940000000007E-2</v>
      </c>
      <c r="U754">
        <v>-7.4096679999999998E-2</v>
      </c>
      <c r="V754">
        <v>-3.6165490000000002E-3</v>
      </c>
      <c r="W754">
        <v>4.3434609999999998E-2</v>
      </c>
      <c r="X754">
        <v>0.99904970000000004</v>
      </c>
      <c r="Y754">
        <v>2.3283729999999999E-2</v>
      </c>
      <c r="Z754">
        <v>-2.8715979999999999E-4</v>
      </c>
      <c r="AA754">
        <v>0.99972890000000003</v>
      </c>
      <c r="AB754">
        <v>52</v>
      </c>
      <c r="AC754">
        <v>41.211799999999897</v>
      </c>
      <c r="AD754">
        <v>-1.1588099999999999</v>
      </c>
      <c r="AE754">
        <v>-1.0226000000000099</v>
      </c>
      <c r="AF754">
        <v>0.96585461998926203</v>
      </c>
      <c r="AG754">
        <v>-1.1588099999999999</v>
      </c>
      <c r="AH754">
        <v>41.180611863347202</v>
      </c>
      <c r="AI754">
        <v>91.611417679397405</v>
      </c>
      <c r="AJ754">
        <v>88.656424786335904</v>
      </c>
      <c r="AK754">
        <v>41.208233512281403</v>
      </c>
      <c r="AL754">
        <v>87.510596941538694</v>
      </c>
      <c r="AM754">
        <v>90.207409189933998</v>
      </c>
      <c r="AN754">
        <v>0.99999997392130502</v>
      </c>
    </row>
    <row r="755" spans="1:40" x14ac:dyDescent="0.25">
      <c r="A755" t="str">
        <f>"20190312160315605"</f>
        <v>20190312160315605</v>
      </c>
      <c r="B755" t="str">
        <f>"1552377795595363"</f>
        <v>1552377795595363</v>
      </c>
      <c r="C755" t="s">
        <v>40</v>
      </c>
      <c r="D755">
        <v>5.2386080000000002</v>
      </c>
      <c r="E755">
        <v>0.50886189999999998</v>
      </c>
      <c r="F755" t="s">
        <v>43</v>
      </c>
      <c r="G755">
        <v>-293.53410000000002</v>
      </c>
      <c r="H755">
        <v>-0.05</v>
      </c>
      <c r="I755">
        <v>367.00709999999998</v>
      </c>
      <c r="J755">
        <v>-334.37130000000002</v>
      </c>
      <c r="K755">
        <v>1.108811</v>
      </c>
      <c r="L755">
        <v>368.02429999999998</v>
      </c>
      <c r="M755">
        <v>0.99996200000000002</v>
      </c>
      <c r="N755">
        <v>0</v>
      </c>
      <c r="O755">
        <v>-1.356826E-3</v>
      </c>
      <c r="P755">
        <v>0.99938660000000001</v>
      </c>
      <c r="Q755">
        <v>3.4935720000000003E-2</v>
      </c>
      <c r="R755">
        <v>2.4528319999999998E-3</v>
      </c>
      <c r="S755">
        <v>3.0049739999999998</v>
      </c>
      <c r="T755">
        <v>-8.4700819999999996E-2</v>
      </c>
      <c r="U755">
        <v>-7.4371339999999994E-2</v>
      </c>
      <c r="V755">
        <v>-3.8075589999999999E-3</v>
      </c>
      <c r="W755">
        <v>4.3555129999999997E-2</v>
      </c>
      <c r="X755">
        <v>0.99904380000000004</v>
      </c>
      <c r="Y755">
        <v>2.3376609999999999E-2</v>
      </c>
      <c r="Z755">
        <v>-2.9110840000000002E-4</v>
      </c>
      <c r="AA755">
        <v>0.99972669999999997</v>
      </c>
      <c r="AB755">
        <v>52</v>
      </c>
      <c r="AC755">
        <v>40.837200000000003</v>
      </c>
      <c r="AD755">
        <v>-1.158811</v>
      </c>
      <c r="AE755">
        <v>-1.0172000000000001</v>
      </c>
      <c r="AF755">
        <v>0.961014688065012</v>
      </c>
      <c r="AG755">
        <v>-1.158811</v>
      </c>
      <c r="AH755">
        <v>40.805705519428102</v>
      </c>
      <c r="AI755">
        <v>91.626212524546105</v>
      </c>
      <c r="AJ755">
        <v>88.650877167358999</v>
      </c>
      <c r="AK755">
        <v>40.833466606482098</v>
      </c>
      <c r="AL755">
        <v>87.503685254544706</v>
      </c>
      <c r="AM755">
        <v>90.218364805119407</v>
      </c>
      <c r="AN755">
        <v>1.0000000305866401</v>
      </c>
    </row>
    <row r="756" spans="1:40" x14ac:dyDescent="0.25">
      <c r="A756" t="str">
        <f>"20190312160315616"</f>
        <v>20190312160315616</v>
      </c>
      <c r="B756" t="str">
        <f>"1552377795605123"</f>
        <v>1552377795605123</v>
      </c>
      <c r="C756" t="s">
        <v>40</v>
      </c>
      <c r="D756">
        <v>5.2704170000000001</v>
      </c>
      <c r="E756">
        <v>0.50887459999999995</v>
      </c>
      <c r="F756" t="s">
        <v>43</v>
      </c>
      <c r="G756">
        <v>-293.02999999999997</v>
      </c>
      <c r="H756">
        <v>-0.05</v>
      </c>
      <c r="I756">
        <v>367.00569999999999</v>
      </c>
      <c r="J756">
        <v>-334.11410000000001</v>
      </c>
      <c r="K756">
        <v>1.1088119999999999</v>
      </c>
      <c r="L756">
        <v>368.02390000000003</v>
      </c>
      <c r="M756">
        <v>0.99996169999999995</v>
      </c>
      <c r="N756">
        <v>0</v>
      </c>
      <c r="O756">
        <v>-1.355204E-3</v>
      </c>
      <c r="P756">
        <v>0.99939009999999995</v>
      </c>
      <c r="Q756">
        <v>3.4829680000000002E-2</v>
      </c>
      <c r="R756">
        <v>2.488405E-3</v>
      </c>
      <c r="S756">
        <v>3.0049739999999998</v>
      </c>
      <c r="T756">
        <v>-8.4230540000000007E-2</v>
      </c>
      <c r="U756">
        <v>-7.403564E-2</v>
      </c>
      <c r="V756">
        <v>-3.8413980000000002E-3</v>
      </c>
      <c r="W756">
        <v>4.3460329999999998E-2</v>
      </c>
      <c r="X756">
        <v>0.99904780000000004</v>
      </c>
      <c r="Y756">
        <v>2.3266760000000001E-2</v>
      </c>
      <c r="Z756">
        <v>-2.879995E-4</v>
      </c>
      <c r="AA756">
        <v>0.99972930000000004</v>
      </c>
      <c r="AB756">
        <v>52</v>
      </c>
      <c r="AC756">
        <v>41.084099999999999</v>
      </c>
      <c r="AD756">
        <v>-1.158812</v>
      </c>
      <c r="AE756">
        <v>-1.01820000000003</v>
      </c>
      <c r="AF756">
        <v>0.96175497312429503</v>
      </c>
      <c r="AG756">
        <v>-1.158812</v>
      </c>
      <c r="AH756">
        <v>41.052801859821599</v>
      </c>
      <c r="AI756">
        <v>91.616435665313801</v>
      </c>
      <c r="AJ756">
        <v>88.657961927540796</v>
      </c>
      <c r="AK756">
        <v>41.080413318532301</v>
      </c>
      <c r="AL756">
        <v>87.509122045084098</v>
      </c>
      <c r="AM756">
        <v>90.220304582194899</v>
      </c>
      <c r="AN756">
        <v>1.00000003165357</v>
      </c>
    </row>
    <row r="757" spans="1:40" x14ac:dyDescent="0.25">
      <c r="A757" t="str">
        <f>"20190312160315628"</f>
        <v>20190312160315628</v>
      </c>
      <c r="B757" t="str">
        <f>"1552377795615858"</f>
        <v>1552377795615858</v>
      </c>
      <c r="C757" t="s">
        <v>40</v>
      </c>
      <c r="D757">
        <v>5.2442869999999999</v>
      </c>
      <c r="E757">
        <v>0.50885179999999997</v>
      </c>
      <c r="F757" t="s">
        <v>43</v>
      </c>
      <c r="G757">
        <v>-292.82510000000002</v>
      </c>
      <c r="H757">
        <v>-0.05</v>
      </c>
      <c r="I757">
        <v>367.00540000000001</v>
      </c>
      <c r="J757">
        <v>-333.83690000000001</v>
      </c>
      <c r="K757">
        <v>1.108811</v>
      </c>
      <c r="L757">
        <v>368.02350000000001</v>
      </c>
      <c r="M757">
        <v>0.99996169999999995</v>
      </c>
      <c r="N757">
        <v>0</v>
      </c>
      <c r="O757">
        <v>-1.353707E-3</v>
      </c>
      <c r="P757">
        <v>0.99939299999999998</v>
      </c>
      <c r="Q757">
        <v>3.4727800000000003E-2</v>
      </c>
      <c r="R757">
        <v>2.7991750000000001E-3</v>
      </c>
      <c r="S757">
        <v>3.0049739999999998</v>
      </c>
      <c r="T757">
        <v>-8.4337120000000002E-2</v>
      </c>
      <c r="U757">
        <v>-7.4127199999999893E-2</v>
      </c>
      <c r="V757">
        <v>-4.151063E-3</v>
      </c>
      <c r="W757">
        <v>4.3370770000000003E-2</v>
      </c>
      <c r="X757">
        <v>0.99905040000000001</v>
      </c>
      <c r="Y757">
        <v>2.3298659999999999E-2</v>
      </c>
      <c r="Z757">
        <v>-2.8885320000000001E-4</v>
      </c>
      <c r="AA757">
        <v>0.99972850000000002</v>
      </c>
      <c r="AB757">
        <v>52</v>
      </c>
      <c r="AC757">
        <v>41.011800000000001</v>
      </c>
      <c r="AD757">
        <v>-1.158811</v>
      </c>
      <c r="AE757">
        <v>-1.0181</v>
      </c>
      <c r="AF757">
        <v>0.96181161626457201</v>
      </c>
      <c r="AG757">
        <v>-1.158811</v>
      </c>
      <c r="AH757">
        <v>40.980443022028801</v>
      </c>
      <c r="AI757">
        <v>91.619285256522801</v>
      </c>
      <c r="AJ757">
        <v>88.655514020056401</v>
      </c>
      <c r="AK757">
        <v>41.008104501435398</v>
      </c>
      <c r="AL757">
        <v>87.514258165392306</v>
      </c>
      <c r="AM757">
        <v>90.238063086425598</v>
      </c>
      <c r="AN757">
        <v>0.99999997837729104</v>
      </c>
    </row>
    <row r="758" spans="1:40" x14ac:dyDescent="0.25">
      <c r="A758" t="str">
        <f>"20190312160315639"</f>
        <v>20190312160315639</v>
      </c>
      <c r="B758" t="str">
        <f>"1552377795625619"</f>
        <v>1552377795625619</v>
      </c>
      <c r="C758" t="s">
        <v>40</v>
      </c>
      <c r="D758">
        <v>5.2534210000000003</v>
      </c>
      <c r="E758">
        <v>0.50885570000000002</v>
      </c>
      <c r="F758" t="s">
        <v>43</v>
      </c>
      <c r="G758">
        <v>-292.53429999999997</v>
      </c>
      <c r="H758">
        <v>-0.05</v>
      </c>
      <c r="I758">
        <v>367.02350000000001</v>
      </c>
      <c r="J758">
        <v>-333.56970000000001</v>
      </c>
      <c r="K758">
        <v>1.108811</v>
      </c>
      <c r="L758">
        <v>368.0231</v>
      </c>
      <c r="M758">
        <v>0.99996160000000001</v>
      </c>
      <c r="N758">
        <v>0</v>
      </c>
      <c r="O758">
        <v>-1.3523350000000001E-3</v>
      </c>
      <c r="P758">
        <v>0.99939619999999996</v>
      </c>
      <c r="Q758">
        <v>3.4618030000000001E-2</v>
      </c>
      <c r="R758">
        <v>2.9832140000000001E-3</v>
      </c>
      <c r="S758">
        <v>3.0049440000000001</v>
      </c>
      <c r="T758">
        <v>-8.4308620000000001E-2</v>
      </c>
      <c r="U758">
        <v>-7.2753910000000005E-2</v>
      </c>
      <c r="V758">
        <v>-4.3335359999999998E-3</v>
      </c>
      <c r="W758">
        <v>4.327454E-2</v>
      </c>
      <c r="X758">
        <v>0.99905379999999999</v>
      </c>
      <c r="Y758">
        <v>2.2843840000000001E-2</v>
      </c>
      <c r="Z758">
        <v>-2.8242060000000001E-4</v>
      </c>
      <c r="AA758">
        <v>0.99973900000000004</v>
      </c>
      <c r="AB758">
        <v>52</v>
      </c>
      <c r="AC758">
        <v>41.035400000000003</v>
      </c>
      <c r="AD758">
        <v>-1.158811</v>
      </c>
      <c r="AE758">
        <v>-0.99959999999998606</v>
      </c>
      <c r="AF758">
        <v>0.94335156072622695</v>
      </c>
      <c r="AG758">
        <v>-1.158811</v>
      </c>
      <c r="AH758">
        <v>41.004034710681701</v>
      </c>
      <c r="AI758">
        <v>91.6183715158691</v>
      </c>
      <c r="AJ758">
        <v>88.6820679872922</v>
      </c>
      <c r="AK758">
        <v>41.031251719337497</v>
      </c>
      <c r="AL758">
        <v>87.519776924575098</v>
      </c>
      <c r="AM758">
        <v>90.248526922136094</v>
      </c>
      <c r="AN758">
        <v>0.999999980320457</v>
      </c>
    </row>
    <row r="759" spans="1:40" x14ac:dyDescent="0.25">
      <c r="A759" t="str">
        <f>"20190312160315650"</f>
        <v>20190312160315650</v>
      </c>
      <c r="B759" t="str">
        <f>"1552377795645139"</f>
        <v>1552377795645139</v>
      </c>
      <c r="C759" t="s">
        <v>40</v>
      </c>
      <c r="D759">
        <v>5.252885</v>
      </c>
      <c r="E759">
        <v>0.50886390000000004</v>
      </c>
      <c r="F759" t="s">
        <v>43</v>
      </c>
      <c r="G759">
        <v>-292.32240000000002</v>
      </c>
      <c r="H759">
        <v>-0.05</v>
      </c>
      <c r="I759">
        <v>367.0308</v>
      </c>
      <c r="J759">
        <v>-333.32690000000002</v>
      </c>
      <c r="K759">
        <v>1.1088119999999999</v>
      </c>
      <c r="L759">
        <v>368.02280000000002</v>
      </c>
      <c r="M759">
        <v>0.99996160000000001</v>
      </c>
      <c r="N759">
        <v>0</v>
      </c>
      <c r="O759">
        <v>-1.35096E-3</v>
      </c>
      <c r="P759">
        <v>0.99940569999999895</v>
      </c>
      <c r="Q759">
        <v>3.4331960000000002E-2</v>
      </c>
      <c r="R759">
        <v>3.0880920000000002E-3</v>
      </c>
      <c r="S759">
        <v>3.0049130000000002</v>
      </c>
      <c r="T759">
        <v>-8.4420560000000006E-2</v>
      </c>
      <c r="U759">
        <v>-7.2296139999999995E-2</v>
      </c>
      <c r="V759">
        <v>-4.4369639999999998E-3</v>
      </c>
      <c r="W759">
        <v>4.3001570000000003E-2</v>
      </c>
      <c r="X759">
        <v>0.99906519999999999</v>
      </c>
      <c r="Y759">
        <v>2.2693290000000001E-2</v>
      </c>
      <c r="Z759">
        <v>-2.8072330000000002E-4</v>
      </c>
      <c r="AA759">
        <v>0.99974240000000003</v>
      </c>
      <c r="AB759">
        <v>52</v>
      </c>
      <c r="AC759">
        <v>41.0045</v>
      </c>
      <c r="AD759">
        <v>-1.158812</v>
      </c>
      <c r="AE759">
        <v>-0.99200000000001798</v>
      </c>
      <c r="AF759">
        <v>0.93585458452203496</v>
      </c>
      <c r="AG759">
        <v>-1.158812</v>
      </c>
      <c r="AH759">
        <v>40.973098272902199</v>
      </c>
      <c r="AI759">
        <v>91.6196003435455</v>
      </c>
      <c r="AJ759">
        <v>88.691551321792105</v>
      </c>
      <c r="AK759">
        <v>41.000164037910999</v>
      </c>
      <c r="AL759">
        <v>87.535431692724401</v>
      </c>
      <c r="AM759">
        <v>90.254455504711501</v>
      </c>
      <c r="AN759">
        <v>1.0000000477615101</v>
      </c>
    </row>
    <row r="760" spans="1:40" x14ac:dyDescent="0.25">
      <c r="A760" t="str">
        <f>"20190312160315660"</f>
        <v>20190312160315660</v>
      </c>
      <c r="B760" t="str">
        <f>"1552377795655407"</f>
        <v>1552377795655407</v>
      </c>
      <c r="C760" t="s">
        <v>40</v>
      </c>
      <c r="D760">
        <v>5.3448339999999996</v>
      </c>
      <c r="E760">
        <v>0.50884289999999999</v>
      </c>
      <c r="F760" t="s">
        <v>43</v>
      </c>
      <c r="G760">
        <v>-292.34980000000002</v>
      </c>
      <c r="H760">
        <v>-0.05</v>
      </c>
      <c r="I760">
        <v>367.03989999999999</v>
      </c>
      <c r="J760">
        <v>-333.08800000000002</v>
      </c>
      <c r="K760">
        <v>1.1088089999999999</v>
      </c>
      <c r="L760">
        <v>368.02249999999998</v>
      </c>
      <c r="M760">
        <v>0.9999614</v>
      </c>
      <c r="N760">
        <v>0</v>
      </c>
      <c r="O760">
        <v>-1.349706E-3</v>
      </c>
      <c r="P760">
        <v>0.99940220000000002</v>
      </c>
      <c r="Q760">
        <v>3.4435050000000002E-2</v>
      </c>
      <c r="R760">
        <v>3.1326710000000001E-3</v>
      </c>
      <c r="S760">
        <v>3.0049130000000002</v>
      </c>
      <c r="T760">
        <v>-8.497739E-2</v>
      </c>
      <c r="U760">
        <v>-7.2082519999999997E-2</v>
      </c>
      <c r="V760">
        <v>-4.4807689999999999E-3</v>
      </c>
      <c r="W760">
        <v>4.3117809999999999E-2</v>
      </c>
      <c r="X760">
        <v>0.99905999999999995</v>
      </c>
      <c r="Y760">
        <v>2.262343E-2</v>
      </c>
      <c r="Z760">
        <v>-2.8162240000000001E-4</v>
      </c>
      <c r="AA760">
        <v>0.99974399999999997</v>
      </c>
      <c r="AB760">
        <v>52</v>
      </c>
      <c r="AC760">
        <v>40.738199999999999</v>
      </c>
      <c r="AD760">
        <v>-1.158809</v>
      </c>
      <c r="AE760">
        <v>-0.98259999999999004</v>
      </c>
      <c r="AF760">
        <v>0.92686292000155002</v>
      </c>
      <c r="AG760">
        <v>-1.158809</v>
      </c>
      <c r="AH760">
        <v>40.706571272113997</v>
      </c>
      <c r="AI760">
        <v>91.630197433396603</v>
      </c>
      <c r="AJ760">
        <v>88.695636667135105</v>
      </c>
      <c r="AK760">
        <v>40.733608456686603</v>
      </c>
      <c r="AL760">
        <v>87.528765462182093</v>
      </c>
      <c r="AM760">
        <v>90.256968982160402</v>
      </c>
      <c r="AN760">
        <v>1.00000005321501</v>
      </c>
    </row>
    <row r="761" spans="1:40" x14ac:dyDescent="0.25">
      <c r="A761" t="str">
        <f>"20190312160315671"</f>
        <v>20190312160315671</v>
      </c>
      <c r="B761" t="str">
        <f>"1552377795665168"</f>
        <v>1552377795665168</v>
      </c>
      <c r="C761" t="s">
        <v>40</v>
      </c>
      <c r="D761">
        <v>5.2891260000000004</v>
      </c>
      <c r="E761">
        <v>0.50887380000000004</v>
      </c>
      <c r="F761" t="s">
        <v>43</v>
      </c>
      <c r="G761">
        <v>-291.74669999999998</v>
      </c>
      <c r="H761">
        <v>-0.05</v>
      </c>
      <c r="I761">
        <v>367.03500000000003</v>
      </c>
      <c r="J761">
        <v>-332.85160000000002</v>
      </c>
      <c r="K761">
        <v>1.1088089999999999</v>
      </c>
      <c r="L761">
        <v>368.0222</v>
      </c>
      <c r="M761">
        <v>0.99996130000000005</v>
      </c>
      <c r="N761">
        <v>0</v>
      </c>
      <c r="O761">
        <v>-1.348452E-3</v>
      </c>
      <c r="P761">
        <v>0.99940090000000004</v>
      </c>
      <c r="Q761">
        <v>3.4462680000000002E-2</v>
      </c>
      <c r="R761">
        <v>3.2034350000000001E-3</v>
      </c>
      <c r="S761">
        <v>3.0049440000000001</v>
      </c>
      <c r="T761">
        <v>-8.4229589999999993E-2</v>
      </c>
      <c r="U761">
        <v>-7.1777339999999995E-2</v>
      </c>
      <c r="V761">
        <v>-4.5498379999999996E-3</v>
      </c>
      <c r="W761">
        <v>4.3158780000000001E-2</v>
      </c>
      <c r="X761">
        <v>0.99905790000000005</v>
      </c>
      <c r="Y761">
        <v>2.252316E-2</v>
      </c>
      <c r="Z761">
        <v>-2.7777280000000002E-4</v>
      </c>
      <c r="AA761">
        <v>0.99974629999999998</v>
      </c>
      <c r="AB761">
        <v>52</v>
      </c>
      <c r="AC761">
        <v>41.104900000000001</v>
      </c>
      <c r="AD761">
        <v>-1.158809</v>
      </c>
      <c r="AE761">
        <v>-0.98719999999997299</v>
      </c>
      <c r="AF761">
        <v>0.931029503693653</v>
      </c>
      <c r="AG761">
        <v>-1.158809</v>
      </c>
      <c r="AH761">
        <v>41.073569016966097</v>
      </c>
      <c r="AI761">
        <v>91.615642899837994</v>
      </c>
      <c r="AJ761">
        <v>88.701478127418298</v>
      </c>
      <c r="AK761">
        <v>41.100458951533703</v>
      </c>
      <c r="AL761">
        <v>87.526415820523198</v>
      </c>
      <c r="AM761">
        <v>90.260930535327702</v>
      </c>
      <c r="AN761">
        <v>1.00000003443466</v>
      </c>
    </row>
    <row r="762" spans="1:40" x14ac:dyDescent="0.25">
      <c r="A762" t="str">
        <f>"20190312160315681"</f>
        <v>20190312160315681</v>
      </c>
      <c r="B762" t="str">
        <f>"1552377795675903"</f>
        <v>1552377795675903</v>
      </c>
      <c r="C762" t="s">
        <v>40</v>
      </c>
      <c r="D762">
        <v>5.3236530000000002</v>
      </c>
      <c r="E762">
        <v>0.50887380000000004</v>
      </c>
      <c r="F762" t="s">
        <v>43</v>
      </c>
      <c r="G762">
        <v>-291.25869999999998</v>
      </c>
      <c r="H762">
        <v>-0.05</v>
      </c>
      <c r="I762">
        <v>367.03030000000001</v>
      </c>
      <c r="J762">
        <v>-332.58</v>
      </c>
      <c r="K762">
        <v>1.1088100000000001</v>
      </c>
      <c r="L762">
        <v>368.02179999999998</v>
      </c>
      <c r="M762">
        <v>0.99996110000000005</v>
      </c>
      <c r="N762">
        <v>0</v>
      </c>
      <c r="O762">
        <v>-1.3468480000000001E-3</v>
      </c>
      <c r="P762">
        <v>0.99940320000000005</v>
      </c>
      <c r="Q762">
        <v>3.438803E-2</v>
      </c>
      <c r="R762">
        <v>3.2870859999999998E-3</v>
      </c>
      <c r="S762">
        <v>3.004883</v>
      </c>
      <c r="T762">
        <v>-8.3718299999999995E-2</v>
      </c>
      <c r="U762">
        <v>-7.1655269999999993E-2</v>
      </c>
      <c r="V762">
        <v>-4.6317889999999999E-3</v>
      </c>
      <c r="W762">
        <v>4.3098270000000001E-2</v>
      </c>
      <c r="X762">
        <v>0.99906010000000001</v>
      </c>
      <c r="Y762">
        <v>2.2484770000000001E-2</v>
      </c>
      <c r="Z762">
        <v>-2.7560330000000002E-4</v>
      </c>
      <c r="AA762">
        <v>0.99974719999999995</v>
      </c>
      <c r="AB762">
        <v>52</v>
      </c>
      <c r="AC762">
        <v>41.321300000000001</v>
      </c>
      <c r="AD762">
        <v>-1.1588099999999999</v>
      </c>
      <c r="AE762">
        <v>-0.99149999999997296</v>
      </c>
      <c r="AF762">
        <v>0.93510847383503204</v>
      </c>
      <c r="AG762">
        <v>-1.1588099999999999</v>
      </c>
      <c r="AH762">
        <v>41.290143617842404</v>
      </c>
      <c r="AI762">
        <v>91.607175121563003</v>
      </c>
      <c r="AJ762">
        <v>88.702629560448798</v>
      </c>
      <c r="AK762">
        <v>41.316984745452899</v>
      </c>
      <c r="AL762">
        <v>87.529885929047595</v>
      </c>
      <c r="AM762">
        <v>90.265629725338002</v>
      </c>
      <c r="AN762">
        <v>0.99999999887917101</v>
      </c>
    </row>
    <row r="763" spans="1:40" x14ac:dyDescent="0.25">
      <c r="A763" t="str">
        <f>"20190312160315704"</f>
        <v>20190312160315704</v>
      </c>
      <c r="B763" t="str">
        <f>"1552377795695424"</f>
        <v>1552377795695424</v>
      </c>
      <c r="C763" t="s">
        <v>40</v>
      </c>
      <c r="D763">
        <v>5.271001</v>
      </c>
      <c r="E763">
        <v>0.52428750000000002</v>
      </c>
      <c r="F763" t="s">
        <v>43</v>
      </c>
      <c r="G763">
        <v>-291.0985</v>
      </c>
      <c r="H763">
        <v>-0.05</v>
      </c>
      <c r="I763">
        <v>367.03339999999997</v>
      </c>
      <c r="J763">
        <v>-332.08069999999998</v>
      </c>
      <c r="K763">
        <v>1.108814</v>
      </c>
      <c r="L763">
        <v>368.02109999999999</v>
      </c>
      <c r="M763">
        <v>0.99996079999999998</v>
      </c>
      <c r="N763">
        <v>0</v>
      </c>
      <c r="O763">
        <v>-1.343875E-3</v>
      </c>
      <c r="P763">
        <v>0.99940249999999997</v>
      </c>
      <c r="Q763">
        <v>3.4390829999999997E-2</v>
      </c>
      <c r="R763">
        <v>3.495574E-3</v>
      </c>
      <c r="S763">
        <v>3.0049130000000002</v>
      </c>
      <c r="T763">
        <v>-8.3944199999999997E-2</v>
      </c>
      <c r="U763">
        <v>-7.1594240000000003E-2</v>
      </c>
      <c r="V763">
        <v>-4.837582E-3</v>
      </c>
      <c r="W763">
        <v>4.3130189999999999E-2</v>
      </c>
      <c r="X763">
        <v>0.9990578</v>
      </c>
      <c r="Y763">
        <v>2.246716E-2</v>
      </c>
      <c r="Z763">
        <v>-2.761811E-4</v>
      </c>
      <c r="AA763">
        <v>0.99974750000000001</v>
      </c>
      <c r="AB763">
        <v>52</v>
      </c>
      <c r="AC763">
        <v>40.982199999999899</v>
      </c>
      <c r="AD763">
        <v>-1.158814</v>
      </c>
      <c r="AE763">
        <v>-0.98770000000001701</v>
      </c>
      <c r="AF763">
        <v>0.93187740958454501</v>
      </c>
      <c r="AG763">
        <v>-1.158814</v>
      </c>
      <c r="AH763">
        <v>40.9507678623565</v>
      </c>
      <c r="AI763">
        <v>91.620488959091404</v>
      </c>
      <c r="AJ763">
        <v>88.696399798954801</v>
      </c>
      <c r="AK763">
        <v>40.977757795049001</v>
      </c>
      <c r="AL763">
        <v>87.528055476034893</v>
      </c>
      <c r="AM763">
        <v>90.277432262123298</v>
      </c>
      <c r="AN763">
        <v>1.0000000516149401</v>
      </c>
    </row>
    <row r="764" spans="1:40" x14ac:dyDescent="0.25">
      <c r="A764" t="str">
        <f>"20190312160315714"</f>
        <v>20190312160315714</v>
      </c>
      <c r="B764" t="str">
        <f>"1552377795705184"</f>
        <v>1552377795705184</v>
      </c>
      <c r="C764" t="s">
        <v>40</v>
      </c>
      <c r="D764">
        <v>5.2831609999999998</v>
      </c>
      <c r="E764">
        <v>0.52447730000000004</v>
      </c>
      <c r="F764" t="s">
        <v>42</v>
      </c>
      <c r="G764">
        <v>-158.19499999999999</v>
      </c>
      <c r="H764">
        <v>0.83644959999999902</v>
      </c>
      <c r="I764">
        <v>357.05500000000001</v>
      </c>
      <c r="J764">
        <v>-331.82080000000002</v>
      </c>
      <c r="K764">
        <v>1.1088150000000001</v>
      </c>
      <c r="L764">
        <v>368.02080000000001</v>
      </c>
      <c r="M764">
        <v>0.99996079999999998</v>
      </c>
      <c r="N764">
        <v>0</v>
      </c>
      <c r="O764">
        <v>-1.342649E-3</v>
      </c>
      <c r="P764">
        <v>0.99940680000000004</v>
      </c>
      <c r="Q764">
        <v>3.4249620000000001E-2</v>
      </c>
      <c r="R764">
        <v>3.6820009999999999E-3</v>
      </c>
      <c r="S764">
        <v>3.0026250000000001</v>
      </c>
      <c r="T764">
        <v>-4.7016139999999998E-3</v>
      </c>
      <c r="U764">
        <v>-0.18936159999999999</v>
      </c>
      <c r="V764">
        <v>-5.0229230000000003E-3</v>
      </c>
      <c r="W764">
        <v>4.3008709999999999E-2</v>
      </c>
      <c r="X764">
        <v>0.99906209999999995</v>
      </c>
      <c r="Y764">
        <v>6.1600139999999998E-2</v>
      </c>
      <c r="Z764" s="1">
        <v>-4.6079599999999998E-5</v>
      </c>
      <c r="AA764">
        <v>0.99810089999999996</v>
      </c>
      <c r="AB764">
        <v>52</v>
      </c>
      <c r="AC764">
        <v>173.6258</v>
      </c>
      <c r="AD764">
        <v>-0.27236539999999998</v>
      </c>
      <c r="AE764">
        <v>-10.9658</v>
      </c>
      <c r="AF764">
        <v>10.732636374096799</v>
      </c>
      <c r="AG764">
        <v>-0.27236539999999998</v>
      </c>
      <c r="AH764">
        <v>173.63994167951299</v>
      </c>
      <c r="AI764">
        <v>90.089700851291695</v>
      </c>
      <c r="AJ764">
        <v>86.463063485919804</v>
      </c>
      <c r="AK764">
        <v>173.97152931705301</v>
      </c>
      <c r="AL764">
        <v>87.535022176457105</v>
      </c>
      <c r="AM764">
        <v>90.288060035407</v>
      </c>
      <c r="AN764">
        <v>1.00000002927386</v>
      </c>
    </row>
    <row r="765" spans="1:40" x14ac:dyDescent="0.25">
      <c r="A765" t="str">
        <f>"20190312160315725"</f>
        <v>20190312160315725</v>
      </c>
      <c r="B765" t="str">
        <f>"1552377795715919"</f>
        <v>1552377795715919</v>
      </c>
      <c r="C765" t="s">
        <v>40</v>
      </c>
      <c r="D765">
        <v>5.4513870000000004</v>
      </c>
      <c r="E765">
        <v>0.52470559999999999</v>
      </c>
      <c r="F765" t="s">
        <v>42</v>
      </c>
      <c r="G765">
        <v>-158.19499999999999</v>
      </c>
      <c r="H765">
        <v>1.319763</v>
      </c>
      <c r="I765">
        <v>357.0471</v>
      </c>
      <c r="J765">
        <v>-331.55439999999999</v>
      </c>
      <c r="K765">
        <v>1.1088150000000001</v>
      </c>
      <c r="L765">
        <v>368.0204</v>
      </c>
      <c r="M765">
        <v>0.99996050000000003</v>
      </c>
      <c r="N765">
        <v>0</v>
      </c>
      <c r="O765">
        <v>-1.3410749999999999E-3</v>
      </c>
      <c r="P765">
        <v>0.99940960000000001</v>
      </c>
      <c r="Q765">
        <v>3.4175150000000001E-2</v>
      </c>
      <c r="R765">
        <v>3.5866940000000001E-3</v>
      </c>
      <c r="S765">
        <v>3.0023499999999999</v>
      </c>
      <c r="T765">
        <v>3.6492349999999998E-3</v>
      </c>
      <c r="U765">
        <v>-0.18975829999999999</v>
      </c>
      <c r="V765">
        <v>-4.926227E-3</v>
      </c>
      <c r="W765">
        <v>4.2955359999999998E-2</v>
      </c>
      <c r="X765">
        <v>0.99906490000000003</v>
      </c>
      <c r="Y765">
        <v>6.1738840000000003E-2</v>
      </c>
      <c r="Z765" s="1">
        <v>3.5854679999999999E-5</v>
      </c>
      <c r="AA765">
        <v>0.99809239999999999</v>
      </c>
      <c r="AB765">
        <v>52</v>
      </c>
      <c r="AC765">
        <v>173.35939999999999</v>
      </c>
      <c r="AD765">
        <v>0.210948</v>
      </c>
      <c r="AE765">
        <v>-10.973299999999901</v>
      </c>
      <c r="AF765">
        <v>10.740777359687099</v>
      </c>
      <c r="AG765">
        <v>0.210948</v>
      </c>
      <c r="AH765">
        <v>173.37370499888101</v>
      </c>
      <c r="AI765">
        <v>89.9304202626452</v>
      </c>
      <c r="AJ765">
        <v>86.454965785205701</v>
      </c>
      <c r="AK765">
        <v>173.70621860597899</v>
      </c>
      <c r="AL765">
        <v>87.538081791020105</v>
      </c>
      <c r="AM765">
        <v>90.282513907331804</v>
      </c>
      <c r="AN765">
        <v>1.0000000525385899</v>
      </c>
    </row>
    <row r="766" spans="1:40" x14ac:dyDescent="0.25">
      <c r="A766" t="str">
        <f>"20190312160315737"</f>
        <v>20190312160315737</v>
      </c>
      <c r="B766" t="str">
        <f>"1552377795725679"</f>
        <v>1552377795725679</v>
      </c>
      <c r="C766" t="s">
        <v>40</v>
      </c>
      <c r="D766">
        <v>5.2498670000000001</v>
      </c>
      <c r="E766">
        <v>0.52472589999999997</v>
      </c>
      <c r="F766" t="s">
        <v>42</v>
      </c>
      <c r="G766">
        <v>-158.19499999999999</v>
      </c>
      <c r="H766">
        <v>1.563647</v>
      </c>
      <c r="I766">
        <v>356.94139999999999</v>
      </c>
      <c r="J766">
        <v>-331.30259999999998</v>
      </c>
      <c r="K766">
        <v>1.1088119999999999</v>
      </c>
      <c r="L766">
        <v>368.02</v>
      </c>
      <c r="M766">
        <v>0.99996030000000002</v>
      </c>
      <c r="N766">
        <v>0</v>
      </c>
      <c r="O766">
        <v>-1.339406E-3</v>
      </c>
      <c r="P766">
        <v>0.99941919999999995</v>
      </c>
      <c r="Q766">
        <v>3.3885029999999997E-2</v>
      </c>
      <c r="R766">
        <v>3.6328969999999999E-3</v>
      </c>
      <c r="S766">
        <v>3.0021969999999998</v>
      </c>
      <c r="T766">
        <v>7.8781839999999999E-3</v>
      </c>
      <c r="U766">
        <v>-0.19186400000000001</v>
      </c>
      <c r="V766">
        <v>-4.9701110000000001E-3</v>
      </c>
      <c r="W766">
        <v>4.2692380000000002E-2</v>
      </c>
      <c r="X766">
        <v>0.99907590000000002</v>
      </c>
      <c r="Y766">
        <v>6.2440759999999998E-2</v>
      </c>
      <c r="Z766" s="1">
        <v>7.8331720000000002E-5</v>
      </c>
      <c r="AA766">
        <v>0.99804870000000001</v>
      </c>
      <c r="AB766">
        <v>52</v>
      </c>
      <c r="AC766">
        <v>173.10759999999999</v>
      </c>
      <c r="AD766">
        <v>0.45483499999999899</v>
      </c>
      <c r="AE766">
        <v>-11.0785999999999</v>
      </c>
      <c r="AF766">
        <v>10.846645130901001</v>
      </c>
      <c r="AG766">
        <v>0.45483499999999899</v>
      </c>
      <c r="AH766">
        <v>173.12109374549601</v>
      </c>
      <c r="AI766">
        <v>89.849763730286696</v>
      </c>
      <c r="AJ766">
        <v>86.414904143254404</v>
      </c>
      <c r="AK766">
        <v>173.46114748009001</v>
      </c>
      <c r="AL766">
        <v>87.553163135136302</v>
      </c>
      <c r="AM766">
        <v>90.285027428787004</v>
      </c>
      <c r="AN766">
        <v>0.999999997637113</v>
      </c>
    </row>
    <row r="767" spans="1:40" x14ac:dyDescent="0.25">
      <c r="A767" t="str">
        <f>"20190312160315749"</f>
        <v>20190312160315749</v>
      </c>
      <c r="B767" t="str">
        <f>"1552377795735439"</f>
        <v>1552377795735439</v>
      </c>
      <c r="C767" t="s">
        <v>40</v>
      </c>
      <c r="D767">
        <v>5.3711159999999998</v>
      </c>
      <c r="E767">
        <v>0.52472589999999997</v>
      </c>
      <c r="F767" t="s">
        <v>42</v>
      </c>
      <c r="G767">
        <v>-158.19499999999999</v>
      </c>
      <c r="H767">
        <v>1.7176709999999999</v>
      </c>
      <c r="I767">
        <v>356.96899999999999</v>
      </c>
      <c r="J767">
        <v>-331.03680000000003</v>
      </c>
      <c r="K767">
        <v>1.108814</v>
      </c>
      <c r="L767">
        <v>368.0197</v>
      </c>
      <c r="M767">
        <v>0.99995999999999996</v>
      </c>
      <c r="N767">
        <v>0</v>
      </c>
      <c r="O767">
        <v>-1.337752E-3</v>
      </c>
      <c r="P767">
        <v>0.99942260000000005</v>
      </c>
      <c r="Q767">
        <v>3.3794369999999997E-2</v>
      </c>
      <c r="R767">
        <v>3.608516E-3</v>
      </c>
      <c r="S767">
        <v>3.002075</v>
      </c>
      <c r="T767">
        <v>1.056051E-2</v>
      </c>
      <c r="U767">
        <v>-0.1916504</v>
      </c>
      <c r="V767">
        <v>-4.9448749999999996E-3</v>
      </c>
      <c r="W767">
        <v>4.2632360000000001E-2</v>
      </c>
      <c r="X767">
        <v>0.99907860000000004</v>
      </c>
      <c r="Y767">
        <v>6.2374100000000002E-2</v>
      </c>
      <c r="Z767">
        <v>1.048948E-4</v>
      </c>
      <c r="AA767">
        <v>0.99805279999999996</v>
      </c>
      <c r="AB767">
        <v>52</v>
      </c>
      <c r="AC767">
        <v>172.84180000000001</v>
      </c>
      <c r="AD767">
        <v>0.60885699999999998</v>
      </c>
      <c r="AE767">
        <v>-11.050700000000001</v>
      </c>
      <c r="AF767">
        <v>10.8193278959826</v>
      </c>
      <c r="AG767">
        <v>0.60885699999999998</v>
      </c>
      <c r="AH767">
        <v>172.85429280657101</v>
      </c>
      <c r="AI767">
        <v>89.798578000052402</v>
      </c>
      <c r="AJ767">
        <v>86.418404388114894</v>
      </c>
      <c r="AK767">
        <v>173.19363471163501</v>
      </c>
      <c r="AL767">
        <v>87.556605190499795</v>
      </c>
      <c r="AM767">
        <v>90.283579444361607</v>
      </c>
      <c r="AN767">
        <v>1.00000000944294</v>
      </c>
    </row>
    <row r="768" spans="1:40" x14ac:dyDescent="0.25">
      <c r="A768" t="str">
        <f>"20190312160315759"</f>
        <v>20190312160315759</v>
      </c>
      <c r="B768" t="str">
        <f>"1552377795755467"</f>
        <v>1552377795755467</v>
      </c>
      <c r="C768" t="s">
        <v>40</v>
      </c>
      <c r="D768">
        <v>5.2754079999999997</v>
      </c>
      <c r="E768">
        <v>0.53525219999999996</v>
      </c>
      <c r="F768" t="s">
        <v>42</v>
      </c>
      <c r="G768">
        <v>-158.19499999999999</v>
      </c>
      <c r="H768">
        <v>1.6998960000000001</v>
      </c>
      <c r="I768">
        <v>356.9803</v>
      </c>
      <c r="J768">
        <v>-330.76859999999999</v>
      </c>
      <c r="K768">
        <v>1.1088180000000001</v>
      </c>
      <c r="L768">
        <v>368.01929999999999</v>
      </c>
      <c r="M768">
        <v>0.99995959999999995</v>
      </c>
      <c r="N768">
        <v>0</v>
      </c>
      <c r="O768">
        <v>-1.3362560000000001E-3</v>
      </c>
      <c r="P768">
        <v>0.99942549999999997</v>
      </c>
      <c r="Q768">
        <v>3.3700210000000001E-2</v>
      </c>
      <c r="R768">
        <v>3.6218930000000002E-3</v>
      </c>
      <c r="S768">
        <v>3.002075</v>
      </c>
      <c r="T768">
        <v>1.026797E-2</v>
      </c>
      <c r="U768">
        <v>-0.19174189999999999</v>
      </c>
      <c r="V768">
        <v>-4.9563209999999996E-3</v>
      </c>
      <c r="W768">
        <v>4.2577089999999998E-2</v>
      </c>
      <c r="X768">
        <v>0.99908090000000005</v>
      </c>
      <c r="Y768">
        <v>6.2405910000000002E-2</v>
      </c>
      <c r="Z768">
        <v>1.020484E-4</v>
      </c>
      <c r="AA768">
        <v>0.99805089999999996</v>
      </c>
      <c r="AB768">
        <v>52</v>
      </c>
      <c r="AC768">
        <v>172.5736</v>
      </c>
      <c r="AD768">
        <v>0.59107799999999899</v>
      </c>
      <c r="AE768">
        <v>-11.0389999999999</v>
      </c>
      <c r="AF768">
        <v>10.808252247835201</v>
      </c>
      <c r="AG768">
        <v>0.59107799999999899</v>
      </c>
      <c r="AH768">
        <v>172.586181043409</v>
      </c>
      <c r="AI768">
        <v>89.804156235493295</v>
      </c>
      <c r="AJ768">
        <v>86.416517468624903</v>
      </c>
      <c r="AK768">
        <v>172.925294786515</v>
      </c>
      <c r="AL768">
        <v>87.559774805668994</v>
      </c>
      <c r="AM768">
        <v>90.284235186222205</v>
      </c>
      <c r="AN768">
        <v>1.0000000092277599</v>
      </c>
    </row>
    <row r="769" spans="1:40" x14ac:dyDescent="0.25">
      <c r="A769" t="str">
        <f>"20190312160315772"</f>
        <v>20190312160315772</v>
      </c>
      <c r="B769" t="str">
        <f>"1552377795765227"</f>
        <v>1552377795765227</v>
      </c>
      <c r="C769" t="s">
        <v>40</v>
      </c>
      <c r="D769">
        <v>5.378736</v>
      </c>
      <c r="E769">
        <v>0.53612299999999902</v>
      </c>
      <c r="F769" t="s">
        <v>41</v>
      </c>
      <c r="G769">
        <v>-279.08100000000002</v>
      </c>
      <c r="H769" s="1">
        <v>-2.0053480000000002E-6</v>
      </c>
      <c r="I769">
        <v>363.20249999999999</v>
      </c>
      <c r="J769">
        <v>-330.5009</v>
      </c>
      <c r="K769">
        <v>1.1088309999999999</v>
      </c>
      <c r="L769">
        <v>368.01900000000001</v>
      </c>
      <c r="M769">
        <v>0.9999593</v>
      </c>
      <c r="N769">
        <v>0</v>
      </c>
      <c r="O769">
        <v>-1.334535E-3</v>
      </c>
      <c r="P769">
        <v>0.99942980000000003</v>
      </c>
      <c r="Q769">
        <v>3.3577099999999999E-2</v>
      </c>
      <c r="R769">
        <v>3.5724490000000001E-3</v>
      </c>
      <c r="S769">
        <v>3.0049440000000001</v>
      </c>
      <c r="T769">
        <v>-6.4463019999999996E-2</v>
      </c>
      <c r="U769">
        <v>-0.28002929999999998</v>
      </c>
      <c r="V769">
        <v>-4.9053630000000003E-3</v>
      </c>
      <c r="W769">
        <v>4.249563E-2</v>
      </c>
      <c r="X769">
        <v>0.99908459999999999</v>
      </c>
      <c r="Y769">
        <v>9.1438050000000007E-2</v>
      </c>
      <c r="Z769">
        <v>-9.4998279999999999E-4</v>
      </c>
      <c r="AA769">
        <v>0.99581030000000004</v>
      </c>
      <c r="AB769">
        <v>52</v>
      </c>
      <c r="AC769">
        <v>51.419899999999998</v>
      </c>
      <c r="AD769">
        <v>-1.108833005348</v>
      </c>
      <c r="AE769">
        <v>-4.8165000000000102</v>
      </c>
      <c r="AF769">
        <v>4.7456836882008204</v>
      </c>
      <c r="AG769">
        <v>-1.108833005348</v>
      </c>
      <c r="AH769">
        <v>51.402587022395203</v>
      </c>
      <c r="AI769">
        <v>91.230534989502004</v>
      </c>
      <c r="AJ769">
        <v>84.725187253681099</v>
      </c>
      <c r="AK769">
        <v>51.633099625115698</v>
      </c>
      <c r="AL769">
        <v>87.564446300008299</v>
      </c>
      <c r="AM769">
        <v>90.281311851331907</v>
      </c>
      <c r="AN769">
        <v>0.99999998955620895</v>
      </c>
    </row>
    <row r="770" spans="1:40" x14ac:dyDescent="0.25">
      <c r="A770" t="str">
        <f>"20190312160315783"</f>
        <v>20190312160315783</v>
      </c>
      <c r="B770" t="str">
        <f>"1552377795774986"</f>
        <v>1552377795774986</v>
      </c>
      <c r="C770" t="s">
        <v>40</v>
      </c>
      <c r="D770">
        <v>5.3145769999999999</v>
      </c>
      <c r="E770">
        <v>0.53602689999999997</v>
      </c>
      <c r="F770" t="s">
        <v>41</v>
      </c>
      <c r="G770">
        <v>-279.50229999999999</v>
      </c>
      <c r="H770" s="1">
        <v>-1.877101E-6</v>
      </c>
      <c r="I770">
        <v>363.14569999999998</v>
      </c>
      <c r="J770">
        <v>-330.21449999999999</v>
      </c>
      <c r="K770">
        <v>1.1088389999999999</v>
      </c>
      <c r="L770">
        <v>368.01859999999999</v>
      </c>
      <c r="M770">
        <v>0.99995900000000004</v>
      </c>
      <c r="N770">
        <v>0</v>
      </c>
      <c r="O770">
        <v>-1.3327339999999999E-3</v>
      </c>
      <c r="P770">
        <v>0.99943300000000002</v>
      </c>
      <c r="Q770">
        <v>3.352248E-2</v>
      </c>
      <c r="R770">
        <v>3.218355E-3</v>
      </c>
      <c r="S770">
        <v>3.0049739999999998</v>
      </c>
      <c r="T770">
        <v>-6.5335270000000001E-2</v>
      </c>
      <c r="U770">
        <v>-0.2871399</v>
      </c>
      <c r="V770">
        <v>-4.5494919999999996E-3</v>
      </c>
      <c r="W770">
        <v>4.249087E-2</v>
      </c>
      <c r="X770">
        <v>0.99908649999999999</v>
      </c>
      <c r="Y770">
        <v>9.3773099999999998E-2</v>
      </c>
      <c r="Z770">
        <v>-9.8808100000000003E-4</v>
      </c>
      <c r="AA770">
        <v>0.99559310000000001</v>
      </c>
      <c r="AB770">
        <v>52</v>
      </c>
      <c r="AC770">
        <v>50.712200000000003</v>
      </c>
      <c r="AD770">
        <v>-1.1088408771010001</v>
      </c>
      <c r="AE770">
        <v>-4.8729000000000102</v>
      </c>
      <c r="AF770">
        <v>4.8030317939061904</v>
      </c>
      <c r="AG770">
        <v>-1.1088408771010001</v>
      </c>
      <c r="AH770">
        <v>50.694634419331599</v>
      </c>
      <c r="AI770">
        <v>91.247443000509307</v>
      </c>
      <c r="AJ770">
        <v>84.587702703273607</v>
      </c>
      <c r="AK770">
        <v>50.933727542893202</v>
      </c>
      <c r="AL770">
        <v>87.564719307722797</v>
      </c>
      <c r="AM770">
        <v>90.260903223940005</v>
      </c>
      <c r="AN770">
        <v>1.0000000031965299</v>
      </c>
    </row>
    <row r="771" spans="1:40" x14ac:dyDescent="0.25">
      <c r="A771" t="str">
        <f>"20190312160315797"</f>
        <v>20190312160315797</v>
      </c>
      <c r="B771" t="str">
        <f>"1552377795785723"</f>
        <v>1552377795785723</v>
      </c>
      <c r="C771" t="s">
        <v>40</v>
      </c>
      <c r="D771">
        <v>5.2700959999999997</v>
      </c>
      <c r="E771">
        <v>0.53596319999999997</v>
      </c>
      <c r="F771" t="s">
        <v>43</v>
      </c>
      <c r="G771">
        <v>-282.98129999999998</v>
      </c>
      <c r="H771">
        <v>-0.05</v>
      </c>
      <c r="I771">
        <v>363.49189999999999</v>
      </c>
      <c r="J771">
        <v>-329.8965</v>
      </c>
      <c r="K771">
        <v>1.1088499999999999</v>
      </c>
      <c r="L771">
        <v>368.01819999999998</v>
      </c>
      <c r="M771">
        <v>0.99995849999999997</v>
      </c>
      <c r="N771">
        <v>0</v>
      </c>
      <c r="O771">
        <v>-1.330637E-3</v>
      </c>
      <c r="P771">
        <v>0.99944010000000005</v>
      </c>
      <c r="Q771">
        <v>3.3283559999999997E-2</v>
      </c>
      <c r="R771">
        <v>3.4900729999999998E-3</v>
      </c>
      <c r="S771">
        <v>3.005096</v>
      </c>
      <c r="T771">
        <v>-7.3728199999999994E-2</v>
      </c>
      <c r="U771">
        <v>-0.28799439999999998</v>
      </c>
      <c r="V771">
        <v>-4.8191709999999997E-3</v>
      </c>
      <c r="W771">
        <v>4.231555E-2</v>
      </c>
      <c r="X771">
        <v>0.99909269999999994</v>
      </c>
      <c r="Y771">
        <v>9.4045879999999998E-2</v>
      </c>
      <c r="Z771">
        <v>-1.1183020000000001E-3</v>
      </c>
      <c r="AA771">
        <v>0.99556730000000004</v>
      </c>
      <c r="AB771">
        <v>52</v>
      </c>
      <c r="AC771">
        <v>46.915199999999999</v>
      </c>
      <c r="AD771">
        <v>-1.1588499999999999</v>
      </c>
      <c r="AE771">
        <v>-4.5262999999999902</v>
      </c>
      <c r="AF771">
        <v>4.4611695339681603</v>
      </c>
      <c r="AG771">
        <v>-1.1588499999999999</v>
      </c>
      <c r="AH771">
        <v>46.892834377577799</v>
      </c>
      <c r="AI771">
        <v>91.409286444283694</v>
      </c>
      <c r="AJ771">
        <v>84.565497954653395</v>
      </c>
      <c r="AK771">
        <v>47.118816654243801</v>
      </c>
      <c r="AL771">
        <v>87.574773503671395</v>
      </c>
      <c r="AM771">
        <v>90.276366765203306</v>
      </c>
      <c r="AN771">
        <v>1.0000000266871001</v>
      </c>
    </row>
    <row r="772" spans="1:40" x14ac:dyDescent="0.25">
      <c r="A772" t="str">
        <f>"20190312160315810"</f>
        <v>20190312160315810</v>
      </c>
      <c r="B772" t="str">
        <f>"1552377795805244"</f>
        <v>1552377795805244</v>
      </c>
      <c r="C772" t="s">
        <v>40</v>
      </c>
      <c r="D772">
        <v>5.3566880000000001</v>
      </c>
      <c r="E772">
        <v>0.53675249999999997</v>
      </c>
      <c r="F772" t="s">
        <v>43</v>
      </c>
      <c r="G772">
        <v>-281.62389999999999</v>
      </c>
      <c r="H772">
        <v>-0.05</v>
      </c>
      <c r="I772">
        <v>363.41840000000002</v>
      </c>
      <c r="J772">
        <v>-329.60950000000003</v>
      </c>
      <c r="K772">
        <v>1.1088610000000001</v>
      </c>
      <c r="L772">
        <v>368.01780000000002</v>
      </c>
      <c r="M772">
        <v>0.99995769999999995</v>
      </c>
      <c r="N772">
        <v>0</v>
      </c>
      <c r="O772">
        <v>-1.328774E-3</v>
      </c>
      <c r="P772">
        <v>0.99944299999999997</v>
      </c>
      <c r="Q772">
        <v>3.3211369999999997E-2</v>
      </c>
      <c r="R772">
        <v>3.2773580000000002E-3</v>
      </c>
      <c r="S772">
        <v>3.005096</v>
      </c>
      <c r="T772">
        <v>-7.2141529999999995E-2</v>
      </c>
      <c r="U772">
        <v>-0.2863464</v>
      </c>
      <c r="V772">
        <v>-4.604314E-3</v>
      </c>
      <c r="W772">
        <v>4.2305540000000003E-2</v>
      </c>
      <c r="X772">
        <v>0.99909409999999998</v>
      </c>
      <c r="Y772">
        <v>9.3508040000000001E-2</v>
      </c>
      <c r="Z772">
        <v>-1.087876E-3</v>
      </c>
      <c r="AA772">
        <v>0.99561789999999994</v>
      </c>
      <c r="AB772">
        <v>52</v>
      </c>
      <c r="AC772">
        <v>47.985599999999998</v>
      </c>
      <c r="AD772">
        <v>-1.1588609999999999</v>
      </c>
      <c r="AE772">
        <v>-4.5994000000000002</v>
      </c>
      <c r="AF772">
        <v>4.5330115541171603</v>
      </c>
      <c r="AG772">
        <v>-1.1588609999999999</v>
      </c>
      <c r="AH772">
        <v>47.963950034568001</v>
      </c>
      <c r="AI772">
        <v>91.377921171603205</v>
      </c>
      <c r="AJ772">
        <v>84.601085258452898</v>
      </c>
      <c r="AK772">
        <v>48.191613953940298</v>
      </c>
      <c r="AL772">
        <v>87.575347458335202</v>
      </c>
      <c r="AM772">
        <v>90.264045090626396</v>
      </c>
      <c r="AN772">
        <v>0.99999998953845604</v>
      </c>
    </row>
    <row r="773" spans="1:40" x14ac:dyDescent="0.25">
      <c r="A773" t="str">
        <f>"20190312160315822"</f>
        <v>20190312160315822</v>
      </c>
      <c r="B773" t="str">
        <f>"1552377795815003"</f>
        <v>1552377795815003</v>
      </c>
      <c r="C773" t="s">
        <v>40</v>
      </c>
      <c r="D773">
        <v>5.3197749999999999</v>
      </c>
      <c r="E773">
        <v>0.53684889999999996</v>
      </c>
      <c r="F773" t="s">
        <v>43</v>
      </c>
      <c r="G773">
        <v>-280.08280000000002</v>
      </c>
      <c r="H773">
        <v>-0.05</v>
      </c>
      <c r="I773">
        <v>363.18459999999999</v>
      </c>
      <c r="J773">
        <v>-329.29880000000003</v>
      </c>
      <c r="K773">
        <v>1.108873</v>
      </c>
      <c r="L773">
        <v>368.01740000000001</v>
      </c>
      <c r="M773">
        <v>0.99995699999999998</v>
      </c>
      <c r="N773">
        <v>0</v>
      </c>
      <c r="O773">
        <v>-1.326979E-3</v>
      </c>
      <c r="P773">
        <v>0.99943800000000005</v>
      </c>
      <c r="Q773">
        <v>3.3368139999999998E-2</v>
      </c>
      <c r="R773">
        <v>3.2362580000000001E-3</v>
      </c>
      <c r="S773">
        <v>3.0049739999999998</v>
      </c>
      <c r="T773">
        <v>-7.03125E-2</v>
      </c>
      <c r="U773">
        <v>-0.29324339999999999</v>
      </c>
      <c r="V773">
        <v>-4.5613930000000004E-3</v>
      </c>
      <c r="W773">
        <v>4.2538979999999997E-2</v>
      </c>
      <c r="X773">
        <v>0.99908439999999998</v>
      </c>
      <c r="Y773">
        <v>9.5778169999999996E-2</v>
      </c>
      <c r="Z773">
        <v>-1.0867629999999999E-3</v>
      </c>
      <c r="AA773">
        <v>0.99540209999999996</v>
      </c>
      <c r="AB773">
        <v>52</v>
      </c>
      <c r="AC773">
        <v>49.216000000000001</v>
      </c>
      <c r="AD773">
        <v>-1.158873</v>
      </c>
      <c r="AE773">
        <v>-4.8328000000000104</v>
      </c>
      <c r="AF773">
        <v>4.7648677652068399</v>
      </c>
      <c r="AG773">
        <v>-1.158873</v>
      </c>
      <c r="AH773">
        <v>49.195354299433497</v>
      </c>
      <c r="AI773">
        <v>91.343158408111194</v>
      </c>
      <c r="AJ773">
        <v>84.4678132912602</v>
      </c>
      <c r="AK773">
        <v>49.439152865889803</v>
      </c>
      <c r="AL773">
        <v>87.561960316911296</v>
      </c>
      <c r="AM773">
        <v>90.261586260113106</v>
      </c>
      <c r="AN773">
        <v>1.0000000047244499</v>
      </c>
    </row>
    <row r="774" spans="1:40" x14ac:dyDescent="0.25">
      <c r="A774" t="str">
        <f>"20190312160315834"</f>
        <v>20190312160315834</v>
      </c>
      <c r="B774" t="str">
        <f>"1552377795825739"</f>
        <v>1552377795825739</v>
      </c>
      <c r="C774" t="s">
        <v>40</v>
      </c>
      <c r="D774">
        <v>5.31027</v>
      </c>
      <c r="E774">
        <v>0.53682180000000002</v>
      </c>
      <c r="F774" t="s">
        <v>43</v>
      </c>
      <c r="G774">
        <v>-282.11070000000001</v>
      </c>
      <c r="H774">
        <v>-0.05</v>
      </c>
      <c r="I774">
        <v>363.39400000000001</v>
      </c>
      <c r="J774">
        <v>-329.01569999999998</v>
      </c>
      <c r="K774">
        <v>1.108887</v>
      </c>
      <c r="L774">
        <v>368.017</v>
      </c>
      <c r="M774">
        <v>0.99995639999999997</v>
      </c>
      <c r="N774">
        <v>0</v>
      </c>
      <c r="O774">
        <v>-1.3252959999999999E-3</v>
      </c>
      <c r="P774">
        <v>0.99944359999999999</v>
      </c>
      <c r="Q774">
        <v>3.3205020000000002E-2</v>
      </c>
      <c r="R774">
        <v>3.1933199999999999E-3</v>
      </c>
      <c r="S774">
        <v>3.0051269999999999</v>
      </c>
      <c r="T774">
        <v>-7.3801759999999994E-2</v>
      </c>
      <c r="U774">
        <v>-0.29443360000000002</v>
      </c>
      <c r="V774">
        <v>-4.5171040000000001E-3</v>
      </c>
      <c r="W774">
        <v>4.2450380000000003E-2</v>
      </c>
      <c r="X774">
        <v>0.99908830000000004</v>
      </c>
      <c r="Y774">
        <v>9.6162739999999997E-2</v>
      </c>
      <c r="Z774">
        <v>-1.1453500000000001E-3</v>
      </c>
      <c r="AA774">
        <v>0.99536500000000006</v>
      </c>
      <c r="AB774">
        <v>52</v>
      </c>
      <c r="AC774">
        <v>46.904999999999902</v>
      </c>
      <c r="AD774">
        <v>-1.158887</v>
      </c>
      <c r="AE774">
        <v>-4.6229999999999896</v>
      </c>
      <c r="AF774">
        <v>4.5580746073187797</v>
      </c>
      <c r="AG774">
        <v>-1.158887</v>
      </c>
      <c r="AH774">
        <v>46.882742086988301</v>
      </c>
      <c r="AI774">
        <v>91.4093544063698</v>
      </c>
      <c r="AJ774">
        <v>84.446992359187803</v>
      </c>
      <c r="AK774">
        <v>47.118049288990299</v>
      </c>
      <c r="AL774">
        <v>87.567041143141907</v>
      </c>
      <c r="AM774">
        <v>90.259045403043601</v>
      </c>
      <c r="AN774">
        <v>0.99999993509378804</v>
      </c>
    </row>
    <row r="775" spans="1:40" x14ac:dyDescent="0.25">
      <c r="A775" t="str">
        <f>"20190312160315850"</f>
        <v>20190312160315850</v>
      </c>
      <c r="B775" t="str">
        <f>"1552377795845259"</f>
        <v>1552377795845259</v>
      </c>
      <c r="C775" t="s">
        <v>40</v>
      </c>
      <c r="D775">
        <v>5.3386440000000004</v>
      </c>
      <c r="E775">
        <v>0.53661190000000003</v>
      </c>
      <c r="F775" t="s">
        <v>43</v>
      </c>
      <c r="G775">
        <v>-283.94319999999999</v>
      </c>
      <c r="H775">
        <v>-0.05</v>
      </c>
      <c r="I775">
        <v>363.6037</v>
      </c>
      <c r="J775">
        <v>-328.6773</v>
      </c>
      <c r="K775">
        <v>1.1089009999999999</v>
      </c>
      <c r="L775">
        <v>368.01650000000001</v>
      </c>
      <c r="M775">
        <v>0.9999555</v>
      </c>
      <c r="N775">
        <v>0</v>
      </c>
      <c r="O775">
        <v>-1.323109E-3</v>
      </c>
      <c r="P775">
        <v>0.99943599999999999</v>
      </c>
      <c r="Q775">
        <v>3.3468339999999999E-2</v>
      </c>
      <c r="R775">
        <v>2.8206809999999998E-3</v>
      </c>
      <c r="S775">
        <v>3.0051570000000001</v>
      </c>
      <c r="T775">
        <v>-7.7267530000000001E-2</v>
      </c>
      <c r="U775">
        <v>-0.29425050000000003</v>
      </c>
      <c r="V775">
        <v>-4.1421130000000002E-3</v>
      </c>
      <c r="W775">
        <v>4.2807199999999997E-2</v>
      </c>
      <c r="X775">
        <v>0.99907480000000004</v>
      </c>
      <c r="Y775">
        <v>9.6101160000000005E-2</v>
      </c>
      <c r="Z775">
        <v>-1.198377E-3</v>
      </c>
      <c r="AA775">
        <v>0.99537089999999995</v>
      </c>
      <c r="AB775">
        <v>52</v>
      </c>
      <c r="AC775">
        <v>44.734099999999998</v>
      </c>
      <c r="AD775">
        <v>-1.158901</v>
      </c>
      <c r="AE775">
        <v>-4.4127999999999998</v>
      </c>
      <c r="AF775">
        <v>4.3507136520536198</v>
      </c>
      <c r="AG775">
        <v>-1.158901</v>
      </c>
      <c r="AH775">
        <v>44.710181950210497</v>
      </c>
      <c r="AI775">
        <v>91.477813735682005</v>
      </c>
      <c r="AJ775">
        <v>84.442090162421906</v>
      </c>
      <c r="AK775">
        <v>44.936311940688903</v>
      </c>
      <c r="AL775">
        <v>87.546578505094999</v>
      </c>
      <c r="AM775">
        <v>90.237544009109499</v>
      </c>
      <c r="AN775">
        <v>1.0000000347334901</v>
      </c>
    </row>
    <row r="776" spans="1:40" x14ac:dyDescent="0.25">
      <c r="A776" t="str">
        <f>"20190312160315861"</f>
        <v>20190312160315861</v>
      </c>
      <c r="B776" t="str">
        <f>"1552377795855526"</f>
        <v>1552377795855526</v>
      </c>
      <c r="C776" t="s">
        <v>40</v>
      </c>
      <c r="D776">
        <v>5.3253199999999996</v>
      </c>
      <c r="E776">
        <v>0.55280969999999996</v>
      </c>
      <c r="F776" t="s">
        <v>43</v>
      </c>
      <c r="G776">
        <v>-280.69729999999998</v>
      </c>
      <c r="H776">
        <v>-0.05</v>
      </c>
      <c r="I776">
        <v>363.33330000000001</v>
      </c>
      <c r="J776">
        <v>-328.39120000000003</v>
      </c>
      <c r="K776">
        <v>1.10891299999999</v>
      </c>
      <c r="L776">
        <v>368.01620000000003</v>
      </c>
      <c r="M776">
        <v>0.99995480000000003</v>
      </c>
      <c r="N776">
        <v>0</v>
      </c>
      <c r="O776">
        <v>-1.3218380000000001E-3</v>
      </c>
      <c r="P776">
        <v>0.99945269999999997</v>
      </c>
      <c r="Q776">
        <v>3.2984069999999997E-2</v>
      </c>
      <c r="R776">
        <v>2.5699590000000001E-3</v>
      </c>
      <c r="S776">
        <v>3.0049440000000001</v>
      </c>
      <c r="T776">
        <v>-7.2580930000000002E-2</v>
      </c>
      <c r="U776">
        <v>-0.29330440000000002</v>
      </c>
      <c r="V776">
        <v>-3.8901650000000001E-3</v>
      </c>
      <c r="W776">
        <v>4.2407970000000003E-2</v>
      </c>
      <c r="X776">
        <v>0.9990928</v>
      </c>
      <c r="Y776">
        <v>9.5802620000000005E-2</v>
      </c>
      <c r="Z776">
        <v>-1.122243E-3</v>
      </c>
      <c r="AA776">
        <v>0.9953997</v>
      </c>
      <c r="AB776">
        <v>52</v>
      </c>
      <c r="AC776">
        <v>47.693899999999999</v>
      </c>
      <c r="AD776">
        <v>-1.1589130000000001</v>
      </c>
      <c r="AE776">
        <v>-4.6829000000000098</v>
      </c>
      <c r="AF776">
        <v>4.6171493842128601</v>
      </c>
      <c r="AG776">
        <v>-1.1589130000000001</v>
      </c>
      <c r="AH776">
        <v>47.672169837055499</v>
      </c>
      <c r="AI776">
        <v>91.386105838294597</v>
      </c>
      <c r="AJ776">
        <v>84.468038034162305</v>
      </c>
      <c r="AK776">
        <v>47.909257192642499</v>
      </c>
      <c r="AL776">
        <v>87.569473395981106</v>
      </c>
      <c r="AM776">
        <v>90.223091298142407</v>
      </c>
      <c r="AN776">
        <v>0.99999999615754398</v>
      </c>
    </row>
    <row r="777" spans="1:40" x14ac:dyDescent="0.25">
      <c r="A777" t="str">
        <f>"20190312160315873"</f>
        <v>20190312160315873</v>
      </c>
      <c r="B777" t="str">
        <f>"1552377795865286"</f>
        <v>1552377795865286</v>
      </c>
      <c r="C777" t="s">
        <v>40</v>
      </c>
      <c r="D777">
        <v>5.256405</v>
      </c>
      <c r="E777">
        <v>0.55298159999999996</v>
      </c>
      <c r="F777" t="s">
        <v>41</v>
      </c>
      <c r="G777">
        <v>-179.95779999999999</v>
      </c>
      <c r="H777">
        <v>4.9462059999999999E-3</v>
      </c>
      <c r="I777">
        <v>347.2253</v>
      </c>
      <c r="J777">
        <v>-328.13369999999998</v>
      </c>
      <c r="K777">
        <v>1.108919</v>
      </c>
      <c r="L777">
        <v>368.01589999999999</v>
      </c>
      <c r="M777">
        <v>0.99995400000000001</v>
      </c>
      <c r="N777">
        <v>0</v>
      </c>
      <c r="O777">
        <v>-1.3204219999999999E-3</v>
      </c>
      <c r="P777">
        <v>0.99944599999999995</v>
      </c>
      <c r="Q777">
        <v>3.3196740000000002E-2</v>
      </c>
      <c r="R777">
        <v>2.420232E-3</v>
      </c>
      <c r="S777">
        <v>3.0034179999999999</v>
      </c>
      <c r="T777">
        <v>-2.233779E-2</v>
      </c>
      <c r="U777">
        <v>-0.42068480000000003</v>
      </c>
      <c r="V777">
        <v>-3.7390990000000001E-3</v>
      </c>
      <c r="W777">
        <v>4.2699059999999997E-2</v>
      </c>
      <c r="X777">
        <v>0.999081</v>
      </c>
      <c r="Y777">
        <v>0.137403</v>
      </c>
      <c r="Z777">
        <v>-4.9870290000000005E-4</v>
      </c>
      <c r="AA777">
        <v>0.99051509999999998</v>
      </c>
      <c r="AB777">
        <v>52</v>
      </c>
      <c r="AC777">
        <v>148.17589999999899</v>
      </c>
      <c r="AD777">
        <v>-1.1039727939999999</v>
      </c>
      <c r="AE777">
        <v>-20.790599999999898</v>
      </c>
      <c r="AF777">
        <v>20.593797259890898</v>
      </c>
      <c r="AG777">
        <v>-1.1039727939999999</v>
      </c>
      <c r="AH777">
        <v>148.19515710963901</v>
      </c>
      <c r="AI777">
        <v>90.422752081219301</v>
      </c>
      <c r="AJ777">
        <v>82.088613169361906</v>
      </c>
      <c r="AK777">
        <v>149.623286397078</v>
      </c>
      <c r="AL777">
        <v>87.552780098819994</v>
      </c>
      <c r="AM777">
        <v>90.214430653428195</v>
      </c>
      <c r="AN777">
        <v>1.0000000175735999</v>
      </c>
    </row>
    <row r="778" spans="1:40" x14ac:dyDescent="0.25">
      <c r="A778" t="str">
        <f>"20190312160315883"</f>
        <v>20190312160315883</v>
      </c>
      <c r="B778" t="str">
        <f>"1552377795875046"</f>
        <v>1552377795875046</v>
      </c>
      <c r="C778" t="s">
        <v>40</v>
      </c>
      <c r="D778">
        <v>5.2017829999999998</v>
      </c>
      <c r="E778">
        <v>0.55379149999999999</v>
      </c>
      <c r="F778" t="s">
        <v>43</v>
      </c>
      <c r="G778">
        <v>-154.9648</v>
      </c>
      <c r="H778">
        <v>-0.05</v>
      </c>
      <c r="I778">
        <v>343.64870000000002</v>
      </c>
      <c r="J778">
        <v>-327.86279999999999</v>
      </c>
      <c r="K778">
        <v>1.1089310000000001</v>
      </c>
      <c r="L778">
        <v>368.01549999999997</v>
      </c>
      <c r="M778">
        <v>0.99995319999999999</v>
      </c>
      <c r="N778">
        <v>0</v>
      </c>
      <c r="O778">
        <v>-1.3190389999999999E-3</v>
      </c>
      <c r="P778">
        <v>0.99945709999999999</v>
      </c>
      <c r="Q778">
        <v>3.2873699999999999E-2</v>
      </c>
      <c r="R778">
        <v>2.303252E-3</v>
      </c>
      <c r="S778">
        <v>3.0033259999999999</v>
      </c>
      <c r="T778">
        <v>-2.0099519999999999E-2</v>
      </c>
      <c r="U778">
        <v>-0.42260740000000002</v>
      </c>
      <c r="V778">
        <v>-3.6209879999999999E-3</v>
      </c>
      <c r="W778">
        <v>4.2460850000000001E-2</v>
      </c>
      <c r="X778">
        <v>0.99909159999999997</v>
      </c>
      <c r="Y778">
        <v>0.13803099999999999</v>
      </c>
      <c r="Z778">
        <v>-4.5082740000000003E-4</v>
      </c>
      <c r="AA778">
        <v>0.99042779999999997</v>
      </c>
      <c r="AB778">
        <v>53</v>
      </c>
      <c r="AC778">
        <v>172.898</v>
      </c>
      <c r="AD778">
        <v>-1.1589309999999999</v>
      </c>
      <c r="AE778">
        <v>-24.366799999999898</v>
      </c>
      <c r="AF778">
        <v>24.137645739468098</v>
      </c>
      <c r="AG778">
        <v>-1.1589309999999999</v>
      </c>
      <c r="AH778">
        <v>172.92237373970099</v>
      </c>
      <c r="AI778">
        <v>90.380305275173797</v>
      </c>
      <c r="AJ778">
        <v>82.053621829947403</v>
      </c>
      <c r="AK778">
        <v>174.60273881780799</v>
      </c>
      <c r="AL778">
        <v>87.566440946658602</v>
      </c>
      <c r="AM778">
        <v>90.207655055537799</v>
      </c>
      <c r="AN778">
        <v>1.00000003026368</v>
      </c>
    </row>
    <row r="779" spans="1:40" x14ac:dyDescent="0.25">
      <c r="A779" t="str">
        <f>"20190312160315894"</f>
        <v>20190312160315894</v>
      </c>
      <c r="B779" t="str">
        <f>"1552377795885782"</f>
        <v>1552377795885782</v>
      </c>
      <c r="C779" t="s">
        <v>40</v>
      </c>
      <c r="D779">
        <v>5.2923080000000002</v>
      </c>
      <c r="E779">
        <v>0.55387410000000004</v>
      </c>
      <c r="F779" t="s">
        <v>43</v>
      </c>
      <c r="G779">
        <v>-216.26179999999999</v>
      </c>
      <c r="H779">
        <v>-0.05</v>
      </c>
      <c r="I779">
        <v>352.04590000000002</v>
      </c>
      <c r="J779">
        <v>-327.6062</v>
      </c>
      <c r="K779">
        <v>1.108946</v>
      </c>
      <c r="L779">
        <v>368.01519999999999</v>
      </c>
      <c r="M779">
        <v>0.99995230000000002</v>
      </c>
      <c r="N779">
        <v>0</v>
      </c>
      <c r="O779">
        <v>-1.3177900000000001E-3</v>
      </c>
      <c r="P779">
        <v>0.9994634</v>
      </c>
      <c r="Q779">
        <v>3.2689629999999997E-2</v>
      </c>
      <c r="R779">
        <v>2.0895610000000002E-3</v>
      </c>
      <c r="S779">
        <v>3.0036619999999998</v>
      </c>
      <c r="T779">
        <v>-3.119183E-2</v>
      </c>
      <c r="U779">
        <v>-0.42980960000000001</v>
      </c>
      <c r="V779">
        <v>-3.4056669999999998E-3</v>
      </c>
      <c r="W779">
        <v>4.2364140000000002E-2</v>
      </c>
      <c r="X779">
        <v>0.99909650000000005</v>
      </c>
      <c r="Y779">
        <v>0.140340299999999</v>
      </c>
      <c r="Z779">
        <v>-7.1136149999999896E-4</v>
      </c>
      <c r="AA779">
        <v>0.99010310000000001</v>
      </c>
      <c r="AB779">
        <v>53</v>
      </c>
      <c r="AC779">
        <v>111.34439999999999</v>
      </c>
      <c r="AD779">
        <v>-1.15894599999999</v>
      </c>
      <c r="AE779">
        <v>-15.969299999999899</v>
      </c>
      <c r="AF779">
        <v>15.820871234803199</v>
      </c>
      <c r="AG779">
        <v>-1.15894599999999</v>
      </c>
      <c r="AH779">
        <v>111.35352757436</v>
      </c>
      <c r="AI779">
        <v>90.590373395552902</v>
      </c>
      <c r="AJ779">
        <v>81.913658869824204</v>
      </c>
      <c r="AK779">
        <v>112.477781031246</v>
      </c>
      <c r="AL779">
        <v>87.571987102513702</v>
      </c>
      <c r="AM779">
        <v>90.1953060487714</v>
      </c>
      <c r="AN779">
        <v>1.00000006761895</v>
      </c>
    </row>
    <row r="780" spans="1:40" x14ac:dyDescent="0.25">
      <c r="A780" t="str">
        <f>"20190312160315905"</f>
        <v>20190312160315905</v>
      </c>
      <c r="B780" t="str">
        <f>"1552377795895542"</f>
        <v>1552377795895542</v>
      </c>
      <c r="C780" t="s">
        <v>40</v>
      </c>
      <c r="D780">
        <v>5.3020389999999997</v>
      </c>
      <c r="E780">
        <v>0.55419090000000004</v>
      </c>
      <c r="F780" t="s">
        <v>41</v>
      </c>
      <c r="G780">
        <v>-196.2372</v>
      </c>
      <c r="H780" s="1">
        <v>-5.2545169999999899E-6</v>
      </c>
      <c r="I780">
        <v>349.17630000000003</v>
      </c>
      <c r="J780">
        <v>-327.36070000000001</v>
      </c>
      <c r="K780">
        <v>1.108957</v>
      </c>
      <c r="L780">
        <v>368.01479999999998</v>
      </c>
      <c r="M780">
        <v>0.99995149999999999</v>
      </c>
      <c r="N780">
        <v>0</v>
      </c>
      <c r="O780">
        <v>-1.31677799999999E-3</v>
      </c>
      <c r="P780">
        <v>0.99946259999999998</v>
      </c>
      <c r="Q780">
        <v>3.2718509999999999E-2</v>
      </c>
      <c r="R780">
        <v>1.9991029999999999E-3</v>
      </c>
      <c r="S780">
        <v>3.0033569999999998</v>
      </c>
      <c r="T780">
        <v>-2.5352840000000001E-2</v>
      </c>
      <c r="U780">
        <v>-0.43069459999999998</v>
      </c>
      <c r="V780">
        <v>-3.3137050000000001E-3</v>
      </c>
      <c r="W780">
        <v>4.2478479999999999E-2</v>
      </c>
      <c r="X780">
        <v>0.99909190000000003</v>
      </c>
      <c r="Y780">
        <v>0.14064370000000001</v>
      </c>
      <c r="Z780">
        <v>-5.7953150000000005E-4</v>
      </c>
      <c r="AA780">
        <v>0.9900601</v>
      </c>
      <c r="AB780">
        <v>53</v>
      </c>
      <c r="AC780">
        <v>131.12350000000001</v>
      </c>
      <c r="AD780">
        <v>-1.1089622545169999</v>
      </c>
      <c r="AE780">
        <v>-18.8384999999999</v>
      </c>
      <c r="AF780">
        <v>18.6645068768116</v>
      </c>
      <c r="AG780">
        <v>-1.1089622545169999</v>
      </c>
      <c r="AH780">
        <v>131.13900328092001</v>
      </c>
      <c r="AI780">
        <v>90.479670089667096</v>
      </c>
      <c r="AJ780">
        <v>81.899716139122404</v>
      </c>
      <c r="AK780">
        <v>132.46520975618299</v>
      </c>
      <c r="AL780">
        <v>87.565429868509597</v>
      </c>
      <c r="AM780">
        <v>90.190033183993506</v>
      </c>
      <c r="AN780">
        <v>1.0000000132747699</v>
      </c>
    </row>
    <row r="781" spans="1:40" x14ac:dyDescent="0.25">
      <c r="A781" t="str">
        <f>"20190312160315917"</f>
        <v>20190312160315917</v>
      </c>
      <c r="B781" t="str">
        <f>"1552377795905302"</f>
        <v>1552377795905302</v>
      </c>
      <c r="C781" t="s">
        <v>40</v>
      </c>
      <c r="D781">
        <v>5.2279350000000004</v>
      </c>
      <c r="E781">
        <v>0.55398549999999902</v>
      </c>
      <c r="F781" t="s">
        <v>50</v>
      </c>
      <c r="G781">
        <v>-200.7551</v>
      </c>
      <c r="H781">
        <v>7.9989879999999999E-2</v>
      </c>
      <c r="I781">
        <v>349.73390000000001</v>
      </c>
      <c r="J781">
        <v>-327.10180000000003</v>
      </c>
      <c r="K781">
        <v>1.1089719999999901</v>
      </c>
      <c r="L781">
        <v>368.0145</v>
      </c>
      <c r="M781">
        <v>0.99995060000000002</v>
      </c>
      <c r="N781">
        <v>0</v>
      </c>
      <c r="O781">
        <v>-1.31572E-3</v>
      </c>
      <c r="P781">
        <v>0.99946170000000001</v>
      </c>
      <c r="Q781">
        <v>3.2756849999999997E-2</v>
      </c>
      <c r="R781">
        <v>1.869936E-3</v>
      </c>
      <c r="S781">
        <v>3.0032960000000002</v>
      </c>
      <c r="T781">
        <v>-2.4408820000000001E-2</v>
      </c>
      <c r="U781">
        <v>-0.43365480000000001</v>
      </c>
      <c r="V781">
        <v>-3.1841040000000001E-3</v>
      </c>
      <c r="W781">
        <v>4.2617589999999997E-2</v>
      </c>
      <c r="X781">
        <v>0.99908640000000004</v>
      </c>
      <c r="Y781">
        <v>0.1416039</v>
      </c>
      <c r="Z781">
        <v>-5.6181570000000004E-4</v>
      </c>
      <c r="AA781">
        <v>0.9899232</v>
      </c>
      <c r="AB781">
        <v>53</v>
      </c>
      <c r="AC781">
        <v>126.3467</v>
      </c>
      <c r="AD781">
        <v>-1.02898211999999</v>
      </c>
      <c r="AE781">
        <v>-18.2806</v>
      </c>
      <c r="AF781">
        <v>18.1131624761335</v>
      </c>
      <c r="AG781">
        <v>-1.02898211999999</v>
      </c>
      <c r="AH781">
        <v>126.362434608943</v>
      </c>
      <c r="AI781">
        <v>90.461834659932506</v>
      </c>
      <c r="AJ781">
        <v>81.842622239999201</v>
      </c>
      <c r="AK781">
        <v>127.65817772234401</v>
      </c>
      <c r="AL781">
        <v>87.557452235205105</v>
      </c>
      <c r="AM781">
        <v>90.182601928185306</v>
      </c>
      <c r="AN781">
        <v>1.00000001608032</v>
      </c>
    </row>
    <row r="782" spans="1:40" x14ac:dyDescent="0.25">
      <c r="A782" t="str">
        <f>"20190312160315927"</f>
        <v>20190312160315927</v>
      </c>
      <c r="B782" t="str">
        <f>"1552377795916038"</f>
        <v>1552377795916038</v>
      </c>
      <c r="C782" t="s">
        <v>40</v>
      </c>
      <c r="D782">
        <v>5.2508549999999996</v>
      </c>
      <c r="E782">
        <v>0.55419499999999999</v>
      </c>
      <c r="F782" t="s">
        <v>41</v>
      </c>
      <c r="G782">
        <v>-186.54750000000001</v>
      </c>
      <c r="H782" s="1">
        <v>-4.1051909999999996E-6</v>
      </c>
      <c r="I782">
        <v>347.77449999999999</v>
      </c>
      <c r="J782">
        <v>-326.84300000000002</v>
      </c>
      <c r="K782">
        <v>1.1089880000000001</v>
      </c>
      <c r="L782">
        <v>368.01420000000002</v>
      </c>
      <c r="M782">
        <v>0.99994959999999999</v>
      </c>
      <c r="N782">
        <v>0</v>
      </c>
      <c r="O782">
        <v>-1.314677E-3</v>
      </c>
      <c r="P782">
        <v>0.99947059999999999</v>
      </c>
      <c r="Q782">
        <v>3.2492899999999998E-2</v>
      </c>
      <c r="R782">
        <v>1.7302680000000001E-3</v>
      </c>
      <c r="S782">
        <v>3.0032040000000002</v>
      </c>
      <c r="T782">
        <v>-2.369535E-2</v>
      </c>
      <c r="U782">
        <v>-0.43246459999999998</v>
      </c>
      <c r="V782">
        <v>-3.0435869999999999E-3</v>
      </c>
      <c r="W782">
        <v>4.2455609999999998E-2</v>
      </c>
      <c r="X782">
        <v>0.99909369999999997</v>
      </c>
      <c r="Y782">
        <v>0.1412252</v>
      </c>
      <c r="Z782">
        <v>-5.4394809999999997E-4</v>
      </c>
      <c r="AA782">
        <v>0.98997740000000001</v>
      </c>
      <c r="AB782">
        <v>53</v>
      </c>
      <c r="AC782">
        <v>140.2955</v>
      </c>
      <c r="AD782">
        <v>-1.1089921051910001</v>
      </c>
      <c r="AE782">
        <v>-20.239699999999999</v>
      </c>
      <c r="AF782">
        <v>20.054002594588901</v>
      </c>
      <c r="AG782">
        <v>-1.1089921051910001</v>
      </c>
      <c r="AH782">
        <v>140.31340012671399</v>
      </c>
      <c r="AI782">
        <v>90.448282838377807</v>
      </c>
      <c r="AJ782">
        <v>81.866203608609496</v>
      </c>
      <c r="AK782">
        <v>141.74358235444899</v>
      </c>
      <c r="AL782">
        <v>87.566741329544101</v>
      </c>
      <c r="AM782">
        <v>90.1745423379611</v>
      </c>
      <c r="AN782">
        <v>0.99999998181099403</v>
      </c>
    </row>
    <row r="783" spans="1:40" x14ac:dyDescent="0.25">
      <c r="A783" t="str">
        <f>"20190312160315938"</f>
        <v>20190312160315938</v>
      </c>
      <c r="B783" t="str">
        <f>"1552377795935558"</f>
        <v>1552377795935558</v>
      </c>
      <c r="C783" t="s">
        <v>40</v>
      </c>
      <c r="D783">
        <v>5.3184360000000002</v>
      </c>
      <c r="E783">
        <v>0.55484009999999995</v>
      </c>
      <c r="F783" t="s">
        <v>43</v>
      </c>
      <c r="G783">
        <v>-208.4821</v>
      </c>
      <c r="H783">
        <v>-0.05</v>
      </c>
      <c r="I783">
        <v>350.88639999999998</v>
      </c>
      <c r="J783">
        <v>-326.58190000000002</v>
      </c>
      <c r="K783">
        <v>1.109005</v>
      </c>
      <c r="L783">
        <v>368.0138</v>
      </c>
      <c r="M783">
        <v>0.99994830000000001</v>
      </c>
      <c r="N783">
        <v>0</v>
      </c>
      <c r="O783">
        <v>-1.3134570000000001E-3</v>
      </c>
      <c r="P783">
        <v>0.99946109999999999</v>
      </c>
      <c r="Q783">
        <v>3.2788350000000001E-2</v>
      </c>
      <c r="R783">
        <v>1.6585720000000001E-3</v>
      </c>
      <c r="S783">
        <v>3.0032960000000002</v>
      </c>
      <c r="T783">
        <v>-2.9408219999999999E-2</v>
      </c>
      <c r="U783">
        <v>-0.43460080000000001</v>
      </c>
      <c r="V783">
        <v>-2.9706450000000001E-3</v>
      </c>
      <c r="W783">
        <v>4.2864359999999997E-2</v>
      </c>
      <c r="X783">
        <v>0.99907650000000003</v>
      </c>
      <c r="Y783">
        <v>0.14190949999999999</v>
      </c>
      <c r="Z783">
        <v>-6.7837699999999997E-4</v>
      </c>
      <c r="AA783">
        <v>0.98987939999999996</v>
      </c>
      <c r="AB783">
        <v>53</v>
      </c>
      <c r="AC783">
        <v>118.0998</v>
      </c>
      <c r="AD783">
        <v>-1.1590049999999901</v>
      </c>
      <c r="AE783">
        <v>-17.127400000000002</v>
      </c>
      <c r="AF783">
        <v>16.970657549850799</v>
      </c>
      <c r="AG783">
        <v>-1.1590049999999901</v>
      </c>
      <c r="AH783">
        <v>118.111054385359</v>
      </c>
      <c r="AI783">
        <v>90.556501537267195</v>
      </c>
      <c r="AJ783">
        <v>81.823480431565201</v>
      </c>
      <c r="AK783">
        <v>119.32965967556299</v>
      </c>
      <c r="AL783">
        <v>87.543300422279401</v>
      </c>
      <c r="AM783">
        <v>90.170362248872706</v>
      </c>
      <c r="AN783">
        <v>1.00000001547108</v>
      </c>
    </row>
    <row r="784" spans="1:40" x14ac:dyDescent="0.25">
      <c r="A784" t="str">
        <f>"20190312160315950"</f>
        <v>20190312160315950</v>
      </c>
      <c r="B784" t="str">
        <f>"1552377795945318"</f>
        <v>1552377795945318</v>
      </c>
      <c r="C784" t="s">
        <v>40</v>
      </c>
      <c r="D784">
        <v>5.3076819999999998</v>
      </c>
      <c r="E784">
        <v>0.55493559999999997</v>
      </c>
      <c r="F784" t="s">
        <v>43</v>
      </c>
      <c r="G784">
        <v>-196.50450000000001</v>
      </c>
      <c r="H784">
        <v>-0.05</v>
      </c>
      <c r="I784">
        <v>348.94940000000003</v>
      </c>
      <c r="J784">
        <v>-326.32119999999998</v>
      </c>
      <c r="K784">
        <v>1.109022</v>
      </c>
      <c r="L784">
        <v>368.01350000000002</v>
      </c>
      <c r="M784">
        <v>0.99994720000000004</v>
      </c>
      <c r="N784">
        <v>0</v>
      </c>
      <c r="O784">
        <v>-1.312246E-3</v>
      </c>
      <c r="P784">
        <v>0.99946840000000003</v>
      </c>
      <c r="Q784">
        <v>3.2554050000000001E-2</v>
      </c>
      <c r="R784">
        <v>1.8405240000000001E-3</v>
      </c>
      <c r="S784">
        <v>3.0032040000000002</v>
      </c>
      <c r="T784">
        <v>-2.675891E-2</v>
      </c>
      <c r="U784">
        <v>-0.44015500000000002</v>
      </c>
      <c r="V784">
        <v>-3.1512160000000001E-3</v>
      </c>
      <c r="W784">
        <v>4.2743360000000001E-2</v>
      </c>
      <c r="X784">
        <v>0.99908110000000006</v>
      </c>
      <c r="Y784">
        <v>0.14370849999999999</v>
      </c>
      <c r="Z784">
        <v>-6.2518559999999999E-4</v>
      </c>
      <c r="AA784">
        <v>0.9896199</v>
      </c>
      <c r="AB784">
        <v>53</v>
      </c>
      <c r="AC784">
        <v>129.816699999999</v>
      </c>
      <c r="AD784">
        <v>-1.159022</v>
      </c>
      <c r="AE784">
        <v>-19.0641</v>
      </c>
      <c r="AF784">
        <v>18.8922491482002</v>
      </c>
      <c r="AG784">
        <v>-1.159022</v>
      </c>
      <c r="AH784">
        <v>129.83147569157799</v>
      </c>
      <c r="AI784">
        <v>90.506142844012999</v>
      </c>
      <c r="AJ784">
        <v>81.720792117158496</v>
      </c>
      <c r="AK784">
        <v>131.20393473568899</v>
      </c>
      <c r="AL784">
        <v>87.550239495791104</v>
      </c>
      <c r="AM784">
        <v>90.180716839106395</v>
      </c>
      <c r="AN784">
        <v>0.99999998468178897</v>
      </c>
    </row>
    <row r="785" spans="1:40" x14ac:dyDescent="0.25">
      <c r="A785" t="str">
        <f>"20190312160315961"</f>
        <v>20190312160315961</v>
      </c>
      <c r="B785" t="str">
        <f>"1552377795955584"</f>
        <v>1552377795955584</v>
      </c>
      <c r="C785" t="s">
        <v>40</v>
      </c>
      <c r="D785">
        <v>5.2055129999999998</v>
      </c>
      <c r="E785">
        <v>0.55505409999999999</v>
      </c>
      <c r="F785" t="s">
        <v>43</v>
      </c>
      <c r="G785">
        <v>-198.4273</v>
      </c>
      <c r="H785">
        <v>-0.05</v>
      </c>
      <c r="I785">
        <v>349.26339999999999</v>
      </c>
      <c r="J785">
        <v>-326.04020000000003</v>
      </c>
      <c r="K785">
        <v>1.1090390000000001</v>
      </c>
      <c r="L785">
        <v>368.01310000000001</v>
      </c>
      <c r="M785">
        <v>0.9999458</v>
      </c>
      <c r="N785">
        <v>0</v>
      </c>
      <c r="O785">
        <v>-1.31086299999999E-3</v>
      </c>
      <c r="P785">
        <v>0.99947070000000005</v>
      </c>
      <c r="Q785">
        <v>3.2452460000000002E-2</v>
      </c>
      <c r="R785">
        <v>2.2780209999999999E-3</v>
      </c>
      <c r="S785">
        <v>3.0033259999999999</v>
      </c>
      <c r="T785">
        <v>-2.7217269999999998E-2</v>
      </c>
      <c r="U785">
        <v>-0.44030760000000002</v>
      </c>
      <c r="V785">
        <v>-3.587116E-3</v>
      </c>
      <c r="W785">
        <v>4.2767180000000002E-2</v>
      </c>
      <c r="X785">
        <v>0.99907860000000004</v>
      </c>
      <c r="Y785">
        <v>0.1437532</v>
      </c>
      <c r="Z785">
        <v>-6.3607989999999999E-4</v>
      </c>
      <c r="AA785">
        <v>0.98961339999999998</v>
      </c>
      <c r="AB785">
        <v>53</v>
      </c>
      <c r="AC785">
        <v>127.6129</v>
      </c>
      <c r="AD785">
        <v>-1.1590389999999999</v>
      </c>
      <c r="AE785">
        <v>-18.749700000000001</v>
      </c>
      <c r="AF785">
        <v>18.5808915678221</v>
      </c>
      <c r="AG785">
        <v>-1.1590389999999999</v>
      </c>
      <c r="AH785">
        <v>127.627064322682</v>
      </c>
      <c r="AI785">
        <v>90.514886760742797</v>
      </c>
      <c r="AJ785">
        <v>81.716653414104599</v>
      </c>
      <c r="AK785">
        <v>128.97775176550701</v>
      </c>
      <c r="AL785">
        <v>87.548873435046801</v>
      </c>
      <c r="AM785">
        <v>90.205715270322898</v>
      </c>
      <c r="AN785">
        <v>0.99999997403215402</v>
      </c>
    </row>
    <row r="786" spans="1:40" x14ac:dyDescent="0.25">
      <c r="A786" t="str">
        <f>"20190312160315972"</f>
        <v>20190312160315972</v>
      </c>
      <c r="B786" t="str">
        <f>"1552377795965345"</f>
        <v>1552377795965345</v>
      </c>
      <c r="C786" t="s">
        <v>40</v>
      </c>
      <c r="D786">
        <v>5.1648630000000004</v>
      </c>
      <c r="E786">
        <v>0.55499960000000004</v>
      </c>
      <c r="F786" t="s">
        <v>43</v>
      </c>
      <c r="G786">
        <v>-207.96809999999999</v>
      </c>
      <c r="H786">
        <v>-0.05</v>
      </c>
      <c r="I786">
        <v>350.70670000000001</v>
      </c>
      <c r="J786">
        <v>-325.78730000000002</v>
      </c>
      <c r="K786">
        <v>1.109054</v>
      </c>
      <c r="L786">
        <v>368.01280000000003</v>
      </c>
      <c r="M786">
        <v>0.99994459999999996</v>
      </c>
      <c r="N786">
        <v>0</v>
      </c>
      <c r="O786">
        <v>-1.3097899999999999E-3</v>
      </c>
      <c r="P786">
        <v>0.99947399999999997</v>
      </c>
      <c r="Q786">
        <v>3.2345520000000003E-2</v>
      </c>
      <c r="R786">
        <v>2.3537879999999999E-3</v>
      </c>
      <c r="S786">
        <v>3.003571</v>
      </c>
      <c r="T786">
        <v>-2.9484150000000001E-2</v>
      </c>
      <c r="U786">
        <v>-0.44024659999999899</v>
      </c>
      <c r="V786">
        <v>-3.6623850000000002E-3</v>
      </c>
      <c r="W786">
        <v>4.2774319999999998E-2</v>
      </c>
      <c r="X786">
        <v>0.99907800000000002</v>
      </c>
      <c r="Y786">
        <v>0.14372199999999999</v>
      </c>
      <c r="Z786">
        <v>-6.8885970000000002E-4</v>
      </c>
      <c r="AA786">
        <v>0.98961790000000005</v>
      </c>
      <c r="AB786">
        <v>53</v>
      </c>
      <c r="AC786">
        <v>117.8192</v>
      </c>
      <c r="AD786">
        <v>-1.159054</v>
      </c>
      <c r="AE786">
        <v>-17.306100000000001</v>
      </c>
      <c r="AF786">
        <v>17.150133630289801</v>
      </c>
      <c r="AG786">
        <v>-1.159054</v>
      </c>
      <c r="AH786">
        <v>117.83060498746801</v>
      </c>
      <c r="AI786">
        <v>90.557702210232904</v>
      </c>
      <c r="AJ786">
        <v>81.718804235823896</v>
      </c>
      <c r="AK786">
        <v>119.077797936577</v>
      </c>
      <c r="AL786">
        <v>87.548463916388897</v>
      </c>
      <c r="AM786">
        <v>90.210031912955301</v>
      </c>
      <c r="AN786">
        <v>0.99999995279967402</v>
      </c>
    </row>
    <row r="787" spans="1:40" x14ac:dyDescent="0.25">
      <c r="A787" t="str">
        <f>"20190312160315984"</f>
        <v>20190312160315984</v>
      </c>
      <c r="B787" t="str">
        <f>"1552377795975105"</f>
        <v>1552377795975105</v>
      </c>
      <c r="C787" t="s">
        <v>40</v>
      </c>
      <c r="D787">
        <v>5.2598500000000001</v>
      </c>
      <c r="E787">
        <v>0.55491889999999999</v>
      </c>
      <c r="F787" t="s">
        <v>43</v>
      </c>
      <c r="G787">
        <v>-207.74420000000001</v>
      </c>
      <c r="H787">
        <v>-0.05</v>
      </c>
      <c r="I787">
        <v>350.7371</v>
      </c>
      <c r="J787">
        <v>-325.49029999999999</v>
      </c>
      <c r="K787">
        <v>1.1090709999999999</v>
      </c>
      <c r="L787">
        <v>368.01240000000001</v>
      </c>
      <c r="M787">
        <v>0.99994329999999998</v>
      </c>
      <c r="N787">
        <v>0</v>
      </c>
      <c r="O787">
        <v>-1.3084850000000001E-3</v>
      </c>
      <c r="P787">
        <v>0.99948020000000004</v>
      </c>
      <c r="Q787">
        <v>3.2149589999999999E-2</v>
      </c>
      <c r="R787">
        <v>2.4739269999999999E-3</v>
      </c>
      <c r="S787">
        <v>3.003571</v>
      </c>
      <c r="T787">
        <v>-2.9491779999999999E-2</v>
      </c>
      <c r="U787">
        <v>-0.4395752</v>
      </c>
      <c r="V787">
        <v>-3.781019E-3</v>
      </c>
      <c r="W787">
        <v>4.2715259999999998E-2</v>
      </c>
      <c r="X787">
        <v>0.99908010000000003</v>
      </c>
      <c r="Y787">
        <v>0.14350669999999999</v>
      </c>
      <c r="Z787">
        <v>-6.8801020000000004E-4</v>
      </c>
      <c r="AA787">
        <v>0.98964909999999995</v>
      </c>
      <c r="AB787">
        <v>53</v>
      </c>
      <c r="AC787">
        <v>117.746099999999</v>
      </c>
      <c r="AD787">
        <v>-1.159071</v>
      </c>
      <c r="AE787">
        <v>-17.275300000000001</v>
      </c>
      <c r="AF787">
        <v>17.1195836561402</v>
      </c>
      <c r="AG787">
        <v>-1.159071</v>
      </c>
      <c r="AH787">
        <v>117.757434592636</v>
      </c>
      <c r="AI787">
        <v>90.558070343051</v>
      </c>
      <c r="AJ787">
        <v>81.728286141104704</v>
      </c>
      <c r="AK787">
        <v>119.000995760462</v>
      </c>
      <c r="AL787">
        <v>87.551850937849096</v>
      </c>
      <c r="AM787">
        <v>90.216834863103898</v>
      </c>
      <c r="AN787">
        <v>0.99999996787877699</v>
      </c>
    </row>
    <row r="788" spans="1:40" x14ac:dyDescent="0.25">
      <c r="A788" t="str">
        <f>"20190312160315997"</f>
        <v>20190312160315997</v>
      </c>
      <c r="B788" t="str">
        <f>"1552377795985842"</f>
        <v>1552377795985842</v>
      </c>
      <c r="C788" t="s">
        <v>40</v>
      </c>
      <c r="D788">
        <v>5.2177980000000002</v>
      </c>
      <c r="E788">
        <v>0.55502130000000005</v>
      </c>
      <c r="F788" t="s">
        <v>43</v>
      </c>
      <c r="G788">
        <v>-210.97790000000001</v>
      </c>
      <c r="H788">
        <v>-0.05</v>
      </c>
      <c r="I788">
        <v>351.30410000000001</v>
      </c>
      <c r="J788">
        <v>-325.19690000000003</v>
      </c>
      <c r="K788">
        <v>1.1090899999999999</v>
      </c>
      <c r="L788">
        <v>368.012</v>
      </c>
      <c r="M788">
        <v>0.99994179999999999</v>
      </c>
      <c r="N788">
        <v>0</v>
      </c>
      <c r="O788">
        <v>-1.3068719999999999E-3</v>
      </c>
      <c r="P788">
        <v>0.99949399999999999</v>
      </c>
      <c r="Q788">
        <v>3.170916E-2</v>
      </c>
      <c r="R788">
        <v>2.5334099999999998E-3</v>
      </c>
      <c r="S788">
        <v>3.0036930000000002</v>
      </c>
      <c r="T788">
        <v>-3.0402780000000001E-2</v>
      </c>
      <c r="U788">
        <v>-0.43826290000000001</v>
      </c>
      <c r="V788">
        <v>-3.8382350000000002E-3</v>
      </c>
      <c r="W788">
        <v>4.2419409999999998E-2</v>
      </c>
      <c r="X788">
        <v>0.99909250000000005</v>
      </c>
      <c r="Y788">
        <v>0.14307879999999901</v>
      </c>
      <c r="Z788">
        <v>-7.071178E-4</v>
      </c>
      <c r="AA788">
        <v>0.98971100000000001</v>
      </c>
      <c r="AB788">
        <v>53</v>
      </c>
      <c r="AC788">
        <v>114.21899999999999</v>
      </c>
      <c r="AD788">
        <v>-1.15909</v>
      </c>
      <c r="AE788">
        <v>-16.707899999999899</v>
      </c>
      <c r="AF788">
        <v>16.556938224873601</v>
      </c>
      <c r="AG788">
        <v>-1.15909</v>
      </c>
      <c r="AH788">
        <v>114.229221773956</v>
      </c>
      <c r="AI788">
        <v>90.575351417900904</v>
      </c>
      <c r="AJ788">
        <v>81.752707191975801</v>
      </c>
      <c r="AK788">
        <v>115.428726061124</v>
      </c>
      <c r="AL788">
        <v>87.568817304965506</v>
      </c>
      <c r="AM788">
        <v>90.220113337248605</v>
      </c>
      <c r="AN788">
        <v>0.99999998097445597</v>
      </c>
    </row>
    <row r="789" spans="1:40" x14ac:dyDescent="0.25">
      <c r="A789" t="str">
        <f>"20190312160316011"</f>
        <v>20190312160316011</v>
      </c>
      <c r="B789" t="str">
        <f>"1552377796006337"</f>
        <v>1552377796006337</v>
      </c>
      <c r="C789" t="s">
        <v>40</v>
      </c>
      <c r="D789">
        <v>5.2038979999999997</v>
      </c>
      <c r="E789">
        <v>0.5551431</v>
      </c>
      <c r="F789" t="s">
        <v>43</v>
      </c>
      <c r="G789">
        <v>-217.83</v>
      </c>
      <c r="H789">
        <v>-0.05</v>
      </c>
      <c r="I789">
        <v>352.33199999999999</v>
      </c>
      <c r="J789">
        <v>-324.88979999999998</v>
      </c>
      <c r="K789">
        <v>1.109113</v>
      </c>
      <c r="L789">
        <v>368.01170000000002</v>
      </c>
      <c r="M789">
        <v>0.99994000000000005</v>
      </c>
      <c r="N789">
        <v>0</v>
      </c>
      <c r="O789">
        <v>-1.3050970000000001E-3</v>
      </c>
      <c r="P789">
        <v>0.99950229999999995</v>
      </c>
      <c r="Q789">
        <v>3.1418130000000002E-2</v>
      </c>
      <c r="R789">
        <v>2.8490870000000001E-3</v>
      </c>
      <c r="S789">
        <v>3.0036619999999998</v>
      </c>
      <c r="T789">
        <v>-3.2426360000000001E-2</v>
      </c>
      <c r="U789">
        <v>-0.43865969999999999</v>
      </c>
      <c r="V789">
        <v>-4.1526849999999997E-3</v>
      </c>
      <c r="W789">
        <v>4.2285540000000003E-2</v>
      </c>
      <c r="X789">
        <v>0.99909689999999995</v>
      </c>
      <c r="Y789">
        <v>0.143209</v>
      </c>
      <c r="Z789">
        <v>-7.5489860000000004E-4</v>
      </c>
      <c r="AA789">
        <v>0.98969220000000002</v>
      </c>
      <c r="AB789">
        <v>53</v>
      </c>
      <c r="AC789">
        <v>107.059799999999</v>
      </c>
      <c r="AD789">
        <v>-1.1591129999999901</v>
      </c>
      <c r="AE789">
        <v>-15.6797</v>
      </c>
      <c r="AF789">
        <v>15.53817183204</v>
      </c>
      <c r="AG789">
        <v>-1.1591129999999901</v>
      </c>
      <c r="AH789">
        <v>107.067886692645</v>
      </c>
      <c r="AI789">
        <v>90.613827998123099</v>
      </c>
      <c r="AJ789">
        <v>81.742627345768</v>
      </c>
      <c r="AK789">
        <v>108.195705495449</v>
      </c>
      <c r="AL789">
        <v>87.576494337478096</v>
      </c>
      <c r="AM789">
        <v>90.238145022765707</v>
      </c>
      <c r="AN789">
        <v>0.99999996363770405</v>
      </c>
    </row>
    <row r="790" spans="1:40" x14ac:dyDescent="0.25">
      <c r="A790" t="str">
        <f>"20190312160316022"</f>
        <v>20190312160316022</v>
      </c>
      <c r="B790" t="str">
        <f>"1552377796015120"</f>
        <v>1552377796015120</v>
      </c>
      <c r="C790" t="s">
        <v>40</v>
      </c>
      <c r="D790">
        <v>5.290591</v>
      </c>
      <c r="E790">
        <v>0.55524659999999904</v>
      </c>
      <c r="F790" t="s">
        <v>43</v>
      </c>
      <c r="G790">
        <v>-218.6414</v>
      </c>
      <c r="H790">
        <v>-0.05</v>
      </c>
      <c r="I790">
        <v>352.48689999999999</v>
      </c>
      <c r="J790">
        <v>-324.58010000000002</v>
      </c>
      <c r="K790">
        <v>1.109138</v>
      </c>
      <c r="L790">
        <v>368.01130000000001</v>
      </c>
      <c r="M790">
        <v>0.99993810000000005</v>
      </c>
      <c r="N790">
        <v>0</v>
      </c>
      <c r="O790">
        <v>-1.3035189999999999E-3</v>
      </c>
      <c r="P790">
        <v>0.99950609999999995</v>
      </c>
      <c r="Q790">
        <v>3.1285279999999999E-2</v>
      </c>
      <c r="R790">
        <v>2.970617E-3</v>
      </c>
      <c r="S790">
        <v>3.003784</v>
      </c>
      <c r="T790">
        <v>-3.2769680000000002E-2</v>
      </c>
      <c r="U790">
        <v>-0.43890380000000001</v>
      </c>
      <c r="V790">
        <v>-4.2727329999999999E-3</v>
      </c>
      <c r="W790">
        <v>4.2320780000000002E-2</v>
      </c>
      <c r="X790">
        <v>0.99909499999999996</v>
      </c>
      <c r="Y790">
        <v>0.14328339999999901</v>
      </c>
      <c r="Z790">
        <v>-7.632766E-4</v>
      </c>
      <c r="AA790">
        <v>0.98968140000000004</v>
      </c>
      <c r="AB790">
        <v>53</v>
      </c>
      <c r="AC790">
        <v>105.9387</v>
      </c>
      <c r="AD790">
        <v>-1.159138</v>
      </c>
      <c r="AE790">
        <v>-15.5244</v>
      </c>
      <c r="AF790">
        <v>15.3844821838087</v>
      </c>
      <c r="AG790">
        <v>-1.159138</v>
      </c>
      <c r="AH790">
        <v>105.946430480326</v>
      </c>
      <c r="AI790">
        <v>90.620330775200699</v>
      </c>
      <c r="AJ790">
        <v>81.737828237989106</v>
      </c>
      <c r="AK790">
        <v>107.06386890304999</v>
      </c>
      <c r="AL790">
        <v>87.574473663404703</v>
      </c>
      <c r="AM790">
        <v>90.245029827428297</v>
      </c>
      <c r="AN790">
        <v>1.0000000618460401</v>
      </c>
    </row>
    <row r="791" spans="1:40" x14ac:dyDescent="0.25">
      <c r="A791" t="str">
        <f>"20190312160316035"</f>
        <v>20190312160316035</v>
      </c>
      <c r="B791" t="str">
        <f>"1552377796025857"</f>
        <v>1552377796025857</v>
      </c>
      <c r="C791" t="s">
        <v>40</v>
      </c>
      <c r="D791">
        <v>5.190404</v>
      </c>
      <c r="E791">
        <v>0.55529430000000002</v>
      </c>
      <c r="F791" t="s">
        <v>43</v>
      </c>
      <c r="G791">
        <v>-214.30670000000001</v>
      </c>
      <c r="H791">
        <v>-0.05</v>
      </c>
      <c r="I791">
        <v>351.88170000000002</v>
      </c>
      <c r="J791">
        <v>-324.2989</v>
      </c>
      <c r="K791">
        <v>1.109159</v>
      </c>
      <c r="L791">
        <v>368.01089999999999</v>
      </c>
      <c r="M791">
        <v>0.99993650000000001</v>
      </c>
      <c r="N791">
        <v>0</v>
      </c>
      <c r="O791">
        <v>-1.302374E-3</v>
      </c>
      <c r="P791">
        <v>0.99951179999999995</v>
      </c>
      <c r="Q791">
        <v>3.1106720000000001E-2</v>
      </c>
      <c r="R791">
        <v>2.9466219999999999E-3</v>
      </c>
      <c r="S791">
        <v>3.003784</v>
      </c>
      <c r="T791">
        <v>-3.1574249999999998E-2</v>
      </c>
      <c r="U791">
        <v>-0.43936160000000002</v>
      </c>
      <c r="V791">
        <v>-4.2470119999999997E-3</v>
      </c>
      <c r="W791">
        <v>4.2300780000000003E-2</v>
      </c>
      <c r="X791">
        <v>0.99909590000000004</v>
      </c>
      <c r="Y791">
        <v>0.1434328</v>
      </c>
      <c r="Z791">
        <v>-7.3621869999999999E-4</v>
      </c>
      <c r="AA791">
        <v>0.98965979999999998</v>
      </c>
      <c r="AB791">
        <v>53</v>
      </c>
      <c r="AC791">
        <v>109.9922</v>
      </c>
      <c r="AD791">
        <v>-1.1591590000000001</v>
      </c>
      <c r="AE791">
        <v>-16.129199999999901</v>
      </c>
      <c r="AF791">
        <v>15.9841885089181</v>
      </c>
      <c r="AG791">
        <v>-1.1591590000000001</v>
      </c>
      <c r="AH791">
        <v>110.001154585809</v>
      </c>
      <c r="AI791">
        <v>90.597468998831602</v>
      </c>
      <c r="AJ791">
        <v>81.732258027587406</v>
      </c>
      <c r="AK791">
        <v>111.162457430947</v>
      </c>
      <c r="AL791">
        <v>87.575620468716707</v>
      </c>
      <c r="AM791">
        <v>90.243554595192407</v>
      </c>
      <c r="AN791">
        <v>1.0000000052481699</v>
      </c>
    </row>
    <row r="792" spans="1:40" x14ac:dyDescent="0.25">
      <c r="A792" t="str">
        <f>"20190312160316051"</f>
        <v>20190312160316051</v>
      </c>
      <c r="B792" t="str">
        <f>"1552377796045378"</f>
        <v>1552377796045378</v>
      </c>
      <c r="C792" t="s">
        <v>40</v>
      </c>
      <c r="D792">
        <v>5.2356749999999996</v>
      </c>
      <c r="E792">
        <v>0.55552389999999996</v>
      </c>
      <c r="F792" t="s">
        <v>43</v>
      </c>
      <c r="G792">
        <v>-218.6737</v>
      </c>
      <c r="H792">
        <v>-0.05</v>
      </c>
      <c r="I792">
        <v>352.53840000000002</v>
      </c>
      <c r="J792">
        <v>-323.93939999999998</v>
      </c>
      <c r="K792">
        <v>1.1091850000000001</v>
      </c>
      <c r="L792">
        <v>368.0104</v>
      </c>
      <c r="M792">
        <v>0.9999342</v>
      </c>
      <c r="N792">
        <v>0</v>
      </c>
      <c r="O792">
        <v>-1.3008119999999999E-3</v>
      </c>
      <c r="P792">
        <v>0.99951800000000002</v>
      </c>
      <c r="Q792">
        <v>3.091228E-2</v>
      </c>
      <c r="R792">
        <v>2.927008E-3</v>
      </c>
      <c r="S792">
        <v>3.0037539999999998</v>
      </c>
      <c r="T792">
        <v>-3.2963989999999999E-2</v>
      </c>
      <c r="U792">
        <v>-0.44000240000000002</v>
      </c>
      <c r="V792">
        <v>-4.2265230000000003E-3</v>
      </c>
      <c r="W792">
        <v>4.2315070000000003E-2</v>
      </c>
      <c r="X792">
        <v>0.99909539999999997</v>
      </c>
      <c r="Y792">
        <v>0.14364179999999999</v>
      </c>
      <c r="Z792">
        <v>-7.6977509999999905E-4</v>
      </c>
      <c r="AA792">
        <v>0.98962939999999999</v>
      </c>
      <c r="AB792">
        <v>53</v>
      </c>
      <c r="AC792">
        <v>105.265699999999</v>
      </c>
      <c r="AD792">
        <v>-1.1591849999999999</v>
      </c>
      <c r="AE792">
        <v>-15.4719999999999</v>
      </c>
      <c r="AF792">
        <v>15.333227078765301</v>
      </c>
      <c r="AG792">
        <v>-1.1591849999999999</v>
      </c>
      <c r="AH792">
        <v>105.273242500317</v>
      </c>
      <c r="AI792">
        <v>90.624283317476298</v>
      </c>
      <c r="AJ792">
        <v>81.713045217719298</v>
      </c>
      <c r="AK792">
        <v>106.39035270664201</v>
      </c>
      <c r="AL792">
        <v>87.574801022501902</v>
      </c>
      <c r="AM792">
        <v>90.242379742079805</v>
      </c>
      <c r="AN792">
        <v>1.0000000234734601</v>
      </c>
    </row>
    <row r="793" spans="1:40" x14ac:dyDescent="0.25">
      <c r="A793" t="str">
        <f>"20190312160316062"</f>
        <v>20190312160316062</v>
      </c>
      <c r="B793" t="str">
        <f>"1552377796055645"</f>
        <v>1552377796055645</v>
      </c>
      <c r="C793" t="s">
        <v>40</v>
      </c>
      <c r="D793">
        <v>5.2526999999999999</v>
      </c>
      <c r="E793">
        <v>0.55559559999999997</v>
      </c>
      <c r="F793" t="s">
        <v>43</v>
      </c>
      <c r="G793">
        <v>-210.22620000000001</v>
      </c>
      <c r="H793">
        <v>-0.05</v>
      </c>
      <c r="I793">
        <v>351.29500000000002</v>
      </c>
      <c r="J793">
        <v>-323.66539999999998</v>
      </c>
      <c r="K793">
        <v>1.109208</v>
      </c>
      <c r="L793">
        <v>368.01</v>
      </c>
      <c r="M793">
        <v>0.99993220000000005</v>
      </c>
      <c r="N793">
        <v>0</v>
      </c>
      <c r="O793">
        <v>-1.299625E-3</v>
      </c>
      <c r="P793">
        <v>0.99952750000000001</v>
      </c>
      <c r="Q793">
        <v>3.0607929999999998E-2</v>
      </c>
      <c r="R793">
        <v>2.8043399999999998E-3</v>
      </c>
      <c r="S793">
        <v>3.0036619999999998</v>
      </c>
      <c r="T793">
        <v>-3.061914E-2</v>
      </c>
      <c r="U793">
        <v>-0.44152829999999899</v>
      </c>
      <c r="V793">
        <v>-4.1017290000000001E-3</v>
      </c>
      <c r="W793">
        <v>4.2177390000000002E-2</v>
      </c>
      <c r="X793">
        <v>0.99910169999999998</v>
      </c>
      <c r="Y793">
        <v>0.1441405</v>
      </c>
      <c r="Z793">
        <v>-7.1755699999999996E-4</v>
      </c>
      <c r="AA793">
        <v>0.98955700000000002</v>
      </c>
      <c r="AB793">
        <v>53</v>
      </c>
      <c r="AC793">
        <v>113.439199999999</v>
      </c>
      <c r="AD793">
        <v>-1.159208</v>
      </c>
      <c r="AE793">
        <v>-16.7149999999999</v>
      </c>
      <c r="AF793">
        <v>16.5658544921185</v>
      </c>
      <c r="AG793">
        <v>-1.159208</v>
      </c>
      <c r="AH793">
        <v>113.449233898557</v>
      </c>
      <c r="AI793">
        <v>90.5792770575719</v>
      </c>
      <c r="AJ793">
        <v>81.692384125790895</v>
      </c>
      <c r="AK793">
        <v>114.658187541975</v>
      </c>
      <c r="AL793">
        <v>87.582696453045202</v>
      </c>
      <c r="AM793">
        <v>90.235221739777401</v>
      </c>
      <c r="AN793">
        <v>0.99999998167544502</v>
      </c>
    </row>
    <row r="794" spans="1:40" x14ac:dyDescent="0.25">
      <c r="A794" t="str">
        <f>"20190312160316073"</f>
        <v>20190312160316073</v>
      </c>
      <c r="B794" t="str">
        <f>"1552377796065406"</f>
        <v>1552377796065406</v>
      </c>
      <c r="C794" t="s">
        <v>40</v>
      </c>
      <c r="D794">
        <v>5.2118760000000002</v>
      </c>
      <c r="E794">
        <v>0.55574239999999997</v>
      </c>
      <c r="F794" t="s">
        <v>43</v>
      </c>
      <c r="G794">
        <v>-207.69800000000001</v>
      </c>
      <c r="H794">
        <v>-0.05</v>
      </c>
      <c r="I794">
        <v>350.92399999999998</v>
      </c>
      <c r="J794">
        <v>-323.42649999999998</v>
      </c>
      <c r="K794">
        <v>1.109227</v>
      </c>
      <c r="L794">
        <v>368.00970000000001</v>
      </c>
      <c r="M794">
        <v>0.99993050000000006</v>
      </c>
      <c r="N794">
        <v>0</v>
      </c>
      <c r="O794">
        <v>-1.2987020000000001E-3</v>
      </c>
      <c r="P794">
        <v>0.99952810000000003</v>
      </c>
      <c r="Q794">
        <v>3.0602689999999998E-2</v>
      </c>
      <c r="R794">
        <v>2.7448939999999999E-3</v>
      </c>
      <c r="S794">
        <v>3.0036010000000002</v>
      </c>
      <c r="T794">
        <v>-3.0023930000000001E-2</v>
      </c>
      <c r="U794">
        <v>-0.44253540000000002</v>
      </c>
      <c r="V794">
        <v>-4.0421529999999997E-3</v>
      </c>
      <c r="W794">
        <v>4.2319839999999997E-2</v>
      </c>
      <c r="X794">
        <v>0.99909590000000004</v>
      </c>
      <c r="Y794">
        <v>0.14446929999999999</v>
      </c>
      <c r="Z794">
        <v>-7.0524960000000001E-4</v>
      </c>
      <c r="AA794">
        <v>0.98950899999999997</v>
      </c>
      <c r="AB794">
        <v>53</v>
      </c>
      <c r="AC794">
        <v>115.7285</v>
      </c>
      <c r="AD794">
        <v>-1.159227</v>
      </c>
      <c r="AE794">
        <v>-17.0856999999999</v>
      </c>
      <c r="AF794">
        <v>16.933715619334201</v>
      </c>
      <c r="AG794">
        <v>-1.159227</v>
      </c>
      <c r="AH794">
        <v>115.739228066392</v>
      </c>
      <c r="AI794">
        <v>90.567802155526905</v>
      </c>
      <c r="AJ794">
        <v>81.676158627796497</v>
      </c>
      <c r="AK794">
        <v>116.977191987662</v>
      </c>
      <c r="AL794">
        <v>87.574527328933797</v>
      </c>
      <c r="AM794">
        <v>90.231806619777899</v>
      </c>
      <c r="AN794">
        <v>0.999999962627654</v>
      </c>
    </row>
    <row r="795" spans="1:40" x14ac:dyDescent="0.25">
      <c r="A795" t="str">
        <f>"20190312160316083"</f>
        <v>20190312160316083</v>
      </c>
      <c r="B795" t="str">
        <f>"1552377796075165"</f>
        <v>1552377796075165</v>
      </c>
      <c r="C795" t="s">
        <v>40</v>
      </c>
      <c r="D795">
        <v>5.2641980000000004</v>
      </c>
      <c r="E795">
        <v>0.55589769999999905</v>
      </c>
      <c r="F795" t="s">
        <v>43</v>
      </c>
      <c r="G795">
        <v>-205.02719999999999</v>
      </c>
      <c r="H795">
        <v>-0.05</v>
      </c>
      <c r="I795">
        <v>350.51929999999999</v>
      </c>
      <c r="J795">
        <v>-323.15809999999999</v>
      </c>
      <c r="K795">
        <v>1.1092500000000001</v>
      </c>
      <c r="L795">
        <v>368.00940000000003</v>
      </c>
      <c r="M795">
        <v>0.9999285</v>
      </c>
      <c r="N795">
        <v>0</v>
      </c>
      <c r="O795">
        <v>-1.2975619999999999E-3</v>
      </c>
      <c r="P795">
        <v>0.99954339999999997</v>
      </c>
      <c r="Q795">
        <v>3.0116159999999999E-2</v>
      </c>
      <c r="R795">
        <v>2.4747200000000001E-3</v>
      </c>
      <c r="S795">
        <v>3.0035400000000001</v>
      </c>
      <c r="T795">
        <v>-2.9407139999999998E-2</v>
      </c>
      <c r="U795">
        <v>-0.44369510000000001</v>
      </c>
      <c r="V795">
        <v>-3.7711279999999999E-3</v>
      </c>
      <c r="W795">
        <v>4.2003489999999997E-2</v>
      </c>
      <c r="X795">
        <v>0.99911030000000001</v>
      </c>
      <c r="Y795">
        <v>0.14484749999999999</v>
      </c>
      <c r="Z795">
        <v>-6.9260920000000002E-4</v>
      </c>
      <c r="AA795">
        <v>0.98945369999999999</v>
      </c>
      <c r="AB795">
        <v>53</v>
      </c>
      <c r="AC795">
        <v>118.1309</v>
      </c>
      <c r="AD795">
        <v>-1.1592499999999999</v>
      </c>
      <c r="AE795">
        <v>-17.490100000000002</v>
      </c>
      <c r="AF795">
        <v>17.335158705927299</v>
      </c>
      <c r="AG795">
        <v>-1.1592499999999999</v>
      </c>
      <c r="AH795">
        <v>118.14236354585699</v>
      </c>
      <c r="AI795">
        <v>90.556230593673504</v>
      </c>
      <c r="AJ795">
        <v>81.652494553327998</v>
      </c>
      <c r="AK795">
        <v>119.413021283794</v>
      </c>
      <c r="AL795">
        <v>87.592668958047895</v>
      </c>
      <c r="AM795">
        <v>90.216261099816094</v>
      </c>
      <c r="AN795">
        <v>0.99999995307233003</v>
      </c>
    </row>
    <row r="796" spans="1:40" x14ac:dyDescent="0.25">
      <c r="A796" t="str">
        <f>"20190312160316094"</f>
        <v>20190312160316094</v>
      </c>
      <c r="B796" t="str">
        <f>"1552377796085901"</f>
        <v>1552377796085901</v>
      </c>
      <c r="C796" t="s">
        <v>40</v>
      </c>
      <c r="D796">
        <v>5.2743169999999999</v>
      </c>
      <c r="E796">
        <v>0.55602869999999904</v>
      </c>
      <c r="F796" t="s">
        <v>43</v>
      </c>
      <c r="G796">
        <v>-201.72800000000001</v>
      </c>
      <c r="H796">
        <v>-0.05</v>
      </c>
      <c r="I796">
        <v>349.99939999999998</v>
      </c>
      <c r="J796">
        <v>-322.90679999999998</v>
      </c>
      <c r="K796">
        <v>1.1092690000000001</v>
      </c>
      <c r="L796">
        <v>368.00909999999999</v>
      </c>
      <c r="M796">
        <v>0.99992650000000005</v>
      </c>
      <c r="N796">
        <v>0</v>
      </c>
      <c r="O796">
        <v>-1.2963919999999999E-3</v>
      </c>
      <c r="P796">
        <v>0.99955039999999995</v>
      </c>
      <c r="Q796">
        <v>2.9875760000000001E-2</v>
      </c>
      <c r="R796">
        <v>2.5495930000000002E-3</v>
      </c>
      <c r="S796">
        <v>3.0032960000000002</v>
      </c>
      <c r="T796">
        <v>-2.867138E-2</v>
      </c>
      <c r="U796">
        <v>-0.44543460000000001</v>
      </c>
      <c r="V796">
        <v>-3.844508E-3</v>
      </c>
      <c r="W796">
        <v>4.1924879999999998E-2</v>
      </c>
      <c r="X796">
        <v>0.99911340000000004</v>
      </c>
      <c r="Y796">
        <v>0.14542140000000001</v>
      </c>
      <c r="Z796">
        <v>-6.780423E-4</v>
      </c>
      <c r="AA796">
        <v>0.98936959999999996</v>
      </c>
      <c r="AB796">
        <v>53</v>
      </c>
      <c r="AC796">
        <v>121.1788</v>
      </c>
      <c r="AD796">
        <v>-1.1592690000000001</v>
      </c>
      <c r="AE796">
        <v>-18.009699999999999</v>
      </c>
      <c r="AF796">
        <v>17.850979809321601</v>
      </c>
      <c r="AG796">
        <v>-1.1592690000000001</v>
      </c>
      <c r="AH796">
        <v>121.191195782173</v>
      </c>
      <c r="AI796">
        <v>90.542203040911602</v>
      </c>
      <c r="AJ796">
        <v>81.620812118572303</v>
      </c>
      <c r="AK796">
        <v>122.504315515333</v>
      </c>
      <c r="AL796">
        <v>87.597177137701706</v>
      </c>
      <c r="AM796">
        <v>90.220468462891503</v>
      </c>
      <c r="AN796">
        <v>1.0000000309321599</v>
      </c>
    </row>
    <row r="797" spans="1:40" x14ac:dyDescent="0.25">
      <c r="A797" t="str">
        <f>"20190312160316105"</f>
        <v>20190312160316105</v>
      </c>
      <c r="B797" t="str">
        <f>"1552377796095661"</f>
        <v>1552377796095661</v>
      </c>
      <c r="C797" t="s">
        <v>40</v>
      </c>
      <c r="D797">
        <v>5.2479180000000003</v>
      </c>
      <c r="E797">
        <v>0.55609049999999904</v>
      </c>
      <c r="F797" t="s">
        <v>43</v>
      </c>
      <c r="G797">
        <v>-197.49100000000001</v>
      </c>
      <c r="H797">
        <v>-0.05</v>
      </c>
      <c r="I797">
        <v>349.37119999999999</v>
      </c>
      <c r="J797">
        <v>-322.6474</v>
      </c>
      <c r="K797">
        <v>1.1092930000000001</v>
      </c>
      <c r="L797">
        <v>368.00869999999998</v>
      </c>
      <c r="M797">
        <v>0.99992449999999999</v>
      </c>
      <c r="N797">
        <v>0</v>
      </c>
      <c r="O797">
        <v>-1.2951589999999999E-3</v>
      </c>
      <c r="P797">
        <v>0.9995539</v>
      </c>
      <c r="Q797">
        <v>2.9777620000000001E-2</v>
      </c>
      <c r="R797">
        <v>2.4102429999999998E-3</v>
      </c>
      <c r="S797">
        <v>3.0033259999999999</v>
      </c>
      <c r="T797">
        <v>-2.7760980000000001E-2</v>
      </c>
      <c r="U797">
        <v>-0.44631959999999998</v>
      </c>
      <c r="V797">
        <v>-3.703956E-3</v>
      </c>
      <c r="W797">
        <v>4.1996360000000003E-2</v>
      </c>
      <c r="X797">
        <v>0.99911090000000002</v>
      </c>
      <c r="Y797">
        <v>0.1457068</v>
      </c>
      <c r="Z797">
        <v>-6.5781580000000002E-4</v>
      </c>
      <c r="AA797">
        <v>0.98932759999999997</v>
      </c>
      <c r="AB797">
        <v>52</v>
      </c>
      <c r="AC797">
        <v>125.1564</v>
      </c>
      <c r="AD797">
        <v>-1.1592929999999999</v>
      </c>
      <c r="AE797">
        <v>-18.6374999999999</v>
      </c>
      <c r="AF797">
        <v>18.4738241822044</v>
      </c>
      <c r="AG797">
        <v>-1.1592929999999999</v>
      </c>
      <c r="AH797">
        <v>125.169928917302</v>
      </c>
      <c r="AI797">
        <v>90.524957802153097</v>
      </c>
      <c r="AJ797">
        <v>81.604328752737601</v>
      </c>
      <c r="AK797">
        <v>126.531171042306</v>
      </c>
      <c r="AL797">
        <v>87.593077955650003</v>
      </c>
      <c r="AM797">
        <v>90.212408926851595</v>
      </c>
      <c r="AN797">
        <v>1.00000000202105</v>
      </c>
    </row>
    <row r="798" spans="1:40" x14ac:dyDescent="0.25">
      <c r="A798" t="str">
        <f>"20190312160316117"</f>
        <v>20190312160316117</v>
      </c>
      <c r="B798" t="str">
        <f>"1552377796105420"</f>
        <v>1552377796105420</v>
      </c>
      <c r="C798" t="s">
        <v>40</v>
      </c>
      <c r="D798">
        <v>5.2356569999999998</v>
      </c>
      <c r="E798">
        <v>0.55620899999999995</v>
      </c>
      <c r="F798" t="s">
        <v>50</v>
      </c>
      <c r="G798">
        <v>-203.4845</v>
      </c>
      <c r="H798">
        <v>7.9989690000000002E-2</v>
      </c>
      <c r="I798">
        <v>350.25699999999898</v>
      </c>
      <c r="J798">
        <v>-322.3897</v>
      </c>
      <c r="K798">
        <v>1.109313</v>
      </c>
      <c r="L798">
        <v>368.00830000000002</v>
      </c>
      <c r="M798">
        <v>0.99992239999999999</v>
      </c>
      <c r="N798">
        <v>0</v>
      </c>
      <c r="O798">
        <v>-1.2937999999999999E-3</v>
      </c>
      <c r="P798">
        <v>0.99956230000000001</v>
      </c>
      <c r="Q798">
        <v>2.947584E-2</v>
      </c>
      <c r="R798">
        <v>2.5438850000000001E-3</v>
      </c>
      <c r="S798">
        <v>3.0032040000000002</v>
      </c>
      <c r="T798">
        <v>-2.594101E-2</v>
      </c>
      <c r="U798">
        <v>-0.4473877</v>
      </c>
      <c r="V798">
        <v>-3.835944E-3</v>
      </c>
      <c r="W798">
        <v>4.186057E-2</v>
      </c>
      <c r="X798">
        <v>0.99911609999999995</v>
      </c>
      <c r="Y798">
        <v>0.14605899999999999</v>
      </c>
      <c r="Z798">
        <v>-6.1622480000000002E-4</v>
      </c>
      <c r="AA798">
        <v>0.98927569999999998</v>
      </c>
      <c r="AB798">
        <v>52</v>
      </c>
      <c r="AC798">
        <v>118.90519999999999</v>
      </c>
      <c r="AD798">
        <v>-1.0293233100000001</v>
      </c>
      <c r="AE798">
        <v>-17.751300000000001</v>
      </c>
      <c r="AF798">
        <v>17.596143911287701</v>
      </c>
      <c r="AG798">
        <v>-1.0293233100000001</v>
      </c>
      <c r="AH798">
        <v>118.919351571585</v>
      </c>
      <c r="AI798">
        <v>90.490578282429496</v>
      </c>
      <c r="AJ798">
        <v>81.5831853758839</v>
      </c>
      <c r="AK798">
        <v>120.218534200137</v>
      </c>
      <c r="AL798">
        <v>87.600864996174806</v>
      </c>
      <c r="AM798">
        <v>90.219976759208805</v>
      </c>
      <c r="AN798">
        <v>1.0000000015331501</v>
      </c>
    </row>
    <row r="799" spans="1:40" x14ac:dyDescent="0.25">
      <c r="A799" t="str">
        <f>"20190312160316128"</f>
        <v>20190312160316128</v>
      </c>
      <c r="B799" t="str">
        <f>"1552377796125917"</f>
        <v>1552377796125917</v>
      </c>
      <c r="C799" t="s">
        <v>40</v>
      </c>
      <c r="D799">
        <v>5.2381129999999896</v>
      </c>
      <c r="E799">
        <v>0.55652179999999996</v>
      </c>
      <c r="F799" t="s">
        <v>41</v>
      </c>
      <c r="G799">
        <v>-189.3545</v>
      </c>
      <c r="H799" s="1">
        <v>-3.7833069999999998E-6</v>
      </c>
      <c r="I799">
        <v>348.1848</v>
      </c>
      <c r="J799">
        <v>-322.1266</v>
      </c>
      <c r="K799">
        <v>1.109335</v>
      </c>
      <c r="L799">
        <v>368.00799999999998</v>
      </c>
      <c r="M799">
        <v>0.99992029999999998</v>
      </c>
      <c r="N799">
        <v>0</v>
      </c>
      <c r="O799">
        <v>-1.2925879999999999E-3</v>
      </c>
      <c r="P799">
        <v>0.99957209999999996</v>
      </c>
      <c r="Q799">
        <v>2.9126920000000001E-2</v>
      </c>
      <c r="R799">
        <v>2.683857E-3</v>
      </c>
      <c r="S799">
        <v>3.0032350000000001</v>
      </c>
      <c r="T799">
        <v>-2.504253E-2</v>
      </c>
      <c r="U799">
        <v>-0.44750980000000001</v>
      </c>
      <c r="V799">
        <v>-3.9746099999999999E-3</v>
      </c>
      <c r="W799">
        <v>4.1680479999999999E-2</v>
      </c>
      <c r="X799">
        <v>0.99912310000000004</v>
      </c>
      <c r="Y799">
        <v>0.14609839999999999</v>
      </c>
      <c r="Z799">
        <v>-5.950482E-4</v>
      </c>
      <c r="AA799">
        <v>0.98926990000000004</v>
      </c>
      <c r="AB799">
        <v>52</v>
      </c>
      <c r="AC799">
        <v>132.77209999999999</v>
      </c>
      <c r="AD799">
        <v>-1.1093387833070001</v>
      </c>
      <c r="AE799">
        <v>-19.8232</v>
      </c>
      <c r="AF799">
        <v>19.6502084180696</v>
      </c>
      <c r="AG799">
        <v>-1.1093387833070001</v>
      </c>
      <c r="AH799">
        <v>132.78854654220299</v>
      </c>
      <c r="AI799">
        <v>90.473491795225698</v>
      </c>
      <c r="AJ799">
        <v>81.582391216538696</v>
      </c>
      <c r="AK799">
        <v>134.239187334402</v>
      </c>
      <c r="AL799">
        <v>87.611192437414999</v>
      </c>
      <c r="AM799">
        <v>90.227927046161199</v>
      </c>
      <c r="AN799">
        <v>1.00000001444564</v>
      </c>
    </row>
    <row r="800" spans="1:40" x14ac:dyDescent="0.25">
      <c r="A800" t="str">
        <f>"20190312160316139"</f>
        <v>20190312160316139</v>
      </c>
      <c r="B800" t="str">
        <f>"1552377796135677"</f>
        <v>1552377796135677</v>
      </c>
      <c r="C800" t="s">
        <v>40</v>
      </c>
      <c r="D800">
        <v>5.2288829999999997</v>
      </c>
      <c r="E800">
        <v>0.55663940000000001</v>
      </c>
      <c r="F800" t="s">
        <v>41</v>
      </c>
      <c r="G800">
        <v>-179.95779999999999</v>
      </c>
      <c r="H800">
        <v>5.4921529999999996E-3</v>
      </c>
      <c r="I800">
        <v>346.73480000000001</v>
      </c>
      <c r="J800">
        <v>-321.8485</v>
      </c>
      <c r="K800">
        <v>1.1093519999999999</v>
      </c>
      <c r="L800">
        <v>368.0077</v>
      </c>
      <c r="M800">
        <v>0.99991819999999998</v>
      </c>
      <c r="N800">
        <v>0</v>
      </c>
      <c r="O800">
        <v>-1.291267E-3</v>
      </c>
      <c r="P800">
        <v>0.99957669999999998</v>
      </c>
      <c r="Q800">
        <v>2.895377E-2</v>
      </c>
      <c r="R800">
        <v>2.8740469999999998E-3</v>
      </c>
      <c r="S800">
        <v>3.0031430000000001</v>
      </c>
      <c r="T800">
        <v>-2.3317339999999999E-2</v>
      </c>
      <c r="U800">
        <v>-0.44937129999999997</v>
      </c>
      <c r="V800">
        <v>-4.1637499999999999E-3</v>
      </c>
      <c r="W800">
        <v>4.1674290000000003E-2</v>
      </c>
      <c r="X800">
        <v>0.99912259999999997</v>
      </c>
      <c r="Y800">
        <v>0.14670459999999999</v>
      </c>
      <c r="Z800">
        <v>-5.5639809999999997E-4</v>
      </c>
      <c r="AA800">
        <v>0.98918019999999995</v>
      </c>
      <c r="AB800">
        <v>52</v>
      </c>
      <c r="AC800">
        <v>141.89070000000001</v>
      </c>
      <c r="AD800">
        <v>-1.1038598470000001</v>
      </c>
      <c r="AE800">
        <v>-21.2729</v>
      </c>
      <c r="AF800">
        <v>21.088400373912101</v>
      </c>
      <c r="AG800">
        <v>-1.1038598470000001</v>
      </c>
      <c r="AH800">
        <v>141.90965292681099</v>
      </c>
      <c r="AI800">
        <v>90.440831805572401</v>
      </c>
      <c r="AJ800">
        <v>81.547452179583701</v>
      </c>
      <c r="AK800">
        <v>143.47225770406001</v>
      </c>
      <c r="AL800">
        <v>87.611547435628296</v>
      </c>
      <c r="AM800">
        <v>90.238773420684694</v>
      </c>
      <c r="AN800">
        <v>1.0000000265459099</v>
      </c>
    </row>
    <row r="801" spans="1:40" x14ac:dyDescent="0.25">
      <c r="A801" t="str">
        <f>"20190312160316151"</f>
        <v>20190312160316151</v>
      </c>
      <c r="B801" t="str">
        <f>"1552377796145437"</f>
        <v>1552377796145437</v>
      </c>
      <c r="C801" t="s">
        <v>40</v>
      </c>
      <c r="D801">
        <v>5.2085369999999998</v>
      </c>
      <c r="E801">
        <v>0.55673189999999995</v>
      </c>
      <c r="F801" t="s">
        <v>41</v>
      </c>
      <c r="G801">
        <v>-179.9556</v>
      </c>
      <c r="H801">
        <v>5.2180320000000002E-2</v>
      </c>
      <c r="I801">
        <v>346.75569999999999</v>
      </c>
      <c r="J801">
        <v>-321.59820000000002</v>
      </c>
      <c r="K801">
        <v>1.1093660000000001</v>
      </c>
      <c r="L801">
        <v>368.00729999999999</v>
      </c>
      <c r="M801">
        <v>0.99991640000000004</v>
      </c>
      <c r="N801">
        <v>0</v>
      </c>
      <c r="O801">
        <v>-1.289943E-3</v>
      </c>
      <c r="P801">
        <v>0.99957980000000002</v>
      </c>
      <c r="Q801">
        <v>2.8834640000000002E-2</v>
      </c>
      <c r="R801">
        <v>2.9681550000000001E-3</v>
      </c>
      <c r="S801">
        <v>3.003174</v>
      </c>
      <c r="T801">
        <v>-2.237511E-2</v>
      </c>
      <c r="U801">
        <v>-0.44979859999999999</v>
      </c>
      <c r="V801">
        <v>-4.2561700000000001E-3</v>
      </c>
      <c r="W801">
        <v>4.1701920000000003E-2</v>
      </c>
      <c r="X801">
        <v>0.99912100000000004</v>
      </c>
      <c r="Y801">
        <v>0.14684239999999901</v>
      </c>
      <c r="Z801">
        <v>-5.3442460000000002E-4</v>
      </c>
      <c r="AA801">
        <v>0.98915980000000003</v>
      </c>
      <c r="AB801">
        <v>52</v>
      </c>
      <c r="AC801">
        <v>141.64259999999999</v>
      </c>
      <c r="AD801">
        <v>-1.0571856799999999</v>
      </c>
      <c r="AE801">
        <v>-21.2516</v>
      </c>
      <c r="AF801">
        <v>21.067708517713701</v>
      </c>
      <c r="AG801">
        <v>-1.0571856799999999</v>
      </c>
      <c r="AH801">
        <v>141.66217983169199</v>
      </c>
      <c r="AI801">
        <v>90.422923467875904</v>
      </c>
      <c r="AJ801">
        <v>81.541087709742996</v>
      </c>
      <c r="AK801">
        <v>143.224087284283</v>
      </c>
      <c r="AL801">
        <v>87.609962837960197</v>
      </c>
      <c r="AM801">
        <v>90.244073643536694</v>
      </c>
      <c r="AN801">
        <v>0.99999996887787701</v>
      </c>
    </row>
    <row r="802" spans="1:40" x14ac:dyDescent="0.25">
      <c r="A802" t="str">
        <f>"20190312160316163"</f>
        <v>20190312160316163</v>
      </c>
      <c r="B802" t="str">
        <f>"1552377796155196"</f>
        <v>1552377796155196</v>
      </c>
      <c r="C802" t="s">
        <v>40</v>
      </c>
      <c r="D802">
        <v>5.1383400000000004</v>
      </c>
      <c r="E802">
        <v>0.5568516</v>
      </c>
      <c r="F802" t="s">
        <v>41</v>
      </c>
      <c r="G802">
        <v>-179.9331</v>
      </c>
      <c r="H802">
        <v>7.4696410000000005E-2</v>
      </c>
      <c r="I802">
        <v>346.75970000000001</v>
      </c>
      <c r="J802">
        <v>-321.30770000000001</v>
      </c>
      <c r="K802">
        <v>1.1093820000000001</v>
      </c>
      <c r="L802">
        <v>368.00700000000001</v>
      </c>
      <c r="M802">
        <v>0.99991419999999998</v>
      </c>
      <c r="N802">
        <v>0</v>
      </c>
      <c r="O802">
        <v>-1.2884769999999999E-3</v>
      </c>
      <c r="P802">
        <v>0.99958309999999995</v>
      </c>
      <c r="Q802">
        <v>2.8686079999999999E-2</v>
      </c>
      <c r="R802">
        <v>3.2901580000000001E-3</v>
      </c>
      <c r="S802">
        <v>3.0032350000000001</v>
      </c>
      <c r="T802">
        <v>-2.1934510000000001E-2</v>
      </c>
      <c r="U802">
        <v>-0.45043949999999999</v>
      </c>
      <c r="V802">
        <v>-4.5772740000000001E-3</v>
      </c>
      <c r="W802">
        <v>4.1713359999999998E-2</v>
      </c>
      <c r="X802">
        <v>0.99911919999999999</v>
      </c>
      <c r="Y802">
        <v>0.14704739999999999</v>
      </c>
      <c r="Z802">
        <v>-5.2463779999999995E-4</v>
      </c>
      <c r="AA802">
        <v>0.98912929999999999</v>
      </c>
      <c r="AB802">
        <v>52</v>
      </c>
      <c r="AC802">
        <v>141.37459999999999</v>
      </c>
      <c r="AD802">
        <v>-1.0346855899999901</v>
      </c>
      <c r="AE802">
        <v>-21.2472999999999</v>
      </c>
      <c r="AF802">
        <v>21.064005606912101</v>
      </c>
      <c r="AG802">
        <v>-1.0346855899999901</v>
      </c>
      <c r="AH802">
        <v>141.39445523047601</v>
      </c>
      <c r="AI802">
        <v>90.414690996956907</v>
      </c>
      <c r="AJ802">
        <v>81.526771384882196</v>
      </c>
      <c r="AK802">
        <v>142.95857748453301</v>
      </c>
      <c r="AL802">
        <v>87.6093070352822</v>
      </c>
      <c r="AM802">
        <v>90.262487846398301</v>
      </c>
      <c r="AN802">
        <v>1.0000000658241901</v>
      </c>
    </row>
    <row r="803" spans="1:40" x14ac:dyDescent="0.25">
      <c r="A803" t="str">
        <f>"20190312160316173"</f>
        <v>20190312160316173</v>
      </c>
      <c r="B803" t="str">
        <f>"1552377796164958"</f>
        <v>1552377796164958</v>
      </c>
      <c r="C803" t="s">
        <v>40</v>
      </c>
      <c r="D803">
        <v>5.1660409999999999</v>
      </c>
      <c r="E803">
        <v>0.55686340000000001</v>
      </c>
      <c r="F803" t="s">
        <v>41</v>
      </c>
      <c r="G803">
        <v>-179.9554</v>
      </c>
      <c r="H803">
        <v>5.2346940000000002E-2</v>
      </c>
      <c r="I803">
        <v>346.8116</v>
      </c>
      <c r="J803">
        <v>-321.07279999999997</v>
      </c>
      <c r="K803">
        <v>1.1093249999999999</v>
      </c>
      <c r="L803">
        <v>368.00670000000002</v>
      </c>
      <c r="M803">
        <v>0.99991580000000002</v>
      </c>
      <c r="N803">
        <v>0</v>
      </c>
      <c r="O803">
        <v>-1.287189E-3</v>
      </c>
      <c r="P803">
        <v>0.999579</v>
      </c>
      <c r="Q803">
        <v>2.8826600000000001E-2</v>
      </c>
      <c r="R803">
        <v>3.2789099999999999E-3</v>
      </c>
      <c r="S803">
        <v>3.003387</v>
      </c>
      <c r="T803">
        <v>-2.2459389999999999E-2</v>
      </c>
      <c r="U803">
        <v>-0.45034790000000002</v>
      </c>
      <c r="V803">
        <v>-4.5644070000000004E-3</v>
      </c>
      <c r="W803">
        <v>4.1728609999999999E-2</v>
      </c>
      <c r="X803">
        <v>0.99911859999999997</v>
      </c>
      <c r="Y803">
        <v>0.1470117</v>
      </c>
      <c r="Z803">
        <v>-5.3704260000000004E-4</v>
      </c>
      <c r="AA803">
        <v>0.98913459999999997</v>
      </c>
      <c r="AB803">
        <v>52</v>
      </c>
      <c r="AC803">
        <v>141.11739999999901</v>
      </c>
      <c r="AD803">
        <v>-1.0569780599999901</v>
      </c>
      <c r="AE803">
        <v>-21.1951</v>
      </c>
      <c r="AF803">
        <v>21.012269723806401</v>
      </c>
      <c r="AG803">
        <v>-1.0569780599999901</v>
      </c>
      <c r="AH803">
        <v>141.13682420421799</v>
      </c>
      <c r="AI803">
        <v>90.424404367945399</v>
      </c>
      <c r="AJ803">
        <v>81.532075621121507</v>
      </c>
      <c r="AK803">
        <v>142.69630628722501</v>
      </c>
      <c r="AL803">
        <v>87.608432460517307</v>
      </c>
      <c r="AM803">
        <v>90.2617501443126</v>
      </c>
      <c r="AN803">
        <v>1.00000004378487</v>
      </c>
    </row>
    <row r="804" spans="1:40" x14ac:dyDescent="0.25">
      <c r="A804" t="str">
        <f>"20190312160316185"</f>
        <v>20190312160316185</v>
      </c>
      <c r="B804" t="str">
        <f>"1552377796175693"</f>
        <v>1552377796175693</v>
      </c>
      <c r="C804" t="s">
        <v>40</v>
      </c>
      <c r="D804">
        <v>5.294365</v>
      </c>
      <c r="E804">
        <v>0.55686340000000001</v>
      </c>
      <c r="F804" t="s">
        <v>41</v>
      </c>
      <c r="G804">
        <v>-179.93680000000001</v>
      </c>
      <c r="H804">
        <v>7.0954470000000006E-2</v>
      </c>
      <c r="I804">
        <v>346.85379999999998</v>
      </c>
      <c r="J804">
        <v>-320.78030000000001</v>
      </c>
      <c r="K804">
        <v>1.109197</v>
      </c>
      <c r="L804">
        <v>368.00630000000001</v>
      </c>
      <c r="M804">
        <v>0.99992060000000005</v>
      </c>
      <c r="N804">
        <v>0</v>
      </c>
      <c r="O804">
        <v>-1.2861420000000001E-3</v>
      </c>
      <c r="P804">
        <v>0.99957130000000005</v>
      </c>
      <c r="Q804">
        <v>2.909461E-2</v>
      </c>
      <c r="R804">
        <v>3.3013750000000001E-3</v>
      </c>
      <c r="S804">
        <v>3.003387</v>
      </c>
      <c r="T804">
        <v>-2.2096629999999999E-2</v>
      </c>
      <c r="U804">
        <v>-0.45013429999999999</v>
      </c>
      <c r="V804">
        <v>-4.5858649999999997E-3</v>
      </c>
      <c r="W804">
        <v>4.1626650000000001E-2</v>
      </c>
      <c r="X804">
        <v>0.99912270000000003</v>
      </c>
      <c r="Y804">
        <v>0.14694409999999999</v>
      </c>
      <c r="Z804">
        <v>-5.2813190000000002E-4</v>
      </c>
      <c r="AA804">
        <v>0.98914469999999999</v>
      </c>
      <c r="AB804">
        <v>52</v>
      </c>
      <c r="AC804">
        <v>140.84350000000001</v>
      </c>
      <c r="AD804">
        <v>-1.03824253</v>
      </c>
      <c r="AE804">
        <v>-21.1525</v>
      </c>
      <c r="AF804">
        <v>20.9702091304408</v>
      </c>
      <c r="AG804">
        <v>-1.03824253</v>
      </c>
      <c r="AH804">
        <v>140.86310501427801</v>
      </c>
      <c r="AI804">
        <v>90.4176924338893</v>
      </c>
      <c r="AJ804">
        <v>81.532596760478597</v>
      </c>
      <c r="AK804">
        <v>142.419247199208</v>
      </c>
      <c r="AL804">
        <v>87.614279287293698</v>
      </c>
      <c r="AM804">
        <v>90.2629795767904</v>
      </c>
      <c r="AN804">
        <v>0.99999998890165498</v>
      </c>
    </row>
    <row r="805" spans="1:40" x14ac:dyDescent="0.25">
      <c r="A805" t="str">
        <f>"20190312160316199"</f>
        <v>20190312160316199</v>
      </c>
      <c r="B805" t="str">
        <f>"1552377796195212"</f>
        <v>1552377796195212</v>
      </c>
      <c r="C805" t="s">
        <v>40</v>
      </c>
      <c r="D805">
        <v>5.1550099999999999</v>
      </c>
      <c r="E805">
        <v>0.58618000000000003</v>
      </c>
      <c r="F805" t="s">
        <v>41</v>
      </c>
      <c r="G805">
        <v>-175.64570000000001</v>
      </c>
      <c r="H805">
        <v>7.9986020000000005E-2</v>
      </c>
      <c r="I805">
        <v>346.24970000000002</v>
      </c>
      <c r="J805">
        <v>-320.46870000000001</v>
      </c>
      <c r="K805">
        <v>1.1090340000000001</v>
      </c>
      <c r="L805">
        <v>368.0059</v>
      </c>
      <c r="M805">
        <v>0.99992460000000005</v>
      </c>
      <c r="N805">
        <v>0</v>
      </c>
      <c r="O805">
        <v>-1.2852619999999999E-3</v>
      </c>
      <c r="P805">
        <v>0.99956040000000002</v>
      </c>
      <c r="Q805">
        <v>2.9458600000000001E-2</v>
      </c>
      <c r="R805">
        <v>3.3939299999999999E-3</v>
      </c>
      <c r="S805">
        <v>3.003387</v>
      </c>
      <c r="T805">
        <v>-2.1298290000000001E-2</v>
      </c>
      <c r="U805">
        <v>-0.45022580000000001</v>
      </c>
      <c r="V805">
        <v>-4.6773279999999997E-3</v>
      </c>
      <c r="W805">
        <v>4.1675719999999999E-2</v>
      </c>
      <c r="X805">
        <v>0.99912020000000001</v>
      </c>
      <c r="Y805">
        <v>0.14697470000000001</v>
      </c>
      <c r="Z805">
        <v>-5.0916410000000003E-4</v>
      </c>
      <c r="AA805">
        <v>0.98914020000000002</v>
      </c>
      <c r="AB805">
        <v>52</v>
      </c>
      <c r="AC805">
        <v>144.82299999999901</v>
      </c>
      <c r="AD805">
        <v>-1.0290479800000001</v>
      </c>
      <c r="AE805">
        <v>-21.7561999999999</v>
      </c>
      <c r="AF805">
        <v>21.568967687068699</v>
      </c>
      <c r="AG805">
        <v>-1.0290479800000001</v>
      </c>
      <c r="AH805">
        <v>144.84369326176301</v>
      </c>
      <c r="AI805">
        <v>90.402614058446602</v>
      </c>
      <c r="AJ805">
        <v>81.530208763690396</v>
      </c>
      <c r="AK805">
        <v>146.44444265501801</v>
      </c>
      <c r="AL805">
        <v>87.611465268896794</v>
      </c>
      <c r="AM805">
        <v>90.268225180578298</v>
      </c>
      <c r="AN805">
        <v>0.99999995854138801</v>
      </c>
    </row>
    <row r="806" spans="1:40" x14ac:dyDescent="0.25">
      <c r="A806" t="str">
        <f>"20190312160316218"</f>
        <v>20190312160316218</v>
      </c>
      <c r="B806" t="str">
        <f>"1552377796204973"</f>
        <v>1552377796204973</v>
      </c>
      <c r="C806" t="s">
        <v>40</v>
      </c>
      <c r="D806">
        <v>5.1735230000000003</v>
      </c>
      <c r="E806">
        <v>0.58685089999999995</v>
      </c>
      <c r="F806" t="s">
        <v>48</v>
      </c>
      <c r="G806">
        <v>-234.78809999999999</v>
      </c>
      <c r="H806">
        <v>0.9186761</v>
      </c>
      <c r="I806">
        <v>348.51170000000002</v>
      </c>
      <c r="J806">
        <v>-320.00920000000002</v>
      </c>
      <c r="K806">
        <v>1.108795</v>
      </c>
      <c r="L806">
        <v>368.00529999999998</v>
      </c>
      <c r="M806">
        <v>0.99992570000000003</v>
      </c>
      <c r="N806">
        <v>0</v>
      </c>
      <c r="O806">
        <v>-1.283857E-3</v>
      </c>
      <c r="P806">
        <v>0.9995406</v>
      </c>
      <c r="Q806">
        <v>3.0104309999999999E-2</v>
      </c>
      <c r="R806">
        <v>3.5776039999999999E-3</v>
      </c>
      <c r="S806">
        <v>3.0038450000000001</v>
      </c>
      <c r="T806">
        <v>-6.670952E-3</v>
      </c>
      <c r="U806">
        <v>-0.68344119999999997</v>
      </c>
      <c r="V806">
        <v>-4.8596840000000004E-3</v>
      </c>
      <c r="W806">
        <v>4.2226930000000003E-2</v>
      </c>
      <c r="X806">
        <v>0.99909619999999999</v>
      </c>
      <c r="Y806">
        <v>0.22059970000000001</v>
      </c>
      <c r="Z806">
        <v>-2.3904810000000001E-4</v>
      </c>
      <c r="AA806">
        <v>0.97536440000000002</v>
      </c>
      <c r="AB806">
        <v>53</v>
      </c>
      <c r="AC806">
        <v>85.221100000000007</v>
      </c>
      <c r="AD806">
        <v>-0.19011890000000001</v>
      </c>
      <c r="AE806">
        <v>-19.493599999999901</v>
      </c>
      <c r="AF806">
        <v>19.384072511289101</v>
      </c>
      <c r="AG806">
        <v>-0.19011890000000001</v>
      </c>
      <c r="AH806">
        <v>85.245655426934505</v>
      </c>
      <c r="AI806">
        <v>90.124602770108496</v>
      </c>
      <c r="AJ806">
        <v>77.189304672196698</v>
      </c>
      <c r="AK806">
        <v>87.421966241252505</v>
      </c>
      <c r="AL806">
        <v>87.579855469240897</v>
      </c>
      <c r="AM806">
        <v>90.278689066285096</v>
      </c>
      <c r="AN806">
        <v>0.99999997350012204</v>
      </c>
    </row>
    <row r="807" spans="1:40" x14ac:dyDescent="0.25">
      <c r="A807" t="str">
        <f>"20190312160316231"</f>
        <v>20190312160316231</v>
      </c>
      <c r="B807" t="str">
        <f>"1552377796225469"</f>
        <v>1552377796225469</v>
      </c>
      <c r="C807" t="s">
        <v>40</v>
      </c>
      <c r="D807">
        <v>5.1215419999999998</v>
      </c>
      <c r="E807">
        <v>0.58824779999999999</v>
      </c>
      <c r="F807" t="s">
        <v>48</v>
      </c>
      <c r="G807">
        <v>-234.73099999999999</v>
      </c>
      <c r="H807">
        <v>1.8353900000000001</v>
      </c>
      <c r="I807">
        <v>348.51170000000002</v>
      </c>
      <c r="J807">
        <v>-319.70659999999998</v>
      </c>
      <c r="K807">
        <v>1.1086180000000001</v>
      </c>
      <c r="L807">
        <v>368.00490000000002</v>
      </c>
      <c r="M807">
        <v>0.99992309999999995</v>
      </c>
      <c r="N807">
        <v>0</v>
      </c>
      <c r="O807">
        <v>-1.283129E-3</v>
      </c>
      <c r="P807">
        <v>0.99954670000000001</v>
      </c>
      <c r="Q807">
        <v>2.988526E-2</v>
      </c>
      <c r="R807">
        <v>3.6619170000000002E-3</v>
      </c>
      <c r="S807">
        <v>3.0030519999999998</v>
      </c>
      <c r="T807">
        <v>2.5589589999999999E-2</v>
      </c>
      <c r="U807">
        <v>-0.68646240000000003</v>
      </c>
      <c r="V807">
        <v>-4.9430560000000004E-3</v>
      </c>
      <c r="W807">
        <v>4.2219319999999998E-2</v>
      </c>
      <c r="X807">
        <v>0.99909619999999999</v>
      </c>
      <c r="Y807">
        <v>0.22158169999999999</v>
      </c>
      <c r="Z807">
        <v>9.2123859999999999E-4</v>
      </c>
      <c r="AA807">
        <v>0.97514140000000005</v>
      </c>
      <c r="AB807">
        <v>53</v>
      </c>
      <c r="AC807">
        <v>84.975599999999901</v>
      </c>
      <c r="AD807">
        <v>0.72677199999999997</v>
      </c>
      <c r="AE807">
        <v>-19.493200000000002</v>
      </c>
      <c r="AF807">
        <v>19.382794048778202</v>
      </c>
      <c r="AG807">
        <v>0.72677199999999997</v>
      </c>
      <c r="AH807">
        <v>84.994637780797703</v>
      </c>
      <c r="AI807">
        <v>89.522349523689201</v>
      </c>
      <c r="AJ807">
        <v>77.153543323086197</v>
      </c>
      <c r="AK807">
        <v>87.179753120586099</v>
      </c>
      <c r="AL807">
        <v>87.580292090734702</v>
      </c>
      <c r="AM807">
        <v>90.283470136181293</v>
      </c>
      <c r="AN807">
        <v>1.0000000608191499</v>
      </c>
    </row>
    <row r="808" spans="1:40" x14ac:dyDescent="0.25">
      <c r="A808" t="str">
        <f>"20190312160316243"</f>
        <v>20190312160316243</v>
      </c>
      <c r="B808" t="str">
        <f>"1552377796235230"</f>
        <v>1552377796235230</v>
      </c>
      <c r="C808" t="s">
        <v>40</v>
      </c>
      <c r="D808">
        <v>5.1355769999999996</v>
      </c>
      <c r="E808">
        <v>0.58851750000000003</v>
      </c>
      <c r="F808" t="s">
        <v>48</v>
      </c>
      <c r="G808">
        <v>-235.58920000000001</v>
      </c>
      <c r="H808">
        <v>2.7868019999999998</v>
      </c>
      <c r="I808">
        <v>348.51170000000002</v>
      </c>
      <c r="J808">
        <v>-319.41910000000001</v>
      </c>
      <c r="K808">
        <v>1.1083989999999999</v>
      </c>
      <c r="L808">
        <v>368.00450000000001</v>
      </c>
      <c r="M808">
        <v>0.99991799999999997</v>
      </c>
      <c r="N808">
        <v>0</v>
      </c>
      <c r="O808">
        <v>-1.2822319999999999E-3</v>
      </c>
      <c r="P808">
        <v>0.99955240000000001</v>
      </c>
      <c r="Q808">
        <v>2.9678039999999999E-2</v>
      </c>
      <c r="R808">
        <v>3.8190339999999998E-3</v>
      </c>
      <c r="S808">
        <v>3.0021360000000001</v>
      </c>
      <c r="T808">
        <v>5.9896829999999998E-2</v>
      </c>
      <c r="U808">
        <v>-0.69570919999999903</v>
      </c>
      <c r="V808">
        <v>-5.0997509999999996E-3</v>
      </c>
      <c r="W808">
        <v>4.2419409999999998E-2</v>
      </c>
      <c r="X808">
        <v>0.9990869</v>
      </c>
      <c r="Y808">
        <v>0.22446389999999999</v>
      </c>
      <c r="Z808">
        <v>2.184446E-3</v>
      </c>
      <c r="AA808">
        <v>0.97448000000000001</v>
      </c>
      <c r="AB808">
        <v>53</v>
      </c>
      <c r="AC808">
        <v>83.829899999999995</v>
      </c>
      <c r="AD808">
        <v>1.6784030000000001</v>
      </c>
      <c r="AE808">
        <v>-19.4927999999999</v>
      </c>
      <c r="AF808">
        <v>19.377916459687299</v>
      </c>
      <c r="AG808">
        <v>1.6784030000000001</v>
      </c>
      <c r="AH808">
        <v>83.822949593725298</v>
      </c>
      <c r="AI808">
        <v>88.882376827606805</v>
      </c>
      <c r="AJ808">
        <v>76.983217021626601</v>
      </c>
      <c r="AK808">
        <v>86.050029410461207</v>
      </c>
      <c r="AL808">
        <v>87.568817409092006</v>
      </c>
      <c r="AM808">
        <v>90.292458715251499</v>
      </c>
      <c r="AN808">
        <v>1.0000000237783</v>
      </c>
    </row>
    <row r="809" spans="1:40" x14ac:dyDescent="0.25">
      <c r="A809" t="str">
        <f>"20190312160316254"</f>
        <v>20190312160316254</v>
      </c>
      <c r="B809" t="str">
        <f>"1552377796244989"</f>
        <v>1552377796244989</v>
      </c>
      <c r="C809" t="s">
        <v>40</v>
      </c>
      <c r="D809">
        <v>5.115386</v>
      </c>
      <c r="E809">
        <v>0.58864839999999996</v>
      </c>
      <c r="F809" t="s">
        <v>47</v>
      </c>
      <c r="G809">
        <v>-231.85040000000001</v>
      </c>
      <c r="H809">
        <v>3.0296129999999999</v>
      </c>
      <c r="I809">
        <v>347.67509999999999</v>
      </c>
      <c r="J809">
        <v>-319.1524</v>
      </c>
      <c r="K809">
        <v>1.1081219999999901</v>
      </c>
      <c r="L809">
        <v>368.00420000000003</v>
      </c>
      <c r="M809">
        <v>0.99991169999999996</v>
      </c>
      <c r="N809">
        <v>0</v>
      </c>
      <c r="O809">
        <v>-1.2813029999999999E-3</v>
      </c>
      <c r="P809">
        <v>0.99956860000000003</v>
      </c>
      <c r="Q809">
        <v>2.9131219999999999E-2</v>
      </c>
      <c r="R809">
        <v>3.7726999999999999E-3</v>
      </c>
      <c r="S809">
        <v>3.002014</v>
      </c>
      <c r="T809">
        <v>6.5865279999999998E-2</v>
      </c>
      <c r="U809">
        <v>-0.69692989999999999</v>
      </c>
      <c r="V809">
        <v>-5.0521250000000002E-3</v>
      </c>
      <c r="W809">
        <v>4.2353179999999997E-2</v>
      </c>
      <c r="X809">
        <v>0.99909000000000003</v>
      </c>
      <c r="Y809">
        <v>0.2248406</v>
      </c>
      <c r="Z809">
        <v>2.4061519999999999E-3</v>
      </c>
      <c r="AA809">
        <v>0.97439260000000005</v>
      </c>
      <c r="AB809">
        <v>53</v>
      </c>
      <c r="AC809">
        <v>87.301999999999893</v>
      </c>
      <c r="AD809">
        <v>1.9214910000000001</v>
      </c>
      <c r="AE809">
        <v>-20.3291</v>
      </c>
      <c r="AF809">
        <v>20.2079274502426</v>
      </c>
      <c r="AG809">
        <v>1.9214910000000001</v>
      </c>
      <c r="AH809">
        <v>87.287868631610394</v>
      </c>
      <c r="AI809">
        <v>88.771420155568507</v>
      </c>
      <c r="AJ809">
        <v>76.965147007527705</v>
      </c>
      <c r="AK809">
        <v>89.617099204039306</v>
      </c>
      <c r="AL809">
        <v>87.572615638883406</v>
      </c>
      <c r="AM809">
        <v>90.289726624081098</v>
      </c>
      <c r="AN809">
        <v>1.00000007196156</v>
      </c>
    </row>
    <row r="810" spans="1:40" x14ac:dyDescent="0.25">
      <c r="A810" t="str">
        <f>"20190312160316265"</f>
        <v>20190312160316265</v>
      </c>
      <c r="B810" t="str">
        <f>"1552377796255725"</f>
        <v>1552377796255725</v>
      </c>
      <c r="C810" t="s">
        <v>40</v>
      </c>
      <c r="D810">
        <v>5.0831089999999897</v>
      </c>
      <c r="E810">
        <v>0.58895779999999998</v>
      </c>
      <c r="F810" t="s">
        <v>46</v>
      </c>
      <c r="G810">
        <v>-168.4016</v>
      </c>
      <c r="H810">
        <v>4.5927989999999896</v>
      </c>
      <c r="I810">
        <v>332.96550000000002</v>
      </c>
      <c r="J810">
        <v>-318.89870000000002</v>
      </c>
      <c r="K810">
        <v>1.10782</v>
      </c>
      <c r="L810">
        <v>368.00380000000001</v>
      </c>
      <c r="M810">
        <v>0.99990489999999999</v>
      </c>
      <c r="N810">
        <v>0</v>
      </c>
      <c r="O810">
        <v>-1.280546E-3</v>
      </c>
      <c r="P810">
        <v>0.99958329999999995</v>
      </c>
      <c r="Q810">
        <v>2.8620969999999999E-2</v>
      </c>
      <c r="R810">
        <v>3.7659030000000001E-3</v>
      </c>
      <c r="S810">
        <v>3.0018919999999998</v>
      </c>
      <c r="T810">
        <v>6.9390300000000002E-2</v>
      </c>
      <c r="U810">
        <v>-0.69772339999999999</v>
      </c>
      <c r="V810">
        <v>-5.0449800000000001E-3</v>
      </c>
      <c r="W810">
        <v>4.2347950000000002E-2</v>
      </c>
      <c r="X810">
        <v>0.99909020000000004</v>
      </c>
      <c r="Y810">
        <v>0.22508880000000001</v>
      </c>
      <c r="Z810">
        <v>2.5377659999999999E-3</v>
      </c>
      <c r="AA810">
        <v>0.97433499999999995</v>
      </c>
      <c r="AB810">
        <v>53</v>
      </c>
      <c r="AC810">
        <v>150.49709999999999</v>
      </c>
      <c r="AD810">
        <v>3.4849789999999898</v>
      </c>
      <c r="AE810">
        <v>-35.0382999999999</v>
      </c>
      <c r="AF810">
        <v>34.827819447801197</v>
      </c>
      <c r="AG810">
        <v>3.4849789999999898</v>
      </c>
      <c r="AH810">
        <v>150.465314710038</v>
      </c>
      <c r="AI810">
        <v>88.707354225360703</v>
      </c>
      <c r="AJ810">
        <v>76.967407912515398</v>
      </c>
      <c r="AK810">
        <v>154.48279197667901</v>
      </c>
      <c r="AL810">
        <v>87.572915424637003</v>
      </c>
      <c r="AM810">
        <v>90.289316825410296</v>
      </c>
      <c r="AN810">
        <v>1.00000001421422</v>
      </c>
    </row>
    <row r="811" spans="1:40" x14ac:dyDescent="0.25">
      <c r="A811" t="str">
        <f>"20190312160316276"</f>
        <v>20190312160316276</v>
      </c>
      <c r="B811" t="str">
        <f>"1552377796265485"</f>
        <v>1552377796265485</v>
      </c>
      <c r="C811" t="s">
        <v>40</v>
      </c>
      <c r="D811">
        <v>5.0907309999999999</v>
      </c>
      <c r="E811">
        <v>0.58918009999999998</v>
      </c>
      <c r="F811" t="s">
        <v>46</v>
      </c>
      <c r="G811">
        <v>-168.4016</v>
      </c>
      <c r="H811">
        <v>4.7554100000000004</v>
      </c>
      <c r="I811">
        <v>332.90370000000001</v>
      </c>
      <c r="J811">
        <v>-318.66370000000001</v>
      </c>
      <c r="K811">
        <v>1.107456</v>
      </c>
      <c r="L811">
        <v>368.00349999999997</v>
      </c>
      <c r="M811">
        <v>0.99989609999999995</v>
      </c>
      <c r="N811">
        <v>0</v>
      </c>
      <c r="O811">
        <v>-1.2790739999999901E-3</v>
      </c>
      <c r="P811">
        <v>0.99959469999999995</v>
      </c>
      <c r="Q811">
        <v>2.8205930000000001E-2</v>
      </c>
      <c r="R811">
        <v>3.8549809999999999E-3</v>
      </c>
      <c r="S811">
        <v>3.0018009999999999</v>
      </c>
      <c r="T811">
        <v>7.2754620000000006E-2</v>
      </c>
      <c r="U811">
        <v>-0.70010380000000005</v>
      </c>
      <c r="V811">
        <v>-5.1321159999999999E-3</v>
      </c>
      <c r="W811">
        <v>4.2553750000000001E-2</v>
      </c>
      <c r="X811">
        <v>0.999081</v>
      </c>
      <c r="Y811">
        <v>0.22582379999999999</v>
      </c>
      <c r="Z811">
        <v>2.6694399999999999E-3</v>
      </c>
      <c r="AA811">
        <v>0.97416449999999999</v>
      </c>
      <c r="AB811">
        <v>53</v>
      </c>
      <c r="AC811">
        <v>150.2621</v>
      </c>
      <c r="AD811">
        <v>3.6479539999999999</v>
      </c>
      <c r="AE811">
        <v>-35.099799999999902</v>
      </c>
      <c r="AF811">
        <v>34.888056523134502</v>
      </c>
      <c r="AG811">
        <v>3.6479539999999999</v>
      </c>
      <c r="AH811">
        <v>150.22291878244499</v>
      </c>
      <c r="AI811">
        <v>88.644973996556303</v>
      </c>
      <c r="AJ811">
        <v>76.9252974994005</v>
      </c>
      <c r="AK811">
        <v>154.264089741795</v>
      </c>
      <c r="AL811">
        <v>87.561113285610105</v>
      </c>
      <c r="AM811">
        <v>90.294316477292696</v>
      </c>
      <c r="AN811">
        <v>1.0000000024073401</v>
      </c>
    </row>
    <row r="812" spans="1:40" x14ac:dyDescent="0.25">
      <c r="A812" t="str">
        <f>"20190312160316287"</f>
        <v>20190312160316287</v>
      </c>
      <c r="B812" t="str">
        <f>"1552377796275244"</f>
        <v>1552377796275244</v>
      </c>
      <c r="C812" t="s">
        <v>40</v>
      </c>
      <c r="D812">
        <v>5.1675990000000001</v>
      </c>
      <c r="E812">
        <v>0.5897346</v>
      </c>
      <c r="F812" t="s">
        <v>46</v>
      </c>
      <c r="G812">
        <v>-168.40170000000001</v>
      </c>
      <c r="H812">
        <v>4.8876419999999996</v>
      </c>
      <c r="I812">
        <v>332.89249999999998</v>
      </c>
      <c r="J812">
        <v>-318.38220000000001</v>
      </c>
      <c r="K812">
        <v>1.107</v>
      </c>
      <c r="L812">
        <v>368.00319999999999</v>
      </c>
      <c r="M812">
        <v>0.99988460000000001</v>
      </c>
      <c r="N812">
        <v>0</v>
      </c>
      <c r="O812">
        <v>-1.277217E-3</v>
      </c>
      <c r="P812">
        <v>0.99961849999999997</v>
      </c>
      <c r="Q812">
        <v>2.7366789999999998E-2</v>
      </c>
      <c r="R812">
        <v>3.7505350000000002E-3</v>
      </c>
      <c r="S812">
        <v>3.0018009999999999</v>
      </c>
      <c r="T812">
        <v>7.5517299999999996E-2</v>
      </c>
      <c r="U812">
        <v>-0.70141600000000004</v>
      </c>
      <c r="V812">
        <v>-5.0263679999999998E-3</v>
      </c>
      <c r="W812">
        <v>4.2495619999999998E-2</v>
      </c>
      <c r="X812">
        <v>0.99908399999999997</v>
      </c>
      <c r="Y812">
        <v>0.2262245</v>
      </c>
      <c r="Z812">
        <v>2.7756579999999999E-3</v>
      </c>
      <c r="AA812">
        <v>0.97407129999999997</v>
      </c>
      <c r="AB812">
        <v>53</v>
      </c>
      <c r="AC812">
        <v>149.98050000000001</v>
      </c>
      <c r="AD812">
        <v>3.7806419999999998</v>
      </c>
      <c r="AE812">
        <v>-35.110700000000001</v>
      </c>
      <c r="AF812">
        <v>34.898068923872501</v>
      </c>
      <c r="AG812">
        <v>3.7806419999999998</v>
      </c>
      <c r="AH812">
        <v>149.93490495074801</v>
      </c>
      <c r="AI812">
        <v>88.593169308708198</v>
      </c>
      <c r="AJ812">
        <v>76.897417678516504</v>
      </c>
      <c r="AK812">
        <v>153.98910413122599</v>
      </c>
      <c r="AL812">
        <v>87.564446875967505</v>
      </c>
      <c r="AM812">
        <v>90.288251281147694</v>
      </c>
      <c r="AN812">
        <v>0.99999999057522704</v>
      </c>
    </row>
    <row r="813" spans="1:40" x14ac:dyDescent="0.25">
      <c r="A813" t="str">
        <f>"20190312160316300"</f>
        <v>20190312160316300</v>
      </c>
      <c r="B813" t="str">
        <f>"1552377796295742"</f>
        <v>1552377796295742</v>
      </c>
      <c r="C813" t="s">
        <v>40</v>
      </c>
      <c r="D813">
        <v>5.054792</v>
      </c>
      <c r="E813">
        <v>0.59055590000000002</v>
      </c>
      <c r="F813" t="s">
        <v>46</v>
      </c>
      <c r="G813">
        <v>-168.4016</v>
      </c>
      <c r="H813">
        <v>4.817653</v>
      </c>
      <c r="I813">
        <v>332.72539999999998</v>
      </c>
      <c r="J813">
        <v>-318.08109999999999</v>
      </c>
      <c r="K813">
        <v>1.1063510000000001</v>
      </c>
      <c r="L813">
        <v>368.00279999999998</v>
      </c>
      <c r="M813">
        <v>0.99987099999999995</v>
      </c>
      <c r="N813">
        <v>0</v>
      </c>
      <c r="O813">
        <v>-1.274933E-3</v>
      </c>
      <c r="P813">
        <v>0.99964120000000001</v>
      </c>
      <c r="Q813">
        <v>2.6512480000000001E-2</v>
      </c>
      <c r="R813">
        <v>3.8682859999999999E-3</v>
      </c>
      <c r="S813">
        <v>3.0017399999999999</v>
      </c>
      <c r="T813">
        <v>7.426584E-2</v>
      </c>
      <c r="U813">
        <v>-0.70605469999999904</v>
      </c>
      <c r="V813">
        <v>-5.1416509999999997E-3</v>
      </c>
      <c r="W813">
        <v>4.2524699999999999E-2</v>
      </c>
      <c r="X813">
        <v>0.99908220000000003</v>
      </c>
      <c r="Y813">
        <v>0.22765949999999999</v>
      </c>
      <c r="Z813">
        <v>2.7468169999999999E-3</v>
      </c>
      <c r="AA813">
        <v>0.97373690000000002</v>
      </c>
      <c r="AB813">
        <v>52</v>
      </c>
      <c r="AC813">
        <v>149.67949999999999</v>
      </c>
      <c r="AD813">
        <v>3.7113019999999999</v>
      </c>
      <c r="AE813">
        <v>-35.2774</v>
      </c>
      <c r="AF813">
        <v>35.066091686371699</v>
      </c>
      <c r="AG813">
        <v>3.7113019999999999</v>
      </c>
      <c r="AH813">
        <v>149.637205962314</v>
      </c>
      <c r="AI813">
        <v>88.616700908756201</v>
      </c>
      <c r="AJ813">
        <v>76.811250728004595</v>
      </c>
      <c r="AK813">
        <v>153.73580570869001</v>
      </c>
      <c r="AL813">
        <v>87.562779265564899</v>
      </c>
      <c r="AM813">
        <v>90.294862926465797</v>
      </c>
      <c r="AN813">
        <v>1.00000001452096</v>
      </c>
    </row>
    <row r="814" spans="1:40" x14ac:dyDescent="0.25">
      <c r="A814" t="str">
        <f>"20190312160316312"</f>
        <v>20190312160316312</v>
      </c>
      <c r="B814" t="str">
        <f>"1552377796305502"</f>
        <v>1552377796305502</v>
      </c>
      <c r="C814" t="s">
        <v>40</v>
      </c>
      <c r="D814">
        <v>5.0487419999999998</v>
      </c>
      <c r="E814">
        <v>0.59055590000000002</v>
      </c>
      <c r="F814" t="s">
        <v>47</v>
      </c>
      <c r="G814">
        <v>-231.785</v>
      </c>
      <c r="H814">
        <v>3.330708</v>
      </c>
      <c r="I814">
        <v>347.53199999999998</v>
      </c>
      <c r="J814">
        <v>-317.8039</v>
      </c>
      <c r="K814">
        <v>1.1056870000000001</v>
      </c>
      <c r="L814">
        <v>368.00240000000002</v>
      </c>
      <c r="M814">
        <v>0.99985749999999995</v>
      </c>
      <c r="N814">
        <v>0</v>
      </c>
      <c r="O814">
        <v>-1.2729110000000001E-3</v>
      </c>
      <c r="P814">
        <v>0.99966189999999999</v>
      </c>
      <c r="Q814">
        <v>2.5711999999999999E-2</v>
      </c>
      <c r="R814">
        <v>3.872983E-3</v>
      </c>
      <c r="S814">
        <v>3.00177</v>
      </c>
      <c r="T814">
        <v>7.7375890000000003E-2</v>
      </c>
      <c r="U814">
        <v>-0.71206669999999905</v>
      </c>
      <c r="V814">
        <v>-5.1445060000000001E-3</v>
      </c>
      <c r="W814">
        <v>4.2536600000000001E-2</v>
      </c>
      <c r="X814">
        <v>0.99908169999999996</v>
      </c>
      <c r="Y814">
        <v>0.2294998</v>
      </c>
      <c r="Z814">
        <v>2.8845749999999999E-3</v>
      </c>
      <c r="AA814">
        <v>0.97330450000000002</v>
      </c>
      <c r="AB814">
        <v>52</v>
      </c>
      <c r="AC814">
        <v>86.018900000000002</v>
      </c>
      <c r="AD814">
        <v>2.2250209999999999</v>
      </c>
      <c r="AE814">
        <v>-20.470400000000001</v>
      </c>
      <c r="AF814">
        <v>20.347988680468099</v>
      </c>
      <c r="AG814">
        <v>2.2250209999999999</v>
      </c>
      <c r="AH814">
        <v>85.990439875127194</v>
      </c>
      <c r="AI814">
        <v>88.557605488181906</v>
      </c>
      <c r="AJ814">
        <v>76.686931800654904</v>
      </c>
      <c r="AK814">
        <v>88.393139505895903</v>
      </c>
      <c r="AL814">
        <v>87.562096880158194</v>
      </c>
      <c r="AM814">
        <v>90.295026799495105</v>
      </c>
      <c r="AN814">
        <v>1.00000003577821</v>
      </c>
    </row>
    <row r="815" spans="1:40" x14ac:dyDescent="0.25">
      <c r="A815" t="str">
        <f>"20190312160316324"</f>
        <v>20190312160316324</v>
      </c>
      <c r="B815" t="str">
        <f>"1552377796315260"</f>
        <v>1552377796315260</v>
      </c>
      <c r="C815" t="s">
        <v>40</v>
      </c>
      <c r="D815">
        <v>5.7598440000000002</v>
      </c>
      <c r="E815">
        <v>0.60373339999999998</v>
      </c>
      <c r="F815" t="s">
        <v>46</v>
      </c>
      <c r="G815">
        <v>-168.4016</v>
      </c>
      <c r="H815">
        <v>4.8426869999999997</v>
      </c>
      <c r="I815">
        <v>332.57929999999999</v>
      </c>
      <c r="J815">
        <v>-317.51170000000002</v>
      </c>
      <c r="K815">
        <v>1.1048720000000001</v>
      </c>
      <c r="L815">
        <v>368.00200000000001</v>
      </c>
      <c r="M815">
        <v>0.99984280000000003</v>
      </c>
      <c r="N815">
        <v>0</v>
      </c>
      <c r="O815">
        <v>-1.2708820000000001E-3</v>
      </c>
      <c r="P815">
        <v>0.99968460000000003</v>
      </c>
      <c r="Q815">
        <v>2.4820109999999999E-2</v>
      </c>
      <c r="R815">
        <v>3.867639E-3</v>
      </c>
      <c r="S815">
        <v>3.0018310000000001</v>
      </c>
      <c r="T815">
        <v>7.5084919999999999E-2</v>
      </c>
      <c r="U815">
        <v>-0.711731</v>
      </c>
      <c r="V815">
        <v>-5.136893E-3</v>
      </c>
      <c r="W815">
        <v>4.2499929999999998E-2</v>
      </c>
      <c r="X815">
        <v>0.99908330000000001</v>
      </c>
      <c r="Y815">
        <v>0.22939850000000001</v>
      </c>
      <c r="Z815">
        <v>2.7979739999999999E-3</v>
      </c>
      <c r="AA815">
        <v>0.97332859999999999</v>
      </c>
      <c r="AB815">
        <v>52</v>
      </c>
      <c r="AC815">
        <v>149.11009999999999</v>
      </c>
      <c r="AD815">
        <v>3.7378149999999999</v>
      </c>
      <c r="AE815">
        <v>-35.422699999999899</v>
      </c>
      <c r="AF815">
        <v>35.212195815739399</v>
      </c>
      <c r="AG815">
        <v>3.7378149999999999</v>
      </c>
      <c r="AH815">
        <v>149.066338427522</v>
      </c>
      <c r="AI815">
        <v>88.602074512030697</v>
      </c>
      <c r="AJ815">
        <v>76.709316931554994</v>
      </c>
      <c r="AK815">
        <v>153.21437023767899</v>
      </c>
      <c r="AL815">
        <v>87.564199818638102</v>
      </c>
      <c r="AM815">
        <v>90.294589745591793</v>
      </c>
      <c r="AN815">
        <v>1.00000003602929</v>
      </c>
    </row>
    <row r="816" spans="1:40" x14ac:dyDescent="0.25">
      <c r="A816" t="str">
        <f>"20190312160316337"</f>
        <v>20190312160316337</v>
      </c>
      <c r="B816" t="str">
        <f>"1552377796325021"</f>
        <v>1552377796325021</v>
      </c>
      <c r="C816" t="s">
        <v>40</v>
      </c>
      <c r="D816">
        <v>5.3189849999999996</v>
      </c>
      <c r="E816">
        <v>0.60311409999999999</v>
      </c>
      <c r="F816" t="s">
        <v>43</v>
      </c>
      <c r="G816">
        <v>-256.84120000000001</v>
      </c>
      <c r="H816">
        <v>-0.05</v>
      </c>
      <c r="I816">
        <v>351.35849999999999</v>
      </c>
      <c r="J816">
        <v>-317.23559999999998</v>
      </c>
      <c r="K816">
        <v>1.1039540000000001</v>
      </c>
      <c r="L816">
        <v>368.00170000000003</v>
      </c>
      <c r="M816">
        <v>0.99982930000000003</v>
      </c>
      <c r="N816">
        <v>0</v>
      </c>
      <c r="O816">
        <v>-1.269299E-3</v>
      </c>
      <c r="P816">
        <v>0.99970870000000001</v>
      </c>
      <c r="Q816">
        <v>2.3885139999999999E-2</v>
      </c>
      <c r="R816">
        <v>3.503029E-3</v>
      </c>
      <c r="S816">
        <v>3.0055239999999999</v>
      </c>
      <c r="T816">
        <v>-5.7210560000000001E-2</v>
      </c>
      <c r="U816">
        <v>-0.82449340000000004</v>
      </c>
      <c r="V816">
        <v>-4.7705780000000001E-3</v>
      </c>
      <c r="W816">
        <v>4.231364E-2</v>
      </c>
      <c r="X816">
        <v>0.99909300000000001</v>
      </c>
      <c r="Y816">
        <v>0.26328359999999901</v>
      </c>
      <c r="Z816">
        <v>-2.4364360000000002E-3</v>
      </c>
      <c r="AA816">
        <v>0.9647154</v>
      </c>
      <c r="AB816">
        <v>52</v>
      </c>
      <c r="AC816">
        <v>60.394399999999898</v>
      </c>
      <c r="AD816">
        <v>-1.1539539999999999</v>
      </c>
      <c r="AE816">
        <v>-16.6432</v>
      </c>
      <c r="AF816">
        <v>16.560895755825701</v>
      </c>
      <c r="AG816">
        <v>-1.1539539999999999</v>
      </c>
      <c r="AH816">
        <v>60.3949875781393</v>
      </c>
      <c r="AI816">
        <v>91.055645928426102</v>
      </c>
      <c r="AJ816">
        <v>74.665850680182899</v>
      </c>
      <c r="AK816">
        <v>62.635049314525503</v>
      </c>
      <c r="AL816">
        <v>87.574883002520906</v>
      </c>
      <c r="AM816">
        <v>90.273580045051304</v>
      </c>
      <c r="AN816">
        <v>1.0000000125967501</v>
      </c>
    </row>
    <row r="817" spans="1:40" x14ac:dyDescent="0.25">
      <c r="A817" t="str">
        <f>"20190312160316354"</f>
        <v>20190312160316354</v>
      </c>
      <c r="B817" t="str">
        <f>"1552377796345517"</f>
        <v>1552377796345517</v>
      </c>
      <c r="C817" t="s">
        <v>40</v>
      </c>
      <c r="D817">
        <v>5.1070099999999998</v>
      </c>
      <c r="E817">
        <v>0.60176549999999995</v>
      </c>
      <c r="F817" t="s">
        <v>48</v>
      </c>
      <c r="G817">
        <v>-245.3451</v>
      </c>
      <c r="H817">
        <v>0.46279120000000001</v>
      </c>
      <c r="I817">
        <v>348.4196</v>
      </c>
      <c r="J817">
        <v>-316.8374</v>
      </c>
      <c r="K817">
        <v>1.102481</v>
      </c>
      <c r="L817">
        <v>368.00119999999998</v>
      </c>
      <c r="M817">
        <v>0.99981070000000005</v>
      </c>
      <c r="N817">
        <v>0</v>
      </c>
      <c r="O817">
        <v>-1.26753E-3</v>
      </c>
      <c r="P817">
        <v>0.99973299999999998</v>
      </c>
      <c r="Q817">
        <v>2.2871320000000001E-2</v>
      </c>
      <c r="R817">
        <v>3.3404709999999998E-3</v>
      </c>
      <c r="S817">
        <v>3.0043950000000001</v>
      </c>
      <c r="T817">
        <v>-2.679169E-2</v>
      </c>
      <c r="U817">
        <v>-0.81835939999999996</v>
      </c>
      <c r="V817">
        <v>-4.6062250000000002E-3</v>
      </c>
      <c r="W817">
        <v>4.2283630000000003E-2</v>
      </c>
      <c r="X817">
        <v>0.99909499999999996</v>
      </c>
      <c r="Y817">
        <v>0.26157920000000001</v>
      </c>
      <c r="Z817">
        <v>-1.134326E-3</v>
      </c>
      <c r="AA817">
        <v>0.96518139999999997</v>
      </c>
      <c r="AB817">
        <v>52</v>
      </c>
      <c r="AC817">
        <v>71.4923</v>
      </c>
      <c r="AD817">
        <v>-0.63968979999999998</v>
      </c>
      <c r="AE817">
        <v>-19.581599999999899</v>
      </c>
      <c r="AF817">
        <v>19.489497086722402</v>
      </c>
      <c r="AG817">
        <v>-0.63968979999999998</v>
      </c>
      <c r="AH817">
        <v>71.511741738625403</v>
      </c>
      <c r="AI817">
        <v>90.494476948863394</v>
      </c>
      <c r="AJ817">
        <v>74.755102310743297</v>
      </c>
      <c r="AK817">
        <v>74.122728674985098</v>
      </c>
      <c r="AL817">
        <v>87.576603887874796</v>
      </c>
      <c r="AM817">
        <v>90.264154441860398</v>
      </c>
      <c r="AN817">
        <v>0.99999997084986303</v>
      </c>
    </row>
    <row r="818" spans="1:40" x14ac:dyDescent="0.25">
      <c r="A818" t="str">
        <f>"20190312160316366"</f>
        <v>20190312160316366</v>
      </c>
      <c r="B818" t="str">
        <f>"1552377796355277"</f>
        <v>1552377796355277</v>
      </c>
      <c r="C818" t="s">
        <v>40</v>
      </c>
      <c r="D818">
        <v>4.9965099999999998</v>
      </c>
      <c r="E818">
        <v>0.60033069999999999</v>
      </c>
      <c r="F818" t="s">
        <v>48</v>
      </c>
      <c r="G818">
        <v>-244.2747</v>
      </c>
      <c r="H818">
        <v>0.97012109999999996</v>
      </c>
      <c r="I818">
        <v>348.51170000000002</v>
      </c>
      <c r="J818">
        <v>-316.53800000000001</v>
      </c>
      <c r="K818">
        <v>1.1012569999999999</v>
      </c>
      <c r="L818">
        <v>368.00080000000003</v>
      </c>
      <c r="M818">
        <v>0.99979779999999996</v>
      </c>
      <c r="N818">
        <v>0</v>
      </c>
      <c r="O818">
        <v>-1.266292E-3</v>
      </c>
      <c r="P818">
        <v>0.99975219999999998</v>
      </c>
      <c r="Q818">
        <v>2.2082359999999999E-2</v>
      </c>
      <c r="R818">
        <v>2.8740269999999999E-3</v>
      </c>
      <c r="S818">
        <v>3.0036010000000002</v>
      </c>
      <c r="T818">
        <v>-5.4755209999999997E-3</v>
      </c>
      <c r="U818">
        <v>-0.80673219999999901</v>
      </c>
      <c r="V818">
        <v>-4.1393719999999997E-3</v>
      </c>
      <c r="W818">
        <v>4.2142609999999997E-2</v>
      </c>
      <c r="X818">
        <v>0.99910299999999996</v>
      </c>
      <c r="Y818">
        <v>0.25817109999999999</v>
      </c>
      <c r="Z818">
        <v>-2.2895479999999999E-4</v>
      </c>
      <c r="AA818">
        <v>0.96609920000000005</v>
      </c>
      <c r="AB818">
        <v>52</v>
      </c>
      <c r="AC818">
        <v>72.263300000000001</v>
      </c>
      <c r="AD818">
        <v>-0.131135899999999</v>
      </c>
      <c r="AE818">
        <v>-19.489100000000001</v>
      </c>
      <c r="AF818">
        <v>19.397499949637702</v>
      </c>
      <c r="AG818">
        <v>-0.131135899999999</v>
      </c>
      <c r="AH818">
        <v>72.287703991160498</v>
      </c>
      <c r="AI818">
        <v>90.100387803700499</v>
      </c>
      <c r="AJ818">
        <v>74.979245335894404</v>
      </c>
      <c r="AK818">
        <v>74.8451224144506</v>
      </c>
      <c r="AL818">
        <v>87.584690943753898</v>
      </c>
      <c r="AM818">
        <v>90.237380118401106</v>
      </c>
      <c r="AN818">
        <v>0.99999996929358204</v>
      </c>
    </row>
    <row r="819" spans="1:40" x14ac:dyDescent="0.25">
      <c r="A819" t="str">
        <f>"20190312160316378"</f>
        <v>20190312160316378</v>
      </c>
      <c r="B819" t="str">
        <f>"1552377796365037"</f>
        <v>1552377796365037</v>
      </c>
      <c r="C819" t="s">
        <v>40</v>
      </c>
      <c r="D819">
        <v>5.3286290000000003</v>
      </c>
      <c r="E819">
        <v>0.59802819999999901</v>
      </c>
      <c r="F819" t="s">
        <v>48</v>
      </c>
      <c r="G819">
        <v>-243.00280000000001</v>
      </c>
      <c r="H819">
        <v>1.340986</v>
      </c>
      <c r="I819">
        <v>348.51170000000002</v>
      </c>
      <c r="J819">
        <v>-316.25360000000001</v>
      </c>
      <c r="K819">
        <v>1.0999509999999999</v>
      </c>
      <c r="L819">
        <v>368.00040000000001</v>
      </c>
      <c r="M819">
        <v>0.99978829999999996</v>
      </c>
      <c r="N819">
        <v>0</v>
      </c>
      <c r="O819">
        <v>-1.2654840000000001E-3</v>
      </c>
      <c r="P819">
        <v>0.99975930000000002</v>
      </c>
      <c r="Q819">
        <v>2.1760390000000001E-2</v>
      </c>
      <c r="R819">
        <v>2.8415519999999998E-3</v>
      </c>
      <c r="S819">
        <v>3.0028079999999999</v>
      </c>
      <c r="T819">
        <v>9.7925660000000008E-3</v>
      </c>
      <c r="U819">
        <v>-0.79583740000000003</v>
      </c>
      <c r="V819">
        <v>-4.1055199999999997E-3</v>
      </c>
      <c r="W819">
        <v>4.2292679999999999E-2</v>
      </c>
      <c r="X819">
        <v>0.99909680000000001</v>
      </c>
      <c r="Y819">
        <v>0.2549614</v>
      </c>
      <c r="Z819">
        <v>4.046187E-4</v>
      </c>
      <c r="AA819">
        <v>0.96695109999999995</v>
      </c>
      <c r="AB819">
        <v>52</v>
      </c>
      <c r="AC819">
        <v>73.250799999999998</v>
      </c>
      <c r="AD819">
        <v>0.241034999999999</v>
      </c>
      <c r="AE819">
        <v>-19.488699999999898</v>
      </c>
      <c r="AF819">
        <v>19.395770990647801</v>
      </c>
      <c r="AG819">
        <v>0.241034999999999</v>
      </c>
      <c r="AH819">
        <v>73.274668215068004</v>
      </c>
      <c r="AI819">
        <v>89.817802603746699</v>
      </c>
      <c r="AJ819">
        <v>75.173859610131998</v>
      </c>
      <c r="AK819">
        <v>75.798621572039096</v>
      </c>
      <c r="AL819">
        <v>87.576084896972404</v>
      </c>
      <c r="AM819">
        <v>90.235440294385398</v>
      </c>
      <c r="AN819">
        <v>0.99999997092314596</v>
      </c>
    </row>
    <row r="820" spans="1:40" x14ac:dyDescent="0.25">
      <c r="A820" t="str">
        <f>"20190312160316392"</f>
        <v>20190312160316392</v>
      </c>
      <c r="B820" t="str">
        <f>"1552377796385533"</f>
        <v>1552377796385533</v>
      </c>
      <c r="C820" t="s">
        <v>40</v>
      </c>
      <c r="D820">
        <v>5.1332329999999997</v>
      </c>
      <c r="E820">
        <v>0.59881049999999902</v>
      </c>
      <c r="F820" t="s">
        <v>48</v>
      </c>
      <c r="G820">
        <v>-241.02420000000001</v>
      </c>
      <c r="H820">
        <v>1.1485080000000001</v>
      </c>
      <c r="I820">
        <v>348.51170000000002</v>
      </c>
      <c r="J820">
        <v>-315.94380000000001</v>
      </c>
      <c r="K820">
        <v>1.098474</v>
      </c>
      <c r="L820">
        <v>368.00009999999997</v>
      </c>
      <c r="M820">
        <v>0.99977890000000003</v>
      </c>
      <c r="N820">
        <v>0</v>
      </c>
      <c r="O820">
        <v>-1.2646630000000001E-3</v>
      </c>
      <c r="P820">
        <v>0.99977050000000001</v>
      </c>
      <c r="Q820">
        <v>2.1277460000000002E-2</v>
      </c>
      <c r="R820">
        <v>2.476794E-3</v>
      </c>
      <c r="S820">
        <v>3.0028990000000002</v>
      </c>
      <c r="T820">
        <v>1.941323E-3</v>
      </c>
      <c r="U820">
        <v>-0.77792359999999905</v>
      </c>
      <c r="V820">
        <v>-3.7401209999999999E-3</v>
      </c>
      <c r="W820">
        <v>4.2259329999999998E-2</v>
      </c>
      <c r="X820">
        <v>0.99909970000000003</v>
      </c>
      <c r="Y820">
        <v>0.24955440000000001</v>
      </c>
      <c r="Z820" s="1">
        <v>7.8552089999999996E-5</v>
      </c>
      <c r="AA820">
        <v>0.96836080000000002</v>
      </c>
      <c r="AB820">
        <v>52</v>
      </c>
      <c r="AC820">
        <v>74.919600000000003</v>
      </c>
      <c r="AD820">
        <v>5.0034000000000099E-2</v>
      </c>
      <c r="AE820">
        <v>-19.488399999999899</v>
      </c>
      <c r="AF820">
        <v>19.393607383357299</v>
      </c>
      <c r="AG820">
        <v>5.0034000000000099E-2</v>
      </c>
      <c r="AH820">
        <v>74.944160443499598</v>
      </c>
      <c r="AI820">
        <v>89.9629681756781</v>
      </c>
      <c r="AJ820">
        <v>75.491595023344701</v>
      </c>
      <c r="AK820">
        <v>77.4128005908711</v>
      </c>
      <c r="AL820">
        <v>87.577997552202007</v>
      </c>
      <c r="AM820">
        <v>90.214485248230403</v>
      </c>
      <c r="AN820">
        <v>1.0000000250086101</v>
      </c>
    </row>
    <row r="821" spans="1:40" x14ac:dyDescent="0.25">
      <c r="A821" t="str">
        <f>"20190312160316408"</f>
        <v>20190312160316408</v>
      </c>
      <c r="B821" t="str">
        <f>"1552377796395293"</f>
        <v>1552377796395293</v>
      </c>
      <c r="C821" t="s">
        <v>40</v>
      </c>
      <c r="D821">
        <v>5.4160050000000002</v>
      </c>
      <c r="E821">
        <v>0.59882409999999997</v>
      </c>
      <c r="F821" t="s">
        <v>48</v>
      </c>
      <c r="G821">
        <v>-241.41050000000001</v>
      </c>
      <c r="H821">
        <v>1.1847319999999999</v>
      </c>
      <c r="I821">
        <v>348.51170000000002</v>
      </c>
      <c r="J821">
        <v>-315.55799999999999</v>
      </c>
      <c r="K821">
        <v>1.096517</v>
      </c>
      <c r="L821">
        <v>367.99959999999999</v>
      </c>
      <c r="M821">
        <v>0.99977000000000005</v>
      </c>
      <c r="N821">
        <v>0</v>
      </c>
      <c r="O821">
        <v>-1.263747E-3</v>
      </c>
      <c r="P821">
        <v>0.99977510000000003</v>
      </c>
      <c r="Q821">
        <v>2.107595E-2</v>
      </c>
      <c r="R821">
        <v>2.4610589999999998E-3</v>
      </c>
      <c r="S821">
        <v>3.0025940000000002</v>
      </c>
      <c r="T821">
        <v>3.4780499999999999E-3</v>
      </c>
      <c r="U821">
        <v>-0.78509519999999899</v>
      </c>
      <c r="V821">
        <v>-3.7234130000000001E-3</v>
      </c>
      <c r="W821">
        <v>4.2477050000000002E-2</v>
      </c>
      <c r="X821">
        <v>0.99909049999999999</v>
      </c>
      <c r="Y821">
        <v>0.25174459999999999</v>
      </c>
      <c r="Z821">
        <v>1.4195359999999999E-4</v>
      </c>
      <c r="AA821">
        <v>0.96779369999999998</v>
      </c>
      <c r="AB821">
        <v>52</v>
      </c>
      <c r="AC821">
        <v>74.147499999999894</v>
      </c>
      <c r="AD821">
        <v>8.8214999999999905E-2</v>
      </c>
      <c r="AE821">
        <v>-19.4878999999999</v>
      </c>
      <c r="AF821">
        <v>19.394133591092299</v>
      </c>
      <c r="AG821">
        <v>8.8214999999999905E-2</v>
      </c>
      <c r="AH821">
        <v>74.171975982639907</v>
      </c>
      <c r="AI821">
        <v>89.934072845364298</v>
      </c>
      <c r="AJ821">
        <v>75.346640530358201</v>
      </c>
      <c r="AK821">
        <v>76.665652157955805</v>
      </c>
      <c r="AL821">
        <v>87.565511831914705</v>
      </c>
      <c r="AM821">
        <v>90.213529067301096</v>
      </c>
      <c r="AN821">
        <v>0.99999999538565998</v>
      </c>
    </row>
    <row r="822" spans="1:40" x14ac:dyDescent="0.25">
      <c r="A822" t="str">
        <f>"20190312160316421"</f>
        <v>20190312160316421</v>
      </c>
      <c r="B822" t="str">
        <f>"1552377796415788"</f>
        <v>1552377796415788</v>
      </c>
      <c r="C822" t="s">
        <v>40</v>
      </c>
      <c r="D822">
        <v>5.7460329999999997</v>
      </c>
      <c r="E822">
        <v>0.60023260000000001</v>
      </c>
      <c r="F822" t="s">
        <v>48</v>
      </c>
      <c r="G822">
        <v>-241.09350000000001</v>
      </c>
      <c r="H822">
        <v>0.75699399999999994</v>
      </c>
      <c r="I822">
        <v>348.51170000000002</v>
      </c>
      <c r="J822">
        <v>-315.24950000000001</v>
      </c>
      <c r="K822">
        <v>1.094849</v>
      </c>
      <c r="L822">
        <v>367.99919999999997</v>
      </c>
      <c r="M822">
        <v>0.99976569999999998</v>
      </c>
      <c r="N822">
        <v>0</v>
      </c>
      <c r="O822">
        <v>-1.262446E-3</v>
      </c>
      <c r="P822">
        <v>0.99978909999999999</v>
      </c>
      <c r="Q822">
        <v>2.040753E-2</v>
      </c>
      <c r="R822">
        <v>2.345991E-3</v>
      </c>
      <c r="S822">
        <v>3.0029300000000001</v>
      </c>
      <c r="T822">
        <v>-1.3688799999999999E-2</v>
      </c>
      <c r="U822">
        <v>-0.7858887</v>
      </c>
      <c r="V822">
        <v>-3.6072410000000002E-3</v>
      </c>
      <c r="W822">
        <v>4.2008740000000003E-2</v>
      </c>
      <c r="X822">
        <v>0.99911079999999997</v>
      </c>
      <c r="Y822">
        <v>0.25195630000000002</v>
      </c>
      <c r="Z822">
        <v>-5.5909579999999996E-4</v>
      </c>
      <c r="AA822">
        <v>0.9677384</v>
      </c>
      <c r="AB822">
        <v>52</v>
      </c>
      <c r="AC822">
        <v>74.156000000000006</v>
      </c>
      <c r="AD822">
        <v>-0.33785500000000002</v>
      </c>
      <c r="AE822">
        <v>-19.487499999999901</v>
      </c>
      <c r="AF822">
        <v>19.393468103300901</v>
      </c>
      <c r="AG822">
        <v>-0.33785500000000002</v>
      </c>
      <c r="AH822">
        <v>74.179108257129201</v>
      </c>
      <c r="AI822">
        <v>90.252470995002994</v>
      </c>
      <c r="AJ822">
        <v>75.348469946781506</v>
      </c>
      <c r="AK822">
        <v>76.673077758087103</v>
      </c>
      <c r="AL822">
        <v>87.592368167646498</v>
      </c>
      <c r="AM822">
        <v>90.206862729284396</v>
      </c>
      <c r="AN822">
        <v>1.0000000685503201</v>
      </c>
    </row>
    <row r="823" spans="1:40" x14ac:dyDescent="0.25">
      <c r="A823" t="str">
        <f>"20190312160316434"</f>
        <v>20190312160316434</v>
      </c>
      <c r="B823" t="str">
        <f>"1552377796425550"</f>
        <v>1552377796425550</v>
      </c>
      <c r="C823" t="s">
        <v>40</v>
      </c>
      <c r="D823">
        <v>5.4873529999999997</v>
      </c>
      <c r="E823">
        <v>0.60022259999999905</v>
      </c>
      <c r="F823" t="s">
        <v>48</v>
      </c>
      <c r="G823">
        <v>-241.9495</v>
      </c>
      <c r="H823">
        <v>0.24371119999999999</v>
      </c>
      <c r="I823">
        <v>348.51170000000002</v>
      </c>
      <c r="J823">
        <v>-314.96609999999998</v>
      </c>
      <c r="K823">
        <v>1.0932809999999999</v>
      </c>
      <c r="L823">
        <v>367.99880000000002</v>
      </c>
      <c r="M823">
        <v>0.9997627</v>
      </c>
      <c r="N823">
        <v>0</v>
      </c>
      <c r="O823">
        <v>-1.261037E-3</v>
      </c>
      <c r="P823">
        <v>0.99980100000000005</v>
      </c>
      <c r="Q823">
        <v>1.9842430000000001E-2</v>
      </c>
      <c r="R823">
        <v>2.1354109999999998E-3</v>
      </c>
      <c r="S823">
        <v>3.0032040000000002</v>
      </c>
      <c r="T823">
        <v>-3.4869070000000002E-2</v>
      </c>
      <c r="U823">
        <v>-0.79843140000000001</v>
      </c>
      <c r="V823">
        <v>-3.3952969999999998E-3</v>
      </c>
      <c r="W823">
        <v>4.1588060000000003E-2</v>
      </c>
      <c r="X823">
        <v>0.99912909999999999</v>
      </c>
      <c r="Y823">
        <v>0.25569950000000002</v>
      </c>
      <c r="Z823">
        <v>-1.4446319999999999E-3</v>
      </c>
      <c r="AA823">
        <v>0.96675529999999998</v>
      </c>
      <c r="AB823">
        <v>52</v>
      </c>
      <c r="AC823">
        <v>73.016599999999897</v>
      </c>
      <c r="AD823">
        <v>-0.84956979999999904</v>
      </c>
      <c r="AE823">
        <v>-19.487100000000002</v>
      </c>
      <c r="AF823">
        <v>19.392535284148799</v>
      </c>
      <c r="AG823">
        <v>-0.84956979999999904</v>
      </c>
      <c r="AH823">
        <v>73.0318920276261</v>
      </c>
      <c r="AI823">
        <v>90.644162890438807</v>
      </c>
      <c r="AJ823">
        <v>75.129126198210898</v>
      </c>
      <c r="AK823">
        <v>75.567515816830095</v>
      </c>
      <c r="AL823">
        <v>87.616492337744702</v>
      </c>
      <c r="AM823">
        <v>90.194705008045901</v>
      </c>
      <c r="AN823">
        <v>1.0000000266215401</v>
      </c>
    </row>
    <row r="824" spans="1:40" x14ac:dyDescent="0.25">
      <c r="A824" t="str">
        <f>"20190312160316452"</f>
        <v>20190312160316452</v>
      </c>
      <c r="B824" t="str">
        <f>"1552377796445069"</f>
        <v>1552377796445069</v>
      </c>
      <c r="C824" t="s">
        <v>40</v>
      </c>
      <c r="D824">
        <v>5.4454570000000002</v>
      </c>
      <c r="E824">
        <v>0.60104859999999904</v>
      </c>
      <c r="F824" t="s">
        <v>43</v>
      </c>
      <c r="G824">
        <v>-240.67760000000001</v>
      </c>
      <c r="H824">
        <v>-0.05</v>
      </c>
      <c r="I824">
        <v>348.21839999999997</v>
      </c>
      <c r="J824">
        <v>-314.50630000000001</v>
      </c>
      <c r="K824">
        <v>1.0906800000000001</v>
      </c>
      <c r="L824">
        <v>367.99829999999997</v>
      </c>
      <c r="M824">
        <v>0.99975890000000001</v>
      </c>
      <c r="N824">
        <v>0</v>
      </c>
      <c r="O824">
        <v>-1.257279E-3</v>
      </c>
      <c r="P824">
        <v>0.99981209999999998</v>
      </c>
      <c r="Q824">
        <v>1.931683E-2</v>
      </c>
      <c r="R824">
        <v>1.69593E-3</v>
      </c>
      <c r="S824">
        <v>3.0032350000000001</v>
      </c>
      <c r="T824">
        <v>-4.6218990000000001E-2</v>
      </c>
      <c r="U824">
        <v>-0.79965209999999998</v>
      </c>
      <c r="V824">
        <v>-2.9522680000000001E-3</v>
      </c>
      <c r="W824">
        <v>4.123073E-2</v>
      </c>
      <c r="X824">
        <v>0.99914530000000001</v>
      </c>
      <c r="Y824">
        <v>0.25605539999999999</v>
      </c>
      <c r="Z824">
        <v>-1.9174470000000001E-3</v>
      </c>
      <c r="AA824">
        <v>0.96666019999999997</v>
      </c>
      <c r="AB824">
        <v>52</v>
      </c>
      <c r="AC824">
        <v>73.828699999999998</v>
      </c>
      <c r="AD824">
        <v>-1.1406799999999999</v>
      </c>
      <c r="AE824">
        <v>-19.779900000000001</v>
      </c>
      <c r="AF824">
        <v>19.682654923780799</v>
      </c>
      <c r="AG824">
        <v>-1.1406799999999999</v>
      </c>
      <c r="AH824">
        <v>73.837070975702204</v>
      </c>
      <c r="AI824">
        <v>90.855210587900004</v>
      </c>
      <c r="AJ824">
        <v>75.073821271346702</v>
      </c>
      <c r="AK824">
        <v>76.423956361745098</v>
      </c>
      <c r="AL824">
        <v>87.636983374256602</v>
      </c>
      <c r="AM824">
        <v>90.169296702006207</v>
      </c>
      <c r="AN824">
        <v>1.00000000974738</v>
      </c>
    </row>
    <row r="825" spans="1:40" x14ac:dyDescent="0.25">
      <c r="A825" t="str">
        <f>"20190312160316463"</f>
        <v>20190312160316463</v>
      </c>
      <c r="B825" t="str">
        <f>"1552377796455805"</f>
        <v>1552377796455805</v>
      </c>
      <c r="C825" t="s">
        <v>40</v>
      </c>
      <c r="D825">
        <v>5.0175929999999997</v>
      </c>
      <c r="E825">
        <v>0.60138179999999997</v>
      </c>
      <c r="F825" t="s">
        <v>43</v>
      </c>
      <c r="G825">
        <v>-257.55130000000003</v>
      </c>
      <c r="H825">
        <v>-0.05</v>
      </c>
      <c r="I825">
        <v>352.6653</v>
      </c>
      <c r="J825">
        <v>-314.26089999999999</v>
      </c>
      <c r="K825">
        <v>1.0892729999999999</v>
      </c>
      <c r="L825">
        <v>367.99799999999999</v>
      </c>
      <c r="M825">
        <v>0.99975720000000001</v>
      </c>
      <c r="N825">
        <v>0</v>
      </c>
      <c r="O825">
        <v>-1.255468E-3</v>
      </c>
      <c r="P825">
        <v>0.99981419999999999</v>
      </c>
      <c r="Q825">
        <v>1.9231379999999999E-2</v>
      </c>
      <c r="R825">
        <v>1.4383760000000001E-3</v>
      </c>
      <c r="S825">
        <v>3.0031129999999999</v>
      </c>
      <c r="T825">
        <v>-6.0145499999999998E-2</v>
      </c>
      <c r="U825">
        <v>-0.80847170000000002</v>
      </c>
      <c r="V825">
        <v>-2.6930909999999999E-3</v>
      </c>
      <c r="W825">
        <v>4.1228840000000003E-2</v>
      </c>
      <c r="X825">
        <v>0.99914610000000004</v>
      </c>
      <c r="Y825">
        <v>0.25869490000000001</v>
      </c>
      <c r="Z825">
        <v>-2.5202760000000001E-3</v>
      </c>
      <c r="AA825">
        <v>0.96595580000000003</v>
      </c>
      <c r="AB825">
        <v>52</v>
      </c>
      <c r="AC825">
        <v>56.709599999999902</v>
      </c>
      <c r="AD825">
        <v>-1.139273</v>
      </c>
      <c r="AE825">
        <v>-15.332700000000001</v>
      </c>
      <c r="AF825">
        <v>15.255735925779501</v>
      </c>
      <c r="AG825">
        <v>-1.139273</v>
      </c>
      <c r="AH825">
        <v>56.707482051362703</v>
      </c>
      <c r="AI825">
        <v>91.111430615307199</v>
      </c>
      <c r="AJ825">
        <v>74.942500049985995</v>
      </c>
      <c r="AK825">
        <v>58.734776259140297</v>
      </c>
      <c r="AL825">
        <v>87.637091731365103</v>
      </c>
      <c r="AM825">
        <v>90.154434245871698</v>
      </c>
      <c r="AN825">
        <v>0.99999999956604402</v>
      </c>
    </row>
    <row r="826" spans="1:40" x14ac:dyDescent="0.25">
      <c r="A826" t="str">
        <f>"20190312160316474"</f>
        <v>20190312160316474</v>
      </c>
      <c r="B826" t="str">
        <f>"1552377796465565"</f>
        <v>1552377796465565</v>
      </c>
      <c r="C826" t="s">
        <v>40</v>
      </c>
      <c r="D826">
        <v>5.4145459999999996</v>
      </c>
      <c r="E826">
        <v>0.6015393</v>
      </c>
      <c r="F826" t="s">
        <v>43</v>
      </c>
      <c r="G826">
        <v>-256.1703</v>
      </c>
      <c r="H826">
        <v>-0.05</v>
      </c>
      <c r="I826">
        <v>352.29610000000002</v>
      </c>
      <c r="J826">
        <v>-314.00850000000003</v>
      </c>
      <c r="K826">
        <v>1.087826</v>
      </c>
      <c r="L826">
        <v>367.99770000000001</v>
      </c>
      <c r="M826">
        <v>0.99975539999999996</v>
      </c>
      <c r="N826">
        <v>0</v>
      </c>
      <c r="O826">
        <v>-1.253346E-3</v>
      </c>
      <c r="P826">
        <v>0.99981439999999999</v>
      </c>
      <c r="Q826">
        <v>1.9228720000000001E-2</v>
      </c>
      <c r="R826">
        <v>1.3633740000000001E-3</v>
      </c>
      <c r="S826">
        <v>3.002869</v>
      </c>
      <c r="T826">
        <v>-5.889225E-2</v>
      </c>
      <c r="U826">
        <v>-0.81167599999999995</v>
      </c>
      <c r="V826">
        <v>-2.6159009999999999E-3</v>
      </c>
      <c r="W826">
        <v>4.1304109999999998E-2</v>
      </c>
      <c r="X826">
        <v>0.99914320000000001</v>
      </c>
      <c r="Y826">
        <v>0.2596792</v>
      </c>
      <c r="Z826">
        <v>-2.4771490000000001E-3</v>
      </c>
      <c r="AA826">
        <v>0.96569170000000004</v>
      </c>
      <c r="AB826">
        <v>52</v>
      </c>
      <c r="AC826">
        <v>57.838200000000001</v>
      </c>
      <c r="AD826">
        <v>-1.137826</v>
      </c>
      <c r="AE826">
        <v>-15.7015999999999</v>
      </c>
      <c r="AF826">
        <v>15.623447301610501</v>
      </c>
      <c r="AG826">
        <v>-1.137826</v>
      </c>
      <c r="AH826">
        <v>57.836991791410199</v>
      </c>
      <c r="AI826">
        <v>91.088045002690606</v>
      </c>
      <c r="AJ826">
        <v>74.883537492744395</v>
      </c>
      <c r="AK826">
        <v>59.920817526733799</v>
      </c>
      <c r="AL826">
        <v>87.632775410067296</v>
      </c>
      <c r="AM826">
        <v>90.150008271552494</v>
      </c>
      <c r="AN826">
        <v>1.0000000032735801</v>
      </c>
    </row>
    <row r="827" spans="1:40" x14ac:dyDescent="0.25">
      <c r="A827" t="str">
        <f>"20190312160316485"</f>
        <v>20190312160316485</v>
      </c>
      <c r="B827" t="str">
        <f>"1552377796475326"</f>
        <v>1552377796475326</v>
      </c>
      <c r="C827" t="s">
        <v>40</v>
      </c>
      <c r="D827">
        <v>5.21441</v>
      </c>
      <c r="E827">
        <v>0.60201629999999995</v>
      </c>
      <c r="F827" t="s">
        <v>41</v>
      </c>
      <c r="G827">
        <v>-265.66309999999999</v>
      </c>
      <c r="H827">
        <v>7.9986860000000007E-2</v>
      </c>
      <c r="I827">
        <v>354.9024</v>
      </c>
      <c r="J827">
        <v>-313.74849999999998</v>
      </c>
      <c r="K827">
        <v>1.086344</v>
      </c>
      <c r="L827">
        <v>367.9973</v>
      </c>
      <c r="M827">
        <v>0.99975369999999997</v>
      </c>
      <c r="N827">
        <v>0</v>
      </c>
      <c r="O827">
        <v>-1.2514399999999999E-3</v>
      </c>
      <c r="P827">
        <v>0.99981770000000003</v>
      </c>
      <c r="Q827">
        <v>1.908201E-2</v>
      </c>
      <c r="R827">
        <v>8.3709780000000003E-4</v>
      </c>
      <c r="S827">
        <v>3.0028990000000002</v>
      </c>
      <c r="T827">
        <v>-6.2600260000000005E-2</v>
      </c>
      <c r="U827">
        <v>-0.81338500000000002</v>
      </c>
      <c r="V827">
        <v>-2.0870709999999998E-3</v>
      </c>
      <c r="W827">
        <v>4.1233119999999998E-2</v>
      </c>
      <c r="X827">
        <v>0.99914740000000002</v>
      </c>
      <c r="Y827">
        <v>0.26018459999999999</v>
      </c>
      <c r="Z827">
        <v>-2.638081E-3</v>
      </c>
      <c r="AA827">
        <v>0.96555530000000001</v>
      </c>
      <c r="AB827">
        <v>52</v>
      </c>
      <c r="AC827">
        <v>48.0853999999999</v>
      </c>
      <c r="AD827">
        <v>-1.00635714</v>
      </c>
      <c r="AE827">
        <v>-13.0948999999999</v>
      </c>
      <c r="AF827">
        <v>13.029386063215499</v>
      </c>
      <c r="AG827">
        <v>-1.00635714</v>
      </c>
      <c r="AH827">
        <v>48.082147693493603</v>
      </c>
      <c r="AI827">
        <v>91.1572967854853</v>
      </c>
      <c r="AJ827">
        <v>74.838008013822005</v>
      </c>
      <c r="AK827">
        <v>49.826404472894502</v>
      </c>
      <c r="AL827">
        <v>87.636846360379394</v>
      </c>
      <c r="AM827">
        <v>90.119682226989497</v>
      </c>
      <c r="AN827">
        <v>1.00000002648852</v>
      </c>
    </row>
    <row r="828" spans="1:40" x14ac:dyDescent="0.25">
      <c r="A828" t="str">
        <f>"20190312160316497"</f>
        <v>20190312160316497</v>
      </c>
      <c r="B828" t="str">
        <f>"1552377796485085"</f>
        <v>1552377796485085</v>
      </c>
      <c r="C828" t="s">
        <v>40</v>
      </c>
      <c r="D828">
        <v>4.8430569999999999</v>
      </c>
      <c r="E828">
        <v>0.60249819999999998</v>
      </c>
      <c r="F828" t="s">
        <v>43</v>
      </c>
      <c r="G828">
        <v>-256.64679999999998</v>
      </c>
      <c r="H828">
        <v>-0.05</v>
      </c>
      <c r="I828">
        <v>352.43020000000001</v>
      </c>
      <c r="J828">
        <v>-313.48739999999998</v>
      </c>
      <c r="K828">
        <v>1.0848770000000001</v>
      </c>
      <c r="L828">
        <v>367.99700000000001</v>
      </c>
      <c r="M828">
        <v>0.9997528</v>
      </c>
      <c r="N828">
        <v>0</v>
      </c>
      <c r="O828">
        <v>-1.250106E-3</v>
      </c>
      <c r="P828">
        <v>0.99981160000000002</v>
      </c>
      <c r="Q828">
        <v>1.9398220000000001E-2</v>
      </c>
      <c r="R828">
        <v>8.8540159999999995E-4</v>
      </c>
      <c r="S828">
        <v>3.00238</v>
      </c>
      <c r="T828">
        <v>-5.9748410000000002E-2</v>
      </c>
      <c r="U828">
        <v>-0.81851200000000002</v>
      </c>
      <c r="V828">
        <v>-2.134206E-3</v>
      </c>
      <c r="W828">
        <v>4.1590920000000003E-2</v>
      </c>
      <c r="X828">
        <v>0.99913249999999998</v>
      </c>
      <c r="Y828">
        <v>0.26176739999999998</v>
      </c>
      <c r="Z828">
        <v>-2.5332810000000001E-3</v>
      </c>
      <c r="AA828">
        <v>0.96512759999999997</v>
      </c>
      <c r="AB828">
        <v>52</v>
      </c>
      <c r="AC828">
        <v>56.840600000000002</v>
      </c>
      <c r="AD828">
        <v>-1.1348769999999999</v>
      </c>
      <c r="AE828">
        <v>-15.566799999999899</v>
      </c>
      <c r="AF828">
        <v>15.489969454706401</v>
      </c>
      <c r="AG828">
        <v>-1.1348769999999999</v>
      </c>
      <c r="AH828">
        <v>56.838943141001899</v>
      </c>
      <c r="AI828">
        <v>91.103608770921198</v>
      </c>
      <c r="AJ828">
        <v>74.755728491337393</v>
      </c>
      <c r="AK828">
        <v>58.922767729451699</v>
      </c>
      <c r="AL828">
        <v>87.616328400007703</v>
      </c>
      <c r="AM828">
        <v>90.122386981139002</v>
      </c>
      <c r="AN828">
        <v>1.0000000560089699</v>
      </c>
    </row>
    <row r="829" spans="1:40" x14ac:dyDescent="0.25">
      <c r="A829" t="str">
        <f>"20190312160316508"</f>
        <v>20190312160316508</v>
      </c>
      <c r="B829" t="str">
        <f>"1552377796505581"</f>
        <v>1552377796505581</v>
      </c>
      <c r="C829" t="s">
        <v>40</v>
      </c>
      <c r="D829">
        <v>5.306343</v>
      </c>
      <c r="E829">
        <v>0.64518619999999904</v>
      </c>
      <c r="F829" t="s">
        <v>43</v>
      </c>
      <c r="G829">
        <v>-247.4358</v>
      </c>
      <c r="H829">
        <v>-0.05</v>
      </c>
      <c r="I829">
        <v>349.916</v>
      </c>
      <c r="J829">
        <v>-313.22669999999999</v>
      </c>
      <c r="K829">
        <v>1.0834239999999999</v>
      </c>
      <c r="L829">
        <v>367.9966</v>
      </c>
      <c r="M829">
        <v>0.99975210000000003</v>
      </c>
      <c r="N829">
        <v>0</v>
      </c>
      <c r="O829">
        <v>-1.249252E-3</v>
      </c>
      <c r="P829">
        <v>0.99980659999999999</v>
      </c>
      <c r="Q829">
        <v>1.9669229999999999E-2</v>
      </c>
      <c r="R829">
        <v>5.7937500000000003E-4</v>
      </c>
      <c r="S829">
        <v>3.0022579999999999</v>
      </c>
      <c r="T829">
        <v>-5.1583770000000001E-2</v>
      </c>
      <c r="U829">
        <v>-0.82183839999999997</v>
      </c>
      <c r="V829">
        <v>-1.827366E-3</v>
      </c>
      <c r="W829">
        <v>4.189296E-2</v>
      </c>
      <c r="X829">
        <v>0.99912040000000002</v>
      </c>
      <c r="Y829">
        <v>0.2627852</v>
      </c>
      <c r="Z829">
        <v>-2.1955310000000001E-3</v>
      </c>
      <c r="AA829">
        <v>0.96485189999999998</v>
      </c>
      <c r="AB829">
        <v>52</v>
      </c>
      <c r="AC829">
        <v>65.790899999999993</v>
      </c>
      <c r="AD829">
        <v>-1.133424</v>
      </c>
      <c r="AE829">
        <v>-18.0806</v>
      </c>
      <c r="AF829">
        <v>17.993410850655302</v>
      </c>
      <c r="AG829">
        <v>-1.133424</v>
      </c>
      <c r="AH829">
        <v>65.795285152609495</v>
      </c>
      <c r="AI829">
        <v>90.951960002319097</v>
      </c>
      <c r="AJ829">
        <v>74.704976554414003</v>
      </c>
      <c r="AK829">
        <v>68.220722895007896</v>
      </c>
      <c r="AL829">
        <v>87.599007472411202</v>
      </c>
      <c r="AM829">
        <v>90.104792418090796</v>
      </c>
      <c r="AN829">
        <v>0.99999996653010903</v>
      </c>
    </row>
    <row r="830" spans="1:40" x14ac:dyDescent="0.25">
      <c r="A830" t="str">
        <f>"20190312160316518"</f>
        <v>20190312160316518</v>
      </c>
      <c r="B830" t="str">
        <f>"1552377796515342"</f>
        <v>1552377796515342</v>
      </c>
      <c r="C830" t="s">
        <v>40</v>
      </c>
      <c r="D830">
        <v>5.5434910000000004</v>
      </c>
      <c r="E830">
        <v>0.63922230000000002</v>
      </c>
      <c r="F830" t="s">
        <v>48</v>
      </c>
      <c r="G830">
        <v>-262.78570000000002</v>
      </c>
      <c r="H830">
        <v>1.7042710000000001</v>
      </c>
      <c r="I830">
        <v>348.51170000000002</v>
      </c>
      <c r="J830">
        <v>-312.98110000000003</v>
      </c>
      <c r="K830">
        <v>1.082093</v>
      </c>
      <c r="L830">
        <v>367.99630000000002</v>
      </c>
      <c r="M830">
        <v>0.99975250000000004</v>
      </c>
      <c r="N830">
        <v>0</v>
      </c>
      <c r="O830">
        <v>-1.248559E-3</v>
      </c>
      <c r="P830">
        <v>0.99980690000000005</v>
      </c>
      <c r="Q830">
        <v>1.9649119999999999E-2</v>
      </c>
      <c r="R830">
        <v>5.0243559999999996E-4</v>
      </c>
      <c r="S830">
        <v>3.0005489999999999</v>
      </c>
      <c r="T830">
        <v>3.693652E-2</v>
      </c>
      <c r="U830">
        <v>-1.1590879999999999</v>
      </c>
      <c r="V830">
        <v>-1.749713E-3</v>
      </c>
      <c r="W830">
        <v>4.1854379999999997E-2</v>
      </c>
      <c r="X830">
        <v>0.99912219999999996</v>
      </c>
      <c r="Y830">
        <v>0.35915229999999998</v>
      </c>
      <c r="Z830">
        <v>2.1188240000000001E-3</v>
      </c>
      <c r="AA830">
        <v>0.93327660000000001</v>
      </c>
      <c r="AB830">
        <v>52</v>
      </c>
      <c r="AC830">
        <v>50.195399999999999</v>
      </c>
      <c r="AD830">
        <v>0.62217799999999901</v>
      </c>
      <c r="AE830">
        <v>-19.4846</v>
      </c>
      <c r="AF830">
        <v>19.419304551216701</v>
      </c>
      <c r="AG830">
        <v>0.62217799999999901</v>
      </c>
      <c r="AH830">
        <v>50.212990083954502</v>
      </c>
      <c r="AI830">
        <v>89.337882965075593</v>
      </c>
      <c r="AJ830">
        <v>68.856586819692595</v>
      </c>
      <c r="AK830">
        <v>53.840884724230698</v>
      </c>
      <c r="AL830">
        <v>87.601219989856205</v>
      </c>
      <c r="AM830">
        <v>90.100339145475203</v>
      </c>
      <c r="AN830">
        <v>1.0000000105768001</v>
      </c>
    </row>
    <row r="831" spans="1:40" x14ac:dyDescent="0.25">
      <c r="A831" t="str">
        <f>"20190312160316530"</f>
        <v>20190312160316530</v>
      </c>
      <c r="B831" t="str">
        <f>"1552377796525101"</f>
        <v>1552377796525101</v>
      </c>
      <c r="C831" t="s">
        <v>40</v>
      </c>
      <c r="D831">
        <v>5.3036190000000003</v>
      </c>
      <c r="E831">
        <v>0.63689879999999999</v>
      </c>
      <c r="F831" t="s">
        <v>48</v>
      </c>
      <c r="G831">
        <v>-245.3451</v>
      </c>
      <c r="H831">
        <v>0.59746149999999998</v>
      </c>
      <c r="I831">
        <v>342.87729999999999</v>
      </c>
      <c r="J831">
        <v>-312.70650000000001</v>
      </c>
      <c r="K831">
        <v>1.080627</v>
      </c>
      <c r="L831">
        <v>367.99599999999998</v>
      </c>
      <c r="M831">
        <v>0.99975329999999996</v>
      </c>
      <c r="N831">
        <v>0</v>
      </c>
      <c r="O831">
        <v>-1.247756E-3</v>
      </c>
      <c r="P831">
        <v>0.99980619999999998</v>
      </c>
      <c r="Q831">
        <v>1.967352E-2</v>
      </c>
      <c r="R831">
        <v>6.7401339999999905E-4</v>
      </c>
      <c r="S831">
        <v>3.0015869999999998</v>
      </c>
      <c r="T831">
        <v>-2.1503689999999999E-2</v>
      </c>
      <c r="U831">
        <v>-1.114746</v>
      </c>
      <c r="V831">
        <v>-1.9207479999999999E-3</v>
      </c>
      <c r="W831">
        <v>4.1839609999999999E-2</v>
      </c>
      <c r="X831">
        <v>0.99912250000000002</v>
      </c>
      <c r="Y831">
        <v>0.34697309999999998</v>
      </c>
      <c r="Z831">
        <v>-1.1940760000000001E-3</v>
      </c>
      <c r="AA831">
        <v>0.93787430000000005</v>
      </c>
      <c r="AB831">
        <v>52</v>
      </c>
      <c r="AC831">
        <v>67.361400000000003</v>
      </c>
      <c r="AD831">
        <v>-0.48316549999999903</v>
      </c>
      <c r="AE831">
        <v>-25.118699999999901</v>
      </c>
      <c r="AF831">
        <v>25.033478469524201</v>
      </c>
      <c r="AG831">
        <v>-0.48316549999999903</v>
      </c>
      <c r="AH831">
        <v>67.389653428372299</v>
      </c>
      <c r="AI831">
        <v>90.385078310908398</v>
      </c>
      <c r="AJ831">
        <v>69.6212966722955</v>
      </c>
      <c r="AK831">
        <v>71.890707900121996</v>
      </c>
      <c r="AL831">
        <v>87.602066979768594</v>
      </c>
      <c r="AM831">
        <v>90.110147272566493</v>
      </c>
      <c r="AN831">
        <v>1.00000000612204</v>
      </c>
    </row>
    <row r="832" spans="1:40" x14ac:dyDescent="0.25">
      <c r="A832" t="str">
        <f>"20190312160316541"</f>
        <v>20190312160316541</v>
      </c>
      <c r="B832" t="str">
        <f>"1552377796535837"</f>
        <v>1552377796535837</v>
      </c>
      <c r="C832" t="s">
        <v>40</v>
      </c>
      <c r="D832">
        <v>5.5124120000000003</v>
      </c>
      <c r="E832">
        <v>0.63581509999999997</v>
      </c>
      <c r="F832" t="s">
        <v>43</v>
      </c>
      <c r="G832">
        <v>-246.83410000000001</v>
      </c>
      <c r="H832">
        <v>-0.05</v>
      </c>
      <c r="I832">
        <v>343.92290000000003</v>
      </c>
      <c r="J832">
        <v>-312.45089999999999</v>
      </c>
      <c r="K832">
        <v>1.07931</v>
      </c>
      <c r="L832">
        <v>367.9957</v>
      </c>
      <c r="M832">
        <v>0.99975519999999996</v>
      </c>
      <c r="N832">
        <v>0</v>
      </c>
      <c r="O832">
        <v>-1.2474789999999999E-3</v>
      </c>
      <c r="P832">
        <v>0.99980340000000001</v>
      </c>
      <c r="Q832">
        <v>1.9811200000000001E-2</v>
      </c>
      <c r="R832">
        <v>8.4666929999999997E-4</v>
      </c>
      <c r="S832">
        <v>3.002319</v>
      </c>
      <c r="T832">
        <v>-5.1531430000000003E-2</v>
      </c>
      <c r="U832">
        <v>-1.0971979999999999</v>
      </c>
      <c r="V832">
        <v>-2.0932059999999998E-3</v>
      </c>
      <c r="W832">
        <v>4.1899159999999998E-2</v>
      </c>
      <c r="X832">
        <v>0.9991196</v>
      </c>
      <c r="Y832">
        <v>0.34203090000000003</v>
      </c>
      <c r="Z832">
        <v>-2.8223929999999999E-3</v>
      </c>
      <c r="AA832">
        <v>0.93968450000000003</v>
      </c>
      <c r="AB832">
        <v>52</v>
      </c>
      <c r="AC832">
        <v>65.616799999999898</v>
      </c>
      <c r="AD832">
        <v>-1.12931</v>
      </c>
      <c r="AE832">
        <v>-24.072799999999901</v>
      </c>
      <c r="AF832">
        <v>23.9846440421355</v>
      </c>
      <c r="AG832">
        <v>-1.12931</v>
      </c>
      <c r="AH832">
        <v>65.629652662573903</v>
      </c>
      <c r="AI832">
        <v>90.925925890899094</v>
      </c>
      <c r="AJ832">
        <v>69.924947780276696</v>
      </c>
      <c r="AK832">
        <v>69.884116933063794</v>
      </c>
      <c r="AL832">
        <v>87.598651882133893</v>
      </c>
      <c r="AM832">
        <v>90.120037374886905</v>
      </c>
      <c r="AN832">
        <v>0.99999994811211002</v>
      </c>
    </row>
    <row r="833" spans="1:40" x14ac:dyDescent="0.25">
      <c r="A833" t="str">
        <f>"20190312160316553"</f>
        <v>20190312160316553</v>
      </c>
      <c r="B833" t="str">
        <f>"1552377796545597"</f>
        <v>1552377796545597</v>
      </c>
      <c r="C833" t="s">
        <v>40</v>
      </c>
      <c r="D833">
        <v>5.2819089999999997</v>
      </c>
      <c r="E833">
        <v>0.63552519999999901</v>
      </c>
      <c r="F833" t="s">
        <v>43</v>
      </c>
      <c r="G833">
        <v>-250.66739999999999</v>
      </c>
      <c r="H833">
        <v>-0.05</v>
      </c>
      <c r="I833">
        <v>345.601</v>
      </c>
      <c r="J833">
        <v>-312.19319999999999</v>
      </c>
      <c r="K833">
        <v>1.0780259999999999</v>
      </c>
      <c r="L833">
        <v>367.99540000000002</v>
      </c>
      <c r="M833">
        <v>0.99975729999999996</v>
      </c>
      <c r="N833">
        <v>0</v>
      </c>
      <c r="O833">
        <v>-1.2469009999999999E-3</v>
      </c>
      <c r="P833">
        <v>0.99980219999999997</v>
      </c>
      <c r="Q833">
        <v>1.9874050000000001E-2</v>
      </c>
      <c r="R833">
        <v>8.2987350000000002E-4</v>
      </c>
      <c r="S833">
        <v>3.0025940000000002</v>
      </c>
      <c r="T833">
        <v>-5.4882880000000002E-2</v>
      </c>
      <c r="U833">
        <v>-1.0883480000000001</v>
      </c>
      <c r="V833">
        <v>-2.0755830000000002E-3</v>
      </c>
      <c r="W833">
        <v>4.1855320000000001E-2</v>
      </c>
      <c r="X833">
        <v>0.9991215</v>
      </c>
      <c r="Y833">
        <v>0.33955109999999999</v>
      </c>
      <c r="Z833">
        <v>-2.9851840000000001E-3</v>
      </c>
      <c r="AA833">
        <v>0.9405829</v>
      </c>
      <c r="AB833">
        <v>52</v>
      </c>
      <c r="AC833">
        <v>61.525799999999997</v>
      </c>
      <c r="AD833">
        <v>-1.128026</v>
      </c>
      <c r="AE833">
        <v>-22.394400000000001</v>
      </c>
      <c r="AF833">
        <v>22.3110251039123</v>
      </c>
      <c r="AG833">
        <v>-1.128026</v>
      </c>
      <c r="AH833">
        <v>61.535417631685497</v>
      </c>
      <c r="AI833">
        <v>90.987311696448202</v>
      </c>
      <c r="AJ833">
        <v>70.070768599257306</v>
      </c>
      <c r="AK833">
        <v>65.464967020155399</v>
      </c>
      <c r="AL833">
        <v>87.601165996337102</v>
      </c>
      <c r="AM833">
        <v>90.119026539670202</v>
      </c>
      <c r="AN833">
        <v>0.99999997380966998</v>
      </c>
    </row>
    <row r="834" spans="1:40" x14ac:dyDescent="0.25">
      <c r="A834" t="str">
        <f>"20190312160316564"</f>
        <v>20190312160316564</v>
      </c>
      <c r="B834" t="str">
        <f>"1552377796555357"</f>
        <v>1552377796555357</v>
      </c>
      <c r="C834" t="s">
        <v>40</v>
      </c>
      <c r="D834">
        <v>5.6782019999999997</v>
      </c>
      <c r="E834">
        <v>0.63522959999999995</v>
      </c>
      <c r="F834" t="s">
        <v>41</v>
      </c>
      <c r="G834">
        <v>-277.40870000000001</v>
      </c>
      <c r="H834">
        <v>7.9986299999999996E-2</v>
      </c>
      <c r="I834">
        <v>355.39510000000001</v>
      </c>
      <c r="J834">
        <v>-311.93939999999998</v>
      </c>
      <c r="K834">
        <v>1.076802</v>
      </c>
      <c r="L834">
        <v>367.995</v>
      </c>
      <c r="M834">
        <v>0.99976030000000005</v>
      </c>
      <c r="N834">
        <v>0</v>
      </c>
      <c r="O834">
        <v>-1.246425E-3</v>
      </c>
      <c r="P834">
        <v>0.99980309999999994</v>
      </c>
      <c r="Q834">
        <v>1.9817580000000001E-2</v>
      </c>
      <c r="R834">
        <v>8.928648E-4</v>
      </c>
      <c r="S834">
        <v>3.0032040000000002</v>
      </c>
      <c r="T834">
        <v>-8.6167930000000004E-2</v>
      </c>
      <c r="U834">
        <v>-1.08786</v>
      </c>
      <c r="V834">
        <v>-2.1384870000000001E-3</v>
      </c>
      <c r="W834">
        <v>4.1668570000000002E-2</v>
      </c>
      <c r="X834">
        <v>0.99912920000000005</v>
      </c>
      <c r="Y834">
        <v>0.33928219999999998</v>
      </c>
      <c r="Z834">
        <v>-4.6818210000000001E-3</v>
      </c>
      <c r="AA834">
        <v>0.94067299999999998</v>
      </c>
      <c r="AB834">
        <v>52</v>
      </c>
      <c r="AC834">
        <v>34.530699999999896</v>
      </c>
      <c r="AD834">
        <v>-0.99681569999999997</v>
      </c>
      <c r="AE834">
        <v>-12.5998999999999</v>
      </c>
      <c r="AF834">
        <v>12.547612267261499</v>
      </c>
      <c r="AG834">
        <v>-0.99681569999999997</v>
      </c>
      <c r="AH834">
        <v>34.520994422031102</v>
      </c>
      <c r="AI834">
        <v>91.5545408728198</v>
      </c>
      <c r="AJ834">
        <v>70.024922050990099</v>
      </c>
      <c r="AK834">
        <v>36.744186901266403</v>
      </c>
      <c r="AL834">
        <v>87.611875390340501</v>
      </c>
      <c r="AM834">
        <v>90.122632881255299</v>
      </c>
      <c r="AN834">
        <v>1.00000000057256</v>
      </c>
    </row>
    <row r="835" spans="1:40" x14ac:dyDescent="0.25">
      <c r="A835" t="str">
        <f>"20190312160316574"</f>
        <v>20190312160316574</v>
      </c>
      <c r="B835" t="str">
        <f>"1552377796565117"</f>
        <v>1552377796565117</v>
      </c>
      <c r="C835" t="s">
        <v>40</v>
      </c>
      <c r="D835">
        <v>5.2402639999999998</v>
      </c>
      <c r="E835">
        <v>0.635262199999999</v>
      </c>
      <c r="F835" t="s">
        <v>41</v>
      </c>
      <c r="G835">
        <v>-276.96249999999998</v>
      </c>
      <c r="H835">
        <v>7.9986450000000001E-2</v>
      </c>
      <c r="I835">
        <v>355.35649999999998</v>
      </c>
      <c r="J835">
        <v>-311.69729999999998</v>
      </c>
      <c r="K835">
        <v>1.075691</v>
      </c>
      <c r="L835">
        <v>367.99470000000002</v>
      </c>
      <c r="M835">
        <v>0.99976370000000003</v>
      </c>
      <c r="N835">
        <v>0</v>
      </c>
      <c r="O835">
        <v>-1.2458440000000001E-3</v>
      </c>
      <c r="P835">
        <v>0.99980089999999999</v>
      </c>
      <c r="Q835">
        <v>1.993727E-2</v>
      </c>
      <c r="R835">
        <v>9.2439499999999995E-4</v>
      </c>
      <c r="S835">
        <v>3.0032350000000001</v>
      </c>
      <c r="T835">
        <v>-8.5589769999999996E-2</v>
      </c>
      <c r="U835">
        <v>-1.085175</v>
      </c>
      <c r="V835">
        <v>-2.1689809999999999E-3</v>
      </c>
      <c r="W835">
        <v>4.1636180000000002E-2</v>
      </c>
      <c r="X835">
        <v>0.99913050000000003</v>
      </c>
      <c r="Y835">
        <v>0.33853759999999999</v>
      </c>
      <c r="Z835">
        <v>-4.6407929999999998E-3</v>
      </c>
      <c r="AA835">
        <v>0.94094149999999999</v>
      </c>
      <c r="AB835">
        <v>52</v>
      </c>
      <c r="AC835">
        <v>34.7348</v>
      </c>
      <c r="AD835">
        <v>-0.99570455000000002</v>
      </c>
      <c r="AE835">
        <v>-12.638199999999999</v>
      </c>
      <c r="AF835">
        <v>12.585772777939599</v>
      </c>
      <c r="AG835">
        <v>-0.99570455000000002</v>
      </c>
      <c r="AH835">
        <v>34.725322964818197</v>
      </c>
      <c r="AI835">
        <v>91.5441909940226</v>
      </c>
      <c r="AJ835">
        <v>70.077564740054598</v>
      </c>
      <c r="AK835">
        <v>36.949169936275197</v>
      </c>
      <c r="AL835">
        <v>87.613732849405096</v>
      </c>
      <c r="AM835">
        <v>90.124381411561998</v>
      </c>
      <c r="AN835">
        <v>1.00000001599691</v>
      </c>
    </row>
    <row r="836" spans="1:40" x14ac:dyDescent="0.25">
      <c r="A836" t="str">
        <f>"20190312160316585"</f>
        <v>20190312160316585</v>
      </c>
      <c r="B836" t="str">
        <f>"1552377796575853"</f>
        <v>1552377796575853</v>
      </c>
      <c r="C836" t="s">
        <v>40</v>
      </c>
      <c r="D836">
        <v>5.2257660000000001</v>
      </c>
      <c r="E836">
        <v>0.63540959999999902</v>
      </c>
      <c r="F836" t="s">
        <v>43</v>
      </c>
      <c r="G836">
        <v>-278.93880000000001</v>
      </c>
      <c r="H836">
        <v>-0.05</v>
      </c>
      <c r="I836">
        <v>356.14859999999999</v>
      </c>
      <c r="J836">
        <v>-311.43889999999999</v>
      </c>
      <c r="K836">
        <v>1.074538</v>
      </c>
      <c r="L836">
        <v>367.99439999999998</v>
      </c>
      <c r="M836">
        <v>0.99976739999999997</v>
      </c>
      <c r="N836">
        <v>0</v>
      </c>
      <c r="O836">
        <v>-1.2449010000000001E-3</v>
      </c>
      <c r="P836">
        <v>0.99980139999999995</v>
      </c>
      <c r="Q836">
        <v>1.9917810000000001E-2</v>
      </c>
      <c r="R836">
        <v>9.1116859999999995E-4</v>
      </c>
      <c r="S836">
        <v>3.0036619999999998</v>
      </c>
      <c r="T836">
        <v>-0.10321569999999999</v>
      </c>
      <c r="U836">
        <v>-1.086182</v>
      </c>
      <c r="V836">
        <v>-2.1547060000000002E-3</v>
      </c>
      <c r="W836">
        <v>4.1441319999999997E-2</v>
      </c>
      <c r="X836">
        <v>0.99913859999999999</v>
      </c>
      <c r="Y836">
        <v>0.33871970000000001</v>
      </c>
      <c r="Z836">
        <v>-5.5980300000000004E-3</v>
      </c>
      <c r="AA836">
        <v>0.94087069999999995</v>
      </c>
      <c r="AB836">
        <v>52</v>
      </c>
      <c r="AC836">
        <v>32.500099999999897</v>
      </c>
      <c r="AD836">
        <v>-1.12453799999999</v>
      </c>
      <c r="AE836">
        <v>-11.845799999999899</v>
      </c>
      <c r="AF836">
        <v>11.792858935210701</v>
      </c>
      <c r="AG836">
        <v>-1.12453799999999</v>
      </c>
      <c r="AH836">
        <v>32.480498581243303</v>
      </c>
      <c r="AI836">
        <v>91.863938084654606</v>
      </c>
      <c r="AJ836">
        <v>70.0453030318548</v>
      </c>
      <c r="AK836">
        <v>34.573384209032398</v>
      </c>
      <c r="AL836">
        <v>87.624907073138303</v>
      </c>
      <c r="AM836">
        <v>90.123561804642804</v>
      </c>
      <c r="AN836">
        <v>0.99999998388562406</v>
      </c>
    </row>
    <row r="837" spans="1:40" x14ac:dyDescent="0.25">
      <c r="A837" t="str">
        <f>"20190312160316597"</f>
        <v>20190312160316597</v>
      </c>
      <c r="B837" t="str">
        <f>"1552377796585613"</f>
        <v>1552377796585613</v>
      </c>
      <c r="C837" t="s">
        <v>40</v>
      </c>
      <c r="D837">
        <v>5.2415079999999996</v>
      </c>
      <c r="E837">
        <v>0.6354554</v>
      </c>
      <c r="F837" t="s">
        <v>43</v>
      </c>
      <c r="G837">
        <v>-281.04539999999997</v>
      </c>
      <c r="H837">
        <v>-0.05</v>
      </c>
      <c r="I837">
        <v>356.98860000000002</v>
      </c>
      <c r="J837">
        <v>-311.16890000000001</v>
      </c>
      <c r="K837">
        <v>1.0734239999999999</v>
      </c>
      <c r="L837">
        <v>367.9941</v>
      </c>
      <c r="M837">
        <v>0.99977199999999999</v>
      </c>
      <c r="N837">
        <v>0</v>
      </c>
      <c r="O837">
        <v>-1.243837E-3</v>
      </c>
      <c r="P837">
        <v>0.99979929999999995</v>
      </c>
      <c r="Q837">
        <v>2.00146E-2</v>
      </c>
      <c r="R837">
        <v>9.8474249999999999E-4</v>
      </c>
      <c r="S837">
        <v>3.003876</v>
      </c>
      <c r="T837">
        <v>-0.1111414</v>
      </c>
      <c r="U837">
        <v>-1.0877380000000001</v>
      </c>
      <c r="V837">
        <v>-2.2271330000000001E-3</v>
      </c>
      <c r="W837">
        <v>4.1326979999999999E-2</v>
      </c>
      <c r="X837">
        <v>0.99914320000000001</v>
      </c>
      <c r="Y837">
        <v>0.33910210000000002</v>
      </c>
      <c r="Z837">
        <v>-6.0336060000000004E-3</v>
      </c>
      <c r="AA837">
        <v>0.94073019999999996</v>
      </c>
      <c r="AB837">
        <v>52</v>
      </c>
      <c r="AC837">
        <v>30.1235</v>
      </c>
      <c r="AD837">
        <v>-1.123424</v>
      </c>
      <c r="AE837">
        <v>-11.0054999999999</v>
      </c>
      <c r="AF837">
        <v>10.954572394785099</v>
      </c>
      <c r="AG837">
        <v>-1.123424</v>
      </c>
      <c r="AH837">
        <v>30.100234243532999</v>
      </c>
      <c r="AI837">
        <v>92.008671931641402</v>
      </c>
      <c r="AJ837">
        <v>70.001709280981402</v>
      </c>
      <c r="AK837">
        <v>32.051346919465402</v>
      </c>
      <c r="AL837">
        <v>87.631463944032504</v>
      </c>
      <c r="AM837">
        <v>90.127714535787902</v>
      </c>
      <c r="AN837">
        <v>1.00000000675178</v>
      </c>
    </row>
    <row r="838" spans="1:40" x14ac:dyDescent="0.25">
      <c r="A838" t="str">
        <f>"20190312160316610"</f>
        <v>20190312160316610</v>
      </c>
      <c r="B838" t="str">
        <f>"1552377796605133"</f>
        <v>1552377796605133</v>
      </c>
      <c r="C838" t="s">
        <v>40</v>
      </c>
      <c r="D838">
        <v>5.5477949999999998</v>
      </c>
      <c r="E838">
        <v>0.60388450000000005</v>
      </c>
      <c r="F838" t="s">
        <v>43</v>
      </c>
      <c r="G838">
        <v>-282.04360000000003</v>
      </c>
      <c r="H838">
        <v>-0.05</v>
      </c>
      <c r="I838">
        <v>357.44199999999898</v>
      </c>
      <c r="J838">
        <v>-310.90230000000003</v>
      </c>
      <c r="K838">
        <v>1.072357</v>
      </c>
      <c r="L838">
        <v>367.99369999999999</v>
      </c>
      <c r="M838">
        <v>0.99977649999999996</v>
      </c>
      <c r="N838">
        <v>0</v>
      </c>
      <c r="O838">
        <v>-1.2426290000000001E-3</v>
      </c>
      <c r="P838">
        <v>0.99978829999999996</v>
      </c>
      <c r="Q838">
        <v>2.0523909999999999E-2</v>
      </c>
      <c r="R838">
        <v>1.427991E-3</v>
      </c>
      <c r="S838">
        <v>3.0039980000000002</v>
      </c>
      <c r="T838">
        <v>-0.1158705</v>
      </c>
      <c r="U838">
        <v>-1.0883480000000001</v>
      </c>
      <c r="V838">
        <v>-2.6692259999999998E-3</v>
      </c>
      <c r="W838">
        <v>4.1620459999999998E-2</v>
      </c>
      <c r="X838">
        <v>0.99912999999999996</v>
      </c>
      <c r="Y838">
        <v>0.33924209999999999</v>
      </c>
      <c r="Z838">
        <v>-6.2923809999999997E-3</v>
      </c>
      <c r="AA838">
        <v>0.94067809999999996</v>
      </c>
      <c r="AB838">
        <v>52</v>
      </c>
      <c r="AC838">
        <v>28.858699999999999</v>
      </c>
      <c r="AD838">
        <v>-1.122357</v>
      </c>
      <c r="AE838">
        <v>-10.5517</v>
      </c>
      <c r="AF838">
        <v>10.5018118745294</v>
      </c>
      <c r="AG838">
        <v>-1.122357</v>
      </c>
      <c r="AH838">
        <v>28.8333235762912</v>
      </c>
      <c r="AI838">
        <v>92.094670290533401</v>
      </c>
      <c r="AJ838">
        <v>69.987121061604697</v>
      </c>
      <c r="AK838">
        <v>30.706811725390299</v>
      </c>
      <c r="AL838">
        <v>87.614634454563003</v>
      </c>
      <c r="AM838">
        <v>90.153068189850799</v>
      </c>
      <c r="AN838">
        <v>1.0000000721790201</v>
      </c>
    </row>
    <row r="839" spans="1:40" x14ac:dyDescent="0.25">
      <c r="A839" t="str">
        <f>"20190312160316621"</f>
        <v>20190312160316621</v>
      </c>
      <c r="B839" t="str">
        <f>"1552377796615870"</f>
        <v>1552377796615870</v>
      </c>
      <c r="C839" t="s">
        <v>40</v>
      </c>
      <c r="D839">
        <v>5.0908800000000003</v>
      </c>
      <c r="E839">
        <v>0.60388450000000005</v>
      </c>
      <c r="F839" t="s">
        <v>46</v>
      </c>
      <c r="G839">
        <v>-168.98500000000001</v>
      </c>
      <c r="H839">
        <v>9.4337009999999992</v>
      </c>
      <c r="I839">
        <v>329.23090000000002</v>
      </c>
      <c r="J839">
        <v>-310.60930000000002</v>
      </c>
      <c r="K839">
        <v>1.0712809999999999</v>
      </c>
      <c r="L839">
        <v>367.99329999999998</v>
      </c>
      <c r="M839">
        <v>0.99978180000000005</v>
      </c>
      <c r="N839">
        <v>0</v>
      </c>
      <c r="O839">
        <v>-1.241039E-3</v>
      </c>
      <c r="P839">
        <v>0.99978739999999999</v>
      </c>
      <c r="Q839">
        <v>2.0563379999999999E-2</v>
      </c>
      <c r="R839">
        <v>1.5133340000000001E-3</v>
      </c>
      <c r="S839">
        <v>2.9981689999999999</v>
      </c>
      <c r="T839">
        <v>0.17664340000000001</v>
      </c>
      <c r="U839">
        <v>-0.81890869999999905</v>
      </c>
      <c r="V839">
        <v>-2.753101E-3</v>
      </c>
      <c r="W839">
        <v>4.1405579999999997E-2</v>
      </c>
      <c r="X839">
        <v>0.99913870000000005</v>
      </c>
      <c r="Y839">
        <v>0.2618664</v>
      </c>
      <c r="Z839">
        <v>7.4974809999999899E-3</v>
      </c>
      <c r="AA839">
        <v>0.96507500000000002</v>
      </c>
      <c r="AB839">
        <v>51</v>
      </c>
      <c r="AC839">
        <v>141.62430000000001</v>
      </c>
      <c r="AD839">
        <v>8.3624200000000002</v>
      </c>
      <c r="AE839">
        <v>-38.7623999999999</v>
      </c>
      <c r="AF839">
        <v>38.461819154168801</v>
      </c>
      <c r="AG839">
        <v>8.3624200000000002</v>
      </c>
      <c r="AH839">
        <v>141.21427640942201</v>
      </c>
      <c r="AI839">
        <v>86.7298701109615</v>
      </c>
      <c r="AJ839">
        <v>74.764205503855706</v>
      </c>
      <c r="AK839">
        <v>146.59711273671499</v>
      </c>
      <c r="AL839">
        <v>87.626956792041199</v>
      </c>
      <c r="AM839">
        <v>90.157876647808095</v>
      </c>
      <c r="AN839">
        <v>1.0000000717289601</v>
      </c>
    </row>
    <row r="840" spans="1:40" x14ac:dyDescent="0.25">
      <c r="A840" t="str">
        <f>"20190312160316634"</f>
        <v>20190312160316634</v>
      </c>
      <c r="B840" t="str">
        <f>"1552377796625630"</f>
        <v>1552377796625630</v>
      </c>
      <c r="C840" t="s">
        <v>40</v>
      </c>
      <c r="D840">
        <v>5.158131</v>
      </c>
      <c r="E840">
        <v>0.54136530000000005</v>
      </c>
      <c r="F840" t="s">
        <v>46</v>
      </c>
      <c r="G840">
        <v>-168.98500000000001</v>
      </c>
      <c r="H840">
        <v>9.4279419999999998</v>
      </c>
      <c r="I840">
        <v>329.32</v>
      </c>
      <c r="J840">
        <v>-310.33690000000001</v>
      </c>
      <c r="K840">
        <v>1.0703370000000001</v>
      </c>
      <c r="L840">
        <v>367.99299999999999</v>
      </c>
      <c r="M840">
        <v>0.99978690000000003</v>
      </c>
      <c r="N840">
        <v>0</v>
      </c>
      <c r="O840">
        <v>-1.2397300000000001E-3</v>
      </c>
      <c r="P840">
        <v>0.99977709999999997</v>
      </c>
      <c r="Q840">
        <v>2.10645E-2</v>
      </c>
      <c r="R840">
        <v>1.4739149999999999E-3</v>
      </c>
      <c r="S840">
        <v>2.99823</v>
      </c>
      <c r="T840">
        <v>0.17691309999999999</v>
      </c>
      <c r="U840">
        <v>-0.81872559999999905</v>
      </c>
      <c r="V840">
        <v>-2.7125750000000001E-3</v>
      </c>
      <c r="W840">
        <v>4.1665239999999999E-2</v>
      </c>
      <c r="X840">
        <v>0.99912789999999996</v>
      </c>
      <c r="Y840">
        <v>0.2618067</v>
      </c>
      <c r="Z840">
        <v>7.5071719999999899E-3</v>
      </c>
      <c r="AA840">
        <v>0.96509109999999998</v>
      </c>
      <c r="AB840">
        <v>51</v>
      </c>
      <c r="AC840">
        <v>141.3519</v>
      </c>
      <c r="AD840">
        <v>8.3576049999999995</v>
      </c>
      <c r="AE840">
        <v>-38.673000000000002</v>
      </c>
      <c r="AF840">
        <v>38.3728888276286</v>
      </c>
      <c r="AG840">
        <v>8.3576049999999995</v>
      </c>
      <c r="AH840">
        <v>140.94134044581099</v>
      </c>
      <c r="AI840">
        <v>86.725347895402507</v>
      </c>
      <c r="AJ840">
        <v>74.769728012285299</v>
      </c>
      <c r="AK840">
        <v>146.31059293494599</v>
      </c>
      <c r="AL840">
        <v>87.612066243247796</v>
      </c>
      <c r="AM840">
        <v>90.155554376225595</v>
      </c>
      <c r="AN840">
        <v>0.99999995542289799</v>
      </c>
    </row>
    <row r="841" spans="1:40" x14ac:dyDescent="0.25">
      <c r="A841" t="str">
        <f>"20190312160316645"</f>
        <v>20190312160316645</v>
      </c>
      <c r="B841" t="str">
        <f>"1552377796635389"</f>
        <v>1552377796635389</v>
      </c>
      <c r="C841" t="s">
        <v>40</v>
      </c>
      <c r="D841">
        <v>5.1321329999999996</v>
      </c>
      <c r="E841">
        <v>0.53545640000000005</v>
      </c>
      <c r="F841" t="s">
        <v>42</v>
      </c>
      <c r="G841">
        <v>-170.08879999999999</v>
      </c>
      <c r="H841">
        <v>8.3019879999999997</v>
      </c>
      <c r="I841">
        <v>352.96519999999998</v>
      </c>
      <c r="J841">
        <v>-310.05849999999998</v>
      </c>
      <c r="K841">
        <v>1.0694269999999999</v>
      </c>
      <c r="L841">
        <v>367.99270000000001</v>
      </c>
      <c r="M841">
        <v>0.99979200000000001</v>
      </c>
      <c r="N841">
        <v>0</v>
      </c>
      <c r="O841">
        <v>-1.238589E-3</v>
      </c>
      <c r="P841">
        <v>0.99976609999999999</v>
      </c>
      <c r="Q841">
        <v>2.1571429999999999E-2</v>
      </c>
      <c r="R841">
        <v>1.5496430000000001E-3</v>
      </c>
      <c r="S841">
        <v>2.9978940000000001</v>
      </c>
      <c r="T841">
        <v>0.154583</v>
      </c>
      <c r="U841">
        <v>-0.32122800000000001</v>
      </c>
      <c r="V841">
        <v>-2.7868670000000002E-3</v>
      </c>
      <c r="W841">
        <v>4.1920600000000002E-2</v>
      </c>
      <c r="X841">
        <v>0.99911709999999998</v>
      </c>
      <c r="Y841">
        <v>0.105173</v>
      </c>
      <c r="Z841">
        <v>2.6383880000000002E-3</v>
      </c>
      <c r="AA841">
        <v>0.99445039999999996</v>
      </c>
      <c r="AB841">
        <v>51</v>
      </c>
      <c r="AC841">
        <v>139.96969999999999</v>
      </c>
      <c r="AD841">
        <v>7.2325609999999996</v>
      </c>
      <c r="AE841">
        <v>-15.0275</v>
      </c>
      <c r="AF841">
        <v>14.8149819165117</v>
      </c>
      <c r="AG841">
        <v>7.2325609999999996</v>
      </c>
      <c r="AH841">
        <v>139.619668698266</v>
      </c>
      <c r="AI841">
        <v>87.051146600198905</v>
      </c>
      <c r="AJ841">
        <v>83.943034343232199</v>
      </c>
      <c r="AK841">
        <v>140.58963516283401</v>
      </c>
      <c r="AL841">
        <v>87.597422604627099</v>
      </c>
      <c r="AM841">
        <v>90.159816404958605</v>
      </c>
      <c r="AN841">
        <v>1.0000000414222201</v>
      </c>
    </row>
    <row r="842" spans="1:40" x14ac:dyDescent="0.25">
      <c r="A842" t="str">
        <f>"20190312160316657"</f>
        <v>20190312160316657</v>
      </c>
      <c r="B842" t="str">
        <f>"1552377796655886"</f>
        <v>1552377796655886</v>
      </c>
      <c r="C842" t="s">
        <v>40</v>
      </c>
      <c r="D842">
        <v>5.1207209999999996</v>
      </c>
      <c r="E842">
        <v>0.53369929999999999</v>
      </c>
      <c r="F842" t="s">
        <v>42</v>
      </c>
      <c r="G842">
        <v>-169.2955</v>
      </c>
      <c r="H842">
        <v>4.9101150000000002</v>
      </c>
      <c r="I842">
        <v>354.96660000000003</v>
      </c>
      <c r="J842">
        <v>-309.78179999999998</v>
      </c>
      <c r="K842">
        <v>1.068608</v>
      </c>
      <c r="L842">
        <v>367.9923</v>
      </c>
      <c r="M842">
        <v>0.99979720000000005</v>
      </c>
      <c r="N842">
        <v>0</v>
      </c>
      <c r="O842">
        <v>-1.237485E-3</v>
      </c>
      <c r="P842">
        <v>0.99975930000000002</v>
      </c>
      <c r="Q842">
        <v>2.1893659999999999E-2</v>
      </c>
      <c r="R842">
        <v>1.405037E-3</v>
      </c>
      <c r="S842">
        <v>2.9993590000000001</v>
      </c>
      <c r="T842">
        <v>8.1838729999999998E-2</v>
      </c>
      <c r="U842">
        <v>-0.27755740000000001</v>
      </c>
      <c r="V842">
        <v>-2.641076E-3</v>
      </c>
      <c r="W842">
        <v>4.1992540000000002E-2</v>
      </c>
      <c r="X842">
        <v>0.99911450000000002</v>
      </c>
      <c r="Y842">
        <v>9.0879570000000007E-2</v>
      </c>
      <c r="Z842">
        <v>1.2032779999999999E-3</v>
      </c>
      <c r="AA842">
        <v>0.9958612</v>
      </c>
      <c r="AB842">
        <v>51</v>
      </c>
      <c r="AC842">
        <v>140.48629999999901</v>
      </c>
      <c r="AD842">
        <v>3.841507</v>
      </c>
      <c r="AE842">
        <v>-13.025699999999899</v>
      </c>
      <c r="AF842">
        <v>12.842284696595501</v>
      </c>
      <c r="AG842">
        <v>3.841507</v>
      </c>
      <c r="AH842">
        <v>140.398231854095</v>
      </c>
      <c r="AI842">
        <v>88.439204870666899</v>
      </c>
      <c r="AJ842">
        <v>84.773674761159</v>
      </c>
      <c r="AK842">
        <v>141.036679484507</v>
      </c>
      <c r="AL842">
        <v>87.593297173817305</v>
      </c>
      <c r="AM842">
        <v>90.151456270238995</v>
      </c>
      <c r="AN842">
        <v>1.0000000664041599</v>
      </c>
    </row>
    <row r="843" spans="1:40" x14ac:dyDescent="0.25">
      <c r="A843" t="str">
        <f>"20190312160316669"</f>
        <v>20190312160316669</v>
      </c>
      <c r="B843" t="str">
        <f>"1552377796665646"</f>
        <v>1552377796665646</v>
      </c>
      <c r="C843" t="s">
        <v>40</v>
      </c>
      <c r="D843">
        <v>5.1498660000000003</v>
      </c>
      <c r="E843">
        <v>0.53377830000000004</v>
      </c>
      <c r="F843" t="s">
        <v>42</v>
      </c>
      <c r="G843">
        <v>-169.2955</v>
      </c>
      <c r="H843">
        <v>3.1105849999999999</v>
      </c>
      <c r="I843">
        <v>355.54539999999997</v>
      </c>
      <c r="J843">
        <v>-309.51639999999998</v>
      </c>
      <c r="K843">
        <v>1.0678529999999999</v>
      </c>
      <c r="L843">
        <v>367.99189999999999</v>
      </c>
      <c r="M843">
        <v>0.99980190000000002</v>
      </c>
      <c r="N843">
        <v>0</v>
      </c>
      <c r="O843">
        <v>-1.2362829999999999E-3</v>
      </c>
      <c r="P843">
        <v>0.99975329999999996</v>
      </c>
      <c r="Q843">
        <v>2.2168690000000001E-2</v>
      </c>
      <c r="R843">
        <v>1.3431960000000001E-3</v>
      </c>
      <c r="S843">
        <v>3.0001220000000002</v>
      </c>
      <c r="T843">
        <v>4.360878E-2</v>
      </c>
      <c r="U843">
        <v>-0.26580809999999999</v>
      </c>
      <c r="V843">
        <v>-2.5777090000000001E-3</v>
      </c>
      <c r="W843">
        <v>4.202827E-2</v>
      </c>
      <c r="X843">
        <v>0.99911309999999998</v>
      </c>
      <c r="Y843">
        <v>8.7012629999999994E-2</v>
      </c>
      <c r="Z843">
        <v>6.1318660000000004E-4</v>
      </c>
      <c r="AA843">
        <v>0.99620699999999995</v>
      </c>
      <c r="AB843">
        <v>51</v>
      </c>
      <c r="AC843">
        <v>140.22089999999901</v>
      </c>
      <c r="AD843">
        <v>2.042732</v>
      </c>
      <c r="AE843">
        <v>-12.4465</v>
      </c>
      <c r="AF843">
        <v>12.270519796135501</v>
      </c>
      <c r="AG843">
        <v>2.042732</v>
      </c>
      <c r="AH843">
        <v>140.20666043426499</v>
      </c>
      <c r="AI843">
        <v>89.168469793872603</v>
      </c>
      <c r="AJ843">
        <v>84.998367081703705</v>
      </c>
      <c r="AK843">
        <v>140.75740136923699</v>
      </c>
      <c r="AL843">
        <v>87.591248034824702</v>
      </c>
      <c r="AM843">
        <v>90.147822622700303</v>
      </c>
      <c r="AN843">
        <v>1.00000000332724</v>
      </c>
    </row>
    <row r="844" spans="1:40" x14ac:dyDescent="0.25">
      <c r="A844" t="str">
        <f>"20190312160316681"</f>
        <v>20190312160316681</v>
      </c>
      <c r="B844" t="str">
        <f>"1552377796675406"</f>
        <v>1552377796675406</v>
      </c>
      <c r="C844" t="s">
        <v>40</v>
      </c>
      <c r="D844">
        <v>5.1130829999999996</v>
      </c>
      <c r="E844">
        <v>0.53331609999999996</v>
      </c>
      <c r="F844" t="s">
        <v>42</v>
      </c>
      <c r="G844">
        <v>-169.2955</v>
      </c>
      <c r="H844">
        <v>2.6959840000000002</v>
      </c>
      <c r="I844">
        <v>355.49650000000003</v>
      </c>
      <c r="J844">
        <v>-309.238</v>
      </c>
      <c r="K844">
        <v>1.0671330000000001</v>
      </c>
      <c r="L844">
        <v>367.99160000000001</v>
      </c>
      <c r="M844">
        <v>0.99980670000000005</v>
      </c>
      <c r="N844">
        <v>0</v>
      </c>
      <c r="O844">
        <v>-1.235274E-3</v>
      </c>
      <c r="P844">
        <v>0.99973719999999999</v>
      </c>
      <c r="Q844">
        <v>2.2895800000000001E-2</v>
      </c>
      <c r="R844">
        <v>1.2015979999999999E-3</v>
      </c>
      <c r="S844">
        <v>3.000305</v>
      </c>
      <c r="T844">
        <v>3.4838910000000001E-2</v>
      </c>
      <c r="U844">
        <v>-0.2673645</v>
      </c>
      <c r="V844">
        <v>-2.4356870000000002E-3</v>
      </c>
      <c r="W844">
        <v>4.2508009999999999E-2</v>
      </c>
      <c r="X844">
        <v>0.99909320000000001</v>
      </c>
      <c r="Y844">
        <v>8.7524249999999998E-2</v>
      </c>
      <c r="Z844">
        <v>4.9281740000000002E-4</v>
      </c>
      <c r="AA844">
        <v>0.99616229999999995</v>
      </c>
      <c r="AB844">
        <v>51</v>
      </c>
      <c r="AC844">
        <v>139.9425</v>
      </c>
      <c r="AD844">
        <v>1.628851</v>
      </c>
      <c r="AE844">
        <v>-12.4950999999999</v>
      </c>
      <c r="AF844">
        <v>12.3205339023589</v>
      </c>
      <c r="AG844">
        <v>1.628851</v>
      </c>
      <c r="AH844">
        <v>139.93902255289399</v>
      </c>
      <c r="AI844">
        <v>89.335692762420507</v>
      </c>
      <c r="AJ844">
        <v>84.968529363595593</v>
      </c>
      <c r="AK844">
        <v>140.489781636526</v>
      </c>
      <c r="AL844">
        <v>87.563736466723398</v>
      </c>
      <c r="AM844">
        <v>90.139680971547193</v>
      </c>
      <c r="AN844">
        <v>1.00000004288578</v>
      </c>
    </row>
    <row r="845" spans="1:40" x14ac:dyDescent="0.25">
      <c r="A845" t="str">
        <f>"20190312160316692"</f>
        <v>20190312160316692</v>
      </c>
      <c r="B845" t="str">
        <f>"1552377796685166"</f>
        <v>1552377796685166</v>
      </c>
      <c r="C845" t="s">
        <v>40</v>
      </c>
      <c r="D845">
        <v>5.0688820000000003</v>
      </c>
      <c r="E845">
        <v>0.53359100000000004</v>
      </c>
      <c r="F845" t="s">
        <v>42</v>
      </c>
      <c r="G845">
        <v>-169.2955</v>
      </c>
      <c r="H845">
        <v>3.0272250000000001</v>
      </c>
      <c r="I845">
        <v>355.68979999999999</v>
      </c>
      <c r="J845">
        <v>-308.98899999999998</v>
      </c>
      <c r="K845">
        <v>1.066532</v>
      </c>
      <c r="L845">
        <v>367.99130000000002</v>
      </c>
      <c r="M845">
        <v>0.99981109999999895</v>
      </c>
      <c r="N845">
        <v>0</v>
      </c>
      <c r="O845">
        <v>-1.2343479999999999E-3</v>
      </c>
      <c r="P845">
        <v>0.99972859999999997</v>
      </c>
      <c r="Q845">
        <v>2.3270510000000001E-2</v>
      </c>
      <c r="R845">
        <v>1.228423E-3</v>
      </c>
      <c r="S845">
        <v>3.0001530000000001</v>
      </c>
      <c r="T845">
        <v>4.202318E-2</v>
      </c>
      <c r="U845">
        <v>-0.26373289999999999</v>
      </c>
      <c r="V845">
        <v>-2.4613970000000002E-3</v>
      </c>
      <c r="W845">
        <v>4.2665229999999998E-2</v>
      </c>
      <c r="X845">
        <v>0.99908640000000004</v>
      </c>
      <c r="Y845">
        <v>8.6330630000000005E-2</v>
      </c>
      <c r="Z845">
        <v>5.8616579999999998E-4</v>
      </c>
      <c r="AA845">
        <v>0.9962664</v>
      </c>
      <c r="AB845">
        <v>51</v>
      </c>
      <c r="AC845">
        <v>139.6935</v>
      </c>
      <c r="AD845">
        <v>1.960693</v>
      </c>
      <c r="AE845">
        <v>-12.301500000000001</v>
      </c>
      <c r="AF845">
        <v>12.126657214328601</v>
      </c>
      <c r="AG845">
        <v>1.960693</v>
      </c>
      <c r="AH845">
        <v>139.681275227388</v>
      </c>
      <c r="AI845">
        <v>89.1988105861506</v>
      </c>
      <c r="AJ845">
        <v>85.038214575158804</v>
      </c>
      <c r="AK845">
        <v>140.22039360015901</v>
      </c>
      <c r="AL845">
        <v>87.554720158343102</v>
      </c>
      <c r="AM845">
        <v>90.141156334909397</v>
      </c>
      <c r="AN845">
        <v>1.00000000749555</v>
      </c>
    </row>
    <row r="846" spans="1:40" x14ac:dyDescent="0.25">
      <c r="A846" t="str">
        <f>"20190312160316702"</f>
        <v>20190312160316702</v>
      </c>
      <c r="B846" t="str">
        <f>"1552377796695902"</f>
        <v>1552377796695902</v>
      </c>
      <c r="C846" t="s">
        <v>40</v>
      </c>
      <c r="D846">
        <v>5.1332469999999999</v>
      </c>
      <c r="E846">
        <v>0.53398579999999995</v>
      </c>
      <c r="F846" t="s">
        <v>42</v>
      </c>
      <c r="G846">
        <v>-169.2955</v>
      </c>
      <c r="H846">
        <v>2.6682779999999999</v>
      </c>
      <c r="I846">
        <v>355.58710000000002</v>
      </c>
      <c r="J846">
        <v>-308.73439999999999</v>
      </c>
      <c r="K846">
        <v>1.0659650000000001</v>
      </c>
      <c r="L846">
        <v>367.99099999999999</v>
      </c>
      <c r="M846">
        <v>0.99981529999999996</v>
      </c>
      <c r="N846">
        <v>0</v>
      </c>
      <c r="O846">
        <v>-1.2333229999999999E-3</v>
      </c>
      <c r="P846">
        <v>0.99973259999999997</v>
      </c>
      <c r="Q846">
        <v>2.3107470000000001E-2</v>
      </c>
      <c r="R846">
        <v>9.9790149999999999E-4</v>
      </c>
      <c r="S846">
        <v>3.0003359999999999</v>
      </c>
      <c r="T846">
        <v>3.4404160000000003E-2</v>
      </c>
      <c r="U846">
        <v>-0.2664185</v>
      </c>
      <c r="V846">
        <v>-2.2299020000000002E-3</v>
      </c>
      <c r="W846">
        <v>4.2285530000000002E-2</v>
      </c>
      <c r="X846">
        <v>0.99910310000000002</v>
      </c>
      <c r="Y846">
        <v>8.7213819999999997E-2</v>
      </c>
      <c r="Z846">
        <v>4.8491590000000002E-4</v>
      </c>
      <c r="AA846">
        <v>0.99618949999999995</v>
      </c>
      <c r="AB846">
        <v>51</v>
      </c>
      <c r="AC846">
        <v>139.43889999999999</v>
      </c>
      <c r="AD846">
        <v>1.6023130000000001</v>
      </c>
      <c r="AE846">
        <v>-12.403899999999901</v>
      </c>
      <c r="AF846">
        <v>12.230283435191</v>
      </c>
      <c r="AG846">
        <v>1.6023130000000001</v>
      </c>
      <c r="AH846">
        <v>139.435827284471</v>
      </c>
      <c r="AI846">
        <v>89.344138086784895</v>
      </c>
      <c r="AJ846">
        <v>84.987265264586497</v>
      </c>
      <c r="AK846">
        <v>139.98034565738101</v>
      </c>
      <c r="AL846">
        <v>87.576495051189298</v>
      </c>
      <c r="AM846">
        <v>90.127878455367394</v>
      </c>
      <c r="AN846">
        <v>1.00000002146996</v>
      </c>
    </row>
    <row r="847" spans="1:40" x14ac:dyDescent="0.25">
      <c r="A847" t="str">
        <f>"20190312160316714"</f>
        <v>20190312160316714</v>
      </c>
      <c r="B847" t="str">
        <f>"1552377796705661"</f>
        <v>1552377796705661</v>
      </c>
      <c r="C847" t="s">
        <v>40</v>
      </c>
      <c r="D847">
        <v>5.1180009999999996</v>
      </c>
      <c r="E847">
        <v>0.53403120000000004</v>
      </c>
      <c r="F847" t="s">
        <v>42</v>
      </c>
      <c r="G847">
        <v>-169.2955</v>
      </c>
      <c r="H847">
        <v>2.3223440000000002</v>
      </c>
      <c r="I847">
        <v>355.40269999999998</v>
      </c>
      <c r="J847">
        <v>-308.48649999999998</v>
      </c>
      <c r="K847">
        <v>1.065456</v>
      </c>
      <c r="L847">
        <v>367.9907</v>
      </c>
      <c r="M847">
        <v>0.99981909999999896</v>
      </c>
      <c r="N847">
        <v>0</v>
      </c>
      <c r="O847">
        <v>-1.2320860000000001E-3</v>
      </c>
      <c r="P847">
        <v>0.99972360000000005</v>
      </c>
      <c r="Q847">
        <v>2.35017E-2</v>
      </c>
      <c r="R847">
        <v>7.9164410000000002E-4</v>
      </c>
      <c r="S847">
        <v>3.0004270000000002</v>
      </c>
      <c r="T847">
        <v>2.703643E-2</v>
      </c>
      <c r="U847">
        <v>-0.270874</v>
      </c>
      <c r="V847">
        <v>-2.0221710000000001E-3</v>
      </c>
      <c r="W847">
        <v>4.2474669999999999E-2</v>
      </c>
      <c r="X847">
        <v>0.99909550000000003</v>
      </c>
      <c r="Y847">
        <v>8.8681930000000006E-2</v>
      </c>
      <c r="Z847">
        <v>3.8765019999999998E-4</v>
      </c>
      <c r="AA847">
        <v>0.9960599</v>
      </c>
      <c r="AB847">
        <v>51</v>
      </c>
      <c r="AC847">
        <v>139.19099999999901</v>
      </c>
      <c r="AD847">
        <v>1.25688799999999</v>
      </c>
      <c r="AE847">
        <v>-12.587999999999999</v>
      </c>
      <c r="AF847">
        <v>12.4154601165119</v>
      </c>
      <c r="AG847">
        <v>1.25688799999999</v>
      </c>
      <c r="AH847">
        <v>139.195148706672</v>
      </c>
      <c r="AI847">
        <v>89.4846969839964</v>
      </c>
      <c r="AJ847">
        <v>84.903012125381395</v>
      </c>
      <c r="AK847">
        <v>139.753400104691</v>
      </c>
      <c r="AL847">
        <v>87.5656483362432</v>
      </c>
      <c r="AM847">
        <v>90.115966597328807</v>
      </c>
      <c r="AN847">
        <v>1.0000000024436999</v>
      </c>
    </row>
    <row r="848" spans="1:40" x14ac:dyDescent="0.25">
      <c r="A848" t="str">
        <f>"20190312160316724"</f>
        <v>20190312160316724</v>
      </c>
      <c r="B848" t="str">
        <f>"1552377796715422"</f>
        <v>1552377796715422</v>
      </c>
      <c r="C848" t="s">
        <v>40</v>
      </c>
      <c r="D848">
        <v>5.0862030000000003</v>
      </c>
      <c r="E848">
        <v>0.53386199999999995</v>
      </c>
      <c r="F848" t="s">
        <v>42</v>
      </c>
      <c r="G848">
        <v>-169.2955</v>
      </c>
      <c r="H848">
        <v>2.2094839999999998</v>
      </c>
      <c r="I848">
        <v>355.3852</v>
      </c>
      <c r="J848">
        <v>-308.24939999999998</v>
      </c>
      <c r="K848">
        <v>1.064994</v>
      </c>
      <c r="L848">
        <v>367.99040000000002</v>
      </c>
      <c r="M848">
        <v>0.99982280000000001</v>
      </c>
      <c r="N848">
        <v>0</v>
      </c>
      <c r="O848">
        <v>-1.2307500000000001E-3</v>
      </c>
      <c r="P848">
        <v>0.99971779999999999</v>
      </c>
      <c r="Q848">
        <v>2.3748370000000001E-2</v>
      </c>
      <c r="R848">
        <v>7.1199339999999999E-4</v>
      </c>
      <c r="S848">
        <v>3.0004270000000002</v>
      </c>
      <c r="T848">
        <v>2.4662730000000001E-2</v>
      </c>
      <c r="U848">
        <v>-0.27172849999999998</v>
      </c>
      <c r="V848">
        <v>-1.941178E-3</v>
      </c>
      <c r="W848">
        <v>4.2528980000000001E-2</v>
      </c>
      <c r="X848">
        <v>0.99909340000000002</v>
      </c>
      <c r="Y848">
        <v>8.8965199999999994E-2</v>
      </c>
      <c r="Z848">
        <v>3.5478529999999998E-4</v>
      </c>
      <c r="AA848">
        <v>0.99603470000000005</v>
      </c>
      <c r="AB848">
        <v>51</v>
      </c>
      <c r="AC848">
        <v>138.95389999999901</v>
      </c>
      <c r="AD848">
        <v>1.14449</v>
      </c>
      <c r="AE848">
        <v>-12.6052</v>
      </c>
      <c r="AF848">
        <v>12.433306172661799</v>
      </c>
      <c r="AG848">
        <v>1.14449</v>
      </c>
      <c r="AH848">
        <v>138.95996128211601</v>
      </c>
      <c r="AI848">
        <v>89.529993638326204</v>
      </c>
      <c r="AJ848">
        <v>84.887131208162302</v>
      </c>
      <c r="AK848">
        <v>139.519775656608</v>
      </c>
      <c r="AL848">
        <v>87.562533909277505</v>
      </c>
      <c r="AM848">
        <v>90.111322091337996</v>
      </c>
      <c r="AN848">
        <v>1.0000000521177099</v>
      </c>
    </row>
    <row r="849" spans="1:40" x14ac:dyDescent="0.25">
      <c r="A849" t="str">
        <f>"20190312160316734"</f>
        <v>20190312160316734</v>
      </c>
      <c r="B849" t="str">
        <f>"1552377796725182"</f>
        <v>1552377796725182</v>
      </c>
      <c r="C849" t="s">
        <v>40</v>
      </c>
      <c r="D849">
        <v>5.1303159999999997</v>
      </c>
      <c r="E849">
        <v>0.53380229999999995</v>
      </c>
      <c r="F849" t="s">
        <v>42</v>
      </c>
      <c r="G849">
        <v>-169.2955</v>
      </c>
      <c r="H849">
        <v>2.1421199999999998</v>
      </c>
      <c r="I849">
        <v>355.45310000000001</v>
      </c>
      <c r="J849">
        <v>-308.00830000000002</v>
      </c>
      <c r="K849">
        <v>1.0645709999999999</v>
      </c>
      <c r="L849">
        <v>367.99009999999998</v>
      </c>
      <c r="M849">
        <v>0.9998262</v>
      </c>
      <c r="N849">
        <v>0</v>
      </c>
      <c r="O849">
        <v>-1.229366E-3</v>
      </c>
      <c r="P849">
        <v>0.99970689999999995</v>
      </c>
      <c r="Q849">
        <v>2.420808E-2</v>
      </c>
      <c r="R849">
        <v>3.4349929999999998E-4</v>
      </c>
      <c r="S849">
        <v>3.0004580000000001</v>
      </c>
      <c r="T849">
        <v>2.3260469999999998E-2</v>
      </c>
      <c r="U849">
        <v>-0.2707214</v>
      </c>
      <c r="V849">
        <v>-1.571469E-3</v>
      </c>
      <c r="W849">
        <v>4.2801949999999998E-2</v>
      </c>
      <c r="X849">
        <v>0.99908229999999998</v>
      </c>
      <c r="Y849">
        <v>8.8634409999999997E-2</v>
      </c>
      <c r="Z849">
        <v>3.3334659999999998E-4</v>
      </c>
      <c r="AA849">
        <v>0.99606419999999996</v>
      </c>
      <c r="AB849">
        <v>51</v>
      </c>
      <c r="AC849">
        <v>138.71279999999999</v>
      </c>
      <c r="AD849">
        <v>1.0775490000000001</v>
      </c>
      <c r="AE849">
        <v>-12.5369999999999</v>
      </c>
      <c r="AF849">
        <v>12.365692047684901</v>
      </c>
      <c r="AG849">
        <v>1.0775490000000001</v>
      </c>
      <c r="AH849">
        <v>138.719807157481</v>
      </c>
      <c r="AI849">
        <v>89.556703971149204</v>
      </c>
      <c r="AJ849">
        <v>84.906032225414904</v>
      </c>
      <c r="AK849">
        <v>139.27403329219101</v>
      </c>
      <c r="AL849">
        <v>87.546879398730496</v>
      </c>
      <c r="AM849">
        <v>90.090121171281197</v>
      </c>
      <c r="AN849">
        <v>0.99999995930595398</v>
      </c>
    </row>
    <row r="850" spans="1:40" x14ac:dyDescent="0.25">
      <c r="A850" t="str">
        <f>"20190312160316744"</f>
        <v>20190312160316744</v>
      </c>
      <c r="B850" t="str">
        <f>"1552377796735918"</f>
        <v>1552377796735918</v>
      </c>
      <c r="C850" t="s">
        <v>40</v>
      </c>
      <c r="D850">
        <v>5.0968499999999999</v>
      </c>
      <c r="E850">
        <v>0.53376409999999996</v>
      </c>
      <c r="F850" t="s">
        <v>42</v>
      </c>
      <c r="G850">
        <v>-169.2955</v>
      </c>
      <c r="H850">
        <v>2.1674280000000001</v>
      </c>
      <c r="I850">
        <v>355.43349999999998</v>
      </c>
      <c r="J850">
        <v>-307.77179999999998</v>
      </c>
      <c r="K850">
        <v>1.064168</v>
      </c>
      <c r="L850">
        <v>367.98989999999998</v>
      </c>
      <c r="M850">
        <v>0.99982959999999999</v>
      </c>
      <c r="N850">
        <v>0</v>
      </c>
      <c r="O850">
        <v>-1.228058E-3</v>
      </c>
      <c r="P850">
        <v>0.99969379999999997</v>
      </c>
      <c r="Q850">
        <v>2.4744180000000001E-2</v>
      </c>
      <c r="R850">
        <v>2.423254E-4</v>
      </c>
      <c r="S850">
        <v>3.0004270000000002</v>
      </c>
      <c r="T850">
        <v>2.3857239999999998E-2</v>
      </c>
      <c r="U850">
        <v>-0.27160640000000003</v>
      </c>
      <c r="V850">
        <v>-1.468544E-3</v>
      </c>
      <c r="W850">
        <v>4.3157349999999997E-2</v>
      </c>
      <c r="X850">
        <v>0.99906719999999904</v>
      </c>
      <c r="Y850">
        <v>8.8927870000000006E-2</v>
      </c>
      <c r="Z850">
        <v>3.4307229999999998E-4</v>
      </c>
      <c r="AA850">
        <v>0.99603799999999998</v>
      </c>
      <c r="AB850">
        <v>51</v>
      </c>
      <c r="AC850">
        <v>138.47629999999899</v>
      </c>
      <c r="AD850">
        <v>1.1032599999999899</v>
      </c>
      <c r="AE850">
        <v>-12.556399999999901</v>
      </c>
      <c r="AF850">
        <v>12.385524982283499</v>
      </c>
      <c r="AG850">
        <v>1.1032599999999899</v>
      </c>
      <c r="AH850">
        <v>138.48289958757201</v>
      </c>
      <c r="AI850">
        <v>89.545362570306494</v>
      </c>
      <c r="AJ850">
        <v>84.8892231152401</v>
      </c>
      <c r="AK850">
        <v>139.04003700336099</v>
      </c>
      <c r="AL850">
        <v>87.526497724369705</v>
      </c>
      <c r="AM850">
        <v>90.084219872926695</v>
      </c>
      <c r="AN850">
        <v>0.99999999179817101</v>
      </c>
    </row>
    <row r="851" spans="1:40" x14ac:dyDescent="0.25">
      <c r="A851" t="str">
        <f>"20190312160316755"</f>
        <v>20190312160316755</v>
      </c>
      <c r="B851" t="str">
        <f>"1552377796745678"</f>
        <v>1552377796745678</v>
      </c>
      <c r="C851" t="s">
        <v>40</v>
      </c>
      <c r="D851">
        <v>5.0782480000000003</v>
      </c>
      <c r="E851">
        <v>0.53391980000000006</v>
      </c>
      <c r="F851" t="s">
        <v>42</v>
      </c>
      <c r="G851">
        <v>-169.2955</v>
      </c>
      <c r="H851">
        <v>2.0519189999999998</v>
      </c>
      <c r="I851">
        <v>355.44920000000002</v>
      </c>
      <c r="J851">
        <v>-307.55349999999999</v>
      </c>
      <c r="K851">
        <v>1.063841</v>
      </c>
      <c r="L851">
        <v>367.9896</v>
      </c>
      <c r="M851">
        <v>0.99983250000000001</v>
      </c>
      <c r="N851">
        <v>0</v>
      </c>
      <c r="O851">
        <v>-1.226736E-3</v>
      </c>
      <c r="P851">
        <v>0.99968400000000002</v>
      </c>
      <c r="Q851">
        <v>2.5141449999999999E-2</v>
      </c>
      <c r="R851">
        <v>2.7236989999999999E-4</v>
      </c>
      <c r="S851">
        <v>3.0004580000000001</v>
      </c>
      <c r="T851">
        <v>2.140415E-2</v>
      </c>
      <c r="U851">
        <v>-0.27172849999999998</v>
      </c>
      <c r="V851">
        <v>-1.4975889999999999E-3</v>
      </c>
      <c r="W851">
        <v>4.3397930000000001E-2</v>
      </c>
      <c r="X851">
        <v>0.99905679999999997</v>
      </c>
      <c r="Y851">
        <v>8.8969019999999996E-2</v>
      </c>
      <c r="Z851">
        <v>3.0794950000000002E-4</v>
      </c>
      <c r="AA851">
        <v>0.99603430000000004</v>
      </c>
      <c r="AB851">
        <v>51</v>
      </c>
      <c r="AC851">
        <v>138.25799999999899</v>
      </c>
      <c r="AD851">
        <v>0.98807799999999901</v>
      </c>
      <c r="AE851">
        <v>-12.540399999999901</v>
      </c>
      <c r="AF851">
        <v>12.370129569359399</v>
      </c>
      <c r="AG851">
        <v>0.98807799999999901</v>
      </c>
      <c r="AH851">
        <v>138.26627803875101</v>
      </c>
      <c r="AI851">
        <v>89.592188852755697</v>
      </c>
      <c r="AJ851">
        <v>84.887587515280501</v>
      </c>
      <c r="AK851">
        <v>138.82204452602701</v>
      </c>
      <c r="AL851">
        <v>87.512700739516404</v>
      </c>
      <c r="AM851">
        <v>90.085886472997998</v>
      </c>
      <c r="AN851">
        <v>1.00000005636366</v>
      </c>
    </row>
    <row r="852" spans="1:40" x14ac:dyDescent="0.25">
      <c r="A852" t="str">
        <f>"20190312160316766"</f>
        <v>20190312160316766</v>
      </c>
      <c r="B852" t="str">
        <f>"1552377796755438"</f>
        <v>1552377796755438</v>
      </c>
      <c r="C852" t="s">
        <v>40</v>
      </c>
      <c r="D852">
        <v>5.1343449999999997</v>
      </c>
      <c r="E852">
        <v>0.53393849999999998</v>
      </c>
      <c r="F852" t="s">
        <v>42</v>
      </c>
      <c r="G852">
        <v>-169.2955</v>
      </c>
      <c r="H852">
        <v>1.6609259999999999</v>
      </c>
      <c r="I852">
        <v>355.38819999999998</v>
      </c>
      <c r="J852">
        <v>-307.30009999999999</v>
      </c>
      <c r="K852">
        <v>1.063472</v>
      </c>
      <c r="L852">
        <v>367.98930000000001</v>
      </c>
      <c r="M852">
        <v>0.99983580000000005</v>
      </c>
      <c r="N852">
        <v>0</v>
      </c>
      <c r="O852">
        <v>-1.225694E-3</v>
      </c>
      <c r="P852">
        <v>0.99967070000000002</v>
      </c>
      <c r="Q852">
        <v>2.5659270000000001E-2</v>
      </c>
      <c r="R852">
        <v>2.2275600000000001E-4</v>
      </c>
      <c r="S852">
        <v>3.000702</v>
      </c>
      <c r="T852">
        <v>1.296079E-2</v>
      </c>
      <c r="U852">
        <v>-0.27349849999999998</v>
      </c>
      <c r="V852">
        <v>-1.44707E-3</v>
      </c>
      <c r="W852">
        <v>4.3735209999999997E-2</v>
      </c>
      <c r="X852">
        <v>0.99904210000000004</v>
      </c>
      <c r="Y852">
        <v>8.9546899999999999E-2</v>
      </c>
      <c r="Z852">
        <v>1.8770310000000001E-4</v>
      </c>
      <c r="AA852">
        <v>0.99598260000000005</v>
      </c>
      <c r="AB852">
        <v>51</v>
      </c>
      <c r="AC852">
        <v>138.00459999999899</v>
      </c>
      <c r="AD852">
        <v>0.59745399999999904</v>
      </c>
      <c r="AE852">
        <v>-12.601100000000001</v>
      </c>
      <c r="AF852">
        <v>12.4316803979467</v>
      </c>
      <c r="AG852">
        <v>0.59745399999999904</v>
      </c>
      <c r="AH852">
        <v>138.01737855137199</v>
      </c>
      <c r="AI852">
        <v>89.752977797364196</v>
      </c>
      <c r="AJ852">
        <v>84.853069575921495</v>
      </c>
      <c r="AK852">
        <v>138.57741667021901</v>
      </c>
      <c r="AL852">
        <v>87.493357488016002</v>
      </c>
      <c r="AM852">
        <v>90.082990442221401</v>
      </c>
      <c r="AN852">
        <v>0.99999999008886897</v>
      </c>
    </row>
    <row r="853" spans="1:40" x14ac:dyDescent="0.25">
      <c r="A853" t="str">
        <f>"20190312160316776"</f>
        <v>20190312160316776</v>
      </c>
      <c r="B853" t="str">
        <f>"1552377796765197"</f>
        <v>1552377796765197</v>
      </c>
      <c r="C853" t="s">
        <v>40</v>
      </c>
      <c r="D853">
        <v>5.1460189999999999</v>
      </c>
      <c r="E853">
        <v>0.5340509</v>
      </c>
      <c r="F853" t="s">
        <v>42</v>
      </c>
      <c r="G853">
        <v>-169.2955</v>
      </c>
      <c r="H853">
        <v>1.7605230000000001</v>
      </c>
      <c r="I853">
        <v>355.40499999999997</v>
      </c>
      <c r="J853">
        <v>-307.06920000000002</v>
      </c>
      <c r="K853">
        <v>1.0631870000000001</v>
      </c>
      <c r="L853">
        <v>367.98899999999998</v>
      </c>
      <c r="M853">
        <v>0.99983840000000002</v>
      </c>
      <c r="N853">
        <v>0</v>
      </c>
      <c r="O853">
        <v>-1.2244339999999999E-3</v>
      </c>
      <c r="P853">
        <v>0.99965930000000003</v>
      </c>
      <c r="Q853">
        <v>2.6100780000000001E-2</v>
      </c>
      <c r="R853">
        <v>1.130363E-4</v>
      </c>
      <c r="S853">
        <v>3.0006409999999999</v>
      </c>
      <c r="T853">
        <v>1.515794E-2</v>
      </c>
      <c r="U853">
        <v>-0.27362059999999999</v>
      </c>
      <c r="V853">
        <v>-1.3355800000000001E-3</v>
      </c>
      <c r="W853">
        <v>4.4023899999999998E-2</v>
      </c>
      <c r="X853">
        <v>0.99902959999999996</v>
      </c>
      <c r="Y853">
        <v>8.9589870000000002E-2</v>
      </c>
      <c r="Z853">
        <v>2.1964139999999999E-4</v>
      </c>
      <c r="AA853">
        <v>0.99597869999999999</v>
      </c>
      <c r="AB853">
        <v>51</v>
      </c>
      <c r="AC853">
        <v>137.77369999999999</v>
      </c>
      <c r="AD853">
        <v>0.69733599999999996</v>
      </c>
      <c r="AE853">
        <v>-12.584</v>
      </c>
      <c r="AF853">
        <v>12.414953202746</v>
      </c>
      <c r="AG853">
        <v>0.69733599999999996</v>
      </c>
      <c r="AH853">
        <v>137.78550680943201</v>
      </c>
      <c r="AI853">
        <v>89.711197012884995</v>
      </c>
      <c r="AJ853">
        <v>84.851354355377893</v>
      </c>
      <c r="AK853">
        <v>138.34544888522899</v>
      </c>
      <c r="AL853">
        <v>87.476800884210704</v>
      </c>
      <c r="AM853">
        <v>90.076597381712901</v>
      </c>
      <c r="AN853">
        <v>1.00000001461065</v>
      </c>
    </row>
    <row r="854" spans="1:40" x14ac:dyDescent="0.25">
      <c r="A854" t="str">
        <f>"20190312160316787"</f>
        <v>20190312160316787</v>
      </c>
      <c r="B854" t="str">
        <f>"1552377796775934"</f>
        <v>1552377796775934</v>
      </c>
      <c r="C854" t="s">
        <v>40</v>
      </c>
      <c r="D854">
        <v>5.6223929999999998</v>
      </c>
      <c r="E854">
        <v>0.53379600000000005</v>
      </c>
      <c r="F854" t="s">
        <v>42</v>
      </c>
      <c r="G854">
        <v>-169.2955</v>
      </c>
      <c r="H854">
        <v>1.8522670000000001</v>
      </c>
      <c r="I854">
        <v>355.37099999999998</v>
      </c>
      <c r="J854">
        <v>-306.81909999999999</v>
      </c>
      <c r="K854">
        <v>1.062872</v>
      </c>
      <c r="L854">
        <v>367.98869999999999</v>
      </c>
      <c r="M854">
        <v>0.9998416</v>
      </c>
      <c r="N854">
        <v>0</v>
      </c>
      <c r="O854">
        <v>-1.2230850000000001E-3</v>
      </c>
      <c r="P854">
        <v>0.99965079999999995</v>
      </c>
      <c r="Q854">
        <v>2.6433100000000001E-2</v>
      </c>
      <c r="R854" s="1">
        <v>-5.3229450000000003E-7</v>
      </c>
      <c r="S854">
        <v>3.00061</v>
      </c>
      <c r="T854">
        <v>1.7187480000000002E-2</v>
      </c>
      <c r="U854">
        <v>-0.27481080000000002</v>
      </c>
      <c r="V854">
        <v>-1.220765E-3</v>
      </c>
      <c r="W854">
        <v>4.4192049999999997E-2</v>
      </c>
      <c r="X854">
        <v>0.99902230000000003</v>
      </c>
      <c r="Y854">
        <v>8.9983579999999994E-2</v>
      </c>
      <c r="Z854">
        <v>2.5018030000000001E-4</v>
      </c>
      <c r="AA854">
        <v>0.99594320000000003</v>
      </c>
      <c r="AB854">
        <v>51</v>
      </c>
      <c r="AC854">
        <v>137.52359999999999</v>
      </c>
      <c r="AD854">
        <v>0.78939499999999896</v>
      </c>
      <c r="AE854">
        <v>-12.617699999999999</v>
      </c>
      <c r="AF854">
        <v>12.4490542330067</v>
      </c>
      <c r="AG854">
        <v>0.78939499999999896</v>
      </c>
      <c r="AH854">
        <v>137.53443834581699</v>
      </c>
      <c r="AI854">
        <v>89.6724866942929</v>
      </c>
      <c r="AJ854">
        <v>84.827915089537399</v>
      </c>
      <c r="AK854">
        <v>138.09896388772</v>
      </c>
      <c r="AL854">
        <v>87.467157155495997</v>
      </c>
      <c r="AM854">
        <v>90.070013099270994</v>
      </c>
      <c r="AN854">
        <v>0.99999999172383802</v>
      </c>
    </row>
    <row r="855" spans="1:40" x14ac:dyDescent="0.25">
      <c r="A855" t="str">
        <f>"20190312160316799"</f>
        <v>20190312160316799</v>
      </c>
      <c r="B855" t="str">
        <f>"1552377796795454"</f>
        <v>1552377796795454</v>
      </c>
      <c r="C855" t="s">
        <v>40</v>
      </c>
      <c r="D855">
        <v>5.1466289999999999</v>
      </c>
      <c r="E855">
        <v>0.53320829999999997</v>
      </c>
      <c r="F855" t="s">
        <v>42</v>
      </c>
      <c r="G855">
        <v>-169.2955</v>
      </c>
      <c r="H855">
        <v>2.0122239999999998</v>
      </c>
      <c r="I855">
        <v>355.48129999999998</v>
      </c>
      <c r="J855">
        <v>-306.54829999999998</v>
      </c>
      <c r="K855">
        <v>1.062581</v>
      </c>
      <c r="L855">
        <v>367.98840000000001</v>
      </c>
      <c r="M855">
        <v>0.99984430000000002</v>
      </c>
      <c r="N855">
        <v>0</v>
      </c>
      <c r="O855">
        <v>-1.2218719999999999E-3</v>
      </c>
      <c r="P855">
        <v>0.99963740000000001</v>
      </c>
      <c r="Q855">
        <v>2.6936129999999999E-2</v>
      </c>
      <c r="R855" s="1">
        <v>7.4688939999999998E-5</v>
      </c>
      <c r="S855">
        <v>3.0004879999999998</v>
      </c>
      <c r="T855">
        <v>2.0714880000000001E-2</v>
      </c>
      <c r="U855">
        <v>-0.27288820000000003</v>
      </c>
      <c r="V855">
        <v>-1.2950590000000001E-3</v>
      </c>
      <c r="W855">
        <v>4.45317E-2</v>
      </c>
      <c r="X855">
        <v>0.99900710000000004</v>
      </c>
      <c r="Y855">
        <v>8.9354920000000004E-2</v>
      </c>
      <c r="Z855">
        <v>2.9938760000000001E-4</v>
      </c>
      <c r="AA855">
        <v>0.99599979999999999</v>
      </c>
      <c r="AB855">
        <v>51</v>
      </c>
      <c r="AC855">
        <v>137.25279999999901</v>
      </c>
      <c r="AD855">
        <v>0.94964300000000001</v>
      </c>
      <c r="AE855">
        <v>-12.507099999999999</v>
      </c>
      <c r="AF855">
        <v>12.3387735040167</v>
      </c>
      <c r="AG855">
        <v>0.94964300000000001</v>
      </c>
      <c r="AH855">
        <v>137.26146513662101</v>
      </c>
      <c r="AI855">
        <v>89.605197531989205</v>
      </c>
      <c r="AJ855">
        <v>84.863346446619801</v>
      </c>
      <c r="AK855">
        <v>137.81820258900001</v>
      </c>
      <c r="AL855">
        <v>87.447677405066599</v>
      </c>
      <c r="AM855">
        <v>90.074275121122696</v>
      </c>
      <c r="AN855">
        <v>0.99999996766655597</v>
      </c>
    </row>
    <row r="856" spans="1:40" x14ac:dyDescent="0.25">
      <c r="A856" t="str">
        <f>"20190312160316812"</f>
        <v>20190312160316812</v>
      </c>
      <c r="B856" t="str">
        <f>"1552377796805214"</f>
        <v>1552377796805214</v>
      </c>
      <c r="C856" t="s">
        <v>40</v>
      </c>
      <c r="D856">
        <v>5.2497210000000001</v>
      </c>
      <c r="E856">
        <v>0.53298990000000002</v>
      </c>
      <c r="F856" t="s">
        <v>42</v>
      </c>
      <c r="G856">
        <v>-169.2955</v>
      </c>
      <c r="H856">
        <v>2.1991689999999999</v>
      </c>
      <c r="I856">
        <v>355.7439</v>
      </c>
      <c r="J856">
        <v>-306.26280000000003</v>
      </c>
      <c r="K856">
        <v>1.062292</v>
      </c>
      <c r="L856">
        <v>367.988</v>
      </c>
      <c r="M856">
        <v>0.99984740000000005</v>
      </c>
      <c r="N856">
        <v>0</v>
      </c>
      <c r="O856">
        <v>-1.2208779999999999E-3</v>
      </c>
      <c r="P856">
        <v>0.99963329999999995</v>
      </c>
      <c r="Q856">
        <v>2.708489E-2</v>
      </c>
      <c r="R856">
        <v>1.3282950000000001E-4</v>
      </c>
      <c r="S856">
        <v>3.000397</v>
      </c>
      <c r="T856">
        <v>2.4848100000000001E-2</v>
      </c>
      <c r="U856">
        <v>-0.26766970000000001</v>
      </c>
      <c r="V856">
        <v>-1.352224E-3</v>
      </c>
      <c r="W856">
        <v>4.4512650000000001E-2</v>
      </c>
      <c r="X856">
        <v>0.99900789999999995</v>
      </c>
      <c r="Y856">
        <v>8.7639289999999995E-2</v>
      </c>
      <c r="Z856">
        <v>3.5207959999999998E-4</v>
      </c>
      <c r="AA856">
        <v>0.99615220000000004</v>
      </c>
      <c r="AB856">
        <v>51</v>
      </c>
      <c r="AC856">
        <v>136.96729999999999</v>
      </c>
      <c r="AD856">
        <v>1.1368769999999999</v>
      </c>
      <c r="AE856">
        <v>-12.2441</v>
      </c>
      <c r="AF856">
        <v>12.076019719855701</v>
      </c>
      <c r="AG856">
        <v>1.1368769999999999</v>
      </c>
      <c r="AH856">
        <v>136.97278667019501</v>
      </c>
      <c r="AI856">
        <v>89.526292126190398</v>
      </c>
      <c r="AJ856">
        <v>84.961622608324305</v>
      </c>
      <c r="AK856">
        <v>137.50878891833099</v>
      </c>
      <c r="AL856">
        <v>87.448770041321694</v>
      </c>
      <c r="AM856">
        <v>90.077553621788297</v>
      </c>
      <c r="AN856">
        <v>0.999999994391089</v>
      </c>
    </row>
    <row r="857" spans="1:40" x14ac:dyDescent="0.25">
      <c r="A857" t="str">
        <f>"20190312160316823"</f>
        <v>20190312160316823</v>
      </c>
      <c r="B857" t="str">
        <f>"1552377796815950"</f>
        <v>1552377796815950</v>
      </c>
      <c r="C857" t="s">
        <v>40</v>
      </c>
      <c r="D857">
        <v>5.2048259999999997</v>
      </c>
      <c r="E857">
        <v>0.5328562</v>
      </c>
      <c r="F857" t="s">
        <v>42</v>
      </c>
      <c r="G857">
        <v>-169.2955</v>
      </c>
      <c r="H857">
        <v>2.2509320000000002</v>
      </c>
      <c r="I857">
        <v>355.83879999999999</v>
      </c>
      <c r="J857">
        <v>-305.97879999999998</v>
      </c>
      <c r="K857">
        <v>1.0620320000000001</v>
      </c>
      <c r="L857">
        <v>367.98770000000002</v>
      </c>
      <c r="M857">
        <v>0.99985000000000002</v>
      </c>
      <c r="N857">
        <v>0</v>
      </c>
      <c r="O857">
        <v>-1.21951E-3</v>
      </c>
      <c r="P857">
        <v>0.99962850000000003</v>
      </c>
      <c r="Q857">
        <v>2.7256349999999999E-2</v>
      </c>
      <c r="R857" s="1">
        <v>4.3353139999999999E-5</v>
      </c>
      <c r="S857">
        <v>3.0004270000000002</v>
      </c>
      <c r="T857">
        <v>2.604043E-2</v>
      </c>
      <c r="U857">
        <v>-0.26614379999999999</v>
      </c>
      <c r="V857">
        <v>-1.2612369999999999E-3</v>
      </c>
      <c r="W857">
        <v>4.4527419999999998E-2</v>
      </c>
      <c r="X857">
        <v>0.99900730000000004</v>
      </c>
      <c r="Y857">
        <v>8.713688E-2</v>
      </c>
      <c r="Z857">
        <v>3.6681410000000001E-4</v>
      </c>
      <c r="AA857">
        <v>0.99619630000000003</v>
      </c>
      <c r="AB857">
        <v>51</v>
      </c>
      <c r="AC857">
        <v>136.68329999999901</v>
      </c>
      <c r="AD857">
        <v>1.1889000000000001</v>
      </c>
      <c r="AE857">
        <v>-12.148899999999999</v>
      </c>
      <c r="AF857">
        <v>11.981280044934801</v>
      </c>
      <c r="AG857">
        <v>1.1889000000000001</v>
      </c>
      <c r="AH857">
        <v>136.687755671258</v>
      </c>
      <c r="AI857">
        <v>89.503561505186994</v>
      </c>
      <c r="AJ857">
        <v>84.990577584896897</v>
      </c>
      <c r="AK857">
        <v>137.217007346651</v>
      </c>
      <c r="AL857">
        <v>87.447922787634695</v>
      </c>
      <c r="AM857">
        <v>90.072335325950604</v>
      </c>
      <c r="AN857">
        <v>0.99999993365195605</v>
      </c>
    </row>
    <row r="858" spans="1:40" x14ac:dyDescent="0.25">
      <c r="A858" t="str">
        <f>"20190312160316835"</f>
        <v>20190312160316835</v>
      </c>
      <c r="B858" t="str">
        <f>"1552377796825710"</f>
        <v>1552377796825710</v>
      </c>
      <c r="C858" t="s">
        <v>40</v>
      </c>
      <c r="D858">
        <v>5.727875</v>
      </c>
      <c r="E858">
        <v>0.53266230000000003</v>
      </c>
      <c r="F858" t="s">
        <v>42</v>
      </c>
      <c r="G858">
        <v>-169.2955</v>
      </c>
      <c r="H858">
        <v>2.2705739999999999</v>
      </c>
      <c r="I858">
        <v>355.91199999999998</v>
      </c>
      <c r="J858">
        <v>-305.71510000000001</v>
      </c>
      <c r="K858">
        <v>1.061817</v>
      </c>
      <c r="L858">
        <v>367.98739999999998</v>
      </c>
      <c r="M858">
        <v>0.99985219999999997</v>
      </c>
      <c r="N858">
        <v>0</v>
      </c>
      <c r="O858">
        <v>-1.218331E-3</v>
      </c>
      <c r="P858">
        <v>0.99962150000000005</v>
      </c>
      <c r="Q858">
        <v>2.75112E-2</v>
      </c>
      <c r="R858" s="1">
        <v>-3.2563400000000001E-5</v>
      </c>
      <c r="S858">
        <v>3.0003660000000001</v>
      </c>
      <c r="T858">
        <v>2.653086E-2</v>
      </c>
      <c r="U858">
        <v>-0.26507570000000003</v>
      </c>
      <c r="V858">
        <v>-1.18406E-3</v>
      </c>
      <c r="W858">
        <v>4.4645549999999999E-2</v>
      </c>
      <c r="X858">
        <v>0.99900219999999995</v>
      </c>
      <c r="Y858">
        <v>8.6787829999999996E-2</v>
      </c>
      <c r="Z858">
        <v>3.722059E-4</v>
      </c>
      <c r="AA858">
        <v>0.99622670000000002</v>
      </c>
      <c r="AB858">
        <v>51</v>
      </c>
      <c r="AC858">
        <v>136.4196</v>
      </c>
      <c r="AD858">
        <v>1.2087570000000001</v>
      </c>
      <c r="AE858">
        <v>-12.0754</v>
      </c>
      <c r="AF858">
        <v>11.908234716408099</v>
      </c>
      <c r="AG858">
        <v>1.2087570000000001</v>
      </c>
      <c r="AH858">
        <v>136.42358538650399</v>
      </c>
      <c r="AI858">
        <v>89.494277058595699</v>
      </c>
      <c r="AJ858">
        <v>85.011371359992793</v>
      </c>
      <c r="AK858">
        <v>136.94766079511899</v>
      </c>
      <c r="AL858">
        <v>87.441147898110799</v>
      </c>
      <c r="AM858">
        <v>90.067909368890497</v>
      </c>
      <c r="AN858">
        <v>1.0000000113688601</v>
      </c>
    </row>
    <row r="859" spans="1:40" x14ac:dyDescent="0.25">
      <c r="A859" t="str">
        <f>"20190312160316849"</f>
        <v>20190312160316849</v>
      </c>
      <c r="B859" t="str">
        <f>"1552377796845230"</f>
        <v>1552377796845230</v>
      </c>
      <c r="C859" t="s">
        <v>40</v>
      </c>
      <c r="D859">
        <v>5.1710760000000002</v>
      </c>
      <c r="E859">
        <v>0.53236660000000002</v>
      </c>
      <c r="F859" t="s">
        <v>42</v>
      </c>
      <c r="G859">
        <v>-169.2955</v>
      </c>
      <c r="H859">
        <v>2.3034180000000002</v>
      </c>
      <c r="I859">
        <v>355.99340000000001</v>
      </c>
      <c r="J859">
        <v>-305.41030000000001</v>
      </c>
      <c r="K859">
        <v>1.0615829999999999</v>
      </c>
      <c r="L859">
        <v>367.98700000000002</v>
      </c>
      <c r="M859">
        <v>0.99985489999999999</v>
      </c>
      <c r="N859">
        <v>0</v>
      </c>
      <c r="O859">
        <v>-1.2172680000000001E-3</v>
      </c>
      <c r="P859">
        <v>0.99961359999999999</v>
      </c>
      <c r="Q859">
        <v>2.7798420000000001E-2</v>
      </c>
      <c r="R859">
        <v>-1.3649420000000001E-4</v>
      </c>
      <c r="S859">
        <v>3.000397</v>
      </c>
      <c r="T859">
        <v>2.730954E-2</v>
      </c>
      <c r="U859">
        <v>-0.26379390000000003</v>
      </c>
      <c r="V859">
        <v>-1.079254E-3</v>
      </c>
      <c r="W859">
        <v>4.478037E-2</v>
      </c>
      <c r="X859">
        <v>0.99899629999999995</v>
      </c>
      <c r="Y859">
        <v>8.6365510000000006E-2</v>
      </c>
      <c r="Z859">
        <v>3.8122409999999997E-4</v>
      </c>
      <c r="AA859">
        <v>0.99626340000000002</v>
      </c>
      <c r="AB859">
        <v>51</v>
      </c>
      <c r="AC859">
        <v>136.1148</v>
      </c>
      <c r="AD859">
        <v>1.241835</v>
      </c>
      <c r="AE859">
        <v>-11.993599999999899</v>
      </c>
      <c r="AF859">
        <v>11.826902146275099</v>
      </c>
      <c r="AG859">
        <v>1.241835</v>
      </c>
      <c r="AH859">
        <v>136.118057873937</v>
      </c>
      <c r="AI859">
        <v>89.479254340627307</v>
      </c>
      <c r="AJ859">
        <v>85.034207502369696</v>
      </c>
      <c r="AK859">
        <v>136.63653774857301</v>
      </c>
      <c r="AL859">
        <v>87.433415587697795</v>
      </c>
      <c r="AM859">
        <v>90.061898802993994</v>
      </c>
      <c r="AN859">
        <v>1.0000000268701099</v>
      </c>
    </row>
    <row r="860" spans="1:40" x14ac:dyDescent="0.25">
      <c r="A860" t="str">
        <f>"20190312160316862"</f>
        <v>20190312160316862</v>
      </c>
      <c r="B860" t="str">
        <f>"1552377796855965"</f>
        <v>1552377796855965</v>
      </c>
      <c r="C860" t="s">
        <v>40</v>
      </c>
      <c r="D860">
        <v>5.2562430000000004</v>
      </c>
      <c r="E860">
        <v>0.53259630000000002</v>
      </c>
      <c r="F860" t="s">
        <v>42</v>
      </c>
      <c r="G860">
        <v>-169.2955</v>
      </c>
      <c r="H860">
        <v>2.3507449999999999</v>
      </c>
      <c r="I860">
        <v>356.11669999999998</v>
      </c>
      <c r="J860">
        <v>-305.09690000000001</v>
      </c>
      <c r="K860">
        <v>1.061377</v>
      </c>
      <c r="L860">
        <v>367.98660000000001</v>
      </c>
      <c r="M860">
        <v>0.99985729999999995</v>
      </c>
      <c r="N860">
        <v>0</v>
      </c>
      <c r="O860">
        <v>-1.2160459999999999E-3</v>
      </c>
      <c r="P860">
        <v>0.99961500000000003</v>
      </c>
      <c r="Q860">
        <v>2.774919E-2</v>
      </c>
      <c r="R860">
        <v>-1.5140579999999999E-4</v>
      </c>
      <c r="S860">
        <v>3.0003660000000001</v>
      </c>
      <c r="T860">
        <v>2.8418780000000001E-2</v>
      </c>
      <c r="U860">
        <v>-0.26165769999999999</v>
      </c>
      <c r="V860">
        <v>-1.063067E-3</v>
      </c>
      <c r="W860">
        <v>4.4587439999999999E-2</v>
      </c>
      <c r="X860">
        <v>0.99900489999999997</v>
      </c>
      <c r="Y860">
        <v>8.5663399999999904E-2</v>
      </c>
      <c r="Z860">
        <v>3.9341700000000002E-4</v>
      </c>
      <c r="AA860">
        <v>0.99632410000000005</v>
      </c>
      <c r="AB860">
        <v>51</v>
      </c>
      <c r="AC860">
        <v>135.8014</v>
      </c>
      <c r="AD860">
        <v>1.2893679999999901</v>
      </c>
      <c r="AE860">
        <v>-11.869899999999999</v>
      </c>
      <c r="AF860">
        <v>11.7036799871903</v>
      </c>
      <c r="AG860">
        <v>1.2893679999999901</v>
      </c>
      <c r="AH860">
        <v>135.80358665801199</v>
      </c>
      <c r="AI860">
        <v>89.458038419170506</v>
      </c>
      <c r="AJ860">
        <v>85.074366606648397</v>
      </c>
      <c r="AK860">
        <v>136.31306886818399</v>
      </c>
      <c r="AL860">
        <v>87.444480594602098</v>
      </c>
      <c r="AM860">
        <v>90.0609699005972</v>
      </c>
      <c r="AN860">
        <v>0.99999998007060398</v>
      </c>
    </row>
    <row r="861" spans="1:40" x14ac:dyDescent="0.25">
      <c r="A861" t="str">
        <f>"20190312160316876"</f>
        <v>20190312160316876</v>
      </c>
      <c r="B861" t="str">
        <f>"1552377796865726"</f>
        <v>1552377796865726</v>
      </c>
      <c r="C861" t="s">
        <v>40</v>
      </c>
      <c r="D861">
        <v>5.251995</v>
      </c>
      <c r="E861">
        <v>0.5328581</v>
      </c>
      <c r="F861" t="s">
        <v>42</v>
      </c>
      <c r="G861">
        <v>-169.2955</v>
      </c>
      <c r="H861">
        <v>2.182096</v>
      </c>
      <c r="I861">
        <v>356.0403</v>
      </c>
      <c r="J861">
        <v>-304.79660000000001</v>
      </c>
      <c r="K861">
        <v>1.0611999999999999</v>
      </c>
      <c r="L861">
        <v>367.98630000000003</v>
      </c>
      <c r="M861">
        <v>0.99985959999999996</v>
      </c>
      <c r="N861">
        <v>0</v>
      </c>
      <c r="O861">
        <v>-1.214959E-3</v>
      </c>
      <c r="P861">
        <v>0.99959569999999998</v>
      </c>
      <c r="Q861">
        <v>2.8426739999999999E-2</v>
      </c>
      <c r="R861">
        <v>-7.3329890000000005E-4</v>
      </c>
      <c r="S861">
        <v>3.0004580000000001</v>
      </c>
      <c r="T861">
        <v>2.476358E-2</v>
      </c>
      <c r="U861">
        <v>-0.26394649999999997</v>
      </c>
      <c r="V861">
        <v>-4.7998749999999998E-4</v>
      </c>
      <c r="W861">
        <v>4.5135250000000002E-2</v>
      </c>
      <c r="X861">
        <v>0.9989808</v>
      </c>
      <c r="Y861">
        <v>8.6416939999999998E-2</v>
      </c>
      <c r="Z861">
        <v>3.4590869999999999E-4</v>
      </c>
      <c r="AA861">
        <v>0.99625900000000001</v>
      </c>
      <c r="AB861">
        <v>51</v>
      </c>
      <c r="AC861">
        <v>135.50110000000001</v>
      </c>
      <c r="AD861">
        <v>1.1208959999999999</v>
      </c>
      <c r="AE861">
        <v>-11.946</v>
      </c>
      <c r="AF861">
        <v>11.780539982070801</v>
      </c>
      <c r="AG861">
        <v>1.1208959999999999</v>
      </c>
      <c r="AH861">
        <v>135.506314742781</v>
      </c>
      <c r="AI861">
        <v>89.527846142594697</v>
      </c>
      <c r="AJ861">
        <v>85.031357853538694</v>
      </c>
      <c r="AK861">
        <v>136.022052863797</v>
      </c>
      <c r="AL861">
        <v>87.413061890033703</v>
      </c>
      <c r="AM861">
        <v>90.027529313729204</v>
      </c>
      <c r="AN861">
        <v>1.0000000299745999</v>
      </c>
    </row>
    <row r="862" spans="1:40" x14ac:dyDescent="0.25">
      <c r="A862" t="str">
        <f>"20190312160316888"</f>
        <v>20190312160316888</v>
      </c>
      <c r="B862" t="str">
        <f>"1552377796875486"</f>
        <v>1552377796875486</v>
      </c>
      <c r="C862" t="s">
        <v>40</v>
      </c>
      <c r="D862">
        <v>5.1841239999999997</v>
      </c>
      <c r="E862">
        <v>0.53284969999999998</v>
      </c>
      <c r="F862" t="s">
        <v>42</v>
      </c>
      <c r="G862">
        <v>-169.2955</v>
      </c>
      <c r="H862">
        <v>2.121848</v>
      </c>
      <c r="I862">
        <v>355.9117</v>
      </c>
      <c r="J862">
        <v>-304.53899999999999</v>
      </c>
      <c r="K862">
        <v>1.061056</v>
      </c>
      <c r="L862">
        <v>367.98599999999999</v>
      </c>
      <c r="M862">
        <v>0.99986140000000001</v>
      </c>
      <c r="N862">
        <v>0</v>
      </c>
      <c r="O862">
        <v>-1.2140639999999999E-3</v>
      </c>
      <c r="P862">
        <v>0.99958210000000003</v>
      </c>
      <c r="Q862">
        <v>2.8898940000000001E-2</v>
      </c>
      <c r="R862">
        <v>-9.5519210000000003E-4</v>
      </c>
      <c r="S862">
        <v>3.0003660000000001</v>
      </c>
      <c r="T862">
        <v>2.3487569999999999E-2</v>
      </c>
      <c r="U862">
        <v>-0.2673645</v>
      </c>
      <c r="V862">
        <v>-2.57051E-4</v>
      </c>
      <c r="W862">
        <v>4.5500609999999997E-2</v>
      </c>
      <c r="X862">
        <v>0.99896430000000003</v>
      </c>
      <c r="Y862">
        <v>8.7546799999999994E-2</v>
      </c>
      <c r="Z862">
        <v>3.3249940000000002E-4</v>
      </c>
      <c r="AA862">
        <v>0.9961603</v>
      </c>
      <c r="AB862">
        <v>51</v>
      </c>
      <c r="AC862">
        <v>135.24349999999899</v>
      </c>
      <c r="AD862">
        <v>1.060792</v>
      </c>
      <c r="AE862">
        <v>-12.0742999999999</v>
      </c>
      <c r="AF862">
        <v>11.909347306628399</v>
      </c>
      <c r="AG862">
        <v>1.060792</v>
      </c>
      <c r="AH862">
        <v>135.24980630730499</v>
      </c>
      <c r="AI862">
        <v>89.552358642925</v>
      </c>
      <c r="AJ862">
        <v>84.967830651629001</v>
      </c>
      <c r="AK862">
        <v>135.77727327907499</v>
      </c>
      <c r="AL862">
        <v>87.392106755096904</v>
      </c>
      <c r="AM862">
        <v>90.014743206633597</v>
      </c>
      <c r="AN862">
        <v>1.00000002213003</v>
      </c>
    </row>
    <row r="863" spans="1:40" x14ac:dyDescent="0.25">
      <c r="A863" t="str">
        <f>"20190312160316898"</f>
        <v>20190312160316898</v>
      </c>
      <c r="B863" t="str">
        <f>"1552377796895981"</f>
        <v>1552377796895981</v>
      </c>
      <c r="C863" t="s">
        <v>40</v>
      </c>
      <c r="D863">
        <v>5.2602010000000003</v>
      </c>
      <c r="E863">
        <v>0.53330929999999999</v>
      </c>
      <c r="F863" t="s">
        <v>42</v>
      </c>
      <c r="G863">
        <v>-169.2955</v>
      </c>
      <c r="H863">
        <v>2.162229</v>
      </c>
      <c r="I863">
        <v>355.88060000000002</v>
      </c>
      <c r="J863">
        <v>-304.2756</v>
      </c>
      <c r="K863">
        <v>1.0609309999999901</v>
      </c>
      <c r="L863">
        <v>367.98570000000001</v>
      </c>
      <c r="M863">
        <v>0.99986299999999995</v>
      </c>
      <c r="N863">
        <v>0</v>
      </c>
      <c r="O863">
        <v>-1.212884E-3</v>
      </c>
      <c r="P863">
        <v>0.99957390000000002</v>
      </c>
      <c r="Q863">
        <v>2.918683E-2</v>
      </c>
      <c r="R863">
        <v>-7.6545129999999999E-4</v>
      </c>
      <c r="S863">
        <v>3.0003359999999999</v>
      </c>
      <c r="T863">
        <v>2.4431109999999999E-2</v>
      </c>
      <c r="U863">
        <v>-0.26855469999999998</v>
      </c>
      <c r="V863">
        <v>-4.4615509999999998E-4</v>
      </c>
      <c r="W863">
        <v>4.5688760000000002E-2</v>
      </c>
      <c r="X863">
        <v>0.99895560000000005</v>
      </c>
      <c r="Y863">
        <v>8.7940679999999993E-2</v>
      </c>
      <c r="Z863">
        <v>3.4746359999999999E-4</v>
      </c>
      <c r="AA863">
        <v>0.99612560000000006</v>
      </c>
      <c r="AB863">
        <v>51</v>
      </c>
      <c r="AC863">
        <v>134.98009999999999</v>
      </c>
      <c r="AD863">
        <v>1.1012979999999899</v>
      </c>
      <c r="AE863">
        <v>-12.105099999999901</v>
      </c>
      <c r="AF863">
        <v>11.940565052218201</v>
      </c>
      <c r="AG863">
        <v>1.1012979999999899</v>
      </c>
      <c r="AH863">
        <v>134.98577063507599</v>
      </c>
      <c r="AI863">
        <v>89.534373800181797</v>
      </c>
      <c r="AJ863">
        <v>84.9448902775585</v>
      </c>
      <c r="AK863">
        <v>135.51733551467299</v>
      </c>
      <c r="AL863">
        <v>87.381315211479802</v>
      </c>
      <c r="AM863">
        <v>90.025589528241795</v>
      </c>
      <c r="AN863">
        <v>0.99999997630803505</v>
      </c>
    </row>
    <row r="864" spans="1:40" x14ac:dyDescent="0.25">
      <c r="A864" t="str">
        <f>"20190312160316912"</f>
        <v>20190312160316912</v>
      </c>
      <c r="B864" t="str">
        <f>"1552377796905742"</f>
        <v>1552377796905742</v>
      </c>
      <c r="C864" t="s">
        <v>40</v>
      </c>
      <c r="D864">
        <v>5.2114390000000004</v>
      </c>
      <c r="E864">
        <v>0.53332619999999997</v>
      </c>
      <c r="F864" t="s">
        <v>42</v>
      </c>
      <c r="G864">
        <v>-169.2955</v>
      </c>
      <c r="H864">
        <v>1.976953</v>
      </c>
      <c r="I864">
        <v>355.75889999999998</v>
      </c>
      <c r="J864">
        <v>-303.95960000000002</v>
      </c>
      <c r="K864">
        <v>1.0607930000000001</v>
      </c>
      <c r="L864">
        <v>367.9853</v>
      </c>
      <c r="M864">
        <v>0.99986489999999995</v>
      </c>
      <c r="N864">
        <v>0</v>
      </c>
      <c r="O864">
        <v>-1.2113460000000001E-3</v>
      </c>
      <c r="P864">
        <v>0.99956520000000004</v>
      </c>
      <c r="Q864">
        <v>2.9487289999999999E-2</v>
      </c>
      <c r="R864">
        <v>-5.2574890000000002E-4</v>
      </c>
      <c r="S864">
        <v>3.0004879999999998</v>
      </c>
      <c r="T864">
        <v>2.0364279999999998E-2</v>
      </c>
      <c r="U864">
        <v>-0.27178960000000002</v>
      </c>
      <c r="V864">
        <v>-6.838425E-4</v>
      </c>
      <c r="W864">
        <v>4.5875010000000001E-2</v>
      </c>
      <c r="X864">
        <v>0.99894700000000003</v>
      </c>
      <c r="Y864">
        <v>8.9003789999999999E-2</v>
      </c>
      <c r="Z864">
        <v>2.9320790000000001E-4</v>
      </c>
      <c r="AA864">
        <v>0.99603120000000001</v>
      </c>
      <c r="AB864">
        <v>51</v>
      </c>
      <c r="AC864">
        <v>134.66409999999999</v>
      </c>
      <c r="AD864">
        <v>0.91615999999999997</v>
      </c>
      <c r="AE864">
        <v>-12.2264</v>
      </c>
      <c r="AF864">
        <v>12.062690531743399</v>
      </c>
      <c r="AG864">
        <v>0.91615999999999997</v>
      </c>
      <c r="AH864">
        <v>134.672631221795</v>
      </c>
      <c r="AI864">
        <v>89.611784586160596</v>
      </c>
      <c r="AJ864">
        <v>84.881649036363697</v>
      </c>
      <c r="AK864">
        <v>135.21488620788699</v>
      </c>
      <c r="AL864">
        <v>87.370632855883201</v>
      </c>
      <c r="AM864">
        <v>90.039222584362506</v>
      </c>
      <c r="AN864">
        <v>1.0000000464960299</v>
      </c>
    </row>
    <row r="865" spans="1:40" x14ac:dyDescent="0.25">
      <c r="A865" t="str">
        <f>"20190312160316923"</f>
        <v>20190312160316923</v>
      </c>
      <c r="B865" t="str">
        <f>"1552377796915502"</f>
        <v>1552377796915502</v>
      </c>
      <c r="C865" t="s">
        <v>40</v>
      </c>
      <c r="D865">
        <v>5.2279869999999997</v>
      </c>
      <c r="E865">
        <v>0.53338280000000005</v>
      </c>
      <c r="F865" t="s">
        <v>42</v>
      </c>
      <c r="G865">
        <v>-169.2955</v>
      </c>
      <c r="H865">
        <v>1.9445490000000001</v>
      </c>
      <c r="I865">
        <v>355.80119999999999</v>
      </c>
      <c r="J865">
        <v>-303.70729999999998</v>
      </c>
      <c r="K865">
        <v>1.0606930000000001</v>
      </c>
      <c r="L865">
        <v>367.98489999999998</v>
      </c>
      <c r="M865">
        <v>0.99986629999999999</v>
      </c>
      <c r="N865">
        <v>0</v>
      </c>
      <c r="O865">
        <v>-1.2104049999999999E-3</v>
      </c>
      <c r="P865">
        <v>0.99956429999999996</v>
      </c>
      <c r="Q865">
        <v>2.9509899999999999E-2</v>
      </c>
      <c r="R865">
        <v>-6.9761230000000001E-4</v>
      </c>
      <c r="S865">
        <v>3.0005799999999998</v>
      </c>
      <c r="T865">
        <v>1.969373E-2</v>
      </c>
      <c r="U865">
        <v>-0.27148440000000001</v>
      </c>
      <c r="V865">
        <v>-5.1093429999999999E-4</v>
      </c>
      <c r="W865">
        <v>4.5811650000000002E-2</v>
      </c>
      <c r="X865">
        <v>0.99894989999999995</v>
      </c>
      <c r="Y865">
        <v>8.8901649999999999E-2</v>
      </c>
      <c r="Z865">
        <v>2.832178E-4</v>
      </c>
      <c r="AA865">
        <v>0.99604029999999999</v>
      </c>
      <c r="AB865">
        <v>51</v>
      </c>
      <c r="AC865">
        <v>134.411799999999</v>
      </c>
      <c r="AD865">
        <v>0.88385599999999998</v>
      </c>
      <c r="AE865">
        <v>-12.1836999999999</v>
      </c>
      <c r="AF865">
        <v>12.020461190140001</v>
      </c>
      <c r="AG865">
        <v>0.88385599999999998</v>
      </c>
      <c r="AH865">
        <v>134.42068566762799</v>
      </c>
      <c r="AI865">
        <v>89.624765916803895</v>
      </c>
      <c r="AJ865">
        <v>84.889963412104095</v>
      </c>
      <c r="AK865">
        <v>134.95996970956801</v>
      </c>
      <c r="AL865">
        <v>87.374266645427198</v>
      </c>
      <c r="AM865">
        <v>90.029305149783497</v>
      </c>
      <c r="AN865">
        <v>0.99999993551979305</v>
      </c>
    </row>
    <row r="866" spans="1:40" x14ac:dyDescent="0.25">
      <c r="A866" t="str">
        <f>"20190312160316935"</f>
        <v>20190312160316935</v>
      </c>
      <c r="B866" t="str">
        <f>"1552377796925261"</f>
        <v>1552377796925261</v>
      </c>
      <c r="C866" t="s">
        <v>40</v>
      </c>
      <c r="D866">
        <v>5.2596889999999998</v>
      </c>
      <c r="E866">
        <v>0.53342719999999999</v>
      </c>
      <c r="F866" t="s">
        <v>42</v>
      </c>
      <c r="G866">
        <v>-169.2955</v>
      </c>
      <c r="H866">
        <v>1.7568079999999999</v>
      </c>
      <c r="I866">
        <v>355.78050000000002</v>
      </c>
      <c r="J866">
        <v>-303.46100000000001</v>
      </c>
      <c r="K866">
        <v>1.0606070000000001</v>
      </c>
      <c r="L866">
        <v>367.98469999999998</v>
      </c>
      <c r="M866">
        <v>0.99986750000000002</v>
      </c>
      <c r="N866">
        <v>0</v>
      </c>
      <c r="O866">
        <v>-1.2091750000000001E-3</v>
      </c>
      <c r="P866">
        <v>0.99956820000000002</v>
      </c>
      <c r="Q866">
        <v>2.9379189999999999E-2</v>
      </c>
      <c r="R866">
        <v>-5.6348469999999997E-4</v>
      </c>
      <c r="S866">
        <v>3.000702</v>
      </c>
      <c r="T866">
        <v>1.5542510000000001E-2</v>
      </c>
      <c r="U866">
        <v>-0.27246090000000001</v>
      </c>
      <c r="V866">
        <v>-6.4383840000000001E-4</v>
      </c>
      <c r="W866">
        <v>4.5603009999999999E-2</v>
      </c>
      <c r="X866">
        <v>0.99895940000000005</v>
      </c>
      <c r="Y866">
        <v>8.9221439999999999E-2</v>
      </c>
      <c r="Z866">
        <v>2.2434000000000001E-4</v>
      </c>
      <c r="AA866">
        <v>0.9960118</v>
      </c>
      <c r="AB866">
        <v>51</v>
      </c>
      <c r="AC866">
        <v>134.16550000000001</v>
      </c>
      <c r="AD866">
        <v>0.69620099999999996</v>
      </c>
      <c r="AE866">
        <v>-12.204199999999901</v>
      </c>
      <c r="AF866">
        <v>12.0416185441981</v>
      </c>
      <c r="AG866">
        <v>0.69620099999999996</v>
      </c>
      <c r="AH866">
        <v>134.17657753085101</v>
      </c>
      <c r="AI866">
        <v>89.703902472090803</v>
      </c>
      <c r="AJ866">
        <v>84.871753543248303</v>
      </c>
      <c r="AK866">
        <v>134.71762776596401</v>
      </c>
      <c r="AL866">
        <v>87.386233423958302</v>
      </c>
      <c r="AM866">
        <v>90.036927644807804</v>
      </c>
      <c r="AN866">
        <v>0.99999996594865204</v>
      </c>
    </row>
    <row r="867" spans="1:40" x14ac:dyDescent="0.25">
      <c r="A867" t="str">
        <f>"20190312160316945"</f>
        <v>20190312160316945</v>
      </c>
      <c r="B867" t="str">
        <f>"1552377796935998"</f>
        <v>1552377796935998</v>
      </c>
      <c r="C867" t="s">
        <v>40</v>
      </c>
      <c r="D867">
        <v>5.2939449999999999</v>
      </c>
      <c r="E867">
        <v>0.53359880000000004</v>
      </c>
      <c r="F867" t="s">
        <v>42</v>
      </c>
      <c r="G867">
        <v>-169.2955</v>
      </c>
      <c r="H867">
        <v>1.6689080000000001</v>
      </c>
      <c r="I867">
        <v>355.79579999999999</v>
      </c>
      <c r="J867">
        <v>-303.20159999999998</v>
      </c>
      <c r="K867">
        <v>1.060522</v>
      </c>
      <c r="L867">
        <v>367.98430000000002</v>
      </c>
      <c r="M867">
        <v>0.9998688</v>
      </c>
      <c r="N867">
        <v>0</v>
      </c>
      <c r="O867">
        <v>-1.208055E-3</v>
      </c>
      <c r="P867">
        <v>0.99957260000000003</v>
      </c>
      <c r="Q867">
        <v>2.9235580000000001E-2</v>
      </c>
      <c r="R867">
        <v>-5.5558579999999999E-4</v>
      </c>
      <c r="S867">
        <v>3.000702</v>
      </c>
      <c r="T867">
        <v>1.3607030000000001E-2</v>
      </c>
      <c r="U867">
        <v>-0.27261350000000001</v>
      </c>
      <c r="V867">
        <v>-6.5099029999999896E-4</v>
      </c>
      <c r="W867">
        <v>4.5380570000000002E-2</v>
      </c>
      <c r="X867">
        <v>0.99896960000000001</v>
      </c>
      <c r="Y867">
        <v>8.9273069999999996E-2</v>
      </c>
      <c r="Z867">
        <v>1.965251E-4</v>
      </c>
      <c r="AA867">
        <v>0.99600710000000003</v>
      </c>
      <c r="AB867">
        <v>51</v>
      </c>
      <c r="AC867">
        <v>133.90609999999899</v>
      </c>
      <c r="AD867">
        <v>0.60838599999999998</v>
      </c>
      <c r="AE867">
        <v>-12.188499999999999</v>
      </c>
      <c r="AF867">
        <v>12.026457848105199</v>
      </c>
      <c r="AG867">
        <v>0.60838599999999998</v>
      </c>
      <c r="AH867">
        <v>133.917986905307</v>
      </c>
      <c r="AI867">
        <v>89.740751813703994</v>
      </c>
      <c r="AJ867">
        <v>84.868338473643703</v>
      </c>
      <c r="AK867">
        <v>134.458294793096</v>
      </c>
      <c r="AL867">
        <v>87.398991700778595</v>
      </c>
      <c r="AM867">
        <v>90.037337463936893</v>
      </c>
      <c r="AN867">
        <v>1.0000000408230201</v>
      </c>
    </row>
    <row r="868" spans="1:40" x14ac:dyDescent="0.25">
      <c r="A868" t="str">
        <f>"20190312160316957"</f>
        <v>20190312160316957</v>
      </c>
      <c r="B868" t="str">
        <f>"1552377796945758"</f>
        <v>1552377796945758</v>
      </c>
      <c r="C868" t="s">
        <v>40</v>
      </c>
      <c r="D868">
        <v>5.2263199999999896</v>
      </c>
      <c r="E868">
        <v>0.53362880000000001</v>
      </c>
      <c r="F868" t="s">
        <v>42</v>
      </c>
      <c r="G868">
        <v>-169.2955</v>
      </c>
      <c r="H868">
        <v>1.5338529999999999</v>
      </c>
      <c r="I868">
        <v>355.75670000000002</v>
      </c>
      <c r="J868">
        <v>-302.96570000000003</v>
      </c>
      <c r="K868">
        <v>1.0604549999999999</v>
      </c>
      <c r="L868">
        <v>367.98410000000001</v>
      </c>
      <c r="M868">
        <v>0.99986989999999998</v>
      </c>
      <c r="N868">
        <v>0</v>
      </c>
      <c r="O868">
        <v>-1.207049E-3</v>
      </c>
      <c r="P868">
        <v>0.99957189999999996</v>
      </c>
      <c r="Q868">
        <v>2.9256910000000001E-2</v>
      </c>
      <c r="R868">
        <v>-7.1489509999999896E-4</v>
      </c>
      <c r="S868">
        <v>3.0007929999999998</v>
      </c>
      <c r="T868">
        <v>1.0609149999999999E-2</v>
      </c>
      <c r="U868">
        <v>-0.27401730000000002</v>
      </c>
      <c r="V868">
        <v>-4.9046259999999998E-4</v>
      </c>
      <c r="W868">
        <v>4.533674E-2</v>
      </c>
      <c r="X868">
        <v>0.99897159999999996</v>
      </c>
      <c r="Y868">
        <v>8.9733809999999997E-2</v>
      </c>
      <c r="Z868">
        <v>1.5403580000000001E-4</v>
      </c>
      <c r="AA868">
        <v>0.99596580000000001</v>
      </c>
      <c r="AB868">
        <v>51</v>
      </c>
      <c r="AC868">
        <v>133.67019999999999</v>
      </c>
      <c r="AD868">
        <v>0.47339799999999999</v>
      </c>
      <c r="AE868">
        <v>-12.2273999999999</v>
      </c>
      <c r="AF868">
        <v>12.0658736524151</v>
      </c>
      <c r="AG868">
        <v>0.47339799999999999</v>
      </c>
      <c r="AH868">
        <v>133.683200772698</v>
      </c>
      <c r="AI868">
        <v>89.7979268456169</v>
      </c>
      <c r="AJ868">
        <v>84.842616747606996</v>
      </c>
      <c r="AK868">
        <v>134.22744719875999</v>
      </c>
      <c r="AL868">
        <v>87.401505349479805</v>
      </c>
      <c r="AM868">
        <v>90.028130363997406</v>
      </c>
      <c r="AN868">
        <v>0.99999995907697303</v>
      </c>
    </row>
    <row r="869" spans="1:40" x14ac:dyDescent="0.25">
      <c r="A869" t="str">
        <f>"20190312160316968"</f>
        <v>20190312160316968</v>
      </c>
      <c r="B869" t="str">
        <f>"1552377796955518"</f>
        <v>1552377796955518</v>
      </c>
      <c r="C869" t="s">
        <v>40</v>
      </c>
      <c r="D869">
        <v>5.2965960000000001</v>
      </c>
      <c r="E869">
        <v>0.5337807</v>
      </c>
      <c r="F869" t="s">
        <v>42</v>
      </c>
      <c r="G869">
        <v>-169.2955</v>
      </c>
      <c r="H869">
        <v>1.4845649999999999</v>
      </c>
      <c r="I869">
        <v>355.74669999999998</v>
      </c>
      <c r="J869">
        <v>-302.69900000000001</v>
      </c>
      <c r="K869">
        <v>1.0603830000000001</v>
      </c>
      <c r="L869">
        <v>367.9837</v>
      </c>
      <c r="M869">
        <v>0.99987110000000001</v>
      </c>
      <c r="N869">
        <v>0</v>
      </c>
      <c r="O869">
        <v>-1.20575E-3</v>
      </c>
      <c r="P869">
        <v>0.99956319999999999</v>
      </c>
      <c r="Q869">
        <v>2.953983E-2</v>
      </c>
      <c r="R869">
        <v>-9.6055149999999998E-4</v>
      </c>
      <c r="S869">
        <v>3.0007929999999998</v>
      </c>
      <c r="T869">
        <v>9.5229149999999999E-3</v>
      </c>
      <c r="U869">
        <v>-0.2747192</v>
      </c>
      <c r="V869">
        <v>-2.437126E-4</v>
      </c>
      <c r="W869">
        <v>4.554681E-2</v>
      </c>
      <c r="X869">
        <v>0.99896220000000002</v>
      </c>
      <c r="Y869">
        <v>8.9966240000000003E-2</v>
      </c>
      <c r="Z869">
        <v>1.3863530000000001E-4</v>
      </c>
      <c r="AA869">
        <v>0.99594479999999996</v>
      </c>
      <c r="AB869">
        <v>51</v>
      </c>
      <c r="AC869">
        <v>133.40350000000001</v>
      </c>
      <c r="AD869">
        <v>0.424181999999999</v>
      </c>
      <c r="AE869">
        <v>-12.237</v>
      </c>
      <c r="AF869">
        <v>12.075998137991601</v>
      </c>
      <c r="AG869">
        <v>0.424181999999999</v>
      </c>
      <c r="AH869">
        <v>133.41682200867601</v>
      </c>
      <c r="AI869">
        <v>89.818577536689403</v>
      </c>
      <c r="AJ869">
        <v>84.828062609354902</v>
      </c>
      <c r="AK869">
        <v>133.96289805872601</v>
      </c>
      <c r="AL869">
        <v>87.389456948282202</v>
      </c>
      <c r="AM869">
        <v>90.013978209703097</v>
      </c>
      <c r="AN869">
        <v>1.0000000241629201</v>
      </c>
    </row>
    <row r="870" spans="1:40" x14ac:dyDescent="0.25">
      <c r="A870" t="str">
        <f>"20190312160316978"</f>
        <v>20190312160316978</v>
      </c>
      <c r="B870" t="str">
        <f>"1552377796976013"</f>
        <v>1552377796976013</v>
      </c>
      <c r="C870" t="s">
        <v>40</v>
      </c>
      <c r="D870">
        <v>5.2487159999999999</v>
      </c>
      <c r="E870">
        <v>0.53397869999999903</v>
      </c>
      <c r="F870" t="s">
        <v>42</v>
      </c>
      <c r="G870">
        <v>-169.2955</v>
      </c>
      <c r="H870">
        <v>1.41323</v>
      </c>
      <c r="I870">
        <v>355.68150000000003</v>
      </c>
      <c r="J870">
        <v>-302.44720000000001</v>
      </c>
      <c r="K870">
        <v>1.060317</v>
      </c>
      <c r="L870">
        <v>367.98340000000002</v>
      </c>
      <c r="M870">
        <v>0.99987199999999998</v>
      </c>
      <c r="N870">
        <v>0</v>
      </c>
      <c r="O870">
        <v>-1.2046559999999999E-3</v>
      </c>
      <c r="P870">
        <v>0.99955839999999996</v>
      </c>
      <c r="Q870">
        <v>2.9703739999999999E-2</v>
      </c>
      <c r="R870">
        <v>-8.3266329999999997E-4</v>
      </c>
      <c r="S870">
        <v>3.0008539999999999</v>
      </c>
      <c r="T870">
        <v>7.9390999999999993E-3</v>
      </c>
      <c r="U870">
        <v>-0.27673340000000002</v>
      </c>
      <c r="V870">
        <v>-3.7041789999999998E-4</v>
      </c>
      <c r="W870">
        <v>4.5648269999999998E-2</v>
      </c>
      <c r="X870">
        <v>0.99895750000000005</v>
      </c>
      <c r="Y870">
        <v>9.0628470000000003E-2</v>
      </c>
      <c r="Z870">
        <v>1.164493E-4</v>
      </c>
      <c r="AA870">
        <v>0.99588480000000001</v>
      </c>
      <c r="AB870">
        <v>51</v>
      </c>
      <c r="AC870">
        <v>133.15170000000001</v>
      </c>
      <c r="AD870">
        <v>0.35291299999999998</v>
      </c>
      <c r="AE870">
        <v>-12.3018999999999</v>
      </c>
      <c r="AF870">
        <v>12.141384089060599</v>
      </c>
      <c r="AG870">
        <v>0.35291299999999998</v>
      </c>
      <c r="AH870">
        <v>133.16549724434299</v>
      </c>
      <c r="AI870">
        <v>89.848783249247802</v>
      </c>
      <c r="AJ870">
        <v>84.790452385023102</v>
      </c>
      <c r="AK870">
        <v>133.71831367287299</v>
      </c>
      <c r="AL870">
        <v>87.383637587718397</v>
      </c>
      <c r="AM870">
        <v>90.021245529818202</v>
      </c>
      <c r="AN870">
        <v>0.999999994284831</v>
      </c>
    </row>
    <row r="871" spans="1:40" x14ac:dyDescent="0.25">
      <c r="A871" t="str">
        <f>"20190312160316992"</f>
        <v>20190312160316992</v>
      </c>
      <c r="B871" t="str">
        <f>"1552377796985774"</f>
        <v>1552377796985774</v>
      </c>
      <c r="C871" t="s">
        <v>40</v>
      </c>
      <c r="D871">
        <v>5.2576660000000004</v>
      </c>
      <c r="E871">
        <v>0.53402109999999903</v>
      </c>
      <c r="F871" t="s">
        <v>42</v>
      </c>
      <c r="G871">
        <v>-169.2955</v>
      </c>
      <c r="H871">
        <v>1.31003</v>
      </c>
      <c r="I871">
        <v>355.64229999999998</v>
      </c>
      <c r="J871">
        <v>-302.16399999999999</v>
      </c>
      <c r="K871">
        <v>1.060254</v>
      </c>
      <c r="L871">
        <v>367.98309999999998</v>
      </c>
      <c r="M871">
        <v>0.99987309999999996</v>
      </c>
      <c r="N871">
        <v>0</v>
      </c>
      <c r="O871">
        <v>-1.2032849999999999E-3</v>
      </c>
      <c r="P871">
        <v>0.99955450000000001</v>
      </c>
      <c r="Q871">
        <v>2.9842589999999999E-2</v>
      </c>
      <c r="R871">
        <v>-6.3551229999999996E-4</v>
      </c>
      <c r="S871">
        <v>3.0009160000000001</v>
      </c>
      <c r="T871">
        <v>5.6298969999999896E-3</v>
      </c>
      <c r="U871">
        <v>-0.27813719999999997</v>
      </c>
      <c r="V871">
        <v>-5.6619190000000005E-4</v>
      </c>
      <c r="W871">
        <v>4.5719719999999998E-2</v>
      </c>
      <c r="X871">
        <v>0.99895409999999996</v>
      </c>
      <c r="Y871">
        <v>9.1090050000000006E-2</v>
      </c>
      <c r="Z871" s="1">
        <v>8.3009550000000002E-5</v>
      </c>
      <c r="AA871">
        <v>0.99584260000000002</v>
      </c>
      <c r="AB871">
        <v>51</v>
      </c>
      <c r="AC871">
        <v>132.86849999999899</v>
      </c>
      <c r="AD871">
        <v>0.249776</v>
      </c>
      <c r="AE871">
        <v>-12.3408</v>
      </c>
      <c r="AF871">
        <v>12.180849537196501</v>
      </c>
      <c r="AG871">
        <v>0.249776</v>
      </c>
      <c r="AH871">
        <v>132.88278957787401</v>
      </c>
      <c r="AI871">
        <v>89.892752519102302</v>
      </c>
      <c r="AJ871">
        <v>84.762555078625496</v>
      </c>
      <c r="AK871">
        <v>133.440141072675</v>
      </c>
      <c r="AL871">
        <v>87.379539419043795</v>
      </c>
      <c r="AM871">
        <v>90.032474367731893</v>
      </c>
      <c r="AN871">
        <v>0.99999995363847605</v>
      </c>
    </row>
    <row r="872" spans="1:40" x14ac:dyDescent="0.25">
      <c r="A872" t="str">
        <f>"20190312160317004"</f>
        <v>20190312160317004</v>
      </c>
      <c r="B872" t="str">
        <f>"1552377796995534"</f>
        <v>1552377796995534</v>
      </c>
      <c r="C872" t="s">
        <v>40</v>
      </c>
      <c r="D872">
        <v>5.242769</v>
      </c>
      <c r="E872">
        <v>0.53412839999999995</v>
      </c>
      <c r="F872" t="s">
        <v>42</v>
      </c>
      <c r="G872">
        <v>-169.2955</v>
      </c>
      <c r="H872">
        <v>1.2931250000000001</v>
      </c>
      <c r="I872">
        <v>355.67140000000001</v>
      </c>
      <c r="J872">
        <v>-301.88229999999999</v>
      </c>
      <c r="K872">
        <v>1.060198</v>
      </c>
      <c r="L872">
        <v>367.98270000000002</v>
      </c>
      <c r="M872">
        <v>0.99987409999999999</v>
      </c>
      <c r="N872">
        <v>0</v>
      </c>
      <c r="O872">
        <v>-1.202074E-3</v>
      </c>
      <c r="P872">
        <v>0.99955430000000001</v>
      </c>
      <c r="Q872">
        <v>2.984742E-2</v>
      </c>
      <c r="R872">
        <v>-6.6152490000000001E-4</v>
      </c>
      <c r="S872">
        <v>3.001007</v>
      </c>
      <c r="T872">
        <v>5.2616599999999996E-3</v>
      </c>
      <c r="U872">
        <v>-0.2780762</v>
      </c>
      <c r="V872">
        <v>-5.3904199999999999E-4</v>
      </c>
      <c r="W872">
        <v>4.5662080000000001E-2</v>
      </c>
      <c r="X872">
        <v>0.99895679999999998</v>
      </c>
      <c r="Y872">
        <v>9.1068410000000002E-2</v>
      </c>
      <c r="Z872" s="1">
        <v>7.756102E-5</v>
      </c>
      <c r="AA872">
        <v>0.99584470000000003</v>
      </c>
      <c r="AB872">
        <v>51</v>
      </c>
      <c r="AC872">
        <v>132.58679999999899</v>
      </c>
      <c r="AD872">
        <v>0.232927</v>
      </c>
      <c r="AE872">
        <v>-12.311299999999999</v>
      </c>
      <c r="AF872">
        <v>12.1518548210221</v>
      </c>
      <c r="AG872">
        <v>0.232927</v>
      </c>
      <c r="AH872">
        <v>132.601099380292</v>
      </c>
      <c r="AI872">
        <v>89.899774357850205</v>
      </c>
      <c r="AJ872">
        <v>84.763914798265205</v>
      </c>
      <c r="AK872">
        <v>133.15695020328701</v>
      </c>
      <c r="AL872">
        <v>87.3828455277703</v>
      </c>
      <c r="AM872">
        <v>90.0309170812818</v>
      </c>
      <c r="AN872">
        <v>1.0000000021912201</v>
      </c>
    </row>
    <row r="873" spans="1:40" x14ac:dyDescent="0.25">
      <c r="A873" t="str">
        <f>"20190312160317017"</f>
        <v>20190312160317017</v>
      </c>
      <c r="B873" t="str">
        <f>"1552377797005293"</f>
        <v>1552377797005293</v>
      </c>
      <c r="C873" t="s">
        <v>40</v>
      </c>
      <c r="D873">
        <v>5.3446939999999996</v>
      </c>
      <c r="E873">
        <v>0.53430929999999999</v>
      </c>
      <c r="F873" t="s">
        <v>42</v>
      </c>
      <c r="G873">
        <v>-169.2955</v>
      </c>
      <c r="H873">
        <v>1.2131540000000001</v>
      </c>
      <c r="I873">
        <v>355.66770000000002</v>
      </c>
      <c r="J873">
        <v>-301.60489999999999</v>
      </c>
      <c r="K873">
        <v>1.0601529999999999</v>
      </c>
      <c r="L873">
        <v>367.98239999999998</v>
      </c>
      <c r="M873">
        <v>0.99987510000000002</v>
      </c>
      <c r="N873">
        <v>0</v>
      </c>
      <c r="O873">
        <v>-1.200792E-3</v>
      </c>
      <c r="P873">
        <v>0.99955150000000004</v>
      </c>
      <c r="Q873">
        <v>2.994082E-2</v>
      </c>
      <c r="R873">
        <v>-8.1873470000000002E-4</v>
      </c>
      <c r="S873">
        <v>3.0010680000000001</v>
      </c>
      <c r="T873">
        <v>3.4641030000000001E-3</v>
      </c>
      <c r="U873">
        <v>-0.27874759999999998</v>
      </c>
      <c r="V873">
        <v>-3.8042039999999999E-4</v>
      </c>
      <c r="W873">
        <v>4.569877E-2</v>
      </c>
      <c r="X873">
        <v>0.99895520000000004</v>
      </c>
      <c r="Y873">
        <v>9.1288789999999995E-2</v>
      </c>
      <c r="Z873" s="1">
        <v>5.1190470000000002E-5</v>
      </c>
      <c r="AA873">
        <v>0.9958245</v>
      </c>
      <c r="AB873">
        <v>51</v>
      </c>
      <c r="AC873">
        <v>132.30939999999899</v>
      </c>
      <c r="AD873">
        <v>0.153000999999999</v>
      </c>
      <c r="AE873">
        <v>-12.314699999999901</v>
      </c>
      <c r="AF873">
        <v>12.155779203436399</v>
      </c>
      <c r="AG873">
        <v>0.153000999999999</v>
      </c>
      <c r="AH873">
        <v>132.32391838926301</v>
      </c>
      <c r="AI873">
        <v>89.934028926782105</v>
      </c>
      <c r="AJ873">
        <v>84.751322815962496</v>
      </c>
      <c r="AK873">
        <v>132.88117156029699</v>
      </c>
      <c r="AL873">
        <v>87.380741161354194</v>
      </c>
      <c r="AM873">
        <v>90.021819279089797</v>
      </c>
      <c r="AN873">
        <v>1.0000000069531101</v>
      </c>
    </row>
    <row r="874" spans="1:40" x14ac:dyDescent="0.25">
      <c r="A874" t="str">
        <f>"20190312160317029"</f>
        <v>20190312160317029</v>
      </c>
      <c r="B874" t="str">
        <f>"1552377797025790"</f>
        <v>1552377797025790</v>
      </c>
      <c r="C874" t="s">
        <v>40</v>
      </c>
      <c r="D874">
        <v>5.3746970000000003</v>
      </c>
      <c r="E874">
        <v>0.53462940000000003</v>
      </c>
      <c r="F874" t="s">
        <v>42</v>
      </c>
      <c r="G874">
        <v>-169.2955</v>
      </c>
      <c r="H874">
        <v>1.164639</v>
      </c>
      <c r="I874">
        <v>355.60289999999998</v>
      </c>
      <c r="J874">
        <v>-301.31560000000002</v>
      </c>
      <c r="K874">
        <v>1.060106</v>
      </c>
      <c r="L874">
        <v>367.98200000000003</v>
      </c>
      <c r="M874">
        <v>0.99987599999999999</v>
      </c>
      <c r="N874">
        <v>0</v>
      </c>
      <c r="O874">
        <v>-1.199274E-3</v>
      </c>
      <c r="P874">
        <v>0.99956069999999997</v>
      </c>
      <c r="Q874">
        <v>2.9630790000000001E-2</v>
      </c>
      <c r="R874">
        <v>-9.0831470000000004E-4</v>
      </c>
      <c r="S874">
        <v>3.0010379999999999</v>
      </c>
      <c r="T874">
        <v>2.3719069999999999E-3</v>
      </c>
      <c r="U874">
        <v>-0.28079219999999999</v>
      </c>
      <c r="V874">
        <v>-2.894444E-4</v>
      </c>
      <c r="W874">
        <v>4.5332459999999998E-2</v>
      </c>
      <c r="X874">
        <v>0.99897190000000002</v>
      </c>
      <c r="Y874">
        <v>9.1963859999999994E-2</v>
      </c>
      <c r="Z874" s="1">
        <v>3.531728E-5</v>
      </c>
      <c r="AA874">
        <v>0.99576229999999999</v>
      </c>
      <c r="AB874">
        <v>51</v>
      </c>
      <c r="AC874">
        <v>132.02010000000001</v>
      </c>
      <c r="AD874">
        <v>0.104533</v>
      </c>
      <c r="AE874">
        <v>-12.3790999999999</v>
      </c>
      <c r="AF874">
        <v>12.2207357060785</v>
      </c>
      <c r="AG874">
        <v>0.104533</v>
      </c>
      <c r="AH874">
        <v>132.03477074371801</v>
      </c>
      <c r="AI874">
        <v>89.954831537314405</v>
      </c>
      <c r="AJ874">
        <v>84.711943598085</v>
      </c>
      <c r="AK874">
        <v>132.59916286949999</v>
      </c>
      <c r="AL874">
        <v>87.401750898719897</v>
      </c>
      <c r="AM874">
        <v>90.016601009557505</v>
      </c>
      <c r="AN874">
        <v>0.99999998634866105</v>
      </c>
    </row>
    <row r="875" spans="1:40" x14ac:dyDescent="0.25">
      <c r="A875" t="str">
        <f>"20190312160317044"</f>
        <v>20190312160317044</v>
      </c>
      <c r="B875" t="str">
        <f>"1552377797035549"</f>
        <v>1552377797035549</v>
      </c>
      <c r="C875" t="s">
        <v>40</v>
      </c>
      <c r="D875">
        <v>5.3141780000000001</v>
      </c>
      <c r="E875">
        <v>0.5344643</v>
      </c>
      <c r="F875" t="s">
        <v>42</v>
      </c>
      <c r="G875">
        <v>-169.2955</v>
      </c>
      <c r="H875">
        <v>1.0274099999999999</v>
      </c>
      <c r="I875">
        <v>355.49689999999998</v>
      </c>
      <c r="J875">
        <v>-300.96699999999998</v>
      </c>
      <c r="K875">
        <v>1.060049</v>
      </c>
      <c r="L875">
        <v>367.98160000000001</v>
      </c>
      <c r="M875">
        <v>0.99987689999999996</v>
      </c>
      <c r="N875">
        <v>0</v>
      </c>
      <c r="O875">
        <v>-1.197596E-3</v>
      </c>
      <c r="P875">
        <v>0.99957260000000003</v>
      </c>
      <c r="Q875">
        <v>2.922928E-2</v>
      </c>
      <c r="R875">
        <v>-7.2722140000000004E-4</v>
      </c>
      <c r="S875">
        <v>3.001099</v>
      </c>
      <c r="T875">
        <v>-7.4124339999999996E-4</v>
      </c>
      <c r="U875">
        <v>-0.2838135</v>
      </c>
      <c r="V875">
        <v>-4.69037E-4</v>
      </c>
      <c r="W875">
        <v>4.4869449999999998E-2</v>
      </c>
      <c r="X875">
        <v>0.99899269999999996</v>
      </c>
      <c r="Y875">
        <v>9.2957289999999998E-2</v>
      </c>
      <c r="Z875" s="1">
        <v>-1.1159069999999999E-5</v>
      </c>
      <c r="AA875">
        <v>0.9956701</v>
      </c>
      <c r="AB875">
        <v>51</v>
      </c>
      <c r="AC875">
        <v>131.67149999999901</v>
      </c>
      <c r="AD875">
        <v>-3.2639000000000001E-2</v>
      </c>
      <c r="AE875">
        <v>-12.4847</v>
      </c>
      <c r="AF875">
        <v>12.3269817315835</v>
      </c>
      <c r="AG875">
        <v>-3.2639000000000001E-2</v>
      </c>
      <c r="AH875">
        <v>131.68635099022501</v>
      </c>
      <c r="AI875">
        <v>90.014139179972702</v>
      </c>
      <c r="AJ875">
        <v>84.652203177856293</v>
      </c>
      <c r="AK875">
        <v>132.262052687215</v>
      </c>
      <c r="AL875">
        <v>87.428306349485098</v>
      </c>
      <c r="AM875">
        <v>90.026900935873499</v>
      </c>
      <c r="AN875">
        <v>0.99999995109614803</v>
      </c>
    </row>
    <row r="876" spans="1:40" x14ac:dyDescent="0.25">
      <c r="A876" t="str">
        <f>"20190312160317057"</f>
        <v>20190312160317057</v>
      </c>
      <c r="B876" t="str">
        <f>"1552377797045310"</f>
        <v>1552377797045310</v>
      </c>
      <c r="C876" t="s">
        <v>40</v>
      </c>
      <c r="D876">
        <v>5.3818519999999896</v>
      </c>
      <c r="E876">
        <v>0.5344643</v>
      </c>
      <c r="F876" t="s">
        <v>42</v>
      </c>
      <c r="G876">
        <v>-169.2955</v>
      </c>
      <c r="H876">
        <v>0.84603119999999998</v>
      </c>
      <c r="I876">
        <v>355.61430000000001</v>
      </c>
      <c r="J876">
        <v>-300.70010000000002</v>
      </c>
      <c r="K876">
        <v>1.060014</v>
      </c>
      <c r="L876">
        <v>367.98129999999998</v>
      </c>
      <c r="M876">
        <v>0.99987749999999997</v>
      </c>
      <c r="N876">
        <v>0</v>
      </c>
      <c r="O876">
        <v>-1.196302E-3</v>
      </c>
      <c r="P876">
        <v>0.9995714</v>
      </c>
      <c r="Q876">
        <v>2.9267109999999999E-2</v>
      </c>
      <c r="R876">
        <v>-6.8616279999999998E-4</v>
      </c>
      <c r="S876">
        <v>3.0012210000000001</v>
      </c>
      <c r="T876">
        <v>-4.876137E-3</v>
      </c>
      <c r="U876">
        <v>-0.2818909</v>
      </c>
      <c r="V876">
        <v>-5.0809849999999997E-4</v>
      </c>
      <c r="W876">
        <v>4.4863720000000003E-2</v>
      </c>
      <c r="X876">
        <v>0.99899300000000002</v>
      </c>
      <c r="Y876">
        <v>9.2322440000000006E-2</v>
      </c>
      <c r="Z876" s="1">
        <v>-7.2894640000000001E-5</v>
      </c>
      <c r="AA876">
        <v>0.99572910000000003</v>
      </c>
      <c r="AB876">
        <v>51</v>
      </c>
      <c r="AC876">
        <v>131.40459999999999</v>
      </c>
      <c r="AD876">
        <v>-0.2139828</v>
      </c>
      <c r="AE876">
        <v>-12.3669999999999</v>
      </c>
      <c r="AF876">
        <v>12.209740322611699</v>
      </c>
      <c r="AG876">
        <v>-0.2139828</v>
      </c>
      <c r="AH876">
        <v>131.41895698299399</v>
      </c>
      <c r="AI876">
        <v>90.092891674802999</v>
      </c>
      <c r="AJ876">
        <v>84.692058531826106</v>
      </c>
      <c r="AK876">
        <v>131.98509689310501</v>
      </c>
      <c r="AL876">
        <v>87.428635144008894</v>
      </c>
      <c r="AM876">
        <v>90.029141242347706</v>
      </c>
      <c r="AN876">
        <v>1.00000001279266</v>
      </c>
    </row>
    <row r="877" spans="1:40" x14ac:dyDescent="0.25">
      <c r="A877" t="str">
        <f>"20190312160317069"</f>
        <v>20190312160317069</v>
      </c>
      <c r="B877" t="str">
        <f>"1552377797065806"</f>
        <v>1552377797065806</v>
      </c>
      <c r="C877" t="s">
        <v>40</v>
      </c>
      <c r="D877">
        <v>5.3803549999999998</v>
      </c>
      <c r="E877">
        <v>0.51967580000000002</v>
      </c>
      <c r="F877" t="s">
        <v>42</v>
      </c>
      <c r="G877">
        <v>-169.2955</v>
      </c>
      <c r="H877">
        <v>0.85217189999999998</v>
      </c>
      <c r="I877">
        <v>355.64179999999999</v>
      </c>
      <c r="J877">
        <v>-300.4151</v>
      </c>
      <c r="K877">
        <v>1.0599799999999999</v>
      </c>
      <c r="L877">
        <v>367.98090000000002</v>
      </c>
      <c r="M877">
        <v>0.99987820000000005</v>
      </c>
      <c r="N877">
        <v>0</v>
      </c>
      <c r="O877">
        <v>-1.19476E-3</v>
      </c>
      <c r="P877">
        <v>0.99957479999999999</v>
      </c>
      <c r="Q877">
        <v>2.9151739999999999E-2</v>
      </c>
      <c r="R877">
        <v>-6.9657569999999997E-4</v>
      </c>
      <c r="S877">
        <v>3.0012210000000001</v>
      </c>
      <c r="T877">
        <v>-4.7450069999999999E-3</v>
      </c>
      <c r="U877">
        <v>-0.28182980000000002</v>
      </c>
      <c r="V877">
        <v>-4.9666930000000003E-4</v>
      </c>
      <c r="W877">
        <v>4.4703189999999997E-2</v>
      </c>
      <c r="X877">
        <v>0.9990002</v>
      </c>
      <c r="Y877">
        <v>9.2303899999999994E-2</v>
      </c>
      <c r="Z877" s="1">
        <v>-7.0922209999999997E-5</v>
      </c>
      <c r="AA877">
        <v>0.99573089999999997</v>
      </c>
      <c r="AB877">
        <v>51</v>
      </c>
      <c r="AC877">
        <v>131.11959999999999</v>
      </c>
      <c r="AD877">
        <v>-0.207808099999999</v>
      </c>
      <c r="AE877">
        <v>-12.3391</v>
      </c>
      <c r="AF877">
        <v>12.182385435172501</v>
      </c>
      <c r="AG877">
        <v>-0.207808099999999</v>
      </c>
      <c r="AH877">
        <v>131.13392394795699</v>
      </c>
      <c r="AI877">
        <v>90.090407330192804</v>
      </c>
      <c r="AJ877">
        <v>84.692436844610896</v>
      </c>
      <c r="AK877">
        <v>131.69874604219299</v>
      </c>
      <c r="AL877">
        <v>87.437842067266601</v>
      </c>
      <c r="AM877">
        <v>90.028485532194097</v>
      </c>
      <c r="AN877">
        <v>1.0000000107383</v>
      </c>
    </row>
    <row r="878" spans="1:40" x14ac:dyDescent="0.25">
      <c r="A878" t="str">
        <f>"20190312160317081"</f>
        <v>20190312160317081</v>
      </c>
      <c r="B878" t="str">
        <f>"1552377797075565"</f>
        <v>1552377797075565</v>
      </c>
      <c r="C878" t="s">
        <v>40</v>
      </c>
      <c r="D878">
        <v>5.3572959999999998</v>
      </c>
      <c r="E878">
        <v>0.51921079999999997</v>
      </c>
      <c r="F878" t="s">
        <v>49</v>
      </c>
      <c r="G878">
        <v>-299.27089999999998</v>
      </c>
      <c r="H878">
        <v>0.9987859</v>
      </c>
      <c r="I878">
        <v>367.91539999999998</v>
      </c>
      <c r="J878">
        <v>-300.13979999999998</v>
      </c>
      <c r="K878">
        <v>1.059957</v>
      </c>
      <c r="L878">
        <v>367.98059999999998</v>
      </c>
      <c r="M878">
        <v>0.99987879999999996</v>
      </c>
      <c r="N878">
        <v>0</v>
      </c>
      <c r="O878">
        <v>-1.1936200000000001E-3</v>
      </c>
      <c r="P878">
        <v>0.99957260000000003</v>
      </c>
      <c r="Q878">
        <v>2.923713E-2</v>
      </c>
      <c r="R878">
        <v>-3.3922990000000001E-4</v>
      </c>
      <c r="S878">
        <v>3.0058590000000001</v>
      </c>
      <c r="T878">
        <v>-0.1608358</v>
      </c>
      <c r="U878">
        <v>-0.17205809999999999</v>
      </c>
      <c r="V878">
        <v>-8.5298519999999997E-4</v>
      </c>
      <c r="W878">
        <v>4.4749879999999999E-2</v>
      </c>
      <c r="X878">
        <v>0.99899789999999999</v>
      </c>
      <c r="Y878">
        <v>5.5877540000000003E-2</v>
      </c>
      <c r="Z878">
        <v>-1.4288669999999999E-3</v>
      </c>
      <c r="AA878">
        <v>0.99843660000000001</v>
      </c>
      <c r="AB878">
        <v>51</v>
      </c>
      <c r="AC878">
        <v>0.86889999999999601</v>
      </c>
      <c r="AD878">
        <v>-6.1171099999999999E-2</v>
      </c>
      <c r="AE878">
        <v>-6.5200000000004296E-2</v>
      </c>
      <c r="AF878">
        <v>6.3848017382250793E-2</v>
      </c>
      <c r="AG878">
        <v>-6.1171099999999999E-2</v>
      </c>
      <c r="AH878">
        <v>0.86471546665285803</v>
      </c>
      <c r="AI878">
        <v>94.035488099411495</v>
      </c>
      <c r="AJ878">
        <v>85.777113240905194</v>
      </c>
      <c r="AK878">
        <v>0.869224545826638</v>
      </c>
      <c r="AL878">
        <v>87.4351643272242</v>
      </c>
      <c r="AM878">
        <v>90.048921464269696</v>
      </c>
      <c r="AN878">
        <v>1.00000004177408</v>
      </c>
    </row>
    <row r="879" spans="1:40" x14ac:dyDescent="0.25">
      <c r="A879" t="str">
        <f>"20190312160317093"</f>
        <v>20190312160317093</v>
      </c>
      <c r="B879" t="str">
        <f>"1552377797085325"</f>
        <v>1552377797085325</v>
      </c>
      <c r="C879" t="s">
        <v>40</v>
      </c>
      <c r="D879">
        <v>5.4092580000000003</v>
      </c>
      <c r="E879">
        <v>0.52015149999999999</v>
      </c>
      <c r="F879" t="s">
        <v>43</v>
      </c>
      <c r="G879">
        <v>-280.79790000000003</v>
      </c>
      <c r="H879">
        <v>-0.05</v>
      </c>
      <c r="I879">
        <v>366.89929999999998</v>
      </c>
      <c r="J879">
        <v>-299.87990000000002</v>
      </c>
      <c r="K879">
        <v>1.0599339999999999</v>
      </c>
      <c r="L879">
        <v>367.9803</v>
      </c>
      <c r="M879">
        <v>0.99987950000000003</v>
      </c>
      <c r="N879">
        <v>0</v>
      </c>
      <c r="O879">
        <v>-1.192511E-3</v>
      </c>
      <c r="P879">
        <v>0.99957419999999997</v>
      </c>
      <c r="Q879">
        <v>2.918805E-2</v>
      </c>
      <c r="R879">
        <v>-2.6069919999999999E-4</v>
      </c>
      <c r="S879">
        <v>3.0063170000000001</v>
      </c>
      <c r="T879">
        <v>-0.1725207</v>
      </c>
      <c r="U879">
        <v>-0.1680603</v>
      </c>
      <c r="V879">
        <v>-9.3015890000000003E-4</v>
      </c>
      <c r="W879">
        <v>4.466556E-2</v>
      </c>
      <c r="X879">
        <v>0.99900160000000005</v>
      </c>
      <c r="Y879">
        <v>5.4536920000000003E-2</v>
      </c>
      <c r="Z879">
        <v>-1.4939949999999999E-3</v>
      </c>
      <c r="AA879">
        <v>0.99851069999999997</v>
      </c>
      <c r="AB879">
        <v>51</v>
      </c>
      <c r="AC879">
        <v>19.081999999999901</v>
      </c>
      <c r="AD879">
        <v>-1.109934</v>
      </c>
      <c r="AE879">
        <v>-1.08100000000001</v>
      </c>
      <c r="AF879">
        <v>1.05468406318875</v>
      </c>
      <c r="AG879">
        <v>-1.109934</v>
      </c>
      <c r="AH879">
        <v>19.019133211626102</v>
      </c>
      <c r="AI879">
        <v>93.334813387812005</v>
      </c>
      <c r="AJ879">
        <v>86.825979573271496</v>
      </c>
      <c r="AK879">
        <v>19.080664036638801</v>
      </c>
      <c r="AL879">
        <v>87.440000330723606</v>
      </c>
      <c r="AM879">
        <v>90.053347425915803</v>
      </c>
      <c r="AN879">
        <v>1.00000003712412</v>
      </c>
    </row>
    <row r="880" spans="1:40" x14ac:dyDescent="0.25">
      <c r="A880" t="str">
        <f>"20190312160317105"</f>
        <v>20190312160317105</v>
      </c>
      <c r="B880" t="str">
        <f>"1552377797095088"</f>
        <v>1552377797095088</v>
      </c>
      <c r="C880" t="s">
        <v>40</v>
      </c>
      <c r="D880">
        <v>5.5355470000000002</v>
      </c>
      <c r="E880">
        <v>0.52183780000000002</v>
      </c>
      <c r="F880" t="s">
        <v>43</v>
      </c>
      <c r="G880">
        <v>-279.3331</v>
      </c>
      <c r="H880">
        <v>-0.05</v>
      </c>
      <c r="I880">
        <v>366.78519999999997</v>
      </c>
      <c r="J880">
        <v>-299.59030000000001</v>
      </c>
      <c r="K880">
        <v>1.059912</v>
      </c>
      <c r="L880">
        <v>367.97989999999999</v>
      </c>
      <c r="M880">
        <v>0.99988010000000005</v>
      </c>
      <c r="N880">
        <v>0</v>
      </c>
      <c r="O880">
        <v>-1.191744E-3</v>
      </c>
      <c r="P880">
        <v>0.9995695</v>
      </c>
      <c r="Q880">
        <v>2.9346819999999999E-2</v>
      </c>
      <c r="R880">
        <v>-4.0968539999999999E-4</v>
      </c>
      <c r="S880">
        <v>3.005951</v>
      </c>
      <c r="T880">
        <v>-0.16238089999999999</v>
      </c>
      <c r="U880">
        <v>-0.1748352</v>
      </c>
      <c r="V880">
        <v>-7.8010079999999999E-4</v>
      </c>
      <c r="W880">
        <v>4.4787500000000001E-2</v>
      </c>
      <c r="X880">
        <v>0.99899629999999995</v>
      </c>
      <c r="Y880">
        <v>5.6794190000000001E-2</v>
      </c>
      <c r="Z880">
        <v>-1.4673129999999901E-3</v>
      </c>
      <c r="AA880">
        <v>0.99838479999999996</v>
      </c>
      <c r="AB880">
        <v>51</v>
      </c>
      <c r="AC880">
        <v>20.257200000000001</v>
      </c>
      <c r="AD880">
        <v>-1.109912</v>
      </c>
      <c r="AE880">
        <v>-1.1947000000000101</v>
      </c>
      <c r="AF880">
        <v>1.16706343561951</v>
      </c>
      <c r="AG880">
        <v>-1.109912</v>
      </c>
      <c r="AH880">
        <v>20.198183727864802</v>
      </c>
      <c r="AI880">
        <v>93.1400747569282</v>
      </c>
      <c r="AJ880">
        <v>86.693091618704102</v>
      </c>
      <c r="AK880">
        <v>20.262294233750701</v>
      </c>
      <c r="AL880">
        <v>87.433006764334905</v>
      </c>
      <c r="AM880">
        <v>90.044741381274093</v>
      </c>
      <c r="AN880">
        <v>1.0000000680635901</v>
      </c>
    </row>
    <row r="881" spans="1:40" x14ac:dyDescent="0.25">
      <c r="A881" t="str">
        <f>"20190312160317117"</f>
        <v>20190312160317117</v>
      </c>
      <c r="B881" t="str">
        <f>"1552377797105822"</f>
        <v>1552377797105822</v>
      </c>
      <c r="C881" t="s">
        <v>40</v>
      </c>
      <c r="D881">
        <v>5.4232690000000003</v>
      </c>
      <c r="E881">
        <v>0.52229989999999904</v>
      </c>
      <c r="F881" t="s">
        <v>41</v>
      </c>
      <c r="G881">
        <v>-278.19330000000002</v>
      </c>
      <c r="H881" s="1">
        <v>-1.39256E-6</v>
      </c>
      <c r="I881">
        <v>366.64089999999999</v>
      </c>
      <c r="J881">
        <v>-299.32900000000001</v>
      </c>
      <c r="K881">
        <v>1.059901</v>
      </c>
      <c r="L881">
        <v>367.9796</v>
      </c>
      <c r="M881">
        <v>0.9998804</v>
      </c>
      <c r="N881">
        <v>0</v>
      </c>
      <c r="O881">
        <v>-1.1904369999999999E-3</v>
      </c>
      <c r="P881">
        <v>0.99955839999999996</v>
      </c>
      <c r="Q881">
        <v>2.9716869999999999E-2</v>
      </c>
      <c r="R881">
        <v>-2.8091249999999998E-4</v>
      </c>
      <c r="S881">
        <v>3.005585</v>
      </c>
      <c r="T881">
        <v>-0.14888280000000001</v>
      </c>
      <c r="U881">
        <v>-0.18807979999999999</v>
      </c>
      <c r="V881">
        <v>-9.0775090000000001E-4</v>
      </c>
      <c r="W881">
        <v>4.5127630000000002E-2</v>
      </c>
      <c r="X881">
        <v>0.9989808</v>
      </c>
      <c r="Y881">
        <v>6.1193049999999999E-2</v>
      </c>
      <c r="Z881">
        <v>-1.454323E-3</v>
      </c>
      <c r="AA881">
        <v>0.99812489999999998</v>
      </c>
      <c r="AB881">
        <v>51</v>
      </c>
      <c r="AC881">
        <v>21.1356999999999</v>
      </c>
      <c r="AD881">
        <v>-1.05990239256</v>
      </c>
      <c r="AE881">
        <v>-1.33870000000001</v>
      </c>
      <c r="AF881">
        <v>1.31025351821849</v>
      </c>
      <c r="AG881">
        <v>-1.05990239256</v>
      </c>
      <c r="AH881">
        <v>21.084468098495002</v>
      </c>
      <c r="AI881">
        <v>92.872267487107194</v>
      </c>
      <c r="AJ881">
        <v>86.444037244161095</v>
      </c>
      <c r="AK881">
        <v>21.151712752404102</v>
      </c>
      <c r="AL881">
        <v>87.413498807297898</v>
      </c>
      <c r="AM881">
        <v>90.052063344064607</v>
      </c>
      <c r="AN881">
        <v>0.99999998288487602</v>
      </c>
    </row>
    <row r="882" spans="1:40" x14ac:dyDescent="0.25">
      <c r="A882" t="str">
        <f>"20190312160317129"</f>
        <v>20190312160317129</v>
      </c>
      <c r="B882" t="str">
        <f>"1552377797125343"</f>
        <v>1552377797125343</v>
      </c>
      <c r="C882" t="s">
        <v>40</v>
      </c>
      <c r="D882">
        <v>5.3109669999999998</v>
      </c>
      <c r="E882">
        <v>0.52101830000000005</v>
      </c>
      <c r="F882" t="s">
        <v>41</v>
      </c>
      <c r="G882">
        <v>-277.21449999999999</v>
      </c>
      <c r="H882" s="1">
        <v>-1.743297E-6</v>
      </c>
      <c r="I882">
        <v>366.57459999999998</v>
      </c>
      <c r="J882">
        <v>-299.0754</v>
      </c>
      <c r="K882">
        <v>1.059885</v>
      </c>
      <c r="L882">
        <v>367.97930000000002</v>
      </c>
      <c r="M882">
        <v>0.99988080000000001</v>
      </c>
      <c r="N882">
        <v>0</v>
      </c>
      <c r="O882">
        <v>-1.189262E-3</v>
      </c>
      <c r="P882">
        <v>0.99955430000000001</v>
      </c>
      <c r="Q882">
        <v>2.9850539999999998E-2</v>
      </c>
      <c r="R882">
        <v>-3.709184E-4</v>
      </c>
      <c r="S882">
        <v>3.0056150000000001</v>
      </c>
      <c r="T882">
        <v>-0.14405209999999999</v>
      </c>
      <c r="U882">
        <v>-0.19094849999999999</v>
      </c>
      <c r="V882">
        <v>-8.1676410000000002E-4</v>
      </c>
      <c r="W882">
        <v>4.5232420000000002E-2</v>
      </c>
      <c r="X882">
        <v>0.99897619999999998</v>
      </c>
      <c r="Y882">
        <v>6.2146020000000003E-2</v>
      </c>
      <c r="Z882">
        <v>-1.4299919999999999E-3</v>
      </c>
      <c r="AA882">
        <v>0.99806609999999996</v>
      </c>
      <c r="AB882">
        <v>51</v>
      </c>
      <c r="AC882">
        <v>21.860900000000001</v>
      </c>
      <c r="AD882">
        <v>-1.0598867432969901</v>
      </c>
      <c r="AE882">
        <v>-1.40470000000004</v>
      </c>
      <c r="AF882">
        <v>1.3754776540523601</v>
      </c>
      <c r="AG882">
        <v>-1.0598867432969901</v>
      </c>
      <c r="AH882">
        <v>21.811495523332098</v>
      </c>
      <c r="AI882">
        <v>92.776480800140803</v>
      </c>
      <c r="AJ882">
        <v>86.391588875969504</v>
      </c>
      <c r="AK882">
        <v>21.8805081213794</v>
      </c>
      <c r="AL882">
        <v>87.4074888026162</v>
      </c>
      <c r="AM882">
        <v>90.046845085358598</v>
      </c>
      <c r="AN882">
        <v>1.00000004354454</v>
      </c>
    </row>
    <row r="883" spans="1:40" x14ac:dyDescent="0.25">
      <c r="A883" t="str">
        <f>"20190312160317139"</f>
        <v>20190312160317139</v>
      </c>
      <c r="B883" t="str">
        <f>"1552377797135101"</f>
        <v>1552377797135101</v>
      </c>
      <c r="C883" t="s">
        <v>40</v>
      </c>
      <c r="D883">
        <v>5.3162500000000001</v>
      </c>
      <c r="E883">
        <v>0.52051759999999903</v>
      </c>
      <c r="F883" t="s">
        <v>41</v>
      </c>
      <c r="G883">
        <v>-270.27839999999998</v>
      </c>
      <c r="H883" s="1">
        <v>-4.7484589999999999E-6</v>
      </c>
      <c r="I883">
        <v>366.25850000000003</v>
      </c>
      <c r="J883">
        <v>-298.82139999999998</v>
      </c>
      <c r="K883">
        <v>1.059874</v>
      </c>
      <c r="L883">
        <v>367.97899999999998</v>
      </c>
      <c r="M883">
        <v>0.99988129999999997</v>
      </c>
      <c r="N883">
        <v>0</v>
      </c>
      <c r="O883">
        <v>-1.188347E-3</v>
      </c>
      <c r="P883">
        <v>0.99954929999999997</v>
      </c>
      <c r="Q883">
        <v>3.0015449999999999E-2</v>
      </c>
      <c r="R883">
        <v>-6.7534110000000002E-4</v>
      </c>
      <c r="S883">
        <v>3.0045470000000001</v>
      </c>
      <c r="T883">
        <v>-0.1105839</v>
      </c>
      <c r="U883">
        <v>-0.1795349</v>
      </c>
      <c r="V883">
        <v>-5.114211E-4</v>
      </c>
      <c r="W883">
        <v>4.537103E-2</v>
      </c>
      <c r="X883">
        <v>0.99897009999999997</v>
      </c>
      <c r="Y883">
        <v>5.8422979999999999E-2</v>
      </c>
      <c r="Z883">
        <v>-1.0301349999999999E-3</v>
      </c>
      <c r="AA883">
        <v>0.99829140000000005</v>
      </c>
      <c r="AB883">
        <v>50</v>
      </c>
      <c r="AC883">
        <v>28.542999999999999</v>
      </c>
      <c r="AD883">
        <v>-1.059878748459</v>
      </c>
      <c r="AE883">
        <v>-1.7205000000000099</v>
      </c>
      <c r="AF883">
        <v>1.68426187740559</v>
      </c>
      <c r="AG883">
        <v>-1.059878748459</v>
      </c>
      <c r="AH883">
        <v>28.5058619706457</v>
      </c>
      <c r="AI883">
        <v>92.125634467422003</v>
      </c>
      <c r="AJ883">
        <v>86.618624038740293</v>
      </c>
      <c r="AK883">
        <v>28.5752383668557</v>
      </c>
      <c r="AL883">
        <v>87.399538828298603</v>
      </c>
      <c r="AM883">
        <v>90.029332477542596</v>
      </c>
      <c r="AN883">
        <v>1.0000000263044</v>
      </c>
    </row>
    <row r="884" spans="1:40" x14ac:dyDescent="0.25">
      <c r="A884" t="str">
        <f>"20190312160317151"</f>
        <v>20190312160317151</v>
      </c>
      <c r="B884" t="str">
        <f>"1552377797145838"</f>
        <v>1552377797145838</v>
      </c>
      <c r="C884" t="s">
        <v>40</v>
      </c>
      <c r="D884">
        <v>5.4169519999999904</v>
      </c>
      <c r="E884">
        <v>0.51964220000000005</v>
      </c>
      <c r="F884" t="s">
        <v>41</v>
      </c>
      <c r="G884">
        <v>-266.06</v>
      </c>
      <c r="H884" s="1">
        <v>-2.3029789999999999E-6</v>
      </c>
      <c r="I884">
        <v>366.06229999999999</v>
      </c>
      <c r="J884">
        <v>-298.58159999999998</v>
      </c>
      <c r="K884">
        <v>1.059857</v>
      </c>
      <c r="L884">
        <v>367.9787</v>
      </c>
      <c r="M884">
        <v>0.99988169999999998</v>
      </c>
      <c r="N884">
        <v>0</v>
      </c>
      <c r="O884">
        <v>-1.1874500000000001E-3</v>
      </c>
      <c r="P884">
        <v>0.99953190000000003</v>
      </c>
      <c r="Q884">
        <v>3.05922E-2</v>
      </c>
      <c r="R884">
        <v>-5.9769990000000002E-4</v>
      </c>
      <c r="S884">
        <v>3.0041199999999999</v>
      </c>
      <c r="T884">
        <v>-9.7187220000000005E-2</v>
      </c>
      <c r="U884">
        <v>-0.17575070000000001</v>
      </c>
      <c r="V884">
        <v>-5.8809789999999997E-4</v>
      </c>
      <c r="W884">
        <v>4.5924069999999997E-2</v>
      </c>
      <c r="X884">
        <v>0.99894479999999997</v>
      </c>
      <c r="Y884">
        <v>5.7188570000000001E-2</v>
      </c>
      <c r="Z884">
        <v>-8.8565439999999996E-4</v>
      </c>
      <c r="AA884">
        <v>0.998363</v>
      </c>
      <c r="AB884">
        <v>50</v>
      </c>
      <c r="AC884">
        <v>32.5215999999999</v>
      </c>
      <c r="AD884">
        <v>-1.059859302979</v>
      </c>
      <c r="AE884">
        <v>-1.9164000000000101</v>
      </c>
      <c r="AF884">
        <v>1.87579100771603</v>
      </c>
      <c r="AG884">
        <v>-1.059859302979</v>
      </c>
      <c r="AH884">
        <v>32.489466320494998</v>
      </c>
      <c r="AI884">
        <v>91.865314946394093</v>
      </c>
      <c r="AJ884">
        <v>86.695675845696996</v>
      </c>
      <c r="AK884">
        <v>32.560824858060897</v>
      </c>
      <c r="AL884">
        <v>87.367818941640806</v>
      </c>
      <c r="AM884">
        <v>90.033731116792097</v>
      </c>
      <c r="AN884">
        <v>1.00000003975577</v>
      </c>
    </row>
    <row r="885" spans="1:40" x14ac:dyDescent="0.25">
      <c r="A885" t="str">
        <f>"20190312160317162"</f>
        <v>20190312160317162</v>
      </c>
      <c r="B885" t="str">
        <f>"1552377797155598"</f>
        <v>1552377797155598</v>
      </c>
      <c r="C885" t="s">
        <v>40</v>
      </c>
      <c r="D885">
        <v>5.4842449999999996</v>
      </c>
      <c r="E885">
        <v>0.51933070000000003</v>
      </c>
      <c r="F885" t="s">
        <v>41</v>
      </c>
      <c r="G885">
        <v>-262.3648</v>
      </c>
      <c r="H885" s="1">
        <v>-3.907559E-6</v>
      </c>
      <c r="I885">
        <v>365.95330000000001</v>
      </c>
      <c r="J885">
        <v>-298.30630000000002</v>
      </c>
      <c r="K885">
        <v>1.0598479999999999</v>
      </c>
      <c r="L885">
        <v>367.97840000000002</v>
      </c>
      <c r="M885">
        <v>0.99988200000000005</v>
      </c>
      <c r="N885">
        <v>0</v>
      </c>
      <c r="O885">
        <v>-1.1863049999999999E-3</v>
      </c>
      <c r="P885">
        <v>0.99953449999999999</v>
      </c>
      <c r="Q885">
        <v>3.0497469999999999E-2</v>
      </c>
      <c r="R885">
        <v>-8.0379789999999996E-4</v>
      </c>
      <c r="S885">
        <v>3.0040279999999999</v>
      </c>
      <c r="T885">
        <v>-8.7910769999999999E-2</v>
      </c>
      <c r="U885">
        <v>-0.16799929999999999</v>
      </c>
      <c r="V885">
        <v>-3.8089459999999999E-4</v>
      </c>
      <c r="W885">
        <v>4.5804030000000003E-2</v>
      </c>
      <c r="X885">
        <v>0.99895040000000002</v>
      </c>
      <c r="Y885">
        <v>5.462997E-2</v>
      </c>
      <c r="Z885">
        <v>-7.6387350000000004E-4</v>
      </c>
      <c r="AA885">
        <v>0.99850640000000002</v>
      </c>
      <c r="AB885">
        <v>50</v>
      </c>
      <c r="AC885">
        <v>35.941499999999998</v>
      </c>
      <c r="AD885">
        <v>-1.0598519075589901</v>
      </c>
      <c r="AE885">
        <v>-2.0251000000000001</v>
      </c>
      <c r="AF885">
        <v>1.9807390771615101</v>
      </c>
      <c r="AG885">
        <v>-1.0598519075589901</v>
      </c>
      <c r="AH885">
        <v>35.9127480217537</v>
      </c>
      <c r="AI885">
        <v>91.687850475321099</v>
      </c>
      <c r="AJ885">
        <v>86.843095308524397</v>
      </c>
      <c r="AK885">
        <v>35.982941567244403</v>
      </c>
      <c r="AL885">
        <v>87.374703940915893</v>
      </c>
      <c r="AM885">
        <v>90.021846582134302</v>
      </c>
      <c r="AN885">
        <v>1.0000000279525401</v>
      </c>
    </row>
    <row r="886" spans="1:40" x14ac:dyDescent="0.25">
      <c r="A886" t="str">
        <f>"20190312160317178"</f>
        <v>20190312160317178</v>
      </c>
      <c r="B886" t="str">
        <f>"1552377797175118"</f>
        <v>1552377797175118</v>
      </c>
      <c r="C886" t="s">
        <v>40</v>
      </c>
      <c r="D886">
        <v>5.3172180000000004</v>
      </c>
      <c r="E886">
        <v>0.51883630000000003</v>
      </c>
      <c r="F886" t="s">
        <v>41</v>
      </c>
      <c r="G886">
        <v>-257.50979999999998</v>
      </c>
      <c r="H886" s="1">
        <v>-1.867067E-6</v>
      </c>
      <c r="I886">
        <v>365.73180000000002</v>
      </c>
      <c r="J886">
        <v>-297.96319999999997</v>
      </c>
      <c r="K886">
        <v>1.0598430000000001</v>
      </c>
      <c r="L886">
        <v>367.97800000000001</v>
      </c>
      <c r="M886">
        <v>0.99988250000000001</v>
      </c>
      <c r="N886">
        <v>0</v>
      </c>
      <c r="O886">
        <v>-1.1844189999999999E-3</v>
      </c>
      <c r="P886">
        <v>0.99951650000000003</v>
      </c>
      <c r="Q886">
        <v>3.1096059999999998E-2</v>
      </c>
      <c r="R886">
        <v>-2.4547600000000001E-4</v>
      </c>
      <c r="S886">
        <v>3.0036619999999998</v>
      </c>
      <c r="T886">
        <v>-7.8031900000000001E-2</v>
      </c>
      <c r="U886">
        <v>-0.16540529999999901</v>
      </c>
      <c r="V886">
        <v>-9.3723120000000003E-4</v>
      </c>
      <c r="W886">
        <v>4.6374199999999997E-2</v>
      </c>
      <c r="X886">
        <v>0.99892369999999997</v>
      </c>
      <c r="Y886">
        <v>5.3784070000000003E-2</v>
      </c>
      <c r="Z886">
        <v>-6.672348E-4</v>
      </c>
      <c r="AA886">
        <v>0.99855240000000001</v>
      </c>
      <c r="AB886">
        <v>50</v>
      </c>
      <c r="AC886">
        <v>40.453399999999903</v>
      </c>
      <c r="AD886">
        <v>-1.059844867067</v>
      </c>
      <c r="AE886">
        <v>-2.24619999999998</v>
      </c>
      <c r="AF886">
        <v>2.1967758287370698</v>
      </c>
      <c r="AG886">
        <v>-1.059844867067</v>
      </c>
      <c r="AH886">
        <v>40.428367806377402</v>
      </c>
      <c r="AI886">
        <v>91.499475458824506</v>
      </c>
      <c r="AJ886">
        <v>86.889750103301097</v>
      </c>
      <c r="AK886">
        <v>40.501876730241896</v>
      </c>
      <c r="AL886">
        <v>87.342000784230294</v>
      </c>
      <c r="AM886">
        <v>90.053757235343198</v>
      </c>
      <c r="AN886">
        <v>1.0000000016248201</v>
      </c>
    </row>
    <row r="887" spans="1:40" x14ac:dyDescent="0.25">
      <c r="A887" t="str">
        <f>"20190312160317188"</f>
        <v>20190312160317188</v>
      </c>
      <c r="B887" t="str">
        <f>"1552377797185854"</f>
        <v>1552377797185854</v>
      </c>
      <c r="C887" t="s">
        <v>40</v>
      </c>
      <c r="D887">
        <v>5.4934229999999999</v>
      </c>
      <c r="E887">
        <v>0.51876520000000004</v>
      </c>
      <c r="F887" t="s">
        <v>41</v>
      </c>
      <c r="G887">
        <v>-245.83930000000001</v>
      </c>
      <c r="H887" s="1">
        <v>-2.7538490000000001E-6</v>
      </c>
      <c r="I887">
        <v>365.2122</v>
      </c>
      <c r="J887">
        <v>-297.71949999999998</v>
      </c>
      <c r="K887">
        <v>1.0598369999999999</v>
      </c>
      <c r="L887">
        <v>367.97770000000003</v>
      </c>
      <c r="M887">
        <v>0.99988279999999996</v>
      </c>
      <c r="N887">
        <v>0</v>
      </c>
      <c r="O887">
        <v>-1.183202E-3</v>
      </c>
      <c r="P887">
        <v>0.99951809999999996</v>
      </c>
      <c r="Q887">
        <v>3.104266E-2</v>
      </c>
      <c r="R887">
        <v>-1.1771790000000001E-4</v>
      </c>
      <c r="S887">
        <v>3.0033259999999999</v>
      </c>
      <c r="T887">
        <v>-6.1067219999999998E-2</v>
      </c>
      <c r="U887">
        <v>-0.1593628</v>
      </c>
      <c r="V887">
        <v>-1.0634609999999999E-3</v>
      </c>
      <c r="W887">
        <v>4.630132E-2</v>
      </c>
      <c r="X887">
        <v>0.99892689999999995</v>
      </c>
      <c r="Y887">
        <v>5.179541E-2</v>
      </c>
      <c r="Z887">
        <v>-5.0211720000000002E-4</v>
      </c>
      <c r="AA887">
        <v>0.99865760000000003</v>
      </c>
      <c r="AB887">
        <v>50</v>
      </c>
      <c r="AC887">
        <v>51.880199999999903</v>
      </c>
      <c r="AD887">
        <v>-1.0598397538490001</v>
      </c>
      <c r="AE887">
        <v>-2.76550000000003</v>
      </c>
      <c r="AF887">
        <v>2.7029813226148902</v>
      </c>
      <c r="AG887">
        <v>-1.0598397538490001</v>
      </c>
      <c r="AH887">
        <v>51.861854143408898</v>
      </c>
      <c r="AI887">
        <v>91.169137153688297</v>
      </c>
      <c r="AJ887">
        <v>87.016508093514901</v>
      </c>
      <c r="AK887">
        <v>51.9430580879338</v>
      </c>
      <c r="AL887">
        <v>87.346180846788499</v>
      </c>
      <c r="AM887">
        <v>90.060997260116906</v>
      </c>
      <c r="AN887">
        <v>0.99999994736332398</v>
      </c>
    </row>
    <row r="888" spans="1:40" x14ac:dyDescent="0.25">
      <c r="A888" t="str">
        <f>"20190312160317200"</f>
        <v>20190312160317200</v>
      </c>
      <c r="B888" t="str">
        <f>"1552377797195615"</f>
        <v>1552377797195615</v>
      </c>
      <c r="C888" t="s">
        <v>40</v>
      </c>
      <c r="D888">
        <v>5.4415760000000004</v>
      </c>
      <c r="E888">
        <v>0.51863689999999996</v>
      </c>
      <c r="F888" t="s">
        <v>41</v>
      </c>
      <c r="G888">
        <v>-239.75630000000001</v>
      </c>
      <c r="H888" s="1">
        <v>-1.3157439999999999E-6</v>
      </c>
      <c r="I888">
        <v>364.9307</v>
      </c>
      <c r="J888">
        <v>-297.452</v>
      </c>
      <c r="K888">
        <v>1.0598299999999901</v>
      </c>
      <c r="L888">
        <v>367.97739999999999</v>
      </c>
      <c r="M888">
        <v>0.99988310000000002</v>
      </c>
      <c r="N888">
        <v>0</v>
      </c>
      <c r="O888">
        <v>-1.181508E-3</v>
      </c>
      <c r="P888">
        <v>0.99951140000000005</v>
      </c>
      <c r="Q888">
        <v>3.1255819999999997E-2</v>
      </c>
      <c r="R888">
        <v>1.7685650000000001E-4</v>
      </c>
      <c r="S888">
        <v>3.0031430000000001</v>
      </c>
      <c r="T888">
        <v>-5.4911380000000003E-2</v>
      </c>
      <c r="U888">
        <v>-0.15786739999999999</v>
      </c>
      <c r="V888">
        <v>-1.3563889999999999E-3</v>
      </c>
      <c r="W888">
        <v>4.6494710000000002E-2</v>
      </c>
      <c r="X888">
        <v>0.99891759999999996</v>
      </c>
      <c r="Y888">
        <v>5.1306520000000001E-2</v>
      </c>
      <c r="Z888">
        <v>-4.4710870000000001E-4</v>
      </c>
      <c r="AA888">
        <v>0.99868290000000004</v>
      </c>
      <c r="AB888">
        <v>50</v>
      </c>
      <c r="AC888">
        <v>57.695699999999903</v>
      </c>
      <c r="AD888">
        <v>-1.05983131574399</v>
      </c>
      <c r="AE888">
        <v>-3.04669999999998</v>
      </c>
      <c r="AF888">
        <v>2.97752010220412</v>
      </c>
      <c r="AG888">
        <v>-1.05983131574399</v>
      </c>
      <c r="AH888">
        <v>57.679850918406501</v>
      </c>
      <c r="AI888">
        <v>91.051256352474198</v>
      </c>
      <c r="AJ888">
        <v>87.044929244902804</v>
      </c>
      <c r="AK888">
        <v>57.7663749108983</v>
      </c>
      <c r="AL888">
        <v>87.335088568875406</v>
      </c>
      <c r="AM888">
        <v>90.077799527523197</v>
      </c>
      <c r="AN888">
        <v>0.99999998471943097</v>
      </c>
    </row>
    <row r="889" spans="1:40" x14ac:dyDescent="0.25">
      <c r="A889" t="str">
        <f>"20190312160317212"</f>
        <v>20190312160317212</v>
      </c>
      <c r="B889" t="str">
        <f>"1552377797205374"</f>
        <v>1552377797205374</v>
      </c>
      <c r="C889" t="s">
        <v>40</v>
      </c>
      <c r="D889">
        <v>5.4533709999999997</v>
      </c>
      <c r="E889">
        <v>0.51864169999999998</v>
      </c>
      <c r="F889" t="s">
        <v>41</v>
      </c>
      <c r="G889">
        <v>-231.41929999999999</v>
      </c>
      <c r="H889" s="1">
        <v>-4.5617169999999997E-6</v>
      </c>
      <c r="I889">
        <v>364.5523</v>
      </c>
      <c r="J889">
        <v>-297.19510000000002</v>
      </c>
      <c r="K889">
        <v>1.059825</v>
      </c>
      <c r="L889">
        <v>367.97710000000001</v>
      </c>
      <c r="M889">
        <v>0.99988330000000003</v>
      </c>
      <c r="N889">
        <v>0</v>
      </c>
      <c r="O889">
        <v>-1.1800630000000001E-3</v>
      </c>
      <c r="P889">
        <v>0.99950620000000001</v>
      </c>
      <c r="Q889">
        <v>3.1422060000000002E-2</v>
      </c>
      <c r="R889" s="1">
        <v>9.2810329999999997E-5</v>
      </c>
      <c r="S889">
        <v>3.0029910000000002</v>
      </c>
      <c r="T889">
        <v>-4.8198339999999999E-2</v>
      </c>
      <c r="U889">
        <v>-0.1557617</v>
      </c>
      <c r="V889">
        <v>-1.2711179999999999E-3</v>
      </c>
      <c r="W889">
        <v>4.6643320000000002E-2</v>
      </c>
      <c r="X889">
        <v>0.99891079999999999</v>
      </c>
      <c r="Y889">
        <v>5.0614230000000003E-2</v>
      </c>
      <c r="Z889">
        <v>-3.8695489999999999E-4</v>
      </c>
      <c r="AA889">
        <v>0.9987182</v>
      </c>
      <c r="AB889">
        <v>50</v>
      </c>
      <c r="AC889">
        <v>65.775800000000004</v>
      </c>
      <c r="AD889">
        <v>-1.0598295617169999</v>
      </c>
      <c r="AE889">
        <v>-3.4247999999999998</v>
      </c>
      <c r="AF889">
        <v>3.3463026003342602</v>
      </c>
      <c r="AG889">
        <v>-1.0598295617169999</v>
      </c>
      <c r="AH889">
        <v>65.762768907412607</v>
      </c>
      <c r="AI889">
        <v>90.922103257481893</v>
      </c>
      <c r="AJ889">
        <v>87.087047898627105</v>
      </c>
      <c r="AK889">
        <v>65.856379752933904</v>
      </c>
      <c r="AL889">
        <v>87.326564637822102</v>
      </c>
      <c r="AM889">
        <v>90.072909069911802</v>
      </c>
      <c r="AN889">
        <v>1.0000000006991101</v>
      </c>
    </row>
    <row r="890" spans="1:40" x14ac:dyDescent="0.25">
      <c r="A890" t="str">
        <f>"20190312160317222"</f>
        <v>20190312160317222</v>
      </c>
      <c r="B890" t="str">
        <f>"1552377797215134"</f>
        <v>1552377797215134</v>
      </c>
      <c r="C890" t="s">
        <v>40</v>
      </c>
      <c r="D890">
        <v>5.9511669999999999</v>
      </c>
      <c r="E890">
        <v>0.51860479999999998</v>
      </c>
      <c r="F890" t="s">
        <v>41</v>
      </c>
      <c r="G890">
        <v>-223.26429999999999</v>
      </c>
      <c r="H890" s="1">
        <v>-3.8420209999999998E-6</v>
      </c>
      <c r="I890">
        <v>364.14749999999998</v>
      </c>
      <c r="J890">
        <v>-296.94279999999998</v>
      </c>
      <c r="K890">
        <v>1.0598179999999999</v>
      </c>
      <c r="L890">
        <v>367.97680000000003</v>
      </c>
      <c r="M890">
        <v>0.99988359999999998</v>
      </c>
      <c r="N890">
        <v>0</v>
      </c>
      <c r="O890">
        <v>-1.178747E-3</v>
      </c>
      <c r="P890">
        <v>0.99950799999999995</v>
      </c>
      <c r="Q890">
        <v>3.1367119999999998E-2</v>
      </c>
      <c r="R890">
        <v>2.0867689999999999E-4</v>
      </c>
      <c r="S890">
        <v>3.002869</v>
      </c>
      <c r="T890">
        <v>-4.3047309999999998E-2</v>
      </c>
      <c r="U890">
        <v>-0.15554809999999999</v>
      </c>
      <c r="V890">
        <v>-1.385439E-3</v>
      </c>
      <c r="W890">
        <v>4.6571880000000003E-2</v>
      </c>
      <c r="X890">
        <v>0.99891399999999997</v>
      </c>
      <c r="Y890">
        <v>5.0548080000000002E-2</v>
      </c>
      <c r="Z890">
        <v>-3.4516469999999999E-4</v>
      </c>
      <c r="AA890">
        <v>0.99872150000000004</v>
      </c>
      <c r="AB890">
        <v>50</v>
      </c>
      <c r="AC890">
        <v>73.6784999999999</v>
      </c>
      <c r="AD890">
        <v>-1.0598218420209999</v>
      </c>
      <c r="AE890">
        <v>-3.8293000000000399</v>
      </c>
      <c r="AF890">
        <v>3.7416668707948499</v>
      </c>
      <c r="AG890">
        <v>-1.0598218420209999</v>
      </c>
      <c r="AH890">
        <v>73.667761471670502</v>
      </c>
      <c r="AI890">
        <v>90.823168382772707</v>
      </c>
      <c r="AJ890">
        <v>87.092382730851696</v>
      </c>
      <c r="AK890">
        <v>73.7703353222403</v>
      </c>
      <c r="AL890">
        <v>87.330662351354405</v>
      </c>
      <c r="AM890">
        <v>90.079466056711595</v>
      </c>
      <c r="AN890">
        <v>1.00000001942197</v>
      </c>
    </row>
    <row r="891" spans="1:40" x14ac:dyDescent="0.25">
      <c r="A891" t="str">
        <f>"20190312160317236"</f>
        <v>20190312160317236</v>
      </c>
      <c r="B891" t="str">
        <f>"1552377797225870"</f>
        <v>1552377797225870</v>
      </c>
      <c r="C891" t="s">
        <v>40</v>
      </c>
      <c r="D891">
        <v>5.5363600000000002</v>
      </c>
      <c r="E891">
        <v>0.51850499999999999</v>
      </c>
      <c r="F891" t="s">
        <v>41</v>
      </c>
      <c r="G891">
        <v>-214.3141</v>
      </c>
      <c r="H891" s="1">
        <v>-3.4901170000000001E-6</v>
      </c>
      <c r="I891">
        <v>363.7192</v>
      </c>
      <c r="J891">
        <v>-296.66359999999997</v>
      </c>
      <c r="K891">
        <v>1.0598129999999999</v>
      </c>
      <c r="L891">
        <v>367.97649999999999</v>
      </c>
      <c r="M891">
        <v>0.99988390000000005</v>
      </c>
      <c r="N891">
        <v>0</v>
      </c>
      <c r="O891">
        <v>-1.177427E-3</v>
      </c>
      <c r="P891">
        <v>0.99950260000000002</v>
      </c>
      <c r="Q891">
        <v>3.1538330000000003E-2</v>
      </c>
      <c r="R891">
        <v>4.7361210000000003E-4</v>
      </c>
      <c r="S891">
        <v>3.0027469999999998</v>
      </c>
      <c r="T891">
        <v>-3.8514140000000002E-2</v>
      </c>
      <c r="U891">
        <v>-0.1547241</v>
      </c>
      <c r="V891">
        <v>-1.648832E-3</v>
      </c>
      <c r="W891">
        <v>4.6726209999999997E-2</v>
      </c>
      <c r="X891">
        <v>0.99890639999999997</v>
      </c>
      <c r="Y891">
        <v>5.0279200000000003E-2</v>
      </c>
      <c r="Z891">
        <v>-3.0712810000000002E-4</v>
      </c>
      <c r="AA891">
        <v>0.99873509999999999</v>
      </c>
      <c r="AB891">
        <v>50</v>
      </c>
      <c r="AC891">
        <v>82.349499999999907</v>
      </c>
      <c r="AD891">
        <v>-1.059816490117</v>
      </c>
      <c r="AE891">
        <v>-4.2572999999999803</v>
      </c>
      <c r="AF891">
        <v>4.1596382073067</v>
      </c>
      <c r="AG891">
        <v>-1.059816490117</v>
      </c>
      <c r="AH891">
        <v>82.340854367934796</v>
      </c>
      <c r="AI891">
        <v>90.736479330760801</v>
      </c>
      <c r="AJ891">
        <v>87.108029953422403</v>
      </c>
      <c r="AK891">
        <v>82.4526658092378</v>
      </c>
      <c r="AL891">
        <v>87.321810276334702</v>
      </c>
      <c r="AM891">
        <v>90.094574455552006</v>
      </c>
      <c r="AN891">
        <v>1.00000002665444</v>
      </c>
    </row>
    <row r="892" spans="1:40" x14ac:dyDescent="0.25">
      <c r="A892" t="str">
        <f>"20190312160317250"</f>
        <v>20190312160317250</v>
      </c>
      <c r="B892" t="str">
        <f>"1552377797245389"</f>
        <v>1552377797245389</v>
      </c>
      <c r="C892" t="s">
        <v>40</v>
      </c>
      <c r="D892">
        <v>5.5734069999999996</v>
      </c>
      <c r="E892">
        <v>0.51833929999999995</v>
      </c>
      <c r="F892" t="s">
        <v>50</v>
      </c>
      <c r="G892">
        <v>-201.28030000000001</v>
      </c>
      <c r="H892" s="1">
        <v>-2.4800010000000002E-6</v>
      </c>
      <c r="I892">
        <v>363.1234</v>
      </c>
      <c r="J892">
        <v>-296.35489999999999</v>
      </c>
      <c r="K892">
        <v>1.0598080000000001</v>
      </c>
      <c r="L892">
        <v>367.97620000000001</v>
      </c>
      <c r="M892">
        <v>0.99988410000000005</v>
      </c>
      <c r="N892">
        <v>0</v>
      </c>
      <c r="O892">
        <v>-1.175862E-3</v>
      </c>
      <c r="P892">
        <v>0.99950019999999995</v>
      </c>
      <c r="Q892">
        <v>3.1616819999999997E-2</v>
      </c>
      <c r="R892">
        <v>3.7969119999999999E-4</v>
      </c>
      <c r="S892">
        <v>3.0025940000000002</v>
      </c>
      <c r="T892">
        <v>-3.336215E-2</v>
      </c>
      <c r="U892">
        <v>-0.15277099999999999</v>
      </c>
      <c r="V892">
        <v>-1.5535639999999999E-3</v>
      </c>
      <c r="W892">
        <v>4.6787170000000003E-2</v>
      </c>
      <c r="X892">
        <v>0.99890369999999995</v>
      </c>
      <c r="Y892">
        <v>4.9636439999999997E-2</v>
      </c>
      <c r="Z892">
        <v>-2.6251349999999998E-4</v>
      </c>
      <c r="AA892">
        <v>0.99876730000000002</v>
      </c>
      <c r="AB892">
        <v>50</v>
      </c>
      <c r="AC892">
        <v>95.074599999999904</v>
      </c>
      <c r="AD892">
        <v>-1.059810480001</v>
      </c>
      <c r="AE892">
        <v>-4.8528000000000002</v>
      </c>
      <c r="AF892">
        <v>4.74040164753458</v>
      </c>
      <c r="AG892">
        <v>-1.059810480001</v>
      </c>
      <c r="AH892">
        <v>95.068458735050697</v>
      </c>
      <c r="AI892">
        <v>90.637906777079394</v>
      </c>
      <c r="AJ892">
        <v>87.145422916830498</v>
      </c>
      <c r="AK892">
        <v>95.192470565121397</v>
      </c>
      <c r="AL892">
        <v>87.318313703414006</v>
      </c>
      <c r="AM892">
        <v>90.089110280233996</v>
      </c>
      <c r="AN892">
        <v>1.0000000273556999</v>
      </c>
    </row>
    <row r="893" spans="1:40" x14ac:dyDescent="0.25">
      <c r="A893" t="str">
        <f>"20190312160317267"</f>
        <v>20190312160317267</v>
      </c>
      <c r="B893" t="str">
        <f>"1552377797255150"</f>
        <v>1552377797255150</v>
      </c>
      <c r="C893" t="s">
        <v>40</v>
      </c>
      <c r="D893">
        <v>5.4915010000000004</v>
      </c>
      <c r="E893">
        <v>0.5182698</v>
      </c>
      <c r="F893" t="s">
        <v>50</v>
      </c>
      <c r="G893">
        <v>-179.9778</v>
      </c>
      <c r="H893">
        <v>7.2238189999999994E-2</v>
      </c>
      <c r="I893">
        <v>362.10770000000002</v>
      </c>
      <c r="J893">
        <v>-295.95209999999997</v>
      </c>
      <c r="K893">
        <v>1.059804</v>
      </c>
      <c r="L893">
        <v>367.97559999999999</v>
      </c>
      <c r="M893">
        <v>0.99988449999999995</v>
      </c>
      <c r="N893">
        <v>0</v>
      </c>
      <c r="O893">
        <v>-1.173913E-3</v>
      </c>
      <c r="P893">
        <v>0.9995098</v>
      </c>
      <c r="Q893">
        <v>3.131428E-2</v>
      </c>
      <c r="R893">
        <v>2.7516280000000002E-4</v>
      </c>
      <c r="S893">
        <v>3.0023499999999999</v>
      </c>
      <c r="T893">
        <v>-2.547777E-2</v>
      </c>
      <c r="U893">
        <v>-0.1513977</v>
      </c>
      <c r="V893">
        <v>-1.4473680000000001E-3</v>
      </c>
      <c r="W893">
        <v>4.6463270000000001E-2</v>
      </c>
      <c r="X893">
        <v>0.998919</v>
      </c>
      <c r="Y893">
        <v>4.9188089999999997E-2</v>
      </c>
      <c r="Z893">
        <v>-1.9861109999999999E-4</v>
      </c>
      <c r="AA893">
        <v>0.9987895</v>
      </c>
      <c r="AB893">
        <v>50</v>
      </c>
      <c r="AC893">
        <v>115.974299999999</v>
      </c>
      <c r="AD893">
        <v>-0.98756580999999999</v>
      </c>
      <c r="AE893">
        <v>-5.8678999999999597</v>
      </c>
      <c r="AF893">
        <v>5.7313220576869401</v>
      </c>
      <c r="AG893">
        <v>-0.98756580999999999</v>
      </c>
      <c r="AH893">
        <v>115.972721350798</v>
      </c>
      <c r="AI893">
        <v>90.487295799641203</v>
      </c>
      <c r="AJ893">
        <v>87.170768968571196</v>
      </c>
      <c r="AK893">
        <v>116.11845433120401</v>
      </c>
      <c r="AL893">
        <v>87.336892069626998</v>
      </c>
      <c r="AM893">
        <v>90.0830177619697</v>
      </c>
      <c r="AN893">
        <v>1.0000000494471</v>
      </c>
    </row>
    <row r="894" spans="1:40" x14ac:dyDescent="0.25">
      <c r="A894" t="str">
        <f>"20190312160317278"</f>
        <v>20190312160317278</v>
      </c>
      <c r="B894" t="str">
        <f>"1552377797275645"</f>
        <v>1552377797275645</v>
      </c>
      <c r="C894" t="s">
        <v>40</v>
      </c>
      <c r="D894">
        <v>5.4697709999999997</v>
      </c>
      <c r="E894">
        <v>0.51874399999999998</v>
      </c>
      <c r="F894" t="s">
        <v>43</v>
      </c>
      <c r="G894">
        <v>-152.1985</v>
      </c>
      <c r="H894">
        <v>-0.05</v>
      </c>
      <c r="I894">
        <v>360.73939999999999</v>
      </c>
      <c r="J894">
        <v>-295.69380000000001</v>
      </c>
      <c r="K894">
        <v>1.0597939999999999</v>
      </c>
      <c r="L894">
        <v>367.97539999999998</v>
      </c>
      <c r="M894">
        <v>0.99988460000000001</v>
      </c>
      <c r="N894">
        <v>0</v>
      </c>
      <c r="O894">
        <v>-1.172385E-3</v>
      </c>
      <c r="P894">
        <v>0.99951400000000001</v>
      </c>
      <c r="Q894">
        <v>3.117493E-2</v>
      </c>
      <c r="R894" s="1">
        <v>9.1828790000000003E-5</v>
      </c>
      <c r="S894">
        <v>3.0021969999999998</v>
      </c>
      <c r="T894">
        <v>-2.31775E-2</v>
      </c>
      <c r="U894">
        <v>-0.15112300000000001</v>
      </c>
      <c r="V894">
        <v>-1.2625640000000001E-3</v>
      </c>
      <c r="W894">
        <v>4.6312279999999997E-2</v>
      </c>
      <c r="X894">
        <v>0.99892619999999999</v>
      </c>
      <c r="Y894">
        <v>4.9101329999999999E-2</v>
      </c>
      <c r="Z894">
        <v>-1.803667E-4</v>
      </c>
      <c r="AA894">
        <v>0.99879379999999995</v>
      </c>
      <c r="AB894">
        <v>50</v>
      </c>
      <c r="AC894">
        <v>143.49529999999999</v>
      </c>
      <c r="AD894">
        <v>-1.1097939999999999</v>
      </c>
      <c r="AE894">
        <v>-7.23599999999999</v>
      </c>
      <c r="AF894">
        <v>7.0673223291761698</v>
      </c>
      <c r="AG894">
        <v>-1.1097939999999999</v>
      </c>
      <c r="AH894">
        <v>143.49512433589601</v>
      </c>
      <c r="AI894">
        <v>90.442581368921907</v>
      </c>
      <c r="AJ894">
        <v>87.180386374782799</v>
      </c>
      <c r="AK894">
        <v>143.67334267636801</v>
      </c>
      <c r="AL894">
        <v>87.345552316462701</v>
      </c>
      <c r="AM894">
        <v>90.072417311753796</v>
      </c>
      <c r="AN894">
        <v>0.99999998719654604</v>
      </c>
    </row>
    <row r="895" spans="1:40" x14ac:dyDescent="0.25">
      <c r="A895" t="str">
        <f>"20190312160317290"</f>
        <v>20190312160317290</v>
      </c>
      <c r="B895" t="str">
        <f>"1552377797285407"</f>
        <v>1552377797285407</v>
      </c>
      <c r="C895" t="s">
        <v>40</v>
      </c>
      <c r="D895">
        <v>5.4894850000000002</v>
      </c>
      <c r="E895">
        <v>0.51904050000000002</v>
      </c>
      <c r="F895" t="s">
        <v>50</v>
      </c>
      <c r="G895">
        <v>-195.09280000000001</v>
      </c>
      <c r="H895" s="1">
        <v>-8.1448929999999997E-6</v>
      </c>
      <c r="I895">
        <v>362.7534</v>
      </c>
      <c r="J895">
        <v>-295.44810000000001</v>
      </c>
      <c r="K895">
        <v>1.05979</v>
      </c>
      <c r="L895">
        <v>367.97500000000002</v>
      </c>
      <c r="M895">
        <v>0.99988480000000002</v>
      </c>
      <c r="N895">
        <v>0</v>
      </c>
      <c r="O895">
        <v>-1.1708630000000001E-3</v>
      </c>
      <c r="P895">
        <v>0.9995231</v>
      </c>
      <c r="Q895">
        <v>3.088511E-2</v>
      </c>
      <c r="R895" s="1">
        <v>-5.7877319999999997E-5</v>
      </c>
      <c r="S895">
        <v>3.002472</v>
      </c>
      <c r="T895">
        <v>-3.1630159999999997E-2</v>
      </c>
      <c r="U895">
        <v>-0.1558533</v>
      </c>
      <c r="V895">
        <v>-1.111585E-3</v>
      </c>
      <c r="W895">
        <v>4.6011240000000002E-2</v>
      </c>
      <c r="X895">
        <v>0.9989403</v>
      </c>
      <c r="Y895">
        <v>5.0666339999999997E-2</v>
      </c>
      <c r="Z895">
        <v>-2.5436319999999998E-4</v>
      </c>
      <c r="AA895">
        <v>0.99871560000000004</v>
      </c>
      <c r="AB895">
        <v>50</v>
      </c>
      <c r="AC895">
        <v>100.3553</v>
      </c>
      <c r="AD895">
        <v>-1.0597981448930001</v>
      </c>
      <c r="AE895">
        <v>-5.22160000000002</v>
      </c>
      <c r="AF895">
        <v>5.1035130310880001</v>
      </c>
      <c r="AG895">
        <v>-1.0597981448930001</v>
      </c>
      <c r="AH895">
        <v>100.350184503493</v>
      </c>
      <c r="AI895">
        <v>90.604297218635097</v>
      </c>
      <c r="AJ895">
        <v>87.088614740489007</v>
      </c>
      <c r="AK895">
        <v>100.485464358043</v>
      </c>
      <c r="AL895">
        <v>87.3628190692083</v>
      </c>
      <c r="AM895">
        <v>90.063756665721101</v>
      </c>
      <c r="AN895">
        <v>0.99999999639581905</v>
      </c>
    </row>
    <row r="896" spans="1:40" x14ac:dyDescent="0.25">
      <c r="A896" t="str">
        <f>"20190312160317301"</f>
        <v>20190312160317301</v>
      </c>
      <c r="B896" t="str">
        <f>"1552377797295167"</f>
        <v>1552377797295167</v>
      </c>
      <c r="C896" t="s">
        <v>40</v>
      </c>
      <c r="D896">
        <v>5.5180579999999999</v>
      </c>
      <c r="E896">
        <v>0.51935120000000001</v>
      </c>
      <c r="F896" t="s">
        <v>50</v>
      </c>
      <c r="G896">
        <v>-198.46199999999999</v>
      </c>
      <c r="H896" s="1">
        <v>-9.3332730000000004E-6</v>
      </c>
      <c r="I896">
        <v>362.85489999999999</v>
      </c>
      <c r="J896">
        <v>-295.19029999999998</v>
      </c>
      <c r="K896">
        <v>1.059787</v>
      </c>
      <c r="L896">
        <v>367.97480000000002</v>
      </c>
      <c r="M896">
        <v>0.99988500000000002</v>
      </c>
      <c r="N896">
        <v>0</v>
      </c>
      <c r="O896">
        <v>-1.168985E-3</v>
      </c>
      <c r="P896">
        <v>0.99952200000000002</v>
      </c>
      <c r="Q896">
        <v>3.0920010000000001E-2</v>
      </c>
      <c r="R896">
        <v>-3.1779950000000002E-4</v>
      </c>
      <c r="S896">
        <v>3.002472</v>
      </c>
      <c r="T896">
        <v>-3.2809020000000001E-2</v>
      </c>
      <c r="U896">
        <v>-0.15850829999999999</v>
      </c>
      <c r="V896">
        <v>-8.4912469999999995E-4</v>
      </c>
      <c r="W896">
        <v>4.6035060000000003E-2</v>
      </c>
      <c r="X896">
        <v>0.99893949999999998</v>
      </c>
      <c r="Y896">
        <v>5.1548660000000003E-2</v>
      </c>
      <c r="Z896">
        <v>-2.686745E-4</v>
      </c>
      <c r="AA896">
        <v>0.99867050000000002</v>
      </c>
      <c r="AB896">
        <v>50</v>
      </c>
      <c r="AC896">
        <v>96.728299999999905</v>
      </c>
      <c r="AD896">
        <v>-1.059796333273</v>
      </c>
      <c r="AE896">
        <v>-5.1199000000000296</v>
      </c>
      <c r="AF896">
        <v>5.0062103587411597</v>
      </c>
      <c r="AG896">
        <v>-1.059796333273</v>
      </c>
      <c r="AH896">
        <v>96.722641204114197</v>
      </c>
      <c r="AI896">
        <v>90.626929375689201</v>
      </c>
      <c r="AJ896">
        <v>87.037105322675799</v>
      </c>
      <c r="AK896">
        <v>96.857909495940504</v>
      </c>
      <c r="AL896">
        <v>87.361452941167201</v>
      </c>
      <c r="AM896">
        <v>90.048702899297396</v>
      </c>
      <c r="AN896">
        <v>1.0000000362110999</v>
      </c>
    </row>
    <row r="897" spans="1:40" x14ac:dyDescent="0.25">
      <c r="A897" t="str">
        <f>"20190312160317324"</f>
        <v>20190312160317324</v>
      </c>
      <c r="B897" t="str">
        <f>"1552377797315876"</f>
        <v>1552377797315876</v>
      </c>
      <c r="C897" t="s">
        <v>40</v>
      </c>
      <c r="D897">
        <v>5.5146240000000004</v>
      </c>
      <c r="E897">
        <v>0.51986469999999996</v>
      </c>
      <c r="F897" t="s">
        <v>50</v>
      </c>
      <c r="G897">
        <v>-200.00729999999999</v>
      </c>
      <c r="H897" s="1">
        <v>-1.8038790000000001E-6</v>
      </c>
      <c r="I897">
        <v>362.83260000000001</v>
      </c>
      <c r="J897">
        <v>-294.68619999999999</v>
      </c>
      <c r="K897">
        <v>1.059787</v>
      </c>
      <c r="L897">
        <v>367.9742</v>
      </c>
      <c r="M897">
        <v>0.99988540000000004</v>
      </c>
      <c r="N897">
        <v>0</v>
      </c>
      <c r="O897">
        <v>-1.1645270000000001E-3</v>
      </c>
      <c r="P897">
        <v>0.99953170000000002</v>
      </c>
      <c r="Q897">
        <v>3.0597309999999999E-2</v>
      </c>
      <c r="R897">
        <v>-6.072025E-4</v>
      </c>
      <c r="S897">
        <v>3.0024109999999999</v>
      </c>
      <c r="T897">
        <v>-3.3429500000000001E-2</v>
      </c>
      <c r="U897">
        <v>-0.16220090000000001</v>
      </c>
      <c r="V897">
        <v>-5.5618949999999996E-4</v>
      </c>
      <c r="W897">
        <v>4.5693039999999997E-2</v>
      </c>
      <c r="X897">
        <v>0.99895540000000005</v>
      </c>
      <c r="Y897">
        <v>5.2778720000000001E-2</v>
      </c>
      <c r="Z897">
        <v>-2.8064419999999999E-4</v>
      </c>
      <c r="AA897">
        <v>0.9986062</v>
      </c>
      <c r="AB897">
        <v>50</v>
      </c>
      <c r="AC897">
        <v>94.678899999999999</v>
      </c>
      <c r="AD897">
        <v>-1.059788803879</v>
      </c>
      <c r="AE897">
        <v>-5.14159999999998</v>
      </c>
      <c r="AF897">
        <v>5.0306993495915</v>
      </c>
      <c r="AG897">
        <v>-1.059788803879</v>
      </c>
      <c r="AH897">
        <v>94.672996868534398</v>
      </c>
      <c r="AI897">
        <v>90.640450355973698</v>
      </c>
      <c r="AJ897">
        <v>86.958298367313205</v>
      </c>
      <c r="AK897">
        <v>94.812485593007906</v>
      </c>
      <c r="AL897">
        <v>87.381069862590493</v>
      </c>
      <c r="AM897">
        <v>90.031900631065795</v>
      </c>
      <c r="AN897">
        <v>1.0000000272201801</v>
      </c>
    </row>
    <row r="898" spans="1:40" x14ac:dyDescent="0.25">
      <c r="A898" t="str">
        <f>"20190312160317338"</f>
        <v>20190312160317338</v>
      </c>
      <c r="B898" t="str">
        <f>"1552377797325635"</f>
        <v>1552377797325635</v>
      </c>
      <c r="C898" t="s">
        <v>40</v>
      </c>
      <c r="D898">
        <v>5.4962759999999999</v>
      </c>
      <c r="E898">
        <v>0.5200709</v>
      </c>
      <c r="F898" t="s">
        <v>50</v>
      </c>
      <c r="G898">
        <v>-208.81180000000001</v>
      </c>
      <c r="H898" s="1">
        <v>-5.8891459999999899E-6</v>
      </c>
      <c r="I898">
        <v>363.2022</v>
      </c>
      <c r="J898">
        <v>-294.37470000000002</v>
      </c>
      <c r="K898">
        <v>1.0597840000000001</v>
      </c>
      <c r="L898">
        <v>367.97379999999998</v>
      </c>
      <c r="M898">
        <v>0.99988529999999998</v>
      </c>
      <c r="N898">
        <v>0</v>
      </c>
      <c r="O898">
        <v>-1.1613330000000001E-3</v>
      </c>
      <c r="P898">
        <v>0.99953130000000001</v>
      </c>
      <c r="Q898">
        <v>3.0611599999999999E-2</v>
      </c>
      <c r="R898">
        <v>-4.3539659999999999E-4</v>
      </c>
      <c r="S898">
        <v>3.0024109999999999</v>
      </c>
      <c r="T898">
        <v>-3.7053349999999999E-2</v>
      </c>
      <c r="U898">
        <v>-0.1668396</v>
      </c>
      <c r="V898">
        <v>-7.248132E-4</v>
      </c>
      <c r="W898">
        <v>4.5696380000000002E-2</v>
      </c>
      <c r="X898">
        <v>0.99895509999999998</v>
      </c>
      <c r="Y898">
        <v>5.4319199999999998E-2</v>
      </c>
      <c r="Z898">
        <v>-3.2058880000000002E-4</v>
      </c>
      <c r="AA898">
        <v>0.99852359999999896</v>
      </c>
      <c r="AB898">
        <v>50</v>
      </c>
      <c r="AC898">
        <v>85.562899999999999</v>
      </c>
      <c r="AD898">
        <v>-1.059789889146</v>
      </c>
      <c r="AE898">
        <v>-4.7715999999999701</v>
      </c>
      <c r="AF898">
        <v>4.6715039724952803</v>
      </c>
      <c r="AG898">
        <v>-1.059789889146</v>
      </c>
      <c r="AH898">
        <v>85.555299541326605</v>
      </c>
      <c r="AI898">
        <v>90.708642024777305</v>
      </c>
      <c r="AJ898">
        <v>86.874630323839099</v>
      </c>
      <c r="AK898">
        <v>85.689295618416097</v>
      </c>
      <c r="AL898">
        <v>87.380878192209195</v>
      </c>
      <c r="AM898">
        <v>90.041572168766805</v>
      </c>
      <c r="AN898">
        <v>0.99999998815764402</v>
      </c>
    </row>
    <row r="899" spans="1:40" x14ac:dyDescent="0.25">
      <c r="A899" t="str">
        <f>"20190312160317351"</f>
        <v>20190312160317351</v>
      </c>
      <c r="B899" t="str">
        <f>"1552377797345155"</f>
        <v>1552377797345155</v>
      </c>
      <c r="C899" t="s">
        <v>40</v>
      </c>
      <c r="D899">
        <v>5.5517390000000004</v>
      </c>
      <c r="E899">
        <v>0.52055079999999998</v>
      </c>
      <c r="F899" t="s">
        <v>50</v>
      </c>
      <c r="G899">
        <v>-209.55179999999999</v>
      </c>
      <c r="H899" s="1">
        <v>-6.1332970000000003E-6</v>
      </c>
      <c r="I899">
        <v>363.2251</v>
      </c>
      <c r="J899">
        <v>-294.0607</v>
      </c>
      <c r="K899">
        <v>1.0597859999999999</v>
      </c>
      <c r="L899">
        <v>367.97340000000003</v>
      </c>
      <c r="M899">
        <v>0.99988569999999999</v>
      </c>
      <c r="N899">
        <v>0</v>
      </c>
      <c r="O899">
        <v>-1.1580259999999999E-3</v>
      </c>
      <c r="P899">
        <v>0.99953740000000002</v>
      </c>
      <c r="Q899">
        <v>3.0416769999999999E-2</v>
      </c>
      <c r="R899">
        <v>-3.7930370000000002E-4</v>
      </c>
      <c r="S899">
        <v>3.0025019999999998</v>
      </c>
      <c r="T899">
        <v>-3.7513730000000002E-2</v>
      </c>
      <c r="U899">
        <v>-0.16809079999999901</v>
      </c>
      <c r="V899">
        <v>-7.7721769999999999E-4</v>
      </c>
      <c r="W899">
        <v>4.5491549999999999E-2</v>
      </c>
      <c r="X899">
        <v>0.99896439999999997</v>
      </c>
      <c r="Y899">
        <v>5.4735499999999999E-2</v>
      </c>
      <c r="Z899">
        <v>-3.2719789999999997E-4</v>
      </c>
      <c r="AA899">
        <v>0.99850079999999997</v>
      </c>
      <c r="AB899">
        <v>50</v>
      </c>
      <c r="AC899">
        <v>84.508899999999997</v>
      </c>
      <c r="AD899">
        <v>-1.0597921332969999</v>
      </c>
      <c r="AE899">
        <v>-4.7483000000000199</v>
      </c>
      <c r="AF899">
        <v>4.6496932504348196</v>
      </c>
      <c r="AG899">
        <v>-1.0597921332969999</v>
      </c>
      <c r="AH899">
        <v>84.501095224698602</v>
      </c>
      <c r="AI899">
        <v>90.717466793171198</v>
      </c>
      <c r="AJ899">
        <v>86.850461979482006</v>
      </c>
      <c r="AK899">
        <v>84.635559316770198</v>
      </c>
      <c r="AL899">
        <v>87.392626279941297</v>
      </c>
      <c r="AM899">
        <v>90.044577449394197</v>
      </c>
      <c r="AN899">
        <v>0.99999997882805702</v>
      </c>
    </row>
    <row r="900" spans="1:40" x14ac:dyDescent="0.25">
      <c r="A900" t="str">
        <f>"20190312160317368"</f>
        <v>20190312160317368</v>
      </c>
      <c r="B900" t="str">
        <f>"1552377797365651"</f>
        <v>1552377797365651</v>
      </c>
      <c r="C900" t="s">
        <v>40</v>
      </c>
      <c r="D900">
        <v>5.5350440000000001</v>
      </c>
      <c r="E900">
        <v>0.5207813</v>
      </c>
      <c r="F900" t="s">
        <v>41</v>
      </c>
      <c r="G900">
        <v>-214.98439999999999</v>
      </c>
      <c r="H900" s="1">
        <v>-3.3351160000000001E-6</v>
      </c>
      <c r="I900">
        <v>363.44450000000001</v>
      </c>
      <c r="J900">
        <v>-293.6968</v>
      </c>
      <c r="K900">
        <v>1.059788</v>
      </c>
      <c r="L900">
        <v>367.97300000000001</v>
      </c>
      <c r="M900">
        <v>0.99988569999999999</v>
      </c>
      <c r="N900">
        <v>0</v>
      </c>
      <c r="O900">
        <v>-1.153879E-3</v>
      </c>
      <c r="P900">
        <v>0.99956060000000002</v>
      </c>
      <c r="Q900">
        <v>2.9639749999999999E-2</v>
      </c>
      <c r="R900">
        <v>-5.4758330000000003E-4</v>
      </c>
      <c r="S900">
        <v>3.0025629999999999</v>
      </c>
      <c r="T900">
        <v>-4.0240650000000003E-2</v>
      </c>
      <c r="U900">
        <v>-0.1719666</v>
      </c>
      <c r="V900">
        <v>-6.052796E-4</v>
      </c>
      <c r="W900">
        <v>4.4703189999999997E-2</v>
      </c>
      <c r="X900">
        <v>0.99900009999999995</v>
      </c>
      <c r="Y900">
        <v>5.6022469999999998E-2</v>
      </c>
      <c r="Z900">
        <v>-3.596324E-4</v>
      </c>
      <c r="AA900">
        <v>0.99842940000000002</v>
      </c>
      <c r="AB900">
        <v>50</v>
      </c>
      <c r="AC900">
        <v>78.712400000000002</v>
      </c>
      <c r="AD900">
        <v>-1.059791335116</v>
      </c>
      <c r="AE900">
        <v>-4.5285000000000002</v>
      </c>
      <c r="AF900">
        <v>4.4368604083070604</v>
      </c>
      <c r="AG900">
        <v>-1.059791335116</v>
      </c>
      <c r="AH900">
        <v>78.703353099101705</v>
      </c>
      <c r="AI900">
        <v>90.770255095134999</v>
      </c>
      <c r="AJ900">
        <v>86.773395612552903</v>
      </c>
      <c r="AK900">
        <v>78.8354404883912</v>
      </c>
      <c r="AL900">
        <v>87.437841964561898</v>
      </c>
      <c r="AM900">
        <v>90.034714673463696</v>
      </c>
      <c r="AN900">
        <v>0.99999997067978896</v>
      </c>
    </row>
    <row r="901" spans="1:40" x14ac:dyDescent="0.25">
      <c r="A901" t="str">
        <f>"20190312160317380"</f>
        <v>20190312160317380</v>
      </c>
      <c r="B901" t="str">
        <f>"1552377797375412"</f>
        <v>1552377797375412</v>
      </c>
      <c r="C901" t="s">
        <v>40</v>
      </c>
      <c r="D901">
        <v>5.589334</v>
      </c>
      <c r="E901">
        <v>0.52112099999999995</v>
      </c>
      <c r="F901" t="s">
        <v>41</v>
      </c>
      <c r="G901">
        <v>-218.041</v>
      </c>
      <c r="H901" s="1">
        <v>-2.2595449999999999E-6</v>
      </c>
      <c r="I901">
        <v>363.57749999999999</v>
      </c>
      <c r="J901">
        <v>-293.41059999999999</v>
      </c>
      <c r="K901">
        <v>1.059779</v>
      </c>
      <c r="L901">
        <v>367.97269999999997</v>
      </c>
      <c r="M901">
        <v>0.99988580000000005</v>
      </c>
      <c r="N901">
        <v>0</v>
      </c>
      <c r="O901">
        <v>-1.1498789999999999E-3</v>
      </c>
      <c r="P901">
        <v>0.99956990000000001</v>
      </c>
      <c r="Q901">
        <v>2.9322239999999999E-2</v>
      </c>
      <c r="R901">
        <v>-5.1563369999999996E-4</v>
      </c>
      <c r="S901">
        <v>3.002472</v>
      </c>
      <c r="T901">
        <v>-4.2058709999999999E-2</v>
      </c>
      <c r="U901">
        <v>-0.1744385</v>
      </c>
      <c r="V901">
        <v>-6.3339400000000001E-4</v>
      </c>
      <c r="W901">
        <v>4.4378309999999997E-2</v>
      </c>
      <c r="X901">
        <v>0.99901459999999997</v>
      </c>
      <c r="Y901">
        <v>5.6846920000000002E-2</v>
      </c>
      <c r="Z901">
        <v>-3.8170689999999998E-4</v>
      </c>
      <c r="AA901">
        <v>0.99838280000000001</v>
      </c>
      <c r="AB901">
        <v>50</v>
      </c>
      <c r="AC901">
        <v>75.369599999999906</v>
      </c>
      <c r="AD901">
        <v>-1.059781259545</v>
      </c>
      <c r="AE901">
        <v>-4.3951999999999796</v>
      </c>
      <c r="AF901">
        <v>4.3076725264751099</v>
      </c>
      <c r="AG901">
        <v>-1.059781259545</v>
      </c>
      <c r="AH901">
        <v>75.3597554117557</v>
      </c>
      <c r="AI901">
        <v>90.804382283453904</v>
      </c>
      <c r="AJ901">
        <v>86.728450529111797</v>
      </c>
      <c r="AK901">
        <v>75.490210720550195</v>
      </c>
      <c r="AL901">
        <v>87.456474792790203</v>
      </c>
      <c r="AM901">
        <v>90.036326594332195</v>
      </c>
      <c r="AN901">
        <v>1.00000000329978</v>
      </c>
    </row>
    <row r="902" spans="1:40" x14ac:dyDescent="0.25">
      <c r="A902" t="str">
        <f>"20190312160317392"</f>
        <v>20190312160317392</v>
      </c>
      <c r="B902" t="str">
        <f>"1552377797385171"</f>
        <v>1552377797385171</v>
      </c>
      <c r="C902" t="s">
        <v>40</v>
      </c>
      <c r="D902">
        <v>5.595612</v>
      </c>
      <c r="E902">
        <v>0.52145799999999998</v>
      </c>
      <c r="F902" t="s">
        <v>41</v>
      </c>
      <c r="G902">
        <v>-215.5864</v>
      </c>
      <c r="H902" s="1">
        <v>-3.1434269999999999E-6</v>
      </c>
      <c r="I902">
        <v>363.39499999999998</v>
      </c>
      <c r="J902">
        <v>-293.17880000000002</v>
      </c>
      <c r="K902">
        <v>1.0597810000000001</v>
      </c>
      <c r="L902">
        <v>367.97239999999999</v>
      </c>
      <c r="M902">
        <v>0.99988600000000005</v>
      </c>
      <c r="N902">
        <v>0</v>
      </c>
      <c r="O902">
        <v>-1.146848E-3</v>
      </c>
      <c r="P902">
        <v>0.99958440000000004</v>
      </c>
      <c r="Q902">
        <v>2.8821019999999999E-2</v>
      </c>
      <c r="R902">
        <v>-6.243256E-4</v>
      </c>
      <c r="S902">
        <v>3.0024109999999999</v>
      </c>
      <c r="T902">
        <v>-4.0885690000000002E-2</v>
      </c>
      <c r="U902">
        <v>-0.17660519999999999</v>
      </c>
      <c r="V902">
        <v>-5.2145939999999997E-4</v>
      </c>
      <c r="W902">
        <v>4.3870970000000002E-2</v>
      </c>
      <c r="X902">
        <v>0.99903710000000001</v>
      </c>
      <c r="Y902">
        <v>5.7569399999999903E-2</v>
      </c>
      <c r="Z902">
        <v>-3.760177E-4</v>
      </c>
      <c r="AA902">
        <v>0.99834140000000005</v>
      </c>
      <c r="AB902">
        <v>50</v>
      </c>
      <c r="AC902">
        <v>77.592399999999998</v>
      </c>
      <c r="AD902">
        <v>-1.0597841434269999</v>
      </c>
      <c r="AE902">
        <v>-4.5774000000000097</v>
      </c>
      <c r="AF902">
        <v>4.4875659588024197</v>
      </c>
      <c r="AG902">
        <v>-1.0597841434269999</v>
      </c>
      <c r="AH902">
        <v>77.583176150872603</v>
      </c>
      <c r="AI902">
        <v>90.781304414771895</v>
      </c>
      <c r="AJ902">
        <v>86.689586199350302</v>
      </c>
      <c r="AK902">
        <v>77.720078566111795</v>
      </c>
      <c r="AL902">
        <v>87.485571641636994</v>
      </c>
      <c r="AM902">
        <v>90.029906216790195</v>
      </c>
      <c r="AN902">
        <v>1.0000000305525201</v>
      </c>
    </row>
    <row r="903" spans="1:40" x14ac:dyDescent="0.25">
      <c r="A903" t="str">
        <f>"20190312160317402"</f>
        <v>20190312160317402</v>
      </c>
      <c r="B903" t="str">
        <f>"1552377797395907"</f>
        <v>1552377797395907</v>
      </c>
      <c r="C903" t="s">
        <v>40</v>
      </c>
      <c r="D903">
        <v>5.563809</v>
      </c>
      <c r="E903">
        <v>0.52167640000000004</v>
      </c>
      <c r="F903" t="s">
        <v>41</v>
      </c>
      <c r="G903">
        <v>-215.1088</v>
      </c>
      <c r="H903" s="1">
        <v>-3.3303749999999999E-6</v>
      </c>
      <c r="I903">
        <v>363.30309999999997</v>
      </c>
      <c r="J903">
        <v>-292.92790000000002</v>
      </c>
      <c r="K903">
        <v>1.0597810000000001</v>
      </c>
      <c r="L903">
        <v>367.97210000000001</v>
      </c>
      <c r="M903">
        <v>0.99988619999999995</v>
      </c>
      <c r="N903">
        <v>0</v>
      </c>
      <c r="O903">
        <v>-1.1433389999999999E-3</v>
      </c>
      <c r="P903">
        <v>0.99959640000000005</v>
      </c>
      <c r="Q903">
        <v>2.8411599999999999E-2</v>
      </c>
      <c r="R903">
        <v>-4.1891109999999998E-4</v>
      </c>
      <c r="S903">
        <v>3.002319</v>
      </c>
      <c r="T903">
        <v>-4.075587E-2</v>
      </c>
      <c r="U903">
        <v>-0.17956539999999999</v>
      </c>
      <c r="V903">
        <v>-7.2298049999999997E-4</v>
      </c>
      <c r="W903">
        <v>4.3455569999999999E-2</v>
      </c>
      <c r="X903">
        <v>0.99905509999999997</v>
      </c>
      <c r="Y903">
        <v>5.855548E-2</v>
      </c>
      <c r="Z903">
        <v>-3.8155870000000002E-4</v>
      </c>
      <c r="AA903">
        <v>0.99828410000000001</v>
      </c>
      <c r="AB903">
        <v>50</v>
      </c>
      <c r="AC903">
        <v>77.819100000000006</v>
      </c>
      <c r="AD903">
        <v>-1.0597843303750001</v>
      </c>
      <c r="AE903">
        <v>-4.6690000000000396</v>
      </c>
      <c r="AF903">
        <v>4.57916703726164</v>
      </c>
      <c r="AG903">
        <v>-1.0597843303750001</v>
      </c>
      <c r="AH903">
        <v>77.810008687302599</v>
      </c>
      <c r="AI903">
        <v>90.778981484046895</v>
      </c>
      <c r="AJ903">
        <v>86.631992673633107</v>
      </c>
      <c r="AK903">
        <v>77.951840039220102</v>
      </c>
      <c r="AL903">
        <v>87.509394954618898</v>
      </c>
      <c r="AM903">
        <v>90.041462902385604</v>
      </c>
      <c r="AN903">
        <v>1.00000000105041</v>
      </c>
    </row>
    <row r="904" spans="1:40" x14ac:dyDescent="0.25">
      <c r="A904" t="str">
        <f>"20190312160317413"</f>
        <v>20190312160317413</v>
      </c>
      <c r="B904" t="str">
        <f>"1552377797405666"</f>
        <v>1552377797405666</v>
      </c>
      <c r="C904" t="s">
        <v>40</v>
      </c>
      <c r="D904">
        <v>5.516775</v>
      </c>
      <c r="E904">
        <v>0.52178990000000003</v>
      </c>
      <c r="F904" t="s">
        <v>41</v>
      </c>
      <c r="G904">
        <v>-218.54230000000001</v>
      </c>
      <c r="H904" s="1">
        <v>-2.1116330000000001E-6</v>
      </c>
      <c r="I904">
        <v>363.49220000000003</v>
      </c>
      <c r="J904">
        <v>-292.68579999999997</v>
      </c>
      <c r="K904">
        <v>1.0597829999999999</v>
      </c>
      <c r="L904">
        <v>367.97190000000001</v>
      </c>
      <c r="M904">
        <v>0.9998861</v>
      </c>
      <c r="N904">
        <v>0</v>
      </c>
      <c r="O904">
        <v>-1.1398339999999999E-3</v>
      </c>
      <c r="P904">
        <v>0.99960079999999996</v>
      </c>
      <c r="Q904">
        <v>2.8250440000000002E-2</v>
      </c>
      <c r="R904">
        <v>-5.0686389999999996E-4</v>
      </c>
      <c r="S904">
        <v>3.0023499999999999</v>
      </c>
      <c r="T904">
        <v>-4.2774920000000001E-2</v>
      </c>
      <c r="U904">
        <v>-0.1808167</v>
      </c>
      <c r="V904">
        <v>-6.3151889999999995E-4</v>
      </c>
      <c r="W904">
        <v>4.3288359999999998E-2</v>
      </c>
      <c r="X904">
        <v>0.99906240000000002</v>
      </c>
      <c r="Y904">
        <v>5.8972330000000003E-2</v>
      </c>
      <c r="Z904">
        <v>-4.0346670000000002E-4</v>
      </c>
      <c r="AA904">
        <v>0.99825949999999997</v>
      </c>
      <c r="AB904">
        <v>50</v>
      </c>
      <c r="AC904">
        <v>74.143499999999904</v>
      </c>
      <c r="AD904">
        <v>-1.0597851116329999</v>
      </c>
      <c r="AE904">
        <v>-4.4796999999999798</v>
      </c>
      <c r="AF904">
        <v>4.3942817052030501</v>
      </c>
      <c r="AG904">
        <v>-1.0597851116329999</v>
      </c>
      <c r="AH904">
        <v>74.133467404326197</v>
      </c>
      <c r="AI904">
        <v>90.817588985147594</v>
      </c>
      <c r="AJ904">
        <v>86.607746128511906</v>
      </c>
      <c r="AK904">
        <v>74.271150829752301</v>
      </c>
      <c r="AL904">
        <v>87.518984353414893</v>
      </c>
      <c r="AM904">
        <v>90.036217320192904</v>
      </c>
      <c r="AN904">
        <v>0.99999998001068502</v>
      </c>
    </row>
    <row r="905" spans="1:40" x14ac:dyDescent="0.25">
      <c r="A905" t="str">
        <f>"20190312160317424"</f>
        <v>20190312160317424</v>
      </c>
      <c r="B905" t="str">
        <f>"1552377797415427"</f>
        <v>1552377797415427</v>
      </c>
      <c r="C905" t="s">
        <v>40</v>
      </c>
      <c r="D905">
        <v>5.6307700000000001</v>
      </c>
      <c r="E905">
        <v>0.52200009999999997</v>
      </c>
      <c r="F905" t="s">
        <v>41</v>
      </c>
      <c r="G905">
        <v>-220.32740000000001</v>
      </c>
      <c r="H905" s="1">
        <v>-5.2016289999999996E-6</v>
      </c>
      <c r="I905">
        <v>363.58530000000002</v>
      </c>
      <c r="J905">
        <v>-292.4418</v>
      </c>
      <c r="K905">
        <v>1.059785</v>
      </c>
      <c r="L905">
        <v>367.97160000000002</v>
      </c>
      <c r="M905">
        <v>0.99988630000000001</v>
      </c>
      <c r="N905">
        <v>0</v>
      </c>
      <c r="O905">
        <v>-1.136211E-3</v>
      </c>
      <c r="P905">
        <v>0.99961599999999995</v>
      </c>
      <c r="Q905">
        <v>2.7712339999999999E-2</v>
      </c>
      <c r="R905">
        <v>-3.3704079999999999E-4</v>
      </c>
      <c r="S905">
        <v>3.002319</v>
      </c>
      <c r="T905">
        <v>-4.3973089999999999E-2</v>
      </c>
      <c r="U905">
        <v>-0.1820068</v>
      </c>
      <c r="V905">
        <v>-7.9827380000000001E-4</v>
      </c>
      <c r="W905">
        <v>4.2745270000000002E-2</v>
      </c>
      <c r="X905">
        <v>0.99908569999999997</v>
      </c>
      <c r="Y905">
        <v>5.9370480000000003E-2</v>
      </c>
      <c r="Z905">
        <v>-4.1773210000000001E-4</v>
      </c>
      <c r="AA905">
        <v>0.99823589999999995</v>
      </c>
      <c r="AB905">
        <v>50</v>
      </c>
      <c r="AC905">
        <v>72.114399999999904</v>
      </c>
      <c r="AD905">
        <v>-1.059790201629</v>
      </c>
      <c r="AE905">
        <v>-4.3863000000000003</v>
      </c>
      <c r="AF905">
        <v>4.3034247391451999</v>
      </c>
      <c r="AG905">
        <v>-1.059790201629</v>
      </c>
      <c r="AH905">
        <v>72.1038228170937</v>
      </c>
      <c r="AI905">
        <v>90.840583663129394</v>
      </c>
      <c r="AJ905">
        <v>86.584426193355299</v>
      </c>
      <c r="AK905">
        <v>72.239905070506595</v>
      </c>
      <c r="AL905">
        <v>87.550130036645996</v>
      </c>
      <c r="AM905">
        <v>90.045779566160107</v>
      </c>
      <c r="AN905">
        <v>1.0000000156464599</v>
      </c>
    </row>
    <row r="906" spans="1:40" x14ac:dyDescent="0.25">
      <c r="A906" t="str">
        <f>"20190312160317437"</f>
        <v>20190312160317437</v>
      </c>
      <c r="B906" t="str">
        <f>"1552377797425187"</f>
        <v>1552377797425187</v>
      </c>
      <c r="C906" t="s">
        <v>40</v>
      </c>
      <c r="D906">
        <v>5.6250780000000002</v>
      </c>
      <c r="E906">
        <v>0.52187649999999997</v>
      </c>
      <c r="F906" t="s">
        <v>41</v>
      </c>
      <c r="G906">
        <v>-223.6841</v>
      </c>
      <c r="H906" s="1">
        <v>-3.7280289999999999E-6</v>
      </c>
      <c r="I906">
        <v>363.7747</v>
      </c>
      <c r="J906">
        <v>-292.16030000000001</v>
      </c>
      <c r="K906">
        <v>1.0597840000000001</v>
      </c>
      <c r="L906">
        <v>367.97129999999999</v>
      </c>
      <c r="M906">
        <v>0.99988630000000001</v>
      </c>
      <c r="N906">
        <v>0</v>
      </c>
      <c r="O906">
        <v>-1.1317530000000001E-3</v>
      </c>
      <c r="P906">
        <v>0.99961489999999997</v>
      </c>
      <c r="Q906">
        <v>2.7753280000000002E-2</v>
      </c>
      <c r="R906">
        <v>-1.758671E-4</v>
      </c>
      <c r="S906">
        <v>3.0024109999999999</v>
      </c>
      <c r="T906">
        <v>-4.6277279999999997E-2</v>
      </c>
      <c r="U906">
        <v>-0.18325810000000001</v>
      </c>
      <c r="V906">
        <v>-9.5453240000000004E-4</v>
      </c>
      <c r="W906">
        <v>4.278005E-2</v>
      </c>
      <c r="X906">
        <v>0.99908410000000003</v>
      </c>
      <c r="Y906">
        <v>5.9786829999999999E-2</v>
      </c>
      <c r="Z906">
        <v>-4.4287409999999998E-4</v>
      </c>
      <c r="AA906">
        <v>0.99821110000000002</v>
      </c>
      <c r="AB906">
        <v>50</v>
      </c>
      <c r="AC906">
        <v>68.476200000000006</v>
      </c>
      <c r="AD906">
        <v>-1.059787728029</v>
      </c>
      <c r="AE906">
        <v>-4.1965999999999797</v>
      </c>
      <c r="AF906">
        <v>4.1181076880294398</v>
      </c>
      <c r="AG906">
        <v>-1.059787728029</v>
      </c>
      <c r="AH906">
        <v>68.464568287682695</v>
      </c>
      <c r="AI906">
        <v>90.885231529722105</v>
      </c>
      <c r="AJ906">
        <v>86.557836273622996</v>
      </c>
      <c r="AK906">
        <v>68.596494602694193</v>
      </c>
      <c r="AL906">
        <v>87.548135527988507</v>
      </c>
      <c r="AM906">
        <v>90.054740798385097</v>
      </c>
      <c r="AN906">
        <v>1.00000004134145</v>
      </c>
    </row>
    <row r="907" spans="1:40" x14ac:dyDescent="0.25">
      <c r="A907" t="str">
        <f>"20190312160317450"</f>
        <v>20190312160317450</v>
      </c>
      <c r="B907" t="str">
        <f>"1552377797445683"</f>
        <v>1552377797445683</v>
      </c>
      <c r="C907" t="s">
        <v>40</v>
      </c>
      <c r="D907">
        <v>5.7870030000000003</v>
      </c>
      <c r="E907">
        <v>0.52177850000000003</v>
      </c>
      <c r="F907" t="s">
        <v>41</v>
      </c>
      <c r="G907">
        <v>-218.809</v>
      </c>
      <c r="H907" s="1">
        <v>-2.009891E-6</v>
      </c>
      <c r="I907">
        <v>363.5335</v>
      </c>
      <c r="J907">
        <v>-291.87099999999998</v>
      </c>
      <c r="K907">
        <v>1.0597810000000001</v>
      </c>
      <c r="L907">
        <v>367.97089999999997</v>
      </c>
      <c r="M907">
        <v>0.99988650000000001</v>
      </c>
      <c r="N907">
        <v>0</v>
      </c>
      <c r="O907">
        <v>-1.127297E-3</v>
      </c>
      <c r="P907">
        <v>0.99961889999999998</v>
      </c>
      <c r="Q907">
        <v>2.760955E-2</v>
      </c>
      <c r="R907">
        <v>-1.116523E-4</v>
      </c>
      <c r="S907">
        <v>3.002319</v>
      </c>
      <c r="T907">
        <v>-4.3377760000000001E-2</v>
      </c>
      <c r="U907">
        <v>-0.18164060000000001</v>
      </c>
      <c r="V907">
        <v>-1.0150420000000001E-3</v>
      </c>
      <c r="W907">
        <v>4.2629979999999998E-2</v>
      </c>
      <c r="X907">
        <v>0.99909040000000005</v>
      </c>
      <c r="Y907">
        <v>5.9258230000000002E-2</v>
      </c>
      <c r="Z907">
        <v>-4.1139740000000001E-4</v>
      </c>
      <c r="AA907">
        <v>0.99824259999999998</v>
      </c>
      <c r="AB907">
        <v>50</v>
      </c>
      <c r="AC907">
        <v>73.061999999999898</v>
      </c>
      <c r="AD907">
        <v>-1.0597830098909999</v>
      </c>
      <c r="AE907">
        <v>-4.4373999999999603</v>
      </c>
      <c r="AF907">
        <v>4.3541125604780602</v>
      </c>
      <c r="AG907">
        <v>-1.0597830098909999</v>
      </c>
      <c r="AH907">
        <v>73.051642641668195</v>
      </c>
      <c r="AI907">
        <v>90.829677255146393</v>
      </c>
      <c r="AJ907">
        <v>86.589022888277896</v>
      </c>
      <c r="AK907">
        <v>73.188960430268196</v>
      </c>
      <c r="AL907">
        <v>87.556741622298304</v>
      </c>
      <c r="AM907">
        <v>90.058210550935797</v>
      </c>
      <c r="AN907">
        <v>0.99999998643861099</v>
      </c>
    </row>
    <row r="908" spans="1:40" x14ac:dyDescent="0.25">
      <c r="A908" t="str">
        <f>"20190312160317462"</f>
        <v>20190312160317462</v>
      </c>
      <c r="B908" t="str">
        <f>"1552377797455443"</f>
        <v>1552377797455443</v>
      </c>
      <c r="C908" t="s">
        <v>40</v>
      </c>
      <c r="D908">
        <v>5.521344</v>
      </c>
      <c r="E908">
        <v>0.52193500000000004</v>
      </c>
      <c r="F908" t="s">
        <v>50</v>
      </c>
      <c r="G908">
        <v>-209.6403</v>
      </c>
      <c r="H908" s="1">
        <v>-6.1939150000000003E-6</v>
      </c>
      <c r="I908">
        <v>363.02670000000001</v>
      </c>
      <c r="J908">
        <v>-291.58580000000001</v>
      </c>
      <c r="K908">
        <v>1.0597799999999999</v>
      </c>
      <c r="L908">
        <v>367.97059999999999</v>
      </c>
      <c r="M908">
        <v>0.99988659999999996</v>
      </c>
      <c r="N908">
        <v>0</v>
      </c>
      <c r="O908">
        <v>-1.1229600000000001E-3</v>
      </c>
      <c r="P908">
        <v>0.99962899999999999</v>
      </c>
      <c r="Q908">
        <v>2.723915E-2</v>
      </c>
      <c r="R908" s="1">
        <v>5.7930509999999998E-5</v>
      </c>
      <c r="S908">
        <v>3.002167</v>
      </c>
      <c r="T908">
        <v>-3.8691879999999998E-2</v>
      </c>
      <c r="U908">
        <v>-0.18051149999999999</v>
      </c>
      <c r="V908">
        <v>-1.1798959999999999E-3</v>
      </c>
      <c r="W908">
        <v>4.2254569999999998E-2</v>
      </c>
      <c r="X908">
        <v>0.99910620000000006</v>
      </c>
      <c r="Y908">
        <v>5.889279E-2</v>
      </c>
      <c r="Z908">
        <v>-3.6468600000000002E-4</v>
      </c>
      <c r="AA908">
        <v>0.99826429999999999</v>
      </c>
      <c r="AB908">
        <v>50</v>
      </c>
      <c r="AC908">
        <v>81.945499999999996</v>
      </c>
      <c r="AD908">
        <v>-1.059786193915</v>
      </c>
      <c r="AE908">
        <v>-4.9438999999999798</v>
      </c>
      <c r="AF908">
        <v>4.8510565507355699</v>
      </c>
      <c r="AG908">
        <v>-1.059786193915</v>
      </c>
      <c r="AH908">
        <v>81.937345793260704</v>
      </c>
      <c r="AI908">
        <v>90.739733113500606</v>
      </c>
      <c r="AJ908">
        <v>86.611789202705495</v>
      </c>
      <c r="AK908">
        <v>82.087663702164306</v>
      </c>
      <c r="AL908">
        <v>87.578270511453198</v>
      </c>
      <c r="AM908">
        <v>90.067663507279704</v>
      </c>
      <c r="AN908">
        <v>1.0000000198594401</v>
      </c>
    </row>
    <row r="909" spans="1:40" x14ac:dyDescent="0.25">
      <c r="A909" t="str">
        <f>"20190312160317475"</f>
        <v>20190312160317475</v>
      </c>
      <c r="B909" t="str">
        <f>"1552377797465203"</f>
        <v>1552377797465203</v>
      </c>
      <c r="C909" t="s">
        <v>40</v>
      </c>
      <c r="D909">
        <v>5.5916639999999997</v>
      </c>
      <c r="E909">
        <v>0.52213329999999902</v>
      </c>
      <c r="F909" t="s">
        <v>41</v>
      </c>
      <c r="G909">
        <v>-211.73310000000001</v>
      </c>
      <c r="H909" s="1">
        <v>-4.676861E-6</v>
      </c>
      <c r="I909">
        <v>363.14409999999998</v>
      </c>
      <c r="J909">
        <v>-291.3021</v>
      </c>
      <c r="K909">
        <v>1.0597810000000001</v>
      </c>
      <c r="L909">
        <v>367.97030000000001</v>
      </c>
      <c r="M909">
        <v>0.99988670000000002</v>
      </c>
      <c r="N909">
        <v>0</v>
      </c>
      <c r="O909">
        <v>-1.118626E-3</v>
      </c>
      <c r="P909">
        <v>0.9996408</v>
      </c>
      <c r="Q909">
        <v>2.6801220000000001E-2</v>
      </c>
      <c r="R909">
        <v>4.2507889999999999E-4</v>
      </c>
      <c r="S909">
        <v>3.0021360000000001</v>
      </c>
      <c r="T909">
        <v>-3.984356E-2</v>
      </c>
      <c r="U909">
        <v>-0.18145749999999999</v>
      </c>
      <c r="V909">
        <v>-1.54295E-3</v>
      </c>
      <c r="W909">
        <v>4.1811979999999999E-2</v>
      </c>
      <c r="X909">
        <v>0.99912429999999997</v>
      </c>
      <c r="Y909">
        <v>5.9210840000000001E-2</v>
      </c>
      <c r="Z909">
        <v>-3.7770639999999998E-4</v>
      </c>
      <c r="AA909">
        <v>0.99824539999999995</v>
      </c>
      <c r="AB909">
        <v>50</v>
      </c>
      <c r="AC909">
        <v>79.568999999999903</v>
      </c>
      <c r="AD909">
        <v>-1.0597856768609999</v>
      </c>
      <c r="AE909">
        <v>-4.8262000000000196</v>
      </c>
      <c r="AF909">
        <v>4.7363418605504197</v>
      </c>
      <c r="AG909">
        <v>-1.0597856768609999</v>
      </c>
      <c r="AH909">
        <v>79.560287438255003</v>
      </c>
      <c r="AI909">
        <v>90.761816775699998</v>
      </c>
      <c r="AJ909">
        <v>86.593118167317101</v>
      </c>
      <c r="AK909">
        <v>79.708189147405903</v>
      </c>
      <c r="AL909">
        <v>87.603651421079306</v>
      </c>
      <c r="AM909">
        <v>90.088481936353702</v>
      </c>
      <c r="AN909">
        <v>0.99999999460835598</v>
      </c>
    </row>
    <row r="910" spans="1:40" x14ac:dyDescent="0.25">
      <c r="A910" t="str">
        <f>"20190312160317488"</f>
        <v>20190312160317488</v>
      </c>
      <c r="B910" t="str">
        <f>"1552377797485699"</f>
        <v>1552377797485699</v>
      </c>
      <c r="C910" t="s">
        <v>40</v>
      </c>
      <c r="D910">
        <v>5.5994489999999999</v>
      </c>
      <c r="E910">
        <v>0.52251029999999998</v>
      </c>
      <c r="F910" t="s">
        <v>41</v>
      </c>
      <c r="G910">
        <v>-215.09479999999999</v>
      </c>
      <c r="H910" s="1">
        <v>-3.320117E-6</v>
      </c>
      <c r="I910">
        <v>363.35969999999998</v>
      </c>
      <c r="J910">
        <v>-291.01639999999998</v>
      </c>
      <c r="K910">
        <v>1.059774</v>
      </c>
      <c r="L910">
        <v>367.97</v>
      </c>
      <c r="M910">
        <v>0.99988659999999996</v>
      </c>
      <c r="N910">
        <v>0</v>
      </c>
      <c r="O910">
        <v>-1.114173E-3</v>
      </c>
      <c r="P910">
        <v>0.99964030000000004</v>
      </c>
      <c r="Q910">
        <v>2.6811459999999999E-2</v>
      </c>
      <c r="R910">
        <v>6.2749799999999999E-4</v>
      </c>
      <c r="S910">
        <v>3.0022579999999999</v>
      </c>
      <c r="T910">
        <v>-4.1751150000000001E-2</v>
      </c>
      <c r="U910">
        <v>-0.18164060000000001</v>
      </c>
      <c r="V910">
        <v>-1.7406629999999999E-3</v>
      </c>
      <c r="W910">
        <v>4.181721E-2</v>
      </c>
      <c r="X910">
        <v>0.99912380000000001</v>
      </c>
      <c r="Y910">
        <v>5.9272999999999999E-2</v>
      </c>
      <c r="Z910">
        <v>-3.9626499999999997E-4</v>
      </c>
      <c r="AA910">
        <v>0.99824170000000001</v>
      </c>
      <c r="AB910">
        <v>50</v>
      </c>
      <c r="AC910">
        <v>75.921599999999899</v>
      </c>
      <c r="AD910">
        <v>-1.059777320117</v>
      </c>
      <c r="AE910">
        <v>-4.6103000000000502</v>
      </c>
      <c r="AF910">
        <v>4.5248193817752602</v>
      </c>
      <c r="AG910">
        <v>-1.059777320117</v>
      </c>
      <c r="AH910">
        <v>75.911953078656694</v>
      </c>
      <c r="AI910">
        <v>90.798415284735299</v>
      </c>
      <c r="AJ910">
        <v>86.588855072534599</v>
      </c>
      <c r="AK910">
        <v>76.054071150873298</v>
      </c>
      <c r="AL910">
        <v>87.603351606715805</v>
      </c>
      <c r="AM910">
        <v>90.099820004839302</v>
      </c>
      <c r="AN910">
        <v>1.00000003834315</v>
      </c>
    </row>
    <row r="911" spans="1:40" x14ac:dyDescent="0.25">
      <c r="A911" t="str">
        <f>"20190312160317502"</f>
        <v>20190312160317502</v>
      </c>
      <c r="B911" t="str">
        <f>"1552377797495460"</f>
        <v>1552377797495460</v>
      </c>
      <c r="C911" t="s">
        <v>40</v>
      </c>
      <c r="D911">
        <v>5.4989879999999998</v>
      </c>
      <c r="E911">
        <v>0.52269129999999997</v>
      </c>
      <c r="F911" t="s">
        <v>41</v>
      </c>
      <c r="G911">
        <v>-214.3168</v>
      </c>
      <c r="H911" s="1">
        <v>-3.6107189999999999E-6</v>
      </c>
      <c r="I911">
        <v>363.26249999999999</v>
      </c>
      <c r="J911">
        <v>-290.69639999999998</v>
      </c>
      <c r="K911">
        <v>1.0597799999999999</v>
      </c>
      <c r="L911">
        <v>367.96969999999999</v>
      </c>
      <c r="M911">
        <v>0.99988679999999996</v>
      </c>
      <c r="N911">
        <v>0</v>
      </c>
      <c r="O911">
        <v>-1.1095980000000001E-3</v>
      </c>
      <c r="P911">
        <v>0.99965079999999995</v>
      </c>
      <c r="Q911">
        <v>2.6407799999999999E-2</v>
      </c>
      <c r="R911">
        <v>9.2084070000000005E-4</v>
      </c>
      <c r="S911">
        <v>3.0022890000000002</v>
      </c>
      <c r="T911">
        <v>-4.1483279999999997E-2</v>
      </c>
      <c r="U911">
        <v>-0.18426509999999999</v>
      </c>
      <c r="V911">
        <v>-2.0294079999999999E-3</v>
      </c>
      <c r="W911">
        <v>4.1408449999999999E-2</v>
      </c>
      <c r="X911">
        <v>0.99914029999999998</v>
      </c>
      <c r="Y911">
        <v>6.0146320000000003E-2</v>
      </c>
      <c r="Z911">
        <v>-3.9979920000000001E-4</v>
      </c>
      <c r="AA911">
        <v>0.99818949999999995</v>
      </c>
      <c r="AB911">
        <v>50</v>
      </c>
      <c r="AC911">
        <v>76.379599999999897</v>
      </c>
      <c r="AD911">
        <v>-1.059783610719</v>
      </c>
      <c r="AE911">
        <v>-4.7072000000000003</v>
      </c>
      <c r="AF911">
        <v>4.6215505254428004</v>
      </c>
      <c r="AG911">
        <v>-1.059783610719</v>
      </c>
      <c r="AH911">
        <v>76.370129384498995</v>
      </c>
      <c r="AI911">
        <v>90.793587416350206</v>
      </c>
      <c r="AJ911">
        <v>86.536959985282905</v>
      </c>
      <c r="AK911">
        <v>76.517178024061295</v>
      </c>
      <c r="AL911">
        <v>87.626792180973396</v>
      </c>
      <c r="AM911">
        <v>90.116376402200501</v>
      </c>
      <c r="AN911">
        <v>1.0000000586561499</v>
      </c>
    </row>
    <row r="912" spans="1:40" x14ac:dyDescent="0.25">
      <c r="A912" t="str">
        <f>"20190312160317514"</f>
        <v>20190312160317514</v>
      </c>
      <c r="B912" t="str">
        <f>"1552377797505220"</f>
        <v>1552377797505220</v>
      </c>
      <c r="C912" t="s">
        <v>40</v>
      </c>
      <c r="D912">
        <v>5.5453199999999896</v>
      </c>
      <c r="E912">
        <v>0.52282119999999999</v>
      </c>
      <c r="F912" t="s">
        <v>41</v>
      </c>
      <c r="G912">
        <v>-218.22389999999999</v>
      </c>
      <c r="H912" s="1">
        <v>-2.2154699999999998E-6</v>
      </c>
      <c r="I912">
        <v>363.50920000000002</v>
      </c>
      <c r="J912">
        <v>-290.44420000000002</v>
      </c>
      <c r="K912">
        <v>1.0597799999999999</v>
      </c>
      <c r="L912">
        <v>367.96940000000001</v>
      </c>
      <c r="M912">
        <v>0.99988679999999996</v>
      </c>
      <c r="N912">
        <v>0</v>
      </c>
      <c r="O912">
        <v>-1.1058699999999999E-3</v>
      </c>
      <c r="P912">
        <v>0.99964869999999995</v>
      </c>
      <c r="Q912">
        <v>2.6477270000000001E-2</v>
      </c>
      <c r="R912">
        <v>1.132475E-3</v>
      </c>
      <c r="S912">
        <v>3.00238</v>
      </c>
      <c r="T912">
        <v>-4.390442E-2</v>
      </c>
      <c r="U912">
        <v>-0.1847839</v>
      </c>
      <c r="V912">
        <v>-2.2371240000000001E-3</v>
      </c>
      <c r="W912">
        <v>4.1473719999999999E-2</v>
      </c>
      <c r="X912">
        <v>0.9991371</v>
      </c>
      <c r="Y912">
        <v>6.0319329999999997E-2</v>
      </c>
      <c r="Z912">
        <v>-4.2443370000000002E-4</v>
      </c>
      <c r="AA912">
        <v>0.99817900000000004</v>
      </c>
      <c r="AB912">
        <v>50</v>
      </c>
      <c r="AC912">
        <v>72.220299999999995</v>
      </c>
      <c r="AD912">
        <v>-1.0597822154699901</v>
      </c>
      <c r="AE912">
        <v>-4.46019999999998</v>
      </c>
      <c r="AF912">
        <v>4.3793825645789601</v>
      </c>
      <c r="AG912">
        <v>-1.0597822154699901</v>
      </c>
      <c r="AH912">
        <v>72.209698589484503</v>
      </c>
      <c r="AI912">
        <v>90.8392965114774</v>
      </c>
      <c r="AJ912">
        <v>86.529369661995304</v>
      </c>
      <c r="AK912">
        <v>72.350139601630104</v>
      </c>
      <c r="AL912">
        <v>87.623049153132101</v>
      </c>
      <c r="AM912">
        <v>90.128288249177302</v>
      </c>
      <c r="AN912">
        <v>1.00000000938541</v>
      </c>
    </row>
    <row r="913" spans="1:40" x14ac:dyDescent="0.25">
      <c r="A913" t="str">
        <f>"20190312160317524"</f>
        <v>20190312160317524</v>
      </c>
      <c r="B913" t="str">
        <f>"1552377797515954"</f>
        <v>1552377797515954</v>
      </c>
      <c r="C913" t="s">
        <v>40</v>
      </c>
      <c r="D913">
        <v>5.6114259999999998</v>
      </c>
      <c r="E913">
        <v>0.52299449999999903</v>
      </c>
      <c r="F913" t="s">
        <v>41</v>
      </c>
      <c r="G913">
        <v>-218.7766</v>
      </c>
      <c r="H913" s="1">
        <v>-2.0159469999999999E-6</v>
      </c>
      <c r="I913">
        <v>363.5521</v>
      </c>
      <c r="J913">
        <v>-290.1925</v>
      </c>
      <c r="K913">
        <v>1.0597829999999999</v>
      </c>
      <c r="L913">
        <v>367.96910000000003</v>
      </c>
      <c r="M913">
        <v>0.99988690000000002</v>
      </c>
      <c r="N913">
        <v>0</v>
      </c>
      <c r="O913">
        <v>-1.102261E-3</v>
      </c>
      <c r="P913">
        <v>0.99965230000000005</v>
      </c>
      <c r="Q913">
        <v>2.6349979999999999E-2</v>
      </c>
      <c r="R913">
        <v>1.1680250000000001E-3</v>
      </c>
      <c r="S913">
        <v>3.0025019999999998</v>
      </c>
      <c r="T913">
        <v>-4.4399380000000002E-2</v>
      </c>
      <c r="U913">
        <v>-0.18505859999999999</v>
      </c>
      <c r="V913">
        <v>-2.2690570000000001E-3</v>
      </c>
      <c r="W913">
        <v>4.1342700000000003E-2</v>
      </c>
      <c r="X913">
        <v>0.99914250000000004</v>
      </c>
      <c r="Y913">
        <v>6.041125E-2</v>
      </c>
      <c r="Z913">
        <v>-4.2993170000000001E-4</v>
      </c>
      <c r="AA913">
        <v>0.99817350000000005</v>
      </c>
      <c r="AB913">
        <v>50</v>
      </c>
      <c r="AC913">
        <v>71.415899999999993</v>
      </c>
      <c r="AD913">
        <v>-1.0597850159469999</v>
      </c>
      <c r="AE913">
        <v>-4.41700000000003</v>
      </c>
      <c r="AF913">
        <v>4.3373179983501897</v>
      </c>
      <c r="AG913">
        <v>-1.0597850159469999</v>
      </c>
      <c r="AH913">
        <v>71.405061338710993</v>
      </c>
      <c r="AI913">
        <v>90.848750259838496</v>
      </c>
      <c r="AJ913">
        <v>86.523985162706893</v>
      </c>
      <c r="AK913">
        <v>71.544519402145099</v>
      </c>
      <c r="AL913">
        <v>87.630562589767095</v>
      </c>
      <c r="AM913">
        <v>90.130118742894595</v>
      </c>
      <c r="AN913">
        <v>1.0000000513845999</v>
      </c>
    </row>
    <row r="914" spans="1:40" x14ac:dyDescent="0.25">
      <c r="A914" t="str">
        <f>"20190312160317536"</f>
        <v>20190312160317536</v>
      </c>
      <c r="B914" t="str">
        <f>"1552377797525715"</f>
        <v>1552377797525715</v>
      </c>
      <c r="C914" t="s">
        <v>40</v>
      </c>
      <c r="D914">
        <v>5.6278259999999998</v>
      </c>
      <c r="E914">
        <v>0.52317020000000003</v>
      </c>
      <c r="F914" t="s">
        <v>41</v>
      </c>
      <c r="G914">
        <v>-219.66800000000001</v>
      </c>
      <c r="H914" s="1">
        <v>-1.7015660000000001E-6</v>
      </c>
      <c r="I914">
        <v>363.59359999999998</v>
      </c>
      <c r="J914">
        <v>-289.9511</v>
      </c>
      <c r="K914">
        <v>1.0597799999999999</v>
      </c>
      <c r="L914">
        <v>367.96879999999999</v>
      </c>
      <c r="M914">
        <v>0.99988719999999998</v>
      </c>
      <c r="N914">
        <v>0</v>
      </c>
      <c r="O914">
        <v>-1.0990139999999999E-3</v>
      </c>
      <c r="P914">
        <v>0.99964260000000005</v>
      </c>
      <c r="Q914">
        <v>2.671428E-2</v>
      </c>
      <c r="R914">
        <v>1.1635459999999999E-3</v>
      </c>
      <c r="S914">
        <v>3.0024410000000001</v>
      </c>
      <c r="T914">
        <v>-4.5118209999999999E-2</v>
      </c>
      <c r="U914">
        <v>-0.18627930000000001</v>
      </c>
      <c r="V914">
        <v>-2.2618769999999998E-3</v>
      </c>
      <c r="W914">
        <v>4.170335E-2</v>
      </c>
      <c r="X914">
        <v>0.9991274</v>
      </c>
      <c r="Y914">
        <v>6.081976E-2</v>
      </c>
      <c r="Z914">
        <v>-4.4000989999999998E-4</v>
      </c>
      <c r="AA914">
        <v>0.9981487</v>
      </c>
      <c r="AB914">
        <v>50</v>
      </c>
      <c r="AC914">
        <v>70.283099999999905</v>
      </c>
      <c r="AD914">
        <v>-1.059781701566</v>
      </c>
      <c r="AE914">
        <v>-4.3752000000000004</v>
      </c>
      <c r="AF914">
        <v>4.2969733525039597</v>
      </c>
      <c r="AG914">
        <v>-1.059781701566</v>
      </c>
      <c r="AH914">
        <v>70.271950514124498</v>
      </c>
      <c r="AI914">
        <v>90.862410093654205</v>
      </c>
      <c r="AJ914">
        <v>86.500847449138504</v>
      </c>
      <c r="AK914">
        <v>70.411179128790806</v>
      </c>
      <c r="AL914">
        <v>87.609880725036902</v>
      </c>
      <c r="AM914">
        <v>90.129708968529897</v>
      </c>
      <c r="AN914">
        <v>0.99999992345976996</v>
      </c>
    </row>
    <row r="915" spans="1:40" x14ac:dyDescent="0.25">
      <c r="A915" t="str">
        <f>"20190312160317547"</f>
        <v>20190312160317547</v>
      </c>
      <c r="B915" t="str">
        <f>"1552377797535475"</f>
        <v>1552377797535475</v>
      </c>
      <c r="C915" t="s">
        <v>40</v>
      </c>
      <c r="D915">
        <v>5.4532600000000002</v>
      </c>
      <c r="E915">
        <v>0.52332479999999904</v>
      </c>
      <c r="F915" t="s">
        <v>41</v>
      </c>
      <c r="G915">
        <v>-218.5558</v>
      </c>
      <c r="H915" s="1">
        <v>-2.1057040000000001E-6</v>
      </c>
      <c r="I915">
        <v>363.49720000000002</v>
      </c>
      <c r="J915">
        <v>-289.70749999999998</v>
      </c>
      <c r="K915">
        <v>1.059782</v>
      </c>
      <c r="L915">
        <v>367.96859999999998</v>
      </c>
      <c r="M915">
        <v>0.99988699999999997</v>
      </c>
      <c r="N915">
        <v>0</v>
      </c>
      <c r="O915">
        <v>-1.0952900000000001E-3</v>
      </c>
      <c r="P915">
        <v>0.99963930000000001</v>
      </c>
      <c r="Q915">
        <v>2.683104E-2</v>
      </c>
      <c r="R915">
        <v>1.2106179999999999E-3</v>
      </c>
      <c r="S915">
        <v>3.0024410000000001</v>
      </c>
      <c r="T915">
        <v>-4.4567820000000001E-2</v>
      </c>
      <c r="U915">
        <v>-0.1880493</v>
      </c>
      <c r="V915">
        <v>-2.3047440000000001E-3</v>
      </c>
      <c r="W915">
        <v>4.1816739999999998E-2</v>
      </c>
      <c r="X915">
        <v>0.99912259999999997</v>
      </c>
      <c r="Y915">
        <v>6.1409730000000003E-2</v>
      </c>
      <c r="Z915">
        <v>-4.3906449999999998E-4</v>
      </c>
      <c r="AA915">
        <v>0.99811260000000002</v>
      </c>
      <c r="AB915">
        <v>50</v>
      </c>
      <c r="AC915">
        <v>71.151699999999906</v>
      </c>
      <c r="AD915">
        <v>-1.0597841057040001</v>
      </c>
      <c r="AE915">
        <v>-4.4713999999999601</v>
      </c>
      <c r="AF915">
        <v>4.3924861608153201</v>
      </c>
      <c r="AG915">
        <v>-1.0597841057040001</v>
      </c>
      <c r="AH915">
        <v>71.140834657961804</v>
      </c>
      <c r="AI915">
        <v>90.851849412679698</v>
      </c>
      <c r="AJ915">
        <v>86.466841619256101</v>
      </c>
      <c r="AK915">
        <v>71.284187817882199</v>
      </c>
      <c r="AL915">
        <v>87.603378373140899</v>
      </c>
      <c r="AM915">
        <v>90.132167833891998</v>
      </c>
      <c r="AN915">
        <v>0.99999996070994501</v>
      </c>
    </row>
    <row r="916" spans="1:40" x14ac:dyDescent="0.25">
      <c r="A916" t="str">
        <f>"20190312160317558"</f>
        <v>20190312160317558</v>
      </c>
      <c r="B916" t="str">
        <f>"1552377797555971"</f>
        <v>1552377797555971</v>
      </c>
      <c r="C916" t="s">
        <v>40</v>
      </c>
      <c r="D916">
        <v>5.6689569999999998</v>
      </c>
      <c r="E916">
        <v>0.52366459999999904</v>
      </c>
      <c r="F916" t="s">
        <v>41</v>
      </c>
      <c r="G916">
        <v>-218.7122</v>
      </c>
      <c r="H916" s="1">
        <v>-2.0523869999999999E-6</v>
      </c>
      <c r="I916">
        <v>363.4975</v>
      </c>
      <c r="J916">
        <v>-289.45409999999998</v>
      </c>
      <c r="K916">
        <v>1.0597840000000001</v>
      </c>
      <c r="L916">
        <v>367.9683</v>
      </c>
      <c r="M916">
        <v>0.99988699999999997</v>
      </c>
      <c r="N916">
        <v>0</v>
      </c>
      <c r="O916">
        <v>-1.0918060000000001E-3</v>
      </c>
      <c r="P916">
        <v>0.99963029999999997</v>
      </c>
      <c r="Q916">
        <v>2.7161609999999999E-2</v>
      </c>
      <c r="R916">
        <v>1.230887E-3</v>
      </c>
      <c r="S916">
        <v>3.0025019999999998</v>
      </c>
      <c r="T916">
        <v>-4.4819949999999997E-2</v>
      </c>
      <c r="U916">
        <v>-0.1890869</v>
      </c>
      <c r="V916">
        <v>-2.321863E-3</v>
      </c>
      <c r="W916">
        <v>4.2143090000000001E-2</v>
      </c>
      <c r="X916">
        <v>0.99910889999999997</v>
      </c>
      <c r="Y916">
        <v>6.175539E-2</v>
      </c>
      <c r="Z916">
        <v>-4.441634E-4</v>
      </c>
      <c r="AA916">
        <v>0.99809119999999996</v>
      </c>
      <c r="AB916">
        <v>50</v>
      </c>
      <c r="AC916">
        <v>70.741899999999902</v>
      </c>
      <c r="AD916">
        <v>-1.059786052387</v>
      </c>
      <c r="AE916">
        <v>-4.4707999999999899</v>
      </c>
      <c r="AF916">
        <v>4.39257031379978</v>
      </c>
      <c r="AG916">
        <v>-1.059786052387</v>
      </c>
      <c r="AH916">
        <v>70.730928555397497</v>
      </c>
      <c r="AI916">
        <v>90.856767993652298</v>
      </c>
      <c r="AJ916">
        <v>86.446350360507196</v>
      </c>
      <c r="AK916">
        <v>70.875116047504704</v>
      </c>
      <c r="AL916">
        <v>87.584663521915502</v>
      </c>
      <c r="AM916">
        <v>90.133151362198205</v>
      </c>
      <c r="AN916">
        <v>1.0000000125708699</v>
      </c>
    </row>
    <row r="917" spans="1:40" x14ac:dyDescent="0.25">
      <c r="A917" t="str">
        <f>"20190312160317570"</f>
        <v>20190312160317570</v>
      </c>
      <c r="B917" t="str">
        <f>"1552377797565264"</f>
        <v>1552377797565264</v>
      </c>
      <c r="C917" t="s">
        <v>40</v>
      </c>
      <c r="D917">
        <v>6.0714389999999998</v>
      </c>
      <c r="E917">
        <v>0.52366459999999904</v>
      </c>
      <c r="F917" t="s">
        <v>41</v>
      </c>
      <c r="G917">
        <v>-217.3203</v>
      </c>
      <c r="H917" s="1">
        <v>-2.5621879999999999E-6</v>
      </c>
      <c r="I917">
        <v>363.36180000000002</v>
      </c>
      <c r="J917">
        <v>-289.20760000000001</v>
      </c>
      <c r="K917">
        <v>1.0597859999999999</v>
      </c>
      <c r="L917">
        <v>367.96800000000002</v>
      </c>
      <c r="M917">
        <v>0.99988699999999997</v>
      </c>
      <c r="N917">
        <v>0</v>
      </c>
      <c r="O917">
        <v>-1.088084E-3</v>
      </c>
      <c r="P917">
        <v>0.99962419999999996</v>
      </c>
      <c r="Q917">
        <v>2.7397600000000001E-2</v>
      </c>
      <c r="R917">
        <v>1.0256899999999999E-3</v>
      </c>
      <c r="S917">
        <v>3.0025330000000001</v>
      </c>
      <c r="T917">
        <v>-4.4113039999999999E-2</v>
      </c>
      <c r="U917">
        <v>-0.19174189999999999</v>
      </c>
      <c r="V917">
        <v>-2.1131729999999999E-3</v>
      </c>
      <c r="W917">
        <v>4.2376049999999998E-2</v>
      </c>
      <c r="X917">
        <v>0.99909950000000003</v>
      </c>
      <c r="Y917">
        <v>6.2637600000000002E-2</v>
      </c>
      <c r="Z917">
        <v>-4.4367050000000002E-4</v>
      </c>
      <c r="AA917">
        <v>0.99803629999999999</v>
      </c>
      <c r="AB917">
        <v>50</v>
      </c>
      <c r="AC917">
        <v>71.887299999999996</v>
      </c>
      <c r="AD917">
        <v>-1.0597885621879899</v>
      </c>
      <c r="AE917">
        <v>-4.6062000000000003</v>
      </c>
      <c r="AF917">
        <v>4.5269891979774801</v>
      </c>
      <c r="AG917">
        <v>-1.0597885621879899</v>
      </c>
      <c r="AH917">
        <v>71.876712320762493</v>
      </c>
      <c r="AI917">
        <v>90.843068051123396</v>
      </c>
      <c r="AJ917">
        <v>86.396117563346294</v>
      </c>
      <c r="AK917">
        <v>72.026929387811606</v>
      </c>
      <c r="AL917">
        <v>87.571303939459</v>
      </c>
      <c r="AM917">
        <v>90.121184840683995</v>
      </c>
      <c r="AN917">
        <v>1.00000000300699</v>
      </c>
    </row>
    <row r="918" spans="1:40" x14ac:dyDescent="0.25">
      <c r="A918" t="str">
        <f>"20190312160317579"</f>
        <v>20190312160317579</v>
      </c>
      <c r="B918" t="str">
        <f>"1552377797576000"</f>
        <v>1552377797576000</v>
      </c>
      <c r="C918" t="s">
        <v>40</v>
      </c>
      <c r="D918">
        <v>5.669778</v>
      </c>
      <c r="E918">
        <v>0.52386520000000003</v>
      </c>
      <c r="F918" t="s">
        <v>41</v>
      </c>
      <c r="G918">
        <v>-215.88749999999999</v>
      </c>
      <c r="H918" s="1">
        <v>-3.073007E-6</v>
      </c>
      <c r="I918">
        <v>363.27449999999999</v>
      </c>
      <c r="J918">
        <v>-288.96420000000001</v>
      </c>
      <c r="K918">
        <v>1.059788</v>
      </c>
      <c r="L918">
        <v>367.96769999999998</v>
      </c>
      <c r="M918">
        <v>0.99988730000000003</v>
      </c>
      <c r="N918">
        <v>0</v>
      </c>
      <c r="O918">
        <v>-1.0846040000000001E-3</v>
      </c>
      <c r="P918">
        <v>0.99961630000000001</v>
      </c>
      <c r="Q918">
        <v>2.7685020000000001E-2</v>
      </c>
      <c r="R918">
        <v>1.0874649999999999E-3</v>
      </c>
      <c r="S918">
        <v>3.0025019999999998</v>
      </c>
      <c r="T918">
        <v>-4.3398979999999997E-2</v>
      </c>
      <c r="U918">
        <v>-0.1921997</v>
      </c>
      <c r="V918">
        <v>-2.171269E-3</v>
      </c>
      <c r="W918">
        <v>4.2659990000000002E-2</v>
      </c>
      <c r="X918">
        <v>0.99908730000000001</v>
      </c>
      <c r="Y918">
        <v>6.2793450000000001E-2</v>
      </c>
      <c r="Z918">
        <v>-4.376672E-4</v>
      </c>
      <c r="AA918">
        <v>0.99802639999999998</v>
      </c>
      <c r="AB918">
        <v>50</v>
      </c>
      <c r="AC918">
        <v>73.076700000000002</v>
      </c>
      <c r="AD918">
        <v>-1.0597910730069999</v>
      </c>
      <c r="AE918">
        <v>-4.6931999999999903</v>
      </c>
      <c r="AF918">
        <v>4.6129628531393303</v>
      </c>
      <c r="AG918">
        <v>-1.0597910730069999</v>
      </c>
      <c r="AH918">
        <v>73.066443557705099</v>
      </c>
      <c r="AI918">
        <v>90.829336513126094</v>
      </c>
      <c r="AJ918">
        <v>86.387493808523104</v>
      </c>
      <c r="AK918">
        <v>73.219585887753894</v>
      </c>
      <c r="AL918">
        <v>87.555020670613203</v>
      </c>
      <c r="AM918">
        <v>90.124518001612898</v>
      </c>
      <c r="AN918">
        <v>1.0000000110885801</v>
      </c>
    </row>
    <row r="919" spans="1:40" x14ac:dyDescent="0.25">
      <c r="A919" t="str">
        <f>"20190312160317591"</f>
        <v>20190312160317591</v>
      </c>
      <c r="B919" t="str">
        <f>"1552377797585760"</f>
        <v>1552377797585760</v>
      </c>
      <c r="C919" t="s">
        <v>40</v>
      </c>
      <c r="D919">
        <v>5.6575160000000002</v>
      </c>
      <c r="E919">
        <v>0.52404529999999905</v>
      </c>
      <c r="F919" t="s">
        <v>41</v>
      </c>
      <c r="G919">
        <v>-212.9984</v>
      </c>
      <c r="H919" s="1">
        <v>-4.1481070000000001E-6</v>
      </c>
      <c r="I919">
        <v>363.06479999999999</v>
      </c>
      <c r="J919">
        <v>-288.72030000000001</v>
      </c>
      <c r="K919">
        <v>1.0597859999999999</v>
      </c>
      <c r="L919">
        <v>367.96749999999997</v>
      </c>
      <c r="M919">
        <v>0.99988730000000003</v>
      </c>
      <c r="N919">
        <v>0</v>
      </c>
      <c r="O919">
        <v>-1.081123E-3</v>
      </c>
      <c r="P919">
        <v>0.99960179999999998</v>
      </c>
      <c r="Q919">
        <v>2.8197050000000001E-2</v>
      </c>
      <c r="R919">
        <v>1.0738519999999999E-3</v>
      </c>
      <c r="S919">
        <v>3.0025629999999999</v>
      </c>
      <c r="T919">
        <v>-4.1888479999999999E-2</v>
      </c>
      <c r="U919">
        <v>-0.1937866</v>
      </c>
      <c r="V919">
        <v>-2.154071E-3</v>
      </c>
      <c r="W919">
        <v>4.3169249999999999E-2</v>
      </c>
      <c r="X919">
        <v>0.99906550000000005</v>
      </c>
      <c r="Y919">
        <v>6.332132E-2</v>
      </c>
      <c r="Z919">
        <v>-4.2614669999999999E-4</v>
      </c>
      <c r="AA919">
        <v>0.99799309999999997</v>
      </c>
      <c r="AB919">
        <v>50</v>
      </c>
      <c r="AC919">
        <v>75.721900000000005</v>
      </c>
      <c r="AD919">
        <v>-1.059790148107</v>
      </c>
      <c r="AE919">
        <v>-4.9026999999999799</v>
      </c>
      <c r="AF919">
        <v>4.8198830753047002</v>
      </c>
      <c r="AG919">
        <v>-1.059790148107</v>
      </c>
      <c r="AH919">
        <v>75.712387895371194</v>
      </c>
      <c r="AI919">
        <v>90.800329962398294</v>
      </c>
      <c r="AJ919">
        <v>86.357441475767601</v>
      </c>
      <c r="AK919">
        <v>75.873052586783203</v>
      </c>
      <c r="AL919">
        <v>87.525815409504503</v>
      </c>
      <c r="AM919">
        <v>90.123534428749196</v>
      </c>
      <c r="AN919">
        <v>1.0000000487288401</v>
      </c>
    </row>
    <row r="920" spans="1:40" x14ac:dyDescent="0.25">
      <c r="A920" t="str">
        <f>"20190312160317602"</f>
        <v>20190312160317602</v>
      </c>
      <c r="B920" t="str">
        <f>"1552377797595519"</f>
        <v>1552377797595519</v>
      </c>
      <c r="C920" t="s">
        <v>40</v>
      </c>
      <c r="D920">
        <v>5.6456150000000003</v>
      </c>
      <c r="E920">
        <v>0.52420180000000005</v>
      </c>
      <c r="F920" t="s">
        <v>50</v>
      </c>
      <c r="G920">
        <v>-209.86760000000001</v>
      </c>
      <c r="H920" s="1">
        <v>-6.2998019999999999E-6</v>
      </c>
      <c r="I920">
        <v>362.83580000000001</v>
      </c>
      <c r="J920">
        <v>-288.47269999999997</v>
      </c>
      <c r="K920">
        <v>1.0597890000000001</v>
      </c>
      <c r="L920">
        <v>367.96719999999999</v>
      </c>
      <c r="M920">
        <v>0.99988730000000003</v>
      </c>
      <c r="N920">
        <v>0</v>
      </c>
      <c r="O920">
        <v>-1.077286E-3</v>
      </c>
      <c r="P920">
        <v>0.99959180000000003</v>
      </c>
      <c r="Q920">
        <v>2.8559290000000001E-2</v>
      </c>
      <c r="R920">
        <v>1.0413219999999999E-3</v>
      </c>
      <c r="S920">
        <v>3.0025330000000001</v>
      </c>
      <c r="T920">
        <v>-4.035449E-2</v>
      </c>
      <c r="U920">
        <v>-0.1954041</v>
      </c>
      <c r="V920">
        <v>-2.117832E-3</v>
      </c>
      <c r="W920">
        <v>4.3527980000000001E-2</v>
      </c>
      <c r="X920">
        <v>0.99904999999999999</v>
      </c>
      <c r="Y920">
        <v>6.386153E-2</v>
      </c>
      <c r="Z920">
        <v>-4.1421699999999998E-4</v>
      </c>
      <c r="AA920">
        <v>0.99795869999999998</v>
      </c>
      <c r="AB920">
        <v>50</v>
      </c>
      <c r="AC920">
        <v>78.605099999999894</v>
      </c>
      <c r="AD920">
        <v>-1.0597952998019999</v>
      </c>
      <c r="AE920">
        <v>-5.1313999999999798</v>
      </c>
      <c r="AF920">
        <v>5.0457940278894204</v>
      </c>
      <c r="AG920">
        <v>-1.0597952998019999</v>
      </c>
      <c r="AH920">
        <v>78.596356481704603</v>
      </c>
      <c r="AI920">
        <v>90.770944058876694</v>
      </c>
      <c r="AJ920">
        <v>86.326718993308106</v>
      </c>
      <c r="AK920">
        <v>78.765287123507306</v>
      </c>
      <c r="AL920">
        <v>87.505242326053903</v>
      </c>
      <c r="AM920">
        <v>90.121458038693703</v>
      </c>
      <c r="AN920">
        <v>1.00000003637762</v>
      </c>
    </row>
    <row r="921" spans="1:40" x14ac:dyDescent="0.25">
      <c r="A921" t="str">
        <f>"20190312160317614"</f>
        <v>20190312160317614</v>
      </c>
      <c r="B921" t="str">
        <f>"1552377797605280"</f>
        <v>1552377797605280</v>
      </c>
      <c r="C921" t="s">
        <v>40</v>
      </c>
      <c r="D921">
        <v>5.5980439999999998</v>
      </c>
      <c r="E921">
        <v>0.52435100000000001</v>
      </c>
      <c r="F921" t="s">
        <v>50</v>
      </c>
      <c r="G921">
        <v>-207.3486</v>
      </c>
      <c r="H921" s="1">
        <v>-5.4839689999999997E-6</v>
      </c>
      <c r="I921">
        <v>362.66050000000001</v>
      </c>
      <c r="J921">
        <v>-288.2269</v>
      </c>
      <c r="K921">
        <v>1.0597920000000001</v>
      </c>
      <c r="L921">
        <v>367.96690000000001</v>
      </c>
      <c r="M921">
        <v>0.99988730000000003</v>
      </c>
      <c r="N921">
        <v>0</v>
      </c>
      <c r="O921">
        <v>-1.0735689999999999E-3</v>
      </c>
      <c r="P921">
        <v>0.99958919999999996</v>
      </c>
      <c r="Q921">
        <v>2.8640499999999999E-2</v>
      </c>
      <c r="R921">
        <v>1.038207E-3</v>
      </c>
      <c r="S921">
        <v>3.0025629999999999</v>
      </c>
      <c r="T921">
        <v>-3.9225099999999999E-2</v>
      </c>
      <c r="U921">
        <v>-0.19641110000000001</v>
      </c>
      <c r="V921">
        <v>-2.1111559999999999E-3</v>
      </c>
      <c r="W921">
        <v>4.3606590000000001E-2</v>
      </c>
      <c r="X921">
        <v>0.99904660000000001</v>
      </c>
      <c r="Y921">
        <v>6.4198169999999999E-2</v>
      </c>
      <c r="Z921">
        <v>-4.0486189999999999E-4</v>
      </c>
      <c r="AA921">
        <v>0.99793710000000002</v>
      </c>
      <c r="AB921">
        <v>50</v>
      </c>
      <c r="AC921">
        <v>80.878299999999996</v>
      </c>
      <c r="AD921">
        <v>-1.0597974839690001</v>
      </c>
      <c r="AE921">
        <v>-5.3063999999999902</v>
      </c>
      <c r="AF921">
        <v>5.2186665411537003</v>
      </c>
      <c r="AG921">
        <v>-1.0597974839690001</v>
      </c>
      <c r="AH921">
        <v>80.870124557326804</v>
      </c>
      <c r="AI921">
        <v>90.749256047942396</v>
      </c>
      <c r="AJ921">
        <v>86.3077397262403</v>
      </c>
      <c r="AK921">
        <v>81.0452632612933</v>
      </c>
      <c r="AL921">
        <v>87.500734059205698</v>
      </c>
      <c r="AM921">
        <v>90.121075582105107</v>
      </c>
      <c r="AN921">
        <v>1.00000005032132</v>
      </c>
    </row>
    <row r="922" spans="1:40" x14ac:dyDescent="0.25">
      <c r="A922" t="str">
        <f>"20190312160317625"</f>
        <v>20190312160317625</v>
      </c>
      <c r="B922" t="str">
        <f>"1552377797615210"</f>
        <v>1552377797615210</v>
      </c>
      <c r="C922" t="s">
        <v>40</v>
      </c>
      <c r="D922">
        <v>5.692412</v>
      </c>
      <c r="E922">
        <v>0.5245031</v>
      </c>
      <c r="F922" t="s">
        <v>50</v>
      </c>
      <c r="G922">
        <v>-203.55719999999999</v>
      </c>
      <c r="H922" s="1">
        <v>-3.82800599999999E-6</v>
      </c>
      <c r="I922">
        <v>362.40410000000003</v>
      </c>
      <c r="J922">
        <v>-287.98570000000001</v>
      </c>
      <c r="K922">
        <v>1.0597920000000001</v>
      </c>
      <c r="L922">
        <v>367.9667</v>
      </c>
      <c r="M922">
        <v>0.99988730000000003</v>
      </c>
      <c r="N922">
        <v>0</v>
      </c>
      <c r="O922">
        <v>-1.0698529999999999E-3</v>
      </c>
      <c r="P922">
        <v>0.99958130000000001</v>
      </c>
      <c r="Q922">
        <v>2.891877E-2</v>
      </c>
      <c r="R922">
        <v>1.0194080000000001E-3</v>
      </c>
      <c r="S922">
        <v>3.0025330000000001</v>
      </c>
      <c r="T922">
        <v>-3.7582160000000003E-2</v>
      </c>
      <c r="U922">
        <v>-0.19726560000000001</v>
      </c>
      <c r="V922">
        <v>-2.08874E-3</v>
      </c>
      <c r="W922">
        <v>4.388193E-2</v>
      </c>
      <c r="X922">
        <v>0.99903450000000005</v>
      </c>
      <c r="Y922">
        <v>6.448574E-2</v>
      </c>
      <c r="Z922">
        <v>-3.8975019999999997E-4</v>
      </c>
      <c r="AA922">
        <v>0.99791850000000004</v>
      </c>
      <c r="AB922">
        <v>50</v>
      </c>
      <c r="AC922">
        <v>84.4285</v>
      </c>
      <c r="AD922">
        <v>-1.059795828006</v>
      </c>
      <c r="AE922">
        <v>-5.5625999999999696</v>
      </c>
      <c r="AF922">
        <v>5.4714022143969903</v>
      </c>
      <c r="AG922">
        <v>-1.059795828006</v>
      </c>
      <c r="AH922">
        <v>84.421158976540795</v>
      </c>
      <c r="AI922">
        <v>90.717729186590603</v>
      </c>
      <c r="AJ922">
        <v>86.291801342266794</v>
      </c>
      <c r="AK922">
        <v>84.604914114554504</v>
      </c>
      <c r="AL922">
        <v>87.484942895519893</v>
      </c>
      <c r="AM922">
        <v>90.119791470786893</v>
      </c>
      <c r="AN922">
        <v>0.99999995940277997</v>
      </c>
    </row>
    <row r="923" spans="1:40" x14ac:dyDescent="0.25">
      <c r="A923" t="str">
        <f>"20190312160317636"</f>
        <v>20190312160317636</v>
      </c>
      <c r="B923" t="str">
        <f>"1552377797625206"</f>
        <v>1552377797625206</v>
      </c>
      <c r="C923" t="s">
        <v>40</v>
      </c>
      <c r="D923">
        <v>5.6116380000000001</v>
      </c>
      <c r="E923">
        <v>0.52459549999999999</v>
      </c>
      <c r="F923" t="s">
        <v>50</v>
      </c>
      <c r="G923">
        <v>-201.5574</v>
      </c>
      <c r="H923" s="1">
        <v>-2.8572279999999999E-6</v>
      </c>
      <c r="I923">
        <v>362.24360000000001</v>
      </c>
      <c r="J923">
        <v>-287.71710000000002</v>
      </c>
      <c r="K923">
        <v>1.059793</v>
      </c>
      <c r="L923">
        <v>367.96640000000002</v>
      </c>
      <c r="M923">
        <v>0.99988750000000004</v>
      </c>
      <c r="N923">
        <v>0</v>
      </c>
      <c r="O923">
        <v>-1.065781E-3</v>
      </c>
      <c r="P923">
        <v>0.99958119999999995</v>
      </c>
      <c r="Q923">
        <v>2.892892E-2</v>
      </c>
      <c r="R923">
        <v>1.0043059999999999E-3</v>
      </c>
      <c r="S923">
        <v>3.0025629999999999</v>
      </c>
      <c r="T923">
        <v>-3.6817790000000003E-2</v>
      </c>
      <c r="U923">
        <v>-0.198822</v>
      </c>
      <c r="V923">
        <v>-2.0696849999999999E-3</v>
      </c>
      <c r="W923">
        <v>4.3889079999999997E-2</v>
      </c>
      <c r="X923">
        <v>0.99903430000000004</v>
      </c>
      <c r="Y923">
        <v>6.5004339999999994E-2</v>
      </c>
      <c r="Z923">
        <v>-3.8503940000000003E-4</v>
      </c>
      <c r="AA923">
        <v>0.99788489999999996</v>
      </c>
      <c r="AB923">
        <v>50</v>
      </c>
      <c r="AC923">
        <v>86.159700000000001</v>
      </c>
      <c r="AD923">
        <v>-1.059795857228</v>
      </c>
      <c r="AE923">
        <v>-5.7228000000000003</v>
      </c>
      <c r="AF923">
        <v>5.6301110095710802</v>
      </c>
      <c r="AG923">
        <v>-1.059795857228</v>
      </c>
      <c r="AH923">
        <v>86.1527734138201</v>
      </c>
      <c r="AI923">
        <v>90.703280194576095</v>
      </c>
      <c r="AJ923">
        <v>86.261019270118595</v>
      </c>
      <c r="AK923">
        <v>86.343046530291701</v>
      </c>
      <c r="AL923">
        <v>87.484533022772496</v>
      </c>
      <c r="AM923">
        <v>90.118698673080701</v>
      </c>
      <c r="AN923">
        <v>1.0000000337578601</v>
      </c>
    </row>
    <row r="924" spans="1:40" x14ac:dyDescent="0.25">
      <c r="A924" t="str">
        <f>"20190312160317649"</f>
        <v>20190312160317649</v>
      </c>
      <c r="B924" t="str">
        <f>"1552377797645703"</f>
        <v>1552377797645703</v>
      </c>
      <c r="C924" t="s">
        <v>40</v>
      </c>
      <c r="D924">
        <v>5.7219369999999996</v>
      </c>
      <c r="E924">
        <v>0.52486409999999994</v>
      </c>
      <c r="F924" t="s">
        <v>50</v>
      </c>
      <c r="G924">
        <v>-201.322</v>
      </c>
      <c r="H924" s="1">
        <v>-2.742654E-6</v>
      </c>
      <c r="I924">
        <v>362.22609999999997</v>
      </c>
      <c r="J924">
        <v>-287.44499999999999</v>
      </c>
      <c r="K924">
        <v>1.059798</v>
      </c>
      <c r="L924">
        <v>367.96609999999998</v>
      </c>
      <c r="M924">
        <v>0.99988739999999998</v>
      </c>
      <c r="N924">
        <v>0</v>
      </c>
      <c r="O924">
        <v>-1.06135E-3</v>
      </c>
      <c r="P924">
        <v>0.99958040000000004</v>
      </c>
      <c r="Q924">
        <v>2.8944370000000001E-2</v>
      </c>
      <c r="R924">
        <v>1.113801E-3</v>
      </c>
      <c r="S924">
        <v>3.0025330000000001</v>
      </c>
      <c r="T924">
        <v>-3.6831620000000002E-2</v>
      </c>
      <c r="U924">
        <v>-0.19949339999999999</v>
      </c>
      <c r="V924">
        <v>-2.1744870000000001E-3</v>
      </c>
      <c r="W924">
        <v>4.390194E-2</v>
      </c>
      <c r="X924">
        <v>0.99903350000000002</v>
      </c>
      <c r="Y924">
        <v>6.5231559999999994E-2</v>
      </c>
      <c r="Z924">
        <v>-3.8663130000000001E-4</v>
      </c>
      <c r="AA924">
        <v>0.99787009999999998</v>
      </c>
      <c r="AB924">
        <v>50</v>
      </c>
      <c r="AC924">
        <v>86.122999999999905</v>
      </c>
      <c r="AD924">
        <v>-1.0598007426539999</v>
      </c>
      <c r="AE924">
        <v>-5.74</v>
      </c>
      <c r="AF924">
        <v>5.64772842842115</v>
      </c>
      <c r="AG924">
        <v>-1.0598007426539999</v>
      </c>
      <c r="AH924">
        <v>86.116061482502602</v>
      </c>
      <c r="AI924">
        <v>90.703572561684794</v>
      </c>
      <c r="AJ924">
        <v>86.247758447727904</v>
      </c>
      <c r="AK924">
        <v>86.307566639742006</v>
      </c>
      <c r="AL924">
        <v>87.483795457133894</v>
      </c>
      <c r="AM924">
        <v>90.124709262460101</v>
      </c>
      <c r="AN924">
        <v>1.00000002142586</v>
      </c>
    </row>
    <row r="925" spans="1:40" x14ac:dyDescent="0.25">
      <c r="A925" t="str">
        <f>"20190312160317662"</f>
        <v>20190312160317662</v>
      </c>
      <c r="B925" t="str">
        <f>"1552377797655462"</f>
        <v>1552377797655462</v>
      </c>
      <c r="C925" t="s">
        <v>40</v>
      </c>
      <c r="D925">
        <v>5.6663459999999999</v>
      </c>
      <c r="E925">
        <v>0.52497419999999995</v>
      </c>
      <c r="F925" t="s">
        <v>50</v>
      </c>
      <c r="G925">
        <v>-201.52549999999999</v>
      </c>
      <c r="H925" s="1">
        <v>-2.850298E-6</v>
      </c>
      <c r="I925">
        <v>362.20249999999999</v>
      </c>
      <c r="J925">
        <v>-287.16329999999999</v>
      </c>
      <c r="K925">
        <v>1.059798</v>
      </c>
      <c r="L925">
        <v>367.9658</v>
      </c>
      <c r="M925">
        <v>0.99988750000000004</v>
      </c>
      <c r="N925">
        <v>0</v>
      </c>
      <c r="O925">
        <v>-1.0572719999999999E-3</v>
      </c>
      <c r="P925">
        <v>0.9995773</v>
      </c>
      <c r="Q925">
        <v>2.90546E-2</v>
      </c>
      <c r="R925">
        <v>1.1156479999999999E-3</v>
      </c>
      <c r="S925">
        <v>3.0025629999999999</v>
      </c>
      <c r="T925">
        <v>-3.7036060000000003E-2</v>
      </c>
      <c r="U925">
        <v>-0.20141600000000001</v>
      </c>
      <c r="V925">
        <v>-2.1720950000000002E-3</v>
      </c>
      <c r="W925">
        <v>4.4009119999999999E-2</v>
      </c>
      <c r="X925">
        <v>0.99902869999999999</v>
      </c>
      <c r="Y925">
        <v>6.5870960000000006E-2</v>
      </c>
      <c r="Z925">
        <v>-3.927542E-4</v>
      </c>
      <c r="AA925">
        <v>0.9978281</v>
      </c>
      <c r="AB925">
        <v>50</v>
      </c>
      <c r="AC925">
        <v>85.637799999999999</v>
      </c>
      <c r="AD925">
        <v>-1.0598008502980001</v>
      </c>
      <c r="AE925">
        <v>-5.7633000000000099</v>
      </c>
      <c r="AF925">
        <v>5.6718794605430602</v>
      </c>
      <c r="AG925">
        <v>-1.0598008502980001</v>
      </c>
      <c r="AH925">
        <v>85.630790940199006</v>
      </c>
      <c r="AI925">
        <v>90.707529032583196</v>
      </c>
      <c r="AJ925">
        <v>86.210466489833095</v>
      </c>
      <c r="AK925">
        <v>85.824971607926003</v>
      </c>
      <c r="AL925">
        <v>87.477648328934094</v>
      </c>
      <c r="AM925">
        <v>90.124572677541707</v>
      </c>
      <c r="AN925">
        <v>0.99999993203177395</v>
      </c>
    </row>
    <row r="926" spans="1:40" x14ac:dyDescent="0.25">
      <c r="A926" t="str">
        <f>"20190312160317674"</f>
        <v>20190312160317674</v>
      </c>
      <c r="B926" t="str">
        <f>"1552377797665222"</f>
        <v>1552377797665222</v>
      </c>
      <c r="C926" t="s">
        <v>40</v>
      </c>
      <c r="D926">
        <v>5.667535</v>
      </c>
      <c r="E926">
        <v>0.52508880000000002</v>
      </c>
      <c r="F926" t="s">
        <v>50</v>
      </c>
      <c r="G926">
        <v>-200.93299999999999</v>
      </c>
      <c r="H926" s="1">
        <v>-2.5318410000000001E-6</v>
      </c>
      <c r="I926">
        <v>362.15600000000001</v>
      </c>
      <c r="J926">
        <v>-286.90050000000002</v>
      </c>
      <c r="K926">
        <v>1.0597970000000001</v>
      </c>
      <c r="L926">
        <v>367.96550000000002</v>
      </c>
      <c r="M926">
        <v>0.99988759999999999</v>
      </c>
      <c r="N926">
        <v>0</v>
      </c>
      <c r="O926">
        <v>-1.0535550000000001E-3</v>
      </c>
      <c r="P926">
        <v>0.99957399999999996</v>
      </c>
      <c r="Q926">
        <v>2.9164969999999998E-2</v>
      </c>
      <c r="R926">
        <v>1.2110700000000001E-3</v>
      </c>
      <c r="S926">
        <v>3.0025940000000002</v>
      </c>
      <c r="T926">
        <v>-3.6902900000000002E-2</v>
      </c>
      <c r="U926">
        <v>-0.20230100000000001</v>
      </c>
      <c r="V926">
        <v>-2.2635480000000002E-3</v>
      </c>
      <c r="W926">
        <v>4.4116780000000001E-2</v>
      </c>
      <c r="X926">
        <v>0.99902380000000002</v>
      </c>
      <c r="Y926">
        <v>6.6166799999999998E-2</v>
      </c>
      <c r="Z926">
        <v>-3.9319579999999999E-4</v>
      </c>
      <c r="AA926">
        <v>0.99780849999999999</v>
      </c>
      <c r="AB926">
        <v>50</v>
      </c>
      <c r="AC926">
        <v>85.967500000000001</v>
      </c>
      <c r="AD926">
        <v>-1.0597995318409901</v>
      </c>
      <c r="AE926">
        <v>-5.8095000000000097</v>
      </c>
      <c r="AF926">
        <v>5.7180500909846996</v>
      </c>
      <c r="AG926">
        <v>-1.0597995318409901</v>
      </c>
      <c r="AH926">
        <v>85.960568921001894</v>
      </c>
      <c r="AI926">
        <v>90.704800894612902</v>
      </c>
      <c r="AJ926">
        <v>86.194322603386198</v>
      </c>
      <c r="AK926">
        <v>86.157058219933504</v>
      </c>
      <c r="AL926">
        <v>87.471473998072597</v>
      </c>
      <c r="AM926">
        <v>90.129818253773806</v>
      </c>
      <c r="AN926">
        <v>0.99999998344677798</v>
      </c>
    </row>
    <row r="927" spans="1:40" x14ac:dyDescent="0.25">
      <c r="A927" t="str">
        <f>"20190312160317692"</f>
        <v>20190312160317692</v>
      </c>
      <c r="B927" t="str">
        <f>"1552377797685719"</f>
        <v>1552377797685719</v>
      </c>
      <c r="C927" t="s">
        <v>40</v>
      </c>
      <c r="D927">
        <v>5.6074659999999996</v>
      </c>
      <c r="E927">
        <v>0.52535369999999904</v>
      </c>
      <c r="F927" t="s">
        <v>50</v>
      </c>
      <c r="G927">
        <v>-199.77680000000001</v>
      </c>
      <c r="H927" s="1">
        <v>-9.9231660000000005E-6</v>
      </c>
      <c r="I927">
        <v>362.0761</v>
      </c>
      <c r="J927">
        <v>-286.49220000000003</v>
      </c>
      <c r="K927">
        <v>1.059801</v>
      </c>
      <c r="L927">
        <v>367.96510000000001</v>
      </c>
      <c r="M927">
        <v>0.99988759999999999</v>
      </c>
      <c r="N927">
        <v>0</v>
      </c>
      <c r="O927">
        <v>-1.047444E-3</v>
      </c>
      <c r="P927">
        <v>0.99957490000000004</v>
      </c>
      <c r="Q927">
        <v>2.913632E-2</v>
      </c>
      <c r="R927">
        <v>1.137826E-3</v>
      </c>
      <c r="S927">
        <v>3.0025940000000002</v>
      </c>
      <c r="T927">
        <v>-3.6524769999999998E-2</v>
      </c>
      <c r="U927">
        <v>-0.2029724</v>
      </c>
      <c r="V927">
        <v>-2.1844730000000001E-3</v>
      </c>
      <c r="W927">
        <v>4.4083909999999997E-2</v>
      </c>
      <c r="X927">
        <v>0.99902550000000001</v>
      </c>
      <c r="Y927">
        <v>6.6395060000000006E-2</v>
      </c>
      <c r="Z927">
        <v>-3.9062519999999998E-4</v>
      </c>
      <c r="AA927">
        <v>0.99779329999999999</v>
      </c>
      <c r="AB927">
        <v>49</v>
      </c>
      <c r="AC927">
        <v>86.715400000000002</v>
      </c>
      <c r="AD927">
        <v>-1.059810923166</v>
      </c>
      <c r="AE927">
        <v>-5.8890000000000002</v>
      </c>
      <c r="AF927">
        <v>5.7972951143386799</v>
      </c>
      <c r="AG927">
        <v>-1.059810923166</v>
      </c>
      <c r="AH927">
        <v>86.7086292709063</v>
      </c>
      <c r="AI927">
        <v>90.698712715749295</v>
      </c>
      <c r="AJ927">
        <v>86.174925976462006</v>
      </c>
      <c r="AK927">
        <v>86.908677471671695</v>
      </c>
      <c r="AL927">
        <v>87.473359328734603</v>
      </c>
      <c r="AM927">
        <v>90.125282972142301</v>
      </c>
      <c r="AN927">
        <v>1.00000005634671</v>
      </c>
    </row>
    <row r="928" spans="1:40" x14ac:dyDescent="0.25">
      <c r="A928" t="str">
        <f>"20190312160317703"</f>
        <v>20190312160317703</v>
      </c>
      <c r="B928" t="str">
        <f>"1552377797695477"</f>
        <v>1552377797695477</v>
      </c>
      <c r="C928" t="s">
        <v>40</v>
      </c>
      <c r="D928">
        <v>5.6728009999999998</v>
      </c>
      <c r="E928">
        <v>0.52543530000000005</v>
      </c>
      <c r="F928" t="s">
        <v>50</v>
      </c>
      <c r="G928">
        <v>-195.5702</v>
      </c>
      <c r="H928" s="1">
        <v>-8.4691520000000005E-6</v>
      </c>
      <c r="I928">
        <v>361.75029999999998</v>
      </c>
      <c r="J928">
        <v>-286.24020000000002</v>
      </c>
      <c r="K928">
        <v>1.0598030000000001</v>
      </c>
      <c r="L928">
        <v>367.96480000000003</v>
      </c>
      <c r="M928">
        <v>0.99988759999999999</v>
      </c>
      <c r="N928">
        <v>0</v>
      </c>
      <c r="O928">
        <v>-1.043731E-3</v>
      </c>
      <c r="P928">
        <v>0.99956820000000002</v>
      </c>
      <c r="Q928">
        <v>2.9365929999999998E-2</v>
      </c>
      <c r="R928">
        <v>9.5353210000000002E-4</v>
      </c>
      <c r="S928">
        <v>3.0025019999999998</v>
      </c>
      <c r="T928">
        <v>-3.4997939999999998E-2</v>
      </c>
      <c r="U928">
        <v>-0.20523069999999999</v>
      </c>
      <c r="V928">
        <v>-1.9962859999999999E-3</v>
      </c>
      <c r="W928">
        <v>4.4311139999999999E-2</v>
      </c>
      <c r="X928">
        <v>0.99901580000000001</v>
      </c>
      <c r="Y928">
        <v>6.7148189999999996E-2</v>
      </c>
      <c r="Z928">
        <v>-3.7872639999999999E-4</v>
      </c>
      <c r="AA928">
        <v>0.99774300000000005</v>
      </c>
      <c r="AB928">
        <v>49</v>
      </c>
      <c r="AC928">
        <v>90.67</v>
      </c>
      <c r="AD928">
        <v>-1.059811469152</v>
      </c>
      <c r="AE928">
        <v>-6.2145000000000401</v>
      </c>
      <c r="AF928">
        <v>6.1190188362507199</v>
      </c>
      <c r="AG928">
        <v>-1.059811469152</v>
      </c>
      <c r="AH928">
        <v>90.664108533461203</v>
      </c>
      <c r="AI928">
        <v>90.668204339655404</v>
      </c>
      <c r="AJ928">
        <v>86.138901203679794</v>
      </c>
      <c r="AK928">
        <v>90.876543552424806</v>
      </c>
      <c r="AL928">
        <v>87.460327170807901</v>
      </c>
      <c r="AM928">
        <v>90.114491292592902</v>
      </c>
      <c r="AN928">
        <v>1.00000001546776</v>
      </c>
    </row>
    <row r="929" spans="1:40" x14ac:dyDescent="0.25">
      <c r="A929" t="str">
        <f>"20190312160317714"</f>
        <v>20190312160317714</v>
      </c>
      <c r="B929" t="str">
        <f>"1552377797705238"</f>
        <v>1552377797705238</v>
      </c>
      <c r="C929" t="s">
        <v>40</v>
      </c>
      <c r="D929">
        <v>5.6130100000000001</v>
      </c>
      <c r="E929">
        <v>0.52548640000000002</v>
      </c>
      <c r="F929" t="s">
        <v>50</v>
      </c>
      <c r="G929">
        <v>-192.92609999999999</v>
      </c>
      <c r="H929" s="1">
        <v>-7.5716709999999997E-6</v>
      </c>
      <c r="I929">
        <v>361.55430000000001</v>
      </c>
      <c r="J929">
        <v>-286.00170000000003</v>
      </c>
      <c r="K929">
        <v>1.0598050000000001</v>
      </c>
      <c r="L929">
        <v>367.96460000000002</v>
      </c>
      <c r="M929">
        <v>0.99988770000000005</v>
      </c>
      <c r="N929">
        <v>0</v>
      </c>
      <c r="O929">
        <v>-1.0403770000000001E-3</v>
      </c>
      <c r="P929">
        <v>0.99956460000000003</v>
      </c>
      <c r="Q929">
        <v>2.9499549999999999E-2</v>
      </c>
      <c r="R929">
        <v>8.3977119999999997E-4</v>
      </c>
      <c r="S929">
        <v>3.0025019999999998</v>
      </c>
      <c r="T929">
        <v>-3.4100770000000002E-2</v>
      </c>
      <c r="U929">
        <v>-0.20626829999999999</v>
      </c>
      <c r="V929">
        <v>-1.8795649999999999E-3</v>
      </c>
      <c r="W929">
        <v>4.4442620000000002E-2</v>
      </c>
      <c r="X929">
        <v>0.99901010000000001</v>
      </c>
      <c r="Y929">
        <v>6.7494899999999997E-2</v>
      </c>
      <c r="Z929">
        <v>-3.7101849999999999E-4</v>
      </c>
      <c r="AA929">
        <v>0.99771949999999998</v>
      </c>
      <c r="AB929">
        <v>49</v>
      </c>
      <c r="AC929">
        <v>93.075599999999994</v>
      </c>
      <c r="AD929">
        <v>-1.0598125716709901</v>
      </c>
      <c r="AE929">
        <v>-6.4103000000000003</v>
      </c>
      <c r="AF929">
        <v>6.3126373975274204</v>
      </c>
      <c r="AG929">
        <v>-1.0598125716709901</v>
      </c>
      <c r="AH929">
        <v>93.070209518994702</v>
      </c>
      <c r="AI929">
        <v>90.650917037246501</v>
      </c>
      <c r="AJ929">
        <v>86.119764137426102</v>
      </c>
      <c r="AK929">
        <v>93.290066424616199</v>
      </c>
      <c r="AL929">
        <v>87.452786274267794</v>
      </c>
      <c r="AM929">
        <v>90.107797723720196</v>
      </c>
      <c r="AN929">
        <v>0.99999992956952899</v>
      </c>
    </row>
    <row r="930" spans="1:40" x14ac:dyDescent="0.25">
      <c r="A930" t="str">
        <f>"20190312160317724"</f>
        <v>20190312160317724</v>
      </c>
      <c r="B930" t="str">
        <f>"1552377797715974"</f>
        <v>1552377797715974</v>
      </c>
      <c r="C930" t="s">
        <v>40</v>
      </c>
      <c r="D930">
        <v>5.6695690000000001</v>
      </c>
      <c r="E930">
        <v>0.52558139999999998</v>
      </c>
      <c r="F930" t="s">
        <v>50</v>
      </c>
      <c r="G930">
        <v>-190.76519999999999</v>
      </c>
      <c r="H930" s="1">
        <v>-6.8372829999999999E-6</v>
      </c>
      <c r="I930">
        <v>361.3997</v>
      </c>
      <c r="J930">
        <v>-285.76459999999997</v>
      </c>
      <c r="K930">
        <v>1.0598050000000001</v>
      </c>
      <c r="L930">
        <v>367.96429999999998</v>
      </c>
      <c r="M930">
        <v>0.99988779999999999</v>
      </c>
      <c r="N930">
        <v>0</v>
      </c>
      <c r="O930">
        <v>-1.037023E-3</v>
      </c>
      <c r="P930">
        <v>0.99956679999999998</v>
      </c>
      <c r="Q930">
        <v>2.9426109999999998E-2</v>
      </c>
      <c r="R930">
        <v>7.4608210000000005E-4</v>
      </c>
      <c r="S930">
        <v>3.0025330000000001</v>
      </c>
      <c r="T930">
        <v>-3.3412810000000001E-2</v>
      </c>
      <c r="U930">
        <v>-0.20697019999999999</v>
      </c>
      <c r="V930">
        <v>-1.7819159999999999E-3</v>
      </c>
      <c r="W930">
        <v>4.4366879999999997E-2</v>
      </c>
      <c r="X930">
        <v>0.9990137</v>
      </c>
      <c r="Y930">
        <v>6.7729849999999994E-2</v>
      </c>
      <c r="Z930">
        <v>-3.6487029999999999E-4</v>
      </c>
      <c r="AA930">
        <v>0.99770360000000002</v>
      </c>
      <c r="AB930">
        <v>49</v>
      </c>
      <c r="AC930">
        <v>94.999399999999895</v>
      </c>
      <c r="AD930">
        <v>-1.0598118372830001</v>
      </c>
      <c r="AE930">
        <v>-6.56459999999998</v>
      </c>
      <c r="AF930">
        <v>6.4652680873456996</v>
      </c>
      <c r="AG930">
        <v>-1.0598118372830001</v>
      </c>
      <c r="AH930">
        <v>94.994390871899796</v>
      </c>
      <c r="AI930">
        <v>90.637722849310506</v>
      </c>
      <c r="AJ930">
        <v>86.106483797743806</v>
      </c>
      <c r="AK930">
        <v>95.220046154656899</v>
      </c>
      <c r="AL930">
        <v>87.457130280176202</v>
      </c>
      <c r="AM930">
        <v>90.102196954830504</v>
      </c>
      <c r="AN930">
        <v>0.99999998402662704</v>
      </c>
    </row>
    <row r="931" spans="1:40" x14ac:dyDescent="0.25">
      <c r="A931" t="str">
        <f>"20190312160317736"</f>
        <v>20190312160317736</v>
      </c>
      <c r="B931" t="str">
        <f>"1552377797725734"</f>
        <v>1552377797725734</v>
      </c>
      <c r="C931" t="s">
        <v>40</v>
      </c>
      <c r="D931">
        <v>5.6316300000000004</v>
      </c>
      <c r="E931">
        <v>0.52563990000000005</v>
      </c>
      <c r="F931" t="s">
        <v>50</v>
      </c>
      <c r="G931">
        <v>-190.14169999999999</v>
      </c>
      <c r="H931" s="1">
        <v>-6.6286000000000004E-6</v>
      </c>
      <c r="I931">
        <v>361.3347</v>
      </c>
      <c r="J931">
        <v>-285.5231</v>
      </c>
      <c r="K931">
        <v>1.0598069999999999</v>
      </c>
      <c r="L931">
        <v>367.96409999999997</v>
      </c>
      <c r="M931">
        <v>0.99988779999999999</v>
      </c>
      <c r="N931">
        <v>0</v>
      </c>
      <c r="O931">
        <v>-1.033193E-3</v>
      </c>
      <c r="P931">
        <v>0.99957090000000004</v>
      </c>
      <c r="Q931">
        <v>2.9286739999999999E-2</v>
      </c>
      <c r="R931">
        <v>5.2010680000000005E-4</v>
      </c>
      <c r="S931">
        <v>3.0024410000000001</v>
      </c>
      <c r="T931">
        <v>-3.3276800000000002E-2</v>
      </c>
      <c r="U931">
        <v>-0.2081604</v>
      </c>
      <c r="V931">
        <v>-1.5523170000000001E-3</v>
      </c>
      <c r="W931">
        <v>4.4225399999999998E-2</v>
      </c>
      <c r="X931">
        <v>0.99902040000000003</v>
      </c>
      <c r="Y931">
        <v>6.8129380000000003E-2</v>
      </c>
      <c r="Z931">
        <v>-3.65645E-4</v>
      </c>
      <c r="AA931">
        <v>0.99767640000000002</v>
      </c>
      <c r="AB931">
        <v>49</v>
      </c>
      <c r="AC931">
        <v>95.381399999999999</v>
      </c>
      <c r="AD931">
        <v>-1.0598136285999999</v>
      </c>
      <c r="AE931">
        <v>-6.6293999999999702</v>
      </c>
      <c r="AF931">
        <v>6.5300357281517103</v>
      </c>
      <c r="AG931">
        <v>-1.0598136285999999</v>
      </c>
      <c r="AH931">
        <v>95.376480579879996</v>
      </c>
      <c r="AI931">
        <v>90.6351517994689</v>
      </c>
      <c r="AJ931">
        <v>86.083305707863602</v>
      </c>
      <c r="AK931">
        <v>95.605635918299896</v>
      </c>
      <c r="AL931">
        <v>87.465244562368596</v>
      </c>
      <c r="AM931">
        <v>90.089028353160899</v>
      </c>
      <c r="AN931">
        <v>1.0000000276546901</v>
      </c>
    </row>
    <row r="932" spans="1:40" x14ac:dyDescent="0.25">
      <c r="A932" t="str">
        <f>"20190312160317747"</f>
        <v>20190312160317747</v>
      </c>
      <c r="B932" t="str">
        <f>"1552377797735494"</f>
        <v>1552377797735494</v>
      </c>
      <c r="C932" t="s">
        <v>40</v>
      </c>
      <c r="D932">
        <v>5.5528029999999999</v>
      </c>
      <c r="E932">
        <v>0.52568419999999905</v>
      </c>
      <c r="F932" t="s">
        <v>50</v>
      </c>
      <c r="G932">
        <v>-190.98779999999999</v>
      </c>
      <c r="H932" s="1">
        <v>-6.9182169999999999E-6</v>
      </c>
      <c r="I932">
        <v>361.38189999999997</v>
      </c>
      <c r="J932">
        <v>-285.28059999999999</v>
      </c>
      <c r="K932">
        <v>1.0598069999999999</v>
      </c>
      <c r="L932">
        <v>367.96379999999999</v>
      </c>
      <c r="M932">
        <v>0.99988779999999999</v>
      </c>
      <c r="N932">
        <v>0</v>
      </c>
      <c r="O932">
        <v>-1.0294810000000001E-3</v>
      </c>
      <c r="P932">
        <v>0.99957379999999996</v>
      </c>
      <c r="Q932">
        <v>2.9198269999999998E-2</v>
      </c>
      <c r="R932">
        <v>1.7962070000000001E-4</v>
      </c>
      <c r="S932">
        <v>3.00238</v>
      </c>
      <c r="T932">
        <v>-3.3658979999999998E-2</v>
      </c>
      <c r="U932">
        <v>-0.20904539999999999</v>
      </c>
      <c r="V932">
        <v>-1.208382E-3</v>
      </c>
      <c r="W932">
        <v>4.4134890000000003E-2</v>
      </c>
      <c r="X932">
        <v>0.99902489999999999</v>
      </c>
      <c r="Y932">
        <v>6.842703E-2</v>
      </c>
      <c r="Z932">
        <v>-3.7155590000000001E-4</v>
      </c>
      <c r="AA932">
        <v>0.99765599999999999</v>
      </c>
      <c r="AB932">
        <v>49</v>
      </c>
      <c r="AC932">
        <v>94.2928</v>
      </c>
      <c r="AD932">
        <v>-1.0598139182170001</v>
      </c>
      <c r="AE932">
        <v>-6.5819000000000099</v>
      </c>
      <c r="AF932">
        <v>6.4839978804470597</v>
      </c>
      <c r="AG932">
        <v>-1.0598139182170001</v>
      </c>
      <c r="AH932">
        <v>94.287673231437097</v>
      </c>
      <c r="AI932">
        <v>90.642472651073504</v>
      </c>
      <c r="AJ932">
        <v>86.066063244657997</v>
      </c>
      <c r="AK932">
        <v>94.516298898407697</v>
      </c>
      <c r="AL932">
        <v>87.470435527690697</v>
      </c>
      <c r="AM932">
        <v>90.069302731968904</v>
      </c>
      <c r="AN932">
        <v>1.0000000497611801</v>
      </c>
    </row>
    <row r="933" spans="1:40" x14ac:dyDescent="0.25">
      <c r="A933" t="str">
        <f>"20190312160317758"</f>
        <v>20190312160317758</v>
      </c>
      <c r="B933" t="str">
        <f>"1552377797755990"</f>
        <v>1552377797755990</v>
      </c>
      <c r="C933" t="s">
        <v>40</v>
      </c>
      <c r="D933">
        <v>5.6512200000000004</v>
      </c>
      <c r="E933">
        <v>0.52581299999999997</v>
      </c>
      <c r="F933" t="s">
        <v>50</v>
      </c>
      <c r="G933">
        <v>-191.5436</v>
      </c>
      <c r="H933" s="1">
        <v>-7.111399E-6</v>
      </c>
      <c r="I933">
        <v>361.39420000000001</v>
      </c>
      <c r="J933">
        <v>-285.03089999999997</v>
      </c>
      <c r="K933">
        <v>1.059809</v>
      </c>
      <c r="L933">
        <v>367.96359999999999</v>
      </c>
      <c r="M933">
        <v>0.99988779999999999</v>
      </c>
      <c r="N933">
        <v>0</v>
      </c>
      <c r="O933">
        <v>-1.0257700000000001E-3</v>
      </c>
      <c r="P933">
        <v>0.99958930000000001</v>
      </c>
      <c r="Q933">
        <v>2.8656149999999998E-2</v>
      </c>
      <c r="R933">
        <v>1.136652E-4</v>
      </c>
      <c r="S933">
        <v>3.002319</v>
      </c>
      <c r="T933">
        <v>-3.3944960000000003E-2</v>
      </c>
      <c r="U933">
        <v>-0.21041869999999999</v>
      </c>
      <c r="V933">
        <v>-1.1388590000000001E-3</v>
      </c>
      <c r="W933">
        <v>4.3591339999999999E-2</v>
      </c>
      <c r="X933">
        <v>0.99904879999999996</v>
      </c>
      <c r="Y933">
        <v>6.8886160000000002E-2</v>
      </c>
      <c r="Z933">
        <v>-3.773483E-4</v>
      </c>
      <c r="AA933">
        <v>0.99762450000000003</v>
      </c>
      <c r="AB933">
        <v>49</v>
      </c>
      <c r="AC933">
        <v>93.487299999999905</v>
      </c>
      <c r="AD933">
        <v>-1.0598161113989999</v>
      </c>
      <c r="AE933">
        <v>-6.5693999999999697</v>
      </c>
      <c r="AF933">
        <v>6.4726616144945197</v>
      </c>
      <c r="AG933">
        <v>-1.0598161113989999</v>
      </c>
      <c r="AH933">
        <v>93.482035385110194</v>
      </c>
      <c r="AI933">
        <v>90.647989441458293</v>
      </c>
      <c r="AJ933">
        <v>86.039182862448598</v>
      </c>
      <c r="AK933">
        <v>93.711842892500599</v>
      </c>
      <c r="AL933">
        <v>87.501608534015702</v>
      </c>
      <c r="AM933">
        <v>90.065313912489799</v>
      </c>
      <c r="AN933">
        <v>1.0000000033521199</v>
      </c>
    </row>
    <row r="934" spans="1:40" x14ac:dyDescent="0.25">
      <c r="A934" t="str">
        <f>"20190312160317770"</f>
        <v>20190312160317770</v>
      </c>
      <c r="B934" t="str">
        <f>"1552377797765281"</f>
        <v>1552377797765281</v>
      </c>
      <c r="C934" t="s">
        <v>40</v>
      </c>
      <c r="D934">
        <v>5.7351609999999997</v>
      </c>
      <c r="E934">
        <v>0.52588590000000002</v>
      </c>
      <c r="F934" t="s">
        <v>50</v>
      </c>
      <c r="G934">
        <v>-195.94900000000001</v>
      </c>
      <c r="H934" s="1">
        <v>-8.6123209999999996E-6</v>
      </c>
      <c r="I934">
        <v>361.68490000000003</v>
      </c>
      <c r="J934">
        <v>-284.77879999999999</v>
      </c>
      <c r="K934">
        <v>1.0598069999999999</v>
      </c>
      <c r="L934">
        <v>367.9633</v>
      </c>
      <c r="M934">
        <v>0.99988779999999999</v>
      </c>
      <c r="N934">
        <v>0</v>
      </c>
      <c r="O934">
        <v>-1.0220590000000001E-3</v>
      </c>
      <c r="P934">
        <v>0.99958939999999996</v>
      </c>
      <c r="Q934">
        <v>2.8648159999999999E-2</v>
      </c>
      <c r="R934">
        <v>1.4835329999999999E-4</v>
      </c>
      <c r="S934">
        <v>3.002319</v>
      </c>
      <c r="T934">
        <v>-3.5718920000000001E-2</v>
      </c>
      <c r="U934">
        <v>-0.21160889999999999</v>
      </c>
      <c r="V934">
        <v>-1.169825E-3</v>
      </c>
      <c r="W934">
        <v>4.3581340000000003E-2</v>
      </c>
      <c r="X934">
        <v>0.99904919999999997</v>
      </c>
      <c r="Y934">
        <v>6.9282910000000003E-2</v>
      </c>
      <c r="Z934">
        <v>-3.9946270000000003E-4</v>
      </c>
      <c r="AA934">
        <v>0.99759699999999996</v>
      </c>
      <c r="AB934">
        <v>49</v>
      </c>
      <c r="AC934">
        <v>88.829799999999906</v>
      </c>
      <c r="AD934">
        <v>-1.0598156123210001</v>
      </c>
      <c r="AE934">
        <v>-6.2783999999999702</v>
      </c>
      <c r="AF934">
        <v>6.1867210097475303</v>
      </c>
      <c r="AG934">
        <v>-1.0598156123210001</v>
      </c>
      <c r="AH934">
        <v>88.823590428780506</v>
      </c>
      <c r="AI934">
        <v>90.681951042786295</v>
      </c>
      <c r="AJ934">
        <v>86.015681899495206</v>
      </c>
      <c r="AK934">
        <v>89.045094994863803</v>
      </c>
      <c r="AL934">
        <v>87.502182035583502</v>
      </c>
      <c r="AM934">
        <v>90.067089793611601</v>
      </c>
      <c r="AN934">
        <v>1.00000000285368</v>
      </c>
    </row>
    <row r="935" spans="1:40" x14ac:dyDescent="0.25">
      <c r="A935" t="str">
        <f>"20190312160317781"</f>
        <v>20190312160317781</v>
      </c>
      <c r="B935" t="str">
        <f>"1552377797776016"</f>
        <v>1552377797776016</v>
      </c>
      <c r="C935" t="s">
        <v>40</v>
      </c>
      <c r="D935">
        <v>5.700469</v>
      </c>
      <c r="E935">
        <v>0.52593939999999995</v>
      </c>
      <c r="F935" t="s">
        <v>50</v>
      </c>
      <c r="G935">
        <v>-195.45910000000001</v>
      </c>
      <c r="H935" s="1">
        <v>-8.4452989999999992E-6</v>
      </c>
      <c r="I935">
        <v>361.6533</v>
      </c>
      <c r="J935">
        <v>-284.51850000000002</v>
      </c>
      <c r="K935">
        <v>1.0598080000000001</v>
      </c>
      <c r="L935">
        <v>367.96300000000002</v>
      </c>
      <c r="M935">
        <v>0.99988790000000005</v>
      </c>
      <c r="N935">
        <v>0</v>
      </c>
      <c r="O935">
        <v>-1.0182289999999901E-3</v>
      </c>
      <c r="P935">
        <v>0.99959089999999995</v>
      </c>
      <c r="Q935">
        <v>2.8603469999999999E-2</v>
      </c>
      <c r="R935">
        <v>1.072526E-4</v>
      </c>
      <c r="S935">
        <v>3.0022890000000002</v>
      </c>
      <c r="T935">
        <v>-3.5623429999999998E-2</v>
      </c>
      <c r="U935">
        <v>-0.21209720000000001</v>
      </c>
      <c r="V935">
        <v>-1.1245700000000001E-3</v>
      </c>
      <c r="W935">
        <v>4.3534169999999997E-2</v>
      </c>
      <c r="X935">
        <v>0.99905129999999998</v>
      </c>
      <c r="Y935">
        <v>6.9448899999999994E-2</v>
      </c>
      <c r="Z935">
        <v>-3.9942550000000003E-4</v>
      </c>
      <c r="AA935">
        <v>0.99758539999999996</v>
      </c>
      <c r="AB935">
        <v>49</v>
      </c>
      <c r="AC935">
        <v>89.059399999999997</v>
      </c>
      <c r="AD935">
        <v>-1.059816445299</v>
      </c>
      <c r="AE935">
        <v>-6.3097000000000198</v>
      </c>
      <c r="AF935">
        <v>6.2181275778055003</v>
      </c>
      <c r="AG935">
        <v>-1.059816445299</v>
      </c>
      <c r="AH935">
        <v>89.053231186692898</v>
      </c>
      <c r="AI935">
        <v>90.680185033111201</v>
      </c>
      <c r="AJ935">
        <v>86.005814199958195</v>
      </c>
      <c r="AK935">
        <v>89.2763479666488</v>
      </c>
      <c r="AL935">
        <v>87.504887223683994</v>
      </c>
      <c r="AM935">
        <v>90.064494273270498</v>
      </c>
      <c r="AN935">
        <v>0.99999999432348097</v>
      </c>
    </row>
    <row r="936" spans="1:40" x14ac:dyDescent="0.25">
      <c r="A936" t="str">
        <f>"20190312160317793"</f>
        <v>20190312160317793</v>
      </c>
      <c r="B936" t="str">
        <f>"1552377797785776"</f>
        <v>1552377797785776</v>
      </c>
      <c r="C936" t="s">
        <v>40</v>
      </c>
      <c r="D936">
        <v>5.7561400000000003</v>
      </c>
      <c r="E936">
        <v>0.52601290000000001</v>
      </c>
      <c r="F936" t="s">
        <v>50</v>
      </c>
      <c r="G936">
        <v>-194.9211</v>
      </c>
      <c r="H936" s="1">
        <v>-8.2626990000000003E-6</v>
      </c>
      <c r="I936">
        <v>361.61329999999998</v>
      </c>
      <c r="J936">
        <v>-284.26569999999998</v>
      </c>
      <c r="K936">
        <v>1.059809</v>
      </c>
      <c r="L936">
        <v>367.96280000000002</v>
      </c>
      <c r="M936">
        <v>0.99988790000000005</v>
      </c>
      <c r="N936">
        <v>0</v>
      </c>
      <c r="O936">
        <v>-1.01428E-3</v>
      </c>
      <c r="P936">
        <v>0.99959529999999996</v>
      </c>
      <c r="Q936">
        <v>2.8449269999999999E-2</v>
      </c>
      <c r="R936">
        <v>4.1526589999999998E-4</v>
      </c>
      <c r="S936">
        <v>3.0022579999999999</v>
      </c>
      <c r="T936">
        <v>-3.551269E-2</v>
      </c>
      <c r="U936">
        <v>-0.2127686</v>
      </c>
      <c r="V936">
        <v>-1.42899E-3</v>
      </c>
      <c r="W936">
        <v>4.3378399999999998E-2</v>
      </c>
      <c r="X936">
        <v>0.99905770000000005</v>
      </c>
      <c r="Y936">
        <v>6.9675529999999999E-2</v>
      </c>
      <c r="Z936">
        <v>-3.9957019999999998E-4</v>
      </c>
      <c r="AA936">
        <v>0.99756959999999995</v>
      </c>
      <c r="AB936">
        <v>49</v>
      </c>
      <c r="AC936">
        <v>89.3445999999999</v>
      </c>
      <c r="AD936">
        <v>-1.0598172626989999</v>
      </c>
      <c r="AE936">
        <v>-6.3495000000000301</v>
      </c>
      <c r="AF936">
        <v>6.2579900416825698</v>
      </c>
      <c r="AG936">
        <v>-1.0598172626989999</v>
      </c>
      <c r="AH936">
        <v>89.338487263099694</v>
      </c>
      <c r="AI936">
        <v>90.678003408006404</v>
      </c>
      <c r="AJ936">
        <v>85.993085376140399</v>
      </c>
      <c r="AK936">
        <v>89.563669858102301</v>
      </c>
      <c r="AL936">
        <v>87.513820659877993</v>
      </c>
      <c r="AM936">
        <v>90.0819522637494</v>
      </c>
      <c r="AN936">
        <v>1.00000000776413</v>
      </c>
    </row>
    <row r="937" spans="1:40" x14ac:dyDescent="0.25">
      <c r="A937" t="str">
        <f>"20190312160317803"</f>
        <v>20190312160317803</v>
      </c>
      <c r="B937" t="str">
        <f>"1552377797795536"</f>
        <v>1552377797795536</v>
      </c>
      <c r="C937" t="s">
        <v>40</v>
      </c>
      <c r="D937">
        <v>5.6742879999999998</v>
      </c>
      <c r="E937">
        <v>0.52604499999999998</v>
      </c>
      <c r="F937" t="s">
        <v>50</v>
      </c>
      <c r="G937">
        <v>-195.3184</v>
      </c>
      <c r="H937" s="1">
        <v>-8.3935629999999992E-6</v>
      </c>
      <c r="I937">
        <v>361.66840000000002</v>
      </c>
      <c r="J937">
        <v>-284.02929999999998</v>
      </c>
      <c r="K937">
        <v>1.059812</v>
      </c>
      <c r="L937">
        <v>367.96249999999998</v>
      </c>
      <c r="M937">
        <v>0.99988790000000005</v>
      </c>
      <c r="N937">
        <v>0</v>
      </c>
      <c r="O937">
        <v>-1.0106900000000001E-3</v>
      </c>
      <c r="P937">
        <v>0.99959549999999997</v>
      </c>
      <c r="Q937">
        <v>2.843538E-2</v>
      </c>
      <c r="R937">
        <v>4.3610479999999999E-4</v>
      </c>
      <c r="S937">
        <v>3.0023499999999999</v>
      </c>
      <c r="T937">
        <v>-3.5773399999999997E-2</v>
      </c>
      <c r="U937">
        <v>-0.2124634</v>
      </c>
      <c r="V937">
        <v>-1.4456639999999999E-3</v>
      </c>
      <c r="W937">
        <v>4.3362190000000002E-2</v>
      </c>
      <c r="X937">
        <v>0.99905840000000001</v>
      </c>
      <c r="Y937">
        <v>6.9576009999999994E-2</v>
      </c>
      <c r="Z937">
        <v>-4.0194310000000002E-4</v>
      </c>
      <c r="AA937">
        <v>0.99757660000000004</v>
      </c>
      <c r="AB937">
        <v>49</v>
      </c>
      <c r="AC937">
        <v>88.710899999999896</v>
      </c>
      <c r="AD937">
        <v>-1.059820393563</v>
      </c>
      <c r="AE937">
        <v>-6.2940999999999496</v>
      </c>
      <c r="AF937">
        <v>6.2035465712075597</v>
      </c>
      <c r="AG937">
        <v>-1.059820393563</v>
      </c>
      <c r="AH937">
        <v>88.704619515965106</v>
      </c>
      <c r="AI937">
        <v>90.682855245935102</v>
      </c>
      <c r="AJ937">
        <v>85.999540209067405</v>
      </c>
      <c r="AK937">
        <v>88.927592640304198</v>
      </c>
      <c r="AL937">
        <v>87.514750349603801</v>
      </c>
      <c r="AM937">
        <v>90.082908454582395</v>
      </c>
      <c r="AN937">
        <v>1.0000000280382699</v>
      </c>
    </row>
    <row r="938" spans="1:40" x14ac:dyDescent="0.25">
      <c r="A938" t="str">
        <f>"20190312160317815"</f>
        <v>20190312160317815</v>
      </c>
      <c r="B938" t="str">
        <f>"1552377797805297"</f>
        <v>1552377797805297</v>
      </c>
      <c r="C938" t="s">
        <v>40</v>
      </c>
      <c r="D938">
        <v>5.6577390000000003</v>
      </c>
      <c r="E938">
        <v>0.52613379999999998</v>
      </c>
      <c r="F938" t="s">
        <v>50</v>
      </c>
      <c r="G938">
        <v>-194.82259999999999</v>
      </c>
      <c r="H938" s="1">
        <v>-8.2231749999999994E-6</v>
      </c>
      <c r="I938">
        <v>361.64510000000001</v>
      </c>
      <c r="J938">
        <v>-283.77510000000001</v>
      </c>
      <c r="K938">
        <v>1.059815</v>
      </c>
      <c r="L938">
        <v>367.96230000000003</v>
      </c>
      <c r="M938">
        <v>0.9998882</v>
      </c>
      <c r="N938">
        <v>0</v>
      </c>
      <c r="O938">
        <v>-1.0066249999999999E-3</v>
      </c>
      <c r="P938">
        <v>0.99959920000000002</v>
      </c>
      <c r="Q938">
        <v>2.8310020000000002E-2</v>
      </c>
      <c r="R938">
        <v>4.2753309999999999E-4</v>
      </c>
      <c r="S938">
        <v>3.0022890000000002</v>
      </c>
      <c r="T938">
        <v>-3.5668730000000003E-2</v>
      </c>
      <c r="U938">
        <v>-0.212616</v>
      </c>
      <c r="V938">
        <v>-1.433286E-3</v>
      </c>
      <c r="W938">
        <v>4.3235469999999998E-2</v>
      </c>
      <c r="X938">
        <v>0.9990639</v>
      </c>
      <c r="Y938">
        <v>6.9631960000000007E-2</v>
      </c>
      <c r="Z938">
        <v>-4.0115490000000001E-4</v>
      </c>
      <c r="AA938">
        <v>0.99757269999999998</v>
      </c>
      <c r="AB938">
        <v>49</v>
      </c>
      <c r="AC938">
        <v>88.952500000000001</v>
      </c>
      <c r="AD938">
        <v>-1.059823223175</v>
      </c>
      <c r="AE938">
        <v>-6.3172000000000104</v>
      </c>
      <c r="AF938">
        <v>6.2267655373593502</v>
      </c>
      <c r="AG938">
        <v>-1.059823223175</v>
      </c>
      <c r="AH938">
        <v>88.946251682440902</v>
      </c>
      <c r="AI938">
        <v>90.680998819214494</v>
      </c>
      <c r="AJ938">
        <v>85.995488651983194</v>
      </c>
      <c r="AK938">
        <v>89.170238996414895</v>
      </c>
      <c r="AL938">
        <v>87.522017661818396</v>
      </c>
      <c r="AM938">
        <v>90.082198127963295</v>
      </c>
      <c r="AN938">
        <v>1.0000000182290401</v>
      </c>
    </row>
    <row r="939" spans="1:40" x14ac:dyDescent="0.25">
      <c r="A939" t="str">
        <f>"20190312160317826"</f>
        <v>20190312160317826</v>
      </c>
      <c r="B939" t="str">
        <f>"1552377797816034"</f>
        <v>1552377797816034</v>
      </c>
      <c r="C939" t="s">
        <v>40</v>
      </c>
      <c r="D939">
        <v>5.78782</v>
      </c>
      <c r="E939">
        <v>0.52627559999999995</v>
      </c>
      <c r="F939" t="s">
        <v>50</v>
      </c>
      <c r="G939">
        <v>-196.01759999999999</v>
      </c>
      <c r="H939" s="1">
        <v>-8.6296809999999994E-6</v>
      </c>
      <c r="I939">
        <v>361.72800000000001</v>
      </c>
      <c r="J939">
        <v>-283.5265</v>
      </c>
      <c r="K939">
        <v>1.059814</v>
      </c>
      <c r="L939">
        <v>367.96199999999999</v>
      </c>
      <c r="M939">
        <v>0.99988809999999995</v>
      </c>
      <c r="N939">
        <v>0</v>
      </c>
      <c r="O939">
        <v>-1.00256E-3</v>
      </c>
      <c r="P939">
        <v>0.99959799999999999</v>
      </c>
      <c r="Q939">
        <v>2.8349139999999998E-2</v>
      </c>
      <c r="R939">
        <v>4.1938359999999999E-4</v>
      </c>
      <c r="S939">
        <v>3.0023499999999999</v>
      </c>
      <c r="T939">
        <v>-3.6258579999999999E-2</v>
      </c>
      <c r="U939">
        <v>-0.21328739999999999</v>
      </c>
      <c r="V939">
        <v>-1.421374E-3</v>
      </c>
      <c r="W939">
        <v>4.3272150000000002E-2</v>
      </c>
      <c r="X939">
        <v>0.99906229999999996</v>
      </c>
      <c r="Y939">
        <v>6.9856370000000001E-2</v>
      </c>
      <c r="Z939">
        <v>-4.0917889999999999E-4</v>
      </c>
      <c r="AA939">
        <v>0.99755700000000003</v>
      </c>
      <c r="AB939">
        <v>49</v>
      </c>
      <c r="AC939">
        <v>87.508899999999997</v>
      </c>
      <c r="AD939">
        <v>-1.0598226296810001</v>
      </c>
      <c r="AE939">
        <v>-6.2339999999999796</v>
      </c>
      <c r="AF939">
        <v>6.14535733818723</v>
      </c>
      <c r="AG939">
        <v>-1.0598226296810001</v>
      </c>
      <c r="AH939">
        <v>87.502336894766401</v>
      </c>
      <c r="AI939">
        <v>90.692223950830396</v>
      </c>
      <c r="AJ939">
        <v>85.982669048444706</v>
      </c>
      <c r="AK939">
        <v>87.724270318228307</v>
      </c>
      <c r="AL939">
        <v>87.519914012107094</v>
      </c>
      <c r="AM939">
        <v>90.081515113084507</v>
      </c>
      <c r="AN939">
        <v>0.99999998927547995</v>
      </c>
    </row>
    <row r="940" spans="1:40" x14ac:dyDescent="0.25">
      <c r="A940" t="str">
        <f>"20190312160317839"</f>
        <v>20190312160317839</v>
      </c>
      <c r="B940" t="str">
        <f>"1552377797835553"</f>
        <v>1552377797835553</v>
      </c>
      <c r="C940" t="s">
        <v>40</v>
      </c>
      <c r="D940">
        <v>5.7008000000000001</v>
      </c>
      <c r="E940">
        <v>0.52648159999999999</v>
      </c>
      <c r="F940" t="s">
        <v>50</v>
      </c>
      <c r="G940">
        <v>-196.53700000000001</v>
      </c>
      <c r="H940" s="1">
        <v>-8.8081940000000001E-6</v>
      </c>
      <c r="I940">
        <v>361.75220000000002</v>
      </c>
      <c r="J940">
        <v>-283.2663</v>
      </c>
      <c r="K940">
        <v>1.0598179999999999</v>
      </c>
      <c r="L940">
        <v>367.96179999999998</v>
      </c>
      <c r="M940">
        <v>0.9998882</v>
      </c>
      <c r="N940">
        <v>0</v>
      </c>
      <c r="O940">
        <v>-9.9873030000000008E-4</v>
      </c>
      <c r="P940">
        <v>0.99960919999999998</v>
      </c>
      <c r="Q940">
        <v>2.795924E-2</v>
      </c>
      <c r="R940">
        <v>5.3194240000000001E-4</v>
      </c>
      <c r="S940">
        <v>3.002319</v>
      </c>
      <c r="T940">
        <v>-3.6578300000000001E-2</v>
      </c>
      <c r="U940">
        <v>-0.21432499999999999</v>
      </c>
      <c r="V940">
        <v>-1.5300170000000001E-3</v>
      </c>
      <c r="W940">
        <v>4.2880080000000001E-2</v>
      </c>
      <c r="X940">
        <v>0.99907900000000005</v>
      </c>
      <c r="Y940">
        <v>7.0203799999999997E-2</v>
      </c>
      <c r="Z940">
        <v>-4.149461E-4</v>
      </c>
      <c r="AA940">
        <v>0.99753259999999999</v>
      </c>
      <c r="AB940">
        <v>49</v>
      </c>
      <c r="AC940">
        <v>86.729299999999995</v>
      </c>
      <c r="AD940">
        <v>-1.0598268081940001</v>
      </c>
      <c r="AE940">
        <v>-6.20959999999996</v>
      </c>
      <c r="AF940">
        <v>6.1220585549268502</v>
      </c>
      <c r="AG940">
        <v>-1.0598268081940001</v>
      </c>
      <c r="AH940">
        <v>86.722575172181095</v>
      </c>
      <c r="AI940">
        <v>90.698432434539001</v>
      </c>
      <c r="AJ940">
        <v>85.961983677818594</v>
      </c>
      <c r="AK940">
        <v>86.944855387239102</v>
      </c>
      <c r="AL940">
        <v>87.542398731012497</v>
      </c>
      <c r="AM940">
        <v>90.087744260615807</v>
      </c>
      <c r="AN940">
        <v>0.99999994522691105</v>
      </c>
    </row>
    <row r="941" spans="1:40" x14ac:dyDescent="0.25">
      <c r="A941" t="str">
        <f>"20190312160317852"</f>
        <v>20190312160317852</v>
      </c>
      <c r="B941" t="str">
        <f>"1552377797845313"</f>
        <v>1552377797845313</v>
      </c>
      <c r="C941" t="s">
        <v>40</v>
      </c>
      <c r="D941">
        <v>5.7545699999999904</v>
      </c>
      <c r="E941">
        <v>0.52660169999999995</v>
      </c>
      <c r="F941" t="s">
        <v>50</v>
      </c>
      <c r="G941">
        <v>-197.98269999999999</v>
      </c>
      <c r="H941" s="1">
        <v>-9.3062359999999992E-6</v>
      </c>
      <c r="I941">
        <v>361.8295</v>
      </c>
      <c r="J941">
        <v>-282.983</v>
      </c>
      <c r="K941">
        <v>1.0598190000000001</v>
      </c>
      <c r="L941">
        <v>367.9615</v>
      </c>
      <c r="M941">
        <v>0.9998882</v>
      </c>
      <c r="N941">
        <v>0</v>
      </c>
      <c r="O941">
        <v>-9.9430330000000009E-4</v>
      </c>
      <c r="P941">
        <v>0.9996102</v>
      </c>
      <c r="Q941">
        <v>2.7915039999999999E-2</v>
      </c>
      <c r="R941">
        <v>6.8498799999999998E-4</v>
      </c>
      <c r="S941">
        <v>3.002319</v>
      </c>
      <c r="T941">
        <v>-3.7310120000000002E-2</v>
      </c>
      <c r="U941">
        <v>-0.2158813</v>
      </c>
      <c r="V941">
        <v>-1.6786570000000001E-3</v>
      </c>
      <c r="W941">
        <v>4.2833879999999998E-2</v>
      </c>
      <c r="X941">
        <v>0.99908079999999999</v>
      </c>
      <c r="Y941">
        <v>7.0722439999999998E-2</v>
      </c>
      <c r="Z941">
        <v>-4.2651290000000002E-4</v>
      </c>
      <c r="AA941">
        <v>0.99749589999999999</v>
      </c>
      <c r="AB941">
        <v>49</v>
      </c>
      <c r="AC941">
        <v>85.000299999999996</v>
      </c>
      <c r="AD941">
        <v>-1.0598283062360001</v>
      </c>
      <c r="AE941">
        <v>-6.1319999999999997</v>
      </c>
      <c r="AF941">
        <v>6.04653632871175</v>
      </c>
      <c r="AG941">
        <v>-1.0598283062360001</v>
      </c>
      <c r="AH941">
        <v>84.993210737605907</v>
      </c>
      <c r="AI941">
        <v>90.712615533359894</v>
      </c>
      <c r="AJ941">
        <v>85.930753524262798</v>
      </c>
      <c r="AK941">
        <v>85.214609716293495</v>
      </c>
      <c r="AL941">
        <v>87.545048370060798</v>
      </c>
      <c r="AM941">
        <v>90.096268360719606</v>
      </c>
      <c r="AN941">
        <v>1.0000000020469</v>
      </c>
    </row>
    <row r="942" spans="1:40" x14ac:dyDescent="0.25">
      <c r="A942" t="str">
        <f>"20190312160317865"</f>
        <v>20190312160317865</v>
      </c>
      <c r="B942" t="str">
        <f>"1552377797856049"</f>
        <v>1552377797856049</v>
      </c>
      <c r="C942" t="s">
        <v>40</v>
      </c>
      <c r="D942">
        <v>5.7130409999999996</v>
      </c>
      <c r="E942">
        <v>0.5266845</v>
      </c>
      <c r="F942" t="s">
        <v>50</v>
      </c>
      <c r="G942">
        <v>-197.28829999999999</v>
      </c>
      <c r="H942" s="1">
        <v>-9.0651700000000005E-6</v>
      </c>
      <c r="I942">
        <v>361.7953</v>
      </c>
      <c r="J942">
        <v>-282.67779999999999</v>
      </c>
      <c r="K942">
        <v>1.059823</v>
      </c>
      <c r="L942">
        <v>367.96120000000002</v>
      </c>
      <c r="M942">
        <v>0.9998882</v>
      </c>
      <c r="N942">
        <v>0</v>
      </c>
      <c r="O942">
        <v>-9.8939790000000002E-4</v>
      </c>
      <c r="P942">
        <v>0.99962629999999997</v>
      </c>
      <c r="Q942">
        <v>2.7326980000000001E-2</v>
      </c>
      <c r="R942">
        <v>8.4545189999999997E-4</v>
      </c>
      <c r="S942">
        <v>3.0023499999999999</v>
      </c>
      <c r="T942">
        <v>-3.7131549999999999E-2</v>
      </c>
      <c r="U942">
        <v>-0.2160339</v>
      </c>
      <c r="V942">
        <v>-1.8340089999999999E-3</v>
      </c>
      <c r="W942">
        <v>4.2244089999999998E-2</v>
      </c>
      <c r="X942">
        <v>0.99910560000000004</v>
      </c>
      <c r="Y942">
        <v>7.0777090000000001E-2</v>
      </c>
      <c r="Z942">
        <v>-4.2486459999999999E-4</v>
      </c>
      <c r="AA942">
        <v>0.99749209999999999</v>
      </c>
      <c r="AB942">
        <v>49</v>
      </c>
      <c r="AC942">
        <v>85.389499999999998</v>
      </c>
      <c r="AD942">
        <v>-1.0598320651699999</v>
      </c>
      <c r="AE942">
        <v>-6.1659000000000201</v>
      </c>
      <c r="AF942">
        <v>6.0804715390667896</v>
      </c>
      <c r="AG942">
        <v>-1.0598320651699999</v>
      </c>
      <c r="AH942">
        <v>85.382474356410199</v>
      </c>
      <c r="AI942">
        <v>90.709365854005497</v>
      </c>
      <c r="AJ942">
        <v>85.926585653348795</v>
      </c>
      <c r="AK942">
        <v>85.605270313029195</v>
      </c>
      <c r="AL942">
        <v>87.578871370919103</v>
      </c>
      <c r="AM942">
        <v>90.105174925715303</v>
      </c>
      <c r="AN942">
        <v>0.99999996334014896</v>
      </c>
    </row>
    <row r="943" spans="1:40" x14ac:dyDescent="0.25">
      <c r="A943" t="str">
        <f>"20190312160317891"</f>
        <v>20190312160317891</v>
      </c>
      <c r="B943" t="str">
        <f>"1552377797885836"</f>
        <v>1552377797885836</v>
      </c>
      <c r="C943" t="s">
        <v>40</v>
      </c>
      <c r="D943">
        <v>5.7607910000000002</v>
      </c>
      <c r="E943">
        <v>0.52681519999999904</v>
      </c>
      <c r="F943" t="s">
        <v>50</v>
      </c>
      <c r="G943">
        <v>-200.43260000000001</v>
      </c>
      <c r="H943" s="1">
        <v>-2.267702E-6</v>
      </c>
      <c r="I943">
        <v>362.03570000000002</v>
      </c>
      <c r="J943">
        <v>-282.12520000000001</v>
      </c>
      <c r="K943">
        <v>1.0598209999999999</v>
      </c>
      <c r="L943">
        <v>367.96069999999997</v>
      </c>
      <c r="M943">
        <v>0.9998882</v>
      </c>
      <c r="N943">
        <v>0</v>
      </c>
      <c r="O943">
        <v>-9.8114129999999993E-4</v>
      </c>
      <c r="P943">
        <v>0.99963570000000002</v>
      </c>
      <c r="Q943">
        <v>2.6965449999999998E-2</v>
      </c>
      <c r="R943">
        <v>1.1332390000000001E-3</v>
      </c>
      <c r="S943">
        <v>3.002319</v>
      </c>
      <c r="T943">
        <v>-3.8688420000000001E-2</v>
      </c>
      <c r="U943">
        <v>-0.21630859999999999</v>
      </c>
      <c r="V943">
        <v>-2.1136940000000002E-3</v>
      </c>
      <c r="W943">
        <v>4.187867E-2</v>
      </c>
      <c r="X943">
        <v>0.99912049999999997</v>
      </c>
      <c r="Y943">
        <v>7.0876380000000003E-2</v>
      </c>
      <c r="Z943">
        <v>-4.4342539999999998E-4</v>
      </c>
      <c r="AA943">
        <v>0.99748499999999996</v>
      </c>
      <c r="AB943">
        <v>49</v>
      </c>
      <c r="AC943">
        <v>81.692599999999999</v>
      </c>
      <c r="AD943">
        <v>-1.0598232677020001</v>
      </c>
      <c r="AE943">
        <v>-5.9249999999999501</v>
      </c>
      <c r="AF943">
        <v>5.8438578265831502</v>
      </c>
      <c r="AG943">
        <v>-1.0598232677020001</v>
      </c>
      <c r="AH943">
        <v>81.684698437287807</v>
      </c>
      <c r="AI943">
        <v>90.741451176230598</v>
      </c>
      <c r="AJ943">
        <v>85.907937429861406</v>
      </c>
      <c r="AK943">
        <v>81.900328805486097</v>
      </c>
      <c r="AL943">
        <v>87.599827105795995</v>
      </c>
      <c r="AM943">
        <v>90.121212170814303</v>
      </c>
      <c r="AN943">
        <v>1.0000000321117699</v>
      </c>
    </row>
    <row r="944" spans="1:40" x14ac:dyDescent="0.25">
      <c r="A944" t="str">
        <f>"20190312160317904"</f>
        <v>20190312160317904</v>
      </c>
      <c r="B944" t="str">
        <f>"1552377797895595"</f>
        <v>1552377797895595</v>
      </c>
      <c r="C944" t="s">
        <v>40</v>
      </c>
      <c r="D944">
        <v>5.6523940000000001</v>
      </c>
      <c r="E944">
        <v>0.52689549999999996</v>
      </c>
      <c r="F944" t="s">
        <v>50</v>
      </c>
      <c r="G944">
        <v>-200.01159999999999</v>
      </c>
      <c r="H944" s="1">
        <v>-2.018071E-6</v>
      </c>
      <c r="I944">
        <v>362.03739999999999</v>
      </c>
      <c r="J944">
        <v>-281.81229999999999</v>
      </c>
      <c r="K944">
        <v>1.059814</v>
      </c>
      <c r="L944">
        <v>367.96039999999999</v>
      </c>
      <c r="M944">
        <v>0.9998882</v>
      </c>
      <c r="N944">
        <v>0</v>
      </c>
      <c r="O944">
        <v>-9.7659320000000006E-4</v>
      </c>
      <c r="P944">
        <v>0.99966719999999998</v>
      </c>
      <c r="Q944">
        <v>2.5764780000000001E-2</v>
      </c>
      <c r="R944">
        <v>1.329493E-3</v>
      </c>
      <c r="S944">
        <v>3.0024109999999999</v>
      </c>
      <c r="T944">
        <v>-3.8751479999999998E-2</v>
      </c>
      <c r="U944">
        <v>-0.21658330000000001</v>
      </c>
      <c r="V944">
        <v>-2.3053290000000001E-3</v>
      </c>
      <c r="W944">
        <v>4.0676169999999998E-2</v>
      </c>
      <c r="X944">
        <v>0.99916970000000005</v>
      </c>
      <c r="Y944">
        <v>7.0969480000000001E-2</v>
      </c>
      <c r="Z944">
        <v>-4.4479170000000001E-4</v>
      </c>
      <c r="AA944">
        <v>0.99747839999999999</v>
      </c>
      <c r="AB944">
        <v>49</v>
      </c>
      <c r="AC944">
        <v>81.800700000000006</v>
      </c>
      <c r="AD944">
        <v>-1.0598160180709999</v>
      </c>
      <c r="AE944">
        <v>-5.923</v>
      </c>
      <c r="AF944">
        <v>5.84212672930538</v>
      </c>
      <c r="AG944">
        <v>-1.0598160180709999</v>
      </c>
      <c r="AH944">
        <v>81.792787868703996</v>
      </c>
      <c r="AI944">
        <v>90.740472483459897</v>
      </c>
      <c r="AJ944">
        <v>85.914533244991901</v>
      </c>
      <c r="AK944">
        <v>82.008010596820597</v>
      </c>
      <c r="AL944">
        <v>87.668783925288494</v>
      </c>
      <c r="AM944">
        <v>90.132195149341797</v>
      </c>
      <c r="AN944">
        <v>0.99999997737287805</v>
      </c>
    </row>
    <row r="945" spans="1:40" x14ac:dyDescent="0.25">
      <c r="A945" t="str">
        <f>"20190312160317916"</f>
        <v>20190312160317916</v>
      </c>
      <c r="B945" t="str">
        <f>"1552377797905356"</f>
        <v>1552377797905356</v>
      </c>
      <c r="C945" t="s">
        <v>40</v>
      </c>
      <c r="D945">
        <v>5.7345360000000003</v>
      </c>
      <c r="E945">
        <v>0.52692479999999997</v>
      </c>
      <c r="F945" t="s">
        <v>50</v>
      </c>
      <c r="G945">
        <v>-207.60929999999999</v>
      </c>
      <c r="H945" s="1">
        <v>-5.5797290000000003E-6</v>
      </c>
      <c r="I945">
        <v>362.60610000000003</v>
      </c>
      <c r="J945">
        <v>-281.56369999999998</v>
      </c>
      <c r="K945">
        <v>1.059815</v>
      </c>
      <c r="L945">
        <v>367.96010000000001</v>
      </c>
      <c r="M945">
        <v>0.99988829999999995</v>
      </c>
      <c r="N945">
        <v>0</v>
      </c>
      <c r="O945">
        <v>-9.7276429999999998E-4</v>
      </c>
      <c r="P945">
        <v>0.99966750000000004</v>
      </c>
      <c r="Q945">
        <v>2.5736289999999998E-2</v>
      </c>
      <c r="R945">
        <v>1.649722E-3</v>
      </c>
      <c r="S945">
        <v>3.0024109999999999</v>
      </c>
      <c r="T945">
        <v>-4.288256E-2</v>
      </c>
      <c r="U945">
        <v>-0.21664430000000001</v>
      </c>
      <c r="V945">
        <v>-2.621689E-3</v>
      </c>
      <c r="W945">
        <v>4.0645670000000002E-2</v>
      </c>
      <c r="X945">
        <v>0.99917020000000001</v>
      </c>
      <c r="Y945">
        <v>7.0992159999999999E-2</v>
      </c>
      <c r="Z945">
        <v>-4.924199E-4</v>
      </c>
      <c r="AA945">
        <v>0.99747680000000005</v>
      </c>
      <c r="AB945">
        <v>49</v>
      </c>
      <c r="AC945">
        <v>73.954399999999893</v>
      </c>
      <c r="AD945">
        <v>-1.0598205797289999</v>
      </c>
      <c r="AE945">
        <v>-5.3539999999999797</v>
      </c>
      <c r="AF945">
        <v>5.2809703662132597</v>
      </c>
      <c r="AG945">
        <v>-1.0598205797289999</v>
      </c>
      <c r="AH945">
        <v>73.944466975287995</v>
      </c>
      <c r="AI945">
        <v>90.819058572949501</v>
      </c>
      <c r="AJ945">
        <v>85.914982433748307</v>
      </c>
      <c r="AK945">
        <v>74.140380791640794</v>
      </c>
      <c r="AL945">
        <v>87.670532983387304</v>
      </c>
      <c r="AM945">
        <v>90.150336119089303</v>
      </c>
      <c r="AN945">
        <v>1.0000000161555</v>
      </c>
    </row>
    <row r="946" spans="1:40" x14ac:dyDescent="0.25">
      <c r="A946" t="str">
        <f>"20190312160317927"</f>
        <v>20190312160317927</v>
      </c>
      <c r="B946" t="str">
        <f>"1552377797915115"</f>
        <v>1552377797915115</v>
      </c>
      <c r="C946" t="s">
        <v>40</v>
      </c>
      <c r="D946">
        <v>5.7617379999999896</v>
      </c>
      <c r="E946">
        <v>0.52700689999999994</v>
      </c>
      <c r="F946" t="s">
        <v>50</v>
      </c>
      <c r="G946">
        <v>-206.98589999999999</v>
      </c>
      <c r="H946" s="1">
        <v>-5.3716179999999996E-6</v>
      </c>
      <c r="I946">
        <v>362.60239999999999</v>
      </c>
      <c r="J946">
        <v>-281.31959999999998</v>
      </c>
      <c r="K946">
        <v>1.059817</v>
      </c>
      <c r="L946">
        <v>367.9599</v>
      </c>
      <c r="M946">
        <v>0.9998882</v>
      </c>
      <c r="N946">
        <v>0</v>
      </c>
      <c r="O946">
        <v>-9.693379E-4</v>
      </c>
      <c r="P946">
        <v>0.99966560000000004</v>
      </c>
      <c r="Q946">
        <v>2.5809700000000001E-2</v>
      </c>
      <c r="R946">
        <v>1.681508E-3</v>
      </c>
      <c r="S946">
        <v>3.0024410000000001</v>
      </c>
      <c r="T946">
        <v>-4.2667509999999999E-2</v>
      </c>
      <c r="U946">
        <v>-0.21569820000000001</v>
      </c>
      <c r="V946">
        <v>-2.650267E-3</v>
      </c>
      <c r="W946">
        <v>4.0723330000000002E-2</v>
      </c>
      <c r="X946">
        <v>0.99916700000000003</v>
      </c>
      <c r="Y946">
        <v>7.0682289999999995E-2</v>
      </c>
      <c r="Z946">
        <v>-4.8780109999999998E-4</v>
      </c>
      <c r="AA946">
        <v>0.99749880000000002</v>
      </c>
      <c r="AB946">
        <v>49</v>
      </c>
      <c r="AC946">
        <v>74.333699999999993</v>
      </c>
      <c r="AD946">
        <v>-1.059822371618</v>
      </c>
      <c r="AE946">
        <v>-5.3575000000000097</v>
      </c>
      <c r="AF946">
        <v>5.2843663322830503</v>
      </c>
      <c r="AG946">
        <v>-1.059822371618</v>
      </c>
      <c r="AH946">
        <v>74.323828404829399</v>
      </c>
      <c r="AI946">
        <v>90.814898320033393</v>
      </c>
      <c r="AJ946">
        <v>85.933158235804697</v>
      </c>
      <c r="AK946">
        <v>74.518985632814903</v>
      </c>
      <c r="AL946">
        <v>87.666079793785499</v>
      </c>
      <c r="AM946">
        <v>90.151975353035198</v>
      </c>
      <c r="AN946">
        <v>1.00000005370522</v>
      </c>
    </row>
    <row r="947" spans="1:40" x14ac:dyDescent="0.25">
      <c r="A947" t="str">
        <f>"20190312160317938"</f>
        <v>20190312160317938</v>
      </c>
      <c r="B947" t="str">
        <f>"1552377797925852"</f>
        <v>1552377797925852</v>
      </c>
      <c r="C947" t="s">
        <v>40</v>
      </c>
      <c r="D947">
        <v>5.7883190000000004</v>
      </c>
      <c r="E947">
        <v>0.52707139999999997</v>
      </c>
      <c r="F947" t="s">
        <v>50</v>
      </c>
      <c r="G947">
        <v>-205.8843</v>
      </c>
      <c r="H947" s="1">
        <v>-4.9404729999999999E-6</v>
      </c>
      <c r="I947">
        <v>362.51920000000001</v>
      </c>
      <c r="J947">
        <v>-281.08510000000001</v>
      </c>
      <c r="K947">
        <v>1.0599540000000001</v>
      </c>
      <c r="L947">
        <v>367.95960000000002</v>
      </c>
      <c r="M947">
        <v>0.99988080000000001</v>
      </c>
      <c r="N947">
        <v>0</v>
      </c>
      <c r="O947">
        <v>-9.6663589999999996E-4</v>
      </c>
      <c r="P947">
        <v>0.99967839999999997</v>
      </c>
      <c r="Q947">
        <v>2.5291259999999999E-2</v>
      </c>
      <c r="R947">
        <v>1.9098310000000001E-3</v>
      </c>
      <c r="S947">
        <v>3.0025019999999998</v>
      </c>
      <c r="T947">
        <v>-4.2183400000000003E-2</v>
      </c>
      <c r="U947">
        <v>-0.21655269999999999</v>
      </c>
      <c r="V947">
        <v>-2.8756260000000001E-3</v>
      </c>
      <c r="W947">
        <v>4.0696650000000001E-2</v>
      </c>
      <c r="X947">
        <v>0.99916740000000004</v>
      </c>
      <c r="Y947">
        <v>7.0966080000000001E-2</v>
      </c>
      <c r="Z947">
        <v>-4.8428099999999998E-4</v>
      </c>
      <c r="AA947">
        <v>0.99747859999999999</v>
      </c>
      <c r="AB947">
        <v>49</v>
      </c>
      <c r="AC947">
        <v>75.200800000000001</v>
      </c>
      <c r="AD947">
        <v>-1.0599589404729901</v>
      </c>
      <c r="AE947">
        <v>-5.4404000000000101</v>
      </c>
      <c r="AF947">
        <v>5.3666363921559297</v>
      </c>
      <c r="AG947">
        <v>-1.0599589404729901</v>
      </c>
      <c r="AH947">
        <v>75.191163887040403</v>
      </c>
      <c r="AI947">
        <v>90.805587794812894</v>
      </c>
      <c r="AJ947">
        <v>85.917537847287804</v>
      </c>
      <c r="AK947">
        <v>75.389889413693098</v>
      </c>
      <c r="AL947">
        <v>87.667609564459596</v>
      </c>
      <c r="AM947">
        <v>90.164898072489095</v>
      </c>
      <c r="AN947">
        <v>0.99999998988443695</v>
      </c>
    </row>
    <row r="948" spans="1:40" x14ac:dyDescent="0.25">
      <c r="A948" t="str">
        <f>"20190312160317949"</f>
        <v>20190312160317949</v>
      </c>
      <c r="B948" t="str">
        <f>"1552377797945371"</f>
        <v>1552377797945371</v>
      </c>
      <c r="C948" t="s">
        <v>40</v>
      </c>
      <c r="D948">
        <v>5.7779930000000004</v>
      </c>
      <c r="E948">
        <v>0.527146</v>
      </c>
      <c r="F948" t="s">
        <v>50</v>
      </c>
      <c r="G948">
        <v>-207.68360000000001</v>
      </c>
      <c r="H948" s="1">
        <v>-5.592761E-6</v>
      </c>
      <c r="I948">
        <v>362.68200000000002</v>
      </c>
      <c r="J948">
        <v>-280.85169999999999</v>
      </c>
      <c r="K948">
        <v>1.0601179999999999</v>
      </c>
      <c r="L948">
        <v>367.95940000000002</v>
      </c>
      <c r="M948">
        <v>0.99987269999999995</v>
      </c>
      <c r="N948">
        <v>0</v>
      </c>
      <c r="O948">
        <v>-9.6374600000000003E-4</v>
      </c>
      <c r="P948">
        <v>0.99968760000000001</v>
      </c>
      <c r="Q948">
        <v>2.489978E-2</v>
      </c>
      <c r="R948">
        <v>2.1943919999999999E-3</v>
      </c>
      <c r="S948">
        <v>3.0025019999999998</v>
      </c>
      <c r="T948">
        <v>-4.3357850000000003E-2</v>
      </c>
      <c r="U948">
        <v>-0.2158813</v>
      </c>
      <c r="V948">
        <v>-3.1576629999999998E-3</v>
      </c>
      <c r="W948">
        <v>4.081862E-2</v>
      </c>
      <c r="X948">
        <v>0.99916159999999998</v>
      </c>
      <c r="Y948">
        <v>7.0746669999999998E-2</v>
      </c>
      <c r="Z948">
        <v>-4.9622610000000004E-4</v>
      </c>
      <c r="AA948">
        <v>0.9974942</v>
      </c>
      <c r="AB948">
        <v>49</v>
      </c>
      <c r="AC948">
        <v>73.168099999999896</v>
      </c>
      <c r="AD948">
        <v>-1.060123592761</v>
      </c>
      <c r="AE948">
        <v>-5.2774000000000498</v>
      </c>
      <c r="AF948">
        <v>5.2057859577841397</v>
      </c>
      <c r="AG948">
        <v>-1.060123592761</v>
      </c>
      <c r="AH948">
        <v>73.1578743594809</v>
      </c>
      <c r="AI948">
        <v>90.828115781772397</v>
      </c>
      <c r="AJ948">
        <v>85.929793448868594</v>
      </c>
      <c r="AK948">
        <v>73.350519086559899</v>
      </c>
      <c r="AL948">
        <v>87.660615449302298</v>
      </c>
      <c r="AM948">
        <v>90.1810719714491</v>
      </c>
      <c r="AN948">
        <v>1.0000000167444401</v>
      </c>
    </row>
    <row r="949" spans="1:40" x14ac:dyDescent="0.25">
      <c r="A949" t="str">
        <f>"20190312160317960"</f>
        <v>20190312160317960</v>
      </c>
      <c r="B949" t="str">
        <f>"1552377797955131"</f>
        <v>1552377797955131</v>
      </c>
      <c r="C949" t="s">
        <v>40</v>
      </c>
      <c r="D949">
        <v>5.8107839999999999</v>
      </c>
      <c r="E949">
        <v>0.52719439999999995</v>
      </c>
      <c r="F949" t="s">
        <v>50</v>
      </c>
      <c r="G949">
        <v>-208.53790000000001</v>
      </c>
      <c r="H949" s="1">
        <v>-5.8664350000000002E-6</v>
      </c>
      <c r="I949">
        <v>362.76069999999999</v>
      </c>
      <c r="J949">
        <v>-280.61470000000003</v>
      </c>
      <c r="K949">
        <v>1.060454</v>
      </c>
      <c r="L949">
        <v>367.95920000000001</v>
      </c>
      <c r="M949">
        <v>0.99986229999999998</v>
      </c>
      <c r="N949">
        <v>0</v>
      </c>
      <c r="O949">
        <v>-9.616421E-4</v>
      </c>
      <c r="P949">
        <v>0.99970910000000002</v>
      </c>
      <c r="Q949">
        <v>2.4005640000000002E-2</v>
      </c>
      <c r="R949">
        <v>2.40719E-3</v>
      </c>
      <c r="S949">
        <v>3.0025019999999998</v>
      </c>
      <c r="T949">
        <v>-4.4016840000000002E-2</v>
      </c>
      <c r="U949">
        <v>-0.21585080000000001</v>
      </c>
      <c r="V949">
        <v>-3.3682819999999998E-3</v>
      </c>
      <c r="W949">
        <v>4.0573730000000002E-2</v>
      </c>
      <c r="X949">
        <v>0.99917089999999997</v>
      </c>
      <c r="Y949">
        <v>7.0738469999999998E-2</v>
      </c>
      <c r="Z949">
        <v>-5.0373819999999995E-4</v>
      </c>
      <c r="AA949">
        <v>0.99749480000000001</v>
      </c>
      <c r="AB949">
        <v>49</v>
      </c>
      <c r="AC949">
        <v>72.076800000000006</v>
      </c>
      <c r="AD949">
        <v>-1.060459866435</v>
      </c>
      <c r="AE949">
        <v>-5.1985000000000197</v>
      </c>
      <c r="AF949">
        <v>5.1280716684070997</v>
      </c>
      <c r="AG949">
        <v>-1.060459866435</v>
      </c>
      <c r="AH949">
        <v>72.066247005925405</v>
      </c>
      <c r="AI949">
        <v>90.840924573476002</v>
      </c>
      <c r="AJ949">
        <v>85.929821928245602</v>
      </c>
      <c r="AK949">
        <v>72.256249914340898</v>
      </c>
      <c r="AL949">
        <v>87.674658277241804</v>
      </c>
      <c r="AM949">
        <v>90.193147750564705</v>
      </c>
      <c r="AN949">
        <v>1.0000000301482701</v>
      </c>
    </row>
    <row r="950" spans="1:40" x14ac:dyDescent="0.25">
      <c r="A950" t="str">
        <f>"20190312160317972"</f>
        <v>20190312160317972</v>
      </c>
      <c r="B950" t="str">
        <f>"1552377797965398"</f>
        <v>1552377797965398</v>
      </c>
      <c r="C950" t="s">
        <v>40</v>
      </c>
      <c r="D950">
        <v>5.7804469999999997</v>
      </c>
      <c r="E950">
        <v>0.52725059999999901</v>
      </c>
      <c r="F950" t="s">
        <v>41</v>
      </c>
      <c r="G950">
        <v>-211.7946</v>
      </c>
      <c r="H950" s="1">
        <v>-4.6729959999999999E-6</v>
      </c>
      <c r="I950">
        <v>363.01729999999998</v>
      </c>
      <c r="J950">
        <v>-280.36430000000001</v>
      </c>
      <c r="K950">
        <v>1.060818</v>
      </c>
      <c r="L950">
        <v>367.959</v>
      </c>
      <c r="M950">
        <v>0.99985489999999999</v>
      </c>
      <c r="N950">
        <v>0</v>
      </c>
      <c r="O950">
        <v>-9.5885220000000001E-4</v>
      </c>
      <c r="P950">
        <v>0.99971650000000001</v>
      </c>
      <c r="Q950">
        <v>2.3683340000000001E-2</v>
      </c>
      <c r="R950">
        <v>2.5053440000000001E-3</v>
      </c>
      <c r="S950">
        <v>3.0025019999999998</v>
      </c>
      <c r="T950">
        <v>-4.6265960000000002E-2</v>
      </c>
      <c r="U950">
        <v>-0.21560670000000001</v>
      </c>
      <c r="V950">
        <v>-3.4635550000000001E-3</v>
      </c>
      <c r="W950">
        <v>4.0685220000000001E-2</v>
      </c>
      <c r="X950">
        <v>0.999166</v>
      </c>
      <c r="Y950">
        <v>7.0659780000000005E-2</v>
      </c>
      <c r="Z950">
        <v>-5.2891359999999998E-4</v>
      </c>
      <c r="AA950">
        <v>0.99750039999999995</v>
      </c>
      <c r="AB950">
        <v>49</v>
      </c>
      <c r="AC950">
        <v>68.569699999999997</v>
      </c>
      <c r="AD950">
        <v>-1.060822672996</v>
      </c>
      <c r="AE950">
        <v>-4.9417000000000204</v>
      </c>
      <c r="AF950">
        <v>4.8747792920501301</v>
      </c>
      <c r="AG950">
        <v>-1.060822672996</v>
      </c>
      <c r="AH950">
        <v>68.558083388812094</v>
      </c>
      <c r="AI950">
        <v>90.884254302563093</v>
      </c>
      <c r="AJ950">
        <v>85.932864757226298</v>
      </c>
      <c r="AK950">
        <v>68.7393600191117</v>
      </c>
      <c r="AL950">
        <v>87.668264997050102</v>
      </c>
      <c r="AM950">
        <v>90.198611931104594</v>
      </c>
      <c r="AN950">
        <v>0.99999998944784296</v>
      </c>
    </row>
    <row r="951" spans="1:40" x14ac:dyDescent="0.25">
      <c r="A951" t="str">
        <f>"20190312160317983"</f>
        <v>20190312160317983</v>
      </c>
      <c r="B951" t="str">
        <f>"1552377797975158"</f>
        <v>1552377797975158</v>
      </c>
      <c r="C951" t="s">
        <v>40</v>
      </c>
      <c r="D951">
        <v>5.7901379999999998</v>
      </c>
      <c r="E951">
        <v>0.52733229999999998</v>
      </c>
      <c r="F951" t="s">
        <v>41</v>
      </c>
      <c r="G951">
        <v>-212.3185</v>
      </c>
      <c r="H951" s="1">
        <v>-4.438164E-6</v>
      </c>
      <c r="I951">
        <v>363.07400000000001</v>
      </c>
      <c r="J951">
        <v>-280.09179999999998</v>
      </c>
      <c r="K951">
        <v>1.061231</v>
      </c>
      <c r="L951">
        <v>367.95870000000002</v>
      </c>
      <c r="M951">
        <v>0.99985480000000004</v>
      </c>
      <c r="N951">
        <v>0</v>
      </c>
      <c r="O951">
        <v>-9.5534129999999995E-4</v>
      </c>
      <c r="P951">
        <v>0.99972269999999996</v>
      </c>
      <c r="Q951">
        <v>2.340654E-2</v>
      </c>
      <c r="R951">
        <v>2.6290609999999998E-3</v>
      </c>
      <c r="S951">
        <v>3.0025019999999998</v>
      </c>
      <c r="T951">
        <v>-4.680848E-2</v>
      </c>
      <c r="U951">
        <v>-0.21554570000000001</v>
      </c>
      <c r="V951">
        <v>-3.5836560000000002E-3</v>
      </c>
      <c r="W951">
        <v>4.0415069999999997E-2</v>
      </c>
      <c r="X951">
        <v>0.99917659999999997</v>
      </c>
      <c r="Y951">
        <v>7.0642919999999998E-2</v>
      </c>
      <c r="Z951">
        <v>-5.350388E-4</v>
      </c>
      <c r="AA951">
        <v>0.99750159999999999</v>
      </c>
      <c r="AB951">
        <v>48</v>
      </c>
      <c r="AC951">
        <v>67.773299999999907</v>
      </c>
      <c r="AD951">
        <v>-1.0612354381639999</v>
      </c>
      <c r="AE951">
        <v>-4.8846999999999996</v>
      </c>
      <c r="AF951">
        <v>4.8187663478848997</v>
      </c>
      <c r="AG951">
        <v>-1.0612354381639999</v>
      </c>
      <c r="AH951">
        <v>67.761407603633103</v>
      </c>
      <c r="AI951">
        <v>90.894996322540507</v>
      </c>
      <c r="AJ951">
        <v>85.932331218615204</v>
      </c>
      <c r="AK951">
        <v>67.940820499876395</v>
      </c>
      <c r="AL951">
        <v>87.683756332080705</v>
      </c>
      <c r="AM951">
        <v>90.205496689575696</v>
      </c>
      <c r="AN951">
        <v>1.0000000492304899</v>
      </c>
    </row>
    <row r="952" spans="1:40" x14ac:dyDescent="0.25">
      <c r="A952" t="str">
        <f>"20190312160317996"</f>
        <v>20190312160317996</v>
      </c>
      <c r="B952" t="str">
        <f>"1552377797985894"</f>
        <v>1552377797985894</v>
      </c>
      <c r="C952" t="s">
        <v>40</v>
      </c>
      <c r="D952">
        <v>5.7793530000000004</v>
      </c>
      <c r="E952">
        <v>0.52742239999999996</v>
      </c>
      <c r="F952" t="s">
        <v>41</v>
      </c>
      <c r="G952">
        <v>-212.7937</v>
      </c>
      <c r="H952" s="1">
        <v>-4.2269979999999999E-6</v>
      </c>
      <c r="I952">
        <v>363.11509999999998</v>
      </c>
      <c r="J952">
        <v>-279.83479999999997</v>
      </c>
      <c r="K952">
        <v>1.06159</v>
      </c>
      <c r="L952">
        <v>367.95850000000002</v>
      </c>
      <c r="M952">
        <v>0.99986640000000004</v>
      </c>
      <c r="N952">
        <v>0</v>
      </c>
      <c r="O952">
        <v>-9.5192900000000001E-4</v>
      </c>
      <c r="P952">
        <v>0.99970559999999997</v>
      </c>
      <c r="Q952">
        <v>2.41461E-2</v>
      </c>
      <c r="R952">
        <v>2.4107590000000002E-3</v>
      </c>
      <c r="S952">
        <v>3.0025019999999998</v>
      </c>
      <c r="T952">
        <v>-4.7346949999999999E-2</v>
      </c>
      <c r="U952">
        <v>-0.21609500000000001</v>
      </c>
      <c r="V952">
        <v>-3.3621039999999999E-3</v>
      </c>
      <c r="W952">
        <v>4.0458899999999999E-2</v>
      </c>
      <c r="X952">
        <v>0.99917549999999999</v>
      </c>
      <c r="Y952">
        <v>7.0827689999999999E-2</v>
      </c>
      <c r="Z952">
        <v>-5.4269829999999998E-4</v>
      </c>
      <c r="AA952">
        <v>0.99748840000000005</v>
      </c>
      <c r="AB952">
        <v>48</v>
      </c>
      <c r="AC952">
        <v>67.041099999999901</v>
      </c>
      <c r="AD952">
        <v>-1.0615942269980001</v>
      </c>
      <c r="AE952">
        <v>-4.8434000000000301</v>
      </c>
      <c r="AF952">
        <v>4.7783789988193597</v>
      </c>
      <c r="AG952">
        <v>-1.0615942269980001</v>
      </c>
      <c r="AH952">
        <v>67.028960795960003</v>
      </c>
      <c r="AI952">
        <v>90.905069266664498</v>
      </c>
      <c r="AJ952">
        <v>85.922380881581802</v>
      </c>
      <c r="AK952">
        <v>67.207451026991706</v>
      </c>
      <c r="AL952">
        <v>87.681242779409502</v>
      </c>
      <c r="AM952">
        <v>90.192792599959404</v>
      </c>
      <c r="AN952">
        <v>0.99999995306638201</v>
      </c>
    </row>
    <row r="953" spans="1:40" x14ac:dyDescent="0.25">
      <c r="A953" t="str">
        <f>"20190312160318007"</f>
        <v>20190312160318007</v>
      </c>
      <c r="B953" t="str">
        <f>"1552377797995655"</f>
        <v>1552377797995655</v>
      </c>
      <c r="C953" t="s">
        <v>40</v>
      </c>
      <c r="D953">
        <v>5.8074260000000004</v>
      </c>
      <c r="E953">
        <v>0.52751530000000002</v>
      </c>
      <c r="F953" t="s">
        <v>50</v>
      </c>
      <c r="G953">
        <v>-208.5581</v>
      </c>
      <c r="H953" s="1">
        <v>-5.8675799999999998E-6</v>
      </c>
      <c r="I953">
        <v>362.79669999999999</v>
      </c>
      <c r="J953">
        <v>-279.5958</v>
      </c>
      <c r="K953">
        <v>1.0619190000000001</v>
      </c>
      <c r="L953">
        <v>367.95830000000001</v>
      </c>
      <c r="M953">
        <v>0.99988030000000006</v>
      </c>
      <c r="N953">
        <v>0</v>
      </c>
      <c r="O953">
        <v>-9.4897350000000004E-4</v>
      </c>
      <c r="P953">
        <v>0.99968950000000001</v>
      </c>
      <c r="Q953">
        <v>2.4808E-2</v>
      </c>
      <c r="R953">
        <v>2.363183E-3</v>
      </c>
      <c r="S953">
        <v>3.0025019999999998</v>
      </c>
      <c r="T953">
        <v>-4.4719340000000003E-2</v>
      </c>
      <c r="U953">
        <v>-0.21743770000000001</v>
      </c>
      <c r="V953">
        <v>-3.3106749999999999E-3</v>
      </c>
      <c r="W953">
        <v>4.0254030000000003E-2</v>
      </c>
      <c r="X953">
        <v>0.99918399999999996</v>
      </c>
      <c r="Y953">
        <v>7.1275279999999996E-2</v>
      </c>
      <c r="Z953">
        <v>-5.1594800000000001E-4</v>
      </c>
      <c r="AA953">
        <v>0.99745660000000003</v>
      </c>
      <c r="AB953">
        <v>48</v>
      </c>
      <c r="AC953">
        <v>71.037700000000001</v>
      </c>
      <c r="AD953">
        <v>-1.0619248675799999</v>
      </c>
      <c r="AE953">
        <v>-5.1616000000000204</v>
      </c>
      <c r="AF953">
        <v>5.0930445997276603</v>
      </c>
      <c r="AG953">
        <v>-1.0619248675799999</v>
      </c>
      <c r="AH953">
        <v>71.026778158014295</v>
      </c>
      <c r="AI953">
        <v>90.854374861417</v>
      </c>
      <c r="AJ953">
        <v>85.898569981574099</v>
      </c>
      <c r="AK953">
        <v>71.217062584938006</v>
      </c>
      <c r="AL953">
        <v>87.692990660437502</v>
      </c>
      <c r="AM953">
        <v>90.189841921691297</v>
      </c>
      <c r="AN953">
        <v>1.0000000066780901</v>
      </c>
    </row>
    <row r="954" spans="1:40" x14ac:dyDescent="0.25">
      <c r="A954" t="str">
        <f>"20190312160318019"</f>
        <v>20190312160318019</v>
      </c>
      <c r="B954" t="str">
        <f>"1552377798015174"</f>
        <v>1552377798015174</v>
      </c>
      <c r="C954" t="s">
        <v>40</v>
      </c>
      <c r="D954">
        <v>5.8289809999999997</v>
      </c>
      <c r="E954">
        <v>0.52764960000000005</v>
      </c>
      <c r="F954" t="s">
        <v>50</v>
      </c>
      <c r="G954">
        <v>-204.2861</v>
      </c>
      <c r="H954" s="1">
        <v>-4.1773209999999997E-6</v>
      </c>
      <c r="I954">
        <v>362.483</v>
      </c>
      <c r="J954">
        <v>-279.34859999999998</v>
      </c>
      <c r="K954">
        <v>1.0623849999999999</v>
      </c>
      <c r="L954">
        <v>367.95800000000003</v>
      </c>
      <c r="M954">
        <v>0.99989749999999999</v>
      </c>
      <c r="N954">
        <v>0</v>
      </c>
      <c r="O954">
        <v>-9.4562509999999999E-4</v>
      </c>
      <c r="P954">
        <v>0.99965910000000002</v>
      </c>
      <c r="Q954">
        <v>2.5989640000000001E-2</v>
      </c>
      <c r="R954">
        <v>2.5016890000000001E-3</v>
      </c>
      <c r="S954">
        <v>3.0025330000000001</v>
      </c>
      <c r="T954">
        <v>-4.2338010000000002E-2</v>
      </c>
      <c r="U954">
        <v>-0.21829219999999999</v>
      </c>
      <c r="V954">
        <v>-3.4464610000000001E-3</v>
      </c>
      <c r="W954">
        <v>4.0264510000000003E-2</v>
      </c>
      <c r="X954">
        <v>0.99918309999999999</v>
      </c>
      <c r="Y954">
        <v>7.1561079999999999E-2</v>
      </c>
      <c r="Z954">
        <v>-4.9052600000000003E-4</v>
      </c>
      <c r="AA954">
        <v>0.99743610000000005</v>
      </c>
      <c r="AB954">
        <v>48</v>
      </c>
      <c r="AC954">
        <v>75.062499999999901</v>
      </c>
      <c r="AD954">
        <v>-1.0623891773209999</v>
      </c>
      <c r="AE954">
        <v>-5.4750000000000201</v>
      </c>
      <c r="AF954">
        <v>5.4029327427369997</v>
      </c>
      <c r="AG954">
        <v>-1.0623891773209999</v>
      </c>
      <c r="AH954">
        <v>75.052689372278905</v>
      </c>
      <c r="AI954">
        <v>90.808888628149603</v>
      </c>
      <c r="AJ954">
        <v>85.882464118521995</v>
      </c>
      <c r="AK954">
        <v>75.254412063336304</v>
      </c>
      <c r="AL954">
        <v>87.6923896705526</v>
      </c>
      <c r="AM954">
        <v>90.197628329018499</v>
      </c>
      <c r="AN954">
        <v>0.99999998809228696</v>
      </c>
    </row>
    <row r="955" spans="1:40" x14ac:dyDescent="0.25">
      <c r="A955" t="str">
        <f>"20190312160318029"</f>
        <v>20190312160318029</v>
      </c>
      <c r="B955" t="str">
        <f>"1552377798025910"</f>
        <v>1552377798025910</v>
      </c>
      <c r="C955" t="s">
        <v>40</v>
      </c>
      <c r="D955">
        <v>5.830851</v>
      </c>
      <c r="E955">
        <v>0.52770930000000005</v>
      </c>
      <c r="F955" t="s">
        <v>50</v>
      </c>
      <c r="G955">
        <v>-197.5376</v>
      </c>
      <c r="H955" s="1">
        <v>-9.1221050000000006E-6</v>
      </c>
      <c r="I955">
        <v>361.99110000000002</v>
      </c>
      <c r="J955">
        <v>-279.1087</v>
      </c>
      <c r="K955">
        <v>1.062873</v>
      </c>
      <c r="L955">
        <v>367.95780000000002</v>
      </c>
      <c r="M955">
        <v>0.99991300000000005</v>
      </c>
      <c r="N955">
        <v>0</v>
      </c>
      <c r="O955">
        <v>-9.4247489999999998E-4</v>
      </c>
      <c r="P955">
        <v>0.99962799999999996</v>
      </c>
      <c r="Q955">
        <v>2.717634E-2</v>
      </c>
      <c r="R955">
        <v>2.3675900000000001E-3</v>
      </c>
      <c r="S955">
        <v>3.0025940000000002</v>
      </c>
      <c r="T955">
        <v>-3.8991570000000003E-2</v>
      </c>
      <c r="U955">
        <v>-0.2189941</v>
      </c>
      <c r="V955">
        <v>-3.3092350000000002E-3</v>
      </c>
      <c r="W955">
        <v>4.0332649999999998E-2</v>
      </c>
      <c r="X955">
        <v>0.99918090000000004</v>
      </c>
      <c r="Y955">
        <v>7.1795739999999997E-2</v>
      </c>
      <c r="Z955">
        <v>-4.5330739999999999E-4</v>
      </c>
      <c r="AA955">
        <v>0.99741919999999995</v>
      </c>
      <c r="AB955">
        <v>49</v>
      </c>
      <c r="AC955">
        <v>81.571100000000001</v>
      </c>
      <c r="AD955">
        <v>-1.062882122105</v>
      </c>
      <c r="AE955">
        <v>-5.9667000000000003</v>
      </c>
      <c r="AF955">
        <v>5.8888174726511204</v>
      </c>
      <c r="AG955">
        <v>-1.062882122105</v>
      </c>
      <c r="AH955">
        <v>81.562913314182893</v>
      </c>
      <c r="AI955">
        <v>90.744666035890305</v>
      </c>
      <c r="AJ955">
        <v>85.870427780432095</v>
      </c>
      <c r="AK955">
        <v>81.782129575651197</v>
      </c>
      <c r="AL955">
        <v>87.688482556886498</v>
      </c>
      <c r="AM955">
        <v>90.189759938026995</v>
      </c>
      <c r="AN955">
        <v>1.00000007230855</v>
      </c>
    </row>
    <row r="956" spans="1:40" x14ac:dyDescent="0.25">
      <c r="A956" t="str">
        <f>"20190312160318041"</f>
        <v>20190312160318041</v>
      </c>
      <c r="B956" t="str">
        <f>"1552377798035670"</f>
        <v>1552377798035670</v>
      </c>
      <c r="C956" t="s">
        <v>40</v>
      </c>
      <c r="D956">
        <v>5.84361</v>
      </c>
      <c r="E956">
        <v>0.52780309999999997</v>
      </c>
      <c r="F956" t="s">
        <v>50</v>
      </c>
      <c r="G956">
        <v>-187.72049999999999</v>
      </c>
      <c r="H956" s="1">
        <v>-6.0232439999999997E-6</v>
      </c>
      <c r="I956">
        <v>361.26069999999999</v>
      </c>
      <c r="J956">
        <v>-278.83980000000003</v>
      </c>
      <c r="K956">
        <v>1.063577</v>
      </c>
      <c r="L956">
        <v>367.95760000000001</v>
      </c>
      <c r="M956">
        <v>0.99992760000000003</v>
      </c>
      <c r="N956">
        <v>0</v>
      </c>
      <c r="O956">
        <v>-9.387137E-4</v>
      </c>
      <c r="P956">
        <v>0.99959249999999999</v>
      </c>
      <c r="Q956">
        <v>2.8447819999999999E-2</v>
      </c>
      <c r="R956">
        <v>2.327361E-3</v>
      </c>
      <c r="S956">
        <v>3.0025330000000001</v>
      </c>
      <c r="T956">
        <v>-3.4920569999999998E-2</v>
      </c>
      <c r="U956">
        <v>-0.2200317</v>
      </c>
      <c r="V956">
        <v>-3.2649110000000001E-3</v>
      </c>
      <c r="W956">
        <v>4.0438889999999998E-2</v>
      </c>
      <c r="X956">
        <v>0.99917670000000003</v>
      </c>
      <c r="Y956">
        <v>7.2144959999999994E-2</v>
      </c>
      <c r="Z956">
        <v>-4.0805719999999999E-4</v>
      </c>
      <c r="AA956">
        <v>0.99739409999999895</v>
      </c>
      <c r="AB956">
        <v>49</v>
      </c>
      <c r="AC956">
        <v>91.119299999999996</v>
      </c>
      <c r="AD956">
        <v>-1.063583023244</v>
      </c>
      <c r="AE956">
        <v>-6.6969000000000198</v>
      </c>
      <c r="AF956">
        <v>6.6104601518926103</v>
      </c>
      <c r="AG956">
        <v>-1.063583023244</v>
      </c>
      <c r="AH956">
        <v>91.113199706653802</v>
      </c>
      <c r="AI956">
        <v>90.667041851534407</v>
      </c>
      <c r="AJ956">
        <v>85.850337820475403</v>
      </c>
      <c r="AK956">
        <v>91.358877800965104</v>
      </c>
      <c r="AL956">
        <v>87.6823903637641</v>
      </c>
      <c r="AM956">
        <v>90.187219092488803</v>
      </c>
      <c r="AN956">
        <v>1.0000000206455799</v>
      </c>
    </row>
    <row r="957" spans="1:40" x14ac:dyDescent="0.25">
      <c r="A957" t="str">
        <f>"20190312160318055"</f>
        <v>20190312160318055</v>
      </c>
      <c r="B957" t="str">
        <f>"1552377798045430"</f>
        <v>1552377798045430</v>
      </c>
      <c r="C957" t="s">
        <v>40</v>
      </c>
      <c r="D957">
        <v>5.8399470000000004</v>
      </c>
      <c r="E957">
        <v>0.52787169999999894</v>
      </c>
      <c r="F957" t="s">
        <v>50</v>
      </c>
      <c r="G957">
        <v>-180</v>
      </c>
      <c r="H957">
        <v>4.5451850000000002E-2</v>
      </c>
      <c r="I957">
        <v>360.69049999999999</v>
      </c>
      <c r="J957">
        <v>-278.56819999999999</v>
      </c>
      <c r="K957">
        <v>1.064433</v>
      </c>
      <c r="L957">
        <v>367.95729999999998</v>
      </c>
      <c r="M957">
        <v>0.99993779999999999</v>
      </c>
      <c r="N957">
        <v>0</v>
      </c>
      <c r="O957">
        <v>-9.3444779999999998E-4</v>
      </c>
      <c r="P957">
        <v>0.99956429999999996</v>
      </c>
      <c r="Q957">
        <v>2.9429650000000002E-2</v>
      </c>
      <c r="R957">
        <v>2.3162230000000001E-3</v>
      </c>
      <c r="S957">
        <v>3.0026250000000001</v>
      </c>
      <c r="T957">
        <v>-3.0929330000000001E-2</v>
      </c>
      <c r="U957">
        <v>-0.22076419999999999</v>
      </c>
      <c r="V957">
        <v>-3.249652E-3</v>
      </c>
      <c r="W957">
        <v>4.0537990000000003E-2</v>
      </c>
      <c r="X957">
        <v>0.99917270000000002</v>
      </c>
      <c r="Y957">
        <v>7.2390019999999999E-2</v>
      </c>
      <c r="Z957">
        <v>-3.6271099999999999E-4</v>
      </c>
      <c r="AA957">
        <v>0.99737629999999999</v>
      </c>
      <c r="AB957">
        <v>49</v>
      </c>
      <c r="AC957">
        <v>98.568200000000004</v>
      </c>
      <c r="AD957">
        <v>-1.0189811499999999</v>
      </c>
      <c r="AE957">
        <v>-7.2667999999999804</v>
      </c>
      <c r="AF957">
        <v>7.1739217626147402</v>
      </c>
      <c r="AG957">
        <v>-1.0189811499999999</v>
      </c>
      <c r="AH957">
        <v>98.564471113622105</v>
      </c>
      <c r="AI957">
        <v>90.590752667520405</v>
      </c>
      <c r="AJ957">
        <v>85.837121524133906</v>
      </c>
      <c r="AK957">
        <v>98.830453008919406</v>
      </c>
      <c r="AL957">
        <v>87.676707613349294</v>
      </c>
      <c r="AM957">
        <v>90.186344851091604</v>
      </c>
      <c r="AN957">
        <v>0.99999998664832501</v>
      </c>
    </row>
    <row r="958" spans="1:40" x14ac:dyDescent="0.25">
      <c r="A958" t="str">
        <f>"20190312160318066"</f>
        <v>20190312160318066</v>
      </c>
      <c r="B958" t="str">
        <f>"1552377798055190"</f>
        <v>1552377798055190</v>
      </c>
      <c r="C958" t="s">
        <v>40</v>
      </c>
      <c r="D958">
        <v>5.9733580000000002</v>
      </c>
      <c r="E958">
        <v>0.52787169999999894</v>
      </c>
      <c r="F958" t="s">
        <v>43</v>
      </c>
      <c r="G958">
        <v>-155.92580000000001</v>
      </c>
      <c r="H958">
        <v>-0.05</v>
      </c>
      <c r="I958">
        <v>358.91649999999998</v>
      </c>
      <c r="J958">
        <v>-278.30220000000003</v>
      </c>
      <c r="K958">
        <v>1.065377</v>
      </c>
      <c r="L958">
        <v>367.95710000000003</v>
      </c>
      <c r="M958">
        <v>0.99994490000000003</v>
      </c>
      <c r="N958">
        <v>0</v>
      </c>
      <c r="O958">
        <v>-9.3009729999999995E-4</v>
      </c>
      <c r="P958">
        <v>0.99953559999999997</v>
      </c>
      <c r="Q958">
        <v>3.038451E-2</v>
      </c>
      <c r="R958">
        <v>2.4144050000000001E-3</v>
      </c>
      <c r="S958">
        <v>3.0026250000000001</v>
      </c>
      <c r="T958">
        <v>-2.728438E-2</v>
      </c>
      <c r="U958">
        <v>-0.22134400000000001</v>
      </c>
      <c r="V958">
        <v>-3.343946E-3</v>
      </c>
      <c r="W958">
        <v>4.0841009999999997E-2</v>
      </c>
      <c r="X958">
        <v>0.9991601</v>
      </c>
      <c r="Y958">
        <v>7.2586769999999995E-2</v>
      </c>
      <c r="Z958">
        <v>-3.2089830000000001E-4</v>
      </c>
      <c r="AA958">
        <v>0.99736210000000003</v>
      </c>
      <c r="AB958">
        <v>49</v>
      </c>
      <c r="AC958">
        <v>122.3764</v>
      </c>
      <c r="AD958">
        <v>-1.1153770000000001</v>
      </c>
      <c r="AE958">
        <v>-9.0406000000000297</v>
      </c>
      <c r="AF958">
        <v>8.9260304401462705</v>
      </c>
      <c r="AG958">
        <v>-1.1153770000000001</v>
      </c>
      <c r="AH958">
        <v>122.374645586889</v>
      </c>
      <c r="AI958">
        <v>90.520821241052005</v>
      </c>
      <c r="AJ958">
        <v>85.828222566375899</v>
      </c>
      <c r="AK958">
        <v>122.704816400121</v>
      </c>
      <c r="AL958">
        <v>87.659331575376697</v>
      </c>
      <c r="AM958">
        <v>90.191754331853602</v>
      </c>
      <c r="AN958">
        <v>1.0000000377523399</v>
      </c>
    </row>
    <row r="959" spans="1:40" x14ac:dyDescent="0.25">
      <c r="A959" t="str">
        <f>"20190312160318080"</f>
        <v>20190312160318080</v>
      </c>
      <c r="B959" t="str">
        <f>"1552377798075217"</f>
        <v>1552377798075217</v>
      </c>
      <c r="C959" t="s">
        <v>40</v>
      </c>
      <c r="D959">
        <v>6.4800319999999996</v>
      </c>
      <c r="E959">
        <v>0.52109419999999995</v>
      </c>
      <c r="F959" t="s">
        <v>42</v>
      </c>
      <c r="G959">
        <v>-158.19499999999999</v>
      </c>
      <c r="H959">
        <v>8.712578E-2</v>
      </c>
      <c r="I959">
        <v>359.12040000000002</v>
      </c>
      <c r="J959">
        <v>-278.03480000000002</v>
      </c>
      <c r="K959">
        <v>1.0667</v>
      </c>
      <c r="L959">
        <v>367.95679999999999</v>
      </c>
      <c r="M959">
        <v>0.99994620000000001</v>
      </c>
      <c r="N959">
        <v>0</v>
      </c>
      <c r="O959">
        <v>-9.2514620000000002E-4</v>
      </c>
      <c r="P959">
        <v>0.99952759999999996</v>
      </c>
      <c r="Q959">
        <v>3.06542E-2</v>
      </c>
      <c r="R959">
        <v>2.284009E-3</v>
      </c>
      <c r="S959">
        <v>3.0026860000000002</v>
      </c>
      <c r="T959">
        <v>-2.4454119999999999E-2</v>
      </c>
      <c r="U959">
        <v>-0.22091669999999999</v>
      </c>
      <c r="V959">
        <v>-3.208144E-3</v>
      </c>
      <c r="W959">
        <v>4.0982999999999999E-2</v>
      </c>
      <c r="X959">
        <v>0.99915469999999895</v>
      </c>
      <c r="Y959">
        <v>7.2449650000000004E-2</v>
      </c>
      <c r="Z959">
        <v>-2.8709040000000002E-4</v>
      </c>
      <c r="AA959">
        <v>0.99737200000000004</v>
      </c>
      <c r="AB959">
        <v>49</v>
      </c>
      <c r="AC959">
        <v>119.8398</v>
      </c>
      <c r="AD959">
        <v>-0.97957422000000005</v>
      </c>
      <c r="AE959">
        <v>-8.8363999999999692</v>
      </c>
      <c r="AF959">
        <v>8.7249411621468091</v>
      </c>
      <c r="AG959">
        <v>-0.97957422000000005</v>
      </c>
      <c r="AH959">
        <v>119.839960324987</v>
      </c>
      <c r="AI959">
        <v>90.467090182979405</v>
      </c>
      <c r="AJ959">
        <v>85.835931118083295</v>
      </c>
      <c r="AK959">
        <v>120.16114286502901</v>
      </c>
      <c r="AL959">
        <v>87.6511892574418</v>
      </c>
      <c r="AM959">
        <v>90.183967987733595</v>
      </c>
      <c r="AN959">
        <v>1.0000000065045</v>
      </c>
    </row>
    <row r="960" spans="1:40" x14ac:dyDescent="0.25">
      <c r="A960" t="str">
        <f>"20190312160318094"</f>
        <v>20190312160318094</v>
      </c>
      <c r="B960" t="str">
        <f>"1552377798085953"</f>
        <v>1552377798085953</v>
      </c>
      <c r="C960" t="s">
        <v>40</v>
      </c>
      <c r="D960">
        <v>5.9103269999999997</v>
      </c>
      <c r="E960">
        <v>0.52086319999999997</v>
      </c>
      <c r="F960" t="s">
        <v>42</v>
      </c>
      <c r="G960">
        <v>-158.19499999999999</v>
      </c>
      <c r="H960">
        <v>6.1981390000000003</v>
      </c>
      <c r="I960">
        <v>361.57170000000002</v>
      </c>
      <c r="J960">
        <v>-277.7115</v>
      </c>
      <c r="K960">
        <v>1.068478</v>
      </c>
      <c r="L960">
        <v>367.95650000000001</v>
      </c>
      <c r="M960">
        <v>0.99994640000000001</v>
      </c>
      <c r="N960">
        <v>0</v>
      </c>
      <c r="O960">
        <v>-9.1923259999999996E-4</v>
      </c>
      <c r="P960">
        <v>0.99950859999999997</v>
      </c>
      <c r="Q960">
        <v>3.1282810000000001E-2</v>
      </c>
      <c r="R960">
        <v>2.0340940000000002E-3</v>
      </c>
      <c r="S960">
        <v>2.9978639999999999</v>
      </c>
      <c r="T960">
        <v>0.12836810000000001</v>
      </c>
      <c r="U960">
        <v>-0.15972900000000001</v>
      </c>
      <c r="V960">
        <v>-2.9522229999999999E-3</v>
      </c>
      <c r="W960">
        <v>4.1596639999999997E-2</v>
      </c>
      <c r="X960">
        <v>0.99913010000000002</v>
      </c>
      <c r="Y960">
        <v>5.2240580000000002E-2</v>
      </c>
      <c r="Z960">
        <v>1.077847E-3</v>
      </c>
      <c r="AA960">
        <v>0.99863389999999996</v>
      </c>
      <c r="AB960">
        <v>48</v>
      </c>
      <c r="AC960">
        <v>119.51649999999999</v>
      </c>
      <c r="AD960">
        <v>5.1296609999999996</v>
      </c>
      <c r="AE960">
        <v>-6.3847999999999798</v>
      </c>
      <c r="AF960">
        <v>6.2634227572835197</v>
      </c>
      <c r="AG960">
        <v>5.1296609999999996</v>
      </c>
      <c r="AH960">
        <v>119.303171731593</v>
      </c>
      <c r="AI960">
        <v>87.541360042197297</v>
      </c>
      <c r="AJ960">
        <v>86.994727651106203</v>
      </c>
      <c r="AK960">
        <v>119.577550869004</v>
      </c>
      <c r="AL960">
        <v>87.616000194413601</v>
      </c>
      <c r="AM960">
        <v>90.169296697009102</v>
      </c>
      <c r="AN960">
        <v>0.99999997640297</v>
      </c>
    </row>
    <row r="961" spans="1:40" x14ac:dyDescent="0.25">
      <c r="A961" t="str">
        <f>"20190312160318107"</f>
        <v>20190312160318107</v>
      </c>
      <c r="B961" t="str">
        <f>"1552377798095713"</f>
        <v>1552377798095713</v>
      </c>
      <c r="C961" t="s">
        <v>40</v>
      </c>
      <c r="D961">
        <v>5.9428890000000001</v>
      </c>
      <c r="E961">
        <v>0.52034020000000003</v>
      </c>
      <c r="F961" t="s">
        <v>42</v>
      </c>
      <c r="G961">
        <v>-158.19499999999999</v>
      </c>
      <c r="H961">
        <v>6.4028260000000001</v>
      </c>
      <c r="I961">
        <v>361.63549999999998</v>
      </c>
      <c r="J961">
        <v>-277.43310000000002</v>
      </c>
      <c r="K961">
        <v>1.070157</v>
      </c>
      <c r="L961">
        <v>367.9563</v>
      </c>
      <c r="M961">
        <v>0.99994539999999998</v>
      </c>
      <c r="N961">
        <v>0</v>
      </c>
      <c r="O961">
        <v>-9.1414540000000002E-4</v>
      </c>
      <c r="P961">
        <v>0.99950000000000006</v>
      </c>
      <c r="Q961">
        <v>3.1560339999999999E-2</v>
      </c>
      <c r="R961">
        <v>2.0197890000000001E-3</v>
      </c>
      <c r="S961">
        <v>2.99762</v>
      </c>
      <c r="T961">
        <v>0.1337941</v>
      </c>
      <c r="U961">
        <v>-0.15853879999999901</v>
      </c>
      <c r="V961">
        <v>-2.9326439999999999E-3</v>
      </c>
      <c r="W961">
        <v>4.1972530000000001E-2</v>
      </c>
      <c r="X961">
        <v>0.99911450000000002</v>
      </c>
      <c r="Y961">
        <v>5.1850920000000002E-2</v>
      </c>
      <c r="Z961">
        <v>1.1150050000000001E-3</v>
      </c>
      <c r="AA961">
        <v>0.99865420000000005</v>
      </c>
      <c r="AB961">
        <v>48</v>
      </c>
      <c r="AC961">
        <v>119.2381</v>
      </c>
      <c r="AD961">
        <v>5.3326690000000001</v>
      </c>
      <c r="AE961">
        <v>-6.32080000000001</v>
      </c>
      <c r="AF961">
        <v>6.1994255541358196</v>
      </c>
      <c r="AG961">
        <v>5.3326690000000001</v>
      </c>
      <c r="AH961">
        <v>119.006466697381</v>
      </c>
      <c r="AI961">
        <v>87.437767206822002</v>
      </c>
      <c r="AJ961">
        <v>87.017976007713301</v>
      </c>
      <c r="AK961">
        <v>119.287087950287</v>
      </c>
      <c r="AL961">
        <v>87.594444607769802</v>
      </c>
      <c r="AM961">
        <v>90.168176561804998</v>
      </c>
      <c r="AN961">
        <v>1.0000000388928401</v>
      </c>
    </row>
    <row r="962" spans="1:40" x14ac:dyDescent="0.25">
      <c r="A962" t="str">
        <f>"20190312160318119"</f>
        <v>20190312160318119</v>
      </c>
      <c r="B962" t="str">
        <f>"1552377798115233"</f>
        <v>1552377798115233</v>
      </c>
      <c r="C962" t="s">
        <v>40</v>
      </c>
      <c r="D962">
        <v>5.3523149999999999</v>
      </c>
      <c r="E962">
        <v>0.51987229999999995</v>
      </c>
      <c r="F962" t="s">
        <v>42</v>
      </c>
      <c r="G962">
        <v>-158.19499999999999</v>
      </c>
      <c r="H962">
        <v>6.6444099999999997</v>
      </c>
      <c r="I962">
        <v>361.82420000000002</v>
      </c>
      <c r="J962">
        <v>-277.1823</v>
      </c>
      <c r="K962">
        <v>1.071777</v>
      </c>
      <c r="L962">
        <v>367.95600000000002</v>
      </c>
      <c r="M962">
        <v>0.99994609999999995</v>
      </c>
      <c r="N962">
        <v>0</v>
      </c>
      <c r="O962">
        <v>-9.0943869999999996E-4</v>
      </c>
      <c r="P962">
        <v>0.99950079999999997</v>
      </c>
      <c r="Q962">
        <v>3.1550630000000003E-2</v>
      </c>
      <c r="R962">
        <v>1.7599899999999999E-3</v>
      </c>
      <c r="S962">
        <v>2.9973450000000001</v>
      </c>
      <c r="T962">
        <v>0.14012479999999999</v>
      </c>
      <c r="U962">
        <v>-0.15414430000000001</v>
      </c>
      <c r="V962">
        <v>-2.6682419999999999E-3</v>
      </c>
      <c r="W962">
        <v>4.190584E-2</v>
      </c>
      <c r="X962">
        <v>0.99911799999999995</v>
      </c>
      <c r="Y962">
        <v>5.0396860000000002E-2</v>
      </c>
      <c r="Z962">
        <v>1.134131E-3</v>
      </c>
      <c r="AA962">
        <v>0.99872859999999997</v>
      </c>
      <c r="AB962">
        <v>48</v>
      </c>
      <c r="AC962">
        <v>118.9873</v>
      </c>
      <c r="AD962">
        <v>5.5726329999999997</v>
      </c>
      <c r="AE962">
        <v>-6.1317999999999397</v>
      </c>
      <c r="AF962">
        <v>6.0104316021975199</v>
      </c>
      <c r="AG962">
        <v>5.5726329999999997</v>
      </c>
      <c r="AH962">
        <v>118.733087120969</v>
      </c>
      <c r="AI962">
        <v>87.316276248658198</v>
      </c>
      <c r="AJ962">
        <v>87.102082750575804</v>
      </c>
      <c r="AK962">
        <v>119.01565234822201</v>
      </c>
      <c r="AL962">
        <v>87.598268930783703</v>
      </c>
      <c r="AM962">
        <v>90.153013599867194</v>
      </c>
      <c r="AN962">
        <v>0.99999999843273801</v>
      </c>
    </row>
    <row r="963" spans="1:40" x14ac:dyDescent="0.25">
      <c r="A963" t="str">
        <f>"20190312160318129"</f>
        <v>20190312160318129</v>
      </c>
      <c r="B963" t="str">
        <f>"1552377798125970"</f>
        <v>1552377798125970</v>
      </c>
      <c r="C963" t="s">
        <v>40</v>
      </c>
      <c r="D963">
        <v>5.8945470000000002</v>
      </c>
      <c r="E963">
        <v>0.52052889999999996</v>
      </c>
      <c r="F963" t="s">
        <v>42</v>
      </c>
      <c r="G963">
        <v>-158.19499999999999</v>
      </c>
      <c r="H963">
        <v>6.6683050000000001</v>
      </c>
      <c r="I963">
        <v>361.95800000000003</v>
      </c>
      <c r="J963">
        <v>-276.96109999999999</v>
      </c>
      <c r="K963">
        <v>1.0732139999999999</v>
      </c>
      <c r="L963">
        <v>367.95580000000001</v>
      </c>
      <c r="M963">
        <v>0.99994660000000002</v>
      </c>
      <c r="N963">
        <v>0</v>
      </c>
      <c r="O963">
        <v>-9.0539189999999995E-4</v>
      </c>
      <c r="P963">
        <v>0.999498</v>
      </c>
      <c r="Q963">
        <v>3.1639529999999999E-2</v>
      </c>
      <c r="R963">
        <v>1.69234299999999E-3</v>
      </c>
      <c r="S963">
        <v>2.9973450000000001</v>
      </c>
      <c r="T963">
        <v>0.1409812</v>
      </c>
      <c r="U963">
        <v>-0.15109249999999999</v>
      </c>
      <c r="V963">
        <v>-2.5963000000000002E-3</v>
      </c>
      <c r="W963">
        <v>4.1927270000000003E-2</v>
      </c>
      <c r="X963">
        <v>0.99911729999999999</v>
      </c>
      <c r="Y963">
        <v>4.9387090000000002E-2</v>
      </c>
      <c r="Z963">
        <v>1.117556E-3</v>
      </c>
      <c r="AA963">
        <v>0.99877910000000003</v>
      </c>
      <c r="AB963">
        <v>48</v>
      </c>
      <c r="AC963">
        <v>118.76609999999999</v>
      </c>
      <c r="AD963">
        <v>5.595091</v>
      </c>
      <c r="AE963">
        <v>-5.9977999999999803</v>
      </c>
      <c r="AF963">
        <v>5.8772513761371297</v>
      </c>
      <c r="AG963">
        <v>5.595091</v>
      </c>
      <c r="AH963">
        <v>118.50913565531501</v>
      </c>
      <c r="AI963">
        <v>87.300253661503902</v>
      </c>
      <c r="AJ963">
        <v>87.160843060877994</v>
      </c>
      <c r="AK963">
        <v>118.786625344803</v>
      </c>
      <c r="AL963">
        <v>87.597040025026004</v>
      </c>
      <c r="AM963">
        <v>90.148888121058903</v>
      </c>
      <c r="AN963">
        <v>1.0000000079513101</v>
      </c>
    </row>
    <row r="964" spans="1:40" x14ac:dyDescent="0.25">
      <c r="A964" t="str">
        <f>"20190312160318139"</f>
        <v>20190312160318139</v>
      </c>
      <c r="B964" t="str">
        <f>"1552377798135728"</f>
        <v>1552377798135728</v>
      </c>
      <c r="C964" t="s">
        <v>40</v>
      </c>
      <c r="D964">
        <v>5.9199599999999997</v>
      </c>
      <c r="E964">
        <v>0.52188559999999995</v>
      </c>
      <c r="F964" t="s">
        <v>42</v>
      </c>
      <c r="G964">
        <v>-158.19499999999999</v>
      </c>
      <c r="H964">
        <v>6.0494909999999997</v>
      </c>
      <c r="I964">
        <v>361.7244</v>
      </c>
      <c r="J964">
        <v>-276.73020000000002</v>
      </c>
      <c r="K964">
        <v>1.074757</v>
      </c>
      <c r="L964">
        <v>367.9556</v>
      </c>
      <c r="M964">
        <v>0.99994810000000001</v>
      </c>
      <c r="N964">
        <v>0</v>
      </c>
      <c r="O964">
        <v>-9.0144550000000002E-4</v>
      </c>
      <c r="P964">
        <v>0.99950850000000002</v>
      </c>
      <c r="Q964">
        <v>3.129171E-2</v>
      </c>
      <c r="R964">
        <v>1.9658470000000002E-3</v>
      </c>
      <c r="S964">
        <v>2.9977719999999999</v>
      </c>
      <c r="T964">
        <v>0.125608199999999</v>
      </c>
      <c r="U964">
        <v>-0.1572876</v>
      </c>
      <c r="V964">
        <v>-2.866487E-3</v>
      </c>
      <c r="W964">
        <v>4.1437509999999997E-2</v>
      </c>
      <c r="X964">
        <v>0.99913700000000005</v>
      </c>
      <c r="Y964">
        <v>5.1451589999999998E-2</v>
      </c>
      <c r="Z964">
        <v>1.0389819999999999E-3</v>
      </c>
      <c r="AA964">
        <v>0.99867490000000003</v>
      </c>
      <c r="AB964">
        <v>48</v>
      </c>
      <c r="AC964">
        <v>118.5352</v>
      </c>
      <c r="AD964">
        <v>4.9747339999999998</v>
      </c>
      <c r="AE964">
        <v>-6.2312000000000003</v>
      </c>
      <c r="AF964">
        <v>6.1136004429027002</v>
      </c>
      <c r="AG964">
        <v>4.9747339999999998</v>
      </c>
      <c r="AH964">
        <v>118.33291819950399</v>
      </c>
      <c r="AI964">
        <v>87.5958968139267</v>
      </c>
      <c r="AJ964">
        <v>87.042476883968604</v>
      </c>
      <c r="AK964">
        <v>118.595124766395</v>
      </c>
      <c r="AL964">
        <v>87.625125630187995</v>
      </c>
      <c r="AM964">
        <v>90.164379015611402</v>
      </c>
      <c r="AN964">
        <v>1.0000000143758601</v>
      </c>
    </row>
    <row r="965" spans="1:40" x14ac:dyDescent="0.25">
      <c r="A965" t="str">
        <f>"20190312160318151"</f>
        <v>20190312160318151</v>
      </c>
      <c r="B965" t="str">
        <f>"1552377798145489"</f>
        <v>1552377798145489</v>
      </c>
      <c r="C965" t="s">
        <v>40</v>
      </c>
      <c r="D965">
        <v>5.7454070000000002</v>
      </c>
      <c r="E965">
        <v>0.52281339999999998</v>
      </c>
      <c r="F965" t="s">
        <v>42</v>
      </c>
      <c r="G965">
        <v>-158.19499999999999</v>
      </c>
      <c r="H965">
        <v>5.3989500000000001</v>
      </c>
      <c r="I965">
        <v>361.31290000000001</v>
      </c>
      <c r="J965">
        <v>-276.49599999999998</v>
      </c>
      <c r="K965">
        <v>1.076333</v>
      </c>
      <c r="L965">
        <v>367.9554</v>
      </c>
      <c r="M965">
        <v>0.9999498</v>
      </c>
      <c r="N965">
        <v>0</v>
      </c>
      <c r="O965">
        <v>-8.9743280000000004E-4</v>
      </c>
      <c r="P965">
        <v>0.99951599999999996</v>
      </c>
      <c r="Q965">
        <v>3.1056449999999999E-2</v>
      </c>
      <c r="R965">
        <v>1.897202E-3</v>
      </c>
      <c r="S965">
        <v>2.998383</v>
      </c>
      <c r="T965">
        <v>0.1093838</v>
      </c>
      <c r="U965">
        <v>-0.16802979999999901</v>
      </c>
      <c r="V965">
        <v>-2.7936390000000001E-3</v>
      </c>
      <c r="W965">
        <v>4.1045400000000003E-2</v>
      </c>
      <c r="X965">
        <v>0.99915339999999997</v>
      </c>
      <c r="Y965">
        <v>5.5020369999999999E-2</v>
      </c>
      <c r="Z965">
        <v>9.6977390000000004E-4</v>
      </c>
      <c r="AA965">
        <v>0.99848479999999995</v>
      </c>
      <c r="AB965">
        <v>48</v>
      </c>
      <c r="AC965">
        <v>118.301</v>
      </c>
      <c r="AD965">
        <v>4.3226170000000002</v>
      </c>
      <c r="AE965">
        <v>-6.6424999999999796</v>
      </c>
      <c r="AF965">
        <v>6.5276371238092601</v>
      </c>
      <c r="AG965">
        <v>4.3226170000000002</v>
      </c>
      <c r="AH965">
        <v>118.149666938146</v>
      </c>
      <c r="AI965">
        <v>87.907902127965599</v>
      </c>
      <c r="AJ965">
        <v>86.837687156147993</v>
      </c>
      <c r="AK965">
        <v>118.40877865151499</v>
      </c>
      <c r="AL965">
        <v>87.647611028777902</v>
      </c>
      <c r="AM965">
        <v>90.160198931493099</v>
      </c>
      <c r="AN965">
        <v>1.0000000230057899</v>
      </c>
    </row>
    <row r="966" spans="1:40" x14ac:dyDescent="0.25">
      <c r="A966" t="str">
        <f>"20190312160318161"</f>
        <v>20190312160318161</v>
      </c>
      <c r="B966" t="str">
        <f>"1552377798155249"</f>
        <v>1552377798155249</v>
      </c>
      <c r="C966" t="s">
        <v>40</v>
      </c>
      <c r="D966">
        <v>6.0319079999999996</v>
      </c>
      <c r="E966">
        <v>0.52409879999999998</v>
      </c>
      <c r="F966" t="s">
        <v>42</v>
      </c>
      <c r="G966">
        <v>-158.19499999999999</v>
      </c>
      <c r="H966">
        <v>4.6884790000000001</v>
      </c>
      <c r="I966">
        <v>360.9973</v>
      </c>
      <c r="J966">
        <v>-276.267</v>
      </c>
      <c r="K966">
        <v>1.077887</v>
      </c>
      <c r="L966">
        <v>367.95519999999999</v>
      </c>
      <c r="M966">
        <v>0.99995149999999999</v>
      </c>
      <c r="N966">
        <v>0</v>
      </c>
      <c r="O966">
        <v>-8.934492E-4</v>
      </c>
      <c r="P966">
        <v>0.99952929999999995</v>
      </c>
      <c r="Q966">
        <v>3.0608710000000001E-2</v>
      </c>
      <c r="R966">
        <v>2.0948719999999998E-3</v>
      </c>
      <c r="S966">
        <v>2.9989620000000001</v>
      </c>
      <c r="T966">
        <v>9.1571089999999994E-2</v>
      </c>
      <c r="U966">
        <v>-0.17639160000000001</v>
      </c>
      <c r="V966">
        <v>-2.9871469999999999E-3</v>
      </c>
      <c r="W966">
        <v>4.0420320000000003E-2</v>
      </c>
      <c r="X966">
        <v>0.99917829999999996</v>
      </c>
      <c r="Y966">
        <v>5.7797660000000001E-2</v>
      </c>
      <c r="Z966">
        <v>8.5418549999999999E-4</v>
      </c>
      <c r="AA966">
        <v>0.99832799999999999</v>
      </c>
      <c r="AB966">
        <v>48</v>
      </c>
      <c r="AC966">
        <v>118.072</v>
      </c>
      <c r="AD966">
        <v>3.610592</v>
      </c>
      <c r="AE966">
        <v>-6.9578999999999898</v>
      </c>
      <c r="AF966">
        <v>6.8460211814085401</v>
      </c>
      <c r="AG966">
        <v>3.610592</v>
      </c>
      <c r="AH966">
        <v>117.968238101531</v>
      </c>
      <c r="AI966">
        <v>88.249868121530099</v>
      </c>
      <c r="AJ966">
        <v>86.678693550346495</v>
      </c>
      <c r="AK966">
        <v>118.22186591906799</v>
      </c>
      <c r="AL966">
        <v>87.683455169738195</v>
      </c>
      <c r="AM966">
        <v>90.171291155930504</v>
      </c>
      <c r="AN966">
        <v>1.0000000002534899</v>
      </c>
    </row>
    <row r="967" spans="1:40" x14ac:dyDescent="0.25">
      <c r="A967" t="str">
        <f>"20190312160318183"</f>
        <v>20190312160318183</v>
      </c>
      <c r="B967" t="str">
        <f>"1552377798175276"</f>
        <v>1552377798175276</v>
      </c>
      <c r="C967" t="s">
        <v>40</v>
      </c>
      <c r="D967">
        <v>5.863486</v>
      </c>
      <c r="E967">
        <v>0.52453209999999995</v>
      </c>
      <c r="F967" t="s">
        <v>42</v>
      </c>
      <c r="G967">
        <v>-158.19499999999999</v>
      </c>
      <c r="H967">
        <v>4.6036140000000003</v>
      </c>
      <c r="I967">
        <v>360.62990000000002</v>
      </c>
      <c r="J967">
        <v>-275.79259999999999</v>
      </c>
      <c r="K967">
        <v>1.081099</v>
      </c>
      <c r="L967">
        <v>367.95479999999998</v>
      </c>
      <c r="M967">
        <v>0.99995489999999998</v>
      </c>
      <c r="N967">
        <v>0</v>
      </c>
      <c r="O967">
        <v>-8.853372E-4</v>
      </c>
      <c r="P967">
        <v>0.99952540000000001</v>
      </c>
      <c r="Q967">
        <v>3.0754480000000001E-2</v>
      </c>
      <c r="R967">
        <v>1.846713E-3</v>
      </c>
      <c r="S967">
        <v>2.9990540000000001</v>
      </c>
      <c r="T967">
        <v>8.9556339999999998E-2</v>
      </c>
      <c r="U967">
        <v>-0.1860657</v>
      </c>
      <c r="V967">
        <v>-2.7313179999999999E-3</v>
      </c>
      <c r="W967">
        <v>4.0220199999999998E-2</v>
      </c>
      <c r="X967">
        <v>0.99918709999999999</v>
      </c>
      <c r="Y967">
        <v>6.1011999999999997E-2</v>
      </c>
      <c r="Z967">
        <v>8.8347149999999999E-4</v>
      </c>
      <c r="AA967">
        <v>0.99813660000000004</v>
      </c>
      <c r="AB967">
        <v>48</v>
      </c>
      <c r="AC967">
        <v>117.5976</v>
      </c>
      <c r="AD967">
        <v>3.5225149999999998</v>
      </c>
      <c r="AE967">
        <v>-7.3248999999999498</v>
      </c>
      <c r="AF967">
        <v>7.2143309721917497</v>
      </c>
      <c r="AG967">
        <v>3.5225149999999998</v>
      </c>
      <c r="AH967">
        <v>117.499021787563</v>
      </c>
      <c r="AI967">
        <v>88.286064034984506</v>
      </c>
      <c r="AJ967">
        <v>86.486502957186104</v>
      </c>
      <c r="AK967">
        <v>117.772979941648</v>
      </c>
      <c r="AL967">
        <v>87.694930515398397</v>
      </c>
      <c r="AM967">
        <v>90.156619920458695</v>
      </c>
      <c r="AN967">
        <v>0.99999999269623296</v>
      </c>
    </row>
    <row r="968" spans="1:40" x14ac:dyDescent="0.25">
      <c r="A968" t="str">
        <f>"20190312160318194"</f>
        <v>20190312160318194</v>
      </c>
      <c r="B968" t="str">
        <f>"1552377798186011"</f>
        <v>1552377798186011</v>
      </c>
      <c r="C968" t="s">
        <v>40</v>
      </c>
      <c r="D968">
        <v>5.9344419999999998</v>
      </c>
      <c r="E968">
        <v>0.52537819999999902</v>
      </c>
      <c r="F968" t="s">
        <v>42</v>
      </c>
      <c r="G968">
        <v>-158.19499999999999</v>
      </c>
      <c r="H968">
        <v>4.4006489999999996</v>
      </c>
      <c r="I968">
        <v>360.47859999999997</v>
      </c>
      <c r="J968">
        <v>-275.55610000000001</v>
      </c>
      <c r="K968">
        <v>1.0826690000000001</v>
      </c>
      <c r="L968">
        <v>367.9545</v>
      </c>
      <c r="M968">
        <v>0.99995610000000001</v>
      </c>
      <c r="N968">
        <v>0</v>
      </c>
      <c r="O968">
        <v>-8.8136819999999995E-4</v>
      </c>
      <c r="P968">
        <v>0.99952110000000005</v>
      </c>
      <c r="Q968">
        <v>3.0898729999999999E-2</v>
      </c>
      <c r="R968">
        <v>1.842776E-3</v>
      </c>
      <c r="S968">
        <v>2.9992070000000002</v>
      </c>
      <c r="T968">
        <v>8.4663870000000002E-2</v>
      </c>
      <c r="U968">
        <v>-0.1906738</v>
      </c>
      <c r="V968">
        <v>-2.723217E-3</v>
      </c>
      <c r="W968">
        <v>4.023069E-2</v>
      </c>
      <c r="X968">
        <v>0.99918669999999998</v>
      </c>
      <c r="Y968">
        <v>6.2542539999999994E-2</v>
      </c>
      <c r="Z968">
        <v>8.5683310000000002E-4</v>
      </c>
      <c r="AA968">
        <v>0.99804190000000004</v>
      </c>
      <c r="AB968">
        <v>48</v>
      </c>
      <c r="AC968">
        <v>117.36109999999999</v>
      </c>
      <c r="AD968">
        <v>3.3179799999999902</v>
      </c>
      <c r="AE968">
        <v>-7.4759000000000198</v>
      </c>
      <c r="AF968">
        <v>7.3665900772915203</v>
      </c>
      <c r="AG968">
        <v>3.3179799999999902</v>
      </c>
      <c r="AH968">
        <v>117.27428748599399</v>
      </c>
      <c r="AI968">
        <v>88.3825789499964</v>
      </c>
      <c r="AJ968">
        <v>86.405685255776703</v>
      </c>
      <c r="AK968">
        <v>117.55226133935</v>
      </c>
      <c r="AL968">
        <v>87.694328996267998</v>
      </c>
      <c r="AM968">
        <v>90.156155455705303</v>
      </c>
      <c r="AN968">
        <v>0.99999999289279695</v>
      </c>
    </row>
    <row r="969" spans="1:40" x14ac:dyDescent="0.25">
      <c r="A969" t="str">
        <f>"20190312160318205"</f>
        <v>20190312160318205</v>
      </c>
      <c r="B969" t="str">
        <f>"1552377798195772"</f>
        <v>1552377798195772</v>
      </c>
      <c r="C969" t="s">
        <v>40</v>
      </c>
      <c r="D969">
        <v>5.8781889999999999</v>
      </c>
      <c r="E969">
        <v>0.52525650000000002</v>
      </c>
      <c r="F969" t="s">
        <v>42</v>
      </c>
      <c r="G969">
        <v>-158.19499999999999</v>
      </c>
      <c r="H969">
        <v>4.1988690000000002</v>
      </c>
      <c r="I969">
        <v>360.20940000000002</v>
      </c>
      <c r="J969">
        <v>-275.3159</v>
      </c>
      <c r="K969">
        <v>1.0842499999999999</v>
      </c>
      <c r="L969">
        <v>367.95429999999999</v>
      </c>
      <c r="M969">
        <v>0.99995710000000004</v>
      </c>
      <c r="N969">
        <v>0</v>
      </c>
      <c r="O969">
        <v>-8.7700210000000002E-4</v>
      </c>
      <c r="P969">
        <v>0.99951599999999996</v>
      </c>
      <c r="Q969">
        <v>3.1062349999999999E-2</v>
      </c>
      <c r="R969">
        <v>1.814235E-3</v>
      </c>
      <c r="S969">
        <v>2.9993289999999999</v>
      </c>
      <c r="T969">
        <v>7.9641100000000006E-2</v>
      </c>
      <c r="U969">
        <v>-0.197937</v>
      </c>
      <c r="V969">
        <v>-2.6903370000000001E-3</v>
      </c>
      <c r="W969">
        <v>4.0276430000000002E-2</v>
      </c>
      <c r="X969">
        <v>0.99918499999999999</v>
      </c>
      <c r="Y969">
        <v>6.4952880000000005E-2</v>
      </c>
      <c r="Z969">
        <v>8.3799959999999996E-4</v>
      </c>
      <c r="AA969">
        <v>0.997888</v>
      </c>
      <c r="AB969">
        <v>48</v>
      </c>
      <c r="AC969">
        <v>117.12090000000001</v>
      </c>
      <c r="AD969">
        <v>3.1146189999999998</v>
      </c>
      <c r="AE969">
        <v>-7.7448999999999701</v>
      </c>
      <c r="AF969">
        <v>7.6368001623710997</v>
      </c>
      <c r="AG969">
        <v>3.1146189999999998</v>
      </c>
      <c r="AH969">
        <v>117.0452337582</v>
      </c>
      <c r="AI969">
        <v>88.478929565512701</v>
      </c>
      <c r="AJ969">
        <v>86.266938207681804</v>
      </c>
      <c r="AK969">
        <v>117.335452075435</v>
      </c>
      <c r="AL969">
        <v>87.691706285231206</v>
      </c>
      <c r="AM969">
        <v>90.154270313371995</v>
      </c>
      <c r="AN969">
        <v>1.0000000464758501</v>
      </c>
    </row>
    <row r="970" spans="1:40" x14ac:dyDescent="0.25">
      <c r="A970" t="str">
        <f>"20190312160318217"</f>
        <v>20190312160318217</v>
      </c>
      <c r="B970" t="str">
        <f>"1552377798205531"</f>
        <v>1552377798205531</v>
      </c>
      <c r="C970" t="s">
        <v>40</v>
      </c>
      <c r="D970">
        <v>5.9702419999999998</v>
      </c>
      <c r="E970">
        <v>0.52504930000000005</v>
      </c>
      <c r="F970" t="s">
        <v>42</v>
      </c>
      <c r="G970">
        <v>-158.19499999999999</v>
      </c>
      <c r="H970">
        <v>4.3455640000000004</v>
      </c>
      <c r="I970">
        <v>360.28199999999998</v>
      </c>
      <c r="J970">
        <v>-275.07850000000002</v>
      </c>
      <c r="K970">
        <v>1.0857589999999999</v>
      </c>
      <c r="L970">
        <v>367.95420000000001</v>
      </c>
      <c r="M970">
        <v>0.9999576</v>
      </c>
      <c r="N970">
        <v>0</v>
      </c>
      <c r="O970">
        <v>-8.7289919999999997E-4</v>
      </c>
      <c r="P970">
        <v>0.9995134</v>
      </c>
      <c r="Q970">
        <v>3.1141510000000001E-2</v>
      </c>
      <c r="R970">
        <v>1.825251E-3</v>
      </c>
      <c r="S970">
        <v>2.9992070000000002</v>
      </c>
      <c r="T970">
        <v>8.3517190000000005E-2</v>
      </c>
      <c r="U970">
        <v>-0.19647220000000001</v>
      </c>
      <c r="V970">
        <v>-2.6970050000000001E-3</v>
      </c>
      <c r="W970">
        <v>4.0293580000000002E-2</v>
      </c>
      <c r="X970">
        <v>0.99918430000000003</v>
      </c>
      <c r="Y970">
        <v>6.4472299999999996E-2</v>
      </c>
      <c r="Z970">
        <v>8.7225039999999903E-4</v>
      </c>
      <c r="AA970">
        <v>0.99791909999999895</v>
      </c>
      <c r="AB970">
        <v>48</v>
      </c>
      <c r="AC970">
        <v>116.8835</v>
      </c>
      <c r="AD970">
        <v>3.2598050000000001</v>
      </c>
      <c r="AE970">
        <v>-7.6722000000000303</v>
      </c>
      <c r="AF970">
        <v>7.5643068789264998</v>
      </c>
      <c r="AG970">
        <v>3.2598050000000001</v>
      </c>
      <c r="AH970">
        <v>116.79969389253699</v>
      </c>
      <c r="AI970">
        <v>88.404666702702201</v>
      </c>
      <c r="AJ970">
        <v>86.294524147266799</v>
      </c>
      <c r="AK970">
        <v>117.089767104503</v>
      </c>
      <c r="AL970">
        <v>87.690722886111502</v>
      </c>
      <c r="AM970">
        <v>90.154652778818999</v>
      </c>
      <c r="AN970">
        <v>1.00000005589583</v>
      </c>
    </row>
    <row r="971" spans="1:40" x14ac:dyDescent="0.25">
      <c r="A971" t="str">
        <f>"20190312160318227"</f>
        <v>20190312160318227</v>
      </c>
      <c r="B971" t="str">
        <f>"1552377798215291"</f>
        <v>1552377798215291</v>
      </c>
      <c r="C971" t="s">
        <v>40</v>
      </c>
      <c r="D971">
        <v>6.0014320000000003</v>
      </c>
      <c r="E971">
        <v>0.52471769999999995</v>
      </c>
      <c r="F971" t="s">
        <v>42</v>
      </c>
      <c r="G971">
        <v>-158.19499999999999</v>
      </c>
      <c r="H971">
        <v>4.4962049999999998</v>
      </c>
      <c r="I971">
        <v>360.35879999999997</v>
      </c>
      <c r="J971">
        <v>-274.8467</v>
      </c>
      <c r="K971">
        <v>1.0872219999999999</v>
      </c>
      <c r="L971">
        <v>367.95389999999998</v>
      </c>
      <c r="M971">
        <v>0.99995829999999997</v>
      </c>
      <c r="N971">
        <v>0</v>
      </c>
      <c r="O971">
        <v>-8.6932509999999895E-4</v>
      </c>
      <c r="P971">
        <v>0.99950620000000001</v>
      </c>
      <c r="Q971">
        <v>3.1381480000000003E-2</v>
      </c>
      <c r="R971">
        <v>1.75184E-3</v>
      </c>
      <c r="S971">
        <v>2.9990540000000001</v>
      </c>
      <c r="T971">
        <v>8.7509039999999996E-2</v>
      </c>
      <c r="U971">
        <v>-0.19488530000000001</v>
      </c>
      <c r="V971">
        <v>-2.6202769999999998E-3</v>
      </c>
      <c r="W971">
        <v>4.0482249999999997E-2</v>
      </c>
      <c r="X971">
        <v>0.99917679999999998</v>
      </c>
      <c r="Y971">
        <v>6.3951179999999996E-2</v>
      </c>
      <c r="Z971">
        <v>9.0649670000000004E-4</v>
      </c>
      <c r="AA971">
        <v>0.99795259999999997</v>
      </c>
      <c r="AB971">
        <v>48</v>
      </c>
      <c r="AC971">
        <v>116.65170000000001</v>
      </c>
      <c r="AD971">
        <v>3.4089830000000001</v>
      </c>
      <c r="AE971">
        <v>-7.5951000000000004</v>
      </c>
      <c r="AF971">
        <v>7.4873173697083697</v>
      </c>
      <c r="AG971">
        <v>3.4089830000000001</v>
      </c>
      <c r="AH971">
        <v>116.559135292501</v>
      </c>
      <c r="AI971">
        <v>88.328202360027603</v>
      </c>
      <c r="AJ971">
        <v>86.324585864120607</v>
      </c>
      <c r="AK971">
        <v>116.84910400437199</v>
      </c>
      <c r="AL971">
        <v>87.679903883898305</v>
      </c>
      <c r="AM971">
        <v>90.150254158321403</v>
      </c>
      <c r="AN971">
        <v>0.99999997803742902</v>
      </c>
    </row>
    <row r="972" spans="1:40" x14ac:dyDescent="0.25">
      <c r="A972" t="str">
        <f>"20190312160318239"</f>
        <v>20190312160318239</v>
      </c>
      <c r="B972" t="str">
        <f>"1552377798235788"</f>
        <v>1552377798235788</v>
      </c>
      <c r="C972" t="s">
        <v>40</v>
      </c>
      <c r="D972">
        <v>5.9526339999999998</v>
      </c>
      <c r="E972">
        <v>0.52607409999999999</v>
      </c>
      <c r="F972" t="s">
        <v>42</v>
      </c>
      <c r="G972">
        <v>-158.19499999999999</v>
      </c>
      <c r="H972">
        <v>4.596336</v>
      </c>
      <c r="I972">
        <v>360.47309999999999</v>
      </c>
      <c r="J972">
        <v>-274.57740000000001</v>
      </c>
      <c r="K972">
        <v>1.088829</v>
      </c>
      <c r="L972">
        <v>367.95370000000003</v>
      </c>
      <c r="M972">
        <v>0.99995820000000002</v>
      </c>
      <c r="N972">
        <v>0</v>
      </c>
      <c r="O972">
        <v>-8.6444899999999999E-4</v>
      </c>
      <c r="P972">
        <v>0.99950499999999998</v>
      </c>
      <c r="Q972">
        <v>3.1407909999999997E-2</v>
      </c>
      <c r="R972">
        <v>1.7902829999999999E-3</v>
      </c>
      <c r="S972">
        <v>2.9989620000000001</v>
      </c>
      <c r="T972">
        <v>9.0216879999999999E-2</v>
      </c>
      <c r="U972">
        <v>-0.19232179999999999</v>
      </c>
      <c r="V972">
        <v>-2.6536250000000002E-3</v>
      </c>
      <c r="W972">
        <v>4.0512270000000003E-2</v>
      </c>
      <c r="X972">
        <v>0.99917549999999999</v>
      </c>
      <c r="Y972">
        <v>6.3107200000000002E-2</v>
      </c>
      <c r="Z972">
        <v>9.2205640000000001E-4</v>
      </c>
      <c r="AA972">
        <v>0.99800630000000001</v>
      </c>
      <c r="AB972">
        <v>48</v>
      </c>
      <c r="AC972">
        <v>116.3824</v>
      </c>
      <c r="AD972">
        <v>3.5075069999999999</v>
      </c>
      <c r="AE972">
        <v>-7.4806000000000301</v>
      </c>
      <c r="AF972">
        <v>7.3733168637983502</v>
      </c>
      <c r="AG972">
        <v>3.5075069999999999</v>
      </c>
      <c r="AH972">
        <v>116.283639169625</v>
      </c>
      <c r="AI972">
        <v>88.275750437345593</v>
      </c>
      <c r="AJ972">
        <v>86.371844530995602</v>
      </c>
      <c r="AK972">
        <v>116.569949581617</v>
      </c>
      <c r="AL972">
        <v>87.678182463383905</v>
      </c>
      <c r="AM972">
        <v>90.152166616819997</v>
      </c>
      <c r="AN972">
        <v>0.999999982773221</v>
      </c>
    </row>
    <row r="973" spans="1:40" x14ac:dyDescent="0.25">
      <c r="A973" t="str">
        <f>"20190312160318253"</f>
        <v>20190312160318253</v>
      </c>
      <c r="B973" t="str">
        <f>"1552377798245549"</f>
        <v>1552377798245549</v>
      </c>
      <c r="C973" t="s">
        <v>40</v>
      </c>
      <c r="D973">
        <v>6.0366790000000004</v>
      </c>
      <c r="E973">
        <v>0.52669309999999903</v>
      </c>
      <c r="F973" t="s">
        <v>42</v>
      </c>
      <c r="G973">
        <v>-158.19499999999999</v>
      </c>
      <c r="H973">
        <v>4.2514570000000003</v>
      </c>
      <c r="I973">
        <v>360.05759999999998</v>
      </c>
      <c r="J973">
        <v>-274.303</v>
      </c>
      <c r="K973">
        <v>1.090414</v>
      </c>
      <c r="L973">
        <v>367.95350000000002</v>
      </c>
      <c r="M973">
        <v>0.99995789999999996</v>
      </c>
      <c r="N973">
        <v>0</v>
      </c>
      <c r="O973">
        <v>-8.5978550000000002E-4</v>
      </c>
      <c r="P973">
        <v>0.9995115</v>
      </c>
      <c r="Q973">
        <v>3.121061E-2</v>
      </c>
      <c r="R973">
        <v>1.6687519999999999E-3</v>
      </c>
      <c r="S973">
        <v>2.9992679999999998</v>
      </c>
      <c r="T973">
        <v>8.1505659999999994E-2</v>
      </c>
      <c r="U973">
        <v>-0.20349120000000001</v>
      </c>
      <c r="V973">
        <v>-2.527385E-3</v>
      </c>
      <c r="W973">
        <v>4.0338840000000001E-2</v>
      </c>
      <c r="X973">
        <v>0.99918289999999998</v>
      </c>
      <c r="Y973">
        <v>6.6809250000000001E-2</v>
      </c>
      <c r="Z973">
        <v>8.8323340000000001E-4</v>
      </c>
      <c r="AA973">
        <v>0.99776540000000002</v>
      </c>
      <c r="AB973">
        <v>48</v>
      </c>
      <c r="AC973">
        <v>116.107999999999</v>
      </c>
      <c r="AD973">
        <v>3.1610429999999998</v>
      </c>
      <c r="AE973">
        <v>-7.8959000000000401</v>
      </c>
      <c r="AF973">
        <v>7.7903173232346896</v>
      </c>
      <c r="AG973">
        <v>3.1610429999999998</v>
      </c>
      <c r="AH973">
        <v>116.02914101982</v>
      </c>
      <c r="AI973">
        <v>88.442950759661301</v>
      </c>
      <c r="AJ973">
        <v>86.158866632036194</v>
      </c>
      <c r="AK973">
        <v>116.333326276874</v>
      </c>
      <c r="AL973">
        <v>87.688127529362404</v>
      </c>
      <c r="AM973">
        <v>90.144926604399899</v>
      </c>
      <c r="AN973">
        <v>1.0000000386699399</v>
      </c>
    </row>
    <row r="974" spans="1:40" x14ac:dyDescent="0.25">
      <c r="A974" t="str">
        <f>"20190312160318266"</f>
        <v>20190312160318266</v>
      </c>
      <c r="B974" t="str">
        <f>"1552377798255311"</f>
        <v>1552377798255311</v>
      </c>
      <c r="C974" t="s">
        <v>40</v>
      </c>
      <c r="D974">
        <v>5.8336759999999996</v>
      </c>
      <c r="E974">
        <v>0.52669309999999903</v>
      </c>
      <c r="F974" t="s">
        <v>42</v>
      </c>
      <c r="G974">
        <v>-158.19499999999999</v>
      </c>
      <c r="H974">
        <v>4.113791</v>
      </c>
      <c r="I974">
        <v>359.85879999999997</v>
      </c>
      <c r="J974">
        <v>-273.9941</v>
      </c>
      <c r="K974">
        <v>1.09212</v>
      </c>
      <c r="L974">
        <v>367.95319999999998</v>
      </c>
      <c r="M974">
        <v>0.9999574</v>
      </c>
      <c r="N974">
        <v>0</v>
      </c>
      <c r="O974">
        <v>-8.5468619999999997E-4</v>
      </c>
      <c r="P974">
        <v>0.99951029999999996</v>
      </c>
      <c r="Q974">
        <v>3.1242869999999999E-2</v>
      </c>
      <c r="R974">
        <v>1.7315539999999999E-3</v>
      </c>
      <c r="S974">
        <v>2.9993590000000001</v>
      </c>
      <c r="T974">
        <v>7.8103539999999999E-2</v>
      </c>
      <c r="U974">
        <v>-0.2091064</v>
      </c>
      <c r="V974">
        <v>-2.5855019999999999E-3</v>
      </c>
      <c r="W974">
        <v>4.0429840000000002E-2</v>
      </c>
      <c r="X974">
        <v>0.99917900000000004</v>
      </c>
      <c r="Y974">
        <v>6.8672659999999996E-2</v>
      </c>
      <c r="Z974">
        <v>8.7065989999999995E-4</v>
      </c>
      <c r="AA974">
        <v>0.9976389</v>
      </c>
      <c r="AB974">
        <v>48</v>
      </c>
      <c r="AC974">
        <v>115.7991</v>
      </c>
      <c r="AD974">
        <v>3.021671</v>
      </c>
      <c r="AE974">
        <v>-8.0944000000000091</v>
      </c>
      <c r="AF974">
        <v>7.9900070193127002</v>
      </c>
      <c r="AG974">
        <v>3.021671</v>
      </c>
      <c r="AH974">
        <v>115.727560296533</v>
      </c>
      <c r="AI974">
        <v>88.507885356891094</v>
      </c>
      <c r="AJ974">
        <v>86.050479597217105</v>
      </c>
      <c r="AK974">
        <v>116.042401388409</v>
      </c>
      <c r="AL974">
        <v>87.682909186906997</v>
      </c>
      <c r="AM974">
        <v>90.148259743137601</v>
      </c>
      <c r="AN974">
        <v>0.99999996541200797</v>
      </c>
    </row>
    <row r="975" spans="1:40" x14ac:dyDescent="0.25">
      <c r="A975" t="str">
        <f>"20190312160318281"</f>
        <v>20190312160318281</v>
      </c>
      <c r="B975" t="str">
        <f>"1552377798275335"</f>
        <v>1552377798275335</v>
      </c>
      <c r="C975" t="s">
        <v>40</v>
      </c>
      <c r="D975">
        <v>5.8162269999999996</v>
      </c>
      <c r="E975">
        <v>0.53645830000000005</v>
      </c>
      <c r="F975" t="s">
        <v>42</v>
      </c>
      <c r="G975">
        <v>-158.19499999999999</v>
      </c>
      <c r="H975">
        <v>4.108212</v>
      </c>
      <c r="I975">
        <v>359.90129999999999</v>
      </c>
      <c r="J975">
        <v>-273.71300000000002</v>
      </c>
      <c r="K975">
        <v>1.0935440000000001</v>
      </c>
      <c r="L975">
        <v>367.95299999999997</v>
      </c>
      <c r="M975">
        <v>0.99995679999999998</v>
      </c>
      <c r="N975">
        <v>0</v>
      </c>
      <c r="O975">
        <v>-8.4995820000000001E-4</v>
      </c>
      <c r="P975">
        <v>0.99951730000000005</v>
      </c>
      <c r="Q975">
        <v>3.1035130000000001E-2</v>
      </c>
      <c r="R975">
        <v>1.5280929999999999E-3</v>
      </c>
      <c r="S975">
        <v>2.99939</v>
      </c>
      <c r="T975">
        <v>7.812405E-2</v>
      </c>
      <c r="U975">
        <v>-0.2085571</v>
      </c>
      <c r="V975">
        <v>-2.3773069999999999E-3</v>
      </c>
      <c r="W975">
        <v>4.0308820000000002E-2</v>
      </c>
      <c r="X975">
        <v>0.99918439999999997</v>
      </c>
      <c r="Y975">
        <v>6.8494910000000006E-2</v>
      </c>
      <c r="Z975">
        <v>8.6869629999999996E-4</v>
      </c>
      <c r="AA975">
        <v>0.99765110000000001</v>
      </c>
      <c r="AB975">
        <v>48</v>
      </c>
      <c r="AC975">
        <v>115.51799999999901</v>
      </c>
      <c r="AD975">
        <v>3.0146679999999999</v>
      </c>
      <c r="AE975">
        <v>-8.0517000000000394</v>
      </c>
      <c r="AF975">
        <v>7.9481205086484703</v>
      </c>
      <c r="AG975">
        <v>3.0146679999999999</v>
      </c>
      <c r="AH975">
        <v>115.446557303118</v>
      </c>
      <c r="AI975">
        <v>88.5077001409269</v>
      </c>
      <c r="AJ975">
        <v>86.0615863570833</v>
      </c>
      <c r="AK975">
        <v>115.759096557948</v>
      </c>
      <c r="AL975">
        <v>87.689848764264994</v>
      </c>
      <c r="AM975">
        <v>90.1363205837565</v>
      </c>
      <c r="AN975">
        <v>0.99999995888086102</v>
      </c>
    </row>
    <row r="976" spans="1:40" x14ac:dyDescent="0.25">
      <c r="A976" t="str">
        <f>"20190312160318294"</f>
        <v>20190312160318294</v>
      </c>
      <c r="B976" t="str">
        <f>"1552377798285095"</f>
        <v>1552377798285095</v>
      </c>
      <c r="C976" t="s">
        <v>40</v>
      </c>
      <c r="D976">
        <v>5.7494899999999998</v>
      </c>
      <c r="E976">
        <v>0.53645830000000005</v>
      </c>
      <c r="F976" t="s">
        <v>41</v>
      </c>
      <c r="G976">
        <v>-237.3938</v>
      </c>
      <c r="H976" s="1">
        <v>-2.2648759999999999E-6</v>
      </c>
      <c r="I976">
        <v>364.3852</v>
      </c>
      <c r="J976">
        <v>-273.39670000000001</v>
      </c>
      <c r="K976">
        <v>1.0950679999999999</v>
      </c>
      <c r="L976">
        <v>367.95269999999999</v>
      </c>
      <c r="M976">
        <v>0.9999555</v>
      </c>
      <c r="N976">
        <v>0</v>
      </c>
      <c r="O976">
        <v>-8.4439529999999995E-4</v>
      </c>
      <c r="P976">
        <v>0.99952830000000004</v>
      </c>
      <c r="Q976">
        <v>3.0674469999999999E-2</v>
      </c>
      <c r="R976">
        <v>1.4755910000000001E-3</v>
      </c>
      <c r="S976">
        <v>3.0047000000000001</v>
      </c>
      <c r="T976">
        <v>-9.0469240000000006E-2</v>
      </c>
      <c r="U976">
        <v>-0.29516599999999998</v>
      </c>
      <c r="V976">
        <v>-2.3192030000000001E-3</v>
      </c>
      <c r="W976">
        <v>4.0059629999999999E-2</v>
      </c>
      <c r="X976">
        <v>0.99919460000000004</v>
      </c>
      <c r="Y976">
        <v>9.6880670000000002E-2</v>
      </c>
      <c r="Z976">
        <v>-1.429315E-3</v>
      </c>
      <c r="AA976">
        <v>0.99529500000000004</v>
      </c>
      <c r="AB976">
        <v>48</v>
      </c>
      <c r="AC976">
        <v>36.002899999999997</v>
      </c>
      <c r="AD976">
        <v>-1.095070264876</v>
      </c>
      <c r="AE976">
        <v>-3.5674999999999901</v>
      </c>
      <c r="AF976">
        <v>3.5338591687021399</v>
      </c>
      <c r="AG976">
        <v>-1.095070264876</v>
      </c>
      <c r="AH976">
        <v>35.972943139533399</v>
      </c>
      <c r="AI976">
        <v>91.735283010006</v>
      </c>
      <c r="AJ976">
        <v>84.389459978123995</v>
      </c>
      <c r="AK976">
        <v>36.162687643886997</v>
      </c>
      <c r="AL976">
        <v>87.704137937627806</v>
      </c>
      <c r="AM976">
        <v>90.132987413171506</v>
      </c>
      <c r="AN976">
        <v>1.00000000066372</v>
      </c>
    </row>
    <row r="977" spans="1:40" x14ac:dyDescent="0.25">
      <c r="A977" t="str">
        <f>"20190312160318306"</f>
        <v>20190312160318306</v>
      </c>
      <c r="B977" t="str">
        <f>"1552377798295832"</f>
        <v>1552377798295832</v>
      </c>
      <c r="C977" t="s">
        <v>40</v>
      </c>
      <c r="D977">
        <v>6.4101530000000002</v>
      </c>
      <c r="E977">
        <v>0.52220230000000001</v>
      </c>
      <c r="F977" t="s">
        <v>41</v>
      </c>
      <c r="G977">
        <v>-237.49029999999999</v>
      </c>
      <c r="H977" s="1">
        <v>-2.2217089999999999E-6</v>
      </c>
      <c r="I977">
        <v>364.42399999999998</v>
      </c>
      <c r="J977">
        <v>-273.13549999999998</v>
      </c>
      <c r="K977">
        <v>1.0962609999999999</v>
      </c>
      <c r="L977">
        <v>367.95249999999999</v>
      </c>
      <c r="M977">
        <v>0.99995460000000003</v>
      </c>
      <c r="N977">
        <v>0</v>
      </c>
      <c r="O977">
        <v>-8.4022779999999998E-4</v>
      </c>
      <c r="P977">
        <v>0.99952359999999896</v>
      </c>
      <c r="Q977">
        <v>3.083731E-2</v>
      </c>
      <c r="R977">
        <v>1.393196E-3</v>
      </c>
      <c r="S977">
        <v>3.0046689999999998</v>
      </c>
      <c r="T977">
        <v>-9.1635939999999999E-2</v>
      </c>
      <c r="U977">
        <v>-0.2952881</v>
      </c>
      <c r="V977">
        <v>-2.232464E-3</v>
      </c>
      <c r="W977">
        <v>4.0325020000000003E-2</v>
      </c>
      <c r="X977">
        <v>0.99918410000000002</v>
      </c>
      <c r="Y977">
        <v>9.6924709999999997E-2</v>
      </c>
      <c r="Z977">
        <v>-1.4485469999999999E-3</v>
      </c>
      <c r="AA977">
        <v>0.99529060000000003</v>
      </c>
      <c r="AB977">
        <v>48</v>
      </c>
      <c r="AC977">
        <v>35.645199999999903</v>
      </c>
      <c r="AD977">
        <v>-1.096263221709</v>
      </c>
      <c r="AE977">
        <v>-3.52849999999995</v>
      </c>
      <c r="AF977">
        <v>3.4952733537440701</v>
      </c>
      <c r="AG977">
        <v>-1.096263221709</v>
      </c>
      <c r="AH977">
        <v>35.614792520172799</v>
      </c>
      <c r="AI977">
        <v>91.754647082206404</v>
      </c>
      <c r="AJ977">
        <v>84.394881240445002</v>
      </c>
      <c r="AK977">
        <v>35.802683909500701</v>
      </c>
      <c r="AL977">
        <v>87.688919862476496</v>
      </c>
      <c r="AM977">
        <v>90.128014999708597</v>
      </c>
      <c r="AN977">
        <v>0.99999997841316002</v>
      </c>
    </row>
    <row r="978" spans="1:40" x14ac:dyDescent="0.25">
      <c r="A978" t="str">
        <f>"20190312160318320"</f>
        <v>20190312160318320</v>
      </c>
      <c r="B978" t="str">
        <f>"1552377798315351"</f>
        <v>1552377798315351</v>
      </c>
      <c r="C978" t="s">
        <v>40</v>
      </c>
      <c r="D978">
        <v>5.8601679999999998</v>
      </c>
      <c r="E978">
        <v>0.52939619999999998</v>
      </c>
      <c r="F978" t="s">
        <v>42</v>
      </c>
      <c r="G978">
        <v>-168.84350000000001</v>
      </c>
      <c r="H978">
        <v>9.9078739999999996</v>
      </c>
      <c r="I978">
        <v>362.17779999999999</v>
      </c>
      <c r="J978">
        <v>-272.8553</v>
      </c>
      <c r="K978">
        <v>1.0974189999999999</v>
      </c>
      <c r="L978">
        <v>367.9522</v>
      </c>
      <c r="M978">
        <v>0.99995339999999999</v>
      </c>
      <c r="N978">
        <v>0</v>
      </c>
      <c r="O978">
        <v>-8.3532949999999995E-4</v>
      </c>
      <c r="P978">
        <v>0.99952549999999996</v>
      </c>
      <c r="Q978">
        <v>3.0774289999999999E-2</v>
      </c>
      <c r="R978">
        <v>1.250197E-3</v>
      </c>
      <c r="S978">
        <v>2.9938660000000001</v>
      </c>
      <c r="T978">
        <v>0.2529536</v>
      </c>
      <c r="U978">
        <v>-0.16577149999999999</v>
      </c>
      <c r="V978">
        <v>-2.0847600000000002E-3</v>
      </c>
      <c r="W978">
        <v>4.0385049999999999E-2</v>
      </c>
      <c r="X978">
        <v>0.99918200000000001</v>
      </c>
      <c r="Y978">
        <v>5.4261810000000001E-2</v>
      </c>
      <c r="Z978">
        <v>2.2160880000000002E-3</v>
      </c>
      <c r="AA978">
        <v>0.99852430000000003</v>
      </c>
      <c r="AB978">
        <v>48</v>
      </c>
      <c r="AC978">
        <v>104.01179999999999</v>
      </c>
      <c r="AD978">
        <v>8.8104549999999993</v>
      </c>
      <c r="AE978">
        <v>-5.7744000000000097</v>
      </c>
      <c r="AF978">
        <v>5.6471153983695404</v>
      </c>
      <c r="AG978">
        <v>8.8104549999999993</v>
      </c>
      <c r="AH978">
        <v>103.277829678578</v>
      </c>
      <c r="AI978">
        <v>85.131238342359595</v>
      </c>
      <c r="AJ978">
        <v>86.870247918506905</v>
      </c>
      <c r="AK978">
        <v>103.806667091988</v>
      </c>
      <c r="AL978">
        <v>87.685477605185895</v>
      </c>
      <c r="AM978">
        <v>90.119545564237001</v>
      </c>
      <c r="AN978">
        <v>0.99999998380587996</v>
      </c>
    </row>
    <row r="979" spans="1:40" x14ac:dyDescent="0.25">
      <c r="A979" t="str">
        <f>"20190312160318330"</f>
        <v>20190312160318330</v>
      </c>
      <c r="B979" t="str">
        <f>"1552377798325113"</f>
        <v>1552377798325113</v>
      </c>
      <c r="C979" t="s">
        <v>40</v>
      </c>
      <c r="D979">
        <v>6.1114309999999996</v>
      </c>
      <c r="E979">
        <v>0.53089989999999998</v>
      </c>
      <c r="F979" t="s">
        <v>42</v>
      </c>
      <c r="G979">
        <v>-158.19499999999999</v>
      </c>
      <c r="H979">
        <v>6.0217599999999996</v>
      </c>
      <c r="I979">
        <v>359.19299999999998</v>
      </c>
      <c r="J979">
        <v>-272.60309999999998</v>
      </c>
      <c r="K979">
        <v>1.0984149999999999</v>
      </c>
      <c r="L979">
        <v>367.95209999999997</v>
      </c>
      <c r="M979">
        <v>0.99995230000000002</v>
      </c>
      <c r="N979">
        <v>0</v>
      </c>
      <c r="O979">
        <v>-8.3122789999999904E-4</v>
      </c>
      <c r="P979">
        <v>0.99952079999999999</v>
      </c>
      <c r="Q979">
        <v>3.0940539999999999E-2</v>
      </c>
      <c r="R979">
        <v>1.005868E-3</v>
      </c>
      <c r="S979">
        <v>2.9977109999999998</v>
      </c>
      <c r="T979">
        <v>0.12874559999999999</v>
      </c>
      <c r="U979">
        <v>-0.22900390000000001</v>
      </c>
      <c r="V979">
        <v>-1.836035E-3</v>
      </c>
      <c r="W979">
        <v>4.0664730000000003E-2</v>
      </c>
      <c r="X979">
        <v>0.99917109999999998</v>
      </c>
      <c r="Y979">
        <v>7.5273870000000007E-2</v>
      </c>
      <c r="Z979">
        <v>1.577705E-3</v>
      </c>
      <c r="AA979">
        <v>0.99716159999999998</v>
      </c>
      <c r="AB979">
        <v>48</v>
      </c>
      <c r="AC979">
        <v>114.4081</v>
      </c>
      <c r="AD979">
        <v>4.9233449999999896</v>
      </c>
      <c r="AE979">
        <v>-8.7590999999999308</v>
      </c>
      <c r="AF979">
        <v>8.6480716142568905</v>
      </c>
      <c r="AG979">
        <v>4.9233449999999896</v>
      </c>
      <c r="AH979">
        <v>114.20508278682701</v>
      </c>
      <c r="AI979">
        <v>87.538563791134905</v>
      </c>
      <c r="AJ979">
        <v>85.6695958373233</v>
      </c>
      <c r="AK979">
        <v>114.637818380238</v>
      </c>
      <c r="AL979">
        <v>87.669439842737702</v>
      </c>
      <c r="AM979">
        <v>90.105284208215195</v>
      </c>
      <c r="AN979">
        <v>0.99999993918285002</v>
      </c>
    </row>
    <row r="980" spans="1:40" x14ac:dyDescent="0.25">
      <c r="A980" t="str">
        <f>"20190312160318343"</f>
        <v>20190312160318343</v>
      </c>
      <c r="B980" t="str">
        <f>"1552377798335847"</f>
        <v>1552377798335847</v>
      </c>
      <c r="C980" t="s">
        <v>40</v>
      </c>
      <c r="D980">
        <v>5.8632400000000002</v>
      </c>
      <c r="E980">
        <v>0.53162279999999995</v>
      </c>
      <c r="F980" t="s">
        <v>42</v>
      </c>
      <c r="G980">
        <v>-158.19499999999999</v>
      </c>
      <c r="H980">
        <v>4.8174890000000001</v>
      </c>
      <c r="I980">
        <v>358.67</v>
      </c>
      <c r="J980">
        <v>-272.34199999999998</v>
      </c>
      <c r="K980">
        <v>1.0993660000000001</v>
      </c>
      <c r="L980">
        <v>367.95179999999999</v>
      </c>
      <c r="M980">
        <v>0.99995120000000004</v>
      </c>
      <c r="N980">
        <v>0</v>
      </c>
      <c r="O980">
        <v>-8.2705569999999996E-4</v>
      </c>
      <c r="P980">
        <v>0.99952289999999999</v>
      </c>
      <c r="Q980">
        <v>3.087372E-2</v>
      </c>
      <c r="R980">
        <v>9.8713230000000004E-4</v>
      </c>
      <c r="S980">
        <v>2.9986570000000001</v>
      </c>
      <c r="T980">
        <v>9.7479819999999995E-2</v>
      </c>
      <c r="U980">
        <v>-0.24328610000000001</v>
      </c>
      <c r="V980">
        <v>-1.813638E-3</v>
      </c>
      <c r="W980">
        <v>4.0720470000000002E-2</v>
      </c>
      <c r="X980">
        <v>0.99916890000000003</v>
      </c>
      <c r="Y980">
        <v>8.000003E-2</v>
      </c>
      <c r="Z980">
        <v>1.2710039999999901E-3</v>
      </c>
      <c r="AA980">
        <v>0.99679399999999996</v>
      </c>
      <c r="AB980">
        <v>48</v>
      </c>
      <c r="AC980">
        <v>114.14700000000001</v>
      </c>
      <c r="AD980">
        <v>3.7181229999999998</v>
      </c>
      <c r="AE980">
        <v>-9.2817999999999703</v>
      </c>
      <c r="AF980">
        <v>9.1777126628711994</v>
      </c>
      <c r="AG980">
        <v>3.7181229999999998</v>
      </c>
      <c r="AH980">
        <v>114.034441228687</v>
      </c>
      <c r="AI980">
        <v>88.138532297263197</v>
      </c>
      <c r="AJ980">
        <v>85.398642462190594</v>
      </c>
      <c r="AK980">
        <v>114.463569028335</v>
      </c>
      <c r="AL980">
        <v>87.666243596418894</v>
      </c>
      <c r="AM980">
        <v>90.104000123343695</v>
      </c>
      <c r="AN980">
        <v>0.99999996834351201</v>
      </c>
    </row>
    <row r="981" spans="1:40" x14ac:dyDescent="0.25">
      <c r="A981" t="str">
        <f>"20190312160318355"</f>
        <v>20190312160318355</v>
      </c>
      <c r="B981" t="str">
        <f>"1552377798345607"</f>
        <v>1552377798345607</v>
      </c>
      <c r="C981" t="s">
        <v>40</v>
      </c>
      <c r="D981">
        <v>5.8713280000000001</v>
      </c>
      <c r="E981">
        <v>0.53208789999999995</v>
      </c>
      <c r="F981" t="s">
        <v>42</v>
      </c>
      <c r="G981">
        <v>-158.19499999999999</v>
      </c>
      <c r="H981">
        <v>3.9390040000000002</v>
      </c>
      <c r="I981">
        <v>358.41660000000002</v>
      </c>
      <c r="J981">
        <v>-272.0804</v>
      </c>
      <c r="K981">
        <v>1.100247</v>
      </c>
      <c r="L981">
        <v>367.95159999999998</v>
      </c>
      <c r="M981">
        <v>0.99995009999999995</v>
      </c>
      <c r="N981">
        <v>0</v>
      </c>
      <c r="O981">
        <v>-8.2302009999999997E-4</v>
      </c>
      <c r="P981">
        <v>0.99952470000000004</v>
      </c>
      <c r="Q981">
        <v>3.082296E-2</v>
      </c>
      <c r="R981">
        <v>8.9251429999999995E-4</v>
      </c>
      <c r="S981">
        <v>2.9993590000000001</v>
      </c>
      <c r="T981">
        <v>7.4617390000000006E-2</v>
      </c>
      <c r="U981">
        <v>-0.25054929999999997</v>
      </c>
      <c r="V981">
        <v>-1.7145330000000001E-3</v>
      </c>
      <c r="W981">
        <v>4.0793839999999998E-2</v>
      </c>
      <c r="X981">
        <v>0.99916609999999995</v>
      </c>
      <c r="Y981">
        <v>8.239908E-2</v>
      </c>
      <c r="Z981">
        <v>1.0025769999999999E-3</v>
      </c>
      <c r="AA981">
        <v>0.99659889999999995</v>
      </c>
      <c r="AB981">
        <v>48</v>
      </c>
      <c r="AC981">
        <v>113.8854</v>
      </c>
      <c r="AD981">
        <v>2.83875699999999</v>
      </c>
      <c r="AE981">
        <v>-9.5349999999999593</v>
      </c>
      <c r="AF981">
        <v>9.4354404649163897</v>
      </c>
      <c r="AG981">
        <v>2.83875699999999</v>
      </c>
      <c r="AH981">
        <v>113.82298029366299</v>
      </c>
      <c r="AI981">
        <v>88.576214967420896</v>
      </c>
      <c r="AJ981">
        <v>85.261258406308102</v>
      </c>
      <c r="AK981">
        <v>114.24866266615</v>
      </c>
      <c r="AL981">
        <v>87.662036350795404</v>
      </c>
      <c r="AM981">
        <v>90.098317395192694</v>
      </c>
      <c r="AN981">
        <v>0.99999998619728103</v>
      </c>
    </row>
    <row r="982" spans="1:40" x14ac:dyDescent="0.25">
      <c r="A982" t="str">
        <f>"20190312160318368"</f>
        <v>20190312160318368</v>
      </c>
      <c r="B982" t="str">
        <f>"1552377798365634"</f>
        <v>1552377798365634</v>
      </c>
      <c r="C982" t="s">
        <v>40</v>
      </c>
      <c r="D982">
        <v>5.8710430000000002</v>
      </c>
      <c r="E982">
        <v>0.53276060000000003</v>
      </c>
      <c r="F982" t="s">
        <v>42</v>
      </c>
      <c r="G982">
        <v>-158.19499999999999</v>
      </c>
      <c r="H982">
        <v>3.3291230000000001</v>
      </c>
      <c r="I982">
        <v>358.26249999999999</v>
      </c>
      <c r="J982">
        <v>-271.7955</v>
      </c>
      <c r="K982">
        <v>1.101153</v>
      </c>
      <c r="L982">
        <v>367.95139999999998</v>
      </c>
      <c r="M982">
        <v>0.99994859999999997</v>
      </c>
      <c r="N982">
        <v>0</v>
      </c>
      <c r="O982">
        <v>-8.1821729999999998E-4</v>
      </c>
      <c r="P982">
        <v>0.9995269</v>
      </c>
      <c r="Q982">
        <v>3.075342E-2</v>
      </c>
      <c r="R982">
        <v>7.0292070000000002E-4</v>
      </c>
      <c r="S982">
        <v>2.9998170000000002</v>
      </c>
      <c r="T982">
        <v>5.8712359999999998E-2</v>
      </c>
      <c r="U982">
        <v>-0.25521850000000001</v>
      </c>
      <c r="V982">
        <v>-1.5206179999999901E-3</v>
      </c>
      <c r="W982">
        <v>4.0859590000000001E-2</v>
      </c>
      <c r="X982">
        <v>0.99916369999999999</v>
      </c>
      <c r="Y982">
        <v>8.3940630000000002E-2</v>
      </c>
      <c r="Z982">
        <v>8.0389860000000004E-4</v>
      </c>
      <c r="AA982">
        <v>0.99647050000000004</v>
      </c>
      <c r="AB982">
        <v>48</v>
      </c>
      <c r="AC982">
        <v>113.6005</v>
      </c>
      <c r="AD982">
        <v>2.22797</v>
      </c>
      <c r="AE982">
        <v>-9.6888999999999896</v>
      </c>
      <c r="AF982">
        <v>9.59227915449957</v>
      </c>
      <c r="AG982">
        <v>2.22797</v>
      </c>
      <c r="AH982">
        <v>113.565023432025</v>
      </c>
      <c r="AI982">
        <v>88.880076499091203</v>
      </c>
      <c r="AJ982">
        <v>85.171967079107503</v>
      </c>
      <c r="AK982">
        <v>113.991184820648</v>
      </c>
      <c r="AL982">
        <v>87.658265945696201</v>
      </c>
      <c r="AM982">
        <v>90.087197849948694</v>
      </c>
      <c r="AN982">
        <v>0.999999958885879</v>
      </c>
    </row>
    <row r="983" spans="1:40" x14ac:dyDescent="0.25">
      <c r="A983" t="str">
        <f>"20190312160318380"</f>
        <v>20190312160318380</v>
      </c>
      <c r="B983" t="str">
        <f>"1552377798375394"</f>
        <v>1552377798375394</v>
      </c>
      <c r="C983" t="s">
        <v>40</v>
      </c>
      <c r="D983">
        <v>6.0324790000000004</v>
      </c>
      <c r="E983">
        <v>0.53151630000000005</v>
      </c>
      <c r="F983" t="s">
        <v>42</v>
      </c>
      <c r="G983">
        <v>-158.19499999999999</v>
      </c>
      <c r="H983">
        <v>2.6010409999999999</v>
      </c>
      <c r="I983">
        <v>358.04109999999997</v>
      </c>
      <c r="J983">
        <v>-271.5274</v>
      </c>
      <c r="K983">
        <v>1.101904</v>
      </c>
      <c r="L983">
        <v>367.9511</v>
      </c>
      <c r="M983">
        <v>0.99994720000000004</v>
      </c>
      <c r="N983">
        <v>0</v>
      </c>
      <c r="O983">
        <v>-8.1397570000000001E-4</v>
      </c>
      <c r="P983">
        <v>0.99953479999999995</v>
      </c>
      <c r="Q983">
        <v>3.0491750000000001E-2</v>
      </c>
      <c r="R983">
        <v>6.2215320000000003E-4</v>
      </c>
      <c r="S983">
        <v>3.000397</v>
      </c>
      <c r="T983">
        <v>3.9617060000000003E-2</v>
      </c>
      <c r="U983">
        <v>-0.26174930000000002</v>
      </c>
      <c r="V983">
        <v>-1.4353429999999999E-3</v>
      </c>
      <c r="W983">
        <v>4.0725709999999998E-2</v>
      </c>
      <c r="X983">
        <v>0.99916930000000004</v>
      </c>
      <c r="Y983">
        <v>8.6089799999999994E-2</v>
      </c>
      <c r="Z983">
        <v>5.565333E-4</v>
      </c>
      <c r="AA983">
        <v>0.99628720000000004</v>
      </c>
      <c r="AB983">
        <v>48</v>
      </c>
      <c r="AC983">
        <v>113.33240000000001</v>
      </c>
      <c r="AD983">
        <v>1.4991369999999999</v>
      </c>
      <c r="AE983">
        <v>-9.9100000000000197</v>
      </c>
      <c r="AF983">
        <v>9.81603753437855</v>
      </c>
      <c r="AG983">
        <v>1.4991369999999999</v>
      </c>
      <c r="AH983">
        <v>113.32075160309201</v>
      </c>
      <c r="AI983">
        <v>89.244897129579996</v>
      </c>
      <c r="AJ983">
        <v>85.049299029735096</v>
      </c>
      <c r="AK983">
        <v>113.754976807658</v>
      </c>
      <c r="AL983">
        <v>87.665943113812205</v>
      </c>
      <c r="AM983">
        <v>90.082307412250501</v>
      </c>
      <c r="AN983">
        <v>0.99999996686351</v>
      </c>
    </row>
    <row r="984" spans="1:40" x14ac:dyDescent="0.25">
      <c r="A984" t="str">
        <f>"20190312160318392"</f>
        <v>20190312160318392</v>
      </c>
      <c r="B984" t="str">
        <f>"1552377798385154"</f>
        <v>1552377798385154</v>
      </c>
      <c r="C984" t="s">
        <v>40</v>
      </c>
      <c r="D984">
        <v>5.9215400000000002</v>
      </c>
      <c r="E984">
        <v>0.53096709999999903</v>
      </c>
      <c r="F984" t="s">
        <v>42</v>
      </c>
      <c r="G984">
        <v>-158.19499999999999</v>
      </c>
      <c r="H984">
        <v>2.87791</v>
      </c>
      <c r="I984">
        <v>358.43689999999998</v>
      </c>
      <c r="J984">
        <v>-271.27019999999999</v>
      </c>
      <c r="K984">
        <v>1.102587</v>
      </c>
      <c r="L984">
        <v>367.95100000000002</v>
      </c>
      <c r="M984">
        <v>0.99994609999999995</v>
      </c>
      <c r="N984">
        <v>0</v>
      </c>
      <c r="O984">
        <v>-8.1006570000000003E-4</v>
      </c>
      <c r="P984">
        <v>0.99953409999999998</v>
      </c>
      <c r="Q984">
        <v>3.0519939999999999E-2</v>
      </c>
      <c r="R984">
        <v>5.2255889999999999E-4</v>
      </c>
      <c r="S984">
        <v>3.0001220000000002</v>
      </c>
      <c r="T984">
        <v>4.7016500000000003E-2</v>
      </c>
      <c r="U984">
        <v>-0.25186160000000002</v>
      </c>
      <c r="V984">
        <v>-1.331947E-3</v>
      </c>
      <c r="W984">
        <v>4.0873880000000001E-2</v>
      </c>
      <c r="X984">
        <v>0.99916340000000003</v>
      </c>
      <c r="Y984">
        <v>8.2838889999999998E-2</v>
      </c>
      <c r="Z984">
        <v>6.3525439999999995E-4</v>
      </c>
      <c r="AA984">
        <v>0.99656279999999997</v>
      </c>
      <c r="AB984">
        <v>48</v>
      </c>
      <c r="AC984">
        <v>113.0752</v>
      </c>
      <c r="AD984">
        <v>1.775323</v>
      </c>
      <c r="AE984">
        <v>-9.5140999999999796</v>
      </c>
      <c r="AF984">
        <v>9.4201878603652407</v>
      </c>
      <c r="AG984">
        <v>1.775323</v>
      </c>
      <c r="AH984">
        <v>113.055197954932</v>
      </c>
      <c r="AI984">
        <v>89.103455981266293</v>
      </c>
      <c r="AJ984">
        <v>85.236901186711805</v>
      </c>
      <c r="AK984">
        <v>113.460872091254</v>
      </c>
      <c r="AL984">
        <v>87.657446539899297</v>
      </c>
      <c r="AM984">
        <v>90.076378794929695</v>
      </c>
      <c r="AN984">
        <v>0.99999997402431196</v>
      </c>
    </row>
    <row r="985" spans="1:40" x14ac:dyDescent="0.25">
      <c r="A985" t="str">
        <f>"20190312160318405"</f>
        <v>20190312160318405</v>
      </c>
      <c r="B985" t="str">
        <f>"1552377798395890"</f>
        <v>1552377798395890</v>
      </c>
      <c r="C985" t="s">
        <v>40</v>
      </c>
      <c r="D985">
        <v>6.1405320000000003</v>
      </c>
      <c r="E985">
        <v>0.53172900000000001</v>
      </c>
      <c r="F985" t="s">
        <v>42</v>
      </c>
      <c r="G985">
        <v>-158.19499999999999</v>
      </c>
      <c r="H985">
        <v>3.0832259999999998</v>
      </c>
      <c r="I985">
        <v>358.62450000000001</v>
      </c>
      <c r="J985">
        <v>-270.97879999999998</v>
      </c>
      <c r="K985">
        <v>1.103307</v>
      </c>
      <c r="L985">
        <v>367.95069999999998</v>
      </c>
      <c r="M985">
        <v>0.99994459999999996</v>
      </c>
      <c r="N985">
        <v>0</v>
      </c>
      <c r="O985">
        <v>-8.055219E-4</v>
      </c>
      <c r="P985">
        <v>0.99953340000000002</v>
      </c>
      <c r="Q985">
        <v>3.055068E-2</v>
      </c>
      <c r="R985">
        <v>1.164065E-4</v>
      </c>
      <c r="S985">
        <v>2.9999389999999999</v>
      </c>
      <c r="T985">
        <v>5.2549600000000002E-2</v>
      </c>
      <c r="U985">
        <v>-0.2474365</v>
      </c>
      <c r="V985">
        <v>-9.2125140000000002E-4</v>
      </c>
      <c r="W985">
        <v>4.1039689999999997E-2</v>
      </c>
      <c r="X985">
        <v>0.99915710000000002</v>
      </c>
      <c r="Y985">
        <v>8.1386239999999999E-2</v>
      </c>
      <c r="Z985">
        <v>6.9746849999999998E-4</v>
      </c>
      <c r="AA985">
        <v>0.99668239999999997</v>
      </c>
      <c r="AB985">
        <v>48</v>
      </c>
      <c r="AC985">
        <v>112.7838</v>
      </c>
      <c r="AD985">
        <v>1.979919</v>
      </c>
      <c r="AE985">
        <v>-9.3261999999999698</v>
      </c>
      <c r="AF985">
        <v>9.2325162154861093</v>
      </c>
      <c r="AG985">
        <v>1.979919</v>
      </c>
      <c r="AH985">
        <v>112.756763135876</v>
      </c>
      <c r="AI985">
        <v>88.997389711264702</v>
      </c>
      <c r="AJ985">
        <v>85.319067601515101</v>
      </c>
      <c r="AK985">
        <v>113.15143422774599</v>
      </c>
      <c r="AL985">
        <v>87.647938427476902</v>
      </c>
      <c r="AM985">
        <v>90.052828331133</v>
      </c>
      <c r="AN985">
        <v>1.00000000766992</v>
      </c>
    </row>
    <row r="986" spans="1:40" x14ac:dyDescent="0.25">
      <c r="A986" t="str">
        <f>"20190312160318418"</f>
        <v>20190312160318418</v>
      </c>
      <c r="B986" t="str">
        <f>"1552377798415410"</f>
        <v>1552377798415410</v>
      </c>
      <c r="C986" t="s">
        <v>40</v>
      </c>
      <c r="D986">
        <v>6.0477999999999996</v>
      </c>
      <c r="E986">
        <v>0.5289104</v>
      </c>
      <c r="F986" t="s">
        <v>42</v>
      </c>
      <c r="G986">
        <v>-158.19499999999999</v>
      </c>
      <c r="H986">
        <v>3.093855</v>
      </c>
      <c r="I986">
        <v>358.37020000000001</v>
      </c>
      <c r="J986">
        <v>-270.7122</v>
      </c>
      <c r="K986">
        <v>1.1038859999999999</v>
      </c>
      <c r="L986">
        <v>367.95049999999998</v>
      </c>
      <c r="M986">
        <v>0.99994340000000004</v>
      </c>
      <c r="N986">
        <v>0</v>
      </c>
      <c r="O986">
        <v>-8.0197690000000002E-4</v>
      </c>
      <c r="P986">
        <v>0.99953320000000001</v>
      </c>
      <c r="Q986">
        <v>3.0553070000000002E-2</v>
      </c>
      <c r="R986">
        <v>1.121796E-4</v>
      </c>
      <c r="S986">
        <v>2.9998170000000002</v>
      </c>
      <c r="T986">
        <v>5.2946809999999997E-2</v>
      </c>
      <c r="U986">
        <v>-0.25482179999999999</v>
      </c>
      <c r="V986">
        <v>-9.131473E-4</v>
      </c>
      <c r="W986">
        <v>4.1161650000000001E-2</v>
      </c>
      <c r="X986">
        <v>0.99915209999999999</v>
      </c>
      <c r="Y986">
        <v>8.3828959999999994E-2</v>
      </c>
      <c r="Z986">
        <v>7.2427509999999995E-4</v>
      </c>
      <c r="AA986">
        <v>0.99647989999999997</v>
      </c>
      <c r="AB986">
        <v>48</v>
      </c>
      <c r="AC986">
        <v>112.5172</v>
      </c>
      <c r="AD986">
        <v>1.9899690000000001</v>
      </c>
      <c r="AE986">
        <v>-9.5802999999999603</v>
      </c>
      <c r="AF986">
        <v>9.4871095172879905</v>
      </c>
      <c r="AG986">
        <v>1.9899690000000001</v>
      </c>
      <c r="AH986">
        <v>112.48991479844901</v>
      </c>
      <c r="AI986">
        <v>88.990116398127398</v>
      </c>
      <c r="AJ986">
        <v>85.179229739793996</v>
      </c>
      <c r="AK986">
        <v>112.906802961452</v>
      </c>
      <c r="AL986">
        <v>87.640944746913405</v>
      </c>
      <c r="AM986">
        <v>90.052363871123404</v>
      </c>
      <c r="AN986">
        <v>1.0000000171015599</v>
      </c>
    </row>
    <row r="987" spans="1:40" x14ac:dyDescent="0.25">
      <c r="A987" t="str">
        <f>"20190312160318430"</f>
        <v>20190312160318430</v>
      </c>
      <c r="B987" t="str">
        <f>"1552377798425171"</f>
        <v>1552377798425171</v>
      </c>
      <c r="C987" t="s">
        <v>40</v>
      </c>
      <c r="D987">
        <v>6.00291</v>
      </c>
      <c r="E987">
        <v>0.52695519999999996</v>
      </c>
      <c r="F987" t="s">
        <v>42</v>
      </c>
      <c r="G987">
        <v>-158.19499999999999</v>
      </c>
      <c r="H987">
        <v>3.1802709999999998</v>
      </c>
      <c r="I987">
        <v>359.2441</v>
      </c>
      <c r="J987">
        <v>-270.48160000000001</v>
      </c>
      <c r="K987">
        <v>1.104371</v>
      </c>
      <c r="L987">
        <v>367.95030000000003</v>
      </c>
      <c r="M987">
        <v>0.9999422</v>
      </c>
      <c r="N987">
        <v>0</v>
      </c>
      <c r="O987">
        <v>-7.985841E-4</v>
      </c>
      <c r="P987">
        <v>0.99953130000000001</v>
      </c>
      <c r="Q987">
        <v>3.0615239999999998E-2</v>
      </c>
      <c r="R987">
        <v>1.7157189999999901E-4</v>
      </c>
      <c r="S987">
        <v>2.9997560000000001</v>
      </c>
      <c r="T987">
        <v>5.5359600000000002E-2</v>
      </c>
      <c r="U987">
        <v>-0.23211670000000001</v>
      </c>
      <c r="V987">
        <v>-9.6983620000000003E-4</v>
      </c>
      <c r="W987">
        <v>4.1325540000000001E-2</v>
      </c>
      <c r="X987">
        <v>0.99914530000000001</v>
      </c>
      <c r="Y987">
        <v>7.6338859999999994E-2</v>
      </c>
      <c r="Z987">
        <v>6.8857949999999999E-4</v>
      </c>
      <c r="AA987">
        <v>0.99708169999999996</v>
      </c>
      <c r="AB987">
        <v>48</v>
      </c>
      <c r="AC987">
        <v>112.28660000000001</v>
      </c>
      <c r="AD987">
        <v>2.0758999999999999</v>
      </c>
      <c r="AE987">
        <v>-8.7062000000000204</v>
      </c>
      <c r="AF987">
        <v>8.6135953437289601</v>
      </c>
      <c r="AG987">
        <v>2.0758999999999999</v>
      </c>
      <c r="AH987">
        <v>112.25537894419899</v>
      </c>
      <c r="AI987">
        <v>88.943674128454902</v>
      </c>
      <c r="AJ987">
        <v>85.612170386676496</v>
      </c>
      <c r="AK987">
        <v>112.60450029843901</v>
      </c>
      <c r="AL987">
        <v>87.631546589042202</v>
      </c>
      <c r="AM987">
        <v>90.055615037799996</v>
      </c>
      <c r="AN987">
        <v>1.00000003567531</v>
      </c>
    </row>
    <row r="988" spans="1:40" x14ac:dyDescent="0.25">
      <c r="A988" t="str">
        <f>"20190312160318439"</f>
        <v>20190312160318439</v>
      </c>
      <c r="B988" t="str">
        <f>"1552377798435907"</f>
        <v>1552377798435907</v>
      </c>
      <c r="C988" t="s">
        <v>40</v>
      </c>
      <c r="D988">
        <v>6.0000600000000004</v>
      </c>
      <c r="E988">
        <v>0.52508809999999995</v>
      </c>
      <c r="F988" t="s">
        <v>42</v>
      </c>
      <c r="G988">
        <v>-158.19499999999999</v>
      </c>
      <c r="H988">
        <v>2.9893209999999999</v>
      </c>
      <c r="I988">
        <v>359.84019999999998</v>
      </c>
      <c r="J988">
        <v>-270.24549999999999</v>
      </c>
      <c r="K988">
        <v>1.1048129999999901</v>
      </c>
      <c r="L988">
        <v>367.95010000000002</v>
      </c>
      <c r="M988">
        <v>0.99994130000000003</v>
      </c>
      <c r="N988">
        <v>0</v>
      </c>
      <c r="O988">
        <v>-7.9613959999999995E-4</v>
      </c>
      <c r="P988">
        <v>0.99952759999999996</v>
      </c>
      <c r="Q988">
        <v>3.07429E-2</v>
      </c>
      <c r="R988">
        <v>1.490827E-4</v>
      </c>
      <c r="S988">
        <v>2.999908</v>
      </c>
      <c r="T988">
        <v>5.0361629999999998E-2</v>
      </c>
      <c r="U988">
        <v>-0.2166748</v>
      </c>
      <c r="V988">
        <v>-9.4457649999999998E-4</v>
      </c>
      <c r="W988">
        <v>4.1553279999999998E-2</v>
      </c>
      <c r="X988">
        <v>0.99913589999999997</v>
      </c>
      <c r="Y988">
        <v>7.123546E-2</v>
      </c>
      <c r="Z988">
        <v>5.8377319999999996E-4</v>
      </c>
      <c r="AA988">
        <v>0.9974594</v>
      </c>
      <c r="AB988">
        <v>48</v>
      </c>
      <c r="AC988">
        <v>112.0505</v>
      </c>
      <c r="AD988">
        <v>1.8845080000000001</v>
      </c>
      <c r="AE988">
        <v>-8.1099000000000299</v>
      </c>
      <c r="AF988">
        <v>8.0184281239843997</v>
      </c>
      <c r="AG988">
        <v>1.8845080000000001</v>
      </c>
      <c r="AH988">
        <v>112.02539932822199</v>
      </c>
      <c r="AI988">
        <v>89.038711591728003</v>
      </c>
      <c r="AJ988">
        <v>85.905929212513797</v>
      </c>
      <c r="AK988">
        <v>112.32780891047901</v>
      </c>
      <c r="AL988">
        <v>87.618486881347096</v>
      </c>
      <c r="AM988">
        <v>90.054167036489801</v>
      </c>
      <c r="AN988">
        <v>1.00000005698616</v>
      </c>
    </row>
    <row r="989" spans="1:40" x14ac:dyDescent="0.25">
      <c r="A989" t="str">
        <f>"20190312160318452"</f>
        <v>20190312160318452</v>
      </c>
      <c r="B989" t="str">
        <f>"1552377798445667"</f>
        <v>1552377798445667</v>
      </c>
      <c r="C989" t="s">
        <v>40</v>
      </c>
      <c r="D989">
        <v>6.0025430000000002</v>
      </c>
      <c r="E989">
        <v>0.52354699999999998</v>
      </c>
      <c r="F989" t="s">
        <v>42</v>
      </c>
      <c r="G989">
        <v>-158.19499999999999</v>
      </c>
      <c r="H989">
        <v>2.8886560000000001</v>
      </c>
      <c r="I989">
        <v>360.40550000000002</v>
      </c>
      <c r="J989">
        <v>-269.97919999999999</v>
      </c>
      <c r="K989">
        <v>1.105278</v>
      </c>
      <c r="L989">
        <v>367.94990000000001</v>
      </c>
      <c r="M989">
        <v>0.9999401</v>
      </c>
      <c r="N989">
        <v>0</v>
      </c>
      <c r="O989">
        <v>-7.9351509999999999E-4</v>
      </c>
      <c r="P989">
        <v>0.99952819999999998</v>
      </c>
      <c r="Q989">
        <v>3.0716609999999998E-2</v>
      </c>
      <c r="R989">
        <v>2.3964510000000001E-4</v>
      </c>
      <c r="S989">
        <v>2.9999690000000001</v>
      </c>
      <c r="T989">
        <v>4.77618E-2</v>
      </c>
      <c r="U989">
        <v>-0.2019958</v>
      </c>
      <c r="V989">
        <v>-1.0322350000000001E-3</v>
      </c>
      <c r="W989">
        <v>4.1636659999999999E-2</v>
      </c>
      <c r="X989">
        <v>0.99913229999999997</v>
      </c>
      <c r="Y989">
        <v>6.6380449999999994E-2</v>
      </c>
      <c r="Z989">
        <v>5.1516379999999996E-4</v>
      </c>
      <c r="AA989">
        <v>0.99779430000000002</v>
      </c>
      <c r="AB989">
        <v>48</v>
      </c>
      <c r="AC989">
        <v>111.7842</v>
      </c>
      <c r="AD989">
        <v>1.7833779999999999</v>
      </c>
      <c r="AE989">
        <v>-7.5443999999999898</v>
      </c>
      <c r="AF989">
        <v>7.4538013313625697</v>
      </c>
      <c r="AG989">
        <v>1.7833779999999999</v>
      </c>
      <c r="AH989">
        <v>111.761834850632</v>
      </c>
      <c r="AI989">
        <v>89.087837774904202</v>
      </c>
      <c r="AJ989">
        <v>86.184387695922396</v>
      </c>
      <c r="AK989">
        <v>112.024315755814</v>
      </c>
      <c r="AL989">
        <v>87.613705321024298</v>
      </c>
      <c r="AM989">
        <v>90.059194050601207</v>
      </c>
      <c r="AN989">
        <v>1.0000000149341699</v>
      </c>
    </row>
    <row r="990" spans="1:40" x14ac:dyDescent="0.25">
      <c r="A990" t="str">
        <f>"20190312160318464"</f>
        <v>20190312160318464</v>
      </c>
      <c r="B990" t="str">
        <f>"1552377798455426"</f>
        <v>1552377798455426</v>
      </c>
      <c r="C990" t="s">
        <v>40</v>
      </c>
      <c r="D990">
        <v>6.4663519999999997</v>
      </c>
      <c r="E990">
        <v>0.52224110000000001</v>
      </c>
      <c r="F990" t="s">
        <v>42</v>
      </c>
      <c r="G990">
        <v>-158.19499999999999</v>
      </c>
      <c r="H990">
        <v>2.775328</v>
      </c>
      <c r="I990">
        <v>360.88409999999999</v>
      </c>
      <c r="J990">
        <v>-269.71510000000001</v>
      </c>
      <c r="K990">
        <v>1.105699</v>
      </c>
      <c r="L990">
        <v>367.94970000000001</v>
      </c>
      <c r="M990">
        <v>0.99993869999999896</v>
      </c>
      <c r="N990">
        <v>0</v>
      </c>
      <c r="O990">
        <v>-7.912269E-4</v>
      </c>
      <c r="P990">
        <v>0.99953479999999995</v>
      </c>
      <c r="Q990">
        <v>3.0495459999999999E-2</v>
      </c>
      <c r="R990">
        <v>1.6389090000000001E-4</v>
      </c>
      <c r="S990">
        <v>3.0001220000000002</v>
      </c>
      <c r="T990">
        <v>4.4824000000000003E-2</v>
      </c>
      <c r="U990">
        <v>-0.1896362</v>
      </c>
      <c r="V990">
        <v>-9.5458279999999999E-4</v>
      </c>
      <c r="W990">
        <v>4.152136E-2</v>
      </c>
      <c r="X990">
        <v>0.99913719999999995</v>
      </c>
      <c r="Y990">
        <v>6.2287049999999997E-2</v>
      </c>
      <c r="Z990">
        <v>4.5300750000000002E-4</v>
      </c>
      <c r="AA990">
        <v>0.99805820000000001</v>
      </c>
      <c r="AB990">
        <v>48</v>
      </c>
      <c r="AC990">
        <v>111.5201</v>
      </c>
      <c r="AD990">
        <v>1.669629</v>
      </c>
      <c r="AE990">
        <v>-7.0656000000000097</v>
      </c>
      <c r="AF990">
        <v>6.97579734813021</v>
      </c>
      <c r="AG990">
        <v>1.669629</v>
      </c>
      <c r="AH990">
        <v>111.50076324054</v>
      </c>
      <c r="AI990">
        <v>89.143782373434306</v>
      </c>
      <c r="AJ990">
        <v>86.420082796769904</v>
      </c>
      <c r="AK990">
        <v>111.731238303631</v>
      </c>
      <c r="AL990">
        <v>87.620317300649205</v>
      </c>
      <c r="AM990">
        <v>90.054740779338701</v>
      </c>
      <c r="AN990">
        <v>1.0000000394941999</v>
      </c>
    </row>
    <row r="991" spans="1:40" x14ac:dyDescent="0.25">
      <c r="A991" t="str">
        <f>"20190312160318476"</f>
        <v>20190312160318476</v>
      </c>
      <c r="B991" t="str">
        <f>"1552377798465695"</f>
        <v>1552377798465695</v>
      </c>
      <c r="C991" t="s">
        <v>40</v>
      </c>
      <c r="D991">
        <v>6.0467209999999998</v>
      </c>
      <c r="E991">
        <v>0.52111839999999998</v>
      </c>
      <c r="F991" t="s">
        <v>42</v>
      </c>
      <c r="G991">
        <v>-158.19499999999999</v>
      </c>
      <c r="H991">
        <v>2.63008</v>
      </c>
      <c r="I991">
        <v>361.2842</v>
      </c>
      <c r="J991">
        <v>-269.46469999999999</v>
      </c>
      <c r="K991">
        <v>1.106053</v>
      </c>
      <c r="L991">
        <v>367.9495</v>
      </c>
      <c r="M991">
        <v>0.99993779999999999</v>
      </c>
      <c r="N991">
        <v>0</v>
      </c>
      <c r="O991">
        <v>-7.877092E-4</v>
      </c>
      <c r="P991">
        <v>0.99953289999999995</v>
      </c>
      <c r="Q991">
        <v>3.0562389999999998E-2</v>
      </c>
      <c r="R991">
        <v>2.7239540000000001E-4</v>
      </c>
      <c r="S991">
        <v>3.0001829999999998</v>
      </c>
      <c r="T991">
        <v>4.1012170000000001E-2</v>
      </c>
      <c r="U991">
        <v>-0.17932129999999999</v>
      </c>
      <c r="V991">
        <v>-1.059389E-3</v>
      </c>
      <c r="W991">
        <v>4.1682869999999997E-2</v>
      </c>
      <c r="X991">
        <v>0.99913030000000003</v>
      </c>
      <c r="Y991">
        <v>5.8871859999999998E-2</v>
      </c>
      <c r="Z991">
        <v>3.9125009999999998E-4</v>
      </c>
      <c r="AA991">
        <v>0.99826539999999997</v>
      </c>
      <c r="AB991">
        <v>48</v>
      </c>
      <c r="AC991">
        <v>111.2697</v>
      </c>
      <c r="AD991">
        <v>1.52402699999999</v>
      </c>
      <c r="AE991">
        <v>-6.6653000000000002</v>
      </c>
      <c r="AF991">
        <v>6.5764150201572003</v>
      </c>
      <c r="AG991">
        <v>1.52402699999999</v>
      </c>
      <c r="AH991">
        <v>111.25411953388</v>
      </c>
      <c r="AI991">
        <v>89.216543851569995</v>
      </c>
      <c r="AJ991">
        <v>86.617088217153693</v>
      </c>
      <c r="AK991">
        <v>111.458741272602</v>
      </c>
      <c r="AL991">
        <v>87.611055275554307</v>
      </c>
      <c r="AM991">
        <v>90.060751331248397</v>
      </c>
      <c r="AN991">
        <v>0.99999997016728903</v>
      </c>
    </row>
    <row r="992" spans="1:40" x14ac:dyDescent="0.25">
      <c r="A992" t="str">
        <f>"20190312160318489"</f>
        <v>20190312160318489</v>
      </c>
      <c r="B992" t="str">
        <f>"1552377798485214"</f>
        <v>1552377798485214</v>
      </c>
      <c r="C992" t="s">
        <v>40</v>
      </c>
      <c r="D992">
        <v>6.0451169999999896</v>
      </c>
      <c r="E992">
        <v>0.51936729999999998</v>
      </c>
      <c r="F992" t="s">
        <v>42</v>
      </c>
      <c r="G992">
        <v>-158.19499999999999</v>
      </c>
      <c r="H992">
        <v>2.522799</v>
      </c>
      <c r="I992">
        <v>361.63990000000001</v>
      </c>
      <c r="J992">
        <v>-269.19439999999997</v>
      </c>
      <c r="K992">
        <v>1.1064149999999999</v>
      </c>
      <c r="L992">
        <v>367.94929999999999</v>
      </c>
      <c r="M992">
        <v>0.99993679999999996</v>
      </c>
      <c r="N992">
        <v>0</v>
      </c>
      <c r="O992">
        <v>-7.831572E-4</v>
      </c>
      <c r="P992">
        <v>0.99954030000000005</v>
      </c>
      <c r="Q992">
        <v>3.0325149999999999E-2</v>
      </c>
      <c r="R992">
        <v>1.769129E-4</v>
      </c>
      <c r="S992">
        <v>3.000305</v>
      </c>
      <c r="T992">
        <v>3.8203840000000003E-2</v>
      </c>
      <c r="U992">
        <v>-0.1701355</v>
      </c>
      <c r="V992">
        <v>-9.5934600000000003E-4</v>
      </c>
      <c r="W992">
        <v>4.1545650000000003E-2</v>
      </c>
      <c r="X992">
        <v>0.99913609999999997</v>
      </c>
      <c r="Y992">
        <v>5.582869E-2</v>
      </c>
      <c r="Z992">
        <v>3.4517819999999998E-4</v>
      </c>
      <c r="AA992">
        <v>0.99844029999999995</v>
      </c>
      <c r="AB992">
        <v>48</v>
      </c>
      <c r="AC992">
        <v>110.999399999999</v>
      </c>
      <c r="AD992">
        <v>1.4163840000000001</v>
      </c>
      <c r="AE992">
        <v>-6.3093999999999797</v>
      </c>
      <c r="AF992">
        <v>6.2214528730675998</v>
      </c>
      <c r="AG992">
        <v>1.4163840000000001</v>
      </c>
      <c r="AH992">
        <v>110.986294388902</v>
      </c>
      <c r="AI992">
        <v>89.269988798541206</v>
      </c>
      <c r="AJ992">
        <v>86.791582893146099</v>
      </c>
      <c r="AK992">
        <v>111.169555911982</v>
      </c>
      <c r="AL992">
        <v>87.618924180248101</v>
      </c>
      <c r="AM992">
        <v>90.055013986583901</v>
      </c>
      <c r="AN992">
        <v>0.99999995385093898</v>
      </c>
    </row>
    <row r="993" spans="1:40" x14ac:dyDescent="0.25">
      <c r="A993" t="str">
        <f>"20190312160318500"</f>
        <v>20190312160318500</v>
      </c>
      <c r="B993" t="str">
        <f>"1552377798495950"</f>
        <v>1552377798495950</v>
      </c>
      <c r="C993" t="s">
        <v>40</v>
      </c>
      <c r="D993">
        <v>6.0262479999999998</v>
      </c>
      <c r="E993">
        <v>0.51859189999999999</v>
      </c>
      <c r="F993" t="s">
        <v>42</v>
      </c>
      <c r="G993">
        <v>-158.19499999999999</v>
      </c>
      <c r="H993">
        <v>2.394142</v>
      </c>
      <c r="I993">
        <v>362.15750000000003</v>
      </c>
      <c r="J993">
        <v>-268.93209999999999</v>
      </c>
      <c r="K993">
        <v>1.106722</v>
      </c>
      <c r="L993">
        <v>367.94909999999999</v>
      </c>
      <c r="M993">
        <v>0.99993569999999998</v>
      </c>
      <c r="N993">
        <v>0</v>
      </c>
      <c r="O993">
        <v>-7.7784269999999997E-4</v>
      </c>
      <c r="P993">
        <v>0.99953999999999998</v>
      </c>
      <c r="Q993">
        <v>3.0323760000000002E-2</v>
      </c>
      <c r="R993">
        <v>3.3905250000000001E-4</v>
      </c>
      <c r="S993">
        <v>3.0003660000000001</v>
      </c>
      <c r="T993">
        <v>3.4810189999999998E-2</v>
      </c>
      <c r="U993">
        <v>-0.15655520000000001</v>
      </c>
      <c r="V993">
        <v>-1.1160860000000001E-3</v>
      </c>
      <c r="W993">
        <v>4.1635220000000001E-2</v>
      </c>
      <c r="X993">
        <v>0.99913229999999997</v>
      </c>
      <c r="Y993">
        <v>5.1327560000000001E-2</v>
      </c>
      <c r="Z993">
        <v>2.8851970000000002E-4</v>
      </c>
      <c r="AA993">
        <v>0.99868179999999995</v>
      </c>
      <c r="AB993">
        <v>48</v>
      </c>
      <c r="AC993">
        <v>110.7371</v>
      </c>
      <c r="AD993">
        <v>1.28742</v>
      </c>
      <c r="AE993">
        <v>-5.7915999999999599</v>
      </c>
      <c r="AF993">
        <v>5.7046877370559601</v>
      </c>
      <c r="AG993">
        <v>1.28742</v>
      </c>
      <c r="AH993">
        <v>110.726646541825</v>
      </c>
      <c r="AI993">
        <v>89.334733589091897</v>
      </c>
      <c r="AJ993">
        <v>87.050702749598599</v>
      </c>
      <c r="AK993">
        <v>110.880977479602</v>
      </c>
      <c r="AL993">
        <v>87.613787970451995</v>
      </c>
      <c r="AM993">
        <v>90.064002525767293</v>
      </c>
      <c r="AN993">
        <v>1.0000000450478399</v>
      </c>
    </row>
    <row r="994" spans="1:40" x14ac:dyDescent="0.25">
      <c r="A994" t="str">
        <f>"20190312160318511"</f>
        <v>20190312160318511</v>
      </c>
      <c r="B994" t="str">
        <f>"1552377798505711"</f>
        <v>1552377798505711</v>
      </c>
      <c r="C994" t="s">
        <v>40</v>
      </c>
      <c r="D994">
        <v>5.9795170000000004</v>
      </c>
      <c r="E994">
        <v>0.51793040000000001</v>
      </c>
      <c r="F994" t="s">
        <v>42</v>
      </c>
      <c r="G994">
        <v>-158.19499999999999</v>
      </c>
      <c r="H994">
        <v>2.3431579999999999</v>
      </c>
      <c r="I994">
        <v>362.41090000000003</v>
      </c>
      <c r="J994">
        <v>-268.71660000000003</v>
      </c>
      <c r="K994">
        <v>1.1069549999999999</v>
      </c>
      <c r="L994">
        <v>367.94889999999998</v>
      </c>
      <c r="M994">
        <v>0.99993489999999996</v>
      </c>
      <c r="N994">
        <v>0</v>
      </c>
      <c r="O994">
        <v>-7.7349660000000002E-4</v>
      </c>
      <c r="P994">
        <v>0.99954030000000005</v>
      </c>
      <c r="Q994">
        <v>3.032116E-2</v>
      </c>
      <c r="R994">
        <v>3.3557599999999997E-4</v>
      </c>
      <c r="S994">
        <v>3.000397</v>
      </c>
      <c r="T994">
        <v>3.3503289999999998E-2</v>
      </c>
      <c r="U994">
        <v>-0.15005489999999999</v>
      </c>
      <c r="V994">
        <v>-1.1084599999999999E-3</v>
      </c>
      <c r="W994">
        <v>4.1705260000000001E-2</v>
      </c>
      <c r="X994">
        <v>0.99912939999999995</v>
      </c>
      <c r="Y994">
        <v>4.9173660000000001E-2</v>
      </c>
      <c r="Z994">
        <v>2.6573169999999998E-4</v>
      </c>
      <c r="AA994">
        <v>0.99879019999999996</v>
      </c>
      <c r="AB994">
        <v>48</v>
      </c>
      <c r="AC994">
        <v>110.52160000000001</v>
      </c>
      <c r="AD994">
        <v>1.2362029999999999</v>
      </c>
      <c r="AE994">
        <v>-5.5379999999999496</v>
      </c>
      <c r="AF994">
        <v>5.4518243623372902</v>
      </c>
      <c r="AG994">
        <v>1.2362029999999999</v>
      </c>
      <c r="AH994">
        <v>110.512059513908</v>
      </c>
      <c r="AI994">
        <v>89.359886689965904</v>
      </c>
      <c r="AJ994">
        <v>87.17575170728</v>
      </c>
      <c r="AK994">
        <v>110.65335912090799</v>
      </c>
      <c r="AL994">
        <v>87.609771515776899</v>
      </c>
      <c r="AM994">
        <v>90.063565393734194</v>
      </c>
      <c r="AN994">
        <v>1.0000000576697901</v>
      </c>
    </row>
    <row r="995" spans="1:40" x14ac:dyDescent="0.25">
      <c r="A995" t="str">
        <f>"20190312160318521"</f>
        <v>20190312160318521</v>
      </c>
      <c r="B995" t="str">
        <f>"1552377798515471"</f>
        <v>1552377798515471</v>
      </c>
      <c r="C995" t="s">
        <v>40</v>
      </c>
      <c r="D995">
        <v>6.0315539999999999</v>
      </c>
      <c r="E995">
        <v>0.51738759999999995</v>
      </c>
      <c r="F995" t="s">
        <v>42</v>
      </c>
      <c r="G995">
        <v>-158.19499999999999</v>
      </c>
      <c r="H995">
        <v>2.2763610000000001</v>
      </c>
      <c r="I995">
        <v>362.61279999999999</v>
      </c>
      <c r="J995">
        <v>-268.48430000000002</v>
      </c>
      <c r="K995">
        <v>1.1071899999999999</v>
      </c>
      <c r="L995">
        <v>367.94880000000001</v>
      </c>
      <c r="M995">
        <v>0.99993410000000005</v>
      </c>
      <c r="N995">
        <v>0</v>
      </c>
      <c r="O995">
        <v>-7.689223E-4</v>
      </c>
      <c r="P995">
        <v>0.99954149999999997</v>
      </c>
      <c r="Q995">
        <v>3.0288309999999999E-2</v>
      </c>
      <c r="R995">
        <v>1.8426299999999999E-4</v>
      </c>
      <c r="S995">
        <v>3.0004580000000001</v>
      </c>
      <c r="T995">
        <v>3.1749609999999998E-2</v>
      </c>
      <c r="U995">
        <v>-0.14486689999999999</v>
      </c>
      <c r="V995">
        <v>-9.5266809999999997E-4</v>
      </c>
      <c r="W995">
        <v>4.1747180000000002E-2</v>
      </c>
      <c r="X995">
        <v>0.99912769999999995</v>
      </c>
      <c r="Y995">
        <v>4.7454740000000002E-2</v>
      </c>
      <c r="Z995">
        <v>2.427881E-4</v>
      </c>
      <c r="AA995">
        <v>0.99887340000000002</v>
      </c>
      <c r="AB995">
        <v>48</v>
      </c>
      <c r="AC995">
        <v>110.2893</v>
      </c>
      <c r="AD995">
        <v>1.169171</v>
      </c>
      <c r="AE995">
        <v>-5.3360000000000101</v>
      </c>
      <c r="AF995">
        <v>5.2506002714234699</v>
      </c>
      <c r="AG995">
        <v>1.169171</v>
      </c>
      <c r="AH995">
        <v>110.28100618573301</v>
      </c>
      <c r="AI995">
        <v>89.393274794281098</v>
      </c>
      <c r="AJ995">
        <v>87.274143207413601</v>
      </c>
      <c r="AK995">
        <v>110.41211930479</v>
      </c>
      <c r="AL995">
        <v>87.607367320085601</v>
      </c>
      <c r="AM995">
        <v>90.054631499922195</v>
      </c>
      <c r="AN995">
        <v>0.99999994776087398</v>
      </c>
    </row>
    <row r="996" spans="1:40" x14ac:dyDescent="0.25">
      <c r="A996" t="str">
        <f>"20190312160318532"</f>
        <v>20190312160318532</v>
      </c>
      <c r="B996" t="str">
        <f>"1552377798525231"</f>
        <v>1552377798525231</v>
      </c>
      <c r="C996" t="s">
        <v>40</v>
      </c>
      <c r="D996">
        <v>6.0283319999999998</v>
      </c>
      <c r="E996">
        <v>0.51729579999999997</v>
      </c>
      <c r="F996" t="s">
        <v>42</v>
      </c>
      <c r="G996">
        <v>-158.19499999999999</v>
      </c>
      <c r="H996">
        <v>2.2314310000000002</v>
      </c>
      <c r="I996">
        <v>362.76530000000002</v>
      </c>
      <c r="J996">
        <v>-268.2679</v>
      </c>
      <c r="K996">
        <v>1.1073930000000001</v>
      </c>
      <c r="L996">
        <v>367.9486</v>
      </c>
      <c r="M996">
        <v>0.99993319999999997</v>
      </c>
      <c r="N996">
        <v>0</v>
      </c>
      <c r="O996">
        <v>-7.6478099999999997E-4</v>
      </c>
      <c r="P996">
        <v>0.99953630000000004</v>
      </c>
      <c r="Q996">
        <v>3.04502E-2</v>
      </c>
      <c r="R996">
        <v>4.0209080000000002E-4</v>
      </c>
      <c r="S996">
        <v>3.0004879999999998</v>
      </c>
      <c r="T996">
        <v>3.0588029999999999E-2</v>
      </c>
      <c r="U996">
        <v>-0.1410217</v>
      </c>
      <c r="V996">
        <v>-1.1660939999999999E-3</v>
      </c>
      <c r="W996">
        <v>4.1976329999999999E-2</v>
      </c>
      <c r="X996">
        <v>0.9991179</v>
      </c>
      <c r="Y996">
        <v>4.6181409999999999E-2</v>
      </c>
      <c r="Z996">
        <v>2.2746640000000001E-4</v>
      </c>
      <c r="AA996">
        <v>0.99893299999999996</v>
      </c>
      <c r="AB996">
        <v>48</v>
      </c>
      <c r="AC996">
        <v>110.0729</v>
      </c>
      <c r="AD996">
        <v>1.1240379999999901</v>
      </c>
      <c r="AE996">
        <v>-5.1832999999999698</v>
      </c>
      <c r="AF996">
        <v>5.0985807185284804</v>
      </c>
      <c r="AG996">
        <v>1.1240379999999901</v>
      </c>
      <c r="AH996">
        <v>110.06537993137501</v>
      </c>
      <c r="AI996">
        <v>89.415516359413104</v>
      </c>
      <c r="AJ996">
        <v>87.347772089048703</v>
      </c>
      <c r="AK996">
        <v>110.18914123545299</v>
      </c>
      <c r="AL996">
        <v>87.594226538149101</v>
      </c>
      <c r="AM996">
        <v>90.066871221483296</v>
      </c>
      <c r="AN996">
        <v>0.99999997507794702</v>
      </c>
    </row>
    <row r="997" spans="1:40" x14ac:dyDescent="0.25">
      <c r="A997" t="str">
        <f>"20190312160318541"</f>
        <v>20190312160318541</v>
      </c>
      <c r="B997" t="str">
        <f>"1552377798535967"</f>
        <v>1552377798535967</v>
      </c>
      <c r="C997" t="s">
        <v>40</v>
      </c>
      <c r="D997">
        <v>5.9731360000000002</v>
      </c>
      <c r="E997">
        <v>0.51729579999999997</v>
      </c>
      <c r="F997" t="s">
        <v>42</v>
      </c>
      <c r="G997">
        <v>-158.19499999999999</v>
      </c>
      <c r="H997">
        <v>2.0899260000000002</v>
      </c>
      <c r="I997">
        <v>362.81799999999998</v>
      </c>
      <c r="J997">
        <v>-268.03870000000001</v>
      </c>
      <c r="K997">
        <v>1.1075900000000001</v>
      </c>
      <c r="L997">
        <v>367.94839999999999</v>
      </c>
      <c r="M997">
        <v>0.99993240000000005</v>
      </c>
      <c r="N997">
        <v>0</v>
      </c>
      <c r="O997">
        <v>-7.6088079999999997E-4</v>
      </c>
      <c r="P997">
        <v>0.99953510000000001</v>
      </c>
      <c r="Q997">
        <v>3.0490779999999999E-2</v>
      </c>
      <c r="R997">
        <v>2.7696349999999998E-4</v>
      </c>
      <c r="S997">
        <v>3.0006409999999999</v>
      </c>
      <c r="T997">
        <v>2.678668E-2</v>
      </c>
      <c r="U997">
        <v>-0.13986209999999999</v>
      </c>
      <c r="V997">
        <v>-1.037456E-3</v>
      </c>
      <c r="W997">
        <v>4.2084969999999999E-2</v>
      </c>
      <c r="X997">
        <v>0.99911349999999999</v>
      </c>
      <c r="Y997">
        <v>4.5798270000000002E-2</v>
      </c>
      <c r="Z997">
        <v>1.9751640000000001E-4</v>
      </c>
      <c r="AA997">
        <v>0.99895069999999997</v>
      </c>
      <c r="AB997">
        <v>48</v>
      </c>
      <c r="AC997">
        <v>109.8437</v>
      </c>
      <c r="AD997">
        <v>0.98233599999999899</v>
      </c>
      <c r="AE997">
        <v>-5.1303999999999501</v>
      </c>
      <c r="AF997">
        <v>5.0464122035720296</v>
      </c>
      <c r="AG997">
        <v>0.98233599999999899</v>
      </c>
      <c r="AH997">
        <v>109.838806533444</v>
      </c>
      <c r="AI997">
        <v>89.4881326194172</v>
      </c>
      <c r="AJ997">
        <v>87.369463975492806</v>
      </c>
      <c r="AK997">
        <v>109.959059112183</v>
      </c>
      <c r="AL997">
        <v>87.587996487554307</v>
      </c>
      <c r="AM997">
        <v>90.059494570803594</v>
      </c>
      <c r="AN997">
        <v>1.0000000034485499</v>
      </c>
    </row>
    <row r="998" spans="1:40" x14ac:dyDescent="0.25">
      <c r="A998" t="str">
        <f>"20190312160318552"</f>
        <v>20190312160318552</v>
      </c>
      <c r="B998" t="str">
        <f>"1552377798545727"</f>
        <v>1552377798545727</v>
      </c>
      <c r="C998" t="s">
        <v>40</v>
      </c>
      <c r="D998">
        <v>6.1508039999999999</v>
      </c>
      <c r="E998">
        <v>0.51478369999999996</v>
      </c>
      <c r="F998" t="s">
        <v>42</v>
      </c>
      <c r="G998">
        <v>-158.19499999999999</v>
      </c>
      <c r="H998">
        <v>2.0923820000000002</v>
      </c>
      <c r="I998">
        <v>362.81729999999999</v>
      </c>
      <c r="J998">
        <v>-267.81549999999999</v>
      </c>
      <c r="K998">
        <v>1.107766</v>
      </c>
      <c r="L998">
        <v>367.94830000000002</v>
      </c>
      <c r="M998">
        <v>0.99993180000000004</v>
      </c>
      <c r="N998">
        <v>0</v>
      </c>
      <c r="O998">
        <v>-7.575495E-4</v>
      </c>
      <c r="P998">
        <v>0.99952940000000001</v>
      </c>
      <c r="Q998">
        <v>3.0678859999999999E-2</v>
      </c>
      <c r="R998">
        <v>2.6167209999999999E-4</v>
      </c>
      <c r="S998">
        <v>3.0005799999999998</v>
      </c>
      <c r="T998">
        <v>2.6903750000000001E-2</v>
      </c>
      <c r="U998">
        <v>-0.14016719999999999</v>
      </c>
      <c r="V998">
        <v>-1.018389E-3</v>
      </c>
      <c r="W998">
        <v>4.2336039999999998E-2</v>
      </c>
      <c r="X998">
        <v>0.99910290000000002</v>
      </c>
      <c r="Y998">
        <v>4.5903909999999999E-2</v>
      </c>
      <c r="Z998">
        <v>1.9888619999999999E-4</v>
      </c>
      <c r="AA998">
        <v>0.99894579999999999</v>
      </c>
      <c r="AB998">
        <v>48</v>
      </c>
      <c r="AC998">
        <v>109.62050000000001</v>
      </c>
      <c r="AD998">
        <v>0.98461600000000005</v>
      </c>
      <c r="AE998">
        <v>-5.1310000000000198</v>
      </c>
      <c r="AF998">
        <v>5.0475436015612498</v>
      </c>
      <c r="AG998">
        <v>0.98461600000000005</v>
      </c>
      <c r="AH998">
        <v>109.615531662301</v>
      </c>
      <c r="AI998">
        <v>89.485902109536198</v>
      </c>
      <c r="AJ998">
        <v>87.363523282015606</v>
      </c>
      <c r="AK998">
        <v>109.736101382754</v>
      </c>
      <c r="AL998">
        <v>87.573598373764</v>
      </c>
      <c r="AM998">
        <v>90.0584017636167</v>
      </c>
      <c r="AN998">
        <v>0.99999999109372295</v>
      </c>
    </row>
    <row r="999" spans="1:40" x14ac:dyDescent="0.25">
      <c r="A999" t="str">
        <f>"20190312160318563"</f>
        <v>20190312160318563</v>
      </c>
      <c r="B999" t="str">
        <f>"1552377798555486"</f>
        <v>1552377798555486</v>
      </c>
      <c r="C999" t="s">
        <v>40</v>
      </c>
      <c r="D999">
        <v>5.877332</v>
      </c>
      <c r="E999">
        <v>0.5134436</v>
      </c>
      <c r="F999" t="s">
        <v>49</v>
      </c>
      <c r="G999">
        <v>-266.76830000000001</v>
      </c>
      <c r="H999">
        <v>1.043247</v>
      </c>
      <c r="I999">
        <v>367.90320000000003</v>
      </c>
      <c r="J999">
        <v>-267.58479999999997</v>
      </c>
      <c r="K999">
        <v>1.1079330000000001</v>
      </c>
      <c r="L999">
        <v>367.94810000000001</v>
      </c>
      <c r="M999">
        <v>0.99993100000000001</v>
      </c>
      <c r="N999">
        <v>0</v>
      </c>
      <c r="O999">
        <v>-7.5469090000000001E-4</v>
      </c>
      <c r="P999">
        <v>0.99952609999999997</v>
      </c>
      <c r="Q999">
        <v>3.078707E-2</v>
      </c>
      <c r="R999" s="1">
        <v>6.5344719999999999E-5</v>
      </c>
      <c r="S999">
        <v>3.0071409999999998</v>
      </c>
      <c r="T999">
        <v>-0.18523490000000001</v>
      </c>
      <c r="U999">
        <v>-0.1297913</v>
      </c>
      <c r="V999">
        <v>-8.1972039999999896E-4</v>
      </c>
      <c r="W999">
        <v>4.2506589999999997E-2</v>
      </c>
      <c r="X999">
        <v>0.99909590000000004</v>
      </c>
      <c r="Y999">
        <v>4.2288249999999999E-2</v>
      </c>
      <c r="Z999">
        <v>-1.254181E-3</v>
      </c>
      <c r="AA999">
        <v>0.99910469999999896</v>
      </c>
      <c r="AB999">
        <v>48</v>
      </c>
      <c r="AC999">
        <v>0.81649999999996203</v>
      </c>
      <c r="AD999">
        <v>-6.4685999999999994E-2</v>
      </c>
      <c r="AE999">
        <v>-4.4899999999984098E-2</v>
      </c>
      <c r="AF999">
        <v>4.4008359947310699E-2</v>
      </c>
      <c r="AG999">
        <v>-6.4685999999999994E-2</v>
      </c>
      <c r="AH999">
        <v>0.81145601572229398</v>
      </c>
      <c r="AI999">
        <v>94.551090420376994</v>
      </c>
      <c r="AJ999">
        <v>86.895672185607495</v>
      </c>
      <c r="AK999">
        <v>0.81521891525721601</v>
      </c>
      <c r="AL999">
        <v>87.563817917101403</v>
      </c>
      <c r="AM999">
        <v>90.047009009607706</v>
      </c>
      <c r="AN999">
        <v>1.0000000497658801</v>
      </c>
    </row>
    <row r="1000" spans="1:40" x14ac:dyDescent="0.25">
      <c r="A1000" t="str">
        <f>"20190312160318585"</f>
        <v>20190312160318585</v>
      </c>
      <c r="B1000" t="str">
        <f>"1552377798575984"</f>
        <v>1552377798575984</v>
      </c>
      <c r="C1000" t="s">
        <v>40</v>
      </c>
      <c r="D1000">
        <v>6.2470359999999996</v>
      </c>
      <c r="E1000">
        <v>0.51448839999999996</v>
      </c>
      <c r="F1000" t="s">
        <v>41</v>
      </c>
      <c r="G1000">
        <v>-249.15520000000001</v>
      </c>
      <c r="H1000" s="1">
        <v>-9.4725710000000004E-7</v>
      </c>
      <c r="I1000">
        <v>367.21620000000001</v>
      </c>
      <c r="J1000">
        <v>-267.09800000000001</v>
      </c>
      <c r="K1000">
        <v>1.1082399999999999</v>
      </c>
      <c r="L1000">
        <v>367.9477</v>
      </c>
      <c r="M1000">
        <v>0.99992950000000003</v>
      </c>
      <c r="N1000">
        <v>0</v>
      </c>
      <c r="O1000">
        <v>-7.4837419999999996E-4</v>
      </c>
      <c r="P1000">
        <v>0.99952430000000003</v>
      </c>
      <c r="Q1000">
        <v>3.083777E-2</v>
      </c>
      <c r="R1000">
        <v>-2.7178960000000002E-4</v>
      </c>
      <c r="S1000">
        <v>3.006958</v>
      </c>
      <c r="T1000">
        <v>-0.18076999999999999</v>
      </c>
      <c r="U1000">
        <v>-0.1194153</v>
      </c>
      <c r="V1000">
        <v>-4.7575159999999999E-4</v>
      </c>
      <c r="W1000">
        <v>4.2679519999999999E-2</v>
      </c>
      <c r="X1000">
        <v>0.99908869999999905</v>
      </c>
      <c r="Y1000">
        <v>3.8865150000000001E-2</v>
      </c>
      <c r="Z1000">
        <v>-1.1217849999999999E-3</v>
      </c>
      <c r="AA1000">
        <v>0.99924389999999996</v>
      </c>
      <c r="AB1000">
        <v>48</v>
      </c>
      <c r="AC1000">
        <v>17.942799999999998</v>
      </c>
      <c r="AD1000">
        <v>-1.1082409472571</v>
      </c>
      <c r="AE1000">
        <v>-0.73149999999998205</v>
      </c>
      <c r="AF1000">
        <v>0.71534644653448498</v>
      </c>
      <c r="AG1000">
        <v>-1.1082409472571</v>
      </c>
      <c r="AH1000">
        <v>17.8752625105442</v>
      </c>
      <c r="AI1000">
        <v>93.5448860004729</v>
      </c>
      <c r="AJ1000">
        <v>87.708314866470303</v>
      </c>
      <c r="AK1000">
        <v>17.923864771767601</v>
      </c>
      <c r="AL1000">
        <v>87.553900634683998</v>
      </c>
      <c r="AM1000">
        <v>90.027283420097007</v>
      </c>
      <c r="AN1000">
        <v>0.99999999911735205</v>
      </c>
    </row>
    <row r="1001" spans="1:40" x14ac:dyDescent="0.25">
      <c r="A1001" t="str">
        <f>"20190312160318596"</f>
        <v>20190312160318596</v>
      </c>
      <c r="B1001" t="str">
        <f>"1552377798585743"</f>
        <v>1552377798585743</v>
      </c>
      <c r="C1001" t="s">
        <v>40</v>
      </c>
      <c r="D1001">
        <v>6.0892850000000003</v>
      </c>
      <c r="E1001">
        <v>0.51214119999999996</v>
      </c>
      <c r="F1001" t="s">
        <v>41</v>
      </c>
      <c r="G1001">
        <v>-247.59559999999999</v>
      </c>
      <c r="H1001" s="1">
        <v>-1.5732119999999999E-6</v>
      </c>
      <c r="I1001">
        <v>367.11450000000002</v>
      </c>
      <c r="J1001">
        <v>-266.8793</v>
      </c>
      <c r="K1001">
        <v>1.1083559999999999</v>
      </c>
      <c r="L1001">
        <v>367.94760000000002</v>
      </c>
      <c r="M1001">
        <v>0.99992899999999996</v>
      </c>
      <c r="N1001">
        <v>0</v>
      </c>
      <c r="O1001">
        <v>-7.4545449999999995E-4</v>
      </c>
      <c r="P1001">
        <v>0.99952229999999997</v>
      </c>
      <c r="Q1001">
        <v>3.090232E-2</v>
      </c>
      <c r="R1001">
        <v>-5.793374E-4</v>
      </c>
      <c r="S1001">
        <v>3.006653</v>
      </c>
      <c r="T1001">
        <v>-0.1708558</v>
      </c>
      <c r="U1001">
        <v>-0.12844849999999999</v>
      </c>
      <c r="V1001">
        <v>-1.65612599999999E-4</v>
      </c>
      <c r="W1001">
        <v>4.2794810000000003E-2</v>
      </c>
      <c r="X1001">
        <v>0.99908390000000002</v>
      </c>
      <c r="Y1001">
        <v>4.1871419999999999E-2</v>
      </c>
      <c r="Z1001">
        <v>-1.1458810000000001E-3</v>
      </c>
      <c r="AA1001">
        <v>0.99912230000000002</v>
      </c>
      <c r="AB1001">
        <v>48</v>
      </c>
      <c r="AC1001">
        <v>19.2837</v>
      </c>
      <c r="AD1001">
        <v>-1.1083575732119999</v>
      </c>
      <c r="AE1001">
        <v>-0.83310000000000095</v>
      </c>
      <c r="AF1001">
        <v>0.81603285900996902</v>
      </c>
      <c r="AG1001">
        <v>-1.1083575732119999</v>
      </c>
      <c r="AH1001">
        <v>19.220936957275899</v>
      </c>
      <c r="AI1001">
        <v>93.297289772248206</v>
      </c>
      <c r="AJ1001">
        <v>87.568943819319003</v>
      </c>
      <c r="AK1001">
        <v>19.270152662930698</v>
      </c>
      <c r="AL1001">
        <v>87.547289042274897</v>
      </c>
      <c r="AM1001">
        <v>90.009497603681993</v>
      </c>
      <c r="AN1001">
        <v>1.0000000312148301</v>
      </c>
    </row>
    <row r="1002" spans="1:40" x14ac:dyDescent="0.25">
      <c r="A1002" t="str">
        <f>"20190312160318608"</f>
        <v>20190312160318608</v>
      </c>
      <c r="B1002" t="str">
        <f>"1552377798595502"</f>
        <v>1552377798595502</v>
      </c>
      <c r="C1002" t="s">
        <v>40</v>
      </c>
      <c r="D1002">
        <v>5.9868569999999997</v>
      </c>
      <c r="E1002">
        <v>0.51042989999999999</v>
      </c>
      <c r="F1002" t="s">
        <v>41</v>
      </c>
      <c r="G1002">
        <v>-242.28299999999999</v>
      </c>
      <c r="H1002" s="1">
        <v>-4.0823809999999998E-6</v>
      </c>
      <c r="I1002">
        <v>367.05669999999998</v>
      </c>
      <c r="J1002">
        <v>-266.62610000000001</v>
      </c>
      <c r="K1002">
        <v>1.108482</v>
      </c>
      <c r="L1002">
        <v>367.94740000000002</v>
      </c>
      <c r="M1002">
        <v>0.99992820000000004</v>
      </c>
      <c r="N1002">
        <v>0</v>
      </c>
      <c r="O1002">
        <v>-7.4174379999999995E-4</v>
      </c>
      <c r="P1002">
        <v>0.99952030000000003</v>
      </c>
      <c r="Q1002">
        <v>3.0954949999999998E-2</v>
      </c>
      <c r="R1002">
        <v>-9.5551670000000003E-4</v>
      </c>
      <c r="S1002">
        <v>3.0055540000000001</v>
      </c>
      <c r="T1002">
        <v>-0.13543640000000001</v>
      </c>
      <c r="U1002">
        <v>-0.1088562</v>
      </c>
      <c r="V1002">
        <v>2.1451120000000001E-4</v>
      </c>
      <c r="W1002">
        <v>4.2904390000000001E-2</v>
      </c>
      <c r="X1002">
        <v>0.99907919999999995</v>
      </c>
      <c r="Y1002">
        <v>3.5418159999999997E-2</v>
      </c>
      <c r="Z1002">
        <v>-7.6394259999999997E-4</v>
      </c>
      <c r="AA1002">
        <v>0.99937229999999999</v>
      </c>
      <c r="AB1002">
        <v>48</v>
      </c>
      <c r="AC1002">
        <v>24.3431</v>
      </c>
      <c r="AD1002">
        <v>-1.1084860823810001</v>
      </c>
      <c r="AE1002">
        <v>-0.89070000000003802</v>
      </c>
      <c r="AF1002">
        <v>0.87083883030406695</v>
      </c>
      <c r="AG1002">
        <v>-1.1084860823810001</v>
      </c>
      <c r="AH1002">
        <v>24.293448361028801</v>
      </c>
      <c r="AI1002">
        <v>92.610863197532893</v>
      </c>
      <c r="AJ1002">
        <v>87.947017081944907</v>
      </c>
      <c r="AK1002">
        <v>24.334311885343499</v>
      </c>
      <c r="AL1002">
        <v>87.541004821401899</v>
      </c>
      <c r="AM1002">
        <v>89.987698086168294</v>
      </c>
      <c r="AN1002">
        <v>1.00000004028448</v>
      </c>
    </row>
    <row r="1003" spans="1:40" x14ac:dyDescent="0.25">
      <c r="A1003" t="str">
        <f>"20190312160318617"</f>
        <v>20190312160318617</v>
      </c>
      <c r="B1003" t="str">
        <f>"1552377798605262"</f>
        <v>1552377798605262</v>
      </c>
      <c r="C1003" t="s">
        <v>40</v>
      </c>
      <c r="D1003">
        <v>6.0380390000000004</v>
      </c>
      <c r="E1003">
        <v>0.50928660000000003</v>
      </c>
      <c r="F1003" t="s">
        <v>41</v>
      </c>
      <c r="G1003">
        <v>-236.785</v>
      </c>
      <c r="H1003" s="1">
        <v>-1.8250539999999999E-6</v>
      </c>
      <c r="I1003">
        <v>367.00330000000002</v>
      </c>
      <c r="J1003">
        <v>-266.39409999999998</v>
      </c>
      <c r="K1003">
        <v>1.1085830000000001</v>
      </c>
      <c r="L1003">
        <v>367.94720000000001</v>
      </c>
      <c r="M1003">
        <v>0.99992780000000003</v>
      </c>
      <c r="N1003">
        <v>0</v>
      </c>
      <c r="O1003">
        <v>-7.3798020000000002E-4</v>
      </c>
      <c r="P1003">
        <v>0.99951270000000003</v>
      </c>
      <c r="Q1003">
        <v>3.119179E-2</v>
      </c>
      <c r="R1003">
        <v>-1.3942830000000001E-3</v>
      </c>
      <c r="S1003">
        <v>3.004791</v>
      </c>
      <c r="T1003">
        <v>-0.1116166</v>
      </c>
      <c r="U1003">
        <v>-9.5062259999999996E-2</v>
      </c>
      <c r="V1003">
        <v>6.5705099999999997E-4</v>
      </c>
      <c r="W1003">
        <v>4.3188789999999998E-2</v>
      </c>
      <c r="X1003">
        <v>0.99906669999999997</v>
      </c>
      <c r="Y1003">
        <v>3.0862649999999998E-2</v>
      </c>
      <c r="Z1003">
        <v>-5.454759E-4</v>
      </c>
      <c r="AA1003">
        <v>0.99952350000000001</v>
      </c>
      <c r="AB1003">
        <v>48</v>
      </c>
      <c r="AC1003">
        <v>29.609099999999899</v>
      </c>
      <c r="AD1003">
        <v>-1.108584825054</v>
      </c>
      <c r="AE1003">
        <v>-0.94389999999998497</v>
      </c>
      <c r="AF1003">
        <v>0.92075782950509399</v>
      </c>
      <c r="AG1003">
        <v>-1.108584825054</v>
      </c>
      <c r="AH1003">
        <v>29.568381555752499</v>
      </c>
      <c r="AI1003">
        <v>92.146102066074903</v>
      </c>
      <c r="AJ1003">
        <v>88.216388843728794</v>
      </c>
      <c r="AK1003">
        <v>29.603478564545401</v>
      </c>
      <c r="AL1003">
        <v>87.524694652433297</v>
      </c>
      <c r="AM1003">
        <v>89.962318588141002</v>
      </c>
      <c r="AN1003">
        <v>0.99999998717328498</v>
      </c>
    </row>
    <row r="1004" spans="1:40" x14ac:dyDescent="0.25">
      <c r="A1004" t="str">
        <f>"20190312160318629"</f>
        <v>20190312160318629</v>
      </c>
      <c r="B1004" t="str">
        <f>"1552377798625759"</f>
        <v>1552377798625759</v>
      </c>
      <c r="C1004" t="s">
        <v>40</v>
      </c>
      <c r="D1004">
        <v>5.8631849999999996</v>
      </c>
      <c r="E1004">
        <v>0.50823809999999903</v>
      </c>
      <c r="F1004" t="s">
        <v>41</v>
      </c>
      <c r="G1004">
        <v>-231.15430000000001</v>
      </c>
      <c r="H1004" s="1">
        <v>-4.2529340000000001E-6</v>
      </c>
      <c r="I1004">
        <v>366.93380000000002</v>
      </c>
      <c r="J1004">
        <v>-266.15570000000002</v>
      </c>
      <c r="K1004">
        <v>1.108684</v>
      </c>
      <c r="L1004">
        <v>367.947</v>
      </c>
      <c r="M1004">
        <v>0.99992720000000002</v>
      </c>
      <c r="N1004">
        <v>0</v>
      </c>
      <c r="O1004">
        <v>-7.3386250000000001E-4</v>
      </c>
      <c r="P1004">
        <v>0.99950309999999998</v>
      </c>
      <c r="Q1004">
        <v>3.1456699999999997E-2</v>
      </c>
      <c r="R1004">
        <v>-2.0288319999999999E-3</v>
      </c>
      <c r="S1004">
        <v>3.0043030000000002</v>
      </c>
      <c r="T1004">
        <v>-9.4510319999999995E-2</v>
      </c>
      <c r="U1004">
        <v>-8.6395260000000001E-2</v>
      </c>
      <c r="V1004">
        <v>1.2958069999999999E-3</v>
      </c>
      <c r="W1004">
        <v>4.3501779999999997E-2</v>
      </c>
      <c r="X1004">
        <v>0.99905250000000001</v>
      </c>
      <c r="Y1004">
        <v>2.7998200000000001E-2</v>
      </c>
      <c r="Z1004">
        <v>-4.1711100000000001E-4</v>
      </c>
      <c r="AA1004">
        <v>0.99960789999999999</v>
      </c>
      <c r="AB1004">
        <v>48</v>
      </c>
      <c r="AC1004">
        <v>35.001399999999997</v>
      </c>
      <c r="AD1004">
        <v>-1.1086882529340001</v>
      </c>
      <c r="AE1004">
        <v>-1.0131999999999199</v>
      </c>
      <c r="AF1004">
        <v>0.98652266027744995</v>
      </c>
      <c r="AG1004">
        <v>-1.1086882529340001</v>
      </c>
      <c r="AH1004">
        <v>34.9670796865894</v>
      </c>
      <c r="AI1004">
        <v>91.815325829810703</v>
      </c>
      <c r="AJ1004">
        <v>88.383948687983306</v>
      </c>
      <c r="AK1004">
        <v>34.9985582333005</v>
      </c>
      <c r="AL1004">
        <v>87.506744785151</v>
      </c>
      <c r="AM1004">
        <v>89.925685356345298</v>
      </c>
      <c r="AN1004">
        <v>0.99999999086759905</v>
      </c>
    </row>
    <row r="1005" spans="1:40" x14ac:dyDescent="0.25">
      <c r="A1005" t="str">
        <f>"20190312160318641"</f>
        <v>20190312160318641</v>
      </c>
      <c r="B1005" t="str">
        <f>"1552377798635519"</f>
        <v>1552377798635519</v>
      </c>
      <c r="C1005" t="s">
        <v>40</v>
      </c>
      <c r="D1005">
        <v>5.9850969999999997</v>
      </c>
      <c r="E1005">
        <v>0.50773190000000001</v>
      </c>
      <c r="F1005" t="s">
        <v>41</v>
      </c>
      <c r="G1005">
        <v>-221.70230000000001</v>
      </c>
      <c r="H1005" s="1">
        <v>-4.046195E-6</v>
      </c>
      <c r="I1005">
        <v>366.774</v>
      </c>
      <c r="J1005">
        <v>-265.8938</v>
      </c>
      <c r="K1005">
        <v>1.108779</v>
      </c>
      <c r="L1005">
        <v>367.9468</v>
      </c>
      <c r="M1005">
        <v>0.9999266</v>
      </c>
      <c r="N1005">
        <v>0</v>
      </c>
      <c r="O1005">
        <v>-7.2927369999999895E-4</v>
      </c>
      <c r="P1005">
        <v>0.99949690000000002</v>
      </c>
      <c r="Q1005">
        <v>3.1621759999999999E-2</v>
      </c>
      <c r="R1005">
        <v>-2.5719670000000001E-3</v>
      </c>
      <c r="S1005">
        <v>3.0036930000000002</v>
      </c>
      <c r="T1005">
        <v>-7.4913259999999995E-2</v>
      </c>
      <c r="U1005">
        <v>-7.9254149999999995E-2</v>
      </c>
      <c r="V1005">
        <v>1.843419E-3</v>
      </c>
      <c r="W1005">
        <v>4.3715669999999998E-2</v>
      </c>
      <c r="X1005">
        <v>0.99904230000000005</v>
      </c>
      <c r="Y1005">
        <v>2.563957E-2</v>
      </c>
      <c r="Z1005">
        <v>-3.0144150000000001E-4</v>
      </c>
      <c r="AA1005">
        <v>0.99967119999999998</v>
      </c>
      <c r="AB1005">
        <v>48</v>
      </c>
      <c r="AC1005">
        <v>44.191499999999898</v>
      </c>
      <c r="AD1005">
        <v>-1.1087830461949999</v>
      </c>
      <c r="AE1005">
        <v>-1.1727999999999901</v>
      </c>
      <c r="AF1005">
        <v>1.1398525671741</v>
      </c>
      <c r="AG1005">
        <v>-1.1087830461949999</v>
      </c>
      <c r="AH1005">
        <v>44.164560303227802</v>
      </c>
      <c r="AI1005">
        <v>91.437671097567403</v>
      </c>
      <c r="AJ1005">
        <v>88.521569202641999</v>
      </c>
      <c r="AK1005">
        <v>44.193178777904897</v>
      </c>
      <c r="AL1005">
        <v>87.494478113089897</v>
      </c>
      <c r="AM1005">
        <v>89.894278742045401</v>
      </c>
      <c r="AN1005">
        <v>0.99999998759322395</v>
      </c>
    </row>
    <row r="1006" spans="1:40" x14ac:dyDescent="0.25">
      <c r="A1006" t="str">
        <f>"20190312160318654"</f>
        <v>20190312160318654</v>
      </c>
      <c r="B1006" t="str">
        <f>"1552377798645279"</f>
        <v>1552377798645279</v>
      </c>
      <c r="C1006" t="s">
        <v>40</v>
      </c>
      <c r="D1006">
        <v>5.9846139999999997</v>
      </c>
      <c r="E1006">
        <v>0.50739899999999905</v>
      </c>
      <c r="F1006" t="s">
        <v>41</v>
      </c>
      <c r="G1006">
        <v>-216.3449</v>
      </c>
      <c r="H1006" s="1">
        <v>-2.0703139999999999E-6</v>
      </c>
      <c r="I1006">
        <v>366.68509999999998</v>
      </c>
      <c r="J1006">
        <v>-265.63040000000001</v>
      </c>
      <c r="K1006">
        <v>1.108867</v>
      </c>
      <c r="L1006">
        <v>367.94670000000002</v>
      </c>
      <c r="M1006">
        <v>0.99992599999999998</v>
      </c>
      <c r="N1006">
        <v>0</v>
      </c>
      <c r="O1006">
        <v>-7.246714E-4</v>
      </c>
      <c r="P1006">
        <v>0.99948950000000003</v>
      </c>
      <c r="Q1006">
        <v>3.1799359999999999E-2</v>
      </c>
      <c r="R1006">
        <v>-3.1029320000000001E-3</v>
      </c>
      <c r="S1006">
        <v>3.0034480000000001</v>
      </c>
      <c r="T1006">
        <v>-6.7209599999999994E-2</v>
      </c>
      <c r="U1006">
        <v>-7.6477050000000005E-2</v>
      </c>
      <c r="V1006">
        <v>2.379192E-3</v>
      </c>
      <c r="W1006">
        <v>4.3939569999999997E-2</v>
      </c>
      <c r="X1006">
        <v>0.99903140000000001</v>
      </c>
      <c r="Y1006">
        <v>2.4724329999999999E-2</v>
      </c>
      <c r="Z1006">
        <v>-2.6034190000000002E-4</v>
      </c>
      <c r="AA1006">
        <v>0.99969430000000004</v>
      </c>
      <c r="AB1006">
        <v>48</v>
      </c>
      <c r="AC1006">
        <v>49.285499999999999</v>
      </c>
      <c r="AD1006">
        <v>-1.1088690703140001</v>
      </c>
      <c r="AE1006">
        <v>-1.26160000000004</v>
      </c>
      <c r="AF1006">
        <v>1.22526142132991</v>
      </c>
      <c r="AG1006">
        <v>-1.1088690703140001</v>
      </c>
      <c r="AH1006">
        <v>49.261481532788302</v>
      </c>
      <c r="AI1006">
        <v>91.289103677564199</v>
      </c>
      <c r="AJ1006">
        <v>88.575198418217497</v>
      </c>
      <c r="AK1006">
        <v>49.289191705392597</v>
      </c>
      <c r="AL1006">
        <v>87.481637386989902</v>
      </c>
      <c r="AM1006">
        <v>89.863550432406797</v>
      </c>
      <c r="AN1006">
        <v>1.0000000422761499</v>
      </c>
    </row>
    <row r="1007" spans="1:40" x14ac:dyDescent="0.25">
      <c r="A1007" t="str">
        <f>"20190312160318665"</f>
        <v>20190312160318665</v>
      </c>
      <c r="B1007" t="str">
        <f>"1552377798656015"</f>
        <v>1552377798656015</v>
      </c>
      <c r="C1007" t="s">
        <v>40</v>
      </c>
      <c r="D1007">
        <v>5.9956860000000001</v>
      </c>
      <c r="E1007">
        <v>0.50704380000000004</v>
      </c>
      <c r="F1007" t="s">
        <v>41</v>
      </c>
      <c r="G1007">
        <v>-211.94159999999999</v>
      </c>
      <c r="H1007" s="1">
        <v>-3.9737209999999997E-6</v>
      </c>
      <c r="I1007">
        <v>366.60399999999998</v>
      </c>
      <c r="J1007">
        <v>-265.37599999999998</v>
      </c>
      <c r="K1007">
        <v>1.1089450000000001</v>
      </c>
      <c r="L1007">
        <v>367.94650000000001</v>
      </c>
      <c r="M1007">
        <v>0.99992559999999997</v>
      </c>
      <c r="N1007">
        <v>0</v>
      </c>
      <c r="O1007">
        <v>-7.2040470000000003E-4</v>
      </c>
      <c r="P1007">
        <v>0.99947960000000002</v>
      </c>
      <c r="Q1007">
        <v>3.2033279999999997E-2</v>
      </c>
      <c r="R1007">
        <v>-3.858242E-3</v>
      </c>
      <c r="S1007">
        <v>3.0032649999999999</v>
      </c>
      <c r="T1007">
        <v>-6.202829E-2</v>
      </c>
      <c r="U1007">
        <v>-7.5103760000000006E-2</v>
      </c>
      <c r="V1007">
        <v>3.1386600000000001E-3</v>
      </c>
      <c r="W1007">
        <v>4.421634E-2</v>
      </c>
      <c r="X1007">
        <v>0.99901709999999999</v>
      </c>
      <c r="Y1007">
        <v>2.427429E-2</v>
      </c>
      <c r="Z1007">
        <v>-2.35734E-4</v>
      </c>
      <c r="AA1007">
        <v>0.99970530000000002</v>
      </c>
      <c r="AB1007">
        <v>48</v>
      </c>
      <c r="AC1007">
        <v>53.434399999999897</v>
      </c>
      <c r="AD1007">
        <v>-1.1089489737209901</v>
      </c>
      <c r="AE1007">
        <v>-1.3424999999999701</v>
      </c>
      <c r="AF1007">
        <v>1.3034413581822</v>
      </c>
      <c r="AG1007">
        <v>-1.1089489737209901</v>
      </c>
      <c r="AH1007">
        <v>53.412362816825599</v>
      </c>
      <c r="AI1007">
        <v>91.189051797003302</v>
      </c>
      <c r="AJ1007">
        <v>88.602067665494999</v>
      </c>
      <c r="AK1007">
        <v>53.439771976279502</v>
      </c>
      <c r="AL1007">
        <v>87.465764229611807</v>
      </c>
      <c r="AM1007">
        <v>89.819991690184196</v>
      </c>
      <c r="AN1007">
        <v>1.0000000510009901</v>
      </c>
    </row>
    <row r="1008" spans="1:40" x14ac:dyDescent="0.25">
      <c r="A1008" t="str">
        <f>"20190312160318678"</f>
        <v>20190312160318678</v>
      </c>
      <c r="B1008" t="str">
        <f>"1552377798665775"</f>
        <v>1552377798665775</v>
      </c>
      <c r="C1008" t="s">
        <v>40</v>
      </c>
      <c r="D1008">
        <v>5.9445880000000004</v>
      </c>
      <c r="E1008">
        <v>0.50739129999999999</v>
      </c>
      <c r="F1008" t="s">
        <v>50</v>
      </c>
      <c r="G1008">
        <v>-208.2774</v>
      </c>
      <c r="H1008" s="1">
        <v>-5.1651029999999998E-6</v>
      </c>
      <c r="I1008">
        <v>366.53359999999998</v>
      </c>
      <c r="J1008">
        <v>-265.11799999999999</v>
      </c>
      <c r="K1008">
        <v>1.1090059999999999</v>
      </c>
      <c r="L1008">
        <v>367.94630000000001</v>
      </c>
      <c r="M1008">
        <v>0.99992499999999995</v>
      </c>
      <c r="N1008">
        <v>0</v>
      </c>
      <c r="O1008">
        <v>-7.1623659999999997E-4</v>
      </c>
      <c r="P1008">
        <v>0.99946959999999996</v>
      </c>
      <c r="Q1008">
        <v>3.2283190000000003E-2</v>
      </c>
      <c r="R1008">
        <v>-4.3292620000000004E-3</v>
      </c>
      <c r="S1008">
        <v>3.0031129999999999</v>
      </c>
      <c r="T1008">
        <v>-5.8325410000000001E-2</v>
      </c>
      <c r="U1008">
        <v>-7.4310299999999996E-2</v>
      </c>
      <c r="V1008">
        <v>3.6137750000000001E-3</v>
      </c>
      <c r="W1008">
        <v>4.4506450000000003E-2</v>
      </c>
      <c r="X1008">
        <v>0.99900259999999996</v>
      </c>
      <c r="Y1008">
        <v>2.4016389999999999E-2</v>
      </c>
      <c r="Z1008">
        <v>-2.192533E-4</v>
      </c>
      <c r="AA1008">
        <v>0.99971149999999998</v>
      </c>
      <c r="AB1008">
        <v>48</v>
      </c>
      <c r="AC1008">
        <v>56.840600000000002</v>
      </c>
      <c r="AD1008">
        <v>-1.1090111651029999</v>
      </c>
      <c r="AE1008">
        <v>-1.4127000000000201</v>
      </c>
      <c r="AF1008">
        <v>1.37146351658493</v>
      </c>
      <c r="AG1008">
        <v>-1.1090111651029999</v>
      </c>
      <c r="AH1008">
        <v>56.819980719364303</v>
      </c>
      <c r="AI1008">
        <v>91.117830331644498</v>
      </c>
      <c r="AJ1008">
        <v>88.617320603013795</v>
      </c>
      <c r="AK1008">
        <v>56.847348459629799</v>
      </c>
      <c r="AL1008">
        <v>87.449125741766395</v>
      </c>
      <c r="AM1008">
        <v>89.7927401265177</v>
      </c>
      <c r="AN1008">
        <v>1.00000003913405</v>
      </c>
    </row>
    <row r="1009" spans="1:40" x14ac:dyDescent="0.25">
      <c r="A1009" t="str">
        <f>"20190312160318691"</f>
        <v>20190312160318691</v>
      </c>
      <c r="B1009" t="str">
        <f>"1552377798685294"</f>
        <v>1552377798685294</v>
      </c>
      <c r="C1009" t="s">
        <v>40</v>
      </c>
      <c r="D1009">
        <v>5.8940910000000004</v>
      </c>
      <c r="E1009">
        <v>0.51064799999999999</v>
      </c>
      <c r="F1009" t="s">
        <v>50</v>
      </c>
      <c r="G1009">
        <v>-198.4093</v>
      </c>
      <c r="H1009" s="1">
        <v>-8.8327620000000006E-6</v>
      </c>
      <c r="I1009">
        <v>366.20670000000001</v>
      </c>
      <c r="J1009">
        <v>-264.84519999999998</v>
      </c>
      <c r="K1009">
        <v>1.1090719999999901</v>
      </c>
      <c r="L1009">
        <v>367.94600000000003</v>
      </c>
      <c r="M1009">
        <v>0.99992460000000005</v>
      </c>
      <c r="N1009">
        <v>0</v>
      </c>
      <c r="O1009">
        <v>-7.1195399999999999E-4</v>
      </c>
      <c r="P1009">
        <v>0.99946109999999999</v>
      </c>
      <c r="Q1009">
        <v>3.2475089999999998E-2</v>
      </c>
      <c r="R1009">
        <v>-4.7953550000000003E-3</v>
      </c>
      <c r="S1009">
        <v>3.0028990000000002</v>
      </c>
      <c r="T1009">
        <v>-4.9922469999999997E-2</v>
      </c>
      <c r="U1009">
        <v>-7.830811E-2</v>
      </c>
      <c r="V1009">
        <v>4.0844439999999996E-3</v>
      </c>
      <c r="W1009">
        <v>4.4738449999999999E-2</v>
      </c>
      <c r="X1009">
        <v>0.99899039999999995</v>
      </c>
      <c r="Y1009">
        <v>2.5353469999999999E-2</v>
      </c>
      <c r="Z1009">
        <v>-1.9886320000000001E-4</v>
      </c>
      <c r="AA1009">
        <v>0.99967859999999997</v>
      </c>
      <c r="AB1009">
        <v>48</v>
      </c>
      <c r="AC1009">
        <v>66.435899999999904</v>
      </c>
      <c r="AD1009">
        <v>-1.1090808327620001</v>
      </c>
      <c r="AE1009">
        <v>-1.7392999999999501</v>
      </c>
      <c r="AF1009">
        <v>1.6915256120272799</v>
      </c>
      <c r="AG1009">
        <v>-1.1090808327620001</v>
      </c>
      <c r="AH1009">
        <v>66.418624053391696</v>
      </c>
      <c r="AI1009">
        <v>90.956345518898402</v>
      </c>
      <c r="AJ1009">
        <v>88.541127063365195</v>
      </c>
      <c r="AK1009">
        <v>66.449416403272707</v>
      </c>
      <c r="AL1009">
        <v>87.435819806935299</v>
      </c>
      <c r="AM1009">
        <v>89.765743395661602</v>
      </c>
      <c r="AN1009">
        <v>1.0000000154416699</v>
      </c>
    </row>
    <row r="1010" spans="1:40" x14ac:dyDescent="0.25">
      <c r="A1010" t="str">
        <f>"20190312160318702"</f>
        <v>20190312160318702</v>
      </c>
      <c r="B1010" t="str">
        <f>"1552377798696031"</f>
        <v>1552377798696031</v>
      </c>
      <c r="C1010" t="s">
        <v>40</v>
      </c>
      <c r="D1010">
        <v>5.9318339999999896</v>
      </c>
      <c r="E1010">
        <v>0.51138869999999903</v>
      </c>
      <c r="F1010" t="s">
        <v>50</v>
      </c>
      <c r="G1010">
        <v>-194.1497</v>
      </c>
      <c r="H1010" s="1">
        <v>-7.3910369999999996E-6</v>
      </c>
      <c r="I1010">
        <v>365.46140000000003</v>
      </c>
      <c r="J1010">
        <v>-264.56959999999998</v>
      </c>
      <c r="K1010">
        <v>1.1091329999999999</v>
      </c>
      <c r="L1010">
        <v>367.94589999999999</v>
      </c>
      <c r="M1010">
        <v>0.99992409999999998</v>
      </c>
      <c r="N1010">
        <v>0</v>
      </c>
      <c r="O1010">
        <v>-7.0765559999999995E-4</v>
      </c>
      <c r="P1010">
        <v>0.99944909999999998</v>
      </c>
      <c r="Q1010">
        <v>3.2790319999999998E-2</v>
      </c>
      <c r="R1010">
        <v>-5.1430879999999997E-3</v>
      </c>
      <c r="S1010">
        <v>3.0026549999999999</v>
      </c>
      <c r="T1010">
        <v>-4.710603E-2</v>
      </c>
      <c r="U1010">
        <v>-0.10552980000000001</v>
      </c>
      <c r="V1010">
        <v>4.436349E-3</v>
      </c>
      <c r="W1010">
        <v>4.5091890000000003E-2</v>
      </c>
      <c r="X1010">
        <v>0.998973</v>
      </c>
      <c r="Y1010">
        <v>3.4412379999999999E-2</v>
      </c>
      <c r="Z1010">
        <v>-2.587345E-4</v>
      </c>
      <c r="AA1010">
        <v>0.99940770000000001</v>
      </c>
      <c r="AB1010">
        <v>48</v>
      </c>
      <c r="AC1010">
        <v>70.419899999999899</v>
      </c>
      <c r="AD1010">
        <v>-1.1091403910369999</v>
      </c>
      <c r="AE1010">
        <v>-2.4844999999999602</v>
      </c>
      <c r="AF1010">
        <v>2.4340594935411901</v>
      </c>
      <c r="AG1010">
        <v>-1.1091403910369999</v>
      </c>
      <c r="AH1010">
        <v>70.404196891420995</v>
      </c>
      <c r="AI1010">
        <v>90.902018258990793</v>
      </c>
      <c r="AJ1010">
        <v>88.019921858670997</v>
      </c>
      <c r="AK1010">
        <v>70.454991150032001</v>
      </c>
      <c r="AL1010">
        <v>87.415548708120895</v>
      </c>
      <c r="AM1010">
        <v>89.745556283114894</v>
      </c>
      <c r="AN1010">
        <v>1.0000000072326101</v>
      </c>
    </row>
    <row r="1011" spans="1:40" x14ac:dyDescent="0.25">
      <c r="A1011" t="str">
        <f>"20190312160318719"</f>
        <v>20190312160318719</v>
      </c>
      <c r="B1011" t="str">
        <f>"1552377798715552"</f>
        <v>1552377798715552</v>
      </c>
      <c r="C1011" t="s">
        <v>40</v>
      </c>
      <c r="D1011">
        <v>5.9782769999999896</v>
      </c>
      <c r="E1011">
        <v>0.51374359999999997</v>
      </c>
      <c r="F1011" t="s">
        <v>50</v>
      </c>
      <c r="G1011">
        <v>-179.16669999999999</v>
      </c>
      <c r="H1011">
        <v>7.9987909999999995E-2</v>
      </c>
      <c r="I1011">
        <v>364.75729999999999</v>
      </c>
      <c r="J1011">
        <v>-264.22809999999998</v>
      </c>
      <c r="K1011">
        <v>1.1092010000000001</v>
      </c>
      <c r="L1011">
        <v>367.94560000000001</v>
      </c>
      <c r="M1011">
        <v>0.99992360000000002</v>
      </c>
      <c r="N1011">
        <v>0</v>
      </c>
      <c r="O1011">
        <v>-7.0231999999999998E-4</v>
      </c>
      <c r="P1011">
        <v>0.99943110000000002</v>
      </c>
      <c r="Q1011">
        <v>3.3251250000000003E-2</v>
      </c>
      <c r="R1011">
        <v>-5.682721E-3</v>
      </c>
      <c r="S1011">
        <v>3.0022579999999999</v>
      </c>
      <c r="T1011">
        <v>-3.6178589999999997E-2</v>
      </c>
      <c r="U1011">
        <v>-0.1120911</v>
      </c>
      <c r="V1011">
        <v>4.9811439999999998E-3</v>
      </c>
      <c r="W1011">
        <v>4.5595869999999997E-2</v>
      </c>
      <c r="X1011">
        <v>0.99894760000000005</v>
      </c>
      <c r="Y1011">
        <v>3.660509E-2</v>
      </c>
      <c r="Z1011">
        <v>-2.1200860000000001E-4</v>
      </c>
      <c r="AA1011">
        <v>0.99932980000000005</v>
      </c>
      <c r="AB1011">
        <v>48</v>
      </c>
      <c r="AC1011">
        <v>85.061399999999907</v>
      </c>
      <c r="AD1011">
        <v>-1.0292130900000001</v>
      </c>
      <c r="AE1011">
        <v>-3.1883000000000199</v>
      </c>
      <c r="AF1011">
        <v>3.1280970257131702</v>
      </c>
      <c r="AG1011">
        <v>-1.0292130900000001</v>
      </c>
      <c r="AH1011">
        <v>85.051184243228406</v>
      </c>
      <c r="AI1011">
        <v>90.692839858297404</v>
      </c>
      <c r="AJ1011">
        <v>87.8936682470829</v>
      </c>
      <c r="AK1011">
        <v>85.114911806113597</v>
      </c>
      <c r="AL1011">
        <v>87.386643165158802</v>
      </c>
      <c r="AM1011">
        <v>89.714303169666195</v>
      </c>
      <c r="AN1011">
        <v>1.00000005135118</v>
      </c>
    </row>
    <row r="1012" spans="1:40" x14ac:dyDescent="0.25">
      <c r="A1012" t="str">
        <f>"20190312160318731"</f>
        <v>20190312160318731</v>
      </c>
      <c r="B1012" t="str">
        <f>"1552377798725311"</f>
        <v>1552377798725311</v>
      </c>
      <c r="C1012" t="s">
        <v>40</v>
      </c>
      <c r="D1012">
        <v>5.9869379999999897</v>
      </c>
      <c r="E1012">
        <v>0.51493109999999997</v>
      </c>
      <c r="F1012" t="s">
        <v>42</v>
      </c>
      <c r="G1012">
        <v>-158.19499999999999</v>
      </c>
      <c r="H1012">
        <v>0.29236889999999999</v>
      </c>
      <c r="I1012">
        <v>363.28440000000001</v>
      </c>
      <c r="J1012">
        <v>-263.98059999999998</v>
      </c>
      <c r="K1012">
        <v>1.1092439999999999</v>
      </c>
      <c r="L1012">
        <v>367.94549999999998</v>
      </c>
      <c r="M1012">
        <v>0.99992309999999995</v>
      </c>
      <c r="N1012">
        <v>0</v>
      </c>
      <c r="O1012">
        <v>-6.9833059999999895E-4</v>
      </c>
      <c r="P1012">
        <v>0.99942679999999995</v>
      </c>
      <c r="Q1012">
        <v>3.3289399999999997E-2</v>
      </c>
      <c r="R1012">
        <v>-6.1667859999999996E-3</v>
      </c>
      <c r="S1012">
        <v>3.0017399999999999</v>
      </c>
      <c r="T1012">
        <v>-2.3121599999999999E-2</v>
      </c>
      <c r="U1012">
        <v>-0.13195799999999999</v>
      </c>
      <c r="V1012">
        <v>5.4693619999999898E-3</v>
      </c>
      <c r="W1012">
        <v>4.5663990000000002E-2</v>
      </c>
      <c r="X1012">
        <v>0.99894190000000005</v>
      </c>
      <c r="Y1012">
        <v>4.321912E-2</v>
      </c>
      <c r="Z1012">
        <v>-1.6099299999999901E-4</v>
      </c>
      <c r="AA1012">
        <v>0.9990656</v>
      </c>
      <c r="AB1012">
        <v>48</v>
      </c>
      <c r="AC1012">
        <v>105.7856</v>
      </c>
      <c r="AD1012">
        <v>-0.81687509999999997</v>
      </c>
      <c r="AE1012">
        <v>-4.66109999999997</v>
      </c>
      <c r="AF1012">
        <v>4.5869468929970596</v>
      </c>
      <c r="AG1012">
        <v>-0.81687509999999997</v>
      </c>
      <c r="AH1012">
        <v>105.782533946019</v>
      </c>
      <c r="AI1012">
        <v>90.4420259811493</v>
      </c>
      <c r="AJ1012">
        <v>87.517093283107499</v>
      </c>
      <c r="AK1012">
        <v>105.885087971673</v>
      </c>
      <c r="AL1012">
        <v>87.382736016663998</v>
      </c>
      <c r="AM1012">
        <v>89.686299845926399</v>
      </c>
      <c r="AN1012">
        <v>1.0000000167395</v>
      </c>
    </row>
    <row r="1013" spans="1:40" x14ac:dyDescent="0.25">
      <c r="A1013" t="str">
        <f>"20190312160318741"</f>
        <v>20190312160318741</v>
      </c>
      <c r="B1013" t="str">
        <f>"1552377798736047"</f>
        <v>1552377798736047</v>
      </c>
      <c r="C1013" t="s">
        <v>40</v>
      </c>
      <c r="D1013">
        <v>5.9513449999999999</v>
      </c>
      <c r="E1013">
        <v>0.51600500000000005</v>
      </c>
      <c r="F1013" t="s">
        <v>42</v>
      </c>
      <c r="G1013">
        <v>-158.19499999999999</v>
      </c>
      <c r="H1013">
        <v>0.2812653</v>
      </c>
      <c r="I1013">
        <v>362.90879999999999</v>
      </c>
      <c r="J1013">
        <v>-263.73570000000001</v>
      </c>
      <c r="K1013">
        <v>1.109283</v>
      </c>
      <c r="L1013">
        <v>367.94529999999997</v>
      </c>
      <c r="M1013">
        <v>0.9999228</v>
      </c>
      <c r="N1013">
        <v>0</v>
      </c>
      <c r="O1013">
        <v>-6.9480129999999998E-4</v>
      </c>
      <c r="P1013">
        <v>0.99942770000000003</v>
      </c>
      <c r="Q1013">
        <v>3.3189740000000002E-2</v>
      </c>
      <c r="R1013">
        <v>-6.5488899999999999E-3</v>
      </c>
      <c r="S1013">
        <v>3.001617</v>
      </c>
      <c r="T1013">
        <v>-2.3491020000000001E-2</v>
      </c>
      <c r="U1013">
        <v>-0.14291379999999901</v>
      </c>
      <c r="V1013">
        <v>5.8549049999999997E-3</v>
      </c>
      <c r="W1013">
        <v>4.5591100000000002E-2</v>
      </c>
      <c r="X1013">
        <v>0.99894300000000003</v>
      </c>
      <c r="Y1013">
        <v>4.6862899999999999E-2</v>
      </c>
      <c r="Z1013">
        <v>-1.7783599999999901E-4</v>
      </c>
      <c r="AA1013">
        <v>0.99890129999999999</v>
      </c>
      <c r="AB1013">
        <v>48</v>
      </c>
      <c r="AC1013">
        <v>105.5407</v>
      </c>
      <c r="AD1013">
        <v>-0.82801769999999997</v>
      </c>
      <c r="AE1013">
        <v>-5.0364999999999798</v>
      </c>
      <c r="AF1013">
        <v>4.9628585469875501</v>
      </c>
      <c r="AG1013">
        <v>-0.82801769999999997</v>
      </c>
      <c r="AH1013">
        <v>105.537692903831</v>
      </c>
      <c r="AI1013">
        <v>90.449020446212998</v>
      </c>
      <c r="AJ1013">
        <v>87.307677253202499</v>
      </c>
      <c r="AK1013">
        <v>105.65756102490801</v>
      </c>
      <c r="AL1013">
        <v>87.386916545066398</v>
      </c>
      <c r="AM1013">
        <v>89.664187541513598</v>
      </c>
      <c r="AN1013">
        <v>0.99999997278038399</v>
      </c>
    </row>
    <row r="1014" spans="1:40" x14ac:dyDescent="0.25">
      <c r="A1014" t="str">
        <f>"20190312160318753"</f>
        <v>20190312160318753</v>
      </c>
      <c r="B1014" t="str">
        <f>"1552377798745807"</f>
        <v>1552377798745807</v>
      </c>
      <c r="C1014" t="s">
        <v>40</v>
      </c>
      <c r="D1014">
        <v>5.9510230000000002</v>
      </c>
      <c r="E1014">
        <v>0.51679730000000001</v>
      </c>
      <c r="F1014" t="s">
        <v>42</v>
      </c>
      <c r="G1014">
        <v>-158.19499999999999</v>
      </c>
      <c r="H1014">
        <v>0.29843190000000003</v>
      </c>
      <c r="I1014">
        <v>362.58760000000001</v>
      </c>
      <c r="J1014">
        <v>-263.4896</v>
      </c>
      <c r="K1014">
        <v>1.1093200000000001</v>
      </c>
      <c r="L1014">
        <v>367.94510000000002</v>
      </c>
      <c r="M1014">
        <v>0.99992239999999999</v>
      </c>
      <c r="N1014">
        <v>0</v>
      </c>
      <c r="O1014">
        <v>-6.906716E-4</v>
      </c>
      <c r="P1014">
        <v>0.9994189</v>
      </c>
      <c r="Q1014">
        <v>3.327099E-2</v>
      </c>
      <c r="R1014">
        <v>-7.4163719999999897E-3</v>
      </c>
      <c r="S1014">
        <v>3.0015559999999999</v>
      </c>
      <c r="T1014">
        <v>-2.3057939999999999E-2</v>
      </c>
      <c r="U1014">
        <v>-0.15237429999999999</v>
      </c>
      <c r="V1014">
        <v>6.7264109999999998E-3</v>
      </c>
      <c r="W1014">
        <v>4.5698290000000003E-2</v>
      </c>
      <c r="X1014">
        <v>0.99893270000000001</v>
      </c>
      <c r="Y1014">
        <v>5.0008499999999997E-2</v>
      </c>
      <c r="Z1014">
        <v>-1.866534E-4</v>
      </c>
      <c r="AA1014">
        <v>0.99874879999999999</v>
      </c>
      <c r="AB1014">
        <v>48</v>
      </c>
      <c r="AC1014">
        <v>105.2946</v>
      </c>
      <c r="AD1014">
        <v>-0.8108881</v>
      </c>
      <c r="AE1014">
        <v>-5.3575000000000097</v>
      </c>
      <c r="AF1014">
        <v>5.2844565069909404</v>
      </c>
      <c r="AG1014">
        <v>-0.8108881</v>
      </c>
      <c r="AH1014">
        <v>105.292046957469</v>
      </c>
      <c r="AI1014">
        <v>90.440689947239306</v>
      </c>
      <c r="AJ1014">
        <v>87.126817967241493</v>
      </c>
      <c r="AK1014">
        <v>105.427691678131</v>
      </c>
      <c r="AL1014">
        <v>87.380768827778198</v>
      </c>
      <c r="AM1014">
        <v>89.614199097742699</v>
      </c>
      <c r="AN1014">
        <v>1.0000000587215701</v>
      </c>
    </row>
    <row r="1015" spans="1:40" x14ac:dyDescent="0.25">
      <c r="A1015" t="str">
        <f>"20190312160318764"</f>
        <v>20190312160318764</v>
      </c>
      <c r="B1015" t="str">
        <f>"1552377798755567"</f>
        <v>1552377798755567</v>
      </c>
      <c r="C1015" t="s">
        <v>40</v>
      </c>
      <c r="D1015">
        <v>5.9597239999999996</v>
      </c>
      <c r="E1015">
        <v>0.51758890000000002</v>
      </c>
      <c r="F1015" t="s">
        <v>42</v>
      </c>
      <c r="G1015">
        <v>-158.19499999999999</v>
      </c>
      <c r="H1015">
        <v>0.40542840000000002</v>
      </c>
      <c r="I1015">
        <v>362.291</v>
      </c>
      <c r="J1015">
        <v>-263.25240000000002</v>
      </c>
      <c r="K1015">
        <v>1.1093519999999999</v>
      </c>
      <c r="L1015">
        <v>367.94490000000002</v>
      </c>
      <c r="M1015">
        <v>0.99992230000000004</v>
      </c>
      <c r="N1015">
        <v>0</v>
      </c>
      <c r="O1015">
        <v>-6.8665070000000004E-4</v>
      </c>
      <c r="P1015">
        <v>0.99941369999999896</v>
      </c>
      <c r="Q1015">
        <v>3.3325130000000001E-2</v>
      </c>
      <c r="R1015">
        <v>-7.884182E-3</v>
      </c>
      <c r="S1015">
        <v>3.0012509999999999</v>
      </c>
      <c r="T1015">
        <v>-2.006078E-2</v>
      </c>
      <c r="U1015">
        <v>-0.16116329999999901</v>
      </c>
      <c r="V1015">
        <v>7.1984319999999899E-3</v>
      </c>
      <c r="W1015">
        <v>4.5775929999999999E-2</v>
      </c>
      <c r="X1015">
        <v>0.99892579999999997</v>
      </c>
      <c r="Y1015">
        <v>5.293457E-2</v>
      </c>
      <c r="Z1015">
        <v>-1.7219499999999999E-4</v>
      </c>
      <c r="AA1015">
        <v>0.99859799999999999</v>
      </c>
      <c r="AB1015">
        <v>48</v>
      </c>
      <c r="AC1015">
        <v>105.0574</v>
      </c>
      <c r="AD1015">
        <v>-0.70392359999999998</v>
      </c>
      <c r="AE1015">
        <v>-5.6539000000000197</v>
      </c>
      <c r="AF1015">
        <v>5.5815054832406297</v>
      </c>
      <c r="AG1015">
        <v>-0.70392359999999998</v>
      </c>
      <c r="AH1015">
        <v>105.056554893933</v>
      </c>
      <c r="AI1015">
        <v>90.383359699529194</v>
      </c>
      <c r="AJ1015">
        <v>86.958815892593904</v>
      </c>
      <c r="AK1015">
        <v>105.20707408761101</v>
      </c>
      <c r="AL1015">
        <v>87.376315578733198</v>
      </c>
      <c r="AM1015">
        <v>89.587123854695307</v>
      </c>
      <c r="AN1015">
        <v>1.00000000354813</v>
      </c>
    </row>
    <row r="1016" spans="1:40" x14ac:dyDescent="0.25">
      <c r="A1016" t="str">
        <f>"20190312160318777"</f>
        <v>20190312160318777</v>
      </c>
      <c r="B1016" t="str">
        <f>"1552377798765327"</f>
        <v>1552377798765327</v>
      </c>
      <c r="C1016" t="s">
        <v>40</v>
      </c>
      <c r="D1016">
        <v>5.9639179999999996</v>
      </c>
      <c r="E1016">
        <v>0.51842670000000002</v>
      </c>
      <c r="F1016" t="s">
        <v>42</v>
      </c>
      <c r="G1016">
        <v>-158.19499999999999</v>
      </c>
      <c r="H1016">
        <v>0.37071939999999998</v>
      </c>
      <c r="I1016">
        <v>362.03730000000002</v>
      </c>
      <c r="J1016">
        <v>-262.99400000000003</v>
      </c>
      <c r="K1016">
        <v>1.109372</v>
      </c>
      <c r="L1016">
        <v>367.94479999999999</v>
      </c>
      <c r="M1016">
        <v>0.99992190000000003</v>
      </c>
      <c r="N1016">
        <v>0</v>
      </c>
      <c r="O1016">
        <v>-6.8191569999999997E-4</v>
      </c>
      <c r="P1016">
        <v>0.99939960000000005</v>
      </c>
      <c r="Q1016">
        <v>3.368136E-2</v>
      </c>
      <c r="R1016">
        <v>-8.1478279999999993E-3</v>
      </c>
      <c r="S1016">
        <v>3.00116</v>
      </c>
      <c r="T1016">
        <v>-2.1097899999999999E-2</v>
      </c>
      <c r="U1016">
        <v>-0.1687622</v>
      </c>
      <c r="V1016">
        <v>7.4667099999999997E-3</v>
      </c>
      <c r="W1016">
        <v>4.6156049999999997E-2</v>
      </c>
      <c r="X1016">
        <v>0.99890630000000002</v>
      </c>
      <c r="Y1016">
        <v>5.5461379999999998E-2</v>
      </c>
      <c r="Z1016">
        <v>-1.8999779999999999E-4</v>
      </c>
      <c r="AA1016">
        <v>0.99846080000000004</v>
      </c>
      <c r="AB1016">
        <v>48</v>
      </c>
      <c r="AC1016">
        <v>104.79900000000001</v>
      </c>
      <c r="AD1016">
        <v>-0.73865259999999999</v>
      </c>
      <c r="AE1016">
        <v>-5.9074999999999704</v>
      </c>
      <c r="AF1016">
        <v>5.8357399866644899</v>
      </c>
      <c r="AG1016">
        <v>-0.73865259999999999</v>
      </c>
      <c r="AH1016">
        <v>104.797814680377</v>
      </c>
      <c r="AI1016">
        <v>90.403209873088898</v>
      </c>
      <c r="AJ1016">
        <v>86.812735976974906</v>
      </c>
      <c r="AK1016">
        <v>104.96277164136799</v>
      </c>
      <c r="AL1016">
        <v>87.354513158514806</v>
      </c>
      <c r="AM1016">
        <v>89.571728597275396</v>
      </c>
      <c r="AN1016">
        <v>0.99999996444475703</v>
      </c>
    </row>
    <row r="1017" spans="1:40" x14ac:dyDescent="0.25">
      <c r="A1017" t="str">
        <f>"20190312160318787"</f>
        <v>20190312160318787</v>
      </c>
      <c r="B1017" t="str">
        <f>"1552377798776063"</f>
        <v>1552377798776063</v>
      </c>
      <c r="C1017" t="s">
        <v>40</v>
      </c>
      <c r="D1017">
        <v>5.9500929999999999</v>
      </c>
      <c r="E1017">
        <v>0.5191192</v>
      </c>
      <c r="F1017" t="s">
        <v>42</v>
      </c>
      <c r="G1017">
        <v>-158.19499999999999</v>
      </c>
      <c r="H1017">
        <v>0.4223828</v>
      </c>
      <c r="I1017">
        <v>361.78390000000002</v>
      </c>
      <c r="J1017">
        <v>-262.74340000000001</v>
      </c>
      <c r="K1017">
        <v>1.109397</v>
      </c>
      <c r="L1017">
        <v>367.94459999999998</v>
      </c>
      <c r="M1017">
        <v>0.99992159999999997</v>
      </c>
      <c r="N1017">
        <v>0</v>
      </c>
      <c r="O1017">
        <v>-6.7752909999999999E-4</v>
      </c>
      <c r="P1017">
        <v>0.99938910000000003</v>
      </c>
      <c r="Q1017">
        <v>3.3908269999999997E-2</v>
      </c>
      <c r="R1017">
        <v>-8.4737930000000003E-3</v>
      </c>
      <c r="S1017">
        <v>3.001007</v>
      </c>
      <c r="T1017">
        <v>-1.9670010000000002E-2</v>
      </c>
      <c r="U1017">
        <v>-0.1764221</v>
      </c>
      <c r="V1017">
        <v>7.7973080000000002E-3</v>
      </c>
      <c r="W1017">
        <v>4.6405160000000001E-2</v>
      </c>
      <c r="X1017">
        <v>0.99889220000000001</v>
      </c>
      <c r="Y1017">
        <v>5.8008659999999997E-2</v>
      </c>
      <c r="Z1017">
        <v>-1.8550470000000001E-4</v>
      </c>
      <c r="AA1017">
        <v>0.99831599999999998</v>
      </c>
      <c r="AB1017">
        <v>48</v>
      </c>
      <c r="AC1017">
        <v>104.5484</v>
      </c>
      <c r="AD1017">
        <v>-0.68701420000000002</v>
      </c>
      <c r="AE1017">
        <v>-6.1606999999999603</v>
      </c>
      <c r="AF1017">
        <v>6.0895964174634498</v>
      </c>
      <c r="AG1017">
        <v>-0.68701420000000002</v>
      </c>
      <c r="AH1017">
        <v>104.548051471219</v>
      </c>
      <c r="AI1017">
        <v>90.375863977371196</v>
      </c>
      <c r="AJ1017">
        <v>86.666466853597996</v>
      </c>
      <c r="AK1017">
        <v>104.727504694169</v>
      </c>
      <c r="AL1017">
        <v>87.340224809942598</v>
      </c>
      <c r="AM1017">
        <v>89.552760782087105</v>
      </c>
      <c r="AN1017">
        <v>0.99999993205375304</v>
      </c>
    </row>
    <row r="1018" spans="1:40" x14ac:dyDescent="0.25">
      <c r="A1018" t="str">
        <f>"20190312160318798"</f>
        <v>20190312160318798</v>
      </c>
      <c r="B1018" t="str">
        <f>"1552377798785823"</f>
        <v>1552377798785823</v>
      </c>
      <c r="C1018" t="s">
        <v>40</v>
      </c>
      <c r="D1018">
        <v>5.9691879999999999</v>
      </c>
      <c r="E1018">
        <v>0.5197794</v>
      </c>
      <c r="F1018" t="s">
        <v>42</v>
      </c>
      <c r="G1018">
        <v>-158.19499999999999</v>
      </c>
      <c r="H1018">
        <v>0.47672219999999998</v>
      </c>
      <c r="I1018">
        <v>361.57389999999998</v>
      </c>
      <c r="J1018">
        <v>-262.5111</v>
      </c>
      <c r="K1018">
        <v>1.109416</v>
      </c>
      <c r="L1018">
        <v>367.94450000000001</v>
      </c>
      <c r="M1018">
        <v>0.99992139999999996</v>
      </c>
      <c r="N1018">
        <v>0</v>
      </c>
      <c r="O1018">
        <v>-6.7323769999999995E-4</v>
      </c>
      <c r="P1018">
        <v>0.99937960000000003</v>
      </c>
      <c r="Q1018">
        <v>3.4162440000000002E-2</v>
      </c>
      <c r="R1018">
        <v>-8.5858810000000001E-3</v>
      </c>
      <c r="S1018">
        <v>3.0008539999999999</v>
      </c>
      <c r="T1018">
        <v>-1.8157119999999999E-2</v>
      </c>
      <c r="U1018">
        <v>-0.1828613</v>
      </c>
      <c r="V1018">
        <v>7.913603E-3</v>
      </c>
      <c r="W1018">
        <v>4.6677129999999997E-2</v>
      </c>
      <c r="X1018">
        <v>0.99887870000000001</v>
      </c>
      <c r="Y1018">
        <v>6.0150450000000001E-2</v>
      </c>
      <c r="Z1018">
        <v>-1.77734399999999E-4</v>
      </c>
      <c r="AA1018">
        <v>0.99818929999999995</v>
      </c>
      <c r="AB1018">
        <v>48</v>
      </c>
      <c r="AC1018">
        <v>104.31610000000001</v>
      </c>
      <c r="AD1018">
        <v>-0.63269379999999997</v>
      </c>
      <c r="AE1018">
        <v>-6.37060000000002</v>
      </c>
      <c r="AF1018">
        <v>6.3001326236940001</v>
      </c>
      <c r="AG1018">
        <v>-0.63269379999999997</v>
      </c>
      <c r="AH1018">
        <v>104.31654247345</v>
      </c>
      <c r="AI1018">
        <v>90.346870304584897</v>
      </c>
      <c r="AJ1018">
        <v>86.543855069677704</v>
      </c>
      <c r="AK1018">
        <v>104.50853078163399</v>
      </c>
      <c r="AL1018">
        <v>87.324625402800507</v>
      </c>
      <c r="AM1018">
        <v>89.546084457842497</v>
      </c>
      <c r="AN1018">
        <v>1.00000001844558</v>
      </c>
    </row>
    <row r="1019" spans="1:40" x14ac:dyDescent="0.25">
      <c r="A1019" t="str">
        <f>"20190312160318809"</f>
        <v>20190312160318809</v>
      </c>
      <c r="B1019" t="str">
        <f>"1552377798805343"</f>
        <v>1552377798805343</v>
      </c>
      <c r="C1019" t="s">
        <v>40</v>
      </c>
      <c r="D1019">
        <v>5.874765</v>
      </c>
      <c r="E1019">
        <v>0.52071239999999996</v>
      </c>
      <c r="F1019" t="s">
        <v>42</v>
      </c>
      <c r="G1019">
        <v>-158.19499999999999</v>
      </c>
      <c r="H1019">
        <v>0.56658980000000003</v>
      </c>
      <c r="I1019">
        <v>361.39359999999999</v>
      </c>
      <c r="J1019">
        <v>-262.2876</v>
      </c>
      <c r="K1019">
        <v>1.10944</v>
      </c>
      <c r="L1019">
        <v>367.9443</v>
      </c>
      <c r="M1019">
        <v>0.99992130000000001</v>
      </c>
      <c r="N1019">
        <v>0</v>
      </c>
      <c r="O1019">
        <v>-6.6929689999999998E-4</v>
      </c>
      <c r="P1019">
        <v>0.99936599999999998</v>
      </c>
      <c r="Q1019">
        <v>3.455449E-2</v>
      </c>
      <c r="R1019">
        <v>-8.6082280000000008E-3</v>
      </c>
      <c r="S1019">
        <v>3.0007929999999998</v>
      </c>
      <c r="T1019">
        <v>-1.5612600000000001E-2</v>
      </c>
      <c r="U1019">
        <v>-0.188446</v>
      </c>
      <c r="V1019">
        <v>7.9398709999999994E-3</v>
      </c>
      <c r="W1019">
        <v>4.7087240000000002E-2</v>
      </c>
      <c r="X1019">
        <v>0.99885919999999895</v>
      </c>
      <c r="Y1019">
        <v>6.2006390000000002E-2</v>
      </c>
      <c r="Z1019">
        <v>-1.576653E-4</v>
      </c>
      <c r="AA1019">
        <v>0.99807570000000001</v>
      </c>
      <c r="AB1019">
        <v>48</v>
      </c>
      <c r="AC1019">
        <v>104.0926</v>
      </c>
      <c r="AD1019">
        <v>-0.54285019999999995</v>
      </c>
      <c r="AE1019">
        <v>-6.5507</v>
      </c>
      <c r="AF1019">
        <v>6.4808486462398198</v>
      </c>
      <c r="AG1019">
        <v>-0.54285019999999995</v>
      </c>
      <c r="AH1019">
        <v>104.09414151307099</v>
      </c>
      <c r="AI1019">
        <v>90.298216958310405</v>
      </c>
      <c r="AJ1019">
        <v>86.437392153538099</v>
      </c>
      <c r="AK1019">
        <v>104.297106301461</v>
      </c>
      <c r="AL1019">
        <v>87.3011018493752</v>
      </c>
      <c r="AM1019">
        <v>89.544568927183093</v>
      </c>
      <c r="AN1019">
        <v>0.99999997557347597</v>
      </c>
    </row>
    <row r="1020" spans="1:40" x14ac:dyDescent="0.25">
      <c r="A1020" t="str">
        <f>"20190312160318819"</f>
        <v>20190312160318819</v>
      </c>
      <c r="B1020" t="str">
        <f>"1552377798816080"</f>
        <v>1552377798816080</v>
      </c>
      <c r="C1020" t="s">
        <v>40</v>
      </c>
      <c r="D1020">
        <v>5.9769019999999999</v>
      </c>
      <c r="E1020">
        <v>0.52123430000000004</v>
      </c>
      <c r="F1020" t="s">
        <v>42</v>
      </c>
      <c r="G1020">
        <v>-158.19499999999999</v>
      </c>
      <c r="H1020">
        <v>0.71545649999999905</v>
      </c>
      <c r="I1020">
        <v>361.16050000000001</v>
      </c>
      <c r="J1020">
        <v>-262.06099999999998</v>
      </c>
      <c r="K1020">
        <v>1.1094550000000001</v>
      </c>
      <c r="L1020">
        <v>367.94420000000002</v>
      </c>
      <c r="M1020">
        <v>0.99992080000000005</v>
      </c>
      <c r="N1020">
        <v>0</v>
      </c>
      <c r="O1020">
        <v>-6.6534500000000002E-4</v>
      </c>
      <c r="P1020">
        <v>0.99935750000000001</v>
      </c>
      <c r="Q1020">
        <v>3.4677619999999999E-2</v>
      </c>
      <c r="R1020">
        <v>-9.0616989999999994E-3</v>
      </c>
      <c r="S1020">
        <v>3.0006409999999999</v>
      </c>
      <c r="T1020">
        <v>-1.1354680000000001E-2</v>
      </c>
      <c r="U1020">
        <v>-0.1955566</v>
      </c>
      <c r="V1020">
        <v>8.3974319999999998E-3</v>
      </c>
      <c r="W1020">
        <v>4.7226320000000002E-2</v>
      </c>
      <c r="X1020">
        <v>0.99884890000000004</v>
      </c>
      <c r="Y1020">
        <v>6.4369209999999996E-2</v>
      </c>
      <c r="Z1020">
        <v>-1.191446E-4</v>
      </c>
      <c r="AA1020">
        <v>0.99792610000000004</v>
      </c>
      <c r="AB1020">
        <v>48</v>
      </c>
      <c r="AC1020">
        <v>103.866</v>
      </c>
      <c r="AD1020">
        <v>-0.39399849999999897</v>
      </c>
      <c r="AE1020">
        <v>-6.7836999999999996</v>
      </c>
      <c r="AF1020">
        <v>6.7144901090720204</v>
      </c>
      <c r="AG1020">
        <v>-0.39399849999999897</v>
      </c>
      <c r="AH1020">
        <v>103.86900260087999</v>
      </c>
      <c r="AI1020">
        <v>90.216882063013102</v>
      </c>
      <c r="AJ1020">
        <v>86.301327695783698</v>
      </c>
      <c r="AK1020">
        <v>104.08654722654801</v>
      </c>
      <c r="AL1020">
        <v>87.293124298849307</v>
      </c>
      <c r="AM1020">
        <v>89.518319460217299</v>
      </c>
      <c r="AN1020">
        <v>0.99999998359807296</v>
      </c>
    </row>
    <row r="1021" spans="1:40" x14ac:dyDescent="0.25">
      <c r="A1021" t="str">
        <f>"20190312160318831"</f>
        <v>20190312160318831</v>
      </c>
      <c r="B1021" t="str">
        <f>"1552377798825840"</f>
        <v>1552377798825840</v>
      </c>
      <c r="C1021" t="s">
        <v>40</v>
      </c>
      <c r="D1021">
        <v>5.9356770000000001</v>
      </c>
      <c r="E1021">
        <v>0.52167450000000004</v>
      </c>
      <c r="F1021" t="s">
        <v>42</v>
      </c>
      <c r="G1021">
        <v>-158.19499999999999</v>
      </c>
      <c r="H1021">
        <v>0.70031069999999995</v>
      </c>
      <c r="I1021">
        <v>360.97309999999999</v>
      </c>
      <c r="J1021">
        <v>-261.79570000000001</v>
      </c>
      <c r="K1021">
        <v>1.109472</v>
      </c>
      <c r="L1021">
        <v>367.94400000000002</v>
      </c>
      <c r="M1021">
        <v>0.9999207</v>
      </c>
      <c r="N1021">
        <v>0</v>
      </c>
      <c r="O1021">
        <v>-6.6092850000000003E-4</v>
      </c>
      <c r="P1021">
        <v>0.99935200000000002</v>
      </c>
      <c r="Q1021">
        <v>3.4793440000000002E-2</v>
      </c>
      <c r="R1021">
        <v>-9.2114550000000003E-3</v>
      </c>
      <c r="S1021">
        <v>3.0005489999999999</v>
      </c>
      <c r="T1021">
        <v>-1.1817100000000001E-2</v>
      </c>
      <c r="U1021">
        <v>-0.2013855</v>
      </c>
      <c r="V1021">
        <v>8.5515309999999994E-3</v>
      </c>
      <c r="W1021">
        <v>4.7360640000000002E-2</v>
      </c>
      <c r="X1021">
        <v>0.99884119999999998</v>
      </c>
      <c r="Y1021">
        <v>6.6305530000000001E-2</v>
      </c>
      <c r="Z1021">
        <v>-1.2781850000000001E-4</v>
      </c>
      <c r="AA1021">
        <v>0.99779929999999994</v>
      </c>
      <c r="AB1021">
        <v>48</v>
      </c>
      <c r="AC1021">
        <v>103.6007</v>
      </c>
      <c r="AD1021">
        <v>-0.40916130000000001</v>
      </c>
      <c r="AE1021">
        <v>-6.9709000000000199</v>
      </c>
      <c r="AF1021">
        <v>6.9023132308566497</v>
      </c>
      <c r="AG1021">
        <v>-0.40916130000000001</v>
      </c>
      <c r="AH1021">
        <v>103.60367629202401</v>
      </c>
      <c r="AI1021">
        <v>90.225776162196198</v>
      </c>
      <c r="AJ1021">
        <v>86.1884570338716</v>
      </c>
      <c r="AK1021">
        <v>103.834151810129</v>
      </c>
      <c r="AL1021">
        <v>87.285419619528597</v>
      </c>
      <c r="AM1021">
        <v>89.509476917917397</v>
      </c>
      <c r="AN1021">
        <v>0.99999995086054505</v>
      </c>
    </row>
    <row r="1022" spans="1:40" x14ac:dyDescent="0.25">
      <c r="A1022" t="str">
        <f>"20190312160318842"</f>
        <v>20190312160318842</v>
      </c>
      <c r="B1022" t="str">
        <f>"1552377798835599"</f>
        <v>1552377798835599</v>
      </c>
      <c r="C1022" t="s">
        <v>40</v>
      </c>
      <c r="D1022">
        <v>5.9606899999999996</v>
      </c>
      <c r="E1022">
        <v>0.52202709999999997</v>
      </c>
      <c r="F1022" t="s">
        <v>42</v>
      </c>
      <c r="G1022">
        <v>-158.19499999999999</v>
      </c>
      <c r="H1022">
        <v>0.74701689999999998</v>
      </c>
      <c r="I1022">
        <v>360.86399999999998</v>
      </c>
      <c r="J1022">
        <v>-261.5754</v>
      </c>
      <c r="K1022">
        <v>1.10948</v>
      </c>
      <c r="L1022">
        <v>367.94380000000001</v>
      </c>
      <c r="M1022">
        <v>0.99992060000000005</v>
      </c>
      <c r="N1022">
        <v>0</v>
      </c>
      <c r="O1022">
        <v>-6.5743929999999902E-4</v>
      </c>
      <c r="P1022">
        <v>0.99934909999999999</v>
      </c>
      <c r="Q1022">
        <v>3.4835249999999998E-2</v>
      </c>
      <c r="R1022">
        <v>-9.3757809999999997E-3</v>
      </c>
      <c r="S1022">
        <v>3.0004270000000002</v>
      </c>
      <c r="T1022">
        <v>-1.0494710000000001E-2</v>
      </c>
      <c r="U1022">
        <v>-0.2050476</v>
      </c>
      <c r="V1022">
        <v>8.7194249999999994E-3</v>
      </c>
      <c r="W1022">
        <v>4.7416369999999999E-2</v>
      </c>
      <c r="X1022">
        <v>0.99883719999999998</v>
      </c>
      <c r="Y1022">
        <v>6.7524070000000005E-2</v>
      </c>
      <c r="Z1022">
        <v>-1.156558E-4</v>
      </c>
      <c r="AA1022">
        <v>0.99771759999999998</v>
      </c>
      <c r="AB1022">
        <v>48</v>
      </c>
      <c r="AC1022">
        <v>103.38039999999999</v>
      </c>
      <c r="AD1022">
        <v>-0.36246309999999998</v>
      </c>
      <c r="AE1022">
        <v>-7.0797999999999703</v>
      </c>
      <c r="AF1022">
        <v>7.0117409579992298</v>
      </c>
      <c r="AG1022">
        <v>-0.36246309999999998</v>
      </c>
      <c r="AH1022">
        <v>103.38376761737101</v>
      </c>
      <c r="AI1022">
        <v>90.200417547927898</v>
      </c>
      <c r="AJ1022">
        <v>86.120001458066994</v>
      </c>
      <c r="AK1022">
        <v>103.62190549069901</v>
      </c>
      <c r="AL1022">
        <v>87.282223193815696</v>
      </c>
      <c r="AM1022">
        <v>89.499844857144296</v>
      </c>
      <c r="AN1022">
        <v>1.00000004631007</v>
      </c>
    </row>
    <row r="1023" spans="1:40" x14ac:dyDescent="0.25">
      <c r="A1023" t="str">
        <f>"20190312160318856"</f>
        <v>20190312160318856</v>
      </c>
      <c r="B1023" t="str">
        <f>"1552377798845360"</f>
        <v>1552377798845360</v>
      </c>
      <c r="C1023" t="s">
        <v>40</v>
      </c>
      <c r="D1023">
        <v>5.9911649999999996</v>
      </c>
      <c r="E1023">
        <v>0.52236159999999998</v>
      </c>
      <c r="F1023" t="s">
        <v>42</v>
      </c>
      <c r="G1023">
        <v>-158.19499999999999</v>
      </c>
      <c r="H1023">
        <v>0.699048</v>
      </c>
      <c r="I1023">
        <v>360.76010000000002</v>
      </c>
      <c r="J1023">
        <v>-261.28649999999999</v>
      </c>
      <c r="K1023">
        <v>1.1094949999999999</v>
      </c>
      <c r="L1023">
        <v>367.94369999999998</v>
      </c>
      <c r="M1023">
        <v>0.99992040000000004</v>
      </c>
      <c r="N1023">
        <v>0</v>
      </c>
      <c r="O1023">
        <v>-6.5289720000000001E-4</v>
      </c>
      <c r="P1023">
        <v>0.99935339999999995</v>
      </c>
      <c r="Q1023">
        <v>3.4618330000000003E-2</v>
      </c>
      <c r="R1023">
        <v>-9.7310590000000002E-3</v>
      </c>
      <c r="S1023">
        <v>3.0004270000000002</v>
      </c>
      <c r="T1023">
        <v>-1.190948E-2</v>
      </c>
      <c r="U1023">
        <v>-0.20849609999999999</v>
      </c>
      <c r="V1023">
        <v>9.0789860000000007E-3</v>
      </c>
      <c r="W1023">
        <v>4.7216800000000003E-2</v>
      </c>
      <c r="X1023">
        <v>0.99884340000000005</v>
      </c>
      <c r="Y1023">
        <v>6.8669709999999995E-2</v>
      </c>
      <c r="Z1023">
        <v>-1.3353080000000001E-4</v>
      </c>
      <c r="AA1023">
        <v>0.99763939999999995</v>
      </c>
      <c r="AB1023">
        <v>48</v>
      </c>
      <c r="AC1023">
        <v>103.0915</v>
      </c>
      <c r="AD1023">
        <v>-0.41044700000000001</v>
      </c>
      <c r="AE1023">
        <v>-7.1835999999999496</v>
      </c>
      <c r="AF1023">
        <v>7.11617271671465</v>
      </c>
      <c r="AG1023">
        <v>-0.41044700000000001</v>
      </c>
      <c r="AH1023">
        <v>103.09454224918299</v>
      </c>
      <c r="AI1023">
        <v>90.227567169870696</v>
      </c>
      <c r="AJ1023">
        <v>86.051382016231699</v>
      </c>
      <c r="AK1023">
        <v>103.340664902266</v>
      </c>
      <c r="AL1023">
        <v>87.293670397317896</v>
      </c>
      <c r="AM1023">
        <v>89.479224415981903</v>
      </c>
      <c r="AN1023">
        <v>0.99999999595629396</v>
      </c>
    </row>
    <row r="1024" spans="1:40" x14ac:dyDescent="0.25">
      <c r="A1024" t="str">
        <f>"20190312160318881"</f>
        <v>20190312160318881</v>
      </c>
      <c r="B1024" t="str">
        <f>"1552377798875615"</f>
        <v>1552377798875615</v>
      </c>
      <c r="C1024" t="s">
        <v>40</v>
      </c>
      <c r="D1024">
        <v>5.7036490000000004</v>
      </c>
      <c r="E1024">
        <v>0.52259909999999998</v>
      </c>
      <c r="F1024" t="s">
        <v>42</v>
      </c>
      <c r="G1024">
        <v>-158.19499999999999</v>
      </c>
      <c r="H1024">
        <v>0.74315450000000005</v>
      </c>
      <c r="I1024">
        <v>360.64940000000001</v>
      </c>
      <c r="J1024">
        <v>-260.73430000000002</v>
      </c>
      <c r="K1024">
        <v>1.1095200000000001</v>
      </c>
      <c r="L1024">
        <v>367.94330000000002</v>
      </c>
      <c r="M1024">
        <v>0.99992000000000003</v>
      </c>
      <c r="N1024">
        <v>0</v>
      </c>
      <c r="O1024">
        <v>-6.4414430000000003E-4</v>
      </c>
      <c r="P1024">
        <v>0.99935010000000002</v>
      </c>
      <c r="Q1024">
        <v>3.4649659999999999E-2</v>
      </c>
      <c r="R1024">
        <v>-9.9491370000000003E-3</v>
      </c>
      <c r="S1024">
        <v>3.0001829999999998</v>
      </c>
      <c r="T1024">
        <v>-1.065874E-2</v>
      </c>
      <c r="U1024">
        <v>-0.21228030000000001</v>
      </c>
      <c r="V1024">
        <v>9.3060150000000008E-3</v>
      </c>
      <c r="W1024">
        <v>4.7278239999999999E-2</v>
      </c>
      <c r="X1024">
        <v>0.99883840000000002</v>
      </c>
      <c r="Y1024">
        <v>6.9936289999999998E-2</v>
      </c>
      <c r="Z1024">
        <v>-1.2179E-4</v>
      </c>
      <c r="AA1024">
        <v>0.99755139999999998</v>
      </c>
      <c r="AB1024">
        <v>48</v>
      </c>
      <c r="AC1024">
        <v>102.5393</v>
      </c>
      <c r="AD1024">
        <v>-0.36636550000000001</v>
      </c>
      <c r="AE1024">
        <v>-7.2938999999999998</v>
      </c>
      <c r="AF1024">
        <v>7.2277513066124897</v>
      </c>
      <c r="AG1024">
        <v>-0.36636550000000001</v>
      </c>
      <c r="AH1024">
        <v>102.542674972447</v>
      </c>
      <c r="AI1024">
        <v>90.2041994492199</v>
      </c>
      <c r="AJ1024">
        <v>85.968157883598494</v>
      </c>
      <c r="AK1024">
        <v>102.79773734443199</v>
      </c>
      <c r="AL1024">
        <v>87.290146197035597</v>
      </c>
      <c r="AM1024">
        <v>89.466199981244003</v>
      </c>
      <c r="AN1024">
        <v>0.99999999160361797</v>
      </c>
    </row>
    <row r="1025" spans="1:40" x14ac:dyDescent="0.25">
      <c r="A1025" t="str">
        <f>"20190312160318895"</f>
        <v>20190312160318895</v>
      </c>
      <c r="B1025" t="str">
        <f>"1552377798886351"</f>
        <v>1552377798886351</v>
      </c>
      <c r="C1025" t="s">
        <v>40</v>
      </c>
      <c r="D1025">
        <v>5.9879020000000001</v>
      </c>
      <c r="E1025">
        <v>0.52300259999999998</v>
      </c>
      <c r="F1025" t="s">
        <v>42</v>
      </c>
      <c r="G1025">
        <v>-158.19499999999999</v>
      </c>
      <c r="H1025">
        <v>0.68393709999999996</v>
      </c>
      <c r="I1025">
        <v>360.6121</v>
      </c>
      <c r="J1025">
        <v>-260.46589999999998</v>
      </c>
      <c r="K1025">
        <v>1.1095299999999999</v>
      </c>
      <c r="L1025">
        <v>367.94310000000002</v>
      </c>
      <c r="M1025">
        <v>0.99991980000000003</v>
      </c>
      <c r="N1025">
        <v>0</v>
      </c>
      <c r="O1025">
        <v>-6.4017339999999999E-4</v>
      </c>
      <c r="P1025">
        <v>0.99933930000000004</v>
      </c>
      <c r="Q1025">
        <v>3.4841770000000001E-2</v>
      </c>
      <c r="R1025">
        <v>-1.0351829999999999E-2</v>
      </c>
      <c r="S1025">
        <v>3.0002439999999999</v>
      </c>
      <c r="T1025">
        <v>-1.2449740000000001E-2</v>
      </c>
      <c r="U1025">
        <v>-0.21450810000000001</v>
      </c>
      <c r="V1025">
        <v>9.7126829999999997E-3</v>
      </c>
      <c r="W1025">
        <v>4.7483049999999999E-2</v>
      </c>
      <c r="X1025">
        <v>0.99882479999999996</v>
      </c>
      <c r="Y1025">
        <v>7.067561E-2</v>
      </c>
      <c r="Z1025">
        <v>-1.437961E-4</v>
      </c>
      <c r="AA1025">
        <v>0.99749929999999998</v>
      </c>
      <c r="AB1025">
        <v>48</v>
      </c>
      <c r="AC1025">
        <v>102.270899999999</v>
      </c>
      <c r="AD1025">
        <v>-0.4255929</v>
      </c>
      <c r="AE1025">
        <v>-7.3310000000000102</v>
      </c>
      <c r="AF1025">
        <v>7.2653969748521696</v>
      </c>
      <c r="AG1025">
        <v>-0.4255929</v>
      </c>
      <c r="AH1025">
        <v>102.273810456717</v>
      </c>
      <c r="AI1025">
        <v>90.237824722583795</v>
      </c>
      <c r="AJ1025">
        <v>85.936609303111993</v>
      </c>
      <c r="AK1025">
        <v>102.532431102823</v>
      </c>
      <c r="AL1025">
        <v>87.278398219054694</v>
      </c>
      <c r="AM1025">
        <v>89.442867053153407</v>
      </c>
      <c r="AN1025">
        <v>0.99999997867169999</v>
      </c>
    </row>
    <row r="1026" spans="1:40" x14ac:dyDescent="0.25">
      <c r="A1026" t="str">
        <f>"20190312160318910"</f>
        <v>20190312160318910</v>
      </c>
      <c r="B1026" t="str">
        <f>"1552377798905872"</f>
        <v>1552377798905872</v>
      </c>
      <c r="C1026" t="s">
        <v>40</v>
      </c>
      <c r="D1026">
        <v>5.8619149999999998</v>
      </c>
      <c r="E1026">
        <v>0.52321470000000003</v>
      </c>
      <c r="F1026" t="s">
        <v>42</v>
      </c>
      <c r="G1026">
        <v>-158.19499999999999</v>
      </c>
      <c r="H1026">
        <v>0.67618559999999905</v>
      </c>
      <c r="I1026">
        <v>360.47590000000002</v>
      </c>
      <c r="J1026">
        <v>-260.11610000000002</v>
      </c>
      <c r="K1026">
        <v>1.109542</v>
      </c>
      <c r="L1026">
        <v>367.94290000000001</v>
      </c>
      <c r="M1026">
        <v>0.99991969999999997</v>
      </c>
      <c r="N1026">
        <v>0</v>
      </c>
      <c r="O1026">
        <v>-6.3502709999999996E-4</v>
      </c>
      <c r="P1026">
        <v>0.99933300000000003</v>
      </c>
      <c r="Q1026">
        <v>3.4939480000000002E-2</v>
      </c>
      <c r="R1026">
        <v>-1.064761E-2</v>
      </c>
      <c r="S1026">
        <v>3.0001530000000001</v>
      </c>
      <c r="T1026">
        <v>-1.2709740000000001E-2</v>
      </c>
      <c r="U1026">
        <v>-0.21905520000000001</v>
      </c>
      <c r="V1026">
        <v>1.001349E-2</v>
      </c>
      <c r="W1026">
        <v>4.7596890000000003E-2</v>
      </c>
      <c r="X1026">
        <v>0.99881640000000005</v>
      </c>
      <c r="Y1026">
        <v>7.2186780000000006E-2</v>
      </c>
      <c r="Z1026">
        <v>-1.5001399999999999E-4</v>
      </c>
      <c r="AA1026">
        <v>0.99739109999999997</v>
      </c>
      <c r="AB1026">
        <v>48</v>
      </c>
      <c r="AC1026">
        <v>101.9211</v>
      </c>
      <c r="AD1026">
        <v>-0.43335639999999997</v>
      </c>
      <c r="AE1026">
        <v>-7.4669999999999801</v>
      </c>
      <c r="AF1026">
        <v>7.4021375439705404</v>
      </c>
      <c r="AG1026">
        <v>-0.43335639999999997</v>
      </c>
      <c r="AH1026">
        <v>101.923988778805</v>
      </c>
      <c r="AI1026">
        <v>90.242966586075397</v>
      </c>
      <c r="AJ1026">
        <v>85.8462382387807</v>
      </c>
      <c r="AK1026">
        <v>102.193340911094</v>
      </c>
      <c r="AL1026">
        <v>87.271868253477606</v>
      </c>
      <c r="AM1026">
        <v>89.425608655512704</v>
      </c>
      <c r="AN1026">
        <v>0.99999996741430497</v>
      </c>
    </row>
    <row r="1027" spans="1:40" x14ac:dyDescent="0.25">
      <c r="A1027" t="str">
        <f>"20190312160318922"</f>
        <v>20190312160318922</v>
      </c>
      <c r="B1027" t="str">
        <f>"1552377798915631"</f>
        <v>1552377798915631</v>
      </c>
      <c r="C1027" t="s">
        <v>40</v>
      </c>
      <c r="D1027">
        <v>6.7163219999999999</v>
      </c>
      <c r="E1027">
        <v>0.52307650000000006</v>
      </c>
      <c r="F1027" t="s">
        <v>42</v>
      </c>
      <c r="G1027">
        <v>-158.19499999999999</v>
      </c>
      <c r="H1027">
        <v>0.74422739999999998</v>
      </c>
      <c r="I1027">
        <v>360.40870000000001</v>
      </c>
      <c r="J1027">
        <v>-259.84870000000001</v>
      </c>
      <c r="K1027">
        <v>1.1095520000000001</v>
      </c>
      <c r="L1027">
        <v>367.9427</v>
      </c>
      <c r="M1027">
        <v>0.99991940000000001</v>
      </c>
      <c r="N1027">
        <v>0</v>
      </c>
      <c r="O1027">
        <v>-6.3032910000000004E-4</v>
      </c>
      <c r="P1027">
        <v>0.99929349999999995</v>
      </c>
      <c r="Q1027">
        <v>3.5828159999999998E-2</v>
      </c>
      <c r="R1027">
        <v>-1.1351470000000001E-2</v>
      </c>
      <c r="S1027">
        <v>3.0000309999999999</v>
      </c>
      <c r="T1027">
        <v>-1.075041E-2</v>
      </c>
      <c r="U1027">
        <v>-0.2217712</v>
      </c>
      <c r="V1027">
        <v>1.0721939999999999E-2</v>
      </c>
      <c r="W1027">
        <v>4.8495160000000002E-2</v>
      </c>
      <c r="X1027">
        <v>0.99876589999999998</v>
      </c>
      <c r="Y1027">
        <v>7.3092699999999997E-2</v>
      </c>
      <c r="Z1027">
        <v>-1.2852680000000001E-4</v>
      </c>
      <c r="AA1027">
        <v>0.99732509999999996</v>
      </c>
      <c r="AB1027">
        <v>48</v>
      </c>
      <c r="AC1027">
        <v>101.6537</v>
      </c>
      <c r="AD1027">
        <v>-0.3653246</v>
      </c>
      <c r="AE1027">
        <v>-7.53399999999999</v>
      </c>
      <c r="AF1027">
        <v>7.4698221161957896</v>
      </c>
      <c r="AG1027">
        <v>-0.3653246</v>
      </c>
      <c r="AH1027">
        <v>101.65712330308401</v>
      </c>
      <c r="AI1027">
        <v>90.205348987218798</v>
      </c>
      <c r="AJ1027">
        <v>85.797427086666602</v>
      </c>
      <c r="AK1027">
        <v>101.931851855882</v>
      </c>
      <c r="AL1027">
        <v>87.220341842338797</v>
      </c>
      <c r="AM1027">
        <v>89.384942644920102</v>
      </c>
      <c r="AN1027">
        <v>1.0000000317717901</v>
      </c>
    </row>
    <row r="1028" spans="1:40" x14ac:dyDescent="0.25">
      <c r="A1028" t="str">
        <f>"20190312160318933"</f>
        <v>20190312160318933</v>
      </c>
      <c r="B1028" t="str">
        <f>"1552377798925393"</f>
        <v>1552377798925393</v>
      </c>
      <c r="C1028" t="s">
        <v>40</v>
      </c>
      <c r="D1028">
        <v>6.0110349999999997</v>
      </c>
      <c r="E1028">
        <v>0.52300199999999997</v>
      </c>
      <c r="F1028" t="s">
        <v>42</v>
      </c>
      <c r="G1028">
        <v>-158.19499999999999</v>
      </c>
      <c r="H1028">
        <v>0.92909430000000004</v>
      </c>
      <c r="I1028">
        <v>360.41</v>
      </c>
      <c r="J1028">
        <v>-259.61160000000001</v>
      </c>
      <c r="K1028">
        <v>1.1095600000000001</v>
      </c>
      <c r="L1028">
        <v>367.94260000000003</v>
      </c>
      <c r="M1028">
        <v>0.99991940000000001</v>
      </c>
      <c r="N1028">
        <v>0</v>
      </c>
      <c r="O1028">
        <v>-6.2659550000000004E-4</v>
      </c>
      <c r="P1028">
        <v>0.99927189999999999</v>
      </c>
      <c r="Q1028">
        <v>3.631943E-2</v>
      </c>
      <c r="R1028">
        <v>-1.169487E-2</v>
      </c>
      <c r="S1028">
        <v>2.9997859999999998</v>
      </c>
      <c r="T1028">
        <v>-5.3226949999999997E-3</v>
      </c>
      <c r="U1028">
        <v>-0.22228999999999999</v>
      </c>
      <c r="V1028">
        <v>1.1069290000000001E-2</v>
      </c>
      <c r="W1028">
        <v>4.8999059999999997E-2</v>
      </c>
      <c r="X1028">
        <v>0.99873749999999994</v>
      </c>
      <c r="Y1028">
        <v>7.3274270000000002E-2</v>
      </c>
      <c r="Z1028" s="1">
        <v>-6.3807979999999995E-5</v>
      </c>
      <c r="AA1028">
        <v>0.99731179999999997</v>
      </c>
      <c r="AB1028">
        <v>48</v>
      </c>
      <c r="AC1028">
        <v>101.4166</v>
      </c>
      <c r="AD1028">
        <v>-0.18046569999999901</v>
      </c>
      <c r="AE1028">
        <v>-7.5326000000000004</v>
      </c>
      <c r="AF1028">
        <v>7.4690227055484604</v>
      </c>
      <c r="AG1028">
        <v>-0.18046569999999901</v>
      </c>
      <c r="AH1028">
        <v>101.420980978858</v>
      </c>
      <c r="AI1028">
        <v>90.101675085175998</v>
      </c>
      <c r="AJ1028">
        <v>85.788126431453094</v>
      </c>
      <c r="AK1028">
        <v>101.695792689564</v>
      </c>
      <c r="AL1028">
        <v>87.191436089407105</v>
      </c>
      <c r="AM1028">
        <v>89.365000681403501</v>
      </c>
      <c r="AN1028">
        <v>1.00000001548411</v>
      </c>
    </row>
    <row r="1029" spans="1:40" x14ac:dyDescent="0.25">
      <c r="A1029" t="str">
        <f>"20190312160318944"</f>
        <v>20190312160318944</v>
      </c>
      <c r="B1029" t="str">
        <f>"1552377798936128"</f>
        <v>1552377798936128</v>
      </c>
      <c r="C1029" t="s">
        <v>40</v>
      </c>
      <c r="D1029">
        <v>5.9930469999999998</v>
      </c>
      <c r="E1029">
        <v>0.523003</v>
      </c>
      <c r="F1029" t="s">
        <v>42</v>
      </c>
      <c r="G1029">
        <v>-158.19499999999999</v>
      </c>
      <c r="H1029">
        <v>1.079534</v>
      </c>
      <c r="I1029">
        <v>360.41140000000001</v>
      </c>
      <c r="J1029">
        <v>-259.35989999999998</v>
      </c>
      <c r="K1029">
        <v>1.1095710000000001</v>
      </c>
      <c r="L1029">
        <v>367.94240000000002</v>
      </c>
      <c r="M1029">
        <v>0.99991909999999895</v>
      </c>
      <c r="N1029">
        <v>0</v>
      </c>
      <c r="O1029">
        <v>-6.2228689999999998E-4</v>
      </c>
      <c r="P1029">
        <v>0.99926159999999997</v>
      </c>
      <c r="Q1029">
        <v>3.6517500000000001E-2</v>
      </c>
      <c r="R1029">
        <v>-1.1957539999999999E-2</v>
      </c>
      <c r="S1029">
        <v>2.9995729999999998</v>
      </c>
      <c r="T1029">
        <v>-8.8548659999999999E-4</v>
      </c>
      <c r="U1029">
        <v>-0.2227478</v>
      </c>
      <c r="V1029">
        <v>1.1336300000000001E-2</v>
      </c>
      <c r="W1029">
        <v>4.9212890000000002E-2</v>
      </c>
      <c r="X1029">
        <v>0.99872399999999995</v>
      </c>
      <c r="Y1029">
        <v>7.343529E-2</v>
      </c>
      <c r="Z1029" s="1">
        <v>-1.0640839999999899E-5</v>
      </c>
      <c r="AA1029">
        <v>0.99729999999999996</v>
      </c>
      <c r="AB1029">
        <v>48</v>
      </c>
      <c r="AC1029">
        <v>101.1649</v>
      </c>
      <c r="AD1029">
        <v>-3.00369999999998E-2</v>
      </c>
      <c r="AE1029">
        <v>-7.5309999999999997</v>
      </c>
      <c r="AF1029">
        <v>7.4680392137066898</v>
      </c>
      <c r="AG1029">
        <v>-3.00369999999998E-2</v>
      </c>
      <c r="AH1029">
        <v>101.169558360556</v>
      </c>
      <c r="AI1029">
        <v>90.0169648219468</v>
      </c>
      <c r="AJ1029">
        <v>85.778251022675093</v>
      </c>
      <c r="AK1029">
        <v>101.444822690903</v>
      </c>
      <c r="AL1029">
        <v>87.1791697592178</v>
      </c>
      <c r="AM1029">
        <v>89.349675933914796</v>
      </c>
      <c r="AN1029">
        <v>1.0000000242079199</v>
      </c>
    </row>
    <row r="1030" spans="1:40" x14ac:dyDescent="0.25">
      <c r="A1030" t="str">
        <f>"20190312160318955"</f>
        <v>20190312160318955</v>
      </c>
      <c r="B1030" t="str">
        <f>"1552377798945887"</f>
        <v>1552377798945887</v>
      </c>
      <c r="C1030" t="s">
        <v>40</v>
      </c>
      <c r="D1030">
        <v>6.0937060000000001</v>
      </c>
      <c r="E1030">
        <v>0.52330509999999997</v>
      </c>
      <c r="F1030" t="s">
        <v>42</v>
      </c>
      <c r="G1030">
        <v>-158.19499999999999</v>
      </c>
      <c r="H1030">
        <v>1.2160799999999901</v>
      </c>
      <c r="I1030">
        <v>360.40069999999997</v>
      </c>
      <c r="J1030">
        <v>-259.13940000000002</v>
      </c>
      <c r="K1030">
        <v>1.109688</v>
      </c>
      <c r="L1030">
        <v>367.94229999999999</v>
      </c>
      <c r="M1030">
        <v>0.99991370000000002</v>
      </c>
      <c r="N1030">
        <v>0</v>
      </c>
      <c r="O1030">
        <v>-6.1935579999999998E-4</v>
      </c>
      <c r="P1030">
        <v>0.9992567</v>
      </c>
      <c r="Q1030">
        <v>3.6556369999999998E-2</v>
      </c>
      <c r="R1030">
        <v>-1.2230059999999999E-2</v>
      </c>
      <c r="S1030">
        <v>2.9994200000000002</v>
      </c>
      <c r="T1030">
        <v>3.1604770000000001E-3</v>
      </c>
      <c r="U1030">
        <v>-0.2236023</v>
      </c>
      <c r="V1030">
        <v>1.1611750000000001E-2</v>
      </c>
      <c r="W1030">
        <v>4.9664390000000003E-2</v>
      </c>
      <c r="X1030">
        <v>0.99869850000000004</v>
      </c>
      <c r="Y1030">
        <v>7.3724460000000006E-2</v>
      </c>
      <c r="Z1030" s="1">
        <v>3.8135990000000001E-5</v>
      </c>
      <c r="AA1030">
        <v>0.99727860000000002</v>
      </c>
      <c r="AB1030">
        <v>48</v>
      </c>
      <c r="AC1030">
        <v>100.9444</v>
      </c>
      <c r="AD1030">
        <v>0.106391999999999</v>
      </c>
      <c r="AE1030">
        <v>-7.5416000000000096</v>
      </c>
      <c r="AF1030">
        <v>7.4790644076917898</v>
      </c>
      <c r="AG1030">
        <v>0.106391999999999</v>
      </c>
      <c r="AH1030">
        <v>100.948940455201</v>
      </c>
      <c r="AI1030">
        <v>89.939779962082298</v>
      </c>
      <c r="AJ1030">
        <v>85.762834629097298</v>
      </c>
      <c r="AK1030">
        <v>101.22567017659</v>
      </c>
      <c r="AL1030">
        <v>87.153269085347901</v>
      </c>
      <c r="AM1030">
        <v>89.333858726524795</v>
      </c>
      <c r="AN1030">
        <v>1.0000000391371899</v>
      </c>
    </row>
    <row r="1031" spans="1:40" x14ac:dyDescent="0.25">
      <c r="A1031" t="str">
        <f>"20190312160318966"</f>
        <v>20190312160318966</v>
      </c>
      <c r="B1031" t="str">
        <f>"1552377798955648"</f>
        <v>1552377798955648</v>
      </c>
      <c r="C1031" t="s">
        <v>40</v>
      </c>
      <c r="D1031">
        <v>6.0014969999999996</v>
      </c>
      <c r="E1031">
        <v>0.52408120000000002</v>
      </c>
      <c r="F1031" t="s">
        <v>42</v>
      </c>
      <c r="G1031">
        <v>-158.19499999999999</v>
      </c>
      <c r="H1031">
        <v>1.36907</v>
      </c>
      <c r="I1031">
        <v>360.32499999999999</v>
      </c>
      <c r="J1031">
        <v>-258.89080000000001</v>
      </c>
      <c r="K1031">
        <v>1.1098539999999999</v>
      </c>
      <c r="L1031">
        <v>367.94209999999998</v>
      </c>
      <c r="M1031">
        <v>0.99990570000000001</v>
      </c>
      <c r="N1031">
        <v>0</v>
      </c>
      <c r="O1031">
        <v>-6.1640800000000004E-4</v>
      </c>
      <c r="P1031">
        <v>0.99927290000000002</v>
      </c>
      <c r="Q1031">
        <v>3.5996930000000003E-2</v>
      </c>
      <c r="R1031">
        <v>-1.256814E-2</v>
      </c>
      <c r="S1031">
        <v>2.9991759999999998</v>
      </c>
      <c r="T1031">
        <v>7.7091460000000001E-3</v>
      </c>
      <c r="U1031">
        <v>-0.2263184</v>
      </c>
      <c r="V1031">
        <v>1.195265E-2</v>
      </c>
      <c r="W1031">
        <v>4.9694870000000002E-2</v>
      </c>
      <c r="X1031">
        <v>0.99869289999999999</v>
      </c>
      <c r="Y1031">
        <v>7.463127E-2</v>
      </c>
      <c r="Z1031" s="1">
        <v>9.419827E-5</v>
      </c>
      <c r="AA1031">
        <v>0.99721119999999996</v>
      </c>
      <c r="AB1031">
        <v>48</v>
      </c>
      <c r="AC1031">
        <v>100.69580000000001</v>
      </c>
      <c r="AD1031">
        <v>0.259215999999999</v>
      </c>
      <c r="AE1031">
        <v>-7.61709999999999</v>
      </c>
      <c r="AF1031">
        <v>7.5549732339127296</v>
      </c>
      <c r="AG1031">
        <v>0.259215999999999</v>
      </c>
      <c r="AH1031">
        <v>100.69981303330999</v>
      </c>
      <c r="AI1031">
        <v>89.852925971569206</v>
      </c>
      <c r="AJ1031">
        <v>85.709439400414098</v>
      </c>
      <c r="AK1031">
        <v>100.983152844638</v>
      </c>
      <c r="AL1031">
        <v>87.151520374483496</v>
      </c>
      <c r="AM1031">
        <v>89.314300018414997</v>
      </c>
      <c r="AN1031">
        <v>0.99999997722837397</v>
      </c>
    </row>
    <row r="1032" spans="1:40" x14ac:dyDescent="0.25">
      <c r="A1032" t="str">
        <f>"20190312160318978"</f>
        <v>20190312160318978</v>
      </c>
      <c r="B1032" t="str">
        <f>"1552377798965408"</f>
        <v>1552377798965408</v>
      </c>
      <c r="C1032" t="s">
        <v>40</v>
      </c>
      <c r="D1032">
        <v>6.0461929999999997</v>
      </c>
      <c r="E1032">
        <v>0.52483610000000003</v>
      </c>
      <c r="F1032" t="s">
        <v>42</v>
      </c>
      <c r="G1032">
        <v>-158.19499999999999</v>
      </c>
      <c r="H1032">
        <v>1.3551120000000001</v>
      </c>
      <c r="I1032">
        <v>360.10950000000003</v>
      </c>
      <c r="J1032">
        <v>-258.66300000000001</v>
      </c>
      <c r="K1032">
        <v>1.110055</v>
      </c>
      <c r="L1032">
        <v>367.94200000000001</v>
      </c>
      <c r="M1032">
        <v>0.99989430000000001</v>
      </c>
      <c r="N1032">
        <v>0</v>
      </c>
      <c r="O1032">
        <v>-6.1409849999999897E-4</v>
      </c>
      <c r="P1032">
        <v>0.99930240000000004</v>
      </c>
      <c r="Q1032">
        <v>3.5077469999999999E-2</v>
      </c>
      <c r="R1032">
        <v>-1.2832710000000001E-2</v>
      </c>
      <c r="S1032">
        <v>2.998993</v>
      </c>
      <c r="T1032">
        <v>7.307053E-3</v>
      </c>
      <c r="U1032">
        <v>-0.23327639999999999</v>
      </c>
      <c r="V1032">
        <v>1.221948E-2</v>
      </c>
      <c r="W1032">
        <v>4.9594390000000002E-2</v>
      </c>
      <c r="X1032">
        <v>0.99869470000000005</v>
      </c>
      <c r="Y1032">
        <v>7.6938090000000001E-2</v>
      </c>
      <c r="Z1032" s="1">
        <v>9.2094279999999995E-5</v>
      </c>
      <c r="AA1032">
        <v>0.99703589999999997</v>
      </c>
      <c r="AB1032">
        <v>48</v>
      </c>
      <c r="AC1032">
        <v>100.468</v>
      </c>
      <c r="AD1032">
        <v>0.245057</v>
      </c>
      <c r="AE1032">
        <v>-7.8324999999999196</v>
      </c>
      <c r="AF1032">
        <v>7.7707488116614698</v>
      </c>
      <c r="AG1032">
        <v>0.245057</v>
      </c>
      <c r="AH1032">
        <v>100.472197340134</v>
      </c>
      <c r="AI1032">
        <v>89.8606689466136</v>
      </c>
      <c r="AJ1032">
        <v>85.577418134512001</v>
      </c>
      <c r="AK1032">
        <v>100.77255096692799</v>
      </c>
      <c r="AL1032">
        <v>87.157284659634001</v>
      </c>
      <c r="AM1032">
        <v>89.298995281238106</v>
      </c>
      <c r="AN1032">
        <v>1.00000001150951</v>
      </c>
    </row>
    <row r="1033" spans="1:40" x14ac:dyDescent="0.25">
      <c r="A1033" t="str">
        <f>"20190312160318989"</f>
        <v>20190312160318989</v>
      </c>
      <c r="B1033" t="str">
        <f>"1552377798985904"</f>
        <v>1552377798985904</v>
      </c>
      <c r="C1033" t="s">
        <v>40</v>
      </c>
      <c r="D1033">
        <v>6.076606</v>
      </c>
      <c r="E1033">
        <v>0.5262886</v>
      </c>
      <c r="F1033" t="s">
        <v>42</v>
      </c>
      <c r="G1033">
        <v>-158.19499999999999</v>
      </c>
      <c r="H1033">
        <v>1.2759659999999999</v>
      </c>
      <c r="I1033">
        <v>359.88940000000002</v>
      </c>
      <c r="J1033">
        <v>-258.4101</v>
      </c>
      <c r="K1033">
        <v>1.1102780000000001</v>
      </c>
      <c r="L1033">
        <v>367.9418</v>
      </c>
      <c r="M1033">
        <v>0.99988030000000006</v>
      </c>
      <c r="N1033">
        <v>0</v>
      </c>
      <c r="O1033">
        <v>-6.1136230000000005E-4</v>
      </c>
      <c r="P1033">
        <v>0.99931630000000005</v>
      </c>
      <c r="Q1033">
        <v>3.4564940000000002E-2</v>
      </c>
      <c r="R1033">
        <v>-1.3121910000000001E-2</v>
      </c>
      <c r="S1033">
        <v>2.9988100000000002</v>
      </c>
      <c r="T1033">
        <v>4.9548149999999996E-3</v>
      </c>
      <c r="U1033">
        <v>-0.2403564</v>
      </c>
      <c r="V1033">
        <v>1.251178E-2</v>
      </c>
      <c r="W1033">
        <v>5.0017770000000003E-2</v>
      </c>
      <c r="X1033">
        <v>0.99866999999999995</v>
      </c>
      <c r="Y1033">
        <v>7.9284809999999997E-2</v>
      </c>
      <c r="Z1033" s="1">
        <v>6.4386049999999898E-5</v>
      </c>
      <c r="AA1033">
        <v>0.99685199999999996</v>
      </c>
      <c r="AB1033">
        <v>48</v>
      </c>
      <c r="AC1033">
        <v>100.21510000000001</v>
      </c>
      <c r="AD1033">
        <v>0.165687999999999</v>
      </c>
      <c r="AE1033">
        <v>-8.0523999999999702</v>
      </c>
      <c r="AF1033">
        <v>7.9911017342024397</v>
      </c>
      <c r="AG1033">
        <v>0.165687999999999</v>
      </c>
      <c r="AH1033">
        <v>100.219732598129</v>
      </c>
      <c r="AI1033">
        <v>89.905575684158194</v>
      </c>
      <c r="AJ1033">
        <v>85.4411196662235</v>
      </c>
      <c r="AK1033">
        <v>100.537952841105</v>
      </c>
      <c r="AL1033">
        <v>87.132996726220298</v>
      </c>
      <c r="AM1033">
        <v>89.282210655645898</v>
      </c>
      <c r="AN1033">
        <v>1.00000004542726</v>
      </c>
    </row>
    <row r="1034" spans="1:40" x14ac:dyDescent="0.25">
      <c r="A1034" t="str">
        <f>"20190312160319001"</f>
        <v>20190312160319001</v>
      </c>
      <c r="B1034" t="str">
        <f>"1552377798995663"</f>
        <v>1552377798995663</v>
      </c>
      <c r="C1034" t="s">
        <v>40</v>
      </c>
      <c r="D1034">
        <v>6.060162</v>
      </c>
      <c r="E1034">
        <v>0.52692689999999998</v>
      </c>
      <c r="F1034" t="s">
        <v>42</v>
      </c>
      <c r="G1034">
        <v>-158.19499999999999</v>
      </c>
      <c r="H1034">
        <v>1.26569</v>
      </c>
      <c r="I1034">
        <v>359.49279999999999</v>
      </c>
      <c r="J1034">
        <v>-258.15519999999998</v>
      </c>
      <c r="K1034">
        <v>1.110498</v>
      </c>
      <c r="L1034">
        <v>367.94170000000003</v>
      </c>
      <c r="M1034">
        <v>0.99986399999999998</v>
      </c>
      <c r="N1034">
        <v>0</v>
      </c>
      <c r="O1034">
        <v>-6.0879969999999995E-4</v>
      </c>
      <c r="P1034">
        <v>0.99934259999999997</v>
      </c>
      <c r="Q1034">
        <v>3.3666309999999998E-2</v>
      </c>
      <c r="R1034">
        <v>-1.3463960000000001E-2</v>
      </c>
      <c r="S1034">
        <v>2.9985659999999998</v>
      </c>
      <c r="T1034">
        <v>4.6527390000000004E-3</v>
      </c>
      <c r="U1034">
        <v>-0.25280760000000002</v>
      </c>
      <c r="V1034">
        <v>1.285619E-2</v>
      </c>
      <c r="W1034">
        <v>5.0138729999999999E-2</v>
      </c>
      <c r="X1034">
        <v>0.99865950000000003</v>
      </c>
      <c r="Y1034">
        <v>8.3404619999999999E-2</v>
      </c>
      <c r="Z1034" s="1">
        <v>6.3649869999999898E-5</v>
      </c>
      <c r="AA1034">
        <v>0.99651579999999995</v>
      </c>
      <c r="AB1034">
        <v>47</v>
      </c>
      <c r="AC1034">
        <v>99.9602</v>
      </c>
      <c r="AD1034">
        <v>0.155192</v>
      </c>
      <c r="AE1034">
        <v>-8.4489000000000303</v>
      </c>
      <c r="AF1034">
        <v>8.3880143530054898</v>
      </c>
      <c r="AG1034">
        <v>0.155192</v>
      </c>
      <c r="AH1034">
        <v>99.965086612891795</v>
      </c>
      <c r="AI1034">
        <v>89.911362042996203</v>
      </c>
      <c r="AJ1034">
        <v>85.203579087779204</v>
      </c>
      <c r="AK1034">
        <v>100.31650617354001</v>
      </c>
      <c r="AL1034">
        <v>87.126057349755101</v>
      </c>
      <c r="AM1034">
        <v>89.2624465694294</v>
      </c>
      <c r="AN1034">
        <v>0.99999998540378898</v>
      </c>
    </row>
    <row r="1035" spans="1:40" x14ac:dyDescent="0.25">
      <c r="A1035" t="str">
        <f>"20190312160319012"</f>
        <v>20190312160319012</v>
      </c>
      <c r="B1035" t="str">
        <f>"1552377799005424"</f>
        <v>1552377799005424</v>
      </c>
      <c r="C1035" t="s">
        <v>40</v>
      </c>
      <c r="D1035">
        <v>6.0669019999999998</v>
      </c>
      <c r="E1035">
        <v>0.52760200000000002</v>
      </c>
      <c r="F1035" t="s">
        <v>42</v>
      </c>
      <c r="G1035">
        <v>-158.19499999999999</v>
      </c>
      <c r="H1035">
        <v>1.1514070000000001</v>
      </c>
      <c r="I1035">
        <v>359.3082</v>
      </c>
      <c r="J1035">
        <v>-257.93959999999998</v>
      </c>
      <c r="K1035">
        <v>1.110644</v>
      </c>
      <c r="L1035">
        <v>367.94159999999999</v>
      </c>
      <c r="M1035">
        <v>0.99985109999999999</v>
      </c>
      <c r="N1035">
        <v>0</v>
      </c>
      <c r="O1035">
        <v>-6.0636809999999996E-4</v>
      </c>
      <c r="P1035">
        <v>0.99935750000000001</v>
      </c>
      <c r="Q1035">
        <v>3.305259E-2</v>
      </c>
      <c r="R1035">
        <v>-1.3867579999999999E-2</v>
      </c>
      <c r="S1035">
        <v>2.9984440000000001</v>
      </c>
      <c r="T1035">
        <v>1.229763E-3</v>
      </c>
      <c r="U1035">
        <v>-0.25897219999999999</v>
      </c>
      <c r="V1035">
        <v>1.326223E-2</v>
      </c>
      <c r="W1035">
        <v>5.0280159999999997E-2</v>
      </c>
      <c r="X1035">
        <v>0.99864710000000001</v>
      </c>
      <c r="Y1035">
        <v>8.5444290000000006E-2</v>
      </c>
      <c r="Z1035" s="1">
        <v>1.7240970000000001E-5</v>
      </c>
      <c r="AA1035">
        <v>0.99634299999999998</v>
      </c>
      <c r="AB1035">
        <v>47</v>
      </c>
      <c r="AC1035">
        <v>99.744600000000005</v>
      </c>
      <c r="AD1035">
        <v>4.0763000000000098E-2</v>
      </c>
      <c r="AE1035">
        <v>-8.6333999999999893</v>
      </c>
      <c r="AF1035">
        <v>8.5729060516373998</v>
      </c>
      <c r="AG1035">
        <v>4.0763000000000098E-2</v>
      </c>
      <c r="AH1035">
        <v>99.749800918629802</v>
      </c>
      <c r="AI1035">
        <v>89.976671937466193</v>
      </c>
      <c r="AJ1035">
        <v>85.087836911676604</v>
      </c>
      <c r="AK1035">
        <v>100.11752675280501</v>
      </c>
      <c r="AL1035">
        <v>87.117943832757504</v>
      </c>
      <c r="AM1035">
        <v>89.239145500420804</v>
      </c>
      <c r="AN1035">
        <v>1.0000000057863001</v>
      </c>
    </row>
    <row r="1036" spans="1:40" x14ac:dyDescent="0.25">
      <c r="A1036" t="str">
        <f>"20190312160319022"</f>
        <v>20190312160319022</v>
      </c>
      <c r="B1036" t="str">
        <f>"1552377799015184"</f>
        <v>1552377799015184</v>
      </c>
      <c r="C1036" t="s">
        <v>40</v>
      </c>
      <c r="D1036">
        <v>5.999949</v>
      </c>
      <c r="E1036">
        <v>0.52823969999999998</v>
      </c>
      <c r="F1036" t="s">
        <v>42</v>
      </c>
      <c r="G1036">
        <v>-158.19499999999999</v>
      </c>
      <c r="H1036">
        <v>1.0819319999999999</v>
      </c>
      <c r="I1036">
        <v>359.11919999999998</v>
      </c>
      <c r="J1036">
        <v>-257.71230000000003</v>
      </c>
      <c r="K1036">
        <v>1.110746</v>
      </c>
      <c r="L1036">
        <v>367.94139999999999</v>
      </c>
      <c r="M1036">
        <v>0.99983940000000004</v>
      </c>
      <c r="N1036">
        <v>0</v>
      </c>
      <c r="O1036">
        <v>-6.0371389999999995E-4</v>
      </c>
      <c r="P1036">
        <v>0.99935390000000002</v>
      </c>
      <c r="Q1036">
        <v>3.291997E-2</v>
      </c>
      <c r="R1036">
        <v>-1.4429340000000001E-2</v>
      </c>
      <c r="S1036">
        <v>2.9982760000000002</v>
      </c>
      <c r="T1036">
        <v>-8.6045269999999996E-4</v>
      </c>
      <c r="U1036">
        <v>-0.26519779999999998</v>
      </c>
      <c r="V1036">
        <v>1.38269E-2</v>
      </c>
      <c r="W1036">
        <v>5.0819259999999998E-2</v>
      </c>
      <c r="X1036">
        <v>0.99861219999999995</v>
      </c>
      <c r="Y1036">
        <v>8.7504639999999995E-2</v>
      </c>
      <c r="Z1036" s="1">
        <v>-1.235874E-5</v>
      </c>
      <c r="AA1036">
        <v>0.9961641</v>
      </c>
      <c r="AB1036">
        <v>47</v>
      </c>
      <c r="AC1036">
        <v>99.517300000000006</v>
      </c>
      <c r="AD1036">
        <v>-2.88140000000001E-2</v>
      </c>
      <c r="AE1036">
        <v>-8.8222000000000094</v>
      </c>
      <c r="AF1036">
        <v>8.7621080462099101</v>
      </c>
      <c r="AG1036">
        <v>-2.88140000000001E-2</v>
      </c>
      <c r="AH1036">
        <v>99.522600519799298</v>
      </c>
      <c r="AI1036">
        <v>90.016524479020205</v>
      </c>
      <c r="AJ1036">
        <v>84.968573200798303</v>
      </c>
      <c r="AK1036">
        <v>99.907574196772501</v>
      </c>
      <c r="AL1036">
        <v>87.087016276340293</v>
      </c>
      <c r="AM1036">
        <v>89.206726702735907</v>
      </c>
      <c r="AN1036">
        <v>1.00000005316969</v>
      </c>
    </row>
    <row r="1037" spans="1:40" x14ac:dyDescent="0.25">
      <c r="A1037" t="str">
        <f>"20190312160319033"</f>
        <v>20190312160319033</v>
      </c>
      <c r="B1037" t="str">
        <f>"1552377799025920"</f>
        <v>1552377799025920</v>
      </c>
      <c r="C1037" t="s">
        <v>40</v>
      </c>
      <c r="D1037">
        <v>5.963266</v>
      </c>
      <c r="E1037">
        <v>0.52881519999999904</v>
      </c>
      <c r="F1037" t="s">
        <v>42</v>
      </c>
      <c r="G1037">
        <v>-158.19499999999999</v>
      </c>
      <c r="H1037">
        <v>1.089037</v>
      </c>
      <c r="I1037">
        <v>358.90750000000003</v>
      </c>
      <c r="J1037">
        <v>-257.49079999999998</v>
      </c>
      <c r="K1037">
        <v>1.110757</v>
      </c>
      <c r="L1037">
        <v>367.94130000000001</v>
      </c>
      <c r="M1037">
        <v>0.99983319999999998</v>
      </c>
      <c r="N1037">
        <v>0</v>
      </c>
      <c r="O1037">
        <v>-6.0085309999999997E-4</v>
      </c>
      <c r="P1037">
        <v>0.99935879999999999</v>
      </c>
      <c r="Q1037">
        <v>3.2738379999999997E-2</v>
      </c>
      <c r="R1037">
        <v>-1.450038E-2</v>
      </c>
      <c r="S1037">
        <v>2.9980319999999998</v>
      </c>
      <c r="T1037">
        <v>-6.513596E-4</v>
      </c>
      <c r="U1037">
        <v>-0.2721558</v>
      </c>
      <c r="V1037">
        <v>1.3900799999999901E-2</v>
      </c>
      <c r="W1037">
        <v>5.0979749999999997E-2</v>
      </c>
      <c r="X1037">
        <v>0.99860289999999996</v>
      </c>
      <c r="Y1037">
        <v>8.9807919999999999E-2</v>
      </c>
      <c r="Z1037" s="1">
        <v>-9.6056309999999998E-6</v>
      </c>
      <c r="AA1037">
        <v>0.99595909999999999</v>
      </c>
      <c r="AB1037">
        <v>47</v>
      </c>
      <c r="AC1037">
        <v>99.2958</v>
      </c>
      <c r="AD1037">
        <v>-2.1719999999999899E-2</v>
      </c>
      <c r="AE1037">
        <v>-9.0337999999999798</v>
      </c>
      <c r="AF1037">
        <v>8.9741258110965294</v>
      </c>
      <c r="AG1037">
        <v>-2.1719999999999899E-2</v>
      </c>
      <c r="AH1037">
        <v>99.3012062489166</v>
      </c>
      <c r="AI1037">
        <v>90.012481352020401</v>
      </c>
      <c r="AJ1037">
        <v>84.836049188966797</v>
      </c>
      <c r="AK1037">
        <v>99.705892345044802</v>
      </c>
      <c r="AL1037">
        <v>87.077808668535994</v>
      </c>
      <c r="AM1037">
        <v>89.202480051089495</v>
      </c>
      <c r="AN1037">
        <v>0.999999959519555</v>
      </c>
    </row>
    <row r="1038" spans="1:40" x14ac:dyDescent="0.25">
      <c r="A1038" t="str">
        <f>"20190312160319043"</f>
        <v>20190312160319043</v>
      </c>
      <c r="B1038" t="str">
        <f>"1552377799035682"</f>
        <v>1552377799035682</v>
      </c>
      <c r="C1038" t="s">
        <v>40</v>
      </c>
      <c r="D1038">
        <v>6.0016619999999996</v>
      </c>
      <c r="E1038">
        <v>0.52937489999999998</v>
      </c>
      <c r="F1038" t="s">
        <v>42</v>
      </c>
      <c r="G1038">
        <v>-158.19499999999999</v>
      </c>
      <c r="H1038">
        <v>1.097237</v>
      </c>
      <c r="I1038">
        <v>358.77350000000001</v>
      </c>
      <c r="J1038">
        <v>-257.26960000000003</v>
      </c>
      <c r="K1038">
        <v>1.1107100000000001</v>
      </c>
      <c r="L1038">
        <v>367.94110000000001</v>
      </c>
      <c r="M1038">
        <v>0.99983080000000002</v>
      </c>
      <c r="N1038">
        <v>0</v>
      </c>
      <c r="O1038">
        <v>-5.9815140000000003E-4</v>
      </c>
      <c r="P1038">
        <v>0.99934599999999996</v>
      </c>
      <c r="Q1038">
        <v>3.2967660000000003E-2</v>
      </c>
      <c r="R1038">
        <v>-1.4874729999999999E-2</v>
      </c>
      <c r="S1038">
        <v>2.997925</v>
      </c>
      <c r="T1038">
        <v>-4.0555000000000002E-4</v>
      </c>
      <c r="U1038">
        <v>-0.2767944</v>
      </c>
      <c r="V1038">
        <v>1.42777999999999E-2</v>
      </c>
      <c r="W1038">
        <v>5.1343090000000001E-2</v>
      </c>
      <c r="X1038">
        <v>0.99857899999999999</v>
      </c>
      <c r="Y1038">
        <v>9.1341909999999998E-2</v>
      </c>
      <c r="Z1038" s="1">
        <v>-6.0843560000000002E-6</v>
      </c>
      <c r="AA1038">
        <v>0.99581960000000003</v>
      </c>
      <c r="AB1038">
        <v>47</v>
      </c>
      <c r="AC1038">
        <v>99.074600000000004</v>
      </c>
      <c r="AD1038">
        <v>-1.3473000000000001E-2</v>
      </c>
      <c r="AE1038">
        <v>-9.1675999999999895</v>
      </c>
      <c r="AF1038">
        <v>9.1083265635719801</v>
      </c>
      <c r="AG1038">
        <v>-1.3473000000000001E-2</v>
      </c>
      <c r="AH1038">
        <v>99.080064993357098</v>
      </c>
      <c r="AI1038">
        <v>90.007758419723501</v>
      </c>
      <c r="AJ1038">
        <v>84.747621655470098</v>
      </c>
      <c r="AK1038">
        <v>99.497844566594907</v>
      </c>
      <c r="AL1038">
        <v>87.056963621310103</v>
      </c>
      <c r="AM1038">
        <v>89.180834024438894</v>
      </c>
      <c r="AN1038">
        <v>0.99999999385229299</v>
      </c>
    </row>
    <row r="1039" spans="1:40" x14ac:dyDescent="0.25">
      <c r="A1039" t="str">
        <f>"20190312160319057"</f>
        <v>20190312160319057</v>
      </c>
      <c r="B1039" t="str">
        <f>"1552377799045439"</f>
        <v>1552377799045439</v>
      </c>
      <c r="C1039" t="s">
        <v>40</v>
      </c>
      <c r="D1039">
        <v>6.0516909999999999</v>
      </c>
      <c r="E1039">
        <v>0.5299528</v>
      </c>
      <c r="F1039" t="s">
        <v>42</v>
      </c>
      <c r="G1039">
        <v>-158.19499999999999</v>
      </c>
      <c r="H1039">
        <v>1.145459</v>
      </c>
      <c r="I1039">
        <v>358.60649999999998</v>
      </c>
      <c r="J1039">
        <v>-257.00790000000001</v>
      </c>
      <c r="K1039">
        <v>1.110608</v>
      </c>
      <c r="L1039">
        <v>367.94099999999997</v>
      </c>
      <c r="M1039">
        <v>0.99983219999999995</v>
      </c>
      <c r="N1039">
        <v>0</v>
      </c>
      <c r="O1039">
        <v>-5.9469639999999995E-4</v>
      </c>
      <c r="P1039">
        <v>0.99935819999999997</v>
      </c>
      <c r="Q1039">
        <v>3.2989150000000002E-2</v>
      </c>
      <c r="R1039">
        <v>-1.396008E-2</v>
      </c>
      <c r="S1039">
        <v>2.9977260000000001</v>
      </c>
      <c r="T1039">
        <v>1.054049E-3</v>
      </c>
      <c r="U1039">
        <v>-0.28244019999999997</v>
      </c>
      <c r="V1039">
        <v>1.3366650000000001E-2</v>
      </c>
      <c r="W1039">
        <v>5.1286900000000003E-2</v>
      </c>
      <c r="X1039">
        <v>0.99859450000000005</v>
      </c>
      <c r="Y1039">
        <v>9.3210520000000005E-2</v>
      </c>
      <c r="Z1039" s="1">
        <v>1.6142270000000001E-5</v>
      </c>
      <c r="AA1039">
        <v>0.99564640000000004</v>
      </c>
      <c r="AB1039">
        <v>47</v>
      </c>
      <c r="AC1039">
        <v>98.812899999999999</v>
      </c>
      <c r="AD1039">
        <v>3.4850999999999903E-2</v>
      </c>
      <c r="AE1039">
        <v>-9.3344999999999896</v>
      </c>
      <c r="AF1039">
        <v>9.2757236774536302</v>
      </c>
      <c r="AG1039">
        <v>3.4850999999999903E-2</v>
      </c>
      <c r="AH1039">
        <v>98.818422461277706</v>
      </c>
      <c r="AI1039">
        <v>89.979881524834099</v>
      </c>
      <c r="AJ1039">
        <v>84.637567292306201</v>
      </c>
      <c r="AK1039">
        <v>99.252812968037503</v>
      </c>
      <c r="AL1039">
        <v>87.060187320065396</v>
      </c>
      <c r="AM1039">
        <v>89.233115246766303</v>
      </c>
      <c r="AN1039">
        <v>0.99999999443704102</v>
      </c>
    </row>
    <row r="1040" spans="1:40" x14ac:dyDescent="0.25">
      <c r="A1040" t="str">
        <f>"20190312160319077"</f>
        <v>20190312160319077</v>
      </c>
      <c r="B1040" t="str">
        <f>"1552377799065935"</f>
        <v>1552377799065935</v>
      </c>
      <c r="C1040" t="s">
        <v>40</v>
      </c>
      <c r="D1040">
        <v>6.142887</v>
      </c>
      <c r="E1040">
        <v>0.53105749999999996</v>
      </c>
      <c r="F1040" t="s">
        <v>42</v>
      </c>
      <c r="G1040">
        <v>-158.19499999999999</v>
      </c>
      <c r="H1040">
        <v>1.1418280000000001</v>
      </c>
      <c r="I1040">
        <v>358.57130000000001</v>
      </c>
      <c r="J1040">
        <v>-256.584</v>
      </c>
      <c r="K1040">
        <v>1.1104149999999999</v>
      </c>
      <c r="L1040">
        <v>367.94069999999999</v>
      </c>
      <c r="M1040">
        <v>0.99983710000000003</v>
      </c>
      <c r="N1040">
        <v>0</v>
      </c>
      <c r="O1040">
        <v>-5.8900199999999895E-4</v>
      </c>
      <c r="P1040">
        <v>0.99932909999999997</v>
      </c>
      <c r="Q1040">
        <v>3.3809840000000001E-2</v>
      </c>
      <c r="R1040">
        <v>-1.409258E-2</v>
      </c>
      <c r="S1040">
        <v>2.997925</v>
      </c>
      <c r="T1040">
        <v>9.4985960000000004E-4</v>
      </c>
      <c r="U1040">
        <v>-0.2842712</v>
      </c>
      <c r="V1040">
        <v>1.3504830000000001E-2</v>
      </c>
      <c r="W1040">
        <v>5.1835970000000002E-2</v>
      </c>
      <c r="X1040">
        <v>0.99856429999999996</v>
      </c>
      <c r="Y1040">
        <v>9.3812759999999995E-2</v>
      </c>
      <c r="Z1040" s="1">
        <v>1.4642280000000001E-5</v>
      </c>
      <c r="AA1040">
        <v>0.99558990000000003</v>
      </c>
      <c r="AB1040">
        <v>47</v>
      </c>
      <c r="AC1040">
        <v>98.388999999999996</v>
      </c>
      <c r="AD1040">
        <v>3.1413000000000101E-2</v>
      </c>
      <c r="AE1040">
        <v>-9.3693999999999793</v>
      </c>
      <c r="AF1040">
        <v>9.3114366840739393</v>
      </c>
      <c r="AG1040">
        <v>3.1413000000000101E-2</v>
      </c>
      <c r="AH1040">
        <v>98.394492481467793</v>
      </c>
      <c r="AI1040">
        <v>89.981789359233005</v>
      </c>
      <c r="AJ1040">
        <v>84.593986904981705</v>
      </c>
      <c r="AK1040">
        <v>98.834103378255605</v>
      </c>
      <c r="AL1040">
        <v>87.028686054182899</v>
      </c>
      <c r="AM1040">
        <v>89.225164977657599</v>
      </c>
      <c r="AN1040">
        <v>1.00000000472682</v>
      </c>
    </row>
    <row r="1041" spans="1:40" x14ac:dyDescent="0.25">
      <c r="A1041" t="str">
        <f>"20190312160319090"</f>
        <v>20190312160319090</v>
      </c>
      <c r="B1041" t="str">
        <f>"1552377799085455"</f>
        <v>1552377799085455</v>
      </c>
      <c r="C1041" t="s">
        <v>40</v>
      </c>
      <c r="D1041">
        <v>6.0584259999999999</v>
      </c>
      <c r="E1041">
        <v>0.53208429999999995</v>
      </c>
      <c r="F1041" t="s">
        <v>42</v>
      </c>
      <c r="G1041">
        <v>-158.19499999999999</v>
      </c>
      <c r="H1041">
        <v>1.2066300000000001</v>
      </c>
      <c r="I1041">
        <v>358.31240000000003</v>
      </c>
      <c r="J1041">
        <v>-256.31950000000001</v>
      </c>
      <c r="K1041">
        <v>1.110314</v>
      </c>
      <c r="L1041">
        <v>367.94060000000002</v>
      </c>
      <c r="M1041">
        <v>0.99984030000000002</v>
      </c>
      <c r="N1041">
        <v>0</v>
      </c>
      <c r="O1041">
        <v>-5.8525169999999998E-4</v>
      </c>
      <c r="P1041">
        <v>0.99932750000000004</v>
      </c>
      <c r="Q1041">
        <v>3.400628E-2</v>
      </c>
      <c r="R1041">
        <v>-1.372816E-2</v>
      </c>
      <c r="S1041">
        <v>2.9978030000000002</v>
      </c>
      <c r="T1041">
        <v>2.9342169999999998E-3</v>
      </c>
      <c r="U1041">
        <v>-0.2933655</v>
      </c>
      <c r="V1041">
        <v>1.3144090000000001E-2</v>
      </c>
      <c r="W1041">
        <v>5.185406E-2</v>
      </c>
      <c r="X1041">
        <v>0.99856820000000002</v>
      </c>
      <c r="Y1041">
        <v>9.6812319999999993E-2</v>
      </c>
      <c r="Z1041" s="1">
        <v>4.6694979999999998E-5</v>
      </c>
      <c r="AA1041">
        <v>0.99530269999999998</v>
      </c>
      <c r="AB1041">
        <v>47</v>
      </c>
      <c r="AC1041">
        <v>98.124499999999998</v>
      </c>
      <c r="AD1041">
        <v>9.6315999999999805E-2</v>
      </c>
      <c r="AE1041">
        <v>-9.6281999999999908</v>
      </c>
      <c r="AF1041">
        <v>9.5707525240339901</v>
      </c>
      <c r="AG1041">
        <v>9.6315999999999805E-2</v>
      </c>
      <c r="AH1041">
        <v>98.130025364801298</v>
      </c>
      <c r="AI1041">
        <v>89.944028982690199</v>
      </c>
      <c r="AJ1041">
        <v>84.429484385808195</v>
      </c>
      <c r="AK1041">
        <v>98.595691887347201</v>
      </c>
      <c r="AL1041">
        <v>87.027648253958006</v>
      </c>
      <c r="AM1041">
        <v>89.245862834159695</v>
      </c>
      <c r="AN1041">
        <v>1.0000000303458201</v>
      </c>
    </row>
    <row r="1042" spans="1:40" x14ac:dyDescent="0.25">
      <c r="A1042" t="str">
        <f>"20190312160319102"</f>
        <v>20190312160319102</v>
      </c>
      <c r="B1042" t="str">
        <f>"1552377799095216"</f>
        <v>1552377799095216</v>
      </c>
      <c r="C1042" t="s">
        <v>40</v>
      </c>
      <c r="D1042">
        <v>6.0862480000000003</v>
      </c>
      <c r="E1042">
        <v>0.53254559999999995</v>
      </c>
      <c r="F1042" t="s">
        <v>42</v>
      </c>
      <c r="G1042">
        <v>-158.19499999999999</v>
      </c>
      <c r="H1042">
        <v>1.208634</v>
      </c>
      <c r="I1042">
        <v>358.1044</v>
      </c>
      <c r="J1042">
        <v>-256.06360000000001</v>
      </c>
      <c r="K1042">
        <v>1.110241</v>
      </c>
      <c r="L1042">
        <v>367.94040000000001</v>
      </c>
      <c r="M1042">
        <v>0.99984289999999998</v>
      </c>
      <c r="N1042">
        <v>0</v>
      </c>
      <c r="O1042">
        <v>-5.81556E-4</v>
      </c>
      <c r="P1042">
        <v>0.99931380000000003</v>
      </c>
      <c r="Q1042">
        <v>3.4349699999999997E-2</v>
      </c>
      <c r="R1042">
        <v>-1.3863230000000001E-2</v>
      </c>
      <c r="S1042">
        <v>2.9977870000000002</v>
      </c>
      <c r="T1042">
        <v>3.006458E-3</v>
      </c>
      <c r="U1042">
        <v>-0.30050660000000001</v>
      </c>
      <c r="V1042">
        <v>1.3283079999999999E-2</v>
      </c>
      <c r="W1042">
        <v>5.2049770000000002E-2</v>
      </c>
      <c r="X1042">
        <v>0.99855609999999995</v>
      </c>
      <c r="Y1042">
        <v>9.916411E-2</v>
      </c>
      <c r="Z1042" s="1">
        <v>4.9019279999999999E-5</v>
      </c>
      <c r="AA1042">
        <v>0.99507109999999999</v>
      </c>
      <c r="AB1042">
        <v>47</v>
      </c>
      <c r="AC1042">
        <v>97.868600000000001</v>
      </c>
      <c r="AD1042">
        <v>9.8392999999999897E-2</v>
      </c>
      <c r="AE1042">
        <v>-9.8360000000000092</v>
      </c>
      <c r="AF1042">
        <v>9.77906354603906</v>
      </c>
      <c r="AG1042">
        <v>9.8392999999999897E-2</v>
      </c>
      <c r="AH1042">
        <v>97.874206590841297</v>
      </c>
      <c r="AI1042">
        <v>89.942685907722606</v>
      </c>
      <c r="AJ1042">
        <v>84.29425073777</v>
      </c>
      <c r="AK1042">
        <v>98.361578275293098</v>
      </c>
      <c r="AL1042">
        <v>87.0164194996064</v>
      </c>
      <c r="AM1042">
        <v>89.237880037616904</v>
      </c>
      <c r="AN1042">
        <v>0.99999995180927304</v>
      </c>
    </row>
    <row r="1043" spans="1:40" x14ac:dyDescent="0.25">
      <c r="A1043" t="str">
        <f>"20190312160319113"</f>
        <v>20190312160319113</v>
      </c>
      <c r="B1043" t="str">
        <f>"1552377799105952"</f>
        <v>1552377799105952</v>
      </c>
      <c r="C1043" t="s">
        <v>40</v>
      </c>
      <c r="D1043">
        <v>6.1318449999999904</v>
      </c>
      <c r="E1043">
        <v>0.53301489999999996</v>
      </c>
      <c r="F1043" t="s">
        <v>42</v>
      </c>
      <c r="G1043">
        <v>-158.19499999999999</v>
      </c>
      <c r="H1043">
        <v>1.215114</v>
      </c>
      <c r="I1043">
        <v>357.9941</v>
      </c>
      <c r="J1043">
        <v>-255.8237</v>
      </c>
      <c r="K1043">
        <v>1.1101829999999999</v>
      </c>
      <c r="L1043">
        <v>367.94029999999998</v>
      </c>
      <c r="M1043">
        <v>0.99984530000000005</v>
      </c>
      <c r="N1043">
        <v>0</v>
      </c>
      <c r="O1043">
        <v>-5.7833479999999996E-4</v>
      </c>
      <c r="P1043">
        <v>0.99930859999999999</v>
      </c>
      <c r="Q1043">
        <v>3.4589450000000001E-2</v>
      </c>
      <c r="R1043">
        <v>-1.363112E-2</v>
      </c>
      <c r="S1043">
        <v>2.9977260000000001</v>
      </c>
      <c r="T1043">
        <v>3.2149549999999998E-3</v>
      </c>
      <c r="U1043">
        <v>-0.30465700000000001</v>
      </c>
      <c r="V1043">
        <v>1.305417E-2</v>
      </c>
      <c r="W1043">
        <v>5.2155010000000002E-2</v>
      </c>
      <c r="X1043">
        <v>0.99855369999999999</v>
      </c>
      <c r="Y1043">
        <v>0.100533</v>
      </c>
      <c r="Z1043" s="1">
        <v>5.3151800000000002E-5</v>
      </c>
      <c r="AA1043">
        <v>0.99493370000000003</v>
      </c>
      <c r="AB1043">
        <v>47</v>
      </c>
      <c r="AC1043">
        <v>97.628699999999995</v>
      </c>
      <c r="AD1043">
        <v>0.104931</v>
      </c>
      <c r="AE1043">
        <v>-9.9461999999999708</v>
      </c>
      <c r="AF1043">
        <v>9.8897162277285506</v>
      </c>
      <c r="AG1043">
        <v>0.104931</v>
      </c>
      <c r="AH1043">
        <v>97.634325163198795</v>
      </c>
      <c r="AI1043">
        <v>89.938735753920497</v>
      </c>
      <c r="AJ1043">
        <v>84.216041643872103</v>
      </c>
      <c r="AK1043">
        <v>98.133984672248005</v>
      </c>
      <c r="AL1043">
        <v>87.010381706665697</v>
      </c>
      <c r="AM1043">
        <v>89.251010495553004</v>
      </c>
      <c r="AN1043">
        <v>1.00000002410308</v>
      </c>
    </row>
    <row r="1044" spans="1:40" x14ac:dyDescent="0.25">
      <c r="A1044" t="str">
        <f>"20190312160319123"</f>
        <v>20190312160319123</v>
      </c>
      <c r="B1044" t="str">
        <f>"1552377799115712"</f>
        <v>1552377799115712</v>
      </c>
      <c r="C1044" t="s">
        <v>40</v>
      </c>
      <c r="D1044">
        <v>6.0265300000000002</v>
      </c>
      <c r="E1044">
        <v>0.53344199999999997</v>
      </c>
      <c r="F1044" t="s">
        <v>42</v>
      </c>
      <c r="G1044">
        <v>-158.19499999999999</v>
      </c>
      <c r="H1044">
        <v>1.2070909999999999</v>
      </c>
      <c r="I1044">
        <v>357.91809999999998</v>
      </c>
      <c r="J1044">
        <v>-255.5993</v>
      </c>
      <c r="K1044">
        <v>1.1101369999999999</v>
      </c>
      <c r="L1044">
        <v>367.94009999999997</v>
      </c>
      <c r="M1044">
        <v>0.9998475</v>
      </c>
      <c r="N1044">
        <v>0</v>
      </c>
      <c r="O1044">
        <v>-5.7593589999999995E-4</v>
      </c>
      <c r="P1044">
        <v>0.99930669999999999</v>
      </c>
      <c r="Q1044">
        <v>3.475992E-2</v>
      </c>
      <c r="R1044">
        <v>-1.3349410000000001E-2</v>
      </c>
      <c r="S1044">
        <v>2.9977420000000001</v>
      </c>
      <c r="T1044">
        <v>2.978325E-3</v>
      </c>
      <c r="U1044">
        <v>-0.30773929999999999</v>
      </c>
      <c r="V1044">
        <v>1.277472E-2</v>
      </c>
      <c r="W1044">
        <v>5.220263E-2</v>
      </c>
      <c r="X1044">
        <v>0.99855479999999996</v>
      </c>
      <c r="Y1044">
        <v>0.10154729999999999</v>
      </c>
      <c r="Z1044" s="1">
        <v>4.9741770000000003E-5</v>
      </c>
      <c r="AA1044">
        <v>0.99483069999999896</v>
      </c>
      <c r="AB1044">
        <v>47</v>
      </c>
      <c r="AC1044">
        <v>97.404300000000006</v>
      </c>
      <c r="AD1044">
        <v>9.6953999999999693E-2</v>
      </c>
      <c r="AE1044">
        <v>-10.021999999999901</v>
      </c>
      <c r="AF1044">
        <v>9.9658813865970206</v>
      </c>
      <c r="AG1044">
        <v>9.6953999999999693E-2</v>
      </c>
      <c r="AH1044">
        <v>97.409961249092405</v>
      </c>
      <c r="AI1044">
        <v>89.943268564731497</v>
      </c>
      <c r="AJ1044">
        <v>84.158470923588993</v>
      </c>
      <c r="AK1044">
        <v>97.918480086445001</v>
      </c>
      <c r="AL1044">
        <v>87.007649482661805</v>
      </c>
      <c r="AM1044">
        <v>89.267043117474103</v>
      </c>
      <c r="AN1044">
        <v>0.99999999832651698</v>
      </c>
    </row>
    <row r="1045" spans="1:40" x14ac:dyDescent="0.25">
      <c r="A1045" t="str">
        <f>"20190312160319135"</f>
        <v>20190312160319135</v>
      </c>
      <c r="B1045" t="str">
        <f>"1552377799125472"</f>
        <v>1552377799125472</v>
      </c>
      <c r="C1045" t="s">
        <v>40</v>
      </c>
      <c r="D1045">
        <v>6.0203730000000002</v>
      </c>
      <c r="E1045">
        <v>0.53384919999999902</v>
      </c>
      <c r="F1045" t="s">
        <v>42</v>
      </c>
      <c r="G1045">
        <v>-158.19499999999999</v>
      </c>
      <c r="H1045">
        <v>1.2298359999999999</v>
      </c>
      <c r="I1045">
        <v>357.85890000000001</v>
      </c>
      <c r="J1045">
        <v>-255.36449999999999</v>
      </c>
      <c r="K1045">
        <v>1.110098</v>
      </c>
      <c r="L1045">
        <v>367.94</v>
      </c>
      <c r="M1045">
        <v>0.99984980000000001</v>
      </c>
      <c r="N1045">
        <v>0</v>
      </c>
      <c r="O1045">
        <v>-5.729973E-4</v>
      </c>
      <c r="P1045">
        <v>0.99929880000000004</v>
      </c>
      <c r="Q1045">
        <v>3.4914849999999997E-2</v>
      </c>
      <c r="R1045">
        <v>-1.353882E-2</v>
      </c>
      <c r="S1045">
        <v>2.9978180000000001</v>
      </c>
      <c r="T1045">
        <v>3.6866659999999999E-3</v>
      </c>
      <c r="U1045">
        <v>-0.3102722</v>
      </c>
      <c r="V1045">
        <v>1.296692E-2</v>
      </c>
      <c r="W1045">
        <v>5.2225500000000001E-2</v>
      </c>
      <c r="X1045">
        <v>0.99855110000000002</v>
      </c>
      <c r="Y1045">
        <v>0.10237930000000001</v>
      </c>
      <c r="Z1045" s="1">
        <v>6.2081580000000004E-5</v>
      </c>
      <c r="AA1045">
        <v>0.9947454</v>
      </c>
      <c r="AB1045">
        <v>47</v>
      </c>
      <c r="AC1045">
        <v>97.169499999999999</v>
      </c>
      <c r="AD1045">
        <v>0.119738</v>
      </c>
      <c r="AE1045">
        <v>-10.0810999999999</v>
      </c>
      <c r="AF1045">
        <v>10.0253970674125</v>
      </c>
      <c r="AG1045">
        <v>0.119738</v>
      </c>
      <c r="AH1045">
        <v>97.175115368020201</v>
      </c>
      <c r="AI1045">
        <v>89.929773615319803</v>
      </c>
      <c r="AJ1045">
        <v>84.109727651021103</v>
      </c>
      <c r="AK1045">
        <v>97.690971795432404</v>
      </c>
      <c r="AL1045">
        <v>87.006337258186704</v>
      </c>
      <c r="AM1045">
        <v>89.256014006222898</v>
      </c>
      <c r="AN1045">
        <v>0.99999997158787202</v>
      </c>
    </row>
    <row r="1046" spans="1:40" x14ac:dyDescent="0.25">
      <c r="A1046" t="str">
        <f>"20190312160319146"</f>
        <v>20190312160319146</v>
      </c>
      <c r="B1046" t="str">
        <f>"1552377799135232"</f>
        <v>1552377799135232</v>
      </c>
      <c r="C1046" t="s">
        <v>40</v>
      </c>
      <c r="D1046">
        <v>6.2508379999999999</v>
      </c>
      <c r="E1046">
        <v>0.53431969999999995</v>
      </c>
      <c r="F1046" t="s">
        <v>42</v>
      </c>
      <c r="G1046">
        <v>-158.19499999999999</v>
      </c>
      <c r="H1046">
        <v>1.2418559999999901</v>
      </c>
      <c r="I1046">
        <v>357.76100000000002</v>
      </c>
      <c r="J1046">
        <v>-255.11179999999999</v>
      </c>
      <c r="K1046">
        <v>1.1100570000000001</v>
      </c>
      <c r="L1046">
        <v>367.93979999999999</v>
      </c>
      <c r="M1046">
        <v>0.99985230000000003</v>
      </c>
      <c r="N1046">
        <v>0</v>
      </c>
      <c r="O1046">
        <v>-5.6973280000000004E-4</v>
      </c>
      <c r="P1046">
        <v>0.99927310000000003</v>
      </c>
      <c r="Q1046">
        <v>3.5613069999999997E-2</v>
      </c>
      <c r="R1046">
        <v>-1.3613739999999999E-2</v>
      </c>
      <c r="S1046">
        <v>2.9976959999999999</v>
      </c>
      <c r="T1046">
        <v>4.0674209999999999E-3</v>
      </c>
      <c r="U1046">
        <v>-0.31402590000000002</v>
      </c>
      <c r="V1046">
        <v>1.3045060000000001E-2</v>
      </c>
      <c r="W1046">
        <v>5.2780239999999999E-2</v>
      </c>
      <c r="X1046">
        <v>0.99852099999999999</v>
      </c>
      <c r="Y1046">
        <v>0.1036188</v>
      </c>
      <c r="Z1046" s="1">
        <v>6.9334680000000004E-5</v>
      </c>
      <c r="AA1046">
        <v>0.99461710000000003</v>
      </c>
      <c r="AB1046">
        <v>47</v>
      </c>
      <c r="AC1046">
        <v>96.916799999999995</v>
      </c>
      <c r="AD1046">
        <v>0.131798999999999</v>
      </c>
      <c r="AE1046">
        <v>-10.178800000000001</v>
      </c>
      <c r="AF1046">
        <v>10.1235550019077</v>
      </c>
      <c r="AG1046">
        <v>0.131798999999999</v>
      </c>
      <c r="AH1046">
        <v>96.922407027198204</v>
      </c>
      <c r="AI1046">
        <v>89.922508497199303</v>
      </c>
      <c r="AJ1046">
        <v>84.037072261628396</v>
      </c>
      <c r="AK1046">
        <v>97.449765114128994</v>
      </c>
      <c r="AL1046">
        <v>86.974509357703596</v>
      </c>
      <c r="AM1046">
        <v>89.251508618526799</v>
      </c>
      <c r="AN1046">
        <v>1.00000005738292</v>
      </c>
    </row>
    <row r="1047" spans="1:40" x14ac:dyDescent="0.25">
      <c r="A1047" t="str">
        <f>"20190312160319157"</f>
        <v>20190312160319157</v>
      </c>
      <c r="B1047" t="str">
        <f>"1552377799145969"</f>
        <v>1552377799145969</v>
      </c>
      <c r="C1047" t="s">
        <v>40</v>
      </c>
      <c r="D1047">
        <v>6.056184</v>
      </c>
      <c r="E1047">
        <v>0.53462790000000004</v>
      </c>
      <c r="F1047" t="s">
        <v>42</v>
      </c>
      <c r="G1047">
        <v>-158.19499999999999</v>
      </c>
      <c r="H1047">
        <v>1.319984</v>
      </c>
      <c r="I1047">
        <v>357.65769999999998</v>
      </c>
      <c r="J1047">
        <v>-254.89519999999999</v>
      </c>
      <c r="K1047">
        <v>1.1100300000000001</v>
      </c>
      <c r="L1047">
        <v>367.93970000000002</v>
      </c>
      <c r="M1047">
        <v>0.99985440000000003</v>
      </c>
      <c r="N1047">
        <v>0</v>
      </c>
      <c r="O1047">
        <v>-5.6653490000000003E-4</v>
      </c>
      <c r="P1047">
        <v>0.99927750000000004</v>
      </c>
      <c r="Q1047">
        <v>3.5664389999999997E-2</v>
      </c>
      <c r="R1047">
        <v>-1.314243E-2</v>
      </c>
      <c r="S1047">
        <v>2.9976039999999999</v>
      </c>
      <c r="T1047">
        <v>6.4957139999999997E-3</v>
      </c>
      <c r="U1047">
        <v>-0.31802370000000002</v>
      </c>
      <c r="V1047">
        <v>1.2577140000000001E-2</v>
      </c>
      <c r="W1047">
        <v>5.2708329999999998E-2</v>
      </c>
      <c r="X1047">
        <v>0.99853069999999999</v>
      </c>
      <c r="Y1047">
        <v>0.1049368</v>
      </c>
      <c r="Z1047">
        <v>1.121548E-4</v>
      </c>
      <c r="AA1047">
        <v>0.99447890000000005</v>
      </c>
      <c r="AB1047">
        <v>47</v>
      </c>
      <c r="AC1047">
        <v>96.700199999999995</v>
      </c>
      <c r="AD1047">
        <v>0.209954</v>
      </c>
      <c r="AE1047">
        <v>-10.282</v>
      </c>
      <c r="AF1047">
        <v>10.2271586701006</v>
      </c>
      <c r="AG1047">
        <v>0.209954</v>
      </c>
      <c r="AH1047">
        <v>96.705559658319402</v>
      </c>
      <c r="AI1047">
        <v>89.876297203248697</v>
      </c>
      <c r="AJ1047">
        <v>83.963087372752298</v>
      </c>
      <c r="AK1047">
        <v>97.245072491999807</v>
      </c>
      <c r="AL1047">
        <v>86.978634932397796</v>
      </c>
      <c r="AM1047">
        <v>89.278360760200101</v>
      </c>
      <c r="AN1047">
        <v>0.99999995567222799</v>
      </c>
    </row>
    <row r="1048" spans="1:40" x14ac:dyDescent="0.25">
      <c r="A1048" t="str">
        <f>"20190312160319169"</f>
        <v>20190312160319169</v>
      </c>
      <c r="B1048" t="str">
        <f>"1552377799165487"</f>
        <v>1552377799165487</v>
      </c>
      <c r="C1048" t="s">
        <v>40</v>
      </c>
      <c r="D1048">
        <v>5.9490730000000003</v>
      </c>
      <c r="E1048">
        <v>0.53485389999999999</v>
      </c>
      <c r="F1048" t="s">
        <v>42</v>
      </c>
      <c r="G1048">
        <v>-158.19499999999999</v>
      </c>
      <c r="H1048">
        <v>1.284348</v>
      </c>
      <c r="I1048">
        <v>357.64679999999998</v>
      </c>
      <c r="J1048">
        <v>-254.6626</v>
      </c>
      <c r="K1048">
        <v>1.1100049999999999</v>
      </c>
      <c r="L1048">
        <v>367.93959999999998</v>
      </c>
      <c r="M1048">
        <v>0.99985659999999998</v>
      </c>
      <c r="N1048">
        <v>0</v>
      </c>
      <c r="O1048">
        <v>-5.630365E-4</v>
      </c>
      <c r="P1048">
        <v>0.99927220000000005</v>
      </c>
      <c r="Q1048">
        <v>3.5687669999999998E-2</v>
      </c>
      <c r="R1048">
        <v>-1.347808E-2</v>
      </c>
      <c r="S1048">
        <v>2.9978030000000002</v>
      </c>
      <c r="T1048">
        <v>5.4067369999999896E-3</v>
      </c>
      <c r="U1048">
        <v>-0.31909179999999998</v>
      </c>
      <c r="V1048">
        <v>1.291633E-2</v>
      </c>
      <c r="W1048">
        <v>5.2600250000000001E-2</v>
      </c>
      <c r="X1048">
        <v>0.99853210000000003</v>
      </c>
      <c r="Y1048">
        <v>0.1052838</v>
      </c>
      <c r="Z1048" s="1">
        <v>9.366298E-5</v>
      </c>
      <c r="AA1048">
        <v>0.99444219999999905</v>
      </c>
      <c r="AB1048">
        <v>47</v>
      </c>
      <c r="AC1048">
        <v>96.467600000000004</v>
      </c>
      <c r="AD1048">
        <v>0.174343</v>
      </c>
      <c r="AE1048">
        <v>-10.2928</v>
      </c>
      <c r="AF1048">
        <v>10.23844274232</v>
      </c>
      <c r="AG1048">
        <v>0.174343</v>
      </c>
      <c r="AH1048">
        <v>96.473069201427407</v>
      </c>
      <c r="AI1048">
        <v>89.897035262429597</v>
      </c>
      <c r="AJ1048">
        <v>83.942019735055794</v>
      </c>
      <c r="AK1048">
        <v>97.014994647285405</v>
      </c>
      <c r="AL1048">
        <v>86.984836155179394</v>
      </c>
      <c r="AM1048">
        <v>89.258902218350002</v>
      </c>
      <c r="AN1048">
        <v>0.99999998630556997</v>
      </c>
    </row>
    <row r="1049" spans="1:40" x14ac:dyDescent="0.25">
      <c r="A1049" t="str">
        <f>"20190312160319180"</f>
        <v>20190312160319180</v>
      </c>
      <c r="B1049" t="str">
        <f>"1552377799175248"</f>
        <v>1552377799175248</v>
      </c>
      <c r="C1049" t="s">
        <v>40</v>
      </c>
      <c r="D1049">
        <v>5.9494680000000004</v>
      </c>
      <c r="E1049">
        <v>0.53443830000000003</v>
      </c>
      <c r="F1049" t="s">
        <v>42</v>
      </c>
      <c r="G1049">
        <v>-158.19499999999999</v>
      </c>
      <c r="H1049">
        <v>1.330023</v>
      </c>
      <c r="I1049">
        <v>357.58440000000002</v>
      </c>
      <c r="J1049">
        <v>-254.4213</v>
      </c>
      <c r="K1049">
        <v>1.1099810000000001</v>
      </c>
      <c r="L1049">
        <v>367.93950000000001</v>
      </c>
      <c r="M1049">
        <v>0.99985869999999999</v>
      </c>
      <c r="N1049">
        <v>0</v>
      </c>
      <c r="O1049">
        <v>-5.5907449999999996E-4</v>
      </c>
      <c r="P1049">
        <v>0.99927100000000002</v>
      </c>
      <c r="Q1049">
        <v>3.5737730000000002E-2</v>
      </c>
      <c r="R1049">
        <v>-1.3436999999999999E-2</v>
      </c>
      <c r="S1049">
        <v>2.99762</v>
      </c>
      <c r="T1049">
        <v>6.8395139999999997E-3</v>
      </c>
      <c r="U1049">
        <v>-0.32177729999999999</v>
      </c>
      <c r="V1049">
        <v>1.2879130000000001E-2</v>
      </c>
      <c r="W1049">
        <v>5.2519299999999998E-2</v>
      </c>
      <c r="X1049">
        <v>0.99853689999999995</v>
      </c>
      <c r="Y1049">
        <v>0.1061749</v>
      </c>
      <c r="Z1049">
        <v>1.195077E-4</v>
      </c>
      <c r="AA1049">
        <v>0.99434750000000005</v>
      </c>
      <c r="AB1049">
        <v>47</v>
      </c>
      <c r="AC1049">
        <v>96.226299999999995</v>
      </c>
      <c r="AD1049">
        <v>0.22004199999999999</v>
      </c>
      <c r="AE1049">
        <v>-10.355099999999901</v>
      </c>
      <c r="AF1049">
        <v>10.3012398672378</v>
      </c>
      <c r="AG1049">
        <v>0.22004199999999999</v>
      </c>
      <c r="AH1049">
        <v>96.231577606755195</v>
      </c>
      <c r="AI1049">
        <v>89.869732602395004</v>
      </c>
      <c r="AJ1049">
        <v>83.889962756583202</v>
      </c>
      <c r="AK1049">
        <v>96.781612354667203</v>
      </c>
      <c r="AL1049">
        <v>86.989480844481903</v>
      </c>
      <c r="AM1049">
        <v>89.261039950393595</v>
      </c>
      <c r="AN1049">
        <v>1.00000004476182</v>
      </c>
    </row>
    <row r="1050" spans="1:40" x14ac:dyDescent="0.25">
      <c r="A1050" t="str">
        <f>"20190312160319190"</f>
        <v>20190312160319190</v>
      </c>
      <c r="B1050" t="str">
        <f>"1552377799185984"</f>
        <v>1552377799185984</v>
      </c>
      <c r="C1050" t="s">
        <v>40</v>
      </c>
      <c r="D1050">
        <v>5.6900870000000001</v>
      </c>
      <c r="E1050">
        <v>0.53408719999999998</v>
      </c>
      <c r="F1050" t="s">
        <v>42</v>
      </c>
      <c r="G1050">
        <v>-158.19499999999999</v>
      </c>
      <c r="H1050">
        <v>1.373005</v>
      </c>
      <c r="I1050">
        <v>357.72179999999997</v>
      </c>
      <c r="J1050">
        <v>-254.2114</v>
      </c>
      <c r="K1050">
        <v>1.109964</v>
      </c>
      <c r="L1050">
        <v>367.9393</v>
      </c>
      <c r="M1050">
        <v>0.99986070000000005</v>
      </c>
      <c r="N1050">
        <v>0</v>
      </c>
      <c r="O1050">
        <v>-5.5563960000000001E-4</v>
      </c>
      <c r="P1050">
        <v>0.99927029999999994</v>
      </c>
      <c r="Q1050">
        <v>3.5861079999999997E-2</v>
      </c>
      <c r="R1050">
        <v>-1.3163080000000001E-2</v>
      </c>
      <c r="S1050">
        <v>2.9976039999999999</v>
      </c>
      <c r="T1050">
        <v>8.1963539999999994E-3</v>
      </c>
      <c r="U1050">
        <v>-0.31829829999999998</v>
      </c>
      <c r="V1050">
        <v>1.2608599999999999E-2</v>
      </c>
      <c r="W1050">
        <v>5.25312E-2</v>
      </c>
      <c r="X1050">
        <v>0.99853970000000003</v>
      </c>
      <c r="Y1050">
        <v>0.10503759999999999</v>
      </c>
      <c r="Z1050">
        <v>1.4168429999999999E-4</v>
      </c>
      <c r="AA1050">
        <v>0.99446820000000002</v>
      </c>
      <c r="AB1050">
        <v>47</v>
      </c>
      <c r="AC1050">
        <v>96.016400000000004</v>
      </c>
      <c r="AD1050">
        <v>0.26304100000000002</v>
      </c>
      <c r="AE1050">
        <v>-10.217499999999999</v>
      </c>
      <c r="AF1050">
        <v>10.164065055591999</v>
      </c>
      <c r="AG1050">
        <v>0.26304100000000002</v>
      </c>
      <c r="AH1050">
        <v>96.021350631829307</v>
      </c>
      <c r="AI1050">
        <v>89.843916260938201</v>
      </c>
      <c r="AJ1050">
        <v>83.957619957932593</v>
      </c>
      <c r="AK1050">
        <v>96.558154426142096</v>
      </c>
      <c r="AL1050">
        <v>86.988798001956098</v>
      </c>
      <c r="AM1050">
        <v>89.276562389518602</v>
      </c>
      <c r="AN1050">
        <v>1.0000000181217401</v>
      </c>
    </row>
    <row r="1051" spans="1:40" x14ac:dyDescent="0.25">
      <c r="A1051" t="str">
        <f>"20190312160319201"</f>
        <v>20190312160319201</v>
      </c>
      <c r="B1051" t="str">
        <f>"1552377799195744"</f>
        <v>1552377799195744</v>
      </c>
      <c r="C1051" t="s">
        <v>40</v>
      </c>
      <c r="D1051">
        <v>6.0015749999999999</v>
      </c>
      <c r="E1051">
        <v>0.53393539999999995</v>
      </c>
      <c r="F1051" t="s">
        <v>42</v>
      </c>
      <c r="G1051">
        <v>-158.19499999999999</v>
      </c>
      <c r="H1051">
        <v>1.3023199999999999</v>
      </c>
      <c r="I1051">
        <v>357.85809999999998</v>
      </c>
      <c r="J1051">
        <v>-253.9735</v>
      </c>
      <c r="K1051">
        <v>1.1099509999999999</v>
      </c>
      <c r="L1051">
        <v>367.93920000000003</v>
      </c>
      <c r="M1051">
        <v>0.99986269999999999</v>
      </c>
      <c r="N1051">
        <v>0</v>
      </c>
      <c r="O1051">
        <v>-5.5142339999999905E-4</v>
      </c>
      <c r="P1051">
        <v>0.99926899999999996</v>
      </c>
      <c r="Q1051">
        <v>3.5819049999999998E-2</v>
      </c>
      <c r="R1051">
        <v>-1.3368639999999999E-2</v>
      </c>
      <c r="S1051">
        <v>2.997833</v>
      </c>
      <c r="T1051">
        <v>6.0085059999999899E-3</v>
      </c>
      <c r="U1051">
        <v>-0.31475829999999999</v>
      </c>
      <c r="V1051">
        <v>1.281853E-2</v>
      </c>
      <c r="W1051">
        <v>5.2368339999999999E-2</v>
      </c>
      <c r="X1051">
        <v>0.99854560000000003</v>
      </c>
      <c r="Y1051">
        <v>0.1038726</v>
      </c>
      <c r="Z1051">
        <v>1.027073E-4</v>
      </c>
      <c r="AA1051">
        <v>0.99459059999999999</v>
      </c>
      <c r="AB1051">
        <v>47</v>
      </c>
      <c r="AC1051">
        <v>95.778499999999994</v>
      </c>
      <c r="AD1051">
        <v>0.19236900000000001</v>
      </c>
      <c r="AE1051">
        <v>-10.081099999999999</v>
      </c>
      <c r="AF1051">
        <v>10.0282367059132</v>
      </c>
      <c r="AG1051">
        <v>0.19236900000000001</v>
      </c>
      <c r="AH1051">
        <v>95.783662995360402</v>
      </c>
      <c r="AI1051">
        <v>89.8855545812754</v>
      </c>
      <c r="AJ1051">
        <v>84.023093962016702</v>
      </c>
      <c r="AK1051">
        <v>96.307386186474602</v>
      </c>
      <c r="AL1051">
        <v>86.998142109199605</v>
      </c>
      <c r="AM1051">
        <v>89.264522993811596</v>
      </c>
      <c r="AN1051">
        <v>1.0000000365125301</v>
      </c>
    </row>
    <row r="1052" spans="1:40" x14ac:dyDescent="0.25">
      <c r="A1052" t="str">
        <f>"20190312160319212"</f>
        <v>20190312160319212</v>
      </c>
      <c r="B1052" t="str">
        <f>"1552377799205503"</f>
        <v>1552377799205503</v>
      </c>
      <c r="C1052" t="s">
        <v>40</v>
      </c>
      <c r="D1052">
        <v>5.8338900000000002</v>
      </c>
      <c r="E1052">
        <v>0.53353169999999905</v>
      </c>
      <c r="F1052" t="s">
        <v>42</v>
      </c>
      <c r="G1052">
        <v>-158.19499999999999</v>
      </c>
      <c r="H1052">
        <v>1.29057</v>
      </c>
      <c r="I1052">
        <v>357.89940000000001</v>
      </c>
      <c r="J1052">
        <v>-253.7586</v>
      </c>
      <c r="K1052">
        <v>1.109934</v>
      </c>
      <c r="L1052">
        <v>367.9391</v>
      </c>
      <c r="M1052">
        <v>0.99986450000000004</v>
      </c>
      <c r="N1052">
        <v>0</v>
      </c>
      <c r="O1052">
        <v>-5.4781699999999895E-4</v>
      </c>
      <c r="P1052">
        <v>0.99926619999999999</v>
      </c>
      <c r="Q1052">
        <v>3.5777469999999999E-2</v>
      </c>
      <c r="R1052">
        <v>-1.368596E-2</v>
      </c>
      <c r="S1052">
        <v>2.9978030000000002</v>
      </c>
      <c r="T1052">
        <v>5.6560040000000001E-3</v>
      </c>
      <c r="U1052">
        <v>-0.3142395</v>
      </c>
      <c r="V1052">
        <v>1.3139420000000001E-2</v>
      </c>
      <c r="W1052">
        <v>5.2222159999999997E-2</v>
      </c>
      <c r="X1052">
        <v>0.99854900000000002</v>
      </c>
      <c r="Y1052">
        <v>0.10370699999999999</v>
      </c>
      <c r="Z1052" s="1">
        <v>9.6534599999999996E-5</v>
      </c>
      <c r="AA1052">
        <v>0.99460789999999999</v>
      </c>
      <c r="AB1052">
        <v>47</v>
      </c>
      <c r="AC1052">
        <v>95.563599999999994</v>
      </c>
      <c r="AD1052">
        <v>0.18063599999999999</v>
      </c>
      <c r="AE1052">
        <v>-10.0396999999999</v>
      </c>
      <c r="AF1052">
        <v>9.9873047474249006</v>
      </c>
      <c r="AG1052">
        <v>0.18063599999999999</v>
      </c>
      <c r="AH1052">
        <v>95.568748587333701</v>
      </c>
      <c r="AI1052">
        <v>89.892291021486699</v>
      </c>
      <c r="AJ1052">
        <v>84.034024274935902</v>
      </c>
      <c r="AK1052">
        <v>96.089357329682599</v>
      </c>
      <c r="AL1052">
        <v>87.006528828534698</v>
      </c>
      <c r="AM1052">
        <v>89.2461162490562</v>
      </c>
      <c r="AN1052">
        <v>0.99999995187699997</v>
      </c>
    </row>
    <row r="1053" spans="1:40" x14ac:dyDescent="0.25">
      <c r="A1053" t="str">
        <f>"20190312160319222"</f>
        <v>20190312160319222</v>
      </c>
      <c r="B1053" t="str">
        <f>"1552377799215264"</f>
        <v>1552377799215264</v>
      </c>
      <c r="C1053" t="s">
        <v>40</v>
      </c>
      <c r="D1053">
        <v>5.8391469999999996</v>
      </c>
      <c r="E1053">
        <v>0.53311030000000004</v>
      </c>
      <c r="F1053" t="s">
        <v>42</v>
      </c>
      <c r="G1053">
        <v>-158.19499999999999</v>
      </c>
      <c r="H1053">
        <v>1.2915049999999999</v>
      </c>
      <c r="I1053">
        <v>357.99939999999998</v>
      </c>
      <c r="J1053">
        <v>-253.54060000000001</v>
      </c>
      <c r="K1053">
        <v>1.1099250000000001</v>
      </c>
      <c r="L1053">
        <v>367.93900000000002</v>
      </c>
      <c r="M1053">
        <v>0.99986609999999998</v>
      </c>
      <c r="N1053">
        <v>0</v>
      </c>
      <c r="O1053">
        <v>-5.4388129999999996E-4</v>
      </c>
      <c r="P1053">
        <v>0.9992704</v>
      </c>
      <c r="Q1053">
        <v>3.575884E-2</v>
      </c>
      <c r="R1053">
        <v>-1.342404E-2</v>
      </c>
      <c r="S1053">
        <v>2.9977260000000001</v>
      </c>
      <c r="T1053">
        <v>5.6984419999999997E-3</v>
      </c>
      <c r="U1053">
        <v>-0.31179810000000002</v>
      </c>
      <c r="V1053">
        <v>1.288157E-2</v>
      </c>
      <c r="W1053">
        <v>5.2101210000000002E-2</v>
      </c>
      <c r="X1053">
        <v>0.99855870000000002</v>
      </c>
      <c r="Y1053">
        <v>0.1029122</v>
      </c>
      <c r="Z1053" s="1">
        <v>9.6519560000000001E-5</v>
      </c>
      <c r="AA1053">
        <v>0.99469039999999997</v>
      </c>
      <c r="AB1053">
        <v>47</v>
      </c>
      <c r="AC1053">
        <v>95.345600000000005</v>
      </c>
      <c r="AD1053">
        <v>0.18157999999999899</v>
      </c>
      <c r="AE1053">
        <v>-9.9396000000000395</v>
      </c>
      <c r="AF1053">
        <v>9.8876994276778891</v>
      </c>
      <c r="AG1053">
        <v>0.18157999999999899</v>
      </c>
      <c r="AH1053">
        <v>95.350650471352196</v>
      </c>
      <c r="AI1053">
        <v>89.891471481872898</v>
      </c>
      <c r="AJ1053">
        <v>84.079686154229606</v>
      </c>
      <c r="AK1053">
        <v>95.862120342596597</v>
      </c>
      <c r="AL1053">
        <v>87.013468266842295</v>
      </c>
      <c r="AM1053">
        <v>89.260916100986904</v>
      </c>
      <c r="AN1053">
        <v>0.99999997413740904</v>
      </c>
    </row>
    <row r="1054" spans="1:40" x14ac:dyDescent="0.25">
      <c r="A1054" t="str">
        <f>"20190312160319233"</f>
        <v>20190312160319233</v>
      </c>
      <c r="B1054" t="str">
        <f>"1552377799226000"</f>
        <v>1552377799226000</v>
      </c>
      <c r="C1054" t="s">
        <v>40</v>
      </c>
      <c r="D1054">
        <v>5.7381279999999997</v>
      </c>
      <c r="E1054">
        <v>0.53263389999999999</v>
      </c>
      <c r="F1054" t="s">
        <v>42</v>
      </c>
      <c r="G1054">
        <v>-158.19499999999999</v>
      </c>
      <c r="H1054">
        <v>1.2930159999999999</v>
      </c>
      <c r="I1054">
        <v>358.15050000000002</v>
      </c>
      <c r="J1054">
        <v>-253.30969999999999</v>
      </c>
      <c r="K1054">
        <v>1.1099190000000001</v>
      </c>
      <c r="L1054">
        <v>367.93889999999999</v>
      </c>
      <c r="M1054">
        <v>0.99986770000000003</v>
      </c>
      <c r="N1054">
        <v>0</v>
      </c>
      <c r="O1054">
        <v>-5.3982059999999998E-4</v>
      </c>
      <c r="P1054">
        <v>0.99926289999999995</v>
      </c>
      <c r="Q1054">
        <v>3.5849979999999997E-2</v>
      </c>
      <c r="R1054">
        <v>-1.3726749999999999E-2</v>
      </c>
      <c r="S1054">
        <v>2.997849</v>
      </c>
      <c r="T1054">
        <v>5.7594780000000002E-3</v>
      </c>
      <c r="U1054">
        <v>-0.30776979999999998</v>
      </c>
      <c r="V1054">
        <v>1.318837E-2</v>
      </c>
      <c r="W1054">
        <v>5.2089299999999998E-2</v>
      </c>
      <c r="X1054">
        <v>0.99855539999999998</v>
      </c>
      <c r="Y1054">
        <v>0.1015895</v>
      </c>
      <c r="Z1054" s="1">
        <v>9.6296679999999994E-5</v>
      </c>
      <c r="AA1054">
        <v>0.9948264</v>
      </c>
      <c r="AB1054">
        <v>47</v>
      </c>
      <c r="AC1054">
        <v>95.114699999999999</v>
      </c>
      <c r="AD1054">
        <v>0.18309699999999901</v>
      </c>
      <c r="AE1054">
        <v>-9.7883999999999602</v>
      </c>
      <c r="AF1054">
        <v>9.7370112086055798</v>
      </c>
      <c r="AG1054">
        <v>0.18309699999999901</v>
      </c>
      <c r="AH1054">
        <v>95.119622027841501</v>
      </c>
      <c r="AI1054">
        <v>89.890284089042197</v>
      </c>
      <c r="AJ1054">
        <v>84.155221320570405</v>
      </c>
      <c r="AK1054">
        <v>95.616867792808193</v>
      </c>
      <c r="AL1054">
        <v>87.014151836814406</v>
      </c>
      <c r="AM1054">
        <v>89.243312882536898</v>
      </c>
      <c r="AN1054">
        <v>1.00000005757345</v>
      </c>
    </row>
    <row r="1055" spans="1:40" x14ac:dyDescent="0.25">
      <c r="A1055" t="str">
        <f>"20190312160319245"</f>
        <v>20190312160319245</v>
      </c>
      <c r="B1055" t="str">
        <f>"1552377799235759"</f>
        <v>1552377799235759</v>
      </c>
      <c r="C1055" t="s">
        <v>40</v>
      </c>
      <c r="D1055">
        <v>5.796576</v>
      </c>
      <c r="E1055">
        <v>0.53225029999999995</v>
      </c>
      <c r="F1055" t="s">
        <v>42</v>
      </c>
      <c r="G1055">
        <v>-158.19499999999999</v>
      </c>
      <c r="H1055">
        <v>1.295858</v>
      </c>
      <c r="I1055">
        <v>358.26889999999997</v>
      </c>
      <c r="J1055">
        <v>-253.06370000000001</v>
      </c>
      <c r="K1055">
        <v>1.1099129999999999</v>
      </c>
      <c r="L1055">
        <v>367.93880000000001</v>
      </c>
      <c r="M1055">
        <v>0.99986960000000003</v>
      </c>
      <c r="N1055">
        <v>0</v>
      </c>
      <c r="O1055">
        <v>-5.3585980000000002E-4</v>
      </c>
      <c r="P1055">
        <v>0.99925350000000002</v>
      </c>
      <c r="Q1055">
        <v>3.6137950000000002E-2</v>
      </c>
      <c r="R1055">
        <v>-1.3669570000000001E-2</v>
      </c>
      <c r="S1055">
        <v>2.9978180000000001</v>
      </c>
      <c r="T1055">
        <v>5.8631899999999999E-3</v>
      </c>
      <c r="U1055">
        <v>-0.30477910000000002</v>
      </c>
      <c r="V1055">
        <v>1.3134979999999999E-2</v>
      </c>
      <c r="W1055">
        <v>5.2271209999999999E-2</v>
      </c>
      <c r="X1055">
        <v>0.9985465</v>
      </c>
      <c r="Y1055">
        <v>0.1006122</v>
      </c>
      <c r="Z1055" s="1">
        <v>9.7091140000000006E-5</v>
      </c>
      <c r="AA1055">
        <v>0.99492570000000002</v>
      </c>
      <c r="AB1055">
        <v>47</v>
      </c>
      <c r="AC1055">
        <v>94.868700000000004</v>
      </c>
      <c r="AD1055">
        <v>0.185945</v>
      </c>
      <c r="AE1055">
        <v>-9.6699000000000392</v>
      </c>
      <c r="AF1055">
        <v>9.6190190927003396</v>
      </c>
      <c r="AG1055">
        <v>0.185945</v>
      </c>
      <c r="AH1055">
        <v>94.873508034132499</v>
      </c>
      <c r="AI1055">
        <v>89.888277445053106</v>
      </c>
      <c r="AJ1055">
        <v>84.210688228859496</v>
      </c>
      <c r="AK1055">
        <v>95.360068322916803</v>
      </c>
      <c r="AL1055">
        <v>87.003714650799196</v>
      </c>
      <c r="AM1055">
        <v>89.246369081292002</v>
      </c>
      <c r="AN1055">
        <v>0.99999995987835599</v>
      </c>
    </row>
    <row r="1056" spans="1:40" x14ac:dyDescent="0.25">
      <c r="A1056" t="str">
        <f>"20190312160319256"</f>
        <v>20190312160319256</v>
      </c>
      <c r="B1056" t="str">
        <f>"1552377799245519"</f>
        <v>1552377799245519</v>
      </c>
      <c r="C1056" t="s">
        <v>40</v>
      </c>
      <c r="D1056">
        <v>5.8166479999999998</v>
      </c>
      <c r="E1056">
        <v>0.53194619999999904</v>
      </c>
      <c r="F1056" t="s">
        <v>42</v>
      </c>
      <c r="G1056">
        <v>-158.19499999999999</v>
      </c>
      <c r="H1056">
        <v>1.3253509999999999</v>
      </c>
      <c r="I1056">
        <v>358.39229999999998</v>
      </c>
      <c r="J1056">
        <v>-252.83860000000001</v>
      </c>
      <c r="K1056">
        <v>1.1099159999999999</v>
      </c>
      <c r="L1056">
        <v>367.93860000000001</v>
      </c>
      <c r="M1056">
        <v>0.99987090000000001</v>
      </c>
      <c r="N1056">
        <v>0</v>
      </c>
      <c r="O1056">
        <v>-5.3227220000000004E-4</v>
      </c>
      <c r="P1056">
        <v>0.9992645</v>
      </c>
      <c r="Q1056">
        <v>3.5921139999999997E-2</v>
      </c>
      <c r="R1056">
        <v>-1.343419E-2</v>
      </c>
      <c r="S1056">
        <v>2.997833</v>
      </c>
      <c r="T1056">
        <v>6.8105459999999998E-3</v>
      </c>
      <c r="U1056">
        <v>-0.3016663</v>
      </c>
      <c r="V1056">
        <v>1.2903080000000001E-2</v>
      </c>
      <c r="W1056">
        <v>5.1964539999999997E-2</v>
      </c>
      <c r="X1056">
        <v>0.99856560000000005</v>
      </c>
      <c r="Y1056">
        <v>9.9592539999999993E-2</v>
      </c>
      <c r="Z1056">
        <v>1.1163689999999999E-4</v>
      </c>
      <c r="AA1056">
        <v>0.99502829999999998</v>
      </c>
      <c r="AB1056">
        <v>47</v>
      </c>
      <c r="AC1056">
        <v>94.643600000000006</v>
      </c>
      <c r="AD1056">
        <v>0.21543499999999999</v>
      </c>
      <c r="AE1056">
        <v>-9.5463000000000306</v>
      </c>
      <c r="AF1056">
        <v>9.4958672862236302</v>
      </c>
      <c r="AG1056">
        <v>0.21543499999999999</v>
      </c>
      <c r="AH1056">
        <v>94.648183000880394</v>
      </c>
      <c r="AI1056">
        <v>89.870236947111806</v>
      </c>
      <c r="AJ1056">
        <v>84.270797894883103</v>
      </c>
      <c r="AK1056">
        <v>95.1235851570205</v>
      </c>
      <c r="AL1056">
        <v>87.021309670327497</v>
      </c>
      <c r="AM1056">
        <v>89.259687210562205</v>
      </c>
      <c r="AN1056">
        <v>1.0000000301971199</v>
      </c>
    </row>
    <row r="1057" spans="1:40" x14ac:dyDescent="0.25">
      <c r="A1057" t="str">
        <f>"20190312160319269"</f>
        <v>20190312160319269</v>
      </c>
      <c r="B1057" t="str">
        <f>"1552377799255280"</f>
        <v>1552377799255280</v>
      </c>
      <c r="C1057" t="s">
        <v>40</v>
      </c>
      <c r="D1057">
        <v>5.7378359999999997</v>
      </c>
      <c r="E1057">
        <v>0.53150819999999999</v>
      </c>
      <c r="F1057" t="s">
        <v>42</v>
      </c>
      <c r="G1057">
        <v>-158.19499999999999</v>
      </c>
      <c r="H1057">
        <v>1.3068789999999999</v>
      </c>
      <c r="I1057">
        <v>358.51530000000002</v>
      </c>
      <c r="J1057">
        <v>-252.56989999999999</v>
      </c>
      <c r="K1057">
        <v>1.109915</v>
      </c>
      <c r="L1057">
        <v>367.93849999999998</v>
      </c>
      <c r="M1057">
        <v>0.99987269999999995</v>
      </c>
      <c r="N1057">
        <v>0</v>
      </c>
      <c r="O1057">
        <v>-5.2845509999999997E-4</v>
      </c>
      <c r="P1057">
        <v>0.99925109999999995</v>
      </c>
      <c r="Q1057">
        <v>3.6176170000000001E-2</v>
      </c>
      <c r="R1057">
        <v>-1.374277E-2</v>
      </c>
      <c r="S1057">
        <v>2.9979399999999998</v>
      </c>
      <c r="T1057">
        <v>6.2417979999999998E-3</v>
      </c>
      <c r="U1057">
        <v>-0.29849239999999999</v>
      </c>
      <c r="V1057">
        <v>1.3215620000000001E-2</v>
      </c>
      <c r="W1057">
        <v>5.2115969999999998E-2</v>
      </c>
      <c r="X1057">
        <v>0.99855360000000004</v>
      </c>
      <c r="Y1057">
        <v>9.8549810000000002E-2</v>
      </c>
      <c r="Z1057">
        <v>1.01241E-4</v>
      </c>
      <c r="AA1057">
        <v>0.99513209999999996</v>
      </c>
      <c r="AB1057">
        <v>47</v>
      </c>
      <c r="AC1057">
        <v>94.374899999999997</v>
      </c>
      <c r="AD1057">
        <v>0.196964</v>
      </c>
      <c r="AE1057">
        <v>-9.4231999999999498</v>
      </c>
      <c r="AF1057">
        <v>9.3732790195743991</v>
      </c>
      <c r="AG1057">
        <v>0.196964</v>
      </c>
      <c r="AH1057">
        <v>94.379460157062496</v>
      </c>
      <c r="AI1057">
        <v>89.881012853056603</v>
      </c>
      <c r="AJ1057">
        <v>84.328278770158093</v>
      </c>
      <c r="AK1057">
        <v>94.843975317015406</v>
      </c>
      <c r="AL1057">
        <v>87.012621536382099</v>
      </c>
      <c r="AM1057">
        <v>89.241748220405597</v>
      </c>
      <c r="AN1057">
        <v>1.0000000095069901</v>
      </c>
    </row>
    <row r="1058" spans="1:40" x14ac:dyDescent="0.25">
      <c r="A1058" t="str">
        <f>"20190312160319281"</f>
        <v>20190312160319281</v>
      </c>
      <c r="B1058" t="str">
        <f>"1552377799275775"</f>
        <v>1552377799275775</v>
      </c>
      <c r="C1058" t="s">
        <v>40</v>
      </c>
      <c r="D1058">
        <v>5.7373699999999896</v>
      </c>
      <c r="E1058">
        <v>0.53067419999999899</v>
      </c>
      <c r="F1058" t="s">
        <v>42</v>
      </c>
      <c r="G1058">
        <v>-158.19499999999999</v>
      </c>
      <c r="H1058">
        <v>1.321483</v>
      </c>
      <c r="I1058">
        <v>358.62270000000001</v>
      </c>
      <c r="J1058">
        <v>-252.31659999999999</v>
      </c>
      <c r="K1058">
        <v>1.109918</v>
      </c>
      <c r="L1058">
        <v>367.9384</v>
      </c>
      <c r="M1058">
        <v>0.99987420000000005</v>
      </c>
      <c r="N1058">
        <v>0</v>
      </c>
      <c r="O1058">
        <v>-5.2463569999999999E-4</v>
      </c>
      <c r="P1058">
        <v>0.99924619999999997</v>
      </c>
      <c r="Q1058">
        <v>3.6302849999999998E-2</v>
      </c>
      <c r="R1058">
        <v>-1.3770269999999999E-2</v>
      </c>
      <c r="S1058">
        <v>2.9979399999999998</v>
      </c>
      <c r="T1058">
        <v>6.7235230000000003E-3</v>
      </c>
      <c r="U1058">
        <v>-0.295929</v>
      </c>
      <c r="V1058">
        <v>1.3246900000000001E-2</v>
      </c>
      <c r="W1058">
        <v>5.2153110000000003E-2</v>
      </c>
      <c r="X1058">
        <v>0.99855119999999997</v>
      </c>
      <c r="Y1058">
        <v>9.7710939999999996E-2</v>
      </c>
      <c r="Z1058">
        <v>1.0812919999999999E-4</v>
      </c>
      <c r="AA1058">
        <v>0.99521479999999996</v>
      </c>
      <c r="AB1058">
        <v>47</v>
      </c>
      <c r="AC1058">
        <v>94.121600000000001</v>
      </c>
      <c r="AD1058">
        <v>0.211565</v>
      </c>
      <c r="AE1058">
        <v>-9.3156999999999908</v>
      </c>
      <c r="AF1058">
        <v>9.2662665962863304</v>
      </c>
      <c r="AG1058">
        <v>0.211565</v>
      </c>
      <c r="AH1058">
        <v>94.126004045587507</v>
      </c>
      <c r="AI1058">
        <v>89.871837266507796</v>
      </c>
      <c r="AJ1058">
        <v>84.377613816143693</v>
      </c>
      <c r="AK1058">
        <v>94.581251281491504</v>
      </c>
      <c r="AL1058">
        <v>87.010490534561995</v>
      </c>
      <c r="AM1058">
        <v>89.239951900934798</v>
      </c>
      <c r="AN1058">
        <v>0.99999996313186001</v>
      </c>
    </row>
    <row r="1059" spans="1:40" x14ac:dyDescent="0.25">
      <c r="A1059" t="str">
        <f>"20190312160319293"</f>
        <v>20190312160319293</v>
      </c>
      <c r="B1059" t="str">
        <f>"1552377799285535"</f>
        <v>1552377799285535</v>
      </c>
      <c r="C1059" t="s">
        <v>40</v>
      </c>
      <c r="D1059">
        <v>5.6586129999999999</v>
      </c>
      <c r="E1059">
        <v>0.53030069999999996</v>
      </c>
      <c r="F1059" t="s">
        <v>42</v>
      </c>
      <c r="G1059">
        <v>-158.19499999999999</v>
      </c>
      <c r="H1059">
        <v>1.304252</v>
      </c>
      <c r="I1059">
        <v>358.8501</v>
      </c>
      <c r="J1059">
        <v>-252.0744</v>
      </c>
      <c r="K1059">
        <v>1.1099209999999999</v>
      </c>
      <c r="L1059">
        <v>367.93819999999999</v>
      </c>
      <c r="M1059">
        <v>0.99987519999999996</v>
      </c>
      <c r="N1059">
        <v>0</v>
      </c>
      <c r="O1059">
        <v>-5.2100720000000005E-4</v>
      </c>
      <c r="P1059">
        <v>0.99925050000000004</v>
      </c>
      <c r="Q1059">
        <v>3.6314159999999998E-2</v>
      </c>
      <c r="R1059">
        <v>-1.339682E-2</v>
      </c>
      <c r="S1059">
        <v>2.998062</v>
      </c>
      <c r="T1059">
        <v>6.1929230000000004E-3</v>
      </c>
      <c r="U1059">
        <v>-0.28948970000000002</v>
      </c>
      <c r="V1059">
        <v>1.287729E-2</v>
      </c>
      <c r="W1059">
        <v>5.2082629999999998E-2</v>
      </c>
      <c r="X1059">
        <v>0.9985598</v>
      </c>
      <c r="Y1059">
        <v>9.5593070000000002E-2</v>
      </c>
      <c r="Z1059" s="1">
        <v>9.7427519999999997E-5</v>
      </c>
      <c r="AA1059">
        <v>0.99542050000000004</v>
      </c>
      <c r="AB1059">
        <v>47</v>
      </c>
      <c r="AC1059">
        <v>93.879400000000004</v>
      </c>
      <c r="AD1059">
        <v>0.194331</v>
      </c>
      <c r="AE1059">
        <v>-9.0880999999999901</v>
      </c>
      <c r="AF1059">
        <v>9.0391424520934294</v>
      </c>
      <c r="AG1059">
        <v>0.194331</v>
      </c>
      <c r="AH1059">
        <v>93.883724260952604</v>
      </c>
      <c r="AI1059">
        <v>89.881948872589305</v>
      </c>
      <c r="AJ1059">
        <v>84.500503091581606</v>
      </c>
      <c r="AK1059">
        <v>94.318065830006205</v>
      </c>
      <c r="AL1059">
        <v>87.014534495149405</v>
      </c>
      <c r="AM1059">
        <v>89.261162453834004</v>
      </c>
      <c r="AN1059">
        <v>1.00000004956074</v>
      </c>
    </row>
    <row r="1060" spans="1:40" x14ac:dyDescent="0.25">
      <c r="A1060" t="str">
        <f>"20190312160319305"</f>
        <v>20190312160319305</v>
      </c>
      <c r="B1060" t="str">
        <f>"1552377799295295"</f>
        <v>1552377799295295</v>
      </c>
      <c r="C1060" t="s">
        <v>40</v>
      </c>
      <c r="D1060">
        <v>5.7736269999999896</v>
      </c>
      <c r="E1060">
        <v>0.52996869999999996</v>
      </c>
      <c r="F1060" t="s">
        <v>42</v>
      </c>
      <c r="G1060">
        <v>-158.19499999999999</v>
      </c>
      <c r="H1060">
        <v>1.287992</v>
      </c>
      <c r="I1060">
        <v>358.99619999999999</v>
      </c>
      <c r="J1060">
        <v>-251.82</v>
      </c>
      <c r="K1060">
        <v>1.1099220000000001</v>
      </c>
      <c r="L1060">
        <v>367.93810000000002</v>
      </c>
      <c r="M1060">
        <v>0.99987669999999995</v>
      </c>
      <c r="N1060">
        <v>0</v>
      </c>
      <c r="O1060">
        <v>-5.1798489999999996E-4</v>
      </c>
      <c r="P1060">
        <v>0.99925140000000001</v>
      </c>
      <c r="Q1060">
        <v>3.6384800000000002E-2</v>
      </c>
      <c r="R1060">
        <v>-1.3166590000000001E-2</v>
      </c>
      <c r="S1060">
        <v>2.99823</v>
      </c>
      <c r="T1060">
        <v>5.6898590000000002E-3</v>
      </c>
      <c r="U1060">
        <v>-0.28558349999999999</v>
      </c>
      <c r="V1060">
        <v>1.264972E-2</v>
      </c>
      <c r="W1060">
        <v>5.2072630000000002E-2</v>
      </c>
      <c r="X1060">
        <v>0.99856319999999998</v>
      </c>
      <c r="Y1060">
        <v>9.4305620000000007E-2</v>
      </c>
      <c r="Z1060" s="1">
        <v>8.8300730000000002E-5</v>
      </c>
      <c r="AA1060">
        <v>0.99554330000000002</v>
      </c>
      <c r="AB1060">
        <v>47</v>
      </c>
      <c r="AC1060">
        <v>93.625</v>
      </c>
      <c r="AD1060">
        <v>0.17807000000000001</v>
      </c>
      <c r="AE1060">
        <v>-8.9419000000000306</v>
      </c>
      <c r="AF1060">
        <v>8.8933646098676693</v>
      </c>
      <c r="AG1060">
        <v>0.17807000000000001</v>
      </c>
      <c r="AH1060">
        <v>93.629284142393999</v>
      </c>
      <c r="AI1060">
        <v>89.891519713161799</v>
      </c>
      <c r="AJ1060">
        <v>84.574047102687402</v>
      </c>
      <c r="AK1060">
        <v>94.050871830228601</v>
      </c>
      <c r="AL1060">
        <v>87.015108141054796</v>
      </c>
      <c r="AM1060">
        <v>89.274220397862905</v>
      </c>
      <c r="AN1060">
        <v>1.0000000193027101</v>
      </c>
    </row>
    <row r="1061" spans="1:40" x14ac:dyDescent="0.25">
      <c r="A1061" t="str">
        <f>"20190312160319318"</f>
        <v>20190312160319318</v>
      </c>
      <c r="B1061" t="str">
        <f>"1552377799315791"</f>
        <v>1552377799315791</v>
      </c>
      <c r="C1061" t="s">
        <v>40</v>
      </c>
      <c r="D1061">
        <v>5.7261490000000004</v>
      </c>
      <c r="E1061">
        <v>0.52927869999999899</v>
      </c>
      <c r="F1061" t="s">
        <v>42</v>
      </c>
      <c r="G1061">
        <v>-158.19499999999999</v>
      </c>
      <c r="H1061">
        <v>1.2808109999999999</v>
      </c>
      <c r="I1061">
        <v>359.12920000000003</v>
      </c>
      <c r="J1061">
        <v>-251.55539999999999</v>
      </c>
      <c r="K1061">
        <v>1.1099250000000001</v>
      </c>
      <c r="L1061">
        <v>367.93799999999999</v>
      </c>
      <c r="M1061">
        <v>0.99987789999999999</v>
      </c>
      <c r="N1061">
        <v>0</v>
      </c>
      <c r="O1061">
        <v>-5.1523740000000001E-4</v>
      </c>
      <c r="P1061">
        <v>0.99925200000000003</v>
      </c>
      <c r="Q1061">
        <v>3.6431779999999997E-2</v>
      </c>
      <c r="R1061">
        <v>-1.298328E-2</v>
      </c>
      <c r="S1061">
        <v>2.9983369999999998</v>
      </c>
      <c r="T1061">
        <v>5.4755209999999997E-3</v>
      </c>
      <c r="U1061">
        <v>-0.28210449999999998</v>
      </c>
      <c r="V1061">
        <v>1.2469340000000001E-2</v>
      </c>
      <c r="W1061">
        <v>5.2042150000000002E-2</v>
      </c>
      <c r="X1061">
        <v>0.99856699999999998</v>
      </c>
      <c r="Y1061">
        <v>9.3160090000000001E-2</v>
      </c>
      <c r="Z1061" s="1">
        <v>8.3937369999999897E-5</v>
      </c>
      <c r="AA1061">
        <v>0.99565110000000001</v>
      </c>
      <c r="AB1061">
        <v>47</v>
      </c>
      <c r="AC1061">
        <v>93.360399999999998</v>
      </c>
      <c r="AD1061">
        <v>0.17088600000000001</v>
      </c>
      <c r="AE1061">
        <v>-8.8088000000000193</v>
      </c>
      <c r="AF1061">
        <v>8.7606611009295694</v>
      </c>
      <c r="AG1061">
        <v>0.17088600000000001</v>
      </c>
      <c r="AH1061">
        <v>93.364616739509898</v>
      </c>
      <c r="AI1061">
        <v>89.895589832529893</v>
      </c>
      <c r="AJ1061">
        <v>84.639473640041103</v>
      </c>
      <c r="AK1061">
        <v>93.774890263150496</v>
      </c>
      <c r="AL1061">
        <v>87.016856715381493</v>
      </c>
      <c r="AM1061">
        <v>89.284571366461606</v>
      </c>
      <c r="AN1061">
        <v>0.99999996165282801</v>
      </c>
    </row>
    <row r="1062" spans="1:40" x14ac:dyDescent="0.25">
      <c r="A1062" t="str">
        <f>"20190312160319334"</f>
        <v>20190312160319334</v>
      </c>
      <c r="B1062" t="str">
        <f>"1552377799325552"</f>
        <v>1552377799325552</v>
      </c>
      <c r="C1062" t="s">
        <v>40</v>
      </c>
      <c r="D1062">
        <v>5.7286789999999996</v>
      </c>
      <c r="E1062">
        <v>0.52893069999999998</v>
      </c>
      <c r="F1062" t="s">
        <v>42</v>
      </c>
      <c r="G1062">
        <v>-158.19499999999999</v>
      </c>
      <c r="H1062">
        <v>1.2571300000000001</v>
      </c>
      <c r="I1062">
        <v>359.3492</v>
      </c>
      <c r="J1062">
        <v>-251.22649999999999</v>
      </c>
      <c r="K1062">
        <v>1.1099289999999999</v>
      </c>
      <c r="L1062">
        <v>367.93779999999998</v>
      </c>
      <c r="M1062">
        <v>0.99987919999999997</v>
      </c>
      <c r="N1062">
        <v>0</v>
      </c>
      <c r="O1062">
        <v>-5.1192070000000004E-4</v>
      </c>
      <c r="P1062">
        <v>0.99926130000000002</v>
      </c>
      <c r="Q1062">
        <v>3.6254469999999997E-2</v>
      </c>
      <c r="R1062">
        <v>-1.275631E-2</v>
      </c>
      <c r="S1062">
        <v>2.998459</v>
      </c>
      <c r="T1062">
        <v>4.7305819999999997E-3</v>
      </c>
      <c r="U1062">
        <v>-0.27584839999999999</v>
      </c>
      <c r="V1062">
        <v>1.2245590000000001E-2</v>
      </c>
      <c r="W1062">
        <v>5.1775969999999998E-2</v>
      </c>
      <c r="X1062">
        <v>0.99858360000000002</v>
      </c>
      <c r="Y1062">
        <v>9.1099929999999996E-2</v>
      </c>
      <c r="Z1062" s="1">
        <v>7.090539E-5</v>
      </c>
      <c r="AA1062">
        <v>0.99584170000000005</v>
      </c>
      <c r="AB1062">
        <v>46</v>
      </c>
      <c r="AC1062">
        <v>93.031499999999994</v>
      </c>
      <c r="AD1062">
        <v>0.147200999999999</v>
      </c>
      <c r="AE1062">
        <v>-8.58859999999998</v>
      </c>
      <c r="AF1062">
        <v>8.5409471739865008</v>
      </c>
      <c r="AG1062">
        <v>0.147200999999999</v>
      </c>
      <c r="AH1062">
        <v>93.035654065920994</v>
      </c>
      <c r="AI1062">
        <v>89.909726305308197</v>
      </c>
      <c r="AJ1062">
        <v>84.754780833500604</v>
      </c>
      <c r="AK1062">
        <v>93.4269895385534</v>
      </c>
      <c r="AL1062">
        <v>87.032128278316407</v>
      </c>
      <c r="AM1062">
        <v>89.297419406970306</v>
      </c>
      <c r="AN1062">
        <v>0.99999995586642298</v>
      </c>
    </row>
    <row r="1063" spans="1:40" x14ac:dyDescent="0.25">
      <c r="A1063" t="str">
        <f>"20190312160319347"</f>
        <v>20190312160319347</v>
      </c>
      <c r="B1063" t="str">
        <f>"1552377799335312"</f>
        <v>1552377799335312</v>
      </c>
      <c r="C1063" t="s">
        <v>40</v>
      </c>
      <c r="D1063">
        <v>5.7286609999999998</v>
      </c>
      <c r="E1063">
        <v>0.52859029999999996</v>
      </c>
      <c r="F1063" t="s">
        <v>42</v>
      </c>
      <c r="G1063">
        <v>-158.19499999999999</v>
      </c>
      <c r="H1063">
        <v>1.215517</v>
      </c>
      <c r="I1063">
        <v>359.48090000000002</v>
      </c>
      <c r="J1063">
        <v>-250.95580000000001</v>
      </c>
      <c r="K1063">
        <v>1.109928</v>
      </c>
      <c r="L1063">
        <v>367.93770000000001</v>
      </c>
      <c r="M1063">
        <v>0.99988030000000006</v>
      </c>
      <c r="N1063">
        <v>0</v>
      </c>
      <c r="O1063">
        <v>-5.0936739999999996E-4</v>
      </c>
      <c r="P1063">
        <v>0.99927129999999997</v>
      </c>
      <c r="Q1063">
        <v>3.5984509999999997E-2</v>
      </c>
      <c r="R1063">
        <v>-1.2732739999999999E-2</v>
      </c>
      <c r="S1063">
        <v>2.998596</v>
      </c>
      <c r="T1063">
        <v>3.4061669999999999E-3</v>
      </c>
      <c r="U1063">
        <v>-0.27258300000000002</v>
      </c>
      <c r="V1063">
        <v>1.2224580000000001E-2</v>
      </c>
      <c r="W1063">
        <v>5.1436900000000001E-2</v>
      </c>
      <c r="X1063">
        <v>0.99860139999999997</v>
      </c>
      <c r="Y1063">
        <v>9.002288E-2</v>
      </c>
      <c r="Z1063" s="1">
        <v>5.0446740000000002E-5</v>
      </c>
      <c r="AA1063">
        <v>0.99593969999999998</v>
      </c>
      <c r="AB1063">
        <v>46</v>
      </c>
      <c r="AC1063">
        <v>92.760800000000003</v>
      </c>
      <c r="AD1063">
        <v>0.105588999999999</v>
      </c>
      <c r="AE1063">
        <v>-8.4567999999999799</v>
      </c>
      <c r="AF1063">
        <v>8.4095331183381798</v>
      </c>
      <c r="AG1063">
        <v>0.105588999999999</v>
      </c>
      <c r="AH1063">
        <v>92.764976890962004</v>
      </c>
      <c r="AI1063">
        <v>89.935049900580907</v>
      </c>
      <c r="AJ1063">
        <v>84.8200569024755</v>
      </c>
      <c r="AK1063">
        <v>93.145436463017603</v>
      </c>
      <c r="AL1063">
        <v>87.051581538734496</v>
      </c>
      <c r="AM1063">
        <v>89.298637218528796</v>
      </c>
      <c r="AN1063">
        <v>0.99999997555987197</v>
      </c>
    </row>
    <row r="1064" spans="1:40" x14ac:dyDescent="0.25">
      <c r="A1064" t="str">
        <f>"20190312160319359"</f>
        <v>20190312160319359</v>
      </c>
      <c r="B1064" t="str">
        <f>"1552377799346048"</f>
        <v>1552377799346048</v>
      </c>
      <c r="C1064" t="s">
        <v>40</v>
      </c>
      <c r="D1064">
        <v>5.7292370000000004</v>
      </c>
      <c r="E1064">
        <v>0.52824300000000002</v>
      </c>
      <c r="F1064" t="s">
        <v>42</v>
      </c>
      <c r="G1064">
        <v>-158.19499999999999</v>
      </c>
      <c r="H1064">
        <v>1.167278</v>
      </c>
      <c r="I1064">
        <v>359.59629999999999</v>
      </c>
      <c r="J1064">
        <v>-250.70859999999999</v>
      </c>
      <c r="K1064">
        <v>1.109931</v>
      </c>
      <c r="L1064">
        <v>367.9375</v>
      </c>
      <c r="M1064">
        <v>0.99988120000000003</v>
      </c>
      <c r="N1064">
        <v>0</v>
      </c>
      <c r="O1064">
        <v>-5.0727170000000002E-4</v>
      </c>
      <c r="P1064">
        <v>0.9992799</v>
      </c>
      <c r="Q1064">
        <v>3.5833429999999999E-2</v>
      </c>
      <c r="R1064">
        <v>-1.249158E-2</v>
      </c>
      <c r="S1064">
        <v>2.998688</v>
      </c>
      <c r="T1064">
        <v>1.8568040000000001E-3</v>
      </c>
      <c r="U1064">
        <v>-0.26965329999999998</v>
      </c>
      <c r="V1064">
        <v>1.1985569999999999E-2</v>
      </c>
      <c r="W1064">
        <v>5.1230230000000002E-2</v>
      </c>
      <c r="X1064">
        <v>0.99861500000000003</v>
      </c>
      <c r="Y1064">
        <v>8.9057070000000002E-2</v>
      </c>
      <c r="Z1064" s="1">
        <v>2.720328E-5</v>
      </c>
      <c r="AA1064">
        <v>0.99602650000000004</v>
      </c>
      <c r="AB1064">
        <v>46</v>
      </c>
      <c r="AC1064">
        <v>92.513599999999997</v>
      </c>
      <c r="AD1064">
        <v>5.7347000000000002E-2</v>
      </c>
      <c r="AE1064">
        <v>-8.3412000000000095</v>
      </c>
      <c r="AF1064">
        <v>8.2942606642077497</v>
      </c>
      <c r="AG1064">
        <v>5.7347000000000002E-2</v>
      </c>
      <c r="AH1064">
        <v>92.517784588051597</v>
      </c>
      <c r="AI1064">
        <v>89.964627172527699</v>
      </c>
      <c r="AJ1064">
        <v>84.877103099211695</v>
      </c>
      <c r="AK1064">
        <v>92.888850319752294</v>
      </c>
      <c r="AL1064">
        <v>87.063438721834004</v>
      </c>
      <c r="AM1064">
        <v>89.312358011670597</v>
      </c>
      <c r="AN1064">
        <v>1.00000005428953</v>
      </c>
    </row>
    <row r="1065" spans="1:40" x14ac:dyDescent="0.25">
      <c r="A1065" t="str">
        <f>"20190312160319378"</f>
        <v>20190312160319378</v>
      </c>
      <c r="B1065" t="str">
        <f>"1552377799375328"</f>
        <v>1552377799375328</v>
      </c>
      <c r="C1065" t="s">
        <v>40</v>
      </c>
      <c r="D1065">
        <v>5.839353</v>
      </c>
      <c r="E1065">
        <v>0.52730849999999996</v>
      </c>
      <c r="F1065" t="s">
        <v>42</v>
      </c>
      <c r="G1065">
        <v>-158.19499999999999</v>
      </c>
      <c r="H1065">
        <v>1.1376569999999999</v>
      </c>
      <c r="I1065">
        <v>359.72219999999999</v>
      </c>
      <c r="J1065">
        <v>-250.31020000000001</v>
      </c>
      <c r="K1065">
        <v>1.1099380000000001</v>
      </c>
      <c r="L1065">
        <v>367.93729999999999</v>
      </c>
      <c r="M1065">
        <v>0.99988250000000001</v>
      </c>
      <c r="N1065">
        <v>0</v>
      </c>
      <c r="O1065">
        <v>-5.0424809999999895E-4</v>
      </c>
      <c r="P1065">
        <v>0.99927739999999998</v>
      </c>
      <c r="Q1065">
        <v>3.6029600000000002E-2</v>
      </c>
      <c r="R1065">
        <v>-1.2113550000000001E-2</v>
      </c>
      <c r="S1065">
        <v>2.9987789999999999</v>
      </c>
      <c r="T1065">
        <v>9.0157989999999999E-4</v>
      </c>
      <c r="U1065">
        <v>-0.26629639999999999</v>
      </c>
      <c r="V1065">
        <v>1.1610850000000001E-2</v>
      </c>
      <c r="W1065">
        <v>5.1341190000000002E-2</v>
      </c>
      <c r="X1065">
        <v>0.99861369999999905</v>
      </c>
      <c r="Y1065">
        <v>8.7951180000000004E-2</v>
      </c>
      <c r="Z1065" s="1">
        <v>1.3043929999999999E-5</v>
      </c>
      <c r="AA1065">
        <v>0.99612480000000003</v>
      </c>
      <c r="AB1065">
        <v>46</v>
      </c>
      <c r="AC1065">
        <v>92.115200000000002</v>
      </c>
      <c r="AD1065">
        <v>2.7719000000000001E-2</v>
      </c>
      <c r="AE1065">
        <v>-8.2150999999999996</v>
      </c>
      <c r="AF1065">
        <v>8.1686438544401891</v>
      </c>
      <c r="AG1065">
        <v>2.7719000000000001E-2</v>
      </c>
      <c r="AH1065">
        <v>92.119322945533995</v>
      </c>
      <c r="AI1065">
        <v>89.982826901937202</v>
      </c>
      <c r="AJ1065">
        <v>84.932574129745205</v>
      </c>
      <c r="AK1065">
        <v>92.480793523343195</v>
      </c>
      <c r="AL1065">
        <v>87.057072720947602</v>
      </c>
      <c r="AM1065">
        <v>89.333853795230496</v>
      </c>
      <c r="AN1065">
        <v>1.0000000257280099</v>
      </c>
    </row>
    <row r="1066" spans="1:40" x14ac:dyDescent="0.25">
      <c r="A1066" t="str">
        <f>"20190312160319390"</f>
        <v>20190312160319390</v>
      </c>
      <c r="B1066" t="str">
        <f>"1552377799386063"</f>
        <v>1552377799386063</v>
      </c>
      <c r="C1066" t="s">
        <v>40</v>
      </c>
      <c r="D1066">
        <v>5.9143829999999999</v>
      </c>
      <c r="E1066">
        <v>0.52702660000000001</v>
      </c>
      <c r="F1066" t="s">
        <v>42</v>
      </c>
      <c r="G1066">
        <v>-158.19499999999999</v>
      </c>
      <c r="H1066">
        <v>1.106284</v>
      </c>
      <c r="I1066">
        <v>360.01870000000002</v>
      </c>
      <c r="J1066">
        <v>-250.0401</v>
      </c>
      <c r="K1066">
        <v>1.1099410000000001</v>
      </c>
      <c r="L1066">
        <v>367.93720000000002</v>
      </c>
      <c r="M1066">
        <v>0.99988319999999997</v>
      </c>
      <c r="N1066">
        <v>0</v>
      </c>
      <c r="O1066">
        <v>-5.021836E-4</v>
      </c>
      <c r="P1066">
        <v>0.99927350000000004</v>
      </c>
      <c r="Q1066">
        <v>3.631976E-2</v>
      </c>
      <c r="R1066">
        <v>-1.154318E-2</v>
      </c>
      <c r="S1066">
        <v>2.999069</v>
      </c>
      <c r="T1066">
        <v>-1.161098E-4</v>
      </c>
      <c r="U1066">
        <v>-0.2578125</v>
      </c>
      <c r="V1066">
        <v>1.104259E-2</v>
      </c>
      <c r="W1066">
        <v>5.157929E-2</v>
      </c>
      <c r="X1066">
        <v>0.99860789999999999</v>
      </c>
      <c r="Y1066">
        <v>8.5147879999999995E-2</v>
      </c>
      <c r="Z1066" s="1">
        <v>-1.6258200000000001E-6</v>
      </c>
      <c r="AA1066">
        <v>0.99636829999999998</v>
      </c>
      <c r="AB1066">
        <v>46</v>
      </c>
      <c r="AC1066">
        <v>91.845100000000002</v>
      </c>
      <c r="AD1066">
        <v>-3.65700000000002E-3</v>
      </c>
      <c r="AE1066">
        <v>-7.9184999999999901</v>
      </c>
      <c r="AF1066">
        <v>7.8723705039511698</v>
      </c>
      <c r="AG1066">
        <v>-3.65700000000002E-3</v>
      </c>
      <c r="AH1066">
        <v>91.849065276469801</v>
      </c>
      <c r="AI1066">
        <v>90.002272916490796</v>
      </c>
      <c r="AJ1066">
        <v>85.101159285285902</v>
      </c>
      <c r="AK1066">
        <v>92.185817905393407</v>
      </c>
      <c r="AL1066">
        <v>87.043412568638502</v>
      </c>
      <c r="AM1066">
        <v>89.366450019676904</v>
      </c>
      <c r="AN1066">
        <v>1.0000000499466</v>
      </c>
    </row>
    <row r="1067" spans="1:40" x14ac:dyDescent="0.25">
      <c r="A1067" t="str">
        <f>"20190312160319400"</f>
        <v>20190312160319400</v>
      </c>
      <c r="B1067" t="str">
        <f>"1552377799395824"</f>
        <v>1552377799395824</v>
      </c>
      <c r="C1067" t="s">
        <v>40</v>
      </c>
      <c r="D1067">
        <v>5.7321220000000004</v>
      </c>
      <c r="E1067">
        <v>0.52675369999999899</v>
      </c>
      <c r="F1067" t="s">
        <v>42</v>
      </c>
      <c r="G1067">
        <v>-158.19499999999999</v>
      </c>
      <c r="H1067">
        <v>1.119937</v>
      </c>
      <c r="I1067">
        <v>360.16090000000003</v>
      </c>
      <c r="J1067">
        <v>-249.83170000000001</v>
      </c>
      <c r="K1067">
        <v>1.109944</v>
      </c>
      <c r="L1067">
        <v>367.93709999999999</v>
      </c>
      <c r="M1067">
        <v>0.99988379999999999</v>
      </c>
      <c r="N1067">
        <v>0</v>
      </c>
      <c r="O1067">
        <v>-5.0095049999999996E-4</v>
      </c>
      <c r="P1067">
        <v>0.99926510000000002</v>
      </c>
      <c r="Q1067">
        <v>3.6536060000000002E-2</v>
      </c>
      <c r="R1067">
        <v>-1.1610759999999999E-2</v>
      </c>
      <c r="S1067">
        <v>2.9992369999999999</v>
      </c>
      <c r="T1067">
        <v>3.2925609999999997E-4</v>
      </c>
      <c r="U1067">
        <v>-0.25393680000000002</v>
      </c>
      <c r="V1067">
        <v>1.111121E-2</v>
      </c>
      <c r="W1067">
        <v>5.1757869999999997E-2</v>
      </c>
      <c r="X1067">
        <v>0.99859790000000004</v>
      </c>
      <c r="Y1067">
        <v>8.3866040000000003E-2</v>
      </c>
      <c r="Z1067" s="1">
        <v>4.5402810000000001E-6</v>
      </c>
      <c r="AA1067">
        <v>0.9964771</v>
      </c>
      <c r="AB1067">
        <v>46</v>
      </c>
      <c r="AC1067">
        <v>91.636700000000005</v>
      </c>
      <c r="AD1067">
        <v>9.9930000000001407E-3</v>
      </c>
      <c r="AE1067">
        <v>-7.7761999999999496</v>
      </c>
      <c r="AF1067">
        <v>7.73028815302367</v>
      </c>
      <c r="AG1067">
        <v>9.9930000000001407E-3</v>
      </c>
      <c r="AH1067">
        <v>91.640583360654801</v>
      </c>
      <c r="AI1067">
        <v>89.993774259755199</v>
      </c>
      <c r="AJ1067">
        <v>85.178262822597205</v>
      </c>
      <c r="AK1067">
        <v>91.966047938736395</v>
      </c>
      <c r="AL1067">
        <v>87.033167006792794</v>
      </c>
      <c r="AM1067">
        <v>89.362507003500795</v>
      </c>
      <c r="AN1067">
        <v>1.0000000509895</v>
      </c>
    </row>
    <row r="1068" spans="1:40" x14ac:dyDescent="0.25">
      <c r="A1068" t="str">
        <f>"20190312160319412"</f>
        <v>20190312160319412</v>
      </c>
      <c r="B1068" t="str">
        <f>"1552377799405584"</f>
        <v>1552377799405584</v>
      </c>
      <c r="C1068" t="s">
        <v>40</v>
      </c>
      <c r="D1068">
        <v>5.7367619999999997</v>
      </c>
      <c r="E1068">
        <v>0.52649190000000001</v>
      </c>
      <c r="F1068" t="s">
        <v>42</v>
      </c>
      <c r="G1068">
        <v>-158.19499999999999</v>
      </c>
      <c r="H1068">
        <v>1.1285270000000001</v>
      </c>
      <c r="I1068">
        <v>360.24090000000001</v>
      </c>
      <c r="J1068">
        <v>-249.6036</v>
      </c>
      <c r="K1068">
        <v>1.109942</v>
      </c>
      <c r="L1068">
        <v>367.93700000000001</v>
      </c>
      <c r="M1068">
        <v>0.99988440000000001</v>
      </c>
      <c r="N1068">
        <v>0</v>
      </c>
      <c r="O1068">
        <v>-4.9946879999999895E-4</v>
      </c>
      <c r="P1068">
        <v>0.9992624</v>
      </c>
      <c r="Q1068">
        <v>3.6625390000000001E-2</v>
      </c>
      <c r="R1068">
        <v>-1.154082E-2</v>
      </c>
      <c r="S1068">
        <v>2.9992369999999999</v>
      </c>
      <c r="T1068">
        <v>6.1106680000000001E-4</v>
      </c>
      <c r="U1068">
        <v>-0.25189210000000001</v>
      </c>
      <c r="V1068">
        <v>1.104304E-2</v>
      </c>
      <c r="W1068">
        <v>5.1808350000000003E-2</v>
      </c>
      <c r="X1068">
        <v>0.99859600000000004</v>
      </c>
      <c r="Y1068">
        <v>8.3192970000000005E-2</v>
      </c>
      <c r="Z1068" s="1">
        <v>8.3584109999999996E-6</v>
      </c>
      <c r="AA1068">
        <v>0.99653349999999996</v>
      </c>
      <c r="AB1068">
        <v>46</v>
      </c>
      <c r="AC1068">
        <v>91.408600000000007</v>
      </c>
      <c r="AD1068">
        <v>1.8585000000000001E-2</v>
      </c>
      <c r="AE1068">
        <v>-7.69609999999994</v>
      </c>
      <c r="AF1068">
        <v>7.6504377093107498</v>
      </c>
      <c r="AG1068">
        <v>1.8585000000000001E-2</v>
      </c>
      <c r="AH1068">
        <v>91.412429249099105</v>
      </c>
      <c r="AI1068">
        <v>89.988391815867899</v>
      </c>
      <c r="AJ1068">
        <v>85.215982496785102</v>
      </c>
      <c r="AK1068">
        <v>91.732010573015401</v>
      </c>
      <c r="AL1068">
        <v>87.030270716059505</v>
      </c>
      <c r="AM1068">
        <v>89.366416654253399</v>
      </c>
      <c r="AN1068">
        <v>1.00000001253908</v>
      </c>
    </row>
    <row r="1069" spans="1:40" x14ac:dyDescent="0.25">
      <c r="A1069" t="str">
        <f>"20190312160319425"</f>
        <v>20190312160319425</v>
      </c>
      <c r="B1069" t="str">
        <f>"1552377799415344"</f>
        <v>1552377799415344</v>
      </c>
      <c r="C1069" t="s">
        <v>40</v>
      </c>
      <c r="D1069">
        <v>5.7336159999999996</v>
      </c>
      <c r="E1069">
        <v>0.52622599999999997</v>
      </c>
      <c r="F1069" t="s">
        <v>42</v>
      </c>
      <c r="G1069">
        <v>-158.19499999999999</v>
      </c>
      <c r="H1069">
        <v>1.1180289999999999</v>
      </c>
      <c r="I1069">
        <v>360.32159999999999</v>
      </c>
      <c r="J1069">
        <v>-249.3373</v>
      </c>
      <c r="K1069">
        <v>1.1099460000000001</v>
      </c>
      <c r="L1069">
        <v>367.93680000000001</v>
      </c>
      <c r="M1069">
        <v>0.99988500000000002</v>
      </c>
      <c r="N1069">
        <v>0</v>
      </c>
      <c r="O1069">
        <v>-4.9808169999999996E-4</v>
      </c>
      <c r="P1069">
        <v>0.99926700000000002</v>
      </c>
      <c r="Q1069">
        <v>3.6565300000000002E-2</v>
      </c>
      <c r="R1069">
        <v>-1.132118E-2</v>
      </c>
      <c r="S1069">
        <v>2.9993129999999999</v>
      </c>
      <c r="T1069">
        <v>2.6822089999999999E-4</v>
      </c>
      <c r="U1069">
        <v>-0.24987789999999999</v>
      </c>
      <c r="V1069">
        <v>1.0824840000000001E-2</v>
      </c>
      <c r="W1069">
        <v>5.170549E-2</v>
      </c>
      <c r="X1069">
        <v>0.99860369999999998</v>
      </c>
      <c r="Y1069">
        <v>8.2527669999999997E-2</v>
      </c>
      <c r="Z1069" s="1">
        <v>3.639268E-6</v>
      </c>
      <c r="AA1069">
        <v>0.99658880000000005</v>
      </c>
      <c r="AB1069">
        <v>46</v>
      </c>
      <c r="AC1069">
        <v>91.142300000000006</v>
      </c>
      <c r="AD1069">
        <v>8.0830000000002792E-3</v>
      </c>
      <c r="AE1069">
        <v>-7.6152000000000104</v>
      </c>
      <c r="AF1069">
        <v>7.5697974687792398</v>
      </c>
      <c r="AG1069">
        <v>8.0830000000002792E-3</v>
      </c>
      <c r="AH1069">
        <v>91.146081407495998</v>
      </c>
      <c r="AI1069">
        <v>89.994936339571098</v>
      </c>
      <c r="AJ1069">
        <v>85.252408483660602</v>
      </c>
      <c r="AK1069">
        <v>91.459882216166804</v>
      </c>
      <c r="AL1069">
        <v>87.0361720092083</v>
      </c>
      <c r="AM1069">
        <v>89.378939458456202</v>
      </c>
      <c r="AN1069">
        <v>0.99999999225542702</v>
      </c>
    </row>
    <row r="1070" spans="1:40" x14ac:dyDescent="0.25">
      <c r="A1070" t="str">
        <f>"20190312160319435"</f>
        <v>20190312160319435</v>
      </c>
      <c r="B1070" t="str">
        <f>"1552377799426079"</f>
        <v>1552377799426079</v>
      </c>
      <c r="C1070" t="s">
        <v>40</v>
      </c>
      <c r="D1070">
        <v>5.722728</v>
      </c>
      <c r="E1070">
        <v>0.52597280000000002</v>
      </c>
      <c r="F1070" t="s">
        <v>42</v>
      </c>
      <c r="G1070">
        <v>-158.19499999999999</v>
      </c>
      <c r="H1070">
        <v>1.094876</v>
      </c>
      <c r="I1070">
        <v>360.42919999999998</v>
      </c>
      <c r="J1070">
        <v>-249.1225</v>
      </c>
      <c r="K1070">
        <v>1.109947</v>
      </c>
      <c r="L1070">
        <v>367.93669999999997</v>
      </c>
      <c r="M1070">
        <v>0.99988560000000004</v>
      </c>
      <c r="N1070">
        <v>0</v>
      </c>
      <c r="O1070">
        <v>-4.9737550000000005E-4</v>
      </c>
      <c r="P1070">
        <v>0.99927410000000005</v>
      </c>
      <c r="Q1070">
        <v>3.640939E-2</v>
      </c>
      <c r="R1070">
        <v>-1.1203100000000001E-2</v>
      </c>
      <c r="S1070">
        <v>2.9994200000000002</v>
      </c>
      <c r="T1070">
        <v>-4.9304959999999995E-4</v>
      </c>
      <c r="U1070">
        <v>-0.24707029999999999</v>
      </c>
      <c r="V1070">
        <v>1.070754E-2</v>
      </c>
      <c r="W1070">
        <v>5.1518809999999998E-2</v>
      </c>
      <c r="X1070">
        <v>0.99861460000000002</v>
      </c>
      <c r="Y1070">
        <v>8.1598889999999993E-2</v>
      </c>
      <c r="Z1070" s="1">
        <v>-6.613711E-6</v>
      </c>
      <c r="AA1070">
        <v>0.99666520000000003</v>
      </c>
      <c r="AB1070">
        <v>46</v>
      </c>
      <c r="AC1070">
        <v>90.927499999999995</v>
      </c>
      <c r="AD1070">
        <v>-1.5070999999999999E-2</v>
      </c>
      <c r="AE1070">
        <v>-7.5074999999999896</v>
      </c>
      <c r="AF1070">
        <v>7.4622685880340702</v>
      </c>
      <c r="AG1070">
        <v>-1.5070999999999999E-2</v>
      </c>
      <c r="AH1070">
        <v>90.9312207426578</v>
      </c>
      <c r="AI1070">
        <v>90.009464423523099</v>
      </c>
      <c r="AJ1070">
        <v>85.308536098922104</v>
      </c>
      <c r="AK1070">
        <v>91.236903637535704</v>
      </c>
      <c r="AL1070">
        <v>87.046882221600697</v>
      </c>
      <c r="AM1070">
        <v>89.385675573543594</v>
      </c>
      <c r="AN1070">
        <v>0.99999997926491302</v>
      </c>
    </row>
    <row r="1071" spans="1:40" x14ac:dyDescent="0.25">
      <c r="A1071" t="str">
        <f>"20190312160319446"</f>
        <v>20190312160319446</v>
      </c>
      <c r="B1071" t="str">
        <f>"1552377799435840"</f>
        <v>1552377799435840</v>
      </c>
      <c r="C1071" t="s">
        <v>40</v>
      </c>
      <c r="D1071">
        <v>5.3665330000000004</v>
      </c>
      <c r="E1071">
        <v>0.52571699999999999</v>
      </c>
      <c r="F1071" t="s">
        <v>42</v>
      </c>
      <c r="G1071">
        <v>-158.19499999999999</v>
      </c>
      <c r="H1071">
        <v>1.06776</v>
      </c>
      <c r="I1071">
        <v>360.52100000000002</v>
      </c>
      <c r="J1071">
        <v>-248.88759999999999</v>
      </c>
      <c r="K1071">
        <v>1.10995</v>
      </c>
      <c r="L1071">
        <v>367.9366</v>
      </c>
      <c r="M1071">
        <v>0.99988619999999995</v>
      </c>
      <c r="N1071">
        <v>0</v>
      </c>
      <c r="O1071">
        <v>-4.9653619999999996E-4</v>
      </c>
      <c r="P1071">
        <v>0.99928410000000001</v>
      </c>
      <c r="Q1071">
        <v>3.6159589999999998E-2</v>
      </c>
      <c r="R1071">
        <v>-1.114248E-2</v>
      </c>
      <c r="S1071">
        <v>2.9994960000000002</v>
      </c>
      <c r="T1071">
        <v>-1.388788E-3</v>
      </c>
      <c r="U1071">
        <v>-0.24462890000000001</v>
      </c>
      <c r="V1071">
        <v>1.064768E-2</v>
      </c>
      <c r="W1071">
        <v>5.1236419999999998E-2</v>
      </c>
      <c r="X1071">
        <v>0.99862980000000001</v>
      </c>
      <c r="Y1071">
        <v>8.0791799999999997E-2</v>
      </c>
      <c r="Z1071" s="1">
        <v>-1.8443039999999999E-5</v>
      </c>
      <c r="AA1071">
        <v>0.99673100000000003</v>
      </c>
      <c r="AB1071">
        <v>46</v>
      </c>
      <c r="AC1071">
        <v>90.692599999999999</v>
      </c>
      <c r="AD1071">
        <v>-4.2189999999999901E-2</v>
      </c>
      <c r="AE1071">
        <v>-7.4156000000000404</v>
      </c>
      <c r="AF1071">
        <v>7.3705602225164499</v>
      </c>
      <c r="AG1071">
        <v>-4.2189999999999901E-2</v>
      </c>
      <c r="AH1071">
        <v>90.696251852737504</v>
      </c>
      <c r="AI1071">
        <v>90.0265652196465</v>
      </c>
      <c r="AJ1071">
        <v>85.353986617889007</v>
      </c>
      <c r="AK1071">
        <v>90.995258327700995</v>
      </c>
      <c r="AL1071">
        <v>87.063083466273895</v>
      </c>
      <c r="AM1071">
        <v>89.3891189619941</v>
      </c>
      <c r="AN1071">
        <v>1.0000000106359099</v>
      </c>
    </row>
    <row r="1072" spans="1:40" x14ac:dyDescent="0.25">
      <c r="A1072" t="str">
        <f>"20190312160319458"</f>
        <v>20190312160319458</v>
      </c>
      <c r="B1072" t="str">
        <f>"1552377799445599"</f>
        <v>1552377799445599</v>
      </c>
      <c r="C1072" t="s">
        <v>40</v>
      </c>
      <c r="D1072">
        <v>5.7736020000000003</v>
      </c>
      <c r="E1072">
        <v>0.52547500000000003</v>
      </c>
      <c r="F1072" t="s">
        <v>42</v>
      </c>
      <c r="G1072">
        <v>-158.19499999999999</v>
      </c>
      <c r="H1072">
        <v>1.0364199999999999</v>
      </c>
      <c r="I1072">
        <v>360.60750000000002</v>
      </c>
      <c r="J1072">
        <v>-248.66499999999999</v>
      </c>
      <c r="K1072">
        <v>1.1099509999999999</v>
      </c>
      <c r="L1072">
        <v>367.93650000000002</v>
      </c>
      <c r="M1072">
        <v>0.99988650000000001</v>
      </c>
      <c r="N1072">
        <v>0</v>
      </c>
      <c r="O1072">
        <v>-4.9597360000000002E-4</v>
      </c>
      <c r="P1072">
        <v>0.99928870000000003</v>
      </c>
      <c r="Q1072">
        <v>3.6066769999999998E-2</v>
      </c>
      <c r="R1072">
        <v>-1.1034E-2</v>
      </c>
      <c r="S1072">
        <v>2.9995419999999999</v>
      </c>
      <c r="T1072">
        <v>-2.4290079999999999E-3</v>
      </c>
      <c r="U1072">
        <v>-0.24240110000000001</v>
      </c>
      <c r="V1072">
        <v>1.053982E-2</v>
      </c>
      <c r="W1072">
        <v>5.1115939999999999E-2</v>
      </c>
      <c r="X1072">
        <v>0.99863710000000006</v>
      </c>
      <c r="Y1072">
        <v>8.0055650000000006E-2</v>
      </c>
      <c r="Z1072" s="1">
        <v>-3.1960469999999998E-5</v>
      </c>
      <c r="AA1072">
        <v>0.99679039999999997</v>
      </c>
      <c r="AB1072">
        <v>46</v>
      </c>
      <c r="AC1072">
        <v>90.47</v>
      </c>
      <c r="AD1072">
        <v>-7.3530999999999999E-2</v>
      </c>
      <c r="AE1072">
        <v>-7.3289999999999997</v>
      </c>
      <c r="AF1072">
        <v>7.2841184984476097</v>
      </c>
      <c r="AG1072">
        <v>-7.3530999999999999E-2</v>
      </c>
      <c r="AH1072">
        <v>90.473564896577898</v>
      </c>
      <c r="AI1072">
        <v>90.046416062416299</v>
      </c>
      <c r="AJ1072">
        <v>85.396987141999602</v>
      </c>
      <c r="AK1072">
        <v>90.766346925513503</v>
      </c>
      <c r="AL1072">
        <v>87.069995465256397</v>
      </c>
      <c r="AM1072">
        <v>89.395311087734598</v>
      </c>
      <c r="AN1072">
        <v>0.99999999231206305</v>
      </c>
    </row>
    <row r="1073" spans="1:40" x14ac:dyDescent="0.25">
      <c r="A1073" t="str">
        <f>"20190312160319470"</f>
        <v>20190312160319470</v>
      </c>
      <c r="B1073" t="str">
        <f>"1552377799466095"</f>
        <v>1552377799466095</v>
      </c>
      <c r="C1073" t="s">
        <v>40</v>
      </c>
      <c r="D1073">
        <v>5.6722289999999997</v>
      </c>
      <c r="E1073">
        <v>0.52501330000000002</v>
      </c>
      <c r="F1073" t="s">
        <v>42</v>
      </c>
      <c r="G1073">
        <v>-158.19499999999999</v>
      </c>
      <c r="H1073">
        <v>1.012445</v>
      </c>
      <c r="I1073">
        <v>360.69639999999998</v>
      </c>
      <c r="J1073">
        <v>-248.4255</v>
      </c>
      <c r="K1073">
        <v>1.1099509999999999</v>
      </c>
      <c r="L1073">
        <v>367.93630000000002</v>
      </c>
      <c r="M1073">
        <v>0.99988690000000002</v>
      </c>
      <c r="N1073">
        <v>0</v>
      </c>
      <c r="O1073">
        <v>-4.951631E-4</v>
      </c>
      <c r="P1073">
        <v>0.99929619999999997</v>
      </c>
      <c r="Q1073">
        <v>3.5890430000000001E-2</v>
      </c>
      <c r="R1073">
        <v>-1.0913580000000001E-2</v>
      </c>
      <c r="S1073">
        <v>2.999603</v>
      </c>
      <c r="T1073">
        <v>-3.2299759999999999E-3</v>
      </c>
      <c r="U1073">
        <v>-0.2400513</v>
      </c>
      <c r="V1073">
        <v>1.0420219999999999E-2</v>
      </c>
      <c r="W1073">
        <v>5.0910690000000001E-2</v>
      </c>
      <c r="X1073">
        <v>0.9986488</v>
      </c>
      <c r="Y1073">
        <v>7.9278950000000001E-2</v>
      </c>
      <c r="Z1073" s="1">
        <v>-4.2083289999999997E-5</v>
      </c>
      <c r="AA1073">
        <v>0.99685250000000003</v>
      </c>
      <c r="AB1073">
        <v>46</v>
      </c>
      <c r="AC1073">
        <v>90.230500000000006</v>
      </c>
      <c r="AD1073">
        <v>-9.7505999999999995E-2</v>
      </c>
      <c r="AE1073">
        <v>-7.2399000000000298</v>
      </c>
      <c r="AF1073">
        <v>7.1952069013042896</v>
      </c>
      <c r="AG1073">
        <v>-9.7505999999999995E-2</v>
      </c>
      <c r="AH1073">
        <v>90.233969574104606</v>
      </c>
      <c r="AI1073">
        <v>90.061717369624105</v>
      </c>
      <c r="AJ1073">
        <v>85.440912656691793</v>
      </c>
      <c r="AK1073">
        <v>90.520438437256004</v>
      </c>
      <c r="AL1073">
        <v>87.081770639696103</v>
      </c>
      <c r="AM1073">
        <v>89.4021792629907</v>
      </c>
      <c r="AN1073">
        <v>0.99999995254128105</v>
      </c>
    </row>
    <row r="1074" spans="1:40" x14ac:dyDescent="0.25">
      <c r="A1074" t="str">
        <f>"20190312160319493"</f>
        <v>20190312160319493</v>
      </c>
      <c r="B1074" t="str">
        <f>"1552377799485616"</f>
        <v>1552377799485616</v>
      </c>
      <c r="C1074" t="s">
        <v>40</v>
      </c>
      <c r="D1074">
        <v>5.6235239999999997</v>
      </c>
      <c r="E1074">
        <v>0.52478689999999995</v>
      </c>
      <c r="F1074" t="s">
        <v>42</v>
      </c>
      <c r="G1074">
        <v>-158.19499999999999</v>
      </c>
      <c r="H1074">
        <v>0.97299769999999997</v>
      </c>
      <c r="I1074">
        <v>360.83870000000002</v>
      </c>
      <c r="J1074">
        <v>-247.94059999999999</v>
      </c>
      <c r="K1074">
        <v>1.109952</v>
      </c>
      <c r="L1074">
        <v>367.93610000000001</v>
      </c>
      <c r="M1074">
        <v>0.99988779999999999</v>
      </c>
      <c r="N1074">
        <v>0</v>
      </c>
      <c r="O1074">
        <v>-4.9430800000000005E-4</v>
      </c>
      <c r="P1074">
        <v>0.99929780000000001</v>
      </c>
      <c r="Q1074">
        <v>3.5945089999999999E-2</v>
      </c>
      <c r="R1074">
        <v>-1.0607999999999999E-2</v>
      </c>
      <c r="S1074">
        <v>2.9997099999999999</v>
      </c>
      <c r="T1074">
        <v>-4.5500990000000002E-3</v>
      </c>
      <c r="U1074">
        <v>-0.2359619</v>
      </c>
      <c r="V1074">
        <v>1.011539E-2</v>
      </c>
      <c r="W1074">
        <v>5.0913069999999998E-2</v>
      </c>
      <c r="X1074">
        <v>0.99865190000000004</v>
      </c>
      <c r="Y1074">
        <v>7.7926389999999998E-2</v>
      </c>
      <c r="Z1074" s="1">
        <v>-5.8261289999999997E-5</v>
      </c>
      <c r="AA1074">
        <v>0.99695909999999999</v>
      </c>
      <c r="AB1074">
        <v>46</v>
      </c>
      <c r="AC1074">
        <v>89.745599999999996</v>
      </c>
      <c r="AD1074">
        <v>-0.1369543</v>
      </c>
      <c r="AE1074">
        <v>-7.0973999999999897</v>
      </c>
      <c r="AF1074">
        <v>7.0530158694138603</v>
      </c>
      <c r="AG1074">
        <v>-0.1369543</v>
      </c>
      <c r="AH1074">
        <v>89.748890023417204</v>
      </c>
      <c r="AI1074">
        <v>90.087162956959901</v>
      </c>
      <c r="AJ1074">
        <v>85.506582672376197</v>
      </c>
      <c r="AK1074">
        <v>90.025702162048802</v>
      </c>
      <c r="AL1074">
        <v>87.081634352928702</v>
      </c>
      <c r="AM1074">
        <v>89.419668319304506</v>
      </c>
      <c r="AN1074">
        <v>1.0000000395926401</v>
      </c>
    </row>
    <row r="1075" spans="1:40" x14ac:dyDescent="0.25">
      <c r="A1075" t="str">
        <f>"20190312160319505"</f>
        <v>20190312160319505</v>
      </c>
      <c r="B1075" t="str">
        <f>"1552377799495376"</f>
        <v>1552377799495376</v>
      </c>
      <c r="C1075" t="s">
        <v>40</v>
      </c>
      <c r="D1075">
        <v>5.67591</v>
      </c>
      <c r="E1075">
        <v>0.52456440000000004</v>
      </c>
      <c r="F1075" t="s">
        <v>42</v>
      </c>
      <c r="G1075">
        <v>-158.19499999999999</v>
      </c>
      <c r="H1075">
        <v>0.9640784</v>
      </c>
      <c r="I1075">
        <v>360.95339999999999</v>
      </c>
      <c r="J1075">
        <v>-247.6782</v>
      </c>
      <c r="K1075">
        <v>1.109953</v>
      </c>
      <c r="L1075">
        <v>367.93599999999998</v>
      </c>
      <c r="M1075">
        <v>0.9998882</v>
      </c>
      <c r="N1075">
        <v>0</v>
      </c>
      <c r="O1075">
        <v>-4.9400330000000001E-4</v>
      </c>
      <c r="P1075">
        <v>0.99930209999999997</v>
      </c>
      <c r="Q1075">
        <v>3.5893719999999997E-2</v>
      </c>
      <c r="R1075">
        <v>-1.0352719999999999E-2</v>
      </c>
      <c r="S1075">
        <v>2.999771</v>
      </c>
      <c r="T1075">
        <v>-4.8729180000000004E-3</v>
      </c>
      <c r="U1075">
        <v>-0.23339840000000001</v>
      </c>
      <c r="V1075">
        <v>9.8606790000000007E-3</v>
      </c>
      <c r="W1075">
        <v>5.0836409999999999E-2</v>
      </c>
      <c r="X1075">
        <v>0.9986583</v>
      </c>
      <c r="Y1075">
        <v>7.7078300000000002E-2</v>
      </c>
      <c r="Z1075" s="1">
        <v>-6.1708299999999993E-5</v>
      </c>
      <c r="AA1075">
        <v>0.99702500000000005</v>
      </c>
      <c r="AB1075">
        <v>46</v>
      </c>
      <c r="AC1075">
        <v>89.483199999999997</v>
      </c>
      <c r="AD1075">
        <v>-0.14587459999999899</v>
      </c>
      <c r="AE1075">
        <v>-6.9825999999999899</v>
      </c>
      <c r="AF1075">
        <v>6.9383708871703398</v>
      </c>
      <c r="AG1075">
        <v>-0.14587459999999899</v>
      </c>
      <c r="AH1075">
        <v>89.486402519057805</v>
      </c>
      <c r="AI1075">
        <v>90.093120082567793</v>
      </c>
      <c r="AJ1075">
        <v>85.566414753545303</v>
      </c>
      <c r="AK1075">
        <v>89.755102951139804</v>
      </c>
      <c r="AL1075">
        <v>87.086032188646797</v>
      </c>
      <c r="AM1075">
        <v>89.434284048649005</v>
      </c>
      <c r="AN1075">
        <v>0.99999998686545899</v>
      </c>
    </row>
    <row r="1076" spans="1:40" x14ac:dyDescent="0.25">
      <c r="A1076" t="str">
        <f>"20190312160319517"</f>
        <v>20190312160319517</v>
      </c>
      <c r="B1076" t="str">
        <f>"1552377799506111"</f>
        <v>1552377799506111</v>
      </c>
      <c r="C1076" t="s">
        <v>40</v>
      </c>
      <c r="D1076">
        <v>5.0350840000000003</v>
      </c>
      <c r="E1076">
        <v>0.52432809999999996</v>
      </c>
      <c r="F1076" t="s">
        <v>42</v>
      </c>
      <c r="G1076">
        <v>-158.19499999999999</v>
      </c>
      <c r="H1076">
        <v>0.94760129999999998</v>
      </c>
      <c r="I1076">
        <v>361.05689999999998</v>
      </c>
      <c r="J1076">
        <v>-247.4246</v>
      </c>
      <c r="K1076">
        <v>1.109953</v>
      </c>
      <c r="L1076">
        <v>367.9359</v>
      </c>
      <c r="M1076">
        <v>0.99988840000000001</v>
      </c>
      <c r="N1076">
        <v>0</v>
      </c>
      <c r="O1076">
        <v>-4.9348419999999896E-4</v>
      </c>
      <c r="P1076">
        <v>0.99929509999999999</v>
      </c>
      <c r="Q1076">
        <v>3.6084529999999997E-2</v>
      </c>
      <c r="R1076">
        <v>-1.0361540000000001E-2</v>
      </c>
      <c r="S1076">
        <v>2.999908</v>
      </c>
      <c r="T1076">
        <v>-5.4398780000000004E-3</v>
      </c>
      <c r="U1076">
        <v>-0.2306213</v>
      </c>
      <c r="V1076">
        <v>9.8700209999999997E-3</v>
      </c>
      <c r="W1076">
        <v>5.1004979999999998E-2</v>
      </c>
      <c r="X1076">
        <v>0.99864960000000003</v>
      </c>
      <c r="Y1076">
        <v>7.6157730000000007E-2</v>
      </c>
      <c r="Z1076" s="1">
        <v>-6.8054819999999999E-5</v>
      </c>
      <c r="AA1076">
        <v>0.99709579999999998</v>
      </c>
      <c r="AB1076">
        <v>46</v>
      </c>
      <c r="AC1076">
        <v>89.229600000000005</v>
      </c>
      <c r="AD1076">
        <v>-0.16235169999999899</v>
      </c>
      <c r="AE1076">
        <v>-6.8790000000000102</v>
      </c>
      <c r="AF1076">
        <v>6.8349383616279402</v>
      </c>
      <c r="AG1076">
        <v>-0.16235169999999899</v>
      </c>
      <c r="AH1076">
        <v>89.232690527989703</v>
      </c>
      <c r="AI1076">
        <v>90.103940478891204</v>
      </c>
      <c r="AJ1076">
        <v>85.619879552424607</v>
      </c>
      <c r="AK1076">
        <v>89.494222156213695</v>
      </c>
      <c r="AL1076">
        <v>87.076361256541901</v>
      </c>
      <c r="AM1076">
        <v>89.433743191924805</v>
      </c>
      <c r="AN1076">
        <v>0.99999997443974997</v>
      </c>
    </row>
    <row r="1077" spans="1:40" x14ac:dyDescent="0.25">
      <c r="A1077" t="str">
        <f>"20190312160319530"</f>
        <v>20190312160319530</v>
      </c>
      <c r="B1077" t="str">
        <f>"1552377799525631"</f>
        <v>1552377799525631</v>
      </c>
      <c r="C1077" t="s">
        <v>40</v>
      </c>
      <c r="D1077">
        <v>5.5999249999999998</v>
      </c>
      <c r="E1077">
        <v>0.52390950000000003</v>
      </c>
      <c r="F1077" t="s">
        <v>42</v>
      </c>
      <c r="G1077">
        <v>-158.19499999999999</v>
      </c>
      <c r="H1077">
        <v>0.94525769999999998</v>
      </c>
      <c r="I1077">
        <v>361.12529999999998</v>
      </c>
      <c r="J1077">
        <v>-247.16659999999999</v>
      </c>
      <c r="K1077">
        <v>1.109953</v>
      </c>
      <c r="L1077">
        <v>367.9357</v>
      </c>
      <c r="M1077">
        <v>0.99988869999999996</v>
      </c>
      <c r="N1077">
        <v>0</v>
      </c>
      <c r="O1077">
        <v>-4.9332740000000003E-4</v>
      </c>
      <c r="P1077">
        <v>0.99928839999999997</v>
      </c>
      <c r="Q1077">
        <v>3.6315199999999999E-2</v>
      </c>
      <c r="R1077">
        <v>-1.018865E-2</v>
      </c>
      <c r="S1077">
        <v>2.9999389999999999</v>
      </c>
      <c r="T1077">
        <v>-5.5341720000000004E-3</v>
      </c>
      <c r="U1077">
        <v>-0.22897339999999999</v>
      </c>
      <c r="V1077">
        <v>9.6973960000000005E-3</v>
      </c>
      <c r="W1077">
        <v>5.1214040000000002E-2</v>
      </c>
      <c r="X1077">
        <v>0.99864059999999999</v>
      </c>
      <c r="Y1077">
        <v>7.5612570000000004E-2</v>
      </c>
      <c r="Z1077" s="1">
        <v>-6.8733399999999995E-5</v>
      </c>
      <c r="AA1077">
        <v>0.99713719999999995</v>
      </c>
      <c r="AB1077">
        <v>46</v>
      </c>
      <c r="AC1077">
        <v>88.971599999999995</v>
      </c>
      <c r="AD1077">
        <v>-0.16469529999999999</v>
      </c>
      <c r="AE1077">
        <v>-6.8104000000000102</v>
      </c>
      <c r="AF1077">
        <v>6.76647911183478</v>
      </c>
      <c r="AG1077">
        <v>-0.16469529999999999</v>
      </c>
      <c r="AH1077">
        <v>88.9746461995923</v>
      </c>
      <c r="AI1077">
        <v>90.105751080992903</v>
      </c>
      <c r="AJ1077">
        <v>85.651054678256401</v>
      </c>
      <c r="AK1077">
        <v>89.231720987860399</v>
      </c>
      <c r="AL1077">
        <v>87.064367349336294</v>
      </c>
      <c r="AM1077">
        <v>89.443641286094604</v>
      </c>
      <c r="AN1077">
        <v>0.99999998267533097</v>
      </c>
    </row>
    <row r="1078" spans="1:40" x14ac:dyDescent="0.25">
      <c r="A1078" t="str">
        <f>"20190312160319541"</f>
        <v>20190312160319541</v>
      </c>
      <c r="B1078" t="str">
        <f>"1552377799535392"</f>
        <v>1552377799535392</v>
      </c>
      <c r="C1078" t="s">
        <v>40</v>
      </c>
      <c r="D1078">
        <v>5.5278710000000002</v>
      </c>
      <c r="E1078">
        <v>0.52370030000000001</v>
      </c>
      <c r="F1078" t="s">
        <v>42</v>
      </c>
      <c r="G1078">
        <v>-158.19499999999999</v>
      </c>
      <c r="H1078">
        <v>0.94709350000000003</v>
      </c>
      <c r="I1078">
        <v>361.25729999999999</v>
      </c>
      <c r="J1078">
        <v>-246.93119999999999</v>
      </c>
      <c r="K1078">
        <v>1.109953</v>
      </c>
      <c r="L1078">
        <v>367.93560000000002</v>
      </c>
      <c r="M1078">
        <v>0.99988900000000003</v>
      </c>
      <c r="N1078">
        <v>0</v>
      </c>
      <c r="O1078">
        <v>-4.9307780000000002E-4</v>
      </c>
      <c r="P1078">
        <v>0.99927160000000004</v>
      </c>
      <c r="Q1078">
        <v>3.673088E-2</v>
      </c>
      <c r="R1078">
        <v>-1.0355039999999999E-2</v>
      </c>
      <c r="S1078">
        <v>3.0000309999999999</v>
      </c>
      <c r="T1078">
        <v>-5.4885150000000002E-3</v>
      </c>
      <c r="U1078">
        <v>-0.22518920000000001</v>
      </c>
      <c r="V1078">
        <v>9.8640450000000001E-3</v>
      </c>
      <c r="W1078">
        <v>5.1611669999999998E-2</v>
      </c>
      <c r="X1078">
        <v>0.99861849999999996</v>
      </c>
      <c r="Y1078">
        <v>7.435986E-2</v>
      </c>
      <c r="Z1078" s="1">
        <v>-6.7023669999999896E-5</v>
      </c>
      <c r="AA1078">
        <v>0.99723150000000005</v>
      </c>
      <c r="AB1078">
        <v>46</v>
      </c>
      <c r="AC1078">
        <v>88.736199999999997</v>
      </c>
      <c r="AD1078">
        <v>-0.16285949999999999</v>
      </c>
      <c r="AE1078">
        <v>-6.6783000000000303</v>
      </c>
      <c r="AF1078">
        <v>6.6345182639244999</v>
      </c>
      <c r="AG1078">
        <v>-0.16285949999999999</v>
      </c>
      <c r="AH1078">
        <v>88.739185271043993</v>
      </c>
      <c r="AI1078">
        <v>90.104859890782606</v>
      </c>
      <c r="AJ1078">
        <v>85.724279069133104</v>
      </c>
      <c r="AK1078">
        <v>88.987001064086698</v>
      </c>
      <c r="AL1078">
        <v>87.041554668292306</v>
      </c>
      <c r="AM1078">
        <v>89.434068397910806</v>
      </c>
      <c r="AN1078">
        <v>0.99999998620310004</v>
      </c>
    </row>
    <row r="1079" spans="1:40" x14ac:dyDescent="0.25">
      <c r="A1079" t="str">
        <f>"20190312160319552"</f>
        <v>20190312160319552</v>
      </c>
      <c r="B1079" t="str">
        <f>"1552377799546128"</f>
        <v>1552377799546128</v>
      </c>
      <c r="C1079" t="s">
        <v>40</v>
      </c>
      <c r="D1079">
        <v>5.5268959999999998</v>
      </c>
      <c r="E1079">
        <v>0.52351539999999996</v>
      </c>
      <c r="F1079" t="s">
        <v>42</v>
      </c>
      <c r="G1079">
        <v>-158.19499999999999</v>
      </c>
      <c r="H1079">
        <v>0.97562689999999996</v>
      </c>
      <c r="I1079">
        <v>361.31279999999998</v>
      </c>
      <c r="J1079">
        <v>-246.70249999999999</v>
      </c>
      <c r="K1079">
        <v>1.109953</v>
      </c>
      <c r="L1079">
        <v>367.93549999999999</v>
      </c>
      <c r="M1079">
        <v>0.99988929999999998</v>
      </c>
      <c r="N1079">
        <v>0</v>
      </c>
      <c r="O1079">
        <v>-4.9295820000000001E-4</v>
      </c>
      <c r="P1079">
        <v>0.99925759999999997</v>
      </c>
      <c r="Q1079">
        <v>3.706073E-2</v>
      </c>
      <c r="R1079">
        <v>-1.0539679999999999E-2</v>
      </c>
      <c r="S1079">
        <v>3.0000460000000002</v>
      </c>
      <c r="T1079">
        <v>-4.5384170000000003E-3</v>
      </c>
      <c r="U1079">
        <v>-0.22390750000000001</v>
      </c>
      <c r="V1079">
        <v>1.004886E-2</v>
      </c>
      <c r="W1079">
        <v>5.1925010000000001E-2</v>
      </c>
      <c r="X1079">
        <v>0.99860040000000005</v>
      </c>
      <c r="Y1079">
        <v>7.3935940000000006E-2</v>
      </c>
      <c r="Z1079" s="1">
        <v>-5.5102019999999902E-5</v>
      </c>
      <c r="AA1079">
        <v>0.99726300000000001</v>
      </c>
      <c r="AB1079">
        <v>46</v>
      </c>
      <c r="AC1079">
        <v>88.507499999999993</v>
      </c>
      <c r="AD1079">
        <v>-0.134326099999999</v>
      </c>
      <c r="AE1079">
        <v>-6.6227</v>
      </c>
      <c r="AF1079">
        <v>6.5790488026203899</v>
      </c>
      <c r="AG1079">
        <v>-0.134326099999999</v>
      </c>
      <c r="AH1079">
        <v>88.510551582929594</v>
      </c>
      <c r="AI1079">
        <v>90.086714397791994</v>
      </c>
      <c r="AJ1079">
        <v>85.748983712855505</v>
      </c>
      <c r="AK1079">
        <v>88.754828985035203</v>
      </c>
      <c r="AL1079">
        <v>87.023577462577194</v>
      </c>
      <c r="AM1079">
        <v>89.423455234119899</v>
      </c>
      <c r="AN1079">
        <v>0.99999997256547901</v>
      </c>
    </row>
    <row r="1080" spans="1:40" x14ac:dyDescent="0.25">
      <c r="A1080" t="str">
        <f>"20190312160319562"</f>
        <v>20190312160319562</v>
      </c>
      <c r="B1080" t="str">
        <f>"1552377799555888"</f>
        <v>1552377799555888</v>
      </c>
      <c r="C1080" t="s">
        <v>40</v>
      </c>
      <c r="D1080">
        <v>5.6322429999999999</v>
      </c>
      <c r="E1080">
        <v>0.52331309999999998</v>
      </c>
      <c r="F1080" t="s">
        <v>42</v>
      </c>
      <c r="G1080">
        <v>-158.19499999999999</v>
      </c>
      <c r="H1080">
        <v>0.99468559999999995</v>
      </c>
      <c r="I1080">
        <v>361.35309999999998</v>
      </c>
      <c r="J1080">
        <v>-246.48310000000001</v>
      </c>
      <c r="K1080">
        <v>1.1099509999999999</v>
      </c>
      <c r="L1080">
        <v>367.93540000000002</v>
      </c>
      <c r="M1080">
        <v>0.99988940000000004</v>
      </c>
      <c r="N1080">
        <v>0</v>
      </c>
      <c r="O1080">
        <v>-4.9261200000000002E-4</v>
      </c>
      <c r="P1080">
        <v>0.99925359999999996</v>
      </c>
      <c r="Q1080">
        <v>3.7189119999999999E-2</v>
      </c>
      <c r="R1080">
        <v>-1.045166E-2</v>
      </c>
      <c r="S1080">
        <v>3.0000309999999999</v>
      </c>
      <c r="T1080">
        <v>-3.9041039999999998E-3</v>
      </c>
      <c r="U1080">
        <v>-0.22311400000000001</v>
      </c>
      <c r="V1080">
        <v>9.9612510000000008E-3</v>
      </c>
      <c r="W1080">
        <v>5.2038349999999997E-2</v>
      </c>
      <c r="X1080">
        <v>0.99859540000000002</v>
      </c>
      <c r="Y1080">
        <v>7.3674379999999998E-2</v>
      </c>
      <c r="Z1080" s="1">
        <v>-4.7231889999999997E-5</v>
      </c>
      <c r="AA1080">
        <v>0.99728229999999995</v>
      </c>
      <c r="AB1080">
        <v>46</v>
      </c>
      <c r="AC1080">
        <v>88.2881</v>
      </c>
      <c r="AD1080">
        <v>-0.1152654</v>
      </c>
      <c r="AE1080">
        <v>-6.5823000000000302</v>
      </c>
      <c r="AF1080">
        <v>6.5387915345355996</v>
      </c>
      <c r="AG1080">
        <v>-0.1152654</v>
      </c>
      <c r="AH1080">
        <v>88.291182504316794</v>
      </c>
      <c r="AI1080">
        <v>90.074596123919207</v>
      </c>
      <c r="AJ1080">
        <v>85.764441677713094</v>
      </c>
      <c r="AK1080">
        <v>88.533055910519195</v>
      </c>
      <c r="AL1080">
        <v>87.017074833278102</v>
      </c>
      <c r="AM1080">
        <v>89.428478529421099</v>
      </c>
      <c r="AN1080">
        <v>0.99999999464668299</v>
      </c>
    </row>
    <row r="1081" spans="1:40" x14ac:dyDescent="0.25">
      <c r="A1081" t="str">
        <f>"20190312160319573"</f>
        <v>20190312160319573</v>
      </c>
      <c r="B1081" t="str">
        <f>"1552377799565648"</f>
        <v>1552377799565648</v>
      </c>
      <c r="C1081" t="s">
        <v>40</v>
      </c>
      <c r="D1081">
        <v>5.844271</v>
      </c>
      <c r="E1081">
        <v>0.5230939</v>
      </c>
      <c r="F1081" t="s">
        <v>42</v>
      </c>
      <c r="G1081">
        <v>-158.19499999999999</v>
      </c>
      <c r="H1081">
        <v>0.99758720000000001</v>
      </c>
      <c r="I1081">
        <v>361.42689999999999</v>
      </c>
      <c r="J1081">
        <v>-246.26230000000001</v>
      </c>
      <c r="K1081">
        <v>1.10995</v>
      </c>
      <c r="L1081">
        <v>367.93520000000001</v>
      </c>
      <c r="M1081">
        <v>0.99988969999999999</v>
      </c>
      <c r="N1081">
        <v>0</v>
      </c>
      <c r="O1081">
        <v>-4.9251150000000001E-4</v>
      </c>
      <c r="P1081">
        <v>0.99925120000000001</v>
      </c>
      <c r="Q1081">
        <v>3.7199019999999999E-2</v>
      </c>
      <c r="R1081">
        <v>-1.0636100000000001E-2</v>
      </c>
      <c r="S1081">
        <v>3.0000610000000001</v>
      </c>
      <c r="T1081">
        <v>-3.8151740000000002E-3</v>
      </c>
      <c r="U1081">
        <v>-0.22116089999999999</v>
      </c>
      <c r="V1081">
        <v>1.014577E-2</v>
      </c>
      <c r="W1081">
        <v>5.2034530000000002E-2</v>
      </c>
      <c r="X1081">
        <v>0.99859370000000003</v>
      </c>
      <c r="Y1081">
        <v>7.3027999999999996E-2</v>
      </c>
      <c r="Z1081" s="1">
        <v>-4.5746330000000001E-5</v>
      </c>
      <c r="AA1081">
        <v>0.99732989999999999</v>
      </c>
      <c r="AB1081">
        <v>46</v>
      </c>
      <c r="AC1081">
        <v>88.067300000000003</v>
      </c>
      <c r="AD1081">
        <v>-0.1123628</v>
      </c>
      <c r="AE1081">
        <v>-6.50830000000001</v>
      </c>
      <c r="AF1081">
        <v>6.4649098062428196</v>
      </c>
      <c r="AG1081">
        <v>-0.1123628</v>
      </c>
      <c r="AH1081">
        <v>88.070352495268295</v>
      </c>
      <c r="AI1081">
        <v>90.072903481119596</v>
      </c>
      <c r="AJ1081">
        <v>85.801664679802002</v>
      </c>
      <c r="AK1081">
        <v>88.307387419414098</v>
      </c>
      <c r="AL1081">
        <v>87.017293876711605</v>
      </c>
      <c r="AM1081">
        <v>89.417891581027504</v>
      </c>
      <c r="AN1081">
        <v>0.99999995332045</v>
      </c>
    </row>
    <row r="1082" spans="1:40" x14ac:dyDescent="0.25">
      <c r="A1082" t="str">
        <f>"20190312160319584"</f>
        <v>20190312160319584</v>
      </c>
      <c r="B1082" t="str">
        <f>"1552377799575407"</f>
        <v>1552377799575407</v>
      </c>
      <c r="C1082" t="s">
        <v>40</v>
      </c>
      <c r="D1082">
        <v>5.6336529999999998</v>
      </c>
      <c r="E1082">
        <v>0.52289830000000004</v>
      </c>
      <c r="F1082" t="s">
        <v>42</v>
      </c>
      <c r="G1082">
        <v>-158.19499999999999</v>
      </c>
      <c r="H1082">
        <v>0.98818059999999996</v>
      </c>
      <c r="I1082">
        <v>361.47710000000001</v>
      </c>
      <c r="J1082">
        <v>-246.04079999999999</v>
      </c>
      <c r="K1082">
        <v>1.109955</v>
      </c>
      <c r="L1082">
        <v>367.93509999999998</v>
      </c>
      <c r="M1082">
        <v>0.99988980000000005</v>
      </c>
      <c r="N1082">
        <v>0</v>
      </c>
      <c r="O1082">
        <v>-4.9229600000000003E-4</v>
      </c>
      <c r="P1082">
        <v>0.99924599999999997</v>
      </c>
      <c r="Q1082">
        <v>3.731044E-2</v>
      </c>
      <c r="R1082">
        <v>-1.073233E-2</v>
      </c>
      <c r="S1082">
        <v>3.0000460000000002</v>
      </c>
      <c r="T1082">
        <v>-4.1451450000000003E-3</v>
      </c>
      <c r="U1082">
        <v>-0.22000120000000001</v>
      </c>
      <c r="V1082">
        <v>1.0242289999999999E-2</v>
      </c>
      <c r="W1082">
        <v>5.2132159999999997E-2</v>
      </c>
      <c r="X1082">
        <v>0.99858769999999997</v>
      </c>
      <c r="Y1082">
        <v>7.2645139999999997E-2</v>
      </c>
      <c r="Z1082" s="1">
        <v>-4.9440000000000001E-5</v>
      </c>
      <c r="AA1082">
        <v>0.99735779999999996</v>
      </c>
      <c r="AB1082">
        <v>46</v>
      </c>
      <c r="AC1082">
        <v>87.845799999999997</v>
      </c>
      <c r="AD1082">
        <v>-0.12177439999999901</v>
      </c>
      <c r="AE1082">
        <v>-6.45799999999997</v>
      </c>
      <c r="AF1082">
        <v>6.41473605980421</v>
      </c>
      <c r="AG1082">
        <v>-0.12177439999999901</v>
      </c>
      <c r="AH1082">
        <v>87.848801044744405</v>
      </c>
      <c r="AI1082">
        <v>90.079211415375497</v>
      </c>
      <c r="AJ1082">
        <v>85.823663493519703</v>
      </c>
      <c r="AK1082">
        <v>88.082776481673903</v>
      </c>
      <c r="AL1082">
        <v>87.011692718107597</v>
      </c>
      <c r="AM1082">
        <v>89.412350650781406</v>
      </c>
      <c r="AN1082">
        <v>1.00000003060099</v>
      </c>
    </row>
    <row r="1083" spans="1:40" x14ac:dyDescent="0.25">
      <c r="A1083" t="str">
        <f>"20190312160319594"</f>
        <v>20190312160319594</v>
      </c>
      <c r="B1083" t="str">
        <f>"1552377799586144"</f>
        <v>1552377799586144</v>
      </c>
      <c r="C1083" t="s">
        <v>40</v>
      </c>
      <c r="D1083">
        <v>5.6300129999999999</v>
      </c>
      <c r="E1083">
        <v>0.52270899999999998</v>
      </c>
      <c r="F1083" t="s">
        <v>42</v>
      </c>
      <c r="G1083">
        <v>-158.19499999999999</v>
      </c>
      <c r="H1083">
        <v>0.98577979999999998</v>
      </c>
      <c r="I1083">
        <v>361.5317</v>
      </c>
      <c r="J1083">
        <v>-245.82820000000001</v>
      </c>
      <c r="K1083">
        <v>1.1099540000000001</v>
      </c>
      <c r="L1083">
        <v>367.935</v>
      </c>
      <c r="M1083">
        <v>0.99988999999999995</v>
      </c>
      <c r="N1083">
        <v>0</v>
      </c>
      <c r="O1083">
        <v>-4.9221149999999995E-4</v>
      </c>
      <c r="P1083">
        <v>0.99924049999999998</v>
      </c>
      <c r="Q1083">
        <v>3.7360270000000001E-2</v>
      </c>
      <c r="R1083">
        <v>-1.107664E-2</v>
      </c>
      <c r="S1083">
        <v>3.000076</v>
      </c>
      <c r="T1083">
        <v>-4.2377710000000004E-3</v>
      </c>
      <c r="U1083">
        <v>-0.21868899999999999</v>
      </c>
      <c r="V1083">
        <v>1.0586679999999999E-2</v>
      </c>
      <c r="W1083">
        <v>5.2170729999999998E-2</v>
      </c>
      <c r="X1083">
        <v>0.99858210000000003</v>
      </c>
      <c r="Y1083">
        <v>7.2210540000000004E-2</v>
      </c>
      <c r="Z1083" s="1">
        <v>-5.0238650000000001E-5</v>
      </c>
      <c r="AA1083">
        <v>0.99738939999999998</v>
      </c>
      <c r="AB1083">
        <v>46</v>
      </c>
      <c r="AC1083">
        <v>87.633200000000002</v>
      </c>
      <c r="AD1083">
        <v>-0.1241742</v>
      </c>
      <c r="AE1083">
        <v>-6.4032999999999998</v>
      </c>
      <c r="AF1083">
        <v>6.36014771306297</v>
      </c>
      <c r="AG1083">
        <v>-0.1241742</v>
      </c>
      <c r="AH1083">
        <v>87.636166482945299</v>
      </c>
      <c r="AI1083">
        <v>90.080971021427601</v>
      </c>
      <c r="AJ1083">
        <v>85.849067095027493</v>
      </c>
      <c r="AK1083">
        <v>87.866743276341097</v>
      </c>
      <c r="AL1083">
        <v>87.009479826714397</v>
      </c>
      <c r="AM1083">
        <v>89.392589393399007</v>
      </c>
      <c r="AN1083">
        <v>1.00000003665128</v>
      </c>
    </row>
    <row r="1084" spans="1:40" x14ac:dyDescent="0.25">
      <c r="A1084" t="str">
        <f>"20190312160319604"</f>
        <v>20190312160319604</v>
      </c>
      <c r="B1084" t="str">
        <f>"1552377799595904"</f>
        <v>1552377799595904</v>
      </c>
      <c r="C1084" t="s">
        <v>40</v>
      </c>
      <c r="D1084">
        <v>5.6792499999999997</v>
      </c>
      <c r="E1084">
        <v>0.52251700000000001</v>
      </c>
      <c r="F1084" t="s">
        <v>42</v>
      </c>
      <c r="G1084">
        <v>-158.19499999999999</v>
      </c>
      <c r="H1084">
        <v>0.97964720000000005</v>
      </c>
      <c r="I1084">
        <v>361.56389999999999</v>
      </c>
      <c r="J1084">
        <v>-245.61850000000001</v>
      </c>
      <c r="K1084">
        <v>1.1099540000000001</v>
      </c>
      <c r="L1084">
        <v>367.93490000000003</v>
      </c>
      <c r="M1084">
        <v>0.99989019999999995</v>
      </c>
      <c r="N1084">
        <v>0</v>
      </c>
      <c r="O1084">
        <v>-4.9213040000000005E-4</v>
      </c>
      <c r="P1084">
        <v>0.99923640000000002</v>
      </c>
      <c r="Q1084">
        <v>3.7385410000000001E-2</v>
      </c>
      <c r="R1084">
        <v>-1.137518E-2</v>
      </c>
      <c r="S1084">
        <v>3.0000460000000002</v>
      </c>
      <c r="T1084">
        <v>-4.4579509999999999E-3</v>
      </c>
      <c r="U1084">
        <v>-0.2181091</v>
      </c>
      <c r="V1084">
        <v>1.088516E-2</v>
      </c>
      <c r="W1084">
        <v>5.218453E-2</v>
      </c>
      <c r="X1084">
        <v>0.99857810000000002</v>
      </c>
      <c r="Y1084">
        <v>7.2019589999999994E-2</v>
      </c>
      <c r="Z1084" s="1">
        <v>-5.2708199999999998E-5</v>
      </c>
      <c r="AA1084">
        <v>0.99740320000000005</v>
      </c>
      <c r="AB1084">
        <v>46</v>
      </c>
      <c r="AC1084">
        <v>87.423500000000004</v>
      </c>
      <c r="AD1084">
        <v>-0.1303068</v>
      </c>
      <c r="AE1084">
        <v>-6.3710000000000298</v>
      </c>
      <c r="AF1084">
        <v>6.3279567626798201</v>
      </c>
      <c r="AG1084">
        <v>-0.1303068</v>
      </c>
      <c r="AH1084">
        <v>87.426431911910697</v>
      </c>
      <c r="AI1084">
        <v>90.085174970412695</v>
      </c>
      <c r="AJ1084">
        <v>85.860130161319901</v>
      </c>
      <c r="AK1084">
        <v>87.655239509686098</v>
      </c>
      <c r="AL1084">
        <v>87.008687857447498</v>
      </c>
      <c r="AM1084">
        <v>89.375462944222903</v>
      </c>
      <c r="AN1084">
        <v>0.99999996683957704</v>
      </c>
    </row>
    <row r="1085" spans="1:40" x14ac:dyDescent="0.25">
      <c r="A1085" t="str">
        <f>"20190312160319615"</f>
        <v>20190312160319615</v>
      </c>
      <c r="B1085" t="str">
        <f>"1552377799605665"</f>
        <v>1552377799605665</v>
      </c>
      <c r="C1085" t="s">
        <v>40</v>
      </c>
      <c r="D1085">
        <v>5.6268570000000002</v>
      </c>
      <c r="E1085">
        <v>0.52233359999999995</v>
      </c>
      <c r="F1085" t="s">
        <v>42</v>
      </c>
      <c r="G1085">
        <v>-158.19499999999999</v>
      </c>
      <c r="H1085">
        <v>0.97095350000000002</v>
      </c>
      <c r="I1085">
        <v>361.59589999999997</v>
      </c>
      <c r="J1085">
        <v>-245.40799999999999</v>
      </c>
      <c r="K1085">
        <v>1.1099600000000001</v>
      </c>
      <c r="L1085">
        <v>367.9348</v>
      </c>
      <c r="M1085">
        <v>0.99989039999999996</v>
      </c>
      <c r="N1085">
        <v>0</v>
      </c>
      <c r="O1085">
        <v>-4.9205669999999996E-4</v>
      </c>
      <c r="P1085">
        <v>0.99922080000000002</v>
      </c>
      <c r="Q1085">
        <v>3.7719599999999999E-2</v>
      </c>
      <c r="R1085">
        <v>-1.1621319999999999E-2</v>
      </c>
      <c r="S1085">
        <v>3.0000149999999999</v>
      </c>
      <c r="T1085">
        <v>-4.7669409999999898E-3</v>
      </c>
      <c r="U1085">
        <v>-0.21752929999999901</v>
      </c>
      <c r="V1085">
        <v>1.113155E-2</v>
      </c>
      <c r="W1085">
        <v>5.2507869999999998E-2</v>
      </c>
      <c r="X1085">
        <v>0.99855850000000002</v>
      </c>
      <c r="Y1085">
        <v>7.1828630000000004E-2</v>
      </c>
      <c r="Z1085" s="1">
        <v>-5.621108E-5</v>
      </c>
      <c r="AA1085">
        <v>0.997417</v>
      </c>
      <c r="AB1085">
        <v>46</v>
      </c>
      <c r="AC1085">
        <v>87.212999999999994</v>
      </c>
      <c r="AD1085">
        <v>-0.13900650000000001</v>
      </c>
      <c r="AE1085">
        <v>-6.3389000000000202</v>
      </c>
      <c r="AF1085">
        <v>6.2959648823776604</v>
      </c>
      <c r="AG1085">
        <v>-0.13900650000000001</v>
      </c>
      <c r="AH1085">
        <v>87.215888477629207</v>
      </c>
      <c r="AI1085">
        <v>90.091082117287897</v>
      </c>
      <c r="AJ1085">
        <v>85.871078488675295</v>
      </c>
      <c r="AK1085">
        <v>87.4429511141375</v>
      </c>
      <c r="AL1085">
        <v>86.990136604246302</v>
      </c>
      <c r="AM1085">
        <v>89.361314918344405</v>
      </c>
      <c r="AN1085">
        <v>1.00000003286979</v>
      </c>
    </row>
    <row r="1086" spans="1:40" x14ac:dyDescent="0.25">
      <c r="A1086" t="str">
        <f>"20190312160319626"</f>
        <v>20190312160319626</v>
      </c>
      <c r="B1086" t="str">
        <f>"1552377799615424"</f>
        <v>1552377799615424</v>
      </c>
      <c r="C1086" t="s">
        <v>40</v>
      </c>
      <c r="D1086">
        <v>5.1746850000000002</v>
      </c>
      <c r="E1086">
        <v>0.52216980000000002</v>
      </c>
      <c r="F1086" t="s">
        <v>42</v>
      </c>
      <c r="G1086">
        <v>-158.19499999999999</v>
      </c>
      <c r="H1086">
        <v>0.98323199999999999</v>
      </c>
      <c r="I1086">
        <v>361.63839999999999</v>
      </c>
      <c r="J1086">
        <v>-245.19329999999999</v>
      </c>
      <c r="K1086">
        <v>1.1099619999999999</v>
      </c>
      <c r="L1086">
        <v>367.93470000000002</v>
      </c>
      <c r="M1086">
        <v>0.99989050000000002</v>
      </c>
      <c r="N1086">
        <v>0</v>
      </c>
      <c r="O1086">
        <v>-4.9174479999999996E-4</v>
      </c>
      <c r="P1086">
        <v>0.99922100000000003</v>
      </c>
      <c r="Q1086">
        <v>3.7676099999999997E-2</v>
      </c>
      <c r="R1086">
        <v>-1.1743770000000001E-2</v>
      </c>
      <c r="S1086">
        <v>2.9999539999999998</v>
      </c>
      <c r="T1086">
        <v>-4.356146E-3</v>
      </c>
      <c r="U1086">
        <v>-0.21658330000000001</v>
      </c>
      <c r="V1086">
        <v>1.125439E-2</v>
      </c>
      <c r="W1086">
        <v>5.2454540000000001E-2</v>
      </c>
      <c r="X1086">
        <v>0.99855989999999994</v>
      </c>
      <c r="Y1086">
        <v>7.1517490000000003E-2</v>
      </c>
      <c r="Z1086" s="1">
        <v>-5.1143519999999997E-5</v>
      </c>
      <c r="AA1086">
        <v>0.99743930000000003</v>
      </c>
      <c r="AB1086">
        <v>46</v>
      </c>
      <c r="AC1086">
        <v>86.9983</v>
      </c>
      <c r="AD1086">
        <v>-0.12673000000000001</v>
      </c>
      <c r="AE1086">
        <v>-6.2963000000000298</v>
      </c>
      <c r="AF1086">
        <v>6.2535003965417797</v>
      </c>
      <c r="AG1086">
        <v>-0.12673000000000001</v>
      </c>
      <c r="AH1086">
        <v>87.001202339314503</v>
      </c>
      <c r="AI1086">
        <v>90.083244875021194</v>
      </c>
      <c r="AJ1086">
        <v>85.8887460636534</v>
      </c>
      <c r="AK1086">
        <v>87.225750419178397</v>
      </c>
      <c r="AL1086">
        <v>86.993196326807904</v>
      </c>
      <c r="AM1086">
        <v>89.354268335298201</v>
      </c>
      <c r="AN1086">
        <v>1.0000000069744399</v>
      </c>
    </row>
    <row r="1087" spans="1:40" x14ac:dyDescent="0.25">
      <c r="A1087" t="str">
        <f>"20190312160319636"</f>
        <v>20190312160319636</v>
      </c>
      <c r="B1087" t="str">
        <f>"1552377799626160"</f>
        <v>1552377799626160</v>
      </c>
      <c r="C1087" t="s">
        <v>40</v>
      </c>
      <c r="D1087">
        <v>5.7173579999999999</v>
      </c>
      <c r="E1087">
        <v>0.52204359999999905</v>
      </c>
      <c r="F1087" t="s">
        <v>42</v>
      </c>
      <c r="G1087">
        <v>-158.19499999999999</v>
      </c>
      <c r="H1087">
        <v>0.97148230000000002</v>
      </c>
      <c r="I1087">
        <v>361.6671</v>
      </c>
      <c r="J1087">
        <v>-244.98410000000001</v>
      </c>
      <c r="K1087">
        <v>1.1099650000000001</v>
      </c>
      <c r="L1087">
        <v>367.93459999999999</v>
      </c>
      <c r="M1087">
        <v>0.99989059999999996</v>
      </c>
      <c r="N1087">
        <v>0</v>
      </c>
      <c r="O1087">
        <v>-4.9168010000000002E-4</v>
      </c>
      <c r="P1087">
        <v>0.99921260000000001</v>
      </c>
      <c r="Q1087">
        <v>3.7784140000000001E-2</v>
      </c>
      <c r="R1087">
        <v>-1.209965E-2</v>
      </c>
      <c r="S1087">
        <v>2.9999690000000001</v>
      </c>
      <c r="T1087">
        <v>-4.7721860000000003E-3</v>
      </c>
      <c r="U1087">
        <v>-0.2161255</v>
      </c>
      <c r="V1087">
        <v>1.16104E-2</v>
      </c>
      <c r="W1087">
        <v>5.2553580000000003E-2</v>
      </c>
      <c r="X1087">
        <v>0.99855059999999995</v>
      </c>
      <c r="Y1087">
        <v>7.1365769999999995E-2</v>
      </c>
      <c r="Z1087" s="1">
        <v>-5.5907659999999997E-5</v>
      </c>
      <c r="AA1087">
        <v>0.99745019999999995</v>
      </c>
      <c r="AB1087">
        <v>46</v>
      </c>
      <c r="AC1087">
        <v>86.789100000000005</v>
      </c>
      <c r="AD1087">
        <v>-0.13848269999999899</v>
      </c>
      <c r="AE1087">
        <v>-6.2674999999999796</v>
      </c>
      <c r="AF1087">
        <v>6.2248063389474302</v>
      </c>
      <c r="AG1087">
        <v>-0.13848269999999899</v>
      </c>
      <c r="AH1087">
        <v>86.791951621863603</v>
      </c>
      <c r="AI1087">
        <v>90.091185170118194</v>
      </c>
      <c r="AJ1087">
        <v>85.897713184236096</v>
      </c>
      <c r="AK1087">
        <v>87.015000188171697</v>
      </c>
      <c r="AL1087">
        <v>86.987513865355893</v>
      </c>
      <c r="AM1087">
        <v>89.333837521221</v>
      </c>
      <c r="AN1087">
        <v>0.99999999045966803</v>
      </c>
    </row>
    <row r="1088" spans="1:40" x14ac:dyDescent="0.25">
      <c r="A1088" t="str">
        <f>"20190312160319646"</f>
        <v>20190312160319646</v>
      </c>
      <c r="B1088" t="str">
        <f>"1552377799635920"</f>
        <v>1552377799635920</v>
      </c>
      <c r="C1088" t="s">
        <v>40</v>
      </c>
      <c r="D1088">
        <v>5.7191679999999998</v>
      </c>
      <c r="E1088">
        <v>0.52212119999999995</v>
      </c>
      <c r="F1088" t="s">
        <v>42</v>
      </c>
      <c r="G1088">
        <v>-158.19499999999999</v>
      </c>
      <c r="H1088">
        <v>0.97728630000000005</v>
      </c>
      <c r="I1088">
        <v>361.68819999999999</v>
      </c>
      <c r="J1088">
        <v>-244.7604</v>
      </c>
      <c r="K1088">
        <v>1.1099650000000001</v>
      </c>
      <c r="L1088">
        <v>367.93439999999998</v>
      </c>
      <c r="M1088">
        <v>0.99989070000000002</v>
      </c>
      <c r="N1088">
        <v>0</v>
      </c>
      <c r="O1088">
        <v>-4.9161189999999996E-4</v>
      </c>
      <c r="P1088">
        <v>0.99918940000000001</v>
      </c>
      <c r="Q1088">
        <v>3.8442900000000002E-2</v>
      </c>
      <c r="R1088">
        <v>-1.1959930000000001E-2</v>
      </c>
      <c r="S1088">
        <v>2.9999389999999999</v>
      </c>
      <c r="T1088">
        <v>-4.5831200000000004E-3</v>
      </c>
      <c r="U1088">
        <v>-0.21591189999999999</v>
      </c>
      <c r="V1088">
        <v>1.147046E-2</v>
      </c>
      <c r="W1088">
        <v>5.3202600000000003E-2</v>
      </c>
      <c r="X1088">
        <v>0.99851789999999996</v>
      </c>
      <c r="Y1088">
        <v>7.1295919999999999E-2</v>
      </c>
      <c r="Z1088" s="1">
        <v>-5.3640190000000001E-5</v>
      </c>
      <c r="AA1088">
        <v>0.99745519999999999</v>
      </c>
      <c r="AB1088">
        <v>46</v>
      </c>
      <c r="AC1088">
        <v>86.565399999999997</v>
      </c>
      <c r="AD1088">
        <v>-0.13267869999999901</v>
      </c>
      <c r="AE1088">
        <v>-6.2461999999999804</v>
      </c>
      <c r="AF1088">
        <v>6.2036235196107299</v>
      </c>
      <c r="AG1088">
        <v>-0.13267869999999901</v>
      </c>
      <c r="AH1088">
        <v>86.568258268695004</v>
      </c>
      <c r="AI1088">
        <v>90.087589599304394</v>
      </c>
      <c r="AJ1088">
        <v>85.901097275414301</v>
      </c>
      <c r="AK1088">
        <v>86.790355962433907</v>
      </c>
      <c r="AL1088">
        <v>86.950275818777797</v>
      </c>
      <c r="AM1088">
        <v>89.341844507322193</v>
      </c>
      <c r="AN1088">
        <v>1.00000004235988</v>
      </c>
    </row>
    <row r="1089" spans="1:40" x14ac:dyDescent="0.25">
      <c r="A1089" t="str">
        <f>"20190312160319657"</f>
        <v>20190312160319657</v>
      </c>
      <c r="B1089" t="str">
        <f>"1552377799645680"</f>
        <v>1552377799645680</v>
      </c>
      <c r="C1089" t="s">
        <v>40</v>
      </c>
      <c r="D1089">
        <v>5.6999029999999999</v>
      </c>
      <c r="E1089">
        <v>0.52226700000000004</v>
      </c>
      <c r="F1089" t="s">
        <v>42</v>
      </c>
      <c r="G1089">
        <v>-158.19499999999999</v>
      </c>
      <c r="H1089">
        <v>1.020597</v>
      </c>
      <c r="I1089">
        <v>361.69540000000001</v>
      </c>
      <c r="J1089">
        <v>-244.5497</v>
      </c>
      <c r="K1089">
        <v>1.109966</v>
      </c>
      <c r="L1089">
        <v>367.93430000000001</v>
      </c>
      <c r="M1089">
        <v>0.99989099999999997</v>
      </c>
      <c r="N1089">
        <v>0</v>
      </c>
      <c r="O1089">
        <v>-4.9155439999999998E-4</v>
      </c>
      <c r="P1089">
        <v>0.99917420000000001</v>
      </c>
      <c r="Q1089">
        <v>3.8901860000000003E-2</v>
      </c>
      <c r="R1089">
        <v>-1.17488E-2</v>
      </c>
      <c r="S1089">
        <v>2.9999690000000001</v>
      </c>
      <c r="T1089">
        <v>-3.0940770000000002E-3</v>
      </c>
      <c r="U1089">
        <v>-0.21621699999999999</v>
      </c>
      <c r="V1089">
        <v>1.1259409999999999E-2</v>
      </c>
      <c r="W1089">
        <v>5.3653039999999999E-2</v>
      </c>
      <c r="X1089">
        <v>0.99849619999999994</v>
      </c>
      <c r="Y1089">
        <v>7.1396230000000005E-2</v>
      </c>
      <c r="Z1089" s="1">
        <v>-3.6263880000000002E-5</v>
      </c>
      <c r="AA1089">
        <v>0.997448</v>
      </c>
      <c r="AB1089">
        <v>46</v>
      </c>
      <c r="AC1089">
        <v>86.354699999999994</v>
      </c>
      <c r="AD1089">
        <v>-8.9369000000000004E-2</v>
      </c>
      <c r="AE1089">
        <v>-6.2389000000000001</v>
      </c>
      <c r="AF1089">
        <v>6.19643998902548</v>
      </c>
      <c r="AG1089">
        <v>-8.9369000000000004E-2</v>
      </c>
      <c r="AH1089">
        <v>86.357664646235094</v>
      </c>
      <c r="AI1089">
        <v>90.059141640593396</v>
      </c>
      <c r="AJ1089">
        <v>85.895877419861193</v>
      </c>
      <c r="AK1089">
        <v>86.579732608199706</v>
      </c>
      <c r="AL1089">
        <v>86.924430593910898</v>
      </c>
      <c r="AM1089">
        <v>89.353939122343306</v>
      </c>
      <c r="AN1089">
        <v>1.00000004221461</v>
      </c>
    </row>
    <row r="1090" spans="1:40" x14ac:dyDescent="0.25">
      <c r="A1090" t="str">
        <f>"20190312160319669"</f>
        <v>20190312160319669</v>
      </c>
      <c r="B1090" t="str">
        <f>"1552377799665200"</f>
        <v>1552377799665200</v>
      </c>
      <c r="C1090" t="s">
        <v>40</v>
      </c>
      <c r="D1090">
        <v>5.7327139999999996</v>
      </c>
      <c r="E1090">
        <v>0.54435500000000003</v>
      </c>
      <c r="F1090" t="s">
        <v>42</v>
      </c>
      <c r="G1090">
        <v>-158.19499999999999</v>
      </c>
      <c r="H1090">
        <v>1.057734</v>
      </c>
      <c r="I1090">
        <v>361.68950000000001</v>
      </c>
      <c r="J1090">
        <v>-244.3141</v>
      </c>
      <c r="K1090">
        <v>1.1099680000000001</v>
      </c>
      <c r="L1090">
        <v>367.93419999999998</v>
      </c>
      <c r="M1090">
        <v>0.99989099999999997</v>
      </c>
      <c r="N1090">
        <v>0</v>
      </c>
      <c r="O1090">
        <v>-4.914912E-4</v>
      </c>
      <c r="P1090">
        <v>0.99917630000000002</v>
      </c>
      <c r="Q1090">
        <v>3.8814639999999997E-2</v>
      </c>
      <c r="R1090">
        <v>-1.185894E-2</v>
      </c>
      <c r="S1090">
        <v>3</v>
      </c>
      <c r="T1090">
        <v>-1.811504E-3</v>
      </c>
      <c r="U1090">
        <v>-0.21694949999999999</v>
      </c>
      <c r="V1090">
        <v>1.136971E-2</v>
      </c>
      <c r="W1090">
        <v>5.355733E-2</v>
      </c>
      <c r="X1090">
        <v>0.99850000000000005</v>
      </c>
      <c r="Y1090">
        <v>7.1637850000000003E-2</v>
      </c>
      <c r="Z1090" s="1">
        <v>-2.130408E-5</v>
      </c>
      <c r="AA1090">
        <v>0.9974307</v>
      </c>
      <c r="AB1090">
        <v>46</v>
      </c>
      <c r="AC1090">
        <v>86.119100000000003</v>
      </c>
      <c r="AD1090">
        <v>-5.22340000000001E-2</v>
      </c>
      <c r="AE1090">
        <v>-6.2446999999999599</v>
      </c>
      <c r="AF1090">
        <v>6.2023655869806102</v>
      </c>
      <c r="AG1090">
        <v>-5.22340000000001E-2</v>
      </c>
      <c r="AH1090">
        <v>86.122127628426099</v>
      </c>
      <c r="AI1090">
        <v>90.034660734537397</v>
      </c>
      <c r="AJ1090">
        <v>85.880769599362196</v>
      </c>
      <c r="AK1090">
        <v>86.345196360377997</v>
      </c>
      <c r="AL1090">
        <v>86.929921997386003</v>
      </c>
      <c r="AM1090">
        <v>89.347613175146805</v>
      </c>
      <c r="AN1090">
        <v>0.99999995395110497</v>
      </c>
    </row>
    <row r="1091" spans="1:40" x14ac:dyDescent="0.25">
      <c r="A1091" t="str">
        <f>"20190312160319682"</f>
        <v>20190312160319682</v>
      </c>
      <c r="B1091" t="str">
        <f>"1552377799675935"</f>
        <v>1552377799675935</v>
      </c>
      <c r="C1091" t="s">
        <v>40</v>
      </c>
      <c r="D1091">
        <v>5.6857449999999998</v>
      </c>
      <c r="E1091">
        <v>0.54837360000000002</v>
      </c>
      <c r="F1091" t="s">
        <v>42</v>
      </c>
      <c r="G1091">
        <v>-158.19499999999999</v>
      </c>
      <c r="H1091">
        <v>4.4782199999999897</v>
      </c>
      <c r="I1091">
        <v>356.72910000000002</v>
      </c>
      <c r="J1091">
        <v>-244.0377</v>
      </c>
      <c r="K1091">
        <v>1.1099680000000001</v>
      </c>
      <c r="L1091">
        <v>367.9341</v>
      </c>
      <c r="M1091">
        <v>0.99989099999999997</v>
      </c>
      <c r="N1091">
        <v>0</v>
      </c>
      <c r="O1091">
        <v>-4.9118510000000003E-4</v>
      </c>
      <c r="P1091">
        <v>0.99917920000000005</v>
      </c>
      <c r="Q1091">
        <v>3.8735520000000002E-2</v>
      </c>
      <c r="R1091">
        <v>-1.185957E-2</v>
      </c>
      <c r="S1091">
        <v>2.9933010000000002</v>
      </c>
      <c r="T1091">
        <v>0.1170756</v>
      </c>
      <c r="U1091">
        <v>-0.38946530000000001</v>
      </c>
      <c r="V1091">
        <v>1.1370689999999999E-2</v>
      </c>
      <c r="W1091">
        <v>5.3468769999999999E-2</v>
      </c>
      <c r="X1091">
        <v>0.99850479999999997</v>
      </c>
      <c r="Y1091">
        <v>0.12844140000000001</v>
      </c>
      <c r="Z1091">
        <v>2.4812219999999999E-3</v>
      </c>
      <c r="AA1091">
        <v>0.99171399999999998</v>
      </c>
      <c r="AB1091">
        <v>46</v>
      </c>
      <c r="AC1091">
        <v>85.842699999999994</v>
      </c>
      <c r="AD1091">
        <v>3.3682519999999898</v>
      </c>
      <c r="AE1091">
        <v>-11.204999999999901</v>
      </c>
      <c r="AF1091">
        <v>11.1459567779478</v>
      </c>
      <c r="AG1091">
        <v>3.3682519999999898</v>
      </c>
      <c r="AH1091">
        <v>85.718434372533196</v>
      </c>
      <c r="AI1091">
        <v>87.768522390220895</v>
      </c>
      <c r="AJ1091">
        <v>82.591404961209307</v>
      </c>
      <c r="AK1091">
        <v>86.505649903978394</v>
      </c>
      <c r="AL1091">
        <v>86.935003591651906</v>
      </c>
      <c r="AM1091">
        <v>89.347560084367601</v>
      </c>
      <c r="AN1091">
        <v>1.00000001878971</v>
      </c>
    </row>
    <row r="1092" spans="1:40" x14ac:dyDescent="0.25">
      <c r="A1092" t="str">
        <f>"20190312160319694"</f>
        <v>20190312160319694</v>
      </c>
      <c r="B1092" t="str">
        <f>"1552377799685697"</f>
        <v>1552377799685697</v>
      </c>
      <c r="C1092" t="s">
        <v>40</v>
      </c>
      <c r="D1092">
        <v>5.7484460000000004</v>
      </c>
      <c r="E1092">
        <v>0.55126850000000005</v>
      </c>
      <c r="F1092" t="s">
        <v>42</v>
      </c>
      <c r="G1092">
        <v>-158.19499999999999</v>
      </c>
      <c r="H1092">
        <v>3.674296</v>
      </c>
      <c r="I1092">
        <v>355.81990000000002</v>
      </c>
      <c r="J1092">
        <v>-243.79810000000001</v>
      </c>
      <c r="K1092">
        <v>1.1099669999999999</v>
      </c>
      <c r="L1092">
        <v>367.93389999999999</v>
      </c>
      <c r="M1092">
        <v>0.99989130000000004</v>
      </c>
      <c r="N1092">
        <v>0</v>
      </c>
      <c r="O1092">
        <v>-4.9113010000000003E-4</v>
      </c>
      <c r="P1092">
        <v>0.99918609999999997</v>
      </c>
      <c r="Q1092">
        <v>3.8563350000000003E-2</v>
      </c>
      <c r="R1092">
        <v>-1.183617E-2</v>
      </c>
      <c r="S1092">
        <v>2.9940030000000002</v>
      </c>
      <c r="T1092">
        <v>8.9441060000000003E-2</v>
      </c>
      <c r="U1092">
        <v>-0.4225159</v>
      </c>
      <c r="V1092">
        <v>1.1347350000000001E-2</v>
      </c>
      <c r="W1092">
        <v>5.3289259999999998E-2</v>
      </c>
      <c r="X1092">
        <v>0.99851469999999998</v>
      </c>
      <c r="Y1092">
        <v>0.13918910000000001</v>
      </c>
      <c r="Z1092">
        <v>2.0537250000000002E-3</v>
      </c>
      <c r="AA1092">
        <v>0.99026369999999997</v>
      </c>
      <c r="AB1092">
        <v>46</v>
      </c>
      <c r="AC1092">
        <v>85.603099999999998</v>
      </c>
      <c r="AD1092">
        <v>2.5643289999999999</v>
      </c>
      <c r="AE1092">
        <v>-12.1139999999999</v>
      </c>
      <c r="AF1092">
        <v>12.06134079978</v>
      </c>
      <c r="AG1092">
        <v>2.5643289999999999</v>
      </c>
      <c r="AH1092">
        <v>85.533791871984107</v>
      </c>
      <c r="AI1092">
        <v>88.299582315782004</v>
      </c>
      <c r="AJ1092">
        <v>81.973496153712304</v>
      </c>
      <c r="AK1092">
        <v>86.418061058488107</v>
      </c>
      <c r="AL1092">
        <v>86.945303557471604</v>
      </c>
      <c r="AM1092">
        <v>89.348905651992396</v>
      </c>
      <c r="AN1092">
        <v>1.00000005684972</v>
      </c>
    </row>
    <row r="1093" spans="1:40" x14ac:dyDescent="0.25">
      <c r="A1093" t="str">
        <f>"20190312160319706"</f>
        <v>20190312160319706</v>
      </c>
      <c r="B1093" t="str">
        <f>"1552377799695456"</f>
        <v>1552377799695456</v>
      </c>
      <c r="C1093" t="s">
        <v>40</v>
      </c>
      <c r="D1093">
        <v>5.8176600000000001</v>
      </c>
      <c r="E1093">
        <v>0.55388789999999999</v>
      </c>
      <c r="F1093" t="s">
        <v>42</v>
      </c>
      <c r="G1093">
        <v>-167.82169999999999</v>
      </c>
      <c r="H1093">
        <v>2.9167670000000001</v>
      </c>
      <c r="I1093">
        <v>356.61509999999998</v>
      </c>
      <c r="J1093">
        <v>-243.54599999999999</v>
      </c>
      <c r="K1093">
        <v>1.1099680000000001</v>
      </c>
      <c r="L1093">
        <v>367.93380000000002</v>
      </c>
      <c r="M1093">
        <v>0.99989130000000004</v>
      </c>
      <c r="N1093">
        <v>0</v>
      </c>
      <c r="O1093">
        <v>-4.9083639999999995E-4</v>
      </c>
      <c r="P1093">
        <v>0.99918589999999996</v>
      </c>
      <c r="Q1093">
        <v>3.8448799999999998E-2</v>
      </c>
      <c r="R1093">
        <v>-1.221468E-2</v>
      </c>
      <c r="S1093">
        <v>2.9944310000000001</v>
      </c>
      <c r="T1093">
        <v>7.1214199999999894E-2</v>
      </c>
      <c r="U1093">
        <v>-0.446106</v>
      </c>
      <c r="V1093">
        <v>1.1726220000000001E-2</v>
      </c>
      <c r="W1093">
        <v>5.3167369999999999E-2</v>
      </c>
      <c r="X1093">
        <v>0.99851670000000003</v>
      </c>
      <c r="Y1093">
        <v>0.14682629999999999</v>
      </c>
      <c r="Z1093">
        <v>1.7244949999999999E-3</v>
      </c>
      <c r="AA1093">
        <v>0.98916079999999995</v>
      </c>
      <c r="AB1093">
        <v>46</v>
      </c>
      <c r="AC1093">
        <v>75.724299999999999</v>
      </c>
      <c r="AD1093">
        <v>1.806799</v>
      </c>
      <c r="AE1093">
        <v>-11.3187</v>
      </c>
      <c r="AF1093">
        <v>11.275247523046399</v>
      </c>
      <c r="AG1093">
        <v>1.806799</v>
      </c>
      <c r="AH1093">
        <v>75.687698986742106</v>
      </c>
      <c r="AI1093">
        <v>88.647428625516795</v>
      </c>
      <c r="AJ1093">
        <v>81.5269213620507</v>
      </c>
      <c r="AK1093">
        <v>76.544258486447205</v>
      </c>
      <c r="AL1093">
        <v>86.952296887978505</v>
      </c>
      <c r="AM1093">
        <v>89.327169959227703</v>
      </c>
      <c r="AN1093">
        <v>0.99999993682354504</v>
      </c>
    </row>
    <row r="1094" spans="1:40" x14ac:dyDescent="0.25">
      <c r="A1094" t="str">
        <f>"20190312160319718"</f>
        <v>20190312160319718</v>
      </c>
      <c r="B1094" t="str">
        <f>"1552377799715952"</f>
        <v>1552377799715952</v>
      </c>
      <c r="C1094" t="s">
        <v>40</v>
      </c>
      <c r="D1094">
        <v>5.724672</v>
      </c>
      <c r="E1094">
        <v>0.55561260000000001</v>
      </c>
      <c r="F1094" t="s">
        <v>42</v>
      </c>
      <c r="G1094">
        <v>-169.2955</v>
      </c>
      <c r="H1094">
        <v>2.760078</v>
      </c>
      <c r="I1094">
        <v>356.3254</v>
      </c>
      <c r="J1094">
        <v>-243.29640000000001</v>
      </c>
      <c r="K1094">
        <v>1.1099680000000001</v>
      </c>
      <c r="L1094">
        <v>367.93369999999999</v>
      </c>
      <c r="M1094">
        <v>0.99989159999999999</v>
      </c>
      <c r="N1094">
        <v>0</v>
      </c>
      <c r="O1094">
        <v>-4.9078700000000002E-4</v>
      </c>
      <c r="P1094">
        <v>0.99918680000000004</v>
      </c>
      <c r="Q1094">
        <v>3.8372139999999999E-2</v>
      </c>
      <c r="R1094">
        <v>-1.2401239999999999E-2</v>
      </c>
      <c r="S1094">
        <v>2.9941559999999998</v>
      </c>
      <c r="T1094">
        <v>6.6544290000000006E-2</v>
      </c>
      <c r="U1094">
        <v>-0.4681091</v>
      </c>
      <c r="V1094">
        <v>1.1912819999999999E-2</v>
      </c>
      <c r="W1094">
        <v>5.3084029999999997E-2</v>
      </c>
      <c r="X1094">
        <v>0.99851900000000005</v>
      </c>
      <c r="Y1094">
        <v>0.15394260000000001</v>
      </c>
      <c r="Z1094">
        <v>1.689292E-3</v>
      </c>
      <c r="AA1094">
        <v>0.98807840000000002</v>
      </c>
      <c r="AB1094">
        <v>46</v>
      </c>
      <c r="AC1094">
        <v>74.000900000000001</v>
      </c>
      <c r="AD1094">
        <v>1.65010999999999</v>
      </c>
      <c r="AE1094">
        <v>-11.6082999999999</v>
      </c>
      <c r="AF1094">
        <v>11.5663630388496</v>
      </c>
      <c r="AG1094">
        <v>1.65010999999999</v>
      </c>
      <c r="AH1094">
        <v>73.970692245218302</v>
      </c>
      <c r="AI1094">
        <v>88.737416202517807</v>
      </c>
      <c r="AJ1094">
        <v>81.1129575602572</v>
      </c>
      <c r="AK1094">
        <v>74.887695439206695</v>
      </c>
      <c r="AL1094">
        <v>86.957078898493407</v>
      </c>
      <c r="AM1094">
        <v>89.316465759070894</v>
      </c>
      <c r="AN1094">
        <v>1.00000001144119</v>
      </c>
    </row>
    <row r="1095" spans="1:40" x14ac:dyDescent="0.25">
      <c r="A1095" t="str">
        <f>"20190312160319731"</f>
        <v>20190312160319731</v>
      </c>
      <c r="B1095" t="str">
        <f>"1552377799725711"</f>
        <v>1552377799725711</v>
      </c>
      <c r="C1095" t="s">
        <v>40</v>
      </c>
      <c r="D1095">
        <v>5.7644719999999996</v>
      </c>
      <c r="E1095">
        <v>0.55633489999999997</v>
      </c>
      <c r="F1095" t="s">
        <v>42</v>
      </c>
      <c r="G1095">
        <v>-169.2955</v>
      </c>
      <c r="H1095">
        <v>2.4324319999999999</v>
      </c>
      <c r="I1095">
        <v>355.99950000000001</v>
      </c>
      <c r="J1095">
        <v>-243.0352</v>
      </c>
      <c r="K1095">
        <v>1.109966</v>
      </c>
      <c r="L1095">
        <v>367.93349999999998</v>
      </c>
      <c r="M1095">
        <v>0.99989150000000004</v>
      </c>
      <c r="N1095">
        <v>0</v>
      </c>
      <c r="O1095">
        <v>-4.9061809999999999E-4</v>
      </c>
      <c r="P1095">
        <v>0.99918450000000003</v>
      </c>
      <c r="Q1095">
        <v>3.8407400000000001E-2</v>
      </c>
      <c r="R1095">
        <v>-1.245806E-2</v>
      </c>
      <c r="S1095">
        <v>2.9944000000000002</v>
      </c>
      <c r="T1095">
        <v>5.3516149999999998E-2</v>
      </c>
      <c r="U1095">
        <v>-0.48291020000000001</v>
      </c>
      <c r="V1095">
        <v>1.1969779999999999E-2</v>
      </c>
      <c r="W1095">
        <v>5.311213E-2</v>
      </c>
      <c r="X1095">
        <v>0.99851679999999998</v>
      </c>
      <c r="Y1095">
        <v>0.15870490000000001</v>
      </c>
      <c r="Z1095">
        <v>1.400267E-3</v>
      </c>
      <c r="AA1095">
        <v>0.98732509999999996</v>
      </c>
      <c r="AB1095">
        <v>46</v>
      </c>
      <c r="AC1095">
        <v>73.739699999999999</v>
      </c>
      <c r="AD1095">
        <v>1.3224659999999999</v>
      </c>
      <c r="AE1095">
        <v>-11.9339999999999</v>
      </c>
      <c r="AF1095">
        <v>11.8940886712377</v>
      </c>
      <c r="AG1095">
        <v>1.3224659999999999</v>
      </c>
      <c r="AH1095">
        <v>73.722440124557494</v>
      </c>
      <c r="AI1095">
        <v>88.985429656443202</v>
      </c>
      <c r="AJ1095">
        <v>80.835098364991296</v>
      </c>
      <c r="AK1095">
        <v>74.687458381975901</v>
      </c>
      <c r="AL1095">
        <v>86.955466537976605</v>
      </c>
      <c r="AM1095">
        <v>89.313196305268207</v>
      </c>
      <c r="AN1095">
        <v>0.99999998693431202</v>
      </c>
    </row>
    <row r="1096" spans="1:40" x14ac:dyDescent="0.25">
      <c r="A1096" t="str">
        <f>"20190312160319742"</f>
        <v>20190312160319742</v>
      </c>
      <c r="B1096" t="str">
        <f>"1552377799735471"</f>
        <v>1552377799735471</v>
      </c>
      <c r="C1096" t="s">
        <v>40</v>
      </c>
      <c r="D1096">
        <v>5.6918680000000004</v>
      </c>
      <c r="E1096">
        <v>0.55660109999999996</v>
      </c>
      <c r="F1096" t="s">
        <v>42</v>
      </c>
      <c r="G1096">
        <v>-169.2955</v>
      </c>
      <c r="H1096">
        <v>2.3624529999999999</v>
      </c>
      <c r="I1096">
        <v>355.89409999999998</v>
      </c>
      <c r="J1096">
        <v>-242.8082</v>
      </c>
      <c r="K1096">
        <v>1.10996299999999</v>
      </c>
      <c r="L1096">
        <v>367.93340000000001</v>
      </c>
      <c r="M1096">
        <v>0.99989170000000005</v>
      </c>
      <c r="N1096">
        <v>0</v>
      </c>
      <c r="O1096">
        <v>-4.9033949999999996E-4</v>
      </c>
      <c r="P1096">
        <v>0.99918189999999996</v>
      </c>
      <c r="Q1096">
        <v>3.8406040000000002E-2</v>
      </c>
      <c r="R1096">
        <v>-1.268172E-2</v>
      </c>
      <c r="S1096">
        <v>2.9943849999999999</v>
      </c>
      <c r="T1096">
        <v>5.0863859999999997E-2</v>
      </c>
      <c r="U1096">
        <v>-0.48889159999999998</v>
      </c>
      <c r="V1096">
        <v>1.219367E-2</v>
      </c>
      <c r="W1096">
        <v>5.3104989999999998E-2</v>
      </c>
      <c r="X1096">
        <v>0.99851449999999997</v>
      </c>
      <c r="Y1096">
        <v>0.16062939999999901</v>
      </c>
      <c r="Z1096">
        <v>1.3469160000000001E-3</v>
      </c>
      <c r="AA1096">
        <v>0.9870139</v>
      </c>
      <c r="AB1096">
        <v>46</v>
      </c>
      <c r="AC1096">
        <v>73.512699999999995</v>
      </c>
      <c r="AD1096">
        <v>1.2524899999999899</v>
      </c>
      <c r="AE1096">
        <v>-12.039300000000001</v>
      </c>
      <c r="AF1096">
        <v>11.999856087885901</v>
      </c>
      <c r="AG1096">
        <v>1.2524899999999899</v>
      </c>
      <c r="AH1096">
        <v>73.497817159417195</v>
      </c>
      <c r="AI1096">
        <v>89.036461807825702</v>
      </c>
      <c r="AJ1096">
        <v>80.727236890661004</v>
      </c>
      <c r="AK1096">
        <v>74.481503774623107</v>
      </c>
      <c r="AL1096">
        <v>86.955876296957598</v>
      </c>
      <c r="AM1096">
        <v>89.300349567693004</v>
      </c>
      <c r="AN1096">
        <v>1.0000000161306</v>
      </c>
    </row>
    <row r="1097" spans="1:40" x14ac:dyDescent="0.25">
      <c r="A1097" t="str">
        <f>"20190312160319753"</f>
        <v>20190312160319753</v>
      </c>
      <c r="B1097" t="str">
        <f>"1552377799745233"</f>
        <v>1552377799745233</v>
      </c>
      <c r="C1097" t="s">
        <v>40</v>
      </c>
      <c r="D1097">
        <v>5.6902990000000004</v>
      </c>
      <c r="E1097">
        <v>0.55692180000000002</v>
      </c>
      <c r="F1097" t="s">
        <v>42</v>
      </c>
      <c r="G1097">
        <v>-169.2955</v>
      </c>
      <c r="H1097">
        <v>2.2794370000000002</v>
      </c>
      <c r="I1097">
        <v>355.85910000000001</v>
      </c>
      <c r="J1097">
        <v>-242.59399999999999</v>
      </c>
      <c r="K1097">
        <v>1.1099619999999999</v>
      </c>
      <c r="L1097">
        <v>367.93329999999997</v>
      </c>
      <c r="M1097">
        <v>0.99989159999999999</v>
      </c>
      <c r="N1097">
        <v>0</v>
      </c>
      <c r="O1097">
        <v>-4.9018450000000002E-4</v>
      </c>
      <c r="P1097">
        <v>0.9991795</v>
      </c>
      <c r="Q1097">
        <v>3.8440820000000001E-2</v>
      </c>
      <c r="R1097">
        <v>-1.2752019999999999E-2</v>
      </c>
      <c r="S1097">
        <v>2.9943849999999999</v>
      </c>
      <c r="T1097">
        <v>4.7639609999999999E-2</v>
      </c>
      <c r="U1097">
        <v>-0.49182130000000002</v>
      </c>
      <c r="V1097">
        <v>1.2264250000000001E-2</v>
      </c>
      <c r="W1097">
        <v>5.3134979999999998E-2</v>
      </c>
      <c r="X1097">
        <v>0.99851199999999996</v>
      </c>
      <c r="Y1097">
        <v>0.16157260000000001</v>
      </c>
      <c r="Z1097">
        <v>1.2689019999999999E-3</v>
      </c>
      <c r="AA1097">
        <v>0.98685999999999996</v>
      </c>
      <c r="AB1097">
        <v>46</v>
      </c>
      <c r="AC1097">
        <v>73.298500000000004</v>
      </c>
      <c r="AD1097">
        <v>1.1694749999999901</v>
      </c>
      <c r="AE1097">
        <v>-12.0741999999999</v>
      </c>
      <c r="AF1097">
        <v>12.0352820942898</v>
      </c>
      <c r="AG1097">
        <v>1.1694749999999901</v>
      </c>
      <c r="AH1097">
        <v>73.286247453313507</v>
      </c>
      <c r="AI1097">
        <v>89.097854691130095</v>
      </c>
      <c r="AJ1097">
        <v>80.673963274481693</v>
      </c>
      <c r="AK1097">
        <v>74.277114595634799</v>
      </c>
      <c r="AL1097">
        <v>86.954155444885203</v>
      </c>
      <c r="AM1097">
        <v>89.296298461050995</v>
      </c>
      <c r="AN1097">
        <v>0.99999997603583102</v>
      </c>
    </row>
    <row r="1098" spans="1:40" x14ac:dyDescent="0.25">
      <c r="A1098" t="str">
        <f>"20190312160319762"</f>
        <v>20190312160319762</v>
      </c>
      <c r="B1098" t="str">
        <f>"1552377799755968"</f>
        <v>1552377799755968</v>
      </c>
      <c r="C1098" t="s">
        <v>40</v>
      </c>
      <c r="D1098">
        <v>5.7476479999999999</v>
      </c>
      <c r="E1098">
        <v>0.55741850000000004</v>
      </c>
      <c r="F1098" t="s">
        <v>42</v>
      </c>
      <c r="G1098">
        <v>-169.2955</v>
      </c>
      <c r="H1098">
        <v>2.207249</v>
      </c>
      <c r="I1098">
        <v>355.82490000000001</v>
      </c>
      <c r="J1098">
        <v>-242.3768</v>
      </c>
      <c r="K1098">
        <v>1.10996299999999</v>
      </c>
      <c r="L1098">
        <v>367.9332</v>
      </c>
      <c r="M1098">
        <v>0.99989189999999994</v>
      </c>
      <c r="N1098">
        <v>0</v>
      </c>
      <c r="O1098">
        <v>-4.9026919999999995E-4</v>
      </c>
      <c r="P1098">
        <v>0.99918249999999997</v>
      </c>
      <c r="Q1098">
        <v>3.8380810000000001E-2</v>
      </c>
      <c r="R1098">
        <v>-1.271596E-2</v>
      </c>
      <c r="S1098">
        <v>2.9944310000000001</v>
      </c>
      <c r="T1098">
        <v>4.4830439999999999E-2</v>
      </c>
      <c r="U1098">
        <v>-0.49465940000000003</v>
      </c>
      <c r="V1098">
        <v>1.2227750000000001E-2</v>
      </c>
      <c r="W1098">
        <v>5.3070220000000001E-2</v>
      </c>
      <c r="X1098">
        <v>0.99851590000000001</v>
      </c>
      <c r="Y1098">
        <v>0.16248290000000001</v>
      </c>
      <c r="Z1098">
        <v>1.2007439999999999E-3</v>
      </c>
      <c r="AA1098">
        <v>0.98671059999999999</v>
      </c>
      <c r="AB1098">
        <v>46</v>
      </c>
      <c r="AC1098">
        <v>73.081299999999999</v>
      </c>
      <c r="AD1098">
        <v>1.097286</v>
      </c>
      <c r="AE1098">
        <v>-12.1082999999999</v>
      </c>
      <c r="AF1098">
        <v>12.069816866882</v>
      </c>
      <c r="AG1098">
        <v>1.097286</v>
      </c>
      <c r="AH1098">
        <v>73.071195272605706</v>
      </c>
      <c r="AI1098">
        <v>89.151172950486696</v>
      </c>
      <c r="AJ1098">
        <v>80.620638770900001</v>
      </c>
      <c r="AK1098">
        <v>74.069454529739403</v>
      </c>
      <c r="AL1098">
        <v>86.957871187581304</v>
      </c>
      <c r="AM1098">
        <v>89.298395298573695</v>
      </c>
      <c r="AN1098">
        <v>0.99999998433685999</v>
      </c>
    </row>
    <row r="1099" spans="1:40" x14ac:dyDescent="0.25">
      <c r="A1099" t="str">
        <f>"20190312160319773"</f>
        <v>20190312160319773</v>
      </c>
      <c r="B1099" t="str">
        <f>"1552377799765728"</f>
        <v>1552377799765728</v>
      </c>
      <c r="C1099" t="s">
        <v>40</v>
      </c>
      <c r="D1099">
        <v>5.7144500000000003</v>
      </c>
      <c r="E1099">
        <v>0.55774000000000001</v>
      </c>
      <c r="F1099" t="s">
        <v>42</v>
      </c>
      <c r="G1099">
        <v>-169.2955</v>
      </c>
      <c r="H1099">
        <v>2.1392699999999998</v>
      </c>
      <c r="I1099">
        <v>355.76850000000002</v>
      </c>
      <c r="J1099">
        <v>-242.1797</v>
      </c>
      <c r="K1099">
        <v>1.1099570000000001</v>
      </c>
      <c r="L1099">
        <v>367.93310000000002</v>
      </c>
      <c r="M1099">
        <v>0.99989189999999994</v>
      </c>
      <c r="N1099">
        <v>0</v>
      </c>
      <c r="O1099">
        <v>-4.9012030000000002E-4</v>
      </c>
      <c r="P1099">
        <v>0.99918399999999996</v>
      </c>
      <c r="Q1099">
        <v>3.8260179999999998E-2</v>
      </c>
      <c r="R1099">
        <v>-1.294882E-2</v>
      </c>
      <c r="S1099">
        <v>2.9944920000000002</v>
      </c>
      <c r="T1099">
        <v>4.2179229999999998E-2</v>
      </c>
      <c r="U1099">
        <v>-0.49844359999999999</v>
      </c>
      <c r="V1099">
        <v>1.2461160000000001E-2</v>
      </c>
      <c r="W1099">
        <v>5.2944999999999999E-2</v>
      </c>
      <c r="X1099">
        <v>0.99851970000000001</v>
      </c>
      <c r="Y1099">
        <v>0.16369510000000001</v>
      </c>
      <c r="Z1099">
        <v>1.138083E-3</v>
      </c>
      <c r="AA1099">
        <v>0.98651029999999995</v>
      </c>
      <c r="AB1099">
        <v>46</v>
      </c>
      <c r="AC1099">
        <v>72.884199999999893</v>
      </c>
      <c r="AD1099">
        <v>1.0293129999999999</v>
      </c>
      <c r="AE1099">
        <v>-12.1646</v>
      </c>
      <c r="AF1099">
        <v>12.126519601705199</v>
      </c>
      <c r="AG1099">
        <v>1.0293129999999999</v>
      </c>
      <c r="AH1099">
        <v>72.876013003180006</v>
      </c>
      <c r="AI1099">
        <v>89.201772679069705</v>
      </c>
      <c r="AJ1099">
        <v>80.552581823739004</v>
      </c>
      <c r="AK1099">
        <v>73.885216614301001</v>
      </c>
      <c r="AL1099">
        <v>86.965055981749302</v>
      </c>
      <c r="AM1099">
        <v>89.285006781196401</v>
      </c>
      <c r="AN1099">
        <v>1.0000000224108101</v>
      </c>
    </row>
    <row r="1100" spans="1:40" x14ac:dyDescent="0.25">
      <c r="A1100" t="str">
        <f>"20190312160319784"</f>
        <v>20190312160319784</v>
      </c>
      <c r="B1100" t="str">
        <f>"1552377799775488"</f>
        <v>1552377799775488</v>
      </c>
      <c r="C1100" t="s">
        <v>40</v>
      </c>
      <c r="D1100">
        <v>5.6833859999999996</v>
      </c>
      <c r="E1100">
        <v>0.55801269999999903</v>
      </c>
      <c r="F1100" t="s">
        <v>42</v>
      </c>
      <c r="G1100">
        <v>-169.2955</v>
      </c>
      <c r="H1100">
        <v>2.0770789999999999</v>
      </c>
      <c r="I1100">
        <v>355.71480000000003</v>
      </c>
      <c r="J1100">
        <v>-241.95070000000001</v>
      </c>
      <c r="K1100">
        <v>1.1099540000000001</v>
      </c>
      <c r="L1100">
        <v>367.93299999999999</v>
      </c>
      <c r="M1100">
        <v>0.99989189999999994</v>
      </c>
      <c r="N1100">
        <v>0</v>
      </c>
      <c r="O1100">
        <v>-4.8984850000000004E-4</v>
      </c>
      <c r="P1100">
        <v>0.99918629999999997</v>
      </c>
      <c r="Q1100">
        <v>3.8248310000000001E-2</v>
      </c>
      <c r="R1100">
        <v>-1.280717E-2</v>
      </c>
      <c r="S1100">
        <v>2.994415</v>
      </c>
      <c r="T1100">
        <v>3.9737340000000003E-2</v>
      </c>
      <c r="U1100">
        <v>-0.50198359999999997</v>
      </c>
      <c r="V1100">
        <v>1.2319689999999999E-2</v>
      </c>
      <c r="W1100">
        <v>5.2929280000000002E-2</v>
      </c>
      <c r="X1100">
        <v>0.99852229999999997</v>
      </c>
      <c r="Y1100">
        <v>0.1648356</v>
      </c>
      <c r="Z1100">
        <v>1.079644E-3</v>
      </c>
      <c r="AA1100">
        <v>0.98632039999999999</v>
      </c>
      <c r="AB1100">
        <v>46</v>
      </c>
      <c r="AC1100">
        <v>72.655199999999994</v>
      </c>
      <c r="AD1100">
        <v>0.96712499999999901</v>
      </c>
      <c r="AE1100">
        <v>-12.2182</v>
      </c>
      <c r="AF1100">
        <v>12.1805057788452</v>
      </c>
      <c r="AG1100">
        <v>0.96712499999999901</v>
      </c>
      <c r="AH1100">
        <v>72.648658618867501</v>
      </c>
      <c r="AI1100">
        <v>89.247801090685101</v>
      </c>
      <c r="AJ1100">
        <v>80.482133412009105</v>
      </c>
      <c r="AK1100">
        <v>73.669041332942996</v>
      </c>
      <c r="AL1100">
        <v>86.965957969799007</v>
      </c>
      <c r="AM1100">
        <v>89.293125022332902</v>
      </c>
      <c r="AN1100">
        <v>1.00000003352015</v>
      </c>
    </row>
    <row r="1101" spans="1:40" x14ac:dyDescent="0.25">
      <c r="A1101" t="str">
        <f>"20190312160319795"</f>
        <v>20190312160319795</v>
      </c>
      <c r="B1101" t="str">
        <f>"1552377799785250"</f>
        <v>1552377799785250</v>
      </c>
      <c r="C1101" t="s">
        <v>40</v>
      </c>
      <c r="D1101">
        <v>5.7007339999999997</v>
      </c>
      <c r="E1101">
        <v>0.55795810000000001</v>
      </c>
      <c r="F1101" t="s">
        <v>42</v>
      </c>
      <c r="G1101">
        <v>-169.2955</v>
      </c>
      <c r="H1101">
        <v>2.0624069999999999</v>
      </c>
      <c r="I1101">
        <v>355.70890000000003</v>
      </c>
      <c r="J1101">
        <v>-241.73320000000001</v>
      </c>
      <c r="K1101">
        <v>1.1099509999999999</v>
      </c>
      <c r="L1101">
        <v>367.93279999999999</v>
      </c>
      <c r="M1101">
        <v>0.99989189999999994</v>
      </c>
      <c r="N1101">
        <v>0</v>
      </c>
      <c r="O1101">
        <v>-4.900595E-4</v>
      </c>
      <c r="P1101">
        <v>0.99919000000000002</v>
      </c>
      <c r="Q1101">
        <v>3.8142229999999999E-2</v>
      </c>
      <c r="R1101">
        <v>-1.2828259999999999E-2</v>
      </c>
      <c r="S1101">
        <v>2.9944760000000001</v>
      </c>
      <c r="T1101">
        <v>3.9258719999999997E-2</v>
      </c>
      <c r="U1101">
        <v>-0.50381469999999995</v>
      </c>
      <c r="V1101">
        <v>1.2340739999999999E-2</v>
      </c>
      <c r="W1101">
        <v>5.2818329999999997E-2</v>
      </c>
      <c r="X1101">
        <v>0.99852790000000002</v>
      </c>
      <c r="Y1101">
        <v>0.16541900000000001</v>
      </c>
      <c r="Z1101">
        <v>1.07036E-3</v>
      </c>
      <c r="AA1101">
        <v>0.98622279999999996</v>
      </c>
      <c r="AB1101">
        <v>46</v>
      </c>
      <c r="AC1101">
        <v>72.437700000000007</v>
      </c>
      <c r="AD1101">
        <v>0.95245599999999897</v>
      </c>
      <c r="AE1101">
        <v>-12.223899999999899</v>
      </c>
      <c r="AF1101">
        <v>12.1863473980127</v>
      </c>
      <c r="AG1101">
        <v>0.95245599999999897</v>
      </c>
      <c r="AH1101">
        <v>72.431506695041705</v>
      </c>
      <c r="AI1101">
        <v>89.257059006693893</v>
      </c>
      <c r="AJ1101">
        <v>80.449629134311294</v>
      </c>
      <c r="AK1101">
        <v>73.455683220911197</v>
      </c>
      <c r="AL1101">
        <v>86.972323795262596</v>
      </c>
      <c r="AM1101">
        <v>89.291921316174395</v>
      </c>
      <c r="AN1101">
        <v>1.00000001846307</v>
      </c>
    </row>
    <row r="1102" spans="1:40" x14ac:dyDescent="0.25">
      <c r="A1102" t="str">
        <f>"20190312160319806"</f>
        <v>20190312160319806</v>
      </c>
      <c r="B1102" t="str">
        <f>"1552377799795984"</f>
        <v>1552377799795984</v>
      </c>
      <c r="C1102" t="s">
        <v>40</v>
      </c>
      <c r="D1102">
        <v>5.7559809999999896</v>
      </c>
      <c r="E1102">
        <v>0.55806709999999904</v>
      </c>
      <c r="F1102" t="s">
        <v>42</v>
      </c>
      <c r="G1102">
        <v>-169.2955</v>
      </c>
      <c r="H1102">
        <v>1.9367540000000001</v>
      </c>
      <c r="I1102">
        <v>355.75630000000001</v>
      </c>
      <c r="J1102">
        <v>-241.49590000000001</v>
      </c>
      <c r="K1102">
        <v>1.10995</v>
      </c>
      <c r="L1102">
        <v>367.93270000000001</v>
      </c>
      <c r="M1102">
        <v>0.999892</v>
      </c>
      <c r="N1102">
        <v>0</v>
      </c>
      <c r="O1102">
        <v>-4.9015039999999999E-4</v>
      </c>
      <c r="P1102">
        <v>0.99920180000000003</v>
      </c>
      <c r="Q1102">
        <v>3.7839329999999997E-2</v>
      </c>
      <c r="R1102">
        <v>-1.2809350000000001E-2</v>
      </c>
      <c r="S1102">
        <v>2.9946290000000002</v>
      </c>
      <c r="T1102">
        <v>3.4184220000000001E-2</v>
      </c>
      <c r="U1102">
        <v>-0.50338749999999999</v>
      </c>
      <c r="V1102">
        <v>1.23216E-2</v>
      </c>
      <c r="W1102">
        <v>5.2511670000000003E-2</v>
      </c>
      <c r="X1102">
        <v>0.99854430000000005</v>
      </c>
      <c r="Y1102">
        <v>0.16527709999999901</v>
      </c>
      <c r="Z1102">
        <v>9.3117609999999996E-4</v>
      </c>
      <c r="AA1102">
        <v>0.98624670000000003</v>
      </c>
      <c r="AB1102">
        <v>46</v>
      </c>
      <c r="AC1102">
        <v>72.200400000000002</v>
      </c>
      <c r="AD1102">
        <v>0.82680399999999998</v>
      </c>
      <c r="AE1102">
        <v>-12.176399999999999</v>
      </c>
      <c r="AF1102">
        <v>12.1394577547791</v>
      </c>
      <c r="AG1102">
        <v>0.82680399999999998</v>
      </c>
      <c r="AH1102">
        <v>72.197154336491494</v>
      </c>
      <c r="AI1102">
        <v>89.352957768036106</v>
      </c>
      <c r="AJ1102">
        <v>80.455387053041903</v>
      </c>
      <c r="AK1102">
        <v>73.215293031727001</v>
      </c>
      <c r="AL1102">
        <v>86.989918505142896</v>
      </c>
      <c r="AM1102">
        <v>89.293031016879894</v>
      </c>
      <c r="AN1102">
        <v>1.0000000081876099</v>
      </c>
    </row>
    <row r="1103" spans="1:40" x14ac:dyDescent="0.25">
      <c r="A1103" t="str">
        <f>"20190312160319818"</f>
        <v>20190312160319818</v>
      </c>
      <c r="B1103" t="str">
        <f>"1552377799805745"</f>
        <v>1552377799805745</v>
      </c>
      <c r="C1103" t="s">
        <v>40</v>
      </c>
      <c r="D1103">
        <v>5.6880329999999999</v>
      </c>
      <c r="E1103">
        <v>0.55808349999999995</v>
      </c>
      <c r="F1103" t="s">
        <v>42</v>
      </c>
      <c r="G1103">
        <v>-169.2955</v>
      </c>
      <c r="H1103">
        <v>1.7961149999999999</v>
      </c>
      <c r="I1103">
        <v>355.77280000000002</v>
      </c>
      <c r="J1103">
        <v>-241.2732</v>
      </c>
      <c r="K1103">
        <v>1.1099410000000001</v>
      </c>
      <c r="L1103">
        <v>367.93259999999998</v>
      </c>
      <c r="M1103">
        <v>0.999892</v>
      </c>
      <c r="N1103">
        <v>0</v>
      </c>
      <c r="O1103">
        <v>-4.9216609999999997E-4</v>
      </c>
      <c r="P1103">
        <v>0.99920489999999995</v>
      </c>
      <c r="Q1103">
        <v>3.7772939999999998E-2</v>
      </c>
      <c r="R1103">
        <v>-1.2756999999999999E-2</v>
      </c>
      <c r="S1103">
        <v>2.9948730000000001</v>
      </c>
      <c r="T1103">
        <v>2.8465750000000001E-2</v>
      </c>
      <c r="U1103">
        <v>-0.50439449999999997</v>
      </c>
      <c r="V1103">
        <v>1.226727E-2</v>
      </c>
      <c r="W1103">
        <v>5.2441199999999903E-2</v>
      </c>
      <c r="X1103">
        <v>0.99854869999999996</v>
      </c>
      <c r="Y1103">
        <v>0.1655877</v>
      </c>
      <c r="Z1103">
        <v>7.7677559999999896E-4</v>
      </c>
      <c r="AA1103">
        <v>0.98619480000000004</v>
      </c>
      <c r="AB1103">
        <v>46</v>
      </c>
      <c r="AC1103">
        <v>71.977699999999999</v>
      </c>
      <c r="AD1103">
        <v>0.68617399999999995</v>
      </c>
      <c r="AE1103">
        <v>-12.159799999999899</v>
      </c>
      <c r="AF1103">
        <v>12.1232985172171</v>
      </c>
      <c r="AG1103">
        <v>0.68617399999999995</v>
      </c>
      <c r="AH1103">
        <v>71.977316716232195</v>
      </c>
      <c r="AI1103">
        <v>89.461390672112103</v>
      </c>
      <c r="AJ1103">
        <v>80.439281888814605</v>
      </c>
      <c r="AK1103">
        <v>72.994378710724206</v>
      </c>
      <c r="AL1103">
        <v>86.9939617927147</v>
      </c>
      <c r="AM1103">
        <v>89.296151063232401</v>
      </c>
      <c r="AN1103">
        <v>1.00000003582119</v>
      </c>
    </row>
    <row r="1104" spans="1:40" x14ac:dyDescent="0.25">
      <c r="A1104" t="str">
        <f>"20190312160319830"</f>
        <v>20190312160319830</v>
      </c>
      <c r="B1104" t="str">
        <f>"1552377799825265"</f>
        <v>1552377799825265</v>
      </c>
      <c r="C1104" t="s">
        <v>40</v>
      </c>
      <c r="D1104">
        <v>5.8783760000000003</v>
      </c>
      <c r="E1104">
        <v>0.55847279999999999</v>
      </c>
      <c r="F1104" t="s">
        <v>42</v>
      </c>
      <c r="G1104">
        <v>-169.2955</v>
      </c>
      <c r="H1104">
        <v>1.711759</v>
      </c>
      <c r="I1104">
        <v>355.81439999999998</v>
      </c>
      <c r="J1104">
        <v>-241.03960000000001</v>
      </c>
      <c r="K1104">
        <v>1.109939</v>
      </c>
      <c r="L1104">
        <v>367.9325</v>
      </c>
      <c r="M1104">
        <v>0.99989220000000001</v>
      </c>
      <c r="N1104">
        <v>0</v>
      </c>
      <c r="O1104">
        <v>-4.9526150000000005E-4</v>
      </c>
      <c r="P1104">
        <v>0.99921320000000002</v>
      </c>
      <c r="Q1104">
        <v>3.7644789999999997E-2</v>
      </c>
      <c r="R1104">
        <v>-1.250297E-2</v>
      </c>
      <c r="S1104">
        <v>2.9950260000000002</v>
      </c>
      <c r="T1104">
        <v>2.504551E-2</v>
      </c>
      <c r="U1104">
        <v>-0.50424190000000002</v>
      </c>
      <c r="V1104">
        <v>1.2010470000000001E-2</v>
      </c>
      <c r="W1104">
        <v>5.2309300000000003E-2</v>
      </c>
      <c r="X1104">
        <v>0.99855870000000002</v>
      </c>
      <c r="Y1104">
        <v>0.16552919999999999</v>
      </c>
      <c r="Z1104">
        <v>6.8314739999999997E-4</v>
      </c>
      <c r="AA1104">
        <v>0.98620459999999999</v>
      </c>
      <c r="AB1104">
        <v>46</v>
      </c>
      <c r="AC1104">
        <v>71.744100000000003</v>
      </c>
      <c r="AD1104">
        <v>0.60182000000000002</v>
      </c>
      <c r="AE1104">
        <v>-12.1181</v>
      </c>
      <c r="AF1104">
        <v>12.081736038428501</v>
      </c>
      <c r="AG1104">
        <v>0.60182000000000002</v>
      </c>
      <c r="AH1104">
        <v>71.745185109678502</v>
      </c>
      <c r="AI1104">
        <v>89.526069726345995</v>
      </c>
      <c r="AJ1104">
        <v>80.441195399084094</v>
      </c>
      <c r="AK1104">
        <v>72.757832014407199</v>
      </c>
      <c r="AL1104">
        <v>87.001529372516998</v>
      </c>
      <c r="AM1104">
        <v>89.310890727373206</v>
      </c>
      <c r="AN1104">
        <v>0.99999999580090004</v>
      </c>
    </row>
    <row r="1105" spans="1:40" x14ac:dyDescent="0.25">
      <c r="A1105" t="str">
        <f>"20190312160319840"</f>
        <v>20190312160319840</v>
      </c>
      <c r="B1105" t="str">
        <f>"1552377799836000"</f>
        <v>1552377799836000</v>
      </c>
      <c r="C1105" t="s">
        <v>40</v>
      </c>
      <c r="D1105">
        <v>5.7769709999999996</v>
      </c>
      <c r="E1105">
        <v>0.55860779999999999</v>
      </c>
      <c r="F1105" t="s">
        <v>42</v>
      </c>
      <c r="G1105">
        <v>-169.2955</v>
      </c>
      <c r="H1105">
        <v>1.5642199999999999</v>
      </c>
      <c r="I1105">
        <v>355.79489999999998</v>
      </c>
      <c r="J1105">
        <v>-240.79400000000001</v>
      </c>
      <c r="K1105">
        <v>1.1099349999999999</v>
      </c>
      <c r="L1105">
        <v>367.9323</v>
      </c>
      <c r="M1105">
        <v>0.99989220000000001</v>
      </c>
      <c r="N1105">
        <v>0</v>
      </c>
      <c r="O1105">
        <v>-5.0268169999999996E-4</v>
      </c>
      <c r="P1105">
        <v>0.99920370000000003</v>
      </c>
      <c r="Q1105">
        <v>3.7900259999999998E-2</v>
      </c>
      <c r="R1105">
        <v>-1.247206E-2</v>
      </c>
      <c r="S1105">
        <v>2.9952999999999999</v>
      </c>
      <c r="T1105">
        <v>1.896977E-2</v>
      </c>
      <c r="U1105">
        <v>-0.50674439999999998</v>
      </c>
      <c r="V1105">
        <v>1.197255E-2</v>
      </c>
      <c r="W1105">
        <v>5.2561200000000002E-2</v>
      </c>
      <c r="X1105">
        <v>0.99854589999999999</v>
      </c>
      <c r="Y1105">
        <v>0.1663105</v>
      </c>
      <c r="Z1105">
        <v>5.1975519999999996E-4</v>
      </c>
      <c r="AA1105">
        <v>0.98607330000000004</v>
      </c>
      <c r="AB1105">
        <v>46</v>
      </c>
      <c r="AC1105">
        <v>71.498500000000007</v>
      </c>
      <c r="AD1105">
        <v>0.45428499999999999</v>
      </c>
      <c r="AE1105">
        <v>-12.1374</v>
      </c>
      <c r="AF1105">
        <v>12.1009787707843</v>
      </c>
      <c r="AG1105">
        <v>0.45428499999999999</v>
      </c>
      <c r="AH1105">
        <v>71.501787169059597</v>
      </c>
      <c r="AI1105">
        <v>89.641081146800502</v>
      </c>
      <c r="AJ1105">
        <v>80.394268980845695</v>
      </c>
      <c r="AK1105">
        <v>72.5199671155586</v>
      </c>
      <c r="AL1105">
        <v>86.987076599690397</v>
      </c>
      <c r="AM1105">
        <v>89.313057400858696</v>
      </c>
      <c r="AN1105">
        <v>0.99999996805287505</v>
      </c>
    </row>
    <row r="1106" spans="1:40" x14ac:dyDescent="0.25">
      <c r="A1106" t="str">
        <f>"20190312160319852"</f>
        <v>20190312160319852</v>
      </c>
      <c r="B1106" t="str">
        <f>"1552377799845760"</f>
        <v>1552377799845760</v>
      </c>
      <c r="C1106" t="s">
        <v>40</v>
      </c>
      <c r="D1106">
        <v>5.6366630000000004</v>
      </c>
      <c r="E1106">
        <v>0.55835800000000002</v>
      </c>
      <c r="F1106" t="s">
        <v>42</v>
      </c>
      <c r="G1106">
        <v>-169.2955</v>
      </c>
      <c r="H1106">
        <v>1.4984839999999999</v>
      </c>
      <c r="I1106">
        <v>355.80619999999999</v>
      </c>
      <c r="J1106">
        <v>-240.5796</v>
      </c>
      <c r="K1106">
        <v>1.1099319999999999</v>
      </c>
      <c r="L1106">
        <v>367.9323</v>
      </c>
      <c r="M1106">
        <v>0.99989229999999996</v>
      </c>
      <c r="N1106">
        <v>0</v>
      </c>
      <c r="O1106">
        <v>-5.1178040000000001E-4</v>
      </c>
      <c r="P1106">
        <v>0.99919740000000001</v>
      </c>
      <c r="Q1106">
        <v>3.8007390000000002E-2</v>
      </c>
      <c r="R1106">
        <v>-1.2655100000000001E-2</v>
      </c>
      <c r="S1106">
        <v>2.995422</v>
      </c>
      <c r="T1106">
        <v>1.6281839999999999E-2</v>
      </c>
      <c r="U1106">
        <v>-0.50802609999999904</v>
      </c>
      <c r="V1106">
        <v>1.2146799999999999E-2</v>
      </c>
      <c r="W1106">
        <v>5.2664530000000001E-2</v>
      </c>
      <c r="X1106">
        <v>0.99853840000000005</v>
      </c>
      <c r="Y1106">
        <v>0.16670589999999999</v>
      </c>
      <c r="Z1106">
        <v>4.4709369999999999E-4</v>
      </c>
      <c r="AA1106">
        <v>0.98600659999999896</v>
      </c>
      <c r="AB1106">
        <v>46</v>
      </c>
      <c r="AC1106">
        <v>71.284099999999995</v>
      </c>
      <c r="AD1106">
        <v>0.38855200000000001</v>
      </c>
      <c r="AE1106">
        <v>-12.126099999999999</v>
      </c>
      <c r="AF1106">
        <v>12.0892636025233</v>
      </c>
      <c r="AG1106">
        <v>0.38855200000000001</v>
      </c>
      <c r="AH1106">
        <v>71.288238772835896</v>
      </c>
      <c r="AI1106">
        <v>89.6921118106942</v>
      </c>
      <c r="AJ1106">
        <v>80.375185179734899</v>
      </c>
      <c r="AK1106">
        <v>72.307083017093504</v>
      </c>
      <c r="AL1106">
        <v>86.981148162932996</v>
      </c>
      <c r="AM1106">
        <v>89.303055296694097</v>
      </c>
      <c r="AN1106">
        <v>1.0000000168724601</v>
      </c>
    </row>
    <row r="1107" spans="1:40" x14ac:dyDescent="0.25">
      <c r="A1107" t="str">
        <f>"20190312160319863"</f>
        <v>20190312160319863</v>
      </c>
      <c r="B1107" t="str">
        <f>"1552377799855520"</f>
        <v>1552377799855520</v>
      </c>
      <c r="C1107" t="s">
        <v>40</v>
      </c>
      <c r="D1107">
        <v>5.5259739999999997</v>
      </c>
      <c r="E1107">
        <v>0.55791630000000003</v>
      </c>
      <c r="F1107" t="s">
        <v>42</v>
      </c>
      <c r="G1107">
        <v>-169.2955</v>
      </c>
      <c r="H1107">
        <v>1.4912449999999999</v>
      </c>
      <c r="I1107">
        <v>355.87860000000001</v>
      </c>
      <c r="J1107">
        <v>-240.33099999999999</v>
      </c>
      <c r="K1107">
        <v>1.1099300000000001</v>
      </c>
      <c r="L1107">
        <v>367.93209999999999</v>
      </c>
      <c r="M1107">
        <v>0.99989220000000001</v>
      </c>
      <c r="N1107">
        <v>0</v>
      </c>
      <c r="O1107">
        <v>-5.2591170000000002E-4</v>
      </c>
      <c r="P1107">
        <v>0.9991913</v>
      </c>
      <c r="Q1107">
        <v>3.8132270000000003E-2</v>
      </c>
      <c r="R1107">
        <v>-1.276016E-2</v>
      </c>
      <c r="S1107">
        <v>2.9953919999999998</v>
      </c>
      <c r="T1107">
        <v>1.6026619999999998E-2</v>
      </c>
      <c r="U1107">
        <v>-0.50650019999999996</v>
      </c>
      <c r="V1107">
        <v>1.223846E-2</v>
      </c>
      <c r="W1107">
        <v>5.278596E-2</v>
      </c>
      <c r="X1107">
        <v>0.9985309</v>
      </c>
      <c r="Y1107">
        <v>0.16620550000000001</v>
      </c>
      <c r="Z1107">
        <v>4.3870379999999998E-4</v>
      </c>
      <c r="AA1107">
        <v>0.98609100000000005</v>
      </c>
      <c r="AB1107">
        <v>46</v>
      </c>
      <c r="AC1107">
        <v>71.0354999999999</v>
      </c>
      <c r="AD1107">
        <v>0.38131500000000002</v>
      </c>
      <c r="AE1107">
        <v>-12.0534999999999</v>
      </c>
      <c r="AF1107">
        <v>12.0157993656518</v>
      </c>
      <c r="AG1107">
        <v>0.38131500000000002</v>
      </c>
      <c r="AH1107">
        <v>71.039840217042098</v>
      </c>
      <c r="AI1107">
        <v>89.696767777284705</v>
      </c>
      <c r="AJ1107">
        <v>80.399757105903703</v>
      </c>
      <c r="AK1107">
        <v>72.049869768013394</v>
      </c>
      <c r="AL1107">
        <v>86.974181139543305</v>
      </c>
      <c r="AM1107">
        <v>89.297791388676401</v>
      </c>
      <c r="AN1107">
        <v>1.00000004786555</v>
      </c>
    </row>
    <row r="1108" spans="1:40" x14ac:dyDescent="0.25">
      <c r="A1108" t="str">
        <f>"20190312160319875"</f>
        <v>20190312160319875</v>
      </c>
      <c r="B1108" t="str">
        <f>"1552377799865280"</f>
        <v>1552377799865280</v>
      </c>
      <c r="C1108" t="s">
        <v>40</v>
      </c>
      <c r="D1108">
        <v>5.6716470000000001</v>
      </c>
      <c r="E1108">
        <v>0.55745999999999996</v>
      </c>
      <c r="F1108" t="s">
        <v>42</v>
      </c>
      <c r="G1108">
        <v>-169.2955</v>
      </c>
      <c r="H1108">
        <v>1.557949</v>
      </c>
      <c r="I1108">
        <v>355.98950000000002</v>
      </c>
      <c r="J1108">
        <v>-240.1069</v>
      </c>
      <c r="K1108">
        <v>1.109931</v>
      </c>
      <c r="L1108">
        <v>367.93189999999998</v>
      </c>
      <c r="M1108">
        <v>0.99989240000000001</v>
      </c>
      <c r="N1108">
        <v>0</v>
      </c>
      <c r="O1108">
        <v>-5.4483440000000004E-4</v>
      </c>
      <c r="P1108">
        <v>0.9991835</v>
      </c>
      <c r="Q1108">
        <v>3.8302349999999999E-2</v>
      </c>
      <c r="R1108">
        <v>-1.287569E-2</v>
      </c>
      <c r="S1108">
        <v>2.9952549999999998</v>
      </c>
      <c r="T1108">
        <v>1.8894669999999999E-2</v>
      </c>
      <c r="U1108">
        <v>-0.50357059999999998</v>
      </c>
      <c r="V1108">
        <v>1.2335830000000001E-2</v>
      </c>
      <c r="W1108">
        <v>5.2952609999999997E-2</v>
      </c>
      <c r="X1108">
        <v>0.99852090000000004</v>
      </c>
      <c r="Y1108">
        <v>0.1652554</v>
      </c>
      <c r="Z1108">
        <v>5.1418199999999996E-4</v>
      </c>
      <c r="AA1108">
        <v>0.98625059999999998</v>
      </c>
      <c r="AB1108">
        <v>46</v>
      </c>
      <c r="AC1108">
        <v>70.811399999999907</v>
      </c>
      <c r="AD1108">
        <v>0.44801800000000003</v>
      </c>
      <c r="AE1108">
        <v>-11.9423999999999</v>
      </c>
      <c r="AF1108">
        <v>11.903350282529701</v>
      </c>
      <c r="AG1108">
        <v>0.44801800000000003</v>
      </c>
      <c r="AH1108">
        <v>70.815140492350295</v>
      </c>
      <c r="AI1108">
        <v>89.642532922532993</v>
      </c>
      <c r="AJ1108">
        <v>80.458323024752403</v>
      </c>
      <c r="AK1108">
        <v>71.809989493302595</v>
      </c>
      <c r="AL1108">
        <v>86.964619491970595</v>
      </c>
      <c r="AM1108">
        <v>89.292198048773898</v>
      </c>
      <c r="AN1108">
        <v>1.0000000696722</v>
      </c>
    </row>
    <row r="1109" spans="1:40" x14ac:dyDescent="0.25">
      <c r="A1109" t="str">
        <f>"20190312160319889"</f>
        <v>20190312160319889</v>
      </c>
      <c r="B1109" t="str">
        <f>"1552377799875397"</f>
        <v>1552377799875397</v>
      </c>
      <c r="C1109" t="s">
        <v>40</v>
      </c>
      <c r="D1109">
        <v>5.665146</v>
      </c>
      <c r="E1109">
        <v>0.55712689999999998</v>
      </c>
      <c r="F1109" t="s">
        <v>42</v>
      </c>
      <c r="G1109">
        <v>-169.2955</v>
      </c>
      <c r="H1109">
        <v>1.6203179999999999</v>
      </c>
      <c r="I1109">
        <v>356.11689999999999</v>
      </c>
      <c r="J1109">
        <v>-239.8389</v>
      </c>
      <c r="K1109">
        <v>1.1099239999999999</v>
      </c>
      <c r="L1109">
        <v>367.93180000000001</v>
      </c>
      <c r="M1109">
        <v>0.99989240000000001</v>
      </c>
      <c r="N1109">
        <v>0</v>
      </c>
      <c r="O1109">
        <v>-5.7130270000000001E-4</v>
      </c>
      <c r="P1109">
        <v>0.99917549999999999</v>
      </c>
      <c r="Q1109">
        <v>3.8415440000000002E-2</v>
      </c>
      <c r="R1109">
        <v>-1.313282E-2</v>
      </c>
      <c r="S1109">
        <v>2.995193</v>
      </c>
      <c r="T1109">
        <v>2.1592139999999999E-2</v>
      </c>
      <c r="U1109">
        <v>-0.49975589999999998</v>
      </c>
      <c r="V1109">
        <v>1.256783E-2</v>
      </c>
      <c r="W1109">
        <v>5.3061650000000002E-2</v>
      </c>
      <c r="X1109">
        <v>0.99851210000000001</v>
      </c>
      <c r="Y1109">
        <v>0.16400970000000001</v>
      </c>
      <c r="Z1109">
        <v>5.8301100000000003E-4</v>
      </c>
      <c r="AA1109">
        <v>0.98645850000000002</v>
      </c>
      <c r="AB1109">
        <v>46</v>
      </c>
      <c r="AC1109">
        <v>70.543399999999906</v>
      </c>
      <c r="AD1109">
        <v>0.51039400000000001</v>
      </c>
      <c r="AE1109">
        <v>-11.8149</v>
      </c>
      <c r="AF1109">
        <v>11.7739925810017</v>
      </c>
      <c r="AG1109">
        <v>0.51039400000000001</v>
      </c>
      <c r="AH1109">
        <v>70.546546903397001</v>
      </c>
      <c r="AI1109">
        <v>89.591135663381706</v>
      </c>
      <c r="AJ1109">
        <v>80.524849246799803</v>
      </c>
      <c r="AK1109">
        <v>71.5241405633505</v>
      </c>
      <c r="AL1109">
        <v>86.958362805117503</v>
      </c>
      <c r="AM1109">
        <v>89.278881453020901</v>
      </c>
      <c r="AN1109">
        <v>0.99999995144901899</v>
      </c>
    </row>
    <row r="1110" spans="1:40" x14ac:dyDescent="0.25">
      <c r="A1110" t="str">
        <f>"20190312160319901"</f>
        <v>20190312160319901</v>
      </c>
      <c r="B1110" t="str">
        <f>"1552377799895892"</f>
        <v>1552377799895892</v>
      </c>
      <c r="C1110" t="s">
        <v>40</v>
      </c>
      <c r="D1110">
        <v>5.6572589999999998</v>
      </c>
      <c r="E1110">
        <v>0.55706409999999995</v>
      </c>
      <c r="F1110" t="s">
        <v>42</v>
      </c>
      <c r="G1110">
        <v>-169.2955</v>
      </c>
      <c r="H1110">
        <v>1.6696</v>
      </c>
      <c r="I1110">
        <v>356.19959999999998</v>
      </c>
      <c r="J1110">
        <v>-239.5581</v>
      </c>
      <c r="K1110">
        <v>1.1099129999999999</v>
      </c>
      <c r="L1110">
        <v>367.9316</v>
      </c>
      <c r="M1110">
        <v>0.99989249999999996</v>
      </c>
      <c r="N1110">
        <v>0</v>
      </c>
      <c r="O1110">
        <v>-6.1165540000000004E-4</v>
      </c>
      <c r="P1110">
        <v>0.99915980000000004</v>
      </c>
      <c r="Q1110">
        <v>3.8781839999999998E-2</v>
      </c>
      <c r="R1110">
        <v>-1.325133E-2</v>
      </c>
      <c r="S1110">
        <v>2.9950410000000001</v>
      </c>
      <c r="T1110">
        <v>2.3765680000000001E-2</v>
      </c>
      <c r="U1110">
        <v>-0.49810789999999999</v>
      </c>
      <c r="V1110">
        <v>1.2647510000000001E-2</v>
      </c>
      <c r="W1110">
        <v>5.3423529999999997E-2</v>
      </c>
      <c r="X1110">
        <v>0.99849180000000004</v>
      </c>
      <c r="Y1110">
        <v>0.16344910000000001</v>
      </c>
      <c r="Z1110">
        <v>6.3923120000000005E-4</v>
      </c>
      <c r="AA1110">
        <v>0.98655159999999997</v>
      </c>
      <c r="AB1110">
        <v>45</v>
      </c>
      <c r="AC1110">
        <v>70.262599999999907</v>
      </c>
      <c r="AD1110">
        <v>0.55968699999999905</v>
      </c>
      <c r="AE1110">
        <v>-11.731999999999999</v>
      </c>
      <c r="AF1110">
        <v>11.688295169955801</v>
      </c>
      <c r="AG1110">
        <v>0.55968699999999905</v>
      </c>
      <c r="AH1110">
        <v>70.265426048024395</v>
      </c>
      <c r="AI1110">
        <v>89.549815788894307</v>
      </c>
      <c r="AJ1110">
        <v>80.555616411487705</v>
      </c>
      <c r="AK1110">
        <v>71.233135486431905</v>
      </c>
      <c r="AL1110">
        <v>86.937599163709294</v>
      </c>
      <c r="AM1110">
        <v>89.274295299065699</v>
      </c>
      <c r="AN1110">
        <v>0.99999995386704899</v>
      </c>
    </row>
    <row r="1111" spans="1:40" x14ac:dyDescent="0.25">
      <c r="A1111" t="str">
        <f>"20190312160319915"</f>
        <v>20190312160319915</v>
      </c>
      <c r="B1111" t="str">
        <f>"1552377799905653"</f>
        <v>1552377799905653</v>
      </c>
      <c r="C1111" t="s">
        <v>40</v>
      </c>
      <c r="D1111">
        <v>5.6786760000000003</v>
      </c>
      <c r="E1111">
        <v>0.55728009999999994</v>
      </c>
      <c r="F1111" t="s">
        <v>42</v>
      </c>
      <c r="G1111">
        <v>-169.2955</v>
      </c>
      <c r="H1111">
        <v>1.6442859999999999</v>
      </c>
      <c r="I1111">
        <v>356.24829999999997</v>
      </c>
      <c r="J1111">
        <v>-239.29599999999999</v>
      </c>
      <c r="K1111">
        <v>1.1099049999999999</v>
      </c>
      <c r="L1111">
        <v>367.9314</v>
      </c>
      <c r="M1111">
        <v>0.99989240000000001</v>
      </c>
      <c r="N1111">
        <v>0</v>
      </c>
      <c r="O1111">
        <v>-6.5750420000000001E-4</v>
      </c>
      <c r="P1111">
        <v>0.99913700000000005</v>
      </c>
      <c r="Q1111">
        <v>3.9246349999999999E-2</v>
      </c>
      <c r="R1111">
        <v>-1.359993E-2</v>
      </c>
      <c r="S1111">
        <v>2.9950260000000002</v>
      </c>
      <c r="T1111">
        <v>2.2781969999999999E-2</v>
      </c>
      <c r="U1111">
        <v>-0.49801640000000003</v>
      </c>
      <c r="V1111">
        <v>1.295194E-2</v>
      </c>
      <c r="W1111">
        <v>5.388445E-2</v>
      </c>
      <c r="X1111">
        <v>0.9984632</v>
      </c>
      <c r="Y1111">
        <v>0.16337570000000001</v>
      </c>
      <c r="Z1111">
        <v>6.1215369999999996E-4</v>
      </c>
      <c r="AA1111">
        <v>0.98656370000000004</v>
      </c>
      <c r="AB1111">
        <v>45</v>
      </c>
      <c r="AC1111">
        <v>70.000499999999903</v>
      </c>
      <c r="AD1111">
        <v>0.53438099999999999</v>
      </c>
      <c r="AE1111">
        <v>-11.6831</v>
      </c>
      <c r="AF1111">
        <v>11.6364071476133</v>
      </c>
      <c r="AG1111">
        <v>0.53438099999999999</v>
      </c>
      <c r="AH1111">
        <v>70.004198281371103</v>
      </c>
      <c r="AI1111">
        <v>89.568557582280405</v>
      </c>
      <c r="AJ1111">
        <v>80.562333678937506</v>
      </c>
      <c r="AK1111">
        <v>70.966747927291294</v>
      </c>
      <c r="AL1111">
        <v>86.911152514699694</v>
      </c>
      <c r="AM1111">
        <v>89.256807983600297</v>
      </c>
      <c r="AN1111">
        <v>1.0000000242278999</v>
      </c>
    </row>
    <row r="1112" spans="1:40" x14ac:dyDescent="0.25">
      <c r="A1112" t="str">
        <f>"20190312160319936"</f>
        <v>20190312160319936</v>
      </c>
      <c r="B1112" t="str">
        <f>"1552377799926149"</f>
        <v>1552377799926149</v>
      </c>
      <c r="C1112" t="s">
        <v>40</v>
      </c>
      <c r="D1112">
        <v>5.4981410000000004</v>
      </c>
      <c r="E1112">
        <v>0.5660212</v>
      </c>
      <c r="F1112" t="s">
        <v>42</v>
      </c>
      <c r="G1112">
        <v>-169.2955</v>
      </c>
      <c r="H1112">
        <v>1.6211500000000001</v>
      </c>
      <c r="I1112">
        <v>356.22629999999998</v>
      </c>
      <c r="J1112">
        <v>-238.86189999999999</v>
      </c>
      <c r="K1112">
        <v>1.109885</v>
      </c>
      <c r="L1112">
        <v>367.93110000000001</v>
      </c>
      <c r="M1112">
        <v>0.99989249999999996</v>
      </c>
      <c r="N1112">
        <v>0</v>
      </c>
      <c r="O1112">
        <v>-7.5539580000000002E-4</v>
      </c>
      <c r="P1112">
        <v>0.99910209999999999</v>
      </c>
      <c r="Q1112">
        <v>4.0116529999999997E-2</v>
      </c>
      <c r="R1112">
        <v>-1.3638559999999999E-2</v>
      </c>
      <c r="S1112">
        <v>2.994904</v>
      </c>
      <c r="T1112">
        <v>2.187681E-2</v>
      </c>
      <c r="U1112">
        <v>-0.5007935</v>
      </c>
      <c r="V1112">
        <v>1.289592E-2</v>
      </c>
      <c r="W1112">
        <v>5.4748159999999997E-2</v>
      </c>
      <c r="X1112">
        <v>0.99841690000000005</v>
      </c>
      <c r="Y1112">
        <v>0.16417599999999999</v>
      </c>
      <c r="Z1112">
        <v>5.9000459999999997E-4</v>
      </c>
      <c r="AA1112">
        <v>0.9864309</v>
      </c>
      <c r="AB1112">
        <v>45</v>
      </c>
      <c r="AC1112">
        <v>69.566399999999902</v>
      </c>
      <c r="AD1112">
        <v>0.51126499999999997</v>
      </c>
      <c r="AE1112">
        <v>-11.704800000000001</v>
      </c>
      <c r="AF1112">
        <v>11.6516288522552</v>
      </c>
      <c r="AG1112">
        <v>0.51126499999999997</v>
      </c>
      <c r="AH1112">
        <v>69.571568578515496</v>
      </c>
      <c r="AI1112">
        <v>89.584737711391597</v>
      </c>
      <c r="AJ1112">
        <v>80.492516886143903</v>
      </c>
      <c r="AK1112">
        <v>70.542363167716601</v>
      </c>
      <c r="AL1112">
        <v>86.861592294883096</v>
      </c>
      <c r="AM1112">
        <v>89.259987783455799</v>
      </c>
      <c r="AN1112">
        <v>0.99999998599082096</v>
      </c>
    </row>
    <row r="1113" spans="1:40" x14ac:dyDescent="0.25">
      <c r="A1113" t="str">
        <f>"20190312160319949"</f>
        <v>20190312160319949</v>
      </c>
      <c r="B1113" t="str">
        <f>"1552377799945668"</f>
        <v>1552377799945668</v>
      </c>
      <c r="C1113" t="s">
        <v>40</v>
      </c>
      <c r="D1113">
        <v>5.6493379999999904</v>
      </c>
      <c r="E1113">
        <v>0.56430419999999903</v>
      </c>
      <c r="F1113" t="s">
        <v>41</v>
      </c>
      <c r="G1113">
        <v>-221.23519999999999</v>
      </c>
      <c r="H1113" s="1">
        <v>-4.6423410000000001E-6</v>
      </c>
      <c r="I1113">
        <v>364.54300000000001</v>
      </c>
      <c r="J1113">
        <v>-238.6002</v>
      </c>
      <c r="K1113">
        <v>1.1098709999999901</v>
      </c>
      <c r="L1113">
        <v>367.93079999999998</v>
      </c>
      <c r="M1113">
        <v>0.99989249999999996</v>
      </c>
      <c r="N1113">
        <v>0</v>
      </c>
      <c r="O1113">
        <v>-8.2694470000000005E-4</v>
      </c>
      <c r="P1113">
        <v>0.99909910000000002</v>
      </c>
      <c r="Q1113">
        <v>4.0145420000000001E-2</v>
      </c>
      <c r="R1113">
        <v>-1.3766260000000001E-2</v>
      </c>
      <c r="S1113">
        <v>3.0024109999999999</v>
      </c>
      <c r="T1113">
        <v>-0.1890492</v>
      </c>
      <c r="U1113">
        <v>-0.57708740000000003</v>
      </c>
      <c r="V1113">
        <v>1.295435E-2</v>
      </c>
      <c r="W1113">
        <v>5.4772920000000003E-2</v>
      </c>
      <c r="X1113">
        <v>0.99841480000000005</v>
      </c>
      <c r="Y1113">
        <v>0.1875841</v>
      </c>
      <c r="Z1113">
        <v>-5.7949459999999996E-3</v>
      </c>
      <c r="AA1113">
        <v>0.98223139999999998</v>
      </c>
      <c r="AB1113">
        <v>45</v>
      </c>
      <c r="AC1113">
        <v>17.364999999999998</v>
      </c>
      <c r="AD1113">
        <v>-1.1098756423409999</v>
      </c>
      <c r="AE1113">
        <v>-3.3877999999999702</v>
      </c>
      <c r="AF1113">
        <v>3.3602140143504</v>
      </c>
      <c r="AG1113">
        <v>-1.1098756423409999</v>
      </c>
      <c r="AH1113">
        <v>17.2997166025886</v>
      </c>
      <c r="AI1113">
        <v>93.603654456238402</v>
      </c>
      <c r="AJ1113">
        <v>79.008011337520301</v>
      </c>
      <c r="AK1113">
        <v>17.657945993053001</v>
      </c>
      <c r="AL1113">
        <v>86.860171564812205</v>
      </c>
      <c r="AM1113">
        <v>89.256633681246697</v>
      </c>
      <c r="AN1113">
        <v>1.0000000004041401</v>
      </c>
    </row>
    <row r="1114" spans="1:40" x14ac:dyDescent="0.25">
      <c r="A1114" t="str">
        <f>"20190312160319961"</f>
        <v>20190312160319961</v>
      </c>
      <c r="B1114" t="str">
        <f>"1552377799955429"</f>
        <v>1552377799955429</v>
      </c>
      <c r="C1114" t="s">
        <v>40</v>
      </c>
      <c r="D1114">
        <v>5.7729569999999999</v>
      </c>
      <c r="E1114">
        <v>0.56430419999999903</v>
      </c>
      <c r="F1114" t="s">
        <v>42</v>
      </c>
      <c r="G1114">
        <v>-169.2955</v>
      </c>
      <c r="H1114">
        <v>0.44477559999999999</v>
      </c>
      <c r="I1114">
        <v>355.00360000000001</v>
      </c>
      <c r="J1114">
        <v>-238.36080000000001</v>
      </c>
      <c r="K1114">
        <v>1.109858</v>
      </c>
      <c r="L1114">
        <v>367.93049999999999</v>
      </c>
      <c r="M1114">
        <v>0.99989249999999996</v>
      </c>
      <c r="N1114">
        <v>0</v>
      </c>
      <c r="O1114">
        <v>-9.0684649999999995E-4</v>
      </c>
      <c r="P1114">
        <v>0.99908600000000003</v>
      </c>
      <c r="Q1114">
        <v>4.0393659999999998E-2</v>
      </c>
      <c r="R1114">
        <v>-1.400567E-2</v>
      </c>
      <c r="S1114">
        <v>2.9961700000000002</v>
      </c>
      <c r="T1114">
        <v>-2.8749469999999999E-2</v>
      </c>
      <c r="U1114">
        <v>-0.55886840000000004</v>
      </c>
      <c r="V1114">
        <v>1.311611E-2</v>
      </c>
      <c r="W1114">
        <v>5.5018119999999997E-2</v>
      </c>
      <c r="X1114">
        <v>0.99839920000000004</v>
      </c>
      <c r="Y1114">
        <v>0.1824653</v>
      </c>
      <c r="Z1114">
        <v>-8.5928250000000001E-4</v>
      </c>
      <c r="AA1114">
        <v>0.98321190000000003</v>
      </c>
      <c r="AB1114">
        <v>45</v>
      </c>
      <c r="AC1114">
        <v>69.065299999999993</v>
      </c>
      <c r="AD1114">
        <v>-0.66508239999999996</v>
      </c>
      <c r="AE1114">
        <v>-12.9268999999999</v>
      </c>
      <c r="AF1114">
        <v>12.8631038977437</v>
      </c>
      <c r="AG1114">
        <v>-0.66508239999999996</v>
      </c>
      <c r="AH1114">
        <v>69.070807259617098</v>
      </c>
      <c r="AI1114">
        <v>90.542359391304302</v>
      </c>
      <c r="AJ1114">
        <v>79.450617165781907</v>
      </c>
      <c r="AK1114">
        <v>70.261498645973305</v>
      </c>
      <c r="AL1114">
        <v>86.846101403797704</v>
      </c>
      <c r="AM1114">
        <v>89.247340624039396</v>
      </c>
      <c r="AN1114">
        <v>0.99999999421525299</v>
      </c>
    </row>
    <row r="1115" spans="1:40" x14ac:dyDescent="0.25">
      <c r="A1115" t="str">
        <f>"20190312160319972"</f>
        <v>20190312160319972</v>
      </c>
      <c r="B1115" t="str">
        <f>"1552377799965189"</f>
        <v>1552377799965189</v>
      </c>
      <c r="C1115" t="s">
        <v>40</v>
      </c>
      <c r="D1115">
        <v>5.5956780000000004</v>
      </c>
      <c r="E1115">
        <v>0.56391849999999999</v>
      </c>
      <c r="F1115" t="s">
        <v>42</v>
      </c>
      <c r="G1115">
        <v>-169.2955</v>
      </c>
      <c r="H1115">
        <v>0.46184540000000002</v>
      </c>
      <c r="I1115">
        <v>355.03179999999998</v>
      </c>
      <c r="J1115">
        <v>-238.13990000000001</v>
      </c>
      <c r="K1115">
        <v>1.1098429999999999</v>
      </c>
      <c r="L1115">
        <v>367.93029999999999</v>
      </c>
      <c r="M1115">
        <v>0.99989229999999996</v>
      </c>
      <c r="N1115">
        <v>0</v>
      </c>
      <c r="O1115">
        <v>-9.8769489999999999E-4</v>
      </c>
      <c r="P1115">
        <v>0.99906989999999996</v>
      </c>
      <c r="Q1115">
        <v>4.0615449999999997E-2</v>
      </c>
      <c r="R1115">
        <v>-1.4492970000000001E-2</v>
      </c>
      <c r="S1115">
        <v>2.9960170000000002</v>
      </c>
      <c r="T1115">
        <v>-2.8106570000000001E-2</v>
      </c>
      <c r="U1115">
        <v>-0.55953980000000003</v>
      </c>
      <c r="V1115">
        <v>1.352475E-2</v>
      </c>
      <c r="W1115">
        <v>5.523666E-2</v>
      </c>
      <c r="X1115">
        <v>0.99838170000000004</v>
      </c>
      <c r="Y1115">
        <v>0.1826081</v>
      </c>
      <c r="Z1115">
        <v>-8.4000479999999896E-4</v>
      </c>
      <c r="AA1115">
        <v>0.98318539999999999</v>
      </c>
      <c r="AB1115">
        <v>45</v>
      </c>
      <c r="AC1115">
        <v>68.844399999999993</v>
      </c>
      <c r="AD1115">
        <v>-0.64799759999999995</v>
      </c>
      <c r="AE1115">
        <v>-12.8985</v>
      </c>
      <c r="AF1115">
        <v>12.8293910781153</v>
      </c>
      <c r="AG1115">
        <v>-0.64799759999999995</v>
      </c>
      <c r="AH1115">
        <v>68.851214544131096</v>
      </c>
      <c r="AI1115">
        <v>90.530103237318698</v>
      </c>
      <c r="AJ1115">
        <v>79.444840909786294</v>
      </c>
      <c r="AK1115">
        <v>70.039295545620703</v>
      </c>
      <c r="AL1115">
        <v>86.833560974209206</v>
      </c>
      <c r="AM1115">
        <v>89.223880308230093</v>
      </c>
      <c r="AN1115">
        <v>1.0000000131827</v>
      </c>
    </row>
    <row r="1116" spans="1:40" x14ac:dyDescent="0.25">
      <c r="A1116" t="str">
        <f>"20190312160319983"</f>
        <v>20190312160319983</v>
      </c>
      <c r="B1116" t="str">
        <f>"1552377799975455"</f>
        <v>1552377799975455</v>
      </c>
      <c r="C1116" t="s">
        <v>40</v>
      </c>
      <c r="D1116">
        <v>5.6667040000000002</v>
      </c>
      <c r="E1116">
        <v>0.56514449999999905</v>
      </c>
      <c r="F1116" t="s">
        <v>42</v>
      </c>
      <c r="G1116">
        <v>-169.2955</v>
      </c>
      <c r="H1116">
        <v>0.65548039999999996</v>
      </c>
      <c r="I1116">
        <v>355.1105</v>
      </c>
      <c r="J1116">
        <v>-237.90459999999999</v>
      </c>
      <c r="K1116">
        <v>1.1098269999999999</v>
      </c>
      <c r="L1116">
        <v>367.93</v>
      </c>
      <c r="M1116">
        <v>0.99989220000000001</v>
      </c>
      <c r="N1116">
        <v>0</v>
      </c>
      <c r="O1116">
        <v>-1.0843160000000001E-3</v>
      </c>
      <c r="P1116">
        <v>0.99905940000000004</v>
      </c>
      <c r="Q1116">
        <v>4.0713340000000001E-2</v>
      </c>
      <c r="R1116">
        <v>-1.4924990000000001E-2</v>
      </c>
      <c r="S1116">
        <v>2.9954830000000001</v>
      </c>
      <c r="T1116">
        <v>-1.9765850000000001E-2</v>
      </c>
      <c r="U1116">
        <v>-0.55780030000000003</v>
      </c>
      <c r="V1116">
        <v>1.386273E-2</v>
      </c>
      <c r="W1116">
        <v>5.5331400000000003E-2</v>
      </c>
      <c r="X1116">
        <v>0.99837180000000003</v>
      </c>
      <c r="Y1116">
        <v>0.18199679999999999</v>
      </c>
      <c r="Z1116">
        <v>-5.8823989999999896E-4</v>
      </c>
      <c r="AA1116">
        <v>0.98329900000000003</v>
      </c>
      <c r="AB1116">
        <v>45</v>
      </c>
      <c r="AC1116">
        <v>68.609099999999899</v>
      </c>
      <c r="AD1116">
        <v>-0.45434659999999999</v>
      </c>
      <c r="AE1116">
        <v>-12.8195</v>
      </c>
      <c r="AF1116">
        <v>12.744550492859901</v>
      </c>
      <c r="AG1116">
        <v>-0.45434659999999999</v>
      </c>
      <c r="AH1116">
        <v>68.620053777084493</v>
      </c>
      <c r="AI1116">
        <v>90.372982694136297</v>
      </c>
      <c r="AJ1116">
        <v>79.478548817757698</v>
      </c>
      <c r="AK1116">
        <v>69.794998233884698</v>
      </c>
      <c r="AL1116">
        <v>86.828124400389399</v>
      </c>
      <c r="AM1116">
        <v>89.204479852820697</v>
      </c>
      <c r="AN1116">
        <v>0.999999995072126</v>
      </c>
    </row>
    <row r="1117" spans="1:40" x14ac:dyDescent="0.25">
      <c r="A1117" t="str">
        <f>"20190312160319996"</f>
        <v>20190312160319996</v>
      </c>
      <c r="B1117" t="str">
        <f>"1552377799985216"</f>
        <v>1552377799985216</v>
      </c>
      <c r="C1117" t="s">
        <v>40</v>
      </c>
      <c r="D1117">
        <v>5.602195</v>
      </c>
      <c r="E1117">
        <v>0.56548129999999996</v>
      </c>
      <c r="F1117" t="s">
        <v>42</v>
      </c>
      <c r="G1117">
        <v>-169.2955</v>
      </c>
      <c r="H1117">
        <v>0.8274994</v>
      </c>
      <c r="I1117">
        <v>354.9024</v>
      </c>
      <c r="J1117">
        <v>-237.63489999999999</v>
      </c>
      <c r="K1117">
        <v>1.1098049999999999</v>
      </c>
      <c r="L1117">
        <v>367.92959999999999</v>
      </c>
      <c r="M1117">
        <v>0.99989220000000001</v>
      </c>
      <c r="N1117">
        <v>0</v>
      </c>
      <c r="O1117">
        <v>-1.212608E-3</v>
      </c>
      <c r="P1117">
        <v>0.99905200000000005</v>
      </c>
      <c r="Q1117">
        <v>4.0744450000000001E-2</v>
      </c>
      <c r="R1117">
        <v>-1.53423E-2</v>
      </c>
      <c r="S1117">
        <v>2.9948429999999999</v>
      </c>
      <c r="T1117">
        <v>-1.231992E-2</v>
      </c>
      <c r="U1117">
        <v>-0.56866459999999996</v>
      </c>
      <c r="V1117">
        <v>1.4154979999999999E-2</v>
      </c>
      <c r="W1117">
        <v>5.535901E-2</v>
      </c>
      <c r="X1117">
        <v>0.99836619999999998</v>
      </c>
      <c r="Y1117">
        <v>0.18535499999999999</v>
      </c>
      <c r="Z1117">
        <v>-3.7292659999999997E-4</v>
      </c>
      <c r="AA1117">
        <v>0.98267159999999998</v>
      </c>
      <c r="AB1117">
        <v>45</v>
      </c>
      <c r="AC1117">
        <v>68.339399999999898</v>
      </c>
      <c r="AD1117">
        <v>-0.28230559999999899</v>
      </c>
      <c r="AE1117">
        <v>-13.027199999999899</v>
      </c>
      <c r="AF1117">
        <v>12.944099502727401</v>
      </c>
      <c r="AG1117">
        <v>-0.28230559999999899</v>
      </c>
      <c r="AH1117">
        <v>68.3540227879583</v>
      </c>
      <c r="AI1117">
        <v>90.232501115385404</v>
      </c>
      <c r="AJ1117">
        <v>79.276957968790896</v>
      </c>
      <c r="AK1117">
        <v>69.569403042465595</v>
      </c>
      <c r="AL1117">
        <v>86.826540134959899</v>
      </c>
      <c r="AM1117">
        <v>89.187706599122905</v>
      </c>
      <c r="AN1117">
        <v>1.0000000263747</v>
      </c>
    </row>
    <row r="1118" spans="1:40" x14ac:dyDescent="0.25">
      <c r="A1118" t="str">
        <f>"20190312160320009"</f>
        <v>20190312160320009</v>
      </c>
      <c r="B1118" t="str">
        <f>"1552377800005712"</f>
        <v>1552377800005712</v>
      </c>
      <c r="C1118" t="s">
        <v>40</v>
      </c>
      <c r="D1118">
        <v>5.4479629999999997</v>
      </c>
      <c r="E1118">
        <v>0.56560710000000003</v>
      </c>
      <c r="F1118" t="s">
        <v>42</v>
      </c>
      <c r="G1118">
        <v>-169.2955</v>
      </c>
      <c r="H1118">
        <v>0.96869950000000005</v>
      </c>
      <c r="I1118">
        <v>354.87220000000002</v>
      </c>
      <c r="J1118">
        <v>-237.38669999999999</v>
      </c>
      <c r="K1118">
        <v>1.1097809999999999</v>
      </c>
      <c r="L1118">
        <v>367.92919999999998</v>
      </c>
      <c r="M1118">
        <v>0.99989209999999995</v>
      </c>
      <c r="N1118">
        <v>0</v>
      </c>
      <c r="O1118">
        <v>-1.340057E-3</v>
      </c>
      <c r="P1118">
        <v>0.99903770000000003</v>
      </c>
      <c r="Q1118">
        <v>4.0818430000000003E-2</v>
      </c>
      <c r="R1118">
        <v>-1.6052830000000001E-2</v>
      </c>
      <c r="S1118">
        <v>2.9943240000000002</v>
      </c>
      <c r="T1118">
        <v>-6.1787369999999897E-3</v>
      </c>
      <c r="U1118">
        <v>-0.57211299999999998</v>
      </c>
      <c r="V1118">
        <v>1.4740919999999999E-2</v>
      </c>
      <c r="W1118">
        <v>5.5429949999999999E-2</v>
      </c>
      <c r="X1118">
        <v>0.99835379999999996</v>
      </c>
      <c r="Y1118">
        <v>0.18635409999999999</v>
      </c>
      <c r="Z1118">
        <v>-1.8780500000000001E-4</v>
      </c>
      <c r="AA1118">
        <v>0.98248259999999998</v>
      </c>
      <c r="AB1118">
        <v>45</v>
      </c>
      <c r="AC1118">
        <v>68.091199999999901</v>
      </c>
      <c r="AD1118">
        <v>-0.141081499999999</v>
      </c>
      <c r="AE1118">
        <v>-13.056999999999899</v>
      </c>
      <c r="AF1118">
        <v>12.965678732973</v>
      </c>
      <c r="AG1118">
        <v>-0.141081499999999</v>
      </c>
      <c r="AH1118">
        <v>68.108355828791602</v>
      </c>
      <c r="AI1118">
        <v>90.116590053647201</v>
      </c>
      <c r="AJ1118">
        <v>79.221661958548097</v>
      </c>
      <c r="AK1118">
        <v>69.3316440213096</v>
      </c>
      <c r="AL1118">
        <v>86.822469371712302</v>
      </c>
      <c r="AM1118">
        <v>89.154076307325795</v>
      </c>
      <c r="AN1118">
        <v>1.0000000420269399</v>
      </c>
    </row>
    <row r="1119" spans="1:40" x14ac:dyDescent="0.25">
      <c r="A1119" t="str">
        <f>"20190312160320021"</f>
        <v>20190312160320021</v>
      </c>
      <c r="B1119" t="str">
        <f>"1552377800015472"</f>
        <v>1552377800015472</v>
      </c>
      <c r="C1119" t="s">
        <v>40</v>
      </c>
      <c r="D1119">
        <v>5.5482170000000002</v>
      </c>
      <c r="E1119">
        <v>0.57567190000000001</v>
      </c>
      <c r="F1119" t="s">
        <v>42</v>
      </c>
      <c r="G1119">
        <v>-169.2955</v>
      </c>
      <c r="H1119">
        <v>1.011655</v>
      </c>
      <c r="I1119">
        <v>354.8442</v>
      </c>
      <c r="J1119">
        <v>-237.1369</v>
      </c>
      <c r="K1119">
        <v>1.1097570000000001</v>
      </c>
      <c r="L1119">
        <v>367.92880000000002</v>
      </c>
      <c r="M1119">
        <v>0.9998918</v>
      </c>
      <c r="N1119">
        <v>0</v>
      </c>
      <c r="O1119">
        <v>-1.489013E-3</v>
      </c>
      <c r="P1119">
        <v>0.99903140000000001</v>
      </c>
      <c r="Q1119">
        <v>4.075165E-2</v>
      </c>
      <c r="R1119">
        <v>-1.66024E-2</v>
      </c>
      <c r="S1119">
        <v>2.993805</v>
      </c>
      <c r="T1119">
        <v>-4.3104889999999998E-3</v>
      </c>
      <c r="U1119">
        <v>-0.57531739999999998</v>
      </c>
      <c r="V1119">
        <v>1.514506E-2</v>
      </c>
      <c r="W1119">
        <v>5.5359480000000003E-2</v>
      </c>
      <c r="X1119">
        <v>0.99835160000000001</v>
      </c>
      <c r="Y1119">
        <v>0.18725349999999999</v>
      </c>
      <c r="Z1119">
        <v>-1.3145729999999999E-4</v>
      </c>
      <c r="AA1119">
        <v>0.98231159999999995</v>
      </c>
      <c r="AB1119">
        <v>45</v>
      </c>
      <c r="AC1119">
        <v>67.841399999999993</v>
      </c>
      <c r="AD1119">
        <v>-9.8101999999999898E-2</v>
      </c>
      <c r="AE1119">
        <v>-13.0846</v>
      </c>
      <c r="AF1119">
        <v>12.9835317702374</v>
      </c>
      <c r="AG1119">
        <v>-9.8101999999999898E-2</v>
      </c>
      <c r="AH1119">
        <v>67.8606731910657</v>
      </c>
      <c r="AI1119">
        <v>90.081353310559805</v>
      </c>
      <c r="AJ1119">
        <v>79.168706894263096</v>
      </c>
      <c r="AK1119">
        <v>69.0916253041988</v>
      </c>
      <c r="AL1119">
        <v>86.826513020586006</v>
      </c>
      <c r="AM1119">
        <v>89.130885889853204</v>
      </c>
      <c r="AN1119">
        <v>0.99999998104541599</v>
      </c>
    </row>
    <row r="1120" spans="1:40" x14ac:dyDescent="0.25">
      <c r="A1120" t="str">
        <f>"20190312160320033"</f>
        <v>20190312160320033</v>
      </c>
      <c r="B1120" t="str">
        <f>"1552377800025234"</f>
        <v>1552377800025234</v>
      </c>
      <c r="C1120" t="s">
        <v>40</v>
      </c>
      <c r="D1120">
        <v>5.3725189999999996</v>
      </c>
      <c r="E1120">
        <v>0.57399449999999996</v>
      </c>
      <c r="F1120" t="s">
        <v>41</v>
      </c>
      <c r="G1120">
        <v>-219.97810000000001</v>
      </c>
      <c r="H1120" s="1">
        <v>-5.2541269999999999E-6</v>
      </c>
      <c r="I1120">
        <v>364.13420000000002</v>
      </c>
      <c r="J1120">
        <v>-236.8974</v>
      </c>
      <c r="K1120">
        <v>1.1097330000000001</v>
      </c>
      <c r="L1120">
        <v>367.92829999999998</v>
      </c>
      <c r="M1120">
        <v>0.99989159999999999</v>
      </c>
      <c r="N1120">
        <v>0</v>
      </c>
      <c r="O1120">
        <v>-1.64297799999999E-3</v>
      </c>
      <c r="P1120">
        <v>0.99902590000000002</v>
      </c>
      <c r="Q1120">
        <v>4.0692480000000003E-2</v>
      </c>
      <c r="R1120">
        <v>-1.7071940000000001E-2</v>
      </c>
      <c r="S1120">
        <v>2.9998170000000002</v>
      </c>
      <c r="T1120">
        <v>-0.19401570000000001</v>
      </c>
      <c r="U1120">
        <v>-0.66339110000000001</v>
      </c>
      <c r="V1120">
        <v>1.5463960000000001E-2</v>
      </c>
      <c r="W1120">
        <v>5.5296640000000001E-2</v>
      </c>
      <c r="X1120">
        <v>0.99835019999999997</v>
      </c>
      <c r="Y1120">
        <v>0.21389949999999999</v>
      </c>
      <c r="Z1120">
        <v>-6.7227299999999997E-3</v>
      </c>
      <c r="AA1120">
        <v>0.97683249999999999</v>
      </c>
      <c r="AB1120">
        <v>45</v>
      </c>
      <c r="AC1120">
        <v>16.9192999999999</v>
      </c>
      <c r="AD1120">
        <v>-1.109738254127</v>
      </c>
      <c r="AE1120">
        <v>-3.7940999999999501</v>
      </c>
      <c r="AF1120">
        <v>3.7509297540288702</v>
      </c>
      <c r="AG1120">
        <v>-1.109738254127</v>
      </c>
      <c r="AH1120">
        <v>16.8564660077318</v>
      </c>
      <c r="AI1120">
        <v>93.676930128540207</v>
      </c>
      <c r="AJ1120">
        <v>77.454841075731196</v>
      </c>
      <c r="AK1120">
        <v>17.304376304338401</v>
      </c>
      <c r="AL1120">
        <v>86.830119030350005</v>
      </c>
      <c r="AM1120">
        <v>89.112587152966398</v>
      </c>
      <c r="AN1120">
        <v>0.99999998714710503</v>
      </c>
    </row>
    <row r="1121" spans="1:40" x14ac:dyDescent="0.25">
      <c r="A1121" t="str">
        <f>"20190312160320043"</f>
        <v>20190312160320043</v>
      </c>
      <c r="B1121" t="str">
        <f>"1552377800035968"</f>
        <v>1552377800035968</v>
      </c>
      <c r="C1121" t="s">
        <v>40</v>
      </c>
      <c r="D1121">
        <v>5.5485410000000002</v>
      </c>
      <c r="E1121">
        <v>0.57399449999999996</v>
      </c>
      <c r="F1121" t="s">
        <v>41</v>
      </c>
      <c r="G1121">
        <v>-219.46559999999999</v>
      </c>
      <c r="H1121" s="1">
        <v>-1.6237589999999999E-6</v>
      </c>
      <c r="I1121">
        <v>364.14490000000001</v>
      </c>
      <c r="J1121">
        <v>-236.66919999999999</v>
      </c>
      <c r="K1121">
        <v>1.1097079999999999</v>
      </c>
      <c r="L1121">
        <v>367.92790000000002</v>
      </c>
      <c r="M1121">
        <v>0.99989130000000004</v>
      </c>
      <c r="N1121">
        <v>0</v>
      </c>
      <c r="O1121">
        <v>-1.800159E-3</v>
      </c>
      <c r="P1121">
        <v>0.99901329999999999</v>
      </c>
      <c r="Q1121">
        <v>4.0732949999999997E-2</v>
      </c>
      <c r="R1121">
        <v>-1.769621E-2</v>
      </c>
      <c r="S1121">
        <v>2.9995880000000001</v>
      </c>
      <c r="T1121">
        <v>-0.1909583</v>
      </c>
      <c r="U1121">
        <v>-0.65103149999999999</v>
      </c>
      <c r="V1121">
        <v>1.5934469999999999E-2</v>
      </c>
      <c r="W1121">
        <v>5.5334250000000001E-2</v>
      </c>
      <c r="X1121">
        <v>0.99834069999999997</v>
      </c>
      <c r="Y1121">
        <v>0.20993999999999999</v>
      </c>
      <c r="Z1121">
        <v>-6.4860209999999998E-3</v>
      </c>
      <c r="AA1121">
        <v>0.97769280000000003</v>
      </c>
      <c r="AB1121">
        <v>45</v>
      </c>
      <c r="AC1121">
        <v>17.203599999999899</v>
      </c>
      <c r="AD1121">
        <v>-1.1097096237589901</v>
      </c>
      <c r="AE1121">
        <v>-3.7830000000000101</v>
      </c>
      <c r="AF1121">
        <v>3.7371887458120798</v>
      </c>
      <c r="AG1121">
        <v>-1.1097096237589901</v>
      </c>
      <c r="AH1121">
        <v>17.142346302739199</v>
      </c>
      <c r="AI1121">
        <v>93.619101576664207</v>
      </c>
      <c r="AJ1121">
        <v>77.701426858879302</v>
      </c>
      <c r="AK1121">
        <v>17.580047552094999</v>
      </c>
      <c r="AL1121">
        <v>86.827960776987595</v>
      </c>
      <c r="AM1121">
        <v>89.085582342818597</v>
      </c>
      <c r="AN1121">
        <v>0.99999996991686602</v>
      </c>
    </row>
    <row r="1122" spans="1:40" x14ac:dyDescent="0.25">
      <c r="A1122" t="str">
        <f>"20190312160320055"</f>
        <v>20190312160320055</v>
      </c>
      <c r="B1122" t="str">
        <f>"1552377800045728"</f>
        <v>1552377800045728</v>
      </c>
      <c r="C1122" t="s">
        <v>40</v>
      </c>
      <c r="D1122">
        <v>5.4588700000000001</v>
      </c>
      <c r="E1122">
        <v>0.56210530000000003</v>
      </c>
      <c r="F1122" t="s">
        <v>41</v>
      </c>
      <c r="G1122">
        <v>-219.2422</v>
      </c>
      <c r="H1122" s="1">
        <v>-1.7027619999999901E-6</v>
      </c>
      <c r="I1122">
        <v>364.13380000000001</v>
      </c>
      <c r="J1122">
        <v>-236.43979999999999</v>
      </c>
      <c r="K1122">
        <v>1.1096820000000001</v>
      </c>
      <c r="L1122">
        <v>367.9273</v>
      </c>
      <c r="M1122">
        <v>0.99989119999999998</v>
      </c>
      <c r="N1122">
        <v>0</v>
      </c>
      <c r="O1122">
        <v>-1.9765630000000002E-3</v>
      </c>
      <c r="P1122">
        <v>0.99900299999999997</v>
      </c>
      <c r="Q1122">
        <v>4.0783930000000003E-2</v>
      </c>
      <c r="R1122">
        <v>-1.8165379999999998E-2</v>
      </c>
      <c r="S1122">
        <v>2.9991910000000002</v>
      </c>
      <c r="T1122">
        <v>-0.19098039999999999</v>
      </c>
      <c r="U1122">
        <v>-0.65295409999999998</v>
      </c>
      <c r="V1122">
        <v>1.6230700000000001E-2</v>
      </c>
      <c r="W1122">
        <v>5.5381859999999998E-2</v>
      </c>
      <c r="X1122">
        <v>0.99833329999999998</v>
      </c>
      <c r="Y1122">
        <v>0.2103921</v>
      </c>
      <c r="Z1122">
        <v>-6.4902939999999998E-3</v>
      </c>
      <c r="AA1122">
        <v>0.97759560000000001</v>
      </c>
      <c r="AB1122">
        <v>45</v>
      </c>
      <c r="AC1122">
        <v>17.197599999999898</v>
      </c>
      <c r="AD1122">
        <v>-1.1096837027619999</v>
      </c>
      <c r="AE1122">
        <v>-3.7934999999999901</v>
      </c>
      <c r="AF1122">
        <v>3.7446293094158598</v>
      </c>
      <c r="AG1122">
        <v>-1.1096837027619999</v>
      </c>
      <c r="AH1122">
        <v>17.137025223246201</v>
      </c>
      <c r="AI1122">
        <v>93.619760501081899</v>
      </c>
      <c r="AJ1122">
        <v>77.673979200175907</v>
      </c>
      <c r="AK1122">
        <v>17.576441052934701</v>
      </c>
      <c r="AL1122">
        <v>86.825228773727005</v>
      </c>
      <c r="AM1122">
        <v>89.068578912534804</v>
      </c>
      <c r="AN1122">
        <v>0.99999998196421902</v>
      </c>
    </row>
    <row r="1123" spans="1:40" x14ac:dyDescent="0.25">
      <c r="A1123" t="str">
        <f>"20190312160320067"</f>
        <v>20190312160320067</v>
      </c>
      <c r="B1123" t="str">
        <f>"1552377800055488"</f>
        <v>1552377800055488</v>
      </c>
      <c r="C1123" t="s">
        <v>40</v>
      </c>
      <c r="D1123">
        <v>5.5773109999999999</v>
      </c>
      <c r="E1123">
        <v>0.56375509999999995</v>
      </c>
      <c r="F1123" t="s">
        <v>42</v>
      </c>
      <c r="G1123">
        <v>-169.2955</v>
      </c>
      <c r="H1123">
        <v>0.89192870000000002</v>
      </c>
      <c r="I1123">
        <v>355.49790000000002</v>
      </c>
      <c r="J1123">
        <v>-236.21299999999999</v>
      </c>
      <c r="K1123">
        <v>1.1096569999999999</v>
      </c>
      <c r="L1123">
        <v>367.92669999999998</v>
      </c>
      <c r="M1123">
        <v>0.99989070000000002</v>
      </c>
      <c r="N1123">
        <v>0</v>
      </c>
      <c r="O1123">
        <v>-2.1560699999999999E-3</v>
      </c>
      <c r="P1123">
        <v>0.99899700000000002</v>
      </c>
      <c r="Q1123">
        <v>4.0715580000000001E-2</v>
      </c>
      <c r="R1123">
        <v>-1.8638129999999999E-2</v>
      </c>
      <c r="S1123">
        <v>2.9933169999999998</v>
      </c>
      <c r="T1123">
        <v>-9.7036359999999999E-3</v>
      </c>
      <c r="U1123">
        <v>-0.55410769999999998</v>
      </c>
      <c r="V1123">
        <v>1.6527590000000002E-2</v>
      </c>
      <c r="W1123">
        <v>5.5310930000000001E-2</v>
      </c>
      <c r="X1123">
        <v>0.99833240000000001</v>
      </c>
      <c r="Y1123">
        <v>0.1799009</v>
      </c>
      <c r="Z1123">
        <v>-2.822104E-4</v>
      </c>
      <c r="AA1123">
        <v>0.98368469999999997</v>
      </c>
      <c r="AB1123">
        <v>45</v>
      </c>
      <c r="AC1123">
        <v>66.917499999999905</v>
      </c>
      <c r="AD1123">
        <v>-0.21772829999999899</v>
      </c>
      <c r="AE1123">
        <v>-12.428799999999899</v>
      </c>
      <c r="AF1123">
        <v>12.284351144086999</v>
      </c>
      <c r="AG1123">
        <v>-0.21772829999999899</v>
      </c>
      <c r="AH1123">
        <v>66.943459597550401</v>
      </c>
      <c r="AI1123">
        <v>90.183288910884698</v>
      </c>
      <c r="AJ1123">
        <v>79.601716303085098</v>
      </c>
      <c r="AK1123">
        <v>68.061585872889594</v>
      </c>
      <c r="AL1123">
        <v>86.829299124699801</v>
      </c>
      <c r="AM1123">
        <v>89.051543700182506</v>
      </c>
      <c r="AN1123">
        <v>1.0000000205492099</v>
      </c>
    </row>
    <row r="1124" spans="1:40" x14ac:dyDescent="0.25">
      <c r="A1124" t="str">
        <f>"20190312160320079"</f>
        <v>20190312160320079</v>
      </c>
      <c r="B1124" t="str">
        <f>"1552377800065248"</f>
        <v>1552377800065248</v>
      </c>
      <c r="C1124" t="s">
        <v>40</v>
      </c>
      <c r="D1124">
        <v>5.5756110000000003</v>
      </c>
      <c r="E1124">
        <v>0.56498249999999905</v>
      </c>
      <c r="F1124" t="s">
        <v>42</v>
      </c>
      <c r="G1124">
        <v>-169.2955</v>
      </c>
      <c r="H1124">
        <v>0.72080419999999901</v>
      </c>
      <c r="I1124">
        <v>355.21230000000003</v>
      </c>
      <c r="J1124">
        <v>-235.9872</v>
      </c>
      <c r="K1124">
        <v>1.109631</v>
      </c>
      <c r="L1124">
        <v>367.92610000000002</v>
      </c>
      <c r="M1124">
        <v>0.99989030000000001</v>
      </c>
      <c r="N1124">
        <v>0</v>
      </c>
      <c r="O1124">
        <v>-2.361616E-3</v>
      </c>
      <c r="P1124">
        <v>0.99898600000000004</v>
      </c>
      <c r="Q1124">
        <v>4.0751349999999999E-2</v>
      </c>
      <c r="R1124">
        <v>-1.913774E-2</v>
      </c>
      <c r="S1124">
        <v>2.9931179999999999</v>
      </c>
      <c r="T1124">
        <v>-1.7388819999999999E-2</v>
      </c>
      <c r="U1124">
        <v>-0.56869510000000001</v>
      </c>
      <c r="V1124">
        <v>1.6825670000000001E-2</v>
      </c>
      <c r="W1124">
        <v>5.5343299999999998E-2</v>
      </c>
      <c r="X1124">
        <v>0.99832560000000004</v>
      </c>
      <c r="Y1124">
        <v>0.18433759999999999</v>
      </c>
      <c r="Z1124">
        <v>-5.1711330000000003E-4</v>
      </c>
      <c r="AA1124">
        <v>0.98286280000000004</v>
      </c>
      <c r="AB1124">
        <v>45</v>
      </c>
      <c r="AC1124">
        <v>66.691699999999997</v>
      </c>
      <c r="AD1124">
        <v>-0.38882679999999997</v>
      </c>
      <c r="AE1124">
        <v>-12.7137999999999</v>
      </c>
      <c r="AF1124">
        <v>12.555835688621301</v>
      </c>
      <c r="AG1124">
        <v>-0.38882679999999997</v>
      </c>
      <c r="AH1124">
        <v>66.7193539522479</v>
      </c>
      <c r="AI1124">
        <v>90.328144410382194</v>
      </c>
      <c r="AJ1124">
        <v>79.342224043749795</v>
      </c>
      <c r="AK1124">
        <v>67.891622369224606</v>
      </c>
      <c r="AL1124">
        <v>86.827441530289704</v>
      </c>
      <c r="AM1124">
        <v>89.034434643002797</v>
      </c>
      <c r="AN1124">
        <v>0.99999999382059901</v>
      </c>
    </row>
    <row r="1125" spans="1:40" x14ac:dyDescent="0.25">
      <c r="A1125" t="str">
        <f>"20190312160320092"</f>
        <v>20190312160320092</v>
      </c>
      <c r="B1125" t="str">
        <f>"1552377800085274"</f>
        <v>1552377800085274</v>
      </c>
      <c r="C1125" t="s">
        <v>40</v>
      </c>
      <c r="D1125">
        <v>5.5585579999999997</v>
      </c>
      <c r="E1125">
        <v>0.56456439999999997</v>
      </c>
      <c r="F1125" t="s">
        <v>42</v>
      </c>
      <c r="G1125">
        <v>-169.2955</v>
      </c>
      <c r="H1125">
        <v>0.80408100000000005</v>
      </c>
      <c r="I1125">
        <v>355.00029999999998</v>
      </c>
      <c r="J1125">
        <v>-235.72319999999999</v>
      </c>
      <c r="K1125">
        <v>1.10959599999999</v>
      </c>
      <c r="L1125">
        <v>367.92529999999999</v>
      </c>
      <c r="M1125">
        <v>0.99988969999999999</v>
      </c>
      <c r="N1125">
        <v>0</v>
      </c>
      <c r="O1125">
        <v>-2.6132899999999999E-3</v>
      </c>
      <c r="P1125">
        <v>0.99897720000000001</v>
      </c>
      <c r="Q1125">
        <v>4.077981E-2</v>
      </c>
      <c r="R1125">
        <v>-1.9527929999999999E-2</v>
      </c>
      <c r="S1125">
        <v>2.9924930000000001</v>
      </c>
      <c r="T1125">
        <v>-1.370621E-2</v>
      </c>
      <c r="U1125">
        <v>-0.57998660000000002</v>
      </c>
      <c r="V1125">
        <v>1.6969350000000001E-2</v>
      </c>
      <c r="W1125">
        <v>5.5368050000000002E-2</v>
      </c>
      <c r="X1125">
        <v>0.99832180000000004</v>
      </c>
      <c r="Y1125">
        <v>0.1877048</v>
      </c>
      <c r="Z1125">
        <v>-4.1403810000000002E-4</v>
      </c>
      <c r="AA1125">
        <v>0.98222540000000003</v>
      </c>
      <c r="AB1125">
        <v>45</v>
      </c>
      <c r="AC1125">
        <v>66.427699999999902</v>
      </c>
      <c r="AD1125">
        <v>-0.30551499999999898</v>
      </c>
      <c r="AE1125">
        <v>-12.925000000000001</v>
      </c>
      <c r="AF1125">
        <v>12.7510825738071</v>
      </c>
      <c r="AG1125">
        <v>-0.30551499999999898</v>
      </c>
      <c r="AH1125">
        <v>66.459898979478098</v>
      </c>
      <c r="AI1125">
        <v>90.258668053764794</v>
      </c>
      <c r="AJ1125">
        <v>79.139139276521803</v>
      </c>
      <c r="AK1125">
        <v>67.672753886491904</v>
      </c>
      <c r="AL1125">
        <v>86.826021295595893</v>
      </c>
      <c r="AM1125">
        <v>89.0261872339169</v>
      </c>
      <c r="AN1125">
        <v>0.99999999807773199</v>
      </c>
    </row>
    <row r="1126" spans="1:40" x14ac:dyDescent="0.25">
      <c r="A1126" t="str">
        <f>"20190312160320103"</f>
        <v>20190312160320103</v>
      </c>
      <c r="B1126" t="str">
        <f>"1552377800096011"</f>
        <v>1552377800096011</v>
      </c>
      <c r="C1126" t="s">
        <v>40</v>
      </c>
      <c r="D1126">
        <v>5.5812569999999999</v>
      </c>
      <c r="E1126">
        <v>0.56525389999999998</v>
      </c>
      <c r="F1126" t="s">
        <v>42</v>
      </c>
      <c r="G1126">
        <v>-169.2955</v>
      </c>
      <c r="H1126">
        <v>1.262867</v>
      </c>
      <c r="I1126">
        <v>355.10879999999997</v>
      </c>
      <c r="J1126">
        <v>-235.4624</v>
      </c>
      <c r="K1126">
        <v>1.109556</v>
      </c>
      <c r="L1126">
        <v>367.92439999999999</v>
      </c>
      <c r="M1126">
        <v>0.99988900000000003</v>
      </c>
      <c r="N1126">
        <v>0</v>
      </c>
      <c r="O1126">
        <v>-2.886352E-3</v>
      </c>
      <c r="P1126">
        <v>0.99896589999999996</v>
      </c>
      <c r="Q1126">
        <v>4.0596319999999998E-2</v>
      </c>
      <c r="R1126">
        <v>-2.0475770000000001E-2</v>
      </c>
      <c r="S1126">
        <v>2.9915159999999998</v>
      </c>
      <c r="T1126">
        <v>6.9063900000000001E-3</v>
      </c>
      <c r="U1126">
        <v>-0.577179</v>
      </c>
      <c r="V1126">
        <v>1.7648830000000001E-2</v>
      </c>
      <c r="W1126">
        <v>5.5180470000000002E-2</v>
      </c>
      <c r="X1126">
        <v>0.9983204</v>
      </c>
      <c r="Y1126">
        <v>0.1866091</v>
      </c>
      <c r="Z1126">
        <v>2.06837E-4</v>
      </c>
      <c r="AA1126">
        <v>0.98243420000000004</v>
      </c>
      <c r="AB1126">
        <v>45</v>
      </c>
      <c r="AC1126">
        <v>66.166899999999998</v>
      </c>
      <c r="AD1126">
        <v>0.153310999999999</v>
      </c>
      <c r="AE1126">
        <v>-12.8156</v>
      </c>
      <c r="AF1126">
        <v>12.6244799095634</v>
      </c>
      <c r="AG1126">
        <v>0.153310999999999</v>
      </c>
      <c r="AH1126">
        <v>66.203276035423301</v>
      </c>
      <c r="AI1126">
        <v>89.8696654300944</v>
      </c>
      <c r="AJ1126">
        <v>79.203733132074504</v>
      </c>
      <c r="AK1126">
        <v>67.396400164045403</v>
      </c>
      <c r="AL1126">
        <v>86.836785278606399</v>
      </c>
      <c r="AM1126">
        <v>88.987200754157698</v>
      </c>
      <c r="AN1126">
        <v>0.99999999326297495</v>
      </c>
    </row>
    <row r="1127" spans="1:40" x14ac:dyDescent="0.25">
      <c r="A1127" t="str">
        <f>"20190312160320121"</f>
        <v>20190312160320121</v>
      </c>
      <c r="B1127" t="str">
        <f>"1552377800115530"</f>
        <v>1552377800115530</v>
      </c>
      <c r="C1127" t="s">
        <v>40</v>
      </c>
      <c r="D1127">
        <v>5.3611430000000002</v>
      </c>
      <c r="E1127">
        <v>0.56630979999999997</v>
      </c>
      <c r="F1127" t="s">
        <v>42</v>
      </c>
      <c r="G1127">
        <v>-169.2955</v>
      </c>
      <c r="H1127">
        <v>1.2829919999999999</v>
      </c>
      <c r="I1127">
        <v>354.96749999999997</v>
      </c>
      <c r="J1127">
        <v>-235.13079999999999</v>
      </c>
      <c r="K1127">
        <v>1.109507</v>
      </c>
      <c r="L1127">
        <v>367.92320000000001</v>
      </c>
      <c r="M1127">
        <v>0.99988779999999999</v>
      </c>
      <c r="N1127">
        <v>0</v>
      </c>
      <c r="O1127">
        <v>-3.2702849999999999E-3</v>
      </c>
      <c r="P1127">
        <v>0.99895400000000001</v>
      </c>
      <c r="Q1127">
        <v>4.025571E-2</v>
      </c>
      <c r="R1127">
        <v>-2.1692619999999999E-2</v>
      </c>
      <c r="S1127">
        <v>2.990799</v>
      </c>
      <c r="T1127">
        <v>7.8433749999999997E-3</v>
      </c>
      <c r="U1127">
        <v>-0.58566280000000004</v>
      </c>
      <c r="V1127">
        <v>1.8488520000000001E-2</v>
      </c>
      <c r="W1127">
        <v>5.4834330000000001E-2</v>
      </c>
      <c r="X1127">
        <v>0.99832430000000005</v>
      </c>
      <c r="Y1127">
        <v>0.1889604</v>
      </c>
      <c r="Z1127">
        <v>2.3694729999999999E-4</v>
      </c>
      <c r="AA1127">
        <v>0.98198470000000004</v>
      </c>
      <c r="AB1127">
        <v>45</v>
      </c>
      <c r="AC1127">
        <v>65.835299999999904</v>
      </c>
      <c r="AD1127">
        <v>0.173484999999999</v>
      </c>
      <c r="AE1127">
        <v>-12.9557</v>
      </c>
      <c r="AF1127">
        <v>12.740222335025599</v>
      </c>
      <c r="AG1127">
        <v>0.173484999999999</v>
      </c>
      <c r="AH1127">
        <v>65.876880845614195</v>
      </c>
      <c r="AI1127">
        <v>89.8518583592151</v>
      </c>
      <c r="AJ1127">
        <v>79.054439747092005</v>
      </c>
      <c r="AK1127">
        <v>67.097740588922704</v>
      </c>
      <c r="AL1127">
        <v>86.856647792291696</v>
      </c>
      <c r="AM1127">
        <v>88.939029046300405</v>
      </c>
      <c r="AN1127">
        <v>1.00000001854441</v>
      </c>
    </row>
    <row r="1128" spans="1:40" x14ac:dyDescent="0.25">
      <c r="A1128" t="str">
        <f>"20190312160320135"</f>
        <v>20190312160320135</v>
      </c>
      <c r="B1128" t="str">
        <f>"1552377800125292"</f>
        <v>1552377800125292</v>
      </c>
      <c r="C1128" t="s">
        <v>40</v>
      </c>
      <c r="D1128">
        <v>5.5451309999999996</v>
      </c>
      <c r="E1128">
        <v>0.56639259999999902</v>
      </c>
      <c r="F1128" t="s">
        <v>42</v>
      </c>
      <c r="G1128">
        <v>-169.2955</v>
      </c>
      <c r="H1128">
        <v>0.90911960000000003</v>
      </c>
      <c r="I1128">
        <v>354.75779999999997</v>
      </c>
      <c r="J1128">
        <v>-234.86170000000001</v>
      </c>
      <c r="K1128">
        <v>1.109461</v>
      </c>
      <c r="L1128">
        <v>367.9221</v>
      </c>
      <c r="M1128">
        <v>0.99988670000000002</v>
      </c>
      <c r="N1128">
        <v>0</v>
      </c>
      <c r="O1128">
        <v>-3.6105970000000001E-3</v>
      </c>
      <c r="P1128">
        <v>0.99892530000000002</v>
      </c>
      <c r="Q1128">
        <v>4.0319630000000002E-2</v>
      </c>
      <c r="R1128">
        <v>-2.2859689999999998E-2</v>
      </c>
      <c r="S1128">
        <v>2.9905089999999999</v>
      </c>
      <c r="T1128">
        <v>-9.0984110000000007E-3</v>
      </c>
      <c r="U1128">
        <v>-0.59802250000000001</v>
      </c>
      <c r="V1128">
        <v>1.9321419999999999E-2</v>
      </c>
      <c r="W1128">
        <v>5.4893369999999997E-2</v>
      </c>
      <c r="X1128">
        <v>0.99830529999999995</v>
      </c>
      <c r="Y1128">
        <v>0.1925481</v>
      </c>
      <c r="Z1128">
        <v>-2.7915770000000001E-4</v>
      </c>
      <c r="AA1128">
        <v>0.98128749999999998</v>
      </c>
      <c r="AB1128">
        <v>45</v>
      </c>
      <c r="AC1128">
        <v>65.566199999999995</v>
      </c>
      <c r="AD1128">
        <v>-0.2003414</v>
      </c>
      <c r="AE1128">
        <v>-13.164300000000001</v>
      </c>
      <c r="AF1128">
        <v>12.927339749037399</v>
      </c>
      <c r="AG1128">
        <v>-0.2003414</v>
      </c>
      <c r="AH1128">
        <v>65.612719739929005</v>
      </c>
      <c r="AI1128">
        <v>90.171646160915799</v>
      </c>
      <c r="AJ1128">
        <v>78.8540652299979</v>
      </c>
      <c r="AK1128">
        <v>66.874398997927898</v>
      </c>
      <c r="AL1128">
        <v>86.853260000868502</v>
      </c>
      <c r="AM1128">
        <v>88.891223331560695</v>
      </c>
      <c r="AN1128">
        <v>1.0000000356744301</v>
      </c>
    </row>
    <row r="1129" spans="1:40" x14ac:dyDescent="0.25">
      <c r="A1129" t="str">
        <f>"20190312160320160"</f>
        <v>20190312160320160</v>
      </c>
      <c r="B1129" t="str">
        <f>"1552377800155546"</f>
        <v>1552377800155546</v>
      </c>
      <c r="C1129" t="s">
        <v>40</v>
      </c>
      <c r="D1129">
        <v>5.4474879999999999</v>
      </c>
      <c r="E1129">
        <v>0.56630329999999995</v>
      </c>
      <c r="F1129" t="s">
        <v>42</v>
      </c>
      <c r="G1129">
        <v>-169.2955</v>
      </c>
      <c r="H1129">
        <v>0.86237339999999996</v>
      </c>
      <c r="I1129">
        <v>354.71539999999999</v>
      </c>
      <c r="J1129">
        <v>-234.3322</v>
      </c>
      <c r="K1129">
        <v>1.109361</v>
      </c>
      <c r="L1129">
        <v>367.91950000000003</v>
      </c>
      <c r="M1129">
        <v>0.99988379999999999</v>
      </c>
      <c r="N1129">
        <v>0</v>
      </c>
      <c r="O1129">
        <v>-4.3673269999999998E-3</v>
      </c>
      <c r="P1129">
        <v>0.99885639999999998</v>
      </c>
      <c r="Q1129">
        <v>3.9683400000000001E-2</v>
      </c>
      <c r="R1129">
        <v>-2.6670679999999999E-2</v>
      </c>
      <c r="S1129">
        <v>2.989868</v>
      </c>
      <c r="T1129">
        <v>-1.126337E-2</v>
      </c>
      <c r="U1129">
        <v>-0.60223389999999999</v>
      </c>
      <c r="V1129">
        <v>2.2388459999999999E-2</v>
      </c>
      <c r="W1129">
        <v>5.4243930000000003E-2</v>
      </c>
      <c r="X1129">
        <v>0.99827670000000002</v>
      </c>
      <c r="Y1129">
        <v>0.19317409999999999</v>
      </c>
      <c r="Z1129">
        <v>-3.4395310000000001E-4</v>
      </c>
      <c r="AA1129">
        <v>0.98116449999999999</v>
      </c>
      <c r="AB1129">
        <v>45</v>
      </c>
      <c r="AC1129">
        <v>65.036699999999996</v>
      </c>
      <c r="AD1129">
        <v>-0.2469876</v>
      </c>
      <c r="AE1129">
        <v>-13.2041</v>
      </c>
      <c r="AF1129">
        <v>12.9197282576859</v>
      </c>
      <c r="AG1129">
        <v>-0.2469876</v>
      </c>
      <c r="AH1129">
        <v>65.092850776665998</v>
      </c>
      <c r="AI1129">
        <v>90.213241726992706</v>
      </c>
      <c r="AJ1129">
        <v>78.773747898669995</v>
      </c>
      <c r="AK1129">
        <v>66.363089163783698</v>
      </c>
      <c r="AL1129">
        <v>86.8905256115209</v>
      </c>
      <c r="AM1129">
        <v>88.715236700934199</v>
      </c>
      <c r="AN1129">
        <v>1.0000000084229499</v>
      </c>
    </row>
    <row r="1130" spans="1:40" x14ac:dyDescent="0.25">
      <c r="A1130" t="str">
        <f>"20190312160320172"</f>
        <v>20190312160320172</v>
      </c>
      <c r="B1130" t="str">
        <f>"1552377800165310"</f>
        <v>1552377800165310</v>
      </c>
      <c r="C1130" t="s">
        <v>40</v>
      </c>
      <c r="D1130">
        <v>5.4046960000000004</v>
      </c>
      <c r="E1130">
        <v>0.5668126</v>
      </c>
      <c r="F1130" t="s">
        <v>42</v>
      </c>
      <c r="G1130">
        <v>-169.2955</v>
      </c>
      <c r="H1130">
        <v>0.80726809999999904</v>
      </c>
      <c r="I1130">
        <v>354.58260000000001</v>
      </c>
      <c r="J1130">
        <v>-234.10900000000001</v>
      </c>
      <c r="K1130">
        <v>1.1093200000000001</v>
      </c>
      <c r="L1130">
        <v>367.91829999999999</v>
      </c>
      <c r="M1130">
        <v>0.99988220000000005</v>
      </c>
      <c r="N1130">
        <v>0</v>
      </c>
      <c r="O1130">
        <v>-4.7205220000000004E-3</v>
      </c>
      <c r="P1130">
        <v>0.99883390000000005</v>
      </c>
      <c r="Q1130">
        <v>3.9485590000000001E-2</v>
      </c>
      <c r="R1130">
        <v>-2.77862E-2</v>
      </c>
      <c r="S1130">
        <v>2.9876399999999999</v>
      </c>
      <c r="T1130">
        <v>-1.3873460000000001E-2</v>
      </c>
      <c r="U1130">
        <v>-0.61267090000000002</v>
      </c>
      <c r="V1130">
        <v>2.3156400000000001E-2</v>
      </c>
      <c r="W1130">
        <v>5.4041100000000002E-2</v>
      </c>
      <c r="X1130">
        <v>0.9982702</v>
      </c>
      <c r="Y1130">
        <v>0.19625899999999999</v>
      </c>
      <c r="Z1130">
        <v>-4.2928680000000002E-4</v>
      </c>
      <c r="AA1130">
        <v>0.98055199999999998</v>
      </c>
      <c r="AB1130">
        <v>45</v>
      </c>
      <c r="AC1130">
        <v>64.813500000000005</v>
      </c>
      <c r="AD1130">
        <v>-0.30205189999999998</v>
      </c>
      <c r="AE1130">
        <v>-13.3356999999999</v>
      </c>
      <c r="AF1130">
        <v>13.0292937124271</v>
      </c>
      <c r="AG1130">
        <v>-0.30205189999999998</v>
      </c>
      <c r="AH1130">
        <v>64.874384136557495</v>
      </c>
      <c r="AI1130">
        <v>90.261541782461194</v>
      </c>
      <c r="AJ1130">
        <v>78.643863525482701</v>
      </c>
      <c r="AK1130">
        <v>66.170533072453097</v>
      </c>
      <c r="AL1130">
        <v>86.902164039174096</v>
      </c>
      <c r="AM1130">
        <v>88.671175301374902</v>
      </c>
      <c r="AN1130">
        <v>1.0000000257791</v>
      </c>
    </row>
    <row r="1131" spans="1:40" x14ac:dyDescent="0.25">
      <c r="A1131" t="str">
        <f>"20190312160320183"</f>
        <v>20190312160320183</v>
      </c>
      <c r="B1131" t="str">
        <f>"1552377800176042"</f>
        <v>1552377800176042</v>
      </c>
      <c r="C1131" t="s">
        <v>40</v>
      </c>
      <c r="D1131">
        <v>5.5777400000000004</v>
      </c>
      <c r="E1131">
        <v>0.56697229999999998</v>
      </c>
      <c r="F1131" t="s">
        <v>42</v>
      </c>
      <c r="G1131">
        <v>-169.2955</v>
      </c>
      <c r="H1131">
        <v>0.61758040000000003</v>
      </c>
      <c r="I1131">
        <v>354.45929999999998</v>
      </c>
      <c r="J1131">
        <v>-233.85390000000001</v>
      </c>
      <c r="K1131">
        <v>1.1092690000000001</v>
      </c>
      <c r="L1131">
        <v>367.91680000000002</v>
      </c>
      <c r="M1131">
        <v>0.99988010000000005</v>
      </c>
      <c r="N1131">
        <v>0</v>
      </c>
      <c r="O1131">
        <v>-5.1515939999999998E-3</v>
      </c>
      <c r="P1131">
        <v>0.99880930000000001</v>
      </c>
      <c r="Q1131">
        <v>3.9308589999999997E-2</v>
      </c>
      <c r="R1131">
        <v>-2.8899379999999999E-2</v>
      </c>
      <c r="S1131">
        <v>2.9871370000000002</v>
      </c>
      <c r="T1131">
        <v>-2.26593E-2</v>
      </c>
      <c r="U1131">
        <v>-0.62030030000000003</v>
      </c>
      <c r="V1131">
        <v>2.38453E-2</v>
      </c>
      <c r="W1131">
        <v>5.3858740000000002E-2</v>
      </c>
      <c r="X1131">
        <v>0.99826380000000003</v>
      </c>
      <c r="Y1131">
        <v>0.1982672</v>
      </c>
      <c r="Z1131">
        <v>-7.0537940000000004E-4</v>
      </c>
      <c r="AA1131">
        <v>0.98014780000000001</v>
      </c>
      <c r="AB1131">
        <v>45</v>
      </c>
      <c r="AC1131">
        <v>64.558400000000006</v>
      </c>
      <c r="AD1131">
        <v>-0.49168859999999998</v>
      </c>
      <c r="AE1131">
        <v>-13.4575</v>
      </c>
      <c r="AF1131">
        <v>13.1239776841467</v>
      </c>
      <c r="AG1131">
        <v>-0.49168859999999998</v>
      </c>
      <c r="AH1131">
        <v>64.623285675619201</v>
      </c>
      <c r="AI1131">
        <v>90.427208207871402</v>
      </c>
      <c r="AJ1131">
        <v>78.520245687481307</v>
      </c>
      <c r="AK1131">
        <v>65.944291636547604</v>
      </c>
      <c r="AL1131">
        <v>86.912627620324599</v>
      </c>
      <c r="AM1131">
        <v>88.6316489766442</v>
      </c>
      <c r="AN1131">
        <v>0.99999998829845804</v>
      </c>
    </row>
    <row r="1132" spans="1:40" x14ac:dyDescent="0.25">
      <c r="A1132" t="str">
        <f>"20190312160320194"</f>
        <v>20190312160320194</v>
      </c>
      <c r="B1132" t="str">
        <f>"1552377800185803"</f>
        <v>1552377800185803</v>
      </c>
      <c r="C1132" t="s">
        <v>40</v>
      </c>
      <c r="D1132">
        <v>5.5851889999999997</v>
      </c>
      <c r="E1132">
        <v>0.56727249999999996</v>
      </c>
      <c r="F1132" t="s">
        <v>42</v>
      </c>
      <c r="G1132">
        <v>-169.2955</v>
      </c>
      <c r="H1132">
        <v>0.6198034</v>
      </c>
      <c r="I1132">
        <v>354.4051</v>
      </c>
      <c r="J1132">
        <v>-233.637</v>
      </c>
      <c r="K1132">
        <v>1.1092219999999999</v>
      </c>
      <c r="L1132">
        <v>367.91539999999998</v>
      </c>
      <c r="M1132">
        <v>0.99987789999999999</v>
      </c>
      <c r="N1132">
        <v>0</v>
      </c>
      <c r="O1132">
        <v>-5.5495619999999897E-3</v>
      </c>
      <c r="P1132">
        <v>0.99877340000000003</v>
      </c>
      <c r="Q1132">
        <v>3.9129259999999999E-2</v>
      </c>
      <c r="R1132">
        <v>-3.0340079999999998E-2</v>
      </c>
      <c r="S1132">
        <v>2.9863740000000001</v>
      </c>
      <c r="T1132">
        <v>-2.2637839999999999E-2</v>
      </c>
      <c r="U1132">
        <v>-0.62503050000000004</v>
      </c>
      <c r="V1132">
        <v>2.4894409999999999E-2</v>
      </c>
      <c r="W1132">
        <v>5.3673039999999998E-2</v>
      </c>
      <c r="X1132">
        <v>0.99824820000000003</v>
      </c>
      <c r="Y1132">
        <v>0.1994146</v>
      </c>
      <c r="Z1132">
        <v>-7.0609359999999996E-4</v>
      </c>
      <c r="AA1132">
        <v>0.97991499999999998</v>
      </c>
      <c r="AB1132">
        <v>45</v>
      </c>
      <c r="AC1132">
        <v>64.341499999999996</v>
      </c>
      <c r="AD1132">
        <v>-0.48941859999999898</v>
      </c>
      <c r="AE1132">
        <v>-13.5102999999999</v>
      </c>
      <c r="AF1132">
        <v>13.1522578108214</v>
      </c>
      <c r="AG1132">
        <v>-0.48941859999999898</v>
      </c>
      <c r="AH1132">
        <v>64.411923752552497</v>
      </c>
      <c r="AI1132">
        <v>90.426539089714794</v>
      </c>
      <c r="AJ1132">
        <v>78.459429757402702</v>
      </c>
      <c r="AK1132">
        <v>65.7428120602776</v>
      </c>
      <c r="AL1132">
        <v>86.923282888171201</v>
      </c>
      <c r="AM1132">
        <v>88.571448411933503</v>
      </c>
      <c r="AN1132">
        <v>0.99999999783766402</v>
      </c>
    </row>
    <row r="1133" spans="1:40" x14ac:dyDescent="0.25">
      <c r="A1133" t="str">
        <f>"20190312160320208"</f>
        <v>20190312160320208</v>
      </c>
      <c r="B1133" t="str">
        <f>"1552377800195563"</f>
        <v>1552377800195563</v>
      </c>
      <c r="C1133" t="s">
        <v>40</v>
      </c>
      <c r="D1133">
        <v>5.5507989999999996</v>
      </c>
      <c r="E1133">
        <v>0.56720389999999998</v>
      </c>
      <c r="F1133" t="s">
        <v>42</v>
      </c>
      <c r="G1133">
        <v>-169.2955</v>
      </c>
      <c r="H1133">
        <v>0.65989589999999998</v>
      </c>
      <c r="I1133">
        <v>354.29700000000003</v>
      </c>
      <c r="J1133">
        <v>-233.38290000000001</v>
      </c>
      <c r="K1133">
        <v>1.10917</v>
      </c>
      <c r="L1133">
        <v>367.91370000000001</v>
      </c>
      <c r="M1133">
        <v>0.99987519999999996</v>
      </c>
      <c r="N1133">
        <v>0</v>
      </c>
      <c r="O1133">
        <v>-6.0321189999999998E-3</v>
      </c>
      <c r="P1133">
        <v>0.99873990000000001</v>
      </c>
      <c r="Q1133">
        <v>3.9113120000000001E-2</v>
      </c>
      <c r="R1133">
        <v>-3.1449850000000001E-2</v>
      </c>
      <c r="S1133">
        <v>2.985306</v>
      </c>
      <c r="T1133">
        <v>-2.0843629999999998E-2</v>
      </c>
      <c r="U1133">
        <v>-0.6318665</v>
      </c>
      <c r="V1133">
        <v>2.5529280000000001E-2</v>
      </c>
      <c r="W1133">
        <v>5.3650660000000003E-2</v>
      </c>
      <c r="X1133">
        <v>0.99823340000000005</v>
      </c>
      <c r="Y1133">
        <v>0.20116110000000001</v>
      </c>
      <c r="Z1133">
        <v>-6.5290620000000004E-4</v>
      </c>
      <c r="AA1133">
        <v>0.97955800000000004</v>
      </c>
      <c r="AB1133">
        <v>45</v>
      </c>
      <c r="AC1133">
        <v>64.087400000000002</v>
      </c>
      <c r="AD1133">
        <v>-0.44927410000000001</v>
      </c>
      <c r="AE1133">
        <v>-13.6167</v>
      </c>
      <c r="AF1133">
        <v>13.229206109878801</v>
      </c>
      <c r="AG1133">
        <v>-0.44927410000000001</v>
      </c>
      <c r="AH1133">
        <v>64.165362910144097</v>
      </c>
      <c r="AI1133">
        <v>90.392904447252107</v>
      </c>
      <c r="AJ1133">
        <v>78.3503563412619</v>
      </c>
      <c r="AK1133">
        <v>65.516467692520493</v>
      </c>
      <c r="AL1133">
        <v>86.924567114378505</v>
      </c>
      <c r="AM1133">
        <v>88.535010725651603</v>
      </c>
      <c r="AN1133">
        <v>1.0000000291656499</v>
      </c>
    </row>
    <row r="1134" spans="1:40" x14ac:dyDescent="0.25">
      <c r="A1134" t="str">
        <f>"20190312160320218"</f>
        <v>20190312160320218</v>
      </c>
      <c r="B1134" t="str">
        <f>"1552377800205322"</f>
        <v>1552377800205322</v>
      </c>
      <c r="C1134" t="s">
        <v>40</v>
      </c>
      <c r="D1134">
        <v>5.541696</v>
      </c>
      <c r="E1134">
        <v>0.56711869999999998</v>
      </c>
      <c r="F1134" t="s">
        <v>42</v>
      </c>
      <c r="G1134">
        <v>-169.2955</v>
      </c>
      <c r="H1134">
        <v>0.60152150000000004</v>
      </c>
      <c r="I1134">
        <v>354.2867</v>
      </c>
      <c r="J1134">
        <v>-233.15729999999999</v>
      </c>
      <c r="K1134">
        <v>1.1091169999999999</v>
      </c>
      <c r="L1134">
        <v>367.9119</v>
      </c>
      <c r="M1134">
        <v>0.99987230000000005</v>
      </c>
      <c r="N1134">
        <v>0</v>
      </c>
      <c r="O1134">
        <v>-6.5133719999999999E-3</v>
      </c>
      <c r="P1134">
        <v>0.99868900000000005</v>
      </c>
      <c r="Q1134">
        <v>3.9078000000000002E-2</v>
      </c>
      <c r="R1134">
        <v>-3.3069889999999998E-2</v>
      </c>
      <c r="S1134">
        <v>2.9847109999999999</v>
      </c>
      <c r="T1134">
        <v>-2.3638369999999999E-2</v>
      </c>
      <c r="U1134">
        <v>-0.63464359999999997</v>
      </c>
      <c r="V1134">
        <v>2.6675879999999999E-2</v>
      </c>
      <c r="W1134">
        <v>5.3608749999999997E-2</v>
      </c>
      <c r="X1134">
        <v>0.99820569999999997</v>
      </c>
      <c r="Y1134">
        <v>0.2015999</v>
      </c>
      <c r="Z1134">
        <v>-7.3847029999999996E-4</v>
      </c>
      <c r="AA1134">
        <v>0.97946770000000005</v>
      </c>
      <c r="AB1134">
        <v>45</v>
      </c>
      <c r="AC1134">
        <v>63.861799999999903</v>
      </c>
      <c r="AD1134">
        <v>-0.50759549999999898</v>
      </c>
      <c r="AE1134">
        <v>-13.6252</v>
      </c>
      <c r="AF1134">
        <v>13.208112851708499</v>
      </c>
      <c r="AG1134">
        <v>-0.50759549999999898</v>
      </c>
      <c r="AH1134">
        <v>63.945336573483203</v>
      </c>
      <c r="AI1134">
        <v>90.445400330496497</v>
      </c>
      <c r="AJ1134">
        <v>78.329498068398294</v>
      </c>
      <c r="AK1134">
        <v>65.297151299204003</v>
      </c>
      <c r="AL1134">
        <v>86.926971936185893</v>
      </c>
      <c r="AM1134">
        <v>88.469201639832903</v>
      </c>
      <c r="AN1134">
        <v>1.0000000600814101</v>
      </c>
    </row>
    <row r="1135" spans="1:40" x14ac:dyDescent="0.25">
      <c r="A1135" t="str">
        <f>"20190312160320229"</f>
        <v>20190312160320229</v>
      </c>
      <c r="B1135" t="str">
        <f>"1552377800225819"</f>
        <v>1552377800225819</v>
      </c>
      <c r="C1135" t="s">
        <v>40</v>
      </c>
      <c r="D1135">
        <v>5.6238380000000001</v>
      </c>
      <c r="E1135">
        <v>0.56726460000000001</v>
      </c>
      <c r="F1135" t="s">
        <v>42</v>
      </c>
      <c r="G1135">
        <v>-169.2955</v>
      </c>
      <c r="H1135">
        <v>0.63264560000000003</v>
      </c>
      <c r="I1135">
        <v>354.24119999999999</v>
      </c>
      <c r="J1135">
        <v>-232.94489999999999</v>
      </c>
      <c r="K1135">
        <v>1.109065</v>
      </c>
      <c r="L1135">
        <v>367.91030000000001</v>
      </c>
      <c r="M1135">
        <v>0.99986900000000001</v>
      </c>
      <c r="N1135">
        <v>0</v>
      </c>
      <c r="O1135">
        <v>-6.9764669999999897E-3</v>
      </c>
      <c r="P1135">
        <v>0.99864240000000004</v>
      </c>
      <c r="Q1135">
        <v>3.906163E-2</v>
      </c>
      <c r="R1135">
        <v>-3.4458830000000003E-2</v>
      </c>
      <c r="S1135">
        <v>2.9836580000000001</v>
      </c>
      <c r="T1135">
        <v>-2.2256850000000002E-2</v>
      </c>
      <c r="U1135">
        <v>-0.6387024</v>
      </c>
      <c r="V1135">
        <v>2.7609249999999998E-2</v>
      </c>
      <c r="W1135">
        <v>5.3585430000000003E-2</v>
      </c>
      <c r="X1135">
        <v>0.99818150000000005</v>
      </c>
      <c r="Y1135">
        <v>0.20249159999999999</v>
      </c>
      <c r="Z1135">
        <v>-6.9532860000000004E-4</v>
      </c>
      <c r="AA1135">
        <v>0.97928380000000004</v>
      </c>
      <c r="AB1135">
        <v>45</v>
      </c>
      <c r="AC1135">
        <v>63.649399999999901</v>
      </c>
      <c r="AD1135">
        <v>-0.47641939999999999</v>
      </c>
      <c r="AE1135">
        <v>-13.6691</v>
      </c>
      <c r="AF1135">
        <v>13.2239637499402</v>
      </c>
      <c r="AG1135">
        <v>-0.47641939999999999</v>
      </c>
      <c r="AH1135">
        <v>63.739809252036501</v>
      </c>
      <c r="AI1135">
        <v>90.419316996339205</v>
      </c>
      <c r="AJ1135">
        <v>78.279242851717001</v>
      </c>
      <c r="AK1135">
        <v>65.098874615391196</v>
      </c>
      <c r="AL1135">
        <v>86.928309775232293</v>
      </c>
      <c r="AM1135">
        <v>88.415628544457903</v>
      </c>
      <c r="AN1135">
        <v>0.99999998796804801</v>
      </c>
    </row>
    <row r="1136" spans="1:40" x14ac:dyDescent="0.25">
      <c r="A1136" t="str">
        <f>"20190312160320241"</f>
        <v>20190312160320241</v>
      </c>
      <c r="B1136" t="str">
        <f>"1552377800235578"</f>
        <v>1552377800235578</v>
      </c>
      <c r="C1136" t="s">
        <v>40</v>
      </c>
      <c r="D1136">
        <v>5.4099700000000004</v>
      </c>
      <c r="E1136">
        <v>0.56726460000000001</v>
      </c>
      <c r="F1136" t="s">
        <v>42</v>
      </c>
      <c r="G1136">
        <v>-169.2955</v>
      </c>
      <c r="H1136">
        <v>0.66627029999999998</v>
      </c>
      <c r="I1136">
        <v>354.16930000000002</v>
      </c>
      <c r="J1136">
        <v>-232.71029999999999</v>
      </c>
      <c r="K1136">
        <v>1.1089960000000001</v>
      </c>
      <c r="L1136">
        <v>367.90820000000002</v>
      </c>
      <c r="M1136">
        <v>0.999865</v>
      </c>
      <c r="N1136">
        <v>0</v>
      </c>
      <c r="O1136">
        <v>-7.5332150000000002E-3</v>
      </c>
      <c r="P1136">
        <v>0.99859070000000005</v>
      </c>
      <c r="Q1136">
        <v>3.9015080000000001E-2</v>
      </c>
      <c r="R1136">
        <v>-3.597815E-2</v>
      </c>
      <c r="S1136">
        <v>2.9826969999999999</v>
      </c>
      <c r="T1136">
        <v>-2.074587E-2</v>
      </c>
      <c r="U1136">
        <v>-0.64392090000000002</v>
      </c>
      <c r="V1136">
        <v>2.858076E-2</v>
      </c>
      <c r="W1136">
        <v>5.353115E-2</v>
      </c>
      <c r="X1136">
        <v>0.99815710000000002</v>
      </c>
      <c r="Y1136">
        <v>0.2036491</v>
      </c>
      <c r="Z1136">
        <v>-6.4836379999999995E-4</v>
      </c>
      <c r="AA1136">
        <v>0.97904369999999996</v>
      </c>
      <c r="AB1136">
        <v>45</v>
      </c>
      <c r="AC1136">
        <v>63.4147999999999</v>
      </c>
      <c r="AD1136">
        <v>-0.442725699999999</v>
      </c>
      <c r="AE1136">
        <v>-13.738899999999999</v>
      </c>
      <c r="AF1136">
        <v>13.2601244849827</v>
      </c>
      <c r="AG1136">
        <v>-0.442725699999999</v>
      </c>
      <c r="AH1136">
        <v>63.513552460679001</v>
      </c>
      <c r="AI1136">
        <v>90.390948704055404</v>
      </c>
      <c r="AJ1136">
        <v>78.207388843557695</v>
      </c>
      <c r="AK1136">
        <v>64.884499332106301</v>
      </c>
      <c r="AL1136">
        <v>86.931424358931494</v>
      </c>
      <c r="AM1136">
        <v>88.359867789875295</v>
      </c>
      <c r="AN1136">
        <v>1.0000000200714501</v>
      </c>
    </row>
    <row r="1137" spans="1:40" x14ac:dyDescent="0.25">
      <c r="A1137" t="str">
        <f>"20190312160320252"</f>
        <v>20190312160320252</v>
      </c>
      <c r="B1137" t="str">
        <f>"1552377800245339"</f>
        <v>1552377800245339</v>
      </c>
      <c r="C1137" t="s">
        <v>40</v>
      </c>
      <c r="D1137">
        <v>5.5389850000000003</v>
      </c>
      <c r="E1137">
        <v>0.56706990000000002</v>
      </c>
      <c r="F1137" t="s">
        <v>42</v>
      </c>
      <c r="G1137">
        <v>-169.2955</v>
      </c>
      <c r="H1137">
        <v>0.66451640000000001</v>
      </c>
      <c r="I1137">
        <v>354.11180000000002</v>
      </c>
      <c r="J1137">
        <v>-232.48580000000001</v>
      </c>
      <c r="K1137">
        <v>1.1089340000000001</v>
      </c>
      <c r="L1137">
        <v>367.90609999999998</v>
      </c>
      <c r="M1137">
        <v>0.99986059999999999</v>
      </c>
      <c r="N1137">
        <v>0</v>
      </c>
      <c r="O1137">
        <v>-8.0913879999999997E-3</v>
      </c>
      <c r="P1137">
        <v>0.99853409999999998</v>
      </c>
      <c r="Q1137">
        <v>3.8978209999999999E-2</v>
      </c>
      <c r="R1137">
        <v>-3.7555650000000003E-2</v>
      </c>
      <c r="S1137">
        <v>2.9816590000000001</v>
      </c>
      <c r="T1137">
        <v>-2.0894530000000001E-2</v>
      </c>
      <c r="U1137">
        <v>-0.64868159999999997</v>
      </c>
      <c r="V1137">
        <v>2.9609E-2</v>
      </c>
      <c r="W1137">
        <v>5.3486390000000002E-2</v>
      </c>
      <c r="X1137">
        <v>0.9981295</v>
      </c>
      <c r="Y1137">
        <v>0.20466570000000001</v>
      </c>
      <c r="Z1137">
        <v>-6.5277839999999896E-4</v>
      </c>
      <c r="AA1137">
        <v>0.97883169999999997</v>
      </c>
      <c r="AB1137">
        <v>45</v>
      </c>
      <c r="AC1137">
        <v>63.190300000000001</v>
      </c>
      <c r="AD1137">
        <v>-0.44441760000000002</v>
      </c>
      <c r="AE1137">
        <v>-13.7942999999999</v>
      </c>
      <c r="AF1137">
        <v>13.2818694795947</v>
      </c>
      <c r="AG1137">
        <v>-0.44441760000000002</v>
      </c>
      <c r="AH1137">
        <v>63.296869461875403</v>
      </c>
      <c r="AI1137">
        <v>90.393702538834404</v>
      </c>
      <c r="AJ1137">
        <v>78.149300930558994</v>
      </c>
      <c r="AK1137">
        <v>64.676883409374994</v>
      </c>
      <c r="AL1137">
        <v>86.933992513535998</v>
      </c>
      <c r="AM1137">
        <v>88.300848359812505</v>
      </c>
      <c r="AN1137">
        <v>0.99999999278324003</v>
      </c>
    </row>
    <row r="1138" spans="1:40" x14ac:dyDescent="0.25">
      <c r="A1138" t="str">
        <f>"20190312160320264"</f>
        <v>20190312160320264</v>
      </c>
      <c r="B1138" t="str">
        <f>"1552377800256075"</f>
        <v>1552377800256075</v>
      </c>
      <c r="C1138" t="s">
        <v>40</v>
      </c>
      <c r="D1138">
        <v>5.557474</v>
      </c>
      <c r="E1138">
        <v>0.56688899999999998</v>
      </c>
      <c r="F1138" t="s">
        <v>42</v>
      </c>
      <c r="G1138">
        <v>-169.2955</v>
      </c>
      <c r="H1138">
        <v>0.64097789999999999</v>
      </c>
      <c r="I1138">
        <v>354.0917</v>
      </c>
      <c r="J1138">
        <v>-232.22989999999999</v>
      </c>
      <c r="K1138">
        <v>1.1088629999999999</v>
      </c>
      <c r="L1138">
        <v>367.90359999999998</v>
      </c>
      <c r="M1138">
        <v>0.9998551</v>
      </c>
      <c r="N1138">
        <v>0</v>
      </c>
      <c r="O1138">
        <v>-8.7638839999999996E-3</v>
      </c>
      <c r="P1138">
        <v>0.99848590000000004</v>
      </c>
      <c r="Q1138">
        <v>3.8656009999999998E-2</v>
      </c>
      <c r="R1138">
        <v>-3.9142030000000001E-2</v>
      </c>
      <c r="S1138">
        <v>2.9807589999999999</v>
      </c>
      <c r="T1138">
        <v>-2.2069809999999999E-2</v>
      </c>
      <c r="U1138">
        <v>-0.65164180000000005</v>
      </c>
      <c r="V1138">
        <v>3.0532210000000001E-2</v>
      </c>
      <c r="W1138">
        <v>5.3155460000000002E-2</v>
      </c>
      <c r="X1138">
        <v>0.99811939999999999</v>
      </c>
      <c r="Y1138">
        <v>0.20499609999999999</v>
      </c>
      <c r="Z1138">
        <v>-6.8591649999999904E-4</v>
      </c>
      <c r="AA1138">
        <v>0.97876260000000004</v>
      </c>
      <c r="AB1138">
        <v>45</v>
      </c>
      <c r="AC1138">
        <v>62.934399999999897</v>
      </c>
      <c r="AD1138">
        <v>-0.467885099999999</v>
      </c>
      <c r="AE1138">
        <v>-13.8118999999999</v>
      </c>
      <c r="AF1138">
        <v>13.2590617632218</v>
      </c>
      <c r="AG1138">
        <v>-0.467885099999999</v>
      </c>
      <c r="AH1138">
        <v>63.049716635561502</v>
      </c>
      <c r="AI1138">
        <v>90.416077481052199</v>
      </c>
      <c r="AJ1138">
        <v>78.124014690771403</v>
      </c>
      <c r="AK1138">
        <v>64.430492805288495</v>
      </c>
      <c r="AL1138">
        <v>86.952980524283802</v>
      </c>
      <c r="AM1138">
        <v>88.247883537595101</v>
      </c>
      <c r="AN1138">
        <v>1.0000000277158201</v>
      </c>
    </row>
    <row r="1139" spans="1:40" x14ac:dyDescent="0.25">
      <c r="A1139" t="str">
        <f>"20190312160320275"</f>
        <v>20190312160320275</v>
      </c>
      <c r="B1139" t="str">
        <f>"1552377800265839"</f>
        <v>1552377800265839</v>
      </c>
      <c r="C1139" t="s">
        <v>40</v>
      </c>
      <c r="D1139">
        <v>5.6230570000000002</v>
      </c>
      <c r="E1139">
        <v>0.56691729999999996</v>
      </c>
      <c r="F1139" t="s">
        <v>42</v>
      </c>
      <c r="G1139">
        <v>-169.2955</v>
      </c>
      <c r="H1139">
        <v>0.62473769999999995</v>
      </c>
      <c r="I1139">
        <v>354.07029999999997</v>
      </c>
      <c r="J1139">
        <v>-232.0137</v>
      </c>
      <c r="K1139">
        <v>1.1087990000000001</v>
      </c>
      <c r="L1139">
        <v>367.90120000000002</v>
      </c>
      <c r="M1139">
        <v>0.9998494</v>
      </c>
      <c r="N1139">
        <v>0</v>
      </c>
      <c r="O1139">
        <v>-9.3780500000000006E-3</v>
      </c>
      <c r="P1139">
        <v>0.99842299999999995</v>
      </c>
      <c r="Q1139">
        <v>3.846103E-2</v>
      </c>
      <c r="R1139">
        <v>-4.0896479999999999E-2</v>
      </c>
      <c r="S1139">
        <v>2.9797669999999998</v>
      </c>
      <c r="T1139">
        <v>-2.2917750000000001E-2</v>
      </c>
      <c r="U1139">
        <v>-0.65496829999999995</v>
      </c>
      <c r="V1139">
        <v>3.168141E-2</v>
      </c>
      <c r="W1139">
        <v>5.2952140000000002E-2</v>
      </c>
      <c r="X1139">
        <v>0.99809440000000005</v>
      </c>
      <c r="Y1139">
        <v>0.20550499999999999</v>
      </c>
      <c r="Z1139">
        <v>-7.0968429999999905E-4</v>
      </c>
      <c r="AA1139">
        <v>0.97865579999999996</v>
      </c>
      <c r="AB1139">
        <v>45</v>
      </c>
      <c r="AC1139">
        <v>62.718200000000003</v>
      </c>
      <c r="AD1139">
        <v>-0.48406129999999897</v>
      </c>
      <c r="AE1139">
        <v>-13.8309</v>
      </c>
      <c r="AF1139">
        <v>13.2413023449535</v>
      </c>
      <c r="AG1139">
        <v>-0.48406129999999897</v>
      </c>
      <c r="AH1139">
        <v>62.8415923374275</v>
      </c>
      <c r="AI1139">
        <v>90.431851564190296</v>
      </c>
      <c r="AJ1139">
        <v>78.101307939271607</v>
      </c>
      <c r="AK1139">
        <v>64.223298970358599</v>
      </c>
      <c r="AL1139">
        <v>86.964646356791505</v>
      </c>
      <c r="AM1139">
        <v>88.181933679979394</v>
      </c>
      <c r="AN1139">
        <v>1.0000000360907599</v>
      </c>
    </row>
    <row r="1140" spans="1:40" x14ac:dyDescent="0.25">
      <c r="A1140" t="str">
        <f>"20190312160320286"</f>
        <v>20190312160320286</v>
      </c>
      <c r="B1140" t="str">
        <f>"1552377800275595"</f>
        <v>1552377800275595</v>
      </c>
      <c r="C1140" t="s">
        <v>40</v>
      </c>
      <c r="D1140">
        <v>5.441217</v>
      </c>
      <c r="E1140">
        <v>0.56709849999999995</v>
      </c>
      <c r="F1140" t="s">
        <v>42</v>
      </c>
      <c r="G1140">
        <v>-169.2955</v>
      </c>
      <c r="H1140">
        <v>0.63415239999999995</v>
      </c>
      <c r="I1140">
        <v>353.99220000000003</v>
      </c>
      <c r="J1140">
        <v>-231.79409999999999</v>
      </c>
      <c r="K1140">
        <v>1.1087340000000001</v>
      </c>
      <c r="L1140">
        <v>367.89879999999999</v>
      </c>
      <c r="M1140">
        <v>0.99984340000000005</v>
      </c>
      <c r="N1140">
        <v>0</v>
      </c>
      <c r="O1140">
        <v>-1.0013960000000001E-2</v>
      </c>
      <c r="P1140">
        <v>0.99834909999999999</v>
      </c>
      <c r="Q1140">
        <v>3.8444810000000003E-2</v>
      </c>
      <c r="R1140">
        <v>-4.2677809999999997E-2</v>
      </c>
      <c r="S1140">
        <v>2.9785460000000001</v>
      </c>
      <c r="T1140">
        <v>-2.2537229999999998E-2</v>
      </c>
      <c r="U1140">
        <v>-0.66055299999999995</v>
      </c>
      <c r="V1140">
        <v>3.2836700000000003E-2</v>
      </c>
      <c r="W1140">
        <v>5.2925949999999999E-2</v>
      </c>
      <c r="X1140">
        <v>0.99805840000000001</v>
      </c>
      <c r="Y1140">
        <v>0.20671629999999999</v>
      </c>
      <c r="Z1140">
        <v>-6.9781770000000001E-4</v>
      </c>
      <c r="AA1140">
        <v>0.97840070000000001</v>
      </c>
      <c r="AB1140">
        <v>45</v>
      </c>
      <c r="AC1140">
        <v>62.498599999999897</v>
      </c>
      <c r="AD1140">
        <v>-0.47458159999999999</v>
      </c>
      <c r="AE1140">
        <v>-13.9065999999999</v>
      </c>
      <c r="AF1140">
        <v>13.2792478775582</v>
      </c>
      <c r="AG1140">
        <v>-0.47458159999999999</v>
      </c>
      <c r="AH1140">
        <v>62.631299547878001</v>
      </c>
      <c r="AI1140">
        <v>90.424703320041203</v>
      </c>
      <c r="AJ1140">
        <v>78.029277150798606</v>
      </c>
      <c r="AK1140">
        <v>64.025333540284805</v>
      </c>
      <c r="AL1140">
        <v>86.966148892581003</v>
      </c>
      <c r="AM1140">
        <v>88.115615355968103</v>
      </c>
      <c r="AN1140">
        <v>0.99999998743042595</v>
      </c>
    </row>
    <row r="1141" spans="1:40" x14ac:dyDescent="0.25">
      <c r="A1141" t="str">
        <f>"20190312160320299"</f>
        <v>20190312160320299</v>
      </c>
      <c r="B1141" t="str">
        <f>"1552377800296091"</f>
        <v>1552377800296091</v>
      </c>
      <c r="C1141" t="s">
        <v>40</v>
      </c>
      <c r="D1141">
        <v>5.6302310000000002</v>
      </c>
      <c r="E1141">
        <v>0.5672973</v>
      </c>
      <c r="F1141" t="s">
        <v>42</v>
      </c>
      <c r="G1141">
        <v>-169.2955</v>
      </c>
      <c r="H1141">
        <v>0.49557499999999999</v>
      </c>
      <c r="I1141">
        <v>353.88709999999998</v>
      </c>
      <c r="J1141">
        <v>-231.53880000000001</v>
      </c>
      <c r="K1141">
        <v>1.1086530000000001</v>
      </c>
      <c r="L1141">
        <v>367.8956</v>
      </c>
      <c r="M1141">
        <v>0.99983489999999997</v>
      </c>
      <c r="N1141">
        <v>0</v>
      </c>
      <c r="O1141">
        <v>-1.0824490000000001E-2</v>
      </c>
      <c r="P1141">
        <v>0.99826649999999995</v>
      </c>
      <c r="Q1141">
        <v>3.8365200000000002E-2</v>
      </c>
      <c r="R1141">
        <v>-4.4634720000000003E-2</v>
      </c>
      <c r="S1141">
        <v>2.977554</v>
      </c>
      <c r="T1141">
        <v>-2.9207830000000001E-2</v>
      </c>
      <c r="U1141">
        <v>-0.66754150000000001</v>
      </c>
      <c r="V1141">
        <v>3.3994749999999997E-2</v>
      </c>
      <c r="W1141">
        <v>5.2835E-2</v>
      </c>
      <c r="X1141">
        <v>0.99802449999999998</v>
      </c>
      <c r="Y1141">
        <v>0.20817569999999999</v>
      </c>
      <c r="Z1141">
        <v>-9.0363680000000004E-4</v>
      </c>
      <c r="AA1141">
        <v>0.97809109999999999</v>
      </c>
      <c r="AB1141">
        <v>45</v>
      </c>
      <c r="AC1141">
        <v>62.243299999999998</v>
      </c>
      <c r="AD1141">
        <v>-0.61307800000000001</v>
      </c>
      <c r="AE1141">
        <v>-14.0085</v>
      </c>
      <c r="AF1141">
        <v>13.332624243326601</v>
      </c>
      <c r="AG1141">
        <v>-0.61307800000000001</v>
      </c>
      <c r="AH1141">
        <v>62.385542978855803</v>
      </c>
      <c r="AI1141">
        <v>90.550608618431994</v>
      </c>
      <c r="AJ1141">
        <v>77.936600158964495</v>
      </c>
      <c r="AK1141">
        <v>63.797262532294397</v>
      </c>
      <c r="AL1141">
        <v>86.971367408745493</v>
      </c>
      <c r="AM1141">
        <v>88.049143134400694</v>
      </c>
      <c r="AN1141">
        <v>1.0000000414264001</v>
      </c>
    </row>
    <row r="1142" spans="1:40" x14ac:dyDescent="0.25">
      <c r="A1142" t="str">
        <f>"20190312160320326"</f>
        <v>20190312160320326</v>
      </c>
      <c r="B1142" t="str">
        <f>"1552377800315611"</f>
        <v>1552377800315611</v>
      </c>
      <c r="C1142" t="s">
        <v>40</v>
      </c>
      <c r="D1142">
        <v>5.6018489999999996</v>
      </c>
      <c r="E1142">
        <v>0.56718179999999996</v>
      </c>
      <c r="F1142" t="s">
        <v>42</v>
      </c>
      <c r="G1142">
        <v>-169.2955</v>
      </c>
      <c r="H1142">
        <v>0.51762870000000005</v>
      </c>
      <c r="I1142">
        <v>353.78140000000002</v>
      </c>
      <c r="J1142">
        <v>-231.0009</v>
      </c>
      <c r="K1142">
        <v>1.108479</v>
      </c>
      <c r="L1142">
        <v>367.88830000000002</v>
      </c>
      <c r="M1142">
        <v>0.99981339999999996</v>
      </c>
      <c r="N1142">
        <v>0</v>
      </c>
      <c r="O1142">
        <v>-1.265867E-2</v>
      </c>
      <c r="P1142">
        <v>0.99806640000000002</v>
      </c>
      <c r="Q1142">
        <v>3.8298249999999999E-2</v>
      </c>
      <c r="R1142">
        <v>-4.896168E-2</v>
      </c>
      <c r="S1142">
        <v>2.9761350000000002</v>
      </c>
      <c r="T1142">
        <v>-2.825534E-2</v>
      </c>
      <c r="U1142">
        <v>-0.67486569999999901</v>
      </c>
      <c r="V1142">
        <v>3.651447E-2</v>
      </c>
      <c r="W1142">
        <v>5.274214E-2</v>
      </c>
      <c r="X1142">
        <v>0.99794039999999995</v>
      </c>
      <c r="Y1142">
        <v>0.20877209999999999</v>
      </c>
      <c r="Z1142">
        <v>-8.599546E-4</v>
      </c>
      <c r="AA1142">
        <v>0.9779639</v>
      </c>
      <c r="AB1142">
        <v>45</v>
      </c>
      <c r="AC1142">
        <v>61.705399999999997</v>
      </c>
      <c r="AD1142">
        <v>-0.59085029999999905</v>
      </c>
      <c r="AE1142">
        <v>-14.1068999999999</v>
      </c>
      <c r="AF1142">
        <v>13.323417077797499</v>
      </c>
      <c r="AG1142">
        <v>-0.59085029999999905</v>
      </c>
      <c r="AH1142">
        <v>61.873657215587201</v>
      </c>
      <c r="AI1142">
        <v>90.534859158216094</v>
      </c>
      <c r="AJ1142">
        <v>77.8479050545116</v>
      </c>
      <c r="AK1142">
        <v>63.2946443543049</v>
      </c>
      <c r="AL1142">
        <v>86.976695321674399</v>
      </c>
      <c r="AM1142">
        <v>87.904491976839907</v>
      </c>
      <c r="AN1142">
        <v>1.0000000409016501</v>
      </c>
    </row>
    <row r="1143" spans="1:40" x14ac:dyDescent="0.25">
      <c r="A1143" t="str">
        <f>"20190312160320340"</f>
        <v>20190312160320340</v>
      </c>
      <c r="B1143" t="str">
        <f>"1552377800336107"</f>
        <v>1552377800336107</v>
      </c>
      <c r="C1143" t="s">
        <v>40</v>
      </c>
      <c r="D1143">
        <v>5.5653620000000004</v>
      </c>
      <c r="E1143">
        <v>0.5671718</v>
      </c>
      <c r="F1143" t="s">
        <v>42</v>
      </c>
      <c r="G1143">
        <v>-158.78319999999999</v>
      </c>
      <c r="H1143">
        <v>0.41744419999999999</v>
      </c>
      <c r="I1143">
        <v>351.2079</v>
      </c>
      <c r="J1143">
        <v>-230.7278</v>
      </c>
      <c r="K1143">
        <v>1.1083730000000001</v>
      </c>
      <c r="L1143">
        <v>367.88409999999999</v>
      </c>
      <c r="M1143">
        <v>0.99979949999999995</v>
      </c>
      <c r="N1143">
        <v>0</v>
      </c>
      <c r="O1143">
        <v>-1.3692650000000001E-2</v>
      </c>
      <c r="P1143">
        <v>0.9978764</v>
      </c>
      <c r="Q1143">
        <v>3.8623490000000003E-2</v>
      </c>
      <c r="R1143">
        <v>-5.2449410000000002E-2</v>
      </c>
      <c r="S1143">
        <v>2.9732210000000001</v>
      </c>
      <c r="T1143">
        <v>-2.844644E-2</v>
      </c>
      <c r="U1143">
        <v>-0.68673709999999999</v>
      </c>
      <c r="V1143">
        <v>3.8985300000000001E-2</v>
      </c>
      <c r="W1143">
        <v>5.3048320000000003E-2</v>
      </c>
      <c r="X1143">
        <v>0.99783060000000001</v>
      </c>
      <c r="Y1143">
        <v>0.21167649999999999</v>
      </c>
      <c r="Z1143">
        <v>-8.7017339999999896E-4</v>
      </c>
      <c r="AA1143">
        <v>0.97733939999999997</v>
      </c>
      <c r="AB1143">
        <v>45</v>
      </c>
      <c r="AC1143">
        <v>71.944599999999994</v>
      </c>
      <c r="AD1143">
        <v>-0.69092880000000001</v>
      </c>
      <c r="AE1143">
        <v>-16.676199999999898</v>
      </c>
      <c r="AF1143">
        <v>15.688045776269099</v>
      </c>
      <c r="AG1143">
        <v>-0.69092880000000001</v>
      </c>
      <c r="AH1143">
        <v>72.159903654628394</v>
      </c>
      <c r="AI1143">
        <v>90.536066758601194</v>
      </c>
      <c r="AJ1143">
        <v>77.734384543459299</v>
      </c>
      <c r="AK1143">
        <v>73.848790500117502</v>
      </c>
      <c r="AL1143">
        <v>86.9591276065822</v>
      </c>
      <c r="AM1143">
        <v>87.762588521477994</v>
      </c>
      <c r="AN1143">
        <v>0.99999994208363396</v>
      </c>
    </row>
    <row r="1144" spans="1:40" x14ac:dyDescent="0.25">
      <c r="A1144" t="str">
        <f>"20190312160320354"</f>
        <v>20190312160320354</v>
      </c>
      <c r="B1144" t="str">
        <f>"1552377800345866"</f>
        <v>1552377800345866</v>
      </c>
      <c r="C1144" t="s">
        <v>40</v>
      </c>
      <c r="D1144">
        <v>5.6139460000000003</v>
      </c>
      <c r="E1144">
        <v>0.56711619999999996</v>
      </c>
      <c r="F1144" t="s">
        <v>42</v>
      </c>
      <c r="G1144">
        <v>-158.78319999999999</v>
      </c>
      <c r="H1144">
        <v>0.32738109999999998</v>
      </c>
      <c r="I1144">
        <v>351.00139999999999</v>
      </c>
      <c r="J1144">
        <v>-230.43960000000001</v>
      </c>
      <c r="K1144">
        <v>1.108268</v>
      </c>
      <c r="L1144">
        <v>367.87939999999998</v>
      </c>
      <c r="M1144">
        <v>0.99978339999999999</v>
      </c>
      <c r="N1144">
        <v>0</v>
      </c>
      <c r="O1144">
        <v>-1.483892E-2</v>
      </c>
      <c r="P1144">
        <v>0.99774410000000002</v>
      </c>
      <c r="Q1144">
        <v>3.8773189999999999E-2</v>
      </c>
      <c r="R1144">
        <v>-5.4803020000000001E-2</v>
      </c>
      <c r="S1144">
        <v>2.9709780000000001</v>
      </c>
      <c r="T1144">
        <v>-3.2247659999999997E-2</v>
      </c>
      <c r="U1144">
        <v>-0.69717410000000002</v>
      </c>
      <c r="V1144">
        <v>4.0210129999999997E-2</v>
      </c>
      <c r="W1144">
        <v>5.3182119999999999E-2</v>
      </c>
      <c r="X1144">
        <v>0.99777490000000002</v>
      </c>
      <c r="Y1144">
        <v>0.21397140000000001</v>
      </c>
      <c r="Z1144">
        <v>-9.8680719999999999E-4</v>
      </c>
      <c r="AA1144">
        <v>0.97683940000000002</v>
      </c>
      <c r="AB1144">
        <v>45</v>
      </c>
      <c r="AC1144">
        <v>71.656400000000005</v>
      </c>
      <c r="AD1144">
        <v>-0.78088690000000005</v>
      </c>
      <c r="AE1144">
        <v>-16.877999999999901</v>
      </c>
      <c r="AF1144">
        <v>15.8109454694722</v>
      </c>
      <c r="AG1144">
        <v>-0.78088690000000005</v>
      </c>
      <c r="AH1144">
        <v>71.890897792570897</v>
      </c>
      <c r="AI1144">
        <v>90.6078038803428</v>
      </c>
      <c r="AJ1144">
        <v>77.596422039350003</v>
      </c>
      <c r="AK1144">
        <v>73.6131575631088</v>
      </c>
      <c r="AL1144">
        <v>86.951450684430895</v>
      </c>
      <c r="AM1144">
        <v>87.692240266038894</v>
      </c>
      <c r="AN1144">
        <v>0.99999997175615996</v>
      </c>
    </row>
    <row r="1145" spans="1:40" x14ac:dyDescent="0.25">
      <c r="A1145" t="str">
        <f>"20190312160320368"</f>
        <v>20190312160320368</v>
      </c>
      <c r="B1145" t="str">
        <f>"1552377800355627"</f>
        <v>1552377800355627</v>
      </c>
      <c r="C1145" t="s">
        <v>40</v>
      </c>
      <c r="D1145">
        <v>5.5624359999999999</v>
      </c>
      <c r="E1145">
        <v>0.56686380000000003</v>
      </c>
      <c r="F1145" t="s">
        <v>42</v>
      </c>
      <c r="G1145">
        <v>-158.78319999999999</v>
      </c>
      <c r="H1145">
        <v>0.34159089999999998</v>
      </c>
      <c r="I1145">
        <v>350.89830000000001</v>
      </c>
      <c r="J1145">
        <v>-230.167</v>
      </c>
      <c r="K1145">
        <v>1.1081650000000001</v>
      </c>
      <c r="L1145">
        <v>367.87459999999999</v>
      </c>
      <c r="M1145">
        <v>0.99976580000000004</v>
      </c>
      <c r="N1145">
        <v>0</v>
      </c>
      <c r="O1145">
        <v>-1.5975509999999998E-2</v>
      </c>
      <c r="P1145">
        <v>0.99760749999999998</v>
      </c>
      <c r="Q1145">
        <v>3.8937439999999997E-2</v>
      </c>
      <c r="R1145">
        <v>-5.7125519999999999E-2</v>
      </c>
      <c r="S1145">
        <v>2.96936</v>
      </c>
      <c r="T1145">
        <v>-3.1766530000000001E-2</v>
      </c>
      <c r="U1145">
        <v>-0.70367429999999997</v>
      </c>
      <c r="V1145">
        <v>4.1413279999999997E-2</v>
      </c>
      <c r="W1145">
        <v>5.3330679999999998E-2</v>
      </c>
      <c r="X1145">
        <v>0.99771779999999999</v>
      </c>
      <c r="Y1145">
        <v>0.21500520000000001</v>
      </c>
      <c r="Z1145">
        <v>-9.6583170000000002E-4</v>
      </c>
      <c r="AA1145">
        <v>0.97661240000000005</v>
      </c>
      <c r="AB1145">
        <v>45</v>
      </c>
      <c r="AC1145">
        <v>71.383799999999994</v>
      </c>
      <c r="AD1145">
        <v>-0.76657410000000004</v>
      </c>
      <c r="AE1145">
        <v>-16.976299999999899</v>
      </c>
      <c r="AF1145">
        <v>15.831890905193699</v>
      </c>
      <c r="AG1145">
        <v>-0.76657410000000004</v>
      </c>
      <c r="AH1145">
        <v>71.638103095939002</v>
      </c>
      <c r="AI1145">
        <v>90.598635173868701</v>
      </c>
      <c r="AJ1145">
        <v>77.538041307962104</v>
      </c>
      <c r="AK1145">
        <v>73.370663215410104</v>
      </c>
      <c r="AL1145">
        <v>86.942926858335099</v>
      </c>
      <c r="AM1145">
        <v>87.623130656347499</v>
      </c>
      <c r="AN1145">
        <v>1.00000001481323</v>
      </c>
    </row>
    <row r="1146" spans="1:40" x14ac:dyDescent="0.25">
      <c r="A1146" t="str">
        <f>"20190312160320382"</f>
        <v>20190312160320382</v>
      </c>
      <c r="B1146" t="str">
        <f>"1552377800376124"</f>
        <v>1552377800376124</v>
      </c>
      <c r="C1146" t="s">
        <v>40</v>
      </c>
      <c r="D1146">
        <v>5.695093</v>
      </c>
      <c r="E1146">
        <v>0.56611140000000004</v>
      </c>
      <c r="F1146" t="s">
        <v>43</v>
      </c>
      <c r="G1146">
        <v>-121.7013</v>
      </c>
      <c r="H1146">
        <v>-0.05</v>
      </c>
      <c r="I1146">
        <v>341.98469999999998</v>
      </c>
      <c r="J1146">
        <v>-229.85599999999999</v>
      </c>
      <c r="K1146">
        <v>1.1080369999999999</v>
      </c>
      <c r="L1146">
        <v>367.86860000000001</v>
      </c>
      <c r="M1146">
        <v>0.99974260000000004</v>
      </c>
      <c r="N1146">
        <v>0</v>
      </c>
      <c r="O1146">
        <v>-1.7374500000000001E-2</v>
      </c>
      <c r="P1146">
        <v>0.99739429999999996</v>
      </c>
      <c r="Q1146">
        <v>3.8977270000000001E-2</v>
      </c>
      <c r="R1146">
        <v>-6.0711210000000002E-2</v>
      </c>
      <c r="S1146">
        <v>2.9678650000000002</v>
      </c>
      <c r="T1146">
        <v>-3.1690000000000003E-2</v>
      </c>
      <c r="U1146">
        <v>-0.70840449999999999</v>
      </c>
      <c r="V1146">
        <v>4.3621149999999997E-2</v>
      </c>
      <c r="W1146">
        <v>5.3346400000000002E-2</v>
      </c>
      <c r="X1146">
        <v>0.99762280000000003</v>
      </c>
      <c r="Y1146">
        <v>0.2152222</v>
      </c>
      <c r="Z1146">
        <v>-9.5022889999999999E-4</v>
      </c>
      <c r="AA1146">
        <v>0.9765646</v>
      </c>
      <c r="AB1146">
        <v>45</v>
      </c>
      <c r="AC1146">
        <v>108.15470000000001</v>
      </c>
      <c r="AD1146">
        <v>-1.158037</v>
      </c>
      <c r="AE1146">
        <v>-25.883900000000001</v>
      </c>
      <c r="AF1146">
        <v>23.998055973066201</v>
      </c>
      <c r="AG1146">
        <v>-1.158037</v>
      </c>
      <c r="AH1146">
        <v>108.576365096693</v>
      </c>
      <c r="AI1146">
        <v>90.596673820614299</v>
      </c>
      <c r="AJ1146">
        <v>77.536594253918807</v>
      </c>
      <c r="AK1146">
        <v>111.202854269978</v>
      </c>
      <c r="AL1146">
        <v>86.942024677461205</v>
      </c>
      <c r="AM1146">
        <v>87.496331457327003</v>
      </c>
      <c r="AN1146">
        <v>0.99999994710005902</v>
      </c>
    </row>
    <row r="1147" spans="1:40" x14ac:dyDescent="0.25">
      <c r="A1147" t="str">
        <f>"20190312160320398"</f>
        <v>20190312160320398</v>
      </c>
      <c r="B1147" t="str">
        <f>"1552377800385883"</f>
        <v>1552377800385883</v>
      </c>
      <c r="C1147" t="s">
        <v>40</v>
      </c>
      <c r="D1147">
        <v>5.4437319999999998</v>
      </c>
      <c r="E1147">
        <v>0.56617869999999904</v>
      </c>
      <c r="F1147" t="s">
        <v>43</v>
      </c>
      <c r="G1147">
        <v>-84.871780000000001</v>
      </c>
      <c r="H1147">
        <v>-0.05</v>
      </c>
      <c r="I1147">
        <v>333.00599999999997</v>
      </c>
      <c r="J1147">
        <v>-229.57320000000001</v>
      </c>
      <c r="K1147">
        <v>1.1079209999999999</v>
      </c>
      <c r="L1147">
        <v>367.86259999999999</v>
      </c>
      <c r="M1147">
        <v>0.9997182</v>
      </c>
      <c r="N1147">
        <v>0</v>
      </c>
      <c r="O1147">
        <v>-1.8720299999999999E-2</v>
      </c>
      <c r="P1147">
        <v>0.99724710000000005</v>
      </c>
      <c r="Q1147">
        <v>3.8588369999999997E-2</v>
      </c>
      <c r="R1147">
        <v>-6.3319360000000005E-2</v>
      </c>
      <c r="S1147">
        <v>2.965363</v>
      </c>
      <c r="T1147">
        <v>-2.3685339999999999E-2</v>
      </c>
      <c r="U1147">
        <v>-0.71304319999999999</v>
      </c>
      <c r="V1147">
        <v>4.4900719999999998E-2</v>
      </c>
      <c r="W1147">
        <v>5.2939750000000001E-2</v>
      </c>
      <c r="X1147">
        <v>0.99758769999999997</v>
      </c>
      <c r="Y1147">
        <v>0.21554300000000001</v>
      </c>
      <c r="Z1147">
        <v>-7.0134889999999995E-4</v>
      </c>
      <c r="AA1147">
        <v>0.97649410000000003</v>
      </c>
      <c r="AB1147">
        <v>45</v>
      </c>
      <c r="AC1147">
        <v>144.70141999999899</v>
      </c>
      <c r="AD1147">
        <v>-1.157921</v>
      </c>
      <c r="AE1147">
        <v>-34.8566</v>
      </c>
      <c r="AF1147">
        <v>32.139402641167401</v>
      </c>
      <c r="AG1147">
        <v>-1.157921</v>
      </c>
      <c r="AH1147">
        <v>145.319857530837</v>
      </c>
      <c r="AI1147">
        <v>90.445756896409605</v>
      </c>
      <c r="AJ1147">
        <v>77.529028112855897</v>
      </c>
      <c r="AK1147">
        <v>148.83595995577201</v>
      </c>
      <c r="AL1147">
        <v>86.965357003758498</v>
      </c>
      <c r="AM1147">
        <v>87.422896629079403</v>
      </c>
      <c r="AN1147">
        <v>0.99999995548893394</v>
      </c>
    </row>
    <row r="1148" spans="1:40" x14ac:dyDescent="0.25">
      <c r="A1148" t="str">
        <f>"20190312160320410"</f>
        <v>20190312160320410</v>
      </c>
      <c r="B1148" t="str">
        <f>"1552377800405403"</f>
        <v>1552377800405403</v>
      </c>
      <c r="C1148" t="s">
        <v>40</v>
      </c>
      <c r="D1148">
        <v>5.7217250000000002</v>
      </c>
      <c r="E1148">
        <v>0.56626269999999901</v>
      </c>
      <c r="F1148" t="s">
        <v>43</v>
      </c>
      <c r="G1148">
        <v>-114.9579</v>
      </c>
      <c r="H1148">
        <v>-0.05</v>
      </c>
      <c r="I1148">
        <v>339.9522</v>
      </c>
      <c r="J1148">
        <v>-229.333</v>
      </c>
      <c r="K1148">
        <v>1.107823</v>
      </c>
      <c r="L1148">
        <v>367.85739999999998</v>
      </c>
      <c r="M1148">
        <v>0.99969529999999995</v>
      </c>
      <c r="N1148">
        <v>0</v>
      </c>
      <c r="O1148">
        <v>-1.990486E-2</v>
      </c>
      <c r="P1148">
        <v>0.99708470000000005</v>
      </c>
      <c r="Q1148">
        <v>3.8568779999999997E-2</v>
      </c>
      <c r="R1148">
        <v>-6.5839720000000004E-2</v>
      </c>
      <c r="S1148">
        <v>2.9636079999999998</v>
      </c>
      <c r="T1148">
        <v>-2.9940370000000001E-2</v>
      </c>
      <c r="U1148">
        <v>-0.72167969999999904</v>
      </c>
      <c r="V1148">
        <v>4.6253700000000002E-2</v>
      </c>
      <c r="W1148">
        <v>5.290214E-2</v>
      </c>
      <c r="X1148">
        <v>0.99752790000000002</v>
      </c>
      <c r="Y1148">
        <v>0.2172017</v>
      </c>
      <c r="Z1148">
        <v>-8.8324789999999996E-4</v>
      </c>
      <c r="AA1148">
        <v>0.97612639999999995</v>
      </c>
      <c r="AB1148">
        <v>45</v>
      </c>
      <c r="AC1148">
        <v>114.3751</v>
      </c>
      <c r="AD1148">
        <v>-1.157823</v>
      </c>
      <c r="AE1148">
        <v>-27.905199999999901</v>
      </c>
      <c r="AF1148">
        <v>25.620329274867601</v>
      </c>
      <c r="AG1148">
        <v>-1.157823</v>
      </c>
      <c r="AH1148">
        <v>114.896830659587</v>
      </c>
      <c r="AI1148">
        <v>90.563515012690701</v>
      </c>
      <c r="AJ1148">
        <v>77.429523472440195</v>
      </c>
      <c r="AK1148">
        <v>117.724353987906</v>
      </c>
      <c r="AL1148">
        <v>86.967514984956097</v>
      </c>
      <c r="AM1148">
        <v>87.345192093673006</v>
      </c>
      <c r="AN1148">
        <v>0.999999976229339</v>
      </c>
    </row>
    <row r="1149" spans="1:40" x14ac:dyDescent="0.25">
      <c r="A1149" t="str">
        <f>"20190312160320421"</f>
        <v>20190312160320421</v>
      </c>
      <c r="B1149" t="str">
        <f>"1552377800416139"</f>
        <v>1552377800416139</v>
      </c>
      <c r="C1149" t="s">
        <v>40</v>
      </c>
      <c r="D1149">
        <v>5.51701</v>
      </c>
      <c r="E1149">
        <v>0.56635729999999995</v>
      </c>
      <c r="F1149" t="s">
        <v>43</v>
      </c>
      <c r="G1149">
        <v>-119.9796</v>
      </c>
      <c r="H1149">
        <v>-0.05</v>
      </c>
      <c r="I1149">
        <v>340.91919999999999</v>
      </c>
      <c r="J1149">
        <v>-229.09030000000001</v>
      </c>
      <c r="K1149">
        <v>1.1077129999999999</v>
      </c>
      <c r="L1149">
        <v>367.85169999999999</v>
      </c>
      <c r="M1149">
        <v>0.99966909999999998</v>
      </c>
      <c r="N1149">
        <v>0</v>
      </c>
      <c r="O1149">
        <v>-2.1181309999999998E-2</v>
      </c>
      <c r="P1149">
        <v>0.99693339999999997</v>
      </c>
      <c r="Q1149">
        <v>3.832253E-2</v>
      </c>
      <c r="R1149">
        <v>-6.8229970000000001E-2</v>
      </c>
      <c r="S1149">
        <v>2.9618069999999999</v>
      </c>
      <c r="T1149">
        <v>-3.1359310000000001E-2</v>
      </c>
      <c r="U1149">
        <v>-0.72961430000000005</v>
      </c>
      <c r="V1149">
        <v>4.738465E-2</v>
      </c>
      <c r="W1149">
        <v>5.2637389999999999E-2</v>
      </c>
      <c r="X1149">
        <v>0.99748890000000001</v>
      </c>
      <c r="Y1149">
        <v>0.21855759999999999</v>
      </c>
      <c r="Z1149">
        <v>-9.1913620000000004E-4</v>
      </c>
      <c r="AA1149">
        <v>0.97582360000000001</v>
      </c>
      <c r="AB1149">
        <v>45</v>
      </c>
      <c r="AC1149">
        <v>109.11069999999999</v>
      </c>
      <c r="AD1149">
        <v>-1.157713</v>
      </c>
      <c r="AE1149">
        <v>-26.932500000000001</v>
      </c>
      <c r="AF1149">
        <v>24.612490866669599</v>
      </c>
      <c r="AG1149">
        <v>-1.157713</v>
      </c>
      <c r="AH1149">
        <v>109.645107195528</v>
      </c>
      <c r="AI1149">
        <v>90.590260761470006</v>
      </c>
      <c r="AJ1149">
        <v>77.348297620831303</v>
      </c>
      <c r="AK1149">
        <v>112.37955569395599</v>
      </c>
      <c r="AL1149">
        <v>86.982705438551207</v>
      </c>
      <c r="AM1149">
        <v>87.280269465284206</v>
      </c>
      <c r="AN1149">
        <v>1.00000005275242</v>
      </c>
    </row>
    <row r="1150" spans="1:40" x14ac:dyDescent="0.25">
      <c r="A1150" t="str">
        <f>"20190312160320432"</f>
        <v>20190312160320432</v>
      </c>
      <c r="B1150" t="str">
        <f>"1552377800425899"</f>
        <v>1552377800425899</v>
      </c>
      <c r="C1150" t="s">
        <v>40</v>
      </c>
      <c r="D1150">
        <v>5.5028090000000001</v>
      </c>
      <c r="E1150">
        <v>0.56637559999999998</v>
      </c>
      <c r="F1150" t="s">
        <v>43</v>
      </c>
      <c r="G1150">
        <v>-134.4479</v>
      </c>
      <c r="H1150">
        <v>-0.05</v>
      </c>
      <c r="I1150">
        <v>344.26839999999999</v>
      </c>
      <c r="J1150">
        <v>-228.87389999999999</v>
      </c>
      <c r="K1150">
        <v>1.107612</v>
      </c>
      <c r="L1150">
        <v>367.84629999999999</v>
      </c>
      <c r="M1150">
        <v>0.99964310000000001</v>
      </c>
      <c r="N1150">
        <v>0</v>
      </c>
      <c r="O1150">
        <v>-2.2363879999999999E-2</v>
      </c>
      <c r="P1150">
        <v>0.99675460000000005</v>
      </c>
      <c r="Q1150">
        <v>3.8175470000000003E-2</v>
      </c>
      <c r="R1150">
        <v>-7.0870680000000005E-2</v>
      </c>
      <c r="S1150">
        <v>2.9601139999999999</v>
      </c>
      <c r="T1150">
        <v>-3.6209579999999998E-2</v>
      </c>
      <c r="U1150">
        <v>-0.73760990000000004</v>
      </c>
      <c r="V1150">
        <v>4.8859479999999997E-2</v>
      </c>
      <c r="W1150">
        <v>5.2471190000000001E-2</v>
      </c>
      <c r="X1150">
        <v>0.99742649999999999</v>
      </c>
      <c r="Y1150">
        <v>0.2200124</v>
      </c>
      <c r="Z1150">
        <v>-1.0560750000000001E-3</v>
      </c>
      <c r="AA1150">
        <v>0.97549649999999999</v>
      </c>
      <c r="AB1150">
        <v>45</v>
      </c>
      <c r="AC1150">
        <v>94.426000000000002</v>
      </c>
      <c r="AD1150">
        <v>-1.1576120000000001</v>
      </c>
      <c r="AE1150">
        <v>-23.5779</v>
      </c>
      <c r="AF1150">
        <v>21.457009010202501</v>
      </c>
      <c r="AG1150">
        <v>-1.1576120000000001</v>
      </c>
      <c r="AH1150">
        <v>94.916300213956404</v>
      </c>
      <c r="AI1150">
        <v>90.681555891663393</v>
      </c>
      <c r="AJ1150">
        <v>77.2616904089965</v>
      </c>
      <c r="AK1150">
        <v>97.318278588928806</v>
      </c>
      <c r="AL1150">
        <v>86.992241162250593</v>
      </c>
      <c r="AM1150">
        <v>87.195576770277199</v>
      </c>
      <c r="AN1150">
        <v>1.0000000487340599</v>
      </c>
    </row>
    <row r="1151" spans="1:40" x14ac:dyDescent="0.25">
      <c r="A1151" t="str">
        <f>"20190312160320444"</f>
        <v>20190312160320444</v>
      </c>
      <c r="B1151" t="str">
        <f>"1552377800435659"</f>
        <v>1552377800435659</v>
      </c>
      <c r="C1151" t="s">
        <v>40</v>
      </c>
      <c r="D1151">
        <v>5.6257380000000001</v>
      </c>
      <c r="E1151">
        <v>0.5662739</v>
      </c>
      <c r="F1151" t="s">
        <v>43</v>
      </c>
      <c r="G1151">
        <v>-145.2577</v>
      </c>
      <c r="H1151">
        <v>-0.05</v>
      </c>
      <c r="I1151">
        <v>346.77539999999999</v>
      </c>
      <c r="J1151">
        <v>-228.64</v>
      </c>
      <c r="K1151">
        <v>1.107504</v>
      </c>
      <c r="L1151">
        <v>367.84030000000001</v>
      </c>
      <c r="M1151">
        <v>0.99961270000000002</v>
      </c>
      <c r="N1151">
        <v>0</v>
      </c>
      <c r="O1151">
        <v>-2.369112E-2</v>
      </c>
      <c r="P1151">
        <v>0.99657300000000004</v>
      </c>
      <c r="Q1151">
        <v>3.7657540000000003E-2</v>
      </c>
      <c r="R1151">
        <v>-7.3652319999999993E-2</v>
      </c>
      <c r="S1151">
        <v>2.9583279999999998</v>
      </c>
      <c r="T1151">
        <v>-4.0956140000000002E-2</v>
      </c>
      <c r="U1151">
        <v>-0.74548340000000002</v>
      </c>
      <c r="V1151">
        <v>5.0330279999999998E-2</v>
      </c>
      <c r="W1151">
        <v>5.1931690000000003E-2</v>
      </c>
      <c r="X1151">
        <v>0.99738159999999998</v>
      </c>
      <c r="Y1151">
        <v>0.22129399999999999</v>
      </c>
      <c r="Z1151">
        <v>-1.1854910000000001E-3</v>
      </c>
      <c r="AA1151">
        <v>0.97520640000000003</v>
      </c>
      <c r="AB1151">
        <v>45</v>
      </c>
      <c r="AC1151">
        <v>83.382299999999901</v>
      </c>
      <c r="AD1151">
        <v>-1.1575040000000001</v>
      </c>
      <c r="AE1151">
        <v>-21.064900000000002</v>
      </c>
      <c r="AF1151">
        <v>19.079899456767102</v>
      </c>
      <c r="AG1151">
        <v>-1.1575040000000001</v>
      </c>
      <c r="AH1151">
        <v>83.842808271965893</v>
      </c>
      <c r="AI1151">
        <v>90.771239370895799</v>
      </c>
      <c r="AJ1151">
        <v>77.179674484912496</v>
      </c>
      <c r="AK1151">
        <v>85.994179324649593</v>
      </c>
      <c r="AL1151">
        <v>87.023194430755794</v>
      </c>
      <c r="AM1151">
        <v>87.111167269657997</v>
      </c>
      <c r="AN1151">
        <v>1.00000004676484</v>
      </c>
    </row>
    <row r="1152" spans="1:40" x14ac:dyDescent="0.25">
      <c r="A1152" t="str">
        <f>"20190312160320455"</f>
        <v>20190312160320455</v>
      </c>
      <c r="B1152" t="str">
        <f>"1552377800445420"</f>
        <v>1552377800445420</v>
      </c>
      <c r="C1152" t="s">
        <v>40</v>
      </c>
      <c r="D1152">
        <v>5.6485029999999998</v>
      </c>
      <c r="E1152">
        <v>0.5661408</v>
      </c>
      <c r="F1152" t="s">
        <v>43</v>
      </c>
      <c r="G1152">
        <v>-147.33359999999999</v>
      </c>
      <c r="H1152">
        <v>-0.05</v>
      </c>
      <c r="I1152">
        <v>347.13409999999999</v>
      </c>
      <c r="J1152">
        <v>-228.4186</v>
      </c>
      <c r="K1152">
        <v>1.1073959999999901</v>
      </c>
      <c r="L1152">
        <v>367.83409999999998</v>
      </c>
      <c r="M1152">
        <v>0.99958029999999998</v>
      </c>
      <c r="N1152">
        <v>0</v>
      </c>
      <c r="O1152">
        <v>-2.501811E-2</v>
      </c>
      <c r="P1152">
        <v>0.99642090000000005</v>
      </c>
      <c r="Q1152">
        <v>3.7557159999999999E-2</v>
      </c>
      <c r="R1152">
        <v>-7.5731889999999996E-2</v>
      </c>
      <c r="S1152">
        <v>2.9562680000000001</v>
      </c>
      <c r="T1152">
        <v>-4.2086360000000003E-2</v>
      </c>
      <c r="U1152">
        <v>-0.75286869999999995</v>
      </c>
      <c r="V1152">
        <v>5.1101029999999999E-2</v>
      </c>
      <c r="W1152">
        <v>5.1814539999999999E-2</v>
      </c>
      <c r="X1152">
        <v>0.99734840000000002</v>
      </c>
      <c r="Y1152">
        <v>0.22244849999999999</v>
      </c>
      <c r="Z1152">
        <v>-1.2081850000000001E-3</v>
      </c>
      <c r="AA1152">
        <v>0.97494369999999997</v>
      </c>
      <c r="AB1152">
        <v>45</v>
      </c>
      <c r="AC1152">
        <v>81.084999999999994</v>
      </c>
      <c r="AD1152">
        <v>-1.1573960000000001</v>
      </c>
      <c r="AE1152">
        <v>-20.6999999999999</v>
      </c>
      <c r="AF1152">
        <v>18.661140175259899</v>
      </c>
      <c r="AG1152">
        <v>-1.1573960000000001</v>
      </c>
      <c r="AH1152">
        <v>81.561944004828405</v>
      </c>
      <c r="AI1152">
        <v>90.792518893714899</v>
      </c>
      <c r="AJ1152">
        <v>77.112708395080404</v>
      </c>
      <c r="AK1152">
        <v>83.677526421305501</v>
      </c>
      <c r="AL1152">
        <v>87.029915381590499</v>
      </c>
      <c r="AM1152">
        <v>87.066907338417906</v>
      </c>
      <c r="AN1152">
        <v>0.999999946402514</v>
      </c>
    </row>
    <row r="1153" spans="1:40" x14ac:dyDescent="0.25">
      <c r="A1153" t="str">
        <f>"20190312160320467"</f>
        <v>20190312160320467</v>
      </c>
      <c r="B1153" t="str">
        <f>"1552377800455180"</f>
        <v>1552377800455180</v>
      </c>
      <c r="C1153" t="s">
        <v>40</v>
      </c>
      <c r="D1153">
        <v>5.5524339999999999</v>
      </c>
      <c r="E1153">
        <v>0.5658377</v>
      </c>
      <c r="F1153" t="s">
        <v>43</v>
      </c>
      <c r="G1153">
        <v>-148.43010000000001</v>
      </c>
      <c r="H1153">
        <v>-0.05</v>
      </c>
      <c r="I1153">
        <v>347.31040000000002</v>
      </c>
      <c r="J1153">
        <v>-228.18440000000001</v>
      </c>
      <c r="K1153">
        <v>1.107281</v>
      </c>
      <c r="L1153">
        <v>367.82740000000001</v>
      </c>
      <c r="M1153">
        <v>0.99954350000000003</v>
      </c>
      <c r="N1153">
        <v>0</v>
      </c>
      <c r="O1153">
        <v>-2.6447020000000002E-2</v>
      </c>
      <c r="P1153">
        <v>0.9961873</v>
      </c>
      <c r="Q1153">
        <v>3.7002470000000003E-2</v>
      </c>
      <c r="R1153">
        <v>-7.9006899999999894E-2</v>
      </c>
      <c r="S1153">
        <v>2.9547880000000002</v>
      </c>
      <c r="T1153">
        <v>-4.275441E-2</v>
      </c>
      <c r="U1153">
        <v>-0.75814820000000005</v>
      </c>
      <c r="V1153">
        <v>5.2965230000000002E-2</v>
      </c>
      <c r="W1153">
        <v>5.1234519999999999E-2</v>
      </c>
      <c r="X1153">
        <v>0.99728110000000003</v>
      </c>
      <c r="Y1153">
        <v>0.22280610000000001</v>
      </c>
      <c r="Z1153">
        <v>-1.2099280000000001E-3</v>
      </c>
      <c r="AA1153">
        <v>0.97486200000000001</v>
      </c>
      <c r="AB1153">
        <v>45</v>
      </c>
      <c r="AC1153">
        <v>79.754300000000001</v>
      </c>
      <c r="AD1153">
        <v>-1.157281</v>
      </c>
      <c r="AE1153">
        <v>-20.516999999999999</v>
      </c>
      <c r="AF1153">
        <v>18.396700236446001</v>
      </c>
      <c r="AG1153">
        <v>-1.157281</v>
      </c>
      <c r="AH1153">
        <v>80.253219702075995</v>
      </c>
      <c r="AI1153">
        <v>90.805284738505307</v>
      </c>
      <c r="AJ1153">
        <v>77.088970955136503</v>
      </c>
      <c r="AK1153">
        <v>82.342924112836101</v>
      </c>
      <c r="AL1153">
        <v>87.063192269741194</v>
      </c>
      <c r="AM1153">
        <v>86.959898552352797</v>
      </c>
      <c r="AN1153">
        <v>0.99999994202289499</v>
      </c>
    </row>
    <row r="1154" spans="1:40" x14ac:dyDescent="0.25">
      <c r="A1154" t="str">
        <f>"20190312160320478"</f>
        <v>20190312160320478</v>
      </c>
      <c r="B1154" t="str">
        <f>"1552377800475675"</f>
        <v>1552377800475675</v>
      </c>
      <c r="C1154" t="s">
        <v>40</v>
      </c>
      <c r="D1154">
        <v>5.6883739999999996</v>
      </c>
      <c r="E1154">
        <v>0.56508319999999901</v>
      </c>
      <c r="F1154" t="s">
        <v>43</v>
      </c>
      <c r="G1154">
        <v>-146.4999</v>
      </c>
      <c r="H1154">
        <v>-0.05</v>
      </c>
      <c r="I1154">
        <v>346.65539999999999</v>
      </c>
      <c r="J1154">
        <v>-227.94569999999999</v>
      </c>
      <c r="K1154">
        <v>1.1071580000000001</v>
      </c>
      <c r="L1154">
        <v>367.81990000000002</v>
      </c>
      <c r="M1154">
        <v>0.99950099999999997</v>
      </c>
      <c r="N1154">
        <v>0</v>
      </c>
      <c r="O1154">
        <v>-2.8007879999999999E-2</v>
      </c>
      <c r="P1154">
        <v>0.99594800000000006</v>
      </c>
      <c r="Q1154">
        <v>3.6879589999999997E-2</v>
      </c>
      <c r="R1154">
        <v>-8.2022499999999998E-2</v>
      </c>
      <c r="S1154">
        <v>2.9523619999999999</v>
      </c>
      <c r="T1154">
        <v>-4.1828160000000003E-2</v>
      </c>
      <c r="U1154">
        <v>-0.76522829999999997</v>
      </c>
      <c r="V1154">
        <v>5.4442400000000002E-2</v>
      </c>
      <c r="W1154">
        <v>5.1086890000000003E-2</v>
      </c>
      <c r="X1154">
        <v>0.99720920000000002</v>
      </c>
      <c r="Y1154">
        <v>0.22366939999999999</v>
      </c>
      <c r="Z1154">
        <v>-1.168618E-3</v>
      </c>
      <c r="AA1154">
        <v>0.97466439999999999</v>
      </c>
      <c r="AB1154">
        <v>45</v>
      </c>
      <c r="AC1154">
        <v>81.445799999999906</v>
      </c>
      <c r="AD1154">
        <v>-1.1571579999999999</v>
      </c>
      <c r="AE1154">
        <v>-21.1645</v>
      </c>
      <c r="AF1154">
        <v>18.871259550471301</v>
      </c>
      <c r="AG1154">
        <v>-1.1571579999999999</v>
      </c>
      <c r="AH1154">
        <v>81.991174470103402</v>
      </c>
      <c r="AI1154">
        <v>90.787973951464707</v>
      </c>
      <c r="AJ1154">
        <v>77.0384156787823</v>
      </c>
      <c r="AK1154">
        <v>84.142831795971503</v>
      </c>
      <c r="AL1154">
        <v>87.071662157237</v>
      </c>
      <c r="AM1154">
        <v>86.875052755920393</v>
      </c>
      <c r="AN1154">
        <v>1.0000000169061301</v>
      </c>
    </row>
    <row r="1155" spans="1:40" x14ac:dyDescent="0.25">
      <c r="A1155" t="str">
        <f>"20190312160320490"</f>
        <v>20190312160320490</v>
      </c>
      <c r="B1155" t="str">
        <f>"1552377800485435"</f>
        <v>1552377800485435</v>
      </c>
      <c r="C1155" t="s">
        <v>40</v>
      </c>
      <c r="D1155">
        <v>5.530348</v>
      </c>
      <c r="E1155">
        <v>0.5650849</v>
      </c>
      <c r="F1155" t="s">
        <v>43</v>
      </c>
      <c r="G1155">
        <v>-134.89529999999999</v>
      </c>
      <c r="H1155">
        <v>-0.05</v>
      </c>
      <c r="I1155">
        <v>343.59339999999997</v>
      </c>
      <c r="J1155">
        <v>-227.74109999999999</v>
      </c>
      <c r="K1155">
        <v>1.107056</v>
      </c>
      <c r="L1155">
        <v>367.8134</v>
      </c>
      <c r="M1155">
        <v>0.99946210000000002</v>
      </c>
      <c r="N1155">
        <v>0</v>
      </c>
      <c r="O1155">
        <v>-2.9364230000000002E-2</v>
      </c>
      <c r="P1155">
        <v>0.99572519999999998</v>
      </c>
      <c r="Q1155">
        <v>3.6317639999999998E-2</v>
      </c>
      <c r="R1155">
        <v>-8.4926420000000002E-2</v>
      </c>
      <c r="S1155">
        <v>2.950272</v>
      </c>
      <c r="T1155">
        <v>-3.6689039999999999E-2</v>
      </c>
      <c r="U1155">
        <v>-0.76812740000000002</v>
      </c>
      <c r="V1155">
        <v>5.6006609999999998E-2</v>
      </c>
      <c r="W1155">
        <v>5.0501619999999997E-2</v>
      </c>
      <c r="X1155">
        <v>0.99715240000000005</v>
      </c>
      <c r="Y1155">
        <v>0.223416</v>
      </c>
      <c r="Z1155">
        <v>-1.007523E-3</v>
      </c>
      <c r="AA1155">
        <v>0.97472270000000005</v>
      </c>
      <c r="AB1155">
        <v>45</v>
      </c>
      <c r="AC1155">
        <v>92.845799999999997</v>
      </c>
      <c r="AD1155">
        <v>-1.1570559999999901</v>
      </c>
      <c r="AE1155">
        <v>-24.22</v>
      </c>
      <c r="AF1155">
        <v>21.4797940358837</v>
      </c>
      <c r="AG1155">
        <v>-1.1570559999999901</v>
      </c>
      <c r="AH1155">
        <v>93.503435511975198</v>
      </c>
      <c r="AI1155">
        <v>90.6909731738386</v>
      </c>
      <c r="AJ1155">
        <v>77.062365629758602</v>
      </c>
      <c r="AK1155">
        <v>95.945884658766005</v>
      </c>
      <c r="AL1155">
        <v>87.105239043086598</v>
      </c>
      <c r="AM1155">
        <v>86.785271385092997</v>
      </c>
      <c r="AN1155">
        <v>1.00000003140603</v>
      </c>
    </row>
    <row r="1156" spans="1:40" x14ac:dyDescent="0.25">
      <c r="A1156" t="str">
        <f>"20190312160320502"</f>
        <v>20190312160320502</v>
      </c>
      <c r="B1156" t="str">
        <f>"1552377800496171"</f>
        <v>1552377800496171</v>
      </c>
      <c r="C1156" t="s">
        <v>40</v>
      </c>
      <c r="D1156">
        <v>5.594398</v>
      </c>
      <c r="E1156">
        <v>0.56492940000000003</v>
      </c>
      <c r="F1156" t="s">
        <v>43</v>
      </c>
      <c r="G1156">
        <v>-147.52590000000001</v>
      </c>
      <c r="H1156">
        <v>-0.05</v>
      </c>
      <c r="I1156">
        <v>346.6746</v>
      </c>
      <c r="J1156">
        <v>-227.48859999999999</v>
      </c>
      <c r="K1156">
        <v>1.1069279999999999</v>
      </c>
      <c r="L1156">
        <v>367.80470000000003</v>
      </c>
      <c r="M1156">
        <v>0.99940879999999999</v>
      </c>
      <c r="N1156">
        <v>0</v>
      </c>
      <c r="O1156">
        <v>-3.111618E-2</v>
      </c>
      <c r="P1156">
        <v>0.99547739999999996</v>
      </c>
      <c r="Q1156">
        <v>3.6545469999999997E-2</v>
      </c>
      <c r="R1156">
        <v>-8.7689009999999998E-2</v>
      </c>
      <c r="S1156">
        <v>2.9481660000000001</v>
      </c>
      <c r="T1156">
        <v>-4.2525529999999999E-2</v>
      </c>
      <c r="U1156">
        <v>-0.77691650000000001</v>
      </c>
      <c r="V1156">
        <v>5.7043530000000002E-2</v>
      </c>
      <c r="W1156">
        <v>5.0706389999999997E-2</v>
      </c>
      <c r="X1156">
        <v>0.99708319999999995</v>
      </c>
      <c r="Y1156">
        <v>0.22459129999999999</v>
      </c>
      <c r="Z1156">
        <v>-1.151706E-3</v>
      </c>
      <c r="AA1156">
        <v>0.9744524</v>
      </c>
      <c r="AB1156">
        <v>44</v>
      </c>
      <c r="AC1156">
        <v>79.962699999999899</v>
      </c>
      <c r="AD1156">
        <v>-1.156928</v>
      </c>
      <c r="AE1156">
        <v>-21.130099999999999</v>
      </c>
      <c r="AF1156">
        <v>18.627821340874501</v>
      </c>
      <c r="AG1156">
        <v>-1.156928</v>
      </c>
      <c r="AH1156">
        <v>80.565765745104599</v>
      </c>
      <c r="AI1156">
        <v>90.801569557960505</v>
      </c>
      <c r="AJ1156">
        <v>76.981266006125296</v>
      </c>
      <c r="AK1156">
        <v>82.699315719054098</v>
      </c>
      <c r="AL1156">
        <v>87.093491458937606</v>
      </c>
      <c r="AM1156">
        <v>86.725654692202497</v>
      </c>
      <c r="AN1156">
        <v>1.00000000501196</v>
      </c>
    </row>
    <row r="1157" spans="1:40" x14ac:dyDescent="0.25">
      <c r="A1157" t="str">
        <f>"20190312160320515"</f>
        <v>20190312160320515</v>
      </c>
      <c r="B1157" t="str">
        <f>"1552377800505931"</f>
        <v>1552377800505931</v>
      </c>
      <c r="C1157" t="s">
        <v>40</v>
      </c>
      <c r="D1157">
        <v>5.6645130000000004</v>
      </c>
      <c r="E1157">
        <v>0.56483159999999999</v>
      </c>
      <c r="F1157" t="s">
        <v>43</v>
      </c>
      <c r="G1157">
        <v>-148.3595</v>
      </c>
      <c r="H1157">
        <v>-0.05</v>
      </c>
      <c r="I1157">
        <v>346.75450000000001</v>
      </c>
      <c r="J1157">
        <v>-227.2304</v>
      </c>
      <c r="K1157">
        <v>1.106797</v>
      </c>
      <c r="L1157">
        <v>367.79539999999997</v>
      </c>
      <c r="M1157">
        <v>0.99934940000000005</v>
      </c>
      <c r="N1157">
        <v>0</v>
      </c>
      <c r="O1157">
        <v>-3.2967730000000001E-2</v>
      </c>
      <c r="P1157">
        <v>0.99521029999999999</v>
      </c>
      <c r="Q1157">
        <v>3.6357189999999998E-2</v>
      </c>
      <c r="R1157">
        <v>-9.0746350000000003E-2</v>
      </c>
      <c r="S1157">
        <v>2.946167</v>
      </c>
      <c r="T1157">
        <v>-4.3075200000000001E-2</v>
      </c>
      <c r="U1157">
        <v>-0.78375240000000002</v>
      </c>
      <c r="V1157">
        <v>5.8273779999999997E-2</v>
      </c>
      <c r="W1157">
        <v>5.0493040000000003E-2</v>
      </c>
      <c r="X1157">
        <v>0.99702290000000005</v>
      </c>
      <c r="Y1157">
        <v>0.22506119999999999</v>
      </c>
      <c r="Z1157">
        <v>-1.143851E-3</v>
      </c>
      <c r="AA1157">
        <v>0.97434399999999999</v>
      </c>
      <c r="AB1157">
        <v>44</v>
      </c>
      <c r="AC1157">
        <v>78.870900000000006</v>
      </c>
      <c r="AD1157">
        <v>-1.1567969999999901</v>
      </c>
      <c r="AE1157">
        <v>-21.040899999999901</v>
      </c>
      <c r="AF1157">
        <v>18.425287092647402</v>
      </c>
      <c r="AG1157">
        <v>-1.1567969999999901</v>
      </c>
      <c r="AH1157">
        <v>79.505795905628801</v>
      </c>
      <c r="AI1157">
        <v>90.812067221274901</v>
      </c>
      <c r="AJ1157">
        <v>76.952165878041001</v>
      </c>
      <c r="AK1157">
        <v>81.621081629277498</v>
      </c>
      <c r="AL1157">
        <v>87.1057312410869</v>
      </c>
      <c r="AM1157">
        <v>86.654994146350106</v>
      </c>
      <c r="AN1157">
        <v>1.00000002182416</v>
      </c>
    </row>
    <row r="1158" spans="1:40" x14ac:dyDescent="0.25">
      <c r="A1158" t="str">
        <f>"20190312160320530"</f>
        <v>20190312160320530</v>
      </c>
      <c r="B1158" t="str">
        <f>"1552377800515691"</f>
        <v>1552377800515691</v>
      </c>
      <c r="C1158" t="s">
        <v>40</v>
      </c>
      <c r="D1158">
        <v>5.6927770000000004</v>
      </c>
      <c r="E1158">
        <v>0.56468390000000002</v>
      </c>
      <c r="F1158" t="s">
        <v>43</v>
      </c>
      <c r="G1158">
        <v>-149.6619</v>
      </c>
      <c r="H1158">
        <v>-0.05</v>
      </c>
      <c r="I1158">
        <v>346.92520000000002</v>
      </c>
      <c r="J1158">
        <v>-226.94659999999999</v>
      </c>
      <c r="K1158">
        <v>1.106663</v>
      </c>
      <c r="L1158">
        <v>367.78469999999999</v>
      </c>
      <c r="M1158">
        <v>0.99927820000000001</v>
      </c>
      <c r="N1158">
        <v>0</v>
      </c>
      <c r="O1158">
        <v>-3.5060399999999999E-2</v>
      </c>
      <c r="P1158">
        <v>0.99481770000000003</v>
      </c>
      <c r="Q1158">
        <v>3.6745880000000002E-2</v>
      </c>
      <c r="R1158">
        <v>-9.4803150000000003E-2</v>
      </c>
      <c r="S1158">
        <v>2.943832</v>
      </c>
      <c r="T1158">
        <v>-4.3902040000000003E-2</v>
      </c>
      <c r="U1158">
        <v>-0.79205319999999901</v>
      </c>
      <c r="V1158">
        <v>6.0272659999999999E-2</v>
      </c>
      <c r="W1158">
        <v>5.0847360000000001E-2</v>
      </c>
      <c r="X1158">
        <v>0.99688600000000005</v>
      </c>
      <c r="Y1158">
        <v>0.2257759</v>
      </c>
      <c r="Z1158">
        <v>-1.14094E-3</v>
      </c>
      <c r="AA1158">
        <v>0.97417860000000001</v>
      </c>
      <c r="AB1158">
        <v>44</v>
      </c>
      <c r="AC1158">
        <v>77.284699999999901</v>
      </c>
      <c r="AD1158">
        <v>-1.156663</v>
      </c>
      <c r="AE1158">
        <v>-20.859499999999901</v>
      </c>
      <c r="AF1158">
        <v>18.132964674204398</v>
      </c>
      <c r="AG1158">
        <v>-1.156663</v>
      </c>
      <c r="AH1158">
        <v>77.952320591496701</v>
      </c>
      <c r="AI1158">
        <v>90.827993972907905</v>
      </c>
      <c r="AJ1158">
        <v>76.9049565644154</v>
      </c>
      <c r="AK1158">
        <v>80.041905042115204</v>
      </c>
      <c r="AL1158">
        <v>87.085403944860005</v>
      </c>
      <c r="AM1158">
        <v>86.540055447900002</v>
      </c>
      <c r="AN1158">
        <v>0.99999997227922199</v>
      </c>
    </row>
    <row r="1159" spans="1:40" x14ac:dyDescent="0.25">
      <c r="A1159" t="str">
        <f>"20190312160320543"</f>
        <v>20190312160320543</v>
      </c>
      <c r="B1159" t="str">
        <f>"1552377800536188"</f>
        <v>1552377800536188</v>
      </c>
      <c r="C1159" t="s">
        <v>40</v>
      </c>
      <c r="D1159">
        <v>5.7102789999999999</v>
      </c>
      <c r="E1159">
        <v>0.56453750000000003</v>
      </c>
      <c r="F1159" t="s">
        <v>43</v>
      </c>
      <c r="G1159">
        <v>-149.8723</v>
      </c>
      <c r="H1159">
        <v>-0.05</v>
      </c>
      <c r="I1159">
        <v>346.74439999999998</v>
      </c>
      <c r="J1159">
        <v>-226.66739999999999</v>
      </c>
      <c r="K1159">
        <v>1.1065339999999999</v>
      </c>
      <c r="L1159">
        <v>367.77339999999998</v>
      </c>
      <c r="M1159">
        <v>0.9992008</v>
      </c>
      <c r="N1159">
        <v>0</v>
      </c>
      <c r="O1159">
        <v>-3.720238E-2</v>
      </c>
      <c r="P1159">
        <v>0.99452969999999896</v>
      </c>
      <c r="Q1159">
        <v>3.6989840000000003E-2</v>
      </c>
      <c r="R1159">
        <v>-9.7686830000000002E-2</v>
      </c>
      <c r="S1159">
        <v>2.9407809999999999</v>
      </c>
      <c r="T1159">
        <v>-4.4132589999999999E-2</v>
      </c>
      <c r="U1159">
        <v>-0.80279540000000005</v>
      </c>
      <c r="V1159">
        <v>6.10447E-2</v>
      </c>
      <c r="W1159">
        <v>5.1067370000000001E-2</v>
      </c>
      <c r="X1159">
        <v>0.99682780000000004</v>
      </c>
      <c r="Y1159">
        <v>0.2272556</v>
      </c>
      <c r="Z1159">
        <v>-1.126976E-3</v>
      </c>
      <c r="AA1159">
        <v>0.97383450000000005</v>
      </c>
      <c r="AB1159">
        <v>44</v>
      </c>
      <c r="AC1159">
        <v>76.795099999999906</v>
      </c>
      <c r="AD1159">
        <v>-1.156534</v>
      </c>
      <c r="AE1159">
        <v>-21.029</v>
      </c>
      <c r="AF1159">
        <v>18.153343681082902</v>
      </c>
      <c r="AG1159">
        <v>-1.156534</v>
      </c>
      <c r="AH1159">
        <v>77.507986961323098</v>
      </c>
      <c r="AI1159">
        <v>90.832352975646899</v>
      </c>
      <c r="AJ1159">
        <v>76.818212354762196</v>
      </c>
      <c r="AK1159">
        <v>79.613877562227202</v>
      </c>
      <c r="AL1159">
        <v>87.072781975050106</v>
      </c>
      <c r="AM1159">
        <v>86.495642242842493</v>
      </c>
      <c r="AN1159">
        <v>0.99999999726482303</v>
      </c>
    </row>
    <row r="1160" spans="1:40" x14ac:dyDescent="0.25">
      <c r="A1160" t="str">
        <f>"20190312160320555"</f>
        <v>20190312160320555</v>
      </c>
      <c r="B1160" t="str">
        <f>"1552377800545947"</f>
        <v>1552377800545947</v>
      </c>
      <c r="C1160" t="s">
        <v>40</v>
      </c>
      <c r="D1160">
        <v>5.4773449999999997</v>
      </c>
      <c r="E1160">
        <v>0.56430230000000003</v>
      </c>
      <c r="F1160" t="s">
        <v>43</v>
      </c>
      <c r="G1160">
        <v>-150.44730000000001</v>
      </c>
      <c r="H1160">
        <v>-0.05</v>
      </c>
      <c r="I1160">
        <v>346.75740000000002</v>
      </c>
      <c r="J1160">
        <v>-226.41909999999999</v>
      </c>
      <c r="K1160">
        <v>1.1064259999999999</v>
      </c>
      <c r="L1160">
        <v>367.76280000000003</v>
      </c>
      <c r="M1160">
        <v>0.99912590000000001</v>
      </c>
      <c r="N1160">
        <v>0</v>
      </c>
      <c r="O1160">
        <v>-3.9159770000000003E-2</v>
      </c>
      <c r="P1160">
        <v>0.99423379999999995</v>
      </c>
      <c r="Q1160">
        <v>3.698166E-2</v>
      </c>
      <c r="R1160">
        <v>-0.1006548</v>
      </c>
      <c r="S1160">
        <v>2.9385680000000001</v>
      </c>
      <c r="T1160">
        <v>-4.458869E-2</v>
      </c>
      <c r="U1160">
        <v>-0.81024169999999995</v>
      </c>
      <c r="V1160">
        <v>6.2081190000000001E-2</v>
      </c>
      <c r="W1160">
        <v>5.1035940000000002E-2</v>
      </c>
      <c r="X1160">
        <v>0.99676540000000002</v>
      </c>
      <c r="Y1160">
        <v>0.22782859999999999</v>
      </c>
      <c r="Z1160">
        <v>-1.11428E-3</v>
      </c>
      <c r="AA1160">
        <v>0.97370060000000003</v>
      </c>
      <c r="AB1160">
        <v>44</v>
      </c>
      <c r="AC1160">
        <v>75.971799999999902</v>
      </c>
      <c r="AD1160">
        <v>-1.156426</v>
      </c>
      <c r="AE1160">
        <v>-21.005400000000002</v>
      </c>
      <c r="AF1160">
        <v>18.010051472134901</v>
      </c>
      <c r="AG1160">
        <v>-1.156426</v>
      </c>
      <c r="AH1160">
        <v>76.7196551836754</v>
      </c>
      <c r="AI1160">
        <v>90.840725378162105</v>
      </c>
      <c r="AJ1160">
        <v>76.788944296408502</v>
      </c>
      <c r="AK1160">
        <v>78.813734631880493</v>
      </c>
      <c r="AL1160">
        <v>87.074585146504205</v>
      </c>
      <c r="AM1160">
        <v>86.436070605103893</v>
      </c>
      <c r="AN1160">
        <v>1.0000000019803299</v>
      </c>
    </row>
    <row r="1161" spans="1:40" x14ac:dyDescent="0.25">
      <c r="A1161" t="str">
        <f>"20190312160320567"</f>
        <v>20190312160320567</v>
      </c>
      <c r="B1161" t="str">
        <f>"1552377800555707"</f>
        <v>1552377800555707</v>
      </c>
      <c r="C1161" t="s">
        <v>40</v>
      </c>
      <c r="D1161">
        <v>5.6923469999999998</v>
      </c>
      <c r="E1161">
        <v>0.56432289999999996</v>
      </c>
      <c r="F1161" t="s">
        <v>43</v>
      </c>
      <c r="G1161">
        <v>-146.27420000000001</v>
      </c>
      <c r="H1161">
        <v>-0.05</v>
      </c>
      <c r="I1161">
        <v>345.46140000000003</v>
      </c>
      <c r="J1161">
        <v>-226.18389999999999</v>
      </c>
      <c r="K1161">
        <v>1.1063259999999999</v>
      </c>
      <c r="L1161">
        <v>367.7525</v>
      </c>
      <c r="M1161">
        <v>0.99905049999999995</v>
      </c>
      <c r="N1161">
        <v>0</v>
      </c>
      <c r="O1161">
        <v>-4.1038390000000001E-2</v>
      </c>
      <c r="P1161">
        <v>0.99393140000000002</v>
      </c>
      <c r="Q1161">
        <v>3.6966470000000001E-2</v>
      </c>
      <c r="R1161">
        <v>-0.1036055</v>
      </c>
      <c r="S1161">
        <v>2.9362339999999998</v>
      </c>
      <c r="T1161">
        <v>-4.2367460000000003E-2</v>
      </c>
      <c r="U1161">
        <v>-0.81704709999999903</v>
      </c>
      <c r="V1161">
        <v>6.3178789999999999E-2</v>
      </c>
      <c r="W1161">
        <v>5.0996409999999999E-2</v>
      </c>
      <c r="X1161">
        <v>0.99669839999999998</v>
      </c>
      <c r="Y1161">
        <v>0.228294</v>
      </c>
      <c r="Z1161">
        <v>-1.036052E-3</v>
      </c>
      <c r="AA1161">
        <v>0.97359169999999995</v>
      </c>
      <c r="AB1161">
        <v>44</v>
      </c>
      <c r="AC1161">
        <v>79.909699999999901</v>
      </c>
      <c r="AD1161">
        <v>-1.156326</v>
      </c>
      <c r="AE1161">
        <v>-22.291099999999901</v>
      </c>
      <c r="AF1161">
        <v>18.988911925618901</v>
      </c>
      <c r="AG1161">
        <v>-1.156326</v>
      </c>
      <c r="AH1161">
        <v>80.741569941590697</v>
      </c>
      <c r="AI1161">
        <v>90.798707051251398</v>
      </c>
      <c r="AJ1161">
        <v>76.765602065465103</v>
      </c>
      <c r="AK1161">
        <v>82.952498350381106</v>
      </c>
      <c r="AL1161">
        <v>87.076852840804094</v>
      </c>
      <c r="AM1161">
        <v>86.372983646961103</v>
      </c>
      <c r="AN1161">
        <v>0.99999994695065397</v>
      </c>
    </row>
    <row r="1162" spans="1:40" x14ac:dyDescent="0.25">
      <c r="A1162" t="str">
        <f>"20190312160320579"</f>
        <v>20190312160320579</v>
      </c>
      <c r="B1162" t="str">
        <f>"1552377800576203"</f>
        <v>1552377800576203</v>
      </c>
      <c r="C1162" t="s">
        <v>40</v>
      </c>
      <c r="D1162">
        <v>5.6062149999999997</v>
      </c>
      <c r="E1162">
        <v>0.56475390000000003</v>
      </c>
      <c r="F1162" t="s">
        <v>43</v>
      </c>
      <c r="G1162">
        <v>-139.9957</v>
      </c>
      <c r="H1162">
        <v>-0.05</v>
      </c>
      <c r="I1162">
        <v>343.49169999999998</v>
      </c>
      <c r="J1162">
        <v>-225.95009999999999</v>
      </c>
      <c r="K1162">
        <v>1.106228</v>
      </c>
      <c r="L1162">
        <v>367.74149999999997</v>
      </c>
      <c r="M1162">
        <v>0.99896940000000001</v>
      </c>
      <c r="N1162">
        <v>0</v>
      </c>
      <c r="O1162">
        <v>-4.2965940000000001E-2</v>
      </c>
      <c r="P1162">
        <v>0.99365570000000003</v>
      </c>
      <c r="Q1162">
        <v>3.6979919999999999E-2</v>
      </c>
      <c r="R1162">
        <v>-0.1062109</v>
      </c>
      <c r="S1162">
        <v>2.9337309999999999</v>
      </c>
      <c r="T1162">
        <v>-3.9359810000000002E-2</v>
      </c>
      <c r="U1162">
        <v>-0.82580569999999898</v>
      </c>
      <c r="V1162">
        <v>6.3880889999999996E-2</v>
      </c>
      <c r="W1162">
        <v>5.09907E-2</v>
      </c>
      <c r="X1162">
        <v>0.99665400000000004</v>
      </c>
      <c r="Y1162">
        <v>0.2293277</v>
      </c>
      <c r="Z1162">
        <v>-9.4445140000000004E-4</v>
      </c>
      <c r="AA1162">
        <v>0.97334880000000001</v>
      </c>
      <c r="AB1162">
        <v>44</v>
      </c>
      <c r="AC1162">
        <v>85.954399999999893</v>
      </c>
      <c r="AD1162">
        <v>-1.156228</v>
      </c>
      <c r="AE1162">
        <v>-24.2498</v>
      </c>
      <c r="AF1162">
        <v>20.530453450561801</v>
      </c>
      <c r="AG1162">
        <v>-1.156228</v>
      </c>
      <c r="AH1162">
        <v>86.902468930336795</v>
      </c>
      <c r="AI1162">
        <v>90.741850329124603</v>
      </c>
      <c r="AJ1162">
        <v>76.707755341699496</v>
      </c>
      <c r="AK1162">
        <v>89.302158362840402</v>
      </c>
      <c r="AL1162">
        <v>87.077180603497993</v>
      </c>
      <c r="AM1162">
        <v>86.332623416665101</v>
      </c>
      <c r="AN1162">
        <v>1.0000000076548401</v>
      </c>
    </row>
    <row r="1163" spans="1:40" x14ac:dyDescent="0.25">
      <c r="A1163" t="str">
        <f>"20190312160320591"</f>
        <v>20190312160320591</v>
      </c>
      <c r="B1163" t="str">
        <f>"1552377800585963"</f>
        <v>1552377800585963</v>
      </c>
      <c r="C1163" t="s">
        <v>40</v>
      </c>
      <c r="D1163">
        <v>5.6080009999999998</v>
      </c>
      <c r="E1163">
        <v>0.56519580000000003</v>
      </c>
      <c r="F1163" t="s">
        <v>43</v>
      </c>
      <c r="G1163">
        <v>-122.51090000000001</v>
      </c>
      <c r="H1163">
        <v>-0.05</v>
      </c>
      <c r="I1163">
        <v>338.21679999999998</v>
      </c>
      <c r="J1163">
        <v>-225.71190000000001</v>
      </c>
      <c r="K1163">
        <v>1.106134</v>
      </c>
      <c r="L1163">
        <v>367.73</v>
      </c>
      <c r="M1163">
        <v>0.99888200000000005</v>
      </c>
      <c r="N1163">
        <v>0</v>
      </c>
      <c r="O1163">
        <v>-4.4949740000000002E-2</v>
      </c>
      <c r="P1163">
        <v>0.99333689999999997</v>
      </c>
      <c r="Q1163">
        <v>3.698572E-2</v>
      </c>
      <c r="R1163">
        <v>-0.1091514</v>
      </c>
      <c r="S1163">
        <v>2.930939</v>
      </c>
      <c r="T1163">
        <v>-3.2761569999999997E-2</v>
      </c>
      <c r="U1163">
        <v>-0.83657839999999895</v>
      </c>
      <c r="V1163">
        <v>6.4863270000000001E-2</v>
      </c>
      <c r="W1163">
        <v>5.0974510000000001E-2</v>
      </c>
      <c r="X1163">
        <v>0.99659140000000002</v>
      </c>
      <c r="Y1163">
        <v>0.2309522</v>
      </c>
      <c r="Z1163">
        <v>-7.7372009999999904E-4</v>
      </c>
      <c r="AA1163">
        <v>0.97296479999999996</v>
      </c>
      <c r="AB1163">
        <v>44</v>
      </c>
      <c r="AC1163">
        <v>103.20099999999999</v>
      </c>
      <c r="AD1163">
        <v>-1.156134</v>
      </c>
      <c r="AE1163">
        <v>-29.513200000000001</v>
      </c>
      <c r="AF1163">
        <v>24.841126037719299</v>
      </c>
      <c r="AG1163">
        <v>-1.156134</v>
      </c>
      <c r="AH1163">
        <v>104.411306887237</v>
      </c>
      <c r="AI1163">
        <v>90.617177863987607</v>
      </c>
      <c r="AJ1163">
        <v>76.617218400034801</v>
      </c>
      <c r="AK1163">
        <v>107.331911352349</v>
      </c>
      <c r="AL1163">
        <v>87.078109499822602</v>
      </c>
      <c r="AM1163">
        <v>86.276149604794995</v>
      </c>
      <c r="AN1163">
        <v>1.00000003150939</v>
      </c>
    </row>
    <row r="1164" spans="1:40" x14ac:dyDescent="0.25">
      <c r="A1164" t="str">
        <f>"20190312160320603"</f>
        <v>20190312160320603</v>
      </c>
      <c r="B1164" t="str">
        <f>"1552377800595723"</f>
        <v>1552377800595723</v>
      </c>
      <c r="C1164" t="s">
        <v>40</v>
      </c>
      <c r="D1164">
        <v>5.6102119999999998</v>
      </c>
      <c r="E1164">
        <v>0.56563289999999999</v>
      </c>
      <c r="F1164" t="s">
        <v>43</v>
      </c>
      <c r="G1164">
        <v>-126.10509999999999</v>
      </c>
      <c r="H1164">
        <v>-0.05</v>
      </c>
      <c r="I1164">
        <v>338.86309999999997</v>
      </c>
      <c r="J1164">
        <v>-225.46899999999999</v>
      </c>
      <c r="K1164">
        <v>1.106042</v>
      </c>
      <c r="L1164">
        <v>367.71769999999998</v>
      </c>
      <c r="M1164">
        <v>0.99878730000000004</v>
      </c>
      <c r="N1164">
        <v>0</v>
      </c>
      <c r="O1164">
        <v>-4.7007260000000002E-2</v>
      </c>
      <c r="P1164">
        <v>0.99302239999999997</v>
      </c>
      <c r="Q1164">
        <v>3.7085989999999999E-2</v>
      </c>
      <c r="R1164">
        <v>-0.1119412</v>
      </c>
      <c r="S1164">
        <v>2.9281459999999999</v>
      </c>
      <c r="T1164">
        <v>-3.3986929999999999E-2</v>
      </c>
      <c r="U1164">
        <v>-0.84860230000000003</v>
      </c>
      <c r="V1164">
        <v>6.5622760000000002E-2</v>
      </c>
      <c r="W1164">
        <v>5.1054040000000002E-2</v>
      </c>
      <c r="X1164">
        <v>0.99653760000000002</v>
      </c>
      <c r="Y1164">
        <v>0.23288139999999999</v>
      </c>
      <c r="Z1164">
        <v>-7.9062079999999996E-4</v>
      </c>
      <c r="AA1164">
        <v>0.97250479999999995</v>
      </c>
      <c r="AB1164">
        <v>44</v>
      </c>
      <c r="AC1164">
        <v>99.363900000000001</v>
      </c>
      <c r="AD1164">
        <v>-1.156042</v>
      </c>
      <c r="AE1164">
        <v>-28.854600000000001</v>
      </c>
      <c r="AF1164">
        <v>24.148356150603099</v>
      </c>
      <c r="AG1164">
        <v>-1.156042</v>
      </c>
      <c r="AH1164">
        <v>100.59799746412099</v>
      </c>
      <c r="AI1164">
        <v>90.640211357763704</v>
      </c>
      <c r="AJ1164">
        <v>76.501661995972398</v>
      </c>
      <c r="AK1164">
        <v>103.46224737397399</v>
      </c>
      <c r="AL1164">
        <v>87.073546806378602</v>
      </c>
      <c r="AM1164">
        <v>86.2324687391542</v>
      </c>
      <c r="AN1164">
        <v>1.00000002492204</v>
      </c>
    </row>
    <row r="1165" spans="1:40" x14ac:dyDescent="0.25">
      <c r="A1165" t="str">
        <f>"20190312160320614"</f>
        <v>20190312160320614</v>
      </c>
      <c r="B1165" t="str">
        <f>"1552377800605484"</f>
        <v>1552377800605484</v>
      </c>
      <c r="C1165" t="s">
        <v>40</v>
      </c>
      <c r="D1165">
        <v>5.5914769999999896</v>
      </c>
      <c r="E1165">
        <v>0.56602959999999902</v>
      </c>
      <c r="F1165" t="s">
        <v>43</v>
      </c>
      <c r="G1165">
        <v>-129.76390000000001</v>
      </c>
      <c r="H1165">
        <v>-0.05</v>
      </c>
      <c r="I1165">
        <v>339.5806</v>
      </c>
      <c r="J1165">
        <v>-225.25299999999999</v>
      </c>
      <c r="K1165">
        <v>1.1059669999999999</v>
      </c>
      <c r="L1165">
        <v>367.70639999999997</v>
      </c>
      <c r="M1165">
        <v>0.99869810000000003</v>
      </c>
      <c r="N1165">
        <v>0</v>
      </c>
      <c r="O1165">
        <v>-4.8865760000000001E-2</v>
      </c>
      <c r="P1165">
        <v>0.99271810000000005</v>
      </c>
      <c r="Q1165">
        <v>3.7007829999999999E-2</v>
      </c>
      <c r="R1165">
        <v>-0.1146358</v>
      </c>
      <c r="S1165">
        <v>2.925446</v>
      </c>
      <c r="T1165">
        <v>-3.5337090000000002E-2</v>
      </c>
      <c r="U1165">
        <v>-0.86007690000000003</v>
      </c>
      <c r="V1165">
        <v>6.6481310000000002E-2</v>
      </c>
      <c r="W1165">
        <v>5.0956410000000001E-2</v>
      </c>
      <c r="X1165">
        <v>0.99648570000000003</v>
      </c>
      <c r="Y1165">
        <v>0.23482510000000001</v>
      </c>
      <c r="Z1165">
        <v>-8.1192959999999996E-4</v>
      </c>
      <c r="AA1165">
        <v>0.97203729999999999</v>
      </c>
      <c r="AB1165">
        <v>44</v>
      </c>
      <c r="AC1165">
        <v>95.489099999999894</v>
      </c>
      <c r="AD1165">
        <v>-1.155967</v>
      </c>
      <c r="AE1165">
        <v>-28.125799999999899</v>
      </c>
      <c r="AF1165">
        <v>23.4223865772178</v>
      </c>
      <c r="AG1165">
        <v>-1.155967</v>
      </c>
      <c r="AH1165">
        <v>96.736490904693895</v>
      </c>
      <c r="AI1165">
        <v>90.665406707794901</v>
      </c>
      <c r="AJ1165">
        <v>76.389164236341401</v>
      </c>
      <c r="AK1165">
        <v>99.538400254533201</v>
      </c>
      <c r="AL1165">
        <v>87.079147913977593</v>
      </c>
      <c r="AM1165">
        <v>86.183124253861706</v>
      </c>
      <c r="AN1165">
        <v>1.00000003530194</v>
      </c>
    </row>
    <row r="1166" spans="1:40" x14ac:dyDescent="0.25">
      <c r="A1166" t="str">
        <f>"20190312160320629"</f>
        <v>20190312160320629</v>
      </c>
      <c r="B1166" t="str">
        <f>"1552377800625980"</f>
        <v>1552377800625980</v>
      </c>
      <c r="C1166" t="s">
        <v>40</v>
      </c>
      <c r="D1166">
        <v>5.6242679999999998</v>
      </c>
      <c r="E1166">
        <v>0.56672109999999998</v>
      </c>
      <c r="F1166" t="s">
        <v>46</v>
      </c>
      <c r="G1166">
        <v>-141.17850000000001</v>
      </c>
      <c r="H1166">
        <v>2.7730080000000001E-2</v>
      </c>
      <c r="I1166">
        <v>342.64400000000001</v>
      </c>
      <c r="J1166">
        <v>-224.9624</v>
      </c>
      <c r="K1166">
        <v>1.1058680000000001</v>
      </c>
      <c r="L1166">
        <v>367.69060000000002</v>
      </c>
      <c r="M1166">
        <v>0.9985714</v>
      </c>
      <c r="N1166">
        <v>0</v>
      </c>
      <c r="O1166">
        <v>-5.1389270000000001E-2</v>
      </c>
      <c r="P1166">
        <v>0.99221210000000004</v>
      </c>
      <c r="Q1166">
        <v>3.7425710000000001E-2</v>
      </c>
      <c r="R1166">
        <v>-0.1188046</v>
      </c>
      <c r="S1166">
        <v>2.922806</v>
      </c>
      <c r="T1166">
        <v>-3.7484169999999997E-2</v>
      </c>
      <c r="U1166">
        <v>-0.87127690000000002</v>
      </c>
      <c r="V1166">
        <v>6.8166550000000006E-2</v>
      </c>
      <c r="W1166">
        <v>5.1341669999999999E-2</v>
      </c>
      <c r="X1166">
        <v>0.99635200000000002</v>
      </c>
      <c r="Y1166">
        <v>0.23602899999999999</v>
      </c>
      <c r="Z1166">
        <v>-8.3758399999999897E-4</v>
      </c>
      <c r="AA1166">
        <v>0.97174570000000005</v>
      </c>
      <c r="AB1166">
        <v>44</v>
      </c>
      <c r="AC1166">
        <v>83.783899999999903</v>
      </c>
      <c r="AD1166">
        <v>-1.0781379200000001</v>
      </c>
      <c r="AE1166">
        <v>-25.046600000000002</v>
      </c>
      <c r="AF1166">
        <v>20.704296787197201</v>
      </c>
      <c r="AG1166">
        <v>-1.0781379200000001</v>
      </c>
      <c r="AH1166">
        <v>84.947524581467107</v>
      </c>
      <c r="AI1166">
        <v>90.706469316806704</v>
      </c>
      <c r="AJ1166">
        <v>76.302341333006098</v>
      </c>
      <c r="AK1166">
        <v>87.440907013513197</v>
      </c>
      <c r="AL1166">
        <v>87.057045038419901</v>
      </c>
      <c r="AM1166">
        <v>86.086143396373103</v>
      </c>
      <c r="AN1166">
        <v>0.999999976760645</v>
      </c>
    </row>
    <row r="1167" spans="1:40" x14ac:dyDescent="0.25">
      <c r="A1167" t="str">
        <f>"20190312160320641"</f>
        <v>20190312160320641</v>
      </c>
      <c r="B1167" t="str">
        <f>"1552377800635740"</f>
        <v>1552377800635740</v>
      </c>
      <c r="C1167" t="s">
        <v>40</v>
      </c>
      <c r="D1167">
        <v>5.6091730000000002</v>
      </c>
      <c r="E1167">
        <v>0.5670866</v>
      </c>
      <c r="F1167" t="s">
        <v>46</v>
      </c>
      <c r="G1167">
        <v>-142.71440000000001</v>
      </c>
      <c r="H1167">
        <v>8.6003389999999999E-2</v>
      </c>
      <c r="I1167">
        <v>342.64400000000001</v>
      </c>
      <c r="J1167">
        <v>-224.70949999999999</v>
      </c>
      <c r="K1167">
        <v>1.1057859999999999</v>
      </c>
      <c r="L1167">
        <v>367.67599999999999</v>
      </c>
      <c r="M1167">
        <v>0.99845419999999996</v>
      </c>
      <c r="N1167">
        <v>0</v>
      </c>
      <c r="O1167">
        <v>-5.3619920000000001E-2</v>
      </c>
      <c r="P1167">
        <v>0.99184450000000002</v>
      </c>
      <c r="Q1167">
        <v>3.7327899999999997E-2</v>
      </c>
      <c r="R1167">
        <v>-0.12186569999999999</v>
      </c>
      <c r="S1167">
        <v>2.918533</v>
      </c>
      <c r="T1167">
        <v>-3.6189199999999998E-2</v>
      </c>
      <c r="U1167">
        <v>-0.88876339999999998</v>
      </c>
      <c r="V1167">
        <v>6.9024050000000003E-2</v>
      </c>
      <c r="W1167">
        <v>5.1223089999999999E-2</v>
      </c>
      <c r="X1167">
        <v>0.99629909999999999</v>
      </c>
      <c r="Y1167">
        <v>0.23958389999999999</v>
      </c>
      <c r="Z1167">
        <v>-8.0375879999999996E-4</v>
      </c>
      <c r="AA1167">
        <v>0.9708753</v>
      </c>
      <c r="AB1167">
        <v>44</v>
      </c>
      <c r="AC1167">
        <v>81.995099999999894</v>
      </c>
      <c r="AD1167">
        <v>-1.01978261</v>
      </c>
      <c r="AE1167">
        <v>-25.031999999999901</v>
      </c>
      <c r="AF1167">
        <v>20.596025991588402</v>
      </c>
      <c r="AG1167">
        <v>-1.01978261</v>
      </c>
      <c r="AH1167">
        <v>83.207702104924707</v>
      </c>
      <c r="AI1167">
        <v>90.681606160351393</v>
      </c>
      <c r="AJ1167">
        <v>76.097273875248703</v>
      </c>
      <c r="AK1167">
        <v>85.724896808335302</v>
      </c>
      <c r="AL1167">
        <v>87.063848222944003</v>
      </c>
      <c r="AM1167">
        <v>86.036855257748002</v>
      </c>
      <c r="AN1167">
        <v>1.00000001054418</v>
      </c>
    </row>
    <row r="1168" spans="1:40" x14ac:dyDescent="0.25">
      <c r="A1168" t="str">
        <f>"20190312160320652"</f>
        <v>20190312160320652</v>
      </c>
      <c r="B1168" t="str">
        <f>"1552377800645500"</f>
        <v>1552377800645500</v>
      </c>
      <c r="C1168" t="s">
        <v>40</v>
      </c>
      <c r="D1168">
        <v>5.6270089999999904</v>
      </c>
      <c r="E1168">
        <v>0.56746339999999995</v>
      </c>
      <c r="F1168" t="s">
        <v>46</v>
      </c>
      <c r="G1168">
        <v>-143.63</v>
      </c>
      <c r="H1168">
        <v>7.1491330000000006E-2</v>
      </c>
      <c r="I1168">
        <v>342.62950000000001</v>
      </c>
      <c r="J1168">
        <v>-224.51159999999999</v>
      </c>
      <c r="K1168">
        <v>1.1057250000000001</v>
      </c>
      <c r="L1168">
        <v>367.66430000000003</v>
      </c>
      <c r="M1168">
        <v>0.99835819999999997</v>
      </c>
      <c r="N1168">
        <v>0</v>
      </c>
      <c r="O1168">
        <v>-5.5376149999999999E-2</v>
      </c>
      <c r="P1168">
        <v>0.99151409999999995</v>
      </c>
      <c r="Q1168">
        <v>3.7296509999999998E-2</v>
      </c>
      <c r="R1168">
        <v>-0.1245343</v>
      </c>
      <c r="S1168">
        <v>2.9154049999999998</v>
      </c>
      <c r="T1168">
        <v>-3.7190319999999999E-2</v>
      </c>
      <c r="U1168">
        <v>-0.90060419999999997</v>
      </c>
      <c r="V1168">
        <v>6.9959800000000003E-2</v>
      </c>
      <c r="W1168">
        <v>5.117261E-2</v>
      </c>
      <c r="X1168">
        <v>0.99623640000000002</v>
      </c>
      <c r="Y1168">
        <v>0.24176880000000001</v>
      </c>
      <c r="Z1168">
        <v>-8.1821360000000002E-4</v>
      </c>
      <c r="AA1168">
        <v>0.97033360000000002</v>
      </c>
      <c r="AB1168">
        <v>44</v>
      </c>
      <c r="AC1168">
        <v>80.881599999999906</v>
      </c>
      <c r="AD1168">
        <v>-1.0342336700000001</v>
      </c>
      <c r="AE1168">
        <v>-25.034800000000001</v>
      </c>
      <c r="AF1168">
        <v>20.5139247224852</v>
      </c>
      <c r="AG1168">
        <v>-1.0342336700000001</v>
      </c>
      <c r="AH1168">
        <v>82.1316901215759</v>
      </c>
      <c r="AI1168">
        <v>90.699951738998394</v>
      </c>
      <c r="AJ1168">
        <v>75.976230656060693</v>
      </c>
      <c r="AK1168">
        <v>84.661120173492407</v>
      </c>
      <c r="AL1168">
        <v>87.066744243338405</v>
      </c>
      <c r="AM1168">
        <v>85.983050145864894</v>
      </c>
      <c r="AN1168">
        <v>0.99999998715760596</v>
      </c>
    </row>
    <row r="1169" spans="1:40" x14ac:dyDescent="0.25">
      <c r="A1169" t="str">
        <f>"20190312160320664"</f>
        <v>20190312160320664</v>
      </c>
      <c r="B1169" t="str">
        <f>"1552377800655258"</f>
        <v>1552377800655258</v>
      </c>
      <c r="C1169" t="s">
        <v>40</v>
      </c>
      <c r="D1169">
        <v>5.8269169999999999</v>
      </c>
      <c r="E1169">
        <v>0.56774159999999996</v>
      </c>
      <c r="F1169" t="s">
        <v>46</v>
      </c>
      <c r="G1169">
        <v>-143.62989999999999</v>
      </c>
      <c r="H1169">
        <v>4.3967340000000001E-2</v>
      </c>
      <c r="I1169">
        <v>342.35770000000002</v>
      </c>
      <c r="J1169">
        <v>-224.2758</v>
      </c>
      <c r="K1169">
        <v>1.1056569999999999</v>
      </c>
      <c r="L1169">
        <v>367.6499</v>
      </c>
      <c r="M1169">
        <v>0.99823899999999999</v>
      </c>
      <c r="N1169">
        <v>0</v>
      </c>
      <c r="O1169">
        <v>-5.748462E-2</v>
      </c>
      <c r="P1169">
        <v>0.99117189999999999</v>
      </c>
      <c r="Q1169">
        <v>3.6863920000000001E-2</v>
      </c>
      <c r="R1169">
        <v>-0.12735439999999901</v>
      </c>
      <c r="S1169">
        <v>2.9126280000000002</v>
      </c>
      <c r="T1169">
        <v>-3.8234709999999998E-2</v>
      </c>
      <c r="U1169">
        <v>-0.91131589999999996</v>
      </c>
      <c r="V1169">
        <v>7.0692749999999999E-2</v>
      </c>
      <c r="W1169">
        <v>5.0722110000000001E-2</v>
      </c>
      <c r="X1169">
        <v>0.99620770000000003</v>
      </c>
      <c r="Y1169">
        <v>0.243233</v>
      </c>
      <c r="Z1169">
        <v>-8.2402429999999904E-4</v>
      </c>
      <c r="AA1169">
        <v>0.96996749999999998</v>
      </c>
      <c r="AB1169">
        <v>44</v>
      </c>
      <c r="AC1169">
        <v>80.645899999999997</v>
      </c>
      <c r="AD1169">
        <v>-1.0616896600000001</v>
      </c>
      <c r="AE1169">
        <v>-25.292199999999902</v>
      </c>
      <c r="AF1169">
        <v>20.610719414715401</v>
      </c>
      <c r="AG1169">
        <v>-1.0616896600000001</v>
      </c>
      <c r="AH1169">
        <v>81.953651391880101</v>
      </c>
      <c r="AI1169">
        <v>90.719799748262403</v>
      </c>
      <c r="AJ1169">
        <v>75.883307207944895</v>
      </c>
      <c r="AK1169">
        <v>84.512306300254807</v>
      </c>
      <c r="AL1169">
        <v>87.092589563485305</v>
      </c>
      <c r="AM1169">
        <v>85.940989033186199</v>
      </c>
      <c r="AN1169">
        <v>0.99999998944235202</v>
      </c>
    </row>
    <row r="1170" spans="1:40" x14ac:dyDescent="0.25">
      <c r="A1170" t="str">
        <f>"20190312160320675"</f>
        <v>20190312160320675</v>
      </c>
      <c r="B1170" t="str">
        <f>"1552377800665995"</f>
        <v>1552377800665995</v>
      </c>
      <c r="C1170" t="s">
        <v>40</v>
      </c>
      <c r="D1170">
        <v>5.7702309999999999</v>
      </c>
      <c r="E1170">
        <v>0.56795169999999995</v>
      </c>
      <c r="F1170" t="s">
        <v>46</v>
      </c>
      <c r="G1170">
        <v>-143.9135</v>
      </c>
      <c r="H1170">
        <v>3.146261E-3</v>
      </c>
      <c r="I1170">
        <v>342.19009999999997</v>
      </c>
      <c r="J1170">
        <v>-224.0531</v>
      </c>
      <c r="K1170">
        <v>1.105599</v>
      </c>
      <c r="L1170">
        <v>367.63569999999999</v>
      </c>
      <c r="M1170">
        <v>0.99812129999999999</v>
      </c>
      <c r="N1170">
        <v>0</v>
      </c>
      <c r="O1170">
        <v>-5.949343E-2</v>
      </c>
      <c r="P1170">
        <v>0.99082000000000003</v>
      </c>
      <c r="Q1170">
        <v>3.6381480000000001E-2</v>
      </c>
      <c r="R1170">
        <v>-0.13020019999999999</v>
      </c>
      <c r="S1170">
        <v>2.9097439999999999</v>
      </c>
      <c r="T1170">
        <v>-3.9919259999999998E-2</v>
      </c>
      <c r="U1170">
        <v>-0.92184449999999996</v>
      </c>
      <c r="V1170">
        <v>7.1549879999999996E-2</v>
      </c>
      <c r="W1170">
        <v>5.0221590000000003E-2</v>
      </c>
      <c r="X1170">
        <v>0.9961719</v>
      </c>
      <c r="Y1170">
        <v>0.2447463</v>
      </c>
      <c r="Z1170">
        <v>-8.44088E-4</v>
      </c>
      <c r="AA1170">
        <v>0.96958679999999997</v>
      </c>
      <c r="AB1170">
        <v>44</v>
      </c>
      <c r="AC1170">
        <v>80.139600000000002</v>
      </c>
      <c r="AD1170">
        <v>-1.1024527390000001</v>
      </c>
      <c r="AE1170">
        <v>-25.445599999999999</v>
      </c>
      <c r="AF1170">
        <v>20.6286812302709</v>
      </c>
      <c r="AG1170">
        <v>-1.1024527390000001</v>
      </c>
      <c r="AH1170">
        <v>81.497615798414103</v>
      </c>
      <c r="AI1170">
        <v>90.751324869205405</v>
      </c>
      <c r="AJ1170">
        <v>75.795629947870196</v>
      </c>
      <c r="AK1170">
        <v>84.075081160637396</v>
      </c>
      <c r="AL1170">
        <v>87.121303943711595</v>
      </c>
      <c r="AM1170">
        <v>85.8917950114039</v>
      </c>
      <c r="AN1170">
        <v>1.0000000238898701</v>
      </c>
    </row>
    <row r="1171" spans="1:40" x14ac:dyDescent="0.25">
      <c r="A1171" t="str">
        <f>"20190312160320687"</f>
        <v>20190312160320687</v>
      </c>
      <c r="B1171" t="str">
        <f>"1552377800675756"</f>
        <v>1552377800675756</v>
      </c>
      <c r="C1171" t="s">
        <v>40</v>
      </c>
      <c r="D1171">
        <v>5.6448839999999896</v>
      </c>
      <c r="E1171">
        <v>0.56831200000000004</v>
      </c>
      <c r="F1171" t="s">
        <v>46</v>
      </c>
      <c r="G1171">
        <v>-144.68819999999999</v>
      </c>
      <c r="H1171">
        <v>-2.1387960000000001E-2</v>
      </c>
      <c r="I1171">
        <v>342.19009999999997</v>
      </c>
      <c r="J1171">
        <v>-223.81979999999999</v>
      </c>
      <c r="K1171">
        <v>1.1055379999999999</v>
      </c>
      <c r="L1171">
        <v>367.6207</v>
      </c>
      <c r="M1171">
        <v>0.99799340000000003</v>
      </c>
      <c r="N1171">
        <v>0</v>
      </c>
      <c r="O1171">
        <v>-6.1603600000000001E-2</v>
      </c>
      <c r="P1171">
        <v>0.99045000000000005</v>
      </c>
      <c r="Q1171">
        <v>3.611781E-2</v>
      </c>
      <c r="R1171">
        <v>-0.1330578</v>
      </c>
      <c r="S1171">
        <v>2.9068299999999998</v>
      </c>
      <c r="T1171">
        <v>-4.1277050000000003E-2</v>
      </c>
      <c r="U1171">
        <v>-0.93197629999999998</v>
      </c>
      <c r="V1171">
        <v>7.2321150000000001E-2</v>
      </c>
      <c r="W1171">
        <v>4.9939650000000002E-2</v>
      </c>
      <c r="X1171">
        <v>0.99613030000000002</v>
      </c>
      <c r="Y1171">
        <v>0.2460425</v>
      </c>
      <c r="Z1171">
        <v>-8.5312259999999998E-4</v>
      </c>
      <c r="AA1171">
        <v>0.96925870000000003</v>
      </c>
      <c r="AB1171">
        <v>44</v>
      </c>
      <c r="AC1171">
        <v>79.131599999999906</v>
      </c>
      <c r="AD1171">
        <v>-1.1269259599999999</v>
      </c>
      <c r="AE1171">
        <v>-25.430599999999998</v>
      </c>
      <c r="AF1171">
        <v>20.503206622479301</v>
      </c>
      <c r="AG1171">
        <v>-1.1269259599999999</v>
      </c>
      <c r="AH1171">
        <v>80.533252939759805</v>
      </c>
      <c r="AI1171">
        <v>90.776924004867695</v>
      </c>
      <c r="AJ1171">
        <v>75.716343128464999</v>
      </c>
      <c r="AK1171">
        <v>83.109904782659598</v>
      </c>
      <c r="AL1171">
        <v>87.137477988065996</v>
      </c>
      <c r="AM1171">
        <v>85.847492000186705</v>
      </c>
      <c r="AN1171">
        <v>0.99999994597876596</v>
      </c>
    </row>
    <row r="1172" spans="1:40" x14ac:dyDescent="0.25">
      <c r="A1172" t="str">
        <f>"20190312160320698"</f>
        <v>20190312160320698</v>
      </c>
      <c r="B1172" t="str">
        <f>"1552377800685515"</f>
        <v>1552377800685515</v>
      </c>
      <c r="C1172" t="s">
        <v>40</v>
      </c>
      <c r="D1172">
        <v>5.8774550000000003</v>
      </c>
      <c r="E1172">
        <v>0.56857519999999995</v>
      </c>
      <c r="F1172" t="s">
        <v>43</v>
      </c>
      <c r="G1172">
        <v>-146.38149999999999</v>
      </c>
      <c r="H1172">
        <v>-0.05</v>
      </c>
      <c r="I1172">
        <v>342.46809999999999</v>
      </c>
      <c r="J1172">
        <v>-223.6114</v>
      </c>
      <c r="K1172">
        <v>1.105491</v>
      </c>
      <c r="L1172">
        <v>367.60640000000001</v>
      </c>
      <c r="M1172">
        <v>0.99787409999999999</v>
      </c>
      <c r="N1172">
        <v>0</v>
      </c>
      <c r="O1172">
        <v>-6.350683E-2</v>
      </c>
      <c r="P1172">
        <v>0.99006150000000004</v>
      </c>
      <c r="Q1172">
        <v>3.5927239999999999E-2</v>
      </c>
      <c r="R1172">
        <v>-0.13597110000000001</v>
      </c>
      <c r="S1172">
        <v>2.9037929999999998</v>
      </c>
      <c r="T1172">
        <v>-4.3330550000000002E-2</v>
      </c>
      <c r="U1172">
        <v>-0.94317629999999997</v>
      </c>
      <c r="V1172">
        <v>7.3355130000000004E-2</v>
      </c>
      <c r="W1172">
        <v>4.9729629999999997E-2</v>
      </c>
      <c r="X1172">
        <v>0.99606530000000004</v>
      </c>
      <c r="Y1172">
        <v>0.24787200000000001</v>
      </c>
      <c r="Z1172">
        <v>-8.8175479999999995E-4</v>
      </c>
      <c r="AA1172">
        <v>0.9687924</v>
      </c>
      <c r="AB1172">
        <v>44</v>
      </c>
      <c r="AC1172">
        <v>77.229900000000001</v>
      </c>
      <c r="AD1172">
        <v>-1.155491</v>
      </c>
      <c r="AE1172">
        <v>-25.138300000000001</v>
      </c>
      <c r="AF1172">
        <v>20.178309393309501</v>
      </c>
      <c r="AG1172">
        <v>-1.155491</v>
      </c>
      <c r="AH1172">
        <v>78.654675020281005</v>
      </c>
      <c r="AI1172">
        <v>90.815257062983207</v>
      </c>
      <c r="AJ1172">
        <v>75.611467065733905</v>
      </c>
      <c r="AK1172">
        <v>81.209957714366695</v>
      </c>
      <c r="AL1172">
        <v>87.149526505348902</v>
      </c>
      <c r="AM1172">
        <v>85.788061614658204</v>
      </c>
      <c r="AN1172">
        <v>1.00000004653067</v>
      </c>
    </row>
    <row r="1173" spans="1:40" x14ac:dyDescent="0.25">
      <c r="A1173" t="str">
        <f>"20190312160320711"</f>
        <v>20190312160320711</v>
      </c>
      <c r="B1173" t="str">
        <f>"1552377800706011"</f>
        <v>1552377800706011</v>
      </c>
      <c r="C1173" t="s">
        <v>40</v>
      </c>
      <c r="D1173">
        <v>6.0175530000000004</v>
      </c>
      <c r="E1173">
        <v>0.56901829999999998</v>
      </c>
      <c r="F1173" t="s">
        <v>46</v>
      </c>
      <c r="G1173">
        <v>-147.65299999999999</v>
      </c>
      <c r="H1173">
        <v>-1.097384E-2</v>
      </c>
      <c r="I1173">
        <v>342.64400000000001</v>
      </c>
      <c r="J1173">
        <v>-223.34909999999999</v>
      </c>
      <c r="K1173">
        <v>1.105437</v>
      </c>
      <c r="L1173">
        <v>367.58819999999997</v>
      </c>
      <c r="M1173">
        <v>0.99771829999999995</v>
      </c>
      <c r="N1173">
        <v>0</v>
      </c>
      <c r="O1173">
        <v>-6.5909389999999998E-2</v>
      </c>
      <c r="P1173">
        <v>0.98956949999999999</v>
      </c>
      <c r="Q1173">
        <v>3.5749360000000001E-2</v>
      </c>
      <c r="R1173">
        <v>-0.1395516</v>
      </c>
      <c r="S1173">
        <v>2.9007420000000002</v>
      </c>
      <c r="T1173">
        <v>-4.2635920000000001E-2</v>
      </c>
      <c r="U1173">
        <v>-0.95327759999999995</v>
      </c>
      <c r="V1173">
        <v>7.4564699999999998E-2</v>
      </c>
      <c r="W1173">
        <v>4.9528660000000002E-2</v>
      </c>
      <c r="X1173">
        <v>0.99598540000000002</v>
      </c>
      <c r="Y1173">
        <v>0.2488872</v>
      </c>
      <c r="Z1173">
        <v>-8.4114699999999999E-4</v>
      </c>
      <c r="AA1173">
        <v>0.96853210000000001</v>
      </c>
      <c r="AB1173">
        <v>44</v>
      </c>
      <c r="AC1173">
        <v>75.696100000000001</v>
      </c>
      <c r="AD1173">
        <v>-1.1164108399999999</v>
      </c>
      <c r="AE1173">
        <v>-24.944199999999899</v>
      </c>
      <c r="AF1173">
        <v>19.896427989481399</v>
      </c>
      <c r="AG1173">
        <v>-1.1164108399999999</v>
      </c>
      <c r="AH1173">
        <v>77.160565117536393</v>
      </c>
      <c r="AI1173">
        <v>90.802683569780697</v>
      </c>
      <c r="AJ1173">
        <v>75.540828700772195</v>
      </c>
      <c r="AK1173">
        <v>79.692327291664995</v>
      </c>
      <c r="AL1173">
        <v>87.161055169830405</v>
      </c>
      <c r="AM1173">
        <v>85.718523938396899</v>
      </c>
      <c r="AN1173">
        <v>0.99999994983032103</v>
      </c>
    </row>
    <row r="1174" spans="1:40" x14ac:dyDescent="0.25">
      <c r="A1174" t="str">
        <f>"20190312160320724"</f>
        <v>20190312160320724</v>
      </c>
      <c r="B1174" t="str">
        <f>"1552377800715772"</f>
        <v>1552377800715772</v>
      </c>
      <c r="C1174" t="s">
        <v>40</v>
      </c>
      <c r="D1174">
        <v>5.7548700000000004</v>
      </c>
      <c r="E1174">
        <v>0.56916169999999899</v>
      </c>
      <c r="F1174" t="s">
        <v>46</v>
      </c>
      <c r="G1174">
        <v>-148.6397</v>
      </c>
      <c r="H1174">
        <v>-2.5424060000000001E-3</v>
      </c>
      <c r="I1174">
        <v>342.64400000000001</v>
      </c>
      <c r="J1174">
        <v>-223.0822</v>
      </c>
      <c r="K1174">
        <v>1.1053869999999999</v>
      </c>
      <c r="L1174">
        <v>367.56900000000002</v>
      </c>
      <c r="M1174">
        <v>0.99755249999999995</v>
      </c>
      <c r="N1174">
        <v>0</v>
      </c>
      <c r="O1174">
        <v>-6.8369570000000005E-2</v>
      </c>
      <c r="P1174">
        <v>0.98910849999999995</v>
      </c>
      <c r="Q1174">
        <v>3.6007579999999997E-2</v>
      </c>
      <c r="R1174">
        <v>-0.1427165</v>
      </c>
      <c r="S1174">
        <v>2.8968050000000001</v>
      </c>
      <c r="T1174">
        <v>-4.296088E-2</v>
      </c>
      <c r="U1174">
        <v>-0.96719359999999999</v>
      </c>
      <c r="V1174">
        <v>7.530502E-2</v>
      </c>
      <c r="W1174">
        <v>4.976821E-2</v>
      </c>
      <c r="X1174">
        <v>0.99591779999999996</v>
      </c>
      <c r="Y1174">
        <v>0.25108029999999998</v>
      </c>
      <c r="Z1174">
        <v>-8.286255E-4</v>
      </c>
      <c r="AA1174">
        <v>0.96796590000000005</v>
      </c>
      <c r="AB1174">
        <v>44</v>
      </c>
      <c r="AC1174">
        <v>74.442499999999995</v>
      </c>
      <c r="AD1174">
        <v>-1.107929406</v>
      </c>
      <c r="AE1174">
        <v>-24.925000000000001</v>
      </c>
      <c r="AF1174">
        <v>19.7725783817944</v>
      </c>
      <c r="AG1174">
        <v>-1.107929406</v>
      </c>
      <c r="AH1174">
        <v>75.957437381222704</v>
      </c>
      <c r="AI1174">
        <v>90.8087203120417</v>
      </c>
      <c r="AJ1174">
        <v>75.409078899252407</v>
      </c>
      <c r="AK1174">
        <v>78.496590097629394</v>
      </c>
      <c r="AL1174">
        <v>87.147313139694205</v>
      </c>
      <c r="AM1174">
        <v>85.675883096173706</v>
      </c>
      <c r="AN1174">
        <v>0.99999999256032202</v>
      </c>
    </row>
    <row r="1175" spans="1:40" x14ac:dyDescent="0.25">
      <c r="A1175" t="str">
        <f>"20190312160320737"</f>
        <v>20190312160320737</v>
      </c>
      <c r="B1175" t="str">
        <f>"1552377800725531"</f>
        <v>1552377800725531</v>
      </c>
      <c r="C1175" t="s">
        <v>40</v>
      </c>
      <c r="D1175">
        <v>5.7408809999999999</v>
      </c>
      <c r="E1175">
        <v>0.56920769999999998</v>
      </c>
      <c r="F1175" t="s">
        <v>46</v>
      </c>
      <c r="G1175">
        <v>-149.31819999999999</v>
      </c>
      <c r="H1175">
        <v>2.5673000000000001E-2</v>
      </c>
      <c r="I1175">
        <v>342.64400000000001</v>
      </c>
      <c r="J1175">
        <v>-222.85079999999999</v>
      </c>
      <c r="K1175">
        <v>1.105345</v>
      </c>
      <c r="L1175">
        <v>367.55169999999998</v>
      </c>
      <c r="M1175">
        <v>0.99740300000000004</v>
      </c>
      <c r="N1175">
        <v>0</v>
      </c>
      <c r="O1175">
        <v>-7.0519650000000003E-2</v>
      </c>
      <c r="P1175">
        <v>0.98864600000000002</v>
      </c>
      <c r="Q1175">
        <v>3.642339E-2</v>
      </c>
      <c r="R1175">
        <v>-0.1457832</v>
      </c>
      <c r="S1175">
        <v>2.8935089999999999</v>
      </c>
      <c r="T1175">
        <v>-4.2353269999999998E-2</v>
      </c>
      <c r="U1175">
        <v>-0.97772219999999999</v>
      </c>
      <c r="V1175">
        <v>7.6258339999999994E-2</v>
      </c>
      <c r="W1175">
        <v>5.0165389999999997E-2</v>
      </c>
      <c r="X1175">
        <v>0.99582539999999997</v>
      </c>
      <c r="Y1175">
        <v>0.25248999999999999</v>
      </c>
      <c r="Z1175">
        <v>-7.9700339999999896E-4</v>
      </c>
      <c r="AA1175">
        <v>0.96759919999999999</v>
      </c>
      <c r="AB1175">
        <v>44</v>
      </c>
      <c r="AC1175">
        <v>73.532600000000002</v>
      </c>
      <c r="AD1175">
        <v>-1.079672</v>
      </c>
      <c r="AE1175">
        <v>-24.907699999999899</v>
      </c>
      <c r="AF1175">
        <v>19.655826097076702</v>
      </c>
      <c r="AG1175">
        <v>-1.079672</v>
      </c>
      <c r="AH1175">
        <v>75.091641181876795</v>
      </c>
      <c r="AI1175">
        <v>90.796900531958201</v>
      </c>
      <c r="AJ1175">
        <v>75.331484577542597</v>
      </c>
      <c r="AK1175">
        <v>77.629065217699505</v>
      </c>
      <c r="AL1175">
        <v>87.124528145881698</v>
      </c>
      <c r="AM1175">
        <v>85.620949023469294</v>
      </c>
      <c r="AN1175">
        <v>1.0000000640292801</v>
      </c>
    </row>
    <row r="1176" spans="1:40" x14ac:dyDescent="0.25">
      <c r="A1176" t="str">
        <f>"20190312160320749"</f>
        <v>20190312160320749</v>
      </c>
      <c r="B1176" t="str">
        <f>"1552377800735292"</f>
        <v>1552377800735292</v>
      </c>
      <c r="C1176" t="s">
        <v>40</v>
      </c>
      <c r="D1176">
        <v>5.8679160000000001</v>
      </c>
      <c r="E1176">
        <v>0.56927830000000001</v>
      </c>
      <c r="F1176" t="s">
        <v>46</v>
      </c>
      <c r="G1176">
        <v>-149.9299</v>
      </c>
      <c r="H1176">
        <v>0.12964639999999999</v>
      </c>
      <c r="I1176">
        <v>342.64400000000001</v>
      </c>
      <c r="J1176">
        <v>-222.5975</v>
      </c>
      <c r="K1176">
        <v>1.105299</v>
      </c>
      <c r="L1176">
        <v>367.5324</v>
      </c>
      <c r="M1176">
        <v>0.99723300000000004</v>
      </c>
      <c r="N1176">
        <v>0</v>
      </c>
      <c r="O1176">
        <v>-7.2883229999999993E-2</v>
      </c>
      <c r="P1176">
        <v>0.9881354</v>
      </c>
      <c r="Q1176">
        <v>3.6958820000000003E-2</v>
      </c>
      <c r="R1176">
        <v>-0.14907490000000001</v>
      </c>
      <c r="S1176">
        <v>2.8903050000000001</v>
      </c>
      <c r="T1176">
        <v>-3.8672690000000003E-2</v>
      </c>
      <c r="U1176">
        <v>-0.98724369999999995</v>
      </c>
      <c r="V1176">
        <v>7.722822E-2</v>
      </c>
      <c r="W1176">
        <v>5.0680210000000003E-2</v>
      </c>
      <c r="X1176">
        <v>0.99572450000000001</v>
      </c>
      <c r="Y1176">
        <v>0.25338249999999901</v>
      </c>
      <c r="Z1176">
        <v>-7.0345539999999902E-4</v>
      </c>
      <c r="AA1176">
        <v>0.9673659</v>
      </c>
      <c r="AB1176">
        <v>44</v>
      </c>
      <c r="AC1176">
        <v>72.667599999999993</v>
      </c>
      <c r="AD1176">
        <v>-0.97565259999999998</v>
      </c>
      <c r="AE1176">
        <v>-24.888399999999901</v>
      </c>
      <c r="AF1176">
        <v>19.522227732511301</v>
      </c>
      <c r="AG1176">
        <v>-0.97565259999999998</v>
      </c>
      <c r="AH1176">
        <v>74.2764554439824</v>
      </c>
      <c r="AI1176">
        <v>90.727843607099004</v>
      </c>
      <c r="AJ1176">
        <v>75.273902762759107</v>
      </c>
      <c r="AK1176">
        <v>76.805345562387899</v>
      </c>
      <c r="AL1176">
        <v>87.094993323054396</v>
      </c>
      <c r="AM1176">
        <v>85.565027927874695</v>
      </c>
      <c r="AN1176">
        <v>0.99999998077513097</v>
      </c>
    </row>
    <row r="1177" spans="1:40" x14ac:dyDescent="0.25">
      <c r="A1177" t="str">
        <f>"20190312160320763"</f>
        <v>20190312160320763</v>
      </c>
      <c r="B1177" t="str">
        <f>"1552377800755787"</f>
        <v>1552377800755787</v>
      </c>
      <c r="C1177" t="s">
        <v>40</v>
      </c>
      <c r="D1177">
        <v>5.6928999999999998</v>
      </c>
      <c r="E1177">
        <v>0.56956010000000001</v>
      </c>
      <c r="F1177" t="s">
        <v>46</v>
      </c>
      <c r="G1177">
        <v>-149.96539999999999</v>
      </c>
      <c r="H1177">
        <v>0.21768199999999999</v>
      </c>
      <c r="I1177">
        <v>342.4495</v>
      </c>
      <c r="J1177">
        <v>-222.31540000000001</v>
      </c>
      <c r="K1177">
        <v>1.105246</v>
      </c>
      <c r="L1177">
        <v>367.50990000000002</v>
      </c>
      <c r="M1177">
        <v>0.99703509999999995</v>
      </c>
      <c r="N1177">
        <v>0</v>
      </c>
      <c r="O1177">
        <v>-7.5542979999999996E-2</v>
      </c>
      <c r="P1177">
        <v>0.9874465</v>
      </c>
      <c r="Q1177">
        <v>3.7399460000000002E-2</v>
      </c>
      <c r="R1177">
        <v>-0.15346209999999999</v>
      </c>
      <c r="S1177">
        <v>2.8869319999999998</v>
      </c>
      <c r="T1177">
        <v>-3.5280230000000003E-2</v>
      </c>
      <c r="U1177">
        <v>-0.99697880000000005</v>
      </c>
      <c r="V1177">
        <v>7.9008690000000006E-2</v>
      </c>
      <c r="W1177">
        <v>5.1089280000000001E-2</v>
      </c>
      <c r="X1177">
        <v>0.99556389999999995</v>
      </c>
      <c r="Y1177">
        <v>0.25406780000000001</v>
      </c>
      <c r="Z1177">
        <v>-6.148843E-4</v>
      </c>
      <c r="AA1177">
        <v>0.9671862</v>
      </c>
      <c r="AB1177">
        <v>44</v>
      </c>
      <c r="AC1177">
        <v>72.349999999999994</v>
      </c>
      <c r="AD1177">
        <v>-0.88756399999999902</v>
      </c>
      <c r="AE1177">
        <v>-25.060400000000001</v>
      </c>
      <c r="AF1177">
        <v>19.5200324929889</v>
      </c>
      <c r="AG1177">
        <v>-0.88756399999999902</v>
      </c>
      <c r="AH1177">
        <v>74.026611819219099</v>
      </c>
      <c r="AI1177">
        <v>90.664229364299601</v>
      </c>
      <c r="AJ1177">
        <v>75.227960489419303</v>
      </c>
      <c r="AK1177">
        <v>76.562123114597597</v>
      </c>
      <c r="AL1177">
        <v>87.071524942787207</v>
      </c>
      <c r="AM1177">
        <v>85.462474438625094</v>
      </c>
      <c r="AN1177">
        <v>0.99999998330482198</v>
      </c>
    </row>
    <row r="1178" spans="1:40" x14ac:dyDescent="0.25">
      <c r="A1178" t="str">
        <f>"20190312160320777"</f>
        <v>20190312160320777</v>
      </c>
      <c r="B1178" t="str">
        <f>"1552377800765547"</f>
        <v>1552377800765547</v>
      </c>
      <c r="C1178" t="s">
        <v>40</v>
      </c>
      <c r="D1178">
        <v>5.6687890000000003</v>
      </c>
      <c r="E1178">
        <v>0.56981319999999902</v>
      </c>
      <c r="F1178" t="s">
        <v>46</v>
      </c>
      <c r="G1178">
        <v>-150.1918</v>
      </c>
      <c r="H1178">
        <v>0.27851690000000001</v>
      </c>
      <c r="I1178">
        <v>342.19</v>
      </c>
      <c r="J1178">
        <v>-222.0581</v>
      </c>
      <c r="K1178">
        <v>1.105191</v>
      </c>
      <c r="L1178">
        <v>367.48880000000003</v>
      </c>
      <c r="M1178">
        <v>0.99684640000000002</v>
      </c>
      <c r="N1178">
        <v>0</v>
      </c>
      <c r="O1178">
        <v>-7.7992350000000002E-2</v>
      </c>
      <c r="P1178">
        <v>0.98697170000000001</v>
      </c>
      <c r="Q1178">
        <v>3.7311610000000002E-2</v>
      </c>
      <c r="R1178">
        <v>-0.15650999999999901</v>
      </c>
      <c r="S1178">
        <v>2.8821409999999998</v>
      </c>
      <c r="T1178">
        <v>-3.3036830000000003E-2</v>
      </c>
      <c r="U1178">
        <v>-1.0118100000000001</v>
      </c>
      <c r="V1178">
        <v>7.9641130000000004E-2</v>
      </c>
      <c r="W1178">
        <v>5.0985460000000003E-2</v>
      </c>
      <c r="X1178">
        <v>0.99551889999999998</v>
      </c>
      <c r="Y1178">
        <v>0.25662620000000003</v>
      </c>
      <c r="Z1178">
        <v>-5.6347029999999896E-4</v>
      </c>
      <c r="AA1178">
        <v>0.96651050000000005</v>
      </c>
      <c r="AB1178">
        <v>44</v>
      </c>
      <c r="AC1178">
        <v>71.866299999999995</v>
      </c>
      <c r="AD1178">
        <v>-0.82667409999999997</v>
      </c>
      <c r="AE1178">
        <v>-25.2988</v>
      </c>
      <c r="AF1178">
        <v>19.613790409144499</v>
      </c>
      <c r="AG1178">
        <v>-0.82667409999999997</v>
      </c>
      <c r="AH1178">
        <v>73.6120033969095</v>
      </c>
      <c r="AI1178">
        <v>90.621723987825504</v>
      </c>
      <c r="AJ1178">
        <v>75.080266309527502</v>
      </c>
      <c r="AK1178">
        <v>76.184717682669699</v>
      </c>
      <c r="AL1178">
        <v>87.077481358474401</v>
      </c>
      <c r="AM1178">
        <v>85.426100585794302</v>
      </c>
      <c r="AN1178">
        <v>1.0000000534881399</v>
      </c>
    </row>
    <row r="1179" spans="1:40" x14ac:dyDescent="0.25">
      <c r="A1179" t="str">
        <f>"20190312160320788"</f>
        <v>20190312160320788</v>
      </c>
      <c r="B1179" t="str">
        <f>"1552377800776284"</f>
        <v>1552377800776284</v>
      </c>
      <c r="C1179" t="s">
        <v>40</v>
      </c>
      <c r="D1179">
        <v>5.7735529999999997</v>
      </c>
      <c r="E1179">
        <v>0.57007220000000003</v>
      </c>
      <c r="F1179" t="s">
        <v>46</v>
      </c>
      <c r="G1179">
        <v>-150.86689999999999</v>
      </c>
      <c r="H1179">
        <v>0.25503550000000003</v>
      </c>
      <c r="I1179">
        <v>342.19</v>
      </c>
      <c r="J1179">
        <v>-221.82169999999999</v>
      </c>
      <c r="K1179">
        <v>1.1051439999999999</v>
      </c>
      <c r="L1179">
        <v>367.46899999999999</v>
      </c>
      <c r="M1179">
        <v>0.99666670000000002</v>
      </c>
      <c r="N1179">
        <v>0</v>
      </c>
      <c r="O1179">
        <v>-8.0255419999999994E-2</v>
      </c>
      <c r="P1179">
        <v>0.98651770000000005</v>
      </c>
      <c r="Q1179">
        <v>3.720209E-2</v>
      </c>
      <c r="R1179">
        <v>-0.15937170000000001</v>
      </c>
      <c r="S1179">
        <v>2.8786930000000002</v>
      </c>
      <c r="T1179">
        <v>-3.4376740000000003E-2</v>
      </c>
      <c r="U1179">
        <v>-1.02298</v>
      </c>
      <c r="V1179">
        <v>8.0272330000000003E-2</v>
      </c>
      <c r="W1179">
        <v>5.0859740000000001E-2</v>
      </c>
      <c r="X1179">
        <v>0.99547459999999999</v>
      </c>
      <c r="Y1179">
        <v>0.25812619999999997</v>
      </c>
      <c r="Z1179">
        <v>-5.693556E-4</v>
      </c>
      <c r="AA1179">
        <v>0.9661111</v>
      </c>
      <c r="AB1179">
        <v>44</v>
      </c>
      <c r="AC1179">
        <v>70.954800000000006</v>
      </c>
      <c r="AD1179">
        <v>-0.85010850000000004</v>
      </c>
      <c r="AE1179">
        <v>-25.279</v>
      </c>
      <c r="AF1179">
        <v>19.499838703090202</v>
      </c>
      <c r="AG1179">
        <v>-0.85010850000000004</v>
      </c>
      <c r="AH1179">
        <v>72.745602491023106</v>
      </c>
      <c r="AI1179">
        <v>90.6467017952628</v>
      </c>
      <c r="AJ1179">
        <v>74.994331997236799</v>
      </c>
      <c r="AK1179">
        <v>75.318583866734102</v>
      </c>
      <c r="AL1179">
        <v>87.084693842434007</v>
      </c>
      <c r="AM1179">
        <v>85.389801275762593</v>
      </c>
      <c r="AN1179">
        <v>1.0000000196808201</v>
      </c>
    </row>
    <row r="1180" spans="1:40" x14ac:dyDescent="0.25">
      <c r="A1180" t="str">
        <f>"20190312160320800"</f>
        <v>20190312160320800</v>
      </c>
      <c r="B1180" t="str">
        <f>"1552377800795804"</f>
        <v>1552377800795804</v>
      </c>
      <c r="C1180" t="s">
        <v>40</v>
      </c>
      <c r="D1180">
        <v>5.6784080000000001</v>
      </c>
      <c r="E1180">
        <v>0.57052349999999996</v>
      </c>
      <c r="F1180" t="s">
        <v>46</v>
      </c>
      <c r="G1180">
        <v>-151.46619999999999</v>
      </c>
      <c r="H1180">
        <v>0.2642022</v>
      </c>
      <c r="I1180">
        <v>342.19</v>
      </c>
      <c r="J1180">
        <v>-221.5889</v>
      </c>
      <c r="K1180">
        <v>1.105092</v>
      </c>
      <c r="L1180">
        <v>367.4486</v>
      </c>
      <c r="M1180">
        <v>0.99648199999999998</v>
      </c>
      <c r="N1180">
        <v>0</v>
      </c>
      <c r="O1180">
        <v>-8.251762E-2</v>
      </c>
      <c r="P1180">
        <v>0.98602029999999996</v>
      </c>
      <c r="Q1180">
        <v>3.7287899999999999E-2</v>
      </c>
      <c r="R1180">
        <v>-0.1624005</v>
      </c>
      <c r="S1180">
        <v>2.8754119999999999</v>
      </c>
      <c r="T1180">
        <v>-3.4368870000000003E-2</v>
      </c>
      <c r="U1180">
        <v>-1.033142</v>
      </c>
      <c r="V1180">
        <v>8.1077319999999994E-2</v>
      </c>
      <c r="W1180">
        <v>5.0927840000000002E-2</v>
      </c>
      <c r="X1180">
        <v>0.99540589999999995</v>
      </c>
      <c r="Y1180">
        <v>0.25930819999999999</v>
      </c>
      <c r="Z1180">
        <v>-5.5041979999999996E-4</v>
      </c>
      <c r="AA1180">
        <v>0.96579440000000005</v>
      </c>
      <c r="AB1180">
        <v>44</v>
      </c>
      <c r="AC1180">
        <v>70.122699999999995</v>
      </c>
      <c r="AD1180">
        <v>-0.84088980000000002</v>
      </c>
      <c r="AE1180">
        <v>-25.258600000000001</v>
      </c>
      <c r="AF1180">
        <v>19.3829936305697</v>
      </c>
      <c r="AG1180">
        <v>-0.84088980000000002</v>
      </c>
      <c r="AH1180">
        <v>71.958846334688104</v>
      </c>
      <c r="AI1180">
        <v>90.646471087969999</v>
      </c>
      <c r="AJ1180">
        <v>74.9244902462233</v>
      </c>
      <c r="AK1180">
        <v>74.528404676054294</v>
      </c>
      <c r="AL1180">
        <v>87.080786999816098</v>
      </c>
      <c r="AM1180">
        <v>85.343451442968799</v>
      </c>
      <c r="AN1180">
        <v>1.00000004123012</v>
      </c>
    </row>
    <row r="1181" spans="1:40" x14ac:dyDescent="0.25">
      <c r="A1181" t="str">
        <f>"20190312160320812"</f>
        <v>20190312160320812</v>
      </c>
      <c r="B1181" t="str">
        <f>"1552377800805564"</f>
        <v>1552377800805564</v>
      </c>
      <c r="C1181" t="s">
        <v>40</v>
      </c>
      <c r="D1181">
        <v>5.6741469999999996</v>
      </c>
      <c r="E1181">
        <v>0.5707449</v>
      </c>
      <c r="F1181" t="s">
        <v>46</v>
      </c>
      <c r="G1181">
        <v>-152.23240000000001</v>
      </c>
      <c r="H1181">
        <v>0.2318016</v>
      </c>
      <c r="I1181">
        <v>342.19</v>
      </c>
      <c r="J1181">
        <v>-221.3596</v>
      </c>
      <c r="K1181">
        <v>1.105043</v>
      </c>
      <c r="L1181">
        <v>367.4282</v>
      </c>
      <c r="M1181">
        <v>0.9962934</v>
      </c>
      <c r="N1181">
        <v>0</v>
      </c>
      <c r="O1181">
        <v>-8.4763039999999998E-2</v>
      </c>
      <c r="P1181">
        <v>0.9855893</v>
      </c>
      <c r="Q1181">
        <v>3.6685280000000001E-2</v>
      </c>
      <c r="R1181">
        <v>-0.16512979999999899</v>
      </c>
      <c r="S1181">
        <v>2.8716430000000002</v>
      </c>
      <c r="T1181">
        <v>-3.615749E-2</v>
      </c>
      <c r="U1181">
        <v>-1.0458069999999999</v>
      </c>
      <c r="V1181">
        <v>8.1587240000000005E-2</v>
      </c>
      <c r="W1181">
        <v>5.0311120000000001E-2</v>
      </c>
      <c r="X1181">
        <v>0.99539549999999999</v>
      </c>
      <c r="Y1181">
        <v>0.26129940000000001</v>
      </c>
      <c r="Z1181">
        <v>-5.6442419999999996E-4</v>
      </c>
      <c r="AA1181">
        <v>0.96525760000000005</v>
      </c>
      <c r="AB1181">
        <v>44</v>
      </c>
      <c r="AC1181">
        <v>69.127199999999903</v>
      </c>
      <c r="AD1181">
        <v>-0.87324139999999995</v>
      </c>
      <c r="AE1181">
        <v>-25.238199999999999</v>
      </c>
      <c r="AF1181">
        <v>19.284575535530401</v>
      </c>
      <c r="AG1181">
        <v>-0.87324139999999995</v>
      </c>
      <c r="AH1181">
        <v>71.007864962045701</v>
      </c>
      <c r="AI1181">
        <v>90.679949978721396</v>
      </c>
      <c r="AJ1181">
        <v>74.805887117223605</v>
      </c>
      <c r="AK1181">
        <v>73.585149932553406</v>
      </c>
      <c r="AL1181">
        <v>87.116167529113696</v>
      </c>
      <c r="AM1181">
        <v>85.314246251605596</v>
      </c>
      <c r="AN1181">
        <v>0.99999994397335901</v>
      </c>
    </row>
    <row r="1182" spans="1:40" x14ac:dyDescent="0.25">
      <c r="A1182" t="str">
        <f>"20190312160320822"</f>
        <v>20190312160320822</v>
      </c>
      <c r="B1182" t="str">
        <f>"1552377800815323"</f>
        <v>1552377800815323</v>
      </c>
      <c r="C1182" t="s">
        <v>40</v>
      </c>
      <c r="D1182">
        <v>5.6734369999999998</v>
      </c>
      <c r="E1182">
        <v>0.57096020000000003</v>
      </c>
      <c r="F1182" t="s">
        <v>46</v>
      </c>
      <c r="G1182">
        <v>-153.9915</v>
      </c>
      <c r="H1182">
        <v>0.17859520000000001</v>
      </c>
      <c r="I1182">
        <v>342.64400000000001</v>
      </c>
      <c r="J1182">
        <v>-221.15649999999999</v>
      </c>
      <c r="K1182">
        <v>1.1049960000000001</v>
      </c>
      <c r="L1182">
        <v>367.40969999999999</v>
      </c>
      <c r="M1182">
        <v>0.99612040000000002</v>
      </c>
      <c r="N1182">
        <v>0</v>
      </c>
      <c r="O1182">
        <v>-8.6772180000000004E-2</v>
      </c>
      <c r="P1182">
        <v>0.98505739999999997</v>
      </c>
      <c r="Q1182">
        <v>3.672566E-2</v>
      </c>
      <c r="R1182">
        <v>-0.1682659</v>
      </c>
      <c r="S1182">
        <v>2.8685</v>
      </c>
      <c r="T1182">
        <v>-3.9447429999999999E-2</v>
      </c>
      <c r="U1182">
        <v>-1.0552979999999901</v>
      </c>
      <c r="V1182">
        <v>8.275412E-2</v>
      </c>
      <c r="W1182">
        <v>5.0329220000000001E-2</v>
      </c>
      <c r="X1182">
        <v>0.99529829999999997</v>
      </c>
      <c r="Y1182">
        <v>0.26250620000000002</v>
      </c>
      <c r="Z1182">
        <v>-5.9766660000000005E-4</v>
      </c>
      <c r="AA1182">
        <v>0.96493010000000001</v>
      </c>
      <c r="AB1182">
        <v>44</v>
      </c>
      <c r="AC1182">
        <v>67.164999999999907</v>
      </c>
      <c r="AD1182">
        <v>-0.92640080000000002</v>
      </c>
      <c r="AE1182">
        <v>-24.765699999999899</v>
      </c>
      <c r="AF1182">
        <v>18.8404335523729</v>
      </c>
      <c r="AG1182">
        <v>-0.92640080000000002</v>
      </c>
      <c r="AH1182">
        <v>69.049251837051699</v>
      </c>
      <c r="AI1182">
        <v>90.741558215870398</v>
      </c>
      <c r="AJ1182">
        <v>74.738069975612703</v>
      </c>
      <c r="AK1182">
        <v>71.579461678195102</v>
      </c>
      <c r="AL1182">
        <v>87.115129293945401</v>
      </c>
      <c r="AM1182">
        <v>85.247072313076899</v>
      </c>
      <c r="AN1182">
        <v>0.99999999037283605</v>
      </c>
    </row>
    <row r="1183" spans="1:40" x14ac:dyDescent="0.25">
      <c r="A1183" t="str">
        <f>"20190312160320833"</f>
        <v>20190312160320833</v>
      </c>
      <c r="B1183" t="str">
        <f>"1552377800826059"</f>
        <v>1552377800826059</v>
      </c>
      <c r="C1183" t="s">
        <v>40</v>
      </c>
      <c r="D1183">
        <v>5.6593689999999999</v>
      </c>
      <c r="E1183">
        <v>0.57116659999999997</v>
      </c>
      <c r="F1183" t="s">
        <v>46</v>
      </c>
      <c r="G1183">
        <v>-154.6103</v>
      </c>
      <c r="H1183">
        <v>0.1613627</v>
      </c>
      <c r="I1183">
        <v>342.64400000000001</v>
      </c>
      <c r="J1183">
        <v>-220.9315</v>
      </c>
      <c r="K1183">
        <v>1.104946</v>
      </c>
      <c r="L1183">
        <v>367.3886</v>
      </c>
      <c r="M1183">
        <v>0.99592159999999996</v>
      </c>
      <c r="N1183">
        <v>0</v>
      </c>
      <c r="O1183">
        <v>-8.9024980000000004E-2</v>
      </c>
      <c r="P1183">
        <v>0.98457289999999997</v>
      </c>
      <c r="Q1183">
        <v>3.6476500000000002E-2</v>
      </c>
      <c r="R1183">
        <v>-0.1711308</v>
      </c>
      <c r="S1183">
        <v>2.8648989999999999</v>
      </c>
      <c r="T1183">
        <v>-4.0624380000000002E-2</v>
      </c>
      <c r="U1183">
        <v>-1.0661929999999999</v>
      </c>
      <c r="V1183">
        <v>8.3401299999999998E-2</v>
      </c>
      <c r="W1183">
        <v>5.006348E-2</v>
      </c>
      <c r="X1183">
        <v>0.99525770000000002</v>
      </c>
      <c r="Y1183">
        <v>0.26394269999999997</v>
      </c>
      <c r="Z1183">
        <v>-5.9515329999999995E-4</v>
      </c>
      <c r="AA1183">
        <v>0.96453820000000001</v>
      </c>
      <c r="AB1183">
        <v>44</v>
      </c>
      <c r="AC1183">
        <v>66.321200000000005</v>
      </c>
      <c r="AD1183">
        <v>-0.94358330000000001</v>
      </c>
      <c r="AE1183">
        <v>-24.744599999999899</v>
      </c>
      <c r="AF1183">
        <v>18.738120800573899</v>
      </c>
      <c r="AG1183">
        <v>-0.94358330000000001</v>
      </c>
      <c r="AH1183">
        <v>68.248805140244201</v>
      </c>
      <c r="AI1183">
        <v>90.763837391300498</v>
      </c>
      <c r="AJ1183">
        <v>74.647400724529405</v>
      </c>
      <c r="AK1183">
        <v>70.780695981686705</v>
      </c>
      <c r="AL1183">
        <v>87.1303743468102</v>
      </c>
      <c r="AM1183">
        <v>85.209879752993899</v>
      </c>
      <c r="AN1183">
        <v>1.00000000914034</v>
      </c>
    </row>
    <row r="1184" spans="1:40" x14ac:dyDescent="0.25">
      <c r="A1184" t="str">
        <f>"20190312160320845"</f>
        <v>20190312160320845</v>
      </c>
      <c r="B1184" t="str">
        <f>"1552377800835819"</f>
        <v>1552377800835819</v>
      </c>
      <c r="C1184" t="s">
        <v>40</v>
      </c>
      <c r="D1184">
        <v>5.698512</v>
      </c>
      <c r="E1184">
        <v>0.57136529999999996</v>
      </c>
      <c r="F1184" t="s">
        <v>46</v>
      </c>
      <c r="G1184">
        <v>-155.13669999999999</v>
      </c>
      <c r="H1184">
        <v>0.1046434</v>
      </c>
      <c r="I1184">
        <v>342.64400000000001</v>
      </c>
      <c r="J1184">
        <v>-220.7002</v>
      </c>
      <c r="K1184">
        <v>1.104894</v>
      </c>
      <c r="L1184">
        <v>367.36649999999997</v>
      </c>
      <c r="M1184">
        <v>0.99571010000000004</v>
      </c>
      <c r="N1184">
        <v>0</v>
      </c>
      <c r="O1184">
        <v>-9.1359759999999998E-2</v>
      </c>
      <c r="P1184">
        <v>0.98407960000000005</v>
      </c>
      <c r="Q1184">
        <v>3.6162100000000003E-2</v>
      </c>
      <c r="R1184">
        <v>-0.174011</v>
      </c>
      <c r="S1184">
        <v>2.8615719999999998</v>
      </c>
      <c r="T1184">
        <v>-4.3505309999999998E-2</v>
      </c>
      <c r="U1184">
        <v>-1.0762020000000001</v>
      </c>
      <c r="V1184">
        <v>8.3981790000000001E-2</v>
      </c>
      <c r="W1184">
        <v>4.9732499999999999E-2</v>
      </c>
      <c r="X1184">
        <v>0.99522549999999999</v>
      </c>
      <c r="Y1184">
        <v>0.26500459999999998</v>
      </c>
      <c r="Z1184">
        <v>-6.1158580000000005E-4</v>
      </c>
      <c r="AA1184">
        <v>0.96424690000000002</v>
      </c>
      <c r="AB1184">
        <v>44</v>
      </c>
      <c r="AC1184">
        <v>65.563500000000005</v>
      </c>
      <c r="AD1184">
        <v>-1.0002506</v>
      </c>
      <c r="AE1184">
        <v>-24.722499999999901</v>
      </c>
      <c r="AF1184">
        <v>18.624782745026401</v>
      </c>
      <c r="AG1184">
        <v>-1.0002506</v>
      </c>
      <c r="AH1184">
        <v>67.534373582254801</v>
      </c>
      <c r="AI1184">
        <v>90.818011971318995</v>
      </c>
      <c r="AJ1184">
        <v>74.582087660573507</v>
      </c>
      <c r="AK1184">
        <v>70.062648028102601</v>
      </c>
      <c r="AL1184">
        <v>87.149361813386705</v>
      </c>
      <c r="AM1184">
        <v>85.176540975288006</v>
      </c>
      <c r="AN1184">
        <v>1.0000000292290501</v>
      </c>
    </row>
    <row r="1185" spans="1:40" x14ac:dyDescent="0.25">
      <c r="A1185" t="str">
        <f>"20190312160320857"</f>
        <v>20190312160320857</v>
      </c>
      <c r="B1185" t="str">
        <f>"1552377800845579"</f>
        <v>1552377800845579</v>
      </c>
      <c r="C1185" t="s">
        <v>40</v>
      </c>
      <c r="D1185">
        <v>5.7176809999999998</v>
      </c>
      <c r="E1185">
        <v>0.57156759999999995</v>
      </c>
      <c r="F1185" t="s">
        <v>46</v>
      </c>
      <c r="G1185">
        <v>-155.6328</v>
      </c>
      <c r="H1185">
        <v>6.8947399999999895E-2</v>
      </c>
      <c r="I1185">
        <v>342.64400000000001</v>
      </c>
      <c r="J1185">
        <v>-220.4881</v>
      </c>
      <c r="K1185">
        <v>1.1048439999999999</v>
      </c>
      <c r="L1185">
        <v>367.34550000000002</v>
      </c>
      <c r="M1185">
        <v>0.99550749999999999</v>
      </c>
      <c r="N1185">
        <v>0</v>
      </c>
      <c r="O1185">
        <v>-9.3540689999999996E-2</v>
      </c>
      <c r="P1185">
        <v>0.98360539999999996</v>
      </c>
      <c r="Q1185">
        <v>3.6136700000000001E-2</v>
      </c>
      <c r="R1185">
        <v>-0.176677</v>
      </c>
      <c r="S1185">
        <v>2.8581699999999999</v>
      </c>
      <c r="T1185">
        <v>-4.5505049999999998E-2</v>
      </c>
      <c r="U1185">
        <v>-1.085968</v>
      </c>
      <c r="V1185">
        <v>8.4504179999999998E-2</v>
      </c>
      <c r="W1185">
        <v>4.9692960000000001E-2</v>
      </c>
      <c r="X1185">
        <v>0.99518320000000005</v>
      </c>
      <c r="Y1185">
        <v>0.26615100000000003</v>
      </c>
      <c r="Z1185">
        <v>-6.1574190000000003E-4</v>
      </c>
      <c r="AA1185">
        <v>0.96393110000000004</v>
      </c>
      <c r="AB1185">
        <v>44</v>
      </c>
      <c r="AC1185">
        <v>64.8553</v>
      </c>
      <c r="AD1185">
        <v>-1.0358966000000001</v>
      </c>
      <c r="AE1185">
        <v>-24.701499999999999</v>
      </c>
      <c r="AF1185">
        <v>18.521783612018101</v>
      </c>
      <c r="AG1185">
        <v>-1.0358966000000001</v>
      </c>
      <c r="AH1185">
        <v>66.866823804248199</v>
      </c>
      <c r="AI1185">
        <v>90.855349136667897</v>
      </c>
      <c r="AJ1185">
        <v>74.517528355277406</v>
      </c>
      <c r="AK1185">
        <v>69.392374765565506</v>
      </c>
      <c r="AL1185">
        <v>87.151629935985994</v>
      </c>
      <c r="AM1185">
        <v>85.146475293852305</v>
      </c>
      <c r="AN1185">
        <v>0.99999997413663599</v>
      </c>
    </row>
    <row r="1186" spans="1:40" x14ac:dyDescent="0.25">
      <c r="A1186" t="str">
        <f>"20190312160320869"</f>
        <v>20190312160320869</v>
      </c>
      <c r="B1186" t="str">
        <f>"1552377800855339"</f>
        <v>1552377800855339</v>
      </c>
      <c r="C1186" t="s">
        <v>40</v>
      </c>
      <c r="D1186">
        <v>5.7419640000000003</v>
      </c>
      <c r="E1186">
        <v>0.57178660000000003</v>
      </c>
      <c r="F1186" t="s">
        <v>46</v>
      </c>
      <c r="G1186">
        <v>-156.12440000000001</v>
      </c>
      <c r="H1186">
        <v>5.7188120000000002E-2</v>
      </c>
      <c r="I1186">
        <v>342.64400000000001</v>
      </c>
      <c r="J1186">
        <v>-220.24950000000001</v>
      </c>
      <c r="K1186">
        <v>1.104787</v>
      </c>
      <c r="L1186">
        <v>367.32159999999999</v>
      </c>
      <c r="M1186">
        <v>0.9952725</v>
      </c>
      <c r="N1186">
        <v>0</v>
      </c>
      <c r="O1186">
        <v>-9.6008549999999998E-2</v>
      </c>
      <c r="P1186">
        <v>0.98302710000000004</v>
      </c>
      <c r="Q1186">
        <v>3.6416669999999998E-2</v>
      </c>
      <c r="R1186">
        <v>-0.1798101</v>
      </c>
      <c r="S1186">
        <v>2.8548740000000001</v>
      </c>
      <c r="T1186">
        <v>-4.6468849999999999E-2</v>
      </c>
      <c r="U1186">
        <v>-1.095642</v>
      </c>
      <c r="V1186">
        <v>8.5219580000000003E-2</v>
      </c>
      <c r="W1186">
        <v>4.995347E-2</v>
      </c>
      <c r="X1186">
        <v>0.99510920000000003</v>
      </c>
      <c r="Y1186">
        <v>0.2669802</v>
      </c>
      <c r="Z1186">
        <v>-5.973431E-4</v>
      </c>
      <c r="AA1186">
        <v>0.96370180000000005</v>
      </c>
      <c r="AB1186">
        <v>44</v>
      </c>
      <c r="AC1186">
        <v>64.125100000000003</v>
      </c>
      <c r="AD1186">
        <v>-1.04759888</v>
      </c>
      <c r="AE1186">
        <v>-24.677599999999899</v>
      </c>
      <c r="AF1186">
        <v>18.402079836448301</v>
      </c>
      <c r="AG1186">
        <v>-1.04759888</v>
      </c>
      <c r="AH1186">
        <v>66.182941063085593</v>
      </c>
      <c r="AI1186">
        <v>90.8737101254208</v>
      </c>
      <c r="AJ1186">
        <v>74.461479965482198</v>
      </c>
      <c r="AK1186">
        <v>68.701642582112001</v>
      </c>
      <c r="AL1186">
        <v>87.1366853914122</v>
      </c>
      <c r="AM1186">
        <v>85.105222634670895</v>
      </c>
      <c r="AN1186">
        <v>1.0000000229525201</v>
      </c>
    </row>
    <row r="1187" spans="1:40" x14ac:dyDescent="0.25">
      <c r="A1187" t="str">
        <f>"20190312160320880"</f>
        <v>20190312160320880</v>
      </c>
      <c r="B1187" t="str">
        <f>"1552377800875836"</f>
        <v>1552377800875836</v>
      </c>
      <c r="C1187" t="s">
        <v>40</v>
      </c>
      <c r="D1187">
        <v>5.8165269999999998</v>
      </c>
      <c r="E1187">
        <v>0.57216499999999904</v>
      </c>
      <c r="F1187" t="s">
        <v>46</v>
      </c>
      <c r="G1187">
        <v>-156.46700000000001</v>
      </c>
      <c r="H1187">
        <v>8.3709329999999998E-2</v>
      </c>
      <c r="I1187">
        <v>342.57040000000001</v>
      </c>
      <c r="J1187">
        <v>-220.00800000000001</v>
      </c>
      <c r="K1187">
        <v>1.1047260000000001</v>
      </c>
      <c r="L1187">
        <v>367.29649999999998</v>
      </c>
      <c r="M1187">
        <v>0.99502380000000001</v>
      </c>
      <c r="N1187">
        <v>0</v>
      </c>
      <c r="O1187">
        <v>-9.8552200000000006E-2</v>
      </c>
      <c r="P1187">
        <v>0.98250680000000001</v>
      </c>
      <c r="Q1187">
        <v>3.6702619999999998E-2</v>
      </c>
      <c r="R1187">
        <v>-0.1825746</v>
      </c>
      <c r="S1187">
        <v>2.851105</v>
      </c>
      <c r="T1187">
        <v>-4.5642380000000003E-2</v>
      </c>
      <c r="U1187">
        <v>-1.106384</v>
      </c>
      <c r="V1187">
        <v>8.5487250000000001E-2</v>
      </c>
      <c r="W1187">
        <v>5.0226350000000003E-2</v>
      </c>
      <c r="X1187">
        <v>0.99507250000000003</v>
      </c>
      <c r="Y1187">
        <v>0.26810349999999999</v>
      </c>
      <c r="Z1187">
        <v>-5.5700050000000005E-4</v>
      </c>
      <c r="AA1187">
        <v>0.96338999999999997</v>
      </c>
      <c r="AB1187">
        <v>44</v>
      </c>
      <c r="AC1187">
        <v>63.540999999999897</v>
      </c>
      <c r="AD1187">
        <v>-1.0210166700000001</v>
      </c>
      <c r="AE1187">
        <v>-24.726099999999899</v>
      </c>
      <c r="AF1187">
        <v>18.338813168532798</v>
      </c>
      <c r="AG1187">
        <v>-1.0210166700000001</v>
      </c>
      <c r="AH1187">
        <v>65.653959399232505</v>
      </c>
      <c r="AI1187">
        <v>90.858120207762894</v>
      </c>
      <c r="AJ1187">
        <v>74.393605849845102</v>
      </c>
      <c r="AK1187">
        <v>68.174752865462196</v>
      </c>
      <c r="AL1187">
        <v>87.121030854794398</v>
      </c>
      <c r="AM1187">
        <v>85.089743246927299</v>
      </c>
      <c r="AN1187">
        <v>1.00000001820156</v>
      </c>
    </row>
    <row r="1188" spans="1:40" x14ac:dyDescent="0.25">
      <c r="A1188" t="str">
        <f>"20190312160320892"</f>
        <v>20190312160320892</v>
      </c>
      <c r="B1188" t="str">
        <f>"1552377800885595"</f>
        <v>1552377800885595</v>
      </c>
      <c r="C1188" t="s">
        <v>40</v>
      </c>
      <c r="D1188">
        <v>5.8167249999999999</v>
      </c>
      <c r="E1188">
        <v>0.57232289999999997</v>
      </c>
      <c r="F1188" t="s">
        <v>46</v>
      </c>
      <c r="G1188">
        <v>-156.46690000000001</v>
      </c>
      <c r="H1188">
        <v>8.861631E-3</v>
      </c>
      <c r="I1188">
        <v>342.36320000000001</v>
      </c>
      <c r="J1188">
        <v>-219.79390000000001</v>
      </c>
      <c r="K1188">
        <v>1.1046750000000001</v>
      </c>
      <c r="L1188">
        <v>367.27390000000003</v>
      </c>
      <c r="M1188">
        <v>0.99479580000000001</v>
      </c>
      <c r="N1188">
        <v>0</v>
      </c>
      <c r="O1188">
        <v>-0.1008281</v>
      </c>
      <c r="P1188">
        <v>0.98197559999999995</v>
      </c>
      <c r="Q1188">
        <v>3.714307E-2</v>
      </c>
      <c r="R1188">
        <v>-0.18532270000000001</v>
      </c>
      <c r="S1188">
        <v>2.847626</v>
      </c>
      <c r="T1188">
        <v>-4.9111490000000001E-2</v>
      </c>
      <c r="U1188">
        <v>-1.1174010000000001</v>
      </c>
      <c r="V1188">
        <v>8.6008710000000002E-2</v>
      </c>
      <c r="W1188">
        <v>5.0650679999999997E-2</v>
      </c>
      <c r="X1188">
        <v>0.99500599999999995</v>
      </c>
      <c r="Y1188">
        <v>0.26952749999999998</v>
      </c>
      <c r="Z1188">
        <v>-5.7416940000000005E-4</v>
      </c>
      <c r="AA1188">
        <v>0.96299250000000003</v>
      </c>
      <c r="AB1188">
        <v>44</v>
      </c>
      <c r="AC1188">
        <v>63.326999999999998</v>
      </c>
      <c r="AD1188">
        <v>-1.095813369</v>
      </c>
      <c r="AE1188">
        <v>-24.910699999999999</v>
      </c>
      <c r="AF1188">
        <v>18.393127178367401</v>
      </c>
      <c r="AG1188">
        <v>-1.095813369</v>
      </c>
      <c r="AH1188">
        <v>65.499191567659295</v>
      </c>
      <c r="AI1188">
        <v>90.922792014612298</v>
      </c>
      <c r="AJ1188">
        <v>74.314484416698306</v>
      </c>
      <c r="AK1188">
        <v>68.041546354828</v>
      </c>
      <c r="AL1188">
        <v>87.096687396849006</v>
      </c>
      <c r="AM1188">
        <v>85.059610628051004</v>
      </c>
      <c r="AN1188">
        <v>0.999999964808162</v>
      </c>
    </row>
    <row r="1189" spans="1:40" x14ac:dyDescent="0.25">
      <c r="A1189" t="str">
        <f>"20190312160320903"</f>
        <v>20190312160320903</v>
      </c>
      <c r="B1189" t="str">
        <f>"1552377800895355"</f>
        <v>1552377800895355</v>
      </c>
      <c r="C1189" t="s">
        <v>40</v>
      </c>
      <c r="D1189">
        <v>5.3635859999999997</v>
      </c>
      <c r="E1189">
        <v>0.57230719999999902</v>
      </c>
      <c r="F1189" t="s">
        <v>46</v>
      </c>
      <c r="G1189">
        <v>-156.46889999999999</v>
      </c>
      <c r="H1189">
        <v>-1.342431E-2</v>
      </c>
      <c r="I1189">
        <v>342.19</v>
      </c>
      <c r="J1189">
        <v>-219.56610000000001</v>
      </c>
      <c r="K1189">
        <v>1.1046210000000001</v>
      </c>
      <c r="L1189">
        <v>367.24919999999997</v>
      </c>
      <c r="M1189">
        <v>0.9945446</v>
      </c>
      <c r="N1189">
        <v>0</v>
      </c>
      <c r="O1189">
        <v>-0.1032761</v>
      </c>
      <c r="P1189">
        <v>0.98141429999999996</v>
      </c>
      <c r="Q1189">
        <v>3.7345999999999997E-2</v>
      </c>
      <c r="R1189">
        <v>-0.18823200000000001</v>
      </c>
      <c r="S1189">
        <v>2.8443299999999998</v>
      </c>
      <c r="T1189">
        <v>-5.0220729999999998E-2</v>
      </c>
      <c r="U1189">
        <v>-1.1266780000000001</v>
      </c>
      <c r="V1189">
        <v>8.6518890000000001E-2</v>
      </c>
      <c r="W1189">
        <v>5.0837359999999998E-2</v>
      </c>
      <c r="X1189">
        <v>0.99495230000000001</v>
      </c>
      <c r="Y1189">
        <v>0.27025399999999999</v>
      </c>
      <c r="Z1189">
        <v>-5.5259349999999896E-4</v>
      </c>
      <c r="AA1189">
        <v>0.96278889999999995</v>
      </c>
      <c r="AB1189">
        <v>44</v>
      </c>
      <c r="AC1189">
        <v>63.097200000000001</v>
      </c>
      <c r="AD1189">
        <v>-1.1180453099999901</v>
      </c>
      <c r="AE1189">
        <v>-25.059199999999901</v>
      </c>
      <c r="AF1189">
        <v>18.403048137717899</v>
      </c>
      <c r="AG1189">
        <v>-1.1180453099999901</v>
      </c>
      <c r="AH1189">
        <v>65.330306426246693</v>
      </c>
      <c r="AI1189">
        <v>90.943727908902403</v>
      </c>
      <c r="AJ1189">
        <v>74.267877462116104</v>
      </c>
      <c r="AK1189">
        <v>67.882038447748897</v>
      </c>
      <c r="AL1189">
        <v>87.085977776200593</v>
      </c>
      <c r="AM1189">
        <v>85.030185045869899</v>
      </c>
      <c r="AN1189">
        <v>1.0000000173869401</v>
      </c>
    </row>
    <row r="1190" spans="1:40" x14ac:dyDescent="0.25">
      <c r="A1190" t="str">
        <f>"20190312160320915"</f>
        <v>20190312160320915</v>
      </c>
      <c r="B1190" t="str">
        <f>"1552377800906091"</f>
        <v>1552377800906091</v>
      </c>
      <c r="C1190" t="s">
        <v>40</v>
      </c>
      <c r="D1190">
        <v>5.7328900000000003</v>
      </c>
      <c r="E1190">
        <v>0.57245210000000002</v>
      </c>
      <c r="F1190" t="s">
        <v>46</v>
      </c>
      <c r="G1190">
        <v>-156.8261</v>
      </c>
      <c r="H1190">
        <v>1.687965E-2</v>
      </c>
      <c r="I1190">
        <v>342.19</v>
      </c>
      <c r="J1190">
        <v>-219.33500000000001</v>
      </c>
      <c r="K1190">
        <v>1.1045689999999999</v>
      </c>
      <c r="L1190">
        <v>367.2235</v>
      </c>
      <c r="M1190">
        <v>0.99427969999999999</v>
      </c>
      <c r="N1190">
        <v>0</v>
      </c>
      <c r="O1190">
        <v>-0.1057961</v>
      </c>
      <c r="P1190">
        <v>0.98086850000000003</v>
      </c>
      <c r="Q1190">
        <v>3.7425409999999999E-2</v>
      </c>
      <c r="R1190">
        <v>-0.1910405</v>
      </c>
      <c r="S1190">
        <v>2.8410030000000002</v>
      </c>
      <c r="T1190">
        <v>-4.9255010000000002E-2</v>
      </c>
      <c r="U1190">
        <v>-1.134735</v>
      </c>
      <c r="V1190">
        <v>8.6853940000000004E-2</v>
      </c>
      <c r="W1190">
        <v>5.0903070000000002E-2</v>
      </c>
      <c r="X1190">
        <v>0.99491969999999996</v>
      </c>
      <c r="Y1190">
        <v>0.27055820000000003</v>
      </c>
      <c r="Z1190">
        <v>-5.0340409999999997E-4</v>
      </c>
      <c r="AA1190">
        <v>0.96270350000000005</v>
      </c>
      <c r="AB1190">
        <v>44</v>
      </c>
      <c r="AC1190">
        <v>62.508899999999997</v>
      </c>
      <c r="AD1190">
        <v>-1.08768935</v>
      </c>
      <c r="AE1190">
        <v>-25.0335</v>
      </c>
      <c r="AF1190">
        <v>18.2743004007582</v>
      </c>
      <c r="AG1190">
        <v>-1.08768935</v>
      </c>
      <c r="AH1190">
        <v>64.789840529604206</v>
      </c>
      <c r="AI1190">
        <v>90.925679005580804</v>
      </c>
      <c r="AJ1190">
        <v>74.248627430613993</v>
      </c>
      <c r="AK1190">
        <v>67.326492253130098</v>
      </c>
      <c r="AL1190">
        <v>87.082207849722707</v>
      </c>
      <c r="AM1190">
        <v>85.010873416877402</v>
      </c>
      <c r="AN1190">
        <v>0.99999996943851799</v>
      </c>
    </row>
    <row r="1191" spans="1:40" x14ac:dyDescent="0.25">
      <c r="A1191" t="str">
        <f>"20190312160320942"</f>
        <v>20190312160320942</v>
      </c>
      <c r="B1191" t="str">
        <f>"1552377800935371"</f>
        <v>1552377800935371</v>
      </c>
      <c r="C1191" t="s">
        <v>40</v>
      </c>
      <c r="D1191">
        <v>5.4008070000000004</v>
      </c>
      <c r="E1191">
        <v>0.57260369999999905</v>
      </c>
      <c r="F1191" t="s">
        <v>46</v>
      </c>
      <c r="G1191">
        <v>-157.2371</v>
      </c>
      <c r="H1191">
        <v>7.5536669999999896E-3</v>
      </c>
      <c r="I1191">
        <v>342.19</v>
      </c>
      <c r="J1191">
        <v>-218.81780000000001</v>
      </c>
      <c r="K1191">
        <v>1.1044510000000001</v>
      </c>
      <c r="L1191">
        <v>367.16399999999999</v>
      </c>
      <c r="M1191">
        <v>0.9936526</v>
      </c>
      <c r="N1191">
        <v>0</v>
      </c>
      <c r="O1191">
        <v>-0.1115313</v>
      </c>
      <c r="P1191">
        <v>0.97951299999999997</v>
      </c>
      <c r="Q1191">
        <v>3.7684879999999997E-2</v>
      </c>
      <c r="R1191">
        <v>-0.1978248</v>
      </c>
      <c r="S1191">
        <v>2.8376009999999998</v>
      </c>
      <c r="T1191">
        <v>-5.012846E-2</v>
      </c>
      <c r="U1191">
        <v>-1.143921</v>
      </c>
      <c r="V1191">
        <v>8.8019479999999997E-2</v>
      </c>
      <c r="W1191">
        <v>5.1125469999999999E-2</v>
      </c>
      <c r="X1191">
        <v>0.99480590000000002</v>
      </c>
      <c r="Y1191">
        <v>0.26808419999999999</v>
      </c>
      <c r="Z1191">
        <v>-3.9559000000000003E-4</v>
      </c>
      <c r="AA1191">
        <v>0.96339540000000001</v>
      </c>
      <c r="AB1191">
        <v>44</v>
      </c>
      <c r="AC1191">
        <v>61.5807</v>
      </c>
      <c r="AD1191">
        <v>-1.096897333</v>
      </c>
      <c r="AE1191">
        <v>-24.973999999999901</v>
      </c>
      <c r="AF1191">
        <v>17.944347415291901</v>
      </c>
      <c r="AG1191">
        <v>-1.096897333</v>
      </c>
      <c r="AH1191">
        <v>63.964664463581002</v>
      </c>
      <c r="AI1191">
        <v>90.9459292917943</v>
      </c>
      <c r="AJ1191">
        <v>74.329315918797406</v>
      </c>
      <c r="AK1191">
        <v>66.443066514560797</v>
      </c>
      <c r="AL1191">
        <v>87.069448775261705</v>
      </c>
      <c r="AM1191">
        <v>84.943690992050904</v>
      </c>
      <c r="AN1191">
        <v>1.0000000106085001</v>
      </c>
    </row>
    <row r="1192" spans="1:40" x14ac:dyDescent="0.25">
      <c r="A1192" t="str">
        <f>"20190312160320955"</f>
        <v>20190312160320955</v>
      </c>
      <c r="B1192" t="str">
        <f>"1552377800946108"</f>
        <v>1552377800946108</v>
      </c>
      <c r="C1192" t="s">
        <v>40</v>
      </c>
      <c r="D1192">
        <v>5.8581240000000001</v>
      </c>
      <c r="E1192">
        <v>0.57259090000000001</v>
      </c>
      <c r="F1192" t="s">
        <v>46</v>
      </c>
      <c r="G1192">
        <v>-158.15440000000001</v>
      </c>
      <c r="H1192">
        <v>2.361307E-2</v>
      </c>
      <c r="I1192">
        <v>342.19</v>
      </c>
      <c r="J1192">
        <v>-218.5651</v>
      </c>
      <c r="K1192">
        <v>1.1043879999999999</v>
      </c>
      <c r="L1192">
        <v>367.13369999999998</v>
      </c>
      <c r="M1192">
        <v>0.99332759999999998</v>
      </c>
      <c r="N1192">
        <v>0</v>
      </c>
      <c r="O1192">
        <v>-0.1143885</v>
      </c>
      <c r="P1192">
        <v>0.97882259999999999</v>
      </c>
      <c r="Q1192">
        <v>3.7662790000000002E-2</v>
      </c>
      <c r="R1192">
        <v>-0.20121520000000001</v>
      </c>
      <c r="S1192">
        <v>2.829437</v>
      </c>
      <c r="T1192">
        <v>-5.0411699999999997E-2</v>
      </c>
      <c r="U1192">
        <v>-1.164825</v>
      </c>
      <c r="V1192">
        <v>8.8610549999999996E-2</v>
      </c>
      <c r="W1192">
        <v>5.1084989999999997E-2</v>
      </c>
      <c r="X1192">
        <v>0.99475550000000001</v>
      </c>
      <c r="Y1192">
        <v>0.27237600000000001</v>
      </c>
      <c r="Z1192">
        <v>-3.8714540000000001E-4</v>
      </c>
      <c r="AA1192">
        <v>0.96219080000000001</v>
      </c>
      <c r="AB1192">
        <v>44</v>
      </c>
      <c r="AC1192">
        <v>60.410699999999899</v>
      </c>
      <c r="AD1192">
        <v>-1.08077493</v>
      </c>
      <c r="AE1192">
        <v>-24.9436999999999</v>
      </c>
      <c r="AF1192">
        <v>17.864017333663401</v>
      </c>
      <c r="AG1192">
        <v>-1.08077493</v>
      </c>
      <c r="AH1192">
        <v>62.850477626346198</v>
      </c>
      <c r="AI1192">
        <v>90.947631890598302</v>
      </c>
      <c r="AJ1192">
        <v>74.133237836724803</v>
      </c>
      <c r="AK1192">
        <v>65.348861716227304</v>
      </c>
      <c r="AL1192">
        <v>87.071771127466207</v>
      </c>
      <c r="AM1192">
        <v>84.9096580166905</v>
      </c>
      <c r="AN1192">
        <v>1.0000000052774201</v>
      </c>
    </row>
    <row r="1193" spans="1:40" x14ac:dyDescent="0.25">
      <c r="A1193" t="str">
        <f>"20190312160320968"</f>
        <v>20190312160320968</v>
      </c>
      <c r="B1193" t="str">
        <f>"1552377800955867"</f>
        <v>1552377800955867</v>
      </c>
      <c r="C1193" t="s">
        <v>40</v>
      </c>
      <c r="D1193">
        <v>5.8787159999999998</v>
      </c>
      <c r="E1193">
        <v>0.57256980000000002</v>
      </c>
      <c r="F1193" t="s">
        <v>46</v>
      </c>
      <c r="G1193">
        <v>-158.5521</v>
      </c>
      <c r="H1193">
        <v>4.1946020000000001E-2</v>
      </c>
      <c r="I1193">
        <v>342.19</v>
      </c>
      <c r="J1193">
        <v>-218.31780000000001</v>
      </c>
      <c r="K1193">
        <v>1.1043289999999999</v>
      </c>
      <c r="L1193">
        <v>367.1035</v>
      </c>
      <c r="M1193">
        <v>0.99299910000000002</v>
      </c>
      <c r="N1193">
        <v>0</v>
      </c>
      <c r="O1193">
        <v>-0.1172058</v>
      </c>
      <c r="P1193">
        <v>0.97811709999999996</v>
      </c>
      <c r="Q1193">
        <v>3.7370680000000003E-2</v>
      </c>
      <c r="R1193">
        <v>-0.20467160000000001</v>
      </c>
      <c r="S1193">
        <v>2.8254090000000001</v>
      </c>
      <c r="T1193">
        <v>-5.0019380000000002E-2</v>
      </c>
      <c r="U1193">
        <v>-1.174347</v>
      </c>
      <c r="V1193">
        <v>8.9305019999999999E-2</v>
      </c>
      <c r="W1193">
        <v>5.0773069999999997E-2</v>
      </c>
      <c r="X1193">
        <v>0.99470939999999997</v>
      </c>
      <c r="Y1193">
        <v>0.27289819999999998</v>
      </c>
      <c r="Z1193">
        <v>-3.4183119999999997E-4</v>
      </c>
      <c r="AA1193">
        <v>0.96204290000000003</v>
      </c>
      <c r="AB1193">
        <v>44</v>
      </c>
      <c r="AC1193">
        <v>59.765700000000002</v>
      </c>
      <c r="AD1193">
        <v>-1.06238298</v>
      </c>
      <c r="AE1193">
        <v>-24.913499999999999</v>
      </c>
      <c r="AF1193">
        <v>17.731335052557998</v>
      </c>
      <c r="AG1193">
        <v>-1.06238298</v>
      </c>
      <c r="AH1193">
        <v>62.257246421452898</v>
      </c>
      <c r="AI1193">
        <v>90.940240218474401</v>
      </c>
      <c r="AJ1193">
        <v>74.102645762262696</v>
      </c>
      <c r="AK1193">
        <v>64.741745669419402</v>
      </c>
      <c r="AL1193">
        <v>87.089666153272304</v>
      </c>
      <c r="AM1193">
        <v>84.869738903010401</v>
      </c>
      <c r="AN1193">
        <v>1.00000004084139</v>
      </c>
    </row>
    <row r="1194" spans="1:40" x14ac:dyDescent="0.25">
      <c r="A1194" t="str">
        <f>"20190312160320979"</f>
        <v>20190312160320979</v>
      </c>
      <c r="B1194" t="str">
        <f>"1552377800965627"</f>
        <v>1552377800965627</v>
      </c>
      <c r="C1194" t="s">
        <v>40</v>
      </c>
      <c r="D1194">
        <v>5.899286</v>
      </c>
      <c r="E1194">
        <v>0.57265049999999995</v>
      </c>
      <c r="F1194" t="s">
        <v>46</v>
      </c>
      <c r="G1194">
        <v>-160.0454</v>
      </c>
      <c r="H1194">
        <v>5.5276480000000003E-2</v>
      </c>
      <c r="I1194">
        <v>342.64389999999997</v>
      </c>
      <c r="J1194">
        <v>-218.09700000000001</v>
      </c>
      <c r="K1194">
        <v>1.1042749999999999</v>
      </c>
      <c r="L1194">
        <v>367.07560000000001</v>
      </c>
      <c r="M1194">
        <v>0.99269379999999996</v>
      </c>
      <c r="N1194">
        <v>0</v>
      </c>
      <c r="O1194">
        <v>-0.11976439999999999</v>
      </c>
      <c r="P1194">
        <v>0.97749739999999996</v>
      </c>
      <c r="Q1194">
        <v>3.7114340000000003E-2</v>
      </c>
      <c r="R1194">
        <v>-0.20765749999999999</v>
      </c>
      <c r="S1194">
        <v>2.8212429999999999</v>
      </c>
      <c r="T1194">
        <v>-5.0789359999999999E-2</v>
      </c>
      <c r="U1194">
        <v>-1.184204</v>
      </c>
      <c r="V1194">
        <v>8.9780789999999999E-2</v>
      </c>
      <c r="W1194">
        <v>5.0501619999999997E-2</v>
      </c>
      <c r="X1194">
        <v>0.99468029999999996</v>
      </c>
      <c r="Y1194">
        <v>0.273783099999999</v>
      </c>
      <c r="Z1194">
        <v>-3.1164540000000002E-4</v>
      </c>
      <c r="AA1194">
        <v>0.96179139999999996</v>
      </c>
      <c r="AB1194">
        <v>44</v>
      </c>
      <c r="AC1194">
        <v>58.051600000000001</v>
      </c>
      <c r="AD1194">
        <v>-1.0489985199999901</v>
      </c>
      <c r="AE1194">
        <v>-24.431699999999999</v>
      </c>
      <c r="AF1194">
        <v>17.297748276910699</v>
      </c>
      <c r="AG1194">
        <v>-1.0489985199999901</v>
      </c>
      <c r="AH1194">
        <v>60.5432428236657</v>
      </c>
      <c r="AI1194">
        <v>90.954448210486902</v>
      </c>
      <c r="AJ1194">
        <v>74.054885043107404</v>
      </c>
      <c r="AK1194">
        <v>62.9745722093583</v>
      </c>
      <c r="AL1194">
        <v>87.105238811701994</v>
      </c>
      <c r="AM1194">
        <v>84.842404519845502</v>
      </c>
      <c r="AN1194">
        <v>0.99999995154186705</v>
      </c>
    </row>
    <row r="1195" spans="1:40" x14ac:dyDescent="0.25">
      <c r="A1195" t="str">
        <f>"20190312160320991"</f>
        <v>20190312160320991</v>
      </c>
      <c r="B1195" t="str">
        <f>"1552377800986124"</f>
        <v>1552377800986124</v>
      </c>
      <c r="C1195" t="s">
        <v>40</v>
      </c>
      <c r="D1195">
        <v>4.887365</v>
      </c>
      <c r="E1195">
        <v>0.57277699999999998</v>
      </c>
      <c r="F1195" t="s">
        <v>46</v>
      </c>
      <c r="G1195">
        <v>-160.4118</v>
      </c>
      <c r="H1195">
        <v>2.4101819999999999E-2</v>
      </c>
      <c r="I1195">
        <v>342.64389999999997</v>
      </c>
      <c r="J1195">
        <v>-217.86539999999999</v>
      </c>
      <c r="K1195">
        <v>1.1042190000000001</v>
      </c>
      <c r="L1195">
        <v>367.04599999999999</v>
      </c>
      <c r="M1195">
        <v>0.99236449999999998</v>
      </c>
      <c r="N1195">
        <v>0</v>
      </c>
      <c r="O1195">
        <v>-0.1224634</v>
      </c>
      <c r="P1195">
        <v>0.97677530000000001</v>
      </c>
      <c r="Q1195">
        <v>3.6931020000000002E-2</v>
      </c>
      <c r="R1195">
        <v>-0.21106030000000001</v>
      </c>
      <c r="S1195">
        <v>2.8175509999999999</v>
      </c>
      <c r="T1195">
        <v>-5.2759170000000001E-2</v>
      </c>
      <c r="U1195">
        <v>-1.1933290000000001</v>
      </c>
      <c r="V1195">
        <v>9.0543310000000002E-2</v>
      </c>
      <c r="W1195">
        <v>5.029732E-2</v>
      </c>
      <c r="X1195">
        <v>0.99462159999999999</v>
      </c>
      <c r="Y1195">
        <v>0.27426009999999901</v>
      </c>
      <c r="Z1195">
        <v>-2.8070990000000001E-4</v>
      </c>
      <c r="AA1195">
        <v>0.9616555</v>
      </c>
      <c r="AB1195">
        <v>44</v>
      </c>
      <c r="AC1195">
        <v>57.453600000000002</v>
      </c>
      <c r="AD1195">
        <v>-1.08011718</v>
      </c>
      <c r="AE1195">
        <v>-24.402100000000001</v>
      </c>
      <c r="AF1195">
        <v>17.1765222675876</v>
      </c>
      <c r="AG1195">
        <v>-1.08011718</v>
      </c>
      <c r="AH1195">
        <v>59.991778282153902</v>
      </c>
      <c r="AI1195">
        <v>90.991629825401802</v>
      </c>
      <c r="AJ1195">
        <v>74.022809319757897</v>
      </c>
      <c r="AK1195">
        <v>62.4116417969162</v>
      </c>
      <c r="AL1195">
        <v>87.116959430546203</v>
      </c>
      <c r="AM1195">
        <v>84.798534358125906</v>
      </c>
      <c r="AN1195">
        <v>1.0000000192857399</v>
      </c>
    </row>
    <row r="1196" spans="1:40" x14ac:dyDescent="0.25">
      <c r="A1196" t="str">
        <f>"20190312160321003"</f>
        <v>20190312160321003</v>
      </c>
      <c r="B1196" t="str">
        <f>"1552377800995884"</f>
        <v>1552377800995884</v>
      </c>
      <c r="C1196" t="s">
        <v>40</v>
      </c>
      <c r="D1196">
        <v>4.8740620000000003</v>
      </c>
      <c r="E1196">
        <v>0.5727409</v>
      </c>
      <c r="F1196" t="s">
        <v>46</v>
      </c>
      <c r="G1196">
        <v>-160.85550000000001</v>
      </c>
      <c r="H1196">
        <v>-9.3614159999999991E-3</v>
      </c>
      <c r="I1196">
        <v>342.64389999999997</v>
      </c>
      <c r="J1196">
        <v>-217.60830000000001</v>
      </c>
      <c r="K1196">
        <v>1.104158</v>
      </c>
      <c r="L1196">
        <v>367.01229999999998</v>
      </c>
      <c r="M1196">
        <v>0.99198589999999998</v>
      </c>
      <c r="N1196">
        <v>0</v>
      </c>
      <c r="O1196">
        <v>-0.12549279999999999</v>
      </c>
      <c r="P1196">
        <v>0.97601899999999997</v>
      </c>
      <c r="Q1196">
        <v>3.6674650000000003E-2</v>
      </c>
      <c r="R1196">
        <v>-0.2145745</v>
      </c>
      <c r="S1196">
        <v>2.8131870000000001</v>
      </c>
      <c r="T1196">
        <v>-5.4949999999999999E-2</v>
      </c>
      <c r="U1196">
        <v>-1.204132</v>
      </c>
      <c r="V1196">
        <v>9.1089180000000006E-2</v>
      </c>
      <c r="W1196">
        <v>5.0022520000000001E-2</v>
      </c>
      <c r="X1196">
        <v>0.99458559999999996</v>
      </c>
      <c r="Y1196">
        <v>0.27498339999999999</v>
      </c>
      <c r="Z1196">
        <v>-2.4382470000000001E-4</v>
      </c>
      <c r="AA1196">
        <v>0.961449</v>
      </c>
      <c r="AB1196">
        <v>44</v>
      </c>
      <c r="AC1196">
        <v>56.752800000000001</v>
      </c>
      <c r="AD1196">
        <v>-1.1135194159999999</v>
      </c>
      <c r="AE1196">
        <v>-24.368400000000001</v>
      </c>
      <c r="AF1196">
        <v>17.047338192407199</v>
      </c>
      <c r="AG1196">
        <v>-1.1135194159999999</v>
      </c>
      <c r="AH1196">
        <v>59.3431448823046</v>
      </c>
      <c r="AI1196">
        <v>91.033199856830805</v>
      </c>
      <c r="AJ1196">
        <v>73.972378360104202</v>
      </c>
      <c r="AK1196">
        <v>61.753222664556603</v>
      </c>
      <c r="AL1196">
        <v>87.132724109779204</v>
      </c>
      <c r="AM1196">
        <v>84.767160829277202</v>
      </c>
      <c r="AN1196">
        <v>1.0000000034737899</v>
      </c>
    </row>
    <row r="1197" spans="1:40" x14ac:dyDescent="0.25">
      <c r="A1197" t="str">
        <f>"20190312160321015"</f>
        <v>20190312160321015</v>
      </c>
      <c r="B1197" t="str">
        <f>"1552377801005643"</f>
        <v>1552377801005643</v>
      </c>
      <c r="C1197" t="s">
        <v>40</v>
      </c>
      <c r="D1197">
        <v>5.869383</v>
      </c>
      <c r="E1197">
        <v>0.57270140000000003</v>
      </c>
      <c r="F1197" t="s">
        <v>46</v>
      </c>
      <c r="G1197">
        <v>-161.22999999999999</v>
      </c>
      <c r="H1197">
        <v>-4.3586789999999999E-3</v>
      </c>
      <c r="I1197">
        <v>342.64389999999997</v>
      </c>
      <c r="J1197">
        <v>-217.39850000000001</v>
      </c>
      <c r="K1197">
        <v>1.104109</v>
      </c>
      <c r="L1197">
        <v>366.98399999999998</v>
      </c>
      <c r="M1197">
        <v>0.99166600000000005</v>
      </c>
      <c r="N1197">
        <v>0</v>
      </c>
      <c r="O1197">
        <v>-0.12799530000000001</v>
      </c>
      <c r="P1197">
        <v>0.97537689999999999</v>
      </c>
      <c r="Q1197">
        <v>3.6162300000000001E-2</v>
      </c>
      <c r="R1197">
        <v>-0.21756010000000001</v>
      </c>
      <c r="S1197">
        <v>2.8088839999999999</v>
      </c>
      <c r="T1197">
        <v>-5.5228230000000003E-2</v>
      </c>
      <c r="U1197">
        <v>-1.214081</v>
      </c>
      <c r="V1197">
        <v>9.1619549999999994E-2</v>
      </c>
      <c r="W1197">
        <v>4.9493889999999999E-2</v>
      </c>
      <c r="X1197">
        <v>0.99456330000000004</v>
      </c>
      <c r="Y1197">
        <v>0.27596300000000001</v>
      </c>
      <c r="Z1197">
        <v>-2.0838249999999999E-4</v>
      </c>
      <c r="AA1197">
        <v>0.96116820000000003</v>
      </c>
      <c r="AB1197">
        <v>44</v>
      </c>
      <c r="AC1197">
        <v>56.168500000000002</v>
      </c>
      <c r="AD1197">
        <v>-1.1084676790000001</v>
      </c>
      <c r="AE1197">
        <v>-24.3401</v>
      </c>
      <c r="AF1197">
        <v>16.944218361974499</v>
      </c>
      <c r="AG1197">
        <v>-1.1084676790000001</v>
      </c>
      <c r="AH1197">
        <v>58.8028751955543</v>
      </c>
      <c r="AI1197">
        <v>91.037717050250905</v>
      </c>
      <c r="AJ1197">
        <v>73.925510836703197</v>
      </c>
      <c r="AK1197">
        <v>61.205501123327203</v>
      </c>
      <c r="AL1197">
        <v>87.163049854533796</v>
      </c>
      <c r="AM1197">
        <v>84.736745706554402</v>
      </c>
      <c r="AN1197">
        <v>0.99999997239821103</v>
      </c>
    </row>
    <row r="1198" spans="1:40" x14ac:dyDescent="0.25">
      <c r="A1198" t="str">
        <f>"20190312160321026"</f>
        <v>20190312160321026</v>
      </c>
      <c r="B1198" t="str">
        <f>"1552377801015403"</f>
        <v>1552377801015403</v>
      </c>
      <c r="C1198" t="s">
        <v>40</v>
      </c>
      <c r="D1198">
        <v>5.8838419999999996</v>
      </c>
      <c r="E1198">
        <v>0.57269569999999903</v>
      </c>
      <c r="F1198" t="s">
        <v>46</v>
      </c>
      <c r="G1198">
        <v>-161.53149999999999</v>
      </c>
      <c r="H1198">
        <v>-2.001205E-2</v>
      </c>
      <c r="I1198">
        <v>342.64389999999997</v>
      </c>
      <c r="J1198">
        <v>-217.18719999999999</v>
      </c>
      <c r="K1198">
        <v>1.104058</v>
      </c>
      <c r="L1198">
        <v>366.9554</v>
      </c>
      <c r="M1198">
        <v>0.99133599999999999</v>
      </c>
      <c r="N1198">
        <v>0</v>
      </c>
      <c r="O1198">
        <v>-0.130526</v>
      </c>
      <c r="P1198">
        <v>0.97473969999999999</v>
      </c>
      <c r="Q1198">
        <v>3.5875579999999997E-2</v>
      </c>
      <c r="R1198">
        <v>-0.22044430000000001</v>
      </c>
      <c r="S1198">
        <v>2.8052060000000001</v>
      </c>
      <c r="T1198">
        <v>-5.6444290000000001E-2</v>
      </c>
      <c r="U1198">
        <v>-1.2221679999999999</v>
      </c>
      <c r="V1198">
        <v>9.2023640000000004E-2</v>
      </c>
      <c r="W1198">
        <v>4.9192420000000001E-2</v>
      </c>
      <c r="X1198">
        <v>0.99454100000000001</v>
      </c>
      <c r="Y1198">
        <v>0.27629920000000002</v>
      </c>
      <c r="Z1198">
        <v>-1.68701899999999E-4</v>
      </c>
      <c r="AA1198">
        <v>0.96107169999999997</v>
      </c>
      <c r="AB1198">
        <v>44</v>
      </c>
      <c r="AC1198">
        <v>55.655700000000003</v>
      </c>
      <c r="AD1198">
        <v>-1.12407005</v>
      </c>
      <c r="AE1198">
        <v>-24.311499999999999</v>
      </c>
      <c r="AF1198">
        <v>16.832401084974901</v>
      </c>
      <c r="AG1198">
        <v>-1.12407005</v>
      </c>
      <c r="AH1198">
        <v>58.333099346587403</v>
      </c>
      <c r="AI1198">
        <v>91.060679078533099</v>
      </c>
      <c r="AJ1198">
        <v>73.904155307610097</v>
      </c>
      <c r="AK1198">
        <v>60.723502362278197</v>
      </c>
      <c r="AL1198">
        <v>87.180344021491095</v>
      </c>
      <c r="AM1198">
        <v>84.713545378904499</v>
      </c>
      <c r="AN1198">
        <v>1.00000002259265</v>
      </c>
    </row>
    <row r="1199" spans="1:40" x14ac:dyDescent="0.25">
      <c r="A1199" t="str">
        <f>"20190312160321036"</f>
        <v>20190312160321036</v>
      </c>
      <c r="B1199" t="str">
        <f>"1552377801026140"</f>
        <v>1552377801026140</v>
      </c>
      <c r="C1199" t="s">
        <v>40</v>
      </c>
      <c r="D1199">
        <v>5.8723850000000004</v>
      </c>
      <c r="E1199">
        <v>0.57265390000000005</v>
      </c>
      <c r="F1199" t="s">
        <v>46</v>
      </c>
      <c r="G1199">
        <v>-161.8253</v>
      </c>
      <c r="H1199">
        <v>-1.927558E-2</v>
      </c>
      <c r="I1199">
        <v>342.64389999999997</v>
      </c>
      <c r="J1199">
        <v>-216.9864</v>
      </c>
      <c r="K1199">
        <v>1.1040080000000001</v>
      </c>
      <c r="L1199">
        <v>366.92720000000003</v>
      </c>
      <c r="M1199">
        <v>0.99101159999999999</v>
      </c>
      <c r="N1199">
        <v>0</v>
      </c>
      <c r="O1199">
        <v>-0.1329668</v>
      </c>
      <c r="P1199">
        <v>0.97409250000000003</v>
      </c>
      <c r="Q1199">
        <v>3.5599760000000001E-2</v>
      </c>
      <c r="R1199">
        <v>-0.22333069999999999</v>
      </c>
      <c r="S1199">
        <v>2.8016049999999999</v>
      </c>
      <c r="T1199">
        <v>-5.6846380000000002E-2</v>
      </c>
      <c r="U1199">
        <v>-1.230286</v>
      </c>
      <c r="V1199">
        <v>9.2521290000000006E-2</v>
      </c>
      <c r="W1199">
        <v>4.8900470000000001E-2</v>
      </c>
      <c r="X1199">
        <v>0.99450919999999998</v>
      </c>
      <c r="Y1199">
        <v>0.27672180000000002</v>
      </c>
      <c r="Z1199">
        <v>-1.2783940000000001E-4</v>
      </c>
      <c r="AA1199">
        <v>0.96095010000000003</v>
      </c>
      <c r="AB1199">
        <v>44</v>
      </c>
      <c r="AC1199">
        <v>55.161099999999998</v>
      </c>
      <c r="AD1199">
        <v>-1.1232835800000001</v>
      </c>
      <c r="AE1199">
        <v>-24.283300000000001</v>
      </c>
      <c r="AF1199">
        <v>16.726432741295401</v>
      </c>
      <c r="AG1199">
        <v>-1.1232835800000001</v>
      </c>
      <c r="AH1199">
        <v>57.880306168057203</v>
      </c>
      <c r="AI1199">
        <v>91.068105610391996</v>
      </c>
      <c r="AJ1199">
        <v>73.881597558335699</v>
      </c>
      <c r="AK1199">
        <v>60.259150013572402</v>
      </c>
      <c r="AL1199">
        <v>87.197091607970705</v>
      </c>
      <c r="AM1199">
        <v>84.684951334680207</v>
      </c>
      <c r="AN1199">
        <v>0.99999999697706199</v>
      </c>
    </row>
    <row r="1200" spans="1:40" x14ac:dyDescent="0.25">
      <c r="A1200" t="str">
        <f>"20190312160321048"</f>
        <v>20190312160321048</v>
      </c>
      <c r="B1200" t="str">
        <f>"1552377801035902"</f>
        <v>1552377801035902</v>
      </c>
      <c r="C1200" t="s">
        <v>40</v>
      </c>
      <c r="D1200">
        <v>5.9479930000000003</v>
      </c>
      <c r="E1200">
        <v>0.57275390000000004</v>
      </c>
      <c r="F1200" t="s">
        <v>46</v>
      </c>
      <c r="G1200">
        <v>-162.11969999999999</v>
      </c>
      <c r="H1200">
        <v>-2.0414979999999999E-2</v>
      </c>
      <c r="I1200">
        <v>342.64389999999997</v>
      </c>
      <c r="J1200">
        <v>-216.76329999999999</v>
      </c>
      <c r="K1200">
        <v>1.1039559999999999</v>
      </c>
      <c r="L1200">
        <v>366.89569999999998</v>
      </c>
      <c r="M1200">
        <v>0.99064300000000005</v>
      </c>
      <c r="N1200">
        <v>0</v>
      </c>
      <c r="O1200">
        <v>-0.13568540000000001</v>
      </c>
      <c r="P1200">
        <v>0.97340519999999997</v>
      </c>
      <c r="Q1200">
        <v>3.5502520000000003E-2</v>
      </c>
      <c r="R1200">
        <v>-0.2263231</v>
      </c>
      <c r="S1200">
        <v>2.797974</v>
      </c>
      <c r="T1200">
        <v>-5.7340620000000002E-2</v>
      </c>
      <c r="U1200">
        <v>-1.2383420000000001</v>
      </c>
      <c r="V1200">
        <v>9.2853359999999996E-2</v>
      </c>
      <c r="W1200">
        <v>4.878855E-2</v>
      </c>
      <c r="X1200">
        <v>0.99448380000000003</v>
      </c>
      <c r="Y1200">
        <v>0.27686040000000001</v>
      </c>
      <c r="Z1200" s="1">
        <v>-7.8396169999999998E-5</v>
      </c>
      <c r="AA1200">
        <v>0.96091009999999999</v>
      </c>
      <c r="AB1200">
        <v>44</v>
      </c>
      <c r="AC1200">
        <v>54.6435999999999</v>
      </c>
      <c r="AD1200">
        <v>-1.1243709799999999</v>
      </c>
      <c r="AE1200">
        <v>-24.251799999999999</v>
      </c>
      <c r="AF1200">
        <v>16.606456752798302</v>
      </c>
      <c r="AG1200">
        <v>-1.1243709799999999</v>
      </c>
      <c r="AH1200">
        <v>57.408808897252598</v>
      </c>
      <c r="AI1200">
        <v>91.077836577412995</v>
      </c>
      <c r="AJ1200">
        <v>73.866604179406494</v>
      </c>
      <c r="AK1200">
        <v>59.772986833388998</v>
      </c>
      <c r="AL1200">
        <v>87.203511959779405</v>
      </c>
      <c r="AM1200">
        <v>84.665849374138503</v>
      </c>
      <c r="AN1200">
        <v>1.00000004876841</v>
      </c>
    </row>
    <row r="1201" spans="1:40" x14ac:dyDescent="0.25">
      <c r="A1201" t="str">
        <f>"20190312160321060"</f>
        <v>20190312160321060</v>
      </c>
      <c r="B1201" t="str">
        <f>"1552377801055420"</f>
        <v>1552377801055420</v>
      </c>
      <c r="C1201" t="s">
        <v>40</v>
      </c>
      <c r="D1201">
        <v>5.9098350000000002</v>
      </c>
      <c r="E1201">
        <v>0.57294730000000005</v>
      </c>
      <c r="F1201" t="s">
        <v>46</v>
      </c>
      <c r="G1201">
        <v>-162.45959999999999</v>
      </c>
      <c r="H1201">
        <v>-3.4688379999999998E-2</v>
      </c>
      <c r="I1201">
        <v>342.64389999999997</v>
      </c>
      <c r="J1201">
        <v>-216.5258</v>
      </c>
      <c r="K1201">
        <v>1.1039000000000001</v>
      </c>
      <c r="L1201">
        <v>366.86110000000002</v>
      </c>
      <c r="M1201">
        <v>0.99023620000000001</v>
      </c>
      <c r="N1201">
        <v>0</v>
      </c>
      <c r="O1201">
        <v>-0.1386221</v>
      </c>
      <c r="P1201">
        <v>0.97260049999999998</v>
      </c>
      <c r="Q1201">
        <v>3.5224829999999999E-2</v>
      </c>
      <c r="R1201">
        <v>-0.22979930000000001</v>
      </c>
      <c r="S1201">
        <v>2.7939759999999998</v>
      </c>
      <c r="T1201">
        <v>-5.8583969999999999E-2</v>
      </c>
      <c r="U1201">
        <v>-1.2477720000000001</v>
      </c>
      <c r="V1201">
        <v>9.3459039999999993E-2</v>
      </c>
      <c r="W1201">
        <v>4.8491359999999997E-2</v>
      </c>
      <c r="X1201">
        <v>0.99444160000000004</v>
      </c>
      <c r="Y1201">
        <v>0.27722669999999999</v>
      </c>
      <c r="Z1201" s="1">
        <v>-2.645142E-5</v>
      </c>
      <c r="AA1201">
        <v>0.96080449999999995</v>
      </c>
      <c r="AB1201">
        <v>43</v>
      </c>
      <c r="AC1201">
        <v>54.066200000000002</v>
      </c>
      <c r="AD1201">
        <v>-1.1385883800000001</v>
      </c>
      <c r="AE1201">
        <v>-24.217199999999998</v>
      </c>
      <c r="AF1201">
        <v>16.4816722024946</v>
      </c>
      <c r="AG1201">
        <v>-1.1385883800000001</v>
      </c>
      <c r="AH1201">
        <v>56.880487942315497</v>
      </c>
      <c r="AI1201">
        <v>91.101452566139699</v>
      </c>
      <c r="AJ1201">
        <v>73.840542752538596</v>
      </c>
      <c r="AK1201">
        <v>59.231172625953</v>
      </c>
      <c r="AL1201">
        <v>87.220559873398201</v>
      </c>
      <c r="AM1201">
        <v>84.631031011796296</v>
      </c>
      <c r="AN1201">
        <v>1.0000000499814601</v>
      </c>
    </row>
    <row r="1202" spans="1:40" x14ac:dyDescent="0.25">
      <c r="A1202" t="str">
        <f>"20190312160321071"</f>
        <v>20190312160321071</v>
      </c>
      <c r="B1202" t="str">
        <f>"1552377801066155"</f>
        <v>1552377801066155</v>
      </c>
      <c r="C1202" t="s">
        <v>40</v>
      </c>
      <c r="D1202">
        <v>5.8850660000000001</v>
      </c>
      <c r="E1202">
        <v>0.57308819999999905</v>
      </c>
      <c r="F1202" t="s">
        <v>43</v>
      </c>
      <c r="G1202">
        <v>-164.81790000000001</v>
      </c>
      <c r="H1202">
        <v>-0.05</v>
      </c>
      <c r="I1202">
        <v>343.51909999999998</v>
      </c>
      <c r="J1202">
        <v>-216.31450000000001</v>
      </c>
      <c r="K1202">
        <v>1.1038479999999999</v>
      </c>
      <c r="L1202">
        <v>366.82990000000001</v>
      </c>
      <c r="M1202">
        <v>0.98986479999999999</v>
      </c>
      <c r="N1202">
        <v>0</v>
      </c>
      <c r="O1202">
        <v>-0.14124979999999901</v>
      </c>
      <c r="P1202">
        <v>0.97188560000000002</v>
      </c>
      <c r="Q1202">
        <v>3.5365250000000001E-2</v>
      </c>
      <c r="R1202">
        <v>-0.2327823</v>
      </c>
      <c r="S1202">
        <v>2.7892610000000002</v>
      </c>
      <c r="T1202">
        <v>-6.2244300000000002E-2</v>
      </c>
      <c r="U1202">
        <v>-1.259125</v>
      </c>
      <c r="V1202">
        <v>9.3879770000000001E-2</v>
      </c>
      <c r="W1202">
        <v>4.8616140000000002E-2</v>
      </c>
      <c r="X1202">
        <v>0.9943959</v>
      </c>
      <c r="Y1202">
        <v>0.27853149999999999</v>
      </c>
      <c r="Z1202" s="1">
        <v>1.246505E-5</v>
      </c>
      <c r="AA1202">
        <v>0.96042709999999998</v>
      </c>
      <c r="AB1202">
        <v>43</v>
      </c>
      <c r="AC1202">
        <v>51.496600000000001</v>
      </c>
      <c r="AD1202">
        <v>-1.153848</v>
      </c>
      <c r="AE1202">
        <v>-23.3108</v>
      </c>
      <c r="AF1202">
        <v>15.7957824919727</v>
      </c>
      <c r="AG1202">
        <v>-1.153848</v>
      </c>
      <c r="AH1202">
        <v>54.250579688385002</v>
      </c>
      <c r="AI1202">
        <v>91.169866852200201</v>
      </c>
      <c r="AJ1202">
        <v>73.766373995255506</v>
      </c>
      <c r="AK1202">
        <v>56.515161737949803</v>
      </c>
      <c r="AL1202">
        <v>87.2134021287591</v>
      </c>
      <c r="AM1202">
        <v>84.606757011841296</v>
      </c>
      <c r="AN1202">
        <v>1.0000000731102701</v>
      </c>
    </row>
    <row r="1203" spans="1:40" x14ac:dyDescent="0.25">
      <c r="A1203" t="str">
        <f>"20190312160321081"</f>
        <v>20190312160321081</v>
      </c>
      <c r="B1203" t="str">
        <f>"1552377801075915"</f>
        <v>1552377801075915</v>
      </c>
      <c r="C1203" t="s">
        <v>40</v>
      </c>
      <c r="D1203">
        <v>6.0052409999999998</v>
      </c>
      <c r="E1203">
        <v>0.57319919999999902</v>
      </c>
      <c r="F1203" t="s">
        <v>43</v>
      </c>
      <c r="G1203">
        <v>-165.98650000000001</v>
      </c>
      <c r="H1203">
        <v>-0.05</v>
      </c>
      <c r="I1203">
        <v>343.89800000000002</v>
      </c>
      <c r="J1203">
        <v>-216.11340000000001</v>
      </c>
      <c r="K1203">
        <v>1.103796</v>
      </c>
      <c r="L1203">
        <v>366.79950000000002</v>
      </c>
      <c r="M1203">
        <v>0.98950139999999998</v>
      </c>
      <c r="N1203">
        <v>0</v>
      </c>
      <c r="O1203">
        <v>-0.1437735</v>
      </c>
      <c r="P1203">
        <v>0.97122330000000001</v>
      </c>
      <c r="Q1203">
        <v>3.5098369999999997E-2</v>
      </c>
      <c r="R1203">
        <v>-0.2355708</v>
      </c>
      <c r="S1203">
        <v>2.7851409999999999</v>
      </c>
      <c r="T1203">
        <v>-6.385362E-2</v>
      </c>
      <c r="U1203">
        <v>-1.2690429999999999</v>
      </c>
      <c r="V1203">
        <v>9.4198329999999997E-2</v>
      </c>
      <c r="W1203">
        <v>4.8335620000000003E-2</v>
      </c>
      <c r="X1203">
        <v>0.99437940000000002</v>
      </c>
      <c r="Y1203">
        <v>0.27944980000000003</v>
      </c>
      <c r="Z1203" s="1">
        <v>5.6443269999999898E-5</v>
      </c>
      <c r="AA1203">
        <v>0.96016029999999997</v>
      </c>
      <c r="AB1203">
        <v>43</v>
      </c>
      <c r="AC1203">
        <v>50.126899999999999</v>
      </c>
      <c r="AD1203">
        <v>-1.1537959999999901</v>
      </c>
      <c r="AE1203">
        <v>-22.901499999999999</v>
      </c>
      <c r="AF1203">
        <v>15.4490454544245</v>
      </c>
      <c r="AG1203">
        <v>-1.1537959999999901</v>
      </c>
      <c r="AH1203">
        <v>52.8758078849078</v>
      </c>
      <c r="AI1203">
        <v>91.199893973818007</v>
      </c>
      <c r="AJ1203">
        <v>73.712900840440597</v>
      </c>
      <c r="AK1203">
        <v>55.098596262919202</v>
      </c>
      <c r="AL1203">
        <v>87.229493522429905</v>
      </c>
      <c r="AM1203">
        <v>84.588475444120903</v>
      </c>
      <c r="AN1203">
        <v>1.00000002433996</v>
      </c>
    </row>
    <row r="1204" spans="1:40" x14ac:dyDescent="0.25">
      <c r="A1204" t="str">
        <f>"20190312160321092"</f>
        <v>20190312160321092</v>
      </c>
      <c r="B1204" t="str">
        <f>"1552377801085676"</f>
        <v>1552377801085676</v>
      </c>
      <c r="C1204" t="s">
        <v>40</v>
      </c>
      <c r="D1204">
        <v>5.94611</v>
      </c>
      <c r="E1204">
        <v>0.57327119999999998</v>
      </c>
      <c r="F1204" t="s">
        <v>43</v>
      </c>
      <c r="G1204">
        <v>-167.00899999999999</v>
      </c>
      <c r="H1204">
        <v>-0.05</v>
      </c>
      <c r="I1204">
        <v>344.24189999999999</v>
      </c>
      <c r="J1204">
        <v>-215.9128</v>
      </c>
      <c r="K1204">
        <v>1.103747</v>
      </c>
      <c r="L1204">
        <v>366.7688</v>
      </c>
      <c r="M1204">
        <v>0.98912979999999995</v>
      </c>
      <c r="N1204">
        <v>0</v>
      </c>
      <c r="O1204">
        <v>-0.1463071</v>
      </c>
      <c r="P1204">
        <v>0.97052000000000005</v>
      </c>
      <c r="Q1204">
        <v>3.5184090000000001E-2</v>
      </c>
      <c r="R1204">
        <v>-0.23843909999999999</v>
      </c>
      <c r="S1204">
        <v>2.7813110000000001</v>
      </c>
      <c r="T1204">
        <v>-6.5351839999999994E-2</v>
      </c>
      <c r="U1204">
        <v>-1.277679</v>
      </c>
      <c r="V1204">
        <v>9.4596849999999996E-2</v>
      </c>
      <c r="W1204">
        <v>4.840705E-2</v>
      </c>
      <c r="X1204">
        <v>0.9943381</v>
      </c>
      <c r="Y1204">
        <v>0.27995340000000002</v>
      </c>
      <c r="Z1204">
        <v>1.073417E-4</v>
      </c>
      <c r="AA1204">
        <v>0.96001360000000002</v>
      </c>
      <c r="AB1204">
        <v>43</v>
      </c>
      <c r="AC1204">
        <v>48.903799999999897</v>
      </c>
      <c r="AD1204">
        <v>-1.1537469999999901</v>
      </c>
      <c r="AE1204">
        <v>-22.526900000000001</v>
      </c>
      <c r="AF1204">
        <v>15.1217491446453</v>
      </c>
      <c r="AG1204">
        <v>-1.1537469999999901</v>
      </c>
      <c r="AH1204">
        <v>51.649928838991201</v>
      </c>
      <c r="AI1204">
        <v>91.2281141787997</v>
      </c>
      <c r="AJ1204">
        <v>73.681348589647001</v>
      </c>
      <c r="AK1204">
        <v>53.8304149938159</v>
      </c>
      <c r="AL1204">
        <v>87.225396109390005</v>
      </c>
      <c r="AM1204">
        <v>84.565493593163794</v>
      </c>
      <c r="AN1204">
        <v>1.0000000318156099</v>
      </c>
    </row>
    <row r="1205" spans="1:40" x14ac:dyDescent="0.25">
      <c r="A1205" t="str">
        <f>"20190312160321102"</f>
        <v>20190312160321102</v>
      </c>
      <c r="B1205" t="str">
        <f>"1552377801095436"</f>
        <v>1552377801095436</v>
      </c>
      <c r="C1205" t="s">
        <v>40</v>
      </c>
      <c r="D1205">
        <v>5.8794579999999996</v>
      </c>
      <c r="E1205">
        <v>0.57339030000000002</v>
      </c>
      <c r="F1205" t="s">
        <v>43</v>
      </c>
      <c r="G1205">
        <v>-167.16120000000001</v>
      </c>
      <c r="H1205">
        <v>-0.05</v>
      </c>
      <c r="I1205">
        <v>344.18830000000003</v>
      </c>
      <c r="J1205">
        <v>-215.70570000000001</v>
      </c>
      <c r="K1205">
        <v>1.103699</v>
      </c>
      <c r="L1205">
        <v>366.73649999999998</v>
      </c>
      <c r="M1205">
        <v>0.98873659999999997</v>
      </c>
      <c r="N1205">
        <v>0</v>
      </c>
      <c r="O1205">
        <v>-0.14894170000000001</v>
      </c>
      <c r="P1205">
        <v>0.96978439999999999</v>
      </c>
      <c r="Q1205">
        <v>3.490625E-2</v>
      </c>
      <c r="R1205">
        <v>-0.2414548</v>
      </c>
      <c r="S1205">
        <v>2.7774350000000001</v>
      </c>
      <c r="T1205">
        <v>-6.5730330000000003E-2</v>
      </c>
      <c r="U1205">
        <v>-1.286438</v>
      </c>
      <c r="V1205">
        <v>9.5038739999999997E-2</v>
      </c>
      <c r="W1205">
        <v>4.8113200000000002E-2</v>
      </c>
      <c r="X1205">
        <v>0.99431020000000003</v>
      </c>
      <c r="Y1205">
        <v>0.28039969999999997</v>
      </c>
      <c r="Z1205">
        <v>1.6070200000000001E-4</v>
      </c>
      <c r="AA1205">
        <v>0.95988329999999999</v>
      </c>
      <c r="AB1205">
        <v>43</v>
      </c>
      <c r="AC1205">
        <v>48.544499999999999</v>
      </c>
      <c r="AD1205">
        <v>-1.153699</v>
      </c>
      <c r="AE1205">
        <v>-22.548199999999898</v>
      </c>
      <c r="AF1205">
        <v>15.0585637899313</v>
      </c>
      <c r="AG1205">
        <v>-1.153699</v>
      </c>
      <c r="AH1205">
        <v>51.337795738274501</v>
      </c>
      <c r="AI1205">
        <v>91.235344319682696</v>
      </c>
      <c r="AJ1205">
        <v>73.652365864763098</v>
      </c>
      <c r="AK1205">
        <v>53.513181890659702</v>
      </c>
      <c r="AL1205">
        <v>87.242252048506401</v>
      </c>
      <c r="AM1205">
        <v>84.540108169549995</v>
      </c>
      <c r="AN1205">
        <v>1.0000000079695299</v>
      </c>
    </row>
    <row r="1206" spans="1:40" x14ac:dyDescent="0.25">
      <c r="A1206" t="str">
        <f>"20190312160321114"</f>
        <v>20190312160321114</v>
      </c>
      <c r="B1206" t="str">
        <f>"1552377801106172"</f>
        <v>1552377801106172</v>
      </c>
      <c r="C1206" t="s">
        <v>40</v>
      </c>
      <c r="D1206">
        <v>5.8812389999999999</v>
      </c>
      <c r="E1206">
        <v>0.57350709999999905</v>
      </c>
      <c r="F1206" t="s">
        <v>43</v>
      </c>
      <c r="G1206">
        <v>-168.85249999999999</v>
      </c>
      <c r="H1206">
        <v>-0.05</v>
      </c>
      <c r="I1206">
        <v>344.83850000000001</v>
      </c>
      <c r="J1206">
        <v>-215.48</v>
      </c>
      <c r="K1206">
        <v>1.103647</v>
      </c>
      <c r="L1206">
        <v>366.70060000000001</v>
      </c>
      <c r="M1206">
        <v>0.98829560000000005</v>
      </c>
      <c r="N1206">
        <v>0</v>
      </c>
      <c r="O1206">
        <v>-0.151841</v>
      </c>
      <c r="P1206">
        <v>0.96899029999999997</v>
      </c>
      <c r="Q1206">
        <v>3.488103E-2</v>
      </c>
      <c r="R1206">
        <v>-0.24462449999999999</v>
      </c>
      <c r="S1206">
        <v>2.7732389999999998</v>
      </c>
      <c r="T1206">
        <v>-6.8287249999999994E-2</v>
      </c>
      <c r="U1206">
        <v>-1.296143</v>
      </c>
      <c r="V1206">
        <v>9.5379549999999994E-2</v>
      </c>
      <c r="W1206">
        <v>4.807318E-2</v>
      </c>
      <c r="X1206">
        <v>0.99427949999999998</v>
      </c>
      <c r="Y1206">
        <v>0.2808968</v>
      </c>
      <c r="Z1206">
        <v>2.271931E-4</v>
      </c>
      <c r="AA1206">
        <v>0.95973799999999998</v>
      </c>
      <c r="AB1206">
        <v>43</v>
      </c>
      <c r="AC1206">
        <v>46.627499999999998</v>
      </c>
      <c r="AD1206">
        <v>-1.1536469999999901</v>
      </c>
      <c r="AE1206">
        <v>-21.862100000000002</v>
      </c>
      <c r="AF1206">
        <v>14.520534056814601</v>
      </c>
      <c r="AG1206">
        <v>-1.1536469999999901</v>
      </c>
      <c r="AH1206">
        <v>49.381873829355698</v>
      </c>
      <c r="AI1206">
        <v>91.283949204482198</v>
      </c>
      <c r="AJ1206">
        <v>73.614246963018502</v>
      </c>
      <c r="AK1206">
        <v>51.485398644607301</v>
      </c>
      <c r="AL1206">
        <v>87.244547678349903</v>
      </c>
      <c r="AM1206">
        <v>84.520479728427105</v>
      </c>
      <c r="AN1206">
        <v>1.0000000066568799</v>
      </c>
    </row>
    <row r="1207" spans="1:40" x14ac:dyDescent="0.25">
      <c r="A1207" t="str">
        <f>"20190312160321126"</f>
        <v>20190312160321126</v>
      </c>
      <c r="B1207" t="str">
        <f>"1552377801115933"</f>
        <v>1552377801115933</v>
      </c>
      <c r="C1207" t="s">
        <v>40</v>
      </c>
      <c r="D1207">
        <v>5.9151619999999996</v>
      </c>
      <c r="E1207">
        <v>0.57356490000000004</v>
      </c>
      <c r="F1207" t="s">
        <v>43</v>
      </c>
      <c r="G1207">
        <v>-169.774</v>
      </c>
      <c r="H1207">
        <v>-0.05</v>
      </c>
      <c r="I1207">
        <v>345.14139999999998</v>
      </c>
      <c r="J1207">
        <v>-215.23740000000001</v>
      </c>
      <c r="K1207">
        <v>1.103593</v>
      </c>
      <c r="L1207">
        <v>366.66149999999999</v>
      </c>
      <c r="M1207">
        <v>0.98780919999999905</v>
      </c>
      <c r="N1207">
        <v>0</v>
      </c>
      <c r="O1207">
        <v>-0.15497259999999999</v>
      </c>
      <c r="P1207">
        <v>0.96812869999999995</v>
      </c>
      <c r="Q1207">
        <v>3.487005E-2</v>
      </c>
      <c r="R1207">
        <v>-0.24801390000000001</v>
      </c>
      <c r="S1207">
        <v>2.7688139999999999</v>
      </c>
      <c r="T1207">
        <v>-6.9886569999999995E-2</v>
      </c>
      <c r="U1207">
        <v>-1.30603</v>
      </c>
      <c r="V1207">
        <v>9.5714019999999997E-2</v>
      </c>
      <c r="W1207">
        <v>4.8046989999999998E-2</v>
      </c>
      <c r="X1207">
        <v>0.99424860000000004</v>
      </c>
      <c r="Y1207">
        <v>0.28124959999999999</v>
      </c>
      <c r="Z1207">
        <v>3.0134660000000001E-4</v>
      </c>
      <c r="AA1207">
        <v>0.9596346</v>
      </c>
      <c r="AB1207">
        <v>43</v>
      </c>
      <c r="AC1207">
        <v>45.4634</v>
      </c>
      <c r="AD1207">
        <v>-1.1535930000000001</v>
      </c>
      <c r="AE1207">
        <v>-21.520099999999999</v>
      </c>
      <c r="AF1207">
        <v>14.20623766217</v>
      </c>
      <c r="AG1207">
        <v>-1.1535930000000001</v>
      </c>
      <c r="AH1207">
        <v>48.224047941833298</v>
      </c>
      <c r="AI1207">
        <v>91.314510650282202</v>
      </c>
      <c r="AJ1207">
        <v>73.585646296949307</v>
      </c>
      <c r="AK1207">
        <v>50.2862482714702</v>
      </c>
      <c r="AL1207">
        <v>87.246049924883707</v>
      </c>
      <c r="AM1207">
        <v>84.501212267371301</v>
      </c>
      <c r="AN1207">
        <v>0.99999998273728996</v>
      </c>
    </row>
    <row r="1208" spans="1:40" x14ac:dyDescent="0.25">
      <c r="A1208" t="str">
        <f>"20190312160321140"</f>
        <v>20190312160321140</v>
      </c>
      <c r="B1208" t="str">
        <f>"1552377801135451"</f>
        <v>1552377801135451</v>
      </c>
      <c r="C1208" t="s">
        <v>40</v>
      </c>
      <c r="D1208">
        <v>5.9057029999999999</v>
      </c>
      <c r="E1208">
        <v>0.57354510000000003</v>
      </c>
      <c r="F1208" t="s">
        <v>41</v>
      </c>
      <c r="G1208">
        <v>-175.2131</v>
      </c>
      <c r="H1208">
        <v>7.9986440000000006E-2</v>
      </c>
      <c r="I1208">
        <v>347.6026</v>
      </c>
      <c r="J1208">
        <v>-215.0016</v>
      </c>
      <c r="K1208">
        <v>1.1035410000000001</v>
      </c>
      <c r="L1208">
        <v>366.6223</v>
      </c>
      <c r="M1208">
        <v>0.98731979999999997</v>
      </c>
      <c r="N1208">
        <v>0</v>
      </c>
      <c r="O1208">
        <v>-0.1580606</v>
      </c>
      <c r="P1208">
        <v>0.96723999999999999</v>
      </c>
      <c r="Q1208">
        <v>3.4874769999999999E-2</v>
      </c>
      <c r="R1208">
        <v>-0.2514575</v>
      </c>
      <c r="S1208">
        <v>2.7641140000000002</v>
      </c>
      <c r="T1208">
        <v>-7.0691229999999994E-2</v>
      </c>
      <c r="U1208">
        <v>-1.3162229999999999</v>
      </c>
      <c r="V1208">
        <v>9.6149440000000003E-2</v>
      </c>
      <c r="W1208">
        <v>4.8034599999999997E-2</v>
      </c>
      <c r="X1208">
        <v>0.99420719999999996</v>
      </c>
      <c r="Y1208">
        <v>0.28176699999999999</v>
      </c>
      <c r="Z1208">
        <v>3.714554E-4</v>
      </c>
      <c r="AA1208">
        <v>0.95948279999999997</v>
      </c>
      <c r="AB1208">
        <v>43</v>
      </c>
      <c r="AC1208">
        <v>39.788499999999999</v>
      </c>
      <c r="AD1208">
        <v>-1.02355455999999</v>
      </c>
      <c r="AE1208">
        <v>-19.0197</v>
      </c>
      <c r="AF1208">
        <v>12.484159211083799</v>
      </c>
      <c r="AG1208">
        <v>-1.02355455999999</v>
      </c>
      <c r="AH1208">
        <v>42.272045764409199</v>
      </c>
      <c r="AI1208">
        <v>91.330282141120506</v>
      </c>
      <c r="AJ1208">
        <v>73.546603364642394</v>
      </c>
      <c r="AK1208">
        <v>44.088861952348999</v>
      </c>
      <c r="AL1208">
        <v>87.246760679707904</v>
      </c>
      <c r="AM1208">
        <v>84.476123080338297</v>
      </c>
      <c r="AN1208">
        <v>0.99999999707065601</v>
      </c>
    </row>
    <row r="1209" spans="1:40" x14ac:dyDescent="0.25">
      <c r="A1209" t="str">
        <f>"20190312160321154"</f>
        <v>20190312160321154</v>
      </c>
      <c r="B1209" t="str">
        <f>"1552377801146187"</f>
        <v>1552377801146187</v>
      </c>
      <c r="C1209" t="s">
        <v>40</v>
      </c>
      <c r="D1209">
        <v>5.8927969999999998</v>
      </c>
      <c r="E1209">
        <v>0.57364369999999998</v>
      </c>
      <c r="F1209" t="s">
        <v>41</v>
      </c>
      <c r="G1209">
        <v>-175.54750000000001</v>
      </c>
      <c r="H1209">
        <v>7.9986440000000006E-2</v>
      </c>
      <c r="I1209">
        <v>347.66849999999999</v>
      </c>
      <c r="J1209">
        <v>-214.71019999999999</v>
      </c>
      <c r="K1209">
        <v>1.1034759999999999</v>
      </c>
      <c r="L1209">
        <v>366.57299999999998</v>
      </c>
      <c r="M1209">
        <v>0.98669709999999999</v>
      </c>
      <c r="N1209">
        <v>0</v>
      </c>
      <c r="O1209">
        <v>-0.1619023</v>
      </c>
      <c r="P1209">
        <v>0.96609909999999999</v>
      </c>
      <c r="Q1209">
        <v>3.5198989999999999E-2</v>
      </c>
      <c r="R1209">
        <v>-0.25576140000000003</v>
      </c>
      <c r="S1209">
        <v>2.7595369999999999</v>
      </c>
      <c r="T1209">
        <v>-7.1590539999999994E-2</v>
      </c>
      <c r="U1209">
        <v>-1.3256840000000001</v>
      </c>
      <c r="V1209">
        <v>9.6720899999999999E-2</v>
      </c>
      <c r="W1209">
        <v>4.8337520000000002E-2</v>
      </c>
      <c r="X1209">
        <v>0.9941371</v>
      </c>
      <c r="Y1209">
        <v>0.28132649999999998</v>
      </c>
      <c r="Z1209">
        <v>4.7351929999999998E-4</v>
      </c>
      <c r="AA1209">
        <v>0.95961200000000002</v>
      </c>
      <c r="AB1209">
        <v>43</v>
      </c>
      <c r="AC1209">
        <v>39.162699999999901</v>
      </c>
      <c r="AD1209">
        <v>-1.02348956</v>
      </c>
      <c r="AE1209">
        <v>-18.904499999999999</v>
      </c>
      <c r="AF1209">
        <v>12.3069998442099</v>
      </c>
      <c r="AG1209">
        <v>-1.02348956</v>
      </c>
      <c r="AH1209">
        <v>41.6838292878627</v>
      </c>
      <c r="AI1209">
        <v>91.348991977450694</v>
      </c>
      <c r="AJ1209">
        <v>73.5509550704829</v>
      </c>
      <c r="AK1209">
        <v>43.474721392373397</v>
      </c>
      <c r="AL1209">
        <v>87.229384495972695</v>
      </c>
      <c r="AM1209">
        <v>84.443107664875598</v>
      </c>
      <c r="AN1209">
        <v>1.0000000109664799</v>
      </c>
    </row>
    <row r="1210" spans="1:40" x14ac:dyDescent="0.25">
      <c r="A1210" t="str">
        <f>"20190312160321167"</f>
        <v>20190312160321167</v>
      </c>
      <c r="B1210" t="str">
        <f>"1552377801155947"</f>
        <v>1552377801155947</v>
      </c>
      <c r="C1210" t="s">
        <v>40</v>
      </c>
      <c r="D1210">
        <v>5.9403519999999999</v>
      </c>
      <c r="E1210">
        <v>0.57371229999999995</v>
      </c>
      <c r="F1210" t="s">
        <v>41</v>
      </c>
      <c r="G1210">
        <v>-175.60069999999999</v>
      </c>
      <c r="H1210">
        <v>7.9986409999999994E-2</v>
      </c>
      <c r="I1210">
        <v>347.55290000000002</v>
      </c>
      <c r="J1210">
        <v>-214.46279999999999</v>
      </c>
      <c r="K1210">
        <v>1.103421</v>
      </c>
      <c r="L1210">
        <v>366.53039999999999</v>
      </c>
      <c r="M1210">
        <v>0.98615220000000003</v>
      </c>
      <c r="N1210">
        <v>0</v>
      </c>
      <c r="O1210">
        <v>-0.16518840000000001</v>
      </c>
      <c r="P1210">
        <v>0.96513709999999997</v>
      </c>
      <c r="Q1210">
        <v>3.5265970000000001E-2</v>
      </c>
      <c r="R1210">
        <v>-0.25935859999999999</v>
      </c>
      <c r="S1210">
        <v>2.753387</v>
      </c>
      <c r="T1210">
        <v>-7.20557E-2</v>
      </c>
      <c r="U1210">
        <v>-1.3390500000000001</v>
      </c>
      <c r="V1210">
        <v>9.7120869999999998E-2</v>
      </c>
      <c r="W1210">
        <v>4.8387520000000003E-2</v>
      </c>
      <c r="X1210">
        <v>0.99409570000000003</v>
      </c>
      <c r="Y1210">
        <v>0.2827404</v>
      </c>
      <c r="Z1210">
        <v>5.382691E-4</v>
      </c>
      <c r="AA1210">
        <v>0.9591963</v>
      </c>
      <c r="AB1210">
        <v>43</v>
      </c>
      <c r="AC1210">
        <v>38.862099999999998</v>
      </c>
      <c r="AD1210">
        <v>-1.0234345899999999</v>
      </c>
      <c r="AE1210">
        <v>-18.9774999999999</v>
      </c>
      <c r="AF1210">
        <v>12.2895851256415</v>
      </c>
      <c r="AG1210">
        <v>-1.0234345899999999</v>
      </c>
      <c r="AH1210">
        <v>41.440093408584303</v>
      </c>
      <c r="AI1210">
        <v>91.356364786532396</v>
      </c>
      <c r="AJ1210">
        <v>73.481608810239607</v>
      </c>
      <c r="AK1210">
        <v>43.236126822746101</v>
      </c>
      <c r="AL1210">
        <v>87.226516426232905</v>
      </c>
      <c r="AM1210">
        <v>84.420042054854804</v>
      </c>
      <c r="AN1210">
        <v>1.0000000381198899</v>
      </c>
    </row>
    <row r="1211" spans="1:40" x14ac:dyDescent="0.25">
      <c r="A1211" t="str">
        <f>"20190312160321178"</f>
        <v>20190312160321178</v>
      </c>
      <c r="B1211" t="str">
        <f>"1552377801165708"</f>
        <v>1552377801165708</v>
      </c>
      <c r="C1211" t="s">
        <v>40</v>
      </c>
      <c r="D1211">
        <v>5.4050279999999997</v>
      </c>
      <c r="E1211">
        <v>0.57365259999999996</v>
      </c>
      <c r="F1211" t="s">
        <v>41</v>
      </c>
      <c r="G1211">
        <v>-175.82830000000001</v>
      </c>
      <c r="H1211">
        <v>7.9986390000000004E-2</v>
      </c>
      <c r="I1211">
        <v>347.55459999999999</v>
      </c>
      <c r="J1211">
        <v>-214.25049999999999</v>
      </c>
      <c r="K1211">
        <v>1.1033759999999999</v>
      </c>
      <c r="L1211">
        <v>366.49279999999999</v>
      </c>
      <c r="M1211">
        <v>0.98566960000000003</v>
      </c>
      <c r="N1211">
        <v>0</v>
      </c>
      <c r="O1211">
        <v>-0.168043</v>
      </c>
      <c r="P1211">
        <v>0.96426270000000003</v>
      </c>
      <c r="Q1211">
        <v>3.5440279999999998E-2</v>
      </c>
      <c r="R1211">
        <v>-0.26256659999999998</v>
      </c>
      <c r="S1211">
        <v>2.7482760000000002</v>
      </c>
      <c r="T1211">
        <v>-7.2802420000000007E-2</v>
      </c>
      <c r="U1211">
        <v>-1.3498540000000001</v>
      </c>
      <c r="V1211">
        <v>9.7557729999999995E-2</v>
      </c>
      <c r="W1211">
        <v>4.8545650000000003E-2</v>
      </c>
      <c r="X1211">
        <v>0.99404519999999996</v>
      </c>
      <c r="Y1211">
        <v>0.28370669999999998</v>
      </c>
      <c r="Z1211">
        <v>6.0129509999999999E-4</v>
      </c>
      <c r="AA1211">
        <v>0.95891090000000001</v>
      </c>
      <c r="AB1211">
        <v>43</v>
      </c>
      <c r="AC1211">
        <v>38.422199999999897</v>
      </c>
      <c r="AD1211">
        <v>-1.0233896099999999</v>
      </c>
      <c r="AE1211">
        <v>-18.938199999999899</v>
      </c>
      <c r="AF1211">
        <v>12.20458515929</v>
      </c>
      <c r="AG1211">
        <v>-1.0233896099999999</v>
      </c>
      <c r="AH1211">
        <v>41.035059553751601</v>
      </c>
      <c r="AI1211">
        <v>91.369367691707794</v>
      </c>
      <c r="AJ1211">
        <v>73.436549272489202</v>
      </c>
      <c r="AK1211">
        <v>42.823770709550502</v>
      </c>
      <c r="AL1211">
        <v>87.217445549048094</v>
      </c>
      <c r="AM1211">
        <v>84.394819345757298</v>
      </c>
      <c r="AN1211">
        <v>1.00000002522985</v>
      </c>
    </row>
    <row r="1212" spans="1:40" x14ac:dyDescent="0.25">
      <c r="A1212" t="str">
        <f>"20190312160321190"</f>
        <v>20190312160321190</v>
      </c>
      <c r="B1212" t="str">
        <f>"1552377801186204"</f>
        <v>1552377801186204</v>
      </c>
      <c r="C1212" t="s">
        <v>40</v>
      </c>
      <c r="D1212">
        <v>5.857856</v>
      </c>
      <c r="E1212">
        <v>0.57386239999999999</v>
      </c>
      <c r="F1212" t="s">
        <v>41</v>
      </c>
      <c r="G1212">
        <v>-175.24780000000001</v>
      </c>
      <c r="H1212">
        <v>7.9986310000000005E-2</v>
      </c>
      <c r="I1212">
        <v>347.18329999999997</v>
      </c>
      <c r="J1212">
        <v>-214.04509999999999</v>
      </c>
      <c r="K1212">
        <v>1.1033329999999999</v>
      </c>
      <c r="L1212">
        <v>366.45620000000002</v>
      </c>
      <c r="M1212">
        <v>0.98519369999999995</v>
      </c>
      <c r="N1212">
        <v>0</v>
      </c>
      <c r="O1212">
        <v>-0.170812299999999</v>
      </c>
      <c r="P1212">
        <v>0.96340060000000005</v>
      </c>
      <c r="Q1212">
        <v>3.5409820000000002E-2</v>
      </c>
      <c r="R1212">
        <v>-0.26571810000000001</v>
      </c>
      <c r="S1212">
        <v>2.7439119999999999</v>
      </c>
      <c r="T1212">
        <v>-7.1997399999999906E-2</v>
      </c>
      <c r="U1212">
        <v>-1.3584590000000001</v>
      </c>
      <c r="V1212">
        <v>9.8019179999999997E-2</v>
      </c>
      <c r="W1212">
        <v>4.849945E-2</v>
      </c>
      <c r="X1212">
        <v>0.99400200000000005</v>
      </c>
      <c r="Y1212">
        <v>0.28403499999999998</v>
      </c>
      <c r="Z1212">
        <v>6.5735869999999897E-4</v>
      </c>
      <c r="AA1212">
        <v>0.95881369999999999</v>
      </c>
      <c r="AB1212">
        <v>43</v>
      </c>
      <c r="AC1212">
        <v>38.7972999999999</v>
      </c>
      <c r="AD1212">
        <v>-1.0233466899999999</v>
      </c>
      <c r="AE1212">
        <v>-19.2729</v>
      </c>
      <c r="AF1212">
        <v>12.3549276460474</v>
      </c>
      <c r="AG1212">
        <v>-1.0233466899999999</v>
      </c>
      <c r="AH1212">
        <v>41.496243197771797</v>
      </c>
      <c r="AI1212">
        <v>91.353980146178102</v>
      </c>
      <c r="AJ1212">
        <v>73.419834043346498</v>
      </c>
      <c r="AK1212">
        <v>43.308540440837099</v>
      </c>
      <c r="AL1212">
        <v>87.220095571320996</v>
      </c>
      <c r="AM1212">
        <v>84.368233579632005</v>
      </c>
      <c r="AN1212">
        <v>0.99999996615108699</v>
      </c>
    </row>
    <row r="1213" spans="1:40" x14ac:dyDescent="0.25">
      <c r="A1213" t="str">
        <f>"20190312160321200"</f>
        <v>20190312160321200</v>
      </c>
      <c r="B1213" t="str">
        <f>"1552377801195964"</f>
        <v>1552377801195964</v>
      </c>
      <c r="C1213" t="s">
        <v>40</v>
      </c>
      <c r="D1213">
        <v>5.8648099999999896</v>
      </c>
      <c r="E1213">
        <v>0.5739573</v>
      </c>
      <c r="F1213" t="s">
        <v>41</v>
      </c>
      <c r="G1213">
        <v>-176.82499999999999</v>
      </c>
      <c r="H1213">
        <v>7.9986450000000001E-2</v>
      </c>
      <c r="I1213">
        <v>347.85320000000002</v>
      </c>
      <c r="J1213">
        <v>-213.81559999999999</v>
      </c>
      <c r="K1213">
        <v>1.103286</v>
      </c>
      <c r="L1213">
        <v>366.41419999999999</v>
      </c>
      <c r="M1213">
        <v>0.98464689999999999</v>
      </c>
      <c r="N1213">
        <v>0</v>
      </c>
      <c r="O1213">
        <v>-0.17393539999999999</v>
      </c>
      <c r="P1213">
        <v>0.96240309999999996</v>
      </c>
      <c r="Q1213">
        <v>3.5209780000000003E-2</v>
      </c>
      <c r="R1213">
        <v>-0.26933430000000003</v>
      </c>
      <c r="S1213">
        <v>2.7391359999999998</v>
      </c>
      <c r="T1213">
        <v>-7.5311180000000005E-2</v>
      </c>
      <c r="U1213">
        <v>-1.369049</v>
      </c>
      <c r="V1213">
        <v>9.8601729999999999E-2</v>
      </c>
      <c r="W1213">
        <v>4.8280839999999998E-2</v>
      </c>
      <c r="X1213">
        <v>0.99395509999999998</v>
      </c>
      <c r="Y1213">
        <v>0.28462739999999997</v>
      </c>
      <c r="Z1213">
        <v>7.5862110000000005E-4</v>
      </c>
      <c r="AA1213">
        <v>0.95863790000000004</v>
      </c>
      <c r="AB1213">
        <v>43</v>
      </c>
      <c r="AC1213">
        <v>36.990600000000001</v>
      </c>
      <c r="AD1213">
        <v>-1.0232995499999999</v>
      </c>
      <c r="AE1213">
        <v>-18.5609999999999</v>
      </c>
      <c r="AF1213">
        <v>11.836105044321201</v>
      </c>
      <c r="AG1213">
        <v>-1.0232995499999999</v>
      </c>
      <c r="AH1213">
        <v>39.631167807306198</v>
      </c>
      <c r="AI1213">
        <v>91.417251744896404</v>
      </c>
      <c r="AJ1213">
        <v>73.371403937670294</v>
      </c>
      <c r="AK1213">
        <v>41.373542105554698</v>
      </c>
      <c r="AL1213">
        <v>87.232635899331797</v>
      </c>
      <c r="AM1213">
        <v>84.334714236880401</v>
      </c>
      <c r="AN1213">
        <v>1.00000004074305</v>
      </c>
    </row>
    <row r="1214" spans="1:40" x14ac:dyDescent="0.25">
      <c r="A1214" t="str">
        <f>"20190312160321210"</f>
        <v>20190312160321210</v>
      </c>
      <c r="B1214" t="str">
        <f>"1552377801205726"</f>
        <v>1552377801205726</v>
      </c>
      <c r="C1214" t="s">
        <v>40</v>
      </c>
      <c r="D1214">
        <v>5.7064550000000001</v>
      </c>
      <c r="E1214">
        <v>0.57409600000000005</v>
      </c>
      <c r="F1214" t="s">
        <v>41</v>
      </c>
      <c r="G1214">
        <v>-177.70740000000001</v>
      </c>
      <c r="H1214">
        <v>7.9986500000000002E-2</v>
      </c>
      <c r="I1214">
        <v>348.18830000000003</v>
      </c>
      <c r="J1214">
        <v>-213.637</v>
      </c>
      <c r="K1214">
        <v>1.103248</v>
      </c>
      <c r="L1214">
        <v>366.38130000000001</v>
      </c>
      <c r="M1214">
        <v>0.98421259999999999</v>
      </c>
      <c r="N1214">
        <v>0</v>
      </c>
      <c r="O1214">
        <v>-0.176376</v>
      </c>
      <c r="P1214">
        <v>0.96167340000000001</v>
      </c>
      <c r="Q1214">
        <v>3.518951E-2</v>
      </c>
      <c r="R1214">
        <v>-0.27193089999999998</v>
      </c>
      <c r="S1214">
        <v>2.7338559999999998</v>
      </c>
      <c r="T1214">
        <v>-7.7477099999999993E-2</v>
      </c>
      <c r="U1214">
        <v>-1.3799440000000001</v>
      </c>
      <c r="V1214">
        <v>9.8824040000000002E-2</v>
      </c>
      <c r="W1214">
        <v>4.8249880000000002E-2</v>
      </c>
      <c r="X1214">
        <v>0.99393450000000005</v>
      </c>
      <c r="Y1214">
        <v>0.28603830000000002</v>
      </c>
      <c r="Z1214">
        <v>8.2501329999999998E-4</v>
      </c>
      <c r="AA1214">
        <v>0.95821789999999996</v>
      </c>
      <c r="AB1214">
        <v>43</v>
      </c>
      <c r="AC1214">
        <v>35.929599999999901</v>
      </c>
      <c r="AD1214">
        <v>-1.0232615</v>
      </c>
      <c r="AE1214">
        <v>-18.192999999999898</v>
      </c>
      <c r="AF1214">
        <v>11.5624521058272</v>
      </c>
      <c r="AG1214">
        <v>-1.0232615</v>
      </c>
      <c r="AH1214">
        <v>38.5504734650778</v>
      </c>
      <c r="AI1214">
        <v>91.4564014097745</v>
      </c>
      <c r="AJ1214">
        <v>73.304423656265499</v>
      </c>
      <c r="AK1214">
        <v>40.260108881852297</v>
      </c>
      <c r="AL1214">
        <v>87.234411778018796</v>
      </c>
      <c r="AM1214">
        <v>84.321907596631604</v>
      </c>
      <c r="AN1214">
        <v>1.00000001604609</v>
      </c>
    </row>
    <row r="1215" spans="1:40" x14ac:dyDescent="0.25">
      <c r="A1215" t="str">
        <f>"20190312160321221"</f>
        <v>20190312160321221</v>
      </c>
      <c r="B1215" t="str">
        <f>"1552377801215483"</f>
        <v>1552377801215483</v>
      </c>
      <c r="C1215" t="s">
        <v>40</v>
      </c>
      <c r="D1215">
        <v>5.9208509999999999</v>
      </c>
      <c r="E1215">
        <v>0.57415070000000001</v>
      </c>
      <c r="F1215" t="s">
        <v>41</v>
      </c>
      <c r="G1215">
        <v>-178.1002</v>
      </c>
      <c r="H1215">
        <v>7.9986520000000005E-2</v>
      </c>
      <c r="I1215">
        <v>348.30849999999998</v>
      </c>
      <c r="J1215">
        <v>-213.4222</v>
      </c>
      <c r="K1215">
        <v>1.1032029999999999</v>
      </c>
      <c r="L1215">
        <v>366.3408</v>
      </c>
      <c r="M1215">
        <v>0.98367800000000005</v>
      </c>
      <c r="N1215">
        <v>0</v>
      </c>
      <c r="O1215">
        <v>-0.1793342</v>
      </c>
      <c r="P1215">
        <v>0.96073299999999995</v>
      </c>
      <c r="Q1215">
        <v>3.5453419999999999E-2</v>
      </c>
      <c r="R1215">
        <v>-0.27520119999999998</v>
      </c>
      <c r="S1215">
        <v>2.7299039999999999</v>
      </c>
      <c r="T1215">
        <v>-7.8606010000000004E-2</v>
      </c>
      <c r="U1215">
        <v>-1.388336</v>
      </c>
      <c r="V1215">
        <v>9.9228780000000003E-2</v>
      </c>
      <c r="W1215">
        <v>4.84985E-2</v>
      </c>
      <c r="X1215">
        <v>0.99388209999999999</v>
      </c>
      <c r="Y1215">
        <v>0.2860587</v>
      </c>
      <c r="Z1215">
        <v>9.1460580000000003E-4</v>
      </c>
      <c r="AA1215">
        <v>0.9582117</v>
      </c>
      <c r="AB1215">
        <v>43</v>
      </c>
      <c r="AC1215">
        <v>35.321999999999903</v>
      </c>
      <c r="AD1215">
        <v>-1.0232164800000001</v>
      </c>
      <c r="AE1215">
        <v>-18.032299999999999</v>
      </c>
      <c r="AF1215">
        <v>11.397183970331801</v>
      </c>
      <c r="AG1215">
        <v>-1.0232164800000001</v>
      </c>
      <c r="AH1215">
        <v>37.958133118847897</v>
      </c>
      <c r="AI1215">
        <v>91.478920755569604</v>
      </c>
      <c r="AJ1215">
        <v>73.287263048746993</v>
      </c>
      <c r="AK1215">
        <v>39.645461837223003</v>
      </c>
      <c r="AL1215">
        <v>87.220150277431898</v>
      </c>
      <c r="AM1215">
        <v>84.298506903097007</v>
      </c>
      <c r="AN1215">
        <v>1.0000000419914701</v>
      </c>
    </row>
    <row r="1216" spans="1:40" x14ac:dyDescent="0.25">
      <c r="A1216" t="str">
        <f>"20190312160321233"</f>
        <v>20190312160321233</v>
      </c>
      <c r="B1216" t="str">
        <f>"1552377801226220"</f>
        <v>1552377801226220</v>
      </c>
      <c r="C1216" t="s">
        <v>40</v>
      </c>
      <c r="D1216">
        <v>5.4986389999999998</v>
      </c>
      <c r="E1216">
        <v>0.57406519999999905</v>
      </c>
      <c r="F1216" t="s">
        <v>41</v>
      </c>
      <c r="G1216">
        <v>-177.99369999999999</v>
      </c>
      <c r="H1216">
        <v>7.9986479999999999E-2</v>
      </c>
      <c r="I1216">
        <v>348.16210000000001</v>
      </c>
      <c r="J1216">
        <v>-213.22329999999999</v>
      </c>
      <c r="K1216">
        <v>1.1031629999999999</v>
      </c>
      <c r="L1216">
        <v>366.30279999999999</v>
      </c>
      <c r="M1216">
        <v>0.98317160000000003</v>
      </c>
      <c r="N1216">
        <v>0</v>
      </c>
      <c r="O1216">
        <v>-0.1820889</v>
      </c>
      <c r="P1216">
        <v>0.9598489</v>
      </c>
      <c r="Q1216">
        <v>3.5485250000000003E-2</v>
      </c>
      <c r="R1216">
        <v>-0.27826440000000002</v>
      </c>
      <c r="S1216">
        <v>2.725006</v>
      </c>
      <c r="T1216">
        <v>-7.8701380000000001E-2</v>
      </c>
      <c r="U1216">
        <v>-1.3982239999999999</v>
      </c>
      <c r="V1216">
        <v>9.9620909999999993E-2</v>
      </c>
      <c r="W1216">
        <v>4.8516110000000001E-2</v>
      </c>
      <c r="X1216">
        <v>0.99384189999999994</v>
      </c>
      <c r="Y1216">
        <v>0.286827</v>
      </c>
      <c r="Z1216">
        <v>9.780113999999999E-4</v>
      </c>
      <c r="AA1216">
        <v>0.95798190000000005</v>
      </c>
      <c r="AB1216">
        <v>43</v>
      </c>
      <c r="AC1216">
        <v>35.229599999999998</v>
      </c>
      <c r="AD1216">
        <v>-1.02317651999999</v>
      </c>
      <c r="AE1216">
        <v>-18.140699999999899</v>
      </c>
      <c r="AF1216">
        <v>11.414132584916199</v>
      </c>
      <c r="AG1216">
        <v>-1.02317651999999</v>
      </c>
      <c r="AH1216">
        <v>37.918802745995698</v>
      </c>
      <c r="AI1216">
        <v>91.480086870007895</v>
      </c>
      <c r="AJ1216">
        <v>73.247411486381097</v>
      </c>
      <c r="AK1216">
        <v>39.612686282892497</v>
      </c>
      <c r="AL1216">
        <v>87.219139799139398</v>
      </c>
      <c r="AM1216">
        <v>84.275895204052503</v>
      </c>
      <c r="AN1216">
        <v>0.99999993041718205</v>
      </c>
    </row>
    <row r="1217" spans="1:40" x14ac:dyDescent="0.25">
      <c r="A1217" t="str">
        <f>"20190312160321243"</f>
        <v>20190312160321243</v>
      </c>
      <c r="B1217" t="str">
        <f>"1552377801235979"</f>
        <v>1552377801235979</v>
      </c>
      <c r="C1217" t="s">
        <v>40</v>
      </c>
      <c r="D1217">
        <v>5.8578479999999997</v>
      </c>
      <c r="E1217">
        <v>0.57399169999999999</v>
      </c>
      <c r="F1217" t="s">
        <v>41</v>
      </c>
      <c r="G1217">
        <v>-177.68770000000001</v>
      </c>
      <c r="H1217">
        <v>7.9986429999999997E-2</v>
      </c>
      <c r="I1217">
        <v>347.93459999999999</v>
      </c>
      <c r="J1217">
        <v>-213</v>
      </c>
      <c r="K1217">
        <v>1.1031219999999999</v>
      </c>
      <c r="L1217">
        <v>366.25940000000003</v>
      </c>
      <c r="M1217">
        <v>0.98259030000000003</v>
      </c>
      <c r="N1217">
        <v>0</v>
      </c>
      <c r="O1217">
        <v>-0.1851998</v>
      </c>
      <c r="P1217">
        <v>0.9588662</v>
      </c>
      <c r="Q1217">
        <v>3.5588839999999997E-2</v>
      </c>
      <c r="R1217">
        <v>-0.2816187</v>
      </c>
      <c r="S1217">
        <v>2.720688</v>
      </c>
      <c r="T1217">
        <v>-7.8336829999999996E-2</v>
      </c>
      <c r="U1217">
        <v>-1.4063110000000001</v>
      </c>
      <c r="V1217">
        <v>9.9957939999999995E-2</v>
      </c>
      <c r="W1217">
        <v>4.860519E-2</v>
      </c>
      <c r="X1217">
        <v>0.99380380000000001</v>
      </c>
      <c r="Y1217">
        <v>0.28666350000000002</v>
      </c>
      <c r="Z1217">
        <v>1.057461E-3</v>
      </c>
      <c r="AA1217">
        <v>0.95803079999999996</v>
      </c>
      <c r="AB1217">
        <v>43</v>
      </c>
      <c r="AC1217">
        <v>35.312299999999901</v>
      </c>
      <c r="AD1217">
        <v>-1.02313557</v>
      </c>
      <c r="AE1217">
        <v>-18.3248</v>
      </c>
      <c r="AF1217">
        <v>11.4596068440129</v>
      </c>
      <c r="AG1217">
        <v>-1.02313557</v>
      </c>
      <c r="AH1217">
        <v>38.070233775314897</v>
      </c>
      <c r="AI1217">
        <v>91.474144355000803</v>
      </c>
      <c r="AJ1217">
        <v>73.247561583564604</v>
      </c>
      <c r="AK1217">
        <v>39.770744211305299</v>
      </c>
      <c r="AL1217">
        <v>87.214030121972897</v>
      </c>
      <c r="AM1217">
        <v>84.256440375004601</v>
      </c>
      <c r="AN1217">
        <v>1.0000000235791999</v>
      </c>
    </row>
    <row r="1218" spans="1:40" x14ac:dyDescent="0.25">
      <c r="A1218" t="str">
        <f>"20190312160321254"</f>
        <v>20190312160321254</v>
      </c>
      <c r="B1218" t="str">
        <f>"1552377801245740"</f>
        <v>1552377801245740</v>
      </c>
      <c r="C1218" t="s">
        <v>40</v>
      </c>
      <c r="D1218">
        <v>5.8482789999999998</v>
      </c>
      <c r="E1218">
        <v>0.573932199999999</v>
      </c>
      <c r="F1218" t="s">
        <v>41</v>
      </c>
      <c r="G1218">
        <v>-177.27860000000001</v>
      </c>
      <c r="H1218">
        <v>7.9986360000000006E-2</v>
      </c>
      <c r="I1218">
        <v>347.64609999999999</v>
      </c>
      <c r="J1218">
        <v>-212.79679999999999</v>
      </c>
      <c r="K1218">
        <v>1.103083</v>
      </c>
      <c r="L1218">
        <v>366.2192</v>
      </c>
      <c r="M1218">
        <v>0.98204820000000004</v>
      </c>
      <c r="N1218">
        <v>0</v>
      </c>
      <c r="O1218">
        <v>-0.18805279999999999</v>
      </c>
      <c r="P1218">
        <v>0.95790090000000006</v>
      </c>
      <c r="Q1218">
        <v>3.5602769999999999E-2</v>
      </c>
      <c r="R1218">
        <v>-0.28488330000000001</v>
      </c>
      <c r="S1218">
        <v>2.7159270000000002</v>
      </c>
      <c r="T1218">
        <v>-7.7790020000000001E-2</v>
      </c>
      <c r="U1218">
        <v>-1.415192</v>
      </c>
      <c r="V1218">
        <v>0.100462</v>
      </c>
      <c r="W1218">
        <v>4.8602800000000002E-2</v>
      </c>
      <c r="X1218">
        <v>0.99375309999999994</v>
      </c>
      <c r="Y1218">
        <v>0.28703390000000001</v>
      </c>
      <c r="Z1218">
        <v>1.119683E-3</v>
      </c>
      <c r="AA1218">
        <v>0.95791979999999999</v>
      </c>
      <c r="AB1218">
        <v>43</v>
      </c>
      <c r="AC1218">
        <v>35.518199999999901</v>
      </c>
      <c r="AD1218">
        <v>-1.0230966399999999</v>
      </c>
      <c r="AE1218">
        <v>-18.5731</v>
      </c>
      <c r="AF1218">
        <v>11.554111574663199</v>
      </c>
      <c r="AG1218">
        <v>-1.0230966399999999</v>
      </c>
      <c r="AH1218">
        <v>38.352492374402402</v>
      </c>
      <c r="AI1218">
        <v>91.463143877157705</v>
      </c>
      <c r="AJ1218">
        <v>73.2344925334084</v>
      </c>
      <c r="AK1218">
        <v>40.068165572473298</v>
      </c>
      <c r="AL1218">
        <v>87.214167251881506</v>
      </c>
      <c r="AM1218">
        <v>84.227379795619896</v>
      </c>
      <c r="AN1218">
        <v>1.0000000346857201</v>
      </c>
    </row>
    <row r="1219" spans="1:40" x14ac:dyDescent="0.25">
      <c r="A1219" t="str">
        <f>"20190312160321266"</f>
        <v>20190312160321266</v>
      </c>
      <c r="B1219" t="str">
        <f>"1552377801255499"</f>
        <v>1552377801255499</v>
      </c>
      <c r="C1219" t="s">
        <v>40</v>
      </c>
      <c r="D1219">
        <v>5.8470909999999998</v>
      </c>
      <c r="E1219">
        <v>0.57386230000000005</v>
      </c>
      <c r="F1219" t="s">
        <v>41</v>
      </c>
      <c r="G1219">
        <v>-176.9014</v>
      </c>
      <c r="H1219">
        <v>7.9986299999999996E-2</v>
      </c>
      <c r="I1219">
        <v>347.36799999999999</v>
      </c>
      <c r="J1219">
        <v>-212.5753</v>
      </c>
      <c r="K1219">
        <v>1.1030390000000001</v>
      </c>
      <c r="L1219">
        <v>366.17500000000001</v>
      </c>
      <c r="M1219">
        <v>0.98144529999999996</v>
      </c>
      <c r="N1219">
        <v>0</v>
      </c>
      <c r="O1219">
        <v>-0.19117480000000001</v>
      </c>
      <c r="P1219">
        <v>0.95687359999999999</v>
      </c>
      <c r="Q1219">
        <v>3.5559779999999999E-2</v>
      </c>
      <c r="R1219">
        <v>-0.28831990000000002</v>
      </c>
      <c r="S1219">
        <v>2.7112430000000001</v>
      </c>
      <c r="T1219">
        <v>-7.7276109999999995E-2</v>
      </c>
      <c r="U1219">
        <v>-1.423859</v>
      </c>
      <c r="V1219">
        <v>0.1008734</v>
      </c>
      <c r="W1219">
        <v>4.8544219999999999E-2</v>
      </c>
      <c r="X1219">
        <v>0.99371430000000005</v>
      </c>
      <c r="Y1219">
        <v>0.2870704</v>
      </c>
      <c r="Z1219">
        <v>1.1928609999999999E-3</v>
      </c>
      <c r="AA1219">
        <v>0.95790869999999995</v>
      </c>
      <c r="AB1219">
        <v>43</v>
      </c>
      <c r="AC1219">
        <v>35.673900000000003</v>
      </c>
      <c r="AD1219">
        <v>-1.02305269999999</v>
      </c>
      <c r="AE1219">
        <v>-18.806999999999899</v>
      </c>
      <c r="AF1219">
        <v>11.6318700792807</v>
      </c>
      <c r="AG1219">
        <v>-1.02305269999999</v>
      </c>
      <c r="AH1219">
        <v>38.586768898090099</v>
      </c>
      <c r="AI1219">
        <v>91.454127188336102</v>
      </c>
      <c r="AJ1219">
        <v>73.224718700919297</v>
      </c>
      <c r="AK1219">
        <v>40.3148331555875</v>
      </c>
      <c r="AL1219">
        <v>87.217527639551506</v>
      </c>
      <c r="AM1219">
        <v>84.203676301497694</v>
      </c>
      <c r="AN1219">
        <v>1.00000004707372</v>
      </c>
    </row>
    <row r="1220" spans="1:40" x14ac:dyDescent="0.25">
      <c r="A1220" t="str">
        <f>"20190312160321276"</f>
        <v>20190312160321276</v>
      </c>
      <c r="B1220" t="str">
        <f>"1552377801266235"</f>
        <v>1552377801266235</v>
      </c>
      <c r="C1220" t="s">
        <v>40</v>
      </c>
      <c r="D1220">
        <v>5.8193739999999998</v>
      </c>
      <c r="E1220">
        <v>0.57381749999999998</v>
      </c>
      <c r="F1220" t="s">
        <v>41</v>
      </c>
      <c r="G1220">
        <v>-176.55019999999999</v>
      </c>
      <c r="H1220">
        <v>7.998624E-2</v>
      </c>
      <c r="I1220">
        <v>347.0958</v>
      </c>
      <c r="J1220">
        <v>-212.38329999999999</v>
      </c>
      <c r="K1220">
        <v>1.1030009999999999</v>
      </c>
      <c r="L1220">
        <v>366.13560000000001</v>
      </c>
      <c r="M1220">
        <v>0.98090820000000001</v>
      </c>
      <c r="N1220">
        <v>0</v>
      </c>
      <c r="O1220">
        <v>-0.19391220000000001</v>
      </c>
      <c r="P1220">
        <v>0.95596539999999997</v>
      </c>
      <c r="Q1220">
        <v>3.549633E-2</v>
      </c>
      <c r="R1220">
        <v>-0.29132520000000001</v>
      </c>
      <c r="S1220">
        <v>2.706207</v>
      </c>
      <c r="T1220">
        <v>-7.6851610000000001E-2</v>
      </c>
      <c r="U1220">
        <v>-1.4332279999999999</v>
      </c>
      <c r="V1220">
        <v>0.10122680000000001</v>
      </c>
      <c r="W1220">
        <v>4.8467070000000001E-2</v>
      </c>
      <c r="X1220">
        <v>0.99368210000000001</v>
      </c>
      <c r="Y1220">
        <v>0.28772589999999998</v>
      </c>
      <c r="Z1220">
        <v>1.248407E-3</v>
      </c>
      <c r="AA1220">
        <v>0.95771200000000001</v>
      </c>
      <c r="AB1220">
        <v>43</v>
      </c>
      <c r="AC1220">
        <v>35.833100000000002</v>
      </c>
      <c r="AD1220">
        <v>-1.0230147599999999</v>
      </c>
      <c r="AE1220">
        <v>-19.0398</v>
      </c>
      <c r="AF1220">
        <v>11.721643842348699</v>
      </c>
      <c r="AG1220">
        <v>-1.0230147599999999</v>
      </c>
      <c r="AH1220">
        <v>38.820574194968898</v>
      </c>
      <c r="AI1220">
        <v>91.445121002869101</v>
      </c>
      <c r="AJ1220">
        <v>73.198618350293003</v>
      </c>
      <c r="AK1220">
        <v>40.5645223612104</v>
      </c>
      <c r="AL1220">
        <v>87.221953139677794</v>
      </c>
      <c r="AM1220">
        <v>84.183321253746996</v>
      </c>
      <c r="AN1220">
        <v>1.0000000188865099</v>
      </c>
    </row>
    <row r="1221" spans="1:40" x14ac:dyDescent="0.25">
      <c r="A1221" t="str">
        <f>"20190312160321288"</f>
        <v>20190312160321288</v>
      </c>
      <c r="B1221" t="str">
        <f>"1552377801275996"</f>
        <v>1552377801275996</v>
      </c>
      <c r="C1221" t="s">
        <v>40</v>
      </c>
      <c r="D1221">
        <v>5.735716</v>
      </c>
      <c r="E1221">
        <v>0.57382889999999998</v>
      </c>
      <c r="F1221" t="s">
        <v>41</v>
      </c>
      <c r="G1221">
        <v>-176.42670000000001</v>
      </c>
      <c r="H1221">
        <v>7.9986199999999993E-2</v>
      </c>
      <c r="I1221">
        <v>346.95409999999998</v>
      </c>
      <c r="J1221">
        <v>-212.16659999999999</v>
      </c>
      <c r="K1221">
        <v>1.1029580000000001</v>
      </c>
      <c r="L1221">
        <v>366.09100000000001</v>
      </c>
      <c r="M1221">
        <v>0.98029120000000003</v>
      </c>
      <c r="N1221">
        <v>0</v>
      </c>
      <c r="O1221">
        <v>-0.1970065</v>
      </c>
      <c r="P1221">
        <v>0.95481519999999998</v>
      </c>
      <c r="Q1221">
        <v>3.5299619999999997E-2</v>
      </c>
      <c r="R1221">
        <v>-0.29509619999999998</v>
      </c>
      <c r="S1221">
        <v>2.701813</v>
      </c>
      <c r="T1221">
        <v>-7.68702E-2</v>
      </c>
      <c r="U1221">
        <v>-1.4413149999999999</v>
      </c>
      <c r="V1221">
        <v>0.10201399999999999</v>
      </c>
      <c r="W1221">
        <v>4.8247980000000003E-2</v>
      </c>
      <c r="X1221">
        <v>0.99361219999999995</v>
      </c>
      <c r="Y1221">
        <v>0.28758309999999998</v>
      </c>
      <c r="Z1221">
        <v>1.3305669999999999E-3</v>
      </c>
      <c r="AA1221">
        <v>0.95775480000000002</v>
      </c>
      <c r="AB1221">
        <v>43</v>
      </c>
      <c r="AC1221">
        <v>35.739899999999899</v>
      </c>
      <c r="AD1221">
        <v>-1.0229718000000001</v>
      </c>
      <c r="AE1221">
        <v>-19.136900000000001</v>
      </c>
      <c r="AF1221">
        <v>11.712559776694199</v>
      </c>
      <c r="AG1221">
        <v>-1.0229718000000001</v>
      </c>
      <c r="AH1221">
        <v>38.785131064487999</v>
      </c>
      <c r="AI1221">
        <v>91.446363637761607</v>
      </c>
      <c r="AJ1221">
        <v>73.196428174279404</v>
      </c>
      <c r="AK1221">
        <v>40.527976997572203</v>
      </c>
      <c r="AL1221">
        <v>87.234520622555095</v>
      </c>
      <c r="AM1221">
        <v>84.137991555769403</v>
      </c>
      <c r="AN1221">
        <v>0.999999963879459</v>
      </c>
    </row>
    <row r="1222" spans="1:40" x14ac:dyDescent="0.25">
      <c r="A1222" t="str">
        <f>"20190312160321299"</f>
        <v>20190312160321299</v>
      </c>
      <c r="B1222" t="str">
        <f>"1552377801295515"</f>
        <v>1552377801295515</v>
      </c>
      <c r="C1222" t="s">
        <v>40</v>
      </c>
      <c r="D1222">
        <v>5.8776890000000002</v>
      </c>
      <c r="E1222">
        <v>0.57419980000000004</v>
      </c>
      <c r="F1222" t="s">
        <v>41</v>
      </c>
      <c r="G1222">
        <v>-176.56219999999999</v>
      </c>
      <c r="H1222">
        <v>7.9986169999999995E-2</v>
      </c>
      <c r="I1222">
        <v>346.91469999999998</v>
      </c>
      <c r="J1222">
        <v>-211.9562</v>
      </c>
      <c r="K1222">
        <v>1.10291299999999</v>
      </c>
      <c r="L1222">
        <v>366.04649999999998</v>
      </c>
      <c r="M1222">
        <v>0.97967519999999997</v>
      </c>
      <c r="N1222">
        <v>0</v>
      </c>
      <c r="O1222">
        <v>-0.20004769999999999</v>
      </c>
      <c r="P1222">
        <v>0.95368920000000001</v>
      </c>
      <c r="Q1222">
        <v>3.5457229999999999E-2</v>
      </c>
      <c r="R1222">
        <v>-0.29869699999999999</v>
      </c>
      <c r="S1222">
        <v>2.6960139999999999</v>
      </c>
      <c r="T1222">
        <v>-7.7460890000000004E-2</v>
      </c>
      <c r="U1222">
        <v>-1.4520569999999999</v>
      </c>
      <c r="V1222">
        <v>0.10268910000000001</v>
      </c>
      <c r="W1222">
        <v>4.8384669999999998E-2</v>
      </c>
      <c r="X1222">
        <v>0.99353610000000003</v>
      </c>
      <c r="Y1222">
        <v>0.28842909999999999</v>
      </c>
      <c r="Z1222">
        <v>1.4088340000000001E-3</v>
      </c>
      <c r="AA1222">
        <v>0.95750020000000002</v>
      </c>
      <c r="AB1222">
        <v>43</v>
      </c>
      <c r="AC1222">
        <v>35.393999999999998</v>
      </c>
      <c r="AD1222">
        <v>-1.0229268299999901</v>
      </c>
      <c r="AE1222">
        <v>-19.131799999999998</v>
      </c>
      <c r="AF1222">
        <v>11.6561950796504</v>
      </c>
      <c r="AG1222">
        <v>-1.0229268299999901</v>
      </c>
      <c r="AH1222">
        <v>38.4812083012079</v>
      </c>
      <c r="AI1222">
        <v>91.457346437154698</v>
      </c>
      <c r="AJ1222">
        <v>73.148116049501596</v>
      </c>
      <c r="AK1222">
        <v>40.220848516103601</v>
      </c>
      <c r="AL1222">
        <v>87.226679956916698</v>
      </c>
      <c r="AM1222">
        <v>84.099022480730397</v>
      </c>
      <c r="AN1222">
        <v>1.00000005477651</v>
      </c>
    </row>
    <row r="1223" spans="1:40" x14ac:dyDescent="0.25">
      <c r="A1223" t="str">
        <f>"20190312160321313"</f>
        <v>20190312160321313</v>
      </c>
      <c r="B1223" t="str">
        <f>"1552377801306254"</f>
        <v>1552377801306254</v>
      </c>
      <c r="C1223" t="s">
        <v>40</v>
      </c>
      <c r="D1223">
        <v>5.8170349999999997</v>
      </c>
      <c r="E1223">
        <v>0.5744011</v>
      </c>
      <c r="F1223" t="s">
        <v>41</v>
      </c>
      <c r="G1223">
        <v>-176.78139999999999</v>
      </c>
      <c r="H1223">
        <v>7.9986160000000001E-2</v>
      </c>
      <c r="I1223">
        <v>346.88670000000002</v>
      </c>
      <c r="J1223">
        <v>-211.7089</v>
      </c>
      <c r="K1223">
        <v>1.102857</v>
      </c>
      <c r="L1223">
        <v>365.99369999999999</v>
      </c>
      <c r="M1223">
        <v>0.97893479999999999</v>
      </c>
      <c r="N1223">
        <v>0</v>
      </c>
      <c r="O1223">
        <v>-0.2036393</v>
      </c>
      <c r="P1223">
        <v>0.95237830000000001</v>
      </c>
      <c r="Q1223">
        <v>3.5494009999999999E-2</v>
      </c>
      <c r="R1223">
        <v>-0.30284630000000001</v>
      </c>
      <c r="S1223">
        <v>2.6896969999999998</v>
      </c>
      <c r="T1223">
        <v>-7.8219650000000002E-2</v>
      </c>
      <c r="U1223">
        <v>-1.4650879999999999</v>
      </c>
      <c r="V1223">
        <v>0.1033785</v>
      </c>
      <c r="W1223">
        <v>4.8398959999999998E-2</v>
      </c>
      <c r="X1223">
        <v>0.99346389999999996</v>
      </c>
      <c r="Y1223">
        <v>0.28944049999999999</v>
      </c>
      <c r="Z1223">
        <v>1.5033379999999999E-3</v>
      </c>
      <c r="AA1223">
        <v>0.95719480000000001</v>
      </c>
      <c r="AB1223">
        <v>43</v>
      </c>
      <c r="AC1223">
        <v>34.927500000000002</v>
      </c>
      <c r="AD1223">
        <v>-1.0228708399999999</v>
      </c>
      <c r="AE1223">
        <v>-19.1069999999999</v>
      </c>
      <c r="AF1223">
        <v>11.585509911612499</v>
      </c>
      <c r="AG1223">
        <v>-1.0228708399999999</v>
      </c>
      <c r="AH1223">
        <v>38.061702614644297</v>
      </c>
      <c r="AI1223">
        <v>91.472714852600504</v>
      </c>
      <c r="AJ1223">
        <v>73.070401823570904</v>
      </c>
      <c r="AK1223">
        <v>39.799039066201303</v>
      </c>
      <c r="AL1223">
        <v>87.225860218596495</v>
      </c>
      <c r="AM1223">
        <v>84.059260179625099</v>
      </c>
      <c r="AN1223">
        <v>1.0000000470972601</v>
      </c>
    </row>
    <row r="1224" spans="1:40" x14ac:dyDescent="0.25">
      <c r="A1224" t="str">
        <f>"20190312160321324"</f>
        <v>20190312160321324</v>
      </c>
      <c r="B1224" t="str">
        <f>"1552377801316012"</f>
        <v>1552377801316012</v>
      </c>
      <c r="C1224" t="s">
        <v>40</v>
      </c>
      <c r="D1224">
        <v>5.8548010000000001</v>
      </c>
      <c r="E1224">
        <v>0.57460429999999996</v>
      </c>
      <c r="F1224" t="s">
        <v>41</v>
      </c>
      <c r="G1224">
        <v>-177.1191</v>
      </c>
      <c r="H1224">
        <v>7.9986160000000001E-2</v>
      </c>
      <c r="I1224">
        <v>346.93630000000002</v>
      </c>
      <c r="J1224">
        <v>-211.47800000000001</v>
      </c>
      <c r="K1224">
        <v>1.102805</v>
      </c>
      <c r="L1224">
        <v>365.94349999999997</v>
      </c>
      <c r="M1224">
        <v>0.97822520000000002</v>
      </c>
      <c r="N1224">
        <v>0</v>
      </c>
      <c r="O1224">
        <v>-0.20702100000000001</v>
      </c>
      <c r="P1224">
        <v>0.95098680000000002</v>
      </c>
      <c r="Q1224">
        <v>3.5821789999999999E-2</v>
      </c>
      <c r="R1224">
        <v>-0.30714940000000002</v>
      </c>
      <c r="S1224">
        <v>2.6829529999999999</v>
      </c>
      <c r="T1224">
        <v>-7.933867E-2</v>
      </c>
      <c r="U1224">
        <v>-1.4781799999999901</v>
      </c>
      <c r="V1224">
        <v>0.104452</v>
      </c>
      <c r="W1224">
        <v>4.8697110000000002E-2</v>
      </c>
      <c r="X1224">
        <v>0.99333700000000003</v>
      </c>
      <c r="Y1224">
        <v>0.29073310000000002</v>
      </c>
      <c r="Z1224">
        <v>1.597467E-3</v>
      </c>
      <c r="AA1224">
        <v>0.95680290000000001</v>
      </c>
      <c r="AB1224">
        <v>43</v>
      </c>
      <c r="AC1224">
        <v>34.358899999999899</v>
      </c>
      <c r="AD1224">
        <v>-1.02281884</v>
      </c>
      <c r="AE1224">
        <v>-19.007199999999902</v>
      </c>
      <c r="AF1224">
        <v>11.4737731188689</v>
      </c>
      <c r="AG1224">
        <v>-1.02281884</v>
      </c>
      <c r="AH1224">
        <v>37.524258851088099</v>
      </c>
      <c r="AI1224">
        <v>91.493146776999296</v>
      </c>
      <c r="AJ1224">
        <v>72.997967049884195</v>
      </c>
      <c r="AK1224">
        <v>39.252562085629499</v>
      </c>
      <c r="AL1224">
        <v>87.208757218281093</v>
      </c>
      <c r="AM1224">
        <v>83.997257383493903</v>
      </c>
      <c r="AN1224">
        <v>1.00000001219767</v>
      </c>
    </row>
    <row r="1225" spans="1:40" x14ac:dyDescent="0.25">
      <c r="A1225" t="str">
        <f>"20190312160321338"</f>
        <v>20190312160321338</v>
      </c>
      <c r="B1225" t="str">
        <f>"1552377801325772"</f>
        <v>1552377801325772</v>
      </c>
      <c r="C1225" t="s">
        <v>40</v>
      </c>
      <c r="D1225">
        <v>6.0624589999999996</v>
      </c>
      <c r="E1225">
        <v>0.57478980000000002</v>
      </c>
      <c r="F1225" t="s">
        <v>41</v>
      </c>
      <c r="G1225">
        <v>-176.9573</v>
      </c>
      <c r="H1225">
        <v>7.9986100000000004E-2</v>
      </c>
      <c r="I1225">
        <v>346.6986</v>
      </c>
      <c r="J1225">
        <v>-211.2312</v>
      </c>
      <c r="K1225">
        <v>1.102749</v>
      </c>
      <c r="L1225">
        <v>365.88869999999997</v>
      </c>
      <c r="M1225">
        <v>0.97744430000000004</v>
      </c>
      <c r="N1225">
        <v>0</v>
      </c>
      <c r="O1225">
        <v>-0.21067739999999999</v>
      </c>
      <c r="P1225">
        <v>0.9495093</v>
      </c>
      <c r="Q1225">
        <v>3.6161550000000001E-2</v>
      </c>
      <c r="R1225">
        <v>-0.31164849999999999</v>
      </c>
      <c r="S1225">
        <v>2.6758120000000001</v>
      </c>
      <c r="T1225">
        <v>-7.9282050000000007E-2</v>
      </c>
      <c r="U1225">
        <v>-1.49173</v>
      </c>
      <c r="V1225">
        <v>0.1054563</v>
      </c>
      <c r="W1225">
        <v>4.9007160000000001E-2</v>
      </c>
      <c r="X1225">
        <v>0.99321559999999998</v>
      </c>
      <c r="Y1225">
        <v>0.2919388</v>
      </c>
      <c r="Z1225">
        <v>1.6774870000000001E-3</v>
      </c>
      <c r="AA1225">
        <v>0.95643560000000005</v>
      </c>
      <c r="AB1225">
        <v>43</v>
      </c>
      <c r="AC1225">
        <v>34.273899999999998</v>
      </c>
      <c r="AD1225">
        <v>-1.0227629</v>
      </c>
      <c r="AE1225">
        <v>-19.190099999999902</v>
      </c>
      <c r="AF1225">
        <v>11.529956833620099</v>
      </c>
      <c r="AG1225">
        <v>-1.0227629</v>
      </c>
      <c r="AH1225">
        <v>37.522397208849299</v>
      </c>
      <c r="AI1225">
        <v>91.492506817994595</v>
      </c>
      <c r="AJ1225">
        <v>72.918749797688207</v>
      </c>
      <c r="AK1225">
        <v>39.267241319367201</v>
      </c>
      <c r="AL1225">
        <v>87.190971337060901</v>
      </c>
      <c r="AM1225">
        <v>83.939233610653304</v>
      </c>
      <c r="AN1225">
        <v>0.99999998051215699</v>
      </c>
    </row>
    <row r="1226" spans="1:40" x14ac:dyDescent="0.25">
      <c r="A1226" t="str">
        <f>"20190312160321359"</f>
        <v>20190312160321359</v>
      </c>
      <c r="B1226" t="str">
        <f>"1552377801346268"</f>
        <v>1552377801346268</v>
      </c>
      <c r="C1226" t="s">
        <v>40</v>
      </c>
      <c r="D1226">
        <v>6.0306839999999999</v>
      </c>
      <c r="E1226">
        <v>0.57515799999999995</v>
      </c>
      <c r="F1226" t="s">
        <v>41</v>
      </c>
      <c r="G1226">
        <v>-176.3312</v>
      </c>
      <c r="H1226">
        <v>7.9985979999999998E-2</v>
      </c>
      <c r="I1226">
        <v>346.19099999999997</v>
      </c>
      <c r="J1226">
        <v>-210.88059999999999</v>
      </c>
      <c r="K1226">
        <v>1.1026640000000001</v>
      </c>
      <c r="L1226">
        <v>365.80930000000001</v>
      </c>
      <c r="M1226">
        <v>0.97629699999999997</v>
      </c>
      <c r="N1226">
        <v>0</v>
      </c>
      <c r="O1226">
        <v>-0.21593090000000001</v>
      </c>
      <c r="P1226">
        <v>0.94717929999999995</v>
      </c>
      <c r="Q1226">
        <v>3.7093630000000002E-2</v>
      </c>
      <c r="R1226">
        <v>-0.31855240000000001</v>
      </c>
      <c r="S1226">
        <v>2.668228</v>
      </c>
      <c r="T1226">
        <v>-7.8193659999999998E-2</v>
      </c>
      <c r="U1226">
        <v>-1.505951</v>
      </c>
      <c r="V1226">
        <v>0.1073805</v>
      </c>
      <c r="W1226">
        <v>4.9885840000000001E-2</v>
      </c>
      <c r="X1226">
        <v>0.99296569999999995</v>
      </c>
      <c r="Y1226">
        <v>0.29182780000000003</v>
      </c>
      <c r="Z1226">
        <v>1.7941929999999999E-3</v>
      </c>
      <c r="AA1226">
        <v>0.95646920000000002</v>
      </c>
      <c r="AB1226">
        <v>43</v>
      </c>
      <c r="AC1226">
        <v>34.549399999999899</v>
      </c>
      <c r="AD1226">
        <v>-1.0226780200000001</v>
      </c>
      <c r="AE1226">
        <v>-19.618300000000001</v>
      </c>
      <c r="AF1226">
        <v>11.686536242814199</v>
      </c>
      <c r="AG1226">
        <v>-1.0226780200000001</v>
      </c>
      <c r="AH1226">
        <v>37.94567092882</v>
      </c>
      <c r="AI1226">
        <v>91.475453637624796</v>
      </c>
      <c r="AJ1226">
        <v>72.882174979390399</v>
      </c>
      <c r="AK1226">
        <v>39.717690541186997</v>
      </c>
      <c r="AL1226">
        <v>87.140565148152803</v>
      </c>
      <c r="AM1226">
        <v>83.827950923824801</v>
      </c>
      <c r="AN1226">
        <v>1.0000000250946199</v>
      </c>
    </row>
    <row r="1227" spans="1:40" x14ac:dyDescent="0.25">
      <c r="A1227" t="str">
        <f>"20190312160321378"</f>
        <v>20190312160321378</v>
      </c>
      <c r="B1227" t="str">
        <f>"1552377801365789"</f>
        <v>1552377801365789</v>
      </c>
      <c r="C1227" t="s">
        <v>40</v>
      </c>
      <c r="D1227">
        <v>5.832954</v>
      </c>
      <c r="E1227">
        <v>0.57553849999999995</v>
      </c>
      <c r="F1227" t="s">
        <v>43</v>
      </c>
      <c r="G1227">
        <v>-169.93440000000001</v>
      </c>
      <c r="H1227">
        <v>-0.05</v>
      </c>
      <c r="I1227">
        <v>342.24979999999999</v>
      </c>
      <c r="J1227">
        <v>-210.4605</v>
      </c>
      <c r="K1227">
        <v>1.1025419999999999</v>
      </c>
      <c r="L1227">
        <v>365.7115</v>
      </c>
      <c r="M1227">
        <v>0.97485759999999999</v>
      </c>
      <c r="N1227">
        <v>0</v>
      </c>
      <c r="O1227">
        <v>-0.22233849999999999</v>
      </c>
      <c r="P1227">
        <v>0.9445211</v>
      </c>
      <c r="Q1227">
        <v>3.6975920000000002E-2</v>
      </c>
      <c r="R1227">
        <v>-0.32636330000000002</v>
      </c>
      <c r="S1227">
        <v>2.6562039999999998</v>
      </c>
      <c r="T1227">
        <v>-7.4774030000000005E-2</v>
      </c>
      <c r="U1227">
        <v>-1.5283199999999999</v>
      </c>
      <c r="V1227">
        <v>0.10906979999999999</v>
      </c>
      <c r="W1227">
        <v>4.9713920000000002E-2</v>
      </c>
      <c r="X1227">
        <v>0.99279019999999996</v>
      </c>
      <c r="Y1227">
        <v>0.2934736</v>
      </c>
      <c r="Z1227">
        <v>1.8560499999999999E-3</v>
      </c>
      <c r="AA1227">
        <v>0.95596539999999997</v>
      </c>
      <c r="AB1227">
        <v>43</v>
      </c>
      <c r="AC1227">
        <v>40.5260999999999</v>
      </c>
      <c r="AD1227">
        <v>-1.152542</v>
      </c>
      <c r="AE1227">
        <v>-23.4617</v>
      </c>
      <c r="AF1227">
        <v>13.854424476342601</v>
      </c>
      <c r="AG1227">
        <v>-1.152542</v>
      </c>
      <c r="AH1227">
        <v>44.701418059234001</v>
      </c>
      <c r="AI1227">
        <v>91.4107612088889</v>
      </c>
      <c r="AJ1227">
        <v>72.780089662917504</v>
      </c>
      <c r="AK1227">
        <v>46.813355008361199</v>
      </c>
      <c r="AL1227">
        <v>87.150427712870894</v>
      </c>
      <c r="AM1227">
        <v>83.730520585454599</v>
      </c>
      <c r="AN1227">
        <v>1.0000000381649199</v>
      </c>
    </row>
    <row r="1228" spans="1:40" x14ac:dyDescent="0.25">
      <c r="A1228" t="str">
        <f>"20190312160321392"</f>
        <v>20190312160321392</v>
      </c>
      <c r="B1228" t="str">
        <f>"1552377801386284"</f>
        <v>1552377801386284</v>
      </c>
      <c r="C1228" t="s">
        <v>40</v>
      </c>
      <c r="D1228">
        <v>5.6160569999999996</v>
      </c>
      <c r="E1228">
        <v>0.57596139999999996</v>
      </c>
      <c r="F1228" t="s">
        <v>41</v>
      </c>
      <c r="G1228">
        <v>-175.58539999999999</v>
      </c>
      <c r="H1228">
        <v>7.9985730000000005E-2</v>
      </c>
      <c r="I1228">
        <v>345.21749999999997</v>
      </c>
      <c r="J1228">
        <v>-210.21520000000001</v>
      </c>
      <c r="K1228">
        <v>1.1024689999999999</v>
      </c>
      <c r="L1228">
        <v>365.65300000000002</v>
      </c>
      <c r="M1228">
        <v>0.97398359999999995</v>
      </c>
      <c r="N1228">
        <v>0</v>
      </c>
      <c r="O1228">
        <v>-0.22613530000000001</v>
      </c>
      <c r="P1228">
        <v>0.94281360000000003</v>
      </c>
      <c r="Q1228">
        <v>3.6883939999999997E-2</v>
      </c>
      <c r="R1228">
        <v>-0.33127299999999998</v>
      </c>
      <c r="S1228">
        <v>2.642639</v>
      </c>
      <c r="T1228">
        <v>-7.7483419999999997E-2</v>
      </c>
      <c r="U1228">
        <v>-1.5529170000000001</v>
      </c>
      <c r="V1228">
        <v>0.1103734</v>
      </c>
      <c r="W1228">
        <v>4.9583429999999998E-2</v>
      </c>
      <c r="X1228">
        <v>0.9926526</v>
      </c>
      <c r="Y1228">
        <v>0.29850189999999999</v>
      </c>
      <c r="Z1228">
        <v>1.9558819999999999E-3</v>
      </c>
      <c r="AA1228">
        <v>0.95440700000000001</v>
      </c>
      <c r="AB1228">
        <v>43</v>
      </c>
      <c r="AC1228">
        <v>34.629800000000003</v>
      </c>
      <c r="AD1228">
        <v>-1.0224832699999999</v>
      </c>
      <c r="AE1228">
        <v>-20.435500000000001</v>
      </c>
      <c r="AF1228">
        <v>12.0663401618667</v>
      </c>
      <c r="AG1228">
        <v>-1.0224832699999999</v>
      </c>
      <c r="AH1228">
        <v>38.329456370096899</v>
      </c>
      <c r="AI1228">
        <v>91.457583117195099</v>
      </c>
      <c r="AJ1228">
        <v>72.525688900417606</v>
      </c>
      <c r="AK1228">
        <v>40.196881254227499</v>
      </c>
      <c r="AL1228">
        <v>87.157913345438701</v>
      </c>
      <c r="AM1228">
        <v>83.655323036834304</v>
      </c>
      <c r="AN1228">
        <v>0.999999994122442</v>
      </c>
    </row>
    <row r="1229" spans="1:40" x14ac:dyDescent="0.25">
      <c r="A1229" t="str">
        <f>"20190312160321411"</f>
        <v>20190312160321411</v>
      </c>
      <c r="B1229" t="str">
        <f>"1552377801405803"</f>
        <v>1552377801405803</v>
      </c>
      <c r="C1229" t="s">
        <v>40</v>
      </c>
      <c r="D1229">
        <v>5.6209759999999998</v>
      </c>
      <c r="E1229">
        <v>0.57634890000000005</v>
      </c>
      <c r="F1229" t="s">
        <v>43</v>
      </c>
      <c r="G1229">
        <v>-170.15700000000001</v>
      </c>
      <c r="H1229">
        <v>-0.05</v>
      </c>
      <c r="I1229">
        <v>341.77300000000002</v>
      </c>
      <c r="J1229">
        <v>-209.84020000000001</v>
      </c>
      <c r="K1229">
        <v>1.1023529999999999</v>
      </c>
      <c r="L1229">
        <v>365.5616</v>
      </c>
      <c r="M1229">
        <v>0.97259439999999997</v>
      </c>
      <c r="N1229">
        <v>0</v>
      </c>
      <c r="O1229">
        <v>-0.23203770000000001</v>
      </c>
      <c r="P1229">
        <v>0.94013480000000005</v>
      </c>
      <c r="Q1229">
        <v>3.592484E-2</v>
      </c>
      <c r="R1229">
        <v>-0.3389046</v>
      </c>
      <c r="S1229">
        <v>2.6333470000000001</v>
      </c>
      <c r="T1229">
        <v>-7.5760960000000002E-2</v>
      </c>
      <c r="U1229">
        <v>-1.5698240000000001</v>
      </c>
      <c r="V1229">
        <v>0.112388</v>
      </c>
      <c r="W1229">
        <v>4.8562790000000002E-2</v>
      </c>
      <c r="X1229">
        <v>0.99247700000000005</v>
      </c>
      <c r="Y1229">
        <v>0.29872029999999999</v>
      </c>
      <c r="Z1229">
        <v>2.060316E-3</v>
      </c>
      <c r="AA1229">
        <v>0.95433849999999998</v>
      </c>
      <c r="AB1229">
        <v>43</v>
      </c>
      <c r="AC1229">
        <v>39.683199999999999</v>
      </c>
      <c r="AD1229">
        <v>-1.152353</v>
      </c>
      <c r="AE1229">
        <v>-23.788599999999899</v>
      </c>
      <c r="AF1229">
        <v>13.921547619964899</v>
      </c>
      <c r="AG1229">
        <v>-1.152353</v>
      </c>
      <c r="AH1229">
        <v>44.092981282750202</v>
      </c>
      <c r="AI1229">
        <v>91.427625773143703</v>
      </c>
      <c r="AJ1229">
        <v>72.477446799186197</v>
      </c>
      <c r="AK1229">
        <v>46.252874548210798</v>
      </c>
      <c r="AL1229">
        <v>87.216462273165604</v>
      </c>
      <c r="AM1229">
        <v>83.539353188583704</v>
      </c>
      <c r="AN1229">
        <v>1.0000000013227901</v>
      </c>
    </row>
    <row r="1230" spans="1:40" x14ac:dyDescent="0.25">
      <c r="A1230" t="str">
        <f>"20190312160321422"</f>
        <v>20190312160321422</v>
      </c>
      <c r="B1230" t="str">
        <f>"1552377801415563"</f>
        <v>1552377801415563</v>
      </c>
      <c r="C1230" t="s">
        <v>40</v>
      </c>
      <c r="D1230">
        <v>5.8810669999999998</v>
      </c>
      <c r="E1230">
        <v>0.57652179999999997</v>
      </c>
      <c r="F1230" t="s">
        <v>43</v>
      </c>
      <c r="G1230">
        <v>-170.37989999999999</v>
      </c>
      <c r="H1230">
        <v>-0.05</v>
      </c>
      <c r="I1230">
        <v>341.54660000000001</v>
      </c>
      <c r="J1230">
        <v>-209.63759999999999</v>
      </c>
      <c r="K1230">
        <v>1.1022879999999999</v>
      </c>
      <c r="L1230">
        <v>365.5111</v>
      </c>
      <c r="M1230">
        <v>0.97181580000000001</v>
      </c>
      <c r="N1230">
        <v>0</v>
      </c>
      <c r="O1230">
        <v>-0.23527670000000001</v>
      </c>
      <c r="P1230">
        <v>0.93866179999999999</v>
      </c>
      <c r="Q1230">
        <v>3.5791049999999998E-2</v>
      </c>
      <c r="R1230">
        <v>-0.34297689999999997</v>
      </c>
      <c r="S1230">
        <v>2.6193240000000002</v>
      </c>
      <c r="T1230">
        <v>-7.6491710000000004E-2</v>
      </c>
      <c r="U1230">
        <v>-1.5940859999999999</v>
      </c>
      <c r="V1230">
        <v>0.1133885</v>
      </c>
      <c r="W1230">
        <v>4.8397059999999999E-2</v>
      </c>
      <c r="X1230">
        <v>0.99237129999999996</v>
      </c>
      <c r="Y1230">
        <v>0.30425550000000001</v>
      </c>
      <c r="Z1230">
        <v>2.091561E-3</v>
      </c>
      <c r="AA1230">
        <v>0.95258810000000005</v>
      </c>
      <c r="AB1230">
        <v>43</v>
      </c>
      <c r="AC1230">
        <v>39.2577</v>
      </c>
      <c r="AD1230">
        <v>-1.152288</v>
      </c>
      <c r="AE1230">
        <v>-23.964499999999902</v>
      </c>
      <c r="AF1230">
        <v>14.045380567539</v>
      </c>
      <c r="AG1230">
        <v>-1.152288</v>
      </c>
      <c r="AH1230">
        <v>43.7668655149754</v>
      </c>
      <c r="AI1230">
        <v>91.436026228788094</v>
      </c>
      <c r="AJ1230">
        <v>72.2078599681832</v>
      </c>
      <c r="AK1230">
        <v>45.979767288753102</v>
      </c>
      <c r="AL1230">
        <v>87.225969111429905</v>
      </c>
      <c r="AM1230">
        <v>83.481643728624107</v>
      </c>
      <c r="AN1230">
        <v>1.00000001220629</v>
      </c>
    </row>
    <row r="1231" spans="1:40" x14ac:dyDescent="0.25">
      <c r="A1231" t="str">
        <f>"20190312160321434"</f>
        <v>20190312160321434</v>
      </c>
      <c r="B1231" t="str">
        <f>"1552377801425324"</f>
        <v>1552377801425324</v>
      </c>
      <c r="C1231" t="s">
        <v>40</v>
      </c>
      <c r="D1231">
        <v>5.6427019999999999</v>
      </c>
      <c r="E1231">
        <v>0.57672449999999997</v>
      </c>
      <c r="F1231" t="s">
        <v>43</v>
      </c>
      <c r="G1231">
        <v>-169.88069999999999</v>
      </c>
      <c r="H1231">
        <v>-0.05</v>
      </c>
      <c r="I1231">
        <v>341.05739999999997</v>
      </c>
      <c r="J1231">
        <v>-209.42420000000001</v>
      </c>
      <c r="K1231">
        <v>1.102217</v>
      </c>
      <c r="L1231">
        <v>365.4572</v>
      </c>
      <c r="M1231">
        <v>0.970974</v>
      </c>
      <c r="N1231">
        <v>0</v>
      </c>
      <c r="O1231">
        <v>-0.2387273</v>
      </c>
      <c r="P1231">
        <v>0.93701140000000005</v>
      </c>
      <c r="Q1231">
        <v>3.5934929999999997E-2</v>
      </c>
      <c r="R1231">
        <v>-0.34744560000000002</v>
      </c>
      <c r="S1231">
        <v>2.6119080000000001</v>
      </c>
      <c r="T1231">
        <v>-7.5701829999999998E-2</v>
      </c>
      <c r="U1231">
        <v>-1.6065370000000001</v>
      </c>
      <c r="V1231">
        <v>0.1146046</v>
      </c>
      <c r="W1231">
        <v>4.8502780000000002E-2</v>
      </c>
      <c r="X1231">
        <v>0.99222639999999995</v>
      </c>
      <c r="Y1231">
        <v>0.30537449999999999</v>
      </c>
      <c r="Z1231">
        <v>2.1438500000000001E-3</v>
      </c>
      <c r="AA1231">
        <v>0.95222989999999996</v>
      </c>
      <c r="AB1231">
        <v>43</v>
      </c>
      <c r="AC1231">
        <v>39.543500000000002</v>
      </c>
      <c r="AD1231">
        <v>-1.152217</v>
      </c>
      <c r="AE1231">
        <v>-24.399799999999999</v>
      </c>
      <c r="AF1231">
        <v>14.2442586835604</v>
      </c>
      <c r="AG1231">
        <v>-1.152217</v>
      </c>
      <c r="AH1231">
        <v>44.1982688106783</v>
      </c>
      <c r="AI1231">
        <v>91.421361572435401</v>
      </c>
      <c r="AJ1231">
        <v>72.1368592467268</v>
      </c>
      <c r="AK1231">
        <v>46.451194552134503</v>
      </c>
      <c r="AL1231">
        <v>87.219904594081299</v>
      </c>
      <c r="AM1231">
        <v>83.411391582101302</v>
      </c>
      <c r="AN1231">
        <v>0.99999998143292301</v>
      </c>
    </row>
    <row r="1232" spans="1:40" x14ac:dyDescent="0.25">
      <c r="A1232" t="str">
        <f>"20190312160321443"</f>
        <v>20190312160321443</v>
      </c>
      <c r="B1232" t="str">
        <f>"1552377801436060"</f>
        <v>1552377801436060</v>
      </c>
      <c r="C1232" t="s">
        <v>40</v>
      </c>
      <c r="D1232">
        <v>5.8012379999999997</v>
      </c>
      <c r="E1232">
        <v>0.57689299999999999</v>
      </c>
      <c r="F1232" t="s">
        <v>43</v>
      </c>
      <c r="G1232">
        <v>-169.4323</v>
      </c>
      <c r="H1232">
        <v>-0.05</v>
      </c>
      <c r="I1232">
        <v>340.56319999999999</v>
      </c>
      <c r="J1232">
        <v>-209.22649999999999</v>
      </c>
      <c r="K1232">
        <v>1.1021529999999999</v>
      </c>
      <c r="L1232">
        <v>365.40660000000003</v>
      </c>
      <c r="M1232">
        <v>0.97017589999999998</v>
      </c>
      <c r="N1232">
        <v>0</v>
      </c>
      <c r="O1232">
        <v>-0.2419502</v>
      </c>
      <c r="P1232">
        <v>0.93558249999999998</v>
      </c>
      <c r="Q1232">
        <v>3.5767479999999997E-2</v>
      </c>
      <c r="R1232">
        <v>-0.3512924</v>
      </c>
      <c r="S1232">
        <v>2.6035919999999999</v>
      </c>
      <c r="T1232">
        <v>-7.5012679999999998E-2</v>
      </c>
      <c r="U1232">
        <v>-1.6206670000000001</v>
      </c>
      <c r="V1232">
        <v>0.1153897</v>
      </c>
      <c r="W1232">
        <v>4.8306559999999998E-2</v>
      </c>
      <c r="X1232">
        <v>0.99214500000000005</v>
      </c>
      <c r="Y1232">
        <v>0.30730220000000003</v>
      </c>
      <c r="Z1232">
        <v>2.181349E-3</v>
      </c>
      <c r="AA1232">
        <v>0.9516095</v>
      </c>
      <c r="AB1232">
        <v>43</v>
      </c>
      <c r="AC1232">
        <v>39.794199999999897</v>
      </c>
      <c r="AD1232">
        <v>-1.152153</v>
      </c>
      <c r="AE1232">
        <v>-24.843399999999999</v>
      </c>
      <c r="AF1232">
        <v>14.4671109857058</v>
      </c>
      <c r="AG1232">
        <v>-1.152153</v>
      </c>
      <c r="AH1232">
        <v>44.596222530630797</v>
      </c>
      <c r="AI1232">
        <v>91.407730924548204</v>
      </c>
      <c r="AJ1232">
        <v>72.026825064576101</v>
      </c>
      <c r="AK1232">
        <v>46.898270978893102</v>
      </c>
      <c r="AL1232">
        <v>87.231160428123502</v>
      </c>
      <c r="AM1232">
        <v>83.366117760192395</v>
      </c>
      <c r="AN1232">
        <v>1.00000000381506</v>
      </c>
    </row>
    <row r="1233" spans="1:40" x14ac:dyDescent="0.25">
      <c r="A1233" t="str">
        <f>"20190312160321455"</f>
        <v>20190312160321455</v>
      </c>
      <c r="B1233" t="str">
        <f>"1552377801445820"</f>
        <v>1552377801445820</v>
      </c>
      <c r="C1233" t="s">
        <v>40</v>
      </c>
      <c r="D1233">
        <v>5.8117089999999996</v>
      </c>
      <c r="E1233">
        <v>0.57704609999999901</v>
      </c>
      <c r="F1233" t="s">
        <v>46</v>
      </c>
      <c r="G1233">
        <v>-168.982</v>
      </c>
      <c r="H1233">
        <v>-4.811576E-2</v>
      </c>
      <c r="I1233">
        <v>340.1026</v>
      </c>
      <c r="J1233">
        <v>-209.02189999999999</v>
      </c>
      <c r="K1233">
        <v>1.1020840000000001</v>
      </c>
      <c r="L1233">
        <v>365.35309999999998</v>
      </c>
      <c r="M1233">
        <v>0.9693235</v>
      </c>
      <c r="N1233">
        <v>0</v>
      </c>
      <c r="O1233">
        <v>-0.24534159999999999</v>
      </c>
      <c r="P1233">
        <v>0.93388170000000004</v>
      </c>
      <c r="Q1233">
        <v>3.5599279999999997E-2</v>
      </c>
      <c r="R1233">
        <v>-0.3558055</v>
      </c>
      <c r="S1233">
        <v>2.5964200000000002</v>
      </c>
      <c r="T1233">
        <v>-7.4210410000000004E-2</v>
      </c>
      <c r="U1233">
        <v>-1.6325069999999999</v>
      </c>
      <c r="V1233">
        <v>0.1167145</v>
      </c>
      <c r="W1233">
        <v>4.8097000000000001E-2</v>
      </c>
      <c r="X1233">
        <v>0.9920002</v>
      </c>
      <c r="Y1233">
        <v>0.30827019999999999</v>
      </c>
      <c r="Z1233">
        <v>2.2309629999999999E-3</v>
      </c>
      <c r="AA1233">
        <v>0.95129620000000004</v>
      </c>
      <c r="AB1233">
        <v>43</v>
      </c>
      <c r="AC1233">
        <v>40.039899999999903</v>
      </c>
      <c r="AD1233">
        <v>-1.15019976</v>
      </c>
      <c r="AE1233">
        <v>-25.250499999999899</v>
      </c>
      <c r="AF1233">
        <v>14.645411258705501</v>
      </c>
      <c r="AG1233">
        <v>-1.15019976</v>
      </c>
      <c r="AH1233">
        <v>44.984994095076303</v>
      </c>
      <c r="AI1233">
        <v>91.392730059336998</v>
      </c>
      <c r="AJ1233">
        <v>71.966711588648494</v>
      </c>
      <c r="AK1233">
        <v>47.3229407809634</v>
      </c>
      <c r="AL1233">
        <v>87.243181283927996</v>
      </c>
      <c r="AM1233">
        <v>83.289673591629906</v>
      </c>
      <c r="AN1233">
        <v>0.99999999635964498</v>
      </c>
    </row>
    <row r="1234" spans="1:40" x14ac:dyDescent="0.25">
      <c r="A1234" t="str">
        <f>"20190312160321466"</f>
        <v>20190312160321466</v>
      </c>
      <c r="B1234" t="str">
        <f>"1552377801455580"</f>
        <v>1552377801455580</v>
      </c>
      <c r="C1234" t="s">
        <v>40</v>
      </c>
      <c r="D1234">
        <v>5.832992</v>
      </c>
      <c r="E1234">
        <v>0.57717689999999999</v>
      </c>
      <c r="F1234" t="s">
        <v>43</v>
      </c>
      <c r="G1234">
        <v>-168.50239999999999</v>
      </c>
      <c r="H1234">
        <v>-0.05</v>
      </c>
      <c r="I1234">
        <v>339.58539999999999</v>
      </c>
      <c r="J1234">
        <v>-208.8107</v>
      </c>
      <c r="K1234">
        <v>1.1020099999999999</v>
      </c>
      <c r="L1234">
        <v>365.29770000000002</v>
      </c>
      <c r="M1234">
        <v>0.96842629999999996</v>
      </c>
      <c r="N1234">
        <v>0</v>
      </c>
      <c r="O1234">
        <v>-0.2488591</v>
      </c>
      <c r="P1234">
        <v>0.93218579999999995</v>
      </c>
      <c r="Q1234">
        <v>3.5401509999999997E-2</v>
      </c>
      <c r="R1234">
        <v>-0.36024430000000002</v>
      </c>
      <c r="S1234">
        <v>2.58812</v>
      </c>
      <c r="T1234">
        <v>-7.3587540000000007E-2</v>
      </c>
      <c r="U1234">
        <v>-1.6458740000000001</v>
      </c>
      <c r="V1234">
        <v>0.11783589999999999</v>
      </c>
      <c r="W1234">
        <v>4.7860750000000001E-2</v>
      </c>
      <c r="X1234">
        <v>0.99187899999999996</v>
      </c>
      <c r="Y1234">
        <v>0.309697</v>
      </c>
      <c r="Z1234">
        <v>2.282077E-3</v>
      </c>
      <c r="AA1234">
        <v>0.95083249999999997</v>
      </c>
      <c r="AB1234">
        <v>43</v>
      </c>
      <c r="AC1234">
        <v>40.308300000000003</v>
      </c>
      <c r="AD1234">
        <v>-1.15201</v>
      </c>
      <c r="AE1234">
        <v>-25.712299999999999</v>
      </c>
      <c r="AF1234">
        <v>14.8623848519362</v>
      </c>
      <c r="AG1234">
        <v>-1.15201</v>
      </c>
      <c r="AH1234">
        <v>45.412982640623198</v>
      </c>
      <c r="AI1234">
        <v>91.381083627536697</v>
      </c>
      <c r="AJ1234">
        <v>71.878191980542198</v>
      </c>
      <c r="AK1234">
        <v>47.797035502682697</v>
      </c>
      <c r="AL1234">
        <v>87.256732893359299</v>
      </c>
      <c r="AM1234">
        <v>83.224976660438898</v>
      </c>
      <c r="AN1234">
        <v>0.99999995068018499</v>
      </c>
    </row>
    <row r="1235" spans="1:40" x14ac:dyDescent="0.25">
      <c r="A1235" t="str">
        <f>"20190312160321478"</f>
        <v>20190312160321478</v>
      </c>
      <c r="B1235" t="str">
        <f>"1552377801465340"</f>
        <v>1552377801465340</v>
      </c>
      <c r="C1235" t="s">
        <v>40</v>
      </c>
      <c r="D1235">
        <v>5.8172629999999996</v>
      </c>
      <c r="E1235">
        <v>0.5773239</v>
      </c>
      <c r="F1235" t="s">
        <v>43</v>
      </c>
      <c r="G1235">
        <v>-168.43459999999999</v>
      </c>
      <c r="H1235">
        <v>-0.05</v>
      </c>
      <c r="I1235">
        <v>339.33359999999999</v>
      </c>
      <c r="J1235">
        <v>-208.60900000000001</v>
      </c>
      <c r="K1235">
        <v>1.101931</v>
      </c>
      <c r="L1235">
        <v>365.24329999999998</v>
      </c>
      <c r="M1235">
        <v>0.96753690000000003</v>
      </c>
      <c r="N1235">
        <v>0</v>
      </c>
      <c r="O1235">
        <v>-0.25229499999999999</v>
      </c>
      <c r="P1235">
        <v>0.93048790000000003</v>
      </c>
      <c r="Q1235">
        <v>3.5761899999999999E-2</v>
      </c>
      <c r="R1235">
        <v>-0.36457299999999998</v>
      </c>
      <c r="S1235">
        <v>2.5799099999999999</v>
      </c>
      <c r="T1235">
        <v>-7.3609949999999993E-2</v>
      </c>
      <c r="U1235">
        <v>-1.659027</v>
      </c>
      <c r="V1235">
        <v>0.11894489999999899</v>
      </c>
      <c r="W1235">
        <v>4.8182250000000003E-2</v>
      </c>
      <c r="X1235">
        <v>0.99173109999999998</v>
      </c>
      <c r="Y1235">
        <v>0.31112830000000002</v>
      </c>
      <c r="Z1235">
        <v>2.3505610000000001E-3</v>
      </c>
      <c r="AA1235">
        <v>0.95036500000000002</v>
      </c>
      <c r="AB1235">
        <v>43</v>
      </c>
      <c r="AC1235">
        <v>40.174399999999999</v>
      </c>
      <c r="AD1235">
        <v>-1.151931</v>
      </c>
      <c r="AE1235">
        <v>-25.909699999999901</v>
      </c>
      <c r="AF1235">
        <v>14.925763742260299</v>
      </c>
      <c r="AG1235">
        <v>-1.151931</v>
      </c>
      <c r="AH1235">
        <v>45.3857352674423</v>
      </c>
      <c r="AI1235">
        <v>91.381166165184695</v>
      </c>
      <c r="AJ1235">
        <v>71.795792519010902</v>
      </c>
      <c r="AK1235">
        <v>47.7909022104092</v>
      </c>
      <c r="AL1235">
        <v>87.238291149768699</v>
      </c>
      <c r="AM1235">
        <v>83.1608051085949</v>
      </c>
      <c r="AN1235">
        <v>0.99999999657914096</v>
      </c>
    </row>
    <row r="1236" spans="1:40" x14ac:dyDescent="0.25">
      <c r="A1236" t="str">
        <f>"20190312160321488"</f>
        <v>20190312160321488</v>
      </c>
      <c r="B1236" t="str">
        <f>"1552377801476076"</f>
        <v>1552377801476076</v>
      </c>
      <c r="C1236" t="s">
        <v>40</v>
      </c>
      <c r="D1236">
        <v>5.8987980000000002</v>
      </c>
      <c r="E1236">
        <v>0.57747749999999998</v>
      </c>
      <c r="F1236" t="s">
        <v>46</v>
      </c>
      <c r="G1236">
        <v>-168.40010000000001</v>
      </c>
      <c r="H1236">
        <v>-6.466538E-3</v>
      </c>
      <c r="I1236">
        <v>339.10509999999999</v>
      </c>
      <c r="J1236">
        <v>-208.39830000000001</v>
      </c>
      <c r="K1236">
        <v>1.10185</v>
      </c>
      <c r="L1236">
        <v>365.18610000000001</v>
      </c>
      <c r="M1236">
        <v>0.96658999999999995</v>
      </c>
      <c r="N1236">
        <v>0</v>
      </c>
      <c r="O1236">
        <v>-0.25589849999999997</v>
      </c>
      <c r="P1236">
        <v>0.92866099999999996</v>
      </c>
      <c r="Q1236">
        <v>3.5696459999999999E-2</v>
      </c>
      <c r="R1236">
        <v>-0.36920770000000003</v>
      </c>
      <c r="S1236">
        <v>2.571793</v>
      </c>
      <c r="T1236">
        <v>-7.0893529999999996E-2</v>
      </c>
      <c r="U1236">
        <v>-1.6718139999999999</v>
      </c>
      <c r="V1236">
        <v>0.1202023</v>
      </c>
      <c r="W1236">
        <v>4.807413E-2</v>
      </c>
      <c r="X1236">
        <v>0.99158469999999999</v>
      </c>
      <c r="Y1236">
        <v>0.31228109999999998</v>
      </c>
      <c r="Z1236">
        <v>2.3366239999999998E-3</v>
      </c>
      <c r="AA1236">
        <v>0.94998689999999997</v>
      </c>
      <c r="AB1236">
        <v>43</v>
      </c>
      <c r="AC1236">
        <v>39.998199999999997</v>
      </c>
      <c r="AD1236">
        <v>-1.108316538</v>
      </c>
      <c r="AE1236">
        <v>-26.081</v>
      </c>
      <c r="AF1236">
        <v>14.967736104738901</v>
      </c>
      <c r="AG1236">
        <v>-1.108316538</v>
      </c>
      <c r="AH1236">
        <v>45.316516778355499</v>
      </c>
      <c r="AI1236">
        <v>91.330355695923203</v>
      </c>
      <c r="AJ1236">
        <v>71.721963430059304</v>
      </c>
      <c r="AK1236">
        <v>47.737282940826098</v>
      </c>
      <c r="AL1236">
        <v>87.244493072477496</v>
      </c>
      <c r="AM1236">
        <v>83.088191176111195</v>
      </c>
      <c r="AN1236">
        <v>0.999999966087317</v>
      </c>
    </row>
    <row r="1237" spans="1:40" x14ac:dyDescent="0.25">
      <c r="A1237" t="str">
        <f>"20190312160321500"</f>
        <v>20190312160321500</v>
      </c>
      <c r="B1237" t="str">
        <f>"1552377801495596"</f>
        <v>1552377801495596</v>
      </c>
      <c r="C1237" t="s">
        <v>40</v>
      </c>
      <c r="D1237">
        <v>5.671443</v>
      </c>
      <c r="E1237">
        <v>0.57773050000000004</v>
      </c>
      <c r="F1237" t="s">
        <v>46</v>
      </c>
      <c r="G1237">
        <v>-168.40010000000001</v>
      </c>
      <c r="H1237">
        <v>1.8475149999999999E-2</v>
      </c>
      <c r="I1237">
        <v>338.87270000000001</v>
      </c>
      <c r="J1237">
        <v>-208.185</v>
      </c>
      <c r="K1237">
        <v>1.1017600000000001</v>
      </c>
      <c r="L1237">
        <v>365.12700000000001</v>
      </c>
      <c r="M1237">
        <v>0.96559600000000001</v>
      </c>
      <c r="N1237">
        <v>0</v>
      </c>
      <c r="O1237">
        <v>-0.25962299999999999</v>
      </c>
      <c r="P1237">
        <v>0.92676519999999996</v>
      </c>
      <c r="Q1237">
        <v>3.5935309999999998E-2</v>
      </c>
      <c r="R1237">
        <v>-0.37391809999999998</v>
      </c>
      <c r="S1237">
        <v>2.562805</v>
      </c>
      <c r="T1237">
        <v>-6.9414619999999996E-2</v>
      </c>
      <c r="U1237">
        <v>-1.6859740000000001</v>
      </c>
      <c r="V1237">
        <v>0.1214319</v>
      </c>
      <c r="W1237">
        <v>4.8268459999999999E-2</v>
      </c>
      <c r="X1237">
        <v>0.99142549999999996</v>
      </c>
      <c r="Y1237">
        <v>0.31381290000000001</v>
      </c>
      <c r="Z1237">
        <v>2.3575279999999998E-3</v>
      </c>
      <c r="AA1237">
        <v>0.94948189999999999</v>
      </c>
      <c r="AB1237">
        <v>43</v>
      </c>
      <c r="AC1237">
        <v>39.784899999999901</v>
      </c>
      <c r="AD1237">
        <v>-1.0832848500000001</v>
      </c>
      <c r="AE1237">
        <v>-26.254299999999901</v>
      </c>
      <c r="AF1237">
        <v>15.015871248191299</v>
      </c>
      <c r="AG1237">
        <v>-1.0832848500000001</v>
      </c>
      <c r="AH1237">
        <v>45.213990667140898</v>
      </c>
      <c r="AI1237">
        <v>91.302562174995501</v>
      </c>
      <c r="AJ1237">
        <v>71.628324959515197</v>
      </c>
      <c r="AK1237">
        <v>47.654536483495498</v>
      </c>
      <c r="AL1237">
        <v>87.233346036740997</v>
      </c>
      <c r="AM1237">
        <v>83.017071677503793</v>
      </c>
      <c r="AN1237">
        <v>1.00000003630931</v>
      </c>
    </row>
    <row r="1238" spans="1:40" x14ac:dyDescent="0.25">
      <c r="A1238" t="str">
        <f>"20190312160321512"</f>
        <v>20190312160321512</v>
      </c>
      <c r="B1238" t="str">
        <f>"1552377801505356"</f>
        <v>1552377801505356</v>
      </c>
      <c r="C1238" t="s">
        <v>40</v>
      </c>
      <c r="D1238">
        <v>5.6892740000000002</v>
      </c>
      <c r="E1238">
        <v>0.57785379999999997</v>
      </c>
      <c r="F1238" t="s">
        <v>46</v>
      </c>
      <c r="G1238">
        <v>-168.40010000000001</v>
      </c>
      <c r="H1238">
        <v>5.5450770000000003E-2</v>
      </c>
      <c r="I1238">
        <v>338.62860000000001</v>
      </c>
      <c r="J1238">
        <v>-207.97470000000001</v>
      </c>
      <c r="K1238">
        <v>1.1016709999999901</v>
      </c>
      <c r="L1238">
        <v>365.06810000000002</v>
      </c>
      <c r="M1238">
        <v>0.96459240000000002</v>
      </c>
      <c r="N1238">
        <v>0</v>
      </c>
      <c r="O1238">
        <v>-0.26332749999999999</v>
      </c>
      <c r="P1238">
        <v>0.92494270000000001</v>
      </c>
      <c r="Q1238">
        <v>3.5690489999999998E-2</v>
      </c>
      <c r="R1238">
        <v>-0.37842769999999998</v>
      </c>
      <c r="S1238">
        <v>2.5534669999999999</v>
      </c>
      <c r="T1238">
        <v>-6.7153569999999996E-2</v>
      </c>
      <c r="U1238">
        <v>-1.7007139999999901</v>
      </c>
      <c r="V1238">
        <v>0.1224585</v>
      </c>
      <c r="W1238">
        <v>4.7984119999999998E-2</v>
      </c>
      <c r="X1238">
        <v>0.991313</v>
      </c>
      <c r="Y1238">
        <v>0.31556849999999997</v>
      </c>
      <c r="Z1238">
        <v>2.3450810000000002E-3</v>
      </c>
      <c r="AA1238">
        <v>0.94889990000000002</v>
      </c>
      <c r="AB1238">
        <v>43</v>
      </c>
      <c r="AC1238">
        <v>39.574599999999997</v>
      </c>
      <c r="AD1238">
        <v>-1.0462202300000001</v>
      </c>
      <c r="AE1238">
        <v>-26.439499999999999</v>
      </c>
      <c r="AF1238">
        <v>15.076635321925901</v>
      </c>
      <c r="AG1238">
        <v>-1.0462202300000001</v>
      </c>
      <c r="AH1238">
        <v>45.118772423087997</v>
      </c>
      <c r="AI1238">
        <v>91.259890038707994</v>
      </c>
      <c r="AJ1238">
        <v>71.522723471010906</v>
      </c>
      <c r="AK1238">
        <v>47.582592766330102</v>
      </c>
      <c r="AL1238">
        <v>87.249656350700505</v>
      </c>
      <c r="AM1238">
        <v>82.957836251910706</v>
      </c>
      <c r="AN1238">
        <v>1.0000000119817101</v>
      </c>
    </row>
    <row r="1239" spans="1:40" x14ac:dyDescent="0.25">
      <c r="A1239" t="str">
        <f>"20190312160321522"</f>
        <v>20190312160321522</v>
      </c>
      <c r="B1239" t="str">
        <f>"1552377801516092"</f>
        <v>1552377801516092</v>
      </c>
      <c r="C1239" t="s">
        <v>40</v>
      </c>
      <c r="D1239">
        <v>5.8708539999999996</v>
      </c>
      <c r="E1239">
        <v>0.57795560000000001</v>
      </c>
      <c r="F1239" t="s">
        <v>46</v>
      </c>
      <c r="G1239">
        <v>-168.40010000000001</v>
      </c>
      <c r="H1239">
        <v>5.4172129999999999E-2</v>
      </c>
      <c r="I1239">
        <v>338.40769999999998</v>
      </c>
      <c r="J1239">
        <v>-207.76660000000001</v>
      </c>
      <c r="K1239">
        <v>1.1015809999999999</v>
      </c>
      <c r="L1239">
        <v>365.00880000000001</v>
      </c>
      <c r="M1239">
        <v>0.96357029999999999</v>
      </c>
      <c r="N1239">
        <v>0</v>
      </c>
      <c r="O1239">
        <v>-0.26704280000000002</v>
      </c>
      <c r="P1239">
        <v>0.92304269999999999</v>
      </c>
      <c r="Q1239">
        <v>3.545562E-2</v>
      </c>
      <c r="R1239">
        <v>-0.38306089999999998</v>
      </c>
      <c r="S1239">
        <v>2.5446930000000001</v>
      </c>
      <c r="T1239">
        <v>-6.7354919999999999E-2</v>
      </c>
      <c r="U1239">
        <v>-1.71429399999999</v>
      </c>
      <c r="V1239">
        <v>0.1236125</v>
      </c>
      <c r="W1239">
        <v>4.7706440000000003E-2</v>
      </c>
      <c r="X1239">
        <v>0.99118320000000004</v>
      </c>
      <c r="Y1239">
        <v>0.31691160000000002</v>
      </c>
      <c r="Z1239">
        <v>2.4217269999999998E-3</v>
      </c>
      <c r="AA1239">
        <v>0.94845199999999996</v>
      </c>
      <c r="AB1239">
        <v>43</v>
      </c>
      <c r="AC1239">
        <v>39.366500000000002</v>
      </c>
      <c r="AD1239">
        <v>-1.0474088699999999</v>
      </c>
      <c r="AE1239">
        <v>-26.601099999999999</v>
      </c>
      <c r="AF1239">
        <v>15.1138108151785</v>
      </c>
      <c r="AG1239">
        <v>-1.0474088699999999</v>
      </c>
      <c r="AH1239">
        <v>45.019107431221201</v>
      </c>
      <c r="AI1239">
        <v>91.263516776105504</v>
      </c>
      <c r="AJ1239">
        <v>71.442072584526997</v>
      </c>
      <c r="AK1239">
        <v>47.499940806297801</v>
      </c>
      <c r="AL1239">
        <v>87.265584575258501</v>
      </c>
      <c r="AM1239">
        <v>82.891228088151294</v>
      </c>
      <c r="AN1239">
        <v>1.00000004526798</v>
      </c>
    </row>
    <row r="1240" spans="1:40" x14ac:dyDescent="0.25">
      <c r="A1240" t="str">
        <f>"20190312160321535"</f>
        <v>20190312160321535</v>
      </c>
      <c r="B1240" t="str">
        <f>"1552377801525852"</f>
        <v>1552377801525852</v>
      </c>
      <c r="C1240" t="s">
        <v>40</v>
      </c>
      <c r="D1240">
        <v>5.8393579999999998</v>
      </c>
      <c r="E1240">
        <v>0.57800850000000004</v>
      </c>
      <c r="F1240" t="s">
        <v>46</v>
      </c>
      <c r="G1240">
        <v>-168.40010000000001</v>
      </c>
      <c r="H1240">
        <v>6.3189239999999994E-2</v>
      </c>
      <c r="I1240">
        <v>338.1909</v>
      </c>
      <c r="J1240">
        <v>-207.53360000000001</v>
      </c>
      <c r="K1240">
        <v>1.101477</v>
      </c>
      <c r="L1240">
        <v>364.94130000000001</v>
      </c>
      <c r="M1240">
        <v>0.96239010000000003</v>
      </c>
      <c r="N1240">
        <v>0</v>
      </c>
      <c r="O1240">
        <v>-0.27126420000000001</v>
      </c>
      <c r="P1240">
        <v>0.9209775</v>
      </c>
      <c r="Q1240">
        <v>3.538384E-2</v>
      </c>
      <c r="R1240">
        <v>-0.38800590000000001</v>
      </c>
      <c r="S1240">
        <v>2.5357970000000001</v>
      </c>
      <c r="T1240">
        <v>-6.6887740000000001E-2</v>
      </c>
      <c r="U1240">
        <v>-1.7274779999999901</v>
      </c>
      <c r="V1240">
        <v>0.1245933</v>
      </c>
      <c r="W1240">
        <v>4.7592599999999999E-2</v>
      </c>
      <c r="X1240">
        <v>0.9910658</v>
      </c>
      <c r="Y1240">
        <v>0.31767069999999997</v>
      </c>
      <c r="Z1240">
        <v>2.4925009999999998E-3</v>
      </c>
      <c r="AA1240">
        <v>0.94819779999999998</v>
      </c>
      <c r="AB1240">
        <v>43</v>
      </c>
      <c r="AC1240">
        <v>39.133499999999998</v>
      </c>
      <c r="AD1240">
        <v>-1.03828776</v>
      </c>
      <c r="AE1240">
        <v>-26.750399999999999</v>
      </c>
      <c r="AF1240">
        <v>15.1232191835017</v>
      </c>
      <c r="AG1240">
        <v>-1.03828776</v>
      </c>
      <c r="AH1240">
        <v>44.901541528369599</v>
      </c>
      <c r="AI1240">
        <v>91.255382909885697</v>
      </c>
      <c r="AJ1240">
        <v>71.386039156052206</v>
      </c>
      <c r="AK1240">
        <v>47.391330763850704</v>
      </c>
      <c r="AL1240">
        <v>87.272114373677098</v>
      </c>
      <c r="AM1240">
        <v>82.834567717491794</v>
      </c>
      <c r="AN1240">
        <v>0.99999998295464398</v>
      </c>
    </row>
    <row r="1241" spans="1:40" x14ac:dyDescent="0.25">
      <c r="A1241" t="str">
        <f>"20190312160321548"</f>
        <v>20190312160321548</v>
      </c>
      <c r="B1241" t="str">
        <f>"1552377801535613"</f>
        <v>1552377801535613</v>
      </c>
      <c r="C1241" t="s">
        <v>40</v>
      </c>
      <c r="D1241">
        <v>5.7300579999999997</v>
      </c>
      <c r="E1241">
        <v>0.57809600000000005</v>
      </c>
      <c r="F1241" t="s">
        <v>46</v>
      </c>
      <c r="G1241">
        <v>-168.40010000000001</v>
      </c>
      <c r="H1241">
        <v>7.6841919999999994E-2</v>
      </c>
      <c r="I1241">
        <v>337.96550000000002</v>
      </c>
      <c r="J1241">
        <v>-207.31739999999999</v>
      </c>
      <c r="K1241">
        <v>1.1013790000000001</v>
      </c>
      <c r="L1241">
        <v>364.87799999999999</v>
      </c>
      <c r="M1241">
        <v>0.96126869999999998</v>
      </c>
      <c r="N1241">
        <v>0</v>
      </c>
      <c r="O1241">
        <v>-0.2752117</v>
      </c>
      <c r="P1241">
        <v>0.91895859999999996</v>
      </c>
      <c r="Q1241">
        <v>3.4986940000000001E-2</v>
      </c>
      <c r="R1241">
        <v>-0.39279890000000001</v>
      </c>
      <c r="S1241">
        <v>2.5262760000000002</v>
      </c>
      <c r="T1241">
        <v>-6.6145179999999998E-2</v>
      </c>
      <c r="U1241">
        <v>-1.741425</v>
      </c>
      <c r="V1241">
        <v>0.12568850000000001</v>
      </c>
      <c r="W1241">
        <v>4.7152020000000003E-2</v>
      </c>
      <c r="X1241">
        <v>0.99094859999999896</v>
      </c>
      <c r="Y1241">
        <v>0.31899830000000001</v>
      </c>
      <c r="Z1241">
        <v>2.538953E-3</v>
      </c>
      <c r="AA1241">
        <v>0.94775189999999998</v>
      </c>
      <c r="AB1241">
        <v>43</v>
      </c>
      <c r="AC1241">
        <v>38.917299999999898</v>
      </c>
      <c r="AD1241">
        <v>-1.02453708</v>
      </c>
      <c r="AE1241">
        <v>-26.912500000000001</v>
      </c>
      <c r="AF1241">
        <v>15.15421803283</v>
      </c>
      <c r="AG1241">
        <v>-1.02453708</v>
      </c>
      <c r="AH1241">
        <v>44.800565782049802</v>
      </c>
      <c r="AI1241">
        <v>91.241007881619495</v>
      </c>
      <c r="AJ1241">
        <v>71.3114027788816</v>
      </c>
      <c r="AK1241">
        <v>47.305292460850701</v>
      </c>
      <c r="AL1241">
        <v>87.297386221405603</v>
      </c>
      <c r="AM1241">
        <v>82.771399578138599</v>
      </c>
      <c r="AN1241">
        <v>1.0000000199321399</v>
      </c>
    </row>
    <row r="1242" spans="1:40" x14ac:dyDescent="0.25">
      <c r="A1242" t="str">
        <f>"20190312160321559"</f>
        <v>20190312160321559</v>
      </c>
      <c r="B1242" t="str">
        <f>"1552377801545373"</f>
        <v>1552377801545373</v>
      </c>
      <c r="C1242" t="s">
        <v>40</v>
      </c>
      <c r="D1242">
        <v>5.7139720000000001</v>
      </c>
      <c r="E1242">
        <v>0.57819189999999998</v>
      </c>
      <c r="F1242" t="s">
        <v>46</v>
      </c>
      <c r="G1242">
        <v>-168.40010000000001</v>
      </c>
      <c r="H1242">
        <v>7.466325E-2</v>
      </c>
      <c r="I1242">
        <v>337.73739999999998</v>
      </c>
      <c r="J1242">
        <v>-207.0986</v>
      </c>
      <c r="K1242">
        <v>1.1012839999999999</v>
      </c>
      <c r="L1242">
        <v>364.81229999999999</v>
      </c>
      <c r="M1242">
        <v>0.96008850000000001</v>
      </c>
      <c r="N1242">
        <v>0</v>
      </c>
      <c r="O1242">
        <v>-0.2793004</v>
      </c>
      <c r="P1242">
        <v>0.91697229999999996</v>
      </c>
      <c r="Q1242">
        <v>3.4594260000000002E-2</v>
      </c>
      <c r="R1242">
        <v>-0.39744819999999997</v>
      </c>
      <c r="S1242">
        <v>2.5168300000000001</v>
      </c>
      <c r="T1242">
        <v>-6.6398620000000005E-2</v>
      </c>
      <c r="U1242">
        <v>-1.7552190000000001</v>
      </c>
      <c r="V1242">
        <v>0.12648899999999999</v>
      </c>
      <c r="W1242">
        <v>4.6720959999999999E-2</v>
      </c>
      <c r="X1242">
        <v>0.9908671</v>
      </c>
      <c r="Y1242">
        <v>0.32012849999999998</v>
      </c>
      <c r="Z1242">
        <v>2.6285330000000002E-3</v>
      </c>
      <c r="AA1242">
        <v>0.9473705</v>
      </c>
      <c r="AB1242">
        <v>43</v>
      </c>
      <c r="AC1242">
        <v>38.698500000000003</v>
      </c>
      <c r="AD1242">
        <v>-1.02662075</v>
      </c>
      <c r="AE1242">
        <v>-27.0749</v>
      </c>
      <c r="AF1242">
        <v>15.180302073844899</v>
      </c>
      <c r="AG1242">
        <v>-1.02662075</v>
      </c>
      <c r="AH1242">
        <v>44.699844897761501</v>
      </c>
      <c r="AI1242">
        <v>91.245822514683994</v>
      </c>
      <c r="AJ1242">
        <v>71.242242984621001</v>
      </c>
      <c r="AK1242">
        <v>47.218340240858197</v>
      </c>
      <c r="AL1242">
        <v>87.322111236240602</v>
      </c>
      <c r="AM1242">
        <v>82.725260882723504</v>
      </c>
      <c r="AN1242">
        <v>0.99999996254336498</v>
      </c>
    </row>
    <row r="1243" spans="1:40" x14ac:dyDescent="0.25">
      <c r="A1243" t="str">
        <f>"20190312160321570"</f>
        <v>20190312160321570</v>
      </c>
      <c r="B1243" t="str">
        <f>"1552377801556108"</f>
        <v>1552377801556108</v>
      </c>
      <c r="C1243" t="s">
        <v>40</v>
      </c>
      <c r="D1243">
        <v>5.8806900000000004</v>
      </c>
      <c r="E1243">
        <v>0.57826029999999995</v>
      </c>
      <c r="F1243" t="s">
        <v>46</v>
      </c>
      <c r="G1243">
        <v>-168.40010000000001</v>
      </c>
      <c r="H1243">
        <v>7.1863979999999994E-2</v>
      </c>
      <c r="I1243">
        <v>337.51799999999997</v>
      </c>
      <c r="J1243">
        <v>-206.8937</v>
      </c>
      <c r="K1243">
        <v>1.101189</v>
      </c>
      <c r="L1243">
        <v>364.75029999999998</v>
      </c>
      <c r="M1243">
        <v>0.95895949999999996</v>
      </c>
      <c r="N1243">
        <v>0</v>
      </c>
      <c r="O1243">
        <v>-0.28315190000000001</v>
      </c>
      <c r="P1243">
        <v>0.9148501</v>
      </c>
      <c r="Q1243">
        <v>3.4631599999999998E-2</v>
      </c>
      <c r="R1243">
        <v>-0.4023062</v>
      </c>
      <c r="S1243">
        <v>2.507584</v>
      </c>
      <c r="T1243">
        <v>-6.670392E-2</v>
      </c>
      <c r="U1243">
        <v>-1.768616</v>
      </c>
      <c r="V1243">
        <v>0.12777930000000001</v>
      </c>
      <c r="W1243">
        <v>4.6709059999999997E-2</v>
      </c>
      <c r="X1243">
        <v>0.99070219999999998</v>
      </c>
      <c r="Y1243">
        <v>0.32135160000000002</v>
      </c>
      <c r="Z1243">
        <v>2.714443E-3</v>
      </c>
      <c r="AA1243">
        <v>0.94695600000000002</v>
      </c>
      <c r="AB1243">
        <v>43</v>
      </c>
      <c r="AC1243">
        <v>38.493600000000001</v>
      </c>
      <c r="AD1243">
        <v>-1.0293250199999999</v>
      </c>
      <c r="AE1243">
        <v>-27.232299999999899</v>
      </c>
      <c r="AF1243">
        <v>15.2095756138482</v>
      </c>
      <c r="AG1243">
        <v>-1.0293250199999999</v>
      </c>
      <c r="AH1243">
        <v>44.608370376273001</v>
      </c>
      <c r="AI1243">
        <v>91.251147715466303</v>
      </c>
      <c r="AJ1243">
        <v>71.172785410514805</v>
      </c>
      <c r="AK1243">
        <v>47.141249537712802</v>
      </c>
      <c r="AL1243">
        <v>87.322794082260899</v>
      </c>
      <c r="AM1243">
        <v>82.650649401952904</v>
      </c>
      <c r="AN1243">
        <v>1.0000000674397</v>
      </c>
    </row>
    <row r="1244" spans="1:40" x14ac:dyDescent="0.25">
      <c r="A1244" t="str">
        <f>"20190312160321581"</f>
        <v>20190312160321581</v>
      </c>
      <c r="B1244" t="str">
        <f>"1552377801575629"</f>
        <v>1552377801575629</v>
      </c>
      <c r="C1244" t="s">
        <v>40</v>
      </c>
      <c r="D1244">
        <v>5.8725259999999997</v>
      </c>
      <c r="E1244">
        <v>0.57825749999999998</v>
      </c>
      <c r="F1244" t="s">
        <v>46</v>
      </c>
      <c r="G1244">
        <v>-168.40010000000001</v>
      </c>
      <c r="H1244">
        <v>8.5445489999999999E-2</v>
      </c>
      <c r="I1244">
        <v>337.28359999999998</v>
      </c>
      <c r="J1244">
        <v>-206.68989999999999</v>
      </c>
      <c r="K1244">
        <v>1.1010960000000001</v>
      </c>
      <c r="L1244">
        <v>364.6875</v>
      </c>
      <c r="M1244">
        <v>0.9578023</v>
      </c>
      <c r="N1244">
        <v>0</v>
      </c>
      <c r="O1244">
        <v>-0.2870415</v>
      </c>
      <c r="P1244">
        <v>0.91280349999999999</v>
      </c>
      <c r="Q1244">
        <v>3.4368089999999997E-2</v>
      </c>
      <c r="R1244">
        <v>-0.40695019999999998</v>
      </c>
      <c r="S1244">
        <v>2.4979399999999998</v>
      </c>
      <c r="T1244">
        <v>-6.5913559999999996E-2</v>
      </c>
      <c r="U1244">
        <v>-1.7823789999999999</v>
      </c>
      <c r="V1244">
        <v>0.12879589999999999</v>
      </c>
      <c r="W1244">
        <v>4.6403260000000002E-2</v>
      </c>
      <c r="X1244">
        <v>0.99058489999999999</v>
      </c>
      <c r="Y1244">
        <v>0.32269490000000001</v>
      </c>
      <c r="Z1244">
        <v>2.754856E-3</v>
      </c>
      <c r="AA1244">
        <v>0.94649899999999998</v>
      </c>
      <c r="AB1244">
        <v>43</v>
      </c>
      <c r="AC1244">
        <v>38.2897999999999</v>
      </c>
      <c r="AD1244">
        <v>-1.01565051</v>
      </c>
      <c r="AE1244">
        <v>-27.4039</v>
      </c>
      <c r="AF1244">
        <v>15.2513540559147</v>
      </c>
      <c r="AG1244">
        <v>-1.01565051</v>
      </c>
      <c r="AH1244">
        <v>44.524342395471798</v>
      </c>
      <c r="AI1244">
        <v>91.236262251017706</v>
      </c>
      <c r="AJ1244">
        <v>71.091633119481898</v>
      </c>
      <c r="AK1244">
        <v>47.074965876212097</v>
      </c>
      <c r="AL1244">
        <v>87.340334090615002</v>
      </c>
      <c r="AM1244">
        <v>82.5919580849271</v>
      </c>
      <c r="AN1244">
        <v>1.0000000452517199</v>
      </c>
    </row>
    <row r="1245" spans="1:40" x14ac:dyDescent="0.25">
      <c r="A1245" t="str">
        <f>"20190312160321593"</f>
        <v>20190312160321593</v>
      </c>
      <c r="B1245" t="str">
        <f>"1552377801585388"</f>
        <v>1552377801585388</v>
      </c>
      <c r="C1245" t="s">
        <v>40</v>
      </c>
      <c r="D1245">
        <v>5.9462960000000002</v>
      </c>
      <c r="E1245">
        <v>0.57832209999999995</v>
      </c>
      <c r="F1245" t="s">
        <v>46</v>
      </c>
      <c r="G1245">
        <v>-168.40010000000001</v>
      </c>
      <c r="H1245">
        <v>9.8473640000000001E-2</v>
      </c>
      <c r="I1245">
        <v>337.07220000000001</v>
      </c>
      <c r="J1245">
        <v>-206.48390000000001</v>
      </c>
      <c r="K1245">
        <v>1.1010009999999999</v>
      </c>
      <c r="L1245">
        <v>364.62310000000002</v>
      </c>
      <c r="M1245">
        <v>0.95660149999999999</v>
      </c>
      <c r="N1245">
        <v>0</v>
      </c>
      <c r="O1245">
        <v>-0.29101769999999999</v>
      </c>
      <c r="P1245">
        <v>0.91076170000000001</v>
      </c>
      <c r="Q1245">
        <v>3.4062040000000002E-2</v>
      </c>
      <c r="R1245">
        <v>-0.41152539999999999</v>
      </c>
      <c r="S1245">
        <v>2.488785</v>
      </c>
      <c r="T1245">
        <v>-6.5168619999999997E-2</v>
      </c>
      <c r="U1245">
        <v>-1.7949520000000001</v>
      </c>
      <c r="V1245">
        <v>0.1296525</v>
      </c>
      <c r="W1245">
        <v>4.6056970000000003E-2</v>
      </c>
      <c r="X1245">
        <v>0.99048919999999996</v>
      </c>
      <c r="Y1245">
        <v>0.32356099999999999</v>
      </c>
      <c r="Z1245">
        <v>2.8029449999999998E-3</v>
      </c>
      <c r="AA1245">
        <v>0.94620320000000002</v>
      </c>
      <c r="AB1245">
        <v>43</v>
      </c>
      <c r="AC1245">
        <v>38.083799999999997</v>
      </c>
      <c r="AD1245">
        <v>-1.00252736</v>
      </c>
      <c r="AE1245">
        <v>-27.550899999999999</v>
      </c>
      <c r="AF1245">
        <v>15.2669250560372</v>
      </c>
      <c r="AG1245">
        <v>-1.00252736</v>
      </c>
      <c r="AH1245">
        <v>44.433547699156897</v>
      </c>
      <c r="AI1245">
        <v>91.2223921778548</v>
      </c>
      <c r="AJ1245">
        <v>71.037788375049203</v>
      </c>
      <c r="AK1245">
        <v>46.993874312589497</v>
      </c>
      <c r="AL1245">
        <v>87.360195991115205</v>
      </c>
      <c r="AM1245">
        <v>82.542528744623596</v>
      </c>
      <c r="AN1245">
        <v>0.99999993527923303</v>
      </c>
    </row>
    <row r="1246" spans="1:40" x14ac:dyDescent="0.25">
      <c r="A1246" t="str">
        <f>"20190312160321602"</f>
        <v>20190312160321602</v>
      </c>
      <c r="B1246" t="str">
        <f>"1552377801596125"</f>
        <v>1552377801596125</v>
      </c>
      <c r="C1246" t="s">
        <v>40</v>
      </c>
      <c r="D1246">
        <v>5.9229229999999999</v>
      </c>
      <c r="E1246">
        <v>0.57836009999999904</v>
      </c>
      <c r="F1246" t="s">
        <v>46</v>
      </c>
      <c r="G1246">
        <v>-168.40010000000001</v>
      </c>
      <c r="H1246">
        <v>0.10006909999999999</v>
      </c>
      <c r="I1246">
        <v>336.85489999999999</v>
      </c>
      <c r="J1246">
        <v>-206.2912</v>
      </c>
      <c r="K1246">
        <v>1.1009089999999999</v>
      </c>
      <c r="L1246">
        <v>364.56209999999999</v>
      </c>
      <c r="M1246">
        <v>0.9554494</v>
      </c>
      <c r="N1246">
        <v>0</v>
      </c>
      <c r="O1246">
        <v>-0.29477829999999999</v>
      </c>
      <c r="P1246">
        <v>0.90863289999999997</v>
      </c>
      <c r="Q1246">
        <v>3.3847019999999998E-2</v>
      </c>
      <c r="R1246">
        <v>-0.4162225</v>
      </c>
      <c r="S1246">
        <v>2.4795069999999999</v>
      </c>
      <c r="T1246">
        <v>-6.5166829999999995E-2</v>
      </c>
      <c r="U1246">
        <v>-1.8078920000000001</v>
      </c>
      <c r="V1246">
        <v>0.13087409999999999</v>
      </c>
      <c r="W1246">
        <v>4.5794029999999999E-2</v>
      </c>
      <c r="X1246">
        <v>0.99034080000000002</v>
      </c>
      <c r="Y1246">
        <v>0.3247488</v>
      </c>
      <c r="Z1246">
        <v>2.8736270000000001E-3</v>
      </c>
      <c r="AA1246">
        <v>0.94579599999999997</v>
      </c>
      <c r="AB1246">
        <v>43</v>
      </c>
      <c r="AC1246">
        <v>37.891100000000002</v>
      </c>
      <c r="AD1246">
        <v>-1.0008398999999999</v>
      </c>
      <c r="AE1246">
        <v>-27.7072</v>
      </c>
      <c r="AF1246">
        <v>15.2980995001053</v>
      </c>
      <c r="AG1246">
        <v>-1.0008398999999999</v>
      </c>
      <c r="AH1246">
        <v>44.355276427877897</v>
      </c>
      <c r="AI1246">
        <v>91.221995751216099</v>
      </c>
      <c r="AJ1246">
        <v>70.970726751995002</v>
      </c>
      <c r="AK1246">
        <v>46.929991218985101</v>
      </c>
      <c r="AL1246">
        <v>87.375277457830407</v>
      </c>
      <c r="AM1246">
        <v>82.471950627052394</v>
      </c>
      <c r="AN1246">
        <v>1.00000001168954</v>
      </c>
    </row>
    <row r="1247" spans="1:40" x14ac:dyDescent="0.25">
      <c r="A1247" t="str">
        <f>"20190312160321614"</f>
        <v>20190312160321614</v>
      </c>
      <c r="B1247" t="str">
        <f>"1552377801605884"</f>
        <v>1552377801605884</v>
      </c>
      <c r="C1247" t="s">
        <v>40</v>
      </c>
      <c r="D1247">
        <v>5.8350920000000004</v>
      </c>
      <c r="E1247">
        <v>0.57837059999999996</v>
      </c>
      <c r="F1247" t="s">
        <v>46</v>
      </c>
      <c r="G1247">
        <v>-168.40010000000001</v>
      </c>
      <c r="H1247">
        <v>9.6640909999999997E-2</v>
      </c>
      <c r="I1247">
        <v>336.62720000000002</v>
      </c>
      <c r="J1247">
        <v>-206.0966</v>
      </c>
      <c r="K1247">
        <v>1.1008100000000001</v>
      </c>
      <c r="L1247">
        <v>364.49950000000001</v>
      </c>
      <c r="M1247">
        <v>0.95425150000000003</v>
      </c>
      <c r="N1247">
        <v>0</v>
      </c>
      <c r="O1247">
        <v>-0.29863260000000003</v>
      </c>
      <c r="P1247">
        <v>0.90658490000000003</v>
      </c>
      <c r="Q1247">
        <v>3.3925039999999997E-2</v>
      </c>
      <c r="R1247">
        <v>-0.42065809999999998</v>
      </c>
      <c r="S1247">
        <v>2.4699550000000001</v>
      </c>
      <c r="T1247">
        <v>-6.5463419999999994E-2</v>
      </c>
      <c r="U1247">
        <v>-1.820953</v>
      </c>
      <c r="V1247">
        <v>0.13172970000000001</v>
      </c>
      <c r="W1247">
        <v>4.5832129999999999E-2</v>
      </c>
      <c r="X1247">
        <v>0.99022560000000004</v>
      </c>
      <c r="Y1247">
        <v>0.3259185</v>
      </c>
      <c r="Z1247">
        <v>2.960229E-3</v>
      </c>
      <c r="AA1247">
        <v>0.94539320000000004</v>
      </c>
      <c r="AB1247">
        <v>43</v>
      </c>
      <c r="AC1247">
        <v>37.696499999999901</v>
      </c>
      <c r="AD1247">
        <v>-1.00416909</v>
      </c>
      <c r="AE1247">
        <v>-27.872299999999999</v>
      </c>
      <c r="AF1247">
        <v>15.3344530357815</v>
      </c>
      <c r="AG1247">
        <v>-1.00416909</v>
      </c>
      <c r="AH1247">
        <v>44.280136015058403</v>
      </c>
      <c r="AI1247">
        <v>91.227606338743698</v>
      </c>
      <c r="AJ1247">
        <v>70.898750842519206</v>
      </c>
      <c r="AK1247">
        <v>46.870931833919997</v>
      </c>
      <c r="AL1247">
        <v>87.373092211962899</v>
      </c>
      <c r="AM1247">
        <v>82.422434111096294</v>
      </c>
      <c r="AN1247">
        <v>1.00000001844889</v>
      </c>
    </row>
    <row r="1248" spans="1:40" x14ac:dyDescent="0.25">
      <c r="A1248" t="str">
        <f>"20190312160321624"</f>
        <v>20190312160321624</v>
      </c>
      <c r="B1248" t="str">
        <f>"1552377801615644"</f>
        <v>1552377801615644</v>
      </c>
      <c r="C1248" t="s">
        <v>40</v>
      </c>
      <c r="D1248">
        <v>5.8749260000000003</v>
      </c>
      <c r="E1248">
        <v>0.5783895</v>
      </c>
      <c r="F1248" t="s">
        <v>46</v>
      </c>
      <c r="G1248">
        <v>-168.40010000000001</v>
      </c>
      <c r="H1248">
        <v>0.1078311</v>
      </c>
      <c r="I1248">
        <v>336.42349999999999</v>
      </c>
      <c r="J1248">
        <v>-205.90450000000001</v>
      </c>
      <c r="K1248">
        <v>1.100714</v>
      </c>
      <c r="L1248">
        <v>364.43700000000001</v>
      </c>
      <c r="M1248">
        <v>0.95304299999999997</v>
      </c>
      <c r="N1248">
        <v>0</v>
      </c>
      <c r="O1248">
        <v>-0.30246600000000001</v>
      </c>
      <c r="P1248">
        <v>0.90457109999999996</v>
      </c>
      <c r="Q1248">
        <v>3.3832830000000001E-2</v>
      </c>
      <c r="R1248">
        <v>-0.42497810000000003</v>
      </c>
      <c r="S1248">
        <v>2.4610750000000001</v>
      </c>
      <c r="T1248">
        <v>-6.4827800000000005E-2</v>
      </c>
      <c r="U1248">
        <v>-1.8329770000000001</v>
      </c>
      <c r="V1248">
        <v>0.1324806</v>
      </c>
      <c r="W1248">
        <v>4.5701609999999997E-2</v>
      </c>
      <c r="X1248">
        <v>0.99013139999999999</v>
      </c>
      <c r="Y1248">
        <v>0.32672400000000001</v>
      </c>
      <c r="Z1248">
        <v>3.0079109999999998E-3</v>
      </c>
      <c r="AA1248">
        <v>0.94511500000000004</v>
      </c>
      <c r="AB1248">
        <v>42</v>
      </c>
      <c r="AC1248">
        <v>37.504399999999997</v>
      </c>
      <c r="AD1248">
        <v>-0.99288290000000001</v>
      </c>
      <c r="AE1248">
        <v>-28.013499999999901</v>
      </c>
      <c r="AF1248">
        <v>15.349074185665099</v>
      </c>
      <c r="AG1248">
        <v>-0.99288290000000001</v>
      </c>
      <c r="AH1248">
        <v>44.201491151508797</v>
      </c>
      <c r="AI1248">
        <v>91.215615748057601</v>
      </c>
      <c r="AJ1248">
        <v>70.850319182853994</v>
      </c>
      <c r="AK1248">
        <v>46.801193519258398</v>
      </c>
      <c r="AL1248">
        <v>87.380578168784595</v>
      </c>
      <c r="AM1248">
        <v>82.379029337591305</v>
      </c>
      <c r="AN1248">
        <v>0.999999967899455</v>
      </c>
    </row>
    <row r="1249" spans="1:40" x14ac:dyDescent="0.25">
      <c r="A1249" t="str">
        <f>"20190312160321635"</f>
        <v>20190312160321635</v>
      </c>
      <c r="B1249" t="str">
        <f>"1552377801625404"</f>
        <v>1552377801625404</v>
      </c>
      <c r="C1249" t="s">
        <v>40</v>
      </c>
      <c r="D1249">
        <v>5.8987309999999997</v>
      </c>
      <c r="E1249">
        <v>0.57839819999999997</v>
      </c>
      <c r="F1249" t="s">
        <v>46</v>
      </c>
      <c r="G1249">
        <v>-168.40010000000001</v>
      </c>
      <c r="H1249">
        <v>0.1139449</v>
      </c>
      <c r="I1249">
        <v>336.21379999999999</v>
      </c>
      <c r="J1249">
        <v>-205.7184</v>
      </c>
      <c r="K1249">
        <v>1.1006199999999999</v>
      </c>
      <c r="L1249">
        <v>364.37529999999998</v>
      </c>
      <c r="M1249">
        <v>0.9518356</v>
      </c>
      <c r="N1249">
        <v>0</v>
      </c>
      <c r="O1249">
        <v>-0.30624449999999998</v>
      </c>
      <c r="P1249">
        <v>0.90263190000000004</v>
      </c>
      <c r="Q1249">
        <v>3.360908E-2</v>
      </c>
      <c r="R1249">
        <v>-0.42909900000000001</v>
      </c>
      <c r="S1249">
        <v>2.451981</v>
      </c>
      <c r="T1249">
        <v>-6.4513089999999995E-2</v>
      </c>
      <c r="U1249">
        <v>-1.8451839999999999</v>
      </c>
      <c r="V1249">
        <v>0.13307099999999999</v>
      </c>
      <c r="W1249">
        <v>4.5443450000000003E-2</v>
      </c>
      <c r="X1249">
        <v>0.9900641</v>
      </c>
      <c r="Y1249">
        <v>0.32766329999999999</v>
      </c>
      <c r="Z1249">
        <v>3.0667480000000002E-3</v>
      </c>
      <c r="AA1249">
        <v>0.94478960000000001</v>
      </c>
      <c r="AB1249">
        <v>42</v>
      </c>
      <c r="AC1249">
        <v>37.318300000000001</v>
      </c>
      <c r="AD1249">
        <v>-0.98667510000000003</v>
      </c>
      <c r="AE1249">
        <v>-28.161499999999901</v>
      </c>
      <c r="AF1249">
        <v>15.371464695127599</v>
      </c>
      <c r="AG1249">
        <v>-0.98667510000000003</v>
      </c>
      <c r="AH1249">
        <v>44.130464702104099</v>
      </c>
      <c r="AI1249">
        <v>91.209561210048406</v>
      </c>
      <c r="AJ1249">
        <v>70.795818964581201</v>
      </c>
      <c r="AK1249">
        <v>46.741345396235303</v>
      </c>
      <c r="AL1249">
        <v>87.395385011388399</v>
      </c>
      <c r="AM1249">
        <v>82.344954118409206</v>
      </c>
      <c r="AN1249">
        <v>0.99999996014885495</v>
      </c>
    </row>
    <row r="1250" spans="1:40" x14ac:dyDescent="0.25">
      <c r="A1250" t="str">
        <f>"20190312160321644"</f>
        <v>20190312160321644</v>
      </c>
      <c r="B1250" t="str">
        <f>"1552377801636140"</f>
        <v>1552377801636140</v>
      </c>
      <c r="C1250" t="s">
        <v>40</v>
      </c>
      <c r="D1250">
        <v>5.8739710000000001</v>
      </c>
      <c r="E1250">
        <v>0.57839110000000005</v>
      </c>
      <c r="F1250" t="s">
        <v>46</v>
      </c>
      <c r="G1250">
        <v>-168.40010000000001</v>
      </c>
      <c r="H1250">
        <v>0.10874449999999999</v>
      </c>
      <c r="I1250">
        <v>336.02679999999998</v>
      </c>
      <c r="J1250">
        <v>-205.52780000000001</v>
      </c>
      <c r="K1250">
        <v>1.100517</v>
      </c>
      <c r="L1250">
        <v>364.3116</v>
      </c>
      <c r="M1250">
        <v>0.95057570000000002</v>
      </c>
      <c r="N1250">
        <v>0</v>
      </c>
      <c r="O1250">
        <v>-0.31013249999999998</v>
      </c>
      <c r="P1250">
        <v>0.90037330000000004</v>
      </c>
      <c r="Q1250">
        <v>3.3329709999999999E-2</v>
      </c>
      <c r="R1250">
        <v>-0.4338399</v>
      </c>
      <c r="S1250">
        <v>2.4435730000000002</v>
      </c>
      <c r="T1250">
        <v>-6.4946770000000001E-2</v>
      </c>
      <c r="U1250">
        <v>-1.8562320000000001</v>
      </c>
      <c r="V1250">
        <v>0.1342323</v>
      </c>
      <c r="W1250">
        <v>4.5115229999999999E-2</v>
      </c>
      <c r="X1250">
        <v>0.98992239999999998</v>
      </c>
      <c r="Y1250">
        <v>0.32807629999999999</v>
      </c>
      <c r="Z1250">
        <v>3.1696599999999999E-3</v>
      </c>
      <c r="AA1250">
        <v>0.94464590000000004</v>
      </c>
      <c r="AB1250">
        <v>42</v>
      </c>
      <c r="AC1250">
        <v>37.127699999999997</v>
      </c>
      <c r="AD1250">
        <v>-0.99177249999999995</v>
      </c>
      <c r="AE1250">
        <v>-28.284800000000001</v>
      </c>
      <c r="AF1250">
        <v>15.367118193457999</v>
      </c>
      <c r="AG1250">
        <v>-0.99177249999999995</v>
      </c>
      <c r="AH1250">
        <v>44.049765072086203</v>
      </c>
      <c r="AI1250">
        <v>91.217830773654995</v>
      </c>
      <c r="AJ1250">
        <v>70.768259554867996</v>
      </c>
      <c r="AK1250">
        <v>46.663837574394201</v>
      </c>
      <c r="AL1250">
        <v>87.4142101113503</v>
      </c>
      <c r="AM1250">
        <v>82.277859685772498</v>
      </c>
      <c r="AN1250">
        <v>1.0000000261815001</v>
      </c>
    </row>
    <row r="1251" spans="1:40" x14ac:dyDescent="0.25">
      <c r="A1251" t="str">
        <f>"20190312160321656"</f>
        <v>20190312160321656</v>
      </c>
      <c r="B1251" t="str">
        <f>"1552377801645899"</f>
        <v>1552377801645899</v>
      </c>
      <c r="C1251" t="s">
        <v>40</v>
      </c>
      <c r="D1251">
        <v>6.0770759999999999</v>
      </c>
      <c r="E1251">
        <v>0.57842169999999904</v>
      </c>
      <c r="F1251" t="s">
        <v>46</v>
      </c>
      <c r="G1251">
        <v>-168.40010000000001</v>
      </c>
      <c r="H1251">
        <v>0.106068</v>
      </c>
      <c r="I1251">
        <v>335.80040000000002</v>
      </c>
      <c r="J1251">
        <v>-205.3288</v>
      </c>
      <c r="K1251">
        <v>1.1004130000000001</v>
      </c>
      <c r="L1251">
        <v>364.24369999999999</v>
      </c>
      <c r="M1251">
        <v>0.94921420000000001</v>
      </c>
      <c r="N1251">
        <v>0</v>
      </c>
      <c r="O1251">
        <v>-0.3142742</v>
      </c>
      <c r="P1251">
        <v>0.89833560000000001</v>
      </c>
      <c r="Q1251">
        <v>3.2836049999999999E-2</v>
      </c>
      <c r="R1251">
        <v>-0.4380811</v>
      </c>
      <c r="S1251">
        <v>2.433792</v>
      </c>
      <c r="T1251">
        <v>-6.518757E-2</v>
      </c>
      <c r="U1251">
        <v>-1.8689579999999999</v>
      </c>
      <c r="V1251">
        <v>0.1345787</v>
      </c>
      <c r="W1251">
        <v>4.4591239999999997E-2</v>
      </c>
      <c r="X1251">
        <v>0.98989910000000003</v>
      </c>
      <c r="Y1251">
        <v>0.32889879999999999</v>
      </c>
      <c r="Z1251">
        <v>3.265291E-3</v>
      </c>
      <c r="AA1251">
        <v>0.94435950000000002</v>
      </c>
      <c r="AB1251">
        <v>42</v>
      </c>
      <c r="AC1251">
        <v>36.9286999999999</v>
      </c>
      <c r="AD1251">
        <v>-0.99434499999999904</v>
      </c>
      <c r="AE1251">
        <v>-28.443299999999901</v>
      </c>
      <c r="AF1251">
        <v>15.3877696254937</v>
      </c>
      <c r="AG1251">
        <v>-0.99434499999999904</v>
      </c>
      <c r="AH1251">
        <v>43.977160544154899</v>
      </c>
      <c r="AI1251">
        <v>91.222605901186299</v>
      </c>
      <c r="AJ1251">
        <v>70.714871186191601</v>
      </c>
      <c r="AK1251">
        <v>46.602176189022202</v>
      </c>
      <c r="AL1251">
        <v>87.444262747497007</v>
      </c>
      <c r="AM1251">
        <v>82.2579932730591</v>
      </c>
      <c r="AN1251">
        <v>1.0000000166796099</v>
      </c>
    </row>
    <row r="1252" spans="1:40" x14ac:dyDescent="0.25">
      <c r="A1252" t="str">
        <f>"20190312160321668"</f>
        <v>20190312160321668</v>
      </c>
      <c r="B1252" t="str">
        <f>"1552377801655660"</f>
        <v>1552377801655660</v>
      </c>
      <c r="C1252" t="s">
        <v>40</v>
      </c>
      <c r="D1252">
        <v>6.0067159999999999</v>
      </c>
      <c r="E1252">
        <v>0.57857619999999998</v>
      </c>
      <c r="F1252" t="s">
        <v>46</v>
      </c>
      <c r="G1252">
        <v>-168.40010000000001</v>
      </c>
      <c r="H1252">
        <v>8.7503049999999999E-2</v>
      </c>
      <c r="I1252">
        <v>335.60860000000002</v>
      </c>
      <c r="J1252">
        <v>-205.1266</v>
      </c>
      <c r="K1252">
        <v>1.1003039999999999</v>
      </c>
      <c r="L1252">
        <v>364.17439999999999</v>
      </c>
      <c r="M1252">
        <v>0.94780540000000002</v>
      </c>
      <c r="N1252">
        <v>0</v>
      </c>
      <c r="O1252">
        <v>-0.31849769999999999</v>
      </c>
      <c r="P1252">
        <v>0.89607669999999995</v>
      </c>
      <c r="Q1252">
        <v>3.278561E-2</v>
      </c>
      <c r="R1252">
        <v>-0.4426872</v>
      </c>
      <c r="S1252">
        <v>2.4249879999999999</v>
      </c>
      <c r="T1252">
        <v>-6.6514019999999993E-2</v>
      </c>
      <c r="U1252">
        <v>-1.880371</v>
      </c>
      <c r="V1252">
        <v>0.13526289999999999</v>
      </c>
      <c r="W1252">
        <v>4.450026E-2</v>
      </c>
      <c r="X1252">
        <v>0.98980990000000002</v>
      </c>
      <c r="Y1252">
        <v>0.32913039999999999</v>
      </c>
      <c r="Z1252">
        <v>3.4258320000000002E-3</v>
      </c>
      <c r="AA1252">
        <v>0.94427819999999996</v>
      </c>
      <c r="AB1252">
        <v>42</v>
      </c>
      <c r="AC1252">
        <v>36.726499999999902</v>
      </c>
      <c r="AD1252">
        <v>-1.0128009499999999</v>
      </c>
      <c r="AE1252">
        <v>-28.5657999999999</v>
      </c>
      <c r="AF1252">
        <v>15.371953667262201</v>
      </c>
      <c r="AG1252">
        <v>-1.0128009499999999</v>
      </c>
      <c r="AH1252">
        <v>43.891840904739801</v>
      </c>
      <c r="AI1252">
        <v>91.247587012915602</v>
      </c>
      <c r="AJ1252">
        <v>70.698547016314194</v>
      </c>
      <c r="AK1252">
        <v>46.516840212118602</v>
      </c>
      <c r="AL1252">
        <v>87.449480607771207</v>
      </c>
      <c r="AM1252">
        <v>82.218421144089405</v>
      </c>
      <c r="AN1252">
        <v>0.99999998169724302</v>
      </c>
    </row>
    <row r="1253" spans="1:40" x14ac:dyDescent="0.25">
      <c r="A1253" t="str">
        <f>"20190312160321679"</f>
        <v>20190312160321679</v>
      </c>
      <c r="B1253" t="str">
        <f>"1552377801665419"</f>
        <v>1552377801665419</v>
      </c>
      <c r="C1253" t="s">
        <v>40</v>
      </c>
      <c r="D1253">
        <v>5.7101169999999897</v>
      </c>
      <c r="E1253">
        <v>0.57855800000000002</v>
      </c>
      <c r="F1253" t="s">
        <v>46</v>
      </c>
      <c r="G1253">
        <v>-168.40010000000001</v>
      </c>
      <c r="H1253">
        <v>8.4523050000000002E-2</v>
      </c>
      <c r="I1253">
        <v>335.36430000000001</v>
      </c>
      <c r="J1253">
        <v>-204.92349999999999</v>
      </c>
      <c r="K1253">
        <v>1.100195</v>
      </c>
      <c r="L1253">
        <v>364.10289999999998</v>
      </c>
      <c r="M1253">
        <v>0.94633639999999997</v>
      </c>
      <c r="N1253">
        <v>0</v>
      </c>
      <c r="O1253">
        <v>-0.3228357</v>
      </c>
      <c r="P1253">
        <v>0.89379569999999997</v>
      </c>
      <c r="Q1253">
        <v>3.255301E-2</v>
      </c>
      <c r="R1253">
        <v>-0.4472913</v>
      </c>
      <c r="S1253">
        <v>2.414612</v>
      </c>
      <c r="T1253">
        <v>-6.6782830000000001E-2</v>
      </c>
      <c r="U1253">
        <v>-1.8941349999999999</v>
      </c>
      <c r="V1253">
        <v>0.13582540000000001</v>
      </c>
      <c r="W1253">
        <v>4.4230640000000002E-2</v>
      </c>
      <c r="X1253">
        <v>0.98974499999999999</v>
      </c>
      <c r="Y1253">
        <v>0.33010879999999998</v>
      </c>
      <c r="Z1253">
        <v>3.5281900000000001E-3</v>
      </c>
      <c r="AA1253">
        <v>0.94393629999999995</v>
      </c>
      <c r="AB1253">
        <v>42</v>
      </c>
      <c r="AC1253">
        <v>36.523399999999903</v>
      </c>
      <c r="AD1253">
        <v>-1.01567195</v>
      </c>
      <c r="AE1253">
        <v>-28.738599999999899</v>
      </c>
      <c r="AF1253">
        <v>15.3997004561407</v>
      </c>
      <c r="AG1253">
        <v>-1.01567195</v>
      </c>
      <c r="AH1253">
        <v>43.825259857023497</v>
      </c>
      <c r="AI1253">
        <v>91.252566760254595</v>
      </c>
      <c r="AJ1253">
        <v>70.639101803022896</v>
      </c>
      <c r="AK1253">
        <v>46.463273293909403</v>
      </c>
      <c r="AL1253">
        <v>87.464944036535499</v>
      </c>
      <c r="AM1253">
        <v>82.185953801722803</v>
      </c>
      <c r="AN1253">
        <v>1.00000002691248</v>
      </c>
    </row>
    <row r="1254" spans="1:40" x14ac:dyDescent="0.25">
      <c r="A1254" t="str">
        <f>"20190312160321690"</f>
        <v>20190312160321690</v>
      </c>
      <c r="B1254" t="str">
        <f>"1552377801685917"</f>
        <v>1552377801685917</v>
      </c>
      <c r="C1254" t="s">
        <v>40</v>
      </c>
      <c r="D1254">
        <v>5.620374</v>
      </c>
      <c r="E1254">
        <v>0.61551330000000004</v>
      </c>
      <c r="F1254" t="s">
        <v>46</v>
      </c>
      <c r="G1254">
        <v>-168.40010000000001</v>
      </c>
      <c r="H1254">
        <v>8.2773540000000007E-2</v>
      </c>
      <c r="I1254">
        <v>335.15120000000002</v>
      </c>
      <c r="J1254">
        <v>-204.7167</v>
      </c>
      <c r="K1254">
        <v>1.1000829999999999</v>
      </c>
      <c r="L1254">
        <v>364.02960000000002</v>
      </c>
      <c r="M1254">
        <v>0.94481020000000004</v>
      </c>
      <c r="N1254">
        <v>0</v>
      </c>
      <c r="O1254">
        <v>-0.32727469999999997</v>
      </c>
      <c r="P1254">
        <v>0.89160419999999996</v>
      </c>
      <c r="Q1254">
        <v>3.2295599999999897E-2</v>
      </c>
      <c r="R1254">
        <v>-0.45166279999999998</v>
      </c>
      <c r="S1254">
        <v>2.4049070000000001</v>
      </c>
      <c r="T1254">
        <v>-6.6992280000000001E-2</v>
      </c>
      <c r="U1254">
        <v>-1.906342</v>
      </c>
      <c r="V1254">
        <v>0.13602839999999999</v>
      </c>
      <c r="W1254">
        <v>4.3944329999999997E-2</v>
      </c>
      <c r="X1254">
        <v>0.98972979999999999</v>
      </c>
      <c r="Y1254">
        <v>0.33047480000000001</v>
      </c>
      <c r="Z1254">
        <v>3.6377660000000002E-3</v>
      </c>
      <c r="AA1254">
        <v>0.94380779999999997</v>
      </c>
      <c r="AB1254">
        <v>42</v>
      </c>
      <c r="AC1254">
        <v>36.316600000000001</v>
      </c>
      <c r="AD1254">
        <v>-1.0173094600000001</v>
      </c>
      <c r="AE1254">
        <v>-28.878399999999999</v>
      </c>
      <c r="AF1254">
        <v>15.3934349576967</v>
      </c>
      <c r="AG1254">
        <v>-1.0173094600000001</v>
      </c>
      <c r="AH1254">
        <v>43.747356912229002</v>
      </c>
      <c r="AI1254">
        <v>91.256629239771499</v>
      </c>
      <c r="AJ1254">
        <v>70.614497899532296</v>
      </c>
      <c r="AK1254">
        <v>46.387756953103498</v>
      </c>
      <c r="AL1254">
        <v>87.481364171355395</v>
      </c>
      <c r="AM1254">
        <v>82.174301095063797</v>
      </c>
      <c r="AN1254">
        <v>0.99999995337687297</v>
      </c>
    </row>
    <row r="1255" spans="1:40" x14ac:dyDescent="0.25">
      <c r="A1255" t="str">
        <f>"20190312160321701"</f>
        <v>20190312160321701</v>
      </c>
      <c r="B1255" t="str">
        <f>"1552377801695676"</f>
        <v>1552377801695676</v>
      </c>
      <c r="C1255" t="s">
        <v>40</v>
      </c>
      <c r="D1255">
        <v>5.4286219999999998</v>
      </c>
      <c r="E1255">
        <v>0.61191739999999994</v>
      </c>
      <c r="F1255" t="s">
        <v>46</v>
      </c>
      <c r="G1255">
        <v>-168.40010000000001</v>
      </c>
      <c r="H1255">
        <v>0.11820899999999999</v>
      </c>
      <c r="I1255">
        <v>329.01609999999999</v>
      </c>
      <c r="J1255">
        <v>-204.51339999999999</v>
      </c>
      <c r="K1255">
        <v>1.0999719999999999</v>
      </c>
      <c r="L1255">
        <v>363.95620000000002</v>
      </c>
      <c r="M1255">
        <v>0.94326430000000006</v>
      </c>
      <c r="N1255">
        <v>0</v>
      </c>
      <c r="O1255">
        <v>-0.33170379999999999</v>
      </c>
      <c r="P1255">
        <v>0.88928719999999895</v>
      </c>
      <c r="Q1255">
        <v>3.2413160000000003E-2</v>
      </c>
      <c r="R1255">
        <v>-0.45619989999999999</v>
      </c>
      <c r="S1255">
        <v>2.2621150000000001</v>
      </c>
      <c r="T1255">
        <v>-6.1159249999999998E-2</v>
      </c>
      <c r="U1255">
        <v>-2.180939</v>
      </c>
      <c r="V1255">
        <v>0.136443799999999</v>
      </c>
      <c r="W1255">
        <v>4.402913E-2</v>
      </c>
      <c r="X1255">
        <v>0.98966889999999996</v>
      </c>
      <c r="Y1255">
        <v>0.41592770000000001</v>
      </c>
      <c r="Z1255">
        <v>2.4569359999999998E-3</v>
      </c>
      <c r="AA1255">
        <v>0.90939429999999999</v>
      </c>
      <c r="AB1255">
        <v>42</v>
      </c>
      <c r="AC1255">
        <v>36.113299999999903</v>
      </c>
      <c r="AD1255">
        <v>-0.98176300000000005</v>
      </c>
      <c r="AE1255">
        <v>-34.940100000000001</v>
      </c>
      <c r="AF1255">
        <v>20.973185089236601</v>
      </c>
      <c r="AG1255">
        <v>-0.98176300000000005</v>
      </c>
      <c r="AH1255">
        <v>45.641865848946097</v>
      </c>
      <c r="AI1255">
        <v>91.119723236826999</v>
      </c>
      <c r="AJ1255">
        <v>65.320443925504506</v>
      </c>
      <c r="AK1255">
        <v>50.2396085728058</v>
      </c>
      <c r="AL1255">
        <v>87.476500907727996</v>
      </c>
      <c r="AM1255">
        <v>82.150223632551302</v>
      </c>
      <c r="AN1255">
        <v>1.0000000032370999</v>
      </c>
    </row>
    <row r="1256" spans="1:40" x14ac:dyDescent="0.25">
      <c r="A1256" t="str">
        <f>"20190312160321713"</f>
        <v>20190312160321713</v>
      </c>
      <c r="B1256" t="str">
        <f>"1552377801705436"</f>
        <v>1552377801705436</v>
      </c>
      <c r="C1256" t="s">
        <v>40</v>
      </c>
      <c r="D1256">
        <v>6.2655019999999997</v>
      </c>
      <c r="E1256">
        <v>0.61066500000000001</v>
      </c>
      <c r="F1256" t="s">
        <v>46</v>
      </c>
      <c r="G1256">
        <v>-168.40039999999999</v>
      </c>
      <c r="H1256">
        <v>1.2008509999999999</v>
      </c>
      <c r="I1256">
        <v>329.40199999999999</v>
      </c>
      <c r="J1256">
        <v>-204.3109</v>
      </c>
      <c r="K1256">
        <v>1.09986299999999</v>
      </c>
      <c r="L1256">
        <v>363.88200000000001</v>
      </c>
      <c r="M1256">
        <v>0.94168390000000002</v>
      </c>
      <c r="N1256">
        <v>0</v>
      </c>
      <c r="O1256">
        <v>-0.3361633</v>
      </c>
      <c r="P1256">
        <v>0.88705029999999996</v>
      </c>
      <c r="Q1256">
        <v>3.2124369999999999E-2</v>
      </c>
      <c r="R1256">
        <v>-0.46055430000000003</v>
      </c>
      <c r="S1256">
        <v>2.2626499999999998</v>
      </c>
      <c r="T1256">
        <v>6.3209529999999998E-3</v>
      </c>
      <c r="U1256">
        <v>-2.1649780000000001</v>
      </c>
      <c r="V1256">
        <v>0.13661429999999899</v>
      </c>
      <c r="W1256">
        <v>4.3713290000000002E-2</v>
      </c>
      <c r="X1256">
        <v>0.98965939999999997</v>
      </c>
      <c r="Y1256">
        <v>0.40818189999999999</v>
      </c>
      <c r="Z1256">
        <v>-2.729737E-4</v>
      </c>
      <c r="AA1256">
        <v>0.91290059999999995</v>
      </c>
      <c r="AB1256">
        <v>42</v>
      </c>
      <c r="AC1256">
        <v>35.910499999999999</v>
      </c>
      <c r="AD1256">
        <v>0.10098799999999999</v>
      </c>
      <c r="AE1256">
        <v>-34.479999999999897</v>
      </c>
      <c r="AF1256">
        <v>20.399686663906099</v>
      </c>
      <c r="AG1256">
        <v>0.10098799999999999</v>
      </c>
      <c r="AH1256">
        <v>45.412187760975101</v>
      </c>
      <c r="AI1256">
        <v>89.883773574861095</v>
      </c>
      <c r="AJ1256">
        <v>65.809825433069307</v>
      </c>
      <c r="AK1256">
        <v>49.783774583690899</v>
      </c>
      <c r="AL1256">
        <v>87.494614697162604</v>
      </c>
      <c r="AM1256">
        <v>82.140462571247994</v>
      </c>
      <c r="AN1256">
        <v>1.00000002334773</v>
      </c>
    </row>
    <row r="1257" spans="1:40" x14ac:dyDescent="0.25">
      <c r="A1257" t="str">
        <f>"20190312160321723"</f>
        <v>20190312160321723</v>
      </c>
      <c r="B1257" t="str">
        <f>"1552377801716171"</f>
        <v>1552377801716171</v>
      </c>
      <c r="C1257" t="s">
        <v>40</v>
      </c>
      <c r="D1257">
        <v>5.7034079999999996</v>
      </c>
      <c r="E1257">
        <v>0.60997579999999996</v>
      </c>
      <c r="F1257" t="s">
        <v>46</v>
      </c>
      <c r="G1257">
        <v>-168.4006</v>
      </c>
      <c r="H1257">
        <v>1.6895290000000001</v>
      </c>
      <c r="I1257">
        <v>329.38589999999999</v>
      </c>
      <c r="J1257">
        <v>-204.1267</v>
      </c>
      <c r="K1257">
        <v>1.0997629999999901</v>
      </c>
      <c r="L1257">
        <v>363.81369999999998</v>
      </c>
      <c r="M1257">
        <v>0.94021279999999996</v>
      </c>
      <c r="N1257">
        <v>0</v>
      </c>
      <c r="O1257">
        <v>-0.34025549999999999</v>
      </c>
      <c r="P1257">
        <v>0.8849513</v>
      </c>
      <c r="Q1257">
        <v>3.1833500000000001E-2</v>
      </c>
      <c r="R1257">
        <v>-0.46459460000000002</v>
      </c>
      <c r="S1257">
        <v>2.255646</v>
      </c>
      <c r="T1257">
        <v>3.7039280000000001E-2</v>
      </c>
      <c r="U1257">
        <v>-2.1668090000000002</v>
      </c>
      <c r="V1257">
        <v>0.1368231</v>
      </c>
      <c r="W1257">
        <v>4.3396499999999998E-2</v>
      </c>
      <c r="X1257">
        <v>0.98964450000000004</v>
      </c>
      <c r="Y1257">
        <v>0.40600510000000001</v>
      </c>
      <c r="Z1257">
        <v>-1.6674909999999999E-3</v>
      </c>
      <c r="AA1257">
        <v>0.9138693</v>
      </c>
      <c r="AB1257">
        <v>42</v>
      </c>
      <c r="AC1257">
        <v>35.726100000000002</v>
      </c>
      <c r="AD1257">
        <v>0.58976600000000001</v>
      </c>
      <c r="AE1257">
        <v>-34.427799999999898</v>
      </c>
      <c r="AF1257">
        <v>20.212885541372</v>
      </c>
      <c r="AG1257">
        <v>0.58976600000000001</v>
      </c>
      <c r="AH1257">
        <v>45.303105762022</v>
      </c>
      <c r="AI1257">
        <v>89.318866742198594</v>
      </c>
      <c r="AJ1257">
        <v>65.955006056729502</v>
      </c>
      <c r="AK1257">
        <v>49.611288609834702</v>
      </c>
      <c r="AL1257">
        <v>87.512782675770495</v>
      </c>
      <c r="AM1257">
        <v>82.128483567888097</v>
      </c>
      <c r="AN1257">
        <v>1.00000002664305</v>
      </c>
    </row>
    <row r="1258" spans="1:40" x14ac:dyDescent="0.25">
      <c r="A1258" t="str">
        <f>"20190312160321735"</f>
        <v>20190312160321735</v>
      </c>
      <c r="B1258" t="str">
        <f>"1552377801725932"</f>
        <v>1552377801725932</v>
      </c>
      <c r="C1258" t="s">
        <v>40</v>
      </c>
      <c r="D1258">
        <v>5.8183259999999999</v>
      </c>
      <c r="E1258">
        <v>0.61349030000000004</v>
      </c>
      <c r="F1258" t="s">
        <v>46</v>
      </c>
      <c r="G1258">
        <v>-168.40090000000001</v>
      </c>
      <c r="H1258">
        <v>2.781056</v>
      </c>
      <c r="I1258">
        <v>329.31130000000002</v>
      </c>
      <c r="J1258">
        <v>-203.9145</v>
      </c>
      <c r="K1258">
        <v>1.099647</v>
      </c>
      <c r="L1258">
        <v>363.73349999999999</v>
      </c>
      <c r="M1258">
        <v>0.93846819999999997</v>
      </c>
      <c r="N1258">
        <v>0</v>
      </c>
      <c r="O1258">
        <v>-0.34503779999999901</v>
      </c>
      <c r="P1258">
        <v>0.8823183</v>
      </c>
      <c r="Q1258">
        <v>3.1901520000000003E-2</v>
      </c>
      <c r="R1258">
        <v>-0.46957120000000002</v>
      </c>
      <c r="S1258">
        <v>2.2469640000000002</v>
      </c>
      <c r="T1258">
        <v>0.1057448</v>
      </c>
      <c r="U1258">
        <v>-2.170013</v>
      </c>
      <c r="V1258">
        <v>0.13737269999999999</v>
      </c>
      <c r="W1258">
        <v>4.3426989999999999E-2</v>
      </c>
      <c r="X1258">
        <v>0.98956699999999997</v>
      </c>
      <c r="Y1258">
        <v>0.40375430000000001</v>
      </c>
      <c r="Z1258">
        <v>-4.9806670000000003E-3</v>
      </c>
      <c r="AA1258">
        <v>0.9148539</v>
      </c>
      <c r="AB1258">
        <v>42</v>
      </c>
      <c r="AC1258">
        <v>35.513599999999997</v>
      </c>
      <c r="AD1258">
        <v>1.6814089999999999</v>
      </c>
      <c r="AE1258">
        <v>-34.422199999999897</v>
      </c>
      <c r="AF1258">
        <v>20.029725533636199</v>
      </c>
      <c r="AG1258">
        <v>1.6814089999999999</v>
      </c>
      <c r="AH1258">
        <v>45.158268876038399</v>
      </c>
      <c r="AI1258">
        <v>88.050637484468993</v>
      </c>
      <c r="AJ1258">
        <v>66.080558008130893</v>
      </c>
      <c r="AK1258">
        <v>49.429609436638899</v>
      </c>
      <c r="AL1258">
        <v>87.511034024705097</v>
      </c>
      <c r="AM1258">
        <v>82.096652358164903</v>
      </c>
      <c r="AN1258">
        <v>1.0000000048273701</v>
      </c>
    </row>
    <row r="1259" spans="1:40" x14ac:dyDescent="0.25">
      <c r="A1259" t="str">
        <f>"20190312160321747"</f>
        <v>20190312160321747</v>
      </c>
      <c r="B1259" t="str">
        <f>"1552377801735693"</f>
        <v>1552377801735693</v>
      </c>
      <c r="C1259" t="s">
        <v>40</v>
      </c>
      <c r="D1259">
        <v>5.6454259999999996</v>
      </c>
      <c r="E1259">
        <v>0.61361739999999998</v>
      </c>
      <c r="F1259" t="s">
        <v>46</v>
      </c>
      <c r="G1259">
        <v>-168.4008</v>
      </c>
      <c r="H1259">
        <v>2.2997519999999998</v>
      </c>
      <c r="I1259">
        <v>328.44119999999998</v>
      </c>
      <c r="J1259">
        <v>-203.703</v>
      </c>
      <c r="K1259">
        <v>1.099534</v>
      </c>
      <c r="L1259">
        <v>363.65300000000002</v>
      </c>
      <c r="M1259">
        <v>0.93669219999999997</v>
      </c>
      <c r="N1259">
        <v>0</v>
      </c>
      <c r="O1259">
        <v>-0.34982970000000002</v>
      </c>
      <c r="P1259">
        <v>0.87959799999999999</v>
      </c>
      <c r="Q1259">
        <v>3.1745210000000003E-2</v>
      </c>
      <c r="R1259">
        <v>-0.4746572</v>
      </c>
      <c r="S1259">
        <v>2.2221679999999999</v>
      </c>
      <c r="T1259">
        <v>7.5093510000000002E-2</v>
      </c>
      <c r="U1259">
        <v>-2.208313</v>
      </c>
      <c r="V1259">
        <v>0.138034299999999</v>
      </c>
      <c r="W1259">
        <v>4.3228809999999999E-2</v>
      </c>
      <c r="X1259">
        <v>0.98948360000000002</v>
      </c>
      <c r="Y1259">
        <v>0.41215459999999898</v>
      </c>
      <c r="Z1259">
        <v>-3.5430930000000002E-3</v>
      </c>
      <c r="AA1259">
        <v>0.91110709999999995</v>
      </c>
      <c r="AB1259">
        <v>42</v>
      </c>
      <c r="AC1259">
        <v>35.302199999999999</v>
      </c>
      <c r="AD1259">
        <v>1.200218</v>
      </c>
      <c r="AE1259">
        <v>-35.211799999999997</v>
      </c>
      <c r="AF1259">
        <v>20.623251932366902</v>
      </c>
      <c r="AG1259">
        <v>1.200218</v>
      </c>
      <c r="AH1259">
        <v>45.364293441216802</v>
      </c>
      <c r="AI1259">
        <v>88.620284097099997</v>
      </c>
      <c r="AJ1259">
        <v>65.552780976747698</v>
      </c>
      <c r="AK1259">
        <v>49.846546148496898</v>
      </c>
      <c r="AL1259">
        <v>87.522399554511196</v>
      </c>
      <c r="AM1259">
        <v>82.0584127312638</v>
      </c>
      <c r="AN1259">
        <v>0.99999999632973302</v>
      </c>
    </row>
    <row r="1260" spans="1:40" x14ac:dyDescent="0.25">
      <c r="A1260" t="str">
        <f>"20190312160321758"</f>
        <v>20190312160321758</v>
      </c>
      <c r="B1260" t="str">
        <f>"1552377801745452"</f>
        <v>1552377801745452</v>
      </c>
      <c r="C1260" t="s">
        <v>40</v>
      </c>
      <c r="D1260">
        <v>5.6316550000000003</v>
      </c>
      <c r="E1260">
        <v>0.61230439999999997</v>
      </c>
      <c r="F1260" t="s">
        <v>46</v>
      </c>
      <c r="G1260">
        <v>-168.4008</v>
      </c>
      <c r="H1260">
        <v>2.2821729999999998</v>
      </c>
      <c r="I1260">
        <v>328.14069999999998</v>
      </c>
      <c r="J1260">
        <v>-203.51349999999999</v>
      </c>
      <c r="K1260">
        <v>1.099434</v>
      </c>
      <c r="L1260">
        <v>363.57889999999998</v>
      </c>
      <c r="M1260">
        <v>0.93504430000000005</v>
      </c>
      <c r="N1260">
        <v>0</v>
      </c>
      <c r="O1260">
        <v>-0.35421039999999998</v>
      </c>
      <c r="P1260">
        <v>0.87715259999999995</v>
      </c>
      <c r="Q1260">
        <v>3.1474820000000001E-2</v>
      </c>
      <c r="R1260">
        <v>-0.47917939999999998</v>
      </c>
      <c r="S1260">
        <v>2.2089080000000001</v>
      </c>
      <c r="T1260">
        <v>7.3999759999999998E-2</v>
      </c>
      <c r="U1260">
        <v>-2.2220460000000002</v>
      </c>
      <c r="V1260">
        <v>0.13849700000000001</v>
      </c>
      <c r="W1260">
        <v>4.2925350000000001E-2</v>
      </c>
      <c r="X1260">
        <v>0.98943219999999998</v>
      </c>
      <c r="Y1260">
        <v>0.41344120000000001</v>
      </c>
      <c r="Z1260">
        <v>-3.5866579999999999E-3</v>
      </c>
      <c r="AA1260">
        <v>0.91052379999999999</v>
      </c>
      <c r="AB1260">
        <v>42</v>
      </c>
      <c r="AC1260">
        <v>35.112699999999897</v>
      </c>
      <c r="AD1260">
        <v>1.18273899999999</v>
      </c>
      <c r="AE1260">
        <v>-35.438199999999902</v>
      </c>
      <c r="AF1260">
        <v>20.6897255295364</v>
      </c>
      <c r="AG1260">
        <v>1.18273899999999</v>
      </c>
      <c r="AH1260">
        <v>45.364166387133203</v>
      </c>
      <c r="AI1260">
        <v>88.641117316982601</v>
      </c>
      <c r="AJ1260">
        <v>65.483181497535298</v>
      </c>
      <c r="AK1260">
        <v>49.873552169753999</v>
      </c>
      <c r="AL1260">
        <v>87.539802797612396</v>
      </c>
      <c r="AM1260">
        <v>82.031724736631602</v>
      </c>
      <c r="AN1260">
        <v>1.0000000415392301</v>
      </c>
    </row>
    <row r="1261" spans="1:40" x14ac:dyDescent="0.25">
      <c r="A1261" t="str">
        <f>"20190312160321768"</f>
        <v>20190312160321768</v>
      </c>
      <c r="B1261" t="str">
        <f>"1552377801765948"</f>
        <v>1552377801765948</v>
      </c>
      <c r="C1261" t="s">
        <v>40</v>
      </c>
      <c r="D1261">
        <v>6.0503960000000001</v>
      </c>
      <c r="E1261">
        <v>0.61175880000000005</v>
      </c>
      <c r="F1261" t="s">
        <v>46</v>
      </c>
      <c r="G1261">
        <v>-168.4008</v>
      </c>
      <c r="H1261">
        <v>2.5426609999999998</v>
      </c>
      <c r="I1261">
        <v>328.1259</v>
      </c>
      <c r="J1261">
        <v>-203.31800000000001</v>
      </c>
      <c r="K1261">
        <v>1.0993200000000001</v>
      </c>
      <c r="L1261">
        <v>363.50209999999998</v>
      </c>
      <c r="M1261">
        <v>0.93331609999999998</v>
      </c>
      <c r="N1261">
        <v>0</v>
      </c>
      <c r="O1261">
        <v>-0.35873890000000003</v>
      </c>
      <c r="P1261">
        <v>0.87449469999999996</v>
      </c>
      <c r="Q1261">
        <v>3.1403680000000003E-2</v>
      </c>
      <c r="R1261">
        <v>-0.48401759999999999</v>
      </c>
      <c r="S1261">
        <v>2.202194</v>
      </c>
      <c r="T1261">
        <v>9.0516570000000005E-2</v>
      </c>
      <c r="U1261">
        <v>-2.223541</v>
      </c>
      <c r="V1261">
        <v>0.13917470000000001</v>
      </c>
      <c r="W1261">
        <v>4.2813860000000002E-2</v>
      </c>
      <c r="X1261">
        <v>0.9893419</v>
      </c>
      <c r="Y1261">
        <v>0.41071089999999999</v>
      </c>
      <c r="Z1261">
        <v>-4.5761129999999997E-3</v>
      </c>
      <c r="AA1261">
        <v>0.91175410000000001</v>
      </c>
      <c r="AB1261">
        <v>42</v>
      </c>
      <c r="AC1261">
        <v>34.917199999999902</v>
      </c>
      <c r="AD1261">
        <v>1.44334099999999</v>
      </c>
      <c r="AE1261">
        <v>-35.376199999999898</v>
      </c>
      <c r="AF1261">
        <v>20.476084905403798</v>
      </c>
      <c r="AG1261">
        <v>1.44334099999999</v>
      </c>
      <c r="AH1261">
        <v>45.246603479660202</v>
      </c>
      <c r="AI1261">
        <v>88.335336028117197</v>
      </c>
      <c r="AJ1261">
        <v>65.651149342948003</v>
      </c>
      <c r="AK1261">
        <v>49.685092459823302</v>
      </c>
      <c r="AL1261">
        <v>87.546196502885294</v>
      </c>
      <c r="AM1261">
        <v>81.992517113580803</v>
      </c>
      <c r="AN1261">
        <v>1.0000000094118899</v>
      </c>
    </row>
    <row r="1262" spans="1:40" x14ac:dyDescent="0.25">
      <c r="A1262" t="str">
        <f>"20190312160321780"</f>
        <v>20190312160321780</v>
      </c>
      <c r="B1262" t="str">
        <f>"1552377801775708"</f>
        <v>1552377801775708</v>
      </c>
      <c r="C1262" t="s">
        <v>40</v>
      </c>
      <c r="D1262">
        <v>5.7667270000000004</v>
      </c>
      <c r="E1262">
        <v>0.61286030000000002</v>
      </c>
      <c r="F1262" t="s">
        <v>46</v>
      </c>
      <c r="G1262">
        <v>-168.40090000000001</v>
      </c>
      <c r="H1262">
        <v>2.8278989999999999</v>
      </c>
      <c r="I1262">
        <v>327.94130000000001</v>
      </c>
      <c r="J1262">
        <v>-203.11199999999999</v>
      </c>
      <c r="K1262">
        <v>1.0992090000000001</v>
      </c>
      <c r="L1262">
        <v>363.41950000000003</v>
      </c>
      <c r="M1262">
        <v>0.93143609999999999</v>
      </c>
      <c r="N1262">
        <v>0</v>
      </c>
      <c r="O1262">
        <v>-0.36359170000000002</v>
      </c>
      <c r="P1262">
        <v>0.87176319999999996</v>
      </c>
      <c r="Q1262">
        <v>3.1260650000000001E-2</v>
      </c>
      <c r="R1262">
        <v>-0.48892970000000002</v>
      </c>
      <c r="S1262">
        <v>2.191376</v>
      </c>
      <c r="T1262">
        <v>0.1084851</v>
      </c>
      <c r="U1262">
        <v>-2.2317809999999998</v>
      </c>
      <c r="V1262">
        <v>0.1395972</v>
      </c>
      <c r="W1262">
        <v>4.2636640000000003E-2</v>
      </c>
      <c r="X1262">
        <v>0.98929</v>
      </c>
      <c r="Y1262">
        <v>0.40988790000000003</v>
      </c>
      <c r="Z1262">
        <v>-5.6845359999999996E-3</v>
      </c>
      <c r="AA1262">
        <v>0.91211819999999999</v>
      </c>
      <c r="AB1262">
        <v>42</v>
      </c>
      <c r="AC1262">
        <v>34.711099999999902</v>
      </c>
      <c r="AD1262">
        <v>1.7286899999999901</v>
      </c>
      <c r="AE1262">
        <v>-35.478200000000001</v>
      </c>
      <c r="AF1262">
        <v>20.402586985633</v>
      </c>
      <c r="AG1262">
        <v>1.7286899999999901</v>
      </c>
      <c r="AH1262">
        <v>45.181098944895901</v>
      </c>
      <c r="AI1262">
        <v>88.002860239507697</v>
      </c>
      <c r="AJ1262">
        <v>65.697325946847101</v>
      </c>
      <c r="AK1262">
        <v>49.604290406081802</v>
      </c>
      <c r="AL1262">
        <v>87.556359676020406</v>
      </c>
      <c r="AM1262">
        <v>81.968109238956401</v>
      </c>
      <c r="AN1262">
        <v>0.99999998270916401</v>
      </c>
    </row>
    <row r="1263" spans="1:40" x14ac:dyDescent="0.25">
      <c r="A1263" t="str">
        <f>"20190312160321791"</f>
        <v>20190312160321791</v>
      </c>
      <c r="B1263" t="str">
        <f>"1552377801785467"</f>
        <v>1552377801785467</v>
      </c>
      <c r="C1263" t="s">
        <v>40</v>
      </c>
      <c r="D1263">
        <v>6.0411479999999997</v>
      </c>
      <c r="E1263">
        <v>0.61324199999999995</v>
      </c>
      <c r="F1263" t="s">
        <v>46</v>
      </c>
      <c r="G1263">
        <v>-168.4008</v>
      </c>
      <c r="H1263">
        <v>2.4590920000000001</v>
      </c>
      <c r="I1263">
        <v>327.471</v>
      </c>
      <c r="J1263">
        <v>-202.92500000000001</v>
      </c>
      <c r="K1263">
        <v>1.099108</v>
      </c>
      <c r="L1263">
        <v>363.34379999999999</v>
      </c>
      <c r="M1263">
        <v>0.92969460000000004</v>
      </c>
      <c r="N1263">
        <v>0</v>
      </c>
      <c r="O1263">
        <v>-0.3680213</v>
      </c>
      <c r="P1263">
        <v>0.86912210000000001</v>
      </c>
      <c r="Q1263">
        <v>3.116089E-2</v>
      </c>
      <c r="R1263">
        <v>-0.49361529999999998</v>
      </c>
      <c r="S1263">
        <v>2.1749420000000002</v>
      </c>
      <c r="T1263">
        <v>8.5208300000000001E-2</v>
      </c>
      <c r="U1263">
        <v>-2.252472</v>
      </c>
      <c r="V1263">
        <v>0.14021989999999901</v>
      </c>
      <c r="W1263">
        <v>4.2499439999999999E-2</v>
      </c>
      <c r="X1263">
        <v>0.98920790000000003</v>
      </c>
      <c r="Y1263">
        <v>0.41319529999999899</v>
      </c>
      <c r="Z1263">
        <v>-4.5432780000000004E-3</v>
      </c>
      <c r="AA1263">
        <v>0.91063110000000003</v>
      </c>
      <c r="AB1263">
        <v>42</v>
      </c>
      <c r="AC1263">
        <v>34.5242</v>
      </c>
      <c r="AD1263">
        <v>1.3599839999999901</v>
      </c>
      <c r="AE1263">
        <v>-35.872799999999899</v>
      </c>
      <c r="AF1263">
        <v>20.632069497057099</v>
      </c>
      <c r="AG1263">
        <v>1.3599839999999901</v>
      </c>
      <c r="AH1263">
        <v>45.270309219717397</v>
      </c>
      <c r="AI1263">
        <v>88.434138350095495</v>
      </c>
      <c r="AJ1263">
        <v>65.498741393789103</v>
      </c>
      <c r="AK1263">
        <v>49.768792883296598</v>
      </c>
      <c r="AL1263">
        <v>87.564227943476993</v>
      </c>
      <c r="AM1263">
        <v>81.9320913390805</v>
      </c>
      <c r="AN1263">
        <v>1.0000000460893601</v>
      </c>
    </row>
    <row r="1264" spans="1:40" x14ac:dyDescent="0.25">
      <c r="A1264" t="str">
        <f>"20190312160321802"</f>
        <v>20190312160321802</v>
      </c>
      <c r="B1264" t="str">
        <f>"1552377801796204"</f>
        <v>1552377801796204</v>
      </c>
      <c r="C1264" t="s">
        <v>40</v>
      </c>
      <c r="D1264">
        <v>6.0660660000000002</v>
      </c>
      <c r="E1264">
        <v>0.61353769999999996</v>
      </c>
      <c r="F1264" t="s">
        <v>46</v>
      </c>
      <c r="G1264">
        <v>-168.4008</v>
      </c>
      <c r="H1264">
        <v>2.4105470000000002</v>
      </c>
      <c r="I1264">
        <v>327.14400000000001</v>
      </c>
      <c r="J1264">
        <v>-202.73099999999999</v>
      </c>
      <c r="K1264">
        <v>1.099005</v>
      </c>
      <c r="L1264">
        <v>363.26389999999998</v>
      </c>
      <c r="M1264">
        <v>0.92784109999999997</v>
      </c>
      <c r="N1264">
        <v>0</v>
      </c>
      <c r="O1264">
        <v>-0.37266870000000002</v>
      </c>
      <c r="P1264">
        <v>0.86635019999999996</v>
      </c>
      <c r="Q1264">
        <v>3.078179E-2</v>
      </c>
      <c r="R1264">
        <v>-0.49848759999999998</v>
      </c>
      <c r="S1264">
        <v>2.161575</v>
      </c>
      <c r="T1264">
        <v>8.2110169999999996E-2</v>
      </c>
      <c r="U1264">
        <v>-2.2664789999999999</v>
      </c>
      <c r="V1264">
        <v>0.14082</v>
      </c>
      <c r="W1264">
        <v>4.2082580000000001E-2</v>
      </c>
      <c r="X1264">
        <v>0.98914049999999998</v>
      </c>
      <c r="Y1264">
        <v>0.41426550000000001</v>
      </c>
      <c r="Z1264">
        <v>-4.494329E-3</v>
      </c>
      <c r="AA1264">
        <v>0.91014499999999998</v>
      </c>
      <c r="AB1264">
        <v>42</v>
      </c>
      <c r="AC1264">
        <v>34.330199999999898</v>
      </c>
      <c r="AD1264">
        <v>1.311542</v>
      </c>
      <c r="AE1264">
        <v>-36.119899999999902</v>
      </c>
      <c r="AF1264">
        <v>20.7077644081076</v>
      </c>
      <c r="AG1264">
        <v>1.311542</v>
      </c>
      <c r="AH1264">
        <v>45.2875434066558</v>
      </c>
      <c r="AI1264">
        <v>88.4913153398699</v>
      </c>
      <c r="AJ1264">
        <v>65.427714369572598</v>
      </c>
      <c r="AK1264">
        <v>49.814588596205297</v>
      </c>
      <c r="AL1264">
        <v>87.588133712143602</v>
      </c>
      <c r="AM1264">
        <v>81.897475806112396</v>
      </c>
      <c r="AN1264">
        <v>1.0000000723398501</v>
      </c>
    </row>
    <row r="1265" spans="1:40" x14ac:dyDescent="0.25">
      <c r="A1265" t="str">
        <f>"20190312160321817"</f>
        <v>20190312160321817</v>
      </c>
      <c r="B1265" t="str">
        <f>"1552377801805964"</f>
        <v>1552377801805964</v>
      </c>
      <c r="C1265" t="s">
        <v>40</v>
      </c>
      <c r="D1265">
        <v>5.7748049999999997</v>
      </c>
      <c r="E1265">
        <v>0.61413409999999902</v>
      </c>
      <c r="F1265" t="s">
        <v>46</v>
      </c>
      <c r="G1265">
        <v>-168.4008</v>
      </c>
      <c r="H1265">
        <v>2.3428909999999998</v>
      </c>
      <c r="I1265">
        <v>326.80650000000003</v>
      </c>
      <c r="J1265">
        <v>-202.4718</v>
      </c>
      <c r="K1265">
        <v>1.098867</v>
      </c>
      <c r="L1265">
        <v>363.15519999999998</v>
      </c>
      <c r="M1265">
        <v>0.92529309999999998</v>
      </c>
      <c r="N1265">
        <v>0</v>
      </c>
      <c r="O1265">
        <v>-0.37895030000000002</v>
      </c>
      <c r="P1265">
        <v>0.86252980000000001</v>
      </c>
      <c r="Q1265">
        <v>3.0601039999999999E-2</v>
      </c>
      <c r="R1265">
        <v>-0.50508069999999905</v>
      </c>
      <c r="S1265">
        <v>2.1477200000000001</v>
      </c>
      <c r="T1265">
        <v>7.781863E-2</v>
      </c>
      <c r="U1265">
        <v>-2.2807919999999999</v>
      </c>
      <c r="V1265">
        <v>0.14166489999999901</v>
      </c>
      <c r="W1265">
        <v>4.1850569999999997E-2</v>
      </c>
      <c r="X1265">
        <v>0.98902959999999995</v>
      </c>
      <c r="Y1265">
        <v>0.4138812</v>
      </c>
      <c r="Z1265">
        <v>-4.433167E-3</v>
      </c>
      <c r="AA1265">
        <v>0.91032009999999997</v>
      </c>
      <c r="AB1265">
        <v>42</v>
      </c>
      <c r="AC1265">
        <v>34.070999999999998</v>
      </c>
      <c r="AD1265">
        <v>1.24402399999999</v>
      </c>
      <c r="AE1265">
        <v>-36.348699999999901</v>
      </c>
      <c r="AF1265">
        <v>20.711448483182799</v>
      </c>
      <c r="AG1265">
        <v>1.24402399999999</v>
      </c>
      <c r="AH1265">
        <v>45.276976880349302</v>
      </c>
      <c r="AI1265">
        <v>88.568716990306498</v>
      </c>
      <c r="AJ1265">
        <v>65.418802341339003</v>
      </c>
      <c r="AK1265">
        <v>49.804782194160801</v>
      </c>
      <c r="AL1265">
        <v>87.6014384093627</v>
      </c>
      <c r="AM1265">
        <v>81.848611453618503</v>
      </c>
      <c r="AN1265">
        <v>0.99999998188874695</v>
      </c>
    </row>
    <row r="1266" spans="1:40" x14ac:dyDescent="0.25">
      <c r="A1266" t="str">
        <f>"20190312160321826"</f>
        <v>20190312160321826</v>
      </c>
      <c r="B1266" t="str">
        <f>"1552377801815724"</f>
        <v>1552377801815724</v>
      </c>
      <c r="C1266" t="s">
        <v>40</v>
      </c>
      <c r="D1266">
        <v>5.5587799999999996</v>
      </c>
      <c r="E1266">
        <v>0.61346259999999997</v>
      </c>
      <c r="F1266" t="s">
        <v>46</v>
      </c>
      <c r="G1266">
        <v>-168.4007</v>
      </c>
      <c r="H1266">
        <v>2.0883799999999999</v>
      </c>
      <c r="I1266">
        <v>326.30829999999997</v>
      </c>
      <c r="J1266">
        <v>-202.2961</v>
      </c>
      <c r="K1266">
        <v>1.0987769999999999</v>
      </c>
      <c r="L1266">
        <v>363.08100000000002</v>
      </c>
      <c r="M1266">
        <v>0.92352990000000001</v>
      </c>
      <c r="N1266">
        <v>0</v>
      </c>
      <c r="O1266">
        <v>-0.38322679999999998</v>
      </c>
      <c r="P1266">
        <v>0.85989040000000005</v>
      </c>
      <c r="Q1266">
        <v>3.0181610000000001E-2</v>
      </c>
      <c r="R1266">
        <v>-0.50958570000000003</v>
      </c>
      <c r="S1266">
        <v>2.1281889999999999</v>
      </c>
      <c r="T1266">
        <v>6.1808469999999997E-2</v>
      </c>
      <c r="U1266">
        <v>-2.3015750000000001</v>
      </c>
      <c r="V1266">
        <v>0.14225579999999999</v>
      </c>
      <c r="W1266">
        <v>4.1395109999999999E-2</v>
      </c>
      <c r="X1266">
        <v>0.98896399999999995</v>
      </c>
      <c r="Y1266">
        <v>0.41793789999999997</v>
      </c>
      <c r="Z1266">
        <v>-3.5685370000000001E-3</v>
      </c>
      <c r="AA1266">
        <v>0.90846859999999996</v>
      </c>
      <c r="AB1266">
        <v>42</v>
      </c>
      <c r="AC1266">
        <v>33.895399999999903</v>
      </c>
      <c r="AD1266">
        <v>0.98960299999999901</v>
      </c>
      <c r="AE1266">
        <v>-36.772699999999901</v>
      </c>
      <c r="AF1266">
        <v>20.9652627536998</v>
      </c>
      <c r="AG1266">
        <v>0.98960299999999901</v>
      </c>
      <c r="AH1266">
        <v>45.383145391988698</v>
      </c>
      <c r="AI1266">
        <v>88.865958797114502</v>
      </c>
      <c r="AJ1266">
        <v>65.204884108900202</v>
      </c>
      <c r="AK1266">
        <v>50.001514398062703</v>
      </c>
      <c r="AL1266">
        <v>87.627557095774705</v>
      </c>
      <c r="AM1266">
        <v>81.814535291092497</v>
      </c>
      <c r="AN1266">
        <v>1.0000000305307699</v>
      </c>
    </row>
    <row r="1267" spans="1:40" x14ac:dyDescent="0.25">
      <c r="A1267" t="str">
        <f>"20190312160321836"</f>
        <v>20190312160321836</v>
      </c>
      <c r="B1267" t="str">
        <f>"1552377801825483"</f>
        <v>1552377801825483</v>
      </c>
      <c r="C1267" t="s">
        <v>40</v>
      </c>
      <c r="D1267">
        <v>6.1275820000000003</v>
      </c>
      <c r="E1267">
        <v>0.61284430000000001</v>
      </c>
      <c r="F1267" t="s">
        <v>46</v>
      </c>
      <c r="G1267">
        <v>-168.4007</v>
      </c>
      <c r="H1267">
        <v>2.1894429999999998</v>
      </c>
      <c r="I1267">
        <v>326.1617</v>
      </c>
      <c r="J1267">
        <v>-202.13900000000001</v>
      </c>
      <c r="K1267">
        <v>1.0986959999999999</v>
      </c>
      <c r="L1267">
        <v>363.0129</v>
      </c>
      <c r="M1267">
        <v>0.92190399999999995</v>
      </c>
      <c r="N1267">
        <v>0</v>
      </c>
      <c r="O1267">
        <v>-0.38712150000000001</v>
      </c>
      <c r="P1267">
        <v>0.85739730000000003</v>
      </c>
      <c r="Q1267">
        <v>2.9730099999999999E-2</v>
      </c>
      <c r="R1267">
        <v>-0.51379609999999998</v>
      </c>
      <c r="S1267">
        <v>2.1187740000000002</v>
      </c>
      <c r="T1267">
        <v>6.8177100000000004E-2</v>
      </c>
      <c r="U1267">
        <v>-2.3077999999999999</v>
      </c>
      <c r="V1267">
        <v>0.14292089999999999</v>
      </c>
      <c r="W1267">
        <v>4.0908659999999999E-2</v>
      </c>
      <c r="X1267">
        <v>0.98888830000000005</v>
      </c>
      <c r="Y1267">
        <v>0.41733219999999999</v>
      </c>
      <c r="Z1267">
        <v>-4.0379090000000001E-3</v>
      </c>
      <c r="AA1267">
        <v>0.90874509999999997</v>
      </c>
      <c r="AB1267">
        <v>42</v>
      </c>
      <c r="AC1267">
        <v>33.738300000000002</v>
      </c>
      <c r="AD1267">
        <v>1.0907469999999999</v>
      </c>
      <c r="AE1267">
        <v>-36.851199999999999</v>
      </c>
      <c r="AF1267">
        <v>20.9048890277749</v>
      </c>
      <c r="AG1267">
        <v>1.0907469999999999</v>
      </c>
      <c r="AH1267">
        <v>45.352967764246898</v>
      </c>
      <c r="AI1267">
        <v>88.748768794770996</v>
      </c>
      <c r="AJ1267">
        <v>65.253246109830101</v>
      </c>
      <c r="AK1267">
        <v>49.950933918260397</v>
      </c>
      <c r="AL1267">
        <v>87.655452152600702</v>
      </c>
      <c r="AM1267">
        <v>81.776166435621903</v>
      </c>
      <c r="AN1267">
        <v>0.99999998599834705</v>
      </c>
    </row>
    <row r="1268" spans="1:40" x14ac:dyDescent="0.25">
      <c r="A1268" t="str">
        <f>"20190312160321845"</f>
        <v>20190312160321845</v>
      </c>
      <c r="B1268" t="str">
        <f>"1552377801836221"</f>
        <v>1552377801836221</v>
      </c>
      <c r="C1268" t="s">
        <v>40</v>
      </c>
      <c r="D1268">
        <v>5.8027739999999897</v>
      </c>
      <c r="E1268">
        <v>0.61223819999999995</v>
      </c>
      <c r="F1268" t="s">
        <v>46</v>
      </c>
      <c r="G1268">
        <v>-168.4007</v>
      </c>
      <c r="H1268">
        <v>2.2625359999999999</v>
      </c>
      <c r="I1268">
        <v>326.02170000000001</v>
      </c>
      <c r="J1268">
        <v>-201.9547</v>
      </c>
      <c r="K1268">
        <v>1.0986020000000001</v>
      </c>
      <c r="L1268">
        <v>362.93290000000002</v>
      </c>
      <c r="M1268">
        <v>0.91997479999999998</v>
      </c>
      <c r="N1268">
        <v>0</v>
      </c>
      <c r="O1268">
        <v>-0.39168350000000002</v>
      </c>
      <c r="P1268">
        <v>0.85443219999999998</v>
      </c>
      <c r="Q1268">
        <v>2.9571159999999999E-2</v>
      </c>
      <c r="R1268">
        <v>-0.51872070000000003</v>
      </c>
      <c r="S1268">
        <v>2.1100620000000001</v>
      </c>
      <c r="T1268">
        <v>7.2789430000000002E-2</v>
      </c>
      <c r="U1268">
        <v>-2.313507</v>
      </c>
      <c r="V1268">
        <v>0.14371510000000001</v>
      </c>
      <c r="W1268">
        <v>4.0706180000000002E-2</v>
      </c>
      <c r="X1268">
        <v>0.98878160000000004</v>
      </c>
      <c r="Y1268">
        <v>0.41581249999999997</v>
      </c>
      <c r="Z1268">
        <v>-4.4478779999999997E-3</v>
      </c>
      <c r="AA1268">
        <v>0.90943949999999996</v>
      </c>
      <c r="AB1268">
        <v>42</v>
      </c>
      <c r="AC1268">
        <v>33.554000000000002</v>
      </c>
      <c r="AD1268">
        <v>1.16393399999999</v>
      </c>
      <c r="AE1268">
        <v>-36.911200000000001</v>
      </c>
      <c r="AF1268">
        <v>20.805896363854</v>
      </c>
      <c r="AG1268">
        <v>1.16393399999999</v>
      </c>
      <c r="AH1268">
        <v>45.306897977678702</v>
      </c>
      <c r="AI1268">
        <v>88.662614978505999</v>
      </c>
      <c r="AJ1268">
        <v>65.334400932920602</v>
      </c>
      <c r="AK1268">
        <v>49.869380086577898</v>
      </c>
      <c r="AL1268">
        <v>87.667063194630899</v>
      </c>
      <c r="AM1268">
        <v>81.730217496030804</v>
      </c>
      <c r="AN1268">
        <v>1.00000003777838</v>
      </c>
    </row>
    <row r="1269" spans="1:40" x14ac:dyDescent="0.25">
      <c r="A1269" t="str">
        <f>"20190312160321857"</f>
        <v>20190312160321857</v>
      </c>
      <c r="B1269" t="str">
        <f>"1552377801845980"</f>
        <v>1552377801845980</v>
      </c>
      <c r="C1269" t="s">
        <v>40</v>
      </c>
      <c r="D1269">
        <v>5.8480480000000004</v>
      </c>
      <c r="E1269">
        <v>0.61262320000000003</v>
      </c>
      <c r="F1269" t="s">
        <v>46</v>
      </c>
      <c r="G1269">
        <v>-168.4008</v>
      </c>
      <c r="H1269">
        <v>2.332471</v>
      </c>
      <c r="I1269">
        <v>325.81650000000002</v>
      </c>
      <c r="J1269">
        <v>-201.7628</v>
      </c>
      <c r="K1269">
        <v>1.0984989999999999</v>
      </c>
      <c r="L1269">
        <v>362.8476</v>
      </c>
      <c r="M1269">
        <v>0.91790159999999998</v>
      </c>
      <c r="N1269">
        <v>0</v>
      </c>
      <c r="O1269">
        <v>-0.39651710000000001</v>
      </c>
      <c r="P1269">
        <v>0.85129179999999904</v>
      </c>
      <c r="Q1269">
        <v>2.9512799999999999E-2</v>
      </c>
      <c r="R1269">
        <v>-0.5238621</v>
      </c>
      <c r="S1269">
        <v>2.0989070000000001</v>
      </c>
      <c r="T1269">
        <v>7.7182890000000004E-2</v>
      </c>
      <c r="U1269">
        <v>-2.3217469999999998</v>
      </c>
      <c r="V1269">
        <v>0.14448220000000001</v>
      </c>
      <c r="W1269">
        <v>4.0605179999999998E-2</v>
      </c>
      <c r="X1269">
        <v>0.98867389999999999</v>
      </c>
      <c r="Y1269">
        <v>0.41503679999999898</v>
      </c>
      <c r="Z1269">
        <v>-4.8587889999999996E-3</v>
      </c>
      <c r="AA1269">
        <v>0.90979160000000003</v>
      </c>
      <c r="AB1269">
        <v>42</v>
      </c>
      <c r="AC1269">
        <v>33.361999999999902</v>
      </c>
      <c r="AD1269">
        <v>1.2339719999999901</v>
      </c>
      <c r="AE1269">
        <v>-37.031099999999903</v>
      </c>
      <c r="AF1269">
        <v>20.751980016685199</v>
      </c>
      <c r="AG1269">
        <v>1.2339719999999901</v>
      </c>
      <c r="AH1269">
        <v>45.283972444588002</v>
      </c>
      <c r="AI1269">
        <v>88.5809392501356</v>
      </c>
      <c r="AJ1269">
        <v>65.379754074852499</v>
      </c>
      <c r="AK1269">
        <v>49.827758547539503</v>
      </c>
      <c r="AL1269">
        <v>87.672854730565405</v>
      </c>
      <c r="AM1269">
        <v>81.685798716666596</v>
      </c>
      <c r="AN1269">
        <v>0.99999998365044096</v>
      </c>
    </row>
    <row r="1270" spans="1:40" x14ac:dyDescent="0.25">
      <c r="A1270" t="str">
        <f>"20190312160321871"</f>
        <v>20190312160321871</v>
      </c>
      <c r="B1270" t="str">
        <f>"1552377801865500"</f>
        <v>1552377801865500</v>
      </c>
      <c r="C1270" t="s">
        <v>40</v>
      </c>
      <c r="D1270">
        <v>5.8024779999999998</v>
      </c>
      <c r="E1270">
        <v>0.61161829999999995</v>
      </c>
      <c r="F1270" t="s">
        <v>46</v>
      </c>
      <c r="G1270">
        <v>-168.4007</v>
      </c>
      <c r="H1270">
        <v>2.1281379999999999</v>
      </c>
      <c r="I1270">
        <v>325.42919999999998</v>
      </c>
      <c r="J1270">
        <v>-201.5368</v>
      </c>
      <c r="K1270">
        <v>1.0983769999999999</v>
      </c>
      <c r="L1270">
        <v>362.74630000000002</v>
      </c>
      <c r="M1270">
        <v>0.91541119999999998</v>
      </c>
      <c r="N1270">
        <v>0</v>
      </c>
      <c r="O1270">
        <v>-0.4022329</v>
      </c>
      <c r="P1270">
        <v>0.8477228</v>
      </c>
      <c r="Q1270">
        <v>2.9183250000000001E-2</v>
      </c>
      <c r="R1270">
        <v>-0.52963640000000001</v>
      </c>
      <c r="S1270">
        <v>2.0836939999999999</v>
      </c>
      <c r="T1270">
        <v>6.4308400000000002E-2</v>
      </c>
      <c r="U1270">
        <v>-2.3370359999999999</v>
      </c>
      <c r="V1270">
        <v>0.14503569999999999</v>
      </c>
      <c r="W1270">
        <v>4.0234979999999997E-2</v>
      </c>
      <c r="X1270">
        <v>0.98860800000000004</v>
      </c>
      <c r="Y1270">
        <v>0.4156261</v>
      </c>
      <c r="Z1270">
        <v>-4.1690929999999996E-3</v>
      </c>
      <c r="AA1270">
        <v>0.90952599999999995</v>
      </c>
      <c r="AB1270">
        <v>42</v>
      </c>
      <c r="AC1270">
        <v>33.136099999999999</v>
      </c>
      <c r="AD1270">
        <v>1.0297609999999999</v>
      </c>
      <c r="AE1270">
        <v>-37.317100000000003</v>
      </c>
      <c r="AF1270">
        <v>20.825601609002302</v>
      </c>
      <c r="AG1270">
        <v>1.0297609999999999</v>
      </c>
      <c r="AH1270">
        <v>45.329261316598</v>
      </c>
      <c r="AI1270">
        <v>88.817412883330505</v>
      </c>
      <c r="AJ1270">
        <v>65.324552367336693</v>
      </c>
      <c r="AK1270">
        <v>49.894969902811198</v>
      </c>
      <c r="AL1270">
        <v>87.694082997928305</v>
      </c>
      <c r="AM1270">
        <v>81.653846949267503</v>
      </c>
      <c r="AN1270">
        <v>0.99999999277704499</v>
      </c>
    </row>
    <row r="1271" spans="1:40" x14ac:dyDescent="0.25">
      <c r="A1271" t="str">
        <f>"20190312160321881"</f>
        <v>20190312160321881</v>
      </c>
      <c r="B1271" t="str">
        <f>"1552377801876236"</f>
        <v>1552377801876236</v>
      </c>
      <c r="C1271" t="s">
        <v>40</v>
      </c>
      <c r="D1271">
        <v>5.6020859999999999</v>
      </c>
      <c r="E1271">
        <v>0.61114579999999996</v>
      </c>
      <c r="F1271" t="s">
        <v>46</v>
      </c>
      <c r="G1271">
        <v>-168.4007</v>
      </c>
      <c r="H1271">
        <v>2.2355079999999998</v>
      </c>
      <c r="I1271">
        <v>325.2525</v>
      </c>
      <c r="J1271">
        <v>-201.3605</v>
      </c>
      <c r="K1271">
        <v>1.098282</v>
      </c>
      <c r="L1271">
        <v>362.66579999999999</v>
      </c>
      <c r="M1271">
        <v>0.91341340000000004</v>
      </c>
      <c r="N1271">
        <v>0</v>
      </c>
      <c r="O1271">
        <v>-0.40674900000000003</v>
      </c>
      <c r="P1271">
        <v>0.84476580000000001</v>
      </c>
      <c r="Q1271">
        <v>2.8995050000000001E-2</v>
      </c>
      <c r="R1271">
        <v>-0.53435080000000001</v>
      </c>
      <c r="S1271">
        <v>2.0718079999999999</v>
      </c>
      <c r="T1271">
        <v>7.1098690000000006E-2</v>
      </c>
      <c r="U1271">
        <v>-2.3442690000000002</v>
      </c>
      <c r="V1271">
        <v>0.1456616</v>
      </c>
      <c r="W1271">
        <v>4.0009129999999997E-2</v>
      </c>
      <c r="X1271">
        <v>0.98852519999999999</v>
      </c>
      <c r="Y1271">
        <v>0.41511229999999899</v>
      </c>
      <c r="Z1271">
        <v>-4.7314849999999997E-3</v>
      </c>
      <c r="AA1271">
        <v>0.90975790000000001</v>
      </c>
      <c r="AB1271">
        <v>42</v>
      </c>
      <c r="AC1271">
        <v>32.959800000000001</v>
      </c>
      <c r="AD1271">
        <v>1.1372260000000001</v>
      </c>
      <c r="AE1271">
        <v>-37.4132999999999</v>
      </c>
      <c r="AF1271">
        <v>20.7590461666618</v>
      </c>
      <c r="AG1271">
        <v>1.1372260000000001</v>
      </c>
      <c r="AH1271">
        <v>45.305417845411498</v>
      </c>
      <c r="AI1271">
        <v>88.692745002861599</v>
      </c>
      <c r="AJ1271">
        <v>65.382640355699195</v>
      </c>
      <c r="AK1271">
        <v>49.847890295096803</v>
      </c>
      <c r="AL1271">
        <v>87.707033812908193</v>
      </c>
      <c r="AM1271">
        <v>81.617647717735693</v>
      </c>
      <c r="AN1271">
        <v>1.00000005161647</v>
      </c>
    </row>
    <row r="1272" spans="1:40" x14ac:dyDescent="0.25">
      <c r="A1272" t="str">
        <f>"20190312160321892"</f>
        <v>20190312160321892</v>
      </c>
      <c r="B1272" t="str">
        <f>"1552377801885371"</f>
        <v>1552377801885371</v>
      </c>
      <c r="C1272" t="s">
        <v>40</v>
      </c>
      <c r="D1272">
        <v>5.5601180000000001</v>
      </c>
      <c r="E1272">
        <v>0.61069410000000002</v>
      </c>
      <c r="F1272" t="s">
        <v>46</v>
      </c>
      <c r="G1272">
        <v>-168.4007</v>
      </c>
      <c r="H1272">
        <v>2.2767819999999999</v>
      </c>
      <c r="I1272">
        <v>325.04039999999998</v>
      </c>
      <c r="J1272">
        <v>-201.17449999999999</v>
      </c>
      <c r="K1272">
        <v>1.0981810000000001</v>
      </c>
      <c r="L1272">
        <v>362.57990000000001</v>
      </c>
      <c r="M1272">
        <v>0.91126300000000005</v>
      </c>
      <c r="N1272">
        <v>0</v>
      </c>
      <c r="O1272">
        <v>-0.41154299999999999</v>
      </c>
      <c r="P1272">
        <v>0.84166659999999904</v>
      </c>
      <c r="Q1272">
        <v>2.86369E-2</v>
      </c>
      <c r="R1272">
        <v>-0.539238</v>
      </c>
      <c r="S1272">
        <v>2.0607449999999998</v>
      </c>
      <c r="T1272">
        <v>7.3683739999999998E-2</v>
      </c>
      <c r="U1272">
        <v>-2.3524479999999999</v>
      </c>
      <c r="V1272">
        <v>0.14619099999999999</v>
      </c>
      <c r="W1272">
        <v>3.9615579999999997E-2</v>
      </c>
      <c r="X1272">
        <v>0.98846290000000003</v>
      </c>
      <c r="Y1272">
        <v>0.41431899999999999</v>
      </c>
      <c r="Z1272">
        <v>-5.0390499999999998E-3</v>
      </c>
      <c r="AA1272">
        <v>0.91011770000000003</v>
      </c>
      <c r="AB1272">
        <v>42</v>
      </c>
      <c r="AC1272">
        <v>32.773799999999902</v>
      </c>
      <c r="AD1272">
        <v>1.178601</v>
      </c>
      <c r="AE1272">
        <v>-37.539499999999997</v>
      </c>
      <c r="AF1272">
        <v>20.711349213052902</v>
      </c>
      <c r="AG1272">
        <v>1.178601</v>
      </c>
      <c r="AH1272">
        <v>45.294593155814098</v>
      </c>
      <c r="AI1272">
        <v>88.644393919838095</v>
      </c>
      <c r="AJ1272">
        <v>65.427336370698995</v>
      </c>
      <c r="AK1272">
        <v>49.819165545931703</v>
      </c>
      <c r="AL1272">
        <v>87.729600462001201</v>
      </c>
      <c r="AM1272">
        <v>81.587095020935806</v>
      </c>
      <c r="AN1272">
        <v>1.00000005366807</v>
      </c>
    </row>
    <row r="1273" spans="1:40" x14ac:dyDescent="0.25">
      <c r="A1273" t="str">
        <f>"20190312160321902"</f>
        <v>20190312160321902</v>
      </c>
      <c r="B1273" t="str">
        <f>"1552377801896107"</f>
        <v>1552377801896107</v>
      </c>
      <c r="C1273" t="s">
        <v>40</v>
      </c>
      <c r="D1273">
        <v>5.8039019999999999</v>
      </c>
      <c r="E1273">
        <v>0.61084179999999999</v>
      </c>
      <c r="F1273" t="s">
        <v>46</v>
      </c>
      <c r="G1273">
        <v>-168.4008</v>
      </c>
      <c r="H1273">
        <v>2.3062689999999999</v>
      </c>
      <c r="I1273">
        <v>324.81169999999997</v>
      </c>
      <c r="J1273">
        <v>-200.983</v>
      </c>
      <c r="K1273">
        <v>1.098079</v>
      </c>
      <c r="L1273">
        <v>362.49020000000002</v>
      </c>
      <c r="M1273">
        <v>0.90899739999999996</v>
      </c>
      <c r="N1273">
        <v>0</v>
      </c>
      <c r="O1273">
        <v>-0.41652280000000003</v>
      </c>
      <c r="P1273">
        <v>0.83833899999999995</v>
      </c>
      <c r="Q1273">
        <v>2.8028930000000001E-2</v>
      </c>
      <c r="R1273">
        <v>-0.54442809999999997</v>
      </c>
      <c r="S1273">
        <v>2.0489959999999998</v>
      </c>
      <c r="T1273">
        <v>7.5529219999999994E-2</v>
      </c>
      <c r="U1273">
        <v>-2.361237</v>
      </c>
      <c r="V1273">
        <v>0.14687420000000001</v>
      </c>
      <c r="W1273">
        <v>3.8966630000000002E-2</v>
      </c>
      <c r="X1273">
        <v>0.98838729999999997</v>
      </c>
      <c r="Y1273">
        <v>0.41359889999999999</v>
      </c>
      <c r="Z1273">
        <v>-5.3082889999999999E-3</v>
      </c>
      <c r="AA1273">
        <v>0.91044369999999997</v>
      </c>
      <c r="AB1273">
        <v>42</v>
      </c>
      <c r="AC1273">
        <v>32.5822</v>
      </c>
      <c r="AD1273">
        <v>1.2081900000000001</v>
      </c>
      <c r="AE1273">
        <v>-37.6785</v>
      </c>
      <c r="AF1273">
        <v>20.6686741634668</v>
      </c>
      <c r="AG1273">
        <v>1.2081900000000001</v>
      </c>
      <c r="AH1273">
        <v>45.289713572674103</v>
      </c>
      <c r="AI1273">
        <v>88.609755742777693</v>
      </c>
      <c r="AJ1273">
        <v>65.469667979967795</v>
      </c>
      <c r="AK1273">
        <v>49.797710492014801</v>
      </c>
      <c r="AL1273">
        <v>87.766811040879006</v>
      </c>
      <c r="AM1273">
        <v>81.547708110299695</v>
      </c>
      <c r="AN1273">
        <v>0.99999994184024099</v>
      </c>
    </row>
    <row r="1274" spans="1:40" x14ac:dyDescent="0.25">
      <c r="A1274" t="str">
        <f>"20190312160321913"</f>
        <v>20190312160321913</v>
      </c>
      <c r="B1274" t="str">
        <f>"1552377801905869"</f>
        <v>1552377801905869</v>
      </c>
      <c r="C1274" t="s">
        <v>40</v>
      </c>
      <c r="D1274">
        <v>5.783296</v>
      </c>
      <c r="E1274">
        <v>0.61140190000000005</v>
      </c>
      <c r="F1274" t="s">
        <v>46</v>
      </c>
      <c r="G1274">
        <v>-168.4008</v>
      </c>
      <c r="H1274">
        <v>2.3883260000000002</v>
      </c>
      <c r="I1274">
        <v>324.44240000000002</v>
      </c>
      <c r="J1274">
        <v>-200.79640000000001</v>
      </c>
      <c r="K1274">
        <v>1.0979749999999999</v>
      </c>
      <c r="L1274">
        <v>362.40129999999999</v>
      </c>
      <c r="M1274">
        <v>0.90673530000000002</v>
      </c>
      <c r="N1274">
        <v>0</v>
      </c>
      <c r="O1274">
        <v>-0.42142390000000002</v>
      </c>
      <c r="P1274">
        <v>0.83505090000000004</v>
      </c>
      <c r="Q1274">
        <v>2.765596E-2</v>
      </c>
      <c r="R1274">
        <v>-0.54947729999999995</v>
      </c>
      <c r="S1274">
        <v>2.0335999999999999</v>
      </c>
      <c r="T1274">
        <v>8.0530169999999998E-2</v>
      </c>
      <c r="U1274">
        <v>-2.3747250000000002</v>
      </c>
      <c r="V1274">
        <v>0.14749609999999999</v>
      </c>
      <c r="W1274">
        <v>3.855542E-2</v>
      </c>
      <c r="X1274">
        <v>0.98831089999999999</v>
      </c>
      <c r="Y1274">
        <v>0.41464450000000003</v>
      </c>
      <c r="Z1274">
        <v>-5.7841330000000003E-3</v>
      </c>
      <c r="AA1274">
        <v>0.90996509999999997</v>
      </c>
      <c r="AB1274">
        <v>42</v>
      </c>
      <c r="AC1274">
        <v>32.395600000000002</v>
      </c>
      <c r="AD1274">
        <v>1.29035099999999</v>
      </c>
      <c r="AE1274">
        <v>-37.9588999999999</v>
      </c>
      <c r="AF1274">
        <v>20.754937729443299</v>
      </c>
      <c r="AG1274">
        <v>1.29035099999999</v>
      </c>
      <c r="AH1274">
        <v>45.345990711589202</v>
      </c>
      <c r="AI1274">
        <v>88.517845706443794</v>
      </c>
      <c r="AJ1274">
        <v>65.406348956210905</v>
      </c>
      <c r="AK1274">
        <v>49.886785018397497</v>
      </c>
      <c r="AL1274">
        <v>87.790389548155702</v>
      </c>
      <c r="AM1274">
        <v>81.511792760023596</v>
      </c>
      <c r="AN1274">
        <v>1.0000000274926899</v>
      </c>
    </row>
    <row r="1275" spans="1:40" x14ac:dyDescent="0.25">
      <c r="A1275" t="str">
        <f>"20190312160321926"</f>
        <v>20190312160321926</v>
      </c>
      <c r="B1275" t="str">
        <f>"1552377801915627"</f>
        <v>1552377801915627</v>
      </c>
      <c r="C1275" t="s">
        <v>40</v>
      </c>
      <c r="D1275">
        <v>5.9108299999999998</v>
      </c>
      <c r="E1275">
        <v>0.61162700000000003</v>
      </c>
      <c r="F1275" t="s">
        <v>46</v>
      </c>
      <c r="G1275">
        <v>-168.4008</v>
      </c>
      <c r="H1275">
        <v>2.5092680000000001</v>
      </c>
      <c r="I1275">
        <v>324.0027</v>
      </c>
      <c r="J1275">
        <v>-200.5856</v>
      </c>
      <c r="K1275">
        <v>1.09786299999999</v>
      </c>
      <c r="L1275">
        <v>362.3</v>
      </c>
      <c r="M1275">
        <v>0.90412890000000001</v>
      </c>
      <c r="N1275">
        <v>0</v>
      </c>
      <c r="O1275">
        <v>-0.4269869</v>
      </c>
      <c r="P1275">
        <v>0.83149470000000003</v>
      </c>
      <c r="Q1275">
        <v>2.7219940000000001E-2</v>
      </c>
      <c r="R1275">
        <v>-0.55486610000000003</v>
      </c>
      <c r="S1275">
        <v>2.0167389999999998</v>
      </c>
      <c r="T1275">
        <v>8.7858199999999997E-2</v>
      </c>
      <c r="U1275">
        <v>-2.3904420000000002</v>
      </c>
      <c r="V1275">
        <v>0.14780689999999999</v>
      </c>
      <c r="W1275">
        <v>3.8087040000000003E-2</v>
      </c>
      <c r="X1275">
        <v>0.98828260000000001</v>
      </c>
      <c r="Y1275">
        <v>0.41575420000000002</v>
      </c>
      <c r="Z1275">
        <v>-6.4640409999999898E-3</v>
      </c>
      <c r="AA1275">
        <v>0.90945399999999998</v>
      </c>
      <c r="AB1275">
        <v>42</v>
      </c>
      <c r="AC1275">
        <v>32.184800000000003</v>
      </c>
      <c r="AD1275">
        <v>1.411405</v>
      </c>
      <c r="AE1275">
        <v>-38.2973</v>
      </c>
      <c r="AF1275">
        <v>20.869030238944099</v>
      </c>
      <c r="AG1275">
        <v>1.411405</v>
      </c>
      <c r="AH1275">
        <v>45.420796329052102</v>
      </c>
      <c r="AI1275">
        <v>88.382614425980293</v>
      </c>
      <c r="AJ1275">
        <v>65.323120467308797</v>
      </c>
      <c r="AK1275">
        <v>50.005571953065598</v>
      </c>
      <c r="AL1275">
        <v>87.817245411008102</v>
      </c>
      <c r="AM1275">
        <v>81.493927989650004</v>
      </c>
      <c r="AN1275">
        <v>0.99999999988316501</v>
      </c>
    </row>
    <row r="1276" spans="1:40" x14ac:dyDescent="0.25">
      <c r="A1276" t="str">
        <f>"20190312160321939"</f>
        <v>20190312160321939</v>
      </c>
      <c r="B1276" t="str">
        <f>"1552377801936123"</f>
        <v>1552377801936123</v>
      </c>
      <c r="C1276" t="s">
        <v>40</v>
      </c>
      <c r="D1276">
        <v>5.8950620000000002</v>
      </c>
      <c r="E1276">
        <v>0.61187599999999998</v>
      </c>
      <c r="F1276" t="s">
        <v>46</v>
      </c>
      <c r="G1276">
        <v>-168.4008</v>
      </c>
      <c r="H1276">
        <v>2.5267469999999999</v>
      </c>
      <c r="I1276">
        <v>323.60599999999999</v>
      </c>
      <c r="J1276">
        <v>-200.38149999999999</v>
      </c>
      <c r="K1276">
        <v>1.0977539999999999</v>
      </c>
      <c r="L1276">
        <v>362.1995</v>
      </c>
      <c r="M1276">
        <v>0.90152290000000002</v>
      </c>
      <c r="N1276">
        <v>0</v>
      </c>
      <c r="O1276">
        <v>-0.43246099999999998</v>
      </c>
      <c r="P1276">
        <v>0.82777780000000001</v>
      </c>
      <c r="Q1276">
        <v>2.6533830000000001E-2</v>
      </c>
      <c r="R1276">
        <v>-0.56042840000000005</v>
      </c>
      <c r="S1276">
        <v>2.0002749999999998</v>
      </c>
      <c r="T1276">
        <v>8.8804960000000002E-2</v>
      </c>
      <c r="U1276">
        <v>-2.4048159999999998</v>
      </c>
      <c r="V1276">
        <v>0.1484211</v>
      </c>
      <c r="W1276">
        <v>3.7360860000000003E-2</v>
      </c>
      <c r="X1276">
        <v>0.98821820000000005</v>
      </c>
      <c r="Y1276">
        <v>0.41659459999999998</v>
      </c>
      <c r="Z1276">
        <v>-6.6918419999999999E-3</v>
      </c>
      <c r="AA1276">
        <v>0.90906770000000003</v>
      </c>
      <c r="AB1276">
        <v>42</v>
      </c>
      <c r="AC1276">
        <v>31.980699999999899</v>
      </c>
      <c r="AD1276">
        <v>1.428993</v>
      </c>
      <c r="AE1276">
        <v>-38.593499999999999</v>
      </c>
      <c r="AF1276">
        <v>20.9479437949764</v>
      </c>
      <c r="AG1276">
        <v>1.428993</v>
      </c>
      <c r="AH1276">
        <v>45.489866977124201</v>
      </c>
      <c r="AI1276">
        <v>88.365598882182695</v>
      </c>
      <c r="AJ1276">
        <v>65.274075013935501</v>
      </c>
      <c r="AK1276">
        <v>50.101760127045402</v>
      </c>
      <c r="AL1276">
        <v>87.858881956595297</v>
      </c>
      <c r="AM1276">
        <v>81.458553534139298</v>
      </c>
      <c r="AN1276">
        <v>0.99999993379819196</v>
      </c>
    </row>
    <row r="1277" spans="1:40" x14ac:dyDescent="0.25">
      <c r="A1277" t="str">
        <f>"20190312160321951"</f>
        <v>20190312160321951</v>
      </c>
      <c r="B1277" t="str">
        <f>"1552377801945884"</f>
        <v>1552377801945884</v>
      </c>
      <c r="C1277" t="s">
        <v>40</v>
      </c>
      <c r="D1277">
        <v>5.9064480000000001</v>
      </c>
      <c r="E1277">
        <v>0.61204269999999905</v>
      </c>
      <c r="F1277" t="s">
        <v>46</v>
      </c>
      <c r="G1277">
        <v>-168.4008</v>
      </c>
      <c r="H1277">
        <v>2.59727</v>
      </c>
      <c r="I1277">
        <v>323.17950000000002</v>
      </c>
      <c r="J1277">
        <v>-200.16210000000001</v>
      </c>
      <c r="K1277">
        <v>1.0976360000000001</v>
      </c>
      <c r="L1277">
        <v>362.09030000000001</v>
      </c>
      <c r="M1277">
        <v>0.89866250000000003</v>
      </c>
      <c r="N1277">
        <v>0</v>
      </c>
      <c r="O1277">
        <v>-0.43837350000000003</v>
      </c>
      <c r="P1277">
        <v>0.82386979999999999</v>
      </c>
      <c r="Q1277">
        <v>2.6006939999999999E-2</v>
      </c>
      <c r="R1277">
        <v>-0.56618239999999997</v>
      </c>
      <c r="S1277">
        <v>1.983063</v>
      </c>
      <c r="T1277">
        <v>9.298265E-2</v>
      </c>
      <c r="U1277">
        <v>-2.419556</v>
      </c>
      <c r="V1277">
        <v>0.14880280000000001</v>
      </c>
      <c r="W1277">
        <v>3.6798570000000003E-2</v>
      </c>
      <c r="X1277">
        <v>0.98818189999999995</v>
      </c>
      <c r="Y1277">
        <v>0.41720869999999999</v>
      </c>
      <c r="Z1277">
        <v>-7.1903729999999999E-3</v>
      </c>
      <c r="AA1277">
        <v>0.90878230000000004</v>
      </c>
      <c r="AB1277">
        <v>42</v>
      </c>
      <c r="AC1277">
        <v>31.761299999999999</v>
      </c>
      <c r="AD1277">
        <v>1.4996339999999999</v>
      </c>
      <c r="AE1277">
        <v>-38.910800000000002</v>
      </c>
      <c r="AF1277">
        <v>21.028086379738301</v>
      </c>
      <c r="AG1277">
        <v>1.4996339999999999</v>
      </c>
      <c r="AH1277">
        <v>45.564880338683999</v>
      </c>
      <c r="AI1277">
        <v>88.288323803035098</v>
      </c>
      <c r="AJ1277">
        <v>65.226785932438304</v>
      </c>
      <c r="AK1277">
        <v>50.205454277461499</v>
      </c>
      <c r="AL1277">
        <v>87.891120981809095</v>
      </c>
      <c r="AM1277">
        <v>81.436602523376706</v>
      </c>
      <c r="AN1277">
        <v>0.99999993776474505</v>
      </c>
    </row>
    <row r="1278" spans="1:40" x14ac:dyDescent="0.25">
      <c r="A1278" t="str">
        <f>"20190312160321963"</f>
        <v>20190312160321963</v>
      </c>
      <c r="B1278" t="str">
        <f>"1552377801955642"</f>
        <v>1552377801955642</v>
      </c>
      <c r="C1278" t="s">
        <v>40</v>
      </c>
      <c r="D1278">
        <v>5.89771</v>
      </c>
      <c r="E1278">
        <v>0.61214019999999902</v>
      </c>
      <c r="F1278" t="s">
        <v>46</v>
      </c>
      <c r="G1278">
        <v>-168.4008</v>
      </c>
      <c r="H1278">
        <v>2.6122830000000001</v>
      </c>
      <c r="I1278">
        <v>322.74059999999997</v>
      </c>
      <c r="J1278">
        <v>-199.96199999999999</v>
      </c>
      <c r="K1278">
        <v>1.097529</v>
      </c>
      <c r="L1278">
        <v>361.98910000000001</v>
      </c>
      <c r="M1278">
        <v>0.89598259999999996</v>
      </c>
      <c r="N1278">
        <v>0</v>
      </c>
      <c r="O1278">
        <v>-0.44382460000000001</v>
      </c>
      <c r="P1278">
        <v>0.82015319999999903</v>
      </c>
      <c r="Q1278">
        <v>2.5934459999999999E-2</v>
      </c>
      <c r="R1278">
        <v>-0.57155590000000001</v>
      </c>
      <c r="S1278">
        <v>1.965195</v>
      </c>
      <c r="T1278">
        <v>9.3717690000000006E-2</v>
      </c>
      <c r="U1278">
        <v>-2.434723</v>
      </c>
      <c r="V1278">
        <v>0.14926600000000001</v>
      </c>
      <c r="W1278">
        <v>3.6691359999999999E-2</v>
      </c>
      <c r="X1278">
        <v>0.98811610000000005</v>
      </c>
      <c r="Y1278">
        <v>0.41849510000000001</v>
      </c>
      <c r="Z1278">
        <v>-7.4069239999999996E-3</v>
      </c>
      <c r="AA1278">
        <v>0.90818889999999997</v>
      </c>
      <c r="AB1278">
        <v>42</v>
      </c>
      <c r="AC1278">
        <v>31.561199999999999</v>
      </c>
      <c r="AD1278">
        <v>1.5147539999999999</v>
      </c>
      <c r="AE1278">
        <v>-39.2485</v>
      </c>
      <c r="AF1278">
        <v>21.141697594027999</v>
      </c>
      <c r="AG1278">
        <v>1.5147539999999999</v>
      </c>
      <c r="AH1278">
        <v>45.661800010433502</v>
      </c>
      <c r="AI1278">
        <v>88.275734211461199</v>
      </c>
      <c r="AJ1278">
        <v>65.155569759103798</v>
      </c>
      <c r="AK1278">
        <v>50.341492201072803</v>
      </c>
      <c r="AL1278">
        <v>87.897267967604606</v>
      </c>
      <c r="AM1278">
        <v>81.409779549213198</v>
      </c>
      <c r="AN1278">
        <v>1.00000001086692</v>
      </c>
    </row>
    <row r="1279" spans="1:40" x14ac:dyDescent="0.25">
      <c r="A1279" t="str">
        <f>"20190312160321975"</f>
        <v>20190312160321975</v>
      </c>
      <c r="B1279" t="str">
        <f>"1552377801965403"</f>
        <v>1552377801965403</v>
      </c>
      <c r="C1279" t="s">
        <v>40</v>
      </c>
      <c r="D1279">
        <v>5.8994049999999998</v>
      </c>
      <c r="E1279">
        <v>0.61223570000000005</v>
      </c>
      <c r="F1279" t="s">
        <v>46</v>
      </c>
      <c r="G1279">
        <v>-168.4008</v>
      </c>
      <c r="H1279">
        <v>2.6465489999999998</v>
      </c>
      <c r="I1279">
        <v>322.34829999999999</v>
      </c>
      <c r="J1279">
        <v>-199.77539999999999</v>
      </c>
      <c r="K1279">
        <v>1.0974269999999999</v>
      </c>
      <c r="L1279">
        <v>361.8931</v>
      </c>
      <c r="M1279">
        <v>0.89342149999999998</v>
      </c>
      <c r="N1279">
        <v>0</v>
      </c>
      <c r="O1279">
        <v>-0.4489572</v>
      </c>
      <c r="P1279">
        <v>0.81664300000000001</v>
      </c>
      <c r="Q1279">
        <v>2.5428119999999999E-2</v>
      </c>
      <c r="R1279">
        <v>-0.576582699999999</v>
      </c>
      <c r="S1279">
        <v>1.948944</v>
      </c>
      <c r="T1279">
        <v>9.5654729999999993E-2</v>
      </c>
      <c r="U1279">
        <v>-2.4478759999999999</v>
      </c>
      <c r="V1279">
        <v>0.14965319999999999</v>
      </c>
      <c r="W1279">
        <v>3.6153850000000001E-2</v>
      </c>
      <c r="X1279">
        <v>0.98807730000000005</v>
      </c>
      <c r="Y1279">
        <v>0.41935430000000001</v>
      </c>
      <c r="Z1279">
        <v>-7.7201969999999998E-3</v>
      </c>
      <c r="AA1279">
        <v>0.90778979999999998</v>
      </c>
      <c r="AB1279">
        <v>42</v>
      </c>
      <c r="AC1279">
        <v>31.374599999999901</v>
      </c>
      <c r="AD1279">
        <v>1.5491219999999899</v>
      </c>
      <c r="AE1279">
        <v>-39.544800000000002</v>
      </c>
      <c r="AF1279">
        <v>21.226832652476102</v>
      </c>
      <c r="AG1279">
        <v>1.5491219999999899</v>
      </c>
      <c r="AH1279">
        <v>45.746972811561498</v>
      </c>
      <c r="AI1279">
        <v>88.240588353606697</v>
      </c>
      <c r="AJ1279">
        <v>65.108455354028607</v>
      </c>
      <c r="AK1279">
        <v>50.455561882203398</v>
      </c>
      <c r="AL1279">
        <v>87.9280853771278</v>
      </c>
      <c r="AM1279">
        <v>81.387496874101899</v>
      </c>
      <c r="AN1279">
        <v>0.99999996595767504</v>
      </c>
    </row>
    <row r="1280" spans="1:40" x14ac:dyDescent="0.25">
      <c r="A1280" t="str">
        <f>"20190312160321986"</f>
        <v>20190312160321986</v>
      </c>
      <c r="B1280" t="str">
        <f>"1552377801976139"</f>
        <v>1552377801976139</v>
      </c>
      <c r="C1280" t="s">
        <v>40</v>
      </c>
      <c r="D1280">
        <v>5.8877709999999999</v>
      </c>
      <c r="E1280">
        <v>0.61238570000000003</v>
      </c>
      <c r="F1280" t="s">
        <v>46</v>
      </c>
      <c r="G1280">
        <v>-168.4008</v>
      </c>
      <c r="H1280">
        <v>2.6544780000000001</v>
      </c>
      <c r="I1280">
        <v>321.9676</v>
      </c>
      <c r="J1280">
        <v>-199.5703</v>
      </c>
      <c r="K1280">
        <v>1.097318</v>
      </c>
      <c r="L1280">
        <v>361.7867</v>
      </c>
      <c r="M1280">
        <v>0.89055149999999905</v>
      </c>
      <c r="N1280">
        <v>0</v>
      </c>
      <c r="O1280">
        <v>-0.454623</v>
      </c>
      <c r="P1280">
        <v>0.81281649999999905</v>
      </c>
      <c r="Q1280">
        <v>2.5215459999999999E-2</v>
      </c>
      <c r="R1280">
        <v>-0.58197410000000005</v>
      </c>
      <c r="S1280">
        <v>1.933441</v>
      </c>
      <c r="T1280">
        <v>9.5952990000000002E-2</v>
      </c>
      <c r="U1280">
        <v>-2.460388</v>
      </c>
      <c r="V1280">
        <v>0.1499154</v>
      </c>
      <c r="W1280">
        <v>3.5911289999999998E-2</v>
      </c>
      <c r="X1280">
        <v>0.98804650000000005</v>
      </c>
      <c r="Y1280">
        <v>0.4193693</v>
      </c>
      <c r="Z1280">
        <v>-7.9365749999999995E-3</v>
      </c>
      <c r="AA1280">
        <v>0.90778110000000001</v>
      </c>
      <c r="AB1280">
        <v>42</v>
      </c>
      <c r="AC1280">
        <v>31.169499999999999</v>
      </c>
      <c r="AD1280">
        <v>1.5571599999999901</v>
      </c>
      <c r="AE1280">
        <v>-39.819099999999899</v>
      </c>
      <c r="AF1280">
        <v>21.2729279999933</v>
      </c>
      <c r="AG1280">
        <v>1.5571599999999901</v>
      </c>
      <c r="AH1280">
        <v>45.822684162588303</v>
      </c>
      <c r="AI1280">
        <v>88.2345464656118</v>
      </c>
      <c r="AJ1280">
        <v>65.097174997259401</v>
      </c>
      <c r="AK1280">
        <v>50.543848258940699</v>
      </c>
      <c r="AL1280">
        <v>87.941992280804897</v>
      </c>
      <c r="AM1280">
        <v>81.372369299653201</v>
      </c>
      <c r="AN1280">
        <v>1.00000006703443</v>
      </c>
    </row>
    <row r="1281" spans="1:40" x14ac:dyDescent="0.25">
      <c r="A1281" t="str">
        <f>"20190312160322006"</f>
        <v>20190312160322006</v>
      </c>
      <c r="B1281" t="str">
        <f>"1552377801996166"</f>
        <v>1552377801996166</v>
      </c>
      <c r="C1281" t="s">
        <v>40</v>
      </c>
      <c r="D1281">
        <v>5.6649370000000001</v>
      </c>
      <c r="E1281">
        <v>0.61296070000000002</v>
      </c>
      <c r="F1281" t="s">
        <v>46</v>
      </c>
      <c r="G1281">
        <v>-168.4008</v>
      </c>
      <c r="H1281">
        <v>2.6735129999999998</v>
      </c>
      <c r="I1281">
        <v>321.53579999999999</v>
      </c>
      <c r="J1281">
        <v>-199.22710000000001</v>
      </c>
      <c r="K1281">
        <v>1.0971340000000001</v>
      </c>
      <c r="L1281">
        <v>361.60410000000002</v>
      </c>
      <c r="M1281">
        <v>0.88557299999999906</v>
      </c>
      <c r="N1281">
        <v>0</v>
      </c>
      <c r="O1281">
        <v>-0.46424569999999998</v>
      </c>
      <c r="P1281">
        <v>0.80600649999999996</v>
      </c>
      <c r="Q1281">
        <v>2.475567E-2</v>
      </c>
      <c r="R1281">
        <v>-0.59138919999999995</v>
      </c>
      <c r="S1281">
        <v>1.9161680000000001</v>
      </c>
      <c r="T1281">
        <v>9.6898440000000002E-2</v>
      </c>
      <c r="U1281">
        <v>-2.4744570000000001</v>
      </c>
      <c r="V1281">
        <v>0.15069730000000001</v>
      </c>
      <c r="W1281">
        <v>3.539283E-2</v>
      </c>
      <c r="X1281">
        <v>0.9879462</v>
      </c>
      <c r="Y1281">
        <v>0.41599540000000002</v>
      </c>
      <c r="Z1281">
        <v>-8.3986059999999994E-3</v>
      </c>
      <c r="AA1281">
        <v>0.90932789999999997</v>
      </c>
      <c r="AB1281">
        <v>42</v>
      </c>
      <c r="AC1281">
        <v>30.8263</v>
      </c>
      <c r="AD1281">
        <v>1.576379</v>
      </c>
      <c r="AE1281">
        <v>-40.068300000000001</v>
      </c>
      <c r="AF1281">
        <v>21.154361675106099</v>
      </c>
      <c r="AG1281">
        <v>1.576379</v>
      </c>
      <c r="AH1281">
        <v>45.861309579242899</v>
      </c>
      <c r="AI1281">
        <v>88.212249411465294</v>
      </c>
      <c r="AJ1281">
        <v>65.237628405138196</v>
      </c>
      <c r="AK1281">
        <v>50.5297111109493</v>
      </c>
      <c r="AL1281">
        <v>87.971716632973994</v>
      </c>
      <c r="AM1281">
        <v>81.327186277550993</v>
      </c>
      <c r="AN1281">
        <v>1.0000000113685601</v>
      </c>
    </row>
    <row r="1282" spans="1:40" x14ac:dyDescent="0.25">
      <c r="A1282" t="str">
        <f>"20190312160322017"</f>
        <v>20190312160322017</v>
      </c>
      <c r="B1282" t="str">
        <f>"1552377802005927"</f>
        <v>1552377802005927</v>
      </c>
      <c r="C1282" t="s">
        <v>40</v>
      </c>
      <c r="D1282">
        <v>5.9006410000000002</v>
      </c>
      <c r="E1282">
        <v>0.61309250000000004</v>
      </c>
      <c r="F1282" t="s">
        <v>46</v>
      </c>
      <c r="G1282">
        <v>-168.40090000000001</v>
      </c>
      <c r="H1282">
        <v>2.8318750000000001</v>
      </c>
      <c r="I1282">
        <v>320.72250000000003</v>
      </c>
      <c r="J1282">
        <v>-199.06450000000001</v>
      </c>
      <c r="K1282">
        <v>1.097046</v>
      </c>
      <c r="L1282">
        <v>361.51519999999999</v>
      </c>
      <c r="M1282">
        <v>0.88312610000000002</v>
      </c>
      <c r="N1282">
        <v>0</v>
      </c>
      <c r="O1282">
        <v>-0.46888269999999999</v>
      </c>
      <c r="P1282">
        <v>0.80276219999999998</v>
      </c>
      <c r="Q1282">
        <v>2.457355E-2</v>
      </c>
      <c r="R1282">
        <v>-0.59579280000000001</v>
      </c>
      <c r="S1282">
        <v>1.8847959999999999</v>
      </c>
      <c r="T1282">
        <v>0.10606690000000001</v>
      </c>
      <c r="U1282">
        <v>-2.499603</v>
      </c>
      <c r="V1282">
        <v>0.1509249</v>
      </c>
      <c r="W1282">
        <v>3.5187910000000003E-2</v>
      </c>
      <c r="X1282">
        <v>0.98791879999999999</v>
      </c>
      <c r="Y1282">
        <v>0.4228925</v>
      </c>
      <c r="Z1282">
        <v>-9.2460049999999998E-3</v>
      </c>
      <c r="AA1282">
        <v>0.90613270000000001</v>
      </c>
      <c r="AB1282">
        <v>42</v>
      </c>
      <c r="AC1282">
        <v>30.663599999999999</v>
      </c>
      <c r="AD1282">
        <v>1.734829</v>
      </c>
      <c r="AE1282">
        <v>-40.792699999999897</v>
      </c>
      <c r="AF1282">
        <v>21.625044738121399</v>
      </c>
      <c r="AG1282">
        <v>1.734829</v>
      </c>
      <c r="AH1282">
        <v>46.158957235786801</v>
      </c>
      <c r="AI1282">
        <v>88.050749124506297</v>
      </c>
      <c r="AJ1282">
        <v>64.897344161864893</v>
      </c>
      <c r="AK1282">
        <v>51.002956038647298</v>
      </c>
      <c r="AL1282">
        <v>87.983465049562994</v>
      </c>
      <c r="AM1282">
        <v>81.314050005906694</v>
      </c>
      <c r="AN1282">
        <v>1.0000000349217999</v>
      </c>
    </row>
    <row r="1283" spans="1:40" x14ac:dyDescent="0.25">
      <c r="A1283" t="str">
        <f>"20190312160322028"</f>
        <v>20190312160322028</v>
      </c>
      <c r="B1283" t="str">
        <f>"1552377802015687"</f>
        <v>1552377802015687</v>
      </c>
      <c r="C1283" t="s">
        <v>40</v>
      </c>
      <c r="D1283">
        <v>5.838546</v>
      </c>
      <c r="E1283">
        <v>0.61316280000000001</v>
      </c>
      <c r="F1283" t="s">
        <v>46</v>
      </c>
      <c r="G1283">
        <v>-168.40090000000001</v>
      </c>
      <c r="H1283">
        <v>2.8508100000000001</v>
      </c>
      <c r="I1283">
        <v>320.35270000000003</v>
      </c>
      <c r="J1283">
        <v>-198.8895</v>
      </c>
      <c r="K1283">
        <v>1.0969519999999999</v>
      </c>
      <c r="L1283">
        <v>361.41950000000003</v>
      </c>
      <c r="M1283">
        <v>0.88046279999999999</v>
      </c>
      <c r="N1283">
        <v>0</v>
      </c>
      <c r="O1283">
        <v>-0.47386460000000002</v>
      </c>
      <c r="P1283">
        <v>0.79924980000000001</v>
      </c>
      <c r="Q1283">
        <v>2.4271250000000001E-2</v>
      </c>
      <c r="R1283">
        <v>-0.60050890000000001</v>
      </c>
      <c r="S1283">
        <v>1.870377</v>
      </c>
      <c r="T1283">
        <v>0.106974</v>
      </c>
      <c r="U1283">
        <v>-2.5107729999999999</v>
      </c>
      <c r="V1283">
        <v>0.15115399999999901</v>
      </c>
      <c r="W1283">
        <v>3.4860049999999997E-2</v>
      </c>
      <c r="X1283">
        <v>0.98789539999999998</v>
      </c>
      <c r="Y1283">
        <v>0.42305340000000002</v>
      </c>
      <c r="Z1283">
        <v>-9.5117069999999995E-3</v>
      </c>
      <c r="AA1283">
        <v>0.9060549</v>
      </c>
      <c r="AB1283">
        <v>42</v>
      </c>
      <c r="AC1283">
        <v>30.488599999999899</v>
      </c>
      <c r="AD1283">
        <v>1.7538579999999999</v>
      </c>
      <c r="AE1283">
        <v>-41.066800000000001</v>
      </c>
      <c r="AF1283">
        <v>21.687400379370999</v>
      </c>
      <c r="AG1283">
        <v>1.7538579999999999</v>
      </c>
      <c r="AH1283">
        <v>46.255294344153199</v>
      </c>
      <c r="AI1283">
        <v>88.033767088336901</v>
      </c>
      <c r="AJ1283">
        <v>64.879852876647206</v>
      </c>
      <c r="AK1283">
        <v>51.1172339623689</v>
      </c>
      <c r="AL1283">
        <v>88.002261581748002</v>
      </c>
      <c r="AM1283">
        <v>81.300863603032099</v>
      </c>
      <c r="AN1283">
        <v>1.0000000380715801</v>
      </c>
    </row>
    <row r="1284" spans="1:40" x14ac:dyDescent="0.25">
      <c r="A1284" t="str">
        <f>"20190312160322037"</f>
        <v>20190312160322037</v>
      </c>
      <c r="B1284" t="str">
        <f>"1552377802025447"</f>
        <v>1552377802025447</v>
      </c>
      <c r="C1284" t="s">
        <v>40</v>
      </c>
      <c r="D1284">
        <v>5.5876570000000001</v>
      </c>
      <c r="E1284">
        <v>0.61351869999999997</v>
      </c>
      <c r="F1284" t="s">
        <v>46</v>
      </c>
      <c r="G1284">
        <v>-168.40090000000001</v>
      </c>
      <c r="H1284">
        <v>2.8620839999999999</v>
      </c>
      <c r="I1284">
        <v>319.96440000000001</v>
      </c>
      <c r="J1284">
        <v>-198.7336</v>
      </c>
      <c r="K1284">
        <v>1.0968690000000001</v>
      </c>
      <c r="L1284">
        <v>361.3322</v>
      </c>
      <c r="M1284">
        <v>0.87801949999999995</v>
      </c>
      <c r="N1284">
        <v>0</v>
      </c>
      <c r="O1284">
        <v>-0.47837619999999997</v>
      </c>
      <c r="P1284">
        <v>0.79581219999999997</v>
      </c>
      <c r="Q1284">
        <v>2.3818840000000001E-2</v>
      </c>
      <c r="R1284">
        <v>-0.60507480000000002</v>
      </c>
      <c r="S1284">
        <v>1.8551029999999999</v>
      </c>
      <c r="T1284">
        <v>0.10740139999999999</v>
      </c>
      <c r="U1284">
        <v>-2.5223689999999999</v>
      </c>
      <c r="V1284">
        <v>0.1517271</v>
      </c>
      <c r="W1284">
        <v>3.4373969999999997E-2</v>
      </c>
      <c r="X1284">
        <v>0.98782460000000005</v>
      </c>
      <c r="Y1284">
        <v>0.42395450000000001</v>
      </c>
      <c r="Z1284">
        <v>-9.7065550000000004E-3</v>
      </c>
      <c r="AA1284">
        <v>0.90563150000000003</v>
      </c>
      <c r="AB1284">
        <v>42</v>
      </c>
      <c r="AC1284">
        <v>30.3326999999999</v>
      </c>
      <c r="AD1284">
        <v>1.76521499999999</v>
      </c>
      <c r="AE1284">
        <v>-41.367799999999903</v>
      </c>
      <c r="AF1284">
        <v>21.788088198884701</v>
      </c>
      <c r="AG1284">
        <v>1.76521499999999</v>
      </c>
      <c r="AH1284">
        <v>46.372684447621403</v>
      </c>
      <c r="AI1284">
        <v>88.026797246382998</v>
      </c>
      <c r="AJ1284">
        <v>64.833634265715204</v>
      </c>
      <c r="AK1284">
        <v>51.266583992277802</v>
      </c>
      <c r="AL1284">
        <v>88.030128661748407</v>
      </c>
      <c r="AM1284">
        <v>81.267772043214606</v>
      </c>
      <c r="AN1284">
        <v>1.0000000615265601</v>
      </c>
    </row>
    <row r="1285" spans="1:40" x14ac:dyDescent="0.25">
      <c r="A1285" t="str">
        <f>"20190312160322047"</f>
        <v>20190312160322047</v>
      </c>
      <c r="B1285" t="str">
        <f>"1552377802036184"</f>
        <v>1552377802036184</v>
      </c>
      <c r="C1285" t="s">
        <v>40</v>
      </c>
      <c r="D1285">
        <v>5.834117</v>
      </c>
      <c r="E1285">
        <v>0.61359669999999999</v>
      </c>
      <c r="F1285" t="s">
        <v>46</v>
      </c>
      <c r="G1285">
        <v>-168.40090000000001</v>
      </c>
      <c r="H1285">
        <v>2.896182</v>
      </c>
      <c r="I1285">
        <v>319.52629999999999</v>
      </c>
      <c r="J1285">
        <v>-198.56110000000001</v>
      </c>
      <c r="K1285">
        <v>1.096781</v>
      </c>
      <c r="L1285">
        <v>361.23540000000003</v>
      </c>
      <c r="M1285">
        <v>0.87528609999999896</v>
      </c>
      <c r="N1285">
        <v>0</v>
      </c>
      <c r="O1285">
        <v>-0.48335929999999999</v>
      </c>
      <c r="P1285">
        <v>0.79201509999999997</v>
      </c>
      <c r="Q1285">
        <v>2.3590860000000002E-2</v>
      </c>
      <c r="R1285">
        <v>-0.61004639999999999</v>
      </c>
      <c r="S1285">
        <v>1.839188</v>
      </c>
      <c r="T1285">
        <v>0.10909969999999999</v>
      </c>
      <c r="U1285">
        <v>-2.5348510000000002</v>
      </c>
      <c r="V1285">
        <v>0.15229470000000001</v>
      </c>
      <c r="W1285">
        <v>3.4109960000000002E-2</v>
      </c>
      <c r="X1285">
        <v>0.98774640000000002</v>
      </c>
      <c r="Y1285">
        <v>0.42465459999999999</v>
      </c>
      <c r="Z1285">
        <v>-1.00401E-2</v>
      </c>
      <c r="AA1285">
        <v>0.90529979999999999</v>
      </c>
      <c r="AB1285">
        <v>42</v>
      </c>
      <c r="AC1285">
        <v>30.1602</v>
      </c>
      <c r="AD1285">
        <v>1.79940099999999</v>
      </c>
      <c r="AE1285">
        <v>-41.709099999999999</v>
      </c>
      <c r="AF1285">
        <v>21.905021311483701</v>
      </c>
      <c r="AG1285">
        <v>1.79940099999999</v>
      </c>
      <c r="AH1285">
        <v>46.507987404532301</v>
      </c>
      <c r="AI1285">
        <v>87.995346579753303</v>
      </c>
      <c r="AJ1285">
        <v>64.779807160653206</v>
      </c>
      <c r="AK1285">
        <v>51.439874562789299</v>
      </c>
      <c r="AL1285">
        <v>88.0452641883534</v>
      </c>
      <c r="AM1285">
        <v>81.234928590360596</v>
      </c>
      <c r="AN1285">
        <v>1.0000000578661199</v>
      </c>
    </row>
    <row r="1286" spans="1:40" x14ac:dyDescent="0.25">
      <c r="A1286" t="str">
        <f>"20190312160322058"</f>
        <v>20190312160322058</v>
      </c>
      <c r="B1286" t="str">
        <f>"1552377802055703"</f>
        <v>1552377802055703</v>
      </c>
      <c r="C1286" t="s">
        <v>40</v>
      </c>
      <c r="D1286">
        <v>5.2812849999999996</v>
      </c>
      <c r="E1286">
        <v>0.61407100000000003</v>
      </c>
      <c r="F1286" t="s">
        <v>46</v>
      </c>
      <c r="G1286">
        <v>-168.40090000000001</v>
      </c>
      <c r="H1286">
        <v>2.8999169999999999</v>
      </c>
      <c r="I1286">
        <v>319.08440000000002</v>
      </c>
      <c r="J1286">
        <v>-198.3751</v>
      </c>
      <c r="K1286">
        <v>1.096686</v>
      </c>
      <c r="L1286">
        <v>361.1284</v>
      </c>
      <c r="M1286">
        <v>0.87225049999999904</v>
      </c>
      <c r="N1286">
        <v>0</v>
      </c>
      <c r="O1286">
        <v>-0.4888149</v>
      </c>
      <c r="P1286">
        <v>0.78805040000000004</v>
      </c>
      <c r="Q1286">
        <v>2.3104179999999998E-2</v>
      </c>
      <c r="R1286">
        <v>-0.61517679999999997</v>
      </c>
      <c r="S1286">
        <v>1.8226009999999999</v>
      </c>
      <c r="T1286">
        <v>0.1089653</v>
      </c>
      <c r="U1286">
        <v>-2.5472109999999999</v>
      </c>
      <c r="V1286">
        <v>0.152528</v>
      </c>
      <c r="W1286">
        <v>3.3599080000000003E-2</v>
      </c>
      <c r="X1286">
        <v>0.98772780000000004</v>
      </c>
      <c r="Y1286">
        <v>0.42498209999999997</v>
      </c>
      <c r="Z1286">
        <v>-1.0234180000000001E-2</v>
      </c>
      <c r="AA1286">
        <v>0.9051439</v>
      </c>
      <c r="AB1286">
        <v>42</v>
      </c>
      <c r="AC1286">
        <v>29.9742</v>
      </c>
      <c r="AD1286">
        <v>1.803231</v>
      </c>
      <c r="AE1286">
        <v>-42.043999999999897</v>
      </c>
      <c r="AF1286">
        <v>21.9968696613739</v>
      </c>
      <c r="AG1286">
        <v>1.803231</v>
      </c>
      <c r="AH1286">
        <v>46.645438367221203</v>
      </c>
      <c r="AI1286">
        <v>87.997446583163395</v>
      </c>
      <c r="AJ1286">
        <v>64.752559626102595</v>
      </c>
      <c r="AK1286">
        <v>51.603399475316301</v>
      </c>
      <c r="AL1286">
        <v>88.074552031802597</v>
      </c>
      <c r="AM1286">
        <v>81.221547642266998</v>
      </c>
      <c r="AN1286">
        <v>0.99999994792684099</v>
      </c>
    </row>
    <row r="1287" spans="1:40" x14ac:dyDescent="0.25">
      <c r="A1287" t="str">
        <f>"20190312160322071"</f>
        <v>20190312160322071</v>
      </c>
      <c r="B1287" t="str">
        <f>"1552377802065463"</f>
        <v>1552377802065463</v>
      </c>
      <c r="C1287" t="s">
        <v>40</v>
      </c>
      <c r="D1287">
        <v>5.730086</v>
      </c>
      <c r="E1287">
        <v>0.61433269999999995</v>
      </c>
      <c r="F1287" t="s">
        <v>46</v>
      </c>
      <c r="G1287">
        <v>-168.40090000000001</v>
      </c>
      <c r="H1287">
        <v>2.9960149999999999</v>
      </c>
      <c r="I1287">
        <v>318.55520000000001</v>
      </c>
      <c r="J1287">
        <v>-198.19049999999999</v>
      </c>
      <c r="K1287">
        <v>1.096595</v>
      </c>
      <c r="L1287">
        <v>361.02159999999998</v>
      </c>
      <c r="M1287">
        <v>0.86918869999999904</v>
      </c>
      <c r="N1287">
        <v>0</v>
      </c>
      <c r="O1287">
        <v>-0.49423850000000003</v>
      </c>
      <c r="P1287">
        <v>0.78399259999999904</v>
      </c>
      <c r="Q1287">
        <v>2.2897529999999999E-2</v>
      </c>
      <c r="R1287">
        <v>-0.62034809999999996</v>
      </c>
      <c r="S1287">
        <v>1.8036799999999999</v>
      </c>
      <c r="T1287">
        <v>0.1142917</v>
      </c>
      <c r="U1287">
        <v>-2.5618289999999999</v>
      </c>
      <c r="V1287">
        <v>0.152871799999999</v>
      </c>
      <c r="W1287">
        <v>3.3363650000000002E-2</v>
      </c>
      <c r="X1287">
        <v>0.98768270000000002</v>
      </c>
      <c r="Y1287">
        <v>0.4262494</v>
      </c>
      <c r="Z1287">
        <v>-1.093009E-2</v>
      </c>
      <c r="AA1287">
        <v>0.9045396</v>
      </c>
      <c r="AB1287">
        <v>42</v>
      </c>
      <c r="AC1287">
        <v>29.789599999999901</v>
      </c>
      <c r="AD1287">
        <v>1.8994200000000001</v>
      </c>
      <c r="AE1287">
        <v>-42.466399999999901</v>
      </c>
      <c r="AF1287">
        <v>22.161089991082498</v>
      </c>
      <c r="AG1287">
        <v>1.8994200000000001</v>
      </c>
      <c r="AH1287">
        <v>46.824143139602199</v>
      </c>
      <c r="AI1287">
        <v>87.900146069526699</v>
      </c>
      <c r="AJ1287">
        <v>64.672582921455799</v>
      </c>
      <c r="AK1287">
        <v>51.838422880014598</v>
      </c>
      <c r="AL1287">
        <v>88.088048879219897</v>
      </c>
      <c r="AM1287">
        <v>81.201674677233797</v>
      </c>
      <c r="AN1287">
        <v>1.0000000181279201</v>
      </c>
    </row>
    <row r="1288" spans="1:40" x14ac:dyDescent="0.25">
      <c r="A1288" t="str">
        <f>"20190312160322082"</f>
        <v>20190312160322082</v>
      </c>
      <c r="B1288" t="str">
        <f>"1552377802076198"</f>
        <v>1552377802076198</v>
      </c>
      <c r="C1288" t="s">
        <v>40</v>
      </c>
      <c r="D1288">
        <v>5.7290760000000001</v>
      </c>
      <c r="E1288">
        <v>0.61461239999999995</v>
      </c>
      <c r="F1288" t="s">
        <v>46</v>
      </c>
      <c r="G1288">
        <v>-168.40099999999899</v>
      </c>
      <c r="H1288">
        <v>3.0799620000000001</v>
      </c>
      <c r="I1288">
        <v>318.05880000000002</v>
      </c>
      <c r="J1288">
        <v>-197.99969999999999</v>
      </c>
      <c r="K1288">
        <v>1.0964969999999901</v>
      </c>
      <c r="L1288">
        <v>360.90910000000002</v>
      </c>
      <c r="M1288">
        <v>0.86594249999999995</v>
      </c>
      <c r="N1288">
        <v>0</v>
      </c>
      <c r="O1288">
        <v>-0.4999036</v>
      </c>
      <c r="P1288">
        <v>0.77991659999999996</v>
      </c>
      <c r="Q1288">
        <v>2.308443E-2</v>
      </c>
      <c r="R1288">
        <v>-0.6254575</v>
      </c>
      <c r="S1288">
        <v>1.785507</v>
      </c>
      <c r="T1288">
        <v>0.1188781</v>
      </c>
      <c r="U1288">
        <v>-2.5750730000000002</v>
      </c>
      <c r="V1288">
        <v>0.1528928</v>
      </c>
      <c r="W1288">
        <v>3.3533790000000001E-2</v>
      </c>
      <c r="X1288">
        <v>0.98767369999999999</v>
      </c>
      <c r="Y1288">
        <v>0.42683660000000001</v>
      </c>
      <c r="Z1288">
        <v>-1.159789E-2</v>
      </c>
      <c r="AA1288">
        <v>0.90425440000000001</v>
      </c>
      <c r="AB1288">
        <v>42</v>
      </c>
      <c r="AC1288">
        <v>29.598700000000001</v>
      </c>
      <c r="AD1288">
        <v>1.983465</v>
      </c>
      <c r="AE1288">
        <v>-42.850299999999997</v>
      </c>
      <c r="AF1288">
        <v>22.279759444254001</v>
      </c>
      <c r="AG1288">
        <v>1.983465</v>
      </c>
      <c r="AH1288">
        <v>46.989279528294901</v>
      </c>
      <c r="AI1288">
        <v>87.815747458583502</v>
      </c>
      <c r="AJ1288">
        <v>64.632237476821999</v>
      </c>
      <c r="AK1288">
        <v>52.041466206173403</v>
      </c>
      <c r="AL1288">
        <v>88.078295141413406</v>
      </c>
      <c r="AM1288">
        <v>81.200406036674806</v>
      </c>
      <c r="AN1288">
        <v>1.00000003051764</v>
      </c>
    </row>
    <row r="1289" spans="1:40" x14ac:dyDescent="0.25">
      <c r="A1289" t="str">
        <f>"20190312160322093"</f>
        <v>20190312160322093</v>
      </c>
      <c r="B1289" t="str">
        <f>"1552377802085490"</f>
        <v>1552377802085490</v>
      </c>
      <c r="C1289" t="s">
        <v>40</v>
      </c>
      <c r="D1289">
        <v>5.584149</v>
      </c>
      <c r="E1289">
        <v>0.61487599999999998</v>
      </c>
      <c r="F1289" t="s">
        <v>46</v>
      </c>
      <c r="G1289">
        <v>-168.40099999999899</v>
      </c>
      <c r="H1289">
        <v>3.182474</v>
      </c>
      <c r="I1289">
        <v>317.55829999999997</v>
      </c>
      <c r="J1289">
        <v>-197.81720000000001</v>
      </c>
      <c r="K1289">
        <v>1.096406</v>
      </c>
      <c r="L1289">
        <v>360.8</v>
      </c>
      <c r="M1289">
        <v>0.86276919999999901</v>
      </c>
      <c r="N1289">
        <v>0</v>
      </c>
      <c r="O1289">
        <v>-0.50536029999999998</v>
      </c>
      <c r="P1289">
        <v>0.7759083</v>
      </c>
      <c r="Q1289">
        <v>2.3137930000000001E-2</v>
      </c>
      <c r="R1289">
        <v>-0.63042169999999997</v>
      </c>
      <c r="S1289">
        <v>1.767212</v>
      </c>
      <c r="T1289">
        <v>0.124545</v>
      </c>
      <c r="U1289">
        <v>-2.5882869999999998</v>
      </c>
      <c r="V1289">
        <v>0.1529701</v>
      </c>
      <c r="W1289">
        <v>3.3568099999999997E-2</v>
      </c>
      <c r="X1289">
        <v>0.98766050000000005</v>
      </c>
      <c r="Y1289">
        <v>0.42764229999999998</v>
      </c>
      <c r="Z1289">
        <v>-1.237717E-2</v>
      </c>
      <c r="AA1289">
        <v>0.90386330000000004</v>
      </c>
      <c r="AB1289">
        <v>42</v>
      </c>
      <c r="AC1289">
        <v>29.4162</v>
      </c>
      <c r="AD1289">
        <v>2.086068</v>
      </c>
      <c r="AE1289">
        <v>-43.241700000000002</v>
      </c>
      <c r="AF1289">
        <v>22.4088709706241</v>
      </c>
      <c r="AG1289">
        <v>2.086068</v>
      </c>
      <c r="AH1289">
        <v>47.162668611457697</v>
      </c>
      <c r="AI1289">
        <v>87.712192645191195</v>
      </c>
      <c r="AJ1289">
        <v>64.585736895056499</v>
      </c>
      <c r="AK1289">
        <v>52.257310382690797</v>
      </c>
      <c r="AL1289">
        <v>88.076328091847103</v>
      </c>
      <c r="AM1289">
        <v>81.195910972211706</v>
      </c>
      <c r="AN1289">
        <v>0.999999966045934</v>
      </c>
    </row>
    <row r="1290" spans="1:40" x14ac:dyDescent="0.25">
      <c r="A1290" t="str">
        <f>"20190312160322104"</f>
        <v>20190312160322104</v>
      </c>
      <c r="B1290" t="str">
        <f>"1552377802096225"</f>
        <v>1552377802096225</v>
      </c>
      <c r="C1290" t="s">
        <v>40</v>
      </c>
      <c r="D1290">
        <v>5.2248089999999996</v>
      </c>
      <c r="E1290">
        <v>0.61513909999999905</v>
      </c>
      <c r="F1290" t="s">
        <v>46</v>
      </c>
      <c r="G1290">
        <v>-168.4922</v>
      </c>
      <c r="H1290">
        <v>3.2704219999999999</v>
      </c>
      <c r="I1290">
        <v>317.19709999999998</v>
      </c>
      <c r="J1290">
        <v>-197.6463</v>
      </c>
      <c r="K1290">
        <v>1.096322</v>
      </c>
      <c r="L1290">
        <v>360.69670000000002</v>
      </c>
      <c r="M1290">
        <v>0.85973820000000001</v>
      </c>
      <c r="N1290">
        <v>0</v>
      </c>
      <c r="O1290">
        <v>-0.51049909999999998</v>
      </c>
      <c r="P1290">
        <v>0.77206660000000005</v>
      </c>
      <c r="Q1290">
        <v>2.334582E-2</v>
      </c>
      <c r="R1290">
        <v>-0.63511309999999999</v>
      </c>
      <c r="S1290">
        <v>1.749268</v>
      </c>
      <c r="T1290">
        <v>0.129682399999999</v>
      </c>
      <c r="U1290">
        <v>-2.6009519999999999</v>
      </c>
      <c r="V1290">
        <v>0.15308039999999901</v>
      </c>
      <c r="W1290">
        <v>3.3757299999999997E-2</v>
      </c>
      <c r="X1290">
        <v>0.98763699999999999</v>
      </c>
      <c r="Y1290">
        <v>0.42858570000000001</v>
      </c>
      <c r="Z1290">
        <v>-1.3106629999999999E-2</v>
      </c>
      <c r="AA1290">
        <v>0.90340609999999999</v>
      </c>
      <c r="AB1290">
        <v>41</v>
      </c>
      <c r="AC1290">
        <v>29.1541</v>
      </c>
      <c r="AD1290">
        <v>2.1741000000000001</v>
      </c>
      <c r="AE1290">
        <v>-43.499600000000001</v>
      </c>
      <c r="AF1290">
        <v>22.479091010139101</v>
      </c>
      <c r="AG1290">
        <v>2.1741000000000001</v>
      </c>
      <c r="AH1290">
        <v>47.195743230241</v>
      </c>
      <c r="AI1290">
        <v>87.618491296361697</v>
      </c>
      <c r="AJ1290">
        <v>64.531778799116097</v>
      </c>
      <c r="AK1290">
        <v>52.320879412591701</v>
      </c>
      <c r="AL1290">
        <v>88.065481656116404</v>
      </c>
      <c r="AM1290">
        <v>81.189455948303205</v>
      </c>
      <c r="AN1290">
        <v>1.00000000396822</v>
      </c>
    </row>
    <row r="1291" spans="1:40" x14ac:dyDescent="0.25">
      <c r="A1291" t="str">
        <f>"20190312160322114"</f>
        <v>20190312160322114</v>
      </c>
      <c r="B1291" t="str">
        <f>"1552377802105986"</f>
        <v>1552377802105986</v>
      </c>
      <c r="C1291" t="s">
        <v>40</v>
      </c>
      <c r="D1291">
        <v>5.6832770000000004</v>
      </c>
      <c r="E1291">
        <v>0.61533300000000002</v>
      </c>
      <c r="F1291" t="s">
        <v>46</v>
      </c>
      <c r="G1291">
        <v>-168.81059999999999</v>
      </c>
      <c r="H1291">
        <v>3.3534389999999998</v>
      </c>
      <c r="I1291">
        <v>317.19709999999998</v>
      </c>
      <c r="J1291">
        <v>-197.4734</v>
      </c>
      <c r="K1291">
        <v>1.096236</v>
      </c>
      <c r="L1291">
        <v>360.59019999999998</v>
      </c>
      <c r="M1291">
        <v>0.85659859999999899</v>
      </c>
      <c r="N1291">
        <v>0</v>
      </c>
      <c r="O1291">
        <v>-0.51574920000000002</v>
      </c>
      <c r="P1291">
        <v>0.76809139999999998</v>
      </c>
      <c r="Q1291">
        <v>2.3319610000000001E-2</v>
      </c>
      <c r="R1291">
        <v>-0.63991580000000003</v>
      </c>
      <c r="S1291">
        <v>1.732132</v>
      </c>
      <c r="T1291">
        <v>0.13558299999999901</v>
      </c>
      <c r="U1291">
        <v>-2.6129760000000002</v>
      </c>
      <c r="V1291">
        <v>0.15320339999999999</v>
      </c>
      <c r="W1291">
        <v>3.3712020000000002E-2</v>
      </c>
      <c r="X1291">
        <v>0.98761949999999998</v>
      </c>
      <c r="Y1291">
        <v>0.4290949</v>
      </c>
      <c r="Z1291">
        <v>-1.3946699999999999E-2</v>
      </c>
      <c r="AA1291">
        <v>0.90315179999999995</v>
      </c>
      <c r="AB1291">
        <v>41</v>
      </c>
      <c r="AC1291">
        <v>28.662800000000001</v>
      </c>
      <c r="AD1291">
        <v>2.2572030000000001</v>
      </c>
      <c r="AE1291">
        <v>-43.393099999999997</v>
      </c>
      <c r="AF1291">
        <v>22.348256208464498</v>
      </c>
      <c r="AG1291">
        <v>2.2572030000000001</v>
      </c>
      <c r="AH1291">
        <v>46.849882259839198</v>
      </c>
      <c r="AI1291">
        <v>87.510040761514801</v>
      </c>
      <c r="AJ1291">
        <v>64.497998802370603</v>
      </c>
      <c r="AK1291">
        <v>51.956241094821102</v>
      </c>
      <c r="AL1291">
        <v>88.068077535679706</v>
      </c>
      <c r="AM1291">
        <v>81.182334099485601</v>
      </c>
      <c r="AN1291">
        <v>1.0000000294221401</v>
      </c>
    </row>
    <row r="1292" spans="1:40" x14ac:dyDescent="0.25">
      <c r="A1292" t="str">
        <f>"20190312160322126"</f>
        <v>20190312160322126</v>
      </c>
      <c r="B1292" t="str">
        <f>"1552377802115746"</f>
        <v>1552377802115746</v>
      </c>
      <c r="C1292" t="s">
        <v>40</v>
      </c>
      <c r="D1292">
        <v>5.6871799999999997</v>
      </c>
      <c r="E1292">
        <v>0.61555150000000003</v>
      </c>
      <c r="F1292" t="s">
        <v>46</v>
      </c>
      <c r="G1292">
        <v>-168.983</v>
      </c>
      <c r="H1292">
        <v>3.4190239999999998</v>
      </c>
      <c r="I1292">
        <v>316.97919999999999</v>
      </c>
      <c r="J1292">
        <v>-197.29570000000001</v>
      </c>
      <c r="K1292">
        <v>1.0961459999999901</v>
      </c>
      <c r="L1292">
        <v>360.48</v>
      </c>
      <c r="M1292">
        <v>0.85331959999999996</v>
      </c>
      <c r="N1292">
        <v>0</v>
      </c>
      <c r="O1292">
        <v>-0.52115590000000001</v>
      </c>
      <c r="P1292">
        <v>0.76424840000000005</v>
      </c>
      <c r="Q1292">
        <v>2.3129569999999999E-2</v>
      </c>
      <c r="R1292">
        <v>-0.64450730000000001</v>
      </c>
      <c r="S1292">
        <v>1.7147520000000001</v>
      </c>
      <c r="T1292">
        <v>0.13980190000000001</v>
      </c>
      <c r="U1292">
        <v>-2.6248170000000002</v>
      </c>
      <c r="V1292">
        <v>0.1528746</v>
      </c>
      <c r="W1292">
        <v>3.3517579999999998E-2</v>
      </c>
      <c r="X1292">
        <v>0.98767700000000003</v>
      </c>
      <c r="Y1292">
        <v>0.42944559999999998</v>
      </c>
      <c r="Z1292">
        <v>-1.464469E-2</v>
      </c>
      <c r="AA1292">
        <v>0.90297400000000005</v>
      </c>
      <c r="AB1292">
        <v>41</v>
      </c>
      <c r="AC1292">
        <v>28.3127</v>
      </c>
      <c r="AD1292">
        <v>2.32287799999999</v>
      </c>
      <c r="AE1292">
        <v>-43.500799999999998</v>
      </c>
      <c r="AF1292">
        <v>22.322752328725301</v>
      </c>
      <c r="AG1292">
        <v>2.32287799999999</v>
      </c>
      <c r="AH1292">
        <v>46.742530116567401</v>
      </c>
      <c r="AI1292">
        <v>87.432360052852601</v>
      </c>
      <c r="AJ1292">
        <v>64.472336336647601</v>
      </c>
      <c r="AK1292">
        <v>51.851375636820897</v>
      </c>
      <c r="AL1292">
        <v>88.079224300380602</v>
      </c>
      <c r="AM1292">
        <v>81.201466066022604</v>
      </c>
      <c r="AN1292">
        <v>0.99999996391160695</v>
      </c>
    </row>
    <row r="1293" spans="1:40" x14ac:dyDescent="0.25">
      <c r="A1293" t="str">
        <f>"20190312160322138"</f>
        <v>20190312160322138</v>
      </c>
      <c r="B1293" t="str">
        <f>"1552377802125506"</f>
        <v>1552377802125506</v>
      </c>
      <c r="C1293" t="s">
        <v>40</v>
      </c>
      <c r="D1293">
        <v>5.686407</v>
      </c>
      <c r="E1293">
        <v>0.6157958</v>
      </c>
      <c r="F1293" t="s">
        <v>46</v>
      </c>
      <c r="G1293">
        <v>-168.983</v>
      </c>
      <c r="H1293">
        <v>3.4831850000000002</v>
      </c>
      <c r="I1293">
        <v>316.52510000000001</v>
      </c>
      <c r="J1293">
        <v>-197.11510000000001</v>
      </c>
      <c r="K1293">
        <v>1.0960540000000001</v>
      </c>
      <c r="L1293">
        <v>360.36540000000002</v>
      </c>
      <c r="M1293">
        <v>0.84989199999999998</v>
      </c>
      <c r="N1293">
        <v>0</v>
      </c>
      <c r="O1293">
        <v>-0.52672699999999995</v>
      </c>
      <c r="P1293">
        <v>0.75999700000000003</v>
      </c>
      <c r="Q1293">
        <v>2.2687550000000001E-2</v>
      </c>
      <c r="R1293">
        <v>-0.64953059999999996</v>
      </c>
      <c r="S1293">
        <v>1.6979979999999999</v>
      </c>
      <c r="T1293">
        <v>0.14315820000000001</v>
      </c>
      <c r="U1293">
        <v>-2.6361080000000001</v>
      </c>
      <c r="V1293">
        <v>0.1529094</v>
      </c>
      <c r="W1293">
        <v>3.3059119999999997E-2</v>
      </c>
      <c r="X1293">
        <v>0.98768710000000004</v>
      </c>
      <c r="Y1293">
        <v>0.42936099999999999</v>
      </c>
      <c r="Z1293">
        <v>-1.5285470000000001E-2</v>
      </c>
      <c r="AA1293">
        <v>0.90300360000000002</v>
      </c>
      <c r="AB1293">
        <v>41</v>
      </c>
      <c r="AC1293">
        <v>28.132100000000001</v>
      </c>
      <c r="AD1293">
        <v>2.3871310000000001</v>
      </c>
      <c r="AE1293">
        <v>-43.840299999999999</v>
      </c>
      <c r="AF1293">
        <v>22.397265822506402</v>
      </c>
      <c r="AG1293">
        <v>2.3871310000000001</v>
      </c>
      <c r="AH1293">
        <v>46.908298314344499</v>
      </c>
      <c r="AI1293">
        <v>87.370645731639897</v>
      </c>
      <c r="AJ1293">
        <v>64.476963551046396</v>
      </c>
      <c r="AK1293">
        <v>52.035798845436297</v>
      </c>
      <c r="AL1293">
        <v>88.105506756671701</v>
      </c>
      <c r="AM1293">
        <v>81.199583123556096</v>
      </c>
      <c r="AN1293">
        <v>0.99999999876497203</v>
      </c>
    </row>
    <row r="1294" spans="1:40" x14ac:dyDescent="0.25">
      <c r="A1294" t="str">
        <f>"20190312160322149"</f>
        <v>20190312160322149</v>
      </c>
      <c r="B1294" t="str">
        <f>"1552377802146002"</f>
        <v>1552377802146002</v>
      </c>
      <c r="C1294" t="s">
        <v>40</v>
      </c>
      <c r="D1294">
        <v>5.3211899999999996</v>
      </c>
      <c r="E1294">
        <v>0.61616000000000004</v>
      </c>
      <c r="F1294" t="s">
        <v>46</v>
      </c>
      <c r="G1294">
        <v>-168.983</v>
      </c>
      <c r="H1294">
        <v>3.531466</v>
      </c>
      <c r="I1294">
        <v>315.98950000000002</v>
      </c>
      <c r="J1294">
        <v>-196.9273</v>
      </c>
      <c r="K1294">
        <v>1.0959589999999999</v>
      </c>
      <c r="L1294">
        <v>360.24529999999999</v>
      </c>
      <c r="M1294">
        <v>0.84626699999999999</v>
      </c>
      <c r="N1294">
        <v>0</v>
      </c>
      <c r="O1294">
        <v>-0.53253070000000002</v>
      </c>
      <c r="P1294">
        <v>0.75579229999999997</v>
      </c>
      <c r="Q1294">
        <v>2.2735310000000002E-2</v>
      </c>
      <c r="R1294">
        <v>-0.65441669999999996</v>
      </c>
      <c r="S1294">
        <v>1.67923</v>
      </c>
      <c r="T1294">
        <v>0.14537220000000001</v>
      </c>
      <c r="U1294">
        <v>-2.6488339999999999</v>
      </c>
      <c r="V1294">
        <v>0.15252760000000001</v>
      </c>
      <c r="W1294">
        <v>3.3104399999999999E-2</v>
      </c>
      <c r="X1294">
        <v>0.98774459999999997</v>
      </c>
      <c r="Y1294">
        <v>0.42971290000000001</v>
      </c>
      <c r="Z1294">
        <v>-1.5817149999999999E-2</v>
      </c>
      <c r="AA1294">
        <v>0.90282700000000005</v>
      </c>
      <c r="AB1294">
        <v>41</v>
      </c>
      <c r="AC1294">
        <v>27.944299999999998</v>
      </c>
      <c r="AD1294">
        <v>2.4355069999999999</v>
      </c>
      <c r="AE1294">
        <v>-44.255799999999901</v>
      </c>
      <c r="AF1294">
        <v>22.524997899718599</v>
      </c>
      <c r="AG1294">
        <v>2.4355069999999999</v>
      </c>
      <c r="AH1294">
        <v>47.119626881271003</v>
      </c>
      <c r="AI1294">
        <v>87.330042263143994</v>
      </c>
      <c r="AJ1294">
        <v>64.450402684363198</v>
      </c>
      <c r="AK1294">
        <v>52.283519986316698</v>
      </c>
      <c r="AL1294">
        <v>88.102910952000499</v>
      </c>
      <c r="AM1294">
        <v>81.221717286784099</v>
      </c>
      <c r="AN1294">
        <v>0.99999998244513899</v>
      </c>
    </row>
    <row r="1295" spans="1:40" x14ac:dyDescent="0.25">
      <c r="A1295" t="str">
        <f>"20190312160322162"</f>
        <v>20190312160322162</v>
      </c>
      <c r="B1295" t="str">
        <f>"1552377802155762"</f>
        <v>1552377802155762</v>
      </c>
      <c r="C1295" t="s">
        <v>40</v>
      </c>
      <c r="D1295">
        <v>5.6228959999999999</v>
      </c>
      <c r="E1295">
        <v>0.6162974</v>
      </c>
      <c r="F1295" t="s">
        <v>46</v>
      </c>
      <c r="G1295">
        <v>-168.983</v>
      </c>
      <c r="H1295">
        <v>3.6500170000000001</v>
      </c>
      <c r="I1295">
        <v>315.45030000000003</v>
      </c>
      <c r="J1295">
        <v>-196.71979999999999</v>
      </c>
      <c r="K1295">
        <v>1.095858</v>
      </c>
      <c r="L1295">
        <v>360.11</v>
      </c>
      <c r="M1295">
        <v>0.84215180000000001</v>
      </c>
      <c r="N1295">
        <v>0</v>
      </c>
      <c r="O1295">
        <v>-0.53901480000000002</v>
      </c>
      <c r="P1295">
        <v>0.75075130000000001</v>
      </c>
      <c r="Q1295">
        <v>2.2567199999999999E-2</v>
      </c>
      <c r="R1295">
        <v>-0.66019939999999999</v>
      </c>
      <c r="S1295">
        <v>1.660309</v>
      </c>
      <c r="T1295">
        <v>0.15174979999999999</v>
      </c>
      <c r="U1295">
        <v>-2.6614990000000001</v>
      </c>
      <c r="V1295">
        <v>0.1525242</v>
      </c>
      <c r="W1295">
        <v>3.2919490000000003E-2</v>
      </c>
      <c r="X1295">
        <v>0.9877513</v>
      </c>
      <c r="Y1295">
        <v>0.429338</v>
      </c>
      <c r="Z1295">
        <v>-1.6873840000000001E-2</v>
      </c>
      <c r="AA1295">
        <v>0.90298619999999996</v>
      </c>
      <c r="AB1295">
        <v>41</v>
      </c>
      <c r="AC1295">
        <v>27.736799999999899</v>
      </c>
      <c r="AD1295">
        <v>2.5541589999999901</v>
      </c>
      <c r="AE1295">
        <v>-44.659700000000001</v>
      </c>
      <c r="AF1295">
        <v>22.609092541713601</v>
      </c>
      <c r="AG1295">
        <v>2.5541589999999901</v>
      </c>
      <c r="AH1295">
        <v>47.324902612802298</v>
      </c>
      <c r="AI1295">
        <v>87.211974713547704</v>
      </c>
      <c r="AJ1295">
        <v>64.464235642760002</v>
      </c>
      <c r="AK1295">
        <v>52.510391362741402</v>
      </c>
      <c r="AL1295">
        <v>88.113511283154295</v>
      </c>
      <c r="AM1295">
        <v>81.221968531386906</v>
      </c>
      <c r="AN1295">
        <v>0.99999997752959402</v>
      </c>
    </row>
    <row r="1296" spans="1:40" x14ac:dyDescent="0.25">
      <c r="A1296" t="str">
        <f>"20190312160322175"</f>
        <v>20190312160322175</v>
      </c>
      <c r="B1296" t="str">
        <f>"1552377802165522"</f>
        <v>1552377802165522</v>
      </c>
      <c r="C1296" t="s">
        <v>40</v>
      </c>
      <c r="D1296">
        <v>5.2583060000000001</v>
      </c>
      <c r="E1296">
        <v>0.61644169999999998</v>
      </c>
      <c r="F1296" t="s">
        <v>46</v>
      </c>
      <c r="G1296">
        <v>-168.983</v>
      </c>
      <c r="H1296">
        <v>3.7026430000000001</v>
      </c>
      <c r="I1296">
        <v>314.84089999999998</v>
      </c>
      <c r="J1296">
        <v>-196.5384</v>
      </c>
      <c r="K1296">
        <v>1.095769</v>
      </c>
      <c r="L1296">
        <v>359.98970000000003</v>
      </c>
      <c r="M1296">
        <v>0.83846860000000001</v>
      </c>
      <c r="N1296">
        <v>0</v>
      </c>
      <c r="O1296">
        <v>-0.54472609999999999</v>
      </c>
      <c r="P1296">
        <v>0.74627909999999997</v>
      </c>
      <c r="Q1296">
        <v>2.2754050000000001E-2</v>
      </c>
      <c r="R1296">
        <v>-0.66524430000000001</v>
      </c>
      <c r="S1296">
        <v>1.639008</v>
      </c>
      <c r="T1296">
        <v>0.15403939999999999</v>
      </c>
      <c r="U1296">
        <v>-2.6750180000000001</v>
      </c>
      <c r="V1296">
        <v>0.1524845</v>
      </c>
      <c r="W1296">
        <v>3.3093440000000002E-2</v>
      </c>
      <c r="X1296">
        <v>0.98775170000000001</v>
      </c>
      <c r="Y1296">
        <v>0.43046610000000002</v>
      </c>
      <c r="Z1296">
        <v>-1.7420330000000001E-2</v>
      </c>
      <c r="AA1296">
        <v>0.90243859999999998</v>
      </c>
      <c r="AB1296">
        <v>41</v>
      </c>
      <c r="AC1296">
        <v>27.555399999999899</v>
      </c>
      <c r="AD1296">
        <v>2.6068739999999999</v>
      </c>
      <c r="AE1296">
        <v>-45.148800000000001</v>
      </c>
      <c r="AF1296">
        <v>22.793126219970901</v>
      </c>
      <c r="AG1296">
        <v>2.6068739999999999</v>
      </c>
      <c r="AH1296">
        <v>47.588290426337203</v>
      </c>
      <c r="AI1296">
        <v>87.171594554568102</v>
      </c>
      <c r="AJ1296">
        <v>64.407209579621806</v>
      </c>
      <c r="AK1296">
        <v>52.829610831737398</v>
      </c>
      <c r="AL1296">
        <v>88.103539404546396</v>
      </c>
      <c r="AM1296">
        <v>81.224221262136695</v>
      </c>
      <c r="AN1296">
        <v>1.0000000596820799</v>
      </c>
    </row>
    <row r="1297" spans="1:40" x14ac:dyDescent="0.25">
      <c r="A1297" t="str">
        <f>"20190312160322187"</f>
        <v>20190312160322187</v>
      </c>
      <c r="B1297" t="str">
        <f>"1552377802176258"</f>
        <v>1552377802176258</v>
      </c>
      <c r="C1297" t="s">
        <v>40</v>
      </c>
      <c r="D1297">
        <v>5.8138680000000003</v>
      </c>
      <c r="E1297">
        <v>0.61666889999999996</v>
      </c>
      <c r="F1297" t="s">
        <v>53</v>
      </c>
      <c r="G1297">
        <v>-157.25</v>
      </c>
      <c r="H1297">
        <v>4.9055299999999997</v>
      </c>
      <c r="I1297">
        <v>294.8306</v>
      </c>
      <c r="J1297">
        <v>-196.33779999999999</v>
      </c>
      <c r="K1297">
        <v>1.0956699999999999</v>
      </c>
      <c r="L1297">
        <v>359.85539999999997</v>
      </c>
      <c r="M1297">
        <v>0.83431849999999996</v>
      </c>
      <c r="N1297">
        <v>0</v>
      </c>
      <c r="O1297">
        <v>-0.55106069999999996</v>
      </c>
      <c r="P1297">
        <v>0.74144109999999996</v>
      </c>
      <c r="Q1297">
        <v>2.2852129999999998E-2</v>
      </c>
      <c r="R1297">
        <v>-0.67062900000000003</v>
      </c>
      <c r="S1297">
        <v>1.62007099999999</v>
      </c>
      <c r="T1297">
        <v>0.15709999999999999</v>
      </c>
      <c r="U1297">
        <v>-2.6868590000000001</v>
      </c>
      <c r="V1297">
        <v>0.15216640000000001</v>
      </c>
      <c r="W1297">
        <v>3.3186840000000002E-2</v>
      </c>
      <c r="X1297">
        <v>0.98779760000000005</v>
      </c>
      <c r="Y1297">
        <v>0.43006129999999998</v>
      </c>
      <c r="Z1297">
        <v>-1.813799E-2</v>
      </c>
      <c r="AA1297">
        <v>0.90261749999999996</v>
      </c>
      <c r="AB1297">
        <v>41</v>
      </c>
      <c r="AC1297">
        <v>39.087799999999902</v>
      </c>
      <c r="AD1297">
        <v>3.80986</v>
      </c>
      <c r="AE1297">
        <v>-65.0247999999999</v>
      </c>
      <c r="AF1297">
        <v>32.6333558124958</v>
      </c>
      <c r="AG1297">
        <v>3.80986</v>
      </c>
      <c r="AH1297">
        <v>68.280481727383503</v>
      </c>
      <c r="AI1297">
        <v>87.117989922676401</v>
      </c>
      <c r="AJ1297">
        <v>64.455420721832496</v>
      </c>
      <c r="AK1297">
        <v>75.773841988697598</v>
      </c>
      <c r="AL1297">
        <v>88.098184998828799</v>
      </c>
      <c r="AM1297">
        <v>81.242645062881195</v>
      </c>
      <c r="AN1297">
        <v>1.0000000391019499</v>
      </c>
    </row>
    <row r="1298" spans="1:40" x14ac:dyDescent="0.25">
      <c r="A1298" t="str">
        <f>"20190312160322199"</f>
        <v>20190312160322199</v>
      </c>
      <c r="B1298" t="str">
        <f>"1552377802185548"</f>
        <v>1552377802185548</v>
      </c>
      <c r="C1298" t="s">
        <v>40</v>
      </c>
      <c r="D1298">
        <v>5.7481039999999997</v>
      </c>
      <c r="E1298">
        <v>0.61680219999999997</v>
      </c>
      <c r="F1298" t="s">
        <v>53</v>
      </c>
      <c r="G1298">
        <v>-157.25</v>
      </c>
      <c r="H1298">
        <v>4.9349540000000003</v>
      </c>
      <c r="I1298">
        <v>293.88810000000001</v>
      </c>
      <c r="J1298">
        <v>-196.1551</v>
      </c>
      <c r="K1298">
        <v>1.09558</v>
      </c>
      <c r="L1298">
        <v>359.73009999999999</v>
      </c>
      <c r="M1298">
        <v>0.83042269999999896</v>
      </c>
      <c r="N1298">
        <v>0</v>
      </c>
      <c r="O1298">
        <v>-0.55691369999999996</v>
      </c>
      <c r="P1298">
        <v>0.73683180000000004</v>
      </c>
      <c r="Q1298">
        <v>2.2921790000000001E-2</v>
      </c>
      <c r="R1298">
        <v>-0.6756877</v>
      </c>
      <c r="S1298">
        <v>1.599594</v>
      </c>
      <c r="T1298">
        <v>0.15711829999999999</v>
      </c>
      <c r="U1298">
        <v>-2.6995849999999999</v>
      </c>
      <c r="V1298">
        <v>0.15199219999999999</v>
      </c>
      <c r="W1298">
        <v>3.3249750000000002E-2</v>
      </c>
      <c r="X1298">
        <v>0.98782230000000004</v>
      </c>
      <c r="Y1298">
        <v>0.43065170000000003</v>
      </c>
      <c r="Z1298">
        <v>-1.8460250000000001E-2</v>
      </c>
      <c r="AA1298">
        <v>0.90232939999999995</v>
      </c>
      <c r="AB1298">
        <v>41</v>
      </c>
      <c r="AC1298">
        <v>38.905099999999997</v>
      </c>
      <c r="AD1298">
        <v>3.8393739999999998</v>
      </c>
      <c r="AE1298">
        <v>-65.841999999999899</v>
      </c>
      <c r="AF1298">
        <v>32.930960546533903</v>
      </c>
      <c r="AG1298">
        <v>3.8393739999999998</v>
      </c>
      <c r="AH1298">
        <v>68.811024576740394</v>
      </c>
      <c r="AI1298">
        <v>87.118773123857807</v>
      </c>
      <c r="AJ1298">
        <v>64.425575407995098</v>
      </c>
      <c r="AK1298">
        <v>76.381581932623106</v>
      </c>
      <c r="AL1298">
        <v>88.094578524385398</v>
      </c>
      <c r="AM1298">
        <v>81.252730671526194</v>
      </c>
      <c r="AN1298">
        <v>1.0000000355565899</v>
      </c>
    </row>
    <row r="1299" spans="1:40" x14ac:dyDescent="0.25">
      <c r="A1299" t="str">
        <f>"20190312160322210"</f>
        <v>20190312160322210</v>
      </c>
      <c r="B1299" t="str">
        <f>"1552377802206045"</f>
        <v>1552377802206045</v>
      </c>
      <c r="C1299" t="s">
        <v>40</v>
      </c>
      <c r="D1299">
        <v>5.8491730000000004</v>
      </c>
      <c r="E1299">
        <v>0.61698969999999997</v>
      </c>
      <c r="F1299" t="s">
        <v>53</v>
      </c>
      <c r="G1299">
        <v>-157.25</v>
      </c>
      <c r="H1299">
        <v>5.0316720000000004</v>
      </c>
      <c r="I1299">
        <v>292.9787</v>
      </c>
      <c r="J1299">
        <v>-195.98249999999999</v>
      </c>
      <c r="K1299">
        <v>1.0954950000000001</v>
      </c>
      <c r="L1299">
        <v>359.61070000000001</v>
      </c>
      <c r="M1299">
        <v>0.826681</v>
      </c>
      <c r="N1299">
        <v>0</v>
      </c>
      <c r="O1299">
        <v>-0.56245230000000002</v>
      </c>
      <c r="P1299">
        <v>0.73248679999999999</v>
      </c>
      <c r="Q1299">
        <v>2.2639719999999999E-2</v>
      </c>
      <c r="R1299">
        <v>-0.68040480000000003</v>
      </c>
      <c r="S1299">
        <v>1.5802309999999999</v>
      </c>
      <c r="T1299">
        <v>0.159877399999999</v>
      </c>
      <c r="U1299">
        <v>-2.7112729999999998</v>
      </c>
      <c r="V1299">
        <v>0.15172389999999999</v>
      </c>
      <c r="W1299">
        <v>3.2963800000000001E-2</v>
      </c>
      <c r="X1299">
        <v>0.98787309999999995</v>
      </c>
      <c r="Y1299">
        <v>0.43112840000000002</v>
      </c>
      <c r="Z1299">
        <v>-1.9095580000000001E-2</v>
      </c>
      <c r="AA1299">
        <v>0.90208849999999996</v>
      </c>
      <c r="AB1299">
        <v>41</v>
      </c>
      <c r="AC1299">
        <v>38.732499999999902</v>
      </c>
      <c r="AD1299">
        <v>3.9361769999999998</v>
      </c>
      <c r="AE1299">
        <v>-66.632000000000005</v>
      </c>
      <c r="AF1299">
        <v>33.215682951822302</v>
      </c>
      <c r="AG1299">
        <v>3.9361769999999998</v>
      </c>
      <c r="AH1299">
        <v>69.324470594041401</v>
      </c>
      <c r="AI1299">
        <v>87.068734866338602</v>
      </c>
      <c r="AJ1299">
        <v>64.3993534204198</v>
      </c>
      <c r="AK1299">
        <v>76.971795525863996</v>
      </c>
      <c r="AL1299">
        <v>88.110971185750898</v>
      </c>
      <c r="AM1299">
        <v>81.268375467829102</v>
      </c>
      <c r="AN1299">
        <v>1.0000000078226201</v>
      </c>
    </row>
    <row r="1300" spans="1:40" x14ac:dyDescent="0.25">
      <c r="A1300" t="str">
        <f>"20190312160322221"</f>
        <v>20190312160322221</v>
      </c>
      <c r="B1300" t="str">
        <f>"1552377802215804"</f>
        <v>1552377802215804</v>
      </c>
      <c r="C1300" t="s">
        <v>40</v>
      </c>
      <c r="D1300">
        <v>5.780259</v>
      </c>
      <c r="E1300">
        <v>0.61713839999999998</v>
      </c>
      <c r="F1300" t="s">
        <v>53</v>
      </c>
      <c r="G1300">
        <v>-157.25</v>
      </c>
      <c r="H1300">
        <v>5.1388780000000001</v>
      </c>
      <c r="I1300">
        <v>292.09289999999999</v>
      </c>
      <c r="J1300">
        <v>-195.8151</v>
      </c>
      <c r="K1300">
        <v>1.095405</v>
      </c>
      <c r="L1300">
        <v>359.49290000000002</v>
      </c>
      <c r="M1300">
        <v>0.82296769999999997</v>
      </c>
      <c r="N1300">
        <v>0</v>
      </c>
      <c r="O1300">
        <v>-0.56787119999999902</v>
      </c>
      <c r="P1300">
        <v>0.72824230000000001</v>
      </c>
      <c r="Q1300">
        <v>2.2764380000000001E-2</v>
      </c>
      <c r="R1300">
        <v>-0.68494169999999999</v>
      </c>
      <c r="S1300">
        <v>1.561768</v>
      </c>
      <c r="T1300">
        <v>0.16303979999999901</v>
      </c>
      <c r="U1300">
        <v>-2.7224430000000002</v>
      </c>
      <c r="V1300">
        <v>0.1513835</v>
      </c>
      <c r="W1300">
        <v>3.308962E-2</v>
      </c>
      <c r="X1300">
        <v>0.9879211</v>
      </c>
      <c r="Y1300">
        <v>0.43140899999999999</v>
      </c>
      <c r="Z1300">
        <v>-1.9787860000000001E-2</v>
      </c>
      <c r="AA1300">
        <v>0.90193939999999995</v>
      </c>
      <c r="AB1300">
        <v>41</v>
      </c>
      <c r="AC1300">
        <v>38.565100000000001</v>
      </c>
      <c r="AD1300">
        <v>4.0434729999999997</v>
      </c>
      <c r="AE1300">
        <v>-67.400000000000006</v>
      </c>
      <c r="AF1300">
        <v>33.481370195864201</v>
      </c>
      <c r="AG1300">
        <v>4.0434729999999997</v>
      </c>
      <c r="AH1300">
        <v>69.831640043929994</v>
      </c>
      <c r="AI1300">
        <v>87.011183044967893</v>
      </c>
      <c r="AJ1300">
        <v>64.384217548837199</v>
      </c>
      <c r="AK1300">
        <v>77.548757406674497</v>
      </c>
      <c r="AL1300">
        <v>88.103758268660101</v>
      </c>
      <c r="AM1300">
        <v>81.288081199797205</v>
      </c>
      <c r="AN1300">
        <v>0.999999993424602</v>
      </c>
    </row>
    <row r="1301" spans="1:40" x14ac:dyDescent="0.25">
      <c r="A1301" t="str">
        <f>"20190312160322232"</f>
        <v>20190312160322232</v>
      </c>
      <c r="B1301" t="str">
        <f>"1552377802225565"</f>
        <v>1552377802225565</v>
      </c>
      <c r="C1301" t="s">
        <v>40</v>
      </c>
      <c r="D1301">
        <v>5.7998969999999996</v>
      </c>
      <c r="E1301">
        <v>0.61726029999999998</v>
      </c>
      <c r="F1301" t="s">
        <v>53</v>
      </c>
      <c r="G1301">
        <v>-157.25</v>
      </c>
      <c r="H1301">
        <v>5.1552150000000001</v>
      </c>
      <c r="I1301">
        <v>291.24549999999999</v>
      </c>
      <c r="J1301">
        <v>-195.65549999999999</v>
      </c>
      <c r="K1301">
        <v>1.095326</v>
      </c>
      <c r="L1301">
        <v>359.37920000000003</v>
      </c>
      <c r="M1301">
        <v>0.81936059999999999</v>
      </c>
      <c r="N1301">
        <v>0</v>
      </c>
      <c r="O1301">
        <v>-0.57306330000000005</v>
      </c>
      <c r="P1301">
        <v>0.72387000000000001</v>
      </c>
      <c r="Q1301">
        <v>2.2638370000000001E-2</v>
      </c>
      <c r="R1301">
        <v>-0.68956490000000004</v>
      </c>
      <c r="S1301">
        <v>1.544189</v>
      </c>
      <c r="T1301">
        <v>0.16256189999999901</v>
      </c>
      <c r="U1301">
        <v>-2.7326969999999999</v>
      </c>
      <c r="V1301">
        <v>0.15142749999999999</v>
      </c>
      <c r="W1301">
        <v>3.2949989999999998E-2</v>
      </c>
      <c r="X1301">
        <v>0.98791899999999999</v>
      </c>
      <c r="Y1301">
        <v>0.4315563</v>
      </c>
      <c r="Z1301">
        <v>-2.0035919999999999E-2</v>
      </c>
      <c r="AA1301">
        <v>0.90186350000000004</v>
      </c>
      <c r="AB1301">
        <v>41</v>
      </c>
      <c r="AC1301">
        <v>38.405499999999897</v>
      </c>
      <c r="AD1301">
        <v>4.0598890000000001</v>
      </c>
      <c r="AE1301">
        <v>-68.133700000000005</v>
      </c>
      <c r="AF1301">
        <v>33.730571488090803</v>
      </c>
      <c r="AG1301">
        <v>4.0598890000000001</v>
      </c>
      <c r="AH1301">
        <v>70.332065347501896</v>
      </c>
      <c r="AI1301">
        <v>87.020537292076</v>
      </c>
      <c r="AJ1301">
        <v>64.378078839004601</v>
      </c>
      <c r="AK1301">
        <v>78.107832946835799</v>
      </c>
      <c r="AL1301">
        <v>88.111762799228998</v>
      </c>
      <c r="AM1301">
        <v>81.2855696835136</v>
      </c>
      <c r="AN1301">
        <v>0.999999970079124</v>
      </c>
    </row>
    <row r="1302" spans="1:40" x14ac:dyDescent="0.25">
      <c r="A1302" t="str">
        <f>"20190312160322242"</f>
        <v>20190312160322242</v>
      </c>
      <c r="B1302" t="str">
        <f>"1552377802235324"</f>
        <v>1552377802235324</v>
      </c>
      <c r="C1302" t="s">
        <v>40</v>
      </c>
      <c r="D1302">
        <v>5.3292469999999996</v>
      </c>
      <c r="E1302">
        <v>0.61731159999999996</v>
      </c>
      <c r="F1302" t="s">
        <v>53</v>
      </c>
      <c r="G1302">
        <v>-157.25</v>
      </c>
      <c r="H1302">
        <v>5.1514410000000002</v>
      </c>
      <c r="I1302">
        <v>290.35039999999998</v>
      </c>
      <c r="J1302">
        <v>-195.4889</v>
      </c>
      <c r="K1302">
        <v>1.0952459999999999</v>
      </c>
      <c r="L1302">
        <v>359.25889999999998</v>
      </c>
      <c r="M1302">
        <v>0.815517099999999</v>
      </c>
      <c r="N1302">
        <v>0</v>
      </c>
      <c r="O1302">
        <v>-0.57851900000000001</v>
      </c>
      <c r="P1302">
        <v>0.71923879999999996</v>
      </c>
      <c r="Q1302">
        <v>2.283839E-2</v>
      </c>
      <c r="R1302">
        <v>-0.69438739999999999</v>
      </c>
      <c r="S1302">
        <v>1.5262150000000001</v>
      </c>
      <c r="T1302">
        <v>0.16119049999999999</v>
      </c>
      <c r="U1302">
        <v>-2.7431640000000002</v>
      </c>
      <c r="V1302">
        <v>0.1514537</v>
      </c>
      <c r="W1302">
        <v>3.3137760000000002E-2</v>
      </c>
      <c r="X1302">
        <v>0.98790869999999997</v>
      </c>
      <c r="Y1302">
        <v>0.43151390000000001</v>
      </c>
      <c r="Z1302">
        <v>-2.0190670000000001E-2</v>
      </c>
      <c r="AA1302">
        <v>0.90188029999999997</v>
      </c>
      <c r="AB1302">
        <v>41</v>
      </c>
      <c r="AC1302">
        <v>38.238900000000001</v>
      </c>
      <c r="AD1302">
        <v>4.0561949999999998</v>
      </c>
      <c r="AE1302">
        <v>-68.908500000000004</v>
      </c>
      <c r="AF1302">
        <v>33.988309808285898</v>
      </c>
      <c r="AG1302">
        <v>4.0561949999999998</v>
      </c>
      <c r="AH1302">
        <v>70.870406392723197</v>
      </c>
      <c r="AI1302">
        <v>87.045807775930996</v>
      </c>
      <c r="AJ1302">
        <v>64.378371188649297</v>
      </c>
      <c r="AK1302">
        <v>78.703700191107899</v>
      </c>
      <c r="AL1302">
        <v>88.1009984860776</v>
      </c>
      <c r="AM1302">
        <v>81.283995586196596</v>
      </c>
      <c r="AN1302">
        <v>0.99999996695859805</v>
      </c>
    </row>
    <row r="1303" spans="1:40" x14ac:dyDescent="0.25">
      <c r="A1303" t="str">
        <f>"20190312160322253"</f>
        <v>20190312160322253</v>
      </c>
      <c r="B1303" t="str">
        <f>"1552377802246060"</f>
        <v>1552377802246060</v>
      </c>
      <c r="C1303" t="s">
        <v>40</v>
      </c>
      <c r="D1303">
        <v>5.6172399999999998</v>
      </c>
      <c r="E1303">
        <v>0.61736740000000001</v>
      </c>
      <c r="F1303" t="s">
        <v>53</v>
      </c>
      <c r="G1303">
        <v>-157.25</v>
      </c>
      <c r="H1303">
        <v>5.2360639999999998</v>
      </c>
      <c r="I1303">
        <v>289.40699999999998</v>
      </c>
      <c r="J1303">
        <v>-195.32390000000001</v>
      </c>
      <c r="K1303">
        <v>1.095167</v>
      </c>
      <c r="L1303">
        <v>359.13780000000003</v>
      </c>
      <c r="M1303">
        <v>0.81162909999999999</v>
      </c>
      <c r="N1303">
        <v>0</v>
      </c>
      <c r="O1303">
        <v>-0.58396079999999995</v>
      </c>
      <c r="P1303">
        <v>0.71450000000000002</v>
      </c>
      <c r="Q1303">
        <v>2.2741569999999999E-2</v>
      </c>
      <c r="R1303">
        <v>-0.69926549999999998</v>
      </c>
      <c r="S1303">
        <v>1.507401</v>
      </c>
      <c r="T1303">
        <v>0.1632364</v>
      </c>
      <c r="U1303">
        <v>-2.7536010000000002</v>
      </c>
      <c r="V1303">
        <v>0.1515697</v>
      </c>
      <c r="W1303">
        <v>3.3025289999999999E-2</v>
      </c>
      <c r="X1303">
        <v>0.98789470000000001</v>
      </c>
      <c r="Y1303">
        <v>0.43166769999999999</v>
      </c>
      <c r="Z1303">
        <v>-2.077085E-2</v>
      </c>
      <c r="AA1303">
        <v>0.90179350000000003</v>
      </c>
      <c r="AB1303">
        <v>41</v>
      </c>
      <c r="AC1303">
        <v>38.073900000000002</v>
      </c>
      <c r="AD1303">
        <v>4.1408969999999998</v>
      </c>
      <c r="AE1303">
        <v>-69.730800000000002</v>
      </c>
      <c r="AF1303">
        <v>34.273037585190103</v>
      </c>
      <c r="AG1303">
        <v>4.1408969999999998</v>
      </c>
      <c r="AH1303">
        <v>71.436758098540906</v>
      </c>
      <c r="AI1303">
        <v>87.008309900650502</v>
      </c>
      <c r="AJ1303">
        <v>64.369820147423894</v>
      </c>
      <c r="AK1303">
        <v>79.341026845572799</v>
      </c>
      <c r="AL1303">
        <v>88.107446117200297</v>
      </c>
      <c r="AM1303">
        <v>81.277300824116693</v>
      </c>
      <c r="AN1303">
        <v>0.99999999101288195</v>
      </c>
    </row>
    <row r="1304" spans="1:40" x14ac:dyDescent="0.25">
      <c r="A1304" t="str">
        <f>"20190312160322263"</f>
        <v>20190312160322263</v>
      </c>
      <c r="B1304" t="str">
        <f>"1552377802255820"</f>
        <v>1552377802255820</v>
      </c>
      <c r="C1304" t="s">
        <v>40</v>
      </c>
      <c r="D1304">
        <v>5.7556580000000004</v>
      </c>
      <c r="E1304">
        <v>0.61738970000000004</v>
      </c>
      <c r="F1304" t="s">
        <v>53</v>
      </c>
      <c r="G1304">
        <v>-157.25</v>
      </c>
      <c r="H1304">
        <v>5.2893689999999998</v>
      </c>
      <c r="I1304">
        <v>288.41039999999998</v>
      </c>
      <c r="J1304">
        <v>-195.16540000000001</v>
      </c>
      <c r="K1304">
        <v>1.095089</v>
      </c>
      <c r="L1304">
        <v>359.0204</v>
      </c>
      <c r="M1304">
        <v>0.80783079999999996</v>
      </c>
      <c r="N1304">
        <v>0</v>
      </c>
      <c r="O1304">
        <v>-0.58920380000000006</v>
      </c>
      <c r="P1304">
        <v>0.70991280000000001</v>
      </c>
      <c r="Q1304">
        <v>2.272302E-2</v>
      </c>
      <c r="R1304">
        <v>-0.70392290000000002</v>
      </c>
      <c r="S1304">
        <v>1.4880979999999999</v>
      </c>
      <c r="T1304">
        <v>0.16393089999999999</v>
      </c>
      <c r="U1304">
        <v>-2.7643430000000002</v>
      </c>
      <c r="V1304">
        <v>0.15163840000000001</v>
      </c>
      <c r="W1304">
        <v>3.2992880000000002E-2</v>
      </c>
      <c r="X1304">
        <v>0.98788520000000002</v>
      </c>
      <c r="Y1304">
        <v>0.43217689999999997</v>
      </c>
      <c r="Z1304">
        <v>-2.116343E-2</v>
      </c>
      <c r="AA1304">
        <v>0.90154049999999997</v>
      </c>
      <c r="AB1304">
        <v>41</v>
      </c>
      <c r="AC1304">
        <v>37.915399999999998</v>
      </c>
      <c r="AD1304">
        <v>4.19428</v>
      </c>
      <c r="AE1304">
        <v>-70.61</v>
      </c>
      <c r="AF1304">
        <v>34.610553782031197</v>
      </c>
      <c r="AG1304">
        <v>4.19428</v>
      </c>
      <c r="AH1304">
        <v>72.044564465681404</v>
      </c>
      <c r="AI1304">
        <v>86.996076312519094</v>
      </c>
      <c r="AJ1304">
        <v>64.340147433464494</v>
      </c>
      <c r="AK1304">
        <v>80.036877043441606</v>
      </c>
      <c r="AL1304">
        <v>88.109304011065703</v>
      </c>
      <c r="AM1304">
        <v>81.273325420468097</v>
      </c>
      <c r="AN1304">
        <v>0.99999995143214604</v>
      </c>
    </row>
    <row r="1305" spans="1:40" x14ac:dyDescent="0.25">
      <c r="A1305" t="str">
        <f>"20190312160322274"</f>
        <v>20190312160322274</v>
      </c>
      <c r="B1305" t="str">
        <f>"1552377802265580"</f>
        <v>1552377802265580</v>
      </c>
      <c r="C1305" t="s">
        <v>40</v>
      </c>
      <c r="D1305">
        <v>5.445951</v>
      </c>
      <c r="E1305">
        <v>0.61744960000000004</v>
      </c>
      <c r="F1305" t="s">
        <v>53</v>
      </c>
      <c r="G1305">
        <v>-157.25</v>
      </c>
      <c r="H1305">
        <v>5.3553899999999999</v>
      </c>
      <c r="I1305">
        <v>287.47070000000002</v>
      </c>
      <c r="J1305">
        <v>-195.0274</v>
      </c>
      <c r="K1305">
        <v>1.095016</v>
      </c>
      <c r="L1305">
        <v>358.91629999999998</v>
      </c>
      <c r="M1305">
        <v>0.80444720000000003</v>
      </c>
      <c r="N1305">
        <v>0</v>
      </c>
      <c r="O1305">
        <v>-0.59381470000000003</v>
      </c>
      <c r="P1305">
        <v>0.70567069999999998</v>
      </c>
      <c r="Q1305">
        <v>2.2589740000000001E-2</v>
      </c>
      <c r="R1305">
        <v>-0.70818000000000003</v>
      </c>
      <c r="S1305">
        <v>1.4700009999999999</v>
      </c>
      <c r="T1305">
        <v>0.16517709999999999</v>
      </c>
      <c r="U1305">
        <v>-2.7740170000000002</v>
      </c>
      <c r="V1305">
        <v>0.1519277</v>
      </c>
      <c r="W1305">
        <v>3.2838939999999997E-2</v>
      </c>
      <c r="X1305">
        <v>0.987846</v>
      </c>
      <c r="Y1305">
        <v>0.43291610000000003</v>
      </c>
      <c r="Z1305">
        <v>-2.158846E-2</v>
      </c>
      <c r="AA1305">
        <v>0.90117570000000002</v>
      </c>
      <c r="AB1305">
        <v>41</v>
      </c>
      <c r="AC1305">
        <v>37.7774</v>
      </c>
      <c r="AD1305">
        <v>4.2603739999999997</v>
      </c>
      <c r="AE1305">
        <v>-71.445599999999899</v>
      </c>
      <c r="AF1305">
        <v>34.948678014795597</v>
      </c>
      <c r="AG1305">
        <v>4.2603739999999997</v>
      </c>
      <c r="AH1305">
        <v>72.622619077872301</v>
      </c>
      <c r="AI1305">
        <v>86.974051495130993</v>
      </c>
      <c r="AJ1305">
        <v>64.301427393424802</v>
      </c>
      <c r="AK1305">
        <v>80.706912240101701</v>
      </c>
      <c r="AL1305">
        <v>88.118129130626798</v>
      </c>
      <c r="AM1305">
        <v>81.256591853282202</v>
      </c>
      <c r="AN1305">
        <v>1.0000000708618</v>
      </c>
    </row>
    <row r="1306" spans="1:40" x14ac:dyDescent="0.25">
      <c r="A1306" t="str">
        <f>"20190312160322284"</f>
        <v>20190312160322284</v>
      </c>
      <c r="B1306" t="str">
        <f>"1552377802275341"</f>
        <v>1552377802275341</v>
      </c>
      <c r="C1306" t="s">
        <v>40</v>
      </c>
      <c r="D1306">
        <v>5.3442660000000002</v>
      </c>
      <c r="E1306">
        <v>0.6174868</v>
      </c>
      <c r="F1306" t="s">
        <v>53</v>
      </c>
      <c r="G1306">
        <v>-157.25</v>
      </c>
      <c r="H1306">
        <v>5.3960299999999997</v>
      </c>
      <c r="I1306">
        <v>286.56349999999998</v>
      </c>
      <c r="J1306">
        <v>-194.87039999999999</v>
      </c>
      <c r="K1306">
        <v>1.0949390000000001</v>
      </c>
      <c r="L1306">
        <v>358.79689999999999</v>
      </c>
      <c r="M1306">
        <v>0.80054209999999904</v>
      </c>
      <c r="N1306">
        <v>0</v>
      </c>
      <c r="O1306">
        <v>-0.59906839999999995</v>
      </c>
      <c r="P1306">
        <v>0.70099199999999995</v>
      </c>
      <c r="Q1306">
        <v>2.255706E-2</v>
      </c>
      <c r="R1306">
        <v>-0.71281269999999997</v>
      </c>
      <c r="S1306">
        <v>1.453079</v>
      </c>
      <c r="T1306">
        <v>0.1654381</v>
      </c>
      <c r="U1306">
        <v>-2.7829899999999999</v>
      </c>
      <c r="V1306">
        <v>0.15197140000000001</v>
      </c>
      <c r="W1306">
        <v>3.2794139999999999E-2</v>
      </c>
      <c r="X1306">
        <v>0.98784070000000002</v>
      </c>
      <c r="Y1306">
        <v>0.4325176</v>
      </c>
      <c r="Z1306">
        <v>-2.1955189999999999E-2</v>
      </c>
      <c r="AA1306">
        <v>0.9013582</v>
      </c>
      <c r="AB1306">
        <v>41</v>
      </c>
      <c r="AC1306">
        <v>37.620399999999897</v>
      </c>
      <c r="AD1306">
        <v>4.3010910000000004</v>
      </c>
      <c r="AE1306">
        <v>-72.233400000000003</v>
      </c>
      <c r="AF1306">
        <v>35.194927199457602</v>
      </c>
      <c r="AG1306">
        <v>4.3010910000000004</v>
      </c>
      <c r="AH1306">
        <v>73.194474619569107</v>
      </c>
      <c r="AI1306">
        <v>86.968541176923296</v>
      </c>
      <c r="AJ1306">
        <v>64.319829840889199</v>
      </c>
      <c r="AK1306">
        <v>81.330273571408597</v>
      </c>
      <c r="AL1306">
        <v>88.120697241395007</v>
      </c>
      <c r="AM1306">
        <v>81.2540696076085</v>
      </c>
      <c r="AN1306">
        <v>1.00000000530639</v>
      </c>
    </row>
    <row r="1307" spans="1:40" x14ac:dyDescent="0.25">
      <c r="A1307" t="str">
        <f>"20190312160322294"</f>
        <v>20190312160322294</v>
      </c>
      <c r="B1307" t="str">
        <f>"1552377802285607"</f>
        <v>1552377802285607</v>
      </c>
      <c r="C1307" t="s">
        <v>40</v>
      </c>
      <c r="D1307">
        <v>5.9780139999999999</v>
      </c>
      <c r="E1307">
        <v>0.61761840000000001</v>
      </c>
      <c r="F1307" t="s">
        <v>53</v>
      </c>
      <c r="G1307">
        <v>-157.64330000000001</v>
      </c>
      <c r="H1307">
        <v>5.4146970000000003</v>
      </c>
      <c r="I1307">
        <v>286.32650000000001</v>
      </c>
      <c r="J1307">
        <v>-194.7259</v>
      </c>
      <c r="K1307">
        <v>1.094867</v>
      </c>
      <c r="L1307">
        <v>358.68509999999998</v>
      </c>
      <c r="M1307">
        <v>0.79686420000000002</v>
      </c>
      <c r="N1307">
        <v>0</v>
      </c>
      <c r="O1307">
        <v>-0.60395149999999997</v>
      </c>
      <c r="P1307">
        <v>0.69652550000000002</v>
      </c>
      <c r="Q1307">
        <v>2.246654E-2</v>
      </c>
      <c r="R1307">
        <v>-0.71718009999999999</v>
      </c>
      <c r="S1307">
        <v>1.434555</v>
      </c>
      <c r="T1307">
        <v>0.1664658</v>
      </c>
      <c r="U1307">
        <v>-2.7926639999999998</v>
      </c>
      <c r="V1307">
        <v>0.1521071</v>
      </c>
      <c r="W1307">
        <v>3.268882E-2</v>
      </c>
      <c r="X1307">
        <v>0.98782329999999996</v>
      </c>
      <c r="Y1307">
        <v>0.43300959999999999</v>
      </c>
      <c r="Z1307">
        <v>-2.2381600000000001E-2</v>
      </c>
      <c r="AA1307">
        <v>0.90111140000000001</v>
      </c>
      <c r="AB1307">
        <v>41</v>
      </c>
      <c r="AC1307">
        <v>37.0825999999999</v>
      </c>
      <c r="AD1307">
        <v>4.3198299999999996</v>
      </c>
      <c r="AE1307">
        <v>-72.358599999999896</v>
      </c>
      <c r="AF1307">
        <v>35.169021758580897</v>
      </c>
      <c r="AG1307">
        <v>4.3198299999999996</v>
      </c>
      <c r="AH1307">
        <v>73.0538273878403</v>
      </c>
      <c r="AI1307">
        <v>86.950187170804298</v>
      </c>
      <c r="AJ1307">
        <v>64.293257332640195</v>
      </c>
      <c r="AK1307">
        <v>81.193489386137301</v>
      </c>
      <c r="AL1307">
        <v>88.126734860763506</v>
      </c>
      <c r="AM1307">
        <v>81.246229197017499</v>
      </c>
      <c r="AN1307">
        <v>1.00000000042314</v>
      </c>
    </row>
    <row r="1308" spans="1:40" x14ac:dyDescent="0.25">
      <c r="A1308" t="str">
        <f>"20190312160322306"</f>
        <v>20190312160322306</v>
      </c>
      <c r="B1308" t="str">
        <f>"1552377802295368"</f>
        <v>1552377802295368</v>
      </c>
      <c r="C1308" t="s">
        <v>40</v>
      </c>
      <c r="D1308">
        <v>5.496912</v>
      </c>
      <c r="E1308">
        <v>0.61746840000000003</v>
      </c>
      <c r="F1308" t="s">
        <v>53</v>
      </c>
      <c r="G1308">
        <v>-157.8382</v>
      </c>
      <c r="H1308">
        <v>5.2624420000000001</v>
      </c>
      <c r="I1308">
        <v>285.68290000000002</v>
      </c>
      <c r="J1308">
        <v>-194.548</v>
      </c>
      <c r="K1308">
        <v>1.0947819999999999</v>
      </c>
      <c r="L1308">
        <v>358.54629999999997</v>
      </c>
      <c r="M1308">
        <v>0.79226890000000005</v>
      </c>
      <c r="N1308">
        <v>0</v>
      </c>
      <c r="O1308">
        <v>-0.60996689999999998</v>
      </c>
      <c r="P1308">
        <v>0.6908898</v>
      </c>
      <c r="Q1308">
        <v>2.2154719999999999E-2</v>
      </c>
      <c r="R1308">
        <v>-0.72262069999999901</v>
      </c>
      <c r="S1308">
        <v>1.416199</v>
      </c>
      <c r="T1308">
        <v>0.16000490000000001</v>
      </c>
      <c r="U1308">
        <v>-2.8027039999999999</v>
      </c>
      <c r="V1308">
        <v>0.15236540000000001</v>
      </c>
      <c r="W1308">
        <v>3.2355210000000002E-2</v>
      </c>
      <c r="X1308">
        <v>0.98779450000000002</v>
      </c>
      <c r="Y1308">
        <v>0.43218479999999998</v>
      </c>
      <c r="Z1308">
        <v>-2.188915E-2</v>
      </c>
      <c r="AA1308">
        <v>0.90151939999999997</v>
      </c>
      <c r="AB1308">
        <v>41</v>
      </c>
      <c r="AC1308">
        <v>36.709800000000001</v>
      </c>
      <c r="AD1308">
        <v>4.1676599999999997</v>
      </c>
      <c r="AE1308">
        <v>-72.863399999999899</v>
      </c>
      <c r="AF1308">
        <v>35.2480938065641</v>
      </c>
      <c r="AG1308">
        <v>4.1676599999999997</v>
      </c>
      <c r="AH1308">
        <v>73.346118329496605</v>
      </c>
      <c r="AI1308">
        <v>87.068172706645697</v>
      </c>
      <c r="AJ1308">
        <v>64.332361993634294</v>
      </c>
      <c r="AK1308">
        <v>81.482823839607207</v>
      </c>
      <c r="AL1308">
        <v>88.145859466992405</v>
      </c>
      <c r="AM1308">
        <v>81.231343166616995</v>
      </c>
      <c r="AN1308">
        <v>1.0000000244807701</v>
      </c>
    </row>
    <row r="1309" spans="1:40" x14ac:dyDescent="0.25">
      <c r="A1309" t="str">
        <f>"20190312160322320"</f>
        <v>20190312160322320</v>
      </c>
      <c r="B1309" t="str">
        <f>"1552377802315863"</f>
        <v>1552377802315863</v>
      </c>
      <c r="C1309" t="s">
        <v>40</v>
      </c>
      <c r="D1309">
        <v>5.9475069999999999</v>
      </c>
      <c r="E1309">
        <v>0.62916039999999995</v>
      </c>
      <c r="F1309" t="s">
        <v>53</v>
      </c>
      <c r="G1309">
        <v>-165.6609</v>
      </c>
      <c r="H1309">
        <v>4.380687</v>
      </c>
      <c r="I1309">
        <v>300.31029999999998</v>
      </c>
      <c r="J1309">
        <v>-194.34620000000001</v>
      </c>
      <c r="K1309">
        <v>1.0946849999999999</v>
      </c>
      <c r="L1309">
        <v>358.38510000000002</v>
      </c>
      <c r="M1309">
        <v>0.78689869999999995</v>
      </c>
      <c r="N1309">
        <v>0</v>
      </c>
      <c r="O1309">
        <v>-0.61687890000000001</v>
      </c>
      <c r="P1309">
        <v>0.68436969999999997</v>
      </c>
      <c r="Q1309">
        <v>2.184026E-2</v>
      </c>
      <c r="R1309">
        <v>-0.72880819999999902</v>
      </c>
      <c r="S1309">
        <v>1.3952329999999999</v>
      </c>
      <c r="T1309">
        <v>0.1587114</v>
      </c>
      <c r="U1309">
        <v>-2.8127749999999998</v>
      </c>
      <c r="V1309">
        <v>0.15259710000000001</v>
      </c>
      <c r="W1309">
        <v>3.2019690000000003E-2</v>
      </c>
      <c r="X1309">
        <v>0.98776969999999997</v>
      </c>
      <c r="Y1309">
        <v>0.43097170000000001</v>
      </c>
      <c r="Z1309">
        <v>-2.2153869999999999E-2</v>
      </c>
      <c r="AA1309">
        <v>0.90209349999999999</v>
      </c>
      <c r="AB1309">
        <v>41</v>
      </c>
      <c r="AC1309">
        <v>28.685300000000002</v>
      </c>
      <c r="AD1309">
        <v>3.2860019999999999</v>
      </c>
      <c r="AE1309">
        <v>-58.074800000000003</v>
      </c>
      <c r="AF1309">
        <v>27.9352459950127</v>
      </c>
      <c r="AG1309">
        <v>3.2860019999999999</v>
      </c>
      <c r="AH1309">
        <v>58.254942520896201</v>
      </c>
      <c r="AI1309">
        <v>87.088349045297605</v>
      </c>
      <c r="AJ1309">
        <v>64.380681941419397</v>
      </c>
      <c r="AK1309">
        <v>64.690139171737798</v>
      </c>
      <c r="AL1309">
        <v>88.165093373838602</v>
      </c>
      <c r="AM1309">
        <v>81.217999442487795</v>
      </c>
      <c r="AN1309">
        <v>1.00000005785709</v>
      </c>
    </row>
    <row r="1310" spans="1:40" x14ac:dyDescent="0.25">
      <c r="A1310" t="str">
        <f>"20190312160322333"</f>
        <v>20190312160322333</v>
      </c>
      <c r="B1310" t="str">
        <f>"1552377802325623"</f>
        <v>1552377802325623</v>
      </c>
      <c r="C1310" t="s">
        <v>40</v>
      </c>
      <c r="D1310">
        <v>5.9079759999999997</v>
      </c>
      <c r="E1310">
        <v>0.62916039999999995</v>
      </c>
      <c r="F1310" t="s">
        <v>50</v>
      </c>
      <c r="G1310">
        <v>-190.45490000000001</v>
      </c>
      <c r="H1310" s="1">
        <v>-1.8342089999999999E-7</v>
      </c>
      <c r="I1310">
        <v>349.7081</v>
      </c>
      <c r="J1310">
        <v>-194.1695</v>
      </c>
      <c r="K1310">
        <v>1.0946009999999999</v>
      </c>
      <c r="L1310">
        <v>358.24220000000003</v>
      </c>
      <c r="M1310">
        <v>0.78209819999999997</v>
      </c>
      <c r="N1310">
        <v>0</v>
      </c>
      <c r="O1310">
        <v>-0.62295349999999905</v>
      </c>
      <c r="P1310">
        <v>0.67840299999999998</v>
      </c>
      <c r="Q1310">
        <v>2.2096319999999999E-2</v>
      </c>
      <c r="R1310">
        <v>-0.73435790000000001</v>
      </c>
      <c r="S1310">
        <v>1.3024290000000001</v>
      </c>
      <c r="T1310">
        <v>-0.36639169999999999</v>
      </c>
      <c r="U1310">
        <v>-2.9042050000000001</v>
      </c>
      <c r="V1310">
        <v>0.1530146</v>
      </c>
      <c r="W1310">
        <v>3.2248939999999997E-2</v>
      </c>
      <c r="X1310">
        <v>0.98769759999999995</v>
      </c>
      <c r="Y1310">
        <v>0.45914359999999999</v>
      </c>
      <c r="Z1310">
        <v>4.959508E-2</v>
      </c>
      <c r="AA1310">
        <v>0.8869766</v>
      </c>
      <c r="AB1310">
        <v>41</v>
      </c>
      <c r="AC1310">
        <v>3.7145999999999901</v>
      </c>
      <c r="AD1310">
        <v>-1.0946011834209</v>
      </c>
      <c r="AE1310">
        <v>-8.53410000000002</v>
      </c>
      <c r="AF1310">
        <v>4.3015355024371296</v>
      </c>
      <c r="AG1310">
        <v>-1.0946011834209</v>
      </c>
      <c r="AH1310">
        <v>8.1103895011659599</v>
      </c>
      <c r="AI1310">
        <v>96.799338748217494</v>
      </c>
      <c r="AJ1310">
        <v>62.059706786923897</v>
      </c>
      <c r="AK1310">
        <v>9.2455274208720297</v>
      </c>
      <c r="AL1310">
        <v>88.151951433336095</v>
      </c>
      <c r="AM1310">
        <v>81.193715557465595</v>
      </c>
      <c r="AN1310">
        <v>1.00000000549502</v>
      </c>
    </row>
    <row r="1311" spans="1:40" x14ac:dyDescent="0.25">
      <c r="A1311" t="str">
        <f>"20190312160322346"</f>
        <v>20190312160322346</v>
      </c>
      <c r="B1311" t="str">
        <f>"1552377802335383"</f>
        <v>1552377802335383</v>
      </c>
      <c r="C1311" t="s">
        <v>40</v>
      </c>
      <c r="D1311">
        <v>5.9380189999999997</v>
      </c>
      <c r="E1311">
        <v>0.62098330000000002</v>
      </c>
      <c r="F1311" t="s">
        <v>41</v>
      </c>
      <c r="G1311">
        <v>-190.3366</v>
      </c>
      <c r="H1311" s="1">
        <v>-4.3196640000000002E-6</v>
      </c>
      <c r="I1311">
        <v>349.50490000000002</v>
      </c>
      <c r="J1311">
        <v>-193.96780000000001</v>
      </c>
      <c r="K1311">
        <v>1.094503</v>
      </c>
      <c r="L1311">
        <v>358.07659999999998</v>
      </c>
      <c r="M1311">
        <v>0.77649690000000005</v>
      </c>
      <c r="N1311">
        <v>0</v>
      </c>
      <c r="O1311">
        <v>-0.629920699999999</v>
      </c>
      <c r="P1311">
        <v>0.67161800000000005</v>
      </c>
      <c r="Q1311">
        <v>2.241887E-2</v>
      </c>
      <c r="R1311">
        <v>-0.74055859999999996</v>
      </c>
      <c r="S1311">
        <v>1.2787630000000001</v>
      </c>
      <c r="T1311">
        <v>-0.36518499999999998</v>
      </c>
      <c r="U1311">
        <v>-2.9149479999999999</v>
      </c>
      <c r="V1311">
        <v>0.1532829</v>
      </c>
      <c r="W1311">
        <v>3.25487E-2</v>
      </c>
      <c r="X1311">
        <v>0.98764620000000003</v>
      </c>
      <c r="Y1311">
        <v>0.45846890000000001</v>
      </c>
      <c r="Z1311">
        <v>5.041499E-2</v>
      </c>
      <c r="AA1311">
        <v>0.88727929999999999</v>
      </c>
      <c r="AB1311">
        <v>41</v>
      </c>
      <c r="AC1311">
        <v>3.6312000000000002</v>
      </c>
      <c r="AD1311">
        <v>-1.0945073196640001</v>
      </c>
      <c r="AE1311">
        <v>-8.5716999999999608</v>
      </c>
      <c r="AF1311">
        <v>4.3095091853757204</v>
      </c>
      <c r="AG1311">
        <v>-1.0945073196640001</v>
      </c>
      <c r="AH1311">
        <v>8.1080621583428094</v>
      </c>
      <c r="AI1311">
        <v>96.797526213922595</v>
      </c>
      <c r="AJ1311">
        <v>62.008947064559301</v>
      </c>
      <c r="AK1311">
        <v>9.2471880945067007</v>
      </c>
      <c r="AL1311">
        <v>88.134767495196598</v>
      </c>
      <c r="AM1311">
        <v>81.178065161694505</v>
      </c>
      <c r="AN1311">
        <v>1.00000004083926</v>
      </c>
    </row>
    <row r="1312" spans="1:40" x14ac:dyDescent="0.25">
      <c r="A1312" t="str">
        <f>"20190312160322363"</f>
        <v>20190312160322363</v>
      </c>
      <c r="B1312" t="str">
        <f>"1552377802355878"</f>
        <v>1552377802355878</v>
      </c>
      <c r="C1312" t="s">
        <v>40</v>
      </c>
      <c r="D1312">
        <v>5.9954080000000003</v>
      </c>
      <c r="E1312">
        <v>0.62036840000000004</v>
      </c>
      <c r="F1312" t="s">
        <v>53</v>
      </c>
      <c r="G1312">
        <v>-167.80940000000001</v>
      </c>
      <c r="H1312">
        <v>2.227471</v>
      </c>
      <c r="I1312">
        <v>300.31029999999998</v>
      </c>
      <c r="J1312">
        <v>-193.7381</v>
      </c>
      <c r="K1312">
        <v>1.0944</v>
      </c>
      <c r="L1312">
        <v>357.88319999999999</v>
      </c>
      <c r="M1312">
        <v>0.76991119999999902</v>
      </c>
      <c r="N1312">
        <v>0</v>
      </c>
      <c r="O1312">
        <v>-0.63795269999999904</v>
      </c>
      <c r="P1312">
        <v>0.66355540000000002</v>
      </c>
      <c r="Q1312">
        <v>2.2549110000000001E-2</v>
      </c>
      <c r="R1312">
        <v>-0.74778750000000005</v>
      </c>
      <c r="S1312">
        <v>1.2998499999999999</v>
      </c>
      <c r="T1312">
        <v>5.630255E-2</v>
      </c>
      <c r="U1312">
        <v>-2.8704830000000001</v>
      </c>
      <c r="V1312">
        <v>0.15373419999999999</v>
      </c>
      <c r="W1312">
        <v>3.2648789999999997E-2</v>
      </c>
      <c r="X1312">
        <v>0.98757269999999997</v>
      </c>
      <c r="Y1312">
        <v>0.43825930000000002</v>
      </c>
      <c r="Z1312">
        <v>-8.2238050000000007E-3</v>
      </c>
      <c r="AA1312">
        <v>0.89881100000000003</v>
      </c>
      <c r="AB1312">
        <v>41</v>
      </c>
      <c r="AC1312">
        <v>25.9286999999999</v>
      </c>
      <c r="AD1312">
        <v>1.1330709999999999</v>
      </c>
      <c r="AE1312">
        <v>-57.572899999999997</v>
      </c>
      <c r="AF1312">
        <v>27.779307803687299</v>
      </c>
      <c r="AG1312">
        <v>1.1330709999999999</v>
      </c>
      <c r="AH1312">
        <v>56.680507195923198</v>
      </c>
      <c r="AI1312">
        <v>88.971620774092997</v>
      </c>
      <c r="AJ1312">
        <v>63.890370054465102</v>
      </c>
      <c r="AK1312">
        <v>63.132033769950297</v>
      </c>
      <c r="AL1312">
        <v>88.129029621354206</v>
      </c>
      <c r="AM1312">
        <v>81.151853650289695</v>
      </c>
      <c r="AN1312">
        <v>0.99999999276169604</v>
      </c>
    </row>
    <row r="1313" spans="1:40" x14ac:dyDescent="0.25">
      <c r="A1313" t="str">
        <f>"20190312160322378"</f>
        <v>20190312160322378</v>
      </c>
      <c r="B1313" t="str">
        <f>"1552377802365639"</f>
        <v>1552377802365639</v>
      </c>
      <c r="C1313" t="s">
        <v>40</v>
      </c>
      <c r="D1313">
        <v>5.9681940000000004</v>
      </c>
      <c r="E1313">
        <v>0.62003529999999996</v>
      </c>
      <c r="F1313" t="s">
        <v>53</v>
      </c>
      <c r="G1313">
        <v>-168.30590000000001</v>
      </c>
      <c r="H1313">
        <v>2.080886</v>
      </c>
      <c r="I1313">
        <v>300.31029999999998</v>
      </c>
      <c r="J1313">
        <v>-193.5282</v>
      </c>
      <c r="K1313">
        <v>1.0942940000000001</v>
      </c>
      <c r="L1313">
        <v>357.70299999999997</v>
      </c>
      <c r="M1313">
        <v>0.76372589999999996</v>
      </c>
      <c r="N1313">
        <v>0</v>
      </c>
      <c r="O1313">
        <v>-0.64534389999999997</v>
      </c>
      <c r="P1313">
        <v>0.65627579999999996</v>
      </c>
      <c r="Q1313">
        <v>2.2440109999999999E-2</v>
      </c>
      <c r="R1313">
        <v>-0.75418699999999905</v>
      </c>
      <c r="S1313">
        <v>1.2726440000000001</v>
      </c>
      <c r="T1313">
        <v>4.9368139999999998E-2</v>
      </c>
      <c r="U1313">
        <v>-2.8809809999999998</v>
      </c>
      <c r="V1313">
        <v>0.15379419999999999</v>
      </c>
      <c r="W1313">
        <v>3.2525819999999997E-2</v>
      </c>
      <c r="X1313">
        <v>0.98756739999999998</v>
      </c>
      <c r="Y1313">
        <v>0.4379016</v>
      </c>
      <c r="Z1313">
        <v>-7.3553589999999997E-3</v>
      </c>
      <c r="AA1313">
        <v>0.89899280000000004</v>
      </c>
      <c r="AB1313">
        <v>41</v>
      </c>
      <c r="AC1313">
        <v>25.222299999999901</v>
      </c>
      <c r="AD1313">
        <v>0.98659200000000002</v>
      </c>
      <c r="AE1313">
        <v>-57.392699999999998</v>
      </c>
      <c r="AF1313">
        <v>27.551910422494601</v>
      </c>
      <c r="AG1313">
        <v>0.98659200000000002</v>
      </c>
      <c r="AH1313">
        <v>56.294161847225602</v>
      </c>
      <c r="AI1313">
        <v>89.098157180518399</v>
      </c>
      <c r="AJ1313">
        <v>63.921603322512397</v>
      </c>
      <c r="AK1313">
        <v>62.682643449245703</v>
      </c>
      <c r="AL1313">
        <v>88.136078998450003</v>
      </c>
      <c r="AM1313">
        <v>81.148408282462597</v>
      </c>
      <c r="AN1313">
        <v>0.999999977231536</v>
      </c>
    </row>
    <row r="1314" spans="1:40" x14ac:dyDescent="0.25">
      <c r="A1314" t="str">
        <f>"20190312160322395"</f>
        <v>20190312160322395</v>
      </c>
      <c r="B1314" t="str">
        <f>"1552377802385667"</f>
        <v>1552377802385667</v>
      </c>
      <c r="C1314" t="s">
        <v>40</v>
      </c>
      <c r="D1314">
        <v>5.3201879999999999</v>
      </c>
      <c r="E1314">
        <v>0.60713339999999905</v>
      </c>
      <c r="F1314" t="s">
        <v>53</v>
      </c>
      <c r="G1314">
        <v>-168.35050000000001</v>
      </c>
      <c r="H1314">
        <v>1.9193990000000001</v>
      </c>
      <c r="I1314">
        <v>299.28960000000001</v>
      </c>
      <c r="J1314">
        <v>-193.28739999999999</v>
      </c>
      <c r="K1314">
        <v>1.094187</v>
      </c>
      <c r="L1314">
        <v>357.4923</v>
      </c>
      <c r="M1314">
        <v>0.75643130000000003</v>
      </c>
      <c r="N1314">
        <v>0</v>
      </c>
      <c r="O1314">
        <v>-0.65387819999999997</v>
      </c>
      <c r="P1314">
        <v>0.64755649999999998</v>
      </c>
      <c r="Q1314">
        <v>2.2333390000000002E-2</v>
      </c>
      <c r="R1314">
        <v>-0.76169030000000004</v>
      </c>
      <c r="S1314">
        <v>1.2464900000000001</v>
      </c>
      <c r="T1314">
        <v>4.085279E-2</v>
      </c>
      <c r="U1314">
        <v>-2.8919069999999998</v>
      </c>
      <c r="V1314">
        <v>0.15407390000000001</v>
      </c>
      <c r="W1314">
        <v>3.239525E-2</v>
      </c>
      <c r="X1314">
        <v>0.98752810000000002</v>
      </c>
      <c r="Y1314">
        <v>0.43589309999999998</v>
      </c>
      <c r="Z1314">
        <v>-6.2317719999999896E-3</v>
      </c>
      <c r="AA1314">
        <v>0.89997680000000002</v>
      </c>
      <c r="AB1314">
        <v>41</v>
      </c>
      <c r="AC1314">
        <v>24.936899999999898</v>
      </c>
      <c r="AD1314">
        <v>0.82521199999999995</v>
      </c>
      <c r="AE1314">
        <v>-58.202699999999901</v>
      </c>
      <c r="AF1314">
        <v>27.7194756318289</v>
      </c>
      <c r="AG1314">
        <v>0.82521199999999995</v>
      </c>
      <c r="AH1314">
        <v>56.918119582496402</v>
      </c>
      <c r="AI1314">
        <v>89.253211778964001</v>
      </c>
      <c r="AJ1314">
        <v>64.033631946235502</v>
      </c>
      <c r="AK1314">
        <v>63.314474182100398</v>
      </c>
      <c r="AL1314">
        <v>88.143564064848206</v>
      </c>
      <c r="AM1314">
        <v>81.132218531224197</v>
      </c>
      <c r="AN1314">
        <v>0.99999998358669095</v>
      </c>
    </row>
    <row r="1315" spans="1:40" x14ac:dyDescent="0.25">
      <c r="A1315" t="str">
        <f>"20190312160322406"</f>
        <v>20190312160322406</v>
      </c>
      <c r="B1315" t="str">
        <f>"1552377802396403"</f>
        <v>1552377802396403</v>
      </c>
      <c r="C1315" t="s">
        <v>40</v>
      </c>
      <c r="D1315">
        <v>5.6137550000000003</v>
      </c>
      <c r="E1315">
        <v>0.60713339999999905</v>
      </c>
      <c r="F1315" t="s">
        <v>53</v>
      </c>
      <c r="G1315">
        <v>-167.23099999999999</v>
      </c>
      <c r="H1315">
        <v>5.2076320000000003</v>
      </c>
      <c r="I1315">
        <v>300.31029999999998</v>
      </c>
      <c r="J1315">
        <v>-193.13050000000001</v>
      </c>
      <c r="K1315">
        <v>1.09412</v>
      </c>
      <c r="L1315">
        <v>357.35309999999998</v>
      </c>
      <c r="M1315">
        <v>0.75157240000000003</v>
      </c>
      <c r="N1315">
        <v>0</v>
      </c>
      <c r="O1315">
        <v>-0.65945719999999997</v>
      </c>
      <c r="P1315">
        <v>0.64166330000000005</v>
      </c>
      <c r="Q1315">
        <v>2.2573929999999999E-2</v>
      </c>
      <c r="R1315">
        <v>-0.76665439999999996</v>
      </c>
      <c r="S1315">
        <v>1.2916259999999999</v>
      </c>
      <c r="T1315">
        <v>0.2039087</v>
      </c>
      <c r="U1315">
        <v>-2.8345340000000001</v>
      </c>
      <c r="V1315">
        <v>0.15439220000000001</v>
      </c>
      <c r="W1315">
        <v>3.2614949999999997E-2</v>
      </c>
      <c r="X1315">
        <v>0.98747119999999999</v>
      </c>
      <c r="Y1315">
        <v>0.41075129999999999</v>
      </c>
      <c r="Z1315">
        <v>-3.2551110000000001E-2</v>
      </c>
      <c r="AA1315">
        <v>0.91116620000000004</v>
      </c>
      <c r="AB1315">
        <v>41</v>
      </c>
      <c r="AC1315">
        <v>25.8995</v>
      </c>
      <c r="AD1315">
        <v>4.1135120000000001</v>
      </c>
      <c r="AE1315">
        <v>-57.0428</v>
      </c>
      <c r="AF1315">
        <v>25.684734801099999</v>
      </c>
      <c r="AG1315">
        <v>4.1135120000000001</v>
      </c>
      <c r="AH1315">
        <v>56.8448342298068</v>
      </c>
      <c r="AI1315">
        <v>86.227109910563001</v>
      </c>
      <c r="AJ1315">
        <v>65.684673572958602</v>
      </c>
      <c r="AK1315">
        <v>62.513692591233202</v>
      </c>
      <c r="AL1315">
        <v>88.130969610694194</v>
      </c>
      <c r="AM1315">
        <v>81.113686856253807</v>
      </c>
      <c r="AN1315">
        <v>1.00000002860689</v>
      </c>
    </row>
    <row r="1316" spans="1:40" x14ac:dyDescent="0.25">
      <c r="A1316" t="str">
        <f>"20190312160322417"</f>
        <v>20190312160322417</v>
      </c>
      <c r="B1316" t="str">
        <f>"1552377802406163"</f>
        <v>1552377802406163</v>
      </c>
      <c r="C1316" t="s">
        <v>40</v>
      </c>
      <c r="D1316">
        <v>5.5709</v>
      </c>
      <c r="E1316">
        <v>0.63734080000000004</v>
      </c>
      <c r="F1316" t="s">
        <v>53</v>
      </c>
      <c r="G1316">
        <v>-167.66149999999999</v>
      </c>
      <c r="H1316">
        <v>5.2061089999999997</v>
      </c>
      <c r="I1316">
        <v>300.31029999999998</v>
      </c>
      <c r="J1316">
        <v>-192.98179999999999</v>
      </c>
      <c r="K1316">
        <v>1.0940540000000001</v>
      </c>
      <c r="L1316">
        <v>357.21780000000001</v>
      </c>
      <c r="M1316">
        <v>0.74684069999999902</v>
      </c>
      <c r="N1316">
        <v>0</v>
      </c>
      <c r="O1316">
        <v>-0.66481080000000004</v>
      </c>
      <c r="P1316">
        <v>0.6361734</v>
      </c>
      <c r="Q1316">
        <v>2.278908E-2</v>
      </c>
      <c r="R1316">
        <v>-0.77120999999999995</v>
      </c>
      <c r="S1316">
        <v>1.2699279999999999</v>
      </c>
      <c r="T1316">
        <v>0.20503370000000001</v>
      </c>
      <c r="U1316">
        <v>-2.8442379999999998</v>
      </c>
      <c r="V1316">
        <v>0.154394899999999</v>
      </c>
      <c r="W1316">
        <v>3.2822740000000003E-2</v>
      </c>
      <c r="X1316">
        <v>0.9874638</v>
      </c>
      <c r="Y1316">
        <v>0.41119709999999998</v>
      </c>
      <c r="Z1316">
        <v>-3.3136770000000003E-2</v>
      </c>
      <c r="AA1316">
        <v>0.91094399999999998</v>
      </c>
      <c r="AB1316">
        <v>41</v>
      </c>
      <c r="AC1316">
        <v>25.3203</v>
      </c>
      <c r="AD1316">
        <v>4.1120549999999998</v>
      </c>
      <c r="AE1316">
        <v>-56.907499999999999</v>
      </c>
      <c r="AF1316">
        <v>25.5595087131639</v>
      </c>
      <c r="AG1316">
        <v>4.1120549999999998</v>
      </c>
      <c r="AH1316">
        <v>56.503933347056602</v>
      </c>
      <c r="AI1316">
        <v>86.2064779335971</v>
      </c>
      <c r="AJ1316">
        <v>65.660420576108393</v>
      </c>
      <c r="AK1316">
        <v>62.152167827598298</v>
      </c>
      <c r="AL1316">
        <v>88.119057570683395</v>
      </c>
      <c r="AM1316">
        <v>81.113468401407502</v>
      </c>
      <c r="AN1316">
        <v>0.99999993685877597</v>
      </c>
    </row>
    <row r="1317" spans="1:40" x14ac:dyDescent="0.25">
      <c r="A1317" t="str">
        <f>"20190312160322429"</f>
        <v>20190312160322429</v>
      </c>
      <c r="B1317" t="str">
        <f>"1552377802425683"</f>
        <v>1552377802425683</v>
      </c>
      <c r="C1317" t="s">
        <v>40</v>
      </c>
      <c r="D1317">
        <v>5.5529479999999998</v>
      </c>
      <c r="E1317">
        <v>0.63474419999999898</v>
      </c>
      <c r="F1317" t="s">
        <v>43</v>
      </c>
      <c r="G1317">
        <v>-161.7363</v>
      </c>
      <c r="H1317">
        <v>-0.05</v>
      </c>
      <c r="I1317">
        <v>268.66680000000002</v>
      </c>
      <c r="J1317">
        <v>-192.82689999999999</v>
      </c>
      <c r="K1317">
        <v>1.093985</v>
      </c>
      <c r="L1317">
        <v>357.07600000000002</v>
      </c>
      <c r="M1317">
        <v>0.74184589999999995</v>
      </c>
      <c r="N1317">
        <v>0</v>
      </c>
      <c r="O1317">
        <v>-0.67037939999999996</v>
      </c>
      <c r="P1317">
        <v>0.6300772</v>
      </c>
      <c r="Q1317">
        <v>2.2726900000000001E-2</v>
      </c>
      <c r="R1317">
        <v>-0.77620019999999901</v>
      </c>
      <c r="S1317">
        <v>1.063461</v>
      </c>
      <c r="T1317">
        <v>-3.8938519999999997E-2</v>
      </c>
      <c r="U1317">
        <v>-3.0138850000000001</v>
      </c>
      <c r="V1317">
        <v>0.1547924</v>
      </c>
      <c r="W1317">
        <v>3.2737429999999998E-2</v>
      </c>
      <c r="X1317">
        <v>0.98740450000000002</v>
      </c>
      <c r="Y1317">
        <v>0.47657080000000002</v>
      </c>
      <c r="Z1317">
        <v>5.8757799999999997E-3</v>
      </c>
      <c r="AA1317">
        <v>0.87911640000000002</v>
      </c>
      <c r="AB1317">
        <v>41</v>
      </c>
      <c r="AC1317">
        <v>31.090599999999899</v>
      </c>
      <c r="AD1317">
        <v>-1.143985</v>
      </c>
      <c r="AE1317">
        <v>-88.409199999999899</v>
      </c>
      <c r="AF1317">
        <v>44.742568776524401</v>
      </c>
      <c r="AG1317">
        <v>-1.143985</v>
      </c>
      <c r="AH1317">
        <v>82.330418277930406</v>
      </c>
      <c r="AI1317">
        <v>90.699470334085404</v>
      </c>
      <c r="AJ1317">
        <v>61.478076104825497</v>
      </c>
      <c r="AK1317">
        <v>93.709678988998903</v>
      </c>
      <c r="AL1317">
        <v>88.123948289208897</v>
      </c>
      <c r="AM1317">
        <v>81.090429506316497</v>
      </c>
      <c r="AN1317">
        <v>1.0000000365205</v>
      </c>
    </row>
    <row r="1318" spans="1:40" x14ac:dyDescent="0.25">
      <c r="A1318" t="str">
        <f>"20190312160322440"</f>
        <v>20190312160322440</v>
      </c>
      <c r="B1318" t="str">
        <f>"1552377802435443"</f>
        <v>1552377802435443</v>
      </c>
      <c r="C1318" t="s">
        <v>40</v>
      </c>
      <c r="D1318">
        <v>5.4493010000000002</v>
      </c>
      <c r="E1318">
        <v>0.63814040000000005</v>
      </c>
      <c r="F1318" t="s">
        <v>54</v>
      </c>
      <c r="G1318">
        <v>-156.92599999999999</v>
      </c>
      <c r="H1318">
        <v>6.243099</v>
      </c>
      <c r="I1318">
        <v>254.97470000000001</v>
      </c>
      <c r="J1318">
        <v>-192.6705</v>
      </c>
      <c r="K1318">
        <v>1.093917</v>
      </c>
      <c r="L1318">
        <v>356.92970000000003</v>
      </c>
      <c r="M1318">
        <v>0.73667069999999901</v>
      </c>
      <c r="N1318">
        <v>0</v>
      </c>
      <c r="O1318">
        <v>-0.67606169999999899</v>
      </c>
      <c r="P1318">
        <v>0.62403359999999997</v>
      </c>
      <c r="Q1318">
        <v>2.294274E-2</v>
      </c>
      <c r="R1318">
        <v>-0.78106100000000001</v>
      </c>
      <c r="S1318">
        <v>1.05603</v>
      </c>
      <c r="T1318">
        <v>0.1514636</v>
      </c>
      <c r="U1318">
        <v>-3.0033259999999999</v>
      </c>
      <c r="V1318">
        <v>0.15487570000000001</v>
      </c>
      <c r="W1318">
        <v>3.2942369999999999E-2</v>
      </c>
      <c r="X1318">
        <v>0.98738459999999995</v>
      </c>
      <c r="Y1318">
        <v>0.47083000000000003</v>
      </c>
      <c r="Z1318">
        <v>-2.3380729999999999E-2</v>
      </c>
      <c r="AA1318">
        <v>0.88191409999999903</v>
      </c>
      <c r="AB1318">
        <v>41</v>
      </c>
      <c r="AC1318">
        <v>35.744499999999903</v>
      </c>
      <c r="AD1318">
        <v>5.1491819999999997</v>
      </c>
      <c r="AE1318">
        <v>-101.955</v>
      </c>
      <c r="AF1318">
        <v>50.832850564054397</v>
      </c>
      <c r="AG1318">
        <v>5.1491819999999997</v>
      </c>
      <c r="AH1318">
        <v>95.0561128640134</v>
      </c>
      <c r="AI1318">
        <v>87.265143937520307</v>
      </c>
      <c r="AJ1318">
        <v>61.863609129134097</v>
      </c>
      <c r="AK1318">
        <v>107.917363591558</v>
      </c>
      <c r="AL1318">
        <v>88.112199715538495</v>
      </c>
      <c r="AM1318">
        <v>81.085535112573595</v>
      </c>
      <c r="AN1318">
        <v>1.0000000152544299</v>
      </c>
    </row>
    <row r="1319" spans="1:40" x14ac:dyDescent="0.25">
      <c r="A1319" t="str">
        <f>"20190312160322452"</f>
        <v>20190312160322452</v>
      </c>
      <c r="B1319" t="str">
        <f>"1552377802446179"</f>
        <v>1552377802446179</v>
      </c>
      <c r="C1319" t="s">
        <v>40</v>
      </c>
      <c r="D1319">
        <v>5.3908420000000001</v>
      </c>
      <c r="E1319">
        <v>0.63992380000000004</v>
      </c>
      <c r="F1319" t="s">
        <v>54</v>
      </c>
      <c r="G1319">
        <v>-157.8382</v>
      </c>
      <c r="H1319">
        <v>5.7430339999999998</v>
      </c>
      <c r="I1319">
        <v>252.62360000000001</v>
      </c>
      <c r="J1319">
        <v>-192.5223</v>
      </c>
      <c r="K1319">
        <v>1.093852</v>
      </c>
      <c r="L1319">
        <v>356.78969999999998</v>
      </c>
      <c r="M1319">
        <v>0.73168669999999902</v>
      </c>
      <c r="N1319">
        <v>0</v>
      </c>
      <c r="O1319">
        <v>-0.68145239999999996</v>
      </c>
      <c r="P1319">
        <v>0.61827049999999995</v>
      </c>
      <c r="Q1319">
        <v>2.2732410000000002E-2</v>
      </c>
      <c r="R1319">
        <v>-0.78563660000000002</v>
      </c>
      <c r="S1319">
        <v>1.0114590000000001</v>
      </c>
      <c r="T1319">
        <v>0.1350026</v>
      </c>
      <c r="U1319">
        <v>-3.0288390000000001</v>
      </c>
      <c r="V1319">
        <v>0.15489159999999999</v>
      </c>
      <c r="W1319">
        <v>3.272456E-2</v>
      </c>
      <c r="X1319">
        <v>0.98738930000000003</v>
      </c>
      <c r="Y1319">
        <v>0.47827180000000002</v>
      </c>
      <c r="Z1319">
        <v>-2.0921599999999999E-2</v>
      </c>
      <c r="AA1319">
        <v>0.87796260000000004</v>
      </c>
      <c r="AB1319">
        <v>41</v>
      </c>
      <c r="AC1319">
        <v>34.684100000000001</v>
      </c>
      <c r="AD1319">
        <v>4.6491819999999997</v>
      </c>
      <c r="AE1319">
        <v>-104.16609999999901</v>
      </c>
      <c r="AF1319">
        <v>52.4940158320751</v>
      </c>
      <c r="AG1319">
        <v>4.6491819999999997</v>
      </c>
      <c r="AH1319">
        <v>96.202015060833006</v>
      </c>
      <c r="AI1319">
        <v>87.570822641154194</v>
      </c>
      <c r="AJ1319">
        <v>61.3802739555438</v>
      </c>
      <c r="AK1319">
        <v>109.69076667255101</v>
      </c>
      <c r="AL1319">
        <v>88.124685951067406</v>
      </c>
      <c r="AM1319">
        <v>81.084676383080804</v>
      </c>
      <c r="AN1319">
        <v>0.99999996716612105</v>
      </c>
    </row>
    <row r="1320" spans="1:40" x14ac:dyDescent="0.25">
      <c r="A1320" t="str">
        <f>"20190312160322462"</f>
        <v>20190312160322462</v>
      </c>
      <c r="B1320" t="str">
        <f>"1552377802455938"</f>
        <v>1552377802455938</v>
      </c>
      <c r="C1320" t="s">
        <v>40</v>
      </c>
      <c r="D1320">
        <v>5.2447759999999999</v>
      </c>
      <c r="E1320">
        <v>0.63956080000000004</v>
      </c>
      <c r="F1320" t="s">
        <v>53</v>
      </c>
      <c r="G1320">
        <v>-165.4957</v>
      </c>
      <c r="H1320">
        <v>4.5550759999999997</v>
      </c>
      <c r="I1320">
        <v>272.61509999999998</v>
      </c>
      <c r="J1320">
        <v>-192.3691</v>
      </c>
      <c r="K1320">
        <v>1.093785</v>
      </c>
      <c r="L1320">
        <v>356.64260000000002</v>
      </c>
      <c r="M1320">
        <v>0.72643040000000003</v>
      </c>
      <c r="N1320">
        <v>0</v>
      </c>
      <c r="O1320">
        <v>-0.68705240000000001</v>
      </c>
      <c r="P1320">
        <v>0.61208269999999998</v>
      </c>
      <c r="Q1320">
        <v>2.2562140000000001E-2</v>
      </c>
      <c r="R1320">
        <v>-0.79047199999999995</v>
      </c>
      <c r="S1320">
        <v>0.97781370000000001</v>
      </c>
      <c r="T1320">
        <v>0.1252288</v>
      </c>
      <c r="U1320">
        <v>-3.04541</v>
      </c>
      <c r="V1320">
        <v>0.1550627</v>
      </c>
      <c r="W1320">
        <v>3.254013E-2</v>
      </c>
      <c r="X1320">
        <v>0.98736860000000004</v>
      </c>
      <c r="Y1320">
        <v>0.48171750000000002</v>
      </c>
      <c r="Z1320">
        <v>-1.9588749999999999E-2</v>
      </c>
      <c r="AA1320">
        <v>0.87610759999999899</v>
      </c>
      <c r="AB1320">
        <v>41</v>
      </c>
      <c r="AC1320">
        <v>26.8734</v>
      </c>
      <c r="AD1320">
        <v>3.4612910000000001</v>
      </c>
      <c r="AE1320">
        <v>-84.027500000000003</v>
      </c>
      <c r="AF1320">
        <v>42.516738647520199</v>
      </c>
      <c r="AG1320">
        <v>3.4612910000000001</v>
      </c>
      <c r="AH1320">
        <v>77.144160255743103</v>
      </c>
      <c r="AI1320">
        <v>87.749715446887706</v>
      </c>
      <c r="AJ1320">
        <v>61.139364168973501</v>
      </c>
      <c r="AK1320">
        <v>88.152566963032896</v>
      </c>
      <c r="AL1320">
        <v>88.135258753737304</v>
      </c>
      <c r="AM1320">
        <v>81.074802482222594</v>
      </c>
      <c r="AN1320">
        <v>1.00000002662883</v>
      </c>
    </row>
    <row r="1321" spans="1:40" x14ac:dyDescent="0.25">
      <c r="A1321" t="str">
        <f>"20190312160322474"</f>
        <v>20190312160322474</v>
      </c>
      <c r="B1321" t="str">
        <f>"1552377802465698"</f>
        <v>1552377802465698</v>
      </c>
      <c r="C1321" t="s">
        <v>40</v>
      </c>
      <c r="D1321">
        <v>5.4109860000000003</v>
      </c>
      <c r="E1321">
        <v>0.63994010000000001</v>
      </c>
      <c r="F1321" t="s">
        <v>53</v>
      </c>
      <c r="G1321">
        <v>-166.03450000000001</v>
      </c>
      <c r="H1321">
        <v>4.6056160000000004</v>
      </c>
      <c r="I1321">
        <v>272.61509999999998</v>
      </c>
      <c r="J1321">
        <v>-192.2278</v>
      </c>
      <c r="K1321">
        <v>1.0937269999999999</v>
      </c>
      <c r="L1321">
        <v>356.50459999999998</v>
      </c>
      <c r="M1321">
        <v>0.72147620000000001</v>
      </c>
      <c r="N1321">
        <v>0</v>
      </c>
      <c r="O1321">
        <v>-0.6922526</v>
      </c>
      <c r="P1321">
        <v>0.60614049999999997</v>
      </c>
      <c r="Q1321">
        <v>2.2362219999999999E-2</v>
      </c>
      <c r="R1321">
        <v>-0.79504330000000001</v>
      </c>
      <c r="S1321">
        <v>0.95623780000000003</v>
      </c>
      <c r="T1321">
        <v>0.12752060000000001</v>
      </c>
      <c r="U1321">
        <v>-3.0511170000000001</v>
      </c>
      <c r="V1321">
        <v>0.15537229999999999</v>
      </c>
      <c r="W1321">
        <v>3.2321370000000002E-2</v>
      </c>
      <c r="X1321">
        <v>0.98732710000000001</v>
      </c>
      <c r="Y1321">
        <v>0.48153279999999898</v>
      </c>
      <c r="Z1321">
        <v>-2.021473E-2</v>
      </c>
      <c r="AA1321">
        <v>0.87619499999999995</v>
      </c>
      <c r="AB1321">
        <v>41</v>
      </c>
      <c r="AC1321">
        <v>26.193299999999901</v>
      </c>
      <c r="AD1321">
        <v>3.511889</v>
      </c>
      <c r="AE1321">
        <v>-83.889499999999998</v>
      </c>
      <c r="AF1321">
        <v>42.329781897969298</v>
      </c>
      <c r="AG1321">
        <v>3.511889</v>
      </c>
      <c r="AH1321">
        <v>76.857784050337202</v>
      </c>
      <c r="AI1321">
        <v>87.707990053091294</v>
      </c>
      <c r="AJ1321">
        <v>61.156020507229201</v>
      </c>
      <c r="AK1321">
        <v>87.813796006130204</v>
      </c>
      <c r="AL1321">
        <v>88.147799348495496</v>
      </c>
      <c r="AM1321">
        <v>81.056900241688197</v>
      </c>
      <c r="AN1321">
        <v>1.00000001248018</v>
      </c>
    </row>
    <row r="1322" spans="1:40" x14ac:dyDescent="0.25">
      <c r="A1322" t="str">
        <f>"20190312160322484"</f>
        <v>20190312160322484</v>
      </c>
      <c r="B1322" t="str">
        <f>"1552377802475458"</f>
        <v>1552377802475458</v>
      </c>
      <c r="C1322" t="s">
        <v>40</v>
      </c>
      <c r="D1322">
        <v>5.6086080000000003</v>
      </c>
      <c r="E1322">
        <v>0.6391445</v>
      </c>
      <c r="F1322" t="s">
        <v>53</v>
      </c>
      <c r="G1322">
        <v>-166.68629999999999</v>
      </c>
      <c r="H1322">
        <v>6.5975009999999896</v>
      </c>
      <c r="I1322">
        <v>272.61509999999998</v>
      </c>
      <c r="J1322">
        <v>-192.07980000000001</v>
      </c>
      <c r="K1322">
        <v>1.0936629999999901</v>
      </c>
      <c r="L1322">
        <v>356.35860000000002</v>
      </c>
      <c r="M1322">
        <v>0.71620509999999904</v>
      </c>
      <c r="N1322">
        <v>0</v>
      </c>
      <c r="O1322">
        <v>-0.6977044</v>
      </c>
      <c r="P1322">
        <v>0.60011490000000001</v>
      </c>
      <c r="Q1322">
        <v>2.2390489999999999E-2</v>
      </c>
      <c r="R1322">
        <v>-0.79960039999999999</v>
      </c>
      <c r="S1322">
        <v>0.93101500000000004</v>
      </c>
      <c r="T1322">
        <v>0.2006211</v>
      </c>
      <c r="U1322">
        <v>-3.0578609999999999</v>
      </c>
      <c r="V1322">
        <v>0.1553513</v>
      </c>
      <c r="W1322">
        <v>3.2343770000000001E-2</v>
      </c>
      <c r="X1322">
        <v>0.98732969999999998</v>
      </c>
      <c r="Y1322">
        <v>0.48209730000000001</v>
      </c>
      <c r="Z1322">
        <v>-3.2195130000000002E-2</v>
      </c>
      <c r="AA1322">
        <v>0.87552600000000003</v>
      </c>
      <c r="AB1322">
        <v>41</v>
      </c>
      <c r="AC1322">
        <v>25.3935</v>
      </c>
      <c r="AD1322">
        <v>5.503838</v>
      </c>
      <c r="AE1322">
        <v>-83.743499999999997</v>
      </c>
      <c r="AF1322">
        <v>42.099301560393201</v>
      </c>
      <c r="AG1322">
        <v>5.503838</v>
      </c>
      <c r="AH1322">
        <v>76.323165385707597</v>
      </c>
      <c r="AI1322">
        <v>86.386945350612507</v>
      </c>
      <c r="AJ1322">
        <v>61.1191915695142</v>
      </c>
      <c r="AK1322">
        <v>87.337672278904094</v>
      </c>
      <c r="AL1322">
        <v>88.146515304904696</v>
      </c>
      <c r="AM1322">
        <v>81.058112617888298</v>
      </c>
      <c r="AN1322">
        <v>1.0000000411857899</v>
      </c>
    </row>
    <row r="1323" spans="1:40" x14ac:dyDescent="0.25">
      <c r="A1323" t="str">
        <f>"20190312160322496"</f>
        <v>20190312160322496</v>
      </c>
      <c r="B1323" t="str">
        <f>"1552377802485581"</f>
        <v>1552377802485581</v>
      </c>
      <c r="C1323" t="s">
        <v>40</v>
      </c>
      <c r="D1323">
        <v>5.5565680000000004</v>
      </c>
      <c r="E1323">
        <v>0.64025810000000005</v>
      </c>
      <c r="F1323" t="s">
        <v>53</v>
      </c>
      <c r="G1323">
        <v>-169.1438</v>
      </c>
      <c r="H1323">
        <v>6.8892610000000003</v>
      </c>
      <c r="I1323">
        <v>279.51220000000001</v>
      </c>
      <c r="J1323">
        <v>-191.9374</v>
      </c>
      <c r="K1323">
        <v>1.093602</v>
      </c>
      <c r="L1323">
        <v>356.21510000000001</v>
      </c>
      <c r="M1323">
        <v>0.71100850000000004</v>
      </c>
      <c r="N1323">
        <v>0</v>
      </c>
      <c r="O1323">
        <v>-0.70299909999999999</v>
      </c>
      <c r="P1323">
        <v>0.59416709999999995</v>
      </c>
      <c r="Q1323">
        <v>2.2021039999999999E-2</v>
      </c>
      <c r="R1323">
        <v>-0.80404039999999999</v>
      </c>
      <c r="S1323">
        <v>0.91328430000000005</v>
      </c>
      <c r="T1323">
        <v>0.23077710000000001</v>
      </c>
      <c r="U1323">
        <v>-3.0599370000000001</v>
      </c>
      <c r="V1323">
        <v>0.1553476</v>
      </c>
      <c r="W1323">
        <v>3.1969169999999998E-2</v>
      </c>
      <c r="X1323">
        <v>0.98734239999999995</v>
      </c>
      <c r="Y1323">
        <v>0.48045169999999998</v>
      </c>
      <c r="Z1323">
        <v>-3.758177E-2</v>
      </c>
      <c r="AA1323">
        <v>0.87621559999999898</v>
      </c>
      <c r="AB1323">
        <v>41</v>
      </c>
      <c r="AC1323">
        <v>22.793600000000001</v>
      </c>
      <c r="AD1323">
        <v>5.7956589999999997</v>
      </c>
      <c r="AE1323">
        <v>-76.7029</v>
      </c>
      <c r="AF1323">
        <v>38.3165160930265</v>
      </c>
      <c r="AG1323">
        <v>5.7956589999999997</v>
      </c>
      <c r="AH1323">
        <v>69.7715794584186</v>
      </c>
      <c r="AI1323">
        <v>85.835677419964696</v>
      </c>
      <c r="AJ1323">
        <v>61.225693523084701</v>
      </c>
      <c r="AK1323">
        <v>79.811141884287494</v>
      </c>
      <c r="AL1323">
        <v>88.167989259300995</v>
      </c>
      <c r="AM1323">
        <v>81.058435302286796</v>
      </c>
      <c r="AN1323">
        <v>0.99999995974700295</v>
      </c>
    </row>
    <row r="1324" spans="1:40" x14ac:dyDescent="0.25">
      <c r="A1324" t="str">
        <f>"20190312160322507"</f>
        <v>20190312160322507</v>
      </c>
      <c r="B1324" t="str">
        <f>"1552377802495342"</f>
        <v>1552377802495342</v>
      </c>
      <c r="C1324" t="s">
        <v>40</v>
      </c>
      <c r="D1324">
        <v>5.6549699999999996</v>
      </c>
      <c r="E1324">
        <v>0.63966020000000001</v>
      </c>
      <c r="F1324" t="s">
        <v>53</v>
      </c>
      <c r="G1324">
        <v>-169.1438</v>
      </c>
      <c r="H1324">
        <v>6.7926339999999996</v>
      </c>
      <c r="I1324">
        <v>276.94619999999998</v>
      </c>
      <c r="J1324">
        <v>-191.79949999999999</v>
      </c>
      <c r="K1324">
        <v>1.093537</v>
      </c>
      <c r="L1324">
        <v>356.0754</v>
      </c>
      <c r="M1324">
        <v>0.70591859999999995</v>
      </c>
      <c r="N1324">
        <v>0</v>
      </c>
      <c r="O1324">
        <v>-0.70810969999999995</v>
      </c>
      <c r="P1324">
        <v>0.58823979999999998</v>
      </c>
      <c r="Q1324">
        <v>2.170824E-2</v>
      </c>
      <c r="R1324">
        <v>-0.80839539999999999</v>
      </c>
      <c r="S1324">
        <v>0.88342289999999901</v>
      </c>
      <c r="T1324">
        <v>0.2208833</v>
      </c>
      <c r="U1324">
        <v>-3.0722659999999999</v>
      </c>
      <c r="V1324">
        <v>0.1554825</v>
      </c>
      <c r="W1324">
        <v>3.1644129999999999E-2</v>
      </c>
      <c r="X1324">
        <v>0.98733170000000003</v>
      </c>
      <c r="Y1324">
        <v>0.48292429999999997</v>
      </c>
      <c r="Z1324">
        <v>-3.6306890000000001E-2</v>
      </c>
      <c r="AA1324">
        <v>0.87490900000000005</v>
      </c>
      <c r="AB1324">
        <v>40</v>
      </c>
      <c r="AC1324">
        <v>22.6557</v>
      </c>
      <c r="AD1324">
        <v>5.6990970000000001</v>
      </c>
      <c r="AE1324">
        <v>-79.129199999999997</v>
      </c>
      <c r="AF1324">
        <v>39.631219686066302</v>
      </c>
      <c r="AG1324">
        <v>5.6990970000000001</v>
      </c>
      <c r="AH1324">
        <v>71.690879670358399</v>
      </c>
      <c r="AI1324">
        <v>86.020200506909504</v>
      </c>
      <c r="AJ1324">
        <v>61.0658755423743</v>
      </c>
      <c r="AK1324">
        <v>82.113917872249104</v>
      </c>
      <c r="AL1324">
        <v>88.186622221238395</v>
      </c>
      <c r="AM1324">
        <v>81.050700871604803</v>
      </c>
      <c r="AN1324">
        <v>1.00000002229729</v>
      </c>
    </row>
    <row r="1325" spans="1:40" x14ac:dyDescent="0.25">
      <c r="A1325" t="str">
        <f>"20190312160322518"</f>
        <v>20190312160322518</v>
      </c>
      <c r="B1325" t="str">
        <f>"1552377802515838"</f>
        <v>1552377802515838</v>
      </c>
      <c r="C1325" t="s">
        <v>40</v>
      </c>
      <c r="D1325">
        <v>5.7235259999999997</v>
      </c>
      <c r="E1325">
        <v>0.63838050000000002</v>
      </c>
      <c r="F1325" t="s">
        <v>53</v>
      </c>
      <c r="G1325">
        <v>-169.1438</v>
      </c>
      <c r="H1325">
        <v>7.3612060000000001</v>
      </c>
      <c r="I1325">
        <v>275.4991</v>
      </c>
      <c r="J1325">
        <v>-191.65799999999999</v>
      </c>
      <c r="K1325">
        <v>1.09348</v>
      </c>
      <c r="L1325">
        <v>355.9282</v>
      </c>
      <c r="M1325">
        <v>0.70054729999999998</v>
      </c>
      <c r="N1325">
        <v>0</v>
      </c>
      <c r="O1325">
        <v>-0.71342369999999899</v>
      </c>
      <c r="P1325">
        <v>0.58219509999999997</v>
      </c>
      <c r="Q1325">
        <v>2.1498449999999999E-2</v>
      </c>
      <c r="R1325">
        <v>-0.81276510000000002</v>
      </c>
      <c r="S1325">
        <v>0.86471559999999903</v>
      </c>
      <c r="T1325">
        <v>0.23922499999999999</v>
      </c>
      <c r="U1325">
        <v>-3.0754090000000001</v>
      </c>
      <c r="V1325">
        <v>0.15538469999999999</v>
      </c>
      <c r="W1325">
        <v>3.143348E-2</v>
      </c>
      <c r="X1325">
        <v>0.98735379999999995</v>
      </c>
      <c r="Y1325">
        <v>0.4814966</v>
      </c>
      <c r="Z1325">
        <v>-3.9880319999999997E-2</v>
      </c>
      <c r="AA1325">
        <v>0.87554009999999904</v>
      </c>
      <c r="AB1325">
        <v>40</v>
      </c>
      <c r="AC1325">
        <v>22.514199999999899</v>
      </c>
      <c r="AD1325">
        <v>6.2677259999999997</v>
      </c>
      <c r="AE1325">
        <v>-80.429100000000005</v>
      </c>
      <c r="AF1325">
        <v>40.061853203972703</v>
      </c>
      <c r="AG1325">
        <v>6.2677259999999997</v>
      </c>
      <c r="AH1325">
        <v>72.752094257829597</v>
      </c>
      <c r="AI1325">
        <v>85.684269738702298</v>
      </c>
      <c r="AJ1325">
        <v>61.160069769852797</v>
      </c>
      <c r="AK1325">
        <v>83.289277162476694</v>
      </c>
      <c r="AL1325">
        <v>88.198697539446897</v>
      </c>
      <c r="AM1325">
        <v>81.056435993993304</v>
      </c>
      <c r="AN1325">
        <v>0.99999999751671997</v>
      </c>
    </row>
    <row r="1326" spans="1:40" x14ac:dyDescent="0.25">
      <c r="A1326" t="str">
        <f>"20190312160322530"</f>
        <v>20190312160322530</v>
      </c>
      <c r="B1326" t="str">
        <f>"1552377802525598"</f>
        <v>1552377802525598</v>
      </c>
      <c r="C1326" t="s">
        <v>40</v>
      </c>
      <c r="D1326">
        <v>5.6519279999999998</v>
      </c>
      <c r="E1326">
        <v>0.63769809999999905</v>
      </c>
      <c r="F1326" t="s">
        <v>53</v>
      </c>
      <c r="G1326">
        <v>-169.1438</v>
      </c>
      <c r="H1326">
        <v>8.1821780000000004</v>
      </c>
      <c r="I1326">
        <v>274.52210000000002</v>
      </c>
      <c r="J1326">
        <v>-191.50649999999999</v>
      </c>
      <c r="K1326">
        <v>1.093421</v>
      </c>
      <c r="L1326">
        <v>355.76949999999999</v>
      </c>
      <c r="M1326">
        <v>0.69471939999999999</v>
      </c>
      <c r="N1326">
        <v>0</v>
      </c>
      <c r="O1326">
        <v>-0.7190995</v>
      </c>
      <c r="P1326">
        <v>0.57549309999999998</v>
      </c>
      <c r="Q1326">
        <v>2.1586049999999999E-2</v>
      </c>
      <c r="R1326">
        <v>-0.81752170000000002</v>
      </c>
      <c r="S1326">
        <v>0.85040280000000001</v>
      </c>
      <c r="T1326">
        <v>0.26775599999999999</v>
      </c>
      <c r="U1326">
        <v>-3.0748600000000001</v>
      </c>
      <c r="V1326">
        <v>0.155476</v>
      </c>
      <c r="W1326">
        <v>3.1511169999999998E-2</v>
      </c>
      <c r="X1326">
        <v>0.98733689999999996</v>
      </c>
      <c r="Y1326">
        <v>0.47815210000000002</v>
      </c>
      <c r="Z1326">
        <v>-4.539054E-2</v>
      </c>
      <c r="AA1326">
        <v>0.87710339999999998</v>
      </c>
      <c r="AB1326">
        <v>40</v>
      </c>
      <c r="AC1326">
        <v>22.362699999999901</v>
      </c>
      <c r="AD1326">
        <v>7.0887570000000002</v>
      </c>
      <c r="AE1326">
        <v>-81.247399999999899</v>
      </c>
      <c r="AF1326">
        <v>40.084752318022502</v>
      </c>
      <c r="AG1326">
        <v>7.0887570000000002</v>
      </c>
      <c r="AH1326">
        <v>73.450655711809702</v>
      </c>
      <c r="AI1326">
        <v>85.157690250679906</v>
      </c>
      <c r="AJ1326">
        <v>61.377062111735498</v>
      </c>
      <c r="AK1326">
        <v>83.976405428531393</v>
      </c>
      <c r="AL1326">
        <v>88.194243933370004</v>
      </c>
      <c r="AM1326">
        <v>81.051115313638704</v>
      </c>
      <c r="AN1326">
        <v>0.99999994725618802</v>
      </c>
    </row>
    <row r="1327" spans="1:40" x14ac:dyDescent="0.25">
      <c r="A1327" t="str">
        <f>"20190312160322541"</f>
        <v>20190312160322541</v>
      </c>
      <c r="B1327" t="str">
        <f>"1552377802535357"</f>
        <v>1552377802535357</v>
      </c>
      <c r="C1327" t="s">
        <v>40</v>
      </c>
      <c r="D1327">
        <v>5.524464</v>
      </c>
      <c r="E1327">
        <v>0.63700939999999995</v>
      </c>
      <c r="F1327" t="s">
        <v>54</v>
      </c>
      <c r="G1327">
        <v>-163.5737</v>
      </c>
      <c r="H1327">
        <v>10.47081</v>
      </c>
      <c r="I1327">
        <v>252.11500000000001</v>
      </c>
      <c r="J1327">
        <v>-191.36510000000001</v>
      </c>
      <c r="K1327">
        <v>1.093364</v>
      </c>
      <c r="L1327">
        <v>355.61829999999998</v>
      </c>
      <c r="M1327">
        <v>0.68914889999999995</v>
      </c>
      <c r="N1327">
        <v>0</v>
      </c>
      <c r="O1327">
        <v>-0.72443959999999996</v>
      </c>
      <c r="P1327">
        <v>0.56908210000000004</v>
      </c>
      <c r="Q1327">
        <v>2.1338780000000002E-2</v>
      </c>
      <c r="R1327">
        <v>-0.82200409999999902</v>
      </c>
      <c r="S1327">
        <v>0.82954409999999901</v>
      </c>
      <c r="T1327">
        <v>0.27848909999999999</v>
      </c>
      <c r="U1327">
        <v>-3.0783079999999998</v>
      </c>
      <c r="V1327">
        <v>0.15557699999999999</v>
      </c>
      <c r="W1327">
        <v>3.1254749999999998E-2</v>
      </c>
      <c r="X1327">
        <v>0.98732920000000002</v>
      </c>
      <c r="Y1327">
        <v>0.47718240000000001</v>
      </c>
      <c r="Z1327">
        <v>-4.7854460000000001E-2</v>
      </c>
      <c r="AA1327">
        <v>0.87750039999999996</v>
      </c>
      <c r="AB1327">
        <v>40</v>
      </c>
      <c r="AC1327">
        <v>27.791399999999999</v>
      </c>
      <c r="AD1327">
        <v>9.3774460000000008</v>
      </c>
      <c r="AE1327">
        <v>-103.503299999999</v>
      </c>
      <c r="AF1327">
        <v>50.813626972993802</v>
      </c>
      <c r="AG1327">
        <v>9.3774460000000008</v>
      </c>
      <c r="AH1327">
        <v>93.431240864545202</v>
      </c>
      <c r="AI1327">
        <v>84.961201811013694</v>
      </c>
      <c r="AJ1327">
        <v>61.459946142656698</v>
      </c>
      <c r="AK1327">
        <v>106.767775799265</v>
      </c>
      <c r="AL1327">
        <v>88.208943063013706</v>
      </c>
      <c r="AM1327">
        <v>81.045327426344798</v>
      </c>
      <c r="AN1327">
        <v>1.0000000057495999</v>
      </c>
    </row>
    <row r="1328" spans="1:40" x14ac:dyDescent="0.25">
      <c r="A1328" t="str">
        <f>"20190312160322554"</f>
        <v>20190312160322554</v>
      </c>
      <c r="B1328" t="str">
        <f>"1552377802546096"</f>
        <v>1552377802546096</v>
      </c>
      <c r="C1328" t="s">
        <v>40</v>
      </c>
      <c r="D1328">
        <v>5.5363879999999996</v>
      </c>
      <c r="E1328">
        <v>0.63700939999999995</v>
      </c>
      <c r="F1328" t="s">
        <v>54</v>
      </c>
      <c r="G1328">
        <v>-164.15440000000001</v>
      </c>
      <c r="H1328">
        <v>10.72092</v>
      </c>
      <c r="I1328">
        <v>252.11500000000001</v>
      </c>
      <c r="J1328">
        <v>-191.19640000000001</v>
      </c>
      <c r="K1328">
        <v>1.0933010000000001</v>
      </c>
      <c r="L1328">
        <v>355.43509999999998</v>
      </c>
      <c r="M1328">
        <v>0.68236560000000002</v>
      </c>
      <c r="N1328">
        <v>0</v>
      </c>
      <c r="O1328">
        <v>-0.73083199999999904</v>
      </c>
      <c r="P1328">
        <v>0.56113500000000005</v>
      </c>
      <c r="Q1328">
        <v>2.162621E-2</v>
      </c>
      <c r="R1328">
        <v>-0.82744209999999996</v>
      </c>
      <c r="S1328">
        <v>0.81007390000000001</v>
      </c>
      <c r="T1328">
        <v>0.28661730000000002</v>
      </c>
      <c r="U1328">
        <v>-3.0813290000000002</v>
      </c>
      <c r="V1328">
        <v>0.15589839999999999</v>
      </c>
      <c r="W1328">
        <v>3.1523080000000002E-2</v>
      </c>
      <c r="X1328">
        <v>0.98726999999999998</v>
      </c>
      <c r="Y1328">
        <v>0.47440939999999998</v>
      </c>
      <c r="Z1328">
        <v>-5.01039E-2</v>
      </c>
      <c r="AA1328">
        <v>0.87887729999999997</v>
      </c>
      <c r="AB1328">
        <v>40</v>
      </c>
      <c r="AC1328">
        <v>27.041999999999899</v>
      </c>
      <c r="AD1328">
        <v>9.6276189999999993</v>
      </c>
      <c r="AE1328">
        <v>-103.320099999999</v>
      </c>
      <c r="AF1328">
        <v>50.336516185276899</v>
      </c>
      <c r="AG1328">
        <v>9.6276189999999993</v>
      </c>
      <c r="AH1328">
        <v>93.216958421827897</v>
      </c>
      <c r="AI1328">
        <v>84.807308889056898</v>
      </c>
      <c r="AJ1328">
        <v>61.6312589207473</v>
      </c>
      <c r="AK1328">
        <v>106.376018193465</v>
      </c>
      <c r="AL1328">
        <v>88.193561358714106</v>
      </c>
      <c r="AM1328">
        <v>81.026599739020398</v>
      </c>
      <c r="AN1328">
        <v>1.0000000342976201</v>
      </c>
    </row>
    <row r="1329" spans="1:40" x14ac:dyDescent="0.25">
      <c r="A1329" t="str">
        <f>"20190312160322569"</f>
        <v>20190312160322569</v>
      </c>
      <c r="B1329" t="str">
        <f>"1552377802565614"</f>
        <v>1552377802565614</v>
      </c>
      <c r="C1329" t="s">
        <v>40</v>
      </c>
      <c r="D1329">
        <v>5.5018849999999997</v>
      </c>
      <c r="E1329">
        <v>0.63736470000000001</v>
      </c>
      <c r="F1329" t="s">
        <v>54</v>
      </c>
      <c r="G1329">
        <v>-165.09870000000001</v>
      </c>
      <c r="H1329">
        <v>10.70689</v>
      </c>
      <c r="I1329">
        <v>252.11500000000001</v>
      </c>
      <c r="J1329">
        <v>-191.02500000000001</v>
      </c>
      <c r="K1329">
        <v>1.093237</v>
      </c>
      <c r="L1329">
        <v>355.24610000000001</v>
      </c>
      <c r="M1329">
        <v>0.6753304</v>
      </c>
      <c r="N1329">
        <v>0</v>
      </c>
      <c r="O1329">
        <v>-0.73733719999999903</v>
      </c>
      <c r="P1329">
        <v>0.55297739999999995</v>
      </c>
      <c r="Q1329">
        <v>2.1907369999999999E-2</v>
      </c>
      <c r="R1329">
        <v>-0.83290819999999999</v>
      </c>
      <c r="S1329">
        <v>0.78025819999999901</v>
      </c>
      <c r="T1329">
        <v>0.28742469999999998</v>
      </c>
      <c r="U1329">
        <v>-3.0890200000000001</v>
      </c>
      <c r="V1329">
        <v>0.1561495</v>
      </c>
      <c r="W1329">
        <v>3.1788070000000002E-2</v>
      </c>
      <c r="X1329">
        <v>0.98722180000000004</v>
      </c>
      <c r="Y1329">
        <v>0.47447899999999998</v>
      </c>
      <c r="Z1329">
        <v>-5.0985030000000001E-2</v>
      </c>
      <c r="AA1329">
        <v>0.87878909999999999</v>
      </c>
      <c r="AB1329">
        <v>40</v>
      </c>
      <c r="AC1329">
        <v>25.926300000000001</v>
      </c>
      <c r="AD1329">
        <v>9.6136529999999993</v>
      </c>
      <c r="AE1329">
        <v>-103.1311</v>
      </c>
      <c r="AF1329">
        <v>50.128081527321299</v>
      </c>
      <c r="AG1329">
        <v>9.6136529999999993</v>
      </c>
      <c r="AH1329">
        <v>92.805006771989099</v>
      </c>
      <c r="AI1329">
        <v>84.792237215462393</v>
      </c>
      <c r="AJ1329">
        <v>61.624559539343799</v>
      </c>
      <c r="AK1329">
        <v>105.91513661211501</v>
      </c>
      <c r="AL1329">
        <v>88.1783709026585</v>
      </c>
      <c r="AM1329">
        <v>81.011950697936797</v>
      </c>
      <c r="AN1329">
        <v>1.0000000150699</v>
      </c>
    </row>
    <row r="1330" spans="1:40" x14ac:dyDescent="0.25">
      <c r="A1330" t="str">
        <f>"20190312160322581"</f>
        <v>20190312160322581</v>
      </c>
      <c r="B1330" t="str">
        <f>"1552377802576350"</f>
        <v>1552377802576350</v>
      </c>
      <c r="C1330" t="s">
        <v>40</v>
      </c>
      <c r="D1330">
        <v>5.5887500000000001</v>
      </c>
      <c r="E1330">
        <v>0.63749739999999999</v>
      </c>
      <c r="F1330" t="s">
        <v>54</v>
      </c>
      <c r="G1330">
        <v>-166.16630000000001</v>
      </c>
      <c r="H1330">
        <v>8.9668559999999999</v>
      </c>
      <c r="I1330">
        <v>252.11510000000001</v>
      </c>
      <c r="J1330">
        <v>-190.8707</v>
      </c>
      <c r="K1330">
        <v>1.0931789999999999</v>
      </c>
      <c r="L1330">
        <v>355.07170000000002</v>
      </c>
      <c r="M1330">
        <v>0.66881829999999998</v>
      </c>
      <c r="N1330">
        <v>0</v>
      </c>
      <c r="O1330">
        <v>-0.7432491</v>
      </c>
      <c r="P1330">
        <v>0.54542100000000004</v>
      </c>
      <c r="Q1330">
        <v>2.1892390000000001E-2</v>
      </c>
      <c r="R1330">
        <v>-0.83787639999999997</v>
      </c>
      <c r="S1330">
        <v>0.74713130000000005</v>
      </c>
      <c r="T1330">
        <v>0.23664360000000001</v>
      </c>
      <c r="U1330">
        <v>-3.0996090000000001</v>
      </c>
      <c r="V1330">
        <v>0.1563996</v>
      </c>
      <c r="W1330">
        <v>3.1757559999999997E-2</v>
      </c>
      <c r="X1330">
        <v>0.98718320000000004</v>
      </c>
      <c r="Y1330">
        <v>0.47623949999999998</v>
      </c>
      <c r="Z1330">
        <v>-4.2496480000000003E-2</v>
      </c>
      <c r="AA1330">
        <v>0.87828809999999902</v>
      </c>
      <c r="AB1330">
        <v>40</v>
      </c>
      <c r="AC1330">
        <v>24.7044</v>
      </c>
      <c r="AD1330">
        <v>7.8736769999999998</v>
      </c>
      <c r="AE1330">
        <v>-102.95659999999999</v>
      </c>
      <c r="AF1330">
        <v>50.226613600002402</v>
      </c>
      <c r="AG1330">
        <v>7.8736769999999998</v>
      </c>
      <c r="AH1330">
        <v>92.545597172972094</v>
      </c>
      <c r="AI1330">
        <v>85.723604425493804</v>
      </c>
      <c r="AJ1330">
        <v>61.510303152797597</v>
      </c>
      <c r="AK1330">
        <v>105.590695893749</v>
      </c>
      <c r="AL1330">
        <v>88.180119896023996</v>
      </c>
      <c r="AM1330">
        <v>80.997444143894398</v>
      </c>
      <c r="AN1330">
        <v>1.0000000239297699</v>
      </c>
    </row>
    <row r="1331" spans="1:40" x14ac:dyDescent="0.25">
      <c r="A1331" t="str">
        <f>"20190312160322598"</f>
        <v>20190312160322598</v>
      </c>
      <c r="B1331" t="str">
        <f>"1552377802585641"</f>
        <v>1552377802585641</v>
      </c>
      <c r="C1331" t="s">
        <v>40</v>
      </c>
      <c r="D1331">
        <v>5.4509309999999997</v>
      </c>
      <c r="E1331">
        <v>0.63731969999999905</v>
      </c>
      <c r="F1331" t="s">
        <v>54</v>
      </c>
      <c r="G1331">
        <v>-167.309</v>
      </c>
      <c r="H1331">
        <v>8.4189509999999999</v>
      </c>
      <c r="I1331">
        <v>253.124</v>
      </c>
      <c r="J1331">
        <v>-190.67349999999999</v>
      </c>
      <c r="K1331">
        <v>1.0931109999999999</v>
      </c>
      <c r="L1331">
        <v>354.84480000000002</v>
      </c>
      <c r="M1331">
        <v>0.66030140000000004</v>
      </c>
      <c r="N1331">
        <v>0</v>
      </c>
      <c r="O1331">
        <v>-0.75082539999999998</v>
      </c>
      <c r="P1331">
        <v>0.53586489999999998</v>
      </c>
      <c r="Q1331">
        <v>2.2326820000000001E-2</v>
      </c>
      <c r="R1331">
        <v>-0.84400849999999905</v>
      </c>
      <c r="S1331">
        <v>0.71810909999999994</v>
      </c>
      <c r="T1331">
        <v>0.22327530000000001</v>
      </c>
      <c r="U1331">
        <v>-3.1071469999999999</v>
      </c>
      <c r="V1331">
        <v>0.1563784</v>
      </c>
      <c r="W1331">
        <v>3.2187449999999999E-2</v>
      </c>
      <c r="X1331">
        <v>0.98717259999999996</v>
      </c>
      <c r="Y1331">
        <v>0.47446470000000002</v>
      </c>
      <c r="Z1331">
        <v>-4.0826319999999999E-2</v>
      </c>
      <c r="AA1331">
        <v>0.87932730000000003</v>
      </c>
      <c r="AB1331">
        <v>40</v>
      </c>
      <c r="AC1331">
        <v>23.3644999999999</v>
      </c>
      <c r="AD1331">
        <v>7.3258399999999897</v>
      </c>
      <c r="AE1331">
        <v>-101.7208</v>
      </c>
      <c r="AF1331">
        <v>49.386939882178602</v>
      </c>
      <c r="AG1331">
        <v>7.3258399999999897</v>
      </c>
      <c r="AH1331">
        <v>91.364125213373796</v>
      </c>
      <c r="AI1331">
        <v>85.965203827615795</v>
      </c>
      <c r="AJ1331">
        <v>61.606531057097797</v>
      </c>
      <c r="AK1331">
        <v>104.115998475914</v>
      </c>
      <c r="AL1331">
        <v>88.155476350413494</v>
      </c>
      <c r="AM1331">
        <v>80.998549389102706</v>
      </c>
      <c r="AN1331">
        <v>0.99999998905741105</v>
      </c>
    </row>
    <row r="1332" spans="1:40" x14ac:dyDescent="0.25">
      <c r="A1332" t="str">
        <f>"20190312160322611"</f>
        <v>20190312160322611</v>
      </c>
      <c r="B1332" t="str">
        <f>"1552377802606138"</f>
        <v>1552377802606138</v>
      </c>
      <c r="C1332" t="s">
        <v>40</v>
      </c>
      <c r="D1332">
        <v>5.7110880000000002</v>
      </c>
      <c r="E1332">
        <v>0.63583769999999995</v>
      </c>
      <c r="F1332" t="s">
        <v>54</v>
      </c>
      <c r="G1332">
        <v>-168.334</v>
      </c>
      <c r="H1332">
        <v>7.9920349999999996</v>
      </c>
      <c r="I1332">
        <v>253.124</v>
      </c>
      <c r="J1332">
        <v>-190.5181</v>
      </c>
      <c r="K1332">
        <v>1.0930610000000001</v>
      </c>
      <c r="L1332">
        <v>354.6628</v>
      </c>
      <c r="M1332">
        <v>0.65343519999999999</v>
      </c>
      <c r="N1332">
        <v>0</v>
      </c>
      <c r="O1332">
        <v>-0.75680800000000004</v>
      </c>
      <c r="P1332">
        <v>0.52817860000000005</v>
      </c>
      <c r="Q1332">
        <v>2.2502790000000002E-2</v>
      </c>
      <c r="R1332">
        <v>-0.84883529999999996</v>
      </c>
      <c r="S1332">
        <v>0.68402099999999999</v>
      </c>
      <c r="T1332">
        <v>0.21124209999999999</v>
      </c>
      <c r="U1332">
        <v>-3.1146240000000001</v>
      </c>
      <c r="V1332">
        <v>0.1563601</v>
      </c>
      <c r="W1332">
        <v>3.2359980000000003E-2</v>
      </c>
      <c r="X1332">
        <v>0.98716990000000004</v>
      </c>
      <c r="Y1332">
        <v>0.47606009999999999</v>
      </c>
      <c r="Z1332">
        <v>-3.9104600000000003E-2</v>
      </c>
      <c r="AA1332">
        <v>0.87854290000000002</v>
      </c>
      <c r="AB1332">
        <v>40</v>
      </c>
      <c r="AC1332">
        <v>22.184100000000001</v>
      </c>
      <c r="AD1332">
        <v>6.8989739999999999</v>
      </c>
      <c r="AE1332">
        <v>-101.538799999999</v>
      </c>
      <c r="AF1332">
        <v>49.3490304434089</v>
      </c>
      <c r="AG1332">
        <v>6.8989739999999999</v>
      </c>
      <c r="AH1332">
        <v>90.952565484949801</v>
      </c>
      <c r="AI1332">
        <v>86.185682157663294</v>
      </c>
      <c r="AJ1332">
        <v>61.516633673541399</v>
      </c>
      <c r="AK1332">
        <v>103.707723030887</v>
      </c>
      <c r="AL1332">
        <v>88.145586033778997</v>
      </c>
      <c r="AM1332">
        <v>80.9995613146571</v>
      </c>
      <c r="AN1332">
        <v>1.0000000303218</v>
      </c>
    </row>
    <row r="1333" spans="1:40" x14ac:dyDescent="0.25">
      <c r="A1333" t="str">
        <f>"20190312160322622"</f>
        <v>20190312160322622</v>
      </c>
      <c r="B1333" t="str">
        <f>"1552377802615897"</f>
        <v>1552377802615897</v>
      </c>
      <c r="C1333" t="s">
        <v>40</v>
      </c>
      <c r="D1333">
        <v>5.7766669999999998</v>
      </c>
      <c r="E1333">
        <v>0.63514209999999904</v>
      </c>
      <c r="F1333" t="s">
        <v>44</v>
      </c>
      <c r="G1333">
        <v>-177.5206</v>
      </c>
      <c r="H1333">
        <v>5.4584549999999998</v>
      </c>
      <c r="I1333">
        <v>293.85739999999998</v>
      </c>
      <c r="J1333">
        <v>-190.37909999999999</v>
      </c>
      <c r="K1333">
        <v>1.0930139999999999</v>
      </c>
      <c r="L1333">
        <v>354.49669999999998</v>
      </c>
      <c r="M1333">
        <v>0.64714680000000002</v>
      </c>
      <c r="N1333">
        <v>0</v>
      </c>
      <c r="O1333">
        <v>-0.76219209999999904</v>
      </c>
      <c r="P1333">
        <v>0.52151689999999995</v>
      </c>
      <c r="Q1333">
        <v>2.2685980000000001E-2</v>
      </c>
      <c r="R1333">
        <v>-0.85293969999999897</v>
      </c>
      <c r="S1333">
        <v>0.6656647</v>
      </c>
      <c r="T1333">
        <v>0.22357270000000001</v>
      </c>
      <c r="U1333">
        <v>-3.1141359999999998</v>
      </c>
      <c r="V1333">
        <v>0.155923799999999</v>
      </c>
      <c r="W1333">
        <v>3.2557759999999998E-2</v>
      </c>
      <c r="X1333">
        <v>0.98723240000000001</v>
      </c>
      <c r="Y1333">
        <v>0.47371439999999998</v>
      </c>
      <c r="Z1333">
        <v>-4.1987539999999997E-2</v>
      </c>
      <c r="AA1333">
        <v>0.87967709999999999</v>
      </c>
      <c r="AB1333">
        <v>40</v>
      </c>
      <c r="AC1333">
        <v>12.8584999999999</v>
      </c>
      <c r="AD1333">
        <v>4.3654409999999997</v>
      </c>
      <c r="AE1333">
        <v>-60.639299999999899</v>
      </c>
      <c r="AF1333">
        <v>29.3004538037858</v>
      </c>
      <c r="AG1333">
        <v>4.3654409999999997</v>
      </c>
      <c r="AH1333">
        <v>54.278141696724099</v>
      </c>
      <c r="AI1333">
        <v>85.951717509708601</v>
      </c>
      <c r="AJ1333">
        <v>61.638916805448801</v>
      </c>
      <c r="AK1333">
        <v>61.835995458001101</v>
      </c>
      <c r="AL1333">
        <v>88.134248091327905</v>
      </c>
      <c r="AM1333">
        <v>81.024825275092894</v>
      </c>
      <c r="AN1333">
        <v>1.0000000253762</v>
      </c>
    </row>
    <row r="1334" spans="1:40" x14ac:dyDescent="0.25">
      <c r="A1334" t="str">
        <f>"20190312160322634"</f>
        <v>20190312160322634</v>
      </c>
      <c r="B1334" t="str">
        <f>"1552377802625657"</f>
        <v>1552377802625657</v>
      </c>
      <c r="C1334" t="s">
        <v>40</v>
      </c>
      <c r="D1334">
        <v>5.6036979999999996</v>
      </c>
      <c r="E1334">
        <v>0.634656</v>
      </c>
      <c r="F1334" t="s">
        <v>54</v>
      </c>
      <c r="G1334">
        <v>-167.89859999999999</v>
      </c>
      <c r="H1334">
        <v>9.0639040000000008</v>
      </c>
      <c r="I1334">
        <v>246.0795</v>
      </c>
      <c r="J1334">
        <v>-190.25110000000001</v>
      </c>
      <c r="K1334">
        <v>1.0929719999999901</v>
      </c>
      <c r="L1334">
        <v>354.34100000000001</v>
      </c>
      <c r="M1334">
        <v>0.64123869999999905</v>
      </c>
      <c r="N1334">
        <v>0</v>
      </c>
      <c r="O1334">
        <v>-0.76716890000000004</v>
      </c>
      <c r="P1334">
        <v>0.51506049999999903</v>
      </c>
      <c r="Q1334">
        <v>2.2688710000000001E-2</v>
      </c>
      <c r="R1334">
        <v>-0.85685359999999999</v>
      </c>
      <c r="S1334">
        <v>0.64613339999999997</v>
      </c>
      <c r="T1334">
        <v>0.2291002</v>
      </c>
      <c r="U1334">
        <v>-3.1161189999999999</v>
      </c>
      <c r="V1334">
        <v>0.15575620000000001</v>
      </c>
      <c r="W1334">
        <v>3.2564429999999998E-2</v>
      </c>
      <c r="X1334">
        <v>0.98725859999999999</v>
      </c>
      <c r="Y1334">
        <v>0.47231590000000001</v>
      </c>
      <c r="Z1334">
        <v>-4.3552199999999999E-2</v>
      </c>
      <c r="AA1334">
        <v>0.88035269999999999</v>
      </c>
      <c r="AB1334">
        <v>40</v>
      </c>
      <c r="AC1334">
        <v>22.352499999999999</v>
      </c>
      <c r="AD1334">
        <v>7.9709319999999897</v>
      </c>
      <c r="AE1334">
        <v>-108.2615</v>
      </c>
      <c r="AF1334">
        <v>52.009831357832098</v>
      </c>
      <c r="AG1334">
        <v>7.9709319999999897</v>
      </c>
      <c r="AH1334">
        <v>96.897248439608205</v>
      </c>
      <c r="AI1334">
        <v>85.854411583555901</v>
      </c>
      <c r="AJ1334">
        <v>61.775213502483098</v>
      </c>
      <c r="AK1334">
        <v>110.26166636681</v>
      </c>
      <c r="AL1334">
        <v>88.1338656589636</v>
      </c>
      <c r="AM1334">
        <v>81.034549818405793</v>
      </c>
      <c r="AN1334">
        <v>0.99999998960681202</v>
      </c>
    </row>
    <row r="1335" spans="1:40" x14ac:dyDescent="0.25">
      <c r="A1335" t="str">
        <f>"20190312160322645"</f>
        <v>20190312160322645</v>
      </c>
      <c r="B1335" t="str">
        <f>"1552377802635419"</f>
        <v>1552377802635419</v>
      </c>
      <c r="C1335" t="s">
        <v>40</v>
      </c>
      <c r="D1335">
        <v>5.7874879999999997</v>
      </c>
      <c r="E1335">
        <v>0.63397079999999995</v>
      </c>
      <c r="F1335" t="s">
        <v>54</v>
      </c>
      <c r="G1335">
        <v>-167.89859999999999</v>
      </c>
      <c r="H1335">
        <v>9.8402940000000001</v>
      </c>
      <c r="I1335">
        <v>242.96029999999999</v>
      </c>
      <c r="J1335">
        <v>-190.11709999999999</v>
      </c>
      <c r="K1335">
        <v>1.092927</v>
      </c>
      <c r="L1335">
        <v>354.17630000000003</v>
      </c>
      <c r="M1335">
        <v>0.63495979999999996</v>
      </c>
      <c r="N1335">
        <v>0</v>
      </c>
      <c r="O1335">
        <v>-0.77237359999999999</v>
      </c>
      <c r="P1335">
        <v>0.50827179999999905</v>
      </c>
      <c r="Q1335">
        <v>2.2646429999999999E-2</v>
      </c>
      <c r="R1335">
        <v>-0.86089919999999998</v>
      </c>
      <c r="S1335">
        <v>0.62583919999999904</v>
      </c>
      <c r="T1335">
        <v>0.24491379999999999</v>
      </c>
      <c r="U1335">
        <v>-3.1185</v>
      </c>
      <c r="V1335">
        <v>0.1555097</v>
      </c>
      <c r="W1335">
        <v>3.2529160000000001E-2</v>
      </c>
      <c r="X1335">
        <v>0.98729860000000003</v>
      </c>
      <c r="Y1335">
        <v>0.47078419999999999</v>
      </c>
      <c r="Z1335">
        <v>-4.7134660000000002E-2</v>
      </c>
      <c r="AA1335">
        <v>0.8809884</v>
      </c>
      <c r="AB1335">
        <v>40</v>
      </c>
      <c r="AC1335">
        <v>22.218499999999999</v>
      </c>
      <c r="AD1335">
        <v>8.7473670000000006</v>
      </c>
      <c r="AE1335">
        <v>-111.21599999999999</v>
      </c>
      <c r="AF1335">
        <v>53.147632049134202</v>
      </c>
      <c r="AG1335">
        <v>8.7473670000000006</v>
      </c>
      <c r="AH1335">
        <v>99.429932724816993</v>
      </c>
      <c r="AI1335">
        <v>85.563492238210401</v>
      </c>
      <c r="AJ1335">
        <v>61.8744506253108</v>
      </c>
      <c r="AK1335">
        <v>113.081823223383</v>
      </c>
      <c r="AL1335">
        <v>88.135887514439901</v>
      </c>
      <c r="AM1335">
        <v>81.048865408117607</v>
      </c>
      <c r="AN1335">
        <v>0.99999996930317703</v>
      </c>
    </row>
    <row r="1336" spans="1:40" x14ac:dyDescent="0.25">
      <c r="A1336" t="str">
        <f>"20190312160322655"</f>
        <v>20190312160322655</v>
      </c>
      <c r="B1336" t="str">
        <f>"1552377802646154"</f>
        <v>1552377802646154</v>
      </c>
      <c r="C1336" t="s">
        <v>40</v>
      </c>
      <c r="D1336">
        <v>5.2726920000000002</v>
      </c>
      <c r="E1336">
        <v>0.63334880000000005</v>
      </c>
      <c r="F1336" t="s">
        <v>54</v>
      </c>
      <c r="G1336">
        <v>-167.89859999999999</v>
      </c>
      <c r="H1336">
        <v>10.151109999999999</v>
      </c>
      <c r="I1336">
        <v>239.76769999999999</v>
      </c>
      <c r="J1336">
        <v>-190.00190000000001</v>
      </c>
      <c r="K1336">
        <v>1.092894</v>
      </c>
      <c r="L1336">
        <v>354.03120000000001</v>
      </c>
      <c r="M1336">
        <v>0.62942500000000001</v>
      </c>
      <c r="N1336">
        <v>0</v>
      </c>
      <c r="O1336">
        <v>-0.77689030000000003</v>
      </c>
      <c r="P1336">
        <v>0.50230399999999997</v>
      </c>
      <c r="Q1336">
        <v>2.278616E-2</v>
      </c>
      <c r="R1336">
        <v>-0.86439089999999996</v>
      </c>
      <c r="S1336">
        <v>0.60600279999999995</v>
      </c>
      <c r="T1336">
        <v>0.24706020000000001</v>
      </c>
      <c r="U1336">
        <v>-3.1204529999999999</v>
      </c>
      <c r="V1336">
        <v>0.15529209999999999</v>
      </c>
      <c r="W1336">
        <v>3.2675959999999997E-2</v>
      </c>
      <c r="X1336">
        <v>0.98732810000000004</v>
      </c>
      <c r="Y1336">
        <v>0.46998529999999999</v>
      </c>
      <c r="Z1336">
        <v>-4.8054810000000003E-2</v>
      </c>
      <c r="AA1336">
        <v>0.88136519999999996</v>
      </c>
      <c r="AB1336">
        <v>40</v>
      </c>
      <c r="AC1336">
        <v>22.103300000000001</v>
      </c>
      <c r="AD1336">
        <v>9.0582159999999998</v>
      </c>
      <c r="AE1336">
        <v>-114.26349999999999</v>
      </c>
      <c r="AF1336">
        <v>54.426034289550302</v>
      </c>
      <c r="AG1336">
        <v>9.0582159999999998</v>
      </c>
      <c r="AH1336">
        <v>102.077846473402</v>
      </c>
      <c r="AI1336">
        <v>85.522679030921196</v>
      </c>
      <c r="AJ1336">
        <v>61.934279836156499</v>
      </c>
      <c r="AK1336">
        <v>116.035043095771</v>
      </c>
      <c r="AL1336">
        <v>88.127472200907206</v>
      </c>
      <c r="AM1336">
        <v>81.061450837830606</v>
      </c>
      <c r="AN1336">
        <v>1.0000000658669601</v>
      </c>
    </row>
    <row r="1337" spans="1:40" x14ac:dyDescent="0.25">
      <c r="A1337" t="str">
        <f>"20190312160322667"</f>
        <v>20190312160322667</v>
      </c>
      <c r="B1337" t="str">
        <f>"1552377802655913"</f>
        <v>1552377802655913</v>
      </c>
      <c r="C1337" t="s">
        <v>40</v>
      </c>
      <c r="D1337">
        <v>5.7272889999999999</v>
      </c>
      <c r="E1337">
        <v>0.63273559999999995</v>
      </c>
      <c r="F1337" t="s">
        <v>54</v>
      </c>
      <c r="G1337">
        <v>-167.89859999999999</v>
      </c>
      <c r="H1337">
        <v>10.44758</v>
      </c>
      <c r="I1337">
        <v>236.7835</v>
      </c>
      <c r="J1337">
        <v>-189.86940000000001</v>
      </c>
      <c r="K1337">
        <v>1.092857</v>
      </c>
      <c r="L1337">
        <v>353.86340000000001</v>
      </c>
      <c r="M1337">
        <v>0.62299169999999904</v>
      </c>
      <c r="N1337">
        <v>0</v>
      </c>
      <c r="O1337">
        <v>-0.78205849999999999</v>
      </c>
      <c r="P1337">
        <v>0.49527510000000002</v>
      </c>
      <c r="Q1337">
        <v>2.2983509999999999E-2</v>
      </c>
      <c r="R1337">
        <v>-0.86843230000000005</v>
      </c>
      <c r="S1337">
        <v>0.58856200000000003</v>
      </c>
      <c r="T1337">
        <v>0.24909539999999999</v>
      </c>
      <c r="U1337">
        <v>-3.1220400000000001</v>
      </c>
      <c r="V1337">
        <v>0.15516150000000001</v>
      </c>
      <c r="W1337">
        <v>3.2875639999999998E-2</v>
      </c>
      <c r="X1337">
        <v>0.98734189999999999</v>
      </c>
      <c r="Y1337">
        <v>0.46754240000000002</v>
      </c>
      <c r="Z1337">
        <v>-4.9075479999999998E-2</v>
      </c>
      <c r="AA1337">
        <v>0.88260729999999998</v>
      </c>
      <c r="AB1337">
        <v>40</v>
      </c>
      <c r="AC1337">
        <v>21.970800000000001</v>
      </c>
      <c r="AD1337">
        <v>9.3547229999999999</v>
      </c>
      <c r="AE1337">
        <v>-117.07989999999999</v>
      </c>
      <c r="AF1337">
        <v>55.422980140617703</v>
      </c>
      <c r="AG1337">
        <v>9.3547229999999999</v>
      </c>
      <c r="AH1337">
        <v>104.619770715379</v>
      </c>
      <c r="AI1337">
        <v>85.482224765861204</v>
      </c>
      <c r="AJ1337">
        <v>62.087313367895199</v>
      </c>
      <c r="AK1337">
        <v>118.76242669553601</v>
      </c>
      <c r="AL1337">
        <v>88.1160250366638</v>
      </c>
      <c r="AM1337">
        <v>81.0689697086558</v>
      </c>
      <c r="AN1337">
        <v>0.99999996314163397</v>
      </c>
    </row>
    <row r="1338" spans="1:40" x14ac:dyDescent="0.25">
      <c r="A1338" t="str">
        <f>"20190312160322679"</f>
        <v>20190312160322679</v>
      </c>
      <c r="B1338" t="str">
        <f>"1552377802675434"</f>
        <v>1552377802675434</v>
      </c>
      <c r="C1338" t="s">
        <v>40</v>
      </c>
      <c r="D1338">
        <v>5.6458629999999896</v>
      </c>
      <c r="E1338">
        <v>0.63185080000000005</v>
      </c>
      <c r="F1338" t="s">
        <v>54</v>
      </c>
      <c r="G1338">
        <v>-167.89859999999999</v>
      </c>
      <c r="H1338">
        <v>10.846069999999999</v>
      </c>
      <c r="I1338">
        <v>232.90360000000001</v>
      </c>
      <c r="J1338">
        <v>-189.74170000000001</v>
      </c>
      <c r="K1338">
        <v>1.09281299999999</v>
      </c>
      <c r="L1338">
        <v>353.69699999999898</v>
      </c>
      <c r="M1338">
        <v>0.61660959999999998</v>
      </c>
      <c r="N1338">
        <v>0</v>
      </c>
      <c r="O1338">
        <v>-0.78709980000000002</v>
      </c>
      <c r="P1338">
        <v>0.48819990000000002</v>
      </c>
      <c r="Q1338">
        <v>2.3323420000000001E-2</v>
      </c>
      <c r="R1338">
        <v>-0.87242009999999903</v>
      </c>
      <c r="S1338">
        <v>0.56747440000000005</v>
      </c>
      <c r="T1338">
        <v>0.25191180000000002</v>
      </c>
      <c r="U1338">
        <v>-3.1242070000000002</v>
      </c>
      <c r="V1338">
        <v>0.1551671</v>
      </c>
      <c r="W1338">
        <v>3.3213050000000001E-2</v>
      </c>
      <c r="X1338">
        <v>0.98732980000000004</v>
      </c>
      <c r="Y1338">
        <v>0.46623300000000001</v>
      </c>
      <c r="Z1338">
        <v>-5.0215940000000001E-2</v>
      </c>
      <c r="AA1338">
        <v>0.88323560000000001</v>
      </c>
      <c r="AB1338">
        <v>40</v>
      </c>
      <c r="AC1338">
        <v>21.8431</v>
      </c>
      <c r="AD1338">
        <v>9.7532569999999996</v>
      </c>
      <c r="AE1338">
        <v>-120.793399999999</v>
      </c>
      <c r="AF1338">
        <v>56.937854690168201</v>
      </c>
      <c r="AG1338">
        <v>9.7532569999999996</v>
      </c>
      <c r="AH1338">
        <v>107.878550782497</v>
      </c>
      <c r="AI1338">
        <v>85.428567942275706</v>
      </c>
      <c r="AJ1338">
        <v>62.175092385417997</v>
      </c>
      <c r="AK1338">
        <v>122.371675798604</v>
      </c>
      <c r="AL1338">
        <v>88.096682439985898</v>
      </c>
      <c r="AM1338">
        <v>81.068544879627495</v>
      </c>
      <c r="AN1338">
        <v>1.0000000347903699</v>
      </c>
    </row>
    <row r="1339" spans="1:40" x14ac:dyDescent="0.25">
      <c r="A1339" t="str">
        <f>"20190312160322690"</f>
        <v>20190312160322690</v>
      </c>
      <c r="B1339" t="str">
        <f>"1552377802686169"</f>
        <v>1552377802686169</v>
      </c>
      <c r="C1339" t="s">
        <v>40</v>
      </c>
      <c r="D1339">
        <v>5.6214309999999896</v>
      </c>
      <c r="E1339">
        <v>0.63183049999999996</v>
      </c>
      <c r="F1339" t="s">
        <v>54</v>
      </c>
      <c r="G1339">
        <v>-167.89859999999999</v>
      </c>
      <c r="H1339">
        <v>11.43501</v>
      </c>
      <c r="I1339">
        <v>229.1643</v>
      </c>
      <c r="J1339">
        <v>-189.62350000000001</v>
      </c>
      <c r="K1339">
        <v>1.092781</v>
      </c>
      <c r="L1339">
        <v>353.5421</v>
      </c>
      <c r="M1339">
        <v>0.61064160000000001</v>
      </c>
      <c r="N1339">
        <v>0</v>
      </c>
      <c r="O1339">
        <v>-0.79173870000000002</v>
      </c>
      <c r="P1339">
        <v>0.4816628</v>
      </c>
      <c r="Q1339">
        <v>2.3473580000000001E-2</v>
      </c>
      <c r="R1339">
        <v>-0.8760424</v>
      </c>
      <c r="S1339">
        <v>0.54812620000000001</v>
      </c>
      <c r="T1339">
        <v>0.25952649999999999</v>
      </c>
      <c r="U1339">
        <v>-3.125</v>
      </c>
      <c r="V1339">
        <v>0.15509229999999999</v>
      </c>
      <c r="W1339">
        <v>3.3364119999999997E-2</v>
      </c>
      <c r="X1339">
        <v>0.9873364</v>
      </c>
      <c r="Y1339">
        <v>0.4648989</v>
      </c>
      <c r="Z1339">
        <v>-5.230597E-2</v>
      </c>
      <c r="AA1339">
        <v>0.88381739999999998</v>
      </c>
      <c r="AB1339">
        <v>40</v>
      </c>
      <c r="AC1339">
        <v>21.724900000000002</v>
      </c>
      <c r="AD1339">
        <v>10.342229</v>
      </c>
      <c r="AE1339">
        <v>-124.37779999999999</v>
      </c>
      <c r="AF1339">
        <v>58.3660421443969</v>
      </c>
      <c r="AG1339">
        <v>10.342229</v>
      </c>
      <c r="AH1339">
        <v>111.01091845793501</v>
      </c>
      <c r="AI1339">
        <v>85.2859881475283</v>
      </c>
      <c r="AJ1339">
        <v>62.2660210636109</v>
      </c>
      <c r="AK1339">
        <v>125.845065827645</v>
      </c>
      <c r="AL1339">
        <v>88.088021855379196</v>
      </c>
      <c r="AM1339">
        <v>81.0728397389652</v>
      </c>
      <c r="AN1339">
        <v>0.999999976393812</v>
      </c>
    </row>
    <row r="1340" spans="1:40" x14ac:dyDescent="0.25">
      <c r="A1340" t="str">
        <f>"20190312160322701"</f>
        <v>20190312160322701</v>
      </c>
      <c r="B1340" t="str">
        <f>"1552377802695930"</f>
        <v>1552377802695930</v>
      </c>
      <c r="C1340" t="s">
        <v>40</v>
      </c>
      <c r="D1340">
        <v>5.6217410000000001</v>
      </c>
      <c r="E1340">
        <v>0.63186640000000005</v>
      </c>
      <c r="F1340" t="s">
        <v>54</v>
      </c>
      <c r="G1340">
        <v>-167.89859999999999</v>
      </c>
      <c r="H1340">
        <v>12.09745</v>
      </c>
      <c r="I1340">
        <v>224.04230000000001</v>
      </c>
      <c r="J1340">
        <v>-189.4906</v>
      </c>
      <c r="K1340">
        <v>1.092746</v>
      </c>
      <c r="L1340">
        <v>353.3639</v>
      </c>
      <c r="M1340">
        <v>0.60376629999999998</v>
      </c>
      <c r="N1340">
        <v>0</v>
      </c>
      <c r="O1340">
        <v>-0.79699390000000003</v>
      </c>
      <c r="P1340">
        <v>0.47378359999999897</v>
      </c>
      <c r="Q1340">
        <v>2.3694739999999999E-2</v>
      </c>
      <c r="R1340">
        <v>-0.88032259999999996</v>
      </c>
      <c r="S1340">
        <v>0.52488710000000005</v>
      </c>
      <c r="T1340">
        <v>0.2658799</v>
      </c>
      <c r="U1340">
        <v>-3.128784</v>
      </c>
      <c r="V1340">
        <v>0.15541389999999999</v>
      </c>
      <c r="W1340">
        <v>3.3569059999999998E-2</v>
      </c>
      <c r="X1340">
        <v>0.98727889999999996</v>
      </c>
      <c r="Y1340">
        <v>0.46380890000000002</v>
      </c>
      <c r="Z1340">
        <v>-5.419525E-2</v>
      </c>
      <c r="AA1340">
        <v>0.88427610000000001</v>
      </c>
      <c r="AB1340">
        <v>40</v>
      </c>
      <c r="AC1340">
        <v>21.591999999999999</v>
      </c>
      <c r="AD1340">
        <v>11.004703999999901</v>
      </c>
      <c r="AE1340">
        <v>-129.32159999999999</v>
      </c>
      <c r="AF1340">
        <v>60.453570879761202</v>
      </c>
      <c r="AG1340">
        <v>11.004703999999901</v>
      </c>
      <c r="AH1340">
        <v>115.308217769026</v>
      </c>
      <c r="AI1340">
        <v>85.168553996996295</v>
      </c>
      <c r="AJ1340">
        <v>62.332962529734097</v>
      </c>
      <c r="AK1340">
        <v>130.65880309918299</v>
      </c>
      <c r="AL1340">
        <v>88.076273111145497</v>
      </c>
      <c r="AM1340">
        <v>81.054114833925595</v>
      </c>
      <c r="AN1340">
        <v>0.999999994243851</v>
      </c>
    </row>
    <row r="1341" spans="1:40" x14ac:dyDescent="0.25">
      <c r="A1341" t="str">
        <f>"20190312160322713"</f>
        <v>20190312160322713</v>
      </c>
      <c r="B1341" t="str">
        <f>"1552377802705689"</f>
        <v>1552377802705689</v>
      </c>
      <c r="C1341" t="s">
        <v>40</v>
      </c>
      <c r="D1341">
        <v>5.6235920000000004</v>
      </c>
      <c r="E1341">
        <v>0.63184739999999995</v>
      </c>
      <c r="F1341" t="s">
        <v>55</v>
      </c>
      <c r="G1341">
        <v>-166.81899999999999</v>
      </c>
      <c r="H1341">
        <v>13.521800000000001</v>
      </c>
      <c r="I1341">
        <v>210.34289999999999</v>
      </c>
      <c r="J1341">
        <v>-189.37209999999999</v>
      </c>
      <c r="K1341">
        <v>1.092714</v>
      </c>
      <c r="L1341">
        <v>353.20249999999999</v>
      </c>
      <c r="M1341">
        <v>0.59752590000000005</v>
      </c>
      <c r="N1341">
        <v>0</v>
      </c>
      <c r="O1341">
        <v>-0.80168300000000003</v>
      </c>
      <c r="P1341">
        <v>0.46697149999999998</v>
      </c>
      <c r="Q1341">
        <v>2.378452E-2</v>
      </c>
      <c r="R1341">
        <v>-0.88395239999999997</v>
      </c>
      <c r="S1341">
        <v>0.49667359999999999</v>
      </c>
      <c r="T1341">
        <v>0.27228819999999998</v>
      </c>
      <c r="U1341">
        <v>-3.1332089999999999</v>
      </c>
      <c r="V1341">
        <v>0.1553351</v>
      </c>
      <c r="W1341">
        <v>3.3660080000000002E-2</v>
      </c>
      <c r="X1341">
        <v>0.98728819999999995</v>
      </c>
      <c r="Y1341">
        <v>0.46486369999999999</v>
      </c>
      <c r="Z1341">
        <v>-5.5995940000000001E-2</v>
      </c>
      <c r="AA1341">
        <v>0.8836098</v>
      </c>
      <c r="AB1341">
        <v>40</v>
      </c>
      <c r="AC1341">
        <v>22.553099999999901</v>
      </c>
      <c r="AD1341">
        <v>12.429086</v>
      </c>
      <c r="AE1341">
        <v>-142.8596</v>
      </c>
      <c r="AF1341">
        <v>66.797543475611207</v>
      </c>
      <c r="AG1341">
        <v>12.429086</v>
      </c>
      <c r="AH1341">
        <v>127.082731945853</v>
      </c>
      <c r="AI1341">
        <v>85.052099084745805</v>
      </c>
      <c r="AJ1341">
        <v>62.272574167975897</v>
      </c>
      <c r="AK1341">
        <v>144.105568081157</v>
      </c>
      <c r="AL1341">
        <v>88.071055096213598</v>
      </c>
      <c r="AM1341">
        <v>81.0586602553022</v>
      </c>
      <c r="AN1341">
        <v>0.99999999206842805</v>
      </c>
    </row>
    <row r="1342" spans="1:40" x14ac:dyDescent="0.25">
      <c r="A1342" t="str">
        <f>"20190312160322733"</f>
        <v>20190312160322733</v>
      </c>
      <c r="B1342" t="str">
        <f>"1552377802726186"</f>
        <v>1552377802726186</v>
      </c>
      <c r="C1342" t="s">
        <v>40</v>
      </c>
      <c r="D1342">
        <v>5.6741449999999896</v>
      </c>
      <c r="E1342">
        <v>0.63187590000000005</v>
      </c>
      <c r="F1342" t="s">
        <v>55</v>
      </c>
      <c r="G1342">
        <v>-167.85509999999999</v>
      </c>
      <c r="H1342">
        <v>13.7525</v>
      </c>
      <c r="I1342">
        <v>210.3432</v>
      </c>
      <c r="J1342">
        <v>-189.16239999999999</v>
      </c>
      <c r="K1342">
        <v>1.092662</v>
      </c>
      <c r="L1342">
        <v>352.91019999999997</v>
      </c>
      <c r="M1342">
        <v>0.58619250000000001</v>
      </c>
      <c r="N1342">
        <v>0</v>
      </c>
      <c r="O1342">
        <v>-0.81000660000000002</v>
      </c>
      <c r="P1342">
        <v>0.454258</v>
      </c>
      <c r="Q1342">
        <v>2.3984040000000002E-2</v>
      </c>
      <c r="R1342">
        <v>-0.89054719999999998</v>
      </c>
      <c r="S1342">
        <v>0.47245789999999999</v>
      </c>
      <c r="T1342">
        <v>0.27797620000000001</v>
      </c>
      <c r="U1342">
        <v>-3.1368100000000001</v>
      </c>
      <c r="V1342">
        <v>0.1556062</v>
      </c>
      <c r="W1342">
        <v>3.38445E-2</v>
      </c>
      <c r="X1342">
        <v>0.98723919999999998</v>
      </c>
      <c r="Y1342">
        <v>0.45924320000000002</v>
      </c>
      <c r="Z1342">
        <v>-5.8302229999999997E-2</v>
      </c>
      <c r="AA1342">
        <v>0.8863953</v>
      </c>
      <c r="AB1342">
        <v>40</v>
      </c>
      <c r="AC1342">
        <v>21.307300000000001</v>
      </c>
      <c r="AD1342">
        <v>12.659838000000001</v>
      </c>
      <c r="AE1342">
        <v>-142.56699999999901</v>
      </c>
      <c r="AF1342">
        <v>65.813905138749107</v>
      </c>
      <c r="AG1342">
        <v>12.659838000000001</v>
      </c>
      <c r="AH1342">
        <v>127.007905945742</v>
      </c>
      <c r="AI1342">
        <v>84.942433164976606</v>
      </c>
      <c r="AJ1342">
        <v>62.607375280512002</v>
      </c>
      <c r="AK1342">
        <v>143.60623169111</v>
      </c>
      <c r="AL1342">
        <v>88.060482578279206</v>
      </c>
      <c r="AM1342">
        <v>81.042870729845106</v>
      </c>
      <c r="AN1342">
        <v>0.99999998883766394</v>
      </c>
    </row>
    <row r="1343" spans="1:40" x14ac:dyDescent="0.25">
      <c r="A1343" t="str">
        <f>"20190312160322744"</f>
        <v>20190312160322744</v>
      </c>
      <c r="B1343" t="str">
        <f>"1552377802735946"</f>
        <v>1552377802735946</v>
      </c>
      <c r="C1343" t="s">
        <v>40</v>
      </c>
      <c r="D1343">
        <v>5.5174940000000001</v>
      </c>
      <c r="E1343">
        <v>0.63171519999999903</v>
      </c>
      <c r="F1343" t="s">
        <v>55</v>
      </c>
      <c r="G1343">
        <v>-169.71260000000001</v>
      </c>
      <c r="H1343">
        <v>14.21447</v>
      </c>
      <c r="I1343">
        <v>209.8443</v>
      </c>
      <c r="J1343">
        <v>-189.0403</v>
      </c>
      <c r="K1343">
        <v>1.09263</v>
      </c>
      <c r="L1343">
        <v>352.73649999999998</v>
      </c>
      <c r="M1343">
        <v>0.57943559999999905</v>
      </c>
      <c r="N1343">
        <v>0</v>
      </c>
      <c r="O1343">
        <v>-0.81485369999999901</v>
      </c>
      <c r="P1343">
        <v>0.44679930000000001</v>
      </c>
      <c r="Q1343">
        <v>2.3571330000000001E-2</v>
      </c>
      <c r="R1343">
        <v>-0.8943238</v>
      </c>
      <c r="S1343">
        <v>0.4272919</v>
      </c>
      <c r="T1343">
        <v>0.288273</v>
      </c>
      <c r="U1343">
        <v>-3.143005</v>
      </c>
      <c r="V1343">
        <v>0.15563850000000001</v>
      </c>
      <c r="W1343">
        <v>3.3427989999999998E-2</v>
      </c>
      <c r="X1343">
        <v>0.98724829999999997</v>
      </c>
      <c r="Y1343">
        <v>0.46459610000000001</v>
      </c>
      <c r="Z1343">
        <v>-6.0870859999999999E-2</v>
      </c>
      <c r="AA1343">
        <v>0.88342809999999905</v>
      </c>
      <c r="AB1343">
        <v>40</v>
      </c>
      <c r="AC1343">
        <v>19.3277</v>
      </c>
      <c r="AD1343">
        <v>13.121839999999899</v>
      </c>
      <c r="AE1343">
        <v>-142.89219999999901</v>
      </c>
      <c r="AF1343">
        <v>66.505805705112294</v>
      </c>
      <c r="AG1343">
        <v>13.121839999999899</v>
      </c>
      <c r="AH1343">
        <v>126.604044908202</v>
      </c>
      <c r="AI1343">
        <v>84.757489586941801</v>
      </c>
      <c r="AJ1343">
        <v>62.286805496562302</v>
      </c>
      <c r="AK1343">
        <v>143.60985016561301</v>
      </c>
      <c r="AL1343">
        <v>88.084360356607107</v>
      </c>
      <c r="AM1343">
        <v>81.041122846088399</v>
      </c>
      <c r="AN1343">
        <v>0.99999998952529001</v>
      </c>
    </row>
    <row r="1344" spans="1:40" x14ac:dyDescent="0.25">
      <c r="A1344" t="str">
        <f>"20190312160322758"</f>
        <v>20190312160322758</v>
      </c>
      <c r="B1344" t="str">
        <f>"1552377802745706"</f>
        <v>1552377802745706</v>
      </c>
      <c r="C1344" t="s">
        <v>40</v>
      </c>
      <c r="D1344">
        <v>5.5556419999999997</v>
      </c>
      <c r="E1344">
        <v>0.63158380000000003</v>
      </c>
      <c r="F1344" t="s">
        <v>55</v>
      </c>
      <c r="G1344">
        <v>-168.42080000000001</v>
      </c>
      <c r="H1344">
        <v>15.99385</v>
      </c>
      <c r="I1344">
        <v>191.41540000000001</v>
      </c>
      <c r="J1344">
        <v>-188.91239999999999</v>
      </c>
      <c r="K1344">
        <v>1.0926</v>
      </c>
      <c r="L1344">
        <v>352.54989999999998</v>
      </c>
      <c r="M1344">
        <v>0.57216999999999996</v>
      </c>
      <c r="N1344">
        <v>0</v>
      </c>
      <c r="O1344">
        <v>-0.81997160000000002</v>
      </c>
      <c r="P1344">
        <v>0.43892170000000003</v>
      </c>
      <c r="Q1344">
        <v>2.3387999999999999E-2</v>
      </c>
      <c r="R1344">
        <v>-0.898221099999999</v>
      </c>
      <c r="S1344">
        <v>0.4020996</v>
      </c>
      <c r="T1344">
        <v>0.2905877</v>
      </c>
      <c r="U1344">
        <v>-3.145905</v>
      </c>
      <c r="V1344">
        <v>0.15553839999999999</v>
      </c>
      <c r="W1344">
        <v>3.3247369999999998E-2</v>
      </c>
      <c r="X1344">
        <v>0.98727019999999999</v>
      </c>
      <c r="Y1344">
        <v>0.46379589999999998</v>
      </c>
      <c r="Z1344">
        <v>-6.2018780000000003E-2</v>
      </c>
      <c r="AA1344">
        <v>0.88376869999999996</v>
      </c>
      <c r="AB1344">
        <v>40</v>
      </c>
      <c r="AC1344">
        <v>20.491599999999899</v>
      </c>
      <c r="AD1344">
        <v>14.901249999999999</v>
      </c>
      <c r="AE1344">
        <v>-161.13449999999901</v>
      </c>
      <c r="AF1344">
        <v>74.774607972976597</v>
      </c>
      <c r="AG1344">
        <v>14.901249999999999</v>
      </c>
      <c r="AH1344">
        <v>142.66898820086101</v>
      </c>
      <c r="AI1344">
        <v>84.714592986365105</v>
      </c>
      <c r="AJ1344">
        <v>62.340402079712497</v>
      </c>
      <c r="AK1344">
        <v>161.76442576577901</v>
      </c>
      <c r="AL1344">
        <v>88.094714923918303</v>
      </c>
      <c r="AM1344">
        <v>81.046986827663801</v>
      </c>
      <c r="AN1344">
        <v>1.0000000146472501</v>
      </c>
    </row>
    <row r="1345" spans="1:40" x14ac:dyDescent="0.25">
      <c r="A1345" t="str">
        <f>"20190312160322772"</f>
        <v>20190312160322772</v>
      </c>
      <c r="B1345" t="str">
        <f>"1552377802766202"</f>
        <v>1552377802766202</v>
      </c>
      <c r="C1345" t="s">
        <v>40</v>
      </c>
      <c r="D1345">
        <v>5.5990970000000004</v>
      </c>
      <c r="E1345">
        <v>0.63126329999999997</v>
      </c>
      <c r="F1345" t="s">
        <v>55</v>
      </c>
      <c r="G1345">
        <v>-169.10130000000001</v>
      </c>
      <c r="H1345">
        <v>16.58257</v>
      </c>
      <c r="I1345">
        <v>186.39959999999999</v>
      </c>
      <c r="J1345">
        <v>-188.7741</v>
      </c>
      <c r="K1345">
        <v>1.09257</v>
      </c>
      <c r="L1345">
        <v>352.34539999999998</v>
      </c>
      <c r="M1345">
        <v>0.56418500000000005</v>
      </c>
      <c r="N1345">
        <v>0</v>
      </c>
      <c r="O1345">
        <v>-0.82548589999999999</v>
      </c>
      <c r="P1345">
        <v>0.4299038</v>
      </c>
      <c r="Q1345">
        <v>2.2582519999999998E-2</v>
      </c>
      <c r="R1345">
        <v>-0.90259250000000002</v>
      </c>
      <c r="S1345">
        <v>0.37545780000000001</v>
      </c>
      <c r="T1345">
        <v>0.29356520000000003</v>
      </c>
      <c r="U1345">
        <v>-3.1488649999999998</v>
      </c>
      <c r="V1345">
        <v>0.1558253</v>
      </c>
      <c r="W1345">
        <v>3.2426700000000003E-2</v>
      </c>
      <c r="X1345">
        <v>0.98725220000000002</v>
      </c>
      <c r="Y1345">
        <v>0.46267649999999999</v>
      </c>
      <c r="Z1345">
        <v>-6.3379309999999994E-2</v>
      </c>
      <c r="AA1345">
        <v>0.88425869999999995</v>
      </c>
      <c r="AB1345">
        <v>40</v>
      </c>
      <c r="AC1345">
        <v>19.672799999999899</v>
      </c>
      <c r="AD1345">
        <v>15.49</v>
      </c>
      <c r="AE1345">
        <v>-165.94579999999999</v>
      </c>
      <c r="AF1345">
        <v>76.735561300896407</v>
      </c>
      <c r="AG1345">
        <v>15.49</v>
      </c>
      <c r="AH1345">
        <v>146.84316747750401</v>
      </c>
      <c r="AI1345">
        <v>84.658880081121396</v>
      </c>
      <c r="AJ1345">
        <v>62.409865425232198</v>
      </c>
      <c r="AK1345">
        <v>166.40673755287099</v>
      </c>
      <c r="AL1345">
        <v>88.141761122811005</v>
      </c>
      <c r="AM1345">
        <v>81.030579817912496</v>
      </c>
      <c r="AN1345">
        <v>0.99999996069890895</v>
      </c>
    </row>
    <row r="1346" spans="1:40" x14ac:dyDescent="0.25">
      <c r="A1346" t="str">
        <f>"20190312160322788"</f>
        <v>20190312160322788</v>
      </c>
      <c r="B1346" t="str">
        <f>"1552377802775964"</f>
        <v>1552377802775964</v>
      </c>
      <c r="C1346" t="s">
        <v>40</v>
      </c>
      <c r="D1346">
        <v>5.7411519999999996</v>
      </c>
      <c r="E1346">
        <v>0.63104680000000002</v>
      </c>
      <c r="F1346" t="s">
        <v>49</v>
      </c>
      <c r="G1346">
        <v>-188.67189999999999</v>
      </c>
      <c r="H1346">
        <v>1.180032</v>
      </c>
      <c r="I1346">
        <v>351.41329999999999</v>
      </c>
      <c r="J1346">
        <v>-188.6086</v>
      </c>
      <c r="K1346">
        <v>1.0925320000000001</v>
      </c>
      <c r="L1346">
        <v>352.09480000000002</v>
      </c>
      <c r="M1346">
        <v>0.55438069999999995</v>
      </c>
      <c r="N1346">
        <v>0</v>
      </c>
      <c r="O1346">
        <v>-0.8321016</v>
      </c>
      <c r="P1346">
        <v>0.41943989999999998</v>
      </c>
      <c r="Q1346">
        <v>2.1412219999999999E-2</v>
      </c>
      <c r="R1346">
        <v>-0.90753050000000002</v>
      </c>
      <c r="S1346">
        <v>0.3463135</v>
      </c>
      <c r="T1346">
        <v>0.2956761</v>
      </c>
      <c r="U1346">
        <v>-3.1514280000000001</v>
      </c>
      <c r="V1346">
        <v>0.15553149999999999</v>
      </c>
      <c r="W1346">
        <v>3.1266189999999999E-2</v>
      </c>
      <c r="X1346">
        <v>0.98733599999999999</v>
      </c>
      <c r="Y1346">
        <v>0.46035530000000002</v>
      </c>
      <c r="Z1346">
        <v>-6.4755010000000002E-2</v>
      </c>
      <c r="AA1346">
        <v>0.88536979999999998</v>
      </c>
      <c r="AB1346">
        <v>40</v>
      </c>
      <c r="AC1346">
        <v>-6.3299999999998094E-2</v>
      </c>
      <c r="AD1346">
        <v>8.7499999999999897E-2</v>
      </c>
      <c r="AE1346">
        <v>-0.68150000000002797</v>
      </c>
      <c r="AF1346">
        <v>0.42361686355384598</v>
      </c>
      <c r="AG1346">
        <v>8.7499999999999897E-2</v>
      </c>
      <c r="AH1346">
        <v>0.52350049995133097</v>
      </c>
      <c r="AI1346">
        <v>82.596896363159402</v>
      </c>
      <c r="AJ1346">
        <v>51.0201985992136</v>
      </c>
      <c r="AK1346">
        <v>0.67908782240332599</v>
      </c>
      <c r="AL1346">
        <v>88.208287267621401</v>
      </c>
      <c r="AM1346">
        <v>81.047964543649897</v>
      </c>
      <c r="AN1346">
        <v>0.99999999951268304</v>
      </c>
    </row>
    <row r="1347" spans="1:40" x14ac:dyDescent="0.25">
      <c r="A1347" t="str">
        <f>"20190312160322801"</f>
        <v>20190312160322801</v>
      </c>
      <c r="B1347" t="str">
        <f>"1552377802795988"</f>
        <v>1552377802795988</v>
      </c>
      <c r="C1347" t="s">
        <v>40</v>
      </c>
      <c r="D1347">
        <v>5.7417400000000001</v>
      </c>
      <c r="E1347">
        <v>0.63076969999999899</v>
      </c>
      <c r="F1347" t="s">
        <v>49</v>
      </c>
      <c r="G1347">
        <v>-188.51480000000001</v>
      </c>
      <c r="H1347">
        <v>1.180939</v>
      </c>
      <c r="I1347">
        <v>351.14400000000001</v>
      </c>
      <c r="J1347">
        <v>-188.4693</v>
      </c>
      <c r="K1347">
        <v>1.092508</v>
      </c>
      <c r="L1347">
        <v>351.87740000000002</v>
      </c>
      <c r="M1347">
        <v>0.54586519999999905</v>
      </c>
      <c r="N1347">
        <v>0</v>
      </c>
      <c r="O1347">
        <v>-0.83771249999999997</v>
      </c>
      <c r="P1347">
        <v>0.41009869999999998</v>
      </c>
      <c r="Q1347">
        <v>2.0838519999999999E-2</v>
      </c>
      <c r="R1347">
        <v>-0.91180309999999998</v>
      </c>
      <c r="S1347">
        <v>0.31127929999999998</v>
      </c>
      <c r="T1347">
        <v>0.29335260000000002</v>
      </c>
      <c r="U1347">
        <v>-3.1548769999999999</v>
      </c>
      <c r="V1347">
        <v>0.1555858</v>
      </c>
      <c r="W1347">
        <v>3.0687579999999999E-2</v>
      </c>
      <c r="X1347">
        <v>0.98734560000000005</v>
      </c>
      <c r="Y1347">
        <v>0.46113549999999998</v>
      </c>
      <c r="Z1347">
        <v>-6.4938019999999999E-2</v>
      </c>
      <c r="AA1347">
        <v>0.88495029999999997</v>
      </c>
      <c r="AB1347">
        <v>40</v>
      </c>
      <c r="AC1347">
        <v>-4.5500000000004003E-2</v>
      </c>
      <c r="AD1347">
        <v>8.8430999999999899E-2</v>
      </c>
      <c r="AE1347">
        <v>-0.73340000000001704</v>
      </c>
      <c r="AF1347">
        <v>0.43225211683631098</v>
      </c>
      <c r="AG1347">
        <v>8.8430999999999899E-2</v>
      </c>
      <c r="AH1347">
        <v>0.58120320263120295</v>
      </c>
      <c r="AI1347">
        <v>83.039300749006401</v>
      </c>
      <c r="AJ1347">
        <v>53.3611014486168</v>
      </c>
      <c r="AK1347">
        <v>0.72969794916748898</v>
      </c>
      <c r="AL1347">
        <v>88.241455099404106</v>
      </c>
      <c r="AM1347">
        <v>81.044975462554504</v>
      </c>
      <c r="AN1347">
        <v>1.0000000012836201</v>
      </c>
    </row>
    <row r="1348" spans="1:40" x14ac:dyDescent="0.25">
      <c r="A1348" t="str">
        <f>"20190312160322814"</f>
        <v>20190312160322814</v>
      </c>
      <c r="B1348" t="str">
        <f>"1552377802805748"</f>
        <v>1552377802805748</v>
      </c>
      <c r="C1348" t="s">
        <v>40</v>
      </c>
      <c r="D1348">
        <v>5.8485300000000002</v>
      </c>
      <c r="E1348">
        <v>0.63043769999999999</v>
      </c>
      <c r="F1348" t="s">
        <v>56</v>
      </c>
      <c r="G1348">
        <v>-166.76580000000001</v>
      </c>
      <c r="H1348">
        <v>23.684930000000001</v>
      </c>
      <c r="I1348">
        <v>107.8618</v>
      </c>
      <c r="J1348">
        <v>-188.35560000000001</v>
      </c>
      <c r="K1348">
        <v>1.092489</v>
      </c>
      <c r="L1348">
        <v>351.69690000000003</v>
      </c>
      <c r="M1348">
        <v>0.5387807</v>
      </c>
      <c r="N1348">
        <v>0</v>
      </c>
      <c r="O1348">
        <v>-0.84228630000000004</v>
      </c>
      <c r="P1348">
        <v>0.40279999999999999</v>
      </c>
      <c r="Q1348">
        <v>2.0280380000000001E-2</v>
      </c>
      <c r="R1348">
        <v>-0.91506390000000004</v>
      </c>
      <c r="S1348">
        <v>0.28080749999999999</v>
      </c>
      <c r="T1348">
        <v>0.29230929999999999</v>
      </c>
      <c r="U1348">
        <v>-3.1571660000000001</v>
      </c>
      <c r="V1348">
        <v>0.15513360000000001</v>
      </c>
      <c r="W1348">
        <v>3.014758E-2</v>
      </c>
      <c r="X1348">
        <v>0.98743340000000002</v>
      </c>
      <c r="Y1348">
        <v>0.46218389999999998</v>
      </c>
      <c r="Z1348">
        <v>-6.5267469999999994E-2</v>
      </c>
      <c r="AA1348">
        <v>0.88437900000000003</v>
      </c>
      <c r="AB1348">
        <v>40</v>
      </c>
      <c r="AC1348">
        <v>21.5898</v>
      </c>
      <c r="AD1348">
        <v>22.592441000000001</v>
      </c>
      <c r="AE1348">
        <v>-243.83510000000001</v>
      </c>
      <c r="AF1348">
        <v>112.247949899478</v>
      </c>
      <c r="AG1348">
        <v>22.592441000000001</v>
      </c>
      <c r="AH1348">
        <v>215.20718671584501</v>
      </c>
      <c r="AI1348">
        <v>84.682249274277893</v>
      </c>
      <c r="AJ1348">
        <v>62.454316731234996</v>
      </c>
      <c r="AK1348">
        <v>243.770699349046</v>
      </c>
      <c r="AL1348">
        <v>88.272409167371293</v>
      </c>
      <c r="AM1348">
        <v>81.071363852193997</v>
      </c>
      <c r="AN1348">
        <v>1.0000000149321799</v>
      </c>
    </row>
    <row r="1349" spans="1:40" x14ac:dyDescent="0.25">
      <c r="A1349" t="str">
        <f>"20190312160322833"</f>
        <v>20190312160322833</v>
      </c>
      <c r="B1349" t="str">
        <f>"1552377802826244"</f>
        <v>1552377802826244</v>
      </c>
      <c r="C1349" t="s">
        <v>40</v>
      </c>
      <c r="D1349">
        <v>5.8508199999999997</v>
      </c>
      <c r="E1349">
        <v>0.62975139999999996</v>
      </c>
      <c r="F1349" t="s">
        <v>56</v>
      </c>
      <c r="G1349">
        <v>-168.3082</v>
      </c>
      <c r="H1349">
        <v>23.653020000000001</v>
      </c>
      <c r="I1349">
        <v>106.3168</v>
      </c>
      <c r="J1349">
        <v>-188.179</v>
      </c>
      <c r="K1349">
        <v>1.092463</v>
      </c>
      <c r="L1349">
        <v>351.40980000000002</v>
      </c>
      <c r="M1349">
        <v>0.52749230000000003</v>
      </c>
      <c r="N1349">
        <v>0</v>
      </c>
      <c r="O1349">
        <v>-0.84940139999999997</v>
      </c>
      <c r="P1349">
        <v>0.39085429999999999</v>
      </c>
      <c r="Q1349">
        <v>2.0073500000000001E-2</v>
      </c>
      <c r="R1349">
        <v>-0.92023410000000005</v>
      </c>
      <c r="S1349">
        <v>0.25804139999999998</v>
      </c>
      <c r="T1349">
        <v>0.2903887</v>
      </c>
      <c r="U1349">
        <v>-3.158417</v>
      </c>
      <c r="V1349">
        <v>0.15480559999999999</v>
      </c>
      <c r="W1349">
        <v>2.9952639999999999E-2</v>
      </c>
      <c r="X1349">
        <v>0.9874908</v>
      </c>
      <c r="Y1349">
        <v>0.45671050000000002</v>
      </c>
      <c r="Z1349">
        <v>-6.5913509999999995E-2</v>
      </c>
      <c r="AA1349">
        <v>0.88717019999999902</v>
      </c>
      <c r="AB1349">
        <v>40</v>
      </c>
      <c r="AC1349">
        <v>19.870799999999999</v>
      </c>
      <c r="AD1349">
        <v>22.560556999999999</v>
      </c>
      <c r="AE1349">
        <v>-245.09299999999999</v>
      </c>
      <c r="AF1349">
        <v>111.483085106083</v>
      </c>
      <c r="AG1349">
        <v>22.560556999999999</v>
      </c>
      <c r="AH1349">
        <v>216.86793704667301</v>
      </c>
      <c r="AI1349">
        <v>84.714029614714704</v>
      </c>
      <c r="AJ1349">
        <v>62.794126548374997</v>
      </c>
      <c r="AK1349">
        <v>244.88601249520201</v>
      </c>
      <c r="AL1349">
        <v>88.283583439687106</v>
      </c>
      <c r="AM1349">
        <v>81.090448136888099</v>
      </c>
      <c r="AN1349">
        <v>1.0000000072594799</v>
      </c>
    </row>
    <row r="1350" spans="1:40" x14ac:dyDescent="0.25">
      <c r="A1350" t="str">
        <f>"20190312160322844"</f>
        <v>20190312160322844</v>
      </c>
      <c r="B1350" t="str">
        <f>"1552377802836004"</f>
        <v>1552377802836004</v>
      </c>
      <c r="C1350" t="s">
        <v>40</v>
      </c>
      <c r="D1350">
        <v>5.8904699999999997</v>
      </c>
      <c r="E1350">
        <v>0.62941069999999999</v>
      </c>
      <c r="F1350" t="s">
        <v>56</v>
      </c>
      <c r="G1350">
        <v>-168.86699999999999</v>
      </c>
      <c r="H1350">
        <v>26.417000000000002</v>
      </c>
      <c r="I1350">
        <v>76.746430000000004</v>
      </c>
      <c r="J1350">
        <v>-188.0634</v>
      </c>
      <c r="K1350">
        <v>1.0924480000000001</v>
      </c>
      <c r="L1350">
        <v>351.21769999999998</v>
      </c>
      <c r="M1350">
        <v>0.51992269999999996</v>
      </c>
      <c r="N1350">
        <v>0</v>
      </c>
      <c r="O1350">
        <v>-0.85405580000000003</v>
      </c>
      <c r="P1350">
        <v>0.38299939999999999</v>
      </c>
      <c r="Q1350">
        <v>1.984495E-2</v>
      </c>
      <c r="R1350">
        <v>-0.92353560000000001</v>
      </c>
      <c r="S1350">
        <v>0.22213749999999999</v>
      </c>
      <c r="T1350">
        <v>0.29129699999999997</v>
      </c>
      <c r="U1350">
        <v>-3.159332</v>
      </c>
      <c r="V1350">
        <v>0.15443789999999999</v>
      </c>
      <c r="W1350">
        <v>2.9739109999999999E-2</v>
      </c>
      <c r="X1350">
        <v>0.98755479999999995</v>
      </c>
      <c r="Y1350">
        <v>0.45885039999999999</v>
      </c>
      <c r="Z1350">
        <v>-6.6687850000000007E-2</v>
      </c>
      <c r="AA1350">
        <v>0.8860074</v>
      </c>
      <c r="AB1350">
        <v>40</v>
      </c>
      <c r="AC1350">
        <v>19.196399999999901</v>
      </c>
      <c r="AD1350">
        <v>25.324552000000001</v>
      </c>
      <c r="AE1350">
        <v>-274.47127</v>
      </c>
      <c r="AF1350">
        <v>125.26483771539</v>
      </c>
      <c r="AG1350">
        <v>25.324552000000001</v>
      </c>
      <c r="AH1350">
        <v>242.37399148861701</v>
      </c>
      <c r="AI1350">
        <v>84.696910063955599</v>
      </c>
      <c r="AJ1350">
        <v>62.668967496307403</v>
      </c>
      <c r="AK1350">
        <v>274.00321941902098</v>
      </c>
      <c r="AL1350">
        <v>88.295823215873298</v>
      </c>
      <c r="AM1350">
        <v>81.111838972181005</v>
      </c>
      <c r="AN1350">
        <v>0.99999998131152001</v>
      </c>
    </row>
    <row r="1351" spans="1:40" x14ac:dyDescent="0.25">
      <c r="A1351" t="str">
        <f>"20190312160322856"</f>
        <v>20190312160322856</v>
      </c>
      <c r="B1351" t="str">
        <f>"1552377802845766"</f>
        <v>1552377802845766</v>
      </c>
      <c r="C1351" t="s">
        <v>40</v>
      </c>
      <c r="D1351">
        <v>4.348338</v>
      </c>
      <c r="E1351">
        <v>0.62906169999999995</v>
      </c>
      <c r="F1351" t="s">
        <v>57</v>
      </c>
      <c r="G1351">
        <v>-169.00389999999999</v>
      </c>
      <c r="H1351">
        <v>29.137730000000001</v>
      </c>
      <c r="I1351">
        <v>46.64141</v>
      </c>
      <c r="J1351">
        <v>-187.96129999999999</v>
      </c>
      <c r="K1351">
        <v>1.0924370000000001</v>
      </c>
      <c r="L1351">
        <v>351.04329999999999</v>
      </c>
      <c r="M1351">
        <v>0.51305310000000004</v>
      </c>
      <c r="N1351">
        <v>0</v>
      </c>
      <c r="O1351">
        <v>-0.85819990000000002</v>
      </c>
      <c r="P1351">
        <v>0.37561349999999999</v>
      </c>
      <c r="Q1351">
        <v>1.9403480000000001E-2</v>
      </c>
      <c r="R1351">
        <v>-0.92657350000000005</v>
      </c>
      <c r="S1351">
        <v>0.19775390000000001</v>
      </c>
      <c r="T1351">
        <v>0.29098610000000003</v>
      </c>
      <c r="U1351">
        <v>-3.1601560000000002</v>
      </c>
      <c r="V1351">
        <v>0.1543861</v>
      </c>
      <c r="W1351">
        <v>2.9298230000000001E-2</v>
      </c>
      <c r="X1351">
        <v>0.98757609999999996</v>
      </c>
      <c r="Y1351">
        <v>0.45854699999999998</v>
      </c>
      <c r="Z1351">
        <v>-6.7173559999999993E-2</v>
      </c>
      <c r="AA1351">
        <v>0.88612769999999996</v>
      </c>
      <c r="AB1351">
        <v>40</v>
      </c>
      <c r="AC1351">
        <v>18.9574</v>
      </c>
      <c r="AD1351">
        <v>28.045293000000001</v>
      </c>
      <c r="AE1351">
        <v>-304.40188999999998</v>
      </c>
      <c r="AF1351">
        <v>138.750727102582</v>
      </c>
      <c r="AG1351">
        <v>28.045293000000001</v>
      </c>
      <c r="AH1351">
        <v>268.72808156670402</v>
      </c>
      <c r="AI1351">
        <v>84.702008857279594</v>
      </c>
      <c r="AJ1351">
        <v>62.691612680746402</v>
      </c>
      <c r="AK1351">
        <v>303.73192876856399</v>
      </c>
      <c r="AL1351">
        <v>88.3210948300773</v>
      </c>
      <c r="AM1351">
        <v>81.114961153932995</v>
      </c>
      <c r="AN1351">
        <v>1.0000000037227701</v>
      </c>
    </row>
    <row r="1352" spans="1:40" x14ac:dyDescent="0.25">
      <c r="A1352" t="str">
        <f>"20190312160322868"</f>
        <v>20190312160322868</v>
      </c>
      <c r="B1352" t="str">
        <f>"1552377802855524"</f>
        <v>1552377802855524</v>
      </c>
      <c r="C1352" t="s">
        <v>40</v>
      </c>
      <c r="D1352">
        <v>5.9090199999999999</v>
      </c>
      <c r="E1352">
        <v>0.62872399999999995</v>
      </c>
      <c r="F1352" t="s">
        <v>45</v>
      </c>
      <c r="G1352">
        <v>0</v>
      </c>
      <c r="H1352">
        <v>0</v>
      </c>
      <c r="I1352">
        <v>0</v>
      </c>
      <c r="J1352">
        <v>-187.85480000000001</v>
      </c>
      <c r="K1352">
        <v>1.0924229999999999</v>
      </c>
      <c r="L1352">
        <v>350.85980000000001</v>
      </c>
      <c r="M1352">
        <v>0.50580139999999996</v>
      </c>
      <c r="N1352">
        <v>0</v>
      </c>
      <c r="O1352">
        <v>-0.86249390000000004</v>
      </c>
      <c r="P1352">
        <v>0.3679325</v>
      </c>
      <c r="Q1352">
        <v>1.895353E-2</v>
      </c>
      <c r="R1352">
        <v>-0.92965960000000003</v>
      </c>
      <c r="S1352">
        <v>0.17504879999999901</v>
      </c>
      <c r="T1352">
        <v>0.28956690000000002</v>
      </c>
      <c r="U1352">
        <v>-3.1607669999999999</v>
      </c>
      <c r="V1352">
        <v>0.15422230000000001</v>
      </c>
      <c r="W1352">
        <v>2.8854009999999999E-2</v>
      </c>
      <c r="X1352">
        <v>0.98761480000000001</v>
      </c>
      <c r="Y1352">
        <v>0.4574145</v>
      </c>
      <c r="Z1352">
        <v>-6.7445500000000005E-2</v>
      </c>
      <c r="AA1352">
        <v>0.88669219999999904</v>
      </c>
      <c r="AB1352">
        <v>40</v>
      </c>
      <c r="AC1352">
        <v>0.17504879999999901</v>
      </c>
      <c r="AD1352">
        <v>0.28956690000000002</v>
      </c>
      <c r="AE1352">
        <v>-3.1607669999999999</v>
      </c>
      <c r="AF1352">
        <v>1.4359220465342299</v>
      </c>
      <c r="AG1352">
        <v>0.28956690000000002</v>
      </c>
      <c r="AH1352">
        <v>2.7917022632312798</v>
      </c>
      <c r="AI1352">
        <v>84.730059924174796</v>
      </c>
      <c r="AJ1352">
        <v>62.7808135495237</v>
      </c>
      <c r="AK1352">
        <v>3.1526691294567102</v>
      </c>
      <c r="AL1352">
        <v>88.346557574493005</v>
      </c>
      <c r="AM1352">
        <v>81.124580063413504</v>
      </c>
      <c r="AN1352">
        <v>1.0000000324447</v>
      </c>
    </row>
    <row r="1353" spans="1:40" x14ac:dyDescent="0.25">
      <c r="A1353" t="str">
        <f>"20190312160322879"</f>
        <v>20190312160322879</v>
      </c>
      <c r="B1353" t="str">
        <f>"1552377802876021"</f>
        <v>1552377802876021</v>
      </c>
      <c r="C1353" t="s">
        <v>40</v>
      </c>
      <c r="D1353">
        <v>5.3456000000000001</v>
      </c>
      <c r="E1353">
        <v>0.628486199999999</v>
      </c>
      <c r="F1353" t="s">
        <v>49</v>
      </c>
      <c r="G1353">
        <v>-187.80840000000001</v>
      </c>
      <c r="H1353">
        <v>1.1805559999999999</v>
      </c>
      <c r="I1353">
        <v>349.8877</v>
      </c>
      <c r="J1353">
        <v>-187.7492</v>
      </c>
      <c r="K1353">
        <v>1.092406</v>
      </c>
      <c r="L1353">
        <v>350.6721</v>
      </c>
      <c r="M1353">
        <v>0.49839630000000001</v>
      </c>
      <c r="N1353">
        <v>0</v>
      </c>
      <c r="O1353">
        <v>-0.86679399999999995</v>
      </c>
      <c r="P1353">
        <v>0.36001270000000002</v>
      </c>
      <c r="Q1353">
        <v>1.8318069999999999E-2</v>
      </c>
      <c r="R1353">
        <v>-0.93276789999999998</v>
      </c>
      <c r="S1353">
        <v>0.15124509999999999</v>
      </c>
      <c r="T1353">
        <v>0.28656130000000002</v>
      </c>
      <c r="U1353">
        <v>-3.1612239999999998</v>
      </c>
      <c r="V1353">
        <v>0.1541447</v>
      </c>
      <c r="W1353">
        <v>2.822055E-2</v>
      </c>
      <c r="X1353">
        <v>0.9876452</v>
      </c>
      <c r="Y1353">
        <v>0.45646829999999999</v>
      </c>
      <c r="Z1353">
        <v>-6.734076E-2</v>
      </c>
      <c r="AA1353">
        <v>0.88718770000000002</v>
      </c>
      <c r="AB1353">
        <v>39</v>
      </c>
      <c r="AC1353">
        <v>-5.9200000000004097E-2</v>
      </c>
      <c r="AD1353">
        <v>8.8149999999999895E-2</v>
      </c>
      <c r="AE1353">
        <v>-0.78440000000000498</v>
      </c>
      <c r="AF1353">
        <v>0.43683033071524102</v>
      </c>
      <c r="AG1353">
        <v>8.8149999999999895E-2</v>
      </c>
      <c r="AH1353">
        <v>0.64242845719967301</v>
      </c>
      <c r="AI1353">
        <v>83.5264845491469</v>
      </c>
      <c r="AJ1353">
        <v>55.785579828325602</v>
      </c>
      <c r="AK1353">
        <v>0.78186027073431696</v>
      </c>
      <c r="AL1353">
        <v>88.382866917196395</v>
      </c>
      <c r="AM1353">
        <v>81.129243570642203</v>
      </c>
      <c r="AN1353">
        <v>1.0000000145317101</v>
      </c>
    </row>
    <row r="1354" spans="1:40" x14ac:dyDescent="0.25">
      <c r="A1354" t="str">
        <f>"20190312160322892"</f>
        <v>20190312160322892</v>
      </c>
      <c r="B1354" t="str">
        <f>"1552377802885780"</f>
        <v>1552377802885780</v>
      </c>
      <c r="C1354" t="s">
        <v>40</v>
      </c>
      <c r="D1354">
        <v>5.7944180000000003</v>
      </c>
      <c r="E1354">
        <v>0.62844469999999997</v>
      </c>
      <c r="F1354" t="s">
        <v>45</v>
      </c>
      <c r="G1354">
        <v>0</v>
      </c>
      <c r="H1354">
        <v>0</v>
      </c>
      <c r="I1354">
        <v>0</v>
      </c>
      <c r="J1354">
        <v>-187.64619999999999</v>
      </c>
      <c r="K1354">
        <v>1.0923959999999999</v>
      </c>
      <c r="L1354">
        <v>350.48680000000002</v>
      </c>
      <c r="M1354">
        <v>0.49105949999999998</v>
      </c>
      <c r="N1354">
        <v>0</v>
      </c>
      <c r="O1354">
        <v>-0.87097139999999995</v>
      </c>
      <c r="P1354">
        <v>0.35204210000000002</v>
      </c>
      <c r="Q1354">
        <v>1.7792530000000001E-2</v>
      </c>
      <c r="R1354">
        <v>-0.93581519999999996</v>
      </c>
      <c r="S1354">
        <v>0.1262665</v>
      </c>
      <c r="T1354">
        <v>0.28638350000000001</v>
      </c>
      <c r="U1354">
        <v>-3.161835</v>
      </c>
      <c r="V1354">
        <v>0.1542145</v>
      </c>
      <c r="W1354">
        <v>2.7691460000000001E-2</v>
      </c>
      <c r="X1354">
        <v>0.98764929999999995</v>
      </c>
      <c r="Y1354">
        <v>0.45596209999999998</v>
      </c>
      <c r="Z1354">
        <v>-6.7858399999999999E-2</v>
      </c>
      <c r="AA1354">
        <v>0.88740849999999905</v>
      </c>
      <c r="AB1354">
        <v>39</v>
      </c>
      <c r="AC1354">
        <v>0.1262665</v>
      </c>
      <c r="AD1354">
        <v>0.28638350000000001</v>
      </c>
      <c r="AE1354">
        <v>-3.161835</v>
      </c>
      <c r="AF1354">
        <v>1.4311467472108701</v>
      </c>
      <c r="AG1354">
        <v>0.28638350000000001</v>
      </c>
      <c r="AH1354">
        <v>2.7933716713119798</v>
      </c>
      <c r="AI1354">
        <v>84.786526063256801</v>
      </c>
      <c r="AJ1354">
        <v>62.872272209326198</v>
      </c>
      <c r="AK1354">
        <v>3.15168555144907</v>
      </c>
      <c r="AL1354">
        <v>88.413193425561104</v>
      </c>
      <c r="AM1354">
        <v>81.125326884530494</v>
      </c>
      <c r="AN1354">
        <v>1.00000003437883</v>
      </c>
    </row>
    <row r="1355" spans="1:40" x14ac:dyDescent="0.25">
      <c r="A1355" t="str">
        <f>"20190312160322911"</f>
        <v>20190312160322911</v>
      </c>
      <c r="B1355" t="str">
        <f>"1552377802906276"</f>
        <v>1552377802906276</v>
      </c>
      <c r="C1355" t="s">
        <v>40</v>
      </c>
      <c r="D1355">
        <v>5.4466460000000003</v>
      </c>
      <c r="E1355">
        <v>0.62821380000000004</v>
      </c>
      <c r="F1355" t="s">
        <v>45</v>
      </c>
      <c r="G1355">
        <v>0</v>
      </c>
      <c r="H1355">
        <v>0</v>
      </c>
      <c r="I1355">
        <v>0</v>
      </c>
      <c r="J1355">
        <v>-187.4906</v>
      </c>
      <c r="K1355">
        <v>1.0923860000000001</v>
      </c>
      <c r="L1355">
        <v>350.19920000000002</v>
      </c>
      <c r="M1355">
        <v>0.47966940000000002</v>
      </c>
      <c r="N1355">
        <v>0</v>
      </c>
      <c r="O1355">
        <v>-0.87729550000000001</v>
      </c>
      <c r="P1355">
        <v>0.33986660000000002</v>
      </c>
      <c r="Q1355">
        <v>1.7182360000000001E-2</v>
      </c>
      <c r="R1355">
        <v>-0.94031670000000001</v>
      </c>
      <c r="S1355">
        <v>9.9502560000000004E-2</v>
      </c>
      <c r="T1355">
        <v>0.28710599999999997</v>
      </c>
      <c r="U1355">
        <v>-3.1628720000000001</v>
      </c>
      <c r="V1355">
        <v>0.1541457</v>
      </c>
      <c r="W1355">
        <v>2.7082769999999999E-2</v>
      </c>
      <c r="X1355">
        <v>0.98767689999999997</v>
      </c>
      <c r="Y1355">
        <v>0.45187880000000002</v>
      </c>
      <c r="Z1355">
        <v>-6.8950300000000006E-2</v>
      </c>
      <c r="AA1355">
        <v>0.8894107</v>
      </c>
      <c r="AB1355">
        <v>39</v>
      </c>
      <c r="AC1355">
        <v>9.9502560000000004E-2</v>
      </c>
      <c r="AD1355">
        <v>0.28710599999999997</v>
      </c>
      <c r="AE1355">
        <v>-3.1628720000000001</v>
      </c>
      <c r="AF1355">
        <v>1.41835719362459</v>
      </c>
      <c r="AG1355">
        <v>0.28710599999999997</v>
      </c>
      <c r="AH1355">
        <v>2.7998351232946499</v>
      </c>
      <c r="AI1355">
        <v>84.773368895347801</v>
      </c>
      <c r="AJ1355">
        <v>63.1338661120692</v>
      </c>
      <c r="AK1355">
        <v>3.1517048880847001</v>
      </c>
      <c r="AL1355">
        <v>88.448081851012503</v>
      </c>
      <c r="AM1355">
        <v>81.129467123089199</v>
      </c>
      <c r="AN1355">
        <v>1.0000000160264799</v>
      </c>
    </row>
    <row r="1356" spans="1:40" x14ac:dyDescent="0.25">
      <c r="A1356" t="str">
        <f>"20190312160322921"</f>
        <v>20190312160322921</v>
      </c>
      <c r="B1356" t="str">
        <f>"1552377802916036"</f>
        <v>1552377802916036</v>
      </c>
      <c r="C1356" t="s">
        <v>40</v>
      </c>
      <c r="D1356">
        <v>5.8750220000000004</v>
      </c>
      <c r="E1356">
        <v>0.62800789999999995</v>
      </c>
      <c r="F1356" t="s">
        <v>49</v>
      </c>
      <c r="G1356">
        <v>-187.47229999999999</v>
      </c>
      <c r="H1356">
        <v>1.179846</v>
      </c>
      <c r="I1356">
        <v>349.2441</v>
      </c>
      <c r="J1356">
        <v>-187.39349999999999</v>
      </c>
      <c r="K1356">
        <v>1.0923780000000001</v>
      </c>
      <c r="L1356">
        <v>350.0145</v>
      </c>
      <c r="M1356">
        <v>0.47234759999999998</v>
      </c>
      <c r="N1356">
        <v>0</v>
      </c>
      <c r="O1356">
        <v>-0.88125940000000003</v>
      </c>
      <c r="P1356">
        <v>0.33200420000000003</v>
      </c>
      <c r="Q1356">
        <v>1.6961170000000001E-2</v>
      </c>
      <c r="R1356">
        <v>-0.94312569999999996</v>
      </c>
      <c r="S1356">
        <v>6.0424800000000001E-2</v>
      </c>
      <c r="T1356">
        <v>0.2896745</v>
      </c>
      <c r="U1356">
        <v>-3.1632690000000001</v>
      </c>
      <c r="V1356">
        <v>0.15416050000000001</v>
      </c>
      <c r="W1356">
        <v>2.6860169999999999E-2</v>
      </c>
      <c r="X1356">
        <v>0.98768069999999997</v>
      </c>
      <c r="Y1356">
        <v>0.45542959999999899</v>
      </c>
      <c r="Z1356">
        <v>-7.0004510000000006E-2</v>
      </c>
      <c r="AA1356">
        <v>0.88751519999999995</v>
      </c>
      <c r="AB1356">
        <v>39</v>
      </c>
      <c r="AC1356">
        <v>-7.8800000000000994E-2</v>
      </c>
      <c r="AD1356">
        <v>8.7467999999999796E-2</v>
      </c>
      <c r="AE1356">
        <v>-0.77039999999999498</v>
      </c>
      <c r="AF1356">
        <v>0.42793907674022902</v>
      </c>
      <c r="AG1356">
        <v>8.7467999999999796E-2</v>
      </c>
      <c r="AH1356">
        <v>0.63370366792574295</v>
      </c>
      <c r="AI1356">
        <v>83.474448269254395</v>
      </c>
      <c r="AJ1356">
        <v>55.968905892845498</v>
      </c>
      <c r="AK1356">
        <v>0.76965111782405704</v>
      </c>
      <c r="AL1356">
        <v>88.460840580326305</v>
      </c>
      <c r="AM1356">
        <v>81.128662571237996</v>
      </c>
      <c r="AN1356">
        <v>1.00000004682258</v>
      </c>
    </row>
    <row r="1357" spans="1:40" x14ac:dyDescent="0.25">
      <c r="A1357" t="str">
        <f>"20190312160322933"</f>
        <v>20190312160322933</v>
      </c>
      <c r="B1357" t="str">
        <f>"1552377802925795"</f>
        <v>1552377802925795</v>
      </c>
      <c r="C1357" t="s">
        <v>40</v>
      </c>
      <c r="D1357">
        <v>5.7532100000000002</v>
      </c>
      <c r="E1357">
        <v>0.62783619999999996</v>
      </c>
      <c r="F1357" t="s">
        <v>58</v>
      </c>
      <c r="G1357">
        <v>-182.5334</v>
      </c>
      <c r="H1357">
        <v>40.749229999999997</v>
      </c>
      <c r="I1357">
        <v>-81.828669999999903</v>
      </c>
      <c r="J1357">
        <v>-187.2971</v>
      </c>
      <c r="K1357">
        <v>1.0923719999999999</v>
      </c>
      <c r="L1357">
        <v>349.82760000000002</v>
      </c>
      <c r="M1357">
        <v>0.46492929999999999</v>
      </c>
      <c r="N1357">
        <v>0</v>
      </c>
      <c r="O1357">
        <v>-0.88519530000000002</v>
      </c>
      <c r="P1357">
        <v>0.32434540000000001</v>
      </c>
      <c r="Q1357">
        <v>1.685656E-2</v>
      </c>
      <c r="R1357">
        <v>-0.94578839999999997</v>
      </c>
      <c r="S1357">
        <v>3.5598749999999998E-2</v>
      </c>
      <c r="T1357">
        <v>0.29047410000000001</v>
      </c>
      <c r="U1357">
        <v>-3.163116</v>
      </c>
      <c r="V1357">
        <v>0.15387129999999999</v>
      </c>
      <c r="W1357">
        <v>2.6768170000000001E-2</v>
      </c>
      <c r="X1357">
        <v>0.98772819999999995</v>
      </c>
      <c r="Y1357">
        <v>0.45491769999999998</v>
      </c>
      <c r="Z1357">
        <v>-7.0743390000000003E-2</v>
      </c>
      <c r="AA1357">
        <v>0.88771919999999904</v>
      </c>
      <c r="AB1357">
        <v>39</v>
      </c>
      <c r="AC1357">
        <v>4.7637</v>
      </c>
      <c r="AD1357">
        <v>39.656858</v>
      </c>
      <c r="AE1357">
        <v>-431.65627000000001</v>
      </c>
      <c r="AF1357">
        <v>194.85493075356601</v>
      </c>
      <c r="AG1357">
        <v>39.656858</v>
      </c>
      <c r="AH1357">
        <v>381.15013422399699</v>
      </c>
      <c r="AI1357">
        <v>84.707164703503295</v>
      </c>
      <c r="AJ1357">
        <v>62.922573009779498</v>
      </c>
      <c r="AK1357">
        <v>429.90293700366902</v>
      </c>
      <c r="AL1357">
        <v>88.466113546144896</v>
      </c>
      <c r="AM1357">
        <v>81.145460013664604</v>
      </c>
      <c r="AN1357">
        <v>0.99999995448203804</v>
      </c>
    </row>
    <row r="1358" spans="1:40" x14ac:dyDescent="0.25">
      <c r="A1358" t="str">
        <f>"20190312160322947"</f>
        <v>20190312160322947</v>
      </c>
      <c r="B1358" t="str">
        <f>"1552377802935556"</f>
        <v>1552377802935556</v>
      </c>
      <c r="C1358" t="s">
        <v>40</v>
      </c>
      <c r="D1358">
        <v>5.8105820000000001</v>
      </c>
      <c r="E1358">
        <v>0.62761809999999996</v>
      </c>
      <c r="F1358" t="s">
        <v>58</v>
      </c>
      <c r="G1358">
        <v>-185.7561</v>
      </c>
      <c r="H1358">
        <v>40.793869999999998</v>
      </c>
      <c r="I1358">
        <v>-81.828689999999995</v>
      </c>
      <c r="J1358">
        <v>-187.1901</v>
      </c>
      <c r="K1358">
        <v>1.0923700000000001</v>
      </c>
      <c r="L1358">
        <v>349.61680000000001</v>
      </c>
      <c r="M1358">
        <v>0.45654719999999999</v>
      </c>
      <c r="N1358">
        <v>0</v>
      </c>
      <c r="O1358">
        <v>-0.88954750000000005</v>
      </c>
      <c r="P1358">
        <v>0.31564769999999998</v>
      </c>
      <c r="Q1358">
        <v>1.685561E-2</v>
      </c>
      <c r="R1358">
        <v>-0.94872670000000003</v>
      </c>
      <c r="S1358">
        <v>1.1291499999999999E-2</v>
      </c>
      <c r="T1358">
        <v>0.29091009999999901</v>
      </c>
      <c r="U1358">
        <v>-3.1629330000000002</v>
      </c>
      <c r="V1358">
        <v>0.15361089999999999</v>
      </c>
      <c r="W1358">
        <v>2.6778659999999999E-2</v>
      </c>
      <c r="X1358">
        <v>0.98776850000000005</v>
      </c>
      <c r="Y1358">
        <v>0.4533295</v>
      </c>
      <c r="Z1358">
        <v>-7.1478760000000002E-2</v>
      </c>
      <c r="AA1358">
        <v>0.88847240000000005</v>
      </c>
      <c r="AB1358">
        <v>39</v>
      </c>
      <c r="AC1358">
        <v>1.4339999999999899</v>
      </c>
      <c r="AD1358">
        <v>39.701500000000003</v>
      </c>
      <c r="AE1358">
        <v>-431.44549000000001</v>
      </c>
      <c r="AF1358">
        <v>194.082632142427</v>
      </c>
      <c r="AG1358">
        <v>39.701500000000003</v>
      </c>
      <c r="AH1358">
        <v>381.26942365057101</v>
      </c>
      <c r="AI1358">
        <v>84.698227138065405</v>
      </c>
      <c r="AJ1358">
        <v>63.021937271674403</v>
      </c>
      <c r="AK1358">
        <v>429.663415492198</v>
      </c>
      <c r="AL1358">
        <v>88.4655123790983</v>
      </c>
      <c r="AM1358">
        <v>81.160562860195597</v>
      </c>
      <c r="AN1358">
        <v>1.0000000074112201</v>
      </c>
    </row>
    <row r="1359" spans="1:40" x14ac:dyDescent="0.25">
      <c r="A1359" t="str">
        <f>"20190312160322960"</f>
        <v>20190312160322960</v>
      </c>
      <c r="B1359" t="str">
        <f>"1552377802956051"</f>
        <v>1552377802956051</v>
      </c>
      <c r="C1359" t="s">
        <v>40</v>
      </c>
      <c r="D1359">
        <v>6.1657570000000002</v>
      </c>
      <c r="E1359">
        <v>0.62736119999999995</v>
      </c>
      <c r="F1359" t="s">
        <v>58</v>
      </c>
      <c r="G1359">
        <v>-189.40520000000001</v>
      </c>
      <c r="H1359">
        <v>40.805410000000002</v>
      </c>
      <c r="I1359">
        <v>-81.828699999999998</v>
      </c>
      <c r="J1359">
        <v>-187.08629999999999</v>
      </c>
      <c r="K1359">
        <v>1.092368</v>
      </c>
      <c r="L1359">
        <v>349.40499999999997</v>
      </c>
      <c r="M1359">
        <v>0.44813239999999999</v>
      </c>
      <c r="N1359">
        <v>0</v>
      </c>
      <c r="O1359">
        <v>-0.8938161</v>
      </c>
      <c r="P1359">
        <v>0.3070659</v>
      </c>
      <c r="Q1359">
        <v>1.661607E-2</v>
      </c>
      <c r="R1359">
        <v>-0.95154300000000003</v>
      </c>
      <c r="S1359">
        <v>-1.6235349999999999E-2</v>
      </c>
      <c r="T1359">
        <v>0.29108070000000003</v>
      </c>
      <c r="U1359">
        <v>-3.1623230000000002</v>
      </c>
      <c r="V1359">
        <v>0.15320339999999999</v>
      </c>
      <c r="W1359">
        <v>2.6557009999999999E-2</v>
      </c>
      <c r="X1359">
        <v>0.98783779999999999</v>
      </c>
      <c r="Y1359">
        <v>0.45265339999999998</v>
      </c>
      <c r="Z1359">
        <v>-7.212528E-2</v>
      </c>
      <c r="AA1359">
        <v>0.88876469999999896</v>
      </c>
      <c r="AB1359">
        <v>39</v>
      </c>
      <c r="AC1359">
        <v>-2.31890000000001</v>
      </c>
      <c r="AD1359">
        <v>39.713042000000002</v>
      </c>
      <c r="AE1359">
        <v>-431.2337</v>
      </c>
      <c r="AF1359">
        <v>193.70609910758699</v>
      </c>
      <c r="AG1359">
        <v>39.713042000000002</v>
      </c>
      <c r="AH1359">
        <v>381.223363921866</v>
      </c>
      <c r="AI1359">
        <v>84.694083489566395</v>
      </c>
      <c r="AJ1359">
        <v>63.064098972013703</v>
      </c>
      <c r="AK1359">
        <v>429.45364329142097</v>
      </c>
      <c r="AL1359">
        <v>88.478216553083797</v>
      </c>
      <c r="AM1359">
        <v>81.184252083014698</v>
      </c>
      <c r="AN1359">
        <v>1.00000003783026</v>
      </c>
    </row>
    <row r="1360" spans="1:40" x14ac:dyDescent="0.25">
      <c r="A1360" t="str">
        <f>"20190312160322979"</f>
        <v>20190312160322979</v>
      </c>
      <c r="B1360" t="str">
        <f>"1552377802975572"</f>
        <v>1552377802975572</v>
      </c>
      <c r="C1360" t="s">
        <v>40</v>
      </c>
      <c r="D1360">
        <v>5.9608939999999997</v>
      </c>
      <c r="E1360">
        <v>0.60644940000000003</v>
      </c>
      <c r="F1360" t="s">
        <v>58</v>
      </c>
      <c r="G1360">
        <v>-192.89330000000001</v>
      </c>
      <c r="H1360">
        <v>40.738430000000001</v>
      </c>
      <c r="I1360">
        <v>-81.828669999999903</v>
      </c>
      <c r="J1360">
        <v>-186.94540000000001</v>
      </c>
      <c r="K1360">
        <v>1.09236</v>
      </c>
      <c r="L1360">
        <v>349.11059999999998</v>
      </c>
      <c r="M1360">
        <v>0.43641069999999998</v>
      </c>
      <c r="N1360">
        <v>0</v>
      </c>
      <c r="O1360">
        <v>-0.89959739999999999</v>
      </c>
      <c r="P1360">
        <v>0.29633389999999998</v>
      </c>
      <c r="Q1360">
        <v>1.6323870000000001E-2</v>
      </c>
      <c r="R1360">
        <v>-0.95494500000000004</v>
      </c>
      <c r="S1360">
        <v>-4.2572020000000002E-2</v>
      </c>
      <c r="T1360">
        <v>0.29065390000000002</v>
      </c>
      <c r="U1360">
        <v>-3.1614689999999999</v>
      </c>
      <c r="V1360">
        <v>0.15140309999999901</v>
      </c>
      <c r="W1360">
        <v>2.6344889999999999E-2</v>
      </c>
      <c r="X1360">
        <v>0.98812100000000003</v>
      </c>
      <c r="Y1360">
        <v>0.44840239999999998</v>
      </c>
      <c r="Z1360">
        <v>-7.2919579999999998E-2</v>
      </c>
      <c r="AA1360">
        <v>0.89085249999999905</v>
      </c>
      <c r="AB1360">
        <v>39</v>
      </c>
      <c r="AC1360">
        <v>-5.9478999999999997</v>
      </c>
      <c r="AD1360">
        <v>39.646070000000002</v>
      </c>
      <c r="AE1360">
        <v>-430.93927000000002</v>
      </c>
      <c r="AF1360">
        <v>191.82013333560101</v>
      </c>
      <c r="AG1360">
        <v>39.646070000000002</v>
      </c>
      <c r="AH1360">
        <v>381.89645753061302</v>
      </c>
      <c r="AI1360">
        <v>84.699903831462706</v>
      </c>
      <c r="AJ1360">
        <v>63.330395213802298</v>
      </c>
      <c r="AK1360">
        <v>429.19888011709003</v>
      </c>
      <c r="AL1360">
        <v>88.490374377381201</v>
      </c>
      <c r="AM1360">
        <v>81.288706185894398</v>
      </c>
      <c r="AN1360">
        <v>1.00000003127986</v>
      </c>
    </row>
    <row r="1361" spans="1:40" x14ac:dyDescent="0.25">
      <c r="A1361" t="str">
        <f>"20190312160323001"</f>
        <v>20190312160323001</v>
      </c>
      <c r="B1361" t="str">
        <f>"1552377802996068"</f>
        <v>1552377802996068</v>
      </c>
      <c r="C1361" t="s">
        <v>40</v>
      </c>
      <c r="D1361">
        <v>5.9716570000000004</v>
      </c>
      <c r="E1361">
        <v>0.60626539999999995</v>
      </c>
      <c r="F1361" t="s">
        <v>59</v>
      </c>
      <c r="G1361">
        <v>-183.55179999999999</v>
      </c>
      <c r="H1361" s="1">
        <v>3.0329229999999998E-6</v>
      </c>
      <c r="I1361">
        <v>212.3613</v>
      </c>
      <c r="J1361">
        <v>-186.77529999999999</v>
      </c>
      <c r="K1361">
        <v>1.092363</v>
      </c>
      <c r="L1361">
        <v>348.74149999999997</v>
      </c>
      <c r="M1361">
        <v>0.42168810000000001</v>
      </c>
      <c r="N1361">
        <v>0</v>
      </c>
      <c r="O1361">
        <v>-0.90659199999999995</v>
      </c>
      <c r="P1361">
        <v>0.282464099999999</v>
      </c>
      <c r="Q1361">
        <v>1.6550289999999999E-2</v>
      </c>
      <c r="R1361">
        <v>-0.95913499999999996</v>
      </c>
      <c r="S1361">
        <v>7.7377319999999999E-2</v>
      </c>
      <c r="T1361">
        <v>-2.4906520000000001E-2</v>
      </c>
      <c r="U1361">
        <v>-3.1179809999999999</v>
      </c>
      <c r="V1361">
        <v>0.14962300000000001</v>
      </c>
      <c r="W1361">
        <v>2.665091E-2</v>
      </c>
      <c r="X1361">
        <v>0.98838389999999998</v>
      </c>
      <c r="Y1361">
        <v>0.3991208</v>
      </c>
      <c r="Z1361">
        <v>6.5392019999999896E-3</v>
      </c>
      <c r="AA1361">
        <v>0.91687510000000005</v>
      </c>
      <c r="AB1361">
        <v>39</v>
      </c>
      <c r="AC1361">
        <v>3.2235</v>
      </c>
      <c r="AD1361">
        <v>-1.0923599670769999</v>
      </c>
      <c r="AE1361">
        <v>-136.38019999999901</v>
      </c>
      <c r="AF1361">
        <v>54.591381076308402</v>
      </c>
      <c r="AG1361">
        <v>-1.0923599670769999</v>
      </c>
      <c r="AH1361">
        <v>125.009378629709</v>
      </c>
      <c r="AI1361">
        <v>90.458811577885697</v>
      </c>
      <c r="AJ1361">
        <v>66.409188869777296</v>
      </c>
      <c r="AK1361">
        <v>136.41391748462601</v>
      </c>
      <c r="AL1361">
        <v>88.472834552691793</v>
      </c>
      <c r="AM1361">
        <v>81.391839898102205</v>
      </c>
      <c r="AN1361">
        <v>1.00000002345601</v>
      </c>
    </row>
    <row r="1362" spans="1:40" x14ac:dyDescent="0.25">
      <c r="A1362" t="str">
        <f>"20190312160323023"</f>
        <v>20190312160323023</v>
      </c>
      <c r="B1362" t="str">
        <f>"1552377803015587"</f>
        <v>1552377803015587</v>
      </c>
      <c r="C1362" t="s">
        <v>40</v>
      </c>
      <c r="D1362">
        <v>6.2889339999999896</v>
      </c>
      <c r="E1362">
        <v>0.58862029999999999</v>
      </c>
      <c r="F1362" t="s">
        <v>59</v>
      </c>
      <c r="G1362">
        <v>-186.08869999999999</v>
      </c>
      <c r="H1362" s="1">
        <v>3.3701690000000001E-6</v>
      </c>
      <c r="I1362">
        <v>283.65109999999999</v>
      </c>
      <c r="J1362">
        <v>-186.61959999999999</v>
      </c>
      <c r="K1362">
        <v>1.0923719999999999</v>
      </c>
      <c r="L1362">
        <v>348.38900000000001</v>
      </c>
      <c r="M1362">
        <v>0.40761330000000001</v>
      </c>
      <c r="N1362">
        <v>0</v>
      </c>
      <c r="O1362">
        <v>-0.91300680000000001</v>
      </c>
      <c r="P1362">
        <v>0.26982899999999999</v>
      </c>
      <c r="Q1362">
        <v>1.6562759999999999E-2</v>
      </c>
      <c r="R1362">
        <v>-0.9627656</v>
      </c>
      <c r="S1362">
        <v>3.2897950000000002E-2</v>
      </c>
      <c r="T1362">
        <v>-5.2344559999999998E-2</v>
      </c>
      <c r="U1362">
        <v>-3.119049</v>
      </c>
      <c r="V1362">
        <v>0.1473294</v>
      </c>
      <c r="W1362">
        <v>2.676531E-2</v>
      </c>
      <c r="X1362">
        <v>0.98872519999999997</v>
      </c>
      <c r="Y1362">
        <v>0.39801360000000002</v>
      </c>
      <c r="Z1362">
        <v>1.390153E-2</v>
      </c>
      <c r="AA1362">
        <v>0.91727420000000004</v>
      </c>
      <c r="AB1362">
        <v>39</v>
      </c>
      <c r="AC1362">
        <v>0.53090000000000204</v>
      </c>
      <c r="AD1362">
        <v>-1.09236862983099</v>
      </c>
      <c r="AE1362">
        <v>-64.737899999999996</v>
      </c>
      <c r="AF1362">
        <v>25.899437503914701</v>
      </c>
      <c r="AG1362">
        <v>-1.09236862983099</v>
      </c>
      <c r="AH1362">
        <v>59.313667636971402</v>
      </c>
      <c r="AI1362">
        <v>90.966943360157899</v>
      </c>
      <c r="AJ1362">
        <v>66.411411245965297</v>
      </c>
      <c r="AK1362">
        <v>64.730868222137502</v>
      </c>
      <c r="AL1362">
        <v>88.466277429451793</v>
      </c>
      <c r="AM1362">
        <v>81.524747801998103</v>
      </c>
      <c r="AN1362">
        <v>0.99999992751939504</v>
      </c>
    </row>
    <row r="1363" spans="1:40" x14ac:dyDescent="0.25">
      <c r="A1363" t="str">
        <f>"20190312160323037"</f>
        <v>20190312160323037</v>
      </c>
      <c r="B1363" t="str">
        <f>"1552377803025349"</f>
        <v>1552377803025349</v>
      </c>
      <c r="C1363" t="s">
        <v>40</v>
      </c>
      <c r="D1363">
        <v>6.3075850000000004</v>
      </c>
      <c r="E1363">
        <v>0.58770069999999996</v>
      </c>
      <c r="F1363" t="s">
        <v>45</v>
      </c>
      <c r="G1363">
        <v>0</v>
      </c>
      <c r="H1363">
        <v>0</v>
      </c>
      <c r="I1363">
        <v>0</v>
      </c>
      <c r="J1363">
        <v>-186.52610000000001</v>
      </c>
      <c r="K1363">
        <v>1.0923769999999999</v>
      </c>
      <c r="L1363">
        <v>348.16919999999999</v>
      </c>
      <c r="M1363">
        <v>0.3988312</v>
      </c>
      <c r="N1363">
        <v>0</v>
      </c>
      <c r="O1363">
        <v>-0.91687730000000001</v>
      </c>
      <c r="P1363">
        <v>0.261739</v>
      </c>
      <c r="Q1363">
        <v>1.6545020000000001E-2</v>
      </c>
      <c r="R1363">
        <v>-0.96499699999999999</v>
      </c>
      <c r="S1363">
        <v>0.1306763</v>
      </c>
      <c r="T1363">
        <v>0.19377159999999999</v>
      </c>
      <c r="U1363">
        <v>-3.076111</v>
      </c>
      <c r="V1363">
        <v>0.146137299999999</v>
      </c>
      <c r="W1363">
        <v>2.6801539999999999E-2</v>
      </c>
      <c r="X1363">
        <v>0.98890120000000004</v>
      </c>
      <c r="Y1363">
        <v>0.35964269999999998</v>
      </c>
      <c r="Z1363">
        <v>-5.2942089999999997E-2</v>
      </c>
      <c r="AA1363">
        <v>0.93158700000000005</v>
      </c>
      <c r="AB1363">
        <v>39</v>
      </c>
      <c r="AC1363">
        <v>0.1306763</v>
      </c>
      <c r="AD1363">
        <v>0.19377159999999999</v>
      </c>
      <c r="AE1363">
        <v>-3.076111</v>
      </c>
      <c r="AF1363">
        <v>1.1028160795584301</v>
      </c>
      <c r="AG1363">
        <v>0.19377159999999999</v>
      </c>
      <c r="AH1363">
        <v>2.86158711696195</v>
      </c>
      <c r="AI1363">
        <v>86.384577296143902</v>
      </c>
      <c r="AJ1363">
        <v>68.924027580867403</v>
      </c>
      <c r="AK1363">
        <v>3.0728539773737702</v>
      </c>
      <c r="AL1363">
        <v>88.4642009821671</v>
      </c>
      <c r="AM1363">
        <v>81.593815250935293</v>
      </c>
      <c r="AN1363">
        <v>1.0000000081795499</v>
      </c>
    </row>
    <row r="1364" spans="1:40" x14ac:dyDescent="0.25">
      <c r="A1364" t="str">
        <f>"20190312160323050"</f>
        <v>20190312160323050</v>
      </c>
      <c r="B1364" t="str">
        <f>"1552377803045844"</f>
        <v>1552377803045844</v>
      </c>
      <c r="C1364" t="s">
        <v>40</v>
      </c>
      <c r="D1364">
        <v>5.9714689999999999</v>
      </c>
      <c r="E1364">
        <v>0.58691850000000001</v>
      </c>
      <c r="F1364" t="s">
        <v>45</v>
      </c>
      <c r="G1364">
        <v>0</v>
      </c>
      <c r="H1364">
        <v>0</v>
      </c>
      <c r="I1364">
        <v>0</v>
      </c>
      <c r="J1364">
        <v>-186.4391</v>
      </c>
      <c r="K1364">
        <v>1.092384</v>
      </c>
      <c r="L1364">
        <v>347.96069999999997</v>
      </c>
      <c r="M1364">
        <v>0.39048450000000001</v>
      </c>
      <c r="N1364">
        <v>0</v>
      </c>
      <c r="O1364">
        <v>-0.92046280000000003</v>
      </c>
      <c r="P1364">
        <v>0.25425560000000003</v>
      </c>
      <c r="Q1364">
        <v>1.6405619999999999E-2</v>
      </c>
      <c r="R1364">
        <v>-0.96699789999999997</v>
      </c>
      <c r="S1364">
        <v>0.1118011</v>
      </c>
      <c r="T1364">
        <v>0.18246029999999999</v>
      </c>
      <c r="U1364">
        <v>-3.0754090000000001</v>
      </c>
      <c r="V1364">
        <v>0.14480870000000001</v>
      </c>
      <c r="W1364">
        <v>2.6721459999999999E-2</v>
      </c>
      <c r="X1364">
        <v>0.98909879999999994</v>
      </c>
      <c r="Y1364">
        <v>0.3568614</v>
      </c>
      <c r="Z1364">
        <v>-5.0225110000000003E-2</v>
      </c>
      <c r="AA1364">
        <v>0.93280620000000003</v>
      </c>
      <c r="AB1364">
        <v>39</v>
      </c>
      <c r="AC1364">
        <v>0.1118011</v>
      </c>
      <c r="AD1364">
        <v>0.18246029999999999</v>
      </c>
      <c r="AE1364">
        <v>-3.0754090000000001</v>
      </c>
      <c r="AF1364">
        <v>1.0942923776940801</v>
      </c>
      <c r="AG1364">
        <v>0.18246029999999999</v>
      </c>
      <c r="AH1364">
        <v>2.8647740089643099</v>
      </c>
      <c r="AI1364">
        <v>86.595027191382798</v>
      </c>
      <c r="AJ1364">
        <v>69.094038355762393</v>
      </c>
      <c r="AK1364">
        <v>3.07208360748742</v>
      </c>
      <c r="AL1364">
        <v>88.468790884154103</v>
      </c>
      <c r="AM1364">
        <v>81.6708032209972</v>
      </c>
      <c r="AN1364">
        <v>1.00000001609083</v>
      </c>
    </row>
    <row r="1365" spans="1:40" x14ac:dyDescent="0.25">
      <c r="A1365" t="str">
        <f>"20190312160323066"</f>
        <v>20190312160323066</v>
      </c>
      <c r="B1365" t="str">
        <f>"1552377803055604"</f>
        <v>1552377803055604</v>
      </c>
      <c r="C1365" t="s">
        <v>40</v>
      </c>
      <c r="D1365">
        <v>6.1887379999999999</v>
      </c>
      <c r="E1365">
        <v>0.59333249999999904</v>
      </c>
      <c r="F1365" t="s">
        <v>44</v>
      </c>
      <c r="G1365">
        <v>-182.09809999999999</v>
      </c>
      <c r="H1365">
        <v>9.133756</v>
      </c>
      <c r="I1365">
        <v>205.79390000000001</v>
      </c>
      <c r="J1365">
        <v>-186.32390000000001</v>
      </c>
      <c r="K1365">
        <v>1.0923909999999999</v>
      </c>
      <c r="L1365">
        <v>347.67489999999998</v>
      </c>
      <c r="M1365">
        <v>0.37904100000000002</v>
      </c>
      <c r="N1365">
        <v>0</v>
      </c>
      <c r="O1365">
        <v>-0.92523409999999995</v>
      </c>
      <c r="P1365">
        <v>0.24364359999999999</v>
      </c>
      <c r="Q1365">
        <v>1.532351E-2</v>
      </c>
      <c r="R1365">
        <v>-0.9697441</v>
      </c>
      <c r="S1365">
        <v>9.3887330000000005E-2</v>
      </c>
      <c r="T1365">
        <v>0.17391799999999999</v>
      </c>
      <c r="U1365">
        <v>-3.0747680000000002</v>
      </c>
      <c r="V1365">
        <v>0.143345</v>
      </c>
      <c r="W1365">
        <v>2.570567E-2</v>
      </c>
      <c r="X1365">
        <v>0.98933890000000002</v>
      </c>
      <c r="Y1365">
        <v>0.35069159999999999</v>
      </c>
      <c r="Z1365">
        <v>-4.836149E-2</v>
      </c>
      <c r="AA1365">
        <v>0.93524149999999995</v>
      </c>
      <c r="AB1365">
        <v>39</v>
      </c>
      <c r="AC1365">
        <v>4.22580000000002</v>
      </c>
      <c r="AD1365">
        <v>8.0413649999999901</v>
      </c>
      <c r="AE1365">
        <v>-141.88099999999901</v>
      </c>
      <c r="AF1365">
        <v>49.716030634325698</v>
      </c>
      <c r="AG1365">
        <v>8.0413649999999901</v>
      </c>
      <c r="AH1365">
        <v>132.46767411545</v>
      </c>
      <c r="AI1365">
        <v>86.7471781564888</v>
      </c>
      <c r="AJ1365">
        <v>69.428540725190601</v>
      </c>
      <c r="AK1365">
        <v>141.71814258821499</v>
      </c>
      <c r="AL1365">
        <v>88.527011370228294</v>
      </c>
      <c r="AM1365">
        <v>81.755803387755293</v>
      </c>
      <c r="AN1365">
        <v>1.0000000147741701</v>
      </c>
    </row>
    <row r="1366" spans="1:40" x14ac:dyDescent="0.25">
      <c r="A1366" t="str">
        <f>"20190312160323078"</f>
        <v>20190312160323078</v>
      </c>
      <c r="B1366" t="str">
        <f>"1552377803066340"</f>
        <v>1552377803066340</v>
      </c>
      <c r="C1366" t="s">
        <v>40</v>
      </c>
      <c r="D1366">
        <v>6.3510839999999904</v>
      </c>
      <c r="E1366">
        <v>0.59426950000000001</v>
      </c>
      <c r="F1366" t="s">
        <v>41</v>
      </c>
      <c r="G1366">
        <v>-186.2433</v>
      </c>
      <c r="H1366" s="1">
        <v>-1.6064199999999999E-6</v>
      </c>
      <c r="I1366">
        <v>311.22480000000002</v>
      </c>
      <c r="J1366">
        <v>-186.2509</v>
      </c>
      <c r="K1366">
        <v>1.0923929999999999</v>
      </c>
      <c r="L1366">
        <v>347.48630000000003</v>
      </c>
      <c r="M1366">
        <v>0.37149759999999998</v>
      </c>
      <c r="N1366">
        <v>0</v>
      </c>
      <c r="O1366">
        <v>-0.92828880000000003</v>
      </c>
      <c r="P1366">
        <v>0.2364919</v>
      </c>
      <c r="Q1366">
        <v>1.418551E-2</v>
      </c>
      <c r="R1366">
        <v>-0.97153009999999995</v>
      </c>
      <c r="S1366">
        <v>6.8359379999999997E-3</v>
      </c>
      <c r="T1366">
        <v>-9.2705490000000002E-2</v>
      </c>
      <c r="U1366">
        <v>-3.0933229999999998</v>
      </c>
      <c r="V1366">
        <v>0.14254120000000001</v>
      </c>
      <c r="W1366">
        <v>2.4604049999999999E-2</v>
      </c>
      <c r="X1366">
        <v>0.989483</v>
      </c>
      <c r="Y1366">
        <v>0.36948979999999998</v>
      </c>
      <c r="Z1366">
        <v>2.5680410000000001E-2</v>
      </c>
      <c r="AA1366">
        <v>0.92887989999999998</v>
      </c>
      <c r="AB1366">
        <v>39</v>
      </c>
      <c r="AC1366">
        <v>7.5999999999964898E-3</v>
      </c>
      <c r="AD1366">
        <v>-1.0923946064200001</v>
      </c>
      <c r="AE1366">
        <v>-36.261499999999998</v>
      </c>
      <c r="AF1366">
        <v>13.4536097059655</v>
      </c>
      <c r="AG1366">
        <v>-1.0923946064200001</v>
      </c>
      <c r="AH1366">
        <v>33.637975845711502</v>
      </c>
      <c r="AI1366">
        <v>91.727105233356099</v>
      </c>
      <c r="AJ1366">
        <v>68.200911500516497</v>
      </c>
      <c r="AK1366">
        <v>36.245087378750497</v>
      </c>
      <c r="AL1366">
        <v>88.590149479302895</v>
      </c>
      <c r="AM1366">
        <v>81.802579866027102</v>
      </c>
      <c r="AN1366">
        <v>0.999999980131421</v>
      </c>
    </row>
    <row r="1367" spans="1:40" x14ac:dyDescent="0.25">
      <c r="A1367" t="str">
        <f>"20190312160323092"</f>
        <v>20190312160323092</v>
      </c>
      <c r="B1367" t="str">
        <f>"1552377803085860"</f>
        <v>1552377803085860</v>
      </c>
      <c r="C1367" t="s">
        <v>40</v>
      </c>
      <c r="D1367">
        <v>5.8144460000000002</v>
      </c>
      <c r="E1367">
        <v>0.58967119999999995</v>
      </c>
      <c r="F1367" t="s">
        <v>59</v>
      </c>
      <c r="G1367">
        <v>-186.73179999999999</v>
      </c>
      <c r="H1367" s="1">
        <v>3.7196060000000001E-6</v>
      </c>
      <c r="I1367">
        <v>280.959</v>
      </c>
      <c r="J1367">
        <v>-186.16489999999999</v>
      </c>
      <c r="K1367">
        <v>1.0924020000000001</v>
      </c>
      <c r="L1367">
        <v>347.26080000000002</v>
      </c>
      <c r="M1367">
        <v>0.36246099999999998</v>
      </c>
      <c r="N1367">
        <v>0</v>
      </c>
      <c r="O1367">
        <v>-0.93185439999999997</v>
      </c>
      <c r="P1367">
        <v>0.22717609999999999</v>
      </c>
      <c r="Q1367">
        <v>1.3089470000000001E-2</v>
      </c>
      <c r="R1367">
        <v>-0.97376620000000003</v>
      </c>
      <c r="S1367">
        <v>-2.2369380000000001E-2</v>
      </c>
      <c r="T1367">
        <v>-5.0804849999999999E-2</v>
      </c>
      <c r="U1367">
        <v>-3.094055</v>
      </c>
      <c r="V1367">
        <v>0.14236409999999999</v>
      </c>
      <c r="W1367">
        <v>2.3517650000000001E-2</v>
      </c>
      <c r="X1367">
        <v>0.9895349</v>
      </c>
      <c r="Y1367">
        <v>0.3692357</v>
      </c>
      <c r="Z1367">
        <v>1.416186E-2</v>
      </c>
      <c r="AA1367">
        <v>0.9292279</v>
      </c>
      <c r="AB1367">
        <v>39</v>
      </c>
      <c r="AC1367">
        <v>-0.56690000000000396</v>
      </c>
      <c r="AD1367">
        <v>-1.092398280394</v>
      </c>
      <c r="AE1367">
        <v>-66.3018</v>
      </c>
      <c r="AF1367">
        <v>24.5567281425087</v>
      </c>
      <c r="AG1367">
        <v>-1.092398280394</v>
      </c>
      <c r="AH1367">
        <v>61.569728480772099</v>
      </c>
      <c r="AI1367">
        <v>90.944150016211097</v>
      </c>
      <c r="AJ1367">
        <v>68.255702354576798</v>
      </c>
      <c r="AK1367">
        <v>66.295231323709004</v>
      </c>
      <c r="AL1367">
        <v>88.652413627281106</v>
      </c>
      <c r="AM1367">
        <v>81.813050164698694</v>
      </c>
      <c r="AN1367">
        <v>0.99999996757416998</v>
      </c>
    </row>
    <row r="1368" spans="1:40" x14ac:dyDescent="0.25">
      <c r="A1368" t="str">
        <f>"20190312160323105"</f>
        <v>20190312160323105</v>
      </c>
      <c r="B1368" t="str">
        <f>"1552377803095620"</f>
        <v>1552377803095620</v>
      </c>
      <c r="C1368" t="s">
        <v>40</v>
      </c>
      <c r="D1368">
        <v>6.0293010000000002</v>
      </c>
      <c r="E1368">
        <v>0.58725550000000004</v>
      </c>
      <c r="F1368" t="s">
        <v>60</v>
      </c>
      <c r="G1368">
        <v>-187.31299999999999</v>
      </c>
      <c r="H1368" s="1">
        <v>-1.6436269999999999E-6</v>
      </c>
      <c r="I1368">
        <v>121.94280000000001</v>
      </c>
      <c r="J1368">
        <v>-186.08</v>
      </c>
      <c r="K1368">
        <v>1.0924130000000001</v>
      </c>
      <c r="L1368">
        <v>347.03129999999999</v>
      </c>
      <c r="M1368">
        <v>0.35326350000000001</v>
      </c>
      <c r="N1368">
        <v>0</v>
      </c>
      <c r="O1368">
        <v>-0.93537990000000004</v>
      </c>
      <c r="P1368">
        <v>0.21776239999999999</v>
      </c>
      <c r="Q1368">
        <v>1.209702E-2</v>
      </c>
      <c r="R1368">
        <v>-0.9759274</v>
      </c>
      <c r="S1368">
        <v>-1.5716549999999999E-2</v>
      </c>
      <c r="T1368">
        <v>-1.4955400000000001E-2</v>
      </c>
      <c r="U1368">
        <v>-3.084686</v>
      </c>
      <c r="V1368">
        <v>0.14213429999999999</v>
      </c>
      <c r="W1368">
        <v>2.253753E-2</v>
      </c>
      <c r="X1368">
        <v>0.98959079999999999</v>
      </c>
      <c r="Y1368">
        <v>0.35807270000000002</v>
      </c>
      <c r="Z1368">
        <v>4.2182890000000001E-3</v>
      </c>
      <c r="AA1368">
        <v>0.93368419999999996</v>
      </c>
      <c r="AB1368">
        <v>39</v>
      </c>
      <c r="AC1368">
        <v>-1.2329999999999699</v>
      </c>
      <c r="AD1368">
        <v>-1.0924146436269999</v>
      </c>
      <c r="AE1368">
        <v>-225.08850000000001</v>
      </c>
      <c r="AF1368">
        <v>80.677840454151905</v>
      </c>
      <c r="AG1368">
        <v>-1.0924146436269999</v>
      </c>
      <c r="AH1368">
        <v>210.13103655985299</v>
      </c>
      <c r="AI1368">
        <v>90.278071924081502</v>
      </c>
      <c r="AJ1368">
        <v>68.996175643315595</v>
      </c>
      <c r="AK1368">
        <v>225.08922638771</v>
      </c>
      <c r="AL1368">
        <v>88.708585340591299</v>
      </c>
      <c r="AM1368">
        <v>81.826542071762603</v>
      </c>
      <c r="AN1368">
        <v>1.00000002546981</v>
      </c>
    </row>
    <row r="1369" spans="1:40" x14ac:dyDescent="0.25">
      <c r="A1369" t="str">
        <f>"20190312160323123"</f>
        <v>20190312160323123</v>
      </c>
      <c r="B1369" t="str">
        <f>"1552377803116116"</f>
        <v>1552377803116116</v>
      </c>
      <c r="C1369" t="s">
        <v>40</v>
      </c>
      <c r="D1369">
        <v>5.9172459999999996</v>
      </c>
      <c r="E1369">
        <v>0.58578409999999903</v>
      </c>
      <c r="F1369" t="s">
        <v>58</v>
      </c>
      <c r="G1369">
        <v>-189.7534</v>
      </c>
      <c r="H1369">
        <v>0.76834199999999997</v>
      </c>
      <c r="I1369">
        <v>-81.81541</v>
      </c>
      <c r="J1369">
        <v>-185.97120000000001</v>
      </c>
      <c r="K1369">
        <v>1.0924309999999999</v>
      </c>
      <c r="L1369">
        <v>346.72500000000002</v>
      </c>
      <c r="M1369">
        <v>0.34100770000000002</v>
      </c>
      <c r="N1369">
        <v>0</v>
      </c>
      <c r="O1369">
        <v>-0.939917</v>
      </c>
      <c r="P1369">
        <v>0.2051135</v>
      </c>
      <c r="Q1369">
        <v>1.0628530000000001E-2</v>
      </c>
      <c r="R1369">
        <v>-0.97868060000000001</v>
      </c>
      <c r="S1369">
        <v>-2.6382450000000002E-2</v>
      </c>
      <c r="T1369">
        <v>-2.3274419999999999E-3</v>
      </c>
      <c r="U1369">
        <v>-3.0799560000000001</v>
      </c>
      <c r="V1369">
        <v>0.14195150000000001</v>
      </c>
      <c r="W1369">
        <v>2.1080189999999999E-2</v>
      </c>
      <c r="X1369">
        <v>0.98964909999999995</v>
      </c>
      <c r="Y1369">
        <v>0.34909309999999899</v>
      </c>
      <c r="Z1369">
        <v>6.6389589999999896E-4</v>
      </c>
      <c r="AA1369">
        <v>0.93708780000000003</v>
      </c>
      <c r="AB1369">
        <v>39</v>
      </c>
      <c r="AC1369">
        <v>-3.78219999999998</v>
      </c>
      <c r="AD1369">
        <v>-0.32408900000000002</v>
      </c>
      <c r="AE1369">
        <v>-428.54040999999899</v>
      </c>
      <c r="AF1369">
        <v>149.710643996969</v>
      </c>
      <c r="AG1369">
        <v>-0.32408900000000002</v>
      </c>
      <c r="AH1369">
        <v>401.55659756333301</v>
      </c>
      <c r="AI1369">
        <v>90.043328972877006</v>
      </c>
      <c r="AJ1369">
        <v>69.553248974152197</v>
      </c>
      <c r="AK1369">
        <v>428.556977549436</v>
      </c>
      <c r="AL1369">
        <v>88.792104576876</v>
      </c>
      <c r="AM1369">
        <v>81.837386659023906</v>
      </c>
      <c r="AN1369">
        <v>0.99999997194674695</v>
      </c>
    </row>
    <row r="1370" spans="1:40" x14ac:dyDescent="0.25">
      <c r="A1370" t="str">
        <f>"20190312160323145"</f>
        <v>20190312160323145</v>
      </c>
      <c r="B1370" t="str">
        <f>"1552377803135636"</f>
        <v>1552377803135636</v>
      </c>
      <c r="C1370" t="s">
        <v>40</v>
      </c>
      <c r="D1370">
        <v>5.9531599999999996</v>
      </c>
      <c r="E1370">
        <v>0.58658779999999999</v>
      </c>
      <c r="F1370" t="s">
        <v>58</v>
      </c>
      <c r="G1370">
        <v>-193.5968</v>
      </c>
      <c r="H1370">
        <v>1.562052</v>
      </c>
      <c r="I1370">
        <v>-81.81568</v>
      </c>
      <c r="J1370">
        <v>-185.84829999999999</v>
      </c>
      <c r="K1370">
        <v>1.0924659999999999</v>
      </c>
      <c r="L1370">
        <v>346.36380000000003</v>
      </c>
      <c r="M1370">
        <v>0.32656370000000001</v>
      </c>
      <c r="N1370">
        <v>0</v>
      </c>
      <c r="O1370">
        <v>-0.94503300000000001</v>
      </c>
      <c r="P1370">
        <v>0.18979280000000001</v>
      </c>
      <c r="Q1370">
        <v>9.9657070000000007E-3</v>
      </c>
      <c r="R1370">
        <v>-0.98177389999999998</v>
      </c>
      <c r="S1370">
        <v>-5.4748539999999998E-2</v>
      </c>
      <c r="T1370">
        <v>3.3717159999999999E-3</v>
      </c>
      <c r="U1370">
        <v>-3.0767519999999999</v>
      </c>
      <c r="V1370">
        <v>0.14222499999999999</v>
      </c>
      <c r="W1370">
        <v>2.0410379999999999E-2</v>
      </c>
      <c r="X1370">
        <v>0.9896239</v>
      </c>
      <c r="Y1370">
        <v>0.3433717</v>
      </c>
      <c r="Z1370">
        <v>-9.722404E-4</v>
      </c>
      <c r="AA1370">
        <v>0.93919909999999995</v>
      </c>
      <c r="AB1370">
        <v>39</v>
      </c>
      <c r="AC1370">
        <v>-7.7484999999999999</v>
      </c>
      <c r="AD1370">
        <v>0.469586</v>
      </c>
      <c r="AE1370">
        <v>-428.17947999999899</v>
      </c>
      <c r="AF1370">
        <v>147.17006594758499</v>
      </c>
      <c r="AG1370">
        <v>0.469586</v>
      </c>
      <c r="AH1370">
        <v>402.16692680163999</v>
      </c>
      <c r="AI1370">
        <v>89.937173745219198</v>
      </c>
      <c r="AJ1370">
        <v>69.900267611716203</v>
      </c>
      <c r="AK1370">
        <v>428.24932671879799</v>
      </c>
      <c r="AL1370">
        <v>88.830490157030994</v>
      </c>
      <c r="AM1370">
        <v>81.821666741082794</v>
      </c>
      <c r="AN1370">
        <v>0.99999999884397694</v>
      </c>
    </row>
    <row r="1371" spans="1:40" x14ac:dyDescent="0.25">
      <c r="A1371" t="str">
        <f>"20190312160323159"</f>
        <v>20190312160323159</v>
      </c>
      <c r="B1371" t="str">
        <f>"1552377803146374"</f>
        <v>1552377803146374</v>
      </c>
      <c r="C1371" t="s">
        <v>40</v>
      </c>
      <c r="D1371">
        <v>6.1971629999999998</v>
      </c>
      <c r="E1371">
        <v>0.58596210000000004</v>
      </c>
      <c r="F1371" t="s">
        <v>58</v>
      </c>
      <c r="G1371">
        <v>-201.00239999999999</v>
      </c>
      <c r="H1371">
        <v>3.619596</v>
      </c>
      <c r="I1371">
        <v>-81.816369999999907</v>
      </c>
      <c r="J1371">
        <v>-185.77719999999999</v>
      </c>
      <c r="K1371">
        <v>1.0924940000000001</v>
      </c>
      <c r="L1371">
        <v>346.14429999999999</v>
      </c>
      <c r="M1371">
        <v>0.3178087</v>
      </c>
      <c r="N1371">
        <v>0</v>
      </c>
      <c r="O1371">
        <v>-0.94801310000000005</v>
      </c>
      <c r="P1371">
        <v>0.1807308</v>
      </c>
      <c r="Q1371">
        <v>9.3339849999999995E-3</v>
      </c>
      <c r="R1371">
        <v>-0.98348860000000005</v>
      </c>
      <c r="S1371">
        <v>-0.1088867</v>
      </c>
      <c r="T1371">
        <v>1.8158199999999999E-2</v>
      </c>
      <c r="U1371">
        <v>-3.0765989999999999</v>
      </c>
      <c r="V1371">
        <v>0.1421722</v>
      </c>
      <c r="W1371">
        <v>1.978394E-2</v>
      </c>
      <c r="X1371">
        <v>0.98964419999999997</v>
      </c>
      <c r="Y1371">
        <v>0.35118749999999999</v>
      </c>
      <c r="Z1371">
        <v>-5.2523379999999996E-3</v>
      </c>
      <c r="AA1371">
        <v>0.93629039999999997</v>
      </c>
      <c r="AB1371">
        <v>39</v>
      </c>
      <c r="AC1371">
        <v>-15.225199999999999</v>
      </c>
      <c r="AD1371">
        <v>2.5271020000000002</v>
      </c>
      <c r="AE1371">
        <v>-427.96066999999999</v>
      </c>
      <c r="AF1371">
        <v>150.45829664443801</v>
      </c>
      <c r="AG1371">
        <v>2.5271020000000002</v>
      </c>
      <c r="AH1371">
        <v>400.91354545696498</v>
      </c>
      <c r="AI1371">
        <v>89.661875246539097</v>
      </c>
      <c r="AJ1371">
        <v>69.429457540319504</v>
      </c>
      <c r="AK1371">
        <v>428.22395566401701</v>
      </c>
      <c r="AL1371">
        <v>88.866389767090297</v>
      </c>
      <c r="AM1371">
        <v>81.824827267666393</v>
      </c>
      <c r="AN1371">
        <v>0.99999999066420098</v>
      </c>
    </row>
    <row r="1372" spans="1:40" x14ac:dyDescent="0.25">
      <c r="A1372" t="str">
        <f>"20190312160323180"</f>
        <v>20190312160323180</v>
      </c>
      <c r="B1372" t="str">
        <f>"1552377803175652"</f>
        <v>1552377803175652</v>
      </c>
      <c r="C1372" t="s">
        <v>40</v>
      </c>
      <c r="D1372">
        <v>6.0853719999999996</v>
      </c>
      <c r="E1372">
        <v>0.58882869999999998</v>
      </c>
      <c r="F1372" t="s">
        <v>58</v>
      </c>
      <c r="G1372">
        <v>-204.15100000000001</v>
      </c>
      <c r="H1372">
        <v>4.0238490000000002</v>
      </c>
      <c r="I1372">
        <v>-80.949969999999993</v>
      </c>
      <c r="J1372">
        <v>-185.66470000000001</v>
      </c>
      <c r="K1372">
        <v>1.092551</v>
      </c>
      <c r="L1372">
        <v>345.78399999999999</v>
      </c>
      <c r="M1372">
        <v>0.30346689999999998</v>
      </c>
      <c r="N1372">
        <v>0</v>
      </c>
      <c r="O1372">
        <v>-0.95270089999999996</v>
      </c>
      <c r="P1372">
        <v>0.1653355</v>
      </c>
      <c r="Q1372">
        <v>8.2924479999999991E-3</v>
      </c>
      <c r="R1372">
        <v>-0.98620269999999999</v>
      </c>
      <c r="S1372">
        <v>-0.1322632</v>
      </c>
      <c r="T1372">
        <v>2.110136E-2</v>
      </c>
      <c r="U1372">
        <v>-3.0744319999999998</v>
      </c>
      <c r="V1372">
        <v>0.1426645</v>
      </c>
      <c r="W1372">
        <v>1.8726509999999998E-2</v>
      </c>
      <c r="X1372">
        <v>0.98959390000000003</v>
      </c>
      <c r="Y1372">
        <v>0.34417940000000002</v>
      </c>
      <c r="Z1372">
        <v>-6.1641150000000004E-3</v>
      </c>
      <c r="AA1372">
        <v>0.93888369999999999</v>
      </c>
      <c r="AB1372">
        <v>39</v>
      </c>
      <c r="AC1372">
        <v>-18.4862999999999</v>
      </c>
      <c r="AD1372">
        <v>2.931298</v>
      </c>
      <c r="AE1372">
        <v>-426.73397</v>
      </c>
      <c r="AF1372">
        <v>147.12439897159501</v>
      </c>
      <c r="AG1372">
        <v>2.931298</v>
      </c>
      <c r="AH1372">
        <v>400.97487685007098</v>
      </c>
      <c r="AI1372">
        <v>89.606783355046602</v>
      </c>
      <c r="AJ1372">
        <v>69.851066946864805</v>
      </c>
      <c r="AK1372">
        <v>427.12414254599099</v>
      </c>
      <c r="AL1372">
        <v>88.926987253070706</v>
      </c>
      <c r="AM1372">
        <v>81.796492405477196</v>
      </c>
      <c r="AN1372">
        <v>0.99999996432711902</v>
      </c>
    </row>
    <row r="1373" spans="1:40" x14ac:dyDescent="0.25">
      <c r="A1373" t="str">
        <f>"20190312160323203"</f>
        <v>20190312160323203</v>
      </c>
      <c r="B1373" t="str">
        <f>"1552377803196148"</f>
        <v>1552377803196148</v>
      </c>
      <c r="C1373" t="s">
        <v>40</v>
      </c>
      <c r="D1373">
        <v>6.1701350000000001</v>
      </c>
      <c r="E1373">
        <v>0.59064450000000002</v>
      </c>
      <c r="F1373" t="s">
        <v>61</v>
      </c>
      <c r="G1373">
        <v>-210.8536</v>
      </c>
      <c r="H1373">
        <v>8.8965639999999997</v>
      </c>
      <c r="I1373">
        <v>-37.535870000000003</v>
      </c>
      <c r="J1373">
        <v>-185.55189999999999</v>
      </c>
      <c r="K1373">
        <v>1.0926229999999999</v>
      </c>
      <c r="L1373">
        <v>345.40260000000001</v>
      </c>
      <c r="M1373">
        <v>0.28834399999999999</v>
      </c>
      <c r="N1373">
        <v>0</v>
      </c>
      <c r="O1373">
        <v>-0.95738679999999998</v>
      </c>
      <c r="P1373">
        <v>0.14972009999999999</v>
      </c>
      <c r="Q1373">
        <v>7.5626690000000002E-3</v>
      </c>
      <c r="R1373">
        <v>-0.98869960000000001</v>
      </c>
      <c r="S1373">
        <v>-0.2020874</v>
      </c>
      <c r="T1373">
        <v>6.2610390000000002E-2</v>
      </c>
      <c r="U1373">
        <v>-3.0753170000000001</v>
      </c>
      <c r="V1373">
        <v>0.14261170000000001</v>
      </c>
      <c r="W1373">
        <v>1.800423E-2</v>
      </c>
      <c r="X1373">
        <v>0.98961500000000002</v>
      </c>
      <c r="Y1373">
        <v>0.35053410000000002</v>
      </c>
      <c r="Z1373">
        <v>-1.8387919999999999E-2</v>
      </c>
      <c r="AA1373">
        <v>0.93636949999999997</v>
      </c>
      <c r="AB1373">
        <v>39</v>
      </c>
      <c r="AC1373">
        <v>-25.3017</v>
      </c>
      <c r="AD1373">
        <v>7.803941</v>
      </c>
      <c r="AE1373">
        <v>-382.93847</v>
      </c>
      <c r="AF1373">
        <v>134.603927350954</v>
      </c>
      <c r="AG1373">
        <v>7.803941</v>
      </c>
      <c r="AH1373">
        <v>359.22430748405299</v>
      </c>
      <c r="AI1373">
        <v>88.834583002122798</v>
      </c>
      <c r="AJ1373">
        <v>69.458665091130499</v>
      </c>
      <c r="AK1373">
        <v>383.69417749143599</v>
      </c>
      <c r="AL1373">
        <v>88.968377919013705</v>
      </c>
      <c r="AM1373">
        <v>81.799659683533704</v>
      </c>
      <c r="AN1373">
        <v>1.0000000487498899</v>
      </c>
    </row>
    <row r="1374" spans="1:40" x14ac:dyDescent="0.25">
      <c r="A1374" t="str">
        <f>"20190312160323225"</f>
        <v>20190312160323225</v>
      </c>
      <c r="B1374" t="str">
        <f>"1552377803215668"</f>
        <v>1552377803215668</v>
      </c>
      <c r="C1374" t="s">
        <v>40</v>
      </c>
      <c r="D1374">
        <v>5.857526</v>
      </c>
      <c r="E1374">
        <v>0.59267130000000001</v>
      </c>
      <c r="F1374" t="s">
        <v>62</v>
      </c>
      <c r="G1374">
        <v>-211.6936</v>
      </c>
      <c r="H1374">
        <v>9.6395160000000004</v>
      </c>
      <c r="I1374">
        <v>41.546010000000003</v>
      </c>
      <c r="J1374">
        <v>-185.44810000000001</v>
      </c>
      <c r="K1374">
        <v>1.0927129999999901</v>
      </c>
      <c r="L1374">
        <v>345.03019999999998</v>
      </c>
      <c r="M1374">
        <v>0.27365030000000001</v>
      </c>
      <c r="N1374">
        <v>0</v>
      </c>
      <c r="O1374">
        <v>-0.96169039999999995</v>
      </c>
      <c r="P1374">
        <v>0.13523929999999901</v>
      </c>
      <c r="Q1374">
        <v>7.0900019999999998E-3</v>
      </c>
      <c r="R1374">
        <v>-0.990788</v>
      </c>
      <c r="S1374">
        <v>-0.26443480000000003</v>
      </c>
      <c r="T1374">
        <v>8.6455580000000004E-2</v>
      </c>
      <c r="U1374">
        <v>-3.073639</v>
      </c>
      <c r="V1374">
        <v>0.14191389999999901</v>
      </c>
      <c r="W1374">
        <v>1.7567510000000001E-2</v>
      </c>
      <c r="X1374">
        <v>0.98972309999999997</v>
      </c>
      <c r="Y1374">
        <v>0.35509069999999998</v>
      </c>
      <c r="Z1374">
        <v>-2.553704E-2</v>
      </c>
      <c r="AA1374">
        <v>0.93448299999999995</v>
      </c>
      <c r="AB1374">
        <v>39</v>
      </c>
      <c r="AC1374">
        <v>-26.2455</v>
      </c>
      <c r="AD1374">
        <v>8.5468030000000006</v>
      </c>
      <c r="AE1374">
        <v>-303.48419000000001</v>
      </c>
      <c r="AF1374">
        <v>108.217857329555</v>
      </c>
      <c r="AG1374">
        <v>8.5468030000000006</v>
      </c>
      <c r="AH1374">
        <v>284.48980975895699</v>
      </c>
      <c r="AI1374">
        <v>88.391578292085299</v>
      </c>
      <c r="AJ1374">
        <v>69.173548705177694</v>
      </c>
      <c r="AK1374">
        <v>304.49729776010901</v>
      </c>
      <c r="AL1374">
        <v>88.993404033916093</v>
      </c>
      <c r="AM1374">
        <v>81.840121569369998</v>
      </c>
      <c r="AN1374">
        <v>0.99999999354721003</v>
      </c>
    </row>
    <row r="1375" spans="1:40" x14ac:dyDescent="0.25">
      <c r="A1375" t="str">
        <f>"20190312160323239"</f>
        <v>20190312160323239</v>
      </c>
      <c r="B1375" t="str">
        <f>"1552377803236164"</f>
        <v>1552377803236164</v>
      </c>
      <c r="C1375" t="s">
        <v>40</v>
      </c>
      <c r="D1375">
        <v>6.1741710000000003</v>
      </c>
      <c r="E1375">
        <v>0.59350839999999905</v>
      </c>
      <c r="F1375" t="s">
        <v>62</v>
      </c>
      <c r="G1375">
        <v>-211.5591</v>
      </c>
      <c r="H1375">
        <v>8.8904309999999995</v>
      </c>
      <c r="I1375">
        <v>98.375470000000007</v>
      </c>
      <c r="J1375">
        <v>-185.38749999999999</v>
      </c>
      <c r="K1375">
        <v>1.0927739999999999</v>
      </c>
      <c r="L1375">
        <v>344.80009999999999</v>
      </c>
      <c r="M1375">
        <v>0.26463550000000002</v>
      </c>
      <c r="N1375">
        <v>0</v>
      </c>
      <c r="O1375">
        <v>-0.96421020000000002</v>
      </c>
      <c r="P1375">
        <v>0.12650649999999999</v>
      </c>
      <c r="Q1375">
        <v>7.0856679999999998E-3</v>
      </c>
      <c r="R1375">
        <v>-0.99194070000000001</v>
      </c>
      <c r="S1375">
        <v>-0.32516479999999998</v>
      </c>
      <c r="T1375">
        <v>9.7106339999999999E-2</v>
      </c>
      <c r="U1375">
        <v>-3.071625</v>
      </c>
      <c r="V1375">
        <v>0.14136370000000001</v>
      </c>
      <c r="W1375">
        <v>1.7590390000000001E-2</v>
      </c>
      <c r="X1375">
        <v>0.98980140000000005</v>
      </c>
      <c r="Y1375">
        <v>0.36466910000000002</v>
      </c>
      <c r="Z1375">
        <v>-2.8731909999999999E-2</v>
      </c>
      <c r="AA1375">
        <v>0.93069380000000002</v>
      </c>
      <c r="AB1375">
        <v>39</v>
      </c>
      <c r="AC1375">
        <v>-26.171600000000002</v>
      </c>
      <c r="AD1375">
        <v>7.7976569999999903</v>
      </c>
      <c r="AE1375">
        <v>-246.42463000000001</v>
      </c>
      <c r="AF1375">
        <v>90.370216805481803</v>
      </c>
      <c r="AG1375">
        <v>7.7976569999999903</v>
      </c>
      <c r="AH1375">
        <v>230.481774317972</v>
      </c>
      <c r="AI1375">
        <v>88.195930492451495</v>
      </c>
      <c r="AJ1375">
        <v>68.590217790566101</v>
      </c>
      <c r="AK1375">
        <v>247.68816651774</v>
      </c>
      <c r="AL1375">
        <v>88.992092874564193</v>
      </c>
      <c r="AM1375">
        <v>81.8719682436559</v>
      </c>
      <c r="AN1375">
        <v>0.99999996446999995</v>
      </c>
    </row>
    <row r="1376" spans="1:40" x14ac:dyDescent="0.25">
      <c r="A1376" t="str">
        <f>"20190312160323257"</f>
        <v>20190312160323257</v>
      </c>
      <c r="B1376" t="str">
        <f>"1552377803245928"</f>
        <v>1552377803245928</v>
      </c>
      <c r="C1376" t="s">
        <v>40</v>
      </c>
      <c r="D1376">
        <v>5.9207109999999998</v>
      </c>
      <c r="E1376">
        <v>0.59363469999999996</v>
      </c>
      <c r="F1376" t="s">
        <v>62</v>
      </c>
      <c r="G1376">
        <v>-214.17869999999999</v>
      </c>
      <c r="H1376">
        <v>9.8938590000000008</v>
      </c>
      <c r="I1376">
        <v>98.375470000000007</v>
      </c>
      <c r="J1376">
        <v>-185.30619999999999</v>
      </c>
      <c r="K1376">
        <v>1.092867</v>
      </c>
      <c r="L1376">
        <v>344.47859999999997</v>
      </c>
      <c r="M1376">
        <v>0.25209880000000001</v>
      </c>
      <c r="N1376">
        <v>0</v>
      </c>
      <c r="O1376">
        <v>-0.96756399999999998</v>
      </c>
      <c r="P1376">
        <v>0.115317</v>
      </c>
      <c r="Q1376">
        <v>6.7167800000000003E-3</v>
      </c>
      <c r="R1376">
        <v>-0.99330600000000002</v>
      </c>
      <c r="S1376">
        <v>-0.35861209999999999</v>
      </c>
      <c r="T1376">
        <v>0.1096231</v>
      </c>
      <c r="U1376">
        <v>-3.069366</v>
      </c>
      <c r="V1376">
        <v>0.1396559</v>
      </c>
      <c r="W1376">
        <v>1.7300050000000001E-2</v>
      </c>
      <c r="X1376">
        <v>0.99004890000000001</v>
      </c>
      <c r="Y1376">
        <v>0.36265700000000001</v>
      </c>
      <c r="Z1376">
        <v>-3.2628549999999999E-2</v>
      </c>
      <c r="AA1376">
        <v>0.93135129999999999</v>
      </c>
      <c r="AB1376">
        <v>39</v>
      </c>
      <c r="AC1376">
        <v>-28.872499999999999</v>
      </c>
      <c r="AD1376">
        <v>8.8009919999999902</v>
      </c>
      <c r="AE1376">
        <v>-246.10312999999999</v>
      </c>
      <c r="AF1376">
        <v>89.876888384560701</v>
      </c>
      <c r="AG1376">
        <v>8.8009919999999902</v>
      </c>
      <c r="AH1376">
        <v>230.58164392428401</v>
      </c>
      <c r="AI1376">
        <v>87.963270762645195</v>
      </c>
      <c r="AJ1376">
        <v>68.704990927087707</v>
      </c>
      <c r="AK1376">
        <v>247.635229805253</v>
      </c>
      <c r="AL1376">
        <v>89.008730642743103</v>
      </c>
      <c r="AM1376">
        <v>81.970854837624799</v>
      </c>
      <c r="AN1376">
        <v>0.99999994326300901</v>
      </c>
    </row>
    <row r="1377" spans="1:40" x14ac:dyDescent="0.25">
      <c r="A1377" t="str">
        <f>"20190312160323271"</f>
        <v>20190312160323271</v>
      </c>
      <c r="B1377" t="str">
        <f>"1552377803265444"</f>
        <v>1552377803265444</v>
      </c>
      <c r="C1377" t="s">
        <v>40</v>
      </c>
      <c r="D1377">
        <v>6.1766880000000004</v>
      </c>
      <c r="E1377">
        <v>0.59388730000000001</v>
      </c>
      <c r="F1377" t="s">
        <v>62</v>
      </c>
      <c r="G1377">
        <v>-217.08779999999999</v>
      </c>
      <c r="H1377">
        <v>10.16558</v>
      </c>
      <c r="I1377">
        <v>97.150019999999998</v>
      </c>
      <c r="J1377">
        <v>-185.251</v>
      </c>
      <c r="K1377">
        <v>1.0929420000000001</v>
      </c>
      <c r="L1377">
        <v>344.2509</v>
      </c>
      <c r="M1377">
        <v>0.2432686</v>
      </c>
      <c r="N1377">
        <v>0</v>
      </c>
      <c r="O1377">
        <v>-0.96982230000000003</v>
      </c>
      <c r="P1377">
        <v>0.10732800000000001</v>
      </c>
      <c r="Q1377">
        <v>6.6914820000000003E-3</v>
      </c>
      <c r="R1377">
        <v>-0.99420140000000001</v>
      </c>
      <c r="S1377">
        <v>-0.39387509999999998</v>
      </c>
      <c r="T1377">
        <v>0.11244</v>
      </c>
      <c r="U1377">
        <v>-3.0651860000000002</v>
      </c>
      <c r="V1377">
        <v>0.13858599999999999</v>
      </c>
      <c r="W1377">
        <v>1.7324840000000001E-2</v>
      </c>
      <c r="X1377">
        <v>0.99019889999999999</v>
      </c>
      <c r="Y1377">
        <v>0.36485889999999999</v>
      </c>
      <c r="Z1377">
        <v>-3.359587E-2</v>
      </c>
      <c r="AA1377">
        <v>0.93045650000000002</v>
      </c>
      <c r="AB1377">
        <v>38</v>
      </c>
      <c r="AC1377">
        <v>-31.8368</v>
      </c>
      <c r="AD1377">
        <v>9.0726379999999995</v>
      </c>
      <c r="AE1377">
        <v>-247.10087999999999</v>
      </c>
      <c r="AF1377">
        <v>90.879473246893696</v>
      </c>
      <c r="AG1377">
        <v>9.0726379999999995</v>
      </c>
      <c r="AH1377">
        <v>231.62264447533599</v>
      </c>
      <c r="AI1377">
        <v>87.911713835745701</v>
      </c>
      <c r="AJ1377">
        <v>68.576940980383696</v>
      </c>
      <c r="AK1377">
        <v>248.97879598805201</v>
      </c>
      <c r="AL1377">
        <v>89.007310168903103</v>
      </c>
      <c r="AM1377">
        <v>82.0327644045651</v>
      </c>
      <c r="AN1377">
        <v>1.00000004551911</v>
      </c>
    </row>
    <row r="1378" spans="1:40" x14ac:dyDescent="0.25">
      <c r="A1378" t="str">
        <f>"20190312160323291"</f>
        <v>20190312160323291</v>
      </c>
      <c r="B1378" t="str">
        <f>"1552377803285940"</f>
        <v>1552377803285940</v>
      </c>
      <c r="C1378" t="s">
        <v>40</v>
      </c>
      <c r="D1378">
        <v>6.2863889999999998</v>
      </c>
      <c r="E1378">
        <v>0.5938599</v>
      </c>
      <c r="F1378" t="s">
        <v>62</v>
      </c>
      <c r="G1378">
        <v>-219.17959999999999</v>
      </c>
      <c r="H1378">
        <v>10.568680000000001</v>
      </c>
      <c r="I1378">
        <v>97.150030000000001</v>
      </c>
      <c r="J1378">
        <v>-185.1703</v>
      </c>
      <c r="K1378">
        <v>1.0930679999999999</v>
      </c>
      <c r="L1378">
        <v>343.89819999999997</v>
      </c>
      <c r="M1378">
        <v>0.22971349999999999</v>
      </c>
      <c r="N1378">
        <v>0</v>
      </c>
      <c r="O1378">
        <v>-0.97312259999999995</v>
      </c>
      <c r="P1378">
        <v>9.4730839999999997E-2</v>
      </c>
      <c r="Q1378">
        <v>6.2556249999999999E-3</v>
      </c>
      <c r="R1378">
        <v>-0.99548320000000001</v>
      </c>
      <c r="S1378">
        <v>-0.42045589999999999</v>
      </c>
      <c r="T1378">
        <v>0.11742710000000001</v>
      </c>
      <c r="U1378">
        <v>-3.0621640000000001</v>
      </c>
      <c r="V1378">
        <v>0.137285299999999</v>
      </c>
      <c r="W1378">
        <v>1.6949619999999999E-2</v>
      </c>
      <c r="X1378">
        <v>0.99038649999999995</v>
      </c>
      <c r="Y1378">
        <v>0.35990739999999999</v>
      </c>
      <c r="Z1378">
        <v>-3.5324609999999999E-2</v>
      </c>
      <c r="AA1378">
        <v>0.93231909999999896</v>
      </c>
      <c r="AB1378">
        <v>38</v>
      </c>
      <c r="AC1378">
        <v>-34.009300000000003</v>
      </c>
      <c r="AD1378">
        <v>9.4756119999999999</v>
      </c>
      <c r="AE1378">
        <v>-246.74816999999999</v>
      </c>
      <c r="AF1378">
        <v>89.658706516041406</v>
      </c>
      <c r="AG1378">
        <v>9.4756119999999999</v>
      </c>
      <c r="AH1378">
        <v>231.99875615859301</v>
      </c>
      <c r="AI1378">
        <v>87.818237019434406</v>
      </c>
      <c r="AJ1378">
        <v>68.870376527898799</v>
      </c>
      <c r="AK1378">
        <v>248.90137351175599</v>
      </c>
      <c r="AL1378">
        <v>89.0288117856513</v>
      </c>
      <c r="AM1378">
        <v>82.108070357939198</v>
      </c>
      <c r="AN1378">
        <v>0.99999998129824197</v>
      </c>
    </row>
    <row r="1379" spans="1:40" x14ac:dyDescent="0.25">
      <c r="A1379" t="str">
        <f>"20190312160323305"</f>
        <v>20190312160323305</v>
      </c>
      <c r="B1379" t="str">
        <f>"1552377803295700"</f>
        <v>1552377803295700</v>
      </c>
      <c r="C1379" t="s">
        <v>40</v>
      </c>
      <c r="D1379">
        <v>5.9578449999999998</v>
      </c>
      <c r="E1379">
        <v>0.59371719999999994</v>
      </c>
      <c r="F1379" t="s">
        <v>62</v>
      </c>
      <c r="G1379">
        <v>-222.21109999999999</v>
      </c>
      <c r="H1379">
        <v>10.61467</v>
      </c>
      <c r="I1379">
        <v>97.150019999999998</v>
      </c>
      <c r="J1379">
        <v>-185.1182</v>
      </c>
      <c r="K1379">
        <v>1.093161</v>
      </c>
      <c r="L1379">
        <v>343.65870000000001</v>
      </c>
      <c r="M1379">
        <v>0.22057460000000001</v>
      </c>
      <c r="N1379">
        <v>0</v>
      </c>
      <c r="O1379">
        <v>-0.97523510000000002</v>
      </c>
      <c r="P1379">
        <v>8.5956240000000003E-2</v>
      </c>
      <c r="Q1379">
        <v>6.001691E-3</v>
      </c>
      <c r="R1379">
        <v>-0.99628099999999997</v>
      </c>
      <c r="S1379">
        <v>-0.45883180000000001</v>
      </c>
      <c r="T1379">
        <v>0.1179463</v>
      </c>
      <c r="U1379">
        <v>-3.0565190000000002</v>
      </c>
      <c r="V1379">
        <v>0.13670639999999901</v>
      </c>
      <c r="W1379">
        <v>1.6725070000000002E-2</v>
      </c>
      <c r="X1379">
        <v>0.99047039999999997</v>
      </c>
      <c r="Y1379">
        <v>0.36285250000000002</v>
      </c>
      <c r="Z1379">
        <v>-3.5613699999999901E-2</v>
      </c>
      <c r="AA1379">
        <v>0.93116580000000004</v>
      </c>
      <c r="AB1379">
        <v>38</v>
      </c>
      <c r="AC1379">
        <v>-37.092899999999901</v>
      </c>
      <c r="AD1379">
        <v>9.521509</v>
      </c>
      <c r="AE1379">
        <v>-246.50868</v>
      </c>
      <c r="AF1379">
        <v>90.427852006516304</v>
      </c>
      <c r="AG1379">
        <v>9.521509</v>
      </c>
      <c r="AH1379">
        <v>231.91441066799999</v>
      </c>
      <c r="AI1379">
        <v>87.809436695044596</v>
      </c>
      <c r="AJ1379">
        <v>68.698241125372803</v>
      </c>
      <c r="AK1379">
        <v>249.10268851948399</v>
      </c>
      <c r="AL1379">
        <v>89.041679386134604</v>
      </c>
      <c r="AM1379">
        <v>82.141589471235505</v>
      </c>
      <c r="AN1379">
        <v>0.99999999052181199</v>
      </c>
    </row>
    <row r="1380" spans="1:40" x14ac:dyDescent="0.25">
      <c r="A1380" t="str">
        <f>"20190312160323326"</f>
        <v>20190312160323326</v>
      </c>
      <c r="B1380" t="str">
        <f>"1552377803316196"</f>
        <v>1552377803316196</v>
      </c>
      <c r="C1380" t="s">
        <v>40</v>
      </c>
      <c r="D1380">
        <v>5.9063030000000003</v>
      </c>
      <c r="E1380">
        <v>0.59760089999999999</v>
      </c>
      <c r="F1380" t="s">
        <v>62</v>
      </c>
      <c r="G1380">
        <v>-224.2604</v>
      </c>
      <c r="H1380">
        <v>10.24546</v>
      </c>
      <c r="I1380">
        <v>97.150019999999998</v>
      </c>
      <c r="J1380">
        <v>-185.04679999999999</v>
      </c>
      <c r="K1380">
        <v>1.0933040000000001</v>
      </c>
      <c r="L1380">
        <v>343.30939999999998</v>
      </c>
      <c r="M1380">
        <v>0.20738139999999999</v>
      </c>
      <c r="N1380">
        <v>0</v>
      </c>
      <c r="O1380">
        <v>-0.9781263</v>
      </c>
      <c r="P1380">
        <v>7.3437719999999998E-2</v>
      </c>
      <c r="Q1380">
        <v>5.7367379999999999E-3</v>
      </c>
      <c r="R1380">
        <v>-0.99728349999999999</v>
      </c>
      <c r="S1380">
        <v>-0.48466490000000001</v>
      </c>
      <c r="T1380">
        <v>0.1133255</v>
      </c>
      <c r="U1380">
        <v>-3.0523069999999999</v>
      </c>
      <c r="V1380">
        <v>0.13574910000000001</v>
      </c>
      <c r="W1380">
        <v>1.650718E-2</v>
      </c>
      <c r="X1380">
        <v>0.99060570000000003</v>
      </c>
      <c r="Y1380">
        <v>0.35815419999999998</v>
      </c>
      <c r="Z1380">
        <v>-3.4439299999999999E-2</v>
      </c>
      <c r="AA1380">
        <v>0.9330271</v>
      </c>
      <c r="AB1380">
        <v>38</v>
      </c>
      <c r="AC1380">
        <v>-39.2136</v>
      </c>
      <c r="AD1380">
        <v>9.1521559999999997</v>
      </c>
      <c r="AE1380">
        <v>-246.159379999999</v>
      </c>
      <c r="AF1380">
        <v>89.296057671449603</v>
      </c>
      <c r="AG1380">
        <v>9.1521559999999997</v>
      </c>
      <c r="AH1380">
        <v>232.36001185550899</v>
      </c>
      <c r="AI1380">
        <v>87.894392674526699</v>
      </c>
      <c r="AJ1380">
        <v>68.9782096260125</v>
      </c>
      <c r="AK1380">
        <v>249.09581085318001</v>
      </c>
      <c r="AL1380">
        <v>89.054165276554301</v>
      </c>
      <c r="AM1380">
        <v>82.196991100953298</v>
      </c>
      <c r="AN1380">
        <v>0.99999997900742599</v>
      </c>
    </row>
    <row r="1381" spans="1:40" x14ac:dyDescent="0.25">
      <c r="A1381" t="str">
        <f>"20190312160323349"</f>
        <v>20190312160323349</v>
      </c>
      <c r="B1381" t="str">
        <f>"1552377803335717"</f>
        <v>1552377803335717</v>
      </c>
      <c r="C1381" t="s">
        <v>40</v>
      </c>
      <c r="D1381">
        <v>6.1903600000000001</v>
      </c>
      <c r="E1381">
        <v>0.59511440000000004</v>
      </c>
      <c r="F1381" t="s">
        <v>41</v>
      </c>
      <c r="G1381">
        <v>-189.65860000000001</v>
      </c>
      <c r="H1381" s="1">
        <v>-4.1010600000000002E-6</v>
      </c>
      <c r="I1381">
        <v>318.1789</v>
      </c>
      <c r="J1381">
        <v>-184.97579999999999</v>
      </c>
      <c r="K1381">
        <v>1.093486</v>
      </c>
      <c r="L1381">
        <v>342.93579999999997</v>
      </c>
      <c r="M1381">
        <v>0.19346360000000001</v>
      </c>
      <c r="N1381">
        <v>0</v>
      </c>
      <c r="O1381">
        <v>-0.98097489999999998</v>
      </c>
      <c r="P1381">
        <v>5.9710859999999998E-2</v>
      </c>
      <c r="Q1381">
        <v>5.7335379999999998E-3</v>
      </c>
      <c r="R1381">
        <v>-0.99819959999999996</v>
      </c>
      <c r="S1381">
        <v>-0.55975339999999996</v>
      </c>
      <c r="T1381">
        <v>-0.13269819999999999</v>
      </c>
      <c r="U1381">
        <v>-3.0501710000000002</v>
      </c>
      <c r="V1381">
        <v>0.1352941</v>
      </c>
      <c r="W1381">
        <v>1.653483E-2</v>
      </c>
      <c r="X1381">
        <v>0.99066750000000003</v>
      </c>
      <c r="Y1381">
        <v>0.36724489999999999</v>
      </c>
      <c r="Z1381">
        <v>4.036969E-2</v>
      </c>
      <c r="AA1381">
        <v>0.92924779999999996</v>
      </c>
      <c r="AB1381">
        <v>38</v>
      </c>
      <c r="AC1381">
        <v>-4.6828000000000101</v>
      </c>
      <c r="AD1381">
        <v>-1.09349010106</v>
      </c>
      <c r="AE1381">
        <v>-24.756899999999899</v>
      </c>
      <c r="AF1381">
        <v>9.3668460546420604</v>
      </c>
      <c r="AG1381">
        <v>-1.09349010106</v>
      </c>
      <c r="AH1381">
        <v>23.339027546194501</v>
      </c>
      <c r="AI1381">
        <v>92.489726264513607</v>
      </c>
      <c r="AJ1381">
        <v>68.132517619348306</v>
      </c>
      <c r="AK1381">
        <v>25.172281033202101</v>
      </c>
      <c r="AL1381">
        <v>89.052580846959899</v>
      </c>
      <c r="AM1381">
        <v>82.223303629795097</v>
      </c>
      <c r="AN1381">
        <v>0.99999999482709401</v>
      </c>
    </row>
    <row r="1382" spans="1:40" x14ac:dyDescent="0.25">
      <c r="A1382" t="str">
        <f>"20190312160323371"</f>
        <v>20190312160323371</v>
      </c>
      <c r="B1382" t="str">
        <f>"1552377803365972"</f>
        <v>1552377803365972</v>
      </c>
      <c r="C1382" t="s">
        <v>40</v>
      </c>
      <c r="D1382">
        <v>5.9913069999999999</v>
      </c>
      <c r="E1382">
        <v>0.59387489999999998</v>
      </c>
      <c r="F1382" t="s">
        <v>41</v>
      </c>
      <c r="G1382">
        <v>-192.8074</v>
      </c>
      <c r="H1382" s="1">
        <v>-1.7442519999999999E-6</v>
      </c>
      <c r="I1382">
        <v>301.91379999999998</v>
      </c>
      <c r="J1382">
        <v>-184.90790000000001</v>
      </c>
      <c r="K1382">
        <v>1.093702</v>
      </c>
      <c r="L1382">
        <v>342.54590000000002</v>
      </c>
      <c r="M1382">
        <v>0.1791866</v>
      </c>
      <c r="N1382">
        <v>0</v>
      </c>
      <c r="O1382">
        <v>-0.98368359999999999</v>
      </c>
      <c r="P1382">
        <v>4.5753490000000001E-2</v>
      </c>
      <c r="Q1382">
        <v>5.435517E-3</v>
      </c>
      <c r="R1382">
        <v>-0.99893799999999999</v>
      </c>
      <c r="S1382">
        <v>-0.58047490000000002</v>
      </c>
      <c r="T1382">
        <v>-8.1049560000000007E-2</v>
      </c>
      <c r="U1382">
        <v>-3.0405579999999999</v>
      </c>
      <c r="V1382">
        <v>0.1347216</v>
      </c>
      <c r="W1382">
        <v>1.6274520000000001E-2</v>
      </c>
      <c r="X1382">
        <v>0.99074980000000001</v>
      </c>
      <c r="Y1382">
        <v>0.36045769999999999</v>
      </c>
      <c r="Z1382">
        <v>2.487576E-2</v>
      </c>
      <c r="AA1382">
        <v>0.93244380000000004</v>
      </c>
      <c r="AB1382">
        <v>38</v>
      </c>
      <c r="AC1382">
        <v>-7.8994999999999802</v>
      </c>
      <c r="AD1382">
        <v>-1.0937037442519999</v>
      </c>
      <c r="AE1382">
        <v>-40.632100000000001</v>
      </c>
      <c r="AF1382">
        <v>15.042781890208399</v>
      </c>
      <c r="AG1382">
        <v>-1.0937037442519999</v>
      </c>
      <c r="AH1382">
        <v>38.531733557243903</v>
      </c>
      <c r="AI1382">
        <v>91.514602659277898</v>
      </c>
      <c r="AJ1382">
        <v>68.674335326049601</v>
      </c>
      <c r="AK1382">
        <v>41.3784480835496</v>
      </c>
      <c r="AL1382">
        <v>89.067497493562399</v>
      </c>
      <c r="AM1382">
        <v>82.256446234786793</v>
      </c>
      <c r="AN1382">
        <v>0.99999996785391398</v>
      </c>
    </row>
    <row r="1383" spans="1:40" x14ac:dyDescent="0.25">
      <c r="A1383" t="str">
        <f>"20190312160323396"</f>
        <v>20190312160323396</v>
      </c>
      <c r="B1383" t="str">
        <f>"1552377803385492"</f>
        <v>1552377803385492</v>
      </c>
      <c r="C1383" t="s">
        <v>40</v>
      </c>
      <c r="D1383">
        <v>6.2266969999999997</v>
      </c>
      <c r="E1383">
        <v>0.59217509999999995</v>
      </c>
      <c r="F1383" t="s">
        <v>59</v>
      </c>
      <c r="G1383">
        <v>-194.3946</v>
      </c>
      <c r="H1383" s="1">
        <v>1.02135E-6</v>
      </c>
      <c r="I1383">
        <v>295.6139</v>
      </c>
      <c r="J1383">
        <v>-184.84180000000001</v>
      </c>
      <c r="K1383">
        <v>1.093936</v>
      </c>
      <c r="L1383">
        <v>342.13060000000002</v>
      </c>
      <c r="M1383">
        <v>0.16422800000000001</v>
      </c>
      <c r="N1383">
        <v>0</v>
      </c>
      <c r="O1383">
        <v>-0.98629239999999996</v>
      </c>
      <c r="P1383">
        <v>3.120173E-2</v>
      </c>
      <c r="Q1383">
        <v>4.5767259999999997E-3</v>
      </c>
      <c r="R1383">
        <v>-0.99950300000000003</v>
      </c>
      <c r="S1383">
        <v>-0.61280819999999903</v>
      </c>
      <c r="T1383">
        <v>-7.064927E-2</v>
      </c>
      <c r="U1383">
        <v>-3.031647</v>
      </c>
      <c r="V1383">
        <v>0.13406119999999999</v>
      </c>
      <c r="W1383">
        <v>1.5456360000000001E-2</v>
      </c>
      <c r="X1383">
        <v>0.99085250000000002</v>
      </c>
      <c r="Y1383">
        <v>0.3563827</v>
      </c>
      <c r="Z1383">
        <v>2.183479E-2</v>
      </c>
      <c r="AA1383">
        <v>0.9340849</v>
      </c>
      <c r="AB1383">
        <v>38</v>
      </c>
      <c r="AC1383">
        <v>-9.5527999999999906</v>
      </c>
      <c r="AD1383">
        <v>-1.0939349786499999</v>
      </c>
      <c r="AE1383">
        <v>-46.5167</v>
      </c>
      <c r="AF1383">
        <v>17.054336638229501</v>
      </c>
      <c r="AG1383">
        <v>-1.0939349786499999</v>
      </c>
      <c r="AH1383">
        <v>44.292408885591101</v>
      </c>
      <c r="AI1383">
        <v>91.320348789587896</v>
      </c>
      <c r="AJ1383">
        <v>68.941312517082693</v>
      </c>
      <c r="AK1383">
        <v>47.474883641731701</v>
      </c>
      <c r="AL1383">
        <v>89.114380532360798</v>
      </c>
      <c r="AM1383">
        <v>82.294736745473898</v>
      </c>
      <c r="AN1383">
        <v>0.99999999058306899</v>
      </c>
    </row>
    <row r="1384" spans="1:40" x14ac:dyDescent="0.25">
      <c r="A1384" t="str">
        <f>"20190312160323416"</f>
        <v>20190312160323416</v>
      </c>
      <c r="B1384" t="str">
        <f>"1552377803405988"</f>
        <v>1552377803405988</v>
      </c>
      <c r="C1384" t="s">
        <v>40</v>
      </c>
      <c r="D1384">
        <v>6.2755660000000004</v>
      </c>
      <c r="E1384">
        <v>0.59098839999999997</v>
      </c>
      <c r="F1384" t="s">
        <v>59</v>
      </c>
      <c r="G1384">
        <v>-194.61330000000001</v>
      </c>
      <c r="H1384" s="1">
        <v>7.8123859999999998E-7</v>
      </c>
      <c r="I1384">
        <v>296.23829999999998</v>
      </c>
      <c r="J1384">
        <v>-184.7895</v>
      </c>
      <c r="K1384">
        <v>1.0941529999999999</v>
      </c>
      <c r="L1384">
        <v>341.76920000000001</v>
      </c>
      <c r="M1384">
        <v>0.1514363</v>
      </c>
      <c r="N1384">
        <v>0</v>
      </c>
      <c r="O1384">
        <v>-0.98833789999999999</v>
      </c>
      <c r="P1384">
        <v>1.9351429999999999E-2</v>
      </c>
      <c r="Q1384">
        <v>3.5695259999999999E-3</v>
      </c>
      <c r="R1384">
        <v>-0.99980659999999999</v>
      </c>
      <c r="S1384">
        <v>-0.64343260000000002</v>
      </c>
      <c r="T1384">
        <v>-7.203329E-2</v>
      </c>
      <c r="U1384">
        <v>-3.0219119999999999</v>
      </c>
      <c r="V1384">
        <v>0.1329236</v>
      </c>
      <c r="W1384">
        <v>1.4509950000000001E-2</v>
      </c>
      <c r="X1384">
        <v>0.99102009999999996</v>
      </c>
      <c r="Y1384">
        <v>0.35393239999999998</v>
      </c>
      <c r="Z1384">
        <v>2.239352E-2</v>
      </c>
      <c r="AA1384">
        <v>0.93500289999999997</v>
      </c>
      <c r="AB1384">
        <v>38</v>
      </c>
      <c r="AC1384">
        <v>-9.8238000000000003</v>
      </c>
      <c r="AD1384">
        <v>-1.0941522187613999</v>
      </c>
      <c r="AE1384">
        <v>-45.530900000000003</v>
      </c>
      <c r="AF1384">
        <v>16.597226003772001</v>
      </c>
      <c r="AG1384">
        <v>-1.0941522187613999</v>
      </c>
      <c r="AH1384">
        <v>43.493788434802603</v>
      </c>
      <c r="AI1384">
        <v>91.346397143448797</v>
      </c>
      <c r="AJ1384">
        <v>69.113149839402396</v>
      </c>
      <c r="AK1384">
        <v>46.565810553553902</v>
      </c>
      <c r="AL1384">
        <v>89.168611954323694</v>
      </c>
      <c r="AM1384">
        <v>82.360622371248098</v>
      </c>
      <c r="AN1384">
        <v>1.0000000303449801</v>
      </c>
    </row>
    <row r="1385" spans="1:40" x14ac:dyDescent="0.25">
      <c r="A1385" t="str">
        <f>"20190312160323438"</f>
        <v>20190312160323438</v>
      </c>
      <c r="B1385" t="str">
        <f>"1552377803425508"</f>
        <v>1552377803425508</v>
      </c>
      <c r="C1385" t="s">
        <v>40</v>
      </c>
      <c r="D1385">
        <v>6.0176809999999996</v>
      </c>
      <c r="E1385">
        <v>0.59048809999999996</v>
      </c>
      <c r="F1385" t="s">
        <v>59</v>
      </c>
      <c r="G1385">
        <v>-194.4932</v>
      </c>
      <c r="H1385" s="1">
        <v>2.6416810000000001E-7</v>
      </c>
      <c r="I1385">
        <v>298.1164</v>
      </c>
      <c r="J1385">
        <v>-184.74289999999999</v>
      </c>
      <c r="K1385">
        <v>1.094382</v>
      </c>
      <c r="L1385">
        <v>341.416</v>
      </c>
      <c r="M1385">
        <v>0.1391588</v>
      </c>
      <c r="N1385">
        <v>0</v>
      </c>
      <c r="O1385">
        <v>-0.99014219999999997</v>
      </c>
      <c r="P1385">
        <v>7.69099E-3</v>
      </c>
      <c r="Q1385">
        <v>2.6734760000000002E-3</v>
      </c>
      <c r="R1385">
        <v>-0.99996680000000004</v>
      </c>
      <c r="S1385">
        <v>-0.6699524</v>
      </c>
      <c r="T1385">
        <v>-7.5541140000000007E-2</v>
      </c>
      <c r="U1385">
        <v>-3.0138240000000001</v>
      </c>
      <c r="V1385">
        <v>0.1321396</v>
      </c>
      <c r="W1385">
        <v>1.366412E-2</v>
      </c>
      <c r="X1385">
        <v>0.99113689999999999</v>
      </c>
      <c r="Y1385">
        <v>0.3506823</v>
      </c>
      <c r="Z1385">
        <v>2.3605750000000002E-2</v>
      </c>
      <c r="AA1385">
        <v>0.9361969</v>
      </c>
      <c r="AB1385">
        <v>38</v>
      </c>
      <c r="AC1385">
        <v>-9.75030000000001</v>
      </c>
      <c r="AD1385">
        <v>-1.0943817358318999</v>
      </c>
      <c r="AE1385">
        <v>-43.299599999999998</v>
      </c>
      <c r="AF1385">
        <v>15.6721613676613</v>
      </c>
      <c r="AG1385">
        <v>-1.0943817358318999</v>
      </c>
      <c r="AH1385">
        <v>41.495950504291798</v>
      </c>
      <c r="AI1385">
        <v>91.413326912787099</v>
      </c>
      <c r="AJ1385">
        <v>69.309487309585293</v>
      </c>
      <c r="AK1385">
        <v>44.370352957491498</v>
      </c>
      <c r="AL1385">
        <v>89.217079204181204</v>
      </c>
      <c r="AM1385">
        <v>82.406037455851404</v>
      </c>
      <c r="AN1385">
        <v>0.99999996830257099</v>
      </c>
    </row>
    <row r="1386" spans="1:40" x14ac:dyDescent="0.25">
      <c r="A1386" t="str">
        <f>"20190312160323453"</f>
        <v>20190312160323453</v>
      </c>
      <c r="B1386" t="str">
        <f>"1552377803446004"</f>
        <v>1552377803446004</v>
      </c>
      <c r="C1386" t="s">
        <v>40</v>
      </c>
      <c r="D1386">
        <v>6.0776669999999999</v>
      </c>
      <c r="E1386">
        <v>0.58992860000000003</v>
      </c>
      <c r="F1386" t="s">
        <v>59</v>
      </c>
      <c r="G1386">
        <v>-197.6422</v>
      </c>
      <c r="H1386" s="1">
        <v>2.4813869999999999E-6</v>
      </c>
      <c r="I1386">
        <v>286.07600000000002</v>
      </c>
      <c r="J1386">
        <v>-184.70859999999999</v>
      </c>
      <c r="K1386">
        <v>1.094584</v>
      </c>
      <c r="L1386">
        <v>341.13119999999998</v>
      </c>
      <c r="M1386">
        <v>0.12943070000000001</v>
      </c>
      <c r="N1386">
        <v>0</v>
      </c>
      <c r="O1386">
        <v>-0.99146140000000005</v>
      </c>
      <c r="P1386">
        <v>-1.6675049999999999E-3</v>
      </c>
      <c r="Q1386">
        <v>2.1168860000000001E-3</v>
      </c>
      <c r="R1386">
        <v>-0.99999669999999896</v>
      </c>
      <c r="S1386">
        <v>-0.70059199999999999</v>
      </c>
      <c r="T1386">
        <v>-5.943847E-2</v>
      </c>
      <c r="U1386">
        <v>-3.005646</v>
      </c>
      <c r="V1386">
        <v>0.13165639999999901</v>
      </c>
      <c r="W1386">
        <v>1.314442E-2</v>
      </c>
      <c r="X1386">
        <v>0.99120830000000004</v>
      </c>
      <c r="Y1386">
        <v>0.35112379999999999</v>
      </c>
      <c r="Z1386">
        <v>1.864174E-2</v>
      </c>
      <c r="AA1386">
        <v>0.93614350000000002</v>
      </c>
      <c r="AB1386">
        <v>38</v>
      </c>
      <c r="AC1386">
        <v>-12.9336</v>
      </c>
      <c r="AD1386">
        <v>-1.0945815186129999</v>
      </c>
      <c r="AE1386">
        <v>-55.055199999999999</v>
      </c>
      <c r="AF1386">
        <v>19.9440410760037</v>
      </c>
      <c r="AG1386">
        <v>-1.0945815186129999</v>
      </c>
      <c r="AH1386">
        <v>52.8979527952227</v>
      </c>
      <c r="AI1386">
        <v>91.109215521877303</v>
      </c>
      <c r="AJ1386">
        <v>69.342122346925095</v>
      </c>
      <c r="AK1386">
        <v>56.543401852628399</v>
      </c>
      <c r="AL1386">
        <v>89.246858550515199</v>
      </c>
      <c r="AM1386">
        <v>82.4340230021959</v>
      </c>
      <c r="AN1386">
        <v>1.00000003871349</v>
      </c>
    </row>
    <row r="1387" spans="1:40" x14ac:dyDescent="0.25">
      <c r="A1387" t="str">
        <f>"20190312160323472"</f>
        <v>20190312160323472</v>
      </c>
      <c r="B1387" t="str">
        <f>"1552377803465524"</f>
        <v>1552377803465524</v>
      </c>
      <c r="C1387" t="s">
        <v>40</v>
      </c>
      <c r="D1387">
        <v>6.0713800000000004</v>
      </c>
      <c r="E1387">
        <v>0.58979059999999905</v>
      </c>
      <c r="F1387" t="s">
        <v>59</v>
      </c>
      <c r="G1387">
        <v>-200.86969999999999</v>
      </c>
      <c r="H1387">
        <v>8.0001539999999996E-2</v>
      </c>
      <c r="I1387">
        <v>274.16759999999999</v>
      </c>
      <c r="J1387">
        <v>-184.6747</v>
      </c>
      <c r="K1387">
        <v>1.0948089999999999</v>
      </c>
      <c r="L1387">
        <v>340.82440000000003</v>
      </c>
      <c r="M1387">
        <v>0.1191233</v>
      </c>
      <c r="N1387">
        <v>0</v>
      </c>
      <c r="O1387">
        <v>-0.99275340000000001</v>
      </c>
      <c r="P1387">
        <v>-1.0633E-2</v>
      </c>
      <c r="Q1387">
        <v>5.412654E-4</v>
      </c>
      <c r="R1387">
        <v>-0.99994369999999999</v>
      </c>
      <c r="S1387">
        <v>-0.72377009999999997</v>
      </c>
      <c r="T1387">
        <v>-4.5437569999999997E-2</v>
      </c>
      <c r="U1387">
        <v>-2.9989319999999999</v>
      </c>
      <c r="V1387">
        <v>0.13018170000000001</v>
      </c>
      <c r="W1387">
        <v>1.164536E-2</v>
      </c>
      <c r="X1387">
        <v>0.99142180000000002</v>
      </c>
      <c r="Y1387">
        <v>0.34872439999999999</v>
      </c>
      <c r="Z1387">
        <v>1.4306060000000001E-2</v>
      </c>
      <c r="AA1387">
        <v>0.93711610000000001</v>
      </c>
      <c r="AB1387">
        <v>38</v>
      </c>
      <c r="AC1387">
        <v>-16.194999999999901</v>
      </c>
      <c r="AD1387">
        <v>-1.0148074600000001</v>
      </c>
      <c r="AE1387">
        <v>-66.656800000000004</v>
      </c>
      <c r="AF1387">
        <v>24.015769894202101</v>
      </c>
      <c r="AG1387">
        <v>-1.0148074600000001</v>
      </c>
      <c r="AH1387">
        <v>64.238546179408701</v>
      </c>
      <c r="AI1387">
        <v>90.847756311264604</v>
      </c>
      <c r="AJ1387">
        <v>69.501595094620598</v>
      </c>
      <c r="AK1387">
        <v>68.588467347187205</v>
      </c>
      <c r="AL1387">
        <v>89.332754964171798</v>
      </c>
      <c r="AM1387">
        <v>82.519397937602704</v>
      </c>
      <c r="AN1387">
        <v>1.0000000374698199</v>
      </c>
    </row>
    <row r="1388" spans="1:40" x14ac:dyDescent="0.25">
      <c r="A1388" t="str">
        <f>"20190312160323492"</f>
        <v>20190312160323492</v>
      </c>
      <c r="B1388" t="str">
        <f>"1552377803486022"</f>
        <v>1552377803486022</v>
      </c>
      <c r="C1388" t="s">
        <v>40</v>
      </c>
      <c r="D1388">
        <v>5.9262370000000004</v>
      </c>
      <c r="E1388">
        <v>0.61402789999999996</v>
      </c>
      <c r="F1388" t="s">
        <v>59</v>
      </c>
      <c r="G1388">
        <v>-200.422</v>
      </c>
      <c r="H1388">
        <v>5.2783280000000002E-2</v>
      </c>
      <c r="I1388">
        <v>277.96339999999998</v>
      </c>
      <c r="J1388">
        <v>-184.6379</v>
      </c>
      <c r="K1388">
        <v>1.095105</v>
      </c>
      <c r="L1388">
        <v>340.44929999999999</v>
      </c>
      <c r="M1388">
        <v>0.1067992</v>
      </c>
      <c r="N1388">
        <v>0</v>
      </c>
      <c r="O1388">
        <v>-0.99415569999999998</v>
      </c>
      <c r="P1388">
        <v>-2.1287750000000001E-2</v>
      </c>
      <c r="Q1388">
        <v>-3.0303559999999999E-4</v>
      </c>
      <c r="R1388">
        <v>-0.99977340000000003</v>
      </c>
      <c r="S1388">
        <v>-0.74957280000000004</v>
      </c>
      <c r="T1388">
        <v>-4.9600480000000002E-2</v>
      </c>
      <c r="U1388">
        <v>-2.9921880000000001</v>
      </c>
      <c r="V1388">
        <v>0.1284091</v>
      </c>
      <c r="W1388">
        <v>1.0894859999999999E-2</v>
      </c>
      <c r="X1388">
        <v>0.99166140000000003</v>
      </c>
      <c r="Y1388">
        <v>0.34519149999999998</v>
      </c>
      <c r="Z1388">
        <v>1.5679930000000002E-2</v>
      </c>
      <c r="AA1388">
        <v>0.93840129999999999</v>
      </c>
      <c r="AB1388">
        <v>38</v>
      </c>
      <c r="AC1388">
        <v>-15.784099999999899</v>
      </c>
      <c r="AD1388">
        <v>-1.0423217199999999</v>
      </c>
      <c r="AE1388">
        <v>-62.485900000000001</v>
      </c>
      <c r="AF1388">
        <v>22.362225993960099</v>
      </c>
      <c r="AG1388">
        <v>-1.0423217199999999</v>
      </c>
      <c r="AH1388">
        <v>60.4266856884852</v>
      </c>
      <c r="AI1388">
        <v>90.926800908605202</v>
      </c>
      <c r="AJ1388">
        <v>69.691896519608505</v>
      </c>
      <c r="AK1388">
        <v>64.440204292568097</v>
      </c>
      <c r="AL1388">
        <v>89.375758131097598</v>
      </c>
      <c r="AM1388">
        <v>82.621889443247994</v>
      </c>
      <c r="AN1388">
        <v>0.999999963593594</v>
      </c>
    </row>
    <row r="1389" spans="1:40" x14ac:dyDescent="0.25">
      <c r="A1389" t="str">
        <f>"20190312160323517"</f>
        <v>20190312160323517</v>
      </c>
      <c r="B1389" t="str">
        <f>"1552377803505540"</f>
        <v>1552377803505540</v>
      </c>
      <c r="C1389" t="s">
        <v>40</v>
      </c>
      <c r="D1389">
        <v>6.0321319999999998</v>
      </c>
      <c r="E1389">
        <v>0.61440139999999999</v>
      </c>
      <c r="F1389" t="s">
        <v>63</v>
      </c>
      <c r="G1389">
        <v>-231.23429999999999</v>
      </c>
      <c r="H1389">
        <v>5.4159189999999997</v>
      </c>
      <c r="I1389">
        <v>197.41220000000001</v>
      </c>
      <c r="J1389">
        <v>-184.6037</v>
      </c>
      <c r="K1389">
        <v>1.0954250000000001</v>
      </c>
      <c r="L1389">
        <v>340.0487</v>
      </c>
      <c r="M1389">
        <v>9.3947020000000006E-2</v>
      </c>
      <c r="N1389">
        <v>0</v>
      </c>
      <c r="O1389">
        <v>-0.99545340000000004</v>
      </c>
      <c r="P1389">
        <v>-3.2011360000000003E-2</v>
      </c>
      <c r="Q1389">
        <v>-1.7999929999999999E-3</v>
      </c>
      <c r="R1389">
        <v>-0.99948630000000005</v>
      </c>
      <c r="S1389">
        <v>-0.97079470000000001</v>
      </c>
      <c r="T1389">
        <v>9.0021729999999994E-2</v>
      </c>
      <c r="U1389">
        <v>-2.9800420000000001</v>
      </c>
      <c r="V1389">
        <v>0.12617500000000001</v>
      </c>
      <c r="W1389">
        <v>9.5111529999999996E-3</v>
      </c>
      <c r="X1389">
        <v>0.99196240000000002</v>
      </c>
      <c r="Y1389">
        <v>0.3975881</v>
      </c>
      <c r="Z1389">
        <v>-2.8024319999999998E-2</v>
      </c>
      <c r="AA1389">
        <v>0.91713599999999995</v>
      </c>
      <c r="AB1389">
        <v>38</v>
      </c>
      <c r="AC1389">
        <v>-46.630599999999902</v>
      </c>
      <c r="AD1389">
        <v>4.3204940000000001</v>
      </c>
      <c r="AE1389">
        <v>-142.63649999999899</v>
      </c>
      <c r="AF1389">
        <v>59.7766876593654</v>
      </c>
      <c r="AG1389">
        <v>4.3204940000000001</v>
      </c>
      <c r="AH1389">
        <v>137.51016192228099</v>
      </c>
      <c r="AI1389">
        <v>88.3494999353818</v>
      </c>
      <c r="AJ1389">
        <v>66.505057541532196</v>
      </c>
      <c r="AK1389">
        <v>150.00321225834199</v>
      </c>
      <c r="AL1389">
        <v>89.455042857084607</v>
      </c>
      <c r="AM1389">
        <v>82.751054735566001</v>
      </c>
      <c r="AN1389">
        <v>0.99999999783507398</v>
      </c>
    </row>
    <row r="1390" spans="1:40" x14ac:dyDescent="0.25">
      <c r="A1390" t="str">
        <f>"20190312160323537"</f>
        <v>20190312160323537</v>
      </c>
      <c r="B1390" t="str">
        <f>"1552377803526036"</f>
        <v>1552377803526036</v>
      </c>
      <c r="C1390" t="s">
        <v>40</v>
      </c>
      <c r="D1390">
        <v>6.0382699999999998</v>
      </c>
      <c r="E1390">
        <v>0.61446699999999999</v>
      </c>
      <c r="F1390" t="s">
        <v>64</v>
      </c>
      <c r="G1390">
        <v>-273.92770000000002</v>
      </c>
      <c r="H1390">
        <v>16.849139999999998</v>
      </c>
      <c r="I1390">
        <v>75.64555</v>
      </c>
      <c r="J1390">
        <v>-184.57749999999999</v>
      </c>
      <c r="K1390">
        <v>1.0957250000000001</v>
      </c>
      <c r="L1390">
        <v>339.6909</v>
      </c>
      <c r="M1390">
        <v>8.2736809999999994E-2</v>
      </c>
      <c r="N1390">
        <v>0</v>
      </c>
      <c r="O1390">
        <v>-0.99644860000000002</v>
      </c>
      <c r="P1390">
        <v>-4.0983949999999998E-2</v>
      </c>
      <c r="Q1390">
        <v>-2.9283120000000002E-3</v>
      </c>
      <c r="R1390">
        <v>-0.99915560000000003</v>
      </c>
      <c r="S1390">
        <v>-1.0032810000000001</v>
      </c>
      <c r="T1390">
        <v>0.17694460000000001</v>
      </c>
      <c r="U1390">
        <v>-2.969757</v>
      </c>
      <c r="V1390">
        <v>0.1238708</v>
      </c>
      <c r="W1390">
        <v>8.4960090000000005E-3</v>
      </c>
      <c r="X1390">
        <v>0.99226199999999998</v>
      </c>
      <c r="Y1390">
        <v>0.39686329999999997</v>
      </c>
      <c r="Z1390">
        <v>-5.519947E-2</v>
      </c>
      <c r="AA1390">
        <v>0.91621640000000004</v>
      </c>
      <c r="AB1390">
        <v>38</v>
      </c>
      <c r="AC1390">
        <v>-89.350200000000001</v>
      </c>
      <c r="AD1390">
        <v>15.753415</v>
      </c>
      <c r="AE1390">
        <v>-264.04534999999998</v>
      </c>
      <c r="AF1390">
        <v>110.539683198489</v>
      </c>
      <c r="AG1390">
        <v>15.753415</v>
      </c>
      <c r="AH1390">
        <v>254.93216961997999</v>
      </c>
      <c r="AI1390">
        <v>86.755128501025297</v>
      </c>
      <c r="AJ1390">
        <v>66.558237981695001</v>
      </c>
      <c r="AK1390">
        <v>278.31206002064403</v>
      </c>
      <c r="AL1390">
        <v>89.513208693452199</v>
      </c>
      <c r="AM1390">
        <v>82.8841913808172</v>
      </c>
      <c r="AN1390">
        <v>1.0000000169527801</v>
      </c>
    </row>
    <row r="1391" spans="1:40" x14ac:dyDescent="0.25">
      <c r="A1391" t="str">
        <f>"20190312160323551"</f>
        <v>20190312160323551</v>
      </c>
      <c r="B1391" t="str">
        <f>"1552377803545557"</f>
        <v>1552377803545557</v>
      </c>
      <c r="C1391" t="s">
        <v>40</v>
      </c>
      <c r="D1391">
        <v>5.9718869999999997</v>
      </c>
      <c r="E1391">
        <v>0.61438800000000005</v>
      </c>
      <c r="F1391" t="s">
        <v>64</v>
      </c>
      <c r="G1391">
        <v>-276.40789999999998</v>
      </c>
      <c r="H1391">
        <v>18.540559999999999</v>
      </c>
      <c r="I1391">
        <v>75.646119999999996</v>
      </c>
      <c r="J1391">
        <v>-184.56209999999999</v>
      </c>
      <c r="K1391">
        <v>1.0959319999999999</v>
      </c>
      <c r="L1391">
        <v>339.45170000000002</v>
      </c>
      <c r="M1391">
        <v>7.5379310000000005E-2</v>
      </c>
      <c r="N1391">
        <v>0</v>
      </c>
      <c r="O1391">
        <v>-0.99703280000000005</v>
      </c>
      <c r="P1391">
        <v>-4.7191089999999998E-2</v>
      </c>
      <c r="Q1391">
        <v>-3.2439050000000001E-3</v>
      </c>
      <c r="R1391">
        <v>-0.99888060000000001</v>
      </c>
      <c r="S1391">
        <v>-1.029755</v>
      </c>
      <c r="T1391">
        <v>0.1956204</v>
      </c>
      <c r="U1391">
        <v>-2.9609070000000002</v>
      </c>
      <c r="V1391">
        <v>0.12269629999999999</v>
      </c>
      <c r="W1391">
        <v>8.243294E-3</v>
      </c>
      <c r="X1391">
        <v>0.99241009999999996</v>
      </c>
      <c r="Y1391">
        <v>0.39813330000000002</v>
      </c>
      <c r="Z1391">
        <v>-6.1127590000000002E-2</v>
      </c>
      <c r="AA1391">
        <v>0.91528860000000001</v>
      </c>
      <c r="AB1391">
        <v>38</v>
      </c>
      <c r="AC1391">
        <v>-91.845799999999997</v>
      </c>
      <c r="AD1391">
        <v>17.444627999999899</v>
      </c>
      <c r="AE1391">
        <v>-263.805579999999</v>
      </c>
      <c r="AF1391">
        <v>111.039277647104</v>
      </c>
      <c r="AG1391">
        <v>17.444627999999899</v>
      </c>
      <c r="AH1391">
        <v>255.135700807571</v>
      </c>
      <c r="AI1391">
        <v>86.412609451411299</v>
      </c>
      <c r="AJ1391">
        <v>66.480527767559494</v>
      </c>
      <c r="AK1391">
        <v>278.79788746154401</v>
      </c>
      <c r="AL1391">
        <v>89.527688728520104</v>
      </c>
      <c r="AM1391">
        <v>82.952020422503907</v>
      </c>
      <c r="AN1391">
        <v>1.00000007025583</v>
      </c>
    </row>
    <row r="1392" spans="1:40" x14ac:dyDescent="0.25">
      <c r="A1392" t="str">
        <f>"20190312160323570"</f>
        <v>20190312160323570</v>
      </c>
      <c r="B1392" t="str">
        <f>"1552377803566052"</f>
        <v>1552377803566052</v>
      </c>
      <c r="C1392" t="s">
        <v>40</v>
      </c>
      <c r="D1392">
        <v>5.5368649999999997</v>
      </c>
      <c r="E1392">
        <v>0.61468259999999997</v>
      </c>
      <c r="F1392" t="s">
        <v>64</v>
      </c>
      <c r="G1392">
        <v>-278.04849999999999</v>
      </c>
      <c r="H1392">
        <v>19.790279999999999</v>
      </c>
      <c r="I1392">
        <v>75.646529999999998</v>
      </c>
      <c r="J1392">
        <v>-184.5438</v>
      </c>
      <c r="K1392">
        <v>1.0962229999999999</v>
      </c>
      <c r="L1392">
        <v>339.12090000000001</v>
      </c>
      <c r="M1392">
        <v>6.5414490000000006E-2</v>
      </c>
      <c r="N1392">
        <v>0</v>
      </c>
      <c r="O1392">
        <v>-0.99773690000000004</v>
      </c>
      <c r="P1392">
        <v>-5.4130089999999999E-2</v>
      </c>
      <c r="Q1392">
        <v>-3.544546E-3</v>
      </c>
      <c r="R1392">
        <v>-0.99852759999999996</v>
      </c>
      <c r="S1392">
        <v>-1.0470280000000001</v>
      </c>
      <c r="T1392">
        <v>0.20937249999999999</v>
      </c>
      <c r="U1392">
        <v>-2.9545590000000002</v>
      </c>
      <c r="V1392">
        <v>0.1196604</v>
      </c>
      <c r="W1392">
        <v>8.0783130000000002E-3</v>
      </c>
      <c r="X1392">
        <v>0.99278200000000005</v>
      </c>
      <c r="Y1392">
        <v>0.39424569999999998</v>
      </c>
      <c r="Z1392">
        <v>-6.5606330000000004E-2</v>
      </c>
      <c r="AA1392">
        <v>0.91666040000000004</v>
      </c>
      <c r="AB1392">
        <v>38</v>
      </c>
      <c r="AC1392">
        <v>-93.5047</v>
      </c>
      <c r="AD1392">
        <v>18.694057000000001</v>
      </c>
      <c r="AE1392">
        <v>-263.47437000000002</v>
      </c>
      <c r="AF1392">
        <v>110.049468978763</v>
      </c>
      <c r="AG1392">
        <v>18.694057000000001</v>
      </c>
      <c r="AH1392">
        <v>255.64958657409301</v>
      </c>
      <c r="AI1392">
        <v>86.157495622066904</v>
      </c>
      <c r="AJ1392">
        <v>66.709573857978995</v>
      </c>
      <c r="AK1392">
        <v>278.95710154991798</v>
      </c>
      <c r="AL1392">
        <v>89.537141718187698</v>
      </c>
      <c r="AM1392">
        <v>83.127270845836804</v>
      </c>
      <c r="AN1392">
        <v>0.99999998499654197</v>
      </c>
    </row>
    <row r="1393" spans="1:40" x14ac:dyDescent="0.25">
      <c r="A1393" t="str">
        <f>"20190312160323606"</f>
        <v>20190312160323606</v>
      </c>
      <c r="B1393" t="str">
        <f>"1552377803596308"</f>
        <v>1552377803596308</v>
      </c>
      <c r="C1393" t="s">
        <v>40</v>
      </c>
      <c r="D1393">
        <v>5.5833440000000003</v>
      </c>
      <c r="E1393">
        <v>0.61448899999999995</v>
      </c>
      <c r="F1393" t="s">
        <v>45</v>
      </c>
      <c r="G1393">
        <v>0</v>
      </c>
      <c r="H1393">
        <v>0</v>
      </c>
      <c r="I1393">
        <v>0</v>
      </c>
      <c r="J1393">
        <v>-184.51920000000001</v>
      </c>
      <c r="K1393">
        <v>1.096765</v>
      </c>
      <c r="L1393">
        <v>338.52550000000002</v>
      </c>
      <c r="M1393">
        <v>4.8032310000000002E-2</v>
      </c>
      <c r="N1393">
        <v>0</v>
      </c>
      <c r="O1393">
        <v>-0.998726</v>
      </c>
      <c r="P1393">
        <v>-6.8547570000000002E-2</v>
      </c>
      <c r="Q1393">
        <v>-2.8614959999999998E-3</v>
      </c>
      <c r="R1393">
        <v>-0.99764390000000003</v>
      </c>
      <c r="S1393">
        <v>-1.069366</v>
      </c>
      <c r="T1393">
        <v>0.22352910000000001</v>
      </c>
      <c r="U1393">
        <v>-2.9472659999999999</v>
      </c>
      <c r="V1393">
        <v>0.1167231</v>
      </c>
      <c r="W1393">
        <v>8.9160869999999996E-3</v>
      </c>
      <c r="X1393">
        <v>0.99312449999999997</v>
      </c>
      <c r="Y1393">
        <v>0.38498949999999998</v>
      </c>
      <c r="Z1393">
        <v>-7.0347699999999999E-2</v>
      </c>
      <c r="AA1393">
        <v>0.92023600000000005</v>
      </c>
      <c r="AB1393">
        <v>38</v>
      </c>
      <c r="AC1393">
        <v>-1.069366</v>
      </c>
      <c r="AD1393">
        <v>0.22352910000000001</v>
      </c>
      <c r="AE1393">
        <v>-2.9472659999999999</v>
      </c>
      <c r="AF1393">
        <v>1.20359451390267</v>
      </c>
      <c r="AG1393">
        <v>0.22352910000000001</v>
      </c>
      <c r="AH1393">
        <v>2.8778650127048699</v>
      </c>
      <c r="AI1393">
        <v>85.901339661544498</v>
      </c>
      <c r="AJ1393">
        <v>67.304109063266694</v>
      </c>
      <c r="AK1393">
        <v>3.1274129953995899</v>
      </c>
      <c r="AL1393">
        <v>89.489139089431205</v>
      </c>
      <c r="AM1393">
        <v>83.296711687693801</v>
      </c>
      <c r="AN1393">
        <v>1.0000000255906201</v>
      </c>
    </row>
    <row r="1394" spans="1:40" x14ac:dyDescent="0.25">
      <c r="A1394" t="str">
        <f>"20190312160323628"</f>
        <v>20190312160323628</v>
      </c>
      <c r="B1394" t="str">
        <f>"1552377803625588"</f>
        <v>1552377803625588</v>
      </c>
      <c r="C1394" t="s">
        <v>40</v>
      </c>
      <c r="D1394">
        <v>5.6515979999999999</v>
      </c>
      <c r="E1394">
        <v>0.61383430000000005</v>
      </c>
      <c r="F1394" t="s">
        <v>65</v>
      </c>
      <c r="G1394">
        <v>-244.69390000000001</v>
      </c>
      <c r="H1394">
        <v>13.85394</v>
      </c>
      <c r="I1394">
        <v>179.643</v>
      </c>
      <c r="J1394">
        <v>-184.50890000000001</v>
      </c>
      <c r="K1394">
        <v>1.097121</v>
      </c>
      <c r="L1394">
        <v>338.14589999999998</v>
      </c>
      <c r="M1394">
        <v>3.7307079999999999E-2</v>
      </c>
      <c r="N1394">
        <v>0</v>
      </c>
      <c r="O1394">
        <v>-0.99918510000000005</v>
      </c>
      <c r="P1394">
        <v>-7.8325720000000001E-2</v>
      </c>
      <c r="Q1394">
        <v>-3.000567E-3</v>
      </c>
      <c r="R1394">
        <v>-0.99692349999999996</v>
      </c>
      <c r="S1394">
        <v>-1.1102749999999999</v>
      </c>
      <c r="T1394">
        <v>0.2353816</v>
      </c>
      <c r="U1394">
        <v>-2.9315190000000002</v>
      </c>
      <c r="V1394">
        <v>0.1157851</v>
      </c>
      <c r="W1394">
        <v>8.8440859999999993E-3</v>
      </c>
      <c r="X1394">
        <v>0.99323490000000003</v>
      </c>
      <c r="Y1394">
        <v>0.38784930000000001</v>
      </c>
      <c r="Z1394">
        <v>-7.4260899999999894E-2</v>
      </c>
      <c r="AA1394">
        <v>0.91872640000000005</v>
      </c>
      <c r="AB1394">
        <v>38</v>
      </c>
      <c r="AC1394">
        <v>-60.185000000000002</v>
      </c>
      <c r="AD1394">
        <v>12.756819</v>
      </c>
      <c r="AE1394">
        <v>-158.50289999999899</v>
      </c>
      <c r="AF1394">
        <v>65.685210476011406</v>
      </c>
      <c r="AG1394">
        <v>12.756819</v>
      </c>
      <c r="AH1394">
        <v>155.26791999745299</v>
      </c>
      <c r="AI1394">
        <v>85.672812178399099</v>
      </c>
      <c r="AJ1394">
        <v>67.069484360495494</v>
      </c>
      <c r="AK1394">
        <v>169.07220435841</v>
      </c>
      <c r="AL1394">
        <v>89.493264585809101</v>
      </c>
      <c r="AM1394">
        <v>83.350828217302706</v>
      </c>
      <c r="AN1394">
        <v>0.99999998690859704</v>
      </c>
    </row>
    <row r="1395" spans="1:40" x14ac:dyDescent="0.25">
      <c r="A1395" t="str">
        <f>"20190312160323649"</f>
        <v>20190312160323649</v>
      </c>
      <c r="B1395" t="str">
        <f>"1552377803646085"</f>
        <v>1552377803646085</v>
      </c>
      <c r="C1395" t="s">
        <v>40</v>
      </c>
      <c r="D1395">
        <v>6.1868230000000004</v>
      </c>
      <c r="E1395">
        <v>0.61316380000000004</v>
      </c>
      <c r="F1395" t="s">
        <v>45</v>
      </c>
      <c r="G1395">
        <v>0</v>
      </c>
      <c r="H1395">
        <v>0</v>
      </c>
      <c r="I1395">
        <v>0</v>
      </c>
      <c r="J1395">
        <v>-184.50299999999999</v>
      </c>
      <c r="K1395">
        <v>1.0974600000000001</v>
      </c>
      <c r="L1395">
        <v>337.78050000000002</v>
      </c>
      <c r="M1395">
        <v>2.7277470000000002E-2</v>
      </c>
      <c r="N1395">
        <v>0</v>
      </c>
      <c r="O1395">
        <v>-0.99950989999999995</v>
      </c>
      <c r="P1395">
        <v>-8.7602669999999994E-2</v>
      </c>
      <c r="Q1395">
        <v>-3.8357439999999999E-3</v>
      </c>
      <c r="R1395">
        <v>-0.99614820000000004</v>
      </c>
      <c r="S1395">
        <v>-1.13385</v>
      </c>
      <c r="T1395">
        <v>0.23672840000000001</v>
      </c>
      <c r="U1395">
        <v>-2.920868</v>
      </c>
      <c r="V1395">
        <v>0.1150303</v>
      </c>
      <c r="W1395">
        <v>8.0716390000000002E-3</v>
      </c>
      <c r="X1395">
        <v>0.99332920000000002</v>
      </c>
      <c r="Y1395">
        <v>0.38615709999999998</v>
      </c>
      <c r="Z1395">
        <v>-7.4898099999999995E-2</v>
      </c>
      <c r="AA1395">
        <v>0.91938730000000002</v>
      </c>
      <c r="AB1395">
        <v>38</v>
      </c>
      <c r="AC1395">
        <v>-1.13385</v>
      </c>
      <c r="AD1395">
        <v>0.23672840000000001</v>
      </c>
      <c r="AE1395">
        <v>-2.920868</v>
      </c>
      <c r="AF1395">
        <v>1.20622560628625</v>
      </c>
      <c r="AG1395">
        <v>0.23672840000000001</v>
      </c>
      <c r="AH1395">
        <v>2.8724514389833899</v>
      </c>
      <c r="AI1395">
        <v>85.654697228920398</v>
      </c>
      <c r="AJ1395">
        <v>67.221053281184993</v>
      </c>
      <c r="AK1395">
        <v>3.1244195969723698</v>
      </c>
      <c r="AL1395">
        <v>89.537524134453093</v>
      </c>
      <c r="AM1395">
        <v>83.3944112169047</v>
      </c>
      <c r="AN1395">
        <v>1.0000000104234299</v>
      </c>
    </row>
    <row r="1396" spans="1:40" x14ac:dyDescent="0.25">
      <c r="A1396" t="str">
        <f>"20190312160323672"</f>
        <v>20190312160323672</v>
      </c>
      <c r="B1396" t="str">
        <f>"1552377803665604"</f>
        <v>1552377803665604</v>
      </c>
      <c r="C1396" t="s">
        <v>40</v>
      </c>
      <c r="D1396">
        <v>6.1777049999999996</v>
      </c>
      <c r="E1396">
        <v>0.61235319999999904</v>
      </c>
      <c r="F1396" t="s">
        <v>45</v>
      </c>
      <c r="G1396">
        <v>0</v>
      </c>
      <c r="H1396">
        <v>0</v>
      </c>
      <c r="I1396">
        <v>0</v>
      </c>
      <c r="J1396">
        <v>-184.50059999999999</v>
      </c>
      <c r="K1396">
        <v>1.0978239999999999</v>
      </c>
      <c r="L1396">
        <v>337.39030000000002</v>
      </c>
      <c r="M1396">
        <v>1.6837540000000002E-2</v>
      </c>
      <c r="N1396">
        <v>0</v>
      </c>
      <c r="O1396">
        <v>-0.99974110000000005</v>
      </c>
      <c r="P1396">
        <v>-9.7883789999999998E-2</v>
      </c>
      <c r="Q1396">
        <v>-4.2239740000000001E-3</v>
      </c>
      <c r="R1396">
        <v>-0.99518910000000005</v>
      </c>
      <c r="S1396">
        <v>-1.1559600000000001</v>
      </c>
      <c r="T1396">
        <v>0.23255799999999999</v>
      </c>
      <c r="U1396">
        <v>-2.9108580000000002</v>
      </c>
      <c r="V1396">
        <v>0.1148936</v>
      </c>
      <c r="W1396">
        <v>7.7273719999999997E-3</v>
      </c>
      <c r="X1396">
        <v>0.9933478</v>
      </c>
      <c r="Y1396">
        <v>0.38367240000000002</v>
      </c>
      <c r="Z1396">
        <v>-7.3789140000000003E-2</v>
      </c>
      <c r="AA1396">
        <v>0.92051660000000002</v>
      </c>
      <c r="AB1396">
        <v>38</v>
      </c>
      <c r="AC1396">
        <v>-1.1559600000000001</v>
      </c>
      <c r="AD1396">
        <v>0.23255799999999999</v>
      </c>
      <c r="AE1396">
        <v>-2.9108580000000002</v>
      </c>
      <c r="AF1396">
        <v>1.1982072727854201</v>
      </c>
      <c r="AG1396">
        <v>0.23255799999999999</v>
      </c>
      <c r="AH1396">
        <v>2.87512760163558</v>
      </c>
      <c r="AI1396">
        <v>85.730107743771001</v>
      </c>
      <c r="AJ1396">
        <v>67.376103426334097</v>
      </c>
      <c r="AK1396">
        <v>3.1234824503439498</v>
      </c>
      <c r="AL1396">
        <v>89.557249814209896</v>
      </c>
      <c r="AM1396">
        <v>83.402314382943104</v>
      </c>
      <c r="AN1396">
        <v>1.0000000516819101</v>
      </c>
    </row>
    <row r="1397" spans="1:40" x14ac:dyDescent="0.25">
      <c r="A1397" t="str">
        <f>"20190312160323694"</f>
        <v>20190312160323694</v>
      </c>
      <c r="B1397" t="str">
        <f>"1552377803686102"</f>
        <v>1552377803686102</v>
      </c>
      <c r="C1397" t="s">
        <v>40</v>
      </c>
      <c r="D1397">
        <v>6.2237580000000001</v>
      </c>
      <c r="E1397">
        <v>0.60032149999999995</v>
      </c>
      <c r="F1397" t="s">
        <v>45</v>
      </c>
      <c r="G1397">
        <v>0</v>
      </c>
      <c r="H1397">
        <v>0</v>
      </c>
      <c r="I1397">
        <v>0</v>
      </c>
      <c r="J1397">
        <v>-184.50219999999999</v>
      </c>
      <c r="K1397">
        <v>1.098182</v>
      </c>
      <c r="L1397">
        <v>337.005</v>
      </c>
      <c r="M1397">
        <v>6.7983239999999997E-3</v>
      </c>
      <c r="N1397">
        <v>0</v>
      </c>
      <c r="O1397">
        <v>-0.99986070000000005</v>
      </c>
      <c r="P1397">
        <v>-0.1075629</v>
      </c>
      <c r="Q1397">
        <v>-4.132691E-3</v>
      </c>
      <c r="R1397">
        <v>-0.99419000000000002</v>
      </c>
      <c r="S1397">
        <v>-1.179886</v>
      </c>
      <c r="T1397">
        <v>0.2289717</v>
      </c>
      <c r="U1397">
        <v>-2.8994450000000001</v>
      </c>
      <c r="V1397">
        <v>0.11458</v>
      </c>
      <c r="W1397">
        <v>7.8689880000000004E-3</v>
      </c>
      <c r="X1397">
        <v>0.99338289999999996</v>
      </c>
      <c r="Y1397">
        <v>0.3822084</v>
      </c>
      <c r="Z1397">
        <v>-7.2851150000000003E-2</v>
      </c>
      <c r="AA1397">
        <v>0.92120000000000002</v>
      </c>
      <c r="AB1397">
        <v>38</v>
      </c>
      <c r="AC1397">
        <v>-1.179886</v>
      </c>
      <c r="AD1397">
        <v>0.2289717</v>
      </c>
      <c r="AE1397">
        <v>-2.8994450000000001</v>
      </c>
      <c r="AF1397">
        <v>1.19318835728294</v>
      </c>
      <c r="AG1397">
        <v>0.2289717</v>
      </c>
      <c r="AH1397">
        <v>2.8759682395250898</v>
      </c>
      <c r="AI1397">
        <v>85.794167936329401</v>
      </c>
      <c r="AJ1397">
        <v>67.467302447302202</v>
      </c>
      <c r="AK1397">
        <v>3.1220697958427399</v>
      </c>
      <c r="AL1397">
        <v>89.549135564283006</v>
      </c>
      <c r="AM1397">
        <v>83.420394971605603</v>
      </c>
      <c r="AN1397">
        <v>1.0000000416922701</v>
      </c>
    </row>
    <row r="1398" spans="1:40" x14ac:dyDescent="0.25">
      <c r="A1398" t="str">
        <f>"20190312160323717"</f>
        <v>20190312160323717</v>
      </c>
      <c r="B1398" t="str">
        <f>"1552377803705620"</f>
        <v>1552377803705620</v>
      </c>
      <c r="C1398" t="s">
        <v>40</v>
      </c>
      <c r="D1398">
        <v>6.23386</v>
      </c>
      <c r="E1398">
        <v>0.59989099999999995</v>
      </c>
      <c r="F1398" t="s">
        <v>65</v>
      </c>
      <c r="G1398">
        <v>-244.9281</v>
      </c>
      <c r="H1398">
        <v>12.23108</v>
      </c>
      <c r="I1398">
        <v>179.71459999999999</v>
      </c>
      <c r="J1398">
        <v>-184.50720000000001</v>
      </c>
      <c r="K1398">
        <v>1.0985240000000001</v>
      </c>
      <c r="L1398">
        <v>336.63339999999999</v>
      </c>
      <c r="M1398">
        <v>-2.6263889999999998E-3</v>
      </c>
      <c r="N1398">
        <v>0</v>
      </c>
      <c r="O1398">
        <v>-0.99988089999999996</v>
      </c>
      <c r="P1398">
        <v>-0.1172285</v>
      </c>
      <c r="Q1398">
        <v>-4.2098700000000001E-3</v>
      </c>
      <c r="R1398">
        <v>-0.99309590000000003</v>
      </c>
      <c r="S1398">
        <v>-1.1133120000000001</v>
      </c>
      <c r="T1398">
        <v>0.20511750000000001</v>
      </c>
      <c r="U1398">
        <v>-2.89798</v>
      </c>
      <c r="V1398">
        <v>0.11486970000000001</v>
      </c>
      <c r="W1398">
        <v>7.8255959999999902E-3</v>
      </c>
      <c r="X1398">
        <v>0.9933497</v>
      </c>
      <c r="Y1398">
        <v>0.35538140000000001</v>
      </c>
      <c r="Z1398">
        <v>-6.5959480000000001E-2</v>
      </c>
      <c r="AA1398">
        <v>0.93239119999999998</v>
      </c>
      <c r="AB1398">
        <v>38</v>
      </c>
      <c r="AC1398">
        <v>-60.420899999999897</v>
      </c>
      <c r="AD1398">
        <v>11.132555999999999</v>
      </c>
      <c r="AE1398">
        <v>-156.9188</v>
      </c>
      <c r="AF1398">
        <v>59.746627695277397</v>
      </c>
      <c r="AG1398">
        <v>11.132555999999999</v>
      </c>
      <c r="AH1398">
        <v>156.39145776300001</v>
      </c>
      <c r="AI1398">
        <v>86.195628009319805</v>
      </c>
      <c r="AJ1398">
        <v>69.091515545407006</v>
      </c>
      <c r="AK1398">
        <v>167.78522397782001</v>
      </c>
      <c r="AL1398">
        <v>89.551621781316499</v>
      </c>
      <c r="AM1398">
        <v>83.403687233313704</v>
      </c>
      <c r="AN1398">
        <v>0.99999995721046597</v>
      </c>
    </row>
    <row r="1399" spans="1:40" x14ac:dyDescent="0.25">
      <c r="A1399" t="str">
        <f>"20190312160323738"</f>
        <v>20190312160323738</v>
      </c>
      <c r="B1399" t="str">
        <f>"1552377803726117"</f>
        <v>1552377803726117</v>
      </c>
      <c r="C1399" t="s">
        <v>40</v>
      </c>
      <c r="D1399">
        <v>6.2641049999999998</v>
      </c>
      <c r="E1399">
        <v>0.59911959999999997</v>
      </c>
      <c r="F1399" t="s">
        <v>45</v>
      </c>
      <c r="G1399">
        <v>0</v>
      </c>
      <c r="H1399">
        <v>0</v>
      </c>
      <c r="I1399">
        <v>0</v>
      </c>
      <c r="J1399">
        <v>-184.51560000000001</v>
      </c>
      <c r="K1399">
        <v>1.098875</v>
      </c>
      <c r="L1399">
        <v>336.26330000000002</v>
      </c>
      <c r="M1399">
        <v>-1.1744370000000001E-2</v>
      </c>
      <c r="N1399">
        <v>0</v>
      </c>
      <c r="O1399">
        <v>-0.99981620000000004</v>
      </c>
      <c r="P1399">
        <v>-0.12694610000000001</v>
      </c>
      <c r="Q1399">
        <v>-5.0364470000000003E-3</v>
      </c>
      <c r="R1399">
        <v>-0.99189689999999997</v>
      </c>
      <c r="S1399">
        <v>-1.138504</v>
      </c>
      <c r="T1399">
        <v>0.1897644</v>
      </c>
      <c r="U1399">
        <v>-2.8872990000000001</v>
      </c>
      <c r="V1399">
        <v>0.1155075</v>
      </c>
      <c r="W1399">
        <v>7.0245330000000003E-3</v>
      </c>
      <c r="X1399">
        <v>0.99328179999999999</v>
      </c>
      <c r="Y1399">
        <v>0.35518850000000002</v>
      </c>
      <c r="Z1399">
        <v>-6.1155760000000003E-2</v>
      </c>
      <c r="AA1399">
        <v>0.93279210000000001</v>
      </c>
      <c r="AB1399">
        <v>38</v>
      </c>
      <c r="AC1399">
        <v>-1.138504</v>
      </c>
      <c r="AD1399">
        <v>0.1897644</v>
      </c>
      <c r="AE1399">
        <v>-2.8872990000000001</v>
      </c>
      <c r="AF1399">
        <v>1.1003983664075401</v>
      </c>
      <c r="AG1399">
        <v>0.1897644</v>
      </c>
      <c r="AH1399">
        <v>2.8896697236416</v>
      </c>
      <c r="AI1399">
        <v>86.488118706760304</v>
      </c>
      <c r="AJ1399">
        <v>69.152956507283093</v>
      </c>
      <c r="AK1399">
        <v>3.0979151382874699</v>
      </c>
      <c r="AL1399">
        <v>89.597520608250306</v>
      </c>
      <c r="AM1399">
        <v>83.366938086617097</v>
      </c>
      <c r="AN1399">
        <v>1.00000003041567</v>
      </c>
    </row>
    <row r="1400" spans="1:40" x14ac:dyDescent="0.25">
      <c r="A1400" t="str">
        <f>"20190312160323761"</f>
        <v>20190312160323761</v>
      </c>
      <c r="B1400" t="str">
        <f>"1552377803756373"</f>
        <v>1552377803756373</v>
      </c>
      <c r="C1400" t="s">
        <v>40</v>
      </c>
      <c r="D1400">
        <v>6.3018879999999999</v>
      </c>
      <c r="E1400">
        <v>0.59866280000000005</v>
      </c>
      <c r="F1400" t="s">
        <v>45</v>
      </c>
      <c r="G1400">
        <v>0</v>
      </c>
      <c r="H1400">
        <v>0</v>
      </c>
      <c r="I1400">
        <v>0</v>
      </c>
      <c r="J1400">
        <v>-184.52760000000001</v>
      </c>
      <c r="K1400">
        <v>1.0992569999999999</v>
      </c>
      <c r="L1400">
        <v>335.88049999999998</v>
      </c>
      <c r="M1400">
        <v>-2.0880760000000002E-2</v>
      </c>
      <c r="N1400">
        <v>0</v>
      </c>
      <c r="O1400">
        <v>-0.99966790000000005</v>
      </c>
      <c r="P1400">
        <v>-0.13612579999999999</v>
      </c>
      <c r="Q1400">
        <v>-5.3822089999999998E-3</v>
      </c>
      <c r="R1400">
        <v>-0.99067700000000003</v>
      </c>
      <c r="S1400">
        <v>-1.1611940000000001</v>
      </c>
      <c r="T1400">
        <v>0.1723037</v>
      </c>
      <c r="U1400">
        <v>-2.87677</v>
      </c>
      <c r="V1400">
        <v>0.1156123</v>
      </c>
      <c r="W1400">
        <v>6.7241319999999999E-3</v>
      </c>
      <c r="X1400">
        <v>0.99327160000000003</v>
      </c>
      <c r="Y1400">
        <v>0.3542767</v>
      </c>
      <c r="Z1400">
        <v>-5.5655540000000003E-2</v>
      </c>
      <c r="AA1400">
        <v>0.93348299999999995</v>
      </c>
      <c r="AB1400">
        <v>38</v>
      </c>
      <c r="AC1400">
        <v>-1.1611940000000001</v>
      </c>
      <c r="AD1400">
        <v>0.1723037</v>
      </c>
      <c r="AE1400">
        <v>-2.87677</v>
      </c>
      <c r="AF1400">
        <v>1.09747928219796</v>
      </c>
      <c r="AG1400">
        <v>0.1723037</v>
      </c>
      <c r="AH1400">
        <v>2.8914724375067702</v>
      </c>
      <c r="AI1400">
        <v>86.811221510069203</v>
      </c>
      <c r="AJ1400">
        <v>69.215379836465701</v>
      </c>
      <c r="AK1400">
        <v>3.0975413147767399</v>
      </c>
      <c r="AL1400">
        <v>89.614732690892595</v>
      </c>
      <c r="AM1400">
        <v>83.360906039120394</v>
      </c>
      <c r="AN1400">
        <v>0.99999994461450004</v>
      </c>
    </row>
    <row r="1401" spans="1:40" x14ac:dyDescent="0.25">
      <c r="A1401" t="str">
        <f>"20190312160323785"</f>
        <v>20190312160323785</v>
      </c>
      <c r="B1401" t="str">
        <f>"1552377803775892"</f>
        <v>1552377803775892</v>
      </c>
      <c r="C1401" t="s">
        <v>40</v>
      </c>
      <c r="D1401">
        <v>6.0598539999999996</v>
      </c>
      <c r="E1401">
        <v>0.59909780000000001</v>
      </c>
      <c r="F1401" t="s">
        <v>66</v>
      </c>
      <c r="G1401">
        <v>-273.85590000000002</v>
      </c>
      <c r="H1401">
        <v>12.16718</v>
      </c>
      <c r="I1401">
        <v>119.79</v>
      </c>
      <c r="J1401">
        <v>-184.54400000000001</v>
      </c>
      <c r="K1401">
        <v>1.099674</v>
      </c>
      <c r="L1401">
        <v>335.47160000000002</v>
      </c>
      <c r="M1401">
        <v>-3.0293E-2</v>
      </c>
      <c r="N1401">
        <v>0</v>
      </c>
      <c r="O1401">
        <v>-0.99942799999999998</v>
      </c>
      <c r="P1401">
        <v>-0.14467149999999901</v>
      </c>
      <c r="Q1401">
        <v>-4.9661590000000004E-3</v>
      </c>
      <c r="R1401">
        <v>-0.9894674</v>
      </c>
      <c r="S1401">
        <v>-1.1848449999999999</v>
      </c>
      <c r="T1401">
        <v>0.1468043</v>
      </c>
      <c r="U1401">
        <v>-2.8662109999999998</v>
      </c>
      <c r="V1401">
        <v>0.1148348</v>
      </c>
      <c r="W1401">
        <v>7.2147859999999999E-3</v>
      </c>
      <c r="X1401">
        <v>0.99335839999999997</v>
      </c>
      <c r="Y1401">
        <v>0.35342420000000002</v>
      </c>
      <c r="Z1401">
        <v>-4.7521140000000003E-2</v>
      </c>
      <c r="AA1401">
        <v>0.93425539999999996</v>
      </c>
      <c r="AB1401">
        <v>38</v>
      </c>
      <c r="AC1401">
        <v>-89.311899999999994</v>
      </c>
      <c r="AD1401">
        <v>11.067506</v>
      </c>
      <c r="AE1401">
        <v>-215.6816</v>
      </c>
      <c r="AF1401">
        <v>82.550969750032095</v>
      </c>
      <c r="AG1401">
        <v>11.067506</v>
      </c>
      <c r="AH1401">
        <v>217.79887413212501</v>
      </c>
      <c r="AI1401">
        <v>87.279542532115698</v>
      </c>
      <c r="AJ1401">
        <v>69.2420965112576</v>
      </c>
      <c r="AK1401">
        <v>233.181263974942</v>
      </c>
      <c r="AL1401">
        <v>89.586619624790202</v>
      </c>
      <c r="AM1401">
        <v>83.405730933265403</v>
      </c>
      <c r="AN1401">
        <v>0.99999999763931202</v>
      </c>
    </row>
    <row r="1402" spans="1:40" x14ac:dyDescent="0.25">
      <c r="A1402" t="str">
        <f>"20190312160323809"</f>
        <v>20190312160323809</v>
      </c>
      <c r="B1402" t="str">
        <f>"1552377803796388"</f>
        <v>1552377803796388</v>
      </c>
      <c r="C1402" t="s">
        <v>40</v>
      </c>
      <c r="D1402">
        <v>6.0981480000000001</v>
      </c>
      <c r="E1402">
        <v>0.59841659999999997</v>
      </c>
      <c r="F1402" t="s">
        <v>66</v>
      </c>
      <c r="G1402">
        <v>-276.19369999999998</v>
      </c>
      <c r="H1402">
        <v>11.07976</v>
      </c>
      <c r="I1402">
        <v>119.78959999999999</v>
      </c>
      <c r="J1402">
        <v>-184.56290000000001</v>
      </c>
      <c r="K1402">
        <v>1.100085</v>
      </c>
      <c r="L1402">
        <v>335.0856</v>
      </c>
      <c r="M1402">
        <v>-3.8813090000000001E-2</v>
      </c>
      <c r="N1402">
        <v>0</v>
      </c>
      <c r="O1402">
        <v>-0.99913419999999997</v>
      </c>
      <c r="P1402">
        <v>-0.152318799999999</v>
      </c>
      <c r="Q1402">
        <v>-4.8594199999999997E-3</v>
      </c>
      <c r="R1402">
        <v>-0.98831979999999997</v>
      </c>
      <c r="S1402">
        <v>-1.213257</v>
      </c>
      <c r="T1402">
        <v>0.13211619999999999</v>
      </c>
      <c r="U1402">
        <v>-2.855194</v>
      </c>
      <c r="V1402">
        <v>0.1140415</v>
      </c>
      <c r="W1402">
        <v>7.3959789999999996E-3</v>
      </c>
      <c r="X1402">
        <v>0.99344840000000001</v>
      </c>
      <c r="Y1402">
        <v>0.35470750000000001</v>
      </c>
      <c r="Z1402">
        <v>-4.2819160000000002E-2</v>
      </c>
      <c r="AA1402">
        <v>0.9339963</v>
      </c>
      <c r="AB1402">
        <v>38</v>
      </c>
      <c r="AC1402">
        <v>-91.630799999999894</v>
      </c>
      <c r="AD1402">
        <v>9.9796750000000003</v>
      </c>
      <c r="AE1402">
        <v>-215.29599999999999</v>
      </c>
      <c r="AF1402">
        <v>83.0534152036943</v>
      </c>
      <c r="AG1402">
        <v>9.9796750000000003</v>
      </c>
      <c r="AH1402">
        <v>218.29350820463199</v>
      </c>
      <c r="AI1402">
        <v>87.553316147103999</v>
      </c>
      <c r="AJ1402">
        <v>69.169845672147204</v>
      </c>
      <c r="AK1402">
        <v>233.77236666122201</v>
      </c>
      <c r="AL1402">
        <v>89.576237730741099</v>
      </c>
      <c r="AM1402">
        <v>83.451476404951507</v>
      </c>
      <c r="AN1402">
        <v>0.99999994384508695</v>
      </c>
    </row>
    <row r="1403" spans="1:40" x14ac:dyDescent="0.25">
      <c r="A1403" t="str">
        <f>"20190312160323833"</f>
        <v>20190312160323833</v>
      </c>
      <c r="B1403" t="str">
        <f>"1552377803825668"</f>
        <v>1552377803825668</v>
      </c>
      <c r="C1403" t="s">
        <v>40</v>
      </c>
      <c r="D1403">
        <v>6.2697919999999998</v>
      </c>
      <c r="E1403">
        <v>0.59823130000000002</v>
      </c>
      <c r="F1403" t="s">
        <v>66</v>
      </c>
      <c r="G1403">
        <v>-277.9701</v>
      </c>
      <c r="H1403">
        <v>9.0425129999999996</v>
      </c>
      <c r="I1403">
        <v>118.9928</v>
      </c>
      <c r="J1403">
        <v>-184.58680000000001</v>
      </c>
      <c r="K1403">
        <v>1.1005419999999999</v>
      </c>
      <c r="L1403">
        <v>334.67090000000002</v>
      </c>
      <c r="M1403">
        <v>-4.7529290000000002E-2</v>
      </c>
      <c r="N1403">
        <v>0</v>
      </c>
      <c r="O1403">
        <v>-0.99875829999999999</v>
      </c>
      <c r="P1403">
        <v>-0.16029579999999999</v>
      </c>
      <c r="Q1403">
        <v>-5.1738820000000003E-3</v>
      </c>
      <c r="R1403">
        <v>-0.98705569999999998</v>
      </c>
      <c r="S1403">
        <v>-1.2303470000000001</v>
      </c>
      <c r="T1403">
        <v>0.1046165</v>
      </c>
      <c r="U1403">
        <v>-2.8463440000000002</v>
      </c>
      <c r="V1403">
        <v>0.113381</v>
      </c>
      <c r="W1403">
        <v>7.1575669999999897E-3</v>
      </c>
      <c r="X1403">
        <v>0.99352580000000001</v>
      </c>
      <c r="Y1403">
        <v>0.35246430000000001</v>
      </c>
      <c r="Z1403">
        <v>-3.3972389999999998E-2</v>
      </c>
      <c r="AA1403">
        <v>0.93520840000000005</v>
      </c>
      <c r="AB1403">
        <v>37</v>
      </c>
      <c r="AC1403">
        <v>-93.383300000000006</v>
      </c>
      <c r="AD1403">
        <v>7.9419709999999997</v>
      </c>
      <c r="AE1403">
        <v>-215.6781</v>
      </c>
      <c r="AF1403">
        <v>82.930871993996305</v>
      </c>
      <c r="AG1403">
        <v>7.9419709999999997</v>
      </c>
      <c r="AH1403">
        <v>219.62244863995099</v>
      </c>
      <c r="AI1403">
        <v>88.062400480807895</v>
      </c>
      <c r="AJ1403">
        <v>69.313135829020595</v>
      </c>
      <c r="AK1403">
        <v>234.89279337531201</v>
      </c>
      <c r="AL1403">
        <v>89.5898981170523</v>
      </c>
      <c r="AM1403">
        <v>83.489580091738901</v>
      </c>
      <c r="AN1403">
        <v>0.99999999859599897</v>
      </c>
    </row>
    <row r="1404" spans="1:40" x14ac:dyDescent="0.25">
      <c r="A1404" t="str">
        <f>"20190312160323852"</f>
        <v>20190312160323852</v>
      </c>
      <c r="B1404" t="str">
        <f>"1552377803846165"</f>
        <v>1552377803846165</v>
      </c>
      <c r="C1404" t="s">
        <v>40</v>
      </c>
      <c r="D1404">
        <v>5.9022920000000001</v>
      </c>
      <c r="E1404">
        <v>0.59652490000000002</v>
      </c>
      <c r="F1404" t="s">
        <v>45</v>
      </c>
      <c r="G1404">
        <v>0</v>
      </c>
      <c r="H1404">
        <v>0</v>
      </c>
      <c r="I1404">
        <v>0</v>
      </c>
      <c r="J1404">
        <v>-184.60769999999999</v>
      </c>
      <c r="K1404">
        <v>1.100884</v>
      </c>
      <c r="L1404">
        <v>334.34609999999998</v>
      </c>
      <c r="M1404">
        <v>-5.410703E-2</v>
      </c>
      <c r="N1404">
        <v>0</v>
      </c>
      <c r="O1404">
        <v>-0.99842419999999998</v>
      </c>
      <c r="P1404">
        <v>-0.16594210000000001</v>
      </c>
      <c r="Q1404">
        <v>-4.387228E-3</v>
      </c>
      <c r="R1404">
        <v>-0.98612569999999999</v>
      </c>
      <c r="S1404">
        <v>-1.2529749999999999</v>
      </c>
      <c r="T1404">
        <v>5.578876E-2</v>
      </c>
      <c r="U1404">
        <v>-2.8361209999999999</v>
      </c>
      <c r="V1404">
        <v>0.1125327</v>
      </c>
      <c r="W1404">
        <v>8.0086970000000004E-3</v>
      </c>
      <c r="X1404">
        <v>0.99361569999999999</v>
      </c>
      <c r="Y1404">
        <v>0.35395529999999997</v>
      </c>
      <c r="Z1404">
        <v>-1.8141879999999999E-2</v>
      </c>
      <c r="AA1404">
        <v>0.93508639999999998</v>
      </c>
      <c r="AB1404">
        <v>37</v>
      </c>
      <c r="AC1404">
        <v>-1.2529749999999999</v>
      </c>
      <c r="AD1404">
        <v>5.578876E-2</v>
      </c>
      <c r="AE1404">
        <v>-2.8361209999999999</v>
      </c>
      <c r="AF1404">
        <v>1.09731282108115</v>
      </c>
      <c r="AG1404">
        <v>5.578876E-2</v>
      </c>
      <c r="AH1404">
        <v>2.8988293326924501</v>
      </c>
      <c r="AI1404">
        <v>88.968850544464004</v>
      </c>
      <c r="AJ1404">
        <v>69.266514555579604</v>
      </c>
      <c r="AK1404">
        <v>3.1000676304122101</v>
      </c>
      <c r="AL1404">
        <v>89.541130535837695</v>
      </c>
      <c r="AM1404">
        <v>83.538456270234505</v>
      </c>
      <c r="AN1404">
        <v>0.99999995354170701</v>
      </c>
    </row>
    <row r="1405" spans="1:40" x14ac:dyDescent="0.25">
      <c r="A1405" t="str">
        <f>"20190312160323873"</f>
        <v>20190312160323873</v>
      </c>
      <c r="B1405" t="str">
        <f>"1552377803865685"</f>
        <v>1552377803865685</v>
      </c>
      <c r="C1405" t="s">
        <v>40</v>
      </c>
      <c r="D1405">
        <v>6.1363310000000002</v>
      </c>
      <c r="E1405">
        <v>0.59368849999999995</v>
      </c>
      <c r="F1405" t="s">
        <v>45</v>
      </c>
      <c r="G1405">
        <v>0</v>
      </c>
      <c r="H1405">
        <v>0</v>
      </c>
      <c r="I1405">
        <v>0</v>
      </c>
      <c r="J1405">
        <v>-184.63329999999999</v>
      </c>
      <c r="K1405">
        <v>1.101253</v>
      </c>
      <c r="L1405">
        <v>333.98590000000002</v>
      </c>
      <c r="M1405">
        <v>-6.1110089999999999E-2</v>
      </c>
      <c r="N1405">
        <v>0</v>
      </c>
      <c r="O1405">
        <v>-0.99802089999999999</v>
      </c>
      <c r="P1405">
        <v>-0.1715912</v>
      </c>
      <c r="Q1405">
        <v>-3.144666E-3</v>
      </c>
      <c r="R1405">
        <v>-0.98516329999999996</v>
      </c>
      <c r="S1405">
        <v>-1.2559199999999999</v>
      </c>
      <c r="T1405">
        <v>5.857718E-2</v>
      </c>
      <c r="U1405">
        <v>-2.8311459999999999</v>
      </c>
      <c r="V1405">
        <v>0.11127430000000001</v>
      </c>
      <c r="W1405">
        <v>9.3275779999999996E-3</v>
      </c>
      <c r="X1405">
        <v>0.99374600000000002</v>
      </c>
      <c r="Y1405">
        <v>0.348802</v>
      </c>
      <c r="Z1405">
        <v>-1.908226E-2</v>
      </c>
      <c r="AA1405">
        <v>0.93700220000000001</v>
      </c>
      <c r="AB1405">
        <v>37</v>
      </c>
      <c r="AC1405">
        <v>-1.2559199999999999</v>
      </c>
      <c r="AD1405">
        <v>5.857718E-2</v>
      </c>
      <c r="AE1405">
        <v>-2.8311459999999999</v>
      </c>
      <c r="AF1405">
        <v>1.0801552335128</v>
      </c>
      <c r="AG1405">
        <v>5.857718E-2</v>
      </c>
      <c r="AH1405">
        <v>2.9015734523740599</v>
      </c>
      <c r="AI1405">
        <v>88.9161138820415</v>
      </c>
      <c r="AJ1405">
        <v>69.581445242693107</v>
      </c>
      <c r="AK1405">
        <v>3.0966587015723501</v>
      </c>
      <c r="AL1405">
        <v>89.465561420639204</v>
      </c>
      <c r="AM1405">
        <v>83.610942590822205</v>
      </c>
      <c r="AN1405">
        <v>1.00000004303391</v>
      </c>
    </row>
    <row r="1406" spans="1:40" x14ac:dyDescent="0.25">
      <c r="A1406" t="str">
        <f>"20190312160323896"</f>
        <v>20190312160323896</v>
      </c>
      <c r="B1406" t="str">
        <f>"1552377803886180"</f>
        <v>1552377803886180</v>
      </c>
      <c r="C1406" t="s">
        <v>40</v>
      </c>
      <c r="D1406">
        <v>6.0956270000000004</v>
      </c>
      <c r="E1406">
        <v>0.59152910000000003</v>
      </c>
      <c r="F1406" t="s">
        <v>45</v>
      </c>
      <c r="G1406">
        <v>0</v>
      </c>
      <c r="H1406">
        <v>0</v>
      </c>
      <c r="I1406">
        <v>0</v>
      </c>
      <c r="J1406">
        <v>-184.66380000000001</v>
      </c>
      <c r="K1406">
        <v>1.1016649999999999</v>
      </c>
      <c r="L1406">
        <v>333.59359999999998</v>
      </c>
      <c r="M1406">
        <v>-6.8374569999999996E-2</v>
      </c>
      <c r="N1406">
        <v>0</v>
      </c>
      <c r="O1406">
        <v>-0.99755039999999995</v>
      </c>
      <c r="P1406">
        <v>-0.17783669999999999</v>
      </c>
      <c r="Q1406">
        <v>-3.3889189999999998E-3</v>
      </c>
      <c r="R1406">
        <v>-0.98405469999999895</v>
      </c>
      <c r="S1406">
        <v>-1.249817</v>
      </c>
      <c r="T1406">
        <v>6.1413879999999997E-2</v>
      </c>
      <c r="U1406">
        <v>-2.827728</v>
      </c>
      <c r="V1406">
        <v>0.1103283</v>
      </c>
      <c r="W1406">
        <v>9.1559239999999993E-3</v>
      </c>
      <c r="X1406">
        <v>0.99385299999999999</v>
      </c>
      <c r="Y1406">
        <v>0.34068749999999998</v>
      </c>
      <c r="Z1406">
        <v>-2.0052759999999999E-2</v>
      </c>
      <c r="AA1406">
        <v>0.93996270000000004</v>
      </c>
      <c r="AB1406">
        <v>37</v>
      </c>
      <c r="AC1406">
        <v>-1.249817</v>
      </c>
      <c r="AD1406">
        <v>6.1413879999999997E-2</v>
      </c>
      <c r="AE1406">
        <v>-2.827728</v>
      </c>
      <c r="AF1406">
        <v>1.0531101027389</v>
      </c>
      <c r="AG1406">
        <v>6.1413879999999997E-2</v>
      </c>
      <c r="AH1406">
        <v>2.9054274075028101</v>
      </c>
      <c r="AI1406">
        <v>88.861539851820595</v>
      </c>
      <c r="AJ1406">
        <v>70.076290154637903</v>
      </c>
      <c r="AK1406">
        <v>3.0910064660909198</v>
      </c>
      <c r="AL1406">
        <v>89.475396854392898</v>
      </c>
      <c r="AM1406">
        <v>83.665492270483497</v>
      </c>
      <c r="AN1406">
        <v>0.99999997516709105</v>
      </c>
    </row>
    <row r="1407" spans="1:40" x14ac:dyDescent="0.25">
      <c r="A1407" t="str">
        <f>"20190312160323918"</f>
        <v>20190312160323918</v>
      </c>
      <c r="B1407" t="str">
        <f>"1552377803905700"</f>
        <v>1552377803905700</v>
      </c>
      <c r="C1407" t="s">
        <v>40</v>
      </c>
      <c r="D1407">
        <v>5.9285209999999999</v>
      </c>
      <c r="E1407">
        <v>0.58909250000000002</v>
      </c>
      <c r="F1407" t="s">
        <v>45</v>
      </c>
      <c r="G1407">
        <v>0</v>
      </c>
      <c r="H1407">
        <v>0</v>
      </c>
      <c r="I1407">
        <v>0</v>
      </c>
      <c r="J1407">
        <v>-184.6934</v>
      </c>
      <c r="K1407">
        <v>1.102031</v>
      </c>
      <c r="L1407">
        <v>333.24189999999999</v>
      </c>
      <c r="M1407">
        <v>-7.4569780000000002E-2</v>
      </c>
      <c r="N1407">
        <v>0</v>
      </c>
      <c r="O1407">
        <v>-0.99710699999999997</v>
      </c>
      <c r="P1407">
        <v>-0.18293960000000001</v>
      </c>
      <c r="Q1407">
        <v>-3.4344639999999999E-3</v>
      </c>
      <c r="R1407">
        <v>-0.98311820000000005</v>
      </c>
      <c r="S1407">
        <v>-1.2508239999999999</v>
      </c>
      <c r="T1407">
        <v>5.6309339999999999E-2</v>
      </c>
      <c r="U1407">
        <v>-2.822784</v>
      </c>
      <c r="V1407">
        <v>0.1093016</v>
      </c>
      <c r="W1407">
        <v>9.1783349999999993E-3</v>
      </c>
      <c r="X1407">
        <v>0.99396629999999997</v>
      </c>
      <c r="Y1407">
        <v>0.3357444</v>
      </c>
      <c r="Z1407">
        <v>-1.841916E-2</v>
      </c>
      <c r="AA1407">
        <v>0.94177310000000003</v>
      </c>
      <c r="AB1407">
        <v>37</v>
      </c>
      <c r="AC1407">
        <v>-1.2508239999999999</v>
      </c>
      <c r="AD1407">
        <v>5.6309339999999999E-2</v>
      </c>
      <c r="AE1407">
        <v>-2.822784</v>
      </c>
      <c r="AF1407">
        <v>1.03647872266093</v>
      </c>
      <c r="AG1407">
        <v>5.6309339999999999E-2</v>
      </c>
      <c r="AH1407">
        <v>2.9072398810726798</v>
      </c>
      <c r="AI1407">
        <v>88.954817716827094</v>
      </c>
      <c r="AJ1407">
        <v>70.378014812687397</v>
      </c>
      <c r="AK1407">
        <v>3.0869892468875801</v>
      </c>
      <c r="AL1407">
        <v>89.474112780660306</v>
      </c>
      <c r="AM1407">
        <v>83.724677438108699</v>
      </c>
      <c r="AN1407">
        <v>1.0000000435658101</v>
      </c>
    </row>
    <row r="1408" spans="1:40" x14ac:dyDescent="0.25">
      <c r="A1408" t="str">
        <f>"20190312160323940"</f>
        <v>20190312160323940</v>
      </c>
      <c r="B1408" t="str">
        <f>"1552377803935957"</f>
        <v>1552377803935957</v>
      </c>
      <c r="C1408" t="s">
        <v>40</v>
      </c>
      <c r="D1408">
        <v>5.9946950000000001</v>
      </c>
      <c r="E1408">
        <v>0.58629330000000002</v>
      </c>
      <c r="F1408" t="s">
        <v>66</v>
      </c>
      <c r="G1408">
        <v>-279.39909999999998</v>
      </c>
      <c r="H1408">
        <v>5.4049579999999997</v>
      </c>
      <c r="I1408">
        <v>118.99160000000001</v>
      </c>
      <c r="J1408">
        <v>-184.727</v>
      </c>
      <c r="K1408">
        <v>1.1024229999999999</v>
      </c>
      <c r="L1408">
        <v>332.86750000000001</v>
      </c>
      <c r="M1408">
        <v>-8.0831150000000004E-2</v>
      </c>
      <c r="N1408">
        <v>0</v>
      </c>
      <c r="O1408">
        <v>-0.99661960000000005</v>
      </c>
      <c r="P1408">
        <v>-0.1880251</v>
      </c>
      <c r="Q1408">
        <v>-3.0111080000000002E-3</v>
      </c>
      <c r="R1408">
        <v>-0.98215969999999997</v>
      </c>
      <c r="S1408">
        <v>-1.2464139999999999</v>
      </c>
      <c r="T1408">
        <v>5.6630489999999999E-2</v>
      </c>
      <c r="U1408">
        <v>-2.8197329999999998</v>
      </c>
      <c r="V1408">
        <v>0.1082008</v>
      </c>
      <c r="W1408">
        <v>9.6747010000000008E-3</v>
      </c>
      <c r="X1408">
        <v>0.99408200000000002</v>
      </c>
      <c r="Y1408">
        <v>0.3289646</v>
      </c>
      <c r="Z1408">
        <v>-1.8557089999999998E-2</v>
      </c>
      <c r="AA1408">
        <v>0.94415990000000005</v>
      </c>
      <c r="AB1408">
        <v>37</v>
      </c>
      <c r="AC1408">
        <v>-94.672099999999901</v>
      </c>
      <c r="AD1408">
        <v>4.3025349999999998</v>
      </c>
      <c r="AE1408">
        <v>-213.8759</v>
      </c>
      <c r="AF1408">
        <v>77.046476450531401</v>
      </c>
      <c r="AG1408">
        <v>4.3025349999999998</v>
      </c>
      <c r="AH1408">
        <v>220.75448524327501</v>
      </c>
      <c r="AI1408">
        <v>88.945786316236493</v>
      </c>
      <c r="AJ1408">
        <v>70.760281334241199</v>
      </c>
      <c r="AK1408">
        <v>233.85297538387701</v>
      </c>
      <c r="AL1408">
        <v>89.445671826805494</v>
      </c>
      <c r="AM1408">
        <v>83.788098301632303</v>
      </c>
      <c r="AN1408">
        <v>1.0000000178420301</v>
      </c>
    </row>
    <row r="1409" spans="1:40" x14ac:dyDescent="0.25">
      <c r="A1409" t="str">
        <f>"20190312160323963"</f>
        <v>20190312160323963</v>
      </c>
      <c r="B1409" t="str">
        <f>"1552377803955476"</f>
        <v>1552377803955476</v>
      </c>
      <c r="C1409" t="s">
        <v>40</v>
      </c>
      <c r="D1409">
        <v>6.1290969999999998</v>
      </c>
      <c r="E1409">
        <v>0.58452899999999997</v>
      </c>
      <c r="F1409" t="s">
        <v>66</v>
      </c>
      <c r="G1409">
        <v>-278.79469999999998</v>
      </c>
      <c r="H1409">
        <v>4.9355260000000003</v>
      </c>
      <c r="I1409">
        <v>118.9914</v>
      </c>
      <c r="J1409">
        <v>-184.76329999999999</v>
      </c>
      <c r="K1409">
        <v>1.1028279999999999</v>
      </c>
      <c r="L1409">
        <v>332.48719999999997</v>
      </c>
      <c r="M1409">
        <v>-8.6845229999999995E-2</v>
      </c>
      <c r="N1409">
        <v>0</v>
      </c>
      <c r="O1409">
        <v>-0.99611430000000001</v>
      </c>
      <c r="P1409">
        <v>-0.1921089</v>
      </c>
      <c r="Q1409">
        <v>-2.165948E-3</v>
      </c>
      <c r="R1409">
        <v>-0.9813714</v>
      </c>
      <c r="S1409">
        <v>-1.2391509999999999</v>
      </c>
      <c r="T1409">
        <v>5.0493240000000002E-2</v>
      </c>
      <c r="U1409">
        <v>-2.817383</v>
      </c>
      <c r="V1409">
        <v>0.1063398</v>
      </c>
      <c r="W1409">
        <v>1.060782E-2</v>
      </c>
      <c r="X1409">
        <v>0.99427319999999997</v>
      </c>
      <c r="Y1409">
        <v>0.32152209999999998</v>
      </c>
      <c r="Z1409">
        <v>-1.6576489999999999E-2</v>
      </c>
      <c r="AA1409">
        <v>0.94675699999999996</v>
      </c>
      <c r="AB1409">
        <v>37</v>
      </c>
      <c r="AC1409">
        <v>-94.031400000000005</v>
      </c>
      <c r="AD1409">
        <v>3.8326980000000002</v>
      </c>
      <c r="AE1409">
        <v>-213.4958</v>
      </c>
      <c r="AF1409">
        <v>75.112703513871196</v>
      </c>
      <c r="AG1409">
        <v>3.8326980000000002</v>
      </c>
      <c r="AH1409">
        <v>220.796456758662</v>
      </c>
      <c r="AI1409">
        <v>89.058507942147799</v>
      </c>
      <c r="AJ1409">
        <v>71.212219214032302</v>
      </c>
      <c r="AK1409">
        <v>233.25454576556899</v>
      </c>
      <c r="AL1409">
        <v>89.392205247089294</v>
      </c>
      <c r="AM1409">
        <v>83.895291175677499</v>
      </c>
      <c r="AN1409">
        <v>0.99999993757371397</v>
      </c>
    </row>
    <row r="1410" spans="1:40" x14ac:dyDescent="0.25">
      <c r="A1410" t="str">
        <f>"20190312160323987"</f>
        <v>20190312160323987</v>
      </c>
      <c r="B1410" t="str">
        <f>"1552377803975973"</f>
        <v>1552377803975973</v>
      </c>
      <c r="C1410" t="s">
        <v>40</v>
      </c>
      <c r="D1410">
        <v>6.0162339999999999</v>
      </c>
      <c r="E1410">
        <v>0.58240249999999905</v>
      </c>
      <c r="F1410" t="s">
        <v>66</v>
      </c>
      <c r="G1410">
        <v>-278.59350000000001</v>
      </c>
      <c r="H1410">
        <v>4.8297100000000004</v>
      </c>
      <c r="I1410">
        <v>118.9914</v>
      </c>
      <c r="J1410">
        <v>-184.80350000000001</v>
      </c>
      <c r="K1410">
        <v>1.103243</v>
      </c>
      <c r="L1410">
        <v>332.08839999999998</v>
      </c>
      <c r="M1410">
        <v>-9.2798249999999999E-2</v>
      </c>
      <c r="N1410">
        <v>0</v>
      </c>
      <c r="O1410">
        <v>-0.99557790000000002</v>
      </c>
      <c r="P1410">
        <v>-0.19712470000000001</v>
      </c>
      <c r="Q1410">
        <v>-1.4270680000000001E-3</v>
      </c>
      <c r="R1410">
        <v>-0.98037759999999996</v>
      </c>
      <c r="S1410">
        <v>-1.2371369999999999</v>
      </c>
      <c r="T1410">
        <v>4.9138550000000003E-2</v>
      </c>
      <c r="U1410">
        <v>-2.8149109999999999</v>
      </c>
      <c r="V1410">
        <v>0.10548100000000001</v>
      </c>
      <c r="W1410">
        <v>1.141697E-2</v>
      </c>
      <c r="X1410">
        <v>0.99435580000000001</v>
      </c>
      <c r="Y1410">
        <v>0.31559710000000002</v>
      </c>
      <c r="Z1410">
        <v>-1.6150359999999999E-2</v>
      </c>
      <c r="AA1410">
        <v>0.94875589999999999</v>
      </c>
      <c r="AB1410">
        <v>37</v>
      </c>
      <c r="AC1410">
        <v>-93.79</v>
      </c>
      <c r="AD1410">
        <v>3.726467</v>
      </c>
      <c r="AE1410">
        <v>-213.09700000000001</v>
      </c>
      <c r="AF1410">
        <v>73.5892151565684</v>
      </c>
      <c r="AG1410">
        <v>3.726467</v>
      </c>
      <c r="AH1410">
        <v>220.825180805174</v>
      </c>
      <c r="AI1410">
        <v>89.082794213351505</v>
      </c>
      <c r="AJ1410">
        <v>71.569529766569801</v>
      </c>
      <c r="AK1410">
        <v>232.79394240679801</v>
      </c>
      <c r="AL1410">
        <v>89.345841607262997</v>
      </c>
      <c r="AM1410">
        <v>83.944724278558098</v>
      </c>
      <c r="AN1410">
        <v>1.00000002277931</v>
      </c>
    </row>
    <row r="1411" spans="1:40" x14ac:dyDescent="0.25">
      <c r="A1411" t="str">
        <f>"20190312160324010"</f>
        <v>20190312160324010</v>
      </c>
      <c r="B1411" t="str">
        <f>"1552377804006228"</f>
        <v>1552377804006228</v>
      </c>
      <c r="C1411" t="s">
        <v>40</v>
      </c>
      <c r="D1411">
        <v>6.1308420000000003</v>
      </c>
      <c r="E1411">
        <v>0.57928550000000001</v>
      </c>
      <c r="F1411" t="s">
        <v>66</v>
      </c>
      <c r="G1411">
        <v>-278.38639999999998</v>
      </c>
      <c r="H1411">
        <v>5.1702979999999998</v>
      </c>
      <c r="I1411">
        <v>118.9915</v>
      </c>
      <c r="J1411">
        <v>-184.84299999999999</v>
      </c>
      <c r="K1411">
        <v>1.1036140000000001</v>
      </c>
      <c r="L1411">
        <v>331.71780000000001</v>
      </c>
      <c r="M1411">
        <v>-9.7990629999999995E-2</v>
      </c>
      <c r="N1411">
        <v>0</v>
      </c>
      <c r="O1411">
        <v>-0.99508099999999999</v>
      </c>
      <c r="P1411">
        <v>-0.2015623</v>
      </c>
      <c r="Q1411">
        <v>-1.1875360000000001E-3</v>
      </c>
      <c r="R1411">
        <v>-0.97947519999999999</v>
      </c>
      <c r="S1411">
        <v>-1.2348330000000001</v>
      </c>
      <c r="T1411">
        <v>5.3665039999999997E-2</v>
      </c>
      <c r="U1411">
        <v>-2.8118289999999999</v>
      </c>
      <c r="V1411">
        <v>0.10478990000000001</v>
      </c>
      <c r="W1411">
        <v>1.1715919999999999E-2</v>
      </c>
      <c r="X1411">
        <v>0.99442540000000001</v>
      </c>
      <c r="Y1411">
        <v>0.31036360000000002</v>
      </c>
      <c r="Z1411">
        <v>-1.766034E-2</v>
      </c>
      <c r="AA1411">
        <v>0.95045389999999996</v>
      </c>
      <c r="AB1411">
        <v>37</v>
      </c>
      <c r="AC1411">
        <v>-93.543400000000005</v>
      </c>
      <c r="AD1411">
        <v>4.0666839999999898</v>
      </c>
      <c r="AE1411">
        <v>-212.72630000000001</v>
      </c>
      <c r="AF1411">
        <v>72.223603430178301</v>
      </c>
      <c r="AG1411">
        <v>4.0666839999999898</v>
      </c>
      <c r="AH1411">
        <v>220.80203090753801</v>
      </c>
      <c r="AI1411">
        <v>88.997132959850404</v>
      </c>
      <c r="AJ1411">
        <v>71.887252977130302</v>
      </c>
      <c r="AK1411">
        <v>232.34957211944501</v>
      </c>
      <c r="AL1411">
        <v>89.328711893984504</v>
      </c>
      <c r="AM1411">
        <v>83.984523859876006</v>
      </c>
      <c r="AN1411">
        <v>1.0000000310443</v>
      </c>
    </row>
    <row r="1412" spans="1:40" x14ac:dyDescent="0.25">
      <c r="A1412" t="str">
        <f>"20190312160324031"</f>
        <v>20190312160324031</v>
      </c>
      <c r="B1412" t="str">
        <f>"1552377804025749"</f>
        <v>1552377804025749</v>
      </c>
      <c r="C1412" t="s">
        <v>40</v>
      </c>
      <c r="D1412">
        <v>5.8540000000000001</v>
      </c>
      <c r="E1412">
        <v>0.57803280000000001</v>
      </c>
      <c r="F1412" t="s">
        <v>67</v>
      </c>
      <c r="G1412">
        <v>-255.77869999999999</v>
      </c>
      <c r="H1412">
        <v>4.2352930000000004</v>
      </c>
      <c r="I1412">
        <v>168.6703</v>
      </c>
      <c r="J1412">
        <v>-184.88300000000001</v>
      </c>
      <c r="K1412">
        <v>1.1039479999999999</v>
      </c>
      <c r="L1412">
        <v>331.35700000000003</v>
      </c>
      <c r="M1412">
        <v>-0.10278180000000001</v>
      </c>
      <c r="N1412">
        <v>0</v>
      </c>
      <c r="O1412">
        <v>-0.99459819999999999</v>
      </c>
      <c r="P1412">
        <v>-0.20549500000000001</v>
      </c>
      <c r="Q1412">
        <v>-1.332076E-3</v>
      </c>
      <c r="R1412">
        <v>-0.9786572</v>
      </c>
      <c r="S1412">
        <v>-1.223068</v>
      </c>
      <c r="T1412">
        <v>5.3995849999999998E-2</v>
      </c>
      <c r="U1412">
        <v>-2.8112490000000001</v>
      </c>
      <c r="V1412">
        <v>0.10398350000000001</v>
      </c>
      <c r="W1412">
        <v>1.1627709999999999E-2</v>
      </c>
      <c r="X1412">
        <v>0.99451109999999998</v>
      </c>
      <c r="Y1412">
        <v>0.30250700000000003</v>
      </c>
      <c r="Z1412">
        <v>-1.779681E-2</v>
      </c>
      <c r="AA1412">
        <v>0.95298099999999997</v>
      </c>
      <c r="AB1412">
        <v>37</v>
      </c>
      <c r="AC1412">
        <v>-70.895700000000005</v>
      </c>
      <c r="AD1412">
        <v>3.131345</v>
      </c>
      <c r="AE1412">
        <v>-162.68669999999901</v>
      </c>
      <c r="AF1412">
        <v>53.780417005075201</v>
      </c>
      <c r="AG1412">
        <v>3.131345</v>
      </c>
      <c r="AH1412">
        <v>169.05983524750101</v>
      </c>
      <c r="AI1412">
        <v>88.988803599539693</v>
      </c>
      <c r="AJ1412">
        <v>72.353368445662596</v>
      </c>
      <c r="AK1412">
        <v>177.43552763936799</v>
      </c>
      <c r="AL1412">
        <v>89.333766311443696</v>
      </c>
      <c r="AM1412">
        <v>84.030990487521905</v>
      </c>
      <c r="AN1412">
        <v>1.00000004996765</v>
      </c>
    </row>
    <row r="1413" spans="1:40" x14ac:dyDescent="0.25">
      <c r="A1413" t="str">
        <f>"20190312160324054"</f>
        <v>20190312160324054</v>
      </c>
      <c r="B1413" t="str">
        <f>"1552377804046245"</f>
        <v>1552377804046245</v>
      </c>
      <c r="C1413" t="s">
        <v>40</v>
      </c>
      <c r="D1413">
        <v>5.9914269999999998</v>
      </c>
      <c r="E1413">
        <v>0.5764416</v>
      </c>
      <c r="F1413" t="s">
        <v>67</v>
      </c>
      <c r="G1413">
        <v>-255.95830000000001</v>
      </c>
      <c r="H1413">
        <v>3.956995</v>
      </c>
      <c r="I1413">
        <v>168.40729999999999</v>
      </c>
      <c r="J1413">
        <v>-184.9271</v>
      </c>
      <c r="K1413">
        <v>1.1042689999999999</v>
      </c>
      <c r="L1413">
        <v>330.97590000000002</v>
      </c>
      <c r="M1413">
        <v>-0.1076165</v>
      </c>
      <c r="N1413">
        <v>0</v>
      </c>
      <c r="O1413">
        <v>-0.9940871</v>
      </c>
      <c r="P1413">
        <v>-0.2101778</v>
      </c>
      <c r="Q1413">
        <v>-9.7968480000000004E-4</v>
      </c>
      <c r="R1413">
        <v>-0.9776627</v>
      </c>
      <c r="S1413">
        <v>-1.2249300000000001</v>
      </c>
      <c r="T1413">
        <v>4.9169900000000002E-2</v>
      </c>
      <c r="U1413">
        <v>-2.808319</v>
      </c>
      <c r="V1413">
        <v>0.10390480000000001</v>
      </c>
      <c r="W1413">
        <v>1.2019169999999999E-2</v>
      </c>
      <c r="X1413">
        <v>0.99451460000000003</v>
      </c>
      <c r="Y1413">
        <v>0.29877559999999997</v>
      </c>
      <c r="Z1413">
        <v>-1.6217240000000001E-2</v>
      </c>
      <c r="AA1413">
        <v>0.95418559999999997</v>
      </c>
      <c r="AB1413">
        <v>37</v>
      </c>
      <c r="AC1413">
        <v>-71.031199999999998</v>
      </c>
      <c r="AD1413">
        <v>2.8527260000000001</v>
      </c>
      <c r="AE1413">
        <v>-162.5686</v>
      </c>
      <c r="AF1413">
        <v>53.107969549178002</v>
      </c>
      <c r="AG1413">
        <v>2.8527260000000001</v>
      </c>
      <c r="AH1413">
        <v>169.22545573567899</v>
      </c>
      <c r="AI1413">
        <v>89.078528971421804</v>
      </c>
      <c r="AJ1413">
        <v>72.576594970111799</v>
      </c>
      <c r="AK1413">
        <v>177.386158829306</v>
      </c>
      <c r="AL1413">
        <v>89.311335689652296</v>
      </c>
      <c r="AM1413">
        <v>84.035496397244003</v>
      </c>
      <c r="AN1413">
        <v>0.99999997876184399</v>
      </c>
    </row>
    <row r="1414" spans="1:40" x14ac:dyDescent="0.25">
      <c r="A1414" t="str">
        <f>"20190312160324075"</f>
        <v>20190312160324075</v>
      </c>
      <c r="B1414" t="str">
        <f>"1552377804065765"</f>
        <v>1552377804065765</v>
      </c>
      <c r="C1414" t="s">
        <v>40</v>
      </c>
      <c r="D1414">
        <v>6.0847810000000004</v>
      </c>
      <c r="E1414">
        <v>0.57510490000000003</v>
      </c>
      <c r="F1414" t="s">
        <v>67</v>
      </c>
      <c r="G1414">
        <v>-255.98500000000001</v>
      </c>
      <c r="H1414">
        <v>3.8313980000000001</v>
      </c>
      <c r="I1414">
        <v>168.40729999999999</v>
      </c>
      <c r="J1414">
        <v>-184.9691</v>
      </c>
      <c r="K1414">
        <v>1.1045149999999999</v>
      </c>
      <c r="L1414">
        <v>330.62540000000001</v>
      </c>
      <c r="M1414">
        <v>-0.1118912</v>
      </c>
      <c r="N1414">
        <v>0</v>
      </c>
      <c r="O1414">
        <v>-0.99361540000000004</v>
      </c>
      <c r="P1414">
        <v>-0.21544289999999999</v>
      </c>
      <c r="Q1414">
        <v>-5.8873949999999997E-4</v>
      </c>
      <c r="R1414">
        <v>-0.9765163</v>
      </c>
      <c r="S1414">
        <v>-1.226089</v>
      </c>
      <c r="T1414">
        <v>4.7055720000000002E-2</v>
      </c>
      <c r="U1414">
        <v>-2.8050839999999999</v>
      </c>
      <c r="V1414">
        <v>0.1049837</v>
      </c>
      <c r="W1414">
        <v>1.242445E-2</v>
      </c>
      <c r="X1414">
        <v>0.99439630000000001</v>
      </c>
      <c r="Y1414">
        <v>0.295408</v>
      </c>
      <c r="Z1414">
        <v>-1.553247E-2</v>
      </c>
      <c r="AA1414">
        <v>0.95524489999999995</v>
      </c>
      <c r="AB1414">
        <v>37</v>
      </c>
      <c r="AC1414">
        <v>-71.015900000000002</v>
      </c>
      <c r="AD1414">
        <v>2.7268829999999999</v>
      </c>
      <c r="AE1414">
        <v>-162.21809999999999</v>
      </c>
      <c r="AF1414">
        <v>52.404759855988203</v>
      </c>
      <c r="AG1414">
        <v>2.7268829999999999</v>
      </c>
      <c r="AH1414">
        <v>169.10601607037401</v>
      </c>
      <c r="AI1414">
        <v>89.117562821084604</v>
      </c>
      <c r="AJ1414">
        <v>72.782160458159495</v>
      </c>
      <c r="AK1414">
        <v>177.060835357945</v>
      </c>
      <c r="AL1414">
        <v>89.288113116789106</v>
      </c>
      <c r="AM1414">
        <v>83.973305484942898</v>
      </c>
      <c r="AN1414">
        <v>0.99999997283858999</v>
      </c>
    </row>
    <row r="1415" spans="1:40" x14ac:dyDescent="0.25">
      <c r="A1415" t="str">
        <f>"20190312160324097"</f>
        <v>20190312160324097</v>
      </c>
      <c r="B1415" t="str">
        <f>"1552377804086261"</f>
        <v>1552377804086261</v>
      </c>
      <c r="C1415" t="s">
        <v>40</v>
      </c>
      <c r="D1415">
        <v>6.0046660000000003</v>
      </c>
      <c r="E1415">
        <v>0.57402410000000004</v>
      </c>
      <c r="F1415" t="s">
        <v>66</v>
      </c>
      <c r="G1415">
        <v>-277.9778</v>
      </c>
      <c r="H1415">
        <v>4.4892690000000002</v>
      </c>
      <c r="I1415">
        <v>118.99120000000001</v>
      </c>
      <c r="J1415">
        <v>-185.01390000000001</v>
      </c>
      <c r="K1415">
        <v>1.104749</v>
      </c>
      <c r="L1415">
        <v>330.26400000000001</v>
      </c>
      <c r="M1415">
        <v>-0.11614670000000001</v>
      </c>
      <c r="N1415">
        <v>0</v>
      </c>
      <c r="O1415">
        <v>-0.99312750000000005</v>
      </c>
      <c r="P1415">
        <v>-0.2197839</v>
      </c>
      <c r="Q1415">
        <v>-8.1796630000000004E-4</v>
      </c>
      <c r="R1415">
        <v>-0.97554810000000003</v>
      </c>
      <c r="S1415">
        <v>-1.230804</v>
      </c>
      <c r="T1415">
        <v>4.4791339999999999E-2</v>
      </c>
      <c r="U1415">
        <v>-2.8005979999999999</v>
      </c>
      <c r="V1415">
        <v>0.1051366</v>
      </c>
      <c r="W1415">
        <v>1.221943E-2</v>
      </c>
      <c r="X1415">
        <v>0.99438269999999995</v>
      </c>
      <c r="Y1415">
        <v>0.29322920000000002</v>
      </c>
      <c r="Z1415">
        <v>-1.4796180000000001E-2</v>
      </c>
      <c r="AA1415">
        <v>0.95592770000000005</v>
      </c>
      <c r="AB1415">
        <v>37</v>
      </c>
      <c r="AC1415">
        <v>-92.963899999999995</v>
      </c>
      <c r="AD1415">
        <v>3.38451999999999</v>
      </c>
      <c r="AE1415">
        <v>-211.27279999999999</v>
      </c>
      <c r="AF1415">
        <v>67.778835644013</v>
      </c>
      <c r="AG1415">
        <v>3.38451999999999</v>
      </c>
      <c r="AH1415">
        <v>220.59376599745099</v>
      </c>
      <c r="AI1415">
        <v>89.159754835352203</v>
      </c>
      <c r="AJ1415">
        <v>72.920091991944105</v>
      </c>
      <c r="AK1415">
        <v>230.79652322733699</v>
      </c>
      <c r="AL1415">
        <v>89.299860799335505</v>
      </c>
      <c r="AM1415">
        <v>83.964510910169906</v>
      </c>
      <c r="AN1415">
        <v>0.99999998659418698</v>
      </c>
    </row>
    <row r="1416" spans="1:40" x14ac:dyDescent="0.25">
      <c r="A1416" t="str">
        <f>"20190312160324118"</f>
        <v>20190312160324118</v>
      </c>
      <c r="B1416" t="str">
        <f>"1552377804115670"</f>
        <v>1552377804115670</v>
      </c>
      <c r="C1416" t="s">
        <v>40</v>
      </c>
      <c r="D1416">
        <v>5.9686589999999997</v>
      </c>
      <c r="E1416">
        <v>0.57247250000000005</v>
      </c>
      <c r="F1416" t="s">
        <v>66</v>
      </c>
      <c r="G1416">
        <v>-278.29230000000001</v>
      </c>
      <c r="H1416">
        <v>4.1505380000000001</v>
      </c>
      <c r="I1416">
        <v>118.9911</v>
      </c>
      <c r="J1416">
        <v>-185.05930000000001</v>
      </c>
      <c r="K1416">
        <v>1.1049629999999999</v>
      </c>
      <c r="L1416">
        <v>329.90929999999997</v>
      </c>
      <c r="M1416">
        <v>-0.1202014</v>
      </c>
      <c r="N1416">
        <v>0</v>
      </c>
      <c r="O1416">
        <v>-0.99264529999999995</v>
      </c>
      <c r="P1416">
        <v>-0.2239699</v>
      </c>
      <c r="Q1416">
        <v>-7.3359520000000004E-4</v>
      </c>
      <c r="R1416">
        <v>-0.97459569999999995</v>
      </c>
      <c r="S1416">
        <v>-1.2348939999999999</v>
      </c>
      <c r="T1416">
        <v>4.0322660000000003E-2</v>
      </c>
      <c r="U1416">
        <v>-2.7969970000000002</v>
      </c>
      <c r="V1416">
        <v>0.10533960000000001</v>
      </c>
      <c r="W1416">
        <v>1.232433E-2</v>
      </c>
      <c r="X1416">
        <v>0.99435989999999996</v>
      </c>
      <c r="Y1416">
        <v>0.29095599999999999</v>
      </c>
      <c r="Z1416">
        <v>-1.3327179999999999E-2</v>
      </c>
      <c r="AA1416">
        <v>0.95664360000000004</v>
      </c>
      <c r="AB1416">
        <v>37</v>
      </c>
      <c r="AC1416">
        <v>-93.232999999999905</v>
      </c>
      <c r="AD1416">
        <v>3.0455749999999999</v>
      </c>
      <c r="AE1416">
        <v>-210.91820000000001</v>
      </c>
      <c r="AF1416">
        <v>67.1898704212241</v>
      </c>
      <c r="AG1416">
        <v>3.0455749999999999</v>
      </c>
      <c r="AH1416">
        <v>220.55805242900701</v>
      </c>
      <c r="AI1416">
        <v>89.243214456761393</v>
      </c>
      <c r="AJ1416">
        <v>73.057389199660705</v>
      </c>
      <c r="AK1416">
        <v>230.58536099583199</v>
      </c>
      <c r="AL1416">
        <v>89.293850004517594</v>
      </c>
      <c r="AM1416">
        <v>83.952806094037797</v>
      </c>
      <c r="AN1416">
        <v>0.99999996558305804</v>
      </c>
    </row>
    <row r="1417" spans="1:40" x14ac:dyDescent="0.25">
      <c r="A1417" t="str">
        <f>"20190312160324143"</f>
        <v>20190312160324143</v>
      </c>
      <c r="B1417" t="str">
        <f>"1552377804136166"</f>
        <v>1552377804136166</v>
      </c>
      <c r="C1417" t="s">
        <v>40</v>
      </c>
      <c r="D1417">
        <v>6.1773400000000001</v>
      </c>
      <c r="E1417">
        <v>0.57173660000000004</v>
      </c>
      <c r="F1417" t="s">
        <v>66</v>
      </c>
      <c r="G1417">
        <v>-278.2552</v>
      </c>
      <c r="H1417">
        <v>3.7437909999999999</v>
      </c>
      <c r="I1417">
        <v>118.991</v>
      </c>
      <c r="J1417">
        <v>-185.11099999999999</v>
      </c>
      <c r="K1417">
        <v>1.10517</v>
      </c>
      <c r="L1417">
        <v>329.51740000000001</v>
      </c>
      <c r="M1417">
        <v>-0.1245642</v>
      </c>
      <c r="N1417">
        <v>0</v>
      </c>
      <c r="O1417">
        <v>-0.99210759999999998</v>
      </c>
      <c r="P1417">
        <v>-0.2286842</v>
      </c>
      <c r="Q1417">
        <v>-1.4915499999999999E-3</v>
      </c>
      <c r="R1417">
        <v>-0.97349949999999996</v>
      </c>
      <c r="S1417">
        <v>-1.234756</v>
      </c>
      <c r="T1417">
        <v>3.4961819999999998E-2</v>
      </c>
      <c r="U1417">
        <v>-2.7944640000000001</v>
      </c>
      <c r="V1417">
        <v>0.105765899999999</v>
      </c>
      <c r="W1417">
        <v>1.1583370000000001E-2</v>
      </c>
      <c r="X1417">
        <v>0.99432359999999997</v>
      </c>
      <c r="Y1417">
        <v>0.2870375</v>
      </c>
      <c r="Z1417">
        <v>-1.1562859999999999E-2</v>
      </c>
      <c r="AA1417">
        <v>0.95784959999999997</v>
      </c>
      <c r="AB1417">
        <v>37</v>
      </c>
      <c r="AC1417">
        <v>-93.144199999999998</v>
      </c>
      <c r="AD1417">
        <v>2.6386210000000001</v>
      </c>
      <c r="AE1417">
        <v>-210.5264</v>
      </c>
      <c r="AF1417">
        <v>66.183148594941599</v>
      </c>
      <c r="AG1417">
        <v>2.6386210000000001</v>
      </c>
      <c r="AH1417">
        <v>220.461053328171</v>
      </c>
      <c r="AI1417">
        <v>89.343233210874899</v>
      </c>
      <c r="AJ1417">
        <v>73.290066845767697</v>
      </c>
      <c r="AK1417">
        <v>230.19610664233301</v>
      </c>
      <c r="AL1417">
        <v>89.336306951282594</v>
      </c>
      <c r="AM1417">
        <v>83.928296067533495</v>
      </c>
      <c r="AN1417">
        <v>1.0000000107901601</v>
      </c>
    </row>
    <row r="1418" spans="1:40" x14ac:dyDescent="0.25">
      <c r="A1418" t="str">
        <f>"20190312160324165"</f>
        <v>20190312160324165</v>
      </c>
      <c r="B1418" t="str">
        <f>"1552377804155687"</f>
        <v>1552377804155687</v>
      </c>
      <c r="C1418" t="s">
        <v>40</v>
      </c>
      <c r="D1418">
        <v>5.9939869999999997</v>
      </c>
      <c r="E1418">
        <v>0.57086000000000003</v>
      </c>
      <c r="F1418" t="s">
        <v>66</v>
      </c>
      <c r="G1418">
        <v>-278.89049999999997</v>
      </c>
      <c r="H1418">
        <v>3.4013209999999998</v>
      </c>
      <c r="I1418">
        <v>118.9909</v>
      </c>
      <c r="J1418">
        <v>-185.1618</v>
      </c>
      <c r="K1418">
        <v>1.1053550000000001</v>
      </c>
      <c r="L1418">
        <v>329.14400000000001</v>
      </c>
      <c r="M1418">
        <v>-0.1286204</v>
      </c>
      <c r="N1418">
        <v>0</v>
      </c>
      <c r="O1418">
        <v>-0.99159030000000004</v>
      </c>
      <c r="P1418">
        <v>-0.2328847</v>
      </c>
      <c r="Q1418">
        <v>-2.0651039999999999E-3</v>
      </c>
      <c r="R1418">
        <v>-0.97250230000000004</v>
      </c>
      <c r="S1418">
        <v>-1.2427060000000001</v>
      </c>
      <c r="T1418">
        <v>3.0427099999999901E-2</v>
      </c>
      <c r="U1418">
        <v>-2.7897639999999999</v>
      </c>
      <c r="V1418">
        <v>0.1059807</v>
      </c>
      <c r="W1418">
        <v>1.102742E-2</v>
      </c>
      <c r="X1418">
        <v>0.99430700000000005</v>
      </c>
      <c r="Y1418">
        <v>0.2860029</v>
      </c>
      <c r="Z1418">
        <v>-1.006685E-2</v>
      </c>
      <c r="AA1418">
        <v>0.95817589999999997</v>
      </c>
      <c r="AB1418">
        <v>37</v>
      </c>
      <c r="AC1418">
        <v>-93.728699999999904</v>
      </c>
      <c r="AD1418">
        <v>2.295966</v>
      </c>
      <c r="AE1418">
        <v>-210.15309999999999</v>
      </c>
      <c r="AF1418">
        <v>65.910704471713501</v>
      </c>
      <c r="AG1418">
        <v>2.295966</v>
      </c>
      <c r="AH1418">
        <v>220.44190240018401</v>
      </c>
      <c r="AI1418">
        <v>89.428276023843594</v>
      </c>
      <c r="AJ1418">
        <v>73.353674984258902</v>
      </c>
      <c r="AK1418">
        <v>230.095903391701</v>
      </c>
      <c r="AL1418">
        <v>89.3681625446591</v>
      </c>
      <c r="AM1418">
        <v>83.915956620787796</v>
      </c>
      <c r="AN1418">
        <v>0.99999996150667203</v>
      </c>
    </row>
    <row r="1419" spans="1:40" x14ac:dyDescent="0.25">
      <c r="A1419" t="str">
        <f>"20190312160324187"</f>
        <v>20190312160324187</v>
      </c>
      <c r="B1419" t="str">
        <f>"1552377804176182"</f>
        <v>1552377804176182</v>
      </c>
      <c r="C1419" t="s">
        <v>40</v>
      </c>
      <c r="D1419">
        <v>5.9002319999999999</v>
      </c>
      <c r="E1419">
        <v>0.56994129999999998</v>
      </c>
      <c r="F1419" t="s">
        <v>66</v>
      </c>
      <c r="G1419">
        <v>-279.3141</v>
      </c>
      <c r="H1419">
        <v>2.9872299999999998</v>
      </c>
      <c r="I1419">
        <v>118.99079999999999</v>
      </c>
      <c r="J1419">
        <v>-185.21350000000001</v>
      </c>
      <c r="K1419">
        <v>1.1055349999999999</v>
      </c>
      <c r="L1419">
        <v>328.77449999999999</v>
      </c>
      <c r="M1419">
        <v>-0.13252710000000001</v>
      </c>
      <c r="N1419">
        <v>0</v>
      </c>
      <c r="O1419">
        <v>-0.99107610000000002</v>
      </c>
      <c r="P1419">
        <v>-0.23617340000000001</v>
      </c>
      <c r="Q1419">
        <v>-1.1983759999999999E-3</v>
      </c>
      <c r="R1419">
        <v>-0.97171019999999997</v>
      </c>
      <c r="S1419">
        <v>-1.248154</v>
      </c>
      <c r="T1419">
        <v>2.4947759999999999E-2</v>
      </c>
      <c r="U1419">
        <v>-2.7859500000000001</v>
      </c>
      <c r="V1419">
        <v>0.1054305</v>
      </c>
      <c r="W1419">
        <v>1.192095E-2</v>
      </c>
      <c r="X1419">
        <v>0.99435519999999999</v>
      </c>
      <c r="Y1419">
        <v>0.28428209999999998</v>
      </c>
      <c r="Z1419">
        <v>-8.2570070000000002E-3</v>
      </c>
      <c r="AA1419">
        <v>0.95870509999999998</v>
      </c>
      <c r="AB1419">
        <v>37</v>
      </c>
      <c r="AC1419">
        <v>-94.1006</v>
      </c>
      <c r="AD1419">
        <v>1.8816949999999999</v>
      </c>
      <c r="AE1419">
        <v>-209.78370000000001</v>
      </c>
      <c r="AF1419">
        <v>65.461147537959803</v>
      </c>
      <c r="AG1419">
        <v>1.8816949999999999</v>
      </c>
      <c r="AH1419">
        <v>220.39029250020201</v>
      </c>
      <c r="AI1419">
        <v>89.531067066216906</v>
      </c>
      <c r="AJ1419">
        <v>73.457330884369497</v>
      </c>
      <c r="AK1419">
        <v>229.91429629621601</v>
      </c>
      <c r="AL1419">
        <v>89.316963686368695</v>
      </c>
      <c r="AM1419">
        <v>83.947598149608297</v>
      </c>
      <c r="AN1419">
        <v>0.999999981573096</v>
      </c>
    </row>
    <row r="1420" spans="1:40" x14ac:dyDescent="0.25">
      <c r="A1420" t="str">
        <f>"20190312160324211"</f>
        <v>20190312160324211</v>
      </c>
      <c r="B1420" t="str">
        <f>"1552377804205461"</f>
        <v>1552377804205461</v>
      </c>
      <c r="C1420" t="s">
        <v>40</v>
      </c>
      <c r="D1420">
        <v>5.899654</v>
      </c>
      <c r="E1420">
        <v>0.56860650000000001</v>
      </c>
      <c r="F1420" t="s">
        <v>66</v>
      </c>
      <c r="G1420">
        <v>-279.42790000000002</v>
      </c>
      <c r="H1420">
        <v>2.9194840000000002</v>
      </c>
      <c r="I1420">
        <v>118.9907</v>
      </c>
      <c r="J1420">
        <v>-185.26939999999999</v>
      </c>
      <c r="K1420">
        <v>1.105721</v>
      </c>
      <c r="L1420">
        <v>328.38639999999998</v>
      </c>
      <c r="M1420">
        <v>-0.1364746</v>
      </c>
      <c r="N1420">
        <v>0</v>
      </c>
      <c r="O1420">
        <v>-0.99054059999999999</v>
      </c>
      <c r="P1420">
        <v>-0.23930029999999999</v>
      </c>
      <c r="Q1420">
        <v>-5.7220329999999996E-4</v>
      </c>
      <c r="R1420">
        <v>-0.97094539999999996</v>
      </c>
      <c r="S1420">
        <v>-1.2501070000000001</v>
      </c>
      <c r="T1420">
        <v>2.4069070000000001E-2</v>
      </c>
      <c r="U1420">
        <v>-2.783569</v>
      </c>
      <c r="V1420">
        <v>0.10467070000000001</v>
      </c>
      <c r="W1420">
        <v>1.257894E-2</v>
      </c>
      <c r="X1420">
        <v>0.99442739999999996</v>
      </c>
      <c r="Y1420">
        <v>0.28132780000000002</v>
      </c>
      <c r="Z1420">
        <v>-7.9683870000000004E-3</v>
      </c>
      <c r="AA1420">
        <v>0.95957859999999995</v>
      </c>
      <c r="AB1420">
        <v>37</v>
      </c>
      <c r="AC1420">
        <v>-94.158500000000004</v>
      </c>
      <c r="AD1420">
        <v>1.813763</v>
      </c>
      <c r="AE1420">
        <v>-209.39570000000001</v>
      </c>
      <c r="AF1420">
        <v>64.693184797905701</v>
      </c>
      <c r="AG1420">
        <v>1.813763</v>
      </c>
      <c r="AH1420">
        <v>220.273909678113</v>
      </c>
      <c r="AI1420">
        <v>89.547347507567494</v>
      </c>
      <c r="AJ1420">
        <v>73.632788668555705</v>
      </c>
      <c r="AK1420">
        <v>229.58461006870101</v>
      </c>
      <c r="AL1420">
        <v>89.279260833408202</v>
      </c>
      <c r="AM1420">
        <v>83.991328457252607</v>
      </c>
      <c r="AN1420">
        <v>1.00000001952038</v>
      </c>
    </row>
    <row r="1421" spans="1:40" x14ac:dyDescent="0.25">
      <c r="A1421" t="str">
        <f>"20190312160324231"</f>
        <v>20190312160324231</v>
      </c>
      <c r="B1421" t="str">
        <f>"1552377804225958"</f>
        <v>1552377804225958</v>
      </c>
      <c r="C1421" t="s">
        <v>40</v>
      </c>
      <c r="D1421">
        <v>5.8522759999999998</v>
      </c>
      <c r="E1421">
        <v>0.56776819999999995</v>
      </c>
      <c r="F1421" t="s">
        <v>66</v>
      </c>
      <c r="G1421">
        <v>-279.29520000000002</v>
      </c>
      <c r="H1421">
        <v>2.6646070000000002</v>
      </c>
      <c r="I1421">
        <v>118.9906</v>
      </c>
      <c r="J1421">
        <v>-185.3177</v>
      </c>
      <c r="K1421">
        <v>1.105872</v>
      </c>
      <c r="L1421">
        <v>328.05829999999997</v>
      </c>
      <c r="M1421">
        <v>-0.13971410000000001</v>
      </c>
      <c r="N1421">
        <v>0</v>
      </c>
      <c r="O1421">
        <v>-0.990089</v>
      </c>
      <c r="P1421">
        <v>-0.2419492</v>
      </c>
      <c r="Q1421">
        <v>-1.4203600000000001E-3</v>
      </c>
      <c r="R1421">
        <v>-0.97028800000000004</v>
      </c>
      <c r="S1421">
        <v>-1.2491760000000001</v>
      </c>
      <c r="T1421">
        <v>2.0710470000000002E-2</v>
      </c>
      <c r="U1421">
        <v>-2.7819210000000001</v>
      </c>
      <c r="V1421">
        <v>0.10411869999999999</v>
      </c>
      <c r="W1421">
        <v>1.1755979999999999E-2</v>
      </c>
      <c r="X1421">
        <v>0.99449540000000003</v>
      </c>
      <c r="Y1421">
        <v>0.27813589999999999</v>
      </c>
      <c r="Z1421">
        <v>-6.8592490000000004E-3</v>
      </c>
      <c r="AA1421">
        <v>0.96051719999999896</v>
      </c>
      <c r="AB1421">
        <v>37</v>
      </c>
      <c r="AC1421">
        <v>-93.977500000000006</v>
      </c>
      <c r="AD1421">
        <v>1.558735</v>
      </c>
      <c r="AE1421">
        <v>-209.0677</v>
      </c>
      <c r="AF1421">
        <v>63.839935386274902</v>
      </c>
      <c r="AG1421">
        <v>1.558735</v>
      </c>
      <c r="AH1421">
        <v>220.137859912506</v>
      </c>
      <c r="AI1421">
        <v>89.610364215842907</v>
      </c>
      <c r="AJ1421">
        <v>73.827851545003895</v>
      </c>
      <c r="AK1421">
        <v>229.213098168019</v>
      </c>
      <c r="AL1421">
        <v>89.326416448618005</v>
      </c>
      <c r="AM1421">
        <v>84.023192013899006</v>
      </c>
      <c r="AN1421">
        <v>1.0000000036883001</v>
      </c>
    </row>
    <row r="1422" spans="1:40" x14ac:dyDescent="0.25">
      <c r="A1422" t="str">
        <f>"20190312160324254"</f>
        <v>20190312160324254</v>
      </c>
      <c r="B1422" t="str">
        <f>"1552377804246454"</f>
        <v>1552377804246454</v>
      </c>
      <c r="C1422" t="s">
        <v>40</v>
      </c>
      <c r="D1422">
        <v>5.7248919999999996</v>
      </c>
      <c r="E1422">
        <v>0.56697030000000004</v>
      </c>
      <c r="F1422" t="s">
        <v>66</v>
      </c>
      <c r="G1422">
        <v>-279.3193</v>
      </c>
      <c r="H1422">
        <v>2.1766700000000001</v>
      </c>
      <c r="I1422">
        <v>118.9905</v>
      </c>
      <c r="J1422">
        <v>-185.37389999999999</v>
      </c>
      <c r="K1422">
        <v>1.1060399999999999</v>
      </c>
      <c r="L1422">
        <v>327.68579999999997</v>
      </c>
      <c r="M1422">
        <v>-0.14325889999999999</v>
      </c>
      <c r="N1422">
        <v>0</v>
      </c>
      <c r="O1422">
        <v>-0.98958270000000004</v>
      </c>
      <c r="P1422">
        <v>-0.24618780000000001</v>
      </c>
      <c r="Q1422">
        <v>-2.5529870000000001E-3</v>
      </c>
      <c r="R1422">
        <v>-0.96921889999999999</v>
      </c>
      <c r="S1422">
        <v>-1.250046</v>
      </c>
      <c r="T1422">
        <v>1.4239669999999999E-2</v>
      </c>
      <c r="U1422">
        <v>-2.7802120000000001</v>
      </c>
      <c r="V1422">
        <v>0.1048887</v>
      </c>
      <c r="W1422">
        <v>1.0636909999999999E-2</v>
      </c>
      <c r="X1422">
        <v>0.99442710000000001</v>
      </c>
      <c r="Y1422">
        <v>0.27517029999999998</v>
      </c>
      <c r="Z1422">
        <v>-4.7169830000000001E-3</v>
      </c>
      <c r="AA1422">
        <v>0.96138389999999996</v>
      </c>
      <c r="AB1422">
        <v>37</v>
      </c>
      <c r="AC1422">
        <v>-93.945400000000006</v>
      </c>
      <c r="AD1422">
        <v>1.07063</v>
      </c>
      <c r="AE1422">
        <v>-208.6953</v>
      </c>
      <c r="AF1422">
        <v>63.074304661522902</v>
      </c>
      <c r="AG1422">
        <v>1.07063</v>
      </c>
      <c r="AH1422">
        <v>219.99728655774601</v>
      </c>
      <c r="AI1422">
        <v>89.731967262703805</v>
      </c>
      <c r="AJ1422">
        <v>74.002142335965004</v>
      </c>
      <c r="AK1422">
        <v>228.863103732128</v>
      </c>
      <c r="AL1422">
        <v>89.390538469095105</v>
      </c>
      <c r="AM1422">
        <v>83.978904097182195</v>
      </c>
      <c r="AN1422">
        <v>1.00000002022822</v>
      </c>
    </row>
    <row r="1423" spans="1:40" x14ac:dyDescent="0.25">
      <c r="A1423" t="str">
        <f>"20190312160324275"</f>
        <v>20190312160324275</v>
      </c>
      <c r="B1423" t="str">
        <f>"1552377804265978"</f>
        <v>1552377804265978</v>
      </c>
      <c r="C1423" t="s">
        <v>40</v>
      </c>
      <c r="D1423">
        <v>5.8109799999999998</v>
      </c>
      <c r="E1423">
        <v>0.56615950000000004</v>
      </c>
      <c r="F1423" t="s">
        <v>45</v>
      </c>
      <c r="G1423">
        <v>0</v>
      </c>
      <c r="H1423">
        <v>0</v>
      </c>
      <c r="I1423">
        <v>0</v>
      </c>
      <c r="J1423">
        <v>-185.42930000000001</v>
      </c>
      <c r="K1423">
        <v>1.1062000000000001</v>
      </c>
      <c r="L1423">
        <v>327.32530000000003</v>
      </c>
      <c r="M1423">
        <v>-0.14654990000000001</v>
      </c>
      <c r="N1423">
        <v>0</v>
      </c>
      <c r="O1423">
        <v>-0.98910089999999995</v>
      </c>
      <c r="P1423">
        <v>-0.24991959999999999</v>
      </c>
      <c r="Q1423">
        <v>-3.5299950000000002E-3</v>
      </c>
      <c r="R1423">
        <v>-0.96826060000000003</v>
      </c>
      <c r="S1423">
        <v>-1.2560119999999999</v>
      </c>
      <c r="T1423">
        <v>6.2831639999999999E-3</v>
      </c>
      <c r="U1423">
        <v>-2.7763059999999999</v>
      </c>
      <c r="V1423">
        <v>0.10539900000000001</v>
      </c>
      <c r="W1423">
        <v>9.6766089999999992E-3</v>
      </c>
      <c r="X1423">
        <v>0.99438289999999996</v>
      </c>
      <c r="Y1423">
        <v>0.2741981</v>
      </c>
      <c r="Z1423">
        <v>-2.0819160000000001E-3</v>
      </c>
      <c r="AA1423">
        <v>0.96167100000000005</v>
      </c>
      <c r="AB1423">
        <v>37</v>
      </c>
      <c r="AC1423">
        <v>-1.2560119999999999</v>
      </c>
      <c r="AD1423">
        <v>6.2831639999999999E-3</v>
      </c>
      <c r="AE1423">
        <v>-2.7763059999999999</v>
      </c>
      <c r="AF1423">
        <v>0.83553629847381705</v>
      </c>
      <c r="AG1423">
        <v>6.2831639999999999E-3</v>
      </c>
      <c r="AH1423">
        <v>2.9303995099502198</v>
      </c>
      <c r="AI1423">
        <v>89.881858906026594</v>
      </c>
      <c r="AJ1423">
        <v>74.085713353011798</v>
      </c>
      <c r="AK1423">
        <v>3.04719570624101</v>
      </c>
      <c r="AL1423">
        <v>89.445562474199505</v>
      </c>
      <c r="AM1423">
        <v>83.949560338237006</v>
      </c>
      <c r="AN1423">
        <v>0.99999996888757403</v>
      </c>
    </row>
    <row r="1424" spans="1:40" x14ac:dyDescent="0.25">
      <c r="A1424" t="str">
        <f>"20190312160324300"</f>
        <v>20190312160324300</v>
      </c>
      <c r="B1424" t="str">
        <f>"1552377804296230"</f>
        <v>1552377804296230</v>
      </c>
      <c r="C1424" t="s">
        <v>40</v>
      </c>
      <c r="D1424">
        <v>5.746893</v>
      </c>
      <c r="E1424">
        <v>0.56536129999999996</v>
      </c>
      <c r="F1424" t="s">
        <v>45</v>
      </c>
      <c r="G1424">
        <v>0</v>
      </c>
      <c r="H1424">
        <v>0</v>
      </c>
      <c r="I1424">
        <v>0</v>
      </c>
      <c r="J1424">
        <v>-185.49</v>
      </c>
      <c r="K1424">
        <v>1.1063700000000001</v>
      </c>
      <c r="L1424">
        <v>326.93849999999998</v>
      </c>
      <c r="M1424">
        <v>-0.14993600000000001</v>
      </c>
      <c r="N1424">
        <v>0</v>
      </c>
      <c r="O1424">
        <v>-0.98859359999999996</v>
      </c>
      <c r="P1424">
        <v>-0.25381169999999997</v>
      </c>
      <c r="Q1424">
        <v>-3.5957609999999998E-3</v>
      </c>
      <c r="R1424">
        <v>-0.96724710000000003</v>
      </c>
      <c r="S1424">
        <v>-1.2605440000000001</v>
      </c>
      <c r="T1424">
        <v>-9.5963479999999996E-4</v>
      </c>
      <c r="U1424">
        <v>-2.7730100000000002</v>
      </c>
      <c r="V1424">
        <v>0.10598870000000001</v>
      </c>
      <c r="W1424">
        <v>9.6279729999999997E-3</v>
      </c>
      <c r="X1424">
        <v>0.9943208</v>
      </c>
      <c r="Y1424">
        <v>0.27263809999999999</v>
      </c>
      <c r="Z1424">
        <v>3.180422E-4</v>
      </c>
      <c r="AA1424">
        <v>0.96211659999999999</v>
      </c>
      <c r="AB1424">
        <v>37</v>
      </c>
      <c r="AC1424">
        <v>-1.2605440000000001</v>
      </c>
      <c r="AD1424">
        <v>-9.5963479999999996E-4</v>
      </c>
      <c r="AE1424">
        <v>-2.7730100000000002</v>
      </c>
      <c r="AF1424">
        <v>0.83047545769490305</v>
      </c>
      <c r="AG1424">
        <v>-9.5963479999999996E-4</v>
      </c>
      <c r="AH1424">
        <v>2.9306764250603998</v>
      </c>
      <c r="AI1424">
        <v>90.018050467805296</v>
      </c>
      <c r="AJ1424">
        <v>74.1786861795579</v>
      </c>
      <c r="AK1424">
        <v>3.04607201410888</v>
      </c>
      <c r="AL1424">
        <v>89.448349301751193</v>
      </c>
      <c r="AM1424">
        <v>83.9155846211913</v>
      </c>
      <c r="AN1424">
        <v>1.0000000778522</v>
      </c>
    </row>
    <row r="1425" spans="1:40" x14ac:dyDescent="0.25">
      <c r="A1425" t="str">
        <f>"20190312160324322"</f>
        <v>20190312160324322</v>
      </c>
      <c r="B1425" t="str">
        <f>"1552377804315751"</f>
        <v>1552377804315751</v>
      </c>
      <c r="C1425" t="s">
        <v>40</v>
      </c>
      <c r="D1425">
        <v>6.2287850000000002</v>
      </c>
      <c r="E1425">
        <v>0.55069880000000004</v>
      </c>
      <c r="F1425" t="s">
        <v>68</v>
      </c>
      <c r="G1425">
        <v>-247.75129999999999</v>
      </c>
      <c r="H1425">
        <v>0.92271139999999996</v>
      </c>
      <c r="I1425">
        <v>190.7099</v>
      </c>
      <c r="J1425">
        <v>-185.54669999999999</v>
      </c>
      <c r="K1425">
        <v>1.106522</v>
      </c>
      <c r="L1425">
        <v>326.58370000000002</v>
      </c>
      <c r="M1425">
        <v>-0.15292649999999999</v>
      </c>
      <c r="N1425">
        <v>0</v>
      </c>
      <c r="O1425">
        <v>-0.98813569999999995</v>
      </c>
      <c r="P1425">
        <v>-0.25637989999999999</v>
      </c>
      <c r="Q1425">
        <v>-2.5937059999999999E-3</v>
      </c>
      <c r="R1425">
        <v>-0.9665726</v>
      </c>
      <c r="S1425">
        <v>-1.265747</v>
      </c>
      <c r="T1425">
        <v>-3.7337540000000002E-3</v>
      </c>
      <c r="U1425">
        <v>-2.7694700000000001</v>
      </c>
      <c r="V1425">
        <v>0.1056257</v>
      </c>
      <c r="W1425">
        <v>1.0652170000000001E-2</v>
      </c>
      <c r="X1425">
        <v>0.99434889999999998</v>
      </c>
      <c r="Y1425">
        <v>0.27168619999999999</v>
      </c>
      <c r="Z1425">
        <v>1.2377250000000001E-3</v>
      </c>
      <c r="AA1425">
        <v>0.96238509999999999</v>
      </c>
      <c r="AB1425">
        <v>37</v>
      </c>
      <c r="AC1425">
        <v>-62.204599999999999</v>
      </c>
      <c r="AD1425">
        <v>-0.18381059999999999</v>
      </c>
      <c r="AE1425">
        <v>-135.87379999999999</v>
      </c>
      <c r="AF1425">
        <v>40.691916064476302</v>
      </c>
      <c r="AG1425">
        <v>-0.18381059999999999</v>
      </c>
      <c r="AH1425">
        <v>143.788741499748</v>
      </c>
      <c r="AI1425">
        <v>90.070475561966305</v>
      </c>
      <c r="AJ1425">
        <v>74.198596791679407</v>
      </c>
      <c r="AK1425">
        <v>149.435832387739</v>
      </c>
      <c r="AL1425">
        <v>89.389664071239594</v>
      </c>
      <c r="AM1425">
        <v>83.936437662598905</v>
      </c>
      <c r="AN1425">
        <v>0.99999999607870405</v>
      </c>
    </row>
    <row r="1426" spans="1:40" x14ac:dyDescent="0.25">
      <c r="A1426" t="str">
        <f>"20190312160324344"</f>
        <v>20190312160324344</v>
      </c>
      <c r="B1426" t="str">
        <f>"1552377804336246"</f>
        <v>1552377804336246</v>
      </c>
      <c r="C1426" t="s">
        <v>40</v>
      </c>
      <c r="D1426">
        <v>5.7312659999999997</v>
      </c>
      <c r="E1426">
        <v>0.54699409999999904</v>
      </c>
      <c r="F1426" t="s">
        <v>59</v>
      </c>
      <c r="G1426">
        <v>-197.02209999999999</v>
      </c>
      <c r="H1426" s="1">
        <v>1.1924589999999999E-7</v>
      </c>
      <c r="I1426">
        <v>298.93920000000003</v>
      </c>
      <c r="J1426">
        <v>-185.60480000000001</v>
      </c>
      <c r="K1426">
        <v>1.1066560000000001</v>
      </c>
      <c r="L1426">
        <v>326.22699999999998</v>
      </c>
      <c r="M1426">
        <v>-0.1558398</v>
      </c>
      <c r="N1426">
        <v>0</v>
      </c>
      <c r="O1426">
        <v>-0.98768060000000002</v>
      </c>
      <c r="P1426">
        <v>-0.25937310000000002</v>
      </c>
      <c r="Q1426">
        <v>-1.717971E-3</v>
      </c>
      <c r="R1426">
        <v>-0.96577590000000002</v>
      </c>
      <c r="S1426">
        <v>-1.1604920000000001</v>
      </c>
      <c r="T1426">
        <v>-0.11190120000000001</v>
      </c>
      <c r="U1426">
        <v>-2.7956539999999999</v>
      </c>
      <c r="V1426">
        <v>0.1057773</v>
      </c>
      <c r="W1426">
        <v>1.154237E-2</v>
      </c>
      <c r="X1426">
        <v>0.99432279999999995</v>
      </c>
      <c r="Y1426">
        <v>0.23448849999999999</v>
      </c>
      <c r="Z1426">
        <v>3.717678E-2</v>
      </c>
      <c r="AA1426">
        <v>0.97140780000000004</v>
      </c>
      <c r="AB1426">
        <v>37</v>
      </c>
      <c r="AC1426">
        <v>-11.4172999999999</v>
      </c>
      <c r="AD1426">
        <v>-1.10665588075409</v>
      </c>
      <c r="AE1426">
        <v>-27.287800000000001</v>
      </c>
      <c r="AF1426">
        <v>7.0150076707203199</v>
      </c>
      <c r="AG1426">
        <v>-1.10665588075409</v>
      </c>
      <c r="AH1426">
        <v>28.6936263645864</v>
      </c>
      <c r="AI1426">
        <v>92.145560918810901</v>
      </c>
      <c r="AJ1426">
        <v>76.261828427155805</v>
      </c>
      <c r="AK1426">
        <v>29.559418360467799</v>
      </c>
      <c r="AL1426">
        <v>89.338656193116407</v>
      </c>
      <c r="AM1426">
        <v>83.927641667839097</v>
      </c>
      <c r="AN1426">
        <v>0.99999994705017103</v>
      </c>
    </row>
    <row r="1427" spans="1:40" x14ac:dyDescent="0.25">
      <c r="A1427" t="str">
        <f>"20190312160324368"</f>
        <v>20190312160324368</v>
      </c>
      <c r="B1427" t="str">
        <f>"1552377804355766"</f>
        <v>1552377804355766</v>
      </c>
      <c r="C1427" t="s">
        <v>40</v>
      </c>
      <c r="D1427">
        <v>5.7210390000000002</v>
      </c>
      <c r="E1427">
        <v>0.5454464</v>
      </c>
      <c r="F1427" t="s">
        <v>59</v>
      </c>
      <c r="G1427">
        <v>-198.65649999999999</v>
      </c>
      <c r="H1427" s="1">
        <v>1.0714579999999999E-6</v>
      </c>
      <c r="I1427">
        <v>294.18779999999998</v>
      </c>
      <c r="J1427">
        <v>-185.67080000000001</v>
      </c>
      <c r="K1427">
        <v>1.106779</v>
      </c>
      <c r="L1427">
        <v>325.82839999999999</v>
      </c>
      <c r="M1427">
        <v>-0.1590086</v>
      </c>
      <c r="N1427">
        <v>0</v>
      </c>
      <c r="O1427">
        <v>-0.98717560000000004</v>
      </c>
      <c r="P1427">
        <v>-0.26162299999999999</v>
      </c>
      <c r="Q1427">
        <v>-1.132009E-3</v>
      </c>
      <c r="R1427">
        <v>-0.96516970000000002</v>
      </c>
      <c r="S1427">
        <v>-1.140549</v>
      </c>
      <c r="T1427">
        <v>-9.6707109999999999E-2</v>
      </c>
      <c r="U1427">
        <v>-2.7998050000000001</v>
      </c>
      <c r="V1427">
        <v>0.1049047</v>
      </c>
      <c r="W1427">
        <v>1.2150289999999999E-2</v>
      </c>
      <c r="X1427">
        <v>0.99440810000000002</v>
      </c>
      <c r="Y1427">
        <v>0.22499420000000001</v>
      </c>
      <c r="Z1427">
        <v>3.2144850000000003E-2</v>
      </c>
      <c r="AA1427">
        <v>0.97382970000000002</v>
      </c>
      <c r="AB1427">
        <v>37</v>
      </c>
      <c r="AC1427">
        <v>-12.9856999999999</v>
      </c>
      <c r="AD1427">
        <v>-1.1067779285420001</v>
      </c>
      <c r="AE1427">
        <v>-31.640599999999999</v>
      </c>
      <c r="AF1427">
        <v>7.7806720909857896</v>
      </c>
      <c r="AG1427">
        <v>-1.1067779285420001</v>
      </c>
      <c r="AH1427">
        <v>33.2681686123763</v>
      </c>
      <c r="AI1427">
        <v>91.855402735874193</v>
      </c>
      <c r="AJ1427">
        <v>76.836419203351497</v>
      </c>
      <c r="AK1427">
        <v>34.183839140624002</v>
      </c>
      <c r="AL1427">
        <v>89.303822566090702</v>
      </c>
      <c r="AM1427">
        <v>83.977878155951899</v>
      </c>
      <c r="AN1427">
        <v>1.00000004748739</v>
      </c>
    </row>
    <row r="1428" spans="1:40" x14ac:dyDescent="0.25">
      <c r="A1428" t="str">
        <f>"20190312160324390"</f>
        <v>20190312160324390</v>
      </c>
      <c r="B1428" t="str">
        <f>"1552377804386022"</f>
        <v>1552377804386022</v>
      </c>
      <c r="C1428" t="s">
        <v>40</v>
      </c>
      <c r="D1428">
        <v>5.65158</v>
      </c>
      <c r="E1428">
        <v>0.54428849999999995</v>
      </c>
      <c r="F1428" t="s">
        <v>59</v>
      </c>
      <c r="G1428">
        <v>-198.75370000000001</v>
      </c>
      <c r="H1428" s="1">
        <v>1.1740389999999999E-6</v>
      </c>
      <c r="I1428">
        <v>293.5564</v>
      </c>
      <c r="J1428">
        <v>-185.73269999999999</v>
      </c>
      <c r="K1428">
        <v>1.106865</v>
      </c>
      <c r="L1428">
        <v>325.46190000000001</v>
      </c>
      <c r="M1428">
        <v>-0.16186300000000001</v>
      </c>
      <c r="N1428">
        <v>0</v>
      </c>
      <c r="O1428">
        <v>-0.98671189999999998</v>
      </c>
      <c r="P1428">
        <v>-0.26302700000000001</v>
      </c>
      <c r="Q1428">
        <v>-4.455196E-4</v>
      </c>
      <c r="R1428">
        <v>-0.9647886</v>
      </c>
      <c r="S1428">
        <v>-1.1352690000000001</v>
      </c>
      <c r="T1428">
        <v>-9.6040959999999995E-2</v>
      </c>
      <c r="U1428">
        <v>-2.8004150000000001</v>
      </c>
      <c r="V1428">
        <v>0.1034779</v>
      </c>
      <c r="W1428">
        <v>1.285739E-2</v>
      </c>
      <c r="X1428">
        <v>0.9945486</v>
      </c>
      <c r="Y1428">
        <v>0.22052669999999999</v>
      </c>
      <c r="Z1428">
        <v>3.1922329999999999E-2</v>
      </c>
      <c r="AA1428">
        <v>0.97485840000000001</v>
      </c>
      <c r="AB1428">
        <v>37</v>
      </c>
      <c r="AC1428">
        <v>-13.021000000000001</v>
      </c>
      <c r="AD1428">
        <v>-1.106863825961</v>
      </c>
      <c r="AE1428">
        <v>-31.9055</v>
      </c>
      <c r="AF1428">
        <v>7.6765043426487001</v>
      </c>
      <c r="AG1428">
        <v>-1.106863825961</v>
      </c>
      <c r="AH1428">
        <v>33.5578924249076</v>
      </c>
      <c r="AI1428">
        <v>91.841606775527197</v>
      </c>
      <c r="AJ1428">
        <v>77.115054039088903</v>
      </c>
      <c r="AK1428">
        <v>34.442502964412903</v>
      </c>
      <c r="AL1428">
        <v>89.263305484414204</v>
      </c>
      <c r="AM1428">
        <v>84.060028009462798</v>
      </c>
      <c r="AN1428">
        <v>0.99999995301399003</v>
      </c>
    </row>
    <row r="1429" spans="1:40" x14ac:dyDescent="0.25">
      <c r="A1429" t="str">
        <f>"20190312160324411"</f>
        <v>20190312160324411</v>
      </c>
      <c r="B1429" t="str">
        <f>"1552377804405542"</f>
        <v>1552377804405542</v>
      </c>
      <c r="C1429" t="s">
        <v>40</v>
      </c>
      <c r="D1429">
        <v>5.7253089999999904</v>
      </c>
      <c r="E1429">
        <v>0.54385220000000001</v>
      </c>
      <c r="F1429" t="s">
        <v>59</v>
      </c>
      <c r="G1429">
        <v>-199.22810000000001</v>
      </c>
      <c r="H1429" s="1">
        <v>1.4002519999999999E-6</v>
      </c>
      <c r="I1429">
        <v>292.03300000000002</v>
      </c>
      <c r="J1429">
        <v>-185.7894</v>
      </c>
      <c r="K1429">
        <v>1.1069260000000001</v>
      </c>
      <c r="L1429">
        <v>325.13170000000002</v>
      </c>
      <c r="M1429">
        <v>-0.16440879999999999</v>
      </c>
      <c r="N1429">
        <v>0</v>
      </c>
      <c r="O1429">
        <v>-0.98629109999999998</v>
      </c>
      <c r="P1429">
        <v>-0.26365129999999998</v>
      </c>
      <c r="Q1429" s="1">
        <v>4.2668430000000002E-5</v>
      </c>
      <c r="R1429">
        <v>-0.96461830000000004</v>
      </c>
      <c r="S1429">
        <v>-1.1308290000000001</v>
      </c>
      <c r="T1429">
        <v>-9.2748639999999993E-2</v>
      </c>
      <c r="U1429">
        <v>-2.8011469999999998</v>
      </c>
      <c r="V1429">
        <v>0.1015563</v>
      </c>
      <c r="W1429">
        <v>1.3367560000000001E-2</v>
      </c>
      <c r="X1429">
        <v>0.99473990000000001</v>
      </c>
      <c r="Y1429">
        <v>0.21660409999999999</v>
      </c>
      <c r="Z1429">
        <v>3.082464E-2</v>
      </c>
      <c r="AA1429">
        <v>0.9757728</v>
      </c>
      <c r="AB1429">
        <v>37</v>
      </c>
      <c r="AC1429">
        <v>-13.438700000000001</v>
      </c>
      <c r="AD1429">
        <v>-1.1069245997479999</v>
      </c>
      <c r="AE1429">
        <v>-33.098700000000001</v>
      </c>
      <c r="AF1429">
        <v>7.8060374893357496</v>
      </c>
      <c r="AG1429">
        <v>-1.1069245997479999</v>
      </c>
      <c r="AH1429">
        <v>34.824435944378401</v>
      </c>
      <c r="AI1429">
        <v>91.776528002088</v>
      </c>
      <c r="AJ1429">
        <v>77.365760054256299</v>
      </c>
      <c r="AK1429">
        <v>35.705753628771902</v>
      </c>
      <c r="AL1429">
        <v>89.234072357279601</v>
      </c>
      <c r="AM1429">
        <v>84.170680686183701</v>
      </c>
      <c r="AN1429">
        <v>0.99999992119102299</v>
      </c>
    </row>
    <row r="1430" spans="1:40" x14ac:dyDescent="0.25">
      <c r="A1430" t="str">
        <f>"20190312160324433"</f>
        <v>20190312160324433</v>
      </c>
      <c r="B1430" t="str">
        <f>"1552377804426039"</f>
        <v>1552377804426039</v>
      </c>
      <c r="C1430" t="s">
        <v>40</v>
      </c>
      <c r="D1430">
        <v>5.7958800000000004</v>
      </c>
      <c r="E1430">
        <v>0.54417950000000004</v>
      </c>
      <c r="F1430" t="s">
        <v>59</v>
      </c>
      <c r="G1430">
        <v>-199.45439999999999</v>
      </c>
      <c r="H1430" s="1">
        <v>1.521555E-6</v>
      </c>
      <c r="I1430">
        <v>291.2303</v>
      </c>
      <c r="J1430">
        <v>-185.85239999999999</v>
      </c>
      <c r="K1430">
        <v>1.1069819999999999</v>
      </c>
      <c r="L1430">
        <v>324.77069999999998</v>
      </c>
      <c r="M1430">
        <v>-0.16717660000000001</v>
      </c>
      <c r="N1430">
        <v>0</v>
      </c>
      <c r="O1430">
        <v>-0.98582570000000003</v>
      </c>
      <c r="P1430">
        <v>-0.26460630000000002</v>
      </c>
      <c r="Q1430">
        <v>5.121972E-4</v>
      </c>
      <c r="R1430">
        <v>-0.96435649999999995</v>
      </c>
      <c r="S1430">
        <v>-1.1291960000000001</v>
      </c>
      <c r="T1430">
        <v>-9.1469880000000003E-2</v>
      </c>
      <c r="U1430">
        <v>-2.8014220000000001</v>
      </c>
      <c r="V1430">
        <v>9.975059E-2</v>
      </c>
      <c r="W1430">
        <v>1.3855320000000001E-2</v>
      </c>
      <c r="X1430">
        <v>0.99491600000000002</v>
      </c>
      <c r="Y1430">
        <v>0.21334529999999999</v>
      </c>
      <c r="Z1430">
        <v>3.0390170000000001E-2</v>
      </c>
      <c r="AA1430">
        <v>0.97650409999999999</v>
      </c>
      <c r="AB1430">
        <v>37</v>
      </c>
      <c r="AC1430">
        <v>-13.602</v>
      </c>
      <c r="AD1430">
        <v>-1.1069804784449999</v>
      </c>
      <c r="AE1430">
        <v>-33.540399999999899</v>
      </c>
      <c r="AF1430">
        <v>7.7955179155924901</v>
      </c>
      <c r="AG1430">
        <v>-1.1069804784449999</v>
      </c>
      <c r="AH1430">
        <v>35.309423099767102</v>
      </c>
      <c r="AI1430">
        <v>91.753484373330295</v>
      </c>
      <c r="AJ1430">
        <v>77.550110256967599</v>
      </c>
      <c r="AK1430">
        <v>36.1766618829094</v>
      </c>
      <c r="AL1430">
        <v>89.206123237612502</v>
      </c>
      <c r="AM1430">
        <v>84.274640054223298</v>
      </c>
      <c r="AN1430">
        <v>0.99999999857682498</v>
      </c>
    </row>
    <row r="1431" spans="1:40" x14ac:dyDescent="0.25">
      <c r="A1431" t="str">
        <f>"20190312160324455"</f>
        <v>20190312160324455</v>
      </c>
      <c r="B1431" t="str">
        <f>"1552377804445558"</f>
        <v>1552377804445558</v>
      </c>
      <c r="C1431" t="s">
        <v>40</v>
      </c>
      <c r="D1431">
        <v>5.6814809999999998</v>
      </c>
      <c r="E1431">
        <v>0.5434061</v>
      </c>
      <c r="F1431" t="s">
        <v>59</v>
      </c>
      <c r="G1431">
        <v>-198.50409999999999</v>
      </c>
      <c r="H1431" s="1">
        <v>1.197318E-6</v>
      </c>
      <c r="I1431">
        <v>293.54989999999998</v>
      </c>
      <c r="J1431">
        <v>-185.91399999999999</v>
      </c>
      <c r="K1431">
        <v>1.1070249999999999</v>
      </c>
      <c r="L1431">
        <v>324.4228</v>
      </c>
      <c r="M1431">
        <v>-0.1698385</v>
      </c>
      <c r="N1431">
        <v>0</v>
      </c>
      <c r="O1431">
        <v>-0.98537090000000005</v>
      </c>
      <c r="P1431">
        <v>-0.2663586</v>
      </c>
      <c r="Q1431">
        <v>2.9712340000000002E-4</v>
      </c>
      <c r="R1431">
        <v>-0.96387409999999996</v>
      </c>
      <c r="S1431">
        <v>-1.1345369999999999</v>
      </c>
      <c r="T1431">
        <v>-9.9267960000000002E-2</v>
      </c>
      <c r="U1431">
        <v>-2.7997130000000001</v>
      </c>
      <c r="V1431">
        <v>9.8868650000000002E-2</v>
      </c>
      <c r="W1431">
        <v>1.3649339999999999E-2</v>
      </c>
      <c r="X1431">
        <v>0.99500690000000003</v>
      </c>
      <c r="Y1431">
        <v>0.21248349999999999</v>
      </c>
      <c r="Z1431">
        <v>3.296586E-2</v>
      </c>
      <c r="AA1431">
        <v>0.97660849999999999</v>
      </c>
      <c r="AB1431">
        <v>37</v>
      </c>
      <c r="AC1431">
        <v>-12.5900999999999</v>
      </c>
      <c r="AD1431">
        <v>-1.1070238026819901</v>
      </c>
      <c r="AE1431">
        <v>-30.872900000000001</v>
      </c>
      <c r="AF1431">
        <v>7.1553359931069203</v>
      </c>
      <c r="AG1431">
        <v>-1.1070238026819901</v>
      </c>
      <c r="AH1431">
        <v>32.5269239700079</v>
      </c>
      <c r="AI1431">
        <v>91.903771709667595</v>
      </c>
      <c r="AJ1431">
        <v>77.593568205706504</v>
      </c>
      <c r="AK1431">
        <v>33.323041845315203</v>
      </c>
      <c r="AL1431">
        <v>89.217926157387893</v>
      </c>
      <c r="AM1431">
        <v>84.325443726265902</v>
      </c>
      <c r="AN1431">
        <v>1.0000000227414301</v>
      </c>
    </row>
    <row r="1432" spans="1:40" x14ac:dyDescent="0.25">
      <c r="A1432" t="str">
        <f>"20190312160324477"</f>
        <v>20190312160324477</v>
      </c>
      <c r="B1432" t="str">
        <f>"1552377804466054"</f>
        <v>1552377804466054</v>
      </c>
      <c r="C1432" t="s">
        <v>40</v>
      </c>
      <c r="D1432">
        <v>5.6186930000000004</v>
      </c>
      <c r="E1432">
        <v>0.54294790000000004</v>
      </c>
      <c r="F1432" t="s">
        <v>59</v>
      </c>
      <c r="G1432">
        <v>-198.14070000000001</v>
      </c>
      <c r="H1432" s="1">
        <v>1.109842E-6</v>
      </c>
      <c r="I1432">
        <v>294.2296</v>
      </c>
      <c r="J1432">
        <v>-185.97989999999999</v>
      </c>
      <c r="K1432">
        <v>1.1070709999999999</v>
      </c>
      <c r="L1432">
        <v>324.05709999999999</v>
      </c>
      <c r="M1432">
        <v>-0.1726357</v>
      </c>
      <c r="N1432">
        <v>0</v>
      </c>
      <c r="O1432">
        <v>-0.98488469999999995</v>
      </c>
      <c r="P1432">
        <v>-0.26859110000000003</v>
      </c>
      <c r="Q1432">
        <v>6.4850509999999999E-4</v>
      </c>
      <c r="R1432">
        <v>-0.96325430000000001</v>
      </c>
      <c r="S1432">
        <v>-1.1335299999999999</v>
      </c>
      <c r="T1432">
        <v>-0.102631399999999</v>
      </c>
      <c r="U1432">
        <v>-2.799194</v>
      </c>
      <c r="V1432">
        <v>9.835004E-2</v>
      </c>
      <c r="W1432">
        <v>1.4005510000000001E-2</v>
      </c>
      <c r="X1432">
        <v>0.99505339999999998</v>
      </c>
      <c r="Y1432">
        <v>0.209455</v>
      </c>
      <c r="Z1432">
        <v>3.4075809999999998E-2</v>
      </c>
      <c r="AA1432">
        <v>0.97722430000000005</v>
      </c>
      <c r="AB1432">
        <v>37</v>
      </c>
      <c r="AC1432">
        <v>-12.1608</v>
      </c>
      <c r="AD1432">
        <v>-1.1070698901579901</v>
      </c>
      <c r="AE1432">
        <v>-29.827499999999901</v>
      </c>
      <c r="AF1432">
        <v>6.8203177502629604</v>
      </c>
      <c r="AG1432">
        <v>-1.1070698901579901</v>
      </c>
      <c r="AH1432">
        <v>31.442029316270901</v>
      </c>
      <c r="AI1432">
        <v>91.970749551047703</v>
      </c>
      <c r="AJ1432">
        <v>77.761165808613299</v>
      </c>
      <c r="AK1432">
        <v>32.192290155897403</v>
      </c>
      <c r="AL1432">
        <v>89.197517212141705</v>
      </c>
      <c r="AM1432">
        <v>84.355278639549198</v>
      </c>
      <c r="AN1432">
        <v>1.00000007676495</v>
      </c>
    </row>
    <row r="1433" spans="1:40" x14ac:dyDescent="0.25">
      <c r="A1433" t="str">
        <f>"20190312160324499"</f>
        <v>20190312160324499</v>
      </c>
      <c r="B1433" t="str">
        <f>"1552377804496310"</f>
        <v>1552377804496310</v>
      </c>
      <c r="C1433" t="s">
        <v>40</v>
      </c>
      <c r="D1433">
        <v>5.8407470000000004</v>
      </c>
      <c r="E1433">
        <v>0.542321099999999</v>
      </c>
      <c r="F1433" t="s">
        <v>59</v>
      </c>
      <c r="G1433">
        <v>-198.06379999999999</v>
      </c>
      <c r="H1433" s="1">
        <v>1.101871E-6</v>
      </c>
      <c r="I1433">
        <v>294.31360000000001</v>
      </c>
      <c r="J1433">
        <v>-186.0419</v>
      </c>
      <c r="K1433">
        <v>1.1071029999999999</v>
      </c>
      <c r="L1433">
        <v>323.71749999999997</v>
      </c>
      <c r="M1433">
        <v>-0.1752351</v>
      </c>
      <c r="N1433">
        <v>0</v>
      </c>
      <c r="O1433">
        <v>-0.98442560000000001</v>
      </c>
      <c r="P1433">
        <v>-0.27081309999999997</v>
      </c>
      <c r="Q1433">
        <v>9.7956819999999996E-4</v>
      </c>
      <c r="R1433">
        <v>-0.96263160000000003</v>
      </c>
      <c r="S1433">
        <v>-1.136612</v>
      </c>
      <c r="T1433">
        <v>-0.1041306</v>
      </c>
      <c r="U1433">
        <v>-2.7976679999999998</v>
      </c>
      <c r="V1433">
        <v>9.8020590000000005E-2</v>
      </c>
      <c r="W1433">
        <v>1.4338780000000001E-2</v>
      </c>
      <c r="X1433">
        <v>0.99508110000000005</v>
      </c>
      <c r="Y1433">
        <v>0.20797679999999999</v>
      </c>
      <c r="Z1433">
        <v>3.4564959999999999E-2</v>
      </c>
      <c r="AA1433">
        <v>0.97752289999999997</v>
      </c>
      <c r="AB1433">
        <v>37</v>
      </c>
      <c r="AC1433">
        <v>-12.021899999999899</v>
      </c>
      <c r="AD1433">
        <v>-1.107101898129</v>
      </c>
      <c r="AE1433">
        <v>-29.403899999999901</v>
      </c>
      <c r="AF1433">
        <v>6.6746283638062103</v>
      </c>
      <c r="AG1433">
        <v>-1.107101898129</v>
      </c>
      <c r="AH1433">
        <v>31.018024771119599</v>
      </c>
      <c r="AI1433">
        <v>91.998438632692697</v>
      </c>
      <c r="AJ1433">
        <v>77.855962861303496</v>
      </c>
      <c r="AK1433">
        <v>31.747349481642701</v>
      </c>
      <c r="AL1433">
        <v>89.178420281360701</v>
      </c>
      <c r="AM1433">
        <v>84.374221256019894</v>
      </c>
      <c r="AN1433">
        <v>1.0000000161265199</v>
      </c>
    </row>
    <row r="1434" spans="1:40" x14ac:dyDescent="0.25">
      <c r="A1434" t="str">
        <f>"20190312160324521"</f>
        <v>20190312160324521</v>
      </c>
      <c r="B1434" t="str">
        <f>"1552377804515831"</f>
        <v>1552377804515831</v>
      </c>
      <c r="C1434" t="s">
        <v>40</v>
      </c>
      <c r="D1434">
        <v>5.57761</v>
      </c>
      <c r="E1434">
        <v>0.49643949999999998</v>
      </c>
      <c r="F1434" t="s">
        <v>59</v>
      </c>
      <c r="G1434">
        <v>-198.25880000000001</v>
      </c>
      <c r="H1434" s="1">
        <v>1.19207E-6</v>
      </c>
      <c r="I1434">
        <v>293.70319999999998</v>
      </c>
      <c r="J1434">
        <v>-186.10980000000001</v>
      </c>
      <c r="K1434">
        <v>1.1071489999999999</v>
      </c>
      <c r="L1434">
        <v>323.3519</v>
      </c>
      <c r="M1434">
        <v>-0.17803759999999999</v>
      </c>
      <c r="N1434">
        <v>0</v>
      </c>
      <c r="O1434">
        <v>-0.98392279999999999</v>
      </c>
      <c r="P1434">
        <v>-0.27304879999999998</v>
      </c>
      <c r="Q1434">
        <v>2.160351E-3</v>
      </c>
      <c r="R1434">
        <v>-0.96199789999999996</v>
      </c>
      <c r="S1434">
        <v>-1.1382139999999901</v>
      </c>
      <c r="T1434">
        <v>-0.1031458</v>
      </c>
      <c r="U1434">
        <v>-2.7963559999999998</v>
      </c>
      <c r="V1434">
        <v>9.7505980000000006E-2</v>
      </c>
      <c r="W1434">
        <v>1.552693E-2</v>
      </c>
      <c r="X1434">
        <v>0.99511380000000005</v>
      </c>
      <c r="Y1434">
        <v>0.20583599999999999</v>
      </c>
      <c r="Z1434">
        <v>3.4231560000000001E-2</v>
      </c>
      <c r="AA1434">
        <v>0.97798759999999996</v>
      </c>
      <c r="AB1434">
        <v>36</v>
      </c>
      <c r="AC1434">
        <v>-12.148999999999999</v>
      </c>
      <c r="AD1434">
        <v>-1.1071478079299999</v>
      </c>
      <c r="AE1434">
        <v>-29.648700000000002</v>
      </c>
      <c r="AF1434">
        <v>6.6677963164950897</v>
      </c>
      <c r="AG1434">
        <v>-1.1071478079299999</v>
      </c>
      <c r="AH1434">
        <v>31.300749768275899</v>
      </c>
      <c r="AI1434">
        <v>91.981360213128696</v>
      </c>
      <c r="AJ1434">
        <v>77.974403486027299</v>
      </c>
      <c r="AK1434">
        <v>32.022214477501301</v>
      </c>
      <c r="AL1434">
        <v>89.110336681875907</v>
      </c>
      <c r="AM1434">
        <v>84.403751448618195</v>
      </c>
      <c r="AN1434">
        <v>0.99999998832071202</v>
      </c>
    </row>
    <row r="1435" spans="1:40" x14ac:dyDescent="0.25">
      <c r="A1435" t="str">
        <f>"20190312160324544"</f>
        <v>20190312160324544</v>
      </c>
      <c r="B1435" t="str">
        <f>"1552377804536327"</f>
        <v>1552377804536327</v>
      </c>
      <c r="C1435" t="s">
        <v>40</v>
      </c>
      <c r="D1435">
        <v>5.518904</v>
      </c>
      <c r="E1435">
        <v>0.49351159999999999</v>
      </c>
      <c r="F1435" t="s">
        <v>59</v>
      </c>
      <c r="G1435">
        <v>-193.3852</v>
      </c>
      <c r="H1435" s="1">
        <v>6.9136119999999897E-7</v>
      </c>
      <c r="I1435">
        <v>296.80059999999997</v>
      </c>
      <c r="J1435">
        <v>-186.1782</v>
      </c>
      <c r="K1435">
        <v>1.1071409999999999</v>
      </c>
      <c r="L1435">
        <v>322.98939999999999</v>
      </c>
      <c r="M1435">
        <v>-0.1808543</v>
      </c>
      <c r="N1435">
        <v>0</v>
      </c>
      <c r="O1435">
        <v>-0.98341210000000001</v>
      </c>
      <c r="P1435">
        <v>-0.27504990000000001</v>
      </c>
      <c r="Q1435">
        <v>2.9861549999999999E-3</v>
      </c>
      <c r="R1435">
        <v>-0.96142570000000005</v>
      </c>
      <c r="S1435">
        <v>-0.79290769999999899</v>
      </c>
      <c r="T1435">
        <v>-0.1206634</v>
      </c>
      <c r="U1435">
        <v>-2.893707</v>
      </c>
      <c r="V1435">
        <v>9.6730399999999994E-2</v>
      </c>
      <c r="W1435">
        <v>1.6147209999999999E-2</v>
      </c>
      <c r="X1435">
        <v>0.9951797</v>
      </c>
      <c r="Y1435">
        <v>8.5256470000000001E-2</v>
      </c>
      <c r="Z1435">
        <v>3.983192E-2</v>
      </c>
      <c r="AA1435">
        <v>0.99556259999999996</v>
      </c>
      <c r="AB1435">
        <v>36</v>
      </c>
      <c r="AC1435">
        <v>-7.2069999999999901</v>
      </c>
      <c r="AD1435">
        <v>-1.1071403086388001</v>
      </c>
      <c r="AE1435">
        <v>-26.188800000000001</v>
      </c>
      <c r="AF1435">
        <v>2.3474201107488999</v>
      </c>
      <c r="AG1435">
        <v>-1.1071403086388001</v>
      </c>
      <c r="AH1435">
        <v>27.015519425074501</v>
      </c>
      <c r="AI1435">
        <v>92.337962298572293</v>
      </c>
      <c r="AJ1435">
        <v>85.033954480169101</v>
      </c>
      <c r="AK1435">
        <v>27.139904764865001</v>
      </c>
      <c r="AL1435">
        <v>89.074792871700396</v>
      </c>
      <c r="AM1435">
        <v>84.448351133669505</v>
      </c>
      <c r="AN1435">
        <v>1.00000006898351</v>
      </c>
    </row>
    <row r="1436" spans="1:40" x14ac:dyDescent="0.25">
      <c r="A1436" t="str">
        <f>"20190312160324567"</f>
        <v>20190312160324567</v>
      </c>
      <c r="B1436" t="str">
        <f>"1552377804555858"</f>
        <v>1552377804555858</v>
      </c>
      <c r="C1436" t="s">
        <v>40</v>
      </c>
      <c r="D1436">
        <v>5.4508429999999999</v>
      </c>
      <c r="E1436">
        <v>0.49261749999999999</v>
      </c>
      <c r="F1436" t="s">
        <v>59</v>
      </c>
      <c r="G1436">
        <v>-192.92359999999999</v>
      </c>
      <c r="H1436" s="1">
        <v>3.7253820000000001E-7</v>
      </c>
      <c r="I1436">
        <v>297.81830000000002</v>
      </c>
      <c r="J1436">
        <v>-186.24969999999999</v>
      </c>
      <c r="K1436">
        <v>1.107105</v>
      </c>
      <c r="L1436">
        <v>322.61610000000002</v>
      </c>
      <c r="M1436">
        <v>-0.18374380000000001</v>
      </c>
      <c r="N1436">
        <v>0</v>
      </c>
      <c r="O1436">
        <v>-0.9828808</v>
      </c>
      <c r="P1436">
        <v>-0.27727629999999998</v>
      </c>
      <c r="Q1436">
        <v>4.1971229999999997E-3</v>
      </c>
      <c r="R1436">
        <v>-0.96078149999999996</v>
      </c>
      <c r="S1436">
        <v>-0.77676389999999995</v>
      </c>
      <c r="T1436">
        <v>-0.12749199999999999</v>
      </c>
      <c r="U1436">
        <v>-2.8985599999999998</v>
      </c>
      <c r="V1436">
        <v>9.6116969999999996E-2</v>
      </c>
      <c r="W1436">
        <v>1.70525999999999E-2</v>
      </c>
      <c r="X1436">
        <v>0.99522390000000005</v>
      </c>
      <c r="Y1436">
        <v>7.671124E-2</v>
      </c>
      <c r="Z1436">
        <v>4.2024779999999998E-2</v>
      </c>
      <c r="AA1436">
        <v>0.99616729999999998</v>
      </c>
      <c r="AB1436">
        <v>36</v>
      </c>
      <c r="AC1436">
        <v>-6.6738999999999997</v>
      </c>
      <c r="AD1436">
        <v>-1.1071046274617999</v>
      </c>
      <c r="AE1436">
        <v>-24.797799999999899</v>
      </c>
      <c r="AF1436">
        <v>1.99967348433154</v>
      </c>
      <c r="AG1436">
        <v>-1.1071046274617999</v>
      </c>
      <c r="AH1436">
        <v>25.554424037168001</v>
      </c>
      <c r="AI1436">
        <v>92.473146009099295</v>
      </c>
      <c r="AJ1436">
        <v>85.525633782881897</v>
      </c>
      <c r="AK1436">
        <v>25.6564409568334</v>
      </c>
      <c r="AL1436">
        <v>89.022910570091597</v>
      </c>
      <c r="AM1436">
        <v>84.483583349731006</v>
      </c>
      <c r="AN1436">
        <v>0.99999993710997304</v>
      </c>
    </row>
    <row r="1437" spans="1:40" x14ac:dyDescent="0.25">
      <c r="A1437" t="str">
        <f>"20190312160324590"</f>
        <v>20190312160324590</v>
      </c>
      <c r="B1437" t="str">
        <f>"1552377804586102"</f>
        <v>1552377804586102</v>
      </c>
      <c r="C1437" t="s">
        <v>40</v>
      </c>
      <c r="D1437">
        <v>5.6706079999999996</v>
      </c>
      <c r="E1437">
        <v>0.49234290000000003</v>
      </c>
      <c r="F1437" t="s">
        <v>59</v>
      </c>
      <c r="G1437">
        <v>-192.9092</v>
      </c>
      <c r="H1437" s="1">
        <v>3.9538409999999998E-7</v>
      </c>
      <c r="I1437">
        <v>297.75729999999999</v>
      </c>
      <c r="J1437">
        <v>-186.31970000000001</v>
      </c>
      <c r="K1437">
        <v>1.107116</v>
      </c>
      <c r="L1437">
        <v>322.2568</v>
      </c>
      <c r="M1437">
        <v>-0.18651039999999999</v>
      </c>
      <c r="N1437">
        <v>0</v>
      </c>
      <c r="O1437">
        <v>-0.98236219999999996</v>
      </c>
      <c r="P1437">
        <v>-0.2798368</v>
      </c>
      <c r="Q1437">
        <v>4.9515560000000002E-3</v>
      </c>
      <c r="R1437">
        <v>-0.96003519999999998</v>
      </c>
      <c r="S1437">
        <v>-0.7766113</v>
      </c>
      <c r="T1437">
        <v>-0.12910730000000001</v>
      </c>
      <c r="U1437">
        <v>-2.8989560000000001</v>
      </c>
      <c r="V1437">
        <v>9.5971769999999998E-2</v>
      </c>
      <c r="W1437">
        <v>1.7631870000000001E-2</v>
      </c>
      <c r="X1437">
        <v>0.99522790000000005</v>
      </c>
      <c r="Y1437">
        <v>7.381559E-2</v>
      </c>
      <c r="Z1437">
        <v>4.2521929999999999E-2</v>
      </c>
      <c r="AA1437">
        <v>0.99636499999999995</v>
      </c>
      <c r="AB1437">
        <v>37</v>
      </c>
      <c r="AC1437">
        <v>-6.5894999999999797</v>
      </c>
      <c r="AD1437">
        <v>-1.1071156046158901</v>
      </c>
      <c r="AE1437">
        <v>-24.499500000000001</v>
      </c>
      <c r="AF1437">
        <v>1.9004150154153201</v>
      </c>
      <c r="AG1437">
        <v>-1.1071156046158901</v>
      </c>
      <c r="AH1437">
        <v>25.2505645082081</v>
      </c>
      <c r="AI1437">
        <v>92.503464704141905</v>
      </c>
      <c r="AJ1437">
        <v>85.695903575813205</v>
      </c>
      <c r="AK1437">
        <v>25.3461691420218</v>
      </c>
      <c r="AL1437">
        <v>88.989715931197395</v>
      </c>
      <c r="AM1437">
        <v>84.491887489862194</v>
      </c>
      <c r="AN1437">
        <v>1.0000000182075099</v>
      </c>
    </row>
    <row r="1438" spans="1:40" x14ac:dyDescent="0.25">
      <c r="A1438" t="str">
        <f>"20190312160324613"</f>
        <v>20190312160324613</v>
      </c>
      <c r="B1438" t="str">
        <f>"1552377804605622"</f>
        <v>1552377804605622</v>
      </c>
      <c r="C1438" t="s">
        <v>40</v>
      </c>
      <c r="D1438">
        <v>5.5559219999999998</v>
      </c>
      <c r="E1438">
        <v>0.49209510000000001</v>
      </c>
      <c r="F1438" t="s">
        <v>59</v>
      </c>
      <c r="G1438">
        <v>-192.59440000000001</v>
      </c>
      <c r="H1438" s="1">
        <v>1.0625180000000001E-7</v>
      </c>
      <c r="I1438">
        <v>299.01299999999998</v>
      </c>
      <c r="J1438">
        <v>-186.39420000000001</v>
      </c>
      <c r="K1438">
        <v>1.107145</v>
      </c>
      <c r="L1438">
        <v>321.87950000000001</v>
      </c>
      <c r="M1438">
        <v>-0.18943289999999999</v>
      </c>
      <c r="N1438">
        <v>0</v>
      </c>
      <c r="O1438">
        <v>-0.98180409999999996</v>
      </c>
      <c r="P1438">
        <v>-0.28228900000000001</v>
      </c>
      <c r="Q1438">
        <v>5.3720919999999898E-3</v>
      </c>
      <c r="R1438">
        <v>-0.95931469999999996</v>
      </c>
      <c r="S1438">
        <v>-0.78222659999999999</v>
      </c>
      <c r="T1438">
        <v>-0.13801659999999999</v>
      </c>
      <c r="U1438">
        <v>-2.8976440000000001</v>
      </c>
      <c r="V1438">
        <v>9.5554399999999998E-2</v>
      </c>
      <c r="W1438">
        <v>1.795416E-2</v>
      </c>
      <c r="X1438">
        <v>0.99526230000000004</v>
      </c>
      <c r="Y1438">
        <v>7.2727490000000006E-2</v>
      </c>
      <c r="Z1438">
        <v>4.5422030000000002E-2</v>
      </c>
      <c r="AA1438">
        <v>0.99631700000000001</v>
      </c>
      <c r="AB1438">
        <v>37</v>
      </c>
      <c r="AC1438">
        <v>-6.2001999999999899</v>
      </c>
      <c r="AD1438">
        <v>-1.1071448937482</v>
      </c>
      <c r="AE1438">
        <v>-22.866499999999998</v>
      </c>
      <c r="AF1438">
        <v>1.7520428073082499</v>
      </c>
      <c r="AG1438">
        <v>-1.1071448937482</v>
      </c>
      <c r="AH1438">
        <v>23.575540621444301</v>
      </c>
      <c r="AI1438">
        <v>92.681342211618002</v>
      </c>
      <c r="AJ1438">
        <v>85.749812671193894</v>
      </c>
      <c r="AK1438">
        <v>23.6664644467179</v>
      </c>
      <c r="AL1438">
        <v>88.971247153284594</v>
      </c>
      <c r="AM1438">
        <v>84.515883666875993</v>
      </c>
      <c r="AN1438">
        <v>1.00000002051097</v>
      </c>
    </row>
    <row r="1439" spans="1:40" x14ac:dyDescent="0.25">
      <c r="A1439" t="str">
        <f>"20190312160324645"</f>
        <v>20190312160324645</v>
      </c>
      <c r="B1439" t="str">
        <f>"1552377804635879"</f>
        <v>1552377804635879</v>
      </c>
      <c r="C1439" t="s">
        <v>40</v>
      </c>
      <c r="D1439">
        <v>5.5807849999999997</v>
      </c>
      <c r="E1439">
        <v>0.49178850000000002</v>
      </c>
      <c r="F1439" t="s">
        <v>59</v>
      </c>
      <c r="G1439">
        <v>-192.71119999999999</v>
      </c>
      <c r="H1439" s="1">
        <v>1.6970129999999899E-7</v>
      </c>
      <c r="I1439">
        <v>298.65269999999998</v>
      </c>
      <c r="J1439">
        <v>-186.49889999999999</v>
      </c>
      <c r="K1439">
        <v>1.1071799999999901</v>
      </c>
      <c r="L1439">
        <v>321.35849999999999</v>
      </c>
      <c r="M1439">
        <v>-0.1934833</v>
      </c>
      <c r="N1439">
        <v>0</v>
      </c>
      <c r="O1439">
        <v>-0.98101539999999998</v>
      </c>
      <c r="P1439">
        <v>-0.28579110000000002</v>
      </c>
      <c r="Q1439">
        <v>6.2191349999999998E-3</v>
      </c>
      <c r="R1439">
        <v>-0.95827220000000002</v>
      </c>
      <c r="S1439">
        <v>-0.78768919999999998</v>
      </c>
      <c r="T1439">
        <v>-0.13805309999999901</v>
      </c>
      <c r="U1439">
        <v>-2.89621</v>
      </c>
      <c r="V1439">
        <v>9.508693E-2</v>
      </c>
      <c r="W1439">
        <v>1.869933E-2</v>
      </c>
      <c r="X1439">
        <v>0.99529330000000005</v>
      </c>
      <c r="Y1439">
        <v>7.0486279999999998E-2</v>
      </c>
      <c r="Z1439">
        <v>4.5393860000000001E-2</v>
      </c>
      <c r="AA1439">
        <v>0.99647929999999996</v>
      </c>
      <c r="AB1439">
        <v>37</v>
      </c>
      <c r="AC1439">
        <v>-6.2122999999999902</v>
      </c>
      <c r="AD1439">
        <v>-1.1071798302986999</v>
      </c>
      <c r="AE1439">
        <v>-22.7058</v>
      </c>
      <c r="AF1439">
        <v>1.6975607866298801</v>
      </c>
      <c r="AG1439">
        <v>-1.1071798302986999</v>
      </c>
      <c r="AH1439">
        <v>23.4269231708092</v>
      </c>
      <c r="AI1439">
        <v>92.698776973867098</v>
      </c>
      <c r="AJ1439">
        <v>85.855479274047596</v>
      </c>
      <c r="AK1439">
        <v>23.514427253325199</v>
      </c>
      <c r="AL1439">
        <v>88.928544832418098</v>
      </c>
      <c r="AM1439">
        <v>84.542719569168796</v>
      </c>
      <c r="AN1439">
        <v>0.99999997111208105</v>
      </c>
    </row>
    <row r="1440" spans="1:40" x14ac:dyDescent="0.25">
      <c r="A1440" t="str">
        <f>"20190312160324667"</f>
        <v>20190312160324667</v>
      </c>
      <c r="B1440" t="str">
        <f>"1552377804656374"</f>
        <v>1552377804656374</v>
      </c>
      <c r="C1440" t="s">
        <v>40</v>
      </c>
      <c r="D1440">
        <v>5.6710609999999999</v>
      </c>
      <c r="E1440">
        <v>0.49147400000000002</v>
      </c>
      <c r="F1440" t="s">
        <v>41</v>
      </c>
      <c r="G1440">
        <v>-192.38249999999999</v>
      </c>
      <c r="H1440" s="1">
        <v>-7.9748909999999899E-7</v>
      </c>
      <c r="I1440">
        <v>299.97039999999998</v>
      </c>
      <c r="J1440">
        <v>-186.56870000000001</v>
      </c>
      <c r="K1440">
        <v>1.1071930000000001</v>
      </c>
      <c r="L1440">
        <v>321.01749999999998</v>
      </c>
      <c r="M1440">
        <v>-0.1961244</v>
      </c>
      <c r="N1440">
        <v>0</v>
      </c>
      <c r="O1440">
        <v>-0.98049180000000002</v>
      </c>
      <c r="P1440">
        <v>-0.28869460000000002</v>
      </c>
      <c r="Q1440">
        <v>6.9919119999999899E-3</v>
      </c>
      <c r="R1440">
        <v>-0.95739569999999996</v>
      </c>
      <c r="S1440">
        <v>-0.79614259999999903</v>
      </c>
      <c r="T1440">
        <v>-0.14982010000000001</v>
      </c>
      <c r="U1440">
        <v>-2.8941650000000001</v>
      </c>
      <c r="V1440">
        <v>9.5429600000000003E-2</v>
      </c>
      <c r="W1440">
        <v>1.9407790000000001E-2</v>
      </c>
      <c r="X1440">
        <v>0.99524690000000005</v>
      </c>
      <c r="Y1440">
        <v>7.0637130000000006E-2</v>
      </c>
      <c r="Z1440">
        <v>4.9229009999999997E-2</v>
      </c>
      <c r="AA1440">
        <v>0.99628660000000002</v>
      </c>
      <c r="AB1440">
        <v>37</v>
      </c>
      <c r="AC1440">
        <v>-5.8137999999999801</v>
      </c>
      <c r="AD1440">
        <v>-1.1071937974891</v>
      </c>
      <c r="AE1440">
        <v>-21.0471</v>
      </c>
      <c r="AF1440">
        <v>1.56863466932191</v>
      </c>
      <c r="AG1440">
        <v>-1.1071937974891</v>
      </c>
      <c r="AH1440">
        <v>21.722747095550901</v>
      </c>
      <c r="AI1440">
        <v>92.910237571726995</v>
      </c>
      <c r="AJ1440">
        <v>85.869748311967697</v>
      </c>
      <c r="AK1440">
        <v>21.807435296436498</v>
      </c>
      <c r="AL1440">
        <v>88.887945648102104</v>
      </c>
      <c r="AM1440">
        <v>84.522918449334199</v>
      </c>
      <c r="AN1440">
        <v>0.99999993141422405</v>
      </c>
    </row>
    <row r="1441" spans="1:40" x14ac:dyDescent="0.25">
      <c r="A1441" t="str">
        <f>"20190312160324690"</f>
        <v>20190312160324690</v>
      </c>
      <c r="B1441" t="str">
        <f>"1552377804685654"</f>
        <v>1552377804685654</v>
      </c>
      <c r="C1441" t="s">
        <v>40</v>
      </c>
      <c r="D1441">
        <v>5.5339600000000004</v>
      </c>
      <c r="E1441">
        <v>0.49024279999999998</v>
      </c>
      <c r="F1441" t="s">
        <v>41</v>
      </c>
      <c r="G1441">
        <v>-192.458</v>
      </c>
      <c r="H1441" s="1">
        <v>-7.402903E-7</v>
      </c>
      <c r="I1441">
        <v>299.7903</v>
      </c>
      <c r="J1441">
        <v>-186.64009999999999</v>
      </c>
      <c r="K1441">
        <v>1.1072040000000001</v>
      </c>
      <c r="L1441">
        <v>320.67320000000001</v>
      </c>
      <c r="M1441">
        <v>-0.19878119999999999</v>
      </c>
      <c r="N1441">
        <v>0</v>
      </c>
      <c r="O1441">
        <v>-0.97995719999999997</v>
      </c>
      <c r="P1441">
        <v>-0.29154259999999999</v>
      </c>
      <c r="Q1441">
        <v>8.5400059999999993E-3</v>
      </c>
      <c r="R1441">
        <v>-0.95651980000000003</v>
      </c>
      <c r="S1441">
        <v>-0.80252080000000003</v>
      </c>
      <c r="T1441">
        <v>-0.1508746</v>
      </c>
      <c r="U1441">
        <v>-2.8925779999999999</v>
      </c>
      <c r="V1441">
        <v>9.5706410000000006E-2</v>
      </c>
      <c r="W1441">
        <v>2.0902850000000001E-2</v>
      </c>
      <c r="X1441">
        <v>0.99519009999999997</v>
      </c>
      <c r="Y1441">
        <v>7.0109939999999996E-2</v>
      </c>
      <c r="Z1441">
        <v>4.9547109999999998E-2</v>
      </c>
      <c r="AA1441">
        <v>0.99630799999999997</v>
      </c>
      <c r="AB1441">
        <v>37</v>
      </c>
      <c r="AC1441">
        <v>-5.8178999999999998</v>
      </c>
      <c r="AD1441">
        <v>-1.1072047402903</v>
      </c>
      <c r="AE1441">
        <v>-20.882899999999999</v>
      </c>
      <c r="AF1441">
        <v>1.5462631839641301</v>
      </c>
      <c r="AG1441">
        <v>-1.1072047402903</v>
      </c>
      <c r="AH1441">
        <v>21.566415992917399</v>
      </c>
      <c r="AI1441">
        <v>92.931433270142904</v>
      </c>
      <c r="AJ1441">
        <v>85.899039847430899</v>
      </c>
      <c r="AK1441">
        <v>21.650106950095399</v>
      </c>
      <c r="AL1441">
        <v>88.802267672447897</v>
      </c>
      <c r="AM1441">
        <v>84.506816671259699</v>
      </c>
      <c r="AN1441">
        <v>0.99999999059560996</v>
      </c>
    </row>
    <row r="1442" spans="1:40" x14ac:dyDescent="0.25">
      <c r="A1442" t="str">
        <f>"20190312160324711"</f>
        <v>20190312160324711</v>
      </c>
      <c r="B1442" t="str">
        <f>"1552377804706151"</f>
        <v>1552377804706151</v>
      </c>
      <c r="C1442" t="s">
        <v>40</v>
      </c>
      <c r="D1442">
        <v>5.6748469999999998</v>
      </c>
      <c r="E1442">
        <v>0.48964190000000002</v>
      </c>
      <c r="F1442" t="s">
        <v>59</v>
      </c>
      <c r="G1442">
        <v>-192.60489999999999</v>
      </c>
      <c r="H1442" s="1">
        <v>8.2512719999999996E-8</v>
      </c>
      <c r="I1442">
        <v>299.14780000000002</v>
      </c>
      <c r="J1442">
        <v>-186.7176</v>
      </c>
      <c r="K1442">
        <v>1.10721</v>
      </c>
      <c r="L1442">
        <v>320.30540000000002</v>
      </c>
      <c r="M1442">
        <v>-0.20161589999999999</v>
      </c>
      <c r="N1442">
        <v>0</v>
      </c>
      <c r="O1442">
        <v>-0.97937859999999999</v>
      </c>
      <c r="P1442">
        <v>-0.29426770000000002</v>
      </c>
      <c r="Q1442">
        <v>9.6883490000000006E-3</v>
      </c>
      <c r="R1442">
        <v>-0.95567440000000003</v>
      </c>
      <c r="S1442">
        <v>-0.80174259999999997</v>
      </c>
      <c r="T1442">
        <v>-0.14882229999999999</v>
      </c>
      <c r="U1442">
        <v>-2.8932799999999999</v>
      </c>
      <c r="V1442">
        <v>9.5672869999999993E-2</v>
      </c>
      <c r="W1442">
        <v>2.2006950000000001E-2</v>
      </c>
      <c r="X1442">
        <v>0.99516950000000004</v>
      </c>
      <c r="Y1442">
        <v>6.6921750000000002E-2</v>
      </c>
      <c r="Z1442">
        <v>4.8827469999999998E-2</v>
      </c>
      <c r="AA1442">
        <v>0.99656279999999997</v>
      </c>
      <c r="AB1442">
        <v>36</v>
      </c>
      <c r="AC1442">
        <v>-5.8872999999999802</v>
      </c>
      <c r="AD1442">
        <v>-1.10720991748728</v>
      </c>
      <c r="AE1442">
        <v>-21.157599999999999</v>
      </c>
      <c r="AF1442">
        <v>1.4965097321698899</v>
      </c>
      <c r="AG1442">
        <v>-1.10720991748728</v>
      </c>
      <c r="AH1442">
        <v>21.854571295615202</v>
      </c>
      <c r="AI1442">
        <v>92.893510564944094</v>
      </c>
      <c r="AJ1442">
        <v>86.082739366121601</v>
      </c>
      <c r="AK1442">
        <v>21.9337124467107</v>
      </c>
      <c r="AL1442">
        <v>88.738992806221503</v>
      </c>
      <c r="AM1442">
        <v>84.5086169962414</v>
      </c>
      <c r="AN1442">
        <v>0.99999996881629405</v>
      </c>
    </row>
    <row r="1443" spans="1:40" x14ac:dyDescent="0.25">
      <c r="A1443" t="str">
        <f>"20190312160324734"</f>
        <v>20190312160324734</v>
      </c>
      <c r="B1443" t="str">
        <f>"1552377804725672"</f>
        <v>1552377804725672</v>
      </c>
      <c r="C1443" t="s">
        <v>40</v>
      </c>
      <c r="D1443">
        <v>5.7267349999999997</v>
      </c>
      <c r="E1443">
        <v>0.48892809999999998</v>
      </c>
      <c r="F1443" t="s">
        <v>59</v>
      </c>
      <c r="G1443">
        <v>-192.94479999999999</v>
      </c>
      <c r="H1443" s="1">
        <v>3.2616029999999998E-7</v>
      </c>
      <c r="I1443">
        <v>297.94420000000002</v>
      </c>
      <c r="J1443">
        <v>-186.7962</v>
      </c>
      <c r="K1443">
        <v>1.107218</v>
      </c>
      <c r="L1443">
        <v>319.93729999999999</v>
      </c>
      <c r="M1443">
        <v>-0.2044559</v>
      </c>
      <c r="N1443">
        <v>0</v>
      </c>
      <c r="O1443">
        <v>-0.9787901</v>
      </c>
      <c r="P1443">
        <v>-0.29722179999999998</v>
      </c>
      <c r="Q1443">
        <v>1.017263E-2</v>
      </c>
      <c r="R1443">
        <v>-0.95475460000000001</v>
      </c>
      <c r="S1443">
        <v>-0.80552669999999904</v>
      </c>
      <c r="T1443">
        <v>-0.14322389999999999</v>
      </c>
      <c r="U1443">
        <v>-2.8925480000000001</v>
      </c>
      <c r="V1443">
        <v>9.5867930000000004E-2</v>
      </c>
      <c r="W1443">
        <v>2.2454579999999998E-2</v>
      </c>
      <c r="X1443">
        <v>0.99514069999999999</v>
      </c>
      <c r="Y1443">
        <v>6.5327259999999998E-2</v>
      </c>
      <c r="Z1443">
        <v>4.695875E-2</v>
      </c>
      <c r="AA1443">
        <v>0.99675829999999999</v>
      </c>
      <c r="AB1443">
        <v>36</v>
      </c>
      <c r="AC1443">
        <v>-6.1485999999999796</v>
      </c>
      <c r="AD1443">
        <v>-1.1072176738396999</v>
      </c>
      <c r="AE1443">
        <v>-21.993099999999899</v>
      </c>
      <c r="AF1443">
        <v>1.5181286011320301</v>
      </c>
      <c r="AG1443">
        <v>-1.1072176738396999</v>
      </c>
      <c r="AH1443">
        <v>22.732218804914801</v>
      </c>
      <c r="AI1443">
        <v>92.782312665254096</v>
      </c>
      <c r="AJ1443">
        <v>86.179282192939795</v>
      </c>
      <c r="AK1443">
        <v>22.8097439095962</v>
      </c>
      <c r="AL1443">
        <v>88.713339119070199</v>
      </c>
      <c r="AM1443">
        <v>84.4973314170702</v>
      </c>
      <c r="AN1443">
        <v>0.99999994048097296</v>
      </c>
    </row>
    <row r="1444" spans="1:40" x14ac:dyDescent="0.25">
      <c r="A1444" t="str">
        <f>"20190312160324756"</f>
        <v>20190312160324756</v>
      </c>
      <c r="B1444" t="str">
        <f>"1552377804746166"</f>
        <v>1552377804746166</v>
      </c>
      <c r="C1444" t="s">
        <v>40</v>
      </c>
      <c r="D1444">
        <v>5.6484709999999998</v>
      </c>
      <c r="E1444">
        <v>0.48859999999999998</v>
      </c>
      <c r="F1444" t="s">
        <v>59</v>
      </c>
      <c r="G1444">
        <v>-193.20859999999999</v>
      </c>
      <c r="H1444" s="1">
        <v>6.2526409999999997E-7</v>
      </c>
      <c r="I1444">
        <v>297.03190000000001</v>
      </c>
      <c r="J1444">
        <v>-186.87209999999999</v>
      </c>
      <c r="K1444">
        <v>1.107229</v>
      </c>
      <c r="L1444">
        <v>319.58629999999999</v>
      </c>
      <c r="M1444">
        <v>-0.20716709999999999</v>
      </c>
      <c r="N1444">
        <v>0</v>
      </c>
      <c r="O1444">
        <v>-0.97822019999999998</v>
      </c>
      <c r="P1444">
        <v>-0.29977189999999998</v>
      </c>
      <c r="Q1444">
        <v>1.0065879999999999E-2</v>
      </c>
      <c r="R1444">
        <v>-0.95395779999999997</v>
      </c>
      <c r="S1444">
        <v>-0.80952449999999998</v>
      </c>
      <c r="T1444">
        <v>-0.13977919999999999</v>
      </c>
      <c r="U1444">
        <v>-2.8916629999999999</v>
      </c>
      <c r="V1444">
        <v>9.5768549999999994E-2</v>
      </c>
      <c r="W1444">
        <v>2.2322060000000001E-2</v>
      </c>
      <c r="X1444">
        <v>0.99515330000000002</v>
      </c>
      <c r="Y1444">
        <v>6.3934270000000001E-2</v>
      </c>
      <c r="Z1444">
        <v>4.579925E-2</v>
      </c>
      <c r="AA1444">
        <v>0.99690259999999997</v>
      </c>
      <c r="AB1444">
        <v>36</v>
      </c>
      <c r="AC1444">
        <v>-6.3365</v>
      </c>
      <c r="AD1444">
        <v>-1.1072283747359</v>
      </c>
      <c r="AE1444">
        <v>-22.554399999999902</v>
      </c>
      <c r="AF1444">
        <v>1.52268893149708</v>
      </c>
      <c r="AG1444">
        <v>-1.1072283747359</v>
      </c>
      <c r="AH1444">
        <v>23.325734531121899</v>
      </c>
      <c r="AI1444">
        <v>92.711918532770895</v>
      </c>
      <c r="AJ1444">
        <v>86.265067728631294</v>
      </c>
      <c r="AK1444">
        <v>23.401590280839802</v>
      </c>
      <c r="AL1444">
        <v>88.720933923219107</v>
      </c>
      <c r="AM1444">
        <v>84.503069888916201</v>
      </c>
      <c r="AN1444">
        <v>0.99999999001631801</v>
      </c>
    </row>
    <row r="1445" spans="1:40" x14ac:dyDescent="0.25">
      <c r="A1445" t="str">
        <f>"20190312160324778"</f>
        <v>20190312160324778</v>
      </c>
      <c r="B1445" t="str">
        <f>"1552377804765686"</f>
        <v>1552377804765686</v>
      </c>
      <c r="C1445" t="s">
        <v>40</v>
      </c>
      <c r="D1445">
        <v>5.6859640000000002</v>
      </c>
      <c r="E1445">
        <v>0.48893249999999999</v>
      </c>
      <c r="F1445" t="s">
        <v>59</v>
      </c>
      <c r="G1445">
        <v>-193.38409999999999</v>
      </c>
      <c r="H1445" s="1">
        <v>8.0575419999999996E-7</v>
      </c>
      <c r="I1445">
        <v>296.47730000000001</v>
      </c>
      <c r="J1445">
        <v>-186.94909999999999</v>
      </c>
      <c r="K1445">
        <v>1.107232</v>
      </c>
      <c r="L1445">
        <v>319.23559999999998</v>
      </c>
      <c r="M1445">
        <v>-0.20987890000000001</v>
      </c>
      <c r="N1445">
        <v>0</v>
      </c>
      <c r="O1445">
        <v>-0.97764220000000002</v>
      </c>
      <c r="P1445">
        <v>-0.30191420000000002</v>
      </c>
      <c r="Q1445">
        <v>1.030379E-2</v>
      </c>
      <c r="R1445">
        <v>-0.9532796</v>
      </c>
      <c r="S1445">
        <v>-0.81446839999999998</v>
      </c>
      <c r="T1445">
        <v>-0.13848460000000001</v>
      </c>
      <c r="U1445">
        <v>-2.89032</v>
      </c>
      <c r="V1445">
        <v>9.5246339999999999E-2</v>
      </c>
      <c r="W1445">
        <v>2.2541350000000002E-2</v>
      </c>
      <c r="X1445">
        <v>0.99519849999999999</v>
      </c>
      <c r="Y1445">
        <v>6.2873219999999994E-2</v>
      </c>
      <c r="Z1445">
        <v>4.5347520000000002E-2</v>
      </c>
      <c r="AA1445">
        <v>0.99699070000000001</v>
      </c>
      <c r="AB1445">
        <v>36</v>
      </c>
      <c r="AC1445">
        <v>-6.4349999999999996</v>
      </c>
      <c r="AD1445">
        <v>-1.1072311942458</v>
      </c>
      <c r="AE1445">
        <v>-22.758299999999899</v>
      </c>
      <c r="AF1445">
        <v>1.5114540067407101</v>
      </c>
      <c r="AG1445">
        <v>-1.1072311942458</v>
      </c>
      <c r="AH1445">
        <v>23.550394187608099</v>
      </c>
      <c r="AI1445">
        <v>92.686283160144598</v>
      </c>
      <c r="AJ1445">
        <v>86.327818310063904</v>
      </c>
      <c r="AK1445">
        <v>23.6248073118858</v>
      </c>
      <c r="AL1445">
        <v>88.708366402962497</v>
      </c>
      <c r="AM1445">
        <v>84.533108437429306</v>
      </c>
      <c r="AN1445">
        <v>1.00000001607273</v>
      </c>
    </row>
    <row r="1446" spans="1:40" x14ac:dyDescent="0.25">
      <c r="A1446" t="str">
        <f>"20190312160324802"</f>
        <v>20190312160324802</v>
      </c>
      <c r="B1446" t="str">
        <f>"1552377804795943"</f>
        <v>1552377804795943</v>
      </c>
      <c r="C1446" t="s">
        <v>40</v>
      </c>
      <c r="D1446">
        <v>5.8015089999999896</v>
      </c>
      <c r="E1446">
        <v>0.52465119999999998</v>
      </c>
      <c r="F1446" t="s">
        <v>59</v>
      </c>
      <c r="G1446">
        <v>-193.58670000000001</v>
      </c>
      <c r="H1446" s="1">
        <v>9.7068489999999994E-7</v>
      </c>
      <c r="I1446">
        <v>295.9599</v>
      </c>
      <c r="J1446">
        <v>-187.03450000000001</v>
      </c>
      <c r="K1446">
        <v>1.1072390000000001</v>
      </c>
      <c r="L1446">
        <v>318.85140000000001</v>
      </c>
      <c r="M1446">
        <v>-0.2128487</v>
      </c>
      <c r="N1446">
        <v>0</v>
      </c>
      <c r="O1446">
        <v>-0.97700039999999999</v>
      </c>
      <c r="P1446">
        <v>-0.30385869999999998</v>
      </c>
      <c r="Q1446">
        <v>1.0302220000000001E-2</v>
      </c>
      <c r="R1446">
        <v>-0.95266189999999995</v>
      </c>
      <c r="S1446">
        <v>-0.82350159999999994</v>
      </c>
      <c r="T1446">
        <v>-0.13736999999999999</v>
      </c>
      <c r="U1446">
        <v>-2.8877259999999998</v>
      </c>
      <c r="V1446">
        <v>9.4252370000000002E-2</v>
      </c>
      <c r="W1446">
        <v>2.2527040000000002E-2</v>
      </c>
      <c r="X1446">
        <v>0.99529339999999999</v>
      </c>
      <c r="Y1446">
        <v>6.2965779999999999E-2</v>
      </c>
      <c r="Z1446">
        <v>4.4959180000000001E-2</v>
      </c>
      <c r="AA1446">
        <v>0.99700250000000001</v>
      </c>
      <c r="AB1446">
        <v>36</v>
      </c>
      <c r="AC1446">
        <v>-6.5521999999999903</v>
      </c>
      <c r="AD1446">
        <v>-1.1072380293150901</v>
      </c>
      <c r="AE1446">
        <v>-22.891500000000001</v>
      </c>
      <c r="AF1446">
        <v>1.5259030561140301</v>
      </c>
      <c r="AG1446">
        <v>-1.1072380293150901</v>
      </c>
      <c r="AH1446">
        <v>23.710328869964599</v>
      </c>
      <c r="AI1446">
        <v>92.668175841988599</v>
      </c>
      <c r="AJ1446">
        <v>86.317748072638395</v>
      </c>
      <c r="AK1446">
        <v>23.785164521442699</v>
      </c>
      <c r="AL1446">
        <v>88.709186447133604</v>
      </c>
      <c r="AM1446">
        <v>84.590332234431401</v>
      </c>
      <c r="AN1446">
        <v>0.99999996443266803</v>
      </c>
    </row>
    <row r="1447" spans="1:40" x14ac:dyDescent="0.25">
      <c r="A1447" t="str">
        <f>"20190312160324824"</f>
        <v>20190312160324824</v>
      </c>
      <c r="B1447" t="str">
        <f>"1552377804815462"</f>
        <v>1552377804815462</v>
      </c>
      <c r="C1447" t="s">
        <v>40</v>
      </c>
      <c r="D1447">
        <v>5.6753070000000001</v>
      </c>
      <c r="E1447">
        <v>0.52688159999999995</v>
      </c>
      <c r="F1447" t="s">
        <v>59</v>
      </c>
      <c r="G1447">
        <v>-196.1688</v>
      </c>
      <c r="H1447" s="1">
        <v>8.628267E-7</v>
      </c>
      <c r="I1447">
        <v>295.61720000000003</v>
      </c>
      <c r="J1447">
        <v>-187.11179999999999</v>
      </c>
      <c r="K1447">
        <v>1.1072409999999999</v>
      </c>
      <c r="L1447">
        <v>318.50819999999999</v>
      </c>
      <c r="M1447">
        <v>-0.2155022</v>
      </c>
      <c r="N1447">
        <v>0</v>
      </c>
      <c r="O1447">
        <v>-0.97641860000000003</v>
      </c>
      <c r="P1447">
        <v>-0.30516850000000001</v>
      </c>
      <c r="Q1447">
        <v>1.0729239999999999E-2</v>
      </c>
      <c r="R1447">
        <v>-0.95223800000000003</v>
      </c>
      <c r="S1447">
        <v>-1.1006009999999999</v>
      </c>
      <c r="T1447">
        <v>-0.13341120000000001</v>
      </c>
      <c r="U1447">
        <v>-2.7995000000000001</v>
      </c>
      <c r="V1447">
        <v>9.2920299999999997E-2</v>
      </c>
      <c r="W1447">
        <v>2.2948940000000001E-2</v>
      </c>
      <c r="X1447">
        <v>0.99540910000000005</v>
      </c>
      <c r="Y1447">
        <v>0.1563456</v>
      </c>
      <c r="Z1447">
        <v>4.4018679999999998E-2</v>
      </c>
      <c r="AA1447">
        <v>0.98672099999999996</v>
      </c>
      <c r="AB1447">
        <v>36</v>
      </c>
      <c r="AC1447">
        <v>-9.0570000000000093</v>
      </c>
      <c r="AD1447">
        <v>-1.1072401371732901</v>
      </c>
      <c r="AE1447">
        <v>-22.890999999999899</v>
      </c>
      <c r="AF1447">
        <v>3.90279079309092</v>
      </c>
      <c r="AG1447">
        <v>-1.1072401371732901</v>
      </c>
      <c r="AH1447">
        <v>24.2559438688208</v>
      </c>
      <c r="AI1447">
        <v>92.580490812519898</v>
      </c>
      <c r="AJ1447">
        <v>80.8594293925036</v>
      </c>
      <c r="AK1447">
        <v>24.5928560696677</v>
      </c>
      <c r="AL1447">
        <v>88.685007226023103</v>
      </c>
      <c r="AM1447">
        <v>84.666959458984707</v>
      </c>
      <c r="AN1447">
        <v>1.0000000561810101</v>
      </c>
    </row>
    <row r="1448" spans="1:40" x14ac:dyDescent="0.25">
      <c r="A1448" t="str">
        <f>"20190312160324846"</f>
        <v>20190312160324846</v>
      </c>
      <c r="B1448" t="str">
        <f>"1552377804835960"</f>
        <v>1552377804835960</v>
      </c>
      <c r="C1448" t="s">
        <v>40</v>
      </c>
      <c r="D1448">
        <v>5.8251970000000002</v>
      </c>
      <c r="E1448">
        <v>0.52815800000000002</v>
      </c>
      <c r="F1448" t="s">
        <v>59</v>
      </c>
      <c r="G1448">
        <v>-196.5916</v>
      </c>
      <c r="H1448" s="1">
        <v>1.0772620000000001E-6</v>
      </c>
      <c r="I1448">
        <v>294.90449999999998</v>
      </c>
      <c r="J1448">
        <v>-187.19329999999999</v>
      </c>
      <c r="K1448">
        <v>1.1072409999999999</v>
      </c>
      <c r="L1448">
        <v>318.15109999999999</v>
      </c>
      <c r="M1448">
        <v>-0.21826300000000001</v>
      </c>
      <c r="N1448">
        <v>0</v>
      </c>
      <c r="O1448">
        <v>-0.97580529999999999</v>
      </c>
      <c r="P1448">
        <v>-0.30699100000000001</v>
      </c>
      <c r="Q1448">
        <v>1.0564469999999999E-2</v>
      </c>
      <c r="R1448">
        <v>-0.95165420000000001</v>
      </c>
      <c r="S1448">
        <v>-1.1215360000000001</v>
      </c>
      <c r="T1448">
        <v>-0.13099539999999901</v>
      </c>
      <c r="U1448">
        <v>-2.7925110000000002</v>
      </c>
      <c r="V1448">
        <v>9.2008770000000004E-2</v>
      </c>
      <c r="W1448">
        <v>2.2777800000000001E-2</v>
      </c>
      <c r="X1448">
        <v>0.99549759999999998</v>
      </c>
      <c r="Y1448">
        <v>0.16079089999999999</v>
      </c>
      <c r="Z1448">
        <v>4.3209659999999997E-2</v>
      </c>
      <c r="AA1448">
        <v>0.98604219999999998</v>
      </c>
      <c r="AB1448">
        <v>36</v>
      </c>
      <c r="AC1448">
        <v>-9.3983000000000008</v>
      </c>
      <c r="AD1448">
        <v>-1.1072399227380001</v>
      </c>
      <c r="AE1448">
        <v>-23.246600000000001</v>
      </c>
      <c r="AF1448">
        <v>4.0894028918440402</v>
      </c>
      <c r="AG1448">
        <v>-1.1072399227380001</v>
      </c>
      <c r="AH1448">
        <v>24.689358660123801</v>
      </c>
      <c r="AI1448">
        <v>92.533344802370493</v>
      </c>
      <c r="AJ1448">
        <v>80.595242952977102</v>
      </c>
      <c r="AK1448">
        <v>25.050222100942701</v>
      </c>
      <c r="AL1448">
        <v>88.6948152592784</v>
      </c>
      <c r="AM1448">
        <v>84.719445124615305</v>
      </c>
      <c r="AN1448">
        <v>0.99999995676775499</v>
      </c>
    </row>
    <row r="1449" spans="1:40" x14ac:dyDescent="0.25">
      <c r="A1449" t="str">
        <f>"20190312160324869"</f>
        <v>20190312160324869</v>
      </c>
      <c r="B1449" t="str">
        <f>"1552377804855479"</f>
        <v>1552377804855479</v>
      </c>
      <c r="C1449" t="s">
        <v>40</v>
      </c>
      <c r="D1449">
        <v>5.5584439999999997</v>
      </c>
      <c r="E1449">
        <v>0.52786940000000004</v>
      </c>
      <c r="F1449" t="s">
        <v>59</v>
      </c>
      <c r="G1449">
        <v>-196.45769999999999</v>
      </c>
      <c r="H1449" s="1">
        <v>9.0114410000000003E-7</v>
      </c>
      <c r="I1449">
        <v>295.43630000000002</v>
      </c>
      <c r="J1449">
        <v>-187.2739</v>
      </c>
      <c r="K1449">
        <v>1.1072409999999999</v>
      </c>
      <c r="L1449">
        <v>317.80259999999998</v>
      </c>
      <c r="M1449">
        <v>-0.22095590000000001</v>
      </c>
      <c r="N1449">
        <v>0</v>
      </c>
      <c r="O1449">
        <v>-0.97519940000000005</v>
      </c>
      <c r="P1449">
        <v>-0.30875330000000001</v>
      </c>
      <c r="Q1449">
        <v>9.6136239999999994E-3</v>
      </c>
      <c r="R1449">
        <v>-0.95109390000000005</v>
      </c>
      <c r="S1449">
        <v>-1.1367799999999999</v>
      </c>
      <c r="T1449">
        <v>-0.13586319999999999</v>
      </c>
      <c r="U1449">
        <v>-2.787201</v>
      </c>
      <c r="V1449">
        <v>9.1096029999999995E-2</v>
      </c>
      <c r="W1449">
        <v>2.1822930000000001E-2</v>
      </c>
      <c r="X1449">
        <v>0.99560300000000002</v>
      </c>
      <c r="Y1449">
        <v>0.16332089999999999</v>
      </c>
      <c r="Z1449">
        <v>4.479578E-2</v>
      </c>
      <c r="AA1449">
        <v>0.98555550000000003</v>
      </c>
      <c r="AB1449">
        <v>36</v>
      </c>
      <c r="AC1449">
        <v>-9.1837999999999909</v>
      </c>
      <c r="AD1449">
        <v>-1.1072400988558999</v>
      </c>
      <c r="AE1449">
        <v>-22.366299999999899</v>
      </c>
      <c r="AF1449">
        <v>4.0059995597367299</v>
      </c>
      <c r="AG1449">
        <v>-1.1072400988558999</v>
      </c>
      <c r="AH1449">
        <v>23.792882466624199</v>
      </c>
      <c r="AI1449">
        <v>92.627499619836399</v>
      </c>
      <c r="AJ1449">
        <v>80.442766836502898</v>
      </c>
      <c r="AK1449">
        <v>24.1531627158788</v>
      </c>
      <c r="AL1449">
        <v>88.749538985548398</v>
      </c>
      <c r="AM1449">
        <v>84.772087654456598</v>
      </c>
      <c r="AN1449">
        <v>1.00000003028227</v>
      </c>
    </row>
    <row r="1450" spans="1:40" x14ac:dyDescent="0.25">
      <c r="A1450" t="str">
        <f>"20190312160324889"</f>
        <v>20190312160324889</v>
      </c>
      <c r="B1450" t="str">
        <f>"1552377804885735"</f>
        <v>1552377804885735</v>
      </c>
      <c r="C1450" t="s">
        <v>40</v>
      </c>
      <c r="D1450">
        <v>5.6321190000000003</v>
      </c>
      <c r="E1450">
        <v>0.52755419999999997</v>
      </c>
      <c r="F1450" t="s">
        <v>59</v>
      </c>
      <c r="G1450">
        <v>-196.58629999999999</v>
      </c>
      <c r="H1450" s="1">
        <v>1.029742E-6</v>
      </c>
      <c r="I1450">
        <v>295.04020000000003</v>
      </c>
      <c r="J1450">
        <v>-187.35409999999999</v>
      </c>
      <c r="K1450">
        <v>1.1072379999999999</v>
      </c>
      <c r="L1450">
        <v>317.46050000000002</v>
      </c>
      <c r="M1450">
        <v>-0.22359879999999999</v>
      </c>
      <c r="N1450">
        <v>0</v>
      </c>
      <c r="O1450">
        <v>-0.97459680000000004</v>
      </c>
      <c r="P1450">
        <v>-0.31071490000000002</v>
      </c>
      <c r="Q1450">
        <v>9.2000439999999992E-3</v>
      </c>
      <c r="R1450">
        <v>-0.95045860000000004</v>
      </c>
      <c r="S1450">
        <v>-1.139664</v>
      </c>
      <c r="T1450">
        <v>-0.13550490000000001</v>
      </c>
      <c r="U1450">
        <v>-2.7856749999999999</v>
      </c>
      <c r="V1450">
        <v>9.0447369999999999E-2</v>
      </c>
      <c r="W1450">
        <v>2.1405319999999999E-2</v>
      </c>
      <c r="X1450">
        <v>0.99567119999999998</v>
      </c>
      <c r="Y1450">
        <v>0.16171150000000001</v>
      </c>
      <c r="Z1450">
        <v>4.4657090000000003E-2</v>
      </c>
      <c r="AA1450">
        <v>0.98582709999999996</v>
      </c>
      <c r="AB1450">
        <v>36</v>
      </c>
      <c r="AC1450">
        <v>-9.2322000000000006</v>
      </c>
      <c r="AD1450">
        <v>-1.1072369702580001</v>
      </c>
      <c r="AE1450">
        <v>-22.420300000000001</v>
      </c>
      <c r="AF1450">
        <v>3.9765560360289598</v>
      </c>
      <c r="AG1450">
        <v>-1.1072369702580001</v>
      </c>
      <c r="AH1450">
        <v>23.867259415832599</v>
      </c>
      <c r="AI1450">
        <v>92.620065044841795</v>
      </c>
      <c r="AJ1450">
        <v>80.540762216170293</v>
      </c>
      <c r="AK1450">
        <v>24.2215821869388</v>
      </c>
      <c r="AL1450">
        <v>88.773471861844001</v>
      </c>
      <c r="AM1450">
        <v>84.809463145371296</v>
      </c>
      <c r="AN1450">
        <v>1.0000000264868201</v>
      </c>
    </row>
    <row r="1451" spans="1:40" x14ac:dyDescent="0.25">
      <c r="A1451" t="str">
        <f>"20190312160324912"</f>
        <v>20190312160324912</v>
      </c>
      <c r="B1451" t="str">
        <f>"1552377804906231"</f>
        <v>1552377804906231</v>
      </c>
      <c r="C1451" t="s">
        <v>40</v>
      </c>
      <c r="D1451">
        <v>5.7317559999999999</v>
      </c>
      <c r="E1451">
        <v>0.52791390000000005</v>
      </c>
      <c r="F1451" t="s">
        <v>59</v>
      </c>
      <c r="G1451">
        <v>-196.14349999999999</v>
      </c>
      <c r="H1451" s="1">
        <v>7.108391E-7</v>
      </c>
      <c r="I1451">
        <v>296.05349999999999</v>
      </c>
      <c r="J1451">
        <v>-187.43889999999999</v>
      </c>
      <c r="K1451">
        <v>1.1072379999999999</v>
      </c>
      <c r="L1451">
        <v>317.10270000000003</v>
      </c>
      <c r="M1451">
        <v>-0.22636129999999999</v>
      </c>
      <c r="N1451">
        <v>0</v>
      </c>
      <c r="O1451">
        <v>-0.97395900000000002</v>
      </c>
      <c r="P1451">
        <v>-0.31285829999999998</v>
      </c>
      <c r="Q1451">
        <v>9.8359309999999991E-3</v>
      </c>
      <c r="R1451">
        <v>-0.94974919999999996</v>
      </c>
      <c r="S1451">
        <v>-1.1431119999999999</v>
      </c>
      <c r="T1451">
        <v>-0.14400180000000001</v>
      </c>
      <c r="U1451">
        <v>-2.7840880000000001</v>
      </c>
      <c r="V1451">
        <v>8.9875679999999999E-2</v>
      </c>
      <c r="W1451">
        <v>2.2037459999999998E-2</v>
      </c>
      <c r="X1451">
        <v>0.99570910000000001</v>
      </c>
      <c r="Y1451">
        <v>0.1601059</v>
      </c>
      <c r="Z1451">
        <v>4.7425299999999997E-2</v>
      </c>
      <c r="AA1451">
        <v>0.9859599</v>
      </c>
      <c r="AB1451">
        <v>36</v>
      </c>
      <c r="AC1451">
        <v>-8.7045999999999992</v>
      </c>
      <c r="AD1451">
        <v>-1.1072372891608999</v>
      </c>
      <c r="AE1451">
        <v>-21.049199999999999</v>
      </c>
      <c r="AF1451">
        <v>3.7047505238256302</v>
      </c>
      <c r="AG1451">
        <v>-1.1072372891608999</v>
      </c>
      <c r="AH1451">
        <v>22.420312662033599</v>
      </c>
      <c r="AI1451">
        <v>92.789515235580694</v>
      </c>
      <c r="AJ1451">
        <v>80.617183956151393</v>
      </c>
      <c r="AK1451">
        <v>22.751298220577201</v>
      </c>
      <c r="AL1451">
        <v>88.737244263693896</v>
      </c>
      <c r="AM1451">
        <v>84.842288678816701</v>
      </c>
      <c r="AN1451">
        <v>0.99999994966076</v>
      </c>
    </row>
    <row r="1452" spans="1:40" x14ac:dyDescent="0.25">
      <c r="A1452" t="str">
        <f>"20190312160324935"</f>
        <v>20190312160324935</v>
      </c>
      <c r="B1452" t="str">
        <f>"1552377804925751"</f>
        <v>1552377804925751</v>
      </c>
      <c r="C1452" t="s">
        <v>40</v>
      </c>
      <c r="D1452">
        <v>5.6464759999999998</v>
      </c>
      <c r="E1452">
        <v>0.5279798</v>
      </c>
      <c r="F1452" t="s">
        <v>59</v>
      </c>
      <c r="G1452">
        <v>-196.32579999999999</v>
      </c>
      <c r="H1452" s="1">
        <v>8.3656619999999901E-7</v>
      </c>
      <c r="I1452">
        <v>295.65210000000002</v>
      </c>
      <c r="J1452">
        <v>-187.52789999999999</v>
      </c>
      <c r="K1452">
        <v>1.107243</v>
      </c>
      <c r="L1452">
        <v>316.73239999999998</v>
      </c>
      <c r="M1452">
        <v>-0.22921859999999999</v>
      </c>
      <c r="N1452">
        <v>0</v>
      </c>
      <c r="O1452">
        <v>-0.97329060000000001</v>
      </c>
      <c r="P1452">
        <v>-0.31492730000000002</v>
      </c>
      <c r="Q1452">
        <v>1.062945E-2</v>
      </c>
      <c r="R1452">
        <v>-0.94905629999999996</v>
      </c>
      <c r="S1452">
        <v>-1.1520539999999999</v>
      </c>
      <c r="T1452">
        <v>-0.143537</v>
      </c>
      <c r="U1452">
        <v>-2.7807620000000002</v>
      </c>
      <c r="V1452">
        <v>8.9130239999999999E-2</v>
      </c>
      <c r="W1452">
        <v>2.2829760000000001E-2</v>
      </c>
      <c r="X1452">
        <v>0.99575829999999999</v>
      </c>
      <c r="Y1452">
        <v>0.16033559999999999</v>
      </c>
      <c r="Z1452">
        <v>4.7247780000000003E-2</v>
      </c>
      <c r="AA1452">
        <v>0.98593109999999995</v>
      </c>
      <c r="AB1452">
        <v>36</v>
      </c>
      <c r="AC1452">
        <v>-8.7978999999999896</v>
      </c>
      <c r="AD1452">
        <v>-1.1072421634338001</v>
      </c>
      <c r="AE1452">
        <v>-21.080299999999902</v>
      </c>
      <c r="AF1452">
        <v>3.7224765655464398</v>
      </c>
      <c r="AG1452">
        <v>-1.1072421634338001</v>
      </c>
      <c r="AH1452">
        <v>22.482924744682801</v>
      </c>
      <c r="AI1452">
        <v>92.781624460337298</v>
      </c>
      <c r="AJ1452">
        <v>80.598877582547104</v>
      </c>
      <c r="AK1452">
        <v>22.8158874923725</v>
      </c>
      <c r="AL1452">
        <v>88.6918374458714</v>
      </c>
      <c r="AM1452">
        <v>84.8850908872015</v>
      </c>
      <c r="AN1452">
        <v>0.99999999482150204</v>
      </c>
    </row>
    <row r="1453" spans="1:40" x14ac:dyDescent="0.25">
      <c r="A1453" t="str">
        <f>"20190312160324957"</f>
        <v>20190312160324957</v>
      </c>
      <c r="B1453" t="str">
        <f>"1552377804946247"</f>
        <v>1552377804946247</v>
      </c>
      <c r="C1453" t="s">
        <v>40</v>
      </c>
      <c r="D1453">
        <v>5.677664</v>
      </c>
      <c r="E1453">
        <v>0.52790019999999904</v>
      </c>
      <c r="F1453" t="s">
        <v>59</v>
      </c>
      <c r="G1453">
        <v>-196.6105</v>
      </c>
      <c r="H1453" s="1">
        <v>1.0571509999999999E-6</v>
      </c>
      <c r="I1453">
        <v>294.95659999999998</v>
      </c>
      <c r="J1453">
        <v>-187.6131</v>
      </c>
      <c r="K1453">
        <v>1.107253</v>
      </c>
      <c r="L1453">
        <v>316.38209999999998</v>
      </c>
      <c r="M1453">
        <v>-0.2319176</v>
      </c>
      <c r="N1453">
        <v>0</v>
      </c>
      <c r="O1453">
        <v>-0.97265089999999998</v>
      </c>
      <c r="P1453">
        <v>-0.3177044</v>
      </c>
      <c r="Q1453">
        <v>1.129837E-2</v>
      </c>
      <c r="R1453">
        <v>-0.94812260000000004</v>
      </c>
      <c r="S1453">
        <v>-1.158752</v>
      </c>
      <c r="T1453">
        <v>-0.1412612</v>
      </c>
      <c r="U1453">
        <v>-2.7781370000000001</v>
      </c>
      <c r="V1453">
        <v>8.9289140000000003E-2</v>
      </c>
      <c r="W1453">
        <v>2.349238E-2</v>
      </c>
      <c r="X1453">
        <v>0.99572870000000002</v>
      </c>
      <c r="Y1453">
        <v>0.15996779999999999</v>
      </c>
      <c r="Z1453">
        <v>4.6476190000000001E-2</v>
      </c>
      <c r="AA1453">
        <v>0.98602749999999995</v>
      </c>
      <c r="AB1453">
        <v>36</v>
      </c>
      <c r="AC1453">
        <v>-8.9973999999999901</v>
      </c>
      <c r="AD1453">
        <v>-1.107251942849</v>
      </c>
      <c r="AE1453">
        <v>-21.4255</v>
      </c>
      <c r="AF1453">
        <v>3.7741211027169701</v>
      </c>
      <c r="AG1453">
        <v>-1.107251942849</v>
      </c>
      <c r="AH1453">
        <v>22.876135565477998</v>
      </c>
      <c r="AI1453">
        <v>92.7341676499058</v>
      </c>
      <c r="AJ1453">
        <v>80.631690813143905</v>
      </c>
      <c r="AK1453">
        <v>23.211798193441201</v>
      </c>
      <c r="AL1453">
        <v>88.653861993655397</v>
      </c>
      <c r="AM1453">
        <v>84.875869097066001</v>
      </c>
      <c r="AN1453">
        <v>1.0000000432218401</v>
      </c>
    </row>
    <row r="1454" spans="1:40" x14ac:dyDescent="0.25">
      <c r="A1454" t="str">
        <f>"20190312160324979"</f>
        <v>20190312160324979</v>
      </c>
      <c r="B1454" t="str">
        <f>"1552377804975529"</f>
        <v>1552377804975529</v>
      </c>
      <c r="C1454" t="s">
        <v>40</v>
      </c>
      <c r="D1454">
        <v>5.5979960000000002</v>
      </c>
      <c r="E1454">
        <v>0.5262677</v>
      </c>
      <c r="F1454" t="s">
        <v>59</v>
      </c>
      <c r="G1454">
        <v>-196.49719999999999</v>
      </c>
      <c r="H1454" s="1">
        <v>9.6675229999999998E-7</v>
      </c>
      <c r="I1454">
        <v>295.24079999999998</v>
      </c>
      <c r="J1454">
        <v>-187.6977</v>
      </c>
      <c r="K1454">
        <v>1.1072569999999999</v>
      </c>
      <c r="L1454">
        <v>316.03800000000001</v>
      </c>
      <c r="M1454">
        <v>-0.23456440000000001</v>
      </c>
      <c r="N1454">
        <v>0</v>
      </c>
      <c r="O1454">
        <v>-0.9720162</v>
      </c>
      <c r="P1454">
        <v>-0.3206117</v>
      </c>
      <c r="Q1454">
        <v>1.1512029999999999E-2</v>
      </c>
      <c r="R1454">
        <v>-0.94714100000000001</v>
      </c>
      <c r="S1454">
        <v>-1.166183</v>
      </c>
      <c r="T1454">
        <v>-0.14534349999999999</v>
      </c>
      <c r="U1454">
        <v>-2.7751160000000001</v>
      </c>
      <c r="V1454">
        <v>8.9635110000000004E-2</v>
      </c>
      <c r="W1454">
        <v>2.3698799999999999E-2</v>
      </c>
      <c r="X1454">
        <v>0.99569269999999999</v>
      </c>
      <c r="Y1454">
        <v>0.15988350000000001</v>
      </c>
      <c r="Z1454">
        <v>4.7794240000000002E-2</v>
      </c>
      <c r="AA1454">
        <v>0.98597820000000003</v>
      </c>
      <c r="AB1454">
        <v>36</v>
      </c>
      <c r="AC1454">
        <v>-8.7994999999999894</v>
      </c>
      <c r="AD1454">
        <v>-1.1072560332476999</v>
      </c>
      <c r="AE1454">
        <v>-20.7972</v>
      </c>
      <c r="AF1454">
        <v>3.6664605071102399</v>
      </c>
      <c r="AG1454">
        <v>-1.1072560332476999</v>
      </c>
      <c r="AH1454">
        <v>22.227653451747798</v>
      </c>
      <c r="AI1454">
        <v>92.813833467236805</v>
      </c>
      <c r="AJ1454">
        <v>80.633381027214099</v>
      </c>
      <c r="AK1454">
        <v>22.555210629571999</v>
      </c>
      <c r="AL1454">
        <v>88.642031673324894</v>
      </c>
      <c r="AM1454">
        <v>84.855935875293</v>
      </c>
      <c r="AN1454">
        <v>1.0000000194497201</v>
      </c>
    </row>
    <row r="1455" spans="1:40" x14ac:dyDescent="0.25">
      <c r="A1455" t="str">
        <f>"20190312160325003"</f>
        <v>20190312160325003</v>
      </c>
      <c r="B1455" t="str">
        <f>"1552377804996023"</f>
        <v>1552377804996023</v>
      </c>
      <c r="C1455" t="s">
        <v>40</v>
      </c>
      <c r="D1455">
        <v>5.726324</v>
      </c>
      <c r="E1455">
        <v>0.52660859999999998</v>
      </c>
      <c r="F1455" t="s">
        <v>59</v>
      </c>
      <c r="G1455">
        <v>-197.3802</v>
      </c>
      <c r="H1455" s="1">
        <v>1.408984E-6</v>
      </c>
      <c r="I1455">
        <v>292.91399999999999</v>
      </c>
      <c r="J1455">
        <v>-187.79239999999999</v>
      </c>
      <c r="K1455">
        <v>1.1072580000000001</v>
      </c>
      <c r="L1455">
        <v>315.65769999999998</v>
      </c>
      <c r="M1455">
        <v>-0.2374848</v>
      </c>
      <c r="N1455">
        <v>0</v>
      </c>
      <c r="O1455">
        <v>-0.97130669999999997</v>
      </c>
      <c r="P1455">
        <v>-0.32365969999999999</v>
      </c>
      <c r="Q1455">
        <v>1.169716E-2</v>
      </c>
      <c r="R1455">
        <v>-0.94610119999999998</v>
      </c>
      <c r="S1455">
        <v>-1.162201</v>
      </c>
      <c r="T1455">
        <v>-0.13290550000000001</v>
      </c>
      <c r="U1455">
        <v>-2.775604</v>
      </c>
      <c r="V1455">
        <v>8.9850070000000004E-2</v>
      </c>
      <c r="W1455">
        <v>2.3880419999999999E-2</v>
      </c>
      <c r="X1455">
        <v>0.99566889999999997</v>
      </c>
      <c r="Y1455">
        <v>0.15572440000000001</v>
      </c>
      <c r="Z1455">
        <v>4.3684859999999999E-2</v>
      </c>
      <c r="AA1455">
        <v>0.98683410000000005</v>
      </c>
      <c r="AB1455">
        <v>36</v>
      </c>
      <c r="AC1455">
        <v>-9.5878000000000103</v>
      </c>
      <c r="AD1455">
        <v>-1.1072565910159999</v>
      </c>
      <c r="AE1455">
        <v>-22.743699999999901</v>
      </c>
      <c r="AF1455">
        <v>3.9038760834590498</v>
      </c>
      <c r="AG1455">
        <v>-1.1072565910159999</v>
      </c>
      <c r="AH1455">
        <v>24.321120409958901</v>
      </c>
      <c r="AI1455">
        <v>92.573778682912305</v>
      </c>
      <c r="AJ1455">
        <v>80.881020188647895</v>
      </c>
      <c r="AK1455">
        <v>24.657314607010001</v>
      </c>
      <c r="AL1455">
        <v>88.631622551182801</v>
      </c>
      <c r="AM1455">
        <v>84.843543380296495</v>
      </c>
      <c r="AN1455">
        <v>0.99999993398279297</v>
      </c>
    </row>
    <row r="1456" spans="1:40" x14ac:dyDescent="0.25">
      <c r="A1456" t="str">
        <f>"20190312160325025"</f>
        <v>20190312160325025</v>
      </c>
      <c r="B1456" t="str">
        <f>"1552377805015542"</f>
        <v>1552377805015542</v>
      </c>
      <c r="C1456" t="s">
        <v>40</v>
      </c>
      <c r="D1456">
        <v>5.7492749999999999</v>
      </c>
      <c r="E1456">
        <v>0.52688699999999999</v>
      </c>
      <c r="F1456" t="s">
        <v>59</v>
      </c>
      <c r="G1456">
        <v>-197.38069999999999</v>
      </c>
      <c r="H1456" s="1">
        <v>1.391179E-6</v>
      </c>
      <c r="I1456">
        <v>293.01490000000001</v>
      </c>
      <c r="J1456">
        <v>-187.8801</v>
      </c>
      <c r="K1456">
        <v>1.107278</v>
      </c>
      <c r="L1456">
        <v>315.31</v>
      </c>
      <c r="M1456">
        <v>-0.24014579999999999</v>
      </c>
      <c r="N1456">
        <v>0</v>
      </c>
      <c r="O1456">
        <v>-0.97065219999999997</v>
      </c>
      <c r="P1456">
        <v>-0.32645079999999999</v>
      </c>
      <c r="Q1456">
        <v>1.240351E-2</v>
      </c>
      <c r="R1456">
        <v>-0.94513290000000005</v>
      </c>
      <c r="S1456">
        <v>-1.173462</v>
      </c>
      <c r="T1456">
        <v>-0.1355122</v>
      </c>
      <c r="U1456">
        <v>-2.7711489999999999</v>
      </c>
      <c r="V1456">
        <v>9.0066660000000007E-2</v>
      </c>
      <c r="W1456">
        <v>2.4604999999999998E-2</v>
      </c>
      <c r="X1456">
        <v>0.99563179999999996</v>
      </c>
      <c r="Y1456">
        <v>0.1569729</v>
      </c>
      <c r="Z1456">
        <v>4.4522970000000002E-2</v>
      </c>
      <c r="AA1456">
        <v>0.9865988</v>
      </c>
      <c r="AB1456">
        <v>36</v>
      </c>
      <c r="AC1456">
        <v>-9.5005999999999897</v>
      </c>
      <c r="AD1456">
        <v>-1.107276608821</v>
      </c>
      <c r="AE1456">
        <v>-22.295099999999898</v>
      </c>
      <c r="AF1456">
        <v>3.8599637382202299</v>
      </c>
      <c r="AG1456">
        <v>-1.107276608821</v>
      </c>
      <c r="AH1456">
        <v>23.874444459566</v>
      </c>
      <c r="AI1456">
        <v>92.621434808101398</v>
      </c>
      <c r="AJ1456">
        <v>80.816025517308404</v>
      </c>
      <c r="AK1456">
        <v>24.2098013168576</v>
      </c>
      <c r="AL1456">
        <v>88.5900951236151</v>
      </c>
      <c r="AM1456">
        <v>84.830989062830596</v>
      </c>
      <c r="AN1456">
        <v>1.0000000452198901</v>
      </c>
    </row>
    <row r="1457" spans="1:40" x14ac:dyDescent="0.25">
      <c r="A1457" t="str">
        <f>"20190312160325048"</f>
        <v>20190312160325048</v>
      </c>
      <c r="B1457" t="str">
        <f>"1552377805036039"</f>
        <v>1552377805036039</v>
      </c>
      <c r="C1457" t="s">
        <v>40</v>
      </c>
      <c r="D1457">
        <v>5.6910889999999998</v>
      </c>
      <c r="E1457">
        <v>0.5582125</v>
      </c>
      <c r="F1457" t="s">
        <v>59</v>
      </c>
      <c r="G1457">
        <v>-197.99119999999999</v>
      </c>
      <c r="H1457" s="1">
        <v>1.5719499999999901E-6</v>
      </c>
      <c r="I1457">
        <v>291.68099999999998</v>
      </c>
      <c r="J1457">
        <v>-187.97069999999999</v>
      </c>
      <c r="K1457">
        <v>1.1073</v>
      </c>
      <c r="L1457">
        <v>314.9547</v>
      </c>
      <c r="M1457">
        <v>-0.24285889999999999</v>
      </c>
      <c r="N1457">
        <v>0</v>
      </c>
      <c r="O1457">
        <v>-0.96997630000000001</v>
      </c>
      <c r="P1457">
        <v>-0.32926850000000002</v>
      </c>
      <c r="Q1457">
        <v>1.341532E-2</v>
      </c>
      <c r="R1457">
        <v>-0.94414140000000002</v>
      </c>
      <c r="S1457">
        <v>-1.183975</v>
      </c>
      <c r="T1457">
        <v>-0.1296582</v>
      </c>
      <c r="U1457">
        <v>-2.7668759999999999</v>
      </c>
      <c r="V1457">
        <v>9.0262250000000002E-2</v>
      </c>
      <c r="W1457">
        <v>2.567469E-2</v>
      </c>
      <c r="X1457">
        <v>0.99558709999999995</v>
      </c>
      <c r="Y1457">
        <v>0.15796499999999999</v>
      </c>
      <c r="Z1457">
        <v>4.2585930000000001E-2</v>
      </c>
      <c r="AA1457">
        <v>0.98652600000000001</v>
      </c>
      <c r="AB1457">
        <v>36</v>
      </c>
      <c r="AC1457">
        <v>-10.020499999999901</v>
      </c>
      <c r="AD1457">
        <v>-1.10729842805</v>
      </c>
      <c r="AE1457">
        <v>-23.273700000000002</v>
      </c>
      <c r="AF1457">
        <v>4.0600060170641799</v>
      </c>
      <c r="AG1457">
        <v>-1.10729842805</v>
      </c>
      <c r="AH1457">
        <v>24.962905875988799</v>
      </c>
      <c r="AI1457">
        <v>92.506949151024202</v>
      </c>
      <c r="AJ1457">
        <v>80.762211666905003</v>
      </c>
      <c r="AK1457">
        <v>25.3151422757376</v>
      </c>
      <c r="AL1457">
        <v>88.528787058669394</v>
      </c>
      <c r="AM1457">
        <v>84.819593657750204</v>
      </c>
      <c r="AN1457">
        <v>1.00000006858403</v>
      </c>
    </row>
    <row r="1458" spans="1:40" x14ac:dyDescent="0.25">
      <c r="A1458" t="str">
        <f>"20190312160325068"</f>
        <v>20190312160325068</v>
      </c>
      <c r="B1458" t="str">
        <f>"1552377805066296"</f>
        <v>1552377805066296</v>
      </c>
      <c r="C1458" t="s">
        <v>40</v>
      </c>
      <c r="D1458">
        <v>5.6954449999999897</v>
      </c>
      <c r="E1458">
        <v>0.55919090000000005</v>
      </c>
      <c r="F1458" t="s">
        <v>59</v>
      </c>
      <c r="G1458">
        <v>-202.07149999999999</v>
      </c>
      <c r="H1458" s="1">
        <v>2.7971580000000002E-6</v>
      </c>
      <c r="I1458">
        <v>288.48779999999999</v>
      </c>
      <c r="J1458">
        <v>-188.05549999999999</v>
      </c>
      <c r="K1458">
        <v>1.107326</v>
      </c>
      <c r="L1458">
        <v>314.62599999999998</v>
      </c>
      <c r="M1458">
        <v>-0.2453668</v>
      </c>
      <c r="N1458">
        <v>0</v>
      </c>
      <c r="O1458">
        <v>-0.96934370000000003</v>
      </c>
      <c r="P1458">
        <v>-0.33206479999999999</v>
      </c>
      <c r="Q1458">
        <v>1.2892499999999999E-2</v>
      </c>
      <c r="R1458">
        <v>-0.94316849999999997</v>
      </c>
      <c r="S1458">
        <v>-1.428345</v>
      </c>
      <c r="T1458">
        <v>-0.11216370000000001</v>
      </c>
      <c r="U1458">
        <v>-2.6809690000000002</v>
      </c>
      <c r="V1458">
        <v>9.0632370000000004E-2</v>
      </c>
      <c r="W1458">
        <v>2.523042E-2</v>
      </c>
      <c r="X1458">
        <v>0.99556480000000003</v>
      </c>
      <c r="Y1458">
        <v>0.2389299</v>
      </c>
      <c r="Z1458">
        <v>3.6869060000000002E-2</v>
      </c>
      <c r="AA1458">
        <v>0.97033659999999999</v>
      </c>
      <c r="AB1458">
        <v>36</v>
      </c>
      <c r="AC1458">
        <v>-14.015999999999901</v>
      </c>
      <c r="AD1458">
        <v>-1.1073232028419999</v>
      </c>
      <c r="AE1458">
        <v>-26.138199999999902</v>
      </c>
      <c r="AF1458">
        <v>7.1634918189336902</v>
      </c>
      <c r="AG1458">
        <v>-1.1073232028419999</v>
      </c>
      <c r="AH1458">
        <v>28.7383181284603</v>
      </c>
      <c r="AI1458">
        <v>92.141134111579902</v>
      </c>
      <c r="AJ1458">
        <v>76.003332974483101</v>
      </c>
      <c r="AK1458">
        <v>29.638365484082801</v>
      </c>
      <c r="AL1458">
        <v>88.554250054908195</v>
      </c>
      <c r="AM1458">
        <v>84.798351837012603</v>
      </c>
      <c r="AN1458">
        <v>1.0000000357921099</v>
      </c>
    </row>
    <row r="1459" spans="1:40" x14ac:dyDescent="0.25">
      <c r="A1459" t="str">
        <f>"20190312160325090"</f>
        <v>20190312160325090</v>
      </c>
      <c r="B1459" t="str">
        <f>"1552377805085815"</f>
        <v>1552377805085815</v>
      </c>
      <c r="C1459" t="s">
        <v>40</v>
      </c>
      <c r="D1459">
        <v>5.6552150000000001</v>
      </c>
      <c r="E1459">
        <v>0.5595272</v>
      </c>
      <c r="F1459" t="s">
        <v>59</v>
      </c>
      <c r="G1459">
        <v>-201.005</v>
      </c>
      <c r="H1459">
        <v>7.9999979999999998E-2</v>
      </c>
      <c r="I1459">
        <v>290.63339999999999</v>
      </c>
      <c r="J1459">
        <v>-188.14529999999999</v>
      </c>
      <c r="K1459">
        <v>1.107348</v>
      </c>
      <c r="L1459">
        <v>314.28179999999998</v>
      </c>
      <c r="M1459">
        <v>-0.2479903</v>
      </c>
      <c r="N1459">
        <v>0</v>
      </c>
      <c r="O1459">
        <v>-0.96867460000000005</v>
      </c>
      <c r="P1459">
        <v>-0.33484899999999901</v>
      </c>
      <c r="Q1459">
        <v>1.198723E-2</v>
      </c>
      <c r="R1459">
        <v>-0.94219549999999996</v>
      </c>
      <c r="S1459">
        <v>-1.4433290000000001</v>
      </c>
      <c r="T1459">
        <v>-0.1145036</v>
      </c>
      <c r="U1459">
        <v>-2.6741640000000002</v>
      </c>
      <c r="V1459">
        <v>9.0868980000000002E-2</v>
      </c>
      <c r="W1459">
        <v>2.4422429999999998E-2</v>
      </c>
      <c r="X1459">
        <v>0.99556330000000004</v>
      </c>
      <c r="Y1459">
        <v>0.24153069999999999</v>
      </c>
      <c r="Z1459">
        <v>3.7623299999999998E-2</v>
      </c>
      <c r="AA1459">
        <v>0.96966359999999996</v>
      </c>
      <c r="AB1459">
        <v>36</v>
      </c>
      <c r="AC1459">
        <v>-12.8597</v>
      </c>
      <c r="AD1459">
        <v>-1.02734802</v>
      </c>
      <c r="AE1459">
        <v>-23.648399999999899</v>
      </c>
      <c r="AF1459">
        <v>6.58326359085153</v>
      </c>
      <c r="AG1459">
        <v>-1.02734802</v>
      </c>
      <c r="AH1459">
        <v>26.060948989201801</v>
      </c>
      <c r="AI1459">
        <v>92.188800722307604</v>
      </c>
      <c r="AJ1459">
        <v>75.823082780903704</v>
      </c>
      <c r="AK1459">
        <v>26.899216822774001</v>
      </c>
      <c r="AL1459">
        <v>88.600558632371204</v>
      </c>
      <c r="AM1459">
        <v>84.784839089208404</v>
      </c>
      <c r="AN1459">
        <v>0.999999955460116</v>
      </c>
    </row>
    <row r="1460" spans="1:40" x14ac:dyDescent="0.25">
      <c r="A1460" t="str">
        <f>"20190312160325114"</f>
        <v>20190312160325114</v>
      </c>
      <c r="B1460" t="str">
        <f>"1552377805106311"</f>
        <v>1552377805106311</v>
      </c>
      <c r="C1460" t="s">
        <v>40</v>
      </c>
      <c r="D1460">
        <v>5.7695809999999996</v>
      </c>
      <c r="E1460">
        <v>0.55894390000000005</v>
      </c>
      <c r="F1460" t="s">
        <v>59</v>
      </c>
      <c r="G1460">
        <v>-200.5909</v>
      </c>
      <c r="H1460">
        <v>7.9999979999999998E-2</v>
      </c>
      <c r="I1460">
        <v>291.42910000000001</v>
      </c>
      <c r="J1460">
        <v>-188.2422</v>
      </c>
      <c r="K1460">
        <v>1.1073759999999999</v>
      </c>
      <c r="L1460">
        <v>313.9144</v>
      </c>
      <c r="M1460">
        <v>-0.2507876</v>
      </c>
      <c r="N1460">
        <v>0</v>
      </c>
      <c r="O1460">
        <v>-0.96795249999999999</v>
      </c>
      <c r="P1460">
        <v>-0.33736139999999998</v>
      </c>
      <c r="Q1460">
        <v>1.25299E-2</v>
      </c>
      <c r="R1460">
        <v>-0.94129200000000002</v>
      </c>
      <c r="S1460">
        <v>-1.453552</v>
      </c>
      <c r="T1460">
        <v>-0.1199858</v>
      </c>
      <c r="U1460">
        <v>-2.669006</v>
      </c>
      <c r="V1460">
        <v>9.0654230000000002E-2</v>
      </c>
      <c r="W1460">
        <v>2.50774E-2</v>
      </c>
      <c r="X1460">
        <v>0.99556670000000003</v>
      </c>
      <c r="Y1460">
        <v>0.24234520000000001</v>
      </c>
      <c r="Z1460">
        <v>3.9406980000000001E-2</v>
      </c>
      <c r="AA1460">
        <v>0.96938939999999996</v>
      </c>
      <c r="AB1460">
        <v>36</v>
      </c>
      <c r="AC1460">
        <v>-12.348699999999999</v>
      </c>
      <c r="AD1460">
        <v>-1.0273760199999999</v>
      </c>
      <c r="AE1460">
        <v>-22.485299999999899</v>
      </c>
      <c r="AF1460">
        <v>6.3043568980101696</v>
      </c>
      <c r="AG1460">
        <v>-1.0273760199999999</v>
      </c>
      <c r="AH1460">
        <v>24.823945231711001</v>
      </c>
      <c r="AI1460">
        <v>92.297080655505994</v>
      </c>
      <c r="AJ1460">
        <v>75.7502646305892</v>
      </c>
      <c r="AK1460">
        <v>25.632570574387302</v>
      </c>
      <c r="AL1460">
        <v>88.563020264226694</v>
      </c>
      <c r="AM1460">
        <v>84.797113989617699</v>
      </c>
      <c r="AN1460">
        <v>1.0000000597782599</v>
      </c>
    </row>
    <row r="1461" spans="1:40" x14ac:dyDescent="0.25">
      <c r="A1461" t="str">
        <f>"20190312160325135"</f>
        <v>20190312160325135</v>
      </c>
      <c r="B1461" t="str">
        <f>"1552377805125831"</f>
        <v>1552377805125831</v>
      </c>
      <c r="C1461" t="s">
        <v>40</v>
      </c>
      <c r="D1461">
        <v>5.6789509999999996</v>
      </c>
      <c r="E1461">
        <v>0.55928710000000004</v>
      </c>
      <c r="F1461" t="s">
        <v>59</v>
      </c>
      <c r="G1461">
        <v>-199.8022</v>
      </c>
      <c r="H1461" s="1">
        <v>1.2239090000000001E-6</v>
      </c>
      <c r="I1461">
        <v>292.74520000000001</v>
      </c>
      <c r="J1461">
        <v>-188.33240000000001</v>
      </c>
      <c r="K1461">
        <v>1.107389</v>
      </c>
      <c r="L1461">
        <v>313.57679999999999</v>
      </c>
      <c r="M1461">
        <v>-0.25335590000000002</v>
      </c>
      <c r="N1461">
        <v>0</v>
      </c>
      <c r="O1461">
        <v>-0.96728210000000003</v>
      </c>
      <c r="P1461">
        <v>-0.33947709999999998</v>
      </c>
      <c r="Q1461">
        <v>1.299168E-2</v>
      </c>
      <c r="R1461">
        <v>-0.94052480000000005</v>
      </c>
      <c r="S1461">
        <v>-1.456375</v>
      </c>
      <c r="T1461">
        <v>-0.1395122</v>
      </c>
      <c r="U1461">
        <v>-2.666992</v>
      </c>
      <c r="V1461">
        <v>9.0255130000000003E-2</v>
      </c>
      <c r="W1461">
        <v>2.5641799999999999E-2</v>
      </c>
      <c r="X1461">
        <v>0.99558849999999999</v>
      </c>
      <c r="Y1461">
        <v>0.2407339</v>
      </c>
      <c r="Z1461">
        <v>4.5788429999999998E-2</v>
      </c>
      <c r="AA1461">
        <v>0.96951050000000005</v>
      </c>
      <c r="AB1461">
        <v>36</v>
      </c>
      <c r="AC1461">
        <v>-11.4697999999999</v>
      </c>
      <c r="AD1461">
        <v>-1.107387776091</v>
      </c>
      <c r="AE1461">
        <v>-20.831599999999899</v>
      </c>
      <c r="AF1461">
        <v>5.8046484418816</v>
      </c>
      <c r="AG1461">
        <v>-1.107387776091</v>
      </c>
      <c r="AH1461">
        <v>23.008113056105</v>
      </c>
      <c r="AI1461">
        <v>92.671943386618494</v>
      </c>
      <c r="AJ1461">
        <v>75.840494111721497</v>
      </c>
      <c r="AK1461">
        <v>23.7548630310297</v>
      </c>
      <c r="AL1461">
        <v>88.530672001083104</v>
      </c>
      <c r="AM1461">
        <v>84.820007316091903</v>
      </c>
      <c r="AN1461">
        <v>0.99999997586540301</v>
      </c>
    </row>
    <row r="1462" spans="1:40" x14ac:dyDescent="0.25">
      <c r="A1462" t="str">
        <f>"20190312160325158"</f>
        <v>20190312160325158</v>
      </c>
      <c r="B1462" t="str">
        <f>"1552377805146327"</f>
        <v>1552377805146327</v>
      </c>
      <c r="C1462" t="s">
        <v>40</v>
      </c>
      <c r="D1462">
        <v>5.6995709999999997</v>
      </c>
      <c r="E1462">
        <v>0.55930839999999904</v>
      </c>
      <c r="F1462" t="s">
        <v>59</v>
      </c>
      <c r="G1462">
        <v>-200.09229999999999</v>
      </c>
      <c r="H1462">
        <v>5.716545E-2</v>
      </c>
      <c r="I1462">
        <v>292.20690000000002</v>
      </c>
      <c r="J1462">
        <v>-188.42679999999999</v>
      </c>
      <c r="K1462">
        <v>1.1073999999999999</v>
      </c>
      <c r="L1462">
        <v>313.22669999999999</v>
      </c>
      <c r="M1462">
        <v>-0.25601829999999998</v>
      </c>
      <c r="N1462">
        <v>0</v>
      </c>
      <c r="O1462">
        <v>-0.96657959999999998</v>
      </c>
      <c r="P1462">
        <v>-0.34183400000000003</v>
      </c>
      <c r="Q1462">
        <v>1.323971E-2</v>
      </c>
      <c r="R1462">
        <v>-0.93966740000000004</v>
      </c>
      <c r="S1462">
        <v>-1.4652400000000001</v>
      </c>
      <c r="T1462">
        <v>-0.13085339999999901</v>
      </c>
      <c r="U1462">
        <v>-2.662598</v>
      </c>
      <c r="V1462">
        <v>9.0012380000000003E-2</v>
      </c>
      <c r="W1462">
        <v>2.5990249999999999E-2</v>
      </c>
      <c r="X1462">
        <v>0.99560150000000003</v>
      </c>
      <c r="Y1462">
        <v>0.24127789999999999</v>
      </c>
      <c r="Z1462">
        <v>4.2932970000000001E-2</v>
      </c>
      <c r="AA1462">
        <v>0.96950590000000003</v>
      </c>
      <c r="AB1462">
        <v>36</v>
      </c>
      <c r="AC1462">
        <v>-11.6655</v>
      </c>
      <c r="AD1462">
        <v>-1.0502345500000001</v>
      </c>
      <c r="AE1462">
        <v>-21.019799999999901</v>
      </c>
      <c r="AF1462">
        <v>5.8834779815022502</v>
      </c>
      <c r="AG1462">
        <v>-1.0502345500000001</v>
      </c>
      <c r="AH1462">
        <v>23.261575253887301</v>
      </c>
      <c r="AI1462">
        <v>92.506268470515096</v>
      </c>
      <c r="AJ1462">
        <v>75.806031500619795</v>
      </c>
      <c r="AK1462">
        <v>24.017060375097898</v>
      </c>
      <c r="AL1462">
        <v>88.510700716822598</v>
      </c>
      <c r="AM1462">
        <v>84.833931015200307</v>
      </c>
      <c r="AN1462">
        <v>1.0000000342252799</v>
      </c>
    </row>
    <row r="1463" spans="1:40" x14ac:dyDescent="0.25">
      <c r="A1463" t="str">
        <f>"20190312160325180"</f>
        <v>20190312160325180</v>
      </c>
      <c r="B1463" t="str">
        <f>"1552377805175607"</f>
        <v>1552377805175607</v>
      </c>
      <c r="C1463" t="s">
        <v>40</v>
      </c>
      <c r="D1463">
        <v>5.5532789999999999</v>
      </c>
      <c r="E1463">
        <v>0.55944450000000001</v>
      </c>
      <c r="F1463" t="s">
        <v>59</v>
      </c>
      <c r="G1463">
        <v>-200.14779999999999</v>
      </c>
      <c r="H1463">
        <v>7.039484E-2</v>
      </c>
      <c r="I1463">
        <v>292.05439999999999</v>
      </c>
      <c r="J1463">
        <v>-188.5239</v>
      </c>
      <c r="K1463">
        <v>1.107413</v>
      </c>
      <c r="L1463">
        <v>312.8707</v>
      </c>
      <c r="M1463">
        <v>-0.25872840000000003</v>
      </c>
      <c r="N1463">
        <v>0</v>
      </c>
      <c r="O1463">
        <v>-0.9658563</v>
      </c>
      <c r="P1463">
        <v>-0.34450530000000001</v>
      </c>
      <c r="Q1463">
        <v>1.3234299999999999E-2</v>
      </c>
      <c r="R1463">
        <v>-0.93869130000000001</v>
      </c>
      <c r="S1463">
        <v>-1.47197</v>
      </c>
      <c r="T1463">
        <v>-0.13023090000000001</v>
      </c>
      <c r="U1463">
        <v>-2.6589049999999999</v>
      </c>
      <c r="V1463">
        <v>9.0051549999999994E-2</v>
      </c>
      <c r="W1463">
        <v>2.6077949999999999E-2</v>
      </c>
      <c r="X1463">
        <v>0.99559560000000002</v>
      </c>
      <c r="Y1463">
        <v>0.2410089</v>
      </c>
      <c r="Z1463">
        <v>4.2710579999999998E-2</v>
      </c>
      <c r="AA1463">
        <v>0.96958270000000002</v>
      </c>
      <c r="AB1463">
        <v>36</v>
      </c>
      <c r="AC1463">
        <v>-11.6238999999999</v>
      </c>
      <c r="AD1463">
        <v>-1.0370181599999999</v>
      </c>
      <c r="AE1463">
        <v>-20.816299999999998</v>
      </c>
      <c r="AF1463">
        <v>5.8307473454123402</v>
      </c>
      <c r="AG1463">
        <v>-1.0370181599999999</v>
      </c>
      <c r="AH1463">
        <v>23.0714337920368</v>
      </c>
      <c r="AI1463">
        <v>92.495257493172105</v>
      </c>
      <c r="AJ1463">
        <v>75.816859276402596</v>
      </c>
      <c r="AK1463">
        <v>23.819405502458199</v>
      </c>
      <c r="AL1463">
        <v>88.505674077319696</v>
      </c>
      <c r="AM1463">
        <v>84.831664646637407</v>
      </c>
      <c r="AN1463">
        <v>0.99999996993648199</v>
      </c>
    </row>
    <row r="1464" spans="1:40" x14ac:dyDescent="0.25">
      <c r="A1464" t="str">
        <f>"20190312160325203"</f>
        <v>20190312160325203</v>
      </c>
      <c r="B1464" t="str">
        <f>"1552377805196103"</f>
        <v>1552377805196103</v>
      </c>
      <c r="C1464" t="s">
        <v>40</v>
      </c>
      <c r="D1464">
        <v>5.6591820000000004</v>
      </c>
      <c r="E1464">
        <v>0.5596411</v>
      </c>
      <c r="F1464" t="s">
        <v>59</v>
      </c>
      <c r="G1464">
        <v>-200.11789999999999</v>
      </c>
      <c r="H1464">
        <v>1.3539829999999999E-2</v>
      </c>
      <c r="I1464">
        <v>292.08620000000002</v>
      </c>
      <c r="J1464">
        <v>-188.6224</v>
      </c>
      <c r="K1464">
        <v>1.1074310000000001</v>
      </c>
      <c r="L1464">
        <v>312.51339999999999</v>
      </c>
      <c r="M1464">
        <v>-0.26145099999999999</v>
      </c>
      <c r="N1464">
        <v>0</v>
      </c>
      <c r="O1464">
        <v>-0.96512169999999997</v>
      </c>
      <c r="P1464">
        <v>-0.34719369999999999</v>
      </c>
      <c r="Q1464">
        <v>1.2840499999999999E-2</v>
      </c>
      <c r="R1464">
        <v>-0.93770580000000003</v>
      </c>
      <c r="S1464">
        <v>-1.480728</v>
      </c>
      <c r="T1464">
        <v>-0.13970350000000001</v>
      </c>
      <c r="U1464">
        <v>-2.65448</v>
      </c>
      <c r="V1464">
        <v>9.009288E-2</v>
      </c>
      <c r="W1464">
        <v>2.5769070000000002E-2</v>
      </c>
      <c r="X1464">
        <v>0.99559989999999998</v>
      </c>
      <c r="Y1464">
        <v>0.2413315</v>
      </c>
      <c r="Z1464">
        <v>4.5789089999999998E-2</v>
      </c>
      <c r="AA1464">
        <v>0.9693619</v>
      </c>
      <c r="AB1464">
        <v>36</v>
      </c>
      <c r="AC1464">
        <v>-11.4954999999999</v>
      </c>
      <c r="AD1464">
        <v>-1.09389117</v>
      </c>
      <c r="AE1464">
        <v>-20.4271999999999</v>
      </c>
      <c r="AF1464">
        <v>5.7418671138217201</v>
      </c>
      <c r="AG1464">
        <v>-1.09389117</v>
      </c>
      <c r="AH1464">
        <v>22.672948243896801</v>
      </c>
      <c r="AI1464">
        <v>92.677775535384001</v>
      </c>
      <c r="AJ1464">
        <v>75.788768746571805</v>
      </c>
      <c r="AK1464">
        <v>23.4142738071249</v>
      </c>
      <c r="AL1464">
        <v>88.523377542748094</v>
      </c>
      <c r="AM1464">
        <v>84.829327657280402</v>
      </c>
      <c r="AN1464">
        <v>0.99999996643768396</v>
      </c>
    </row>
    <row r="1465" spans="1:40" x14ac:dyDescent="0.25">
      <c r="A1465" t="str">
        <f>"20190312160325227"</f>
        <v>20190312160325227</v>
      </c>
      <c r="B1465" t="str">
        <f>"1552377805216599"</f>
        <v>1552377805216599</v>
      </c>
      <c r="C1465" t="s">
        <v>40</v>
      </c>
      <c r="D1465">
        <v>5.6031510000000004</v>
      </c>
      <c r="E1465">
        <v>0.55975620000000004</v>
      </c>
      <c r="F1465" t="s">
        <v>59</v>
      </c>
      <c r="G1465">
        <v>-200.05080000000001</v>
      </c>
      <c r="H1465" s="1">
        <v>1.355009E-6</v>
      </c>
      <c r="I1465">
        <v>292.17970000000003</v>
      </c>
      <c r="J1465">
        <v>-188.72309999999999</v>
      </c>
      <c r="K1465">
        <v>1.107448</v>
      </c>
      <c r="L1465">
        <v>312.15210000000002</v>
      </c>
      <c r="M1465">
        <v>-0.26420549999999998</v>
      </c>
      <c r="N1465">
        <v>0</v>
      </c>
      <c r="O1465">
        <v>-0.96437030000000001</v>
      </c>
      <c r="P1465">
        <v>-0.349854</v>
      </c>
      <c r="Q1465">
        <v>1.3272519999999999E-2</v>
      </c>
      <c r="R1465">
        <v>-0.93671070000000001</v>
      </c>
      <c r="S1465">
        <v>-1.4893190000000001</v>
      </c>
      <c r="T1465">
        <v>-0.14431759999999999</v>
      </c>
      <c r="U1465">
        <v>-2.6498409999999999</v>
      </c>
      <c r="V1465">
        <v>9.0080400000000005E-2</v>
      </c>
      <c r="W1465">
        <v>2.6279110000000001E-2</v>
      </c>
      <c r="X1465">
        <v>0.99558769999999996</v>
      </c>
      <c r="Y1465">
        <v>0.24163870000000001</v>
      </c>
      <c r="Z1465">
        <v>4.727837E-2</v>
      </c>
      <c r="AA1465">
        <v>0.96921380000000001</v>
      </c>
      <c r="AB1465">
        <v>36</v>
      </c>
      <c r="AC1465">
        <v>-11.3277</v>
      </c>
      <c r="AD1465">
        <v>-1.1074466449910001</v>
      </c>
      <c r="AE1465">
        <v>-19.9724</v>
      </c>
      <c r="AF1465">
        <v>5.6346952427550496</v>
      </c>
      <c r="AG1465">
        <v>-1.1074466449910001</v>
      </c>
      <c r="AH1465">
        <v>22.2040405110229</v>
      </c>
      <c r="AI1465">
        <v>92.767727223800506</v>
      </c>
      <c r="AJ1465">
        <v>75.760697122747899</v>
      </c>
      <c r="AK1465">
        <v>22.934594907374599</v>
      </c>
      <c r="AL1465">
        <v>88.494144505522499</v>
      </c>
      <c r="AM1465">
        <v>84.829977026493097</v>
      </c>
      <c r="AN1465">
        <v>0.99999996923891998</v>
      </c>
    </row>
    <row r="1466" spans="1:40" x14ac:dyDescent="0.25">
      <c r="A1466" t="str">
        <f>"20190312160325249"</f>
        <v>20190312160325249</v>
      </c>
      <c r="B1466" t="str">
        <f>"1552377805245879"</f>
        <v>1552377805245879</v>
      </c>
      <c r="C1466" t="s">
        <v>40</v>
      </c>
      <c r="D1466">
        <v>5.6647850000000002</v>
      </c>
      <c r="E1466">
        <v>0.55962659999999997</v>
      </c>
      <c r="F1466" t="s">
        <v>59</v>
      </c>
      <c r="G1466">
        <v>-199.4666</v>
      </c>
      <c r="H1466" s="1">
        <v>1.1766389999999999E-6</v>
      </c>
      <c r="I1466">
        <v>293.18259999999998</v>
      </c>
      <c r="J1466">
        <v>-188.82060000000001</v>
      </c>
      <c r="K1466">
        <v>1.1074539999999999</v>
      </c>
      <c r="L1466">
        <v>311.8064</v>
      </c>
      <c r="M1466">
        <v>-0.2668432</v>
      </c>
      <c r="N1466">
        <v>0</v>
      </c>
      <c r="O1466">
        <v>-0.96364269999999996</v>
      </c>
      <c r="P1466">
        <v>-0.35256100000000001</v>
      </c>
      <c r="Q1466">
        <v>1.3962509999999999E-2</v>
      </c>
      <c r="R1466">
        <v>-0.93568459999999998</v>
      </c>
      <c r="S1466">
        <v>-1.4981990000000001</v>
      </c>
      <c r="T1466">
        <v>-0.15443479999999901</v>
      </c>
      <c r="U1466">
        <v>-2.6453250000000001</v>
      </c>
      <c r="V1466">
        <v>9.02419E-2</v>
      </c>
      <c r="W1466">
        <v>2.7033680000000001E-2</v>
      </c>
      <c r="X1466">
        <v>0.99555289999999996</v>
      </c>
      <c r="Y1466">
        <v>0.24207529999999999</v>
      </c>
      <c r="Z1466">
        <v>5.056049E-2</v>
      </c>
      <c r="AA1466">
        <v>0.9689392</v>
      </c>
      <c r="AB1466">
        <v>36</v>
      </c>
      <c r="AC1466">
        <v>-10.6459999999999</v>
      </c>
      <c r="AD1466">
        <v>-1.1074528233609999</v>
      </c>
      <c r="AE1466">
        <v>-18.623799999999999</v>
      </c>
      <c r="AF1466">
        <v>5.27574103791311</v>
      </c>
      <c r="AG1466">
        <v>-1.1074528233609999</v>
      </c>
      <c r="AH1466">
        <v>20.734190765200399</v>
      </c>
      <c r="AI1466">
        <v>92.963131697663599</v>
      </c>
      <c r="AJ1466">
        <v>75.724232263167806</v>
      </c>
      <c r="AK1466">
        <v>21.42350489399</v>
      </c>
      <c r="AL1466">
        <v>88.450895503883004</v>
      </c>
      <c r="AM1466">
        <v>84.820578295528406</v>
      </c>
      <c r="AN1466">
        <v>0.99999999853418098</v>
      </c>
    </row>
    <row r="1467" spans="1:40" x14ac:dyDescent="0.25">
      <c r="A1467" t="str">
        <f>"20190312160325270"</f>
        <v>20190312160325270</v>
      </c>
      <c r="B1467" t="str">
        <f>"1552377805266375"</f>
        <v>1552377805266375</v>
      </c>
      <c r="C1467" t="s">
        <v>40</v>
      </c>
      <c r="D1467">
        <v>5.716018</v>
      </c>
      <c r="E1467">
        <v>0.55933549999999999</v>
      </c>
      <c r="F1467" t="s">
        <v>59</v>
      </c>
      <c r="G1467">
        <v>-199.33349999999999</v>
      </c>
      <c r="H1467" s="1">
        <v>1.158064E-6</v>
      </c>
      <c r="I1467">
        <v>293.35509999999999</v>
      </c>
      <c r="J1467">
        <v>-188.9144</v>
      </c>
      <c r="K1467">
        <v>1.1074660000000001</v>
      </c>
      <c r="L1467">
        <v>311.4769</v>
      </c>
      <c r="M1467">
        <v>-0.26935750000000003</v>
      </c>
      <c r="N1467">
        <v>0</v>
      </c>
      <c r="O1467">
        <v>-0.96294219999999997</v>
      </c>
      <c r="P1467">
        <v>-0.35511520000000002</v>
      </c>
      <c r="Q1467">
        <v>1.3907589999999999E-2</v>
      </c>
      <c r="R1467">
        <v>-0.93471930000000003</v>
      </c>
      <c r="S1467">
        <v>-1.50502</v>
      </c>
      <c r="T1467">
        <v>-0.15854289999999999</v>
      </c>
      <c r="U1467">
        <v>-2.6414789999999999</v>
      </c>
      <c r="V1467">
        <v>9.036168E-2</v>
      </c>
      <c r="W1467">
        <v>2.7033680000000001E-2</v>
      </c>
      <c r="X1467">
        <v>0.99554200000000004</v>
      </c>
      <c r="Y1467">
        <v>0.24200369999999999</v>
      </c>
      <c r="Z1467">
        <v>5.188077E-2</v>
      </c>
      <c r="AA1467">
        <v>0.96888730000000001</v>
      </c>
      <c r="AB1467">
        <v>36</v>
      </c>
      <c r="AC1467">
        <v>-10.419099999999901</v>
      </c>
      <c r="AD1467">
        <v>-1.107464841936</v>
      </c>
      <c r="AE1467">
        <v>-18.1218</v>
      </c>
      <c r="AF1467">
        <v>5.13781374305825</v>
      </c>
      <c r="AG1467">
        <v>-1.107464841936</v>
      </c>
      <c r="AH1467">
        <v>20.2019177898203</v>
      </c>
      <c r="AI1467">
        <v>93.041180990023093</v>
      </c>
      <c r="AJ1467">
        <v>75.730871279571403</v>
      </c>
      <c r="AK1467">
        <v>20.874412346725901</v>
      </c>
      <c r="AL1467">
        <v>88.450895449466998</v>
      </c>
      <c r="AM1467">
        <v>84.813684530398305</v>
      </c>
      <c r="AN1467">
        <v>0.999999963415381</v>
      </c>
    </row>
    <row r="1468" spans="1:40" x14ac:dyDescent="0.25">
      <c r="A1468" t="str">
        <f>"20190312160325293"</f>
        <v>20190312160325293</v>
      </c>
      <c r="B1468" t="str">
        <f>"1552377805285895"</f>
        <v>1552377805285895</v>
      </c>
      <c r="C1468" t="s">
        <v>40</v>
      </c>
      <c r="D1468">
        <v>5.7274479999999999</v>
      </c>
      <c r="E1468">
        <v>0.55913710000000005</v>
      </c>
      <c r="F1468" t="s">
        <v>59</v>
      </c>
      <c r="G1468">
        <v>-199.1591</v>
      </c>
      <c r="H1468" s="1">
        <v>1.1340339999999999E-6</v>
      </c>
      <c r="I1468">
        <v>293.57940000000002</v>
      </c>
      <c r="J1468">
        <v>-189.01429999999999</v>
      </c>
      <c r="K1468">
        <v>1.107483</v>
      </c>
      <c r="L1468">
        <v>311.13</v>
      </c>
      <c r="M1468">
        <v>-0.27200449999999998</v>
      </c>
      <c r="N1468">
        <v>0</v>
      </c>
      <c r="O1468">
        <v>-0.96219699999999997</v>
      </c>
      <c r="P1468">
        <v>-0.35752650000000002</v>
      </c>
      <c r="Q1468">
        <v>1.410164E-2</v>
      </c>
      <c r="R1468">
        <v>-0.93379619999999997</v>
      </c>
      <c r="S1468">
        <v>-1.5101469999999999</v>
      </c>
      <c r="T1468">
        <v>-0.1632499</v>
      </c>
      <c r="U1468">
        <v>-2.638245</v>
      </c>
      <c r="V1468">
        <v>9.0195150000000002E-2</v>
      </c>
      <c r="W1468">
        <v>2.728059E-2</v>
      </c>
      <c r="X1468">
        <v>0.99555039999999995</v>
      </c>
      <c r="Y1468">
        <v>0.24122450000000001</v>
      </c>
      <c r="Z1468">
        <v>5.3393240000000002E-2</v>
      </c>
      <c r="AA1468">
        <v>0.96899939999999996</v>
      </c>
      <c r="AB1468">
        <v>36</v>
      </c>
      <c r="AC1468">
        <v>-10.1448</v>
      </c>
      <c r="AD1468">
        <v>-1.107481865966</v>
      </c>
      <c r="AE1468">
        <v>-17.5505999999999</v>
      </c>
      <c r="AF1468">
        <v>4.9730860828967201</v>
      </c>
      <c r="AG1468">
        <v>-1.107481865966</v>
      </c>
      <c r="AH1468">
        <v>19.589968062483798</v>
      </c>
      <c r="AI1468">
        <v>93.136389321257397</v>
      </c>
      <c r="AJ1468">
        <v>75.755857900401395</v>
      </c>
      <c r="AK1468">
        <v>20.241663715230601</v>
      </c>
      <c r="AL1468">
        <v>88.436743381360401</v>
      </c>
      <c r="AM1468">
        <v>84.823233993774295</v>
      </c>
      <c r="AN1468">
        <v>0.99999999730721501</v>
      </c>
    </row>
    <row r="1469" spans="1:40" x14ac:dyDescent="0.25">
      <c r="A1469" t="str">
        <f>"20190312160325315"</f>
        <v>20190312160325315</v>
      </c>
      <c r="B1469" t="str">
        <f>"1552377805306391"</f>
        <v>1552377805306391</v>
      </c>
      <c r="C1469" t="s">
        <v>40</v>
      </c>
      <c r="D1469">
        <v>5.6049340000000001</v>
      </c>
      <c r="E1469">
        <v>0.5590522</v>
      </c>
      <c r="F1469" t="s">
        <v>59</v>
      </c>
      <c r="G1469">
        <v>-199.1011</v>
      </c>
      <c r="H1469" s="1">
        <v>1.1370089999999999E-6</v>
      </c>
      <c r="I1469">
        <v>293.5917</v>
      </c>
      <c r="J1469">
        <v>-189.11789999999999</v>
      </c>
      <c r="K1469">
        <v>1.1074930000000001</v>
      </c>
      <c r="L1469">
        <v>310.77359999999999</v>
      </c>
      <c r="M1469">
        <v>-0.27472819999999998</v>
      </c>
      <c r="N1469">
        <v>0</v>
      </c>
      <c r="O1469">
        <v>-0.96142240000000001</v>
      </c>
      <c r="P1469">
        <v>-0.35963020000000001</v>
      </c>
      <c r="Q1469">
        <v>1.4794710000000001E-2</v>
      </c>
      <c r="R1469">
        <v>-0.93297779999999997</v>
      </c>
      <c r="S1469">
        <v>-1.5154570000000001</v>
      </c>
      <c r="T1469">
        <v>-0.16638910000000001</v>
      </c>
      <c r="U1469">
        <v>-2.634979</v>
      </c>
      <c r="V1469">
        <v>8.962668E-2</v>
      </c>
      <c r="W1469">
        <v>2.8024650000000002E-2</v>
      </c>
      <c r="X1469">
        <v>0.9955811</v>
      </c>
      <c r="Y1469">
        <v>0.2404346</v>
      </c>
      <c r="Z1469">
        <v>5.4390260000000003E-2</v>
      </c>
      <c r="AA1469">
        <v>0.96914029999999995</v>
      </c>
      <c r="AB1469">
        <v>36</v>
      </c>
      <c r="AC1469">
        <v>-9.9832000000000001</v>
      </c>
      <c r="AD1469">
        <v>-1.107491862991</v>
      </c>
      <c r="AE1469">
        <v>-17.181899999999899</v>
      </c>
      <c r="AF1469">
        <v>4.8630813125831001</v>
      </c>
      <c r="AG1469">
        <v>-1.107491862991</v>
      </c>
      <c r="AH1469">
        <v>19.203924484369001</v>
      </c>
      <c r="AI1469">
        <v>93.199812658442696</v>
      </c>
      <c r="AJ1469">
        <v>75.789509661944507</v>
      </c>
      <c r="AK1469">
        <v>19.841038624042199</v>
      </c>
      <c r="AL1469">
        <v>88.394095617786405</v>
      </c>
      <c r="AM1469">
        <v>84.855843590496093</v>
      </c>
      <c r="AN1469">
        <v>1.0000000247263201</v>
      </c>
    </row>
    <row r="1470" spans="1:40" x14ac:dyDescent="0.25">
      <c r="A1470" t="str">
        <f>"20190312160325337"</f>
        <v>20190312160325337</v>
      </c>
      <c r="B1470" t="str">
        <f>"1552377805325911"</f>
        <v>1552377805325911</v>
      </c>
      <c r="C1470" t="s">
        <v>40</v>
      </c>
      <c r="D1470">
        <v>5.6300330000000001</v>
      </c>
      <c r="E1470">
        <v>0.55891780000000002</v>
      </c>
      <c r="F1470" t="s">
        <v>59</v>
      </c>
      <c r="G1470">
        <v>-199.00200000000001</v>
      </c>
      <c r="H1470" s="1">
        <v>1.1325970000000001E-6</v>
      </c>
      <c r="I1470">
        <v>293.66660000000002</v>
      </c>
      <c r="J1470">
        <v>-189.2184</v>
      </c>
      <c r="K1470">
        <v>1.107499</v>
      </c>
      <c r="L1470">
        <v>310.43130000000002</v>
      </c>
      <c r="M1470">
        <v>-0.27734989999999998</v>
      </c>
      <c r="N1470">
        <v>0</v>
      </c>
      <c r="O1470">
        <v>-0.96066890000000005</v>
      </c>
      <c r="P1470">
        <v>-0.36141529999999999</v>
      </c>
      <c r="Q1470">
        <v>1.527455E-2</v>
      </c>
      <c r="R1470">
        <v>-0.93228009999999994</v>
      </c>
      <c r="S1470">
        <v>-1.520737</v>
      </c>
      <c r="T1470">
        <v>-0.17039480000000001</v>
      </c>
      <c r="U1470">
        <v>-2.6320190000000001</v>
      </c>
      <c r="V1470">
        <v>8.8821230000000001E-2</v>
      </c>
      <c r="W1470">
        <v>2.8548480000000001E-2</v>
      </c>
      <c r="X1470">
        <v>0.99563840000000003</v>
      </c>
      <c r="Y1470">
        <v>0.2396799</v>
      </c>
      <c r="Z1470">
        <v>5.5664230000000002E-2</v>
      </c>
      <c r="AA1470">
        <v>0.96925490000000003</v>
      </c>
      <c r="AB1470">
        <v>36</v>
      </c>
      <c r="AC1470">
        <v>-9.7835999999999999</v>
      </c>
      <c r="AD1470">
        <v>-1.107497867403</v>
      </c>
      <c r="AE1470">
        <v>-16.764700000000001</v>
      </c>
      <c r="AF1470">
        <v>4.7341574740752401</v>
      </c>
      <c r="AG1470">
        <v>-1.107497867403</v>
      </c>
      <c r="AH1470">
        <v>18.759546156192901</v>
      </c>
      <c r="AI1470">
        <v>93.276143448867501</v>
      </c>
      <c r="AJ1470">
        <v>75.836567910107206</v>
      </c>
      <c r="AK1470">
        <v>19.3793542333581</v>
      </c>
      <c r="AL1470">
        <v>88.364070356127499</v>
      </c>
      <c r="AM1470">
        <v>84.902119830400395</v>
      </c>
      <c r="AN1470">
        <v>1.00000002508179</v>
      </c>
    </row>
    <row r="1471" spans="1:40" x14ac:dyDescent="0.25">
      <c r="A1471" t="str">
        <f>"20190312160325361"</f>
        <v>20190312160325361</v>
      </c>
      <c r="B1471" t="str">
        <f>"1552377805356167"</f>
        <v>1552377805356167</v>
      </c>
      <c r="C1471" t="s">
        <v>40</v>
      </c>
      <c r="D1471">
        <v>5.5261069999999997</v>
      </c>
      <c r="E1471">
        <v>0.55880269999999899</v>
      </c>
      <c r="F1471" t="s">
        <v>59</v>
      </c>
      <c r="G1471">
        <v>-198.8021</v>
      </c>
      <c r="H1471" s="1">
        <v>1.108584E-6</v>
      </c>
      <c r="I1471">
        <v>293.90370000000001</v>
      </c>
      <c r="J1471">
        <v>-189.3227</v>
      </c>
      <c r="K1471">
        <v>1.107497</v>
      </c>
      <c r="L1471">
        <v>310.08019999999999</v>
      </c>
      <c r="M1471">
        <v>-0.28005469999999999</v>
      </c>
      <c r="N1471">
        <v>0</v>
      </c>
      <c r="O1471">
        <v>-0.95988320000000005</v>
      </c>
      <c r="P1471">
        <v>-0.36353780000000002</v>
      </c>
      <c r="Q1471">
        <v>1.5811470000000001E-2</v>
      </c>
      <c r="R1471">
        <v>-0.93144519999999997</v>
      </c>
      <c r="S1471">
        <v>-1.5248109999999999</v>
      </c>
      <c r="T1471">
        <v>-0.17620849999999999</v>
      </c>
      <c r="U1471">
        <v>-2.6296390000000001</v>
      </c>
      <c r="V1471">
        <v>8.8290779999999999E-2</v>
      </c>
      <c r="W1471">
        <v>2.9122350000000002E-2</v>
      </c>
      <c r="X1471">
        <v>0.99566889999999997</v>
      </c>
      <c r="Y1471">
        <v>0.23839479999999999</v>
      </c>
      <c r="Z1471">
        <v>5.7520700000000001E-2</v>
      </c>
      <c r="AA1471">
        <v>0.96946339999999998</v>
      </c>
      <c r="AB1471">
        <v>36</v>
      </c>
      <c r="AC1471">
        <v>-9.4793999999999894</v>
      </c>
      <c r="AD1471">
        <v>-1.107495891416</v>
      </c>
      <c r="AE1471">
        <v>-16.176499999999901</v>
      </c>
      <c r="AF1471">
        <v>4.5533672009937902</v>
      </c>
      <c r="AG1471">
        <v>-1.107495891416</v>
      </c>
      <c r="AH1471">
        <v>18.120836309742199</v>
      </c>
      <c r="AI1471">
        <v>93.392214505341798</v>
      </c>
      <c r="AJ1471">
        <v>75.894861478802795</v>
      </c>
      <c r="AK1471">
        <v>18.716955109767699</v>
      </c>
      <c r="AL1471">
        <v>88.331176250276201</v>
      </c>
      <c r="AM1471">
        <v>84.932560348439594</v>
      </c>
      <c r="AN1471">
        <v>0.99999996576486905</v>
      </c>
    </row>
    <row r="1472" spans="1:40" x14ac:dyDescent="0.25">
      <c r="A1472" t="str">
        <f>"20190312160325381"</f>
        <v>20190312160325381</v>
      </c>
      <c r="B1472" t="str">
        <f>"1552377805375688"</f>
        <v>1552377805375688</v>
      </c>
      <c r="C1472" t="s">
        <v>40</v>
      </c>
      <c r="D1472">
        <v>5.5333170000000003</v>
      </c>
      <c r="E1472">
        <v>0.55875379999999997</v>
      </c>
      <c r="F1472" t="s">
        <v>59</v>
      </c>
      <c r="G1472">
        <v>-198.8116</v>
      </c>
      <c r="H1472" s="1">
        <v>1.1281540000000001E-6</v>
      </c>
      <c r="I1472">
        <v>293.78769999999997</v>
      </c>
      <c r="J1472">
        <v>-189.42099999999999</v>
      </c>
      <c r="K1472">
        <v>1.1074850000000001</v>
      </c>
      <c r="L1472">
        <v>309.75220000000002</v>
      </c>
      <c r="M1472">
        <v>-0.28260350000000001</v>
      </c>
      <c r="N1472">
        <v>0</v>
      </c>
      <c r="O1472">
        <v>-0.95913539999999997</v>
      </c>
      <c r="P1472">
        <v>-0.36594919999999997</v>
      </c>
      <c r="Q1472">
        <v>1.5580470000000001E-2</v>
      </c>
      <c r="R1472">
        <v>-0.93050440000000001</v>
      </c>
      <c r="S1472">
        <v>-1.5298309999999999</v>
      </c>
      <c r="T1472">
        <v>-0.1785533</v>
      </c>
      <c r="U1472">
        <v>-2.626709</v>
      </c>
      <c r="V1472">
        <v>8.8223079999999995E-2</v>
      </c>
      <c r="W1472">
        <v>2.8917399999999999E-2</v>
      </c>
      <c r="X1472">
        <v>0.99568089999999998</v>
      </c>
      <c r="Y1472">
        <v>0.23764640000000001</v>
      </c>
      <c r="Z1472">
        <v>5.8251730000000002E-2</v>
      </c>
      <c r="AA1472">
        <v>0.96960349999999995</v>
      </c>
      <c r="AB1472">
        <v>36</v>
      </c>
      <c r="AC1472">
        <v>-9.3905999999999992</v>
      </c>
      <c r="AD1472">
        <v>-1.1074838718460001</v>
      </c>
      <c r="AE1472">
        <v>-15.964499999999999</v>
      </c>
      <c r="AF1472">
        <v>4.4796542876948404</v>
      </c>
      <c r="AG1472">
        <v>-1.1074838718460001</v>
      </c>
      <c r="AH1472">
        <v>17.903669409413599</v>
      </c>
      <c r="AI1472">
        <v>93.434090253357695</v>
      </c>
      <c r="AJ1472">
        <v>75.952501521866793</v>
      </c>
      <c r="AK1472">
        <v>18.488785827772301</v>
      </c>
      <c r="AL1472">
        <v>88.342924010677294</v>
      </c>
      <c r="AM1472">
        <v>84.936486483592702</v>
      </c>
      <c r="AN1472">
        <v>0.99999999124612804</v>
      </c>
    </row>
    <row r="1473" spans="1:40" x14ac:dyDescent="0.25">
      <c r="A1473" t="str">
        <f>"20190312160325404"</f>
        <v>20190312160325404</v>
      </c>
      <c r="B1473" t="str">
        <f>"1552377805396183"</f>
        <v>1552377805396183</v>
      </c>
      <c r="C1473" t="s">
        <v>40</v>
      </c>
      <c r="D1473">
        <v>5.5239719999999997</v>
      </c>
      <c r="E1473">
        <v>0.55875769999999902</v>
      </c>
      <c r="F1473" t="s">
        <v>59</v>
      </c>
      <c r="G1473">
        <v>-198.8672</v>
      </c>
      <c r="H1473" s="1">
        <v>1.152065E-6</v>
      </c>
      <c r="I1473">
        <v>293.62400000000002</v>
      </c>
      <c r="J1473">
        <v>-189.52719999999999</v>
      </c>
      <c r="K1473">
        <v>1.107461</v>
      </c>
      <c r="L1473">
        <v>309.40159999999997</v>
      </c>
      <c r="M1473">
        <v>-0.2853656</v>
      </c>
      <c r="N1473">
        <v>0</v>
      </c>
      <c r="O1473">
        <v>-0.95831679999999997</v>
      </c>
      <c r="P1473">
        <v>-0.36884</v>
      </c>
      <c r="Q1473">
        <v>1.5245720000000001E-2</v>
      </c>
      <c r="R1473">
        <v>-0.92936770000000002</v>
      </c>
      <c r="S1473">
        <v>-1.5362089999999999</v>
      </c>
      <c r="T1473">
        <v>-0.18010760000000001</v>
      </c>
      <c r="U1473">
        <v>-2.6228940000000001</v>
      </c>
      <c r="V1473">
        <v>8.8447680000000001E-2</v>
      </c>
      <c r="W1473">
        <v>2.8602809999999999E-2</v>
      </c>
      <c r="X1473">
        <v>0.9956701</v>
      </c>
      <c r="Y1473">
        <v>0.23720359999999999</v>
      </c>
      <c r="Z1473">
        <v>5.8726109999999998E-2</v>
      </c>
      <c r="AA1473">
        <v>0.96968330000000003</v>
      </c>
      <c r="AB1473">
        <v>36</v>
      </c>
      <c r="AC1473">
        <v>-9.34</v>
      </c>
      <c r="AD1473">
        <v>-1.107459847935</v>
      </c>
      <c r="AE1473">
        <v>-15.7775999999999</v>
      </c>
      <c r="AF1473">
        <v>4.4325576255929997</v>
      </c>
      <c r="AG1473">
        <v>-1.107459847935</v>
      </c>
      <c r="AH1473">
        <v>17.7223338997543</v>
      </c>
      <c r="AI1473">
        <v>93.4691468252569</v>
      </c>
      <c r="AJ1473">
        <v>75.957749752617204</v>
      </c>
      <c r="AK1473">
        <v>18.301780057507301</v>
      </c>
      <c r="AL1473">
        <v>88.360956213564805</v>
      </c>
      <c r="AM1473">
        <v>84.923608188124902</v>
      </c>
      <c r="AN1473">
        <v>1.00000003043564</v>
      </c>
    </row>
    <row r="1474" spans="1:40" x14ac:dyDescent="0.25">
      <c r="A1474" t="str">
        <f>"20190312160325429"</f>
        <v>20190312160325429</v>
      </c>
      <c r="B1474" t="str">
        <f>"1552377805415703"</f>
        <v>1552377805415703</v>
      </c>
      <c r="C1474" t="s">
        <v>40</v>
      </c>
      <c r="D1474">
        <v>5.2980970000000003</v>
      </c>
      <c r="E1474">
        <v>0.55838259999999995</v>
      </c>
      <c r="F1474" t="s">
        <v>59</v>
      </c>
      <c r="G1474">
        <v>-198.90860000000001</v>
      </c>
      <c r="H1474" s="1">
        <v>1.1705090000000001E-6</v>
      </c>
      <c r="I1474">
        <v>293.4984</v>
      </c>
      <c r="J1474">
        <v>-189.64009999999999</v>
      </c>
      <c r="K1474">
        <v>1.1074200000000001</v>
      </c>
      <c r="L1474">
        <v>309.03300000000002</v>
      </c>
      <c r="M1474">
        <v>-0.28832809999999998</v>
      </c>
      <c r="N1474">
        <v>0</v>
      </c>
      <c r="O1474">
        <v>-0.95742969999999905</v>
      </c>
      <c r="P1474">
        <v>-0.371674</v>
      </c>
      <c r="Q1474">
        <v>1.503582E-2</v>
      </c>
      <c r="R1474">
        <v>-0.92824200000000001</v>
      </c>
      <c r="S1474">
        <v>-1.544403</v>
      </c>
      <c r="T1474">
        <v>-0.18231439999999999</v>
      </c>
      <c r="U1474">
        <v>-2.618042</v>
      </c>
      <c r="V1474">
        <v>8.8406509999999994E-2</v>
      </c>
      <c r="W1474">
        <v>2.8410250000000001E-2</v>
      </c>
      <c r="X1474">
        <v>0.99567930000000004</v>
      </c>
      <c r="Y1474">
        <v>0.2372157</v>
      </c>
      <c r="Z1474">
        <v>5.941229E-2</v>
      </c>
      <c r="AA1474">
        <v>0.96963849999999996</v>
      </c>
      <c r="AB1474">
        <v>36</v>
      </c>
      <c r="AC1474">
        <v>-9.2685000000000102</v>
      </c>
      <c r="AD1474">
        <v>-1.1074188294909999</v>
      </c>
      <c r="AE1474">
        <v>-15.534599999999999</v>
      </c>
      <c r="AF1474">
        <v>4.37889358534611</v>
      </c>
      <c r="AG1474">
        <v>-1.1074188294909999</v>
      </c>
      <c r="AH1474">
        <v>17.481851943569701</v>
      </c>
      <c r="AI1474">
        <v>93.516313443798694</v>
      </c>
      <c r="AJ1474">
        <v>75.937754014092604</v>
      </c>
      <c r="AK1474">
        <v>18.0559196075023</v>
      </c>
      <c r="AL1474">
        <v>88.371993623642894</v>
      </c>
      <c r="AM1474">
        <v>84.926005412194499</v>
      </c>
      <c r="AN1474">
        <v>1.0000000608819599</v>
      </c>
    </row>
    <row r="1475" spans="1:40" x14ac:dyDescent="0.25">
      <c r="A1475" t="str">
        <f>"20190312160325450"</f>
        <v>20190312160325450</v>
      </c>
      <c r="B1475" t="str">
        <f>"1552377805445959"</f>
        <v>1552377805445959</v>
      </c>
      <c r="C1475" t="s">
        <v>40</v>
      </c>
      <c r="D1475">
        <v>5.4979329999999997</v>
      </c>
      <c r="E1475">
        <v>0.55851479999999998</v>
      </c>
      <c r="F1475" t="s">
        <v>59</v>
      </c>
      <c r="G1475">
        <v>-199.0788</v>
      </c>
      <c r="H1475" s="1">
        <v>1.223829E-6</v>
      </c>
      <c r="I1475">
        <v>293.10989999999998</v>
      </c>
      <c r="J1475">
        <v>-189.74270000000001</v>
      </c>
      <c r="K1475">
        <v>1.10738</v>
      </c>
      <c r="L1475">
        <v>308.70190000000002</v>
      </c>
      <c r="M1475">
        <v>-0.29105819999999999</v>
      </c>
      <c r="N1475">
        <v>0</v>
      </c>
      <c r="O1475">
        <v>-0.95660290000000003</v>
      </c>
      <c r="P1475">
        <v>-0.37471320000000002</v>
      </c>
      <c r="Q1475">
        <v>1.4877710000000001E-2</v>
      </c>
      <c r="R1475">
        <v>-0.9270216</v>
      </c>
      <c r="S1475">
        <v>-1.549728</v>
      </c>
      <c r="T1475">
        <v>-0.18182570000000001</v>
      </c>
      <c r="U1475">
        <v>-2.6143800000000001</v>
      </c>
      <c r="V1475">
        <v>8.8829829999999999E-2</v>
      </c>
      <c r="W1475">
        <v>2.825915E-2</v>
      </c>
      <c r="X1475">
        <v>0.99564589999999997</v>
      </c>
      <c r="Y1475">
        <v>0.23650689999999999</v>
      </c>
      <c r="Z1475">
        <v>5.9226069999999999E-2</v>
      </c>
      <c r="AA1475">
        <v>0.96982310000000005</v>
      </c>
      <c r="AB1475">
        <v>36</v>
      </c>
      <c r="AC1475">
        <v>-9.3360999999999805</v>
      </c>
      <c r="AD1475">
        <v>-1.1073787761709999</v>
      </c>
      <c r="AE1475">
        <v>-15.592000000000001</v>
      </c>
      <c r="AF1475">
        <v>4.3769401123273797</v>
      </c>
      <c r="AG1475">
        <v>-1.1073787761709999</v>
      </c>
      <c r="AH1475">
        <v>17.569195743635799</v>
      </c>
      <c r="AI1475">
        <v>93.499862984724402</v>
      </c>
      <c r="AJ1475">
        <v>76.010907325602403</v>
      </c>
      <c r="AK1475">
        <v>18.140025677462699</v>
      </c>
      <c r="AL1475">
        <v>88.380654456113604</v>
      </c>
      <c r="AM1475">
        <v>84.901667038676905</v>
      </c>
      <c r="AN1475">
        <v>1.0000000382216701</v>
      </c>
    </row>
    <row r="1476" spans="1:40" x14ac:dyDescent="0.25">
      <c r="A1476" t="str">
        <f>"20190312160325470"</f>
        <v>20190312160325470</v>
      </c>
      <c r="B1476" t="str">
        <f>"1552377805466455"</f>
        <v>1552377805466455</v>
      </c>
      <c r="C1476" t="s">
        <v>40</v>
      </c>
      <c r="D1476">
        <v>5.5088210000000002</v>
      </c>
      <c r="E1476">
        <v>0.55840590000000001</v>
      </c>
      <c r="F1476" t="s">
        <v>59</v>
      </c>
      <c r="G1476">
        <v>-199.19049999999999</v>
      </c>
      <c r="H1476" s="1">
        <v>1.251952E-6</v>
      </c>
      <c r="I1476">
        <v>292.89400000000001</v>
      </c>
      <c r="J1476">
        <v>-189.8398</v>
      </c>
      <c r="K1476">
        <v>1.107334</v>
      </c>
      <c r="L1476">
        <v>308.39179999999999</v>
      </c>
      <c r="M1476">
        <v>-0.29366880000000001</v>
      </c>
      <c r="N1476">
        <v>0</v>
      </c>
      <c r="O1476">
        <v>-0.95580419999999999</v>
      </c>
      <c r="P1476">
        <v>-0.37771270000000001</v>
      </c>
      <c r="Q1476">
        <v>1.5156370000000001E-2</v>
      </c>
      <c r="R1476">
        <v>-0.92579920000000004</v>
      </c>
      <c r="S1476">
        <v>-1.5592189999999999</v>
      </c>
      <c r="T1476">
        <v>-0.18275559999999999</v>
      </c>
      <c r="U1476">
        <v>-2.6088559999999998</v>
      </c>
      <c r="V1476">
        <v>8.9341740000000003E-2</v>
      </c>
      <c r="W1476">
        <v>2.8548E-2</v>
      </c>
      <c r="X1476">
        <v>0.99559180000000003</v>
      </c>
      <c r="Y1476">
        <v>0.23734920000000001</v>
      </c>
      <c r="Z1476">
        <v>5.9504580000000001E-2</v>
      </c>
      <c r="AA1476">
        <v>0.96960020000000002</v>
      </c>
      <c r="AB1476">
        <v>36</v>
      </c>
      <c r="AC1476">
        <v>-9.3506999999999891</v>
      </c>
      <c r="AD1476">
        <v>-1.107332748048</v>
      </c>
      <c r="AE1476">
        <v>-15.4977999999999</v>
      </c>
      <c r="AF1476">
        <v>4.3702931797090603</v>
      </c>
      <c r="AG1476">
        <v>-1.107332748048</v>
      </c>
      <c r="AH1476">
        <v>17.495121054492699</v>
      </c>
      <c r="AI1476">
        <v>93.513943104427398</v>
      </c>
      <c r="AJ1476">
        <v>75.974505320222605</v>
      </c>
      <c r="AK1476">
        <v>18.066679523445</v>
      </c>
      <c r="AL1476">
        <v>88.364097801303302</v>
      </c>
      <c r="AM1476">
        <v>84.872165315018094</v>
      </c>
      <c r="AN1476">
        <v>0.99999998351873298</v>
      </c>
    </row>
    <row r="1477" spans="1:40" x14ac:dyDescent="0.25">
      <c r="A1477" t="str">
        <f>"20190312160325493"</f>
        <v>20190312160325493</v>
      </c>
      <c r="B1477" t="str">
        <f>"1552377805485976"</f>
        <v>1552377805485976</v>
      </c>
      <c r="C1477" t="s">
        <v>40</v>
      </c>
      <c r="D1477">
        <v>5.6314120000000001</v>
      </c>
      <c r="E1477">
        <v>0.55854209999999904</v>
      </c>
      <c r="F1477" t="s">
        <v>59</v>
      </c>
      <c r="G1477">
        <v>-199.36510000000001</v>
      </c>
      <c r="H1477" s="1">
        <v>1.2956750000000001E-6</v>
      </c>
      <c r="I1477">
        <v>292.55779999999999</v>
      </c>
      <c r="J1477">
        <v>-189.9512</v>
      </c>
      <c r="K1477">
        <v>1.107283</v>
      </c>
      <c r="L1477">
        <v>308.03969999999998</v>
      </c>
      <c r="M1477">
        <v>-0.29671330000000001</v>
      </c>
      <c r="N1477">
        <v>0</v>
      </c>
      <c r="O1477">
        <v>-0.95486300000000002</v>
      </c>
      <c r="P1477">
        <v>-0.3815384</v>
      </c>
      <c r="Q1477">
        <v>1.489063E-2</v>
      </c>
      <c r="R1477">
        <v>-0.92423330000000004</v>
      </c>
      <c r="S1477">
        <v>-1.5666500000000001</v>
      </c>
      <c r="T1477">
        <v>-0.18212539999999999</v>
      </c>
      <c r="U1477">
        <v>-2.6042480000000001</v>
      </c>
      <c r="V1477">
        <v>9.0287779999999998E-2</v>
      </c>
      <c r="W1477">
        <v>2.8293949999999998E-2</v>
      </c>
      <c r="X1477">
        <v>0.99551369999999895</v>
      </c>
      <c r="Y1477">
        <v>0.23705000000000001</v>
      </c>
      <c r="Z1477">
        <v>5.9265619999999998E-2</v>
      </c>
      <c r="AA1477">
        <v>0.96968810000000005</v>
      </c>
      <c r="AB1477">
        <v>36</v>
      </c>
      <c r="AC1477">
        <v>-9.4139000000000106</v>
      </c>
      <c r="AD1477">
        <v>-1.1072817043250001</v>
      </c>
      <c r="AE1477">
        <v>-15.4818999999999</v>
      </c>
      <c r="AF1477">
        <v>4.3793793244513903</v>
      </c>
      <c r="AG1477">
        <v>-1.1072817043250001</v>
      </c>
      <c r="AH1477">
        <v>17.512661139664299</v>
      </c>
      <c r="AI1477">
        <v>93.5100497809335</v>
      </c>
      <c r="AJ1477">
        <v>75.960018291089099</v>
      </c>
      <c r="AK1477">
        <v>18.0858601186914</v>
      </c>
      <c r="AL1477">
        <v>88.3786596691846</v>
      </c>
      <c r="AM1477">
        <v>84.817756411837905</v>
      </c>
      <c r="AN1477">
        <v>0.99999997885581005</v>
      </c>
    </row>
    <row r="1478" spans="1:40" x14ac:dyDescent="0.25">
      <c r="A1478" t="str">
        <f>"20190312160325516"</f>
        <v>20190312160325516</v>
      </c>
      <c r="B1478" t="str">
        <f>"1552377805506471"</f>
        <v>1552377805506471</v>
      </c>
      <c r="C1478" t="s">
        <v>40</v>
      </c>
      <c r="D1478">
        <v>5.5295439999999996</v>
      </c>
      <c r="E1478">
        <v>0.55843419999999999</v>
      </c>
      <c r="F1478" t="s">
        <v>59</v>
      </c>
      <c r="G1478">
        <v>-199.40110000000001</v>
      </c>
      <c r="H1478" s="1">
        <v>1.3048139999999999E-6</v>
      </c>
      <c r="I1478">
        <v>292.48779999999999</v>
      </c>
      <c r="J1478">
        <v>-190.06309999999999</v>
      </c>
      <c r="K1478">
        <v>1.1072299999999999</v>
      </c>
      <c r="L1478">
        <v>307.69040000000001</v>
      </c>
      <c r="M1478">
        <v>-0.299828599999999</v>
      </c>
      <c r="N1478">
        <v>0</v>
      </c>
      <c r="O1478">
        <v>-0.95388879999999998</v>
      </c>
      <c r="P1478">
        <v>-0.38609959999999999</v>
      </c>
      <c r="Q1478">
        <v>1.5469129999999999E-2</v>
      </c>
      <c r="R1478">
        <v>-0.92232749999999997</v>
      </c>
      <c r="S1478">
        <v>-1.5782620000000001</v>
      </c>
      <c r="T1478">
        <v>-0.1849316</v>
      </c>
      <c r="U1478">
        <v>-2.5973820000000001</v>
      </c>
      <c r="V1478">
        <v>9.1968240000000007E-2</v>
      </c>
      <c r="W1478">
        <v>2.8876410000000002E-2</v>
      </c>
      <c r="X1478">
        <v>0.99534310000000004</v>
      </c>
      <c r="Y1478">
        <v>0.2381539</v>
      </c>
      <c r="Z1478">
        <v>6.0147279999999997E-2</v>
      </c>
      <c r="AA1478">
        <v>0.96936319999999998</v>
      </c>
      <c r="AB1478">
        <v>36</v>
      </c>
      <c r="AC1478">
        <v>-9.3380000000000205</v>
      </c>
      <c r="AD1478">
        <v>-1.107228695186</v>
      </c>
      <c r="AE1478">
        <v>-15.2026</v>
      </c>
      <c r="AF1478">
        <v>4.3329841897583004</v>
      </c>
      <c r="AG1478">
        <v>-1.107228695186</v>
      </c>
      <c r="AH1478">
        <v>17.236725919142099</v>
      </c>
      <c r="AI1478">
        <v>93.564826198686006</v>
      </c>
      <c r="AJ1478">
        <v>75.889313511227897</v>
      </c>
      <c r="AK1478">
        <v>17.807454275773502</v>
      </c>
      <c r="AL1478">
        <v>88.345273470105298</v>
      </c>
      <c r="AM1478">
        <v>84.720943400756894</v>
      </c>
      <c r="AN1478">
        <v>0.99999994547039595</v>
      </c>
    </row>
    <row r="1479" spans="1:40" x14ac:dyDescent="0.25">
      <c r="A1479" t="str">
        <f>"20190312160325538"</f>
        <v>20190312160325538</v>
      </c>
      <c r="B1479" t="str">
        <f>"1552377805525991"</f>
        <v>1552377805525991</v>
      </c>
      <c r="C1479" t="s">
        <v>40</v>
      </c>
      <c r="D1479">
        <v>5.632841</v>
      </c>
      <c r="E1479">
        <v>0.55832660000000001</v>
      </c>
      <c r="F1479" t="s">
        <v>59</v>
      </c>
      <c r="G1479">
        <v>-199.2654</v>
      </c>
      <c r="H1479" s="1">
        <v>1.2790379999999999E-6</v>
      </c>
      <c r="I1479">
        <v>292.70249999999999</v>
      </c>
      <c r="J1479">
        <v>-190.16900000000001</v>
      </c>
      <c r="K1479">
        <v>1.1071629999999999</v>
      </c>
      <c r="L1479">
        <v>307.36329999999998</v>
      </c>
      <c r="M1479">
        <v>-0.30284070000000002</v>
      </c>
      <c r="N1479">
        <v>0</v>
      </c>
      <c r="O1479">
        <v>-0.95293640000000002</v>
      </c>
      <c r="P1479">
        <v>-0.39064559999999998</v>
      </c>
      <c r="Q1479">
        <v>1.6225960000000001E-2</v>
      </c>
      <c r="R1479">
        <v>-0.9203981</v>
      </c>
      <c r="S1479">
        <v>-1.5902860000000001</v>
      </c>
      <c r="T1479">
        <v>-0.19134380000000001</v>
      </c>
      <c r="U1479">
        <v>-2.5901179999999999</v>
      </c>
      <c r="V1479">
        <v>9.3749609999999997E-2</v>
      </c>
      <c r="W1479">
        <v>2.9630920000000002E-2</v>
      </c>
      <c r="X1479">
        <v>0.99515480000000001</v>
      </c>
      <c r="Y1479">
        <v>0.23949680000000001</v>
      </c>
      <c r="Z1479">
        <v>6.2200360000000003E-2</v>
      </c>
      <c r="AA1479">
        <v>0.96890259999999995</v>
      </c>
      <c r="AB1479">
        <v>36</v>
      </c>
      <c r="AC1479">
        <v>-9.0963999999999796</v>
      </c>
      <c r="AD1479">
        <v>-1.1071617209619999</v>
      </c>
      <c r="AE1479">
        <v>-14.660799999999901</v>
      </c>
      <c r="AF1479">
        <v>4.2114839329596103</v>
      </c>
      <c r="AG1479">
        <v>-1.1071617209619999</v>
      </c>
      <c r="AH1479">
        <v>16.658643365247499</v>
      </c>
      <c r="AI1479">
        <v>93.686727127849494</v>
      </c>
      <c r="AJ1479">
        <v>75.812286746229603</v>
      </c>
      <c r="AK1479">
        <v>17.218385602734202</v>
      </c>
      <c r="AL1479">
        <v>88.302024859332306</v>
      </c>
      <c r="AM1479">
        <v>84.618273563212796</v>
      </c>
      <c r="AN1479">
        <v>1.00000002837911</v>
      </c>
    </row>
    <row r="1480" spans="1:40" x14ac:dyDescent="0.25">
      <c r="A1480" t="str">
        <f>"20190312160325560"</f>
        <v>20190312160325560</v>
      </c>
      <c r="B1480" t="str">
        <f>"1552377805556247"</f>
        <v>1552377805556247</v>
      </c>
      <c r="C1480" t="s">
        <v>40</v>
      </c>
      <c r="D1480">
        <v>5.593788</v>
      </c>
      <c r="E1480">
        <v>0.55830109999999999</v>
      </c>
      <c r="F1480" t="s">
        <v>59</v>
      </c>
      <c r="G1480">
        <v>-199.35050000000001</v>
      </c>
      <c r="H1480" s="1">
        <v>1.29567E-6</v>
      </c>
      <c r="I1480">
        <v>292.5652</v>
      </c>
      <c r="J1480">
        <v>-190.27629999999999</v>
      </c>
      <c r="K1480">
        <v>1.107089</v>
      </c>
      <c r="L1480">
        <v>307.03590000000003</v>
      </c>
      <c r="M1480">
        <v>-0.30595630000000001</v>
      </c>
      <c r="N1480">
        <v>0</v>
      </c>
      <c r="O1480">
        <v>-0.95194009999999996</v>
      </c>
      <c r="P1480">
        <v>-0.39503729999999998</v>
      </c>
      <c r="Q1480">
        <v>1.6668410000000002E-2</v>
      </c>
      <c r="R1480">
        <v>-0.91851389999999999</v>
      </c>
      <c r="S1480">
        <v>-1.602463</v>
      </c>
      <c r="T1480">
        <v>-0.1932362</v>
      </c>
      <c r="U1480">
        <v>-2.5827640000000001</v>
      </c>
      <c r="V1480">
        <v>9.5259709999999997E-2</v>
      </c>
      <c r="W1480">
        <v>3.0068460000000002E-2</v>
      </c>
      <c r="X1480">
        <v>0.99499820000000005</v>
      </c>
      <c r="Y1480">
        <v>0.24083479999999999</v>
      </c>
      <c r="Z1480">
        <v>6.2784999999999994E-2</v>
      </c>
      <c r="AA1480">
        <v>0.96853330000000004</v>
      </c>
      <c r="AB1480">
        <v>36</v>
      </c>
      <c r="AC1480">
        <v>-9.07420000000001</v>
      </c>
      <c r="AD1480">
        <v>-1.10708770433</v>
      </c>
      <c r="AE1480">
        <v>-14.470700000000001</v>
      </c>
      <c r="AF1480">
        <v>4.1934984433335698</v>
      </c>
      <c r="AG1480">
        <v>-1.10708770433</v>
      </c>
      <c r="AH1480">
        <v>16.4839591633529</v>
      </c>
      <c r="AI1480">
        <v>93.724032937030501</v>
      </c>
      <c r="AJ1480">
        <v>75.726799140437507</v>
      </c>
      <c r="AK1480">
        <v>17.044998740933</v>
      </c>
      <c r="AL1480">
        <v>88.276944390284001</v>
      </c>
      <c r="AM1480">
        <v>84.531251680057494</v>
      </c>
      <c r="AN1480">
        <v>0.99999997131964702</v>
      </c>
    </row>
    <row r="1481" spans="1:40" x14ac:dyDescent="0.25">
      <c r="A1481" t="str">
        <f>"20190312160325582"</f>
        <v>20190312160325582</v>
      </c>
      <c r="B1481" t="str">
        <f>"1552377805575767"</f>
        <v>1552377805575767</v>
      </c>
      <c r="C1481" t="s">
        <v>40</v>
      </c>
      <c r="D1481">
        <v>5.5147640000000004</v>
      </c>
      <c r="E1481">
        <v>0.55838599999999905</v>
      </c>
      <c r="F1481" t="s">
        <v>59</v>
      </c>
      <c r="G1481">
        <v>-199.2508</v>
      </c>
      <c r="H1481" s="1">
        <v>1.2772400000000001E-6</v>
      </c>
      <c r="I1481">
        <v>292.7201</v>
      </c>
      <c r="J1481">
        <v>-190.3929</v>
      </c>
      <c r="K1481">
        <v>1.106992</v>
      </c>
      <c r="L1481">
        <v>306.68470000000002</v>
      </c>
      <c r="M1481">
        <v>-0.30941950000000001</v>
      </c>
      <c r="N1481">
        <v>0</v>
      </c>
      <c r="O1481">
        <v>-0.95081970000000005</v>
      </c>
      <c r="P1481">
        <v>-0.39953909999999998</v>
      </c>
      <c r="Q1481">
        <v>1.7491079999999999E-2</v>
      </c>
      <c r="R1481">
        <v>-0.91654939999999996</v>
      </c>
      <c r="S1481">
        <v>-1.614487</v>
      </c>
      <c r="T1481">
        <v>-0.19916349999999999</v>
      </c>
      <c r="U1481">
        <v>-2.5754090000000001</v>
      </c>
      <c r="V1481">
        <v>9.6538379999999993E-2</v>
      </c>
      <c r="W1481">
        <v>3.088395E-2</v>
      </c>
      <c r="X1481">
        <v>0.99485000000000001</v>
      </c>
      <c r="Y1481">
        <v>0.2417261</v>
      </c>
      <c r="Z1481">
        <v>6.4664739999999998E-2</v>
      </c>
      <c r="AA1481">
        <v>0.96818749999999998</v>
      </c>
      <c r="AB1481">
        <v>36</v>
      </c>
      <c r="AC1481">
        <v>-8.8579000000000008</v>
      </c>
      <c r="AD1481">
        <v>-1.10699072276</v>
      </c>
      <c r="AE1481">
        <v>-13.964600000000001</v>
      </c>
      <c r="AF1481">
        <v>4.0834615171250697</v>
      </c>
      <c r="AG1481">
        <v>-1.10699072276</v>
      </c>
      <c r="AH1481">
        <v>15.948771307741101</v>
      </c>
      <c r="AI1481">
        <v>93.846788527939907</v>
      </c>
      <c r="AJ1481">
        <v>75.6387212600374</v>
      </c>
      <c r="AK1481">
        <v>16.5004058328498</v>
      </c>
      <c r="AL1481">
        <v>88.2301985891051</v>
      </c>
      <c r="AM1481">
        <v>84.457478301546701</v>
      </c>
      <c r="AN1481">
        <v>0.99999999984031296</v>
      </c>
    </row>
    <row r="1482" spans="1:40" x14ac:dyDescent="0.25">
      <c r="A1482" t="str">
        <f>"20190312160325605"</f>
        <v>20190312160325605</v>
      </c>
      <c r="B1482" t="str">
        <f>"1552377805596264"</f>
        <v>1552377805596264</v>
      </c>
      <c r="C1482" t="s">
        <v>40</v>
      </c>
      <c r="D1482">
        <v>5.6256640000000004</v>
      </c>
      <c r="E1482">
        <v>0.55833659999999996</v>
      </c>
      <c r="F1482" t="s">
        <v>59</v>
      </c>
      <c r="G1482">
        <v>-199.41120000000001</v>
      </c>
      <c r="H1482" s="1">
        <v>1.3081649999999999E-6</v>
      </c>
      <c r="I1482">
        <v>292.46370000000002</v>
      </c>
      <c r="J1482">
        <v>-190.5067</v>
      </c>
      <c r="K1482">
        <v>1.1068960000000001</v>
      </c>
      <c r="L1482">
        <v>306.346</v>
      </c>
      <c r="M1482">
        <v>-0.3128841</v>
      </c>
      <c r="N1482">
        <v>0</v>
      </c>
      <c r="O1482">
        <v>-0.949685</v>
      </c>
      <c r="P1482">
        <v>-0.40388249999999998</v>
      </c>
      <c r="Q1482">
        <v>1.760625E-2</v>
      </c>
      <c r="R1482">
        <v>-0.91464160000000005</v>
      </c>
      <c r="S1482">
        <v>-1.628036</v>
      </c>
      <c r="T1482">
        <v>-0.19984009999999999</v>
      </c>
      <c r="U1482">
        <v>-2.5672609999999998</v>
      </c>
      <c r="V1482">
        <v>9.7640450000000004E-2</v>
      </c>
      <c r="W1482">
        <v>3.0990230000000001E-2</v>
      </c>
      <c r="X1482">
        <v>0.99473909999999999</v>
      </c>
      <c r="Y1482">
        <v>0.24321599999999999</v>
      </c>
      <c r="Z1482">
        <v>6.4846089999999995E-2</v>
      </c>
      <c r="AA1482">
        <v>0.9678021</v>
      </c>
      <c r="AB1482">
        <v>36</v>
      </c>
      <c r="AC1482">
        <v>-8.9045000000000094</v>
      </c>
      <c r="AD1482">
        <v>-1.10689469183499</v>
      </c>
      <c r="AE1482">
        <v>-13.882299999999899</v>
      </c>
      <c r="AF1482">
        <v>4.0948897464726501</v>
      </c>
      <c r="AG1482">
        <v>-1.10689469183499</v>
      </c>
      <c r="AH1482">
        <v>15.89988293179</v>
      </c>
      <c r="AI1482">
        <v>93.856851788932701</v>
      </c>
      <c r="AJ1482">
        <v>75.557771033295296</v>
      </c>
      <c r="AK1482">
        <v>16.455990250945302</v>
      </c>
      <c r="AL1482">
        <v>88.224106214600994</v>
      </c>
      <c r="AM1482">
        <v>84.393985333729205</v>
      </c>
      <c r="AN1482">
        <v>0.99999996445023198</v>
      </c>
    </row>
    <row r="1483" spans="1:40" x14ac:dyDescent="0.25">
      <c r="A1483" t="str">
        <f>"20190312160325629"</f>
        <v>20190312160325629</v>
      </c>
      <c r="B1483" t="str">
        <f>"1552377805615783"</f>
        <v>1552377805615783</v>
      </c>
      <c r="C1483" t="s">
        <v>40</v>
      </c>
      <c r="D1483">
        <v>5.6477309999999896</v>
      </c>
      <c r="E1483">
        <v>0.55825719999999901</v>
      </c>
      <c r="F1483" t="s">
        <v>59</v>
      </c>
      <c r="G1483">
        <v>-199.42859999999999</v>
      </c>
      <c r="H1483" s="1">
        <v>1.3148779999999999E-6</v>
      </c>
      <c r="I1483">
        <v>292.41680000000002</v>
      </c>
      <c r="J1483">
        <v>-190.62629999999999</v>
      </c>
      <c r="K1483">
        <v>1.106787</v>
      </c>
      <c r="L1483">
        <v>305.99509999999998</v>
      </c>
      <c r="M1483">
        <v>-0.31661820000000002</v>
      </c>
      <c r="N1483">
        <v>0</v>
      </c>
      <c r="O1483">
        <v>-0.94844620000000002</v>
      </c>
      <c r="P1483">
        <v>-0.40789910000000001</v>
      </c>
      <c r="Q1483">
        <v>1.8562120000000001E-2</v>
      </c>
      <c r="R1483">
        <v>-0.9128385</v>
      </c>
      <c r="S1483">
        <v>-1.6396329999999999</v>
      </c>
      <c r="T1483">
        <v>-0.20342180000000001</v>
      </c>
      <c r="U1483">
        <v>-2.5598749999999999</v>
      </c>
      <c r="V1483">
        <v>9.8122089999999995E-2</v>
      </c>
      <c r="W1483">
        <v>3.1938189999999998E-2</v>
      </c>
      <c r="X1483">
        <v>0.99466169999999998</v>
      </c>
      <c r="Y1483">
        <v>0.24373529999999999</v>
      </c>
      <c r="Z1483">
        <v>6.5957520000000006E-2</v>
      </c>
      <c r="AA1483">
        <v>0.96759640000000002</v>
      </c>
      <c r="AB1483">
        <v>36</v>
      </c>
      <c r="AC1483">
        <v>-8.8023000000000007</v>
      </c>
      <c r="AD1483">
        <v>-1.1067856851219999</v>
      </c>
      <c r="AE1483">
        <v>-13.578299999999899</v>
      </c>
      <c r="AF1483">
        <v>4.0309243579418697</v>
      </c>
      <c r="AG1483">
        <v>-1.1067856851219999</v>
      </c>
      <c r="AH1483">
        <v>15.593893070527001</v>
      </c>
      <c r="AI1483">
        <v>93.931009101925099</v>
      </c>
      <c r="AJ1483">
        <v>75.506648999431107</v>
      </c>
      <c r="AK1483">
        <v>16.144436404757901</v>
      </c>
      <c r="AL1483">
        <v>88.169765162475201</v>
      </c>
      <c r="AM1483">
        <v>84.366073926399096</v>
      </c>
      <c r="AN1483">
        <v>0.999999944986665</v>
      </c>
    </row>
    <row r="1484" spans="1:40" x14ac:dyDescent="0.25">
      <c r="A1484" t="str">
        <f>"20190312160325652"</f>
        <v>20190312160325652</v>
      </c>
      <c r="B1484" t="str">
        <f>"1552377805646039"</f>
        <v>1552377805646039</v>
      </c>
      <c r="C1484" t="s">
        <v>40</v>
      </c>
      <c r="D1484">
        <v>5.6562479999999997</v>
      </c>
      <c r="E1484">
        <v>0.55660259999999995</v>
      </c>
      <c r="F1484" t="s">
        <v>59</v>
      </c>
      <c r="G1484">
        <v>-199.56270000000001</v>
      </c>
      <c r="H1484" s="1">
        <v>1.346365E-6</v>
      </c>
      <c r="I1484">
        <v>292.1705</v>
      </c>
      <c r="J1484">
        <v>-190.74870000000001</v>
      </c>
      <c r="K1484">
        <v>1.106663</v>
      </c>
      <c r="L1484">
        <v>305.64109999999999</v>
      </c>
      <c r="M1484">
        <v>-0.3205442</v>
      </c>
      <c r="N1484">
        <v>0</v>
      </c>
      <c r="O1484">
        <v>-0.94712620000000003</v>
      </c>
      <c r="P1484">
        <v>-0.41156880000000001</v>
      </c>
      <c r="Q1484">
        <v>1.9946789999999999E-2</v>
      </c>
      <c r="R1484">
        <v>-0.91116079999999999</v>
      </c>
      <c r="S1484">
        <v>-1.6503749999999999</v>
      </c>
      <c r="T1484">
        <v>-0.20440069999999999</v>
      </c>
      <c r="U1484">
        <v>-2.553131</v>
      </c>
      <c r="V1484">
        <v>9.8034759999999999E-2</v>
      </c>
      <c r="W1484">
        <v>3.3316470000000001E-2</v>
      </c>
      <c r="X1484">
        <v>0.99462519999999999</v>
      </c>
      <c r="Y1484">
        <v>0.24374470000000001</v>
      </c>
      <c r="Z1484">
        <v>6.6214899999999993E-2</v>
      </c>
      <c r="AA1484">
        <v>0.9675764</v>
      </c>
      <c r="AB1484">
        <v>35</v>
      </c>
      <c r="AC1484">
        <v>-8.8139999999999894</v>
      </c>
      <c r="AD1484">
        <v>-1.106661653635</v>
      </c>
      <c r="AE1484">
        <v>-13.4705999999999</v>
      </c>
      <c r="AF1484">
        <v>4.0114993526485598</v>
      </c>
      <c r="AG1484">
        <v>-1.106661653635</v>
      </c>
      <c r="AH1484">
        <v>15.5119111690335</v>
      </c>
      <c r="AI1484">
        <v>93.951169033932302</v>
      </c>
      <c r="AJ1484">
        <v>75.500531928526399</v>
      </c>
      <c r="AK1484">
        <v>16.060392747000598</v>
      </c>
      <c r="AL1484">
        <v>88.090753648843602</v>
      </c>
      <c r="AM1484">
        <v>84.370850741010798</v>
      </c>
      <c r="AN1484">
        <v>1.00000004490827</v>
      </c>
    </row>
    <row r="1485" spans="1:40" x14ac:dyDescent="0.25">
      <c r="A1485" t="str">
        <f>"20190312160325684"</f>
        <v>20190312160325684</v>
      </c>
      <c r="B1485" t="str">
        <f>"1552377805676296"</f>
        <v>1552377805676296</v>
      </c>
      <c r="C1485" t="s">
        <v>40</v>
      </c>
      <c r="D1485">
        <v>5.7314129999999999</v>
      </c>
      <c r="E1485">
        <v>0.55507609999999996</v>
      </c>
      <c r="F1485" t="s">
        <v>59</v>
      </c>
      <c r="G1485">
        <v>-195.86490000000001</v>
      </c>
      <c r="H1485" s="1">
        <v>3.3313649999999999E-7</v>
      </c>
      <c r="I1485">
        <v>297.72469999999998</v>
      </c>
      <c r="J1485">
        <v>-190.91560000000001</v>
      </c>
      <c r="K1485">
        <v>1.106508</v>
      </c>
      <c r="L1485">
        <v>305.16640000000001</v>
      </c>
      <c r="M1485">
        <v>-0.32600200000000001</v>
      </c>
      <c r="N1485">
        <v>0</v>
      </c>
      <c r="O1485">
        <v>-0.94526100000000002</v>
      </c>
      <c r="P1485">
        <v>-0.41708060000000002</v>
      </c>
      <c r="Q1485">
        <v>1.9877780000000001E-2</v>
      </c>
      <c r="R1485">
        <v>-0.90865189999999996</v>
      </c>
      <c r="S1485">
        <v>-1.65097</v>
      </c>
      <c r="T1485">
        <v>-0.35711769999999998</v>
      </c>
      <c r="U1485">
        <v>-2.5545960000000001</v>
      </c>
      <c r="V1485">
        <v>9.8334400000000002E-2</v>
      </c>
      <c r="W1485">
        <v>3.323545E-2</v>
      </c>
      <c r="X1485">
        <v>0.99459830000000005</v>
      </c>
      <c r="Y1485">
        <v>0.2355342</v>
      </c>
      <c r="Z1485">
        <v>0.1148362</v>
      </c>
      <c r="AA1485">
        <v>0.96505770000000002</v>
      </c>
      <c r="AB1485">
        <v>35</v>
      </c>
      <c r="AC1485">
        <v>-4.9492999999999903</v>
      </c>
      <c r="AD1485">
        <v>-1.1065076668635001</v>
      </c>
      <c r="AE1485">
        <v>-7.4417000000000204</v>
      </c>
      <c r="AF1485">
        <v>2.2185935357335098</v>
      </c>
      <c r="AG1485">
        <v>-1.1065076668635001</v>
      </c>
      <c r="AH1485">
        <v>8.5181434318163696</v>
      </c>
      <c r="AI1485">
        <v>97.164858072856703</v>
      </c>
      <c r="AJ1485">
        <v>75.401364569355493</v>
      </c>
      <c r="AK1485">
        <v>8.8715998567689294</v>
      </c>
      <c r="AL1485">
        <v>88.095398265751598</v>
      </c>
      <c r="AM1485">
        <v>84.353604716455905</v>
      </c>
      <c r="AN1485">
        <v>1.00000001386147</v>
      </c>
    </row>
    <row r="1486" spans="1:40" x14ac:dyDescent="0.25">
      <c r="A1486" t="str">
        <f>"20190312160325706"</f>
        <v>20190312160325706</v>
      </c>
      <c r="B1486" t="str">
        <f>"1552377805695815"</f>
        <v>1552377805695815</v>
      </c>
      <c r="C1486" t="s">
        <v>40</v>
      </c>
      <c r="D1486">
        <v>5.7328150000000004</v>
      </c>
      <c r="E1486">
        <v>0.55424209999999996</v>
      </c>
      <c r="F1486" t="s">
        <v>59</v>
      </c>
      <c r="G1486">
        <v>-196.58410000000001</v>
      </c>
      <c r="H1486" s="1">
        <v>5.603346E-7</v>
      </c>
      <c r="I1486">
        <v>296.43470000000002</v>
      </c>
      <c r="J1486">
        <v>-191.035</v>
      </c>
      <c r="K1486">
        <v>1.1063989999999999</v>
      </c>
      <c r="L1486">
        <v>304.8322</v>
      </c>
      <c r="M1486">
        <v>-0.32998769999999999</v>
      </c>
      <c r="N1486">
        <v>0</v>
      </c>
      <c r="O1486">
        <v>-0.94387690000000002</v>
      </c>
      <c r="P1486">
        <v>-0.42226560000000002</v>
      </c>
      <c r="Q1486">
        <v>1.8615050000000001E-2</v>
      </c>
      <c r="R1486">
        <v>-0.90628140000000001</v>
      </c>
      <c r="S1486">
        <v>-1.6548</v>
      </c>
      <c r="T1486">
        <v>-0.32302110000000001</v>
      </c>
      <c r="U1486">
        <v>-2.549042</v>
      </c>
      <c r="V1486">
        <v>9.9809259999999997E-2</v>
      </c>
      <c r="W1486">
        <v>3.1949150000000003E-2</v>
      </c>
      <c r="X1486">
        <v>0.99449350000000003</v>
      </c>
      <c r="Y1486">
        <v>0.23409489999999999</v>
      </c>
      <c r="Z1486">
        <v>0.10395699999999999</v>
      </c>
      <c r="AA1486">
        <v>0.96663980000000005</v>
      </c>
      <c r="AB1486">
        <v>35</v>
      </c>
      <c r="AC1486">
        <v>-5.5491000000000099</v>
      </c>
      <c r="AD1486">
        <v>-1.1063984396654001</v>
      </c>
      <c r="AE1486">
        <v>-8.3974999999999795</v>
      </c>
      <c r="AF1486">
        <v>2.4373972120449601</v>
      </c>
      <c r="AG1486">
        <v>-1.1063984396654001</v>
      </c>
      <c r="AH1486">
        <v>9.6418382615618796</v>
      </c>
      <c r="AI1486">
        <v>96.348057040557904</v>
      </c>
      <c r="AJ1486">
        <v>75.813197399180098</v>
      </c>
      <c r="AK1486">
        <v>10.006501273606901</v>
      </c>
      <c r="AL1486">
        <v>88.169136942461705</v>
      </c>
      <c r="AM1486">
        <v>84.268877396952703</v>
      </c>
      <c r="AN1486">
        <v>0.99999997905485905</v>
      </c>
    </row>
    <row r="1487" spans="1:40" x14ac:dyDescent="0.25">
      <c r="A1487" t="str">
        <f>"20190312160325729"</f>
        <v>20190312160325729</v>
      </c>
      <c r="B1487" t="str">
        <f>"1552377805716345"</f>
        <v>1552377805716345</v>
      </c>
      <c r="C1487" t="s">
        <v>40</v>
      </c>
      <c r="D1487">
        <v>5.7308570000000003</v>
      </c>
      <c r="E1487">
        <v>0.55501869999999998</v>
      </c>
      <c r="F1487" t="s">
        <v>59</v>
      </c>
      <c r="G1487">
        <v>-196.95320000000001</v>
      </c>
      <c r="H1487" s="1">
        <v>7.3362279999999997E-7</v>
      </c>
      <c r="I1487">
        <v>295.78590000000003</v>
      </c>
      <c r="J1487">
        <v>-191.1576</v>
      </c>
      <c r="K1487">
        <v>1.106282</v>
      </c>
      <c r="L1487">
        <v>304.49439999999998</v>
      </c>
      <c r="M1487">
        <v>-0.33415349999999999</v>
      </c>
      <c r="N1487">
        <v>0</v>
      </c>
      <c r="O1487">
        <v>-0.94240959999999996</v>
      </c>
      <c r="P1487">
        <v>-0.4279329</v>
      </c>
      <c r="Q1487">
        <v>1.7728899999999999E-2</v>
      </c>
      <c r="R1487">
        <v>-0.90363649999999995</v>
      </c>
      <c r="S1487">
        <v>-1.6628719999999999</v>
      </c>
      <c r="T1487">
        <v>-0.31087300000000001</v>
      </c>
      <c r="U1487">
        <v>-2.5418090000000002</v>
      </c>
      <c r="V1487">
        <v>0.10163990000000001</v>
      </c>
      <c r="W1487">
        <v>3.1032170000000001E-2</v>
      </c>
      <c r="X1487">
        <v>0.99433709999999997</v>
      </c>
      <c r="Y1487">
        <v>0.2334389</v>
      </c>
      <c r="Z1487">
        <v>0.1000296</v>
      </c>
      <c r="AA1487">
        <v>0.96721270000000004</v>
      </c>
      <c r="AB1487">
        <v>35</v>
      </c>
      <c r="AC1487">
        <v>-5.7956000000000003</v>
      </c>
      <c r="AD1487">
        <v>-1.1062812663771999</v>
      </c>
      <c r="AE1487">
        <v>-8.7084999999999493</v>
      </c>
      <c r="AF1487">
        <v>2.5238878841425598</v>
      </c>
      <c r="AG1487">
        <v>-1.1062812663771999</v>
      </c>
      <c r="AH1487">
        <v>10.0324316580191</v>
      </c>
      <c r="AI1487">
        <v>96.103922038808093</v>
      </c>
      <c r="AJ1487">
        <v>75.878968875845999</v>
      </c>
      <c r="AK1487">
        <v>10.4040162084112</v>
      </c>
      <c r="AL1487">
        <v>88.221702077117996</v>
      </c>
      <c r="AM1487">
        <v>84.163568101533798</v>
      </c>
      <c r="AN1487">
        <v>0.99999996664166302</v>
      </c>
    </row>
    <row r="1488" spans="1:40" x14ac:dyDescent="0.25">
      <c r="A1488" t="str">
        <f>"20190312160325749"</f>
        <v>20190312160325749</v>
      </c>
      <c r="B1488" t="str">
        <f>"1552377805745625"</f>
        <v>1552377805745625</v>
      </c>
      <c r="C1488" t="s">
        <v>40</v>
      </c>
      <c r="D1488">
        <v>5.6591879999999897</v>
      </c>
      <c r="E1488">
        <v>0.55484829999999996</v>
      </c>
      <c r="F1488" t="s">
        <v>59</v>
      </c>
      <c r="G1488">
        <v>-197.21299999999999</v>
      </c>
      <c r="H1488" s="1">
        <v>8.4586010000000002E-7</v>
      </c>
      <c r="I1488">
        <v>295.40320000000003</v>
      </c>
      <c r="J1488">
        <v>-191.2713</v>
      </c>
      <c r="K1488">
        <v>1.1061639999999999</v>
      </c>
      <c r="L1488">
        <v>304.18529999999998</v>
      </c>
      <c r="M1488">
        <v>-0.33808349999999998</v>
      </c>
      <c r="N1488">
        <v>0</v>
      </c>
      <c r="O1488">
        <v>-0.94100680000000003</v>
      </c>
      <c r="P1488">
        <v>-0.43311719999999998</v>
      </c>
      <c r="Q1488">
        <v>1.776084E-2</v>
      </c>
      <c r="R1488">
        <v>-0.90116260000000004</v>
      </c>
      <c r="S1488">
        <v>-1.684097</v>
      </c>
      <c r="T1488">
        <v>-0.30767309999999998</v>
      </c>
      <c r="U1488">
        <v>-2.5284119999999999</v>
      </c>
      <c r="V1488">
        <v>0.1032121</v>
      </c>
      <c r="W1488">
        <v>3.1033600000000001E-2</v>
      </c>
      <c r="X1488">
        <v>0.99417509999999998</v>
      </c>
      <c r="Y1488">
        <v>0.2374309</v>
      </c>
      <c r="Z1488">
        <v>9.8970610000000001E-2</v>
      </c>
      <c r="AA1488">
        <v>0.96634949999999997</v>
      </c>
      <c r="AB1488">
        <v>35</v>
      </c>
      <c r="AC1488">
        <v>-5.9416999999999902</v>
      </c>
      <c r="AD1488">
        <v>-1.1061631541399</v>
      </c>
      <c r="AE1488">
        <v>-8.7820999999999501</v>
      </c>
      <c r="AF1488">
        <v>2.5941341046697399</v>
      </c>
      <c r="AG1488">
        <v>-1.1061631541399</v>
      </c>
      <c r="AH1488">
        <v>10.1632540065521</v>
      </c>
      <c r="AI1488">
        <v>96.020065500673397</v>
      </c>
      <c r="AJ1488">
        <v>75.681192641699994</v>
      </c>
      <c r="AK1488">
        <v>10.5472679248365</v>
      </c>
      <c r="AL1488">
        <v>88.221620120762097</v>
      </c>
      <c r="AM1488">
        <v>84.072967085032204</v>
      </c>
      <c r="AN1488">
        <v>0.99999997568768895</v>
      </c>
    </row>
    <row r="1489" spans="1:40" x14ac:dyDescent="0.25">
      <c r="A1489" t="str">
        <f>"20190312160325772"</f>
        <v>20190312160325772</v>
      </c>
      <c r="B1489" t="str">
        <f>"1552377805766121"</f>
        <v>1552377805766121</v>
      </c>
      <c r="C1489" t="s">
        <v>40</v>
      </c>
      <c r="D1489">
        <v>5.6474169999999999</v>
      </c>
      <c r="E1489">
        <v>0.55512700000000004</v>
      </c>
      <c r="F1489" t="s">
        <v>59</v>
      </c>
      <c r="G1489">
        <v>-197.50890000000001</v>
      </c>
      <c r="H1489" s="1">
        <v>9.885038999999999E-7</v>
      </c>
      <c r="I1489">
        <v>294.92540000000002</v>
      </c>
      <c r="J1489">
        <v>-191.3991</v>
      </c>
      <c r="K1489">
        <v>1.1060509999999999</v>
      </c>
      <c r="L1489">
        <v>303.8433</v>
      </c>
      <c r="M1489">
        <v>-0.34254390000000001</v>
      </c>
      <c r="N1489">
        <v>0</v>
      </c>
      <c r="O1489">
        <v>-0.93939209999999995</v>
      </c>
      <c r="P1489">
        <v>-0.43819399999999997</v>
      </c>
      <c r="Q1489">
        <v>1.829799E-2</v>
      </c>
      <c r="R1489">
        <v>-0.89869429999999995</v>
      </c>
      <c r="S1489">
        <v>-1.697052</v>
      </c>
      <c r="T1489">
        <v>-0.30095460000000002</v>
      </c>
      <c r="U1489">
        <v>-2.5193479999999999</v>
      </c>
      <c r="V1489">
        <v>0.1041222</v>
      </c>
      <c r="W1489">
        <v>3.1546909999999997E-2</v>
      </c>
      <c r="X1489">
        <v>0.99406410000000001</v>
      </c>
      <c r="Y1489">
        <v>0.23797879999999999</v>
      </c>
      <c r="Z1489">
        <v>9.6743399999999993E-2</v>
      </c>
      <c r="AA1489">
        <v>0.96644030000000003</v>
      </c>
      <c r="AB1489">
        <v>35</v>
      </c>
      <c r="AC1489">
        <v>-6.1097999999999999</v>
      </c>
      <c r="AD1489">
        <v>-1.1060500114961</v>
      </c>
      <c r="AE1489">
        <v>-8.9178999999999693</v>
      </c>
      <c r="AF1489">
        <v>2.6571853626052899</v>
      </c>
      <c r="AG1489">
        <v>-1.1060500114961</v>
      </c>
      <c r="AH1489">
        <v>10.362874118749</v>
      </c>
      <c r="AI1489">
        <v>95.902685276497195</v>
      </c>
      <c r="AJ1489">
        <v>75.618407478211296</v>
      </c>
      <c r="AK1489">
        <v>10.755144847012099</v>
      </c>
      <c r="AL1489">
        <v>88.192195326700102</v>
      </c>
      <c r="AM1489">
        <v>84.020418063458493</v>
      </c>
      <c r="AN1489">
        <v>1.00000003748609</v>
      </c>
    </row>
    <row r="1490" spans="1:40" x14ac:dyDescent="0.25">
      <c r="A1490" t="str">
        <f>"20190312160325795"</f>
        <v>20190312160325795</v>
      </c>
      <c r="B1490" t="str">
        <f>"1552377805785641"</f>
        <v>1552377805785641</v>
      </c>
      <c r="C1490" t="s">
        <v>40</v>
      </c>
      <c r="D1490">
        <v>5.7579060000000002</v>
      </c>
      <c r="E1490">
        <v>0.55503380000000002</v>
      </c>
      <c r="F1490" t="s">
        <v>59</v>
      </c>
      <c r="G1490">
        <v>-197.9529</v>
      </c>
      <c r="H1490" s="1">
        <v>1.123678E-6</v>
      </c>
      <c r="I1490">
        <v>294.24560000000002</v>
      </c>
      <c r="J1490">
        <v>-191.52719999999999</v>
      </c>
      <c r="K1490">
        <v>1.1059490000000001</v>
      </c>
      <c r="L1490">
        <v>303.50540000000001</v>
      </c>
      <c r="M1490">
        <v>-0.34706169999999997</v>
      </c>
      <c r="N1490">
        <v>0</v>
      </c>
      <c r="O1490">
        <v>-0.93773229999999996</v>
      </c>
      <c r="P1490">
        <v>-0.44267570000000001</v>
      </c>
      <c r="Q1490">
        <v>1.8717170000000002E-2</v>
      </c>
      <c r="R1490">
        <v>-0.89648660000000002</v>
      </c>
      <c r="S1490">
        <v>-1.7131350000000001</v>
      </c>
      <c r="T1490">
        <v>-0.28911629999999999</v>
      </c>
      <c r="U1490">
        <v>-2.5087890000000002</v>
      </c>
      <c r="V1490">
        <v>0.1043164</v>
      </c>
      <c r="W1490">
        <v>3.1949159999999997E-2</v>
      </c>
      <c r="X1490">
        <v>0.99403079999999999</v>
      </c>
      <c r="Y1490">
        <v>0.23964170000000001</v>
      </c>
      <c r="Z1490">
        <v>9.2884980000000006E-2</v>
      </c>
      <c r="AA1490">
        <v>0.96640789999999999</v>
      </c>
      <c r="AB1490">
        <v>35</v>
      </c>
      <c r="AC1490">
        <v>-6.4257</v>
      </c>
      <c r="AD1490">
        <v>-1.1059478763220001</v>
      </c>
      <c r="AE1490">
        <v>-9.2597999999999807</v>
      </c>
      <c r="AF1490">
        <v>2.7853364724996998</v>
      </c>
      <c r="AG1490">
        <v>-1.1059478763220001</v>
      </c>
      <c r="AH1490">
        <v>10.8103680569392</v>
      </c>
      <c r="AI1490">
        <v>95.657764324379002</v>
      </c>
      <c r="AJ1490">
        <v>75.551750863608603</v>
      </c>
      <c r="AK1490">
        <v>11.218078155222001</v>
      </c>
      <c r="AL1490">
        <v>88.169136308197594</v>
      </c>
      <c r="AM1490">
        <v>84.009147249997199</v>
      </c>
      <c r="AN1490">
        <v>0.99999994574115103</v>
      </c>
    </row>
    <row r="1491" spans="1:40" x14ac:dyDescent="0.25">
      <c r="A1491" t="str">
        <f>"20190312160325818"</f>
        <v>20190312160325818</v>
      </c>
      <c r="B1491" t="str">
        <f>"1552377805806138"</f>
        <v>1552377805806138</v>
      </c>
      <c r="C1491" t="s">
        <v>40</v>
      </c>
      <c r="D1491">
        <v>5.7596889999999998</v>
      </c>
      <c r="E1491">
        <v>0.55527139999999997</v>
      </c>
      <c r="F1491" t="s">
        <v>59</v>
      </c>
      <c r="G1491">
        <v>-197.976</v>
      </c>
      <c r="H1491" s="1">
        <v>1.137288E-6</v>
      </c>
      <c r="I1491">
        <v>294.1567</v>
      </c>
      <c r="J1491">
        <v>-191.6549</v>
      </c>
      <c r="K1491">
        <v>1.105845</v>
      </c>
      <c r="L1491">
        <v>303.17380000000003</v>
      </c>
      <c r="M1491">
        <v>-0.35160740000000001</v>
      </c>
      <c r="N1491">
        <v>0</v>
      </c>
      <c r="O1491">
        <v>-0.93603709999999996</v>
      </c>
      <c r="P1491">
        <v>-0.44728099999999998</v>
      </c>
      <c r="Q1491">
        <v>1.715361E-2</v>
      </c>
      <c r="R1491">
        <v>-0.89422889999999999</v>
      </c>
      <c r="S1491">
        <v>-1.7250369999999999</v>
      </c>
      <c r="T1491">
        <v>-0.29583749999999998</v>
      </c>
      <c r="U1491">
        <v>-2.5007630000000001</v>
      </c>
      <c r="V1491">
        <v>0.10458729999999999</v>
      </c>
      <c r="W1491">
        <v>3.036873E-2</v>
      </c>
      <c r="X1491">
        <v>0.99405189999999999</v>
      </c>
      <c r="Y1491">
        <v>0.2393816</v>
      </c>
      <c r="Z1491">
        <v>9.4907749999999999E-2</v>
      </c>
      <c r="AA1491">
        <v>0.96627580000000002</v>
      </c>
      <c r="AB1491">
        <v>35</v>
      </c>
      <c r="AC1491">
        <v>-6.3211000000000004</v>
      </c>
      <c r="AD1491">
        <v>-1.105843862712</v>
      </c>
      <c r="AE1491">
        <v>-9.0171000000000205</v>
      </c>
      <c r="AF1491">
        <v>2.7191675742453998</v>
      </c>
      <c r="AG1491">
        <v>-1.105843862712</v>
      </c>
      <c r="AH1491">
        <v>10.557520991259</v>
      </c>
      <c r="AI1491">
        <v>95.791947538710801</v>
      </c>
      <c r="AJ1491">
        <v>75.556951071408307</v>
      </c>
      <c r="AK1491">
        <v>10.9580113353838</v>
      </c>
      <c r="AL1491">
        <v>88.259732325795198</v>
      </c>
      <c r="AM1491">
        <v>83.993829703663906</v>
      </c>
      <c r="AN1491">
        <v>0.99999997148835595</v>
      </c>
    </row>
    <row r="1492" spans="1:40" x14ac:dyDescent="0.25">
      <c r="A1492" t="str">
        <f>"20190312160325841"</f>
        <v>20190312160325841</v>
      </c>
      <c r="B1492" t="str">
        <f>"1552377805836393"</f>
        <v>1552377805836393</v>
      </c>
      <c r="C1492" t="s">
        <v>40</v>
      </c>
      <c r="D1492">
        <v>5.8157589999999999</v>
      </c>
      <c r="E1492">
        <v>0.55528389999999905</v>
      </c>
      <c r="F1492" t="s">
        <v>59</v>
      </c>
      <c r="G1492">
        <v>-198.05</v>
      </c>
      <c r="H1492" s="1">
        <v>1.155616E-6</v>
      </c>
      <c r="I1492">
        <v>294.0154</v>
      </c>
      <c r="J1492">
        <v>-191.78489999999999</v>
      </c>
      <c r="K1492">
        <v>1.105737</v>
      </c>
      <c r="L1492">
        <v>302.84120000000001</v>
      </c>
      <c r="M1492">
        <v>-0.35627639999999999</v>
      </c>
      <c r="N1492">
        <v>0</v>
      </c>
      <c r="O1492">
        <v>-0.93426969999999998</v>
      </c>
      <c r="P1492">
        <v>-0.45227230000000002</v>
      </c>
      <c r="Q1492">
        <v>1.6345439999999999E-2</v>
      </c>
      <c r="R1492">
        <v>-0.89173019999999903</v>
      </c>
      <c r="S1492">
        <v>-1.739212</v>
      </c>
      <c r="T1492">
        <v>-0.30074420000000002</v>
      </c>
      <c r="U1492">
        <v>-2.490723</v>
      </c>
      <c r="V1492">
        <v>0.1051742</v>
      </c>
      <c r="W1492">
        <v>2.9539409999999999E-2</v>
      </c>
      <c r="X1492">
        <v>0.99401499999999998</v>
      </c>
      <c r="Y1492">
        <v>0.2399724</v>
      </c>
      <c r="Z1492">
        <v>9.6366750000000001E-2</v>
      </c>
      <c r="AA1492">
        <v>0.96598479999999998</v>
      </c>
      <c r="AB1492">
        <v>35</v>
      </c>
      <c r="AC1492">
        <v>-6.2651000000000101</v>
      </c>
      <c r="AD1492">
        <v>-1.105735844384</v>
      </c>
      <c r="AE1492">
        <v>-8.8258000000000099</v>
      </c>
      <c r="AF1492">
        <v>2.6811663467415001</v>
      </c>
      <c r="AG1492">
        <v>-1.105735844384</v>
      </c>
      <c r="AH1492">
        <v>10.370632749641899</v>
      </c>
      <c r="AI1492">
        <v>95.893639531913706</v>
      </c>
      <c r="AJ1492">
        <v>75.504462074092402</v>
      </c>
      <c r="AK1492">
        <v>10.768534179005099</v>
      </c>
      <c r="AL1492">
        <v>88.3072702519204</v>
      </c>
      <c r="AM1492">
        <v>83.960151480625001</v>
      </c>
      <c r="AN1492">
        <v>1.00000000465689</v>
      </c>
    </row>
    <row r="1493" spans="1:40" x14ac:dyDescent="0.25">
      <c r="A1493" t="str">
        <f>"20190312160325863"</f>
        <v>20190312160325863</v>
      </c>
      <c r="B1493" t="str">
        <f>"1552377805855914"</f>
        <v>1552377805855914</v>
      </c>
      <c r="C1493" t="s">
        <v>40</v>
      </c>
      <c r="D1493">
        <v>5.7849959999999996</v>
      </c>
      <c r="E1493">
        <v>0.54438920000000002</v>
      </c>
      <c r="F1493" t="s">
        <v>59</v>
      </c>
      <c r="G1493">
        <v>-198.18899999999999</v>
      </c>
      <c r="H1493" s="1">
        <v>1.1847249999999999E-6</v>
      </c>
      <c r="I1493">
        <v>293.7801</v>
      </c>
      <c r="J1493">
        <v>-191.91810000000001</v>
      </c>
      <c r="K1493">
        <v>1.105634</v>
      </c>
      <c r="L1493">
        <v>302.50549999999998</v>
      </c>
      <c r="M1493">
        <v>-0.36109980000000003</v>
      </c>
      <c r="N1493">
        <v>0</v>
      </c>
      <c r="O1493">
        <v>-0.93241600000000002</v>
      </c>
      <c r="P1493">
        <v>-0.4572716</v>
      </c>
      <c r="Q1493">
        <v>1.6972149999999998E-2</v>
      </c>
      <c r="R1493">
        <v>-0.88916550000000005</v>
      </c>
      <c r="S1493">
        <v>-1.7531890000000001</v>
      </c>
      <c r="T1493">
        <v>-0.30270330000000001</v>
      </c>
      <c r="U1493">
        <v>-2.4805600000000001</v>
      </c>
      <c r="V1493">
        <v>0.1056367</v>
      </c>
      <c r="W1493">
        <v>3.0145189999999999E-2</v>
      </c>
      <c r="X1493">
        <v>0.99394769999999999</v>
      </c>
      <c r="Y1493">
        <v>0.24041799999999999</v>
      </c>
      <c r="Z1493">
        <v>9.6881510000000004E-2</v>
      </c>
      <c r="AA1493">
        <v>0.96582250000000003</v>
      </c>
      <c r="AB1493">
        <v>35</v>
      </c>
      <c r="AC1493">
        <v>-6.2709000000000099</v>
      </c>
      <c r="AD1493">
        <v>-1.1056328152749999</v>
      </c>
      <c r="AE1493">
        <v>-8.7253999999999792</v>
      </c>
      <c r="AF1493">
        <v>2.66837486985975</v>
      </c>
      <c r="AG1493">
        <v>-1.1056328152749999</v>
      </c>
      <c r="AH1493">
        <v>10.2922304068316</v>
      </c>
      <c r="AI1493">
        <v>95.936626884323204</v>
      </c>
      <c r="AJ1493">
        <v>75.465446652788799</v>
      </c>
      <c r="AK1493">
        <v>10.689838872294599</v>
      </c>
      <c r="AL1493">
        <v>88.272546032922804</v>
      </c>
      <c r="AM1493">
        <v>83.933381383122594</v>
      </c>
      <c r="AN1493">
        <v>0.99999993760115602</v>
      </c>
    </row>
    <row r="1494" spans="1:40" x14ac:dyDescent="0.25">
      <c r="A1494" t="str">
        <f>"20190312160325885"</f>
        <v>20190312160325885</v>
      </c>
      <c r="B1494" t="str">
        <f>"1552377805876409"</f>
        <v>1552377805876409</v>
      </c>
      <c r="C1494" t="s">
        <v>40</v>
      </c>
      <c r="D1494">
        <v>5.7792019999999997</v>
      </c>
      <c r="E1494">
        <v>0.54368260000000002</v>
      </c>
      <c r="F1494" t="s">
        <v>59</v>
      </c>
      <c r="G1494">
        <v>-204.33949999999999</v>
      </c>
      <c r="H1494" s="1">
        <v>4.1909139999999999E-6</v>
      </c>
      <c r="I1494">
        <v>284.0498</v>
      </c>
      <c r="J1494">
        <v>-192.04429999999999</v>
      </c>
      <c r="K1494">
        <v>1.1055410000000001</v>
      </c>
      <c r="L1494">
        <v>302.19260000000003</v>
      </c>
      <c r="M1494">
        <v>-0.36569760000000001</v>
      </c>
      <c r="N1494">
        <v>0</v>
      </c>
      <c r="O1494">
        <v>-0.93062219999999996</v>
      </c>
      <c r="P1494">
        <v>-0.46173409999999898</v>
      </c>
      <c r="Q1494">
        <v>1.7993820000000001E-2</v>
      </c>
      <c r="R1494">
        <v>-0.88683599999999996</v>
      </c>
      <c r="S1494">
        <v>-1.6883699999999999</v>
      </c>
      <c r="T1494">
        <v>-0.150282</v>
      </c>
      <c r="U1494">
        <v>-2.508575</v>
      </c>
      <c r="V1494">
        <v>0.1057519</v>
      </c>
      <c r="W1494">
        <v>3.1150850000000001E-2</v>
      </c>
      <c r="X1494">
        <v>0.99390449999999997</v>
      </c>
      <c r="Y1494">
        <v>0.21556510000000001</v>
      </c>
      <c r="Z1494">
        <v>4.8184270000000001E-2</v>
      </c>
      <c r="AA1494">
        <v>0.97529999999999994</v>
      </c>
      <c r="AB1494">
        <v>35</v>
      </c>
      <c r="AC1494">
        <v>-12.2951999999999</v>
      </c>
      <c r="AD1494">
        <v>-1.1055368090859901</v>
      </c>
      <c r="AE1494">
        <v>-18.142800000000001</v>
      </c>
      <c r="AF1494">
        <v>4.7957040011406296</v>
      </c>
      <c r="AG1494">
        <v>-1.1055368090859901</v>
      </c>
      <c r="AH1494">
        <v>21.328366861324501</v>
      </c>
      <c r="AI1494">
        <v>92.895065579814499</v>
      </c>
      <c r="AJ1494">
        <v>77.3277440497924</v>
      </c>
      <c r="AK1494">
        <v>21.888814985604899</v>
      </c>
      <c r="AL1494">
        <v>88.214898979777004</v>
      </c>
      <c r="AM1494">
        <v>83.926552971644895</v>
      </c>
      <c r="AN1494">
        <v>0.99999999746479096</v>
      </c>
    </row>
    <row r="1495" spans="1:40" x14ac:dyDescent="0.25">
      <c r="A1495" t="str">
        <f>"20190312160325908"</f>
        <v>20190312160325908</v>
      </c>
      <c r="B1495" t="str">
        <f>"1552377805895932"</f>
        <v>1552377805895932</v>
      </c>
      <c r="C1495" t="s">
        <v>40</v>
      </c>
      <c r="D1495">
        <v>5.8292609999999998</v>
      </c>
      <c r="E1495">
        <v>0.54323759999999999</v>
      </c>
      <c r="F1495" t="s">
        <v>59</v>
      </c>
      <c r="G1495">
        <v>-204.7551</v>
      </c>
      <c r="H1495" s="1">
        <v>4.428981E-6</v>
      </c>
      <c r="I1495">
        <v>283.43439999999998</v>
      </c>
      <c r="J1495">
        <v>-192.17840000000001</v>
      </c>
      <c r="K1495">
        <v>1.10544</v>
      </c>
      <c r="L1495">
        <v>301.8648</v>
      </c>
      <c r="M1495">
        <v>-0.37061769999999999</v>
      </c>
      <c r="N1495">
        <v>0</v>
      </c>
      <c r="O1495">
        <v>-0.92867350000000004</v>
      </c>
      <c r="P1495">
        <v>-0.46617760000000003</v>
      </c>
      <c r="Q1495">
        <v>1.8375280000000001E-2</v>
      </c>
      <c r="R1495">
        <v>-0.88450059999999997</v>
      </c>
      <c r="S1495">
        <v>-1.6959379999999999</v>
      </c>
      <c r="T1495">
        <v>-0.1475061</v>
      </c>
      <c r="U1495">
        <v>-2.5028079999999999</v>
      </c>
      <c r="V1495">
        <v>0.1054932</v>
      </c>
      <c r="W1495">
        <v>3.1519739999999997E-2</v>
      </c>
      <c r="X1495">
        <v>0.99392040000000004</v>
      </c>
      <c r="Y1495">
        <v>0.21348790000000001</v>
      </c>
      <c r="Z1495">
        <v>4.7216519999999998E-2</v>
      </c>
      <c r="AA1495">
        <v>0.975804</v>
      </c>
      <c r="AB1495">
        <v>35</v>
      </c>
      <c r="AC1495">
        <v>-12.576699999999899</v>
      </c>
      <c r="AD1495">
        <v>-1.105435571019</v>
      </c>
      <c r="AE1495">
        <v>-18.430399999999999</v>
      </c>
      <c r="AF1495">
        <v>4.8376459736080397</v>
      </c>
      <c r="AG1495">
        <v>-1.105435571019</v>
      </c>
      <c r="AH1495">
        <v>21.7259108367256</v>
      </c>
      <c r="AI1495">
        <v>92.843239704040698</v>
      </c>
      <c r="AJ1495">
        <v>77.446903435811095</v>
      </c>
      <c r="AK1495">
        <v>22.285421424172998</v>
      </c>
      <c r="AL1495">
        <v>88.193752823738194</v>
      </c>
      <c r="AM1495">
        <v>83.9413959545616</v>
      </c>
      <c r="AN1495">
        <v>1.0000000353960301</v>
      </c>
    </row>
    <row r="1496" spans="1:40" x14ac:dyDescent="0.25">
      <c r="A1496" t="str">
        <f>"20190312160325928"</f>
        <v>20190312160325928</v>
      </c>
      <c r="B1496" t="str">
        <f>"1552377805915959"</f>
        <v>1552377805915959</v>
      </c>
      <c r="C1496" t="s">
        <v>40</v>
      </c>
      <c r="D1496">
        <v>5.8087099999999996</v>
      </c>
      <c r="E1496">
        <v>0.55220939999999996</v>
      </c>
      <c r="F1496" t="s">
        <v>59</v>
      </c>
      <c r="G1496">
        <v>-204.67830000000001</v>
      </c>
      <c r="H1496" s="1">
        <v>4.382769E-6</v>
      </c>
      <c r="I1496">
        <v>283.5736</v>
      </c>
      <c r="J1496">
        <v>-192.30690000000001</v>
      </c>
      <c r="K1496">
        <v>1.105345</v>
      </c>
      <c r="L1496">
        <v>301.55579999999998</v>
      </c>
      <c r="M1496">
        <v>-0.37536310000000001</v>
      </c>
      <c r="N1496">
        <v>0</v>
      </c>
      <c r="O1496">
        <v>-0.92676539999999996</v>
      </c>
      <c r="P1496">
        <v>-0.47066930000000001</v>
      </c>
      <c r="Q1496">
        <v>1.803691E-2</v>
      </c>
      <c r="R1496">
        <v>-0.88212549999999901</v>
      </c>
      <c r="S1496">
        <v>-1.7056579999999999</v>
      </c>
      <c r="T1496">
        <v>-0.1508408</v>
      </c>
      <c r="U1496">
        <v>-2.495911</v>
      </c>
      <c r="V1496">
        <v>0.1054644</v>
      </c>
      <c r="W1496">
        <v>3.1167529999999999E-2</v>
      </c>
      <c r="X1496">
        <v>0.99393450000000005</v>
      </c>
      <c r="Y1496">
        <v>0.21230760000000001</v>
      </c>
      <c r="Z1496">
        <v>4.8204400000000001E-2</v>
      </c>
      <c r="AA1496">
        <v>0.97601320000000003</v>
      </c>
      <c r="AB1496">
        <v>35</v>
      </c>
      <c r="AC1496">
        <v>-12.3713999999999</v>
      </c>
      <c r="AD1496">
        <v>-1.1053406172310001</v>
      </c>
      <c r="AE1496">
        <v>-17.982199999999899</v>
      </c>
      <c r="AF1496">
        <v>4.7039591362701101</v>
      </c>
      <c r="AG1496">
        <v>-1.1053406172310001</v>
      </c>
      <c r="AH1496">
        <v>21.256755052455802</v>
      </c>
      <c r="AI1496">
        <v>92.906480690685399</v>
      </c>
      <c r="AJ1496">
        <v>77.521968069785601</v>
      </c>
      <c r="AK1496">
        <v>21.799051465508899</v>
      </c>
      <c r="AL1496">
        <v>88.213942777188294</v>
      </c>
      <c r="AM1496">
        <v>83.943122962488204</v>
      </c>
      <c r="AN1496">
        <v>0.99999997244195504</v>
      </c>
    </row>
    <row r="1497" spans="1:40" x14ac:dyDescent="0.25">
      <c r="A1497" t="str">
        <f>"20190312160325952"</f>
        <v>20190312160325952</v>
      </c>
      <c r="B1497" t="str">
        <f>"1552377805946212"</f>
        <v>1552377805946212</v>
      </c>
      <c r="C1497" t="s">
        <v>40</v>
      </c>
      <c r="D1497">
        <v>5.858606</v>
      </c>
      <c r="E1497">
        <v>0.54943850000000005</v>
      </c>
      <c r="F1497" t="s">
        <v>59</v>
      </c>
      <c r="G1497">
        <v>-198.7295</v>
      </c>
      <c r="H1497" s="1">
        <v>1.3247999999999901E-6</v>
      </c>
      <c r="I1497">
        <v>292.71249999999998</v>
      </c>
      <c r="J1497">
        <v>-192.44540000000001</v>
      </c>
      <c r="K1497">
        <v>1.105248</v>
      </c>
      <c r="L1497">
        <v>301.22809999999998</v>
      </c>
      <c r="M1497">
        <v>-0.38048769999999998</v>
      </c>
      <c r="N1497">
        <v>0</v>
      </c>
      <c r="O1497">
        <v>-0.92467310000000003</v>
      </c>
      <c r="P1497">
        <v>-0.4762691</v>
      </c>
      <c r="Q1497">
        <v>1.6983310000000001E-2</v>
      </c>
      <c r="R1497">
        <v>-0.87913589999999997</v>
      </c>
      <c r="S1497">
        <v>-1.78340099999999</v>
      </c>
      <c r="T1497">
        <v>-0.30692960000000002</v>
      </c>
      <c r="U1497">
        <v>-2.455597</v>
      </c>
      <c r="V1497">
        <v>0.1062694</v>
      </c>
      <c r="W1497">
        <v>3.0089910000000001E-2</v>
      </c>
      <c r="X1497">
        <v>0.99388200000000004</v>
      </c>
      <c r="Y1497">
        <v>0.23252619999999999</v>
      </c>
      <c r="Z1497">
        <v>9.7612820000000003E-2</v>
      </c>
      <c r="AA1497">
        <v>0.96767930000000002</v>
      </c>
      <c r="AB1497">
        <v>35</v>
      </c>
      <c r="AC1497">
        <v>-6.2840999999999898</v>
      </c>
      <c r="AD1497">
        <v>-1.1052466751999901</v>
      </c>
      <c r="AE1497">
        <v>-8.5155999999999992</v>
      </c>
      <c r="AF1497">
        <v>2.54318862860677</v>
      </c>
      <c r="AG1497">
        <v>-1.1052466751999901</v>
      </c>
      <c r="AH1497">
        <v>10.155481405858399</v>
      </c>
      <c r="AI1497">
        <v>96.026534359650896</v>
      </c>
      <c r="AJ1497">
        <v>75.940828846502001</v>
      </c>
      <c r="AK1497">
        <v>10.5272589594087</v>
      </c>
      <c r="AL1497">
        <v>88.275714904407295</v>
      </c>
      <c r="AM1497">
        <v>83.8969190156688</v>
      </c>
      <c r="AN1497">
        <v>1.00000000899208</v>
      </c>
    </row>
    <row r="1498" spans="1:40" x14ac:dyDescent="0.25">
      <c r="A1498" t="str">
        <f>"20190312160325974"</f>
        <v>20190312160325974</v>
      </c>
      <c r="B1498" t="str">
        <f>"1552377805965732"</f>
        <v>1552377805965732</v>
      </c>
      <c r="C1498" t="s">
        <v>40</v>
      </c>
      <c r="D1498">
        <v>5.9118909999999998</v>
      </c>
      <c r="E1498">
        <v>0.54762929999999999</v>
      </c>
      <c r="F1498" t="s">
        <v>59</v>
      </c>
      <c r="G1498">
        <v>-199.46369999999999</v>
      </c>
      <c r="H1498" s="1">
        <v>1.465341E-6</v>
      </c>
      <c r="I1498">
        <v>291.54469999999998</v>
      </c>
      <c r="J1498">
        <v>-192.58760000000001</v>
      </c>
      <c r="K1498">
        <v>1.1051569999999999</v>
      </c>
      <c r="L1498">
        <v>300.8972</v>
      </c>
      <c r="M1498">
        <v>-0.38575860000000001</v>
      </c>
      <c r="N1498">
        <v>0</v>
      </c>
      <c r="O1498">
        <v>-0.92248629999999998</v>
      </c>
      <c r="P1498">
        <v>-0.4828828</v>
      </c>
      <c r="Q1498">
        <v>1.6356430000000002E-2</v>
      </c>
      <c r="R1498">
        <v>-0.87553239999999999</v>
      </c>
      <c r="S1498">
        <v>-1.7787630000000001</v>
      </c>
      <c r="T1498">
        <v>-0.28012150000000002</v>
      </c>
      <c r="U1498">
        <v>-2.454224</v>
      </c>
      <c r="V1498">
        <v>0.10808429999999999</v>
      </c>
      <c r="W1498">
        <v>2.9425010000000001E-2</v>
      </c>
      <c r="X1498">
        <v>0.99370619999999998</v>
      </c>
      <c r="Y1498">
        <v>0.22653390000000001</v>
      </c>
      <c r="Z1498">
        <v>8.9012750000000002E-2</v>
      </c>
      <c r="AA1498">
        <v>0.9699274</v>
      </c>
      <c r="AB1498">
        <v>35</v>
      </c>
      <c r="AC1498">
        <v>-6.8760999999999797</v>
      </c>
      <c r="AD1498">
        <v>-1.1051555346589901</v>
      </c>
      <c r="AE1498">
        <v>-9.3525000000000098</v>
      </c>
      <c r="AF1498">
        <v>2.7110145455742898</v>
      </c>
      <c r="AG1498">
        <v>-1.1051555346589901</v>
      </c>
      <c r="AH1498">
        <v>11.1799143345264</v>
      </c>
      <c r="AI1498">
        <v>95.487437767246206</v>
      </c>
      <c r="AJ1498">
        <v>76.369460640236497</v>
      </c>
      <c r="AK1498">
        <v>11.5568790401844</v>
      </c>
      <c r="AL1498">
        <v>88.31382778151</v>
      </c>
      <c r="AM1498">
        <v>83.792406071165701</v>
      </c>
      <c r="AN1498">
        <v>1.00000002951921</v>
      </c>
    </row>
    <row r="1499" spans="1:40" x14ac:dyDescent="0.25">
      <c r="A1499" t="str">
        <f>"20190312160325997"</f>
        <v>20190312160325997</v>
      </c>
      <c r="B1499" t="str">
        <f>"1552377805986228"</f>
        <v>1552377805986228</v>
      </c>
      <c r="C1499" t="s">
        <v>40</v>
      </c>
      <c r="D1499">
        <v>5.8799020000000004</v>
      </c>
      <c r="E1499">
        <v>0.54597299999999904</v>
      </c>
      <c r="F1499" t="s">
        <v>59</v>
      </c>
      <c r="G1499">
        <v>-200.4975</v>
      </c>
      <c r="H1499" s="1">
        <v>1.9439359999999999E-6</v>
      </c>
      <c r="I1499">
        <v>290.04410000000001</v>
      </c>
      <c r="J1499">
        <v>-192.7353</v>
      </c>
      <c r="K1499">
        <v>1.105057</v>
      </c>
      <c r="L1499">
        <v>300.55889999999999</v>
      </c>
      <c r="M1499">
        <v>-0.39125579999999999</v>
      </c>
      <c r="N1499">
        <v>0</v>
      </c>
      <c r="O1499">
        <v>-0.9201684</v>
      </c>
      <c r="P1499">
        <v>-0.4888439</v>
      </c>
      <c r="Q1499">
        <v>1.7017649999999999E-2</v>
      </c>
      <c r="R1499">
        <v>-0.87220540000000002</v>
      </c>
      <c r="S1499">
        <v>-1.7837069999999999</v>
      </c>
      <c r="T1499">
        <v>-0.2492135</v>
      </c>
      <c r="U1499">
        <v>-2.4473880000000001</v>
      </c>
      <c r="V1499">
        <v>0.10895390000000001</v>
      </c>
      <c r="W1499">
        <v>3.0058930000000001E-2</v>
      </c>
      <c r="X1499">
        <v>0.99359219999999904</v>
      </c>
      <c r="Y1499">
        <v>0.22381390000000001</v>
      </c>
      <c r="Z1499">
        <v>7.9139340000000002E-2</v>
      </c>
      <c r="AA1499">
        <v>0.97141359999999999</v>
      </c>
      <c r="AB1499">
        <v>35</v>
      </c>
      <c r="AC1499">
        <v>-7.7622</v>
      </c>
      <c r="AD1499">
        <v>-1.105055056064</v>
      </c>
      <c r="AE1499">
        <v>-10.5147999999999</v>
      </c>
      <c r="AF1499">
        <v>3.0073714169404502</v>
      </c>
      <c r="AG1499">
        <v>-1.105055056064</v>
      </c>
      <c r="AH1499">
        <v>12.6234755245688</v>
      </c>
      <c r="AI1499">
        <v>94.8673618033596</v>
      </c>
      <c r="AJ1499">
        <v>76.599848187547494</v>
      </c>
      <c r="AK1499">
        <v>13.0237307955805</v>
      </c>
      <c r="AL1499">
        <v>88.277490673635896</v>
      </c>
      <c r="AM1499">
        <v>83.7421447983196</v>
      </c>
      <c r="AN1499">
        <v>0.99999997574939703</v>
      </c>
    </row>
    <row r="1500" spans="1:40" x14ac:dyDescent="0.25">
      <c r="A1500" t="str">
        <f>"20190312160326019"</f>
        <v>20190312160326019</v>
      </c>
      <c r="B1500" t="str">
        <f>"1552377806005748"</f>
        <v>1552377806005748</v>
      </c>
      <c r="C1500" t="s">
        <v>40</v>
      </c>
      <c r="D1500">
        <v>5.6286110000000003</v>
      </c>
      <c r="E1500">
        <v>0.54535440000000002</v>
      </c>
      <c r="F1500" t="s">
        <v>59</v>
      </c>
      <c r="G1500">
        <v>-201.4051</v>
      </c>
      <c r="H1500" s="1">
        <v>2.4806879999999999E-6</v>
      </c>
      <c r="I1500">
        <v>288.72750000000002</v>
      </c>
      <c r="J1500">
        <v>-192.87029999999999</v>
      </c>
      <c r="K1500">
        <v>1.1049690000000001</v>
      </c>
      <c r="L1500">
        <v>300.25450000000001</v>
      </c>
      <c r="M1500">
        <v>-0.3963024</v>
      </c>
      <c r="N1500">
        <v>0</v>
      </c>
      <c r="O1500">
        <v>-0.91800590000000004</v>
      </c>
      <c r="P1500">
        <v>-0.49415209999999998</v>
      </c>
      <c r="Q1500">
        <v>1.7894710000000001E-2</v>
      </c>
      <c r="R1500">
        <v>-0.86919159999999995</v>
      </c>
      <c r="S1500">
        <v>-1.7889710000000001</v>
      </c>
      <c r="T1500">
        <v>-0.22802169999999999</v>
      </c>
      <c r="U1500">
        <v>-2.4413450000000001</v>
      </c>
      <c r="V1500">
        <v>0.1095802</v>
      </c>
      <c r="W1500">
        <v>3.091207E-2</v>
      </c>
      <c r="X1500">
        <v>0.99349719999999997</v>
      </c>
      <c r="Y1500">
        <v>0.22129670000000001</v>
      </c>
      <c r="Z1500">
        <v>7.2329599999999994E-2</v>
      </c>
      <c r="AA1500">
        <v>0.97252050000000001</v>
      </c>
      <c r="AB1500">
        <v>35</v>
      </c>
      <c r="AC1500">
        <v>-8.5348000000000095</v>
      </c>
      <c r="AD1500">
        <v>-1.104966519312</v>
      </c>
      <c r="AE1500">
        <v>-11.5269999999999</v>
      </c>
      <c r="AF1500">
        <v>3.2478846154957299</v>
      </c>
      <c r="AG1500">
        <v>-1.104966519312</v>
      </c>
      <c r="AH1500">
        <v>13.883279599421501</v>
      </c>
      <c r="AI1500">
        <v>94.431411403559807</v>
      </c>
      <c r="AJ1500">
        <v>76.832899314557807</v>
      </c>
      <c r="AK1500">
        <v>14.300879620502</v>
      </c>
      <c r="AL1500">
        <v>88.228586718003001</v>
      </c>
      <c r="AM1500">
        <v>83.705863617193103</v>
      </c>
      <c r="AN1500">
        <v>1.00000003135578</v>
      </c>
    </row>
    <row r="1501" spans="1:40" x14ac:dyDescent="0.25">
      <c r="A1501" t="str">
        <f>"20190312160326042"</f>
        <v>20190312160326042</v>
      </c>
      <c r="B1501" t="str">
        <f>"1552377806036004"</f>
        <v>1552377806036004</v>
      </c>
      <c r="C1501" t="s">
        <v>40</v>
      </c>
      <c r="D1501">
        <v>5.8451370000000002</v>
      </c>
      <c r="E1501">
        <v>0.58176649999999996</v>
      </c>
      <c r="F1501" t="s">
        <v>59</v>
      </c>
      <c r="G1501">
        <v>-201.75069999999999</v>
      </c>
      <c r="H1501" s="1">
        <v>2.6755519999999998E-6</v>
      </c>
      <c r="I1501">
        <v>288.25130000000001</v>
      </c>
      <c r="J1501">
        <v>-193.01669999999999</v>
      </c>
      <c r="K1501">
        <v>1.104868</v>
      </c>
      <c r="L1501">
        <v>299.92970000000003</v>
      </c>
      <c r="M1501">
        <v>-0.40180389999999999</v>
      </c>
      <c r="N1501">
        <v>0</v>
      </c>
      <c r="O1501">
        <v>-0.91561130000000002</v>
      </c>
      <c r="P1501">
        <v>-0.49942910000000001</v>
      </c>
      <c r="Q1501">
        <v>1.7592819999999999E-2</v>
      </c>
      <c r="R1501">
        <v>-0.86617659999999996</v>
      </c>
      <c r="S1501">
        <v>-1.7998959999999999</v>
      </c>
      <c r="T1501">
        <v>-0.22395799999999999</v>
      </c>
      <c r="U1501">
        <v>-2.4328310000000002</v>
      </c>
      <c r="V1501">
        <v>0.10966239999999999</v>
      </c>
      <c r="W1501">
        <v>3.0591790000000001E-2</v>
      </c>
      <c r="X1501">
        <v>0.99349799999999999</v>
      </c>
      <c r="Y1501">
        <v>0.21995780000000001</v>
      </c>
      <c r="Z1501">
        <v>7.0904289999999995E-2</v>
      </c>
      <c r="AA1501">
        <v>0.97292920000000005</v>
      </c>
      <c r="AB1501">
        <v>35</v>
      </c>
      <c r="AC1501">
        <v>-8.734</v>
      </c>
      <c r="AD1501">
        <v>-1.104865324448</v>
      </c>
      <c r="AE1501">
        <v>-11.6784</v>
      </c>
      <c r="AF1501">
        <v>3.28600685214951</v>
      </c>
      <c r="AG1501">
        <v>-1.104865324448</v>
      </c>
      <c r="AH1501">
        <v>14.1226537234287</v>
      </c>
      <c r="AI1501">
        <v>94.357410317486696</v>
      </c>
      <c r="AJ1501">
        <v>76.901684224985004</v>
      </c>
      <c r="AK1501">
        <v>14.5419364807241</v>
      </c>
      <c r="AL1501">
        <v>88.246946016493993</v>
      </c>
      <c r="AM1501">
        <v>83.701185128831398</v>
      </c>
      <c r="AN1501">
        <v>0.99999998779658095</v>
      </c>
    </row>
    <row r="1502" spans="1:40" x14ac:dyDescent="0.25">
      <c r="A1502" t="str">
        <f>"20190312160326064"</f>
        <v>20190312160326064</v>
      </c>
      <c r="B1502" t="str">
        <f>"1552377806056499"</f>
        <v>1552377806056499</v>
      </c>
      <c r="C1502" t="s">
        <v>40</v>
      </c>
      <c r="D1502">
        <v>5.866746</v>
      </c>
      <c r="E1502">
        <v>0.58373549999999996</v>
      </c>
      <c r="F1502" t="s">
        <v>69</v>
      </c>
      <c r="G1502">
        <v>-232.98679999999999</v>
      </c>
      <c r="H1502">
        <v>0.87209530000000002</v>
      </c>
      <c r="I1502">
        <v>255.898</v>
      </c>
      <c r="J1502">
        <v>-193.1635</v>
      </c>
      <c r="K1502">
        <v>1.104749</v>
      </c>
      <c r="L1502">
        <v>299.60950000000003</v>
      </c>
      <c r="M1502">
        <v>-0.40735749999999998</v>
      </c>
      <c r="N1502">
        <v>0</v>
      </c>
      <c r="O1502">
        <v>-0.91315369999999996</v>
      </c>
      <c r="P1502">
        <v>-0.50490610000000002</v>
      </c>
      <c r="Q1502">
        <v>1.68524E-2</v>
      </c>
      <c r="R1502">
        <v>-0.8630101</v>
      </c>
      <c r="S1502">
        <v>-2.0639500000000002</v>
      </c>
      <c r="T1502">
        <v>-1.201963E-2</v>
      </c>
      <c r="U1502">
        <v>-2.273682</v>
      </c>
      <c r="V1502">
        <v>0.1099151</v>
      </c>
      <c r="W1502">
        <v>2.9828239999999999E-2</v>
      </c>
      <c r="X1502">
        <v>0.99349330000000002</v>
      </c>
      <c r="Y1502">
        <v>0.31216670000000002</v>
      </c>
      <c r="Z1502">
        <v>3.8299229999999998E-3</v>
      </c>
      <c r="AA1502">
        <v>0.95001959999999996</v>
      </c>
      <c r="AB1502">
        <v>35</v>
      </c>
      <c r="AC1502">
        <v>-39.823299999999897</v>
      </c>
      <c r="AD1502">
        <v>-0.23265369999999899</v>
      </c>
      <c r="AE1502">
        <v>-43.711500000000001</v>
      </c>
      <c r="AF1502">
        <v>18.560249762258799</v>
      </c>
      <c r="AG1502">
        <v>-0.23265369999999899</v>
      </c>
      <c r="AH1502">
        <v>56.142669431796499</v>
      </c>
      <c r="AI1502">
        <v>90.225431548440994</v>
      </c>
      <c r="AJ1502">
        <v>71.706589588209994</v>
      </c>
      <c r="AK1502">
        <v>59.131517229896403</v>
      </c>
      <c r="AL1502">
        <v>88.290714200036405</v>
      </c>
      <c r="AM1502">
        <v>83.686757925061997</v>
      </c>
      <c r="AN1502">
        <v>0.99999999512719795</v>
      </c>
    </row>
    <row r="1503" spans="1:40" x14ac:dyDescent="0.25">
      <c r="A1503" t="str">
        <f>"20190312160326085"</f>
        <v>20190312160326085</v>
      </c>
      <c r="B1503" t="str">
        <f>"1552377806076020"</f>
        <v>1552377806076020</v>
      </c>
      <c r="C1503" t="s">
        <v>40</v>
      </c>
      <c r="D1503">
        <v>5.8557050000000004</v>
      </c>
      <c r="E1503">
        <v>0.58434219999999903</v>
      </c>
      <c r="F1503" t="s">
        <v>69</v>
      </c>
      <c r="G1503">
        <v>-233.22630000000001</v>
      </c>
      <c r="H1503">
        <v>1.12158</v>
      </c>
      <c r="I1503">
        <v>256.46890000000002</v>
      </c>
      <c r="J1503">
        <v>-193.3048</v>
      </c>
      <c r="K1503">
        <v>1.1046149999999999</v>
      </c>
      <c r="L1503">
        <v>299.30619999999999</v>
      </c>
      <c r="M1503">
        <v>-0.41275240000000002</v>
      </c>
      <c r="N1503">
        <v>0</v>
      </c>
      <c r="O1503">
        <v>-0.91072770000000003</v>
      </c>
      <c r="P1503">
        <v>-0.5101926</v>
      </c>
      <c r="Q1503">
        <v>1.6491080000000002E-2</v>
      </c>
      <c r="R1503">
        <v>-0.85990230000000001</v>
      </c>
      <c r="S1503">
        <v>-2.0917210000000002</v>
      </c>
      <c r="T1503">
        <v>8.7893009999999905E-4</v>
      </c>
      <c r="U1503">
        <v>-2.2524109999999999</v>
      </c>
      <c r="V1503">
        <v>0.1101357</v>
      </c>
      <c r="W1503">
        <v>2.9444080000000001E-2</v>
      </c>
      <c r="X1503">
        <v>0.99348029999999998</v>
      </c>
      <c r="Y1503">
        <v>0.31732110000000002</v>
      </c>
      <c r="Z1503">
        <v>-2.7966159999999999E-4</v>
      </c>
      <c r="AA1503">
        <v>0.94831810000000005</v>
      </c>
      <c r="AB1503">
        <v>35</v>
      </c>
      <c r="AC1503">
        <v>-39.921500000000002</v>
      </c>
      <c r="AD1503">
        <v>1.6965000000000102E-2</v>
      </c>
      <c r="AE1503">
        <v>-42.8372999999999</v>
      </c>
      <c r="AF1503">
        <v>18.6783820455612</v>
      </c>
      <c r="AG1503">
        <v>1.6965000000000102E-2</v>
      </c>
      <c r="AH1503">
        <v>55.496647665220898</v>
      </c>
      <c r="AI1503">
        <v>89.983400005290804</v>
      </c>
      <c r="AJ1503">
        <v>71.398426552146901</v>
      </c>
      <c r="AK1503">
        <v>58.555615834254901</v>
      </c>
      <c r="AL1503">
        <v>88.312734570823594</v>
      </c>
      <c r="AM1503">
        <v>83.674107735733003</v>
      </c>
      <c r="AN1503">
        <v>0.99999996637481203</v>
      </c>
    </row>
    <row r="1504" spans="1:40" x14ac:dyDescent="0.25">
      <c r="A1504" t="str">
        <f>"20190312160326108"</f>
        <v>20190312160326108</v>
      </c>
      <c r="B1504" t="str">
        <f>"1552377806096517"</f>
        <v>1552377806096517</v>
      </c>
      <c r="C1504" t="s">
        <v>40</v>
      </c>
      <c r="D1504">
        <v>5.714156</v>
      </c>
      <c r="E1504">
        <v>0.58419909999999997</v>
      </c>
      <c r="F1504" t="s">
        <v>69</v>
      </c>
      <c r="G1504">
        <v>-233.3004</v>
      </c>
      <c r="H1504">
        <v>1.1639660000000001</v>
      </c>
      <c r="I1504">
        <v>256.89339999999999</v>
      </c>
      <c r="J1504">
        <v>-193.44880000000001</v>
      </c>
      <c r="K1504">
        <v>1.1044830000000001</v>
      </c>
      <c r="L1504">
        <v>299.00240000000002</v>
      </c>
      <c r="M1504">
        <v>-0.41830040000000002</v>
      </c>
      <c r="N1504">
        <v>0</v>
      </c>
      <c r="O1504">
        <v>-0.90819260000000002</v>
      </c>
      <c r="P1504">
        <v>-0.51536539999999997</v>
      </c>
      <c r="Q1504">
        <v>1.6351850000000001E-2</v>
      </c>
      <c r="R1504">
        <v>-0.85681469999999904</v>
      </c>
      <c r="S1504">
        <v>-2.1095890000000002</v>
      </c>
      <c r="T1504">
        <v>3.130674E-3</v>
      </c>
      <c r="U1504">
        <v>-2.2370909999999999</v>
      </c>
      <c r="V1504">
        <v>0.1100686</v>
      </c>
      <c r="W1504">
        <v>2.928441E-2</v>
      </c>
      <c r="X1504">
        <v>0.9934925</v>
      </c>
      <c r="Y1504">
        <v>0.31878849999999997</v>
      </c>
      <c r="Z1504">
        <v>-9.9447659999999998E-4</v>
      </c>
      <c r="AA1504">
        <v>0.94782540000000004</v>
      </c>
      <c r="AB1504">
        <v>35</v>
      </c>
      <c r="AC1504">
        <v>-39.851599999999898</v>
      </c>
      <c r="AD1504">
        <v>5.9482999999999897E-2</v>
      </c>
      <c r="AE1504">
        <v>-42.109000000000002</v>
      </c>
      <c r="AF1504">
        <v>18.580657263992201</v>
      </c>
      <c r="AG1504">
        <v>5.9482999999999897E-2</v>
      </c>
      <c r="AH1504">
        <v>54.918758204775997</v>
      </c>
      <c r="AI1504">
        <v>89.941215746606602</v>
      </c>
      <c r="AJ1504">
        <v>71.307785242059893</v>
      </c>
      <c r="AK1504">
        <v>57.976843354427999</v>
      </c>
      <c r="AL1504">
        <v>88.321887008971203</v>
      </c>
      <c r="AM1504">
        <v>83.678007565819499</v>
      </c>
      <c r="AN1504">
        <v>1.0000000104656199</v>
      </c>
    </row>
    <row r="1505" spans="1:40" x14ac:dyDescent="0.25">
      <c r="A1505" t="str">
        <f>"20190312160326129"</f>
        <v>20190312160326129</v>
      </c>
      <c r="B1505" t="str">
        <f>"1552377806125797"</f>
        <v>1552377806125797</v>
      </c>
      <c r="C1505" t="s">
        <v>40</v>
      </c>
      <c r="D1505">
        <v>5.9775159999999996</v>
      </c>
      <c r="E1505">
        <v>0.60436269999999903</v>
      </c>
      <c r="F1505" t="s">
        <v>69</v>
      </c>
      <c r="G1505">
        <v>-233.30019999999999</v>
      </c>
      <c r="H1505">
        <v>0.84182999999999997</v>
      </c>
      <c r="I1505">
        <v>257.22089999999997</v>
      </c>
      <c r="J1505">
        <v>-193.6</v>
      </c>
      <c r="K1505">
        <v>1.1043499999999999</v>
      </c>
      <c r="L1505">
        <v>298.6891</v>
      </c>
      <c r="M1505">
        <v>-0.42418699999999998</v>
      </c>
      <c r="N1505">
        <v>0</v>
      </c>
      <c r="O1505">
        <v>-0.90545779999999998</v>
      </c>
      <c r="P1505">
        <v>-0.52044869999999999</v>
      </c>
      <c r="Q1505">
        <v>1.6496440000000001E-2</v>
      </c>
      <c r="R1505">
        <v>-0.85373369999999904</v>
      </c>
      <c r="S1505">
        <v>-2.1222840000000001</v>
      </c>
      <c r="T1505">
        <v>-1.398742E-2</v>
      </c>
      <c r="U1505">
        <v>-2.2250670000000001</v>
      </c>
      <c r="V1505">
        <v>0.109537</v>
      </c>
      <c r="W1505">
        <v>2.9414530000000001E-2</v>
      </c>
      <c r="X1505">
        <v>0.99354739999999997</v>
      </c>
      <c r="Y1505">
        <v>0.31801829999999998</v>
      </c>
      <c r="Z1505">
        <v>4.4342670000000004E-3</v>
      </c>
      <c r="AA1505">
        <v>0.94807419999999998</v>
      </c>
      <c r="AB1505">
        <v>35</v>
      </c>
      <c r="AC1505">
        <v>-39.700200000000002</v>
      </c>
      <c r="AD1505">
        <v>-0.26251999999999998</v>
      </c>
      <c r="AE1505">
        <v>-41.468200000000003</v>
      </c>
      <c r="AF1505">
        <v>18.3581425919946</v>
      </c>
      <c r="AG1505">
        <v>-0.26251999999999998</v>
      </c>
      <c r="AH1505">
        <v>54.392630591601502</v>
      </c>
      <c r="AI1505">
        <v>90.2620089300883</v>
      </c>
      <c r="AJ1505">
        <v>71.349865703761196</v>
      </c>
      <c r="AK1505">
        <v>57.407739712105297</v>
      </c>
      <c r="AL1505">
        <v>88.314428455722506</v>
      </c>
      <c r="AM1505">
        <v>83.708640406986802</v>
      </c>
      <c r="AN1505">
        <v>1.0000000024954401</v>
      </c>
    </row>
    <row r="1506" spans="1:40" x14ac:dyDescent="0.25">
      <c r="A1506" t="str">
        <f>"20190312160326153"</f>
        <v>20190312160326153</v>
      </c>
      <c r="B1506" t="str">
        <f>"1552377806146292"</f>
        <v>1552377806146292</v>
      </c>
      <c r="C1506" t="s">
        <v>40</v>
      </c>
      <c r="D1506">
        <v>5.8857759999999999</v>
      </c>
      <c r="E1506">
        <v>0.60449319999999995</v>
      </c>
      <c r="F1506" t="s">
        <v>59</v>
      </c>
      <c r="G1506">
        <v>-201.58770000000001</v>
      </c>
      <c r="H1506">
        <v>8.0000160000000001E-2</v>
      </c>
      <c r="I1506">
        <v>291.20569999999998</v>
      </c>
      <c r="J1506">
        <v>-193.75729999999999</v>
      </c>
      <c r="K1506">
        <v>1.1042190000000001</v>
      </c>
      <c r="L1506">
        <v>298.36880000000002</v>
      </c>
      <c r="M1506">
        <v>-0.43034650000000002</v>
      </c>
      <c r="N1506">
        <v>0</v>
      </c>
      <c r="O1506">
        <v>-0.90254639999999997</v>
      </c>
      <c r="P1506">
        <v>-0.5263388</v>
      </c>
      <c r="Q1506">
        <v>1.5885610000000001E-2</v>
      </c>
      <c r="R1506">
        <v>-0.85012690000000002</v>
      </c>
      <c r="S1506">
        <v>-2.2759399999999999</v>
      </c>
      <c r="T1506">
        <v>-0.29186709999999999</v>
      </c>
      <c r="U1506">
        <v>-2.1322329999999998</v>
      </c>
      <c r="V1506">
        <v>0.1096324</v>
      </c>
      <c r="W1506">
        <v>2.8781560000000001E-2</v>
      </c>
      <c r="X1506">
        <v>0.99355539999999998</v>
      </c>
      <c r="Y1506">
        <v>0.36113050000000002</v>
      </c>
      <c r="Z1506">
        <v>9.1658550000000005E-2</v>
      </c>
      <c r="AA1506">
        <v>0.92799969999999998</v>
      </c>
      <c r="AB1506">
        <v>35</v>
      </c>
      <c r="AC1506">
        <v>-7.8304000000000196</v>
      </c>
      <c r="AD1506">
        <v>-1.0242188400000001</v>
      </c>
      <c r="AE1506">
        <v>-7.16310000000004</v>
      </c>
      <c r="AF1506">
        <v>3.9483306089444699</v>
      </c>
      <c r="AG1506">
        <v>-1.0242188400000001</v>
      </c>
      <c r="AH1506">
        <v>9.7450887954889591</v>
      </c>
      <c r="AI1506">
        <v>95.563602496862202</v>
      </c>
      <c r="AJ1506">
        <v>67.944124746862101</v>
      </c>
      <c r="AK1506">
        <v>10.5643312358948</v>
      </c>
      <c r="AL1506">
        <v>88.350710303510198</v>
      </c>
      <c r="AM1506">
        <v>83.703255307559701</v>
      </c>
      <c r="AN1506">
        <v>0.99999998709747595</v>
      </c>
    </row>
    <row r="1507" spans="1:40" x14ac:dyDescent="0.25">
      <c r="A1507" t="str">
        <f>"20190312160326174"</f>
        <v>20190312160326174</v>
      </c>
      <c r="B1507" t="str">
        <f>"1552377806165812"</f>
        <v>1552377806165812</v>
      </c>
      <c r="C1507" t="s">
        <v>40</v>
      </c>
      <c r="D1507">
        <v>6.0687930000000003</v>
      </c>
      <c r="E1507">
        <v>0.58746109999999996</v>
      </c>
      <c r="F1507" t="s">
        <v>59</v>
      </c>
      <c r="G1507">
        <v>-201.88900000000001</v>
      </c>
      <c r="H1507">
        <v>8.0000269999999998E-2</v>
      </c>
      <c r="I1507">
        <v>290.86079999999998</v>
      </c>
      <c r="J1507">
        <v>-193.91059999999999</v>
      </c>
      <c r="K1507">
        <v>1.1040909999999999</v>
      </c>
      <c r="L1507">
        <v>298.06209999999999</v>
      </c>
      <c r="M1507">
        <v>-0.43637860000000001</v>
      </c>
      <c r="N1507">
        <v>0</v>
      </c>
      <c r="O1507">
        <v>-0.89964519999999903</v>
      </c>
      <c r="P1507">
        <v>-0.53225359999999999</v>
      </c>
      <c r="Q1507">
        <v>1.5711349999999999E-2</v>
      </c>
      <c r="R1507">
        <v>-0.84643919999999995</v>
      </c>
      <c r="S1507">
        <v>-2.2913359999999998</v>
      </c>
      <c r="T1507">
        <v>-0.28860429999999998</v>
      </c>
      <c r="U1507">
        <v>-2.1156009999999998</v>
      </c>
      <c r="V1507">
        <v>0.10991380000000001</v>
      </c>
      <c r="W1507">
        <v>2.8584229999999999E-2</v>
      </c>
      <c r="X1507">
        <v>0.99353000000000002</v>
      </c>
      <c r="Y1507">
        <v>0.3617167</v>
      </c>
      <c r="Z1507">
        <v>9.0493770000000001E-2</v>
      </c>
      <c r="AA1507">
        <v>0.92788570000000004</v>
      </c>
      <c r="AB1507">
        <v>35</v>
      </c>
      <c r="AC1507">
        <v>-7.9784000000000201</v>
      </c>
      <c r="AD1507">
        <v>-1.0240907299999999</v>
      </c>
      <c r="AE1507">
        <v>-7.2012999999999998</v>
      </c>
      <c r="AF1507">
        <v>3.99935370645496</v>
      </c>
      <c r="AG1507">
        <v>-1.0240907299999999</v>
      </c>
      <c r="AH1507">
        <v>9.8716492098625004</v>
      </c>
      <c r="AI1507">
        <v>95.492078922593805</v>
      </c>
      <c r="AJ1507">
        <v>67.945392387394605</v>
      </c>
      <c r="AK1507">
        <v>10.700142523124899</v>
      </c>
      <c r="AL1507">
        <v>88.362021124009303</v>
      </c>
      <c r="AM1507">
        <v>83.687063310085193</v>
      </c>
      <c r="AN1507">
        <v>0.99999998126756595</v>
      </c>
    </row>
    <row r="1508" spans="1:40" x14ac:dyDescent="0.25">
      <c r="A1508" t="str">
        <f>"20190312160326197"</f>
        <v>20190312160326197</v>
      </c>
      <c r="B1508" t="str">
        <f>"1552377806186308"</f>
        <v>1552377806186308</v>
      </c>
      <c r="C1508" t="s">
        <v>40</v>
      </c>
      <c r="D1508">
        <v>5.9012349999999998</v>
      </c>
      <c r="E1508">
        <v>0.58781260000000002</v>
      </c>
      <c r="F1508" t="s">
        <v>69</v>
      </c>
      <c r="G1508">
        <v>-232.98670000000001</v>
      </c>
      <c r="H1508">
        <v>0.48142580000000001</v>
      </c>
      <c r="I1508">
        <v>259.3288</v>
      </c>
      <c r="J1508">
        <v>-194.06479999999999</v>
      </c>
      <c r="K1508">
        <v>1.1039680000000001</v>
      </c>
      <c r="L1508">
        <v>297.75889999999998</v>
      </c>
      <c r="M1508">
        <v>-0.44247649999999999</v>
      </c>
      <c r="N1508">
        <v>0</v>
      </c>
      <c r="O1508">
        <v>-0.89666170000000001</v>
      </c>
      <c r="P1508">
        <v>-0.5381146</v>
      </c>
      <c r="Q1508">
        <v>1.566358E-2</v>
      </c>
      <c r="R1508">
        <v>-0.84272659999999999</v>
      </c>
      <c r="S1508">
        <v>-2.1881409999999999</v>
      </c>
      <c r="T1508">
        <v>-3.4867170000000003E-2</v>
      </c>
      <c r="U1508">
        <v>-2.1689449999999999</v>
      </c>
      <c r="V1508">
        <v>0.1100704</v>
      </c>
      <c r="W1508">
        <v>2.851511E-2</v>
      </c>
      <c r="X1508">
        <v>0.99351469999999997</v>
      </c>
      <c r="Y1508">
        <v>0.32531369999999998</v>
      </c>
      <c r="Z1508">
        <v>1.098536E-2</v>
      </c>
      <c r="AA1508">
        <v>0.94554229999999995</v>
      </c>
      <c r="AB1508">
        <v>35</v>
      </c>
      <c r="AC1508">
        <v>-38.921900000000001</v>
      </c>
      <c r="AD1508">
        <v>-0.62254219999999905</v>
      </c>
      <c r="AE1508">
        <v>-38.430099999999896</v>
      </c>
      <c r="AF1508">
        <v>17.894943028673801</v>
      </c>
      <c r="AG1508">
        <v>-0.62254219999999905</v>
      </c>
      <c r="AH1508">
        <v>51.679618154811202</v>
      </c>
      <c r="AI1508">
        <v>90.652174178673704</v>
      </c>
      <c r="AJ1508">
        <v>70.900721956963693</v>
      </c>
      <c r="AK1508">
        <v>54.693687729182798</v>
      </c>
      <c r="AL1508">
        <v>88.365983105902302</v>
      </c>
      <c r="AM1508">
        <v>83.678045139486301</v>
      </c>
      <c r="AN1508">
        <v>1.00000003178528</v>
      </c>
    </row>
    <row r="1509" spans="1:40" x14ac:dyDescent="0.25">
      <c r="A1509" t="str">
        <f>"20190312160326219"</f>
        <v>20190312160326219</v>
      </c>
      <c r="B1509" t="str">
        <f>"1552377806215587"</f>
        <v>1552377806215587</v>
      </c>
      <c r="C1509" t="s">
        <v>40</v>
      </c>
      <c r="D1509">
        <v>5.9589379999999998</v>
      </c>
      <c r="E1509">
        <v>0.58760119999999905</v>
      </c>
      <c r="F1509" t="s">
        <v>69</v>
      </c>
      <c r="G1509">
        <v>-232.98670000000001</v>
      </c>
      <c r="H1509">
        <v>0.65403750000000005</v>
      </c>
      <c r="I1509">
        <v>259.77760000000001</v>
      </c>
      <c r="J1509">
        <v>-194.2261</v>
      </c>
      <c r="K1509">
        <v>1.1038460000000001</v>
      </c>
      <c r="L1509">
        <v>297.44729999999998</v>
      </c>
      <c r="M1509">
        <v>-0.44888689999999998</v>
      </c>
      <c r="N1509">
        <v>0</v>
      </c>
      <c r="O1509">
        <v>-0.89346959999999997</v>
      </c>
      <c r="P1509">
        <v>-0.54420930000000001</v>
      </c>
      <c r="Q1509">
        <v>1.5795699999999999E-2</v>
      </c>
      <c r="R1509">
        <v>-0.83880119999999903</v>
      </c>
      <c r="S1509">
        <v>-2.2053989999999999</v>
      </c>
      <c r="T1509">
        <v>-2.549386E-2</v>
      </c>
      <c r="U1509">
        <v>-2.1520999999999999</v>
      </c>
      <c r="V1509">
        <v>0.110169</v>
      </c>
      <c r="W1509">
        <v>2.8625689999999999E-2</v>
      </c>
      <c r="X1509">
        <v>0.99350050000000001</v>
      </c>
      <c r="Y1509">
        <v>0.32596249999999999</v>
      </c>
      <c r="Z1509">
        <v>8.0148690000000009E-3</v>
      </c>
      <c r="AA1509">
        <v>0.94534870000000004</v>
      </c>
      <c r="AB1509">
        <v>34</v>
      </c>
      <c r="AC1509">
        <v>-38.760599999999997</v>
      </c>
      <c r="AD1509">
        <v>-0.449808499999999</v>
      </c>
      <c r="AE1509">
        <v>-37.669699999999899</v>
      </c>
      <c r="AF1509">
        <v>17.722639865977801</v>
      </c>
      <c r="AG1509">
        <v>-0.449808499999999</v>
      </c>
      <c r="AH1509">
        <v>51.057749982658301</v>
      </c>
      <c r="AI1509">
        <v>90.476843141683204</v>
      </c>
      <c r="AJ1509">
        <v>70.857616556189996</v>
      </c>
      <c r="AK1509">
        <v>54.048016844260502</v>
      </c>
      <c r="AL1509">
        <v>88.359644602571095</v>
      </c>
      <c r="AM1509">
        <v>83.672338201589596</v>
      </c>
      <c r="AN1509">
        <v>0.99999994109461099</v>
      </c>
    </row>
    <row r="1510" spans="1:40" x14ac:dyDescent="0.25">
      <c r="A1510" t="str">
        <f>"20190312160326242"</f>
        <v>20190312160326242</v>
      </c>
      <c r="B1510" t="str">
        <f>"1552377806236084"</f>
        <v>1552377806236084</v>
      </c>
      <c r="C1510" t="s">
        <v>40</v>
      </c>
      <c r="D1510">
        <v>5.95695</v>
      </c>
      <c r="E1510">
        <v>0.58744189999999996</v>
      </c>
      <c r="F1510" t="s">
        <v>69</v>
      </c>
      <c r="G1510">
        <v>-232.98679999999999</v>
      </c>
      <c r="H1510">
        <v>0.72988940000000002</v>
      </c>
      <c r="I1510">
        <v>260.12959999999998</v>
      </c>
      <c r="J1510">
        <v>-194.39330000000001</v>
      </c>
      <c r="K1510">
        <v>1.10371</v>
      </c>
      <c r="L1510">
        <v>297.1302</v>
      </c>
      <c r="M1510">
        <v>-0.45555709999999999</v>
      </c>
      <c r="N1510">
        <v>0</v>
      </c>
      <c r="O1510">
        <v>-0.89008670000000001</v>
      </c>
      <c r="P1510">
        <v>-0.55062409999999995</v>
      </c>
      <c r="Q1510">
        <v>1.6223089999999999E-2</v>
      </c>
      <c r="R1510">
        <v>-0.83459599999999901</v>
      </c>
      <c r="S1510">
        <v>-2.2195589999999998</v>
      </c>
      <c r="T1510">
        <v>-2.14138E-2</v>
      </c>
      <c r="U1510">
        <v>-2.1369319999999998</v>
      </c>
      <c r="V1510">
        <v>0.1103749</v>
      </c>
      <c r="W1510">
        <v>2.9028450000000001E-2</v>
      </c>
      <c r="X1510">
        <v>0.99346599999999996</v>
      </c>
      <c r="Y1510">
        <v>0.32526379999999999</v>
      </c>
      <c r="Z1510">
        <v>6.7161240000000004E-3</v>
      </c>
      <c r="AA1510">
        <v>0.94559950000000004</v>
      </c>
      <c r="AB1510">
        <v>34</v>
      </c>
      <c r="AC1510">
        <v>-38.593499999999899</v>
      </c>
      <c r="AD1510">
        <v>-0.3738206</v>
      </c>
      <c r="AE1510">
        <v>-37.000599999999999</v>
      </c>
      <c r="AF1510">
        <v>17.4966867172256</v>
      </c>
      <c r="AG1510">
        <v>-0.3738206</v>
      </c>
      <c r="AH1510">
        <v>50.518205959241698</v>
      </c>
      <c r="AI1510">
        <v>90.400618238083993</v>
      </c>
      <c r="AJ1510">
        <v>70.896770030290398</v>
      </c>
      <c r="AK1510">
        <v>53.463659819190198</v>
      </c>
      <c r="AL1510">
        <v>88.336558625563896</v>
      </c>
      <c r="AM1510">
        <v>83.6603899744741</v>
      </c>
      <c r="AN1510">
        <v>0.99999998130770595</v>
      </c>
    </row>
    <row r="1511" spans="1:40" x14ac:dyDescent="0.25">
      <c r="A1511" t="str">
        <f>"20190312160326265"</f>
        <v>20190312160326265</v>
      </c>
      <c r="B1511" t="str">
        <f>"1552377806255605"</f>
        <v>1552377806255605</v>
      </c>
      <c r="C1511" t="s">
        <v>40</v>
      </c>
      <c r="D1511">
        <v>5.9450200000000004</v>
      </c>
      <c r="E1511">
        <v>0.58750360000000001</v>
      </c>
      <c r="F1511" t="s">
        <v>69</v>
      </c>
      <c r="G1511">
        <v>-232.98679999999999</v>
      </c>
      <c r="H1511">
        <v>0.72016530000000001</v>
      </c>
      <c r="I1511">
        <v>260.512</v>
      </c>
      <c r="J1511">
        <v>-194.559</v>
      </c>
      <c r="K1511">
        <v>1.1035740000000001</v>
      </c>
      <c r="L1511">
        <v>296.82190000000003</v>
      </c>
      <c r="M1511">
        <v>-0.4621883</v>
      </c>
      <c r="N1511">
        <v>0</v>
      </c>
      <c r="O1511">
        <v>-0.88666119999999904</v>
      </c>
      <c r="P1511">
        <v>-0.55683800000000006</v>
      </c>
      <c r="Q1511">
        <v>1.5852910000000001E-2</v>
      </c>
      <c r="R1511">
        <v>-0.83047019999999905</v>
      </c>
      <c r="S1511">
        <v>-2.2348940000000002</v>
      </c>
      <c r="T1511">
        <v>-2.2210359999999998E-2</v>
      </c>
      <c r="U1511">
        <v>-2.120514</v>
      </c>
      <c r="V1511">
        <v>0.110375</v>
      </c>
      <c r="W1511">
        <v>2.8638090000000001E-2</v>
      </c>
      <c r="X1511">
        <v>0.99347730000000001</v>
      </c>
      <c r="Y1511">
        <v>0.32509880000000002</v>
      </c>
      <c r="Z1511">
        <v>6.9495249999999998E-3</v>
      </c>
      <c r="AA1511">
        <v>0.94565449999999995</v>
      </c>
      <c r="AB1511">
        <v>34</v>
      </c>
      <c r="AC1511">
        <v>-38.427799999999898</v>
      </c>
      <c r="AD1511">
        <v>-0.38340869999999999</v>
      </c>
      <c r="AE1511">
        <v>-36.309899999999999</v>
      </c>
      <c r="AF1511">
        <v>17.291368343372898</v>
      </c>
      <c r="AG1511">
        <v>-0.38340869999999999</v>
      </c>
      <c r="AH1511">
        <v>49.958175010637099</v>
      </c>
      <c r="AI1511">
        <v>90.415528470321703</v>
      </c>
      <c r="AJ1511">
        <v>70.908398701839403</v>
      </c>
      <c r="AK1511">
        <v>52.8673592286477</v>
      </c>
      <c r="AL1511">
        <v>88.358933879787102</v>
      </c>
      <c r="AM1511">
        <v>83.660455798442698</v>
      </c>
      <c r="AN1511">
        <v>0.99999996321956797</v>
      </c>
    </row>
    <row r="1512" spans="1:40" x14ac:dyDescent="0.25">
      <c r="A1512" t="str">
        <f>"20190312160326287"</f>
        <v>20190312160326287</v>
      </c>
      <c r="B1512" t="str">
        <f>"1552377806276100"</f>
        <v>1552377806276100</v>
      </c>
      <c r="C1512" t="s">
        <v>40</v>
      </c>
      <c r="D1512">
        <v>5.815588</v>
      </c>
      <c r="E1512">
        <v>0.58735749999999998</v>
      </c>
      <c r="F1512" t="s">
        <v>69</v>
      </c>
      <c r="G1512">
        <v>-233.13200000000001</v>
      </c>
      <c r="H1512">
        <v>0.66390229999999995</v>
      </c>
      <c r="I1512">
        <v>260.77730000000003</v>
      </c>
      <c r="J1512">
        <v>-194.72319999999999</v>
      </c>
      <c r="K1512">
        <v>1.1034299999999999</v>
      </c>
      <c r="L1512">
        <v>296.52190000000002</v>
      </c>
      <c r="M1512">
        <v>-0.46877629999999998</v>
      </c>
      <c r="N1512">
        <v>0</v>
      </c>
      <c r="O1512">
        <v>-0.88319570000000003</v>
      </c>
      <c r="P1512">
        <v>-0.56295079999999997</v>
      </c>
      <c r="Q1512">
        <v>1.5657000000000001E-2</v>
      </c>
      <c r="R1512">
        <v>-0.82634249999999998</v>
      </c>
      <c r="S1512">
        <v>-2.2510680000000001</v>
      </c>
      <c r="T1512">
        <v>-2.5658489999999999E-2</v>
      </c>
      <c r="U1512">
        <v>-2.1035159999999999</v>
      </c>
      <c r="V1512">
        <v>0.110314</v>
      </c>
      <c r="W1512">
        <v>2.842312E-2</v>
      </c>
      <c r="X1512">
        <v>0.99349030000000005</v>
      </c>
      <c r="Y1512">
        <v>0.32525389999999998</v>
      </c>
      <c r="Z1512">
        <v>8.0086859999999992E-3</v>
      </c>
      <c r="AA1512">
        <v>0.94559280000000001</v>
      </c>
      <c r="AB1512">
        <v>34</v>
      </c>
      <c r="AC1512">
        <v>-38.408799999999999</v>
      </c>
      <c r="AD1512">
        <v>-0.43952769999999902</v>
      </c>
      <c r="AE1512">
        <v>-35.744599999999899</v>
      </c>
      <c r="AF1512">
        <v>17.166899241895202</v>
      </c>
      <c r="AG1512">
        <v>-0.43952769999999902</v>
      </c>
      <c r="AH1512">
        <v>49.576441869971298</v>
      </c>
      <c r="AI1512">
        <v>90.479990903026604</v>
      </c>
      <c r="AJ1512">
        <v>70.900498410451405</v>
      </c>
      <c r="AK1512">
        <v>52.466362582773897</v>
      </c>
      <c r="AL1512">
        <v>88.371255853159298</v>
      </c>
      <c r="AM1512">
        <v>83.664013151953597</v>
      </c>
      <c r="AN1512">
        <v>1.00000001427031</v>
      </c>
    </row>
    <row r="1513" spans="1:40" x14ac:dyDescent="0.25">
      <c r="A1513" t="str">
        <f>"20190312160326312"</f>
        <v>20190312160326312</v>
      </c>
      <c r="B1513" t="str">
        <f>"1552377806306356"</f>
        <v>1552377806306356</v>
      </c>
      <c r="C1513" t="s">
        <v>40</v>
      </c>
      <c r="D1513">
        <v>4.9124160000000003</v>
      </c>
      <c r="E1513">
        <v>0.58778369999999902</v>
      </c>
      <c r="F1513" t="s">
        <v>69</v>
      </c>
      <c r="G1513">
        <v>-233.30019999999999</v>
      </c>
      <c r="H1513">
        <v>0.61012739999999999</v>
      </c>
      <c r="I1513">
        <v>260.97820000000002</v>
      </c>
      <c r="J1513">
        <v>-194.90270000000001</v>
      </c>
      <c r="K1513">
        <v>1.1032919999999999</v>
      </c>
      <c r="L1513">
        <v>296.20069999999998</v>
      </c>
      <c r="M1513">
        <v>-0.47599740000000001</v>
      </c>
      <c r="N1513">
        <v>0</v>
      </c>
      <c r="O1513">
        <v>-0.87932440000000001</v>
      </c>
      <c r="P1513">
        <v>-0.57019940000000002</v>
      </c>
      <c r="Q1513">
        <v>1.5409279999999999E-2</v>
      </c>
      <c r="R1513">
        <v>-0.82136180000000003</v>
      </c>
      <c r="S1513">
        <v>-2.2656399999999999</v>
      </c>
      <c r="T1513">
        <v>-2.8971670000000001E-2</v>
      </c>
      <c r="U1513">
        <v>-2.087494</v>
      </c>
      <c r="V1513">
        <v>0.11091819999999999</v>
      </c>
      <c r="W1513">
        <v>2.8144760000000001E-2</v>
      </c>
      <c r="X1513">
        <v>0.99343090000000001</v>
      </c>
      <c r="Y1513">
        <v>0.32414500000000002</v>
      </c>
      <c r="Z1513">
        <v>9.0156290000000007E-3</v>
      </c>
      <c r="AA1513">
        <v>0.94596449999999999</v>
      </c>
      <c r="AB1513">
        <v>34</v>
      </c>
      <c r="AC1513">
        <v>-38.397499999999901</v>
      </c>
      <c r="AD1513">
        <v>-0.49316460000000001</v>
      </c>
      <c r="AE1513">
        <v>-35.222499999999897</v>
      </c>
      <c r="AF1513">
        <v>16.998345720932701</v>
      </c>
      <c r="AG1513">
        <v>-0.49316460000000001</v>
      </c>
      <c r="AH1513">
        <v>49.249998964057603</v>
      </c>
      <c r="AI1513">
        <v>90.542320650550295</v>
      </c>
      <c r="AJ1513">
        <v>70.958188714108402</v>
      </c>
      <c r="AK1513">
        <v>52.103256774703802</v>
      </c>
      <c r="AL1513">
        <v>88.387211008036601</v>
      </c>
      <c r="AM1513">
        <v>83.629217116450704</v>
      </c>
      <c r="AN1513">
        <v>0.99999996384075296</v>
      </c>
    </row>
    <row r="1514" spans="1:40" x14ac:dyDescent="0.25">
      <c r="A1514" t="str">
        <f>"20190312160326331"</f>
        <v>20190312160326331</v>
      </c>
      <c r="B1514" t="str">
        <f>"1552377806325876"</f>
        <v>1552377806325876</v>
      </c>
      <c r="C1514" t="s">
        <v>40</v>
      </c>
      <c r="D1514">
        <v>5.8596729999999999</v>
      </c>
      <c r="E1514">
        <v>0.58762159999999997</v>
      </c>
      <c r="F1514" t="s">
        <v>69</v>
      </c>
      <c r="G1514">
        <v>-233.30009999999999</v>
      </c>
      <c r="H1514">
        <v>0.33929730000000002</v>
      </c>
      <c r="I1514">
        <v>261.51429999999999</v>
      </c>
      <c r="J1514">
        <v>-195.0626</v>
      </c>
      <c r="K1514">
        <v>1.1031690000000001</v>
      </c>
      <c r="L1514">
        <v>295.91980000000001</v>
      </c>
      <c r="M1514">
        <v>-0.48243029999999998</v>
      </c>
      <c r="N1514">
        <v>0</v>
      </c>
      <c r="O1514">
        <v>-0.87581139999999902</v>
      </c>
      <c r="P1514">
        <v>-0.57654050000000001</v>
      </c>
      <c r="Q1514">
        <v>1.518367E-2</v>
      </c>
      <c r="R1514">
        <v>-0.81692769999999904</v>
      </c>
      <c r="S1514">
        <v>-2.2868040000000001</v>
      </c>
      <c r="T1514">
        <v>-4.5500520000000003E-2</v>
      </c>
      <c r="U1514">
        <v>-2.0657960000000002</v>
      </c>
      <c r="V1514">
        <v>0.1113286</v>
      </c>
      <c r="W1514">
        <v>2.7895469999999999E-2</v>
      </c>
      <c r="X1514">
        <v>0.9933921</v>
      </c>
      <c r="Y1514">
        <v>0.32646059999999999</v>
      </c>
      <c r="Z1514">
        <v>1.4126720000000001E-2</v>
      </c>
      <c r="AA1514">
        <v>0.94510530000000004</v>
      </c>
      <c r="AB1514">
        <v>34</v>
      </c>
      <c r="AC1514">
        <v>-38.237499999999898</v>
      </c>
      <c r="AD1514">
        <v>-0.76387170000000004</v>
      </c>
      <c r="AE1514">
        <v>-34.405500000000004</v>
      </c>
      <c r="AF1514">
        <v>16.888677572029501</v>
      </c>
      <c r="AG1514">
        <v>-0.76387170000000004</v>
      </c>
      <c r="AH1514">
        <v>48.574178246800798</v>
      </c>
      <c r="AI1514">
        <v>90.850990470360898</v>
      </c>
      <c r="AJ1514">
        <v>70.828030525322404</v>
      </c>
      <c r="AK1514">
        <v>51.432107894368997</v>
      </c>
      <c r="AL1514">
        <v>88.401500004643097</v>
      </c>
      <c r="AM1514">
        <v>83.605592266510499</v>
      </c>
      <c r="AN1514">
        <v>1.0000000393834401</v>
      </c>
    </row>
    <row r="1515" spans="1:40" x14ac:dyDescent="0.25">
      <c r="A1515" t="str">
        <f>"20190312160326355"</f>
        <v>20190312160326355</v>
      </c>
      <c r="B1515" t="str">
        <f>"1552377806346372"</f>
        <v>1552377806346372</v>
      </c>
      <c r="C1515" t="s">
        <v>40</v>
      </c>
      <c r="D1515">
        <v>5.9561000000000002</v>
      </c>
      <c r="E1515">
        <v>0.5874819</v>
      </c>
      <c r="F1515" t="s">
        <v>69</v>
      </c>
      <c r="G1515">
        <v>-233.30009999999999</v>
      </c>
      <c r="H1515">
        <v>0.3316345</v>
      </c>
      <c r="I1515">
        <v>261.88470000000001</v>
      </c>
      <c r="J1515">
        <v>-195.24019999999999</v>
      </c>
      <c r="K1515">
        <v>1.1030549999999999</v>
      </c>
      <c r="L1515">
        <v>295.61360000000002</v>
      </c>
      <c r="M1515">
        <v>-0.48955549999999998</v>
      </c>
      <c r="N1515">
        <v>0</v>
      </c>
      <c r="O1515">
        <v>-0.87184830000000002</v>
      </c>
      <c r="P1515">
        <v>-0.58373369999999902</v>
      </c>
      <c r="Q1515">
        <v>1.434554E-2</v>
      </c>
      <c r="R1515">
        <v>-0.81181859999999995</v>
      </c>
      <c r="S1515">
        <v>-2.3017270000000001</v>
      </c>
      <c r="T1515">
        <v>-4.6442869999999997E-2</v>
      </c>
      <c r="U1515">
        <v>-2.0487669999999998</v>
      </c>
      <c r="V1515">
        <v>0.11198909999999999</v>
      </c>
      <c r="W1515">
        <v>2.7029859999999999E-2</v>
      </c>
      <c r="X1515">
        <v>0.99334169999999999</v>
      </c>
      <c r="Y1515">
        <v>0.32569399999999998</v>
      </c>
      <c r="Z1515">
        <v>1.437567E-2</v>
      </c>
      <c r="AA1515">
        <v>0.94536600000000004</v>
      </c>
      <c r="AB1515">
        <v>34</v>
      </c>
      <c r="AC1515">
        <v>-38.059899999999999</v>
      </c>
      <c r="AD1515">
        <v>-0.77142049999999895</v>
      </c>
      <c r="AE1515">
        <v>-33.728900000000003</v>
      </c>
      <c r="AF1515">
        <v>16.668255505010901</v>
      </c>
      <c r="AG1515">
        <v>-0.77142049999999895</v>
      </c>
      <c r="AH1515">
        <v>48.033052923301099</v>
      </c>
      <c r="AI1515">
        <v>90.869260206875197</v>
      </c>
      <c r="AJ1515">
        <v>70.862388861717307</v>
      </c>
      <c r="AK1515">
        <v>50.848795504916303</v>
      </c>
      <c r="AL1515">
        <v>88.451114382304098</v>
      </c>
      <c r="AM1515">
        <v>83.567648360772793</v>
      </c>
      <c r="AN1515">
        <v>0.999999952404658</v>
      </c>
    </row>
    <row r="1516" spans="1:40" x14ac:dyDescent="0.25">
      <c r="A1516" t="str">
        <f>"20190312160326378"</f>
        <v>20190312160326378</v>
      </c>
      <c r="B1516" t="str">
        <f>"1552377806365892"</f>
        <v>1552377806365892</v>
      </c>
      <c r="C1516" t="s">
        <v>40</v>
      </c>
      <c r="D1516">
        <v>5.9842519999999997</v>
      </c>
      <c r="E1516">
        <v>0.5872425</v>
      </c>
      <c r="F1516" t="s">
        <v>69</v>
      </c>
      <c r="G1516">
        <v>-233.30009999999999</v>
      </c>
      <c r="H1516">
        <v>0.31563429999999998</v>
      </c>
      <c r="I1516">
        <v>262.31060000000002</v>
      </c>
      <c r="J1516">
        <v>-195.42509999999999</v>
      </c>
      <c r="K1516">
        <v>1.1029439999999999</v>
      </c>
      <c r="L1516">
        <v>295.30090000000001</v>
      </c>
      <c r="M1516">
        <v>-0.49694379999999999</v>
      </c>
      <c r="N1516">
        <v>0</v>
      </c>
      <c r="O1516">
        <v>-0.86765800000000004</v>
      </c>
      <c r="P1516">
        <v>-0.59185909999999997</v>
      </c>
      <c r="Q1516">
        <v>1.300803E-2</v>
      </c>
      <c r="R1516">
        <v>-0.8059366</v>
      </c>
      <c r="S1516">
        <v>-2.3187709999999999</v>
      </c>
      <c r="T1516">
        <v>-4.7972920000000002E-2</v>
      </c>
      <c r="U1516">
        <v>-2.0289609999999998</v>
      </c>
      <c r="V1516">
        <v>0.11350209999999999</v>
      </c>
      <c r="W1516">
        <v>2.56499E-2</v>
      </c>
      <c r="X1516">
        <v>0.99320660000000005</v>
      </c>
      <c r="Y1516">
        <v>0.3256732</v>
      </c>
      <c r="Z1516">
        <v>1.4804690000000001E-2</v>
      </c>
      <c r="AA1516">
        <v>0.9453665</v>
      </c>
      <c r="AB1516">
        <v>34</v>
      </c>
      <c r="AC1516">
        <v>-37.875</v>
      </c>
      <c r="AD1516">
        <v>-0.7873097</v>
      </c>
      <c r="AE1516">
        <v>-32.990299999999898</v>
      </c>
      <c r="AF1516">
        <v>16.4659587110643</v>
      </c>
      <c r="AG1516">
        <v>-0.7873097</v>
      </c>
      <c r="AH1516">
        <v>47.439524306473103</v>
      </c>
      <c r="AI1516">
        <v>90.898238017314995</v>
      </c>
      <c r="AJ1516">
        <v>70.858435711692294</v>
      </c>
      <c r="AK1516">
        <v>50.222068050436199</v>
      </c>
      <c r="AL1516">
        <v>88.530207783895804</v>
      </c>
      <c r="AM1516">
        <v>83.480609709160106</v>
      </c>
      <c r="AN1516">
        <v>0.99999999717899002</v>
      </c>
    </row>
    <row r="1517" spans="1:40" x14ac:dyDescent="0.25">
      <c r="A1517" t="str">
        <f>"20190312160326398"</f>
        <v>20190312160326398</v>
      </c>
      <c r="B1517" t="str">
        <f>"1552377806386388"</f>
        <v>1552377806386388</v>
      </c>
      <c r="C1517" t="s">
        <v>40</v>
      </c>
      <c r="D1517">
        <v>5.9484309999999896</v>
      </c>
      <c r="E1517">
        <v>0.58747729999999998</v>
      </c>
      <c r="F1517" t="s">
        <v>69</v>
      </c>
      <c r="G1517">
        <v>-233.3</v>
      </c>
      <c r="H1517">
        <v>0.25472590000000001</v>
      </c>
      <c r="I1517">
        <v>262.78370000000001</v>
      </c>
      <c r="J1517">
        <v>-195.5795</v>
      </c>
      <c r="K1517">
        <v>1.1028629999999999</v>
      </c>
      <c r="L1517">
        <v>295.0446</v>
      </c>
      <c r="M1517">
        <v>-0.50308620000000004</v>
      </c>
      <c r="N1517">
        <v>0</v>
      </c>
      <c r="O1517">
        <v>-0.86411090000000002</v>
      </c>
      <c r="P1517">
        <v>-0.59905339999999996</v>
      </c>
      <c r="Q1517">
        <v>1.337554E-2</v>
      </c>
      <c r="R1517">
        <v>-0.80059740000000001</v>
      </c>
      <c r="S1517">
        <v>-2.3373569999999999</v>
      </c>
      <c r="T1517">
        <v>-5.2345509999999998E-2</v>
      </c>
      <c r="U1517">
        <v>-2.0067140000000001</v>
      </c>
      <c r="V1517">
        <v>0.115366899999999</v>
      </c>
      <c r="W1517">
        <v>2.596975E-2</v>
      </c>
      <c r="X1517">
        <v>0.99298339999999996</v>
      </c>
      <c r="Y1517">
        <v>0.32784140000000001</v>
      </c>
      <c r="Z1517">
        <v>1.6123849999999999E-2</v>
      </c>
      <c r="AA1517">
        <v>0.94459519999999997</v>
      </c>
      <c r="AB1517">
        <v>34</v>
      </c>
      <c r="AC1517">
        <v>-37.720500000000001</v>
      </c>
      <c r="AD1517">
        <v>-0.84813709999999898</v>
      </c>
      <c r="AE1517">
        <v>-32.2608999999999</v>
      </c>
      <c r="AF1517">
        <v>16.3616770489304</v>
      </c>
      <c r="AG1517">
        <v>-0.84813709999999898</v>
      </c>
      <c r="AH1517">
        <v>46.845055982338998</v>
      </c>
      <c r="AI1517">
        <v>90.979237279380499</v>
      </c>
      <c r="AJ1517">
        <v>70.747109908174494</v>
      </c>
      <c r="AK1517">
        <v>49.627442835414897</v>
      </c>
      <c r="AL1517">
        <v>88.511875612669499</v>
      </c>
      <c r="AM1517">
        <v>83.372967096093205</v>
      </c>
      <c r="AN1517">
        <v>0.99999999110311599</v>
      </c>
    </row>
    <row r="1518" spans="1:40" x14ac:dyDescent="0.25">
      <c r="A1518" t="str">
        <f>"20190312160326420"</f>
        <v>20190312160326420</v>
      </c>
      <c r="B1518" t="str">
        <f>"1552377806415669"</f>
        <v>1552377806415669</v>
      </c>
      <c r="C1518" t="s">
        <v>40</v>
      </c>
      <c r="D1518">
        <v>5.9687760000000001</v>
      </c>
      <c r="E1518">
        <v>0.59484090000000001</v>
      </c>
      <c r="F1518" t="s">
        <v>69</v>
      </c>
      <c r="G1518">
        <v>-232.98660000000001</v>
      </c>
      <c r="H1518">
        <v>0.1650915</v>
      </c>
      <c r="I1518">
        <v>263.53969999999998</v>
      </c>
      <c r="J1518">
        <v>-195.75630000000001</v>
      </c>
      <c r="K1518">
        <v>1.1027709999999999</v>
      </c>
      <c r="L1518">
        <v>294.75599999999997</v>
      </c>
      <c r="M1518">
        <v>-0.51010290000000003</v>
      </c>
      <c r="N1518">
        <v>0</v>
      </c>
      <c r="O1518">
        <v>-0.85998709999999901</v>
      </c>
      <c r="P1518">
        <v>-0.60636040000000002</v>
      </c>
      <c r="Q1518">
        <v>1.560341E-2</v>
      </c>
      <c r="R1518">
        <v>-0.79503710000000005</v>
      </c>
      <c r="S1518">
        <v>-2.3566440000000002</v>
      </c>
      <c r="T1518">
        <v>-5.907929E-2</v>
      </c>
      <c r="U1518">
        <v>-1.984802</v>
      </c>
      <c r="V1518">
        <v>0.11644549999999999</v>
      </c>
      <c r="W1518">
        <v>2.8162880000000001E-2</v>
      </c>
      <c r="X1518">
        <v>0.99279770000000001</v>
      </c>
      <c r="Y1518">
        <v>0.32906950000000001</v>
      </c>
      <c r="Z1518">
        <v>1.8144670000000002E-2</v>
      </c>
      <c r="AA1518">
        <v>0.94413139999999995</v>
      </c>
      <c r="AB1518">
        <v>34</v>
      </c>
      <c r="AC1518">
        <v>-37.2303</v>
      </c>
      <c r="AD1518">
        <v>-0.9376795</v>
      </c>
      <c r="AE1518">
        <v>-31.216299999999901</v>
      </c>
      <c r="AF1518">
        <v>16.089807801718099</v>
      </c>
      <c r="AG1518">
        <v>-0.9376795</v>
      </c>
      <c r="AH1518">
        <v>45.824809928575696</v>
      </c>
      <c r="AI1518">
        <v>91.106058228311397</v>
      </c>
      <c r="AJ1518">
        <v>70.653027603615101</v>
      </c>
      <c r="AK1518">
        <v>48.576479523850303</v>
      </c>
      <c r="AL1518">
        <v>88.386172435290803</v>
      </c>
      <c r="AM1518">
        <v>83.310328027305303</v>
      </c>
      <c r="AN1518">
        <v>0.99999998770271703</v>
      </c>
    </row>
    <row r="1519" spans="1:40" x14ac:dyDescent="0.25">
      <c r="A1519" t="str">
        <f>"20190312160326443"</f>
        <v>20190312160326443</v>
      </c>
      <c r="B1519" t="str">
        <f>"1552377806436164"</f>
        <v>1552377806436164</v>
      </c>
      <c r="C1519" t="s">
        <v>40</v>
      </c>
      <c r="D1519">
        <v>5.9636680000000002</v>
      </c>
      <c r="E1519">
        <v>0.59393370000000001</v>
      </c>
      <c r="F1519" t="s">
        <v>59</v>
      </c>
      <c r="G1519">
        <v>-206.45679999999999</v>
      </c>
      <c r="H1519" s="1">
        <v>4.9387480000000003E-6</v>
      </c>
      <c r="I1519">
        <v>286.23540000000003</v>
      </c>
      <c r="J1519">
        <v>-195.95099999999999</v>
      </c>
      <c r="K1519">
        <v>1.1026590000000001</v>
      </c>
      <c r="L1519">
        <v>294.44439999999997</v>
      </c>
      <c r="M1519">
        <v>-0.5178005</v>
      </c>
      <c r="N1519">
        <v>0</v>
      </c>
      <c r="O1519">
        <v>-0.85537430000000003</v>
      </c>
      <c r="P1519">
        <v>-0.61330410000000002</v>
      </c>
      <c r="Q1519">
        <v>1.6798810000000001E-2</v>
      </c>
      <c r="R1519">
        <v>-0.78966840000000005</v>
      </c>
      <c r="S1519">
        <v>-2.4236149999999999</v>
      </c>
      <c r="T1519">
        <v>-0.2497731</v>
      </c>
      <c r="U1519">
        <v>-1.9298709999999999</v>
      </c>
      <c r="V1519">
        <v>0.1162778</v>
      </c>
      <c r="W1519">
        <v>2.9345900000000001E-2</v>
      </c>
      <c r="X1519">
        <v>0.99278310000000003</v>
      </c>
      <c r="Y1519">
        <v>0.34403919999999999</v>
      </c>
      <c r="Z1519">
        <v>7.6176640000000004E-2</v>
      </c>
      <c r="AA1519">
        <v>0.93586009999999997</v>
      </c>
      <c r="AB1519">
        <v>34</v>
      </c>
      <c r="AC1519">
        <v>-10.505799999999899</v>
      </c>
      <c r="AD1519">
        <v>-1.1026540612519999</v>
      </c>
      <c r="AE1519">
        <v>-8.2089999999999392</v>
      </c>
      <c r="AF1519">
        <v>4.7041066750246197</v>
      </c>
      <c r="AG1519">
        <v>-1.1026540612519999</v>
      </c>
      <c r="AH1519">
        <v>12.378365240965699</v>
      </c>
      <c r="AI1519">
        <v>94.759979915136796</v>
      </c>
      <c r="AJ1519">
        <v>69.191882823465306</v>
      </c>
      <c r="AK1519">
        <v>13.287903959148499</v>
      </c>
      <c r="AL1519">
        <v>88.318362352593695</v>
      </c>
      <c r="AM1519">
        <v>83.319777734079096</v>
      </c>
      <c r="AN1519">
        <v>0.99999999613263002</v>
      </c>
    </row>
    <row r="1520" spans="1:40" x14ac:dyDescent="0.25">
      <c r="A1520" t="str">
        <f>"20190312160326467"</f>
        <v>20190312160326467</v>
      </c>
      <c r="B1520" t="str">
        <f>"1552377806455684"</f>
        <v>1552377806455684</v>
      </c>
      <c r="C1520" t="s">
        <v>40</v>
      </c>
      <c r="D1520">
        <v>5.8494020000000004</v>
      </c>
      <c r="E1520">
        <v>0.59448529999999999</v>
      </c>
      <c r="F1520" t="s">
        <v>59</v>
      </c>
      <c r="G1520">
        <v>-207.48939999999999</v>
      </c>
      <c r="H1520" s="1">
        <v>5.4713420000000003E-6</v>
      </c>
      <c r="I1520">
        <v>285.38150000000002</v>
      </c>
      <c r="J1520">
        <v>-196.14150000000001</v>
      </c>
      <c r="K1520">
        <v>1.102535</v>
      </c>
      <c r="L1520">
        <v>294.14550000000003</v>
      </c>
      <c r="M1520">
        <v>-0.52531640000000002</v>
      </c>
      <c r="N1520">
        <v>0</v>
      </c>
      <c r="O1520">
        <v>-0.8507787</v>
      </c>
      <c r="P1520">
        <v>-0.61944449999999995</v>
      </c>
      <c r="Q1520">
        <v>1.5789399999999999E-2</v>
      </c>
      <c r="R1520">
        <v>-0.78488169999999902</v>
      </c>
      <c r="S1520">
        <v>-2.435181</v>
      </c>
      <c r="T1520">
        <v>-0.2327149</v>
      </c>
      <c r="U1520">
        <v>-1.91272</v>
      </c>
      <c r="V1520">
        <v>0.11525349999999999</v>
      </c>
      <c r="W1520">
        <v>2.834066E-2</v>
      </c>
      <c r="X1520">
        <v>0.99293169999999997</v>
      </c>
      <c r="Y1520">
        <v>0.34235460000000001</v>
      </c>
      <c r="Z1520">
        <v>7.0754230000000001E-2</v>
      </c>
      <c r="AA1520">
        <v>0.93690289999999998</v>
      </c>
      <c r="AB1520">
        <v>34</v>
      </c>
      <c r="AC1520">
        <v>-11.3478999999999</v>
      </c>
      <c r="AD1520">
        <v>-1.1025295286579999</v>
      </c>
      <c r="AE1520">
        <v>-8.76400000000001</v>
      </c>
      <c r="AF1520">
        <v>5.0215385843181499</v>
      </c>
      <c r="AG1520">
        <v>-1.1025295286579999</v>
      </c>
      <c r="AH1520">
        <v>13.340049907413301</v>
      </c>
      <c r="AI1520">
        <v>94.422992641295096</v>
      </c>
      <c r="AJ1520">
        <v>69.372369115751695</v>
      </c>
      <c r="AK1520">
        <v>14.2964454549947</v>
      </c>
      <c r="AL1520">
        <v>88.375982281521601</v>
      </c>
      <c r="AM1520">
        <v>83.379081627152303</v>
      </c>
      <c r="AN1520">
        <v>0.99999996156818705</v>
      </c>
    </row>
    <row r="1521" spans="1:40" x14ac:dyDescent="0.25">
      <c r="A1521" t="str">
        <f>"20190312160326487"</f>
        <v>20190312160326487</v>
      </c>
      <c r="B1521" t="str">
        <f>"1552377806476181"</f>
        <v>1552377806476181</v>
      </c>
      <c r="C1521" t="s">
        <v>40</v>
      </c>
      <c r="D1521">
        <v>5.8795190000000002</v>
      </c>
      <c r="E1521">
        <v>0.59495100000000001</v>
      </c>
      <c r="F1521" t="s">
        <v>59</v>
      </c>
      <c r="G1521">
        <v>-209.62530000000001</v>
      </c>
      <c r="H1521" s="1">
        <v>6.5607830000000001E-6</v>
      </c>
      <c r="I1521">
        <v>283.7543</v>
      </c>
      <c r="J1521">
        <v>-196.31469999999999</v>
      </c>
      <c r="K1521">
        <v>1.1024080000000001</v>
      </c>
      <c r="L1521">
        <v>293.87939999999998</v>
      </c>
      <c r="M1521">
        <v>-0.53214729999999999</v>
      </c>
      <c r="N1521">
        <v>0</v>
      </c>
      <c r="O1521">
        <v>-0.84652280000000002</v>
      </c>
      <c r="P1521">
        <v>-0.62512639999999997</v>
      </c>
      <c r="Q1521">
        <v>1.4808470000000001E-2</v>
      </c>
      <c r="R1521">
        <v>-0.78038319999999906</v>
      </c>
      <c r="S1521">
        <v>-2.4529420000000002</v>
      </c>
      <c r="T1521">
        <v>-0.20056940000000001</v>
      </c>
      <c r="U1521">
        <v>-1.89035</v>
      </c>
      <c r="V1521">
        <v>0.1144496</v>
      </c>
      <c r="W1521">
        <v>2.7359709999999999E-2</v>
      </c>
      <c r="X1521">
        <v>0.99305220000000005</v>
      </c>
      <c r="Y1521">
        <v>0.34402769999999999</v>
      </c>
      <c r="Z1521">
        <v>6.0845690000000001E-2</v>
      </c>
      <c r="AA1521">
        <v>0.93698599999999999</v>
      </c>
      <c r="AB1521">
        <v>34</v>
      </c>
      <c r="AC1521">
        <v>-13.310600000000001</v>
      </c>
      <c r="AD1521">
        <v>-1.1024014392170001</v>
      </c>
      <c r="AE1521">
        <v>-10.1250999999999</v>
      </c>
      <c r="AF1521">
        <v>5.8548836754416902</v>
      </c>
      <c r="AG1521">
        <v>-1.1024014392170001</v>
      </c>
      <c r="AH1521">
        <v>15.5883043382471</v>
      </c>
      <c r="AI1521">
        <v>93.787684794232206</v>
      </c>
      <c r="AJ1521">
        <v>69.414090330482296</v>
      </c>
      <c r="AK1521">
        <v>16.688025165607701</v>
      </c>
      <c r="AL1521">
        <v>88.432208401048101</v>
      </c>
      <c r="AM1521">
        <v>83.425648002340196</v>
      </c>
      <c r="AN1521">
        <v>0.99999996829814097</v>
      </c>
    </row>
    <row r="1522" spans="1:40" x14ac:dyDescent="0.25">
      <c r="A1522" t="str">
        <f>"20190312160326512"</f>
        <v>20190312160326512</v>
      </c>
      <c r="B1522" t="str">
        <f>"1552377806506436"</f>
        <v>1552377806506436</v>
      </c>
      <c r="C1522" t="s">
        <v>40</v>
      </c>
      <c r="D1522">
        <v>5.819788</v>
      </c>
      <c r="E1522">
        <v>0.59518439999999995</v>
      </c>
      <c r="F1522" t="s">
        <v>70</v>
      </c>
      <c r="G1522">
        <v>-210.99010000000001</v>
      </c>
      <c r="H1522" s="1">
        <v>-1.0099230000000001E-6</v>
      </c>
      <c r="I1522">
        <v>282.76639999999998</v>
      </c>
      <c r="J1522">
        <v>-196.51560000000001</v>
      </c>
      <c r="K1522">
        <v>1.1022510000000001</v>
      </c>
      <c r="L1522">
        <v>293.57690000000002</v>
      </c>
      <c r="M1522">
        <v>-0.54009229999999997</v>
      </c>
      <c r="N1522">
        <v>0</v>
      </c>
      <c r="O1522">
        <v>-0.84147559999999999</v>
      </c>
      <c r="P1522">
        <v>-0.63223450000000003</v>
      </c>
      <c r="Q1522">
        <v>1.479366E-2</v>
      </c>
      <c r="R1522">
        <v>-0.77463590000000004</v>
      </c>
      <c r="S1522">
        <v>-2.4692229999999999</v>
      </c>
      <c r="T1522">
        <v>-0.1854866</v>
      </c>
      <c r="U1522">
        <v>-1.869812</v>
      </c>
      <c r="V1522">
        <v>0.11419</v>
      </c>
      <c r="W1522">
        <v>2.7330159999999999E-2</v>
      </c>
      <c r="X1522">
        <v>0.99308289999999999</v>
      </c>
      <c r="Y1522">
        <v>0.34337319999999999</v>
      </c>
      <c r="Z1522">
        <v>5.6046579999999999E-2</v>
      </c>
      <c r="AA1522">
        <v>0.93752530000000001</v>
      </c>
      <c r="AB1522">
        <v>34</v>
      </c>
      <c r="AC1522">
        <v>-14.474500000000001</v>
      </c>
      <c r="AD1522">
        <v>-1.102252009923</v>
      </c>
      <c r="AE1522">
        <v>-10.810499999999999</v>
      </c>
      <c r="AF1522">
        <v>6.3184448901147796</v>
      </c>
      <c r="AG1522">
        <v>-1.102252009923</v>
      </c>
      <c r="AH1522">
        <v>16.8534535601136</v>
      </c>
      <c r="AI1522">
        <v>93.504408310678997</v>
      </c>
      <c r="AJ1522">
        <v>69.448724329067204</v>
      </c>
      <c r="AK1522">
        <v>18.0326537765716</v>
      </c>
      <c r="AL1522">
        <v>88.433902127422101</v>
      </c>
      <c r="AM1522">
        <v>83.440631164529904</v>
      </c>
      <c r="AN1522">
        <v>0.99999997000901697</v>
      </c>
    </row>
    <row r="1523" spans="1:40" x14ac:dyDescent="0.25">
      <c r="A1523" t="str">
        <f>"20190312160326532"</f>
        <v>20190312160326532</v>
      </c>
      <c r="B1523" t="str">
        <f>"1552377806525956"</f>
        <v>1552377806525956</v>
      </c>
      <c r="C1523" t="s">
        <v>40</v>
      </c>
      <c r="D1523">
        <v>6.0271169999999996</v>
      </c>
      <c r="E1523">
        <v>0.5950145</v>
      </c>
      <c r="F1523" t="s">
        <v>70</v>
      </c>
      <c r="G1523">
        <v>-212.04900000000001</v>
      </c>
      <c r="H1523" s="1">
        <v>-4.4641479999999998E-7</v>
      </c>
      <c r="I1523">
        <v>282.05029999999999</v>
      </c>
      <c r="J1523">
        <v>-196.69730000000001</v>
      </c>
      <c r="K1523">
        <v>1.102115</v>
      </c>
      <c r="L1523">
        <v>293.30860000000001</v>
      </c>
      <c r="M1523">
        <v>-0.54727199999999998</v>
      </c>
      <c r="N1523">
        <v>0</v>
      </c>
      <c r="O1523">
        <v>-0.83682350000000005</v>
      </c>
      <c r="P1523">
        <v>-0.63833949999999995</v>
      </c>
      <c r="Q1523">
        <v>1.5744359999999999E-2</v>
      </c>
      <c r="R1523">
        <v>-0.76959440000000001</v>
      </c>
      <c r="S1523">
        <v>-2.487549</v>
      </c>
      <c r="T1523">
        <v>-0.17651620000000001</v>
      </c>
      <c r="U1523">
        <v>-1.8458859999999999</v>
      </c>
      <c r="V1523">
        <v>0.113583</v>
      </c>
      <c r="W1523">
        <v>2.827822E-2</v>
      </c>
      <c r="X1523">
        <v>0.99312599999999995</v>
      </c>
      <c r="Y1523">
        <v>0.34460370000000001</v>
      </c>
      <c r="Z1523">
        <v>5.3166930000000001E-2</v>
      </c>
      <c r="AA1523">
        <v>0.9372414</v>
      </c>
      <c r="AB1523">
        <v>34</v>
      </c>
      <c r="AC1523">
        <v>-15.3516999999999</v>
      </c>
      <c r="AD1523">
        <v>-1.1021154464148</v>
      </c>
      <c r="AE1523">
        <v>-11.2583</v>
      </c>
      <c r="AF1523">
        <v>6.6637124346600096</v>
      </c>
      <c r="AG1523">
        <v>-1.1021154464148</v>
      </c>
      <c r="AH1523">
        <v>17.7651847677989</v>
      </c>
      <c r="AI1523">
        <v>93.324349033861395</v>
      </c>
      <c r="AJ1523">
        <v>69.438955423890803</v>
      </c>
      <c r="AK1523">
        <v>19.005828361402799</v>
      </c>
      <c r="AL1523">
        <v>88.3795613329265</v>
      </c>
      <c r="AM1523">
        <v>83.475478072452802</v>
      </c>
      <c r="AN1523">
        <v>1.00000000374568</v>
      </c>
    </row>
    <row r="1524" spans="1:40" x14ac:dyDescent="0.25">
      <c r="A1524" t="str">
        <f>"20190312160326554"</f>
        <v>20190312160326554</v>
      </c>
      <c r="B1524" t="str">
        <f>"1552377806546452"</f>
        <v>1552377806546452</v>
      </c>
      <c r="C1524" t="s">
        <v>40</v>
      </c>
      <c r="D1524">
        <v>5.9154730000000004</v>
      </c>
      <c r="E1524">
        <v>0.59531400000000001</v>
      </c>
      <c r="F1524" t="s">
        <v>70</v>
      </c>
      <c r="G1524">
        <v>-212.7775</v>
      </c>
      <c r="H1524" s="1">
        <v>-5.8736479999999998E-8</v>
      </c>
      <c r="I1524">
        <v>281.55900000000003</v>
      </c>
      <c r="J1524">
        <v>-196.88810000000001</v>
      </c>
      <c r="K1524">
        <v>1.101972</v>
      </c>
      <c r="L1524">
        <v>293.03250000000003</v>
      </c>
      <c r="M1524">
        <v>-0.55481429999999998</v>
      </c>
      <c r="N1524">
        <v>0</v>
      </c>
      <c r="O1524">
        <v>-0.83184159999999996</v>
      </c>
      <c r="P1524">
        <v>-0.64535529999999997</v>
      </c>
      <c r="Q1524">
        <v>1.6182289999999998E-2</v>
      </c>
      <c r="R1524">
        <v>-0.76371109999999998</v>
      </c>
      <c r="S1524">
        <v>-2.500839</v>
      </c>
      <c r="T1524">
        <v>-0.1714041</v>
      </c>
      <c r="U1524">
        <v>-1.827332</v>
      </c>
      <c r="V1524">
        <v>0.1137171</v>
      </c>
      <c r="W1524">
        <v>2.8696240000000001E-2</v>
      </c>
      <c r="X1524">
        <v>0.9930987</v>
      </c>
      <c r="Y1524">
        <v>0.34310649999999998</v>
      </c>
      <c r="Z1524">
        <v>5.1409799999999999E-2</v>
      </c>
      <c r="AA1524">
        <v>0.93788859999999996</v>
      </c>
      <c r="AB1524">
        <v>34</v>
      </c>
      <c r="AC1524">
        <v>-15.889399999999901</v>
      </c>
      <c r="AD1524">
        <v>-1.1019720587364801</v>
      </c>
      <c r="AE1524">
        <v>-11.4735</v>
      </c>
      <c r="AF1524">
        <v>6.8309626105339696</v>
      </c>
      <c r="AG1524">
        <v>-1.1019720587364801</v>
      </c>
      <c r="AH1524">
        <v>18.3039604548398</v>
      </c>
      <c r="AI1524">
        <v>93.228300147203399</v>
      </c>
      <c r="AJ1524">
        <v>69.534632945872104</v>
      </c>
      <c r="AK1524">
        <v>19.568121037470299</v>
      </c>
      <c r="AL1524">
        <v>88.355600887299801</v>
      </c>
      <c r="AM1524">
        <v>83.4676635184952</v>
      </c>
      <c r="AN1524">
        <v>1.0000000404821101</v>
      </c>
    </row>
    <row r="1525" spans="1:40" x14ac:dyDescent="0.25">
      <c r="A1525" t="str">
        <f>"20190312160326577"</f>
        <v>20190312160326577</v>
      </c>
      <c r="B1525" t="str">
        <f>"1552377806565975"</f>
        <v>1552377806565975</v>
      </c>
      <c r="C1525" t="s">
        <v>40</v>
      </c>
      <c r="D1525">
        <v>5.8306740000000001</v>
      </c>
      <c r="E1525">
        <v>0.6156701</v>
      </c>
      <c r="F1525" t="s">
        <v>70</v>
      </c>
      <c r="G1525">
        <v>-213.72470000000001</v>
      </c>
      <c r="H1525" s="1">
        <v>4.4528430000000001E-7</v>
      </c>
      <c r="I1525">
        <v>280.98540000000003</v>
      </c>
      <c r="J1525">
        <v>-197.08750000000001</v>
      </c>
      <c r="K1525">
        <v>1.101826</v>
      </c>
      <c r="L1525">
        <v>292.74979999999999</v>
      </c>
      <c r="M1525">
        <v>-0.56271559999999998</v>
      </c>
      <c r="N1525">
        <v>0</v>
      </c>
      <c r="O1525">
        <v>-0.82651659999999905</v>
      </c>
      <c r="P1525">
        <v>-0.65327880000000005</v>
      </c>
      <c r="Q1525">
        <v>1.593872E-2</v>
      </c>
      <c r="R1525">
        <v>-0.75694980000000001</v>
      </c>
      <c r="S1525">
        <v>-2.5194239999999999</v>
      </c>
      <c r="T1525">
        <v>-0.1648992</v>
      </c>
      <c r="U1525">
        <v>-1.8027340000000001</v>
      </c>
      <c r="V1525">
        <v>0.114606</v>
      </c>
      <c r="W1525">
        <v>2.8415019999999999E-2</v>
      </c>
      <c r="X1525">
        <v>0.99300460000000002</v>
      </c>
      <c r="Y1525">
        <v>0.34358949999999999</v>
      </c>
      <c r="Z1525">
        <v>4.9252360000000002E-2</v>
      </c>
      <c r="AA1525">
        <v>0.93782750000000004</v>
      </c>
      <c r="AB1525">
        <v>34</v>
      </c>
      <c r="AC1525">
        <v>-16.6372</v>
      </c>
      <c r="AD1525">
        <v>-1.1018255547157001</v>
      </c>
      <c r="AE1525">
        <v>-11.764399999999901</v>
      </c>
      <c r="AF1525">
        <v>7.1109083348447797</v>
      </c>
      <c r="AG1525">
        <v>-1.1018255547157001</v>
      </c>
      <c r="AH1525">
        <v>19.031948996433002</v>
      </c>
      <c r="AI1525">
        <v>93.1042084292298</v>
      </c>
      <c r="AJ1525">
        <v>69.512800230042501</v>
      </c>
      <c r="AK1525">
        <v>20.346845443518198</v>
      </c>
      <c r="AL1525">
        <v>88.371720181834306</v>
      </c>
      <c r="AM1525">
        <v>83.416429894589896</v>
      </c>
      <c r="AN1525">
        <v>1.00000004210937</v>
      </c>
    </row>
    <row r="1526" spans="1:40" x14ac:dyDescent="0.25">
      <c r="A1526" t="str">
        <f>"20190312160326599"</f>
        <v>20190312160326599</v>
      </c>
      <c r="B1526" t="str">
        <f>"1552377806596229"</f>
        <v>1552377806596229</v>
      </c>
      <c r="C1526" t="s">
        <v>40</v>
      </c>
      <c r="D1526">
        <v>5.828303</v>
      </c>
      <c r="E1526">
        <v>0.62620159999999903</v>
      </c>
      <c r="F1526" t="s">
        <v>69</v>
      </c>
      <c r="G1526">
        <v>-234.68</v>
      </c>
      <c r="H1526">
        <v>3.1920299999999999</v>
      </c>
      <c r="I1526">
        <v>269.1576</v>
      </c>
      <c r="J1526">
        <v>-197.28039999999999</v>
      </c>
      <c r="K1526">
        <v>1.101667</v>
      </c>
      <c r="L1526">
        <v>292.4819</v>
      </c>
      <c r="M1526">
        <v>-0.57038180000000005</v>
      </c>
      <c r="N1526">
        <v>0</v>
      </c>
      <c r="O1526">
        <v>-0.82124449999999904</v>
      </c>
      <c r="P1526">
        <v>-0.66108599999999995</v>
      </c>
      <c r="Q1526">
        <v>1.5337750000000001E-2</v>
      </c>
      <c r="R1526">
        <v>-0.75015350000000003</v>
      </c>
      <c r="S1526">
        <v>-2.6567229999999999</v>
      </c>
      <c r="T1526">
        <v>0.1477184</v>
      </c>
      <c r="U1526">
        <v>-1.667297</v>
      </c>
      <c r="V1526">
        <v>0.1156461</v>
      </c>
      <c r="W1526">
        <v>2.7771540000000001E-2</v>
      </c>
      <c r="X1526">
        <v>0.99290219999999996</v>
      </c>
      <c r="Y1526">
        <v>0.39147949999999998</v>
      </c>
      <c r="Z1526">
        <v>-4.4121229999999997E-2</v>
      </c>
      <c r="AA1526">
        <v>0.91912850000000001</v>
      </c>
      <c r="AB1526">
        <v>34</v>
      </c>
      <c r="AC1526">
        <v>-37.3996</v>
      </c>
      <c r="AD1526">
        <v>2.090363</v>
      </c>
      <c r="AE1526">
        <v>-23.324299999999901</v>
      </c>
      <c r="AF1526">
        <v>17.373317244663301</v>
      </c>
      <c r="AG1526">
        <v>2.090363</v>
      </c>
      <c r="AH1526">
        <v>40.400631922378302</v>
      </c>
      <c r="AI1526">
        <v>87.278649345678005</v>
      </c>
      <c r="AJ1526">
        <v>66.731043835824906</v>
      </c>
      <c r="AK1526">
        <v>44.027409977001597</v>
      </c>
      <c r="AL1526">
        <v>88.408603405567305</v>
      </c>
      <c r="AM1526">
        <v>83.356533745261103</v>
      </c>
      <c r="AN1526">
        <v>1.0000000288220099</v>
      </c>
    </row>
    <row r="1527" spans="1:40" x14ac:dyDescent="0.25">
      <c r="A1527" t="str">
        <f>"20190312160326621"</f>
        <v>20190312160326621</v>
      </c>
      <c r="B1527" t="str">
        <f>"1552377806615748"</f>
        <v>1552377806615748</v>
      </c>
      <c r="C1527" t="s">
        <v>40</v>
      </c>
      <c r="D1527">
        <v>6.0229039999999996</v>
      </c>
      <c r="E1527">
        <v>0.6266138</v>
      </c>
      <c r="F1527" t="s">
        <v>69</v>
      </c>
      <c r="G1527">
        <v>-237.5728</v>
      </c>
      <c r="H1527">
        <v>0.85288619999999904</v>
      </c>
      <c r="I1527">
        <v>269.1576</v>
      </c>
      <c r="J1527">
        <v>-197.48089999999999</v>
      </c>
      <c r="K1527">
        <v>1.101488</v>
      </c>
      <c r="L1527">
        <v>292.20920000000001</v>
      </c>
      <c r="M1527">
        <v>-0.57838590000000001</v>
      </c>
      <c r="N1527">
        <v>0</v>
      </c>
      <c r="O1527">
        <v>-0.81562690000000004</v>
      </c>
      <c r="P1527">
        <v>-0.66923859999999902</v>
      </c>
      <c r="Q1527">
        <v>1.5528139999999999E-2</v>
      </c>
      <c r="R1527">
        <v>-0.74288599999999905</v>
      </c>
      <c r="S1527">
        <v>-2.7391049999999999</v>
      </c>
      <c r="T1527">
        <v>-1.6912099999999999E-2</v>
      </c>
      <c r="U1527">
        <v>-1.585602</v>
      </c>
      <c r="V1527">
        <v>0.116797499999999</v>
      </c>
      <c r="W1527">
        <v>2.7914540000000002E-2</v>
      </c>
      <c r="X1527">
        <v>0.99276339999999996</v>
      </c>
      <c r="Y1527">
        <v>0.41615459999999899</v>
      </c>
      <c r="Z1527">
        <v>5.0325209999999999E-3</v>
      </c>
      <c r="AA1527">
        <v>0.90927990000000003</v>
      </c>
      <c r="AB1527">
        <v>34</v>
      </c>
      <c r="AC1527">
        <v>-40.091900000000003</v>
      </c>
      <c r="AD1527">
        <v>-0.24860180000000001</v>
      </c>
      <c r="AE1527">
        <v>-23.051600000000001</v>
      </c>
      <c r="AF1527">
        <v>19.368907074828702</v>
      </c>
      <c r="AG1527">
        <v>-0.24860180000000001</v>
      </c>
      <c r="AH1527">
        <v>41.993553630816301</v>
      </c>
      <c r="AI1527">
        <v>90.308004176569398</v>
      </c>
      <c r="AJ1527">
        <v>65.239183150954602</v>
      </c>
      <c r="AK1527">
        <v>46.245809655281803</v>
      </c>
      <c r="AL1527">
        <v>88.400406922242198</v>
      </c>
      <c r="AM1527">
        <v>83.290060391451306</v>
      </c>
      <c r="AN1527">
        <v>1.00000002296461</v>
      </c>
    </row>
    <row r="1528" spans="1:40" x14ac:dyDescent="0.25">
      <c r="A1528" t="str">
        <f>"20190312160326645"</f>
        <v>20190312160326645</v>
      </c>
      <c r="B1528" t="str">
        <f>"1552377806636244"</f>
        <v>1552377806636244</v>
      </c>
      <c r="C1528" t="s">
        <v>40</v>
      </c>
      <c r="D1528">
        <v>5.8801329999999998</v>
      </c>
      <c r="E1528">
        <v>0.62809759999999903</v>
      </c>
      <c r="F1528" t="s">
        <v>69</v>
      </c>
      <c r="G1528">
        <v>-238.4221</v>
      </c>
      <c r="H1528">
        <v>0.64948609999999996</v>
      </c>
      <c r="I1528">
        <v>269.1576</v>
      </c>
      <c r="J1528">
        <v>-197.70169999999999</v>
      </c>
      <c r="K1528">
        <v>1.1012710000000001</v>
      </c>
      <c r="L1528">
        <v>291.91539999999998</v>
      </c>
      <c r="M1528">
        <v>-0.58724030000000005</v>
      </c>
      <c r="N1528">
        <v>0</v>
      </c>
      <c r="O1528">
        <v>-0.80927439999999995</v>
      </c>
      <c r="P1528">
        <v>-0.6776816</v>
      </c>
      <c r="Q1528">
        <v>1.5768440000000002E-2</v>
      </c>
      <c r="R1528">
        <v>-0.73518660000000002</v>
      </c>
      <c r="S1528">
        <v>-2.759064</v>
      </c>
      <c r="T1528">
        <v>-3.0460600000000001E-2</v>
      </c>
      <c r="U1528">
        <v>-1.5534669999999999</v>
      </c>
      <c r="V1528">
        <v>0.11734260000000001</v>
      </c>
      <c r="W1528">
        <v>2.8116160000000001E-2</v>
      </c>
      <c r="X1528">
        <v>0.99269339999999995</v>
      </c>
      <c r="Y1528">
        <v>0.41707349999999999</v>
      </c>
      <c r="Z1528">
        <v>9.0203650000000007E-3</v>
      </c>
      <c r="AA1528">
        <v>0.90882799999999997</v>
      </c>
      <c r="AB1528">
        <v>34</v>
      </c>
      <c r="AC1528">
        <v>-40.720399999999998</v>
      </c>
      <c r="AD1528">
        <v>-0.45178489999999899</v>
      </c>
      <c r="AE1528">
        <v>-22.7577999999999</v>
      </c>
      <c r="AF1528">
        <v>19.590034697529902</v>
      </c>
      <c r="AG1528">
        <v>-0.45178489999999899</v>
      </c>
      <c r="AH1528">
        <v>42.330731340073797</v>
      </c>
      <c r="AI1528">
        <v>90.554938967988505</v>
      </c>
      <c r="AJ1528">
        <v>65.166000245039399</v>
      </c>
      <c r="AK1528">
        <v>46.646161523021398</v>
      </c>
      <c r="AL1528">
        <v>88.388850366853603</v>
      </c>
      <c r="AM1528">
        <v>83.258561311059196</v>
      </c>
      <c r="AN1528">
        <v>0.99999999531573203</v>
      </c>
    </row>
    <row r="1529" spans="1:40" x14ac:dyDescent="0.25">
      <c r="A1529" t="str">
        <f>"20190312160326668"</f>
        <v>20190312160326668</v>
      </c>
      <c r="B1529" t="str">
        <f>"1552377806655764"</f>
        <v>1552377806655764</v>
      </c>
      <c r="C1529" t="s">
        <v>40</v>
      </c>
      <c r="D1529">
        <v>5.8702759999999996</v>
      </c>
      <c r="E1529">
        <v>0.62723930000000006</v>
      </c>
      <c r="F1529" t="s">
        <v>69</v>
      </c>
      <c r="G1529">
        <v>-240.13650000000001</v>
      </c>
      <c r="H1529">
        <v>0.20149610000000001</v>
      </c>
      <c r="I1529">
        <v>268.85500000000002</v>
      </c>
      <c r="J1529">
        <v>-197.9144</v>
      </c>
      <c r="K1529">
        <v>1.101051</v>
      </c>
      <c r="L1529">
        <v>291.63909999999998</v>
      </c>
      <c r="M1529">
        <v>-0.59582000000000002</v>
      </c>
      <c r="N1529">
        <v>0</v>
      </c>
      <c r="O1529">
        <v>-0.80297790000000002</v>
      </c>
      <c r="P1529">
        <v>-0.68533089999999997</v>
      </c>
      <c r="Q1529">
        <v>1.5805659999999999E-2</v>
      </c>
      <c r="R1529">
        <v>-0.72806009999999999</v>
      </c>
      <c r="S1529">
        <v>-2.7858429999999998</v>
      </c>
      <c r="T1529">
        <v>-5.9069990000000003E-2</v>
      </c>
      <c r="U1529">
        <v>-1.513916</v>
      </c>
      <c r="V1529">
        <v>0.11717279999999999</v>
      </c>
      <c r="W1529">
        <v>2.8131409999999999E-2</v>
      </c>
      <c r="X1529">
        <v>0.99271299999999996</v>
      </c>
      <c r="Y1529">
        <v>0.42092370000000001</v>
      </c>
      <c r="Z1529">
        <v>1.7409549999999999E-2</v>
      </c>
      <c r="AA1529">
        <v>0.90692899999999999</v>
      </c>
      <c r="AB1529">
        <v>34</v>
      </c>
      <c r="AC1529">
        <v>-42.222099999999998</v>
      </c>
      <c r="AD1529">
        <v>-0.89955490000000005</v>
      </c>
      <c r="AE1529">
        <v>-22.784099999999899</v>
      </c>
      <c r="AF1529">
        <v>20.323333623676699</v>
      </c>
      <c r="AG1529">
        <v>-0.89955490000000005</v>
      </c>
      <c r="AH1529">
        <v>43.441518235668603</v>
      </c>
      <c r="AI1529">
        <v>91.074524361176799</v>
      </c>
      <c r="AJ1529">
        <v>64.928301347043401</v>
      </c>
      <c r="AK1529">
        <v>47.968871106346803</v>
      </c>
      <c r="AL1529">
        <v>88.3879762209734</v>
      </c>
      <c r="AM1529">
        <v>83.268358574719301</v>
      </c>
      <c r="AN1529">
        <v>0.99999997082871295</v>
      </c>
    </row>
    <row r="1530" spans="1:40" x14ac:dyDescent="0.25">
      <c r="A1530" t="str">
        <f>"20190312160326688"</f>
        <v>20190312160326688</v>
      </c>
      <c r="B1530" t="str">
        <f>"1552377806676260"</f>
        <v>1552377806676260</v>
      </c>
      <c r="C1530" t="s">
        <v>40</v>
      </c>
      <c r="D1530">
        <v>6.0846010000000001</v>
      </c>
      <c r="E1530">
        <v>0.62514009999999998</v>
      </c>
      <c r="F1530" t="s">
        <v>69</v>
      </c>
      <c r="G1530">
        <v>-240.69229999999999</v>
      </c>
      <c r="H1530">
        <v>0.20149139999999999</v>
      </c>
      <c r="I1530">
        <v>268.85500000000002</v>
      </c>
      <c r="J1530">
        <v>-198.10509999999999</v>
      </c>
      <c r="K1530">
        <v>1.1008530000000001</v>
      </c>
      <c r="L1530">
        <v>291.39710000000002</v>
      </c>
      <c r="M1530">
        <v>-0.60355029999999998</v>
      </c>
      <c r="N1530">
        <v>0</v>
      </c>
      <c r="O1530">
        <v>-0.79718319999999998</v>
      </c>
      <c r="P1530">
        <v>-0.69289350000000005</v>
      </c>
      <c r="Q1530">
        <v>1.5926869999999999E-2</v>
      </c>
      <c r="R1530">
        <v>-0.72086419999999996</v>
      </c>
      <c r="S1530">
        <v>-2.7965239999999998</v>
      </c>
      <c r="T1530">
        <v>-5.8806900000000002E-2</v>
      </c>
      <c r="U1530">
        <v>-1.489471</v>
      </c>
      <c r="V1530">
        <v>0.1179621</v>
      </c>
      <c r="W1530">
        <v>2.8211489999999999E-2</v>
      </c>
      <c r="X1530">
        <v>0.99261719999999998</v>
      </c>
      <c r="Y1530">
        <v>0.419769</v>
      </c>
      <c r="Z1530">
        <v>1.7260589999999999E-2</v>
      </c>
      <c r="AA1530">
        <v>0.90746680000000002</v>
      </c>
      <c r="AB1530">
        <v>34</v>
      </c>
      <c r="AC1530">
        <v>-42.587200000000003</v>
      </c>
      <c r="AD1530">
        <v>-0.89936159999999998</v>
      </c>
      <c r="AE1530">
        <v>-22.542100000000001</v>
      </c>
      <c r="AF1530">
        <v>20.339722531741</v>
      </c>
      <c r="AG1530">
        <v>-0.89936159999999998</v>
      </c>
      <c r="AH1530">
        <v>43.663425265925497</v>
      </c>
      <c r="AI1530">
        <v>91.069655415664897</v>
      </c>
      <c r="AJ1530">
        <v>65.022495560263096</v>
      </c>
      <c r="AK1530">
        <v>48.176839559157798</v>
      </c>
      <c r="AL1530">
        <v>88.383386079697303</v>
      </c>
      <c r="AM1530">
        <v>83.222785228056907</v>
      </c>
      <c r="AN1530">
        <v>0.99999992547013195</v>
      </c>
    </row>
    <row r="1531" spans="1:40" x14ac:dyDescent="0.25">
      <c r="A1531" t="str">
        <f>"20190312160326721"</f>
        <v>20190312160326721</v>
      </c>
      <c r="B1531" t="str">
        <f>"1552377806716276"</f>
        <v>1552377806716276</v>
      </c>
      <c r="C1531" t="s">
        <v>40</v>
      </c>
      <c r="D1531">
        <v>6.0988939999999996</v>
      </c>
      <c r="E1531">
        <v>0.62313350000000001</v>
      </c>
      <c r="F1531" t="s">
        <v>69</v>
      </c>
      <c r="G1531">
        <v>-240.9898</v>
      </c>
      <c r="H1531">
        <v>0.6515841</v>
      </c>
      <c r="I1531">
        <v>268.85500000000002</v>
      </c>
      <c r="J1531">
        <v>-198.42099999999999</v>
      </c>
      <c r="K1531">
        <v>1.1005469999999999</v>
      </c>
      <c r="L1531">
        <v>291.00740000000002</v>
      </c>
      <c r="M1531">
        <v>-0.61637959999999903</v>
      </c>
      <c r="N1531">
        <v>0</v>
      </c>
      <c r="O1531">
        <v>-0.78730480000000003</v>
      </c>
      <c r="P1531">
        <v>-0.7051809</v>
      </c>
      <c r="Q1531">
        <v>1.6379939999999999E-2</v>
      </c>
      <c r="R1531">
        <v>-0.70883850000000004</v>
      </c>
      <c r="S1531">
        <v>-2.7994690000000002</v>
      </c>
      <c r="T1531">
        <v>-2.932763E-2</v>
      </c>
      <c r="U1531">
        <v>-1.471527</v>
      </c>
      <c r="V1531">
        <v>0.118988</v>
      </c>
      <c r="W1531">
        <v>2.8608539999999998E-2</v>
      </c>
      <c r="X1531">
        <v>0.99248340000000002</v>
      </c>
      <c r="Y1531">
        <v>0.41010999999999997</v>
      </c>
      <c r="Z1531">
        <v>8.5274140000000005E-3</v>
      </c>
      <c r="AA1531">
        <v>0.91199620000000003</v>
      </c>
      <c r="AB1531">
        <v>34</v>
      </c>
      <c r="AC1531">
        <v>-42.568800000000003</v>
      </c>
      <c r="AD1531">
        <v>-0.4489629</v>
      </c>
      <c r="AE1531">
        <v>-22.1524</v>
      </c>
      <c r="AF1531">
        <v>19.860852606559401</v>
      </c>
      <c r="AG1531">
        <v>-0.4489629</v>
      </c>
      <c r="AH1531">
        <v>43.680373287016003</v>
      </c>
      <c r="AI1531">
        <v>90.536077204178</v>
      </c>
      <c r="AJ1531">
        <v>65.549373533089096</v>
      </c>
      <c r="AK1531">
        <v>47.9857275076467</v>
      </c>
      <c r="AL1531">
        <v>88.360627635877094</v>
      </c>
      <c r="AM1531">
        <v>83.163487247125801</v>
      </c>
      <c r="AN1531">
        <v>0.999999945990244</v>
      </c>
    </row>
    <row r="1532" spans="1:40" x14ac:dyDescent="0.25">
      <c r="A1532" t="str">
        <f>"20190312160326744"</f>
        <v>20190312160326744</v>
      </c>
      <c r="B1532" t="str">
        <f>"1552377806735797"</f>
        <v>1552377806735797</v>
      </c>
      <c r="C1532" t="s">
        <v>40</v>
      </c>
      <c r="D1532">
        <v>6.1264960000000004</v>
      </c>
      <c r="E1532">
        <v>0.621618</v>
      </c>
      <c r="F1532" t="s">
        <v>69</v>
      </c>
      <c r="G1532">
        <v>-241.54480000000001</v>
      </c>
      <c r="H1532">
        <v>0.86939330000000004</v>
      </c>
      <c r="I1532">
        <v>269.0172</v>
      </c>
      <c r="J1532">
        <v>-198.64429999999999</v>
      </c>
      <c r="K1532">
        <v>1.100344</v>
      </c>
      <c r="L1532">
        <v>290.73950000000002</v>
      </c>
      <c r="M1532">
        <v>-0.62544599999999995</v>
      </c>
      <c r="N1532">
        <v>0</v>
      </c>
      <c r="O1532">
        <v>-0.78012079999999995</v>
      </c>
      <c r="P1532">
        <v>-0.71368549999999997</v>
      </c>
      <c r="Q1532">
        <v>1.66071E-2</v>
      </c>
      <c r="R1532">
        <v>-0.70026949999999999</v>
      </c>
      <c r="S1532">
        <v>-2.8128359999999999</v>
      </c>
      <c r="T1532">
        <v>-1.507723E-2</v>
      </c>
      <c r="U1532">
        <v>-1.4343570000000001</v>
      </c>
      <c r="V1532">
        <v>0.1195097</v>
      </c>
      <c r="W1532">
        <v>2.880253E-2</v>
      </c>
      <c r="X1532">
        <v>0.99241520000000005</v>
      </c>
      <c r="Y1532">
        <v>0.41088819999999998</v>
      </c>
      <c r="Z1532">
        <v>4.3675789999999999E-3</v>
      </c>
      <c r="AA1532">
        <v>0.91167529999999997</v>
      </c>
      <c r="AB1532">
        <v>33</v>
      </c>
      <c r="AC1532">
        <v>-42.900500000000001</v>
      </c>
      <c r="AD1532">
        <v>-0.23095069999999901</v>
      </c>
      <c r="AE1532">
        <v>-21.722300000000001</v>
      </c>
      <c r="AF1532">
        <v>19.883263296773698</v>
      </c>
      <c r="AG1532">
        <v>-0.23095069999999901</v>
      </c>
      <c r="AH1532">
        <v>43.781964157064301</v>
      </c>
      <c r="AI1532">
        <v>90.2751854393088</v>
      </c>
      <c r="AJ1532">
        <v>65.575168650632904</v>
      </c>
      <c r="AK1532">
        <v>48.085942675641903</v>
      </c>
      <c r="AL1532">
        <v>88.349508402760193</v>
      </c>
      <c r="AM1532">
        <v>83.1333309139129</v>
      </c>
      <c r="AN1532">
        <v>1.0000000416597601</v>
      </c>
    </row>
    <row r="1533" spans="1:40" x14ac:dyDescent="0.25">
      <c r="A1533" t="str">
        <f>"20190312160326767"</f>
        <v>20190312160326767</v>
      </c>
      <c r="B1533" t="str">
        <f>"1552377806756292"</f>
        <v>1552377806756292</v>
      </c>
      <c r="C1533" t="s">
        <v>40</v>
      </c>
      <c r="D1533">
        <v>6.2164570000000001</v>
      </c>
      <c r="E1533">
        <v>0.62129650000000003</v>
      </c>
      <c r="F1533" t="s">
        <v>69</v>
      </c>
      <c r="G1533">
        <v>-241.8603</v>
      </c>
      <c r="H1533">
        <v>1.0926800000000001</v>
      </c>
      <c r="I1533">
        <v>269.1576</v>
      </c>
      <c r="J1533">
        <v>-198.86189999999999</v>
      </c>
      <c r="K1533">
        <v>1.1001379999999901</v>
      </c>
      <c r="L1533">
        <v>290.48480000000001</v>
      </c>
      <c r="M1533">
        <v>-0.63428530000000005</v>
      </c>
      <c r="N1533">
        <v>0</v>
      </c>
      <c r="O1533">
        <v>-0.77295029999999998</v>
      </c>
      <c r="P1533">
        <v>-0.72221049999999998</v>
      </c>
      <c r="Q1533">
        <v>1.657718E-2</v>
      </c>
      <c r="R1533">
        <v>-0.6914749</v>
      </c>
      <c r="S1533">
        <v>-2.8211520000000001</v>
      </c>
      <c r="T1533">
        <v>-5.0020220000000001E-4</v>
      </c>
      <c r="U1533">
        <v>-1.4088750000000001</v>
      </c>
      <c r="V1533">
        <v>0.1203838</v>
      </c>
      <c r="W1533">
        <v>2.8729600000000001E-2</v>
      </c>
      <c r="X1533">
        <v>0.99231159999999996</v>
      </c>
      <c r="Y1533">
        <v>0.40817419999999999</v>
      </c>
      <c r="Z1533">
        <v>1.440937E-4</v>
      </c>
      <c r="AA1533">
        <v>0.9129041</v>
      </c>
      <c r="AB1533">
        <v>33</v>
      </c>
      <c r="AC1533">
        <v>-42.998399999999997</v>
      </c>
      <c r="AD1533">
        <v>-7.4579999999999603E-3</v>
      </c>
      <c r="AE1533">
        <v>-21.327200000000001</v>
      </c>
      <c r="AF1533">
        <v>19.710362996111101</v>
      </c>
      <c r="AG1533">
        <v>-7.4579999999999603E-3</v>
      </c>
      <c r="AH1533">
        <v>43.763150500369598</v>
      </c>
      <c r="AI1533">
        <v>90.008902888598897</v>
      </c>
      <c r="AJ1533">
        <v>65.753808157847203</v>
      </c>
      <c r="AK1533">
        <v>47.996997893391601</v>
      </c>
      <c r="AL1533">
        <v>88.353688612768295</v>
      </c>
      <c r="AM1533">
        <v>83.082877390953499</v>
      </c>
      <c r="AN1533">
        <v>0.999999980356579</v>
      </c>
    </row>
    <row r="1534" spans="1:40" x14ac:dyDescent="0.25">
      <c r="A1534" t="str">
        <f>"20190312160326788"</f>
        <v>20190312160326788</v>
      </c>
      <c r="B1534" t="str">
        <f>"1552377806775812"</f>
        <v>1552377806775812</v>
      </c>
      <c r="C1534" t="s">
        <v>40</v>
      </c>
      <c r="D1534">
        <v>5.6490200000000002</v>
      </c>
      <c r="E1534">
        <v>0.62027959999999904</v>
      </c>
      <c r="F1534" t="s">
        <v>69</v>
      </c>
      <c r="G1534">
        <v>-242.8261</v>
      </c>
      <c r="H1534">
        <v>0.93616630000000001</v>
      </c>
      <c r="I1534">
        <v>269.1576</v>
      </c>
      <c r="J1534">
        <v>-199.0772</v>
      </c>
      <c r="K1534">
        <v>1.099933</v>
      </c>
      <c r="L1534">
        <v>290.2389</v>
      </c>
      <c r="M1534">
        <v>-0.64303859999999902</v>
      </c>
      <c r="N1534">
        <v>0</v>
      </c>
      <c r="O1534">
        <v>-0.76568290000000006</v>
      </c>
      <c r="P1534">
        <v>-0.7306918</v>
      </c>
      <c r="Q1534">
        <v>1.676426E-2</v>
      </c>
      <c r="R1534">
        <v>-0.68250169999999999</v>
      </c>
      <c r="S1534">
        <v>-2.8366549999999999</v>
      </c>
      <c r="T1534">
        <v>-1.057959E-2</v>
      </c>
      <c r="U1534">
        <v>-1.3760680000000001</v>
      </c>
      <c r="V1534">
        <v>0.1213663</v>
      </c>
      <c r="W1534">
        <v>2.8870690000000001E-2</v>
      </c>
      <c r="X1534">
        <v>0.99218790000000001</v>
      </c>
      <c r="Y1534">
        <v>0.40828589999999998</v>
      </c>
      <c r="Z1534">
        <v>3.0302380000000002E-3</v>
      </c>
      <c r="AA1534">
        <v>0.91284909999999997</v>
      </c>
      <c r="AB1534">
        <v>33</v>
      </c>
      <c r="AC1534">
        <v>-43.7488999999999</v>
      </c>
      <c r="AD1534">
        <v>-0.16376669999999999</v>
      </c>
      <c r="AE1534">
        <v>-21.081299999999999</v>
      </c>
      <c r="AF1534">
        <v>19.943772404511598</v>
      </c>
      <c r="AG1534">
        <v>-0.16376669999999999</v>
      </c>
      <c r="AH1534">
        <v>44.278434536780303</v>
      </c>
      <c r="AI1534">
        <v>90.193216381329904</v>
      </c>
      <c r="AJ1534">
        <v>65.752375171082207</v>
      </c>
      <c r="AK1534">
        <v>48.5629554525147</v>
      </c>
      <c r="AL1534">
        <v>88.345601531869704</v>
      </c>
      <c r="AM1534">
        <v>83.026116785615102</v>
      </c>
      <c r="AN1534">
        <v>1.0000000622115801</v>
      </c>
    </row>
    <row r="1535" spans="1:40" x14ac:dyDescent="0.25">
      <c r="A1535" t="str">
        <f>"20190312160326810"</f>
        <v>20190312160326810</v>
      </c>
      <c r="B1535" t="str">
        <f>"1552377806806069"</f>
        <v>1552377806806069</v>
      </c>
      <c r="C1535" t="s">
        <v>40</v>
      </c>
      <c r="D1535">
        <v>6.1977000000000002</v>
      </c>
      <c r="E1535">
        <v>0.61842159999999902</v>
      </c>
      <c r="F1535" t="s">
        <v>69</v>
      </c>
      <c r="G1535">
        <v>-244.29159999999999</v>
      </c>
      <c r="H1535">
        <v>0.98735810000000002</v>
      </c>
      <c r="I1535">
        <v>268.85500000000002</v>
      </c>
      <c r="J1535">
        <v>-199.3064</v>
      </c>
      <c r="K1535">
        <v>1.0997110000000001</v>
      </c>
      <c r="L1535">
        <v>289.98379999999997</v>
      </c>
      <c r="M1535">
        <v>-0.65235269999999901</v>
      </c>
      <c r="N1535">
        <v>0</v>
      </c>
      <c r="O1535">
        <v>-0.75776209999999999</v>
      </c>
      <c r="P1535">
        <v>-0.73921359999999903</v>
      </c>
      <c r="Q1535">
        <v>1.7576669999999999E-2</v>
      </c>
      <c r="R1535">
        <v>-0.67324169999999905</v>
      </c>
      <c r="S1535">
        <v>-2.8478240000000001</v>
      </c>
      <c r="T1535">
        <v>-7.0903299999999997E-3</v>
      </c>
      <c r="U1535">
        <v>-1.3468629999999999</v>
      </c>
      <c r="V1535">
        <v>0.1217573</v>
      </c>
      <c r="W1535">
        <v>2.9653800000000001E-2</v>
      </c>
      <c r="X1535">
        <v>0.99211680000000002</v>
      </c>
      <c r="Y1535">
        <v>0.40615210000000002</v>
      </c>
      <c r="Z1535">
        <v>2.0173330000000001E-3</v>
      </c>
      <c r="AA1535">
        <v>0.91380320000000004</v>
      </c>
      <c r="AB1535">
        <v>33</v>
      </c>
      <c r="AC1535">
        <v>-44.985199999999899</v>
      </c>
      <c r="AD1535">
        <v>-0.11235290000000001</v>
      </c>
      <c r="AE1535">
        <v>-21.128799999999899</v>
      </c>
      <c r="AF1535">
        <v>20.306907498511301</v>
      </c>
      <c r="AG1535">
        <v>-0.11235290000000001</v>
      </c>
      <c r="AH1535">
        <v>45.361863609998899</v>
      </c>
      <c r="AI1535">
        <v>90.129524409919796</v>
      </c>
      <c r="AJ1535">
        <v>65.883619854796294</v>
      </c>
      <c r="AK1535">
        <v>49.699917359079997</v>
      </c>
      <c r="AL1535">
        <v>88.300713250267194</v>
      </c>
      <c r="AM1535">
        <v>83.003375257506804</v>
      </c>
      <c r="AN1535">
        <v>0.99999996639998401</v>
      </c>
    </row>
    <row r="1536" spans="1:40" x14ac:dyDescent="0.25">
      <c r="A1536" t="str">
        <f>"20190312160326835"</f>
        <v>20190312160326835</v>
      </c>
      <c r="B1536" t="str">
        <f>"1552377806825588"</f>
        <v>1552377806825588</v>
      </c>
      <c r="C1536" t="s">
        <v>40</v>
      </c>
      <c r="D1536">
        <v>5.7172489999999998</v>
      </c>
      <c r="E1536">
        <v>0.61922940000000004</v>
      </c>
      <c r="F1536" t="s">
        <v>69</v>
      </c>
      <c r="G1536">
        <v>-244.93639999999999</v>
      </c>
      <c r="H1536">
        <v>1.2000850000000001</v>
      </c>
      <c r="I1536">
        <v>268.85500000000002</v>
      </c>
      <c r="J1536">
        <v>-199.5565</v>
      </c>
      <c r="K1536">
        <v>1.0994820000000001</v>
      </c>
      <c r="L1536">
        <v>289.71280000000002</v>
      </c>
      <c r="M1536">
        <v>-0.66247109999999998</v>
      </c>
      <c r="N1536">
        <v>0</v>
      </c>
      <c r="O1536">
        <v>-0.74893129999999997</v>
      </c>
      <c r="P1536">
        <v>-0.74795140000000004</v>
      </c>
      <c r="Q1536">
        <v>1.836076E-2</v>
      </c>
      <c r="R1536">
        <v>-0.66349969999999903</v>
      </c>
      <c r="S1536">
        <v>-2.8544619999999998</v>
      </c>
      <c r="T1536">
        <v>6.2792300000000002E-3</v>
      </c>
      <c r="U1536">
        <v>-1.321747</v>
      </c>
      <c r="V1536">
        <v>0.1214534</v>
      </c>
      <c r="W1536">
        <v>3.042926E-2</v>
      </c>
      <c r="X1536">
        <v>0.99213059999999997</v>
      </c>
      <c r="Y1536">
        <v>0.40129320000000002</v>
      </c>
      <c r="Z1536">
        <v>-1.772182E-3</v>
      </c>
      <c r="AA1536">
        <v>0.91594790000000004</v>
      </c>
      <c r="AB1536">
        <v>33</v>
      </c>
      <c r="AC1536">
        <v>-45.3798999999999</v>
      </c>
      <c r="AD1536">
        <v>0.100603</v>
      </c>
      <c r="AE1536">
        <v>-20.857800000000001</v>
      </c>
      <c r="AF1536">
        <v>20.1710155949145</v>
      </c>
      <c r="AG1536">
        <v>0.100603</v>
      </c>
      <c r="AH1536">
        <v>45.689090961800602</v>
      </c>
      <c r="AI1536">
        <v>89.884587417978693</v>
      </c>
      <c r="AJ1536">
        <v>66.179295185533306</v>
      </c>
      <c r="AK1536">
        <v>49.943698541553601</v>
      </c>
      <c r="AL1536">
        <v>88.256262654585299</v>
      </c>
      <c r="AM1536">
        <v>83.020762147483495</v>
      </c>
      <c r="AN1536">
        <v>0.999999997846033</v>
      </c>
    </row>
    <row r="1537" spans="1:40" x14ac:dyDescent="0.25">
      <c r="A1537" t="str">
        <f>"20190312160326857"</f>
        <v>20190312160326857</v>
      </c>
      <c r="B1537" t="str">
        <f>"1552377806846084"</f>
        <v>1552377806846084</v>
      </c>
      <c r="C1537" t="s">
        <v>40</v>
      </c>
      <c r="D1537">
        <v>4.1330650000000002</v>
      </c>
      <c r="E1537">
        <v>0.61933819999999995</v>
      </c>
      <c r="F1537" t="s">
        <v>69</v>
      </c>
      <c r="G1537">
        <v>-245.76079999999999</v>
      </c>
      <c r="H1537">
        <v>1.3591819999999999</v>
      </c>
      <c r="I1537">
        <v>269.1576</v>
      </c>
      <c r="J1537">
        <v>-199.78960000000001</v>
      </c>
      <c r="K1537">
        <v>1.0992729999999999</v>
      </c>
      <c r="L1537">
        <v>289.46690000000001</v>
      </c>
      <c r="M1537">
        <v>-0.67184900000000003</v>
      </c>
      <c r="N1537">
        <v>0</v>
      </c>
      <c r="O1537">
        <v>-0.74052929999999995</v>
      </c>
      <c r="P1537">
        <v>-0.75656709999999905</v>
      </c>
      <c r="Q1537">
        <v>1.792038E-2</v>
      </c>
      <c r="R1537">
        <v>-0.65367059999999999</v>
      </c>
      <c r="S1537">
        <v>-2.8756870000000001</v>
      </c>
      <c r="T1537">
        <v>1.6163469999999999E-2</v>
      </c>
      <c r="U1537">
        <v>-1.2793270000000001</v>
      </c>
      <c r="V1537">
        <v>0.1219348</v>
      </c>
      <c r="W1537">
        <v>2.9960270000000001E-2</v>
      </c>
      <c r="X1537">
        <v>0.99208580000000002</v>
      </c>
      <c r="Y1537">
        <v>0.4035454</v>
      </c>
      <c r="Z1537">
        <v>-4.5305399999999996E-3</v>
      </c>
      <c r="AA1537">
        <v>0.9149484</v>
      </c>
      <c r="AB1537">
        <v>33</v>
      </c>
      <c r="AC1537">
        <v>-45.971199999999897</v>
      </c>
      <c r="AD1537">
        <v>0.259908999999999</v>
      </c>
      <c r="AE1537">
        <v>-20.3093</v>
      </c>
      <c r="AF1537">
        <v>20.400092104735801</v>
      </c>
      <c r="AG1537">
        <v>0.259908999999999</v>
      </c>
      <c r="AH1537">
        <v>45.929511624788603</v>
      </c>
      <c r="AI1537">
        <v>89.703687078899904</v>
      </c>
      <c r="AJ1537">
        <v>66.051079778658107</v>
      </c>
      <c r="AK1537">
        <v>50.2568537481365</v>
      </c>
      <c r="AL1537">
        <v>88.283146019308006</v>
      </c>
      <c r="AM1537">
        <v>82.9930600016326</v>
      </c>
      <c r="AN1537">
        <v>0.99999997389557604</v>
      </c>
    </row>
    <row r="1538" spans="1:40" x14ac:dyDescent="0.25">
      <c r="A1538" t="str">
        <f>"20190312160326879"</f>
        <v>20190312160326879</v>
      </c>
      <c r="B1538" t="str">
        <f>"1552377806876341"</f>
        <v>1552377806876341</v>
      </c>
      <c r="C1538" t="s">
        <v>40</v>
      </c>
      <c r="D1538">
        <v>5.3301420000000004</v>
      </c>
      <c r="E1538">
        <v>0.63797499999999996</v>
      </c>
      <c r="F1538" t="s">
        <v>69</v>
      </c>
      <c r="G1538">
        <v>-247.13120000000001</v>
      </c>
      <c r="H1538">
        <v>1.4191009999999999</v>
      </c>
      <c r="I1538">
        <v>269.1576</v>
      </c>
      <c r="J1538">
        <v>-200.0145</v>
      </c>
      <c r="K1538">
        <v>1.099081</v>
      </c>
      <c r="L1538">
        <v>289.2355</v>
      </c>
      <c r="M1538">
        <v>-0.68084599999999995</v>
      </c>
      <c r="N1538">
        <v>0</v>
      </c>
      <c r="O1538">
        <v>-0.73226480000000005</v>
      </c>
      <c r="P1538">
        <v>-0.76529459999999905</v>
      </c>
      <c r="Q1538">
        <v>1.7297699999999999E-2</v>
      </c>
      <c r="R1538">
        <v>-0.64344809999999997</v>
      </c>
      <c r="S1538">
        <v>-2.8926699999999999</v>
      </c>
      <c r="T1538">
        <v>1.9542339999999998E-2</v>
      </c>
      <c r="U1538">
        <v>-1.240936</v>
      </c>
      <c r="V1538">
        <v>0.1231496</v>
      </c>
      <c r="W1538">
        <v>2.9290130000000001E-2</v>
      </c>
      <c r="X1538">
        <v>0.99195580000000005</v>
      </c>
      <c r="Y1538">
        <v>0.40456340000000002</v>
      </c>
      <c r="Z1538">
        <v>-5.4401809999999997E-3</v>
      </c>
      <c r="AA1538">
        <v>0.91449380000000002</v>
      </c>
      <c r="AB1538">
        <v>33</v>
      </c>
      <c r="AC1538">
        <v>-47.116700000000002</v>
      </c>
      <c r="AD1538">
        <v>0.32002000000000003</v>
      </c>
      <c r="AE1538">
        <v>-20.0779</v>
      </c>
      <c r="AF1538">
        <v>20.833598489669601</v>
      </c>
      <c r="AG1538">
        <v>0.32002000000000003</v>
      </c>
      <c r="AH1538">
        <v>46.785273833388899</v>
      </c>
      <c r="AI1538">
        <v>89.641983387827693</v>
      </c>
      <c r="AJ1538">
        <v>65.996471426145206</v>
      </c>
      <c r="AK1538">
        <v>51.215262241780501</v>
      </c>
      <c r="AL1538">
        <v>88.321559156548503</v>
      </c>
      <c r="AM1538">
        <v>82.9230382343044</v>
      </c>
      <c r="AN1538">
        <v>1.0000000224246</v>
      </c>
    </row>
    <row r="1539" spans="1:40" x14ac:dyDescent="0.25">
      <c r="A1539" t="str">
        <f>"20190312160326899"</f>
        <v>20190312160326899</v>
      </c>
      <c r="B1539" t="str">
        <f>"1552377806895860"</f>
        <v>1552377806895860</v>
      </c>
      <c r="C1539" t="s">
        <v>40</v>
      </c>
      <c r="D1539">
        <v>5.0669789999999999</v>
      </c>
      <c r="E1539">
        <v>0.64407219999999998</v>
      </c>
      <c r="F1539" t="s">
        <v>71</v>
      </c>
      <c r="G1539">
        <v>-265.95800000000003</v>
      </c>
      <c r="H1539">
        <v>7.3580869999999896</v>
      </c>
      <c r="I1539">
        <v>265.34910000000002</v>
      </c>
      <c r="J1539">
        <v>-200.2363</v>
      </c>
      <c r="K1539">
        <v>1.098897</v>
      </c>
      <c r="L1539">
        <v>289.01310000000001</v>
      </c>
      <c r="M1539">
        <v>-0.68966559999999999</v>
      </c>
      <c r="N1539">
        <v>0</v>
      </c>
      <c r="O1539">
        <v>-0.72396389999999999</v>
      </c>
      <c r="P1539">
        <v>-0.77374209999999999</v>
      </c>
      <c r="Q1539">
        <v>1.6829899999999998E-2</v>
      </c>
      <c r="R1539">
        <v>-0.6332776</v>
      </c>
      <c r="S1539">
        <v>-2.9999850000000001</v>
      </c>
      <c r="T1539">
        <v>0.28474569999999999</v>
      </c>
      <c r="U1539">
        <v>-1.08667</v>
      </c>
      <c r="V1539">
        <v>0.1242526</v>
      </c>
      <c r="W1539">
        <v>2.877822E-2</v>
      </c>
      <c r="X1539">
        <v>0.99183319999999997</v>
      </c>
      <c r="Y1539">
        <v>0.44200650000000002</v>
      </c>
      <c r="Z1539">
        <v>-7.8753760000000006E-2</v>
      </c>
      <c r="AA1539">
        <v>0.89354809999999996</v>
      </c>
      <c r="AB1539">
        <v>33</v>
      </c>
      <c r="AC1539">
        <v>-65.721699999999899</v>
      </c>
      <c r="AD1539">
        <v>6.2591899999999896</v>
      </c>
      <c r="AE1539">
        <v>-23.663999999999898</v>
      </c>
      <c r="AF1539">
        <v>31.014581694760398</v>
      </c>
      <c r="AG1539">
        <v>6.2591899999999896</v>
      </c>
      <c r="AH1539">
        <v>61.967743605879399</v>
      </c>
      <c r="AI1539">
        <v>84.838724765761697</v>
      </c>
      <c r="AJ1539">
        <v>63.412237673312397</v>
      </c>
      <c r="AK1539">
        <v>69.577891494073597</v>
      </c>
      <c r="AL1539">
        <v>88.350901764723901</v>
      </c>
      <c r="AM1539">
        <v>82.859430664819698</v>
      </c>
      <c r="AN1539">
        <v>0.99999999558768404</v>
      </c>
    </row>
    <row r="1540" spans="1:40" x14ac:dyDescent="0.25">
      <c r="A1540" t="str">
        <f>"20190312160326923"</f>
        <v>20190312160326923</v>
      </c>
      <c r="B1540" t="str">
        <f>"1552377806916357"</f>
        <v>1552377806916357</v>
      </c>
      <c r="C1540" t="s">
        <v>40</v>
      </c>
      <c r="D1540">
        <v>5.7833990000000002</v>
      </c>
      <c r="E1540">
        <v>0.64411750000000001</v>
      </c>
      <c r="F1540" t="s">
        <v>72</v>
      </c>
      <c r="G1540">
        <v>-352.55</v>
      </c>
      <c r="H1540">
        <v>17.774339999999999</v>
      </c>
      <c r="I1540">
        <v>238.5147</v>
      </c>
      <c r="J1540">
        <v>-200.488</v>
      </c>
      <c r="K1540">
        <v>1.098697</v>
      </c>
      <c r="L1540">
        <v>288.76710000000003</v>
      </c>
      <c r="M1540">
        <v>-0.69959589999999905</v>
      </c>
      <c r="N1540">
        <v>0</v>
      </c>
      <c r="O1540">
        <v>-0.71437130000000004</v>
      </c>
      <c r="P1540">
        <v>-0.78316680000000005</v>
      </c>
      <c r="Q1540">
        <v>1.6730180000000001E-2</v>
      </c>
      <c r="R1540">
        <v>-0.62158719999999901</v>
      </c>
      <c r="S1540">
        <v>-3.044006</v>
      </c>
      <c r="T1540">
        <v>0.33326220000000001</v>
      </c>
      <c r="U1540">
        <v>-1.0092159999999999</v>
      </c>
      <c r="V1540">
        <v>0.1254651</v>
      </c>
      <c r="W1540">
        <v>2.8631420000000001E-2</v>
      </c>
      <c r="X1540">
        <v>0.99168480000000003</v>
      </c>
      <c r="Y1540">
        <v>0.45268209999999998</v>
      </c>
      <c r="Z1540">
        <v>-9.1331770000000007E-2</v>
      </c>
      <c r="AA1540">
        <v>0.88698220000000005</v>
      </c>
      <c r="AB1540">
        <v>33</v>
      </c>
      <c r="AC1540">
        <v>-152.06200000000001</v>
      </c>
      <c r="AD1540">
        <v>16.675642999999901</v>
      </c>
      <c r="AE1540">
        <v>-50.252400000000002</v>
      </c>
      <c r="AF1540">
        <v>72.693008374168699</v>
      </c>
      <c r="AG1540">
        <v>16.675642999999901</v>
      </c>
      <c r="AH1540">
        <v>140.771601078804</v>
      </c>
      <c r="AI1540">
        <v>83.991524201161099</v>
      </c>
      <c r="AJ1540">
        <v>62.688634408522603</v>
      </c>
      <c r="AK1540">
        <v>159.30785983824001</v>
      </c>
      <c r="AL1540">
        <v>88.359316253286906</v>
      </c>
      <c r="AM1540">
        <v>82.789412696358696</v>
      </c>
      <c r="AN1540">
        <v>0.99999999604013301</v>
      </c>
    </row>
    <row r="1541" spans="1:40" x14ac:dyDescent="0.25">
      <c r="A1541" t="str">
        <f>"20190312160326946"</f>
        <v>20190312160326946</v>
      </c>
      <c r="B1541" t="str">
        <f>"1552377806935878"</f>
        <v>1552377806935878</v>
      </c>
      <c r="C1541" t="s">
        <v>40</v>
      </c>
      <c r="D1541">
        <v>5.7966559999999996</v>
      </c>
      <c r="E1541">
        <v>0.64471829999999997</v>
      </c>
      <c r="F1541" t="s">
        <v>72</v>
      </c>
      <c r="G1541">
        <v>-352.55</v>
      </c>
      <c r="H1541">
        <v>18.764479999999999</v>
      </c>
      <c r="I1541">
        <v>240.9023</v>
      </c>
      <c r="J1541">
        <v>-200.7355</v>
      </c>
      <c r="K1541">
        <v>1.098506</v>
      </c>
      <c r="L1541">
        <v>288.53190000000001</v>
      </c>
      <c r="M1541">
        <v>-0.70927030000000002</v>
      </c>
      <c r="N1541">
        <v>0</v>
      </c>
      <c r="O1541">
        <v>-0.7047658</v>
      </c>
      <c r="P1541">
        <v>-0.7919465</v>
      </c>
      <c r="Q1541">
        <v>1.6661160000000001E-2</v>
      </c>
      <c r="R1541">
        <v>-0.6103634</v>
      </c>
      <c r="S1541">
        <v>-3.0588229999999998</v>
      </c>
      <c r="T1541">
        <v>0.35535990000000001</v>
      </c>
      <c r="U1541">
        <v>-0.96282959999999995</v>
      </c>
      <c r="V1541">
        <v>0.12608929999999999</v>
      </c>
      <c r="W1541">
        <v>2.8534179999999999E-2</v>
      </c>
      <c r="X1541">
        <v>0.99160839999999995</v>
      </c>
      <c r="Y1541">
        <v>0.45333079999999998</v>
      </c>
      <c r="Z1541">
        <v>-9.6577609999999994E-2</v>
      </c>
      <c r="AA1541">
        <v>0.88609470000000001</v>
      </c>
      <c r="AB1541">
        <v>33</v>
      </c>
      <c r="AC1541">
        <v>-151.81450000000001</v>
      </c>
      <c r="AD1541">
        <v>17.665973999999999</v>
      </c>
      <c r="AE1541">
        <v>-47.629600000000003</v>
      </c>
      <c r="AF1541">
        <v>72.328590102793697</v>
      </c>
      <c r="AG1541">
        <v>17.665973999999999</v>
      </c>
      <c r="AH1541">
        <v>139.54202927890901</v>
      </c>
      <c r="AI1541">
        <v>83.586975490172307</v>
      </c>
      <c r="AJ1541">
        <v>62.601012239329798</v>
      </c>
      <c r="AK1541">
        <v>158.16285758325901</v>
      </c>
      <c r="AL1541">
        <v>88.3648899213688</v>
      </c>
      <c r="AM1541">
        <v>82.753367393159806</v>
      </c>
      <c r="AN1541">
        <v>0.99999996497665999</v>
      </c>
    </row>
    <row r="1542" spans="1:40" x14ac:dyDescent="0.25">
      <c r="A1542" t="str">
        <f>"20190312160326968"</f>
        <v>20190312160326968</v>
      </c>
      <c r="B1542" t="str">
        <f>"1552377806956372"</f>
        <v>1552377806956372</v>
      </c>
      <c r="C1542" t="s">
        <v>40</v>
      </c>
      <c r="D1542">
        <v>5.6671139999999998</v>
      </c>
      <c r="E1542">
        <v>0.64427080000000003</v>
      </c>
      <c r="F1542" t="s">
        <v>72</v>
      </c>
      <c r="G1542">
        <v>-352.55</v>
      </c>
      <c r="H1542">
        <v>18.042760000000001</v>
      </c>
      <c r="I1542">
        <v>243.34039999999999</v>
      </c>
      <c r="J1542">
        <v>-200.97389999999999</v>
      </c>
      <c r="K1542">
        <v>1.098325</v>
      </c>
      <c r="L1542">
        <v>288.31180000000001</v>
      </c>
      <c r="M1542">
        <v>-0.71849849999999904</v>
      </c>
      <c r="N1542">
        <v>0</v>
      </c>
      <c r="O1542">
        <v>-0.69535409999999997</v>
      </c>
      <c r="P1542">
        <v>-0.80000879999999996</v>
      </c>
      <c r="Q1542">
        <v>1.6549000000000001E-2</v>
      </c>
      <c r="R1542">
        <v>-0.59975990000000001</v>
      </c>
      <c r="S1542">
        <v>-3.0753780000000002</v>
      </c>
      <c r="T1542">
        <v>0.34324929999999998</v>
      </c>
      <c r="U1542">
        <v>-0.91546629999999996</v>
      </c>
      <c r="V1542">
        <v>0.12623809999999999</v>
      </c>
      <c r="W1542">
        <v>2.8409299999999998E-2</v>
      </c>
      <c r="X1542">
        <v>0.99159310000000001</v>
      </c>
      <c r="Y1542">
        <v>0.45589659999999899</v>
      </c>
      <c r="Z1542">
        <v>-9.2607480000000006E-2</v>
      </c>
      <c r="AA1542">
        <v>0.88520180000000004</v>
      </c>
      <c r="AB1542">
        <v>33</v>
      </c>
      <c r="AC1542">
        <v>-151.5761</v>
      </c>
      <c r="AD1542">
        <v>16.944434999999999</v>
      </c>
      <c r="AE1542">
        <v>-44.971400000000003</v>
      </c>
      <c r="AF1542">
        <v>72.266027375197694</v>
      </c>
      <c r="AG1542">
        <v>16.944434999999999</v>
      </c>
      <c r="AH1542">
        <v>138.60331202270001</v>
      </c>
      <c r="AI1542">
        <v>83.8131936673458</v>
      </c>
      <c r="AJ1542">
        <v>62.463029126261603</v>
      </c>
      <c r="AK1542">
        <v>157.22713090851701</v>
      </c>
      <c r="AL1542">
        <v>88.372047995533293</v>
      </c>
      <c r="AM1542">
        <v>82.744795842895599</v>
      </c>
      <c r="AN1542">
        <v>1.00000001109285</v>
      </c>
    </row>
    <row r="1543" spans="1:40" x14ac:dyDescent="0.25">
      <c r="A1543" t="str">
        <f>"20190312160326991"</f>
        <v>20190312160326991</v>
      </c>
      <c r="B1543" t="str">
        <f>"1552377806985653"</f>
        <v>1552377806985653</v>
      </c>
      <c r="C1543" t="s">
        <v>40</v>
      </c>
      <c r="D1543">
        <v>5.7299100000000003</v>
      </c>
      <c r="E1543">
        <v>0.64065059999999996</v>
      </c>
      <c r="F1543" t="s">
        <v>49</v>
      </c>
      <c r="G1543">
        <v>-201.78729999999999</v>
      </c>
      <c r="H1543">
        <v>1.1896420000000001</v>
      </c>
      <c r="I1543">
        <v>288.08080000000001</v>
      </c>
      <c r="J1543">
        <v>-201.2388</v>
      </c>
      <c r="K1543">
        <v>1.098141</v>
      </c>
      <c r="L1543">
        <v>288.0745</v>
      </c>
      <c r="M1543">
        <v>-0.72863829999999996</v>
      </c>
      <c r="N1543">
        <v>0</v>
      </c>
      <c r="O1543">
        <v>-0.68472069999999996</v>
      </c>
      <c r="P1543">
        <v>-0.80834289999999998</v>
      </c>
      <c r="Q1543">
        <v>1.5828109999999999E-2</v>
      </c>
      <c r="R1543">
        <v>-0.58849949999999995</v>
      </c>
      <c r="S1543">
        <v>-3.0850979999999999</v>
      </c>
      <c r="T1543">
        <v>0.34628429999999999</v>
      </c>
      <c r="U1543">
        <v>-0.87725830000000005</v>
      </c>
      <c r="V1543">
        <v>0.12555439999999901</v>
      </c>
      <c r="W1543">
        <v>2.7702910000000001E-2</v>
      </c>
      <c r="X1543">
        <v>0.99169989999999997</v>
      </c>
      <c r="Y1543">
        <v>0.45366960000000001</v>
      </c>
      <c r="Z1543">
        <v>-9.2478820000000003E-2</v>
      </c>
      <c r="AA1543">
        <v>0.886358599999999</v>
      </c>
      <c r="AB1543">
        <v>33</v>
      </c>
      <c r="AC1543">
        <v>-0.54849999999999</v>
      </c>
      <c r="AD1543">
        <v>9.1500999999999999E-2</v>
      </c>
      <c r="AE1543">
        <v>6.3000000000101803E-3</v>
      </c>
      <c r="AF1543">
        <v>0.36991310031584002</v>
      </c>
      <c r="AG1543">
        <v>9.1500999999999999E-2</v>
      </c>
      <c r="AH1543">
        <v>0.38468846337899198</v>
      </c>
      <c r="AI1543">
        <v>80.271175741343001</v>
      </c>
      <c r="AJ1543">
        <v>46.1217281033544</v>
      </c>
      <c r="AK1543">
        <v>0.54147331295564904</v>
      </c>
      <c r="AL1543">
        <v>88.412537122428901</v>
      </c>
      <c r="AM1543">
        <v>82.784443332637395</v>
      </c>
      <c r="AN1543">
        <v>1.00000002512091</v>
      </c>
    </row>
    <row r="1544" spans="1:40" x14ac:dyDescent="0.25">
      <c r="A1544" t="str">
        <f>"20190312160327012"</f>
        <v>20190312160327012</v>
      </c>
      <c r="B1544" t="str">
        <f>"1552377807006148"</f>
        <v>1552377807006148</v>
      </c>
      <c r="C1544" t="s">
        <v>40</v>
      </c>
      <c r="D1544">
        <v>5.3337500000000002</v>
      </c>
      <c r="E1544">
        <v>0.63825769999999904</v>
      </c>
      <c r="F1544" t="s">
        <v>73</v>
      </c>
      <c r="G1544">
        <v>-323.27429999999998</v>
      </c>
      <c r="H1544">
        <v>5.1592789999999997</v>
      </c>
      <c r="I1544">
        <v>254.10669999999999</v>
      </c>
      <c r="J1544">
        <v>-201.48599999999999</v>
      </c>
      <c r="K1544">
        <v>1.097977</v>
      </c>
      <c r="L1544">
        <v>287.85939999999999</v>
      </c>
      <c r="M1544">
        <v>-0.73796139999999999</v>
      </c>
      <c r="N1544">
        <v>0</v>
      </c>
      <c r="O1544">
        <v>-0.67466130000000002</v>
      </c>
      <c r="P1544">
        <v>-0.81616849999999996</v>
      </c>
      <c r="Q1544">
        <v>1.475948E-2</v>
      </c>
      <c r="R1544">
        <v>-0.57762550000000001</v>
      </c>
      <c r="S1544">
        <v>-3.0842900000000002</v>
      </c>
      <c r="T1544">
        <v>0.10263990000000001</v>
      </c>
      <c r="U1544">
        <v>-0.85848999999999998</v>
      </c>
      <c r="V1544">
        <v>0.1252209</v>
      </c>
      <c r="W1544">
        <v>2.664234E-2</v>
      </c>
      <c r="X1544">
        <v>0.99177110000000002</v>
      </c>
      <c r="Y1544">
        <v>0.45162249999999998</v>
      </c>
      <c r="Z1544">
        <v>-2.7270929999999999E-2</v>
      </c>
      <c r="AA1544">
        <v>0.89179219999999904</v>
      </c>
      <c r="AB1544">
        <v>33</v>
      </c>
      <c r="AC1544">
        <v>-121.78830000000001</v>
      </c>
      <c r="AD1544">
        <v>4.0613020000000004</v>
      </c>
      <c r="AE1544">
        <v>-33.752699999999997</v>
      </c>
      <c r="AF1544">
        <v>57.205604159613998</v>
      </c>
      <c r="AG1544">
        <v>4.0613020000000004</v>
      </c>
      <c r="AH1544">
        <v>112.54428599531801</v>
      </c>
      <c r="AI1544">
        <v>88.157481907838203</v>
      </c>
      <c r="AJ1544">
        <v>63.056034840809197</v>
      </c>
      <c r="AK1544">
        <v>126.313861596412</v>
      </c>
      <c r="AL1544">
        <v>88.473325718303002</v>
      </c>
      <c r="AM1544">
        <v>82.803919455269394</v>
      </c>
      <c r="AN1544">
        <v>1.0000000014363399</v>
      </c>
    </row>
    <row r="1545" spans="1:40" x14ac:dyDescent="0.25">
      <c r="A1545" t="str">
        <f>"20190312160327037"</f>
        <v>20190312160327037</v>
      </c>
      <c r="B1545" t="str">
        <f>"1552377807025669"</f>
        <v>1552377807025669</v>
      </c>
      <c r="C1545" t="s">
        <v>40</v>
      </c>
      <c r="D1545">
        <v>5.223681</v>
      </c>
      <c r="E1545">
        <v>0.63585239999999998</v>
      </c>
      <c r="F1545" t="s">
        <v>71</v>
      </c>
      <c r="G1545">
        <v>-324.37189999999998</v>
      </c>
      <c r="H1545">
        <v>7.9013660000000003</v>
      </c>
      <c r="I1545">
        <v>254.68469999999999</v>
      </c>
      <c r="J1545">
        <v>-201.74870000000001</v>
      </c>
      <c r="K1545">
        <v>1.0978239999999999</v>
      </c>
      <c r="L1545">
        <v>287.63729999999998</v>
      </c>
      <c r="M1545">
        <v>-0.74772519999999998</v>
      </c>
      <c r="N1545">
        <v>0</v>
      </c>
      <c r="O1545">
        <v>-0.66382249999999998</v>
      </c>
      <c r="P1545">
        <v>-0.82450179999999995</v>
      </c>
      <c r="Q1545">
        <v>1.3517940000000001E-2</v>
      </c>
      <c r="R1545">
        <v>-0.56569799999999903</v>
      </c>
      <c r="S1545">
        <v>-3.0834809999999999</v>
      </c>
      <c r="T1545">
        <v>0.17071239999999999</v>
      </c>
      <c r="U1545">
        <v>-0.83242799999999995</v>
      </c>
      <c r="V1545">
        <v>0.1251592</v>
      </c>
      <c r="W1545">
        <v>2.5401070000000001E-2</v>
      </c>
      <c r="X1545">
        <v>0.99181149999999996</v>
      </c>
      <c r="Y1545">
        <v>0.4446698</v>
      </c>
      <c r="Z1545">
        <v>-4.4823130000000003E-2</v>
      </c>
      <c r="AA1545">
        <v>0.89457229999999999</v>
      </c>
      <c r="AB1545">
        <v>33</v>
      </c>
      <c r="AC1545">
        <v>-122.623199999999</v>
      </c>
      <c r="AD1545">
        <v>6.8035420000000002</v>
      </c>
      <c r="AE1545">
        <v>-32.952599999999897</v>
      </c>
      <c r="AF1545">
        <v>56.605036306842699</v>
      </c>
      <c r="AG1545">
        <v>6.8035420000000002</v>
      </c>
      <c r="AH1545">
        <v>113.25199199195499</v>
      </c>
      <c r="AI1545">
        <v>86.924105068557395</v>
      </c>
      <c r="AJ1545">
        <v>63.443432492692203</v>
      </c>
      <c r="AK1545">
        <v>126.792870498268</v>
      </c>
      <c r="AL1545">
        <v>88.544469410125402</v>
      </c>
      <c r="AM1545">
        <v>82.807717942843297</v>
      </c>
      <c r="AN1545">
        <v>1.0000000456170099</v>
      </c>
    </row>
    <row r="1546" spans="1:40" x14ac:dyDescent="0.25">
      <c r="A1546" t="str">
        <f>"20190312160327059"</f>
        <v>20190312160327059</v>
      </c>
      <c r="B1546" t="str">
        <f>"1552377807055924"</f>
        <v>1552377807055924</v>
      </c>
      <c r="C1546" t="s">
        <v>40</v>
      </c>
      <c r="D1546">
        <v>5.3881459999999999</v>
      </c>
      <c r="E1546">
        <v>0.63407279999999999</v>
      </c>
      <c r="F1546" t="s">
        <v>72</v>
      </c>
      <c r="G1546">
        <v>-352.55</v>
      </c>
      <c r="H1546">
        <v>10.863250000000001</v>
      </c>
      <c r="I1546">
        <v>248.34100000000001</v>
      </c>
      <c r="J1546">
        <v>-202.00540000000001</v>
      </c>
      <c r="K1546">
        <v>1.0976859999999999</v>
      </c>
      <c r="L1546">
        <v>287.42669999999998</v>
      </c>
      <c r="M1546">
        <v>-0.75711410000000001</v>
      </c>
      <c r="N1546">
        <v>0</v>
      </c>
      <c r="O1546">
        <v>-0.65309289999999998</v>
      </c>
      <c r="P1546">
        <v>-0.83239750000000001</v>
      </c>
      <c r="Q1546">
        <v>1.3515879999999999E-2</v>
      </c>
      <c r="R1546">
        <v>-0.55401429999999996</v>
      </c>
      <c r="S1546">
        <v>-3.083923</v>
      </c>
      <c r="T1546">
        <v>0.19970689999999999</v>
      </c>
      <c r="U1546">
        <v>-0.80361939999999998</v>
      </c>
      <c r="V1546">
        <v>0.1250134</v>
      </c>
      <c r="W1546">
        <v>2.5403930000000002E-2</v>
      </c>
      <c r="X1546">
        <v>0.99182979999999998</v>
      </c>
      <c r="Y1546">
        <v>0.43924279999999999</v>
      </c>
      <c r="Z1546">
        <v>-5.1849369999999999E-2</v>
      </c>
      <c r="AA1546">
        <v>0.89687090000000003</v>
      </c>
      <c r="AB1546">
        <v>33</v>
      </c>
      <c r="AC1546">
        <v>-150.5446</v>
      </c>
      <c r="AD1546">
        <v>9.7655639999999995</v>
      </c>
      <c r="AE1546">
        <v>-39.085700000000003</v>
      </c>
      <c r="AF1546">
        <v>68.465891781524604</v>
      </c>
      <c r="AG1546">
        <v>9.7655639999999995</v>
      </c>
      <c r="AH1546">
        <v>138.97546424990901</v>
      </c>
      <c r="AI1546">
        <v>86.393181984936206</v>
      </c>
      <c r="AJ1546">
        <v>63.772960468881301</v>
      </c>
      <c r="AK1546">
        <v>155.23248449069899</v>
      </c>
      <c r="AL1546">
        <v>88.544305470030196</v>
      </c>
      <c r="AM1546">
        <v>82.816139928023503</v>
      </c>
      <c r="AN1546">
        <v>1.00000003100352</v>
      </c>
    </row>
    <row r="1547" spans="1:40" x14ac:dyDescent="0.25">
      <c r="A1547" t="str">
        <f>"20190312160327080"</f>
        <v>20190312160327080</v>
      </c>
      <c r="B1547" t="str">
        <f>"1552377807076420"</f>
        <v>1552377807076420</v>
      </c>
      <c r="C1547" t="s">
        <v>40</v>
      </c>
      <c r="D1547">
        <v>5.4750639999999997</v>
      </c>
      <c r="E1547">
        <v>0.63257739999999996</v>
      </c>
      <c r="F1547" t="s">
        <v>74</v>
      </c>
      <c r="G1547">
        <v>-280.8947</v>
      </c>
      <c r="H1547">
        <v>5.5049349999999997</v>
      </c>
      <c r="I1547">
        <v>267.70600000000002</v>
      </c>
      <c r="J1547">
        <v>-202.24969999999999</v>
      </c>
      <c r="K1547">
        <v>1.0975600000000001</v>
      </c>
      <c r="L1547">
        <v>287.2319</v>
      </c>
      <c r="M1547">
        <v>-0.76590570000000002</v>
      </c>
      <c r="N1547">
        <v>0</v>
      </c>
      <c r="O1547">
        <v>-0.64275930000000003</v>
      </c>
      <c r="P1547">
        <v>-0.83957939999999998</v>
      </c>
      <c r="Q1547">
        <v>1.3269370000000001E-2</v>
      </c>
      <c r="R1547">
        <v>-0.54307519999999998</v>
      </c>
      <c r="S1547">
        <v>-3.0875400000000002</v>
      </c>
      <c r="T1547">
        <v>0.1724889</v>
      </c>
      <c r="U1547">
        <v>-0.77182010000000001</v>
      </c>
      <c r="V1547">
        <v>0.12453690000000001</v>
      </c>
      <c r="W1547">
        <v>2.5173689999999999E-2</v>
      </c>
      <c r="X1547">
        <v>0.99189559999999999</v>
      </c>
      <c r="Y1547">
        <v>0.43647930000000001</v>
      </c>
      <c r="Z1547">
        <v>-4.4341190000000003E-2</v>
      </c>
      <c r="AA1547">
        <v>0.898620999999999</v>
      </c>
      <c r="AB1547">
        <v>33</v>
      </c>
      <c r="AC1547">
        <v>-78.644999999999996</v>
      </c>
      <c r="AD1547">
        <v>4.407375</v>
      </c>
      <c r="AE1547">
        <v>-19.5259</v>
      </c>
      <c r="AF1547">
        <v>35.494236427871598</v>
      </c>
      <c r="AG1547">
        <v>4.407375</v>
      </c>
      <c r="AH1547">
        <v>72.579458412159198</v>
      </c>
      <c r="AI1547">
        <v>86.877553453226398</v>
      </c>
      <c r="AJ1547">
        <v>63.939531219587103</v>
      </c>
      <c r="AK1547">
        <v>80.913803256246794</v>
      </c>
      <c r="AL1547">
        <v>88.557501451005606</v>
      </c>
      <c r="AM1547">
        <v>82.843707247095793</v>
      </c>
      <c r="AN1547">
        <v>1.00000001771459</v>
      </c>
    </row>
    <row r="1548" spans="1:40" x14ac:dyDescent="0.25">
      <c r="A1548" t="str">
        <f>"20190312160327102"</f>
        <v>20190312160327102</v>
      </c>
      <c r="B1548" t="str">
        <f>"1552377807095941"</f>
        <v>1552377807095941</v>
      </c>
      <c r="C1548" t="s">
        <v>40</v>
      </c>
      <c r="D1548">
        <v>5.7804460000000004</v>
      </c>
      <c r="E1548">
        <v>0.63306090000000004</v>
      </c>
      <c r="F1548" t="s">
        <v>72</v>
      </c>
      <c r="G1548">
        <v>-352.08690000000001</v>
      </c>
      <c r="H1548">
        <v>10.191269999999999</v>
      </c>
      <c r="I1548">
        <v>251.28559999999999</v>
      </c>
      <c r="J1548">
        <v>-202.51339999999999</v>
      </c>
      <c r="K1548">
        <v>1.0974360000000001</v>
      </c>
      <c r="L1548">
        <v>287.02760000000001</v>
      </c>
      <c r="M1548">
        <v>-0.77523089999999995</v>
      </c>
      <c r="N1548">
        <v>0</v>
      </c>
      <c r="O1548">
        <v>-0.63147989999999998</v>
      </c>
      <c r="P1548">
        <v>-0.84703059999999997</v>
      </c>
      <c r="Q1548">
        <v>1.313602E-2</v>
      </c>
      <c r="R1548">
        <v>-0.53138229999999997</v>
      </c>
      <c r="S1548">
        <v>-3.090652</v>
      </c>
      <c r="T1548">
        <v>0.18757509999999999</v>
      </c>
      <c r="U1548">
        <v>-0.74145509999999903</v>
      </c>
      <c r="V1548">
        <v>0.12377779999999999</v>
      </c>
      <c r="W1548">
        <v>2.5067389999999998E-2</v>
      </c>
      <c r="X1548">
        <v>0.99199329999999997</v>
      </c>
      <c r="Y1548">
        <v>0.43161529999999998</v>
      </c>
      <c r="Z1548">
        <v>-4.7607259999999998E-2</v>
      </c>
      <c r="AA1548">
        <v>0.90080059999999995</v>
      </c>
      <c r="AB1548">
        <v>33</v>
      </c>
      <c r="AC1548">
        <v>-149.5735</v>
      </c>
      <c r="AD1548">
        <v>9.0938339999999993</v>
      </c>
      <c r="AE1548">
        <v>-35.741999999999997</v>
      </c>
      <c r="AF1548">
        <v>66.520100875933096</v>
      </c>
      <c r="AG1548">
        <v>9.0938339999999993</v>
      </c>
      <c r="AH1548">
        <v>138.05892405971699</v>
      </c>
      <c r="AI1548">
        <v>86.604031666262202</v>
      </c>
      <c r="AJ1548">
        <v>64.274117531951902</v>
      </c>
      <c r="AK1548">
        <v>153.51836421057499</v>
      </c>
      <c r="AL1548">
        <v>88.563593907415694</v>
      </c>
      <c r="AM1548">
        <v>82.887572803256305</v>
      </c>
      <c r="AN1548">
        <v>1.00000001252957</v>
      </c>
    </row>
    <row r="1549" spans="1:40" x14ac:dyDescent="0.25">
      <c r="A1549" t="str">
        <f>"20190312160327125"</f>
        <v>20190312160327125</v>
      </c>
      <c r="B1549" t="str">
        <f>"1552377807116437"</f>
        <v>1552377807116437</v>
      </c>
      <c r="C1549" t="s">
        <v>40</v>
      </c>
      <c r="D1549">
        <v>5.4708949999999996</v>
      </c>
      <c r="E1549">
        <v>0.63394090000000003</v>
      </c>
      <c r="F1549" t="s">
        <v>72</v>
      </c>
      <c r="G1549">
        <v>-352.55</v>
      </c>
      <c r="H1549">
        <v>10.814030000000001</v>
      </c>
      <c r="I1549">
        <v>253.39359999999999</v>
      </c>
      <c r="J1549">
        <v>-202.77930000000001</v>
      </c>
      <c r="K1549">
        <v>1.0973109999999999</v>
      </c>
      <c r="L1549">
        <v>286.82810000000001</v>
      </c>
      <c r="M1549">
        <v>-0.78445169999999997</v>
      </c>
      <c r="N1549">
        <v>0</v>
      </c>
      <c r="O1549">
        <v>-0.61998719999999996</v>
      </c>
      <c r="P1549">
        <v>-0.85403799999999996</v>
      </c>
      <c r="Q1549">
        <v>1.3521679999999999E-2</v>
      </c>
      <c r="R1549">
        <v>-0.52003540000000004</v>
      </c>
      <c r="S1549">
        <v>-3.1023710000000002</v>
      </c>
      <c r="T1549">
        <v>0.20091580000000001</v>
      </c>
      <c r="U1549">
        <v>-0.69546509999999995</v>
      </c>
      <c r="V1549">
        <v>0.1224098</v>
      </c>
      <c r="W1549">
        <v>2.5501650000000001E-2</v>
      </c>
      <c r="X1549">
        <v>0.99215200000000003</v>
      </c>
      <c r="Y1549">
        <v>0.43155209999999999</v>
      </c>
      <c r="Z1549">
        <v>-5.0374820000000001E-2</v>
      </c>
      <c r="AA1549">
        <v>0.90068040000000005</v>
      </c>
      <c r="AB1549">
        <v>33</v>
      </c>
      <c r="AC1549">
        <v>-149.77070000000001</v>
      </c>
      <c r="AD1549">
        <v>9.7167189999999994</v>
      </c>
      <c r="AE1549">
        <v>-33.4345</v>
      </c>
      <c r="AF1549">
        <v>66.370446866883896</v>
      </c>
      <c r="AG1549">
        <v>9.7167189999999994</v>
      </c>
      <c r="AH1549">
        <v>137.68221545965699</v>
      </c>
      <c r="AI1549">
        <v>86.362453655146098</v>
      </c>
      <c r="AJ1549">
        <v>64.263360465536095</v>
      </c>
      <c r="AK1549">
        <v>153.15300617132601</v>
      </c>
      <c r="AL1549">
        <v>88.538704728483197</v>
      </c>
      <c r="AM1549">
        <v>82.966501835459297</v>
      </c>
      <c r="AN1549">
        <v>1.0000000421963799</v>
      </c>
    </row>
    <row r="1550" spans="1:40" x14ac:dyDescent="0.25">
      <c r="A1550" t="str">
        <f>"20190312160327148"</f>
        <v>20190312160327148</v>
      </c>
      <c r="B1550" t="str">
        <f>"1552377807135957"</f>
        <v>1552377807135957</v>
      </c>
      <c r="C1550" t="s">
        <v>40</v>
      </c>
      <c r="D1550">
        <v>5.3963469999999996</v>
      </c>
      <c r="E1550">
        <v>0.63390619999999998</v>
      </c>
      <c r="F1550" t="s">
        <v>72</v>
      </c>
      <c r="G1550">
        <v>-352.55</v>
      </c>
      <c r="H1550">
        <v>10.67454</v>
      </c>
      <c r="I1550">
        <v>255.6746</v>
      </c>
      <c r="J1550">
        <v>-203.05340000000001</v>
      </c>
      <c r="K1550">
        <v>1.097194</v>
      </c>
      <c r="L1550">
        <v>286.62860000000001</v>
      </c>
      <c r="M1550">
        <v>-0.79376659999999999</v>
      </c>
      <c r="N1550">
        <v>0</v>
      </c>
      <c r="O1550">
        <v>-0.60801479999999997</v>
      </c>
      <c r="P1550">
        <v>-0.86130300000000004</v>
      </c>
      <c r="Q1550">
        <v>1.4241180000000001E-2</v>
      </c>
      <c r="R1550">
        <v>-0.50789280000000003</v>
      </c>
      <c r="S1550">
        <v>-3.115021</v>
      </c>
      <c r="T1550">
        <v>0.19919439999999999</v>
      </c>
      <c r="U1550">
        <v>-0.647949199999999</v>
      </c>
      <c r="V1550">
        <v>0.1214272</v>
      </c>
      <c r="W1550">
        <v>2.6259089999999999E-2</v>
      </c>
      <c r="X1550">
        <v>0.99225289999999999</v>
      </c>
      <c r="Y1550">
        <v>0.43183860000000002</v>
      </c>
      <c r="Z1550">
        <v>-4.9300219999999999E-2</v>
      </c>
      <c r="AA1550">
        <v>0.90060249999999997</v>
      </c>
      <c r="AB1550">
        <v>33</v>
      </c>
      <c r="AC1550">
        <v>-149.4966</v>
      </c>
      <c r="AD1550">
        <v>9.5773460000000004</v>
      </c>
      <c r="AE1550">
        <v>-30.954000000000001</v>
      </c>
      <c r="AF1550">
        <v>66.074238833089098</v>
      </c>
      <c r="AG1550">
        <v>9.5773460000000004</v>
      </c>
      <c r="AH1550">
        <v>136.96424596490101</v>
      </c>
      <c r="AI1550">
        <v>86.396258578796207</v>
      </c>
      <c r="AJ1550">
        <v>64.246426862117801</v>
      </c>
      <c r="AK1550">
        <v>152.37038841753201</v>
      </c>
      <c r="AL1550">
        <v>88.4952919508425</v>
      </c>
      <c r="AM1550">
        <v>83.023104433063907</v>
      </c>
      <c r="AN1550">
        <v>0.99999996113293799</v>
      </c>
    </row>
    <row r="1551" spans="1:40" x14ac:dyDescent="0.25">
      <c r="A1551" t="str">
        <f>"20190312160327169"</f>
        <v>20190312160327169</v>
      </c>
      <c r="B1551" t="str">
        <f>"1552377807166213"</f>
        <v>1552377807166213</v>
      </c>
      <c r="C1551" t="s">
        <v>40</v>
      </c>
      <c r="D1551">
        <v>5.5417430000000003</v>
      </c>
      <c r="E1551">
        <v>0.63498929999999998</v>
      </c>
      <c r="F1551" t="s">
        <v>72</v>
      </c>
      <c r="G1551">
        <v>-352.55</v>
      </c>
      <c r="H1551">
        <v>10.312250000000001</v>
      </c>
      <c r="I1551">
        <v>257.73349999999999</v>
      </c>
      <c r="J1551">
        <v>-203.30959999999999</v>
      </c>
      <c r="K1551">
        <v>1.0971010000000001</v>
      </c>
      <c r="L1551">
        <v>286.44839999999999</v>
      </c>
      <c r="M1551">
        <v>-0.80228569999999999</v>
      </c>
      <c r="N1551">
        <v>0</v>
      </c>
      <c r="O1551">
        <v>-0.59672740000000002</v>
      </c>
      <c r="P1551">
        <v>-0.86780800000000002</v>
      </c>
      <c r="Q1551">
        <v>1.475506E-2</v>
      </c>
      <c r="R1551">
        <v>-0.49668030000000002</v>
      </c>
      <c r="S1551">
        <v>-3.1238709999999998</v>
      </c>
      <c r="T1551">
        <v>0.19255890000000001</v>
      </c>
      <c r="U1551">
        <v>-0.6037903</v>
      </c>
      <c r="V1551">
        <v>0.12027930000000001</v>
      </c>
      <c r="W1551">
        <v>2.681679E-2</v>
      </c>
      <c r="X1551">
        <v>0.99237779999999998</v>
      </c>
      <c r="Y1551">
        <v>0.43197679999999999</v>
      </c>
      <c r="Z1551">
        <v>-4.7100580000000003E-2</v>
      </c>
      <c r="AA1551">
        <v>0.90065399999999995</v>
      </c>
      <c r="AB1551">
        <v>33</v>
      </c>
      <c r="AC1551">
        <v>-149.24039999999999</v>
      </c>
      <c r="AD1551">
        <v>9.2151490000000003</v>
      </c>
      <c r="AE1551">
        <v>-28.7149</v>
      </c>
      <c r="AF1551">
        <v>65.784806885326205</v>
      </c>
      <c r="AG1551">
        <v>9.2151490000000003</v>
      </c>
      <c r="AH1551">
        <v>136.384367799107</v>
      </c>
      <c r="AI1551">
        <v>86.517401430301007</v>
      </c>
      <c r="AJ1551">
        <v>64.249728332657597</v>
      </c>
      <c r="AK1551">
        <v>151.70120489961201</v>
      </c>
      <c r="AL1551">
        <v>88.463326854960897</v>
      </c>
      <c r="AM1551">
        <v>83.089280324812293</v>
      </c>
      <c r="AN1551">
        <v>0.99999997408361596</v>
      </c>
    </row>
    <row r="1552" spans="1:40" x14ac:dyDescent="0.25">
      <c r="A1552" t="str">
        <f>"20190312160327190"</f>
        <v>20190312160327190</v>
      </c>
      <c r="B1552" t="str">
        <f>"1552377807185733"</f>
        <v>1552377807185733</v>
      </c>
      <c r="C1552" t="s">
        <v>40</v>
      </c>
      <c r="D1552">
        <v>5.2136480000000001</v>
      </c>
      <c r="E1552">
        <v>0.6349494</v>
      </c>
      <c r="F1552" t="s">
        <v>71</v>
      </c>
      <c r="G1552">
        <v>-332.98759999999999</v>
      </c>
      <c r="H1552">
        <v>7.813733</v>
      </c>
      <c r="I1552">
        <v>263.48070000000001</v>
      </c>
      <c r="J1552">
        <v>-203.57499999999999</v>
      </c>
      <c r="K1552">
        <v>1.09701</v>
      </c>
      <c r="L1552">
        <v>286.26749999999998</v>
      </c>
      <c r="M1552">
        <v>-0.81091329999999995</v>
      </c>
      <c r="N1552">
        <v>0</v>
      </c>
      <c r="O1552">
        <v>-0.58494840000000003</v>
      </c>
      <c r="P1552">
        <v>-0.87438359999999904</v>
      </c>
      <c r="Q1552">
        <v>1.3661929999999999E-2</v>
      </c>
      <c r="R1552">
        <v>-0.4850431</v>
      </c>
      <c r="S1552">
        <v>-3.136307</v>
      </c>
      <c r="T1552">
        <v>0.16244420000000001</v>
      </c>
      <c r="U1552">
        <v>-0.555481</v>
      </c>
      <c r="V1552">
        <v>0.1190278</v>
      </c>
      <c r="W1552">
        <v>2.5773359999999999E-2</v>
      </c>
      <c r="X1552">
        <v>0.99255629999999995</v>
      </c>
      <c r="Y1552">
        <v>0.43340499999999998</v>
      </c>
      <c r="Z1552">
        <v>-3.923778E-2</v>
      </c>
      <c r="AA1552">
        <v>0.9003447</v>
      </c>
      <c r="AB1552">
        <v>33</v>
      </c>
      <c r="AC1552">
        <v>-129.4126</v>
      </c>
      <c r="AD1552">
        <v>6.716723</v>
      </c>
      <c r="AE1552">
        <v>-22.7867999999999</v>
      </c>
      <c r="AF1552">
        <v>57.079734626255402</v>
      </c>
      <c r="AG1552">
        <v>6.716723</v>
      </c>
      <c r="AH1552">
        <v>117.978332099859</v>
      </c>
      <c r="AI1552">
        <v>87.066224727368606</v>
      </c>
      <c r="AJ1552">
        <v>64.181587598835094</v>
      </c>
      <c r="AK1552">
        <v>131.23298868015999</v>
      </c>
      <c r="AL1552">
        <v>88.523131631937304</v>
      </c>
      <c r="AM1552">
        <v>83.161719701660701</v>
      </c>
      <c r="AN1552">
        <v>0.99999994596410802</v>
      </c>
    </row>
    <row r="1553" spans="1:40" x14ac:dyDescent="0.25">
      <c r="A1553" t="str">
        <f>"20190312160327215"</f>
        <v>20190312160327215</v>
      </c>
      <c r="B1553" t="str">
        <f>"1552377807206229"</f>
        <v>1552377807206229</v>
      </c>
      <c r="C1553" t="s">
        <v>40</v>
      </c>
      <c r="D1553">
        <v>5.6144790000000002</v>
      </c>
      <c r="E1553">
        <v>0.63451279999999999</v>
      </c>
      <c r="F1553" t="s">
        <v>71</v>
      </c>
      <c r="G1553">
        <v>-336.2287</v>
      </c>
      <c r="H1553">
        <v>7.8137319999999999</v>
      </c>
      <c r="I1553">
        <v>264.57589999999999</v>
      </c>
      <c r="J1553">
        <v>-203.8793</v>
      </c>
      <c r="K1553">
        <v>1.096929</v>
      </c>
      <c r="L1553">
        <v>286.06700000000001</v>
      </c>
      <c r="M1553">
        <v>-0.82055359999999999</v>
      </c>
      <c r="N1553">
        <v>0</v>
      </c>
      <c r="O1553">
        <v>-0.57134580000000001</v>
      </c>
      <c r="P1553">
        <v>-0.88273250000000003</v>
      </c>
      <c r="Q1553">
        <v>1.272276E-2</v>
      </c>
      <c r="R1553">
        <v>-0.46970400000000001</v>
      </c>
      <c r="S1553">
        <v>-3.1433870000000002</v>
      </c>
      <c r="T1553">
        <v>0.15916089999999999</v>
      </c>
      <c r="U1553">
        <v>-0.51400760000000001</v>
      </c>
      <c r="V1553">
        <v>0.1197902</v>
      </c>
      <c r="W1553">
        <v>2.481856E-2</v>
      </c>
      <c r="X1553">
        <v>0.99248899999999995</v>
      </c>
      <c r="Y1553">
        <v>0.43034169999999999</v>
      </c>
      <c r="Z1553">
        <v>-3.7803169999999997E-2</v>
      </c>
      <c r="AA1553">
        <v>0.90187410000000001</v>
      </c>
      <c r="AB1553">
        <v>32</v>
      </c>
      <c r="AC1553">
        <v>-132.3494</v>
      </c>
      <c r="AD1553">
        <v>6.7168029999999996</v>
      </c>
      <c r="AE1553">
        <v>-21.491099999999999</v>
      </c>
      <c r="AF1553">
        <v>57.844931910902503</v>
      </c>
      <c r="AG1553">
        <v>6.7168029999999996</v>
      </c>
      <c r="AH1553">
        <v>120.591469592415</v>
      </c>
      <c r="AI1553">
        <v>87.125015339756999</v>
      </c>
      <c r="AJ1553">
        <v>64.374045815193</v>
      </c>
      <c r="AK1553">
        <v>133.9158471906</v>
      </c>
      <c r="AL1553">
        <v>88.577855283723906</v>
      </c>
      <c r="AM1553">
        <v>83.117875514985002</v>
      </c>
      <c r="AN1553">
        <v>1.00000003402875</v>
      </c>
    </row>
    <row r="1554" spans="1:40" x14ac:dyDescent="0.25">
      <c r="A1554" t="str">
        <f>"20190312160327236"</f>
        <v>20190312160327236</v>
      </c>
      <c r="B1554" t="str">
        <f>"1552377807225964"</f>
        <v>1552377807225964</v>
      </c>
      <c r="C1554" t="s">
        <v>40</v>
      </c>
      <c r="D1554">
        <v>5.787547</v>
      </c>
      <c r="E1554">
        <v>0.63390789999999997</v>
      </c>
      <c r="F1554" t="s">
        <v>72</v>
      </c>
      <c r="G1554">
        <v>-352.55</v>
      </c>
      <c r="H1554">
        <v>8.979787</v>
      </c>
      <c r="I1554">
        <v>264.25150000000002</v>
      </c>
      <c r="J1554">
        <v>-204.14449999999999</v>
      </c>
      <c r="K1554">
        <v>1.096868</v>
      </c>
      <c r="L1554">
        <v>285.8981</v>
      </c>
      <c r="M1554">
        <v>-0.82872619999999897</v>
      </c>
      <c r="N1554">
        <v>0</v>
      </c>
      <c r="O1554">
        <v>-0.55942510000000001</v>
      </c>
      <c r="P1554">
        <v>-0.89037379999999999</v>
      </c>
      <c r="Q1554">
        <v>1.292548E-2</v>
      </c>
      <c r="R1554">
        <v>-0.45504689999999998</v>
      </c>
      <c r="S1554">
        <v>-3.1501769999999998</v>
      </c>
      <c r="T1554">
        <v>0.16703119999999999</v>
      </c>
      <c r="U1554">
        <v>-0.46224979999999899</v>
      </c>
      <c r="V1554">
        <v>0.12185940000000001</v>
      </c>
      <c r="W1554">
        <v>2.4961560000000001E-2</v>
      </c>
      <c r="X1554">
        <v>0.99223349999999999</v>
      </c>
      <c r="Y1554">
        <v>0.43197160000000001</v>
      </c>
      <c r="Z1554">
        <v>-3.9198610000000002E-2</v>
      </c>
      <c r="AA1554">
        <v>0.90103500000000003</v>
      </c>
      <c r="AB1554">
        <v>32</v>
      </c>
      <c r="AC1554">
        <v>-148.40549999999999</v>
      </c>
      <c r="AD1554">
        <v>7.8829190000000002</v>
      </c>
      <c r="AE1554">
        <v>-21.6465999999999</v>
      </c>
      <c r="AF1554">
        <v>64.911673267667197</v>
      </c>
      <c r="AG1554">
        <v>7.8829190000000002</v>
      </c>
      <c r="AH1554">
        <v>134.74225285287599</v>
      </c>
      <c r="AI1554">
        <v>86.982934475046093</v>
      </c>
      <c r="AJ1554">
        <v>64.277698425498698</v>
      </c>
      <c r="AK1554">
        <v>149.77029225529799</v>
      </c>
      <c r="AL1554">
        <v>88.569659479391305</v>
      </c>
      <c r="AM1554">
        <v>82.998381843422706</v>
      </c>
      <c r="AN1554">
        <v>1.00000005568412</v>
      </c>
    </row>
    <row r="1555" spans="1:40" x14ac:dyDescent="0.25">
      <c r="A1555" t="str">
        <f>"20190312160327259"</f>
        <v>20190312160327259</v>
      </c>
      <c r="B1555" t="str">
        <f>"1552377807256220"</f>
        <v>1552377807256220</v>
      </c>
      <c r="C1555" t="s">
        <v>40</v>
      </c>
      <c r="D1555">
        <v>5.8004049999999996</v>
      </c>
      <c r="E1555">
        <v>0.63264100000000001</v>
      </c>
      <c r="F1555" t="s">
        <v>72</v>
      </c>
      <c r="G1555">
        <v>-352.08690000000001</v>
      </c>
      <c r="H1555">
        <v>9.2814560000000004</v>
      </c>
      <c r="I1555">
        <v>266.46690000000001</v>
      </c>
      <c r="J1555">
        <v>-204.43029999999999</v>
      </c>
      <c r="K1555">
        <v>1.0968209999999901</v>
      </c>
      <c r="L1555">
        <v>285.72210000000001</v>
      </c>
      <c r="M1555">
        <v>-0.8372889</v>
      </c>
      <c r="N1555">
        <v>0</v>
      </c>
      <c r="O1555">
        <v>-0.54652529999999999</v>
      </c>
      <c r="P1555">
        <v>-0.8981768</v>
      </c>
      <c r="Q1555">
        <v>1.3337190000000001E-2</v>
      </c>
      <c r="R1555">
        <v>-0.43943179999999998</v>
      </c>
      <c r="S1555">
        <v>-3.1550750000000001</v>
      </c>
      <c r="T1555">
        <v>0.17454919999999999</v>
      </c>
      <c r="U1555">
        <v>-0.41439819999999999</v>
      </c>
      <c r="V1555">
        <v>0.12383189999999999</v>
      </c>
      <c r="W1555">
        <v>2.5316700000000001E-2</v>
      </c>
      <c r="X1555">
        <v>0.99198019999999998</v>
      </c>
      <c r="Y1555">
        <v>0.43151889999999998</v>
      </c>
      <c r="Z1555">
        <v>-4.0370349999999999E-2</v>
      </c>
      <c r="AA1555">
        <v>0.90120020000000001</v>
      </c>
      <c r="AB1555">
        <v>32</v>
      </c>
      <c r="AC1555">
        <v>-147.6566</v>
      </c>
      <c r="AD1555">
        <v>8.1846350000000001</v>
      </c>
      <c r="AE1555">
        <v>-19.255199999999999</v>
      </c>
      <c r="AF1555">
        <v>64.389685039858705</v>
      </c>
      <c r="AG1555">
        <v>8.1846350000000001</v>
      </c>
      <c r="AH1555">
        <v>133.76782466390699</v>
      </c>
      <c r="AI1555">
        <v>86.844428047665005</v>
      </c>
      <c r="AJ1555">
        <v>64.295973422317303</v>
      </c>
      <c r="AK1555">
        <v>148.683727101957</v>
      </c>
      <c r="AL1555">
        <v>88.549304937863795</v>
      </c>
      <c r="AM1555">
        <v>82.884403003776796</v>
      </c>
      <c r="AN1555">
        <v>0.99999999597426903</v>
      </c>
    </row>
    <row r="1556" spans="1:40" x14ac:dyDescent="0.25">
      <c r="A1556" t="str">
        <f>"20190312160327280"</f>
        <v>20190312160327280</v>
      </c>
      <c r="B1556" t="str">
        <f>"1552377807275740"</f>
        <v>1552377807275740</v>
      </c>
      <c r="C1556" t="s">
        <v>40</v>
      </c>
      <c r="D1556">
        <v>5.6406320000000001</v>
      </c>
      <c r="E1556">
        <v>0.63167839999999997</v>
      </c>
      <c r="F1556" t="s">
        <v>72</v>
      </c>
      <c r="G1556">
        <v>-353.21440000000001</v>
      </c>
      <c r="H1556">
        <v>9.6300329999999992</v>
      </c>
      <c r="I1556">
        <v>268.36970000000002</v>
      </c>
      <c r="J1556">
        <v>-204.70609999999999</v>
      </c>
      <c r="K1556">
        <v>1.096792</v>
      </c>
      <c r="L1556">
        <v>285.55790000000002</v>
      </c>
      <c r="M1556">
        <v>-0.84531859999999903</v>
      </c>
      <c r="N1556">
        <v>0</v>
      </c>
      <c r="O1556">
        <v>-0.53402109999999903</v>
      </c>
      <c r="P1556">
        <v>-0.90500930000000002</v>
      </c>
      <c r="Q1556">
        <v>1.3231390000000001E-2</v>
      </c>
      <c r="R1556">
        <v>-0.42518590000000001</v>
      </c>
      <c r="S1556">
        <v>-3.157257</v>
      </c>
      <c r="T1556">
        <v>0.18107960000000001</v>
      </c>
      <c r="U1556">
        <v>-0.36822510000000003</v>
      </c>
      <c r="V1556">
        <v>0.12476180000000001</v>
      </c>
      <c r="W1556">
        <v>2.5189420000000001E-2</v>
      </c>
      <c r="X1556">
        <v>0.9918669</v>
      </c>
      <c r="Y1556">
        <v>0.43108839999999998</v>
      </c>
      <c r="Z1556">
        <v>-4.1304710000000001E-2</v>
      </c>
      <c r="AA1556">
        <v>0.90136380000000005</v>
      </c>
      <c r="AB1556">
        <v>32</v>
      </c>
      <c r="AC1556">
        <v>-148.50829999999999</v>
      </c>
      <c r="AD1556">
        <v>8.5332410000000003</v>
      </c>
      <c r="AE1556">
        <v>-17.188199999999899</v>
      </c>
      <c r="AF1556">
        <v>64.575032364310303</v>
      </c>
      <c r="AG1556">
        <v>8.5332410000000003</v>
      </c>
      <c r="AH1556">
        <v>134.29553529486699</v>
      </c>
      <c r="AI1556">
        <v>86.722558083242106</v>
      </c>
      <c r="AJ1556">
        <v>64.319763658322998</v>
      </c>
      <c r="AK1556">
        <v>149.25830565483</v>
      </c>
      <c r="AL1556">
        <v>88.556599848749798</v>
      </c>
      <c r="AM1556">
        <v>82.830712831002799</v>
      </c>
      <c r="AN1556">
        <v>0.99999998046739302</v>
      </c>
    </row>
    <row r="1557" spans="1:40" x14ac:dyDescent="0.25">
      <c r="A1557" t="str">
        <f>"20190312160327303"</f>
        <v>20190312160327303</v>
      </c>
      <c r="B1557" t="str">
        <f>"1552377807296237"</f>
        <v>1552377807296237</v>
      </c>
      <c r="C1557" t="s">
        <v>40</v>
      </c>
      <c r="D1557">
        <v>5.4379730000000004</v>
      </c>
      <c r="E1557">
        <v>0.63079739999999995</v>
      </c>
      <c r="F1557" t="s">
        <v>72</v>
      </c>
      <c r="G1557">
        <v>-371.61450000000002</v>
      </c>
      <c r="H1557">
        <v>10.79589</v>
      </c>
      <c r="I1557">
        <v>268.36970000000002</v>
      </c>
      <c r="J1557">
        <v>-204.98500000000001</v>
      </c>
      <c r="K1557">
        <v>1.0967640000000001</v>
      </c>
      <c r="L1557">
        <v>285.3974</v>
      </c>
      <c r="M1557">
        <v>-0.85319500000000004</v>
      </c>
      <c r="N1557">
        <v>0</v>
      </c>
      <c r="O1557">
        <v>-0.52134440000000004</v>
      </c>
      <c r="P1557">
        <v>-0.9117113</v>
      </c>
      <c r="Q1557">
        <v>1.1751019999999999E-2</v>
      </c>
      <c r="R1557">
        <v>-0.41066330000000001</v>
      </c>
      <c r="S1557">
        <v>-3.159332</v>
      </c>
      <c r="T1557">
        <v>0.18359110000000001</v>
      </c>
      <c r="U1557">
        <v>-0.32534790000000002</v>
      </c>
      <c r="V1557">
        <v>0.125779</v>
      </c>
      <c r="W1557">
        <v>2.368402E-2</v>
      </c>
      <c r="X1557">
        <v>0.99177550000000003</v>
      </c>
      <c r="Y1557">
        <v>0.42975940000000001</v>
      </c>
      <c r="Z1557">
        <v>-4.1244210000000003E-2</v>
      </c>
      <c r="AA1557">
        <v>0.90200100000000005</v>
      </c>
      <c r="AB1557">
        <v>32</v>
      </c>
      <c r="AC1557">
        <v>-166.62950000000001</v>
      </c>
      <c r="AD1557">
        <v>9.6991259999999997</v>
      </c>
      <c r="AE1557">
        <v>-17.0276999999999</v>
      </c>
      <c r="AF1557">
        <v>72.110956400444906</v>
      </c>
      <c r="AG1557">
        <v>9.6991259999999997</v>
      </c>
      <c r="AH1557">
        <v>150.55941955645599</v>
      </c>
      <c r="AI1557">
        <v>86.6748337280345</v>
      </c>
      <c r="AJ1557">
        <v>64.407747623678006</v>
      </c>
      <c r="AK1557">
        <v>167.219023724359</v>
      </c>
      <c r="AL1557">
        <v>88.642878670164706</v>
      </c>
      <c r="AM1557">
        <v>82.772217237284593</v>
      </c>
      <c r="AN1557">
        <v>0.99999996602230401</v>
      </c>
    </row>
    <row r="1558" spans="1:40" x14ac:dyDescent="0.25">
      <c r="A1558" t="str">
        <f>"20190312160327325"</f>
        <v>20190312160327325</v>
      </c>
      <c r="B1558" t="str">
        <f>"1552377807315756"</f>
        <v>1552377807315756</v>
      </c>
      <c r="C1558" t="s">
        <v>40</v>
      </c>
      <c r="D1558">
        <v>5.9124119999999998</v>
      </c>
      <c r="E1558">
        <v>0.63007279999999999</v>
      </c>
      <c r="F1558" t="s">
        <v>75</v>
      </c>
      <c r="G1558">
        <v>-458.15159999999997</v>
      </c>
      <c r="H1558">
        <v>15.460800000000001</v>
      </c>
      <c r="I1558">
        <v>262.87299999999999</v>
      </c>
      <c r="J1558">
        <v>-205.27879999999999</v>
      </c>
      <c r="K1558">
        <v>1.0967420000000001</v>
      </c>
      <c r="L1558">
        <v>285.23430000000002</v>
      </c>
      <c r="M1558">
        <v>-0.86123249999999996</v>
      </c>
      <c r="N1558">
        <v>0</v>
      </c>
      <c r="O1558">
        <v>-0.50795630000000003</v>
      </c>
      <c r="P1558">
        <v>-0.91807559999999999</v>
      </c>
      <c r="Q1558">
        <v>1.031528E-2</v>
      </c>
      <c r="R1558">
        <v>-0.3962717</v>
      </c>
      <c r="S1558">
        <v>-3.1614990000000001</v>
      </c>
      <c r="T1558">
        <v>0.17937639999999999</v>
      </c>
      <c r="U1558">
        <v>-0.28128049999999999</v>
      </c>
      <c r="V1558">
        <v>0.12585479999999999</v>
      </c>
      <c r="W1558">
        <v>2.2255319999999999E-2</v>
      </c>
      <c r="X1558">
        <v>0.99179899999999999</v>
      </c>
      <c r="Y1558">
        <v>0.42827330000000002</v>
      </c>
      <c r="Z1558">
        <v>-3.9629730000000002E-2</v>
      </c>
      <c r="AA1558">
        <v>0.90277989999999997</v>
      </c>
      <c r="AB1558">
        <v>32</v>
      </c>
      <c r="AC1558">
        <v>-252.87280000000001</v>
      </c>
      <c r="AD1558">
        <v>14.364057999999901</v>
      </c>
      <c r="AE1558">
        <v>-22.3613</v>
      </c>
      <c r="AF1558">
        <v>108.855682750602</v>
      </c>
      <c r="AG1558">
        <v>14.364057999999901</v>
      </c>
      <c r="AH1558">
        <v>228.439142929448</v>
      </c>
      <c r="AI1558">
        <v>86.751157489422994</v>
      </c>
      <c r="AJ1558">
        <v>64.521294610099702</v>
      </c>
      <c r="AK1558">
        <v>253.45675736043799</v>
      </c>
      <c r="AL1558">
        <v>88.7247587978014</v>
      </c>
      <c r="AM1558">
        <v>82.768077104958707</v>
      </c>
      <c r="AN1558">
        <v>0.99999999317617105</v>
      </c>
    </row>
    <row r="1559" spans="1:40" x14ac:dyDescent="0.25">
      <c r="A1559" t="str">
        <f>"20190312160327348"</f>
        <v>20190312160327348</v>
      </c>
      <c r="B1559" t="str">
        <f>"1552377807336252"</f>
        <v>1552377807336252</v>
      </c>
      <c r="C1559" t="s">
        <v>40</v>
      </c>
      <c r="D1559">
        <v>5.7048620000000003</v>
      </c>
      <c r="E1559">
        <v>0.62990029999999997</v>
      </c>
      <c r="F1559" t="s">
        <v>75</v>
      </c>
      <c r="G1559">
        <v>-458.45</v>
      </c>
      <c r="H1559">
        <v>15.027049999999999</v>
      </c>
      <c r="I1559">
        <v>266.26220000000001</v>
      </c>
      <c r="J1559">
        <v>-205.5703</v>
      </c>
      <c r="K1559">
        <v>1.096733</v>
      </c>
      <c r="L1559">
        <v>285.07839999999999</v>
      </c>
      <c r="M1559">
        <v>-0.86894479999999996</v>
      </c>
      <c r="N1559">
        <v>0</v>
      </c>
      <c r="O1559">
        <v>-0.4946468</v>
      </c>
      <c r="P1559">
        <v>-0.92393170000000002</v>
      </c>
      <c r="Q1559">
        <v>1.0185909999999999E-2</v>
      </c>
      <c r="R1559">
        <v>-0.38242189999999998</v>
      </c>
      <c r="S1559">
        <v>-3.1634370000000001</v>
      </c>
      <c r="T1559">
        <v>0.17406340000000001</v>
      </c>
      <c r="U1559">
        <v>-0.23706050000000001</v>
      </c>
      <c r="V1559">
        <v>0.1255077</v>
      </c>
      <c r="W1559">
        <v>2.214758E-2</v>
      </c>
      <c r="X1559">
        <v>0.99184539999999999</v>
      </c>
      <c r="Y1559">
        <v>0.42706290000000002</v>
      </c>
      <c r="Z1559">
        <v>-3.7810280000000002E-2</v>
      </c>
      <c r="AA1559">
        <v>0.90343110000000004</v>
      </c>
      <c r="AB1559">
        <v>32</v>
      </c>
      <c r="AC1559">
        <v>-252.87970000000001</v>
      </c>
      <c r="AD1559">
        <v>13.930317000000001</v>
      </c>
      <c r="AE1559">
        <v>-18.816199999999899</v>
      </c>
      <c r="AF1559">
        <v>108.422802587709</v>
      </c>
      <c r="AG1559">
        <v>13.930317000000001</v>
      </c>
      <c r="AH1559">
        <v>228.38636188879701</v>
      </c>
      <c r="AI1559">
        <v>86.846154171890504</v>
      </c>
      <c r="AJ1559">
        <v>64.6047117563634</v>
      </c>
      <c r="AK1559">
        <v>253.199305191571</v>
      </c>
      <c r="AL1559">
        <v>88.730933372898704</v>
      </c>
      <c r="AM1559">
        <v>82.788145854398905</v>
      </c>
      <c r="AN1559">
        <v>0.99999999778015303</v>
      </c>
    </row>
    <row r="1560" spans="1:40" x14ac:dyDescent="0.25">
      <c r="A1560" t="str">
        <f>"20190312160327370"</f>
        <v>20190312160327370</v>
      </c>
      <c r="B1560" t="str">
        <f>"1552377807366508"</f>
        <v>1552377807366508</v>
      </c>
      <c r="C1560" t="s">
        <v>40</v>
      </c>
      <c r="D1560">
        <v>5.8124690000000001</v>
      </c>
      <c r="E1560">
        <v>0.62962079999999998</v>
      </c>
      <c r="F1560" t="s">
        <v>76</v>
      </c>
      <c r="G1560">
        <v>-512.83119999999997</v>
      </c>
      <c r="H1560">
        <v>18.29401</v>
      </c>
      <c r="I1560">
        <v>266.60160000000002</v>
      </c>
      <c r="J1560">
        <v>-205.85749999999999</v>
      </c>
      <c r="K1560">
        <v>1.096732</v>
      </c>
      <c r="L1560">
        <v>284.9307</v>
      </c>
      <c r="M1560">
        <v>-0.87629040000000002</v>
      </c>
      <c r="N1560">
        <v>0</v>
      </c>
      <c r="O1560">
        <v>-0.48151379999999999</v>
      </c>
      <c r="P1560">
        <v>-0.92935719999999999</v>
      </c>
      <c r="Q1560">
        <v>1.1085269999999999E-2</v>
      </c>
      <c r="R1560">
        <v>-0.36901519999999999</v>
      </c>
      <c r="S1560">
        <v>-3.166245</v>
      </c>
      <c r="T1560">
        <v>0.17721410000000001</v>
      </c>
      <c r="U1560">
        <v>-0.19039919999999999</v>
      </c>
      <c r="V1560">
        <v>0.1249545</v>
      </c>
      <c r="W1560">
        <v>2.3075740000000001E-2</v>
      </c>
      <c r="X1560">
        <v>0.9918941</v>
      </c>
      <c r="Y1560">
        <v>0.42674440000000002</v>
      </c>
      <c r="Z1560">
        <v>-3.7847829999999999E-2</v>
      </c>
      <c r="AA1560">
        <v>0.90358000000000005</v>
      </c>
      <c r="AB1560">
        <v>32</v>
      </c>
      <c r="AC1560">
        <v>-306.97370000000001</v>
      </c>
      <c r="AD1560">
        <v>17.197278000000001</v>
      </c>
      <c r="AE1560">
        <v>-18.329099999999901</v>
      </c>
      <c r="AF1560">
        <v>131.356768766203</v>
      </c>
      <c r="AG1560">
        <v>17.197278000000001</v>
      </c>
      <c r="AH1560">
        <v>276.99364272008597</v>
      </c>
      <c r="AI1560">
        <v>86.789227750761697</v>
      </c>
      <c r="AJ1560">
        <v>64.628614072980994</v>
      </c>
      <c r="AK1560">
        <v>307.04368610777499</v>
      </c>
      <c r="AL1560">
        <v>88.677740137690904</v>
      </c>
      <c r="AM1560">
        <v>82.819949885108798</v>
      </c>
      <c r="AN1560">
        <v>1.0000000112308001</v>
      </c>
    </row>
    <row r="1561" spans="1:40" x14ac:dyDescent="0.25">
      <c r="A1561" t="str">
        <f>"20190312160327390"</f>
        <v>20190312160327390</v>
      </c>
      <c r="B1561" t="str">
        <f>"1552377807386028"</f>
        <v>1552377807386028</v>
      </c>
      <c r="C1561" t="s">
        <v>40</v>
      </c>
      <c r="D1561">
        <v>5.6972110000000002</v>
      </c>
      <c r="E1561">
        <v>0.6291504</v>
      </c>
      <c r="F1561" t="s">
        <v>76</v>
      </c>
      <c r="G1561">
        <v>-512.83119999999997</v>
      </c>
      <c r="H1561">
        <v>18.210989999999999</v>
      </c>
      <c r="I1561">
        <v>270.71749999999997</v>
      </c>
      <c r="J1561">
        <v>-206.1311</v>
      </c>
      <c r="K1561">
        <v>1.0967389999999999</v>
      </c>
      <c r="L1561">
        <v>284.79500000000002</v>
      </c>
      <c r="M1561">
        <v>-0.88305820000000002</v>
      </c>
      <c r="N1561">
        <v>0</v>
      </c>
      <c r="O1561">
        <v>-0.46898659999999998</v>
      </c>
      <c r="P1561">
        <v>-0.93420219999999998</v>
      </c>
      <c r="Q1561">
        <v>1.1477899999999999E-2</v>
      </c>
      <c r="R1561">
        <v>-0.35655969999999998</v>
      </c>
      <c r="S1561">
        <v>-3.167694</v>
      </c>
      <c r="T1561">
        <v>0.1766045</v>
      </c>
      <c r="U1561">
        <v>-0.14666750000000001</v>
      </c>
      <c r="V1561">
        <v>0.1240991</v>
      </c>
      <c r="W1561">
        <v>2.3506679999999999E-2</v>
      </c>
      <c r="X1561">
        <v>0.99199130000000002</v>
      </c>
      <c r="Y1561">
        <v>0.42636259999999998</v>
      </c>
      <c r="Z1561">
        <v>-3.7104860000000003E-2</v>
      </c>
      <c r="AA1561">
        <v>0.90379100000000001</v>
      </c>
      <c r="AB1561">
        <v>32</v>
      </c>
      <c r="AC1561">
        <v>-306.70010000000002</v>
      </c>
      <c r="AD1561">
        <v>17.114250999999999</v>
      </c>
      <c r="AE1561">
        <v>-14.077500000000001</v>
      </c>
      <c r="AF1561">
        <v>131.01695704527</v>
      </c>
      <c r="AG1561">
        <v>17.114250999999999</v>
      </c>
      <c r="AH1561">
        <v>276.61274044124701</v>
      </c>
      <c r="AI1561">
        <v>86.799594825238302</v>
      </c>
      <c r="AJ1561">
        <v>64.655537911959698</v>
      </c>
      <c r="AK1561">
        <v>306.550075509875</v>
      </c>
      <c r="AL1561">
        <v>88.653042305330104</v>
      </c>
      <c r="AM1561">
        <v>82.869286082977794</v>
      </c>
      <c r="AN1561">
        <v>0.99999994495055899</v>
      </c>
    </row>
    <row r="1562" spans="1:40" x14ac:dyDescent="0.25">
      <c r="A1562" t="str">
        <f>"20190312160327414"</f>
        <v>20190312160327414</v>
      </c>
      <c r="B1562" t="str">
        <f>"1552377807406525"</f>
        <v>1552377807406525</v>
      </c>
      <c r="C1562" t="s">
        <v>40</v>
      </c>
      <c r="D1562">
        <v>5.805129</v>
      </c>
      <c r="E1562">
        <v>0.62840499999999999</v>
      </c>
      <c r="F1562" t="s">
        <v>76</v>
      </c>
      <c r="G1562">
        <v>-512.83119999999997</v>
      </c>
      <c r="H1562">
        <v>18.077259999999999</v>
      </c>
      <c r="I1562">
        <v>274.34480000000002</v>
      </c>
      <c r="J1562">
        <v>-206.43639999999999</v>
      </c>
      <c r="K1562">
        <v>1.0967450000000001</v>
      </c>
      <c r="L1562">
        <v>284.64920000000001</v>
      </c>
      <c r="M1562">
        <v>-0.89035339999999996</v>
      </c>
      <c r="N1562">
        <v>0</v>
      </c>
      <c r="O1562">
        <v>-0.45498450000000001</v>
      </c>
      <c r="P1562">
        <v>-0.9394787</v>
      </c>
      <c r="Q1562">
        <v>1.166156E-2</v>
      </c>
      <c r="R1562">
        <v>-0.34240910000000002</v>
      </c>
      <c r="S1562">
        <v>-3.1679379999999999</v>
      </c>
      <c r="T1562">
        <v>0.1753943</v>
      </c>
      <c r="U1562">
        <v>-0.1079407</v>
      </c>
      <c r="V1562">
        <v>0.1234229</v>
      </c>
      <c r="W1562">
        <v>2.3722630000000001E-2</v>
      </c>
      <c r="X1562">
        <v>0.99207060000000002</v>
      </c>
      <c r="Y1562">
        <v>0.4231587</v>
      </c>
      <c r="Z1562">
        <v>-3.609101E-2</v>
      </c>
      <c r="AA1562">
        <v>0.90533649999999999</v>
      </c>
      <c r="AB1562">
        <v>32</v>
      </c>
      <c r="AC1562">
        <v>-306.39479999999998</v>
      </c>
      <c r="AD1562">
        <v>16.980515</v>
      </c>
      <c r="AE1562">
        <v>-10.3043999999999</v>
      </c>
      <c r="AF1562">
        <v>129.84888621307999</v>
      </c>
      <c r="AG1562">
        <v>16.980515</v>
      </c>
      <c r="AH1562">
        <v>276.675239403673</v>
      </c>
      <c r="AI1562">
        <v>86.819973615742498</v>
      </c>
      <c r="AJ1562">
        <v>64.858452854722401</v>
      </c>
      <c r="AK1562">
        <v>306.10171387877398</v>
      </c>
      <c r="AL1562">
        <v>88.640665939054799</v>
      </c>
      <c r="AM1562">
        <v>82.908304819393706</v>
      </c>
      <c r="AN1562">
        <v>1.0000000254014401</v>
      </c>
    </row>
    <row r="1563" spans="1:40" x14ac:dyDescent="0.25">
      <c r="A1563" t="str">
        <f>"20190312160327437"</f>
        <v>20190312160327437</v>
      </c>
      <c r="B1563" t="str">
        <f>"1552377807426553"</f>
        <v>1552377807426553</v>
      </c>
      <c r="C1563" t="s">
        <v>40</v>
      </c>
      <c r="D1563">
        <v>5.7624810000000002</v>
      </c>
      <c r="E1563">
        <v>0.62749489999999997</v>
      </c>
      <c r="F1563" t="s">
        <v>76</v>
      </c>
      <c r="G1563">
        <v>-511.96469999999999</v>
      </c>
      <c r="H1563">
        <v>18.233930000000001</v>
      </c>
      <c r="I1563">
        <v>278.31369999999998</v>
      </c>
      <c r="J1563">
        <v>-206.73339999999999</v>
      </c>
      <c r="K1563">
        <v>1.0967579999999999</v>
      </c>
      <c r="L1563">
        <v>284.51319999999998</v>
      </c>
      <c r="M1563">
        <v>-0.89718999999999904</v>
      </c>
      <c r="N1563">
        <v>0</v>
      </c>
      <c r="O1563">
        <v>-0.44134990000000002</v>
      </c>
      <c r="P1563">
        <v>-0.94436229999999999</v>
      </c>
      <c r="Q1563">
        <v>1.126887E-2</v>
      </c>
      <c r="R1563">
        <v>-0.32871440000000002</v>
      </c>
      <c r="S1563">
        <v>-3.1671140000000002</v>
      </c>
      <c r="T1563">
        <v>0.1776452</v>
      </c>
      <c r="U1563">
        <v>-6.5673830000000002E-2</v>
      </c>
      <c r="V1563">
        <v>0.1227022</v>
      </c>
      <c r="W1563">
        <v>2.336415E-2</v>
      </c>
      <c r="X1563">
        <v>0.99216850000000001</v>
      </c>
      <c r="Y1563">
        <v>0.42139480000000001</v>
      </c>
      <c r="Z1563">
        <v>-3.5846210000000003E-2</v>
      </c>
      <c r="AA1563">
        <v>0.90616859999999999</v>
      </c>
      <c r="AB1563">
        <v>32</v>
      </c>
      <c r="AC1563">
        <v>-305.23129999999998</v>
      </c>
      <c r="AD1563">
        <v>17.1371719999999</v>
      </c>
      <c r="AE1563">
        <v>-6.1994999999999996</v>
      </c>
      <c r="AF1563">
        <v>128.76276658662499</v>
      </c>
      <c r="AG1563">
        <v>17.1371719999999</v>
      </c>
      <c r="AH1563">
        <v>275.75374780831999</v>
      </c>
      <c r="AI1563">
        <v>86.777068672398102</v>
      </c>
      <c r="AJ1563">
        <v>64.969853363254501</v>
      </c>
      <c r="AK1563">
        <v>304.817424294501</v>
      </c>
      <c r="AL1563">
        <v>88.661211021090807</v>
      </c>
      <c r="AM1563">
        <v>82.949985875621095</v>
      </c>
      <c r="AN1563">
        <v>1.0000000228911501</v>
      </c>
    </row>
    <row r="1564" spans="1:40" x14ac:dyDescent="0.25">
      <c r="A1564" t="str">
        <f>"20190312160327458"</f>
        <v>20190312160327458</v>
      </c>
      <c r="B1564" t="str">
        <f>"1552377807446073"</f>
        <v>1552377807446073</v>
      </c>
      <c r="C1564" t="s">
        <v>40</v>
      </c>
      <c r="D1564">
        <v>5.4194319999999996</v>
      </c>
      <c r="E1564">
        <v>0.62653319999999901</v>
      </c>
      <c r="F1564" t="s">
        <v>45</v>
      </c>
      <c r="G1564">
        <v>0</v>
      </c>
      <c r="H1564">
        <v>0</v>
      </c>
      <c r="I1564">
        <v>0</v>
      </c>
      <c r="J1564">
        <v>-207.02510000000001</v>
      </c>
      <c r="K1564">
        <v>1.0967750000000001</v>
      </c>
      <c r="L1564">
        <v>284.38470000000001</v>
      </c>
      <c r="M1564">
        <v>-0.90366449999999998</v>
      </c>
      <c r="N1564">
        <v>0</v>
      </c>
      <c r="O1564">
        <v>-0.42793720000000002</v>
      </c>
      <c r="P1564">
        <v>-0.94897100000000001</v>
      </c>
      <c r="Q1564">
        <v>1.1608139999999999E-2</v>
      </c>
      <c r="R1564">
        <v>-0.31514999999999999</v>
      </c>
      <c r="S1564">
        <v>-3.1654209999999998</v>
      </c>
      <c r="T1564">
        <v>0.17677029999999999</v>
      </c>
      <c r="U1564">
        <v>-2.6489260000000001E-2</v>
      </c>
      <c r="V1564">
        <v>0.122147699999999</v>
      </c>
      <c r="W1564">
        <v>2.373074E-2</v>
      </c>
      <c r="X1564">
        <v>0.9922282</v>
      </c>
      <c r="Y1564">
        <v>0.41913010000000001</v>
      </c>
      <c r="Z1564">
        <v>-3.4960980000000003E-2</v>
      </c>
      <c r="AA1564">
        <v>0.90725279999999997</v>
      </c>
      <c r="AB1564">
        <v>32</v>
      </c>
      <c r="AC1564">
        <v>-3.1654209999999998</v>
      </c>
      <c r="AD1564">
        <v>0.17677029999999999</v>
      </c>
      <c r="AE1564">
        <v>-2.6489260000000001E-2</v>
      </c>
      <c r="AF1564">
        <v>1.32670004641036</v>
      </c>
      <c r="AG1564">
        <v>0.17677029999999999</v>
      </c>
      <c r="AH1564">
        <v>2.8632594033318499</v>
      </c>
      <c r="AI1564">
        <v>86.793850338383905</v>
      </c>
      <c r="AJ1564">
        <v>65.139207075903798</v>
      </c>
      <c r="AK1564">
        <v>3.1606384106499101</v>
      </c>
      <c r="AL1564">
        <v>88.640201111366295</v>
      </c>
      <c r="AM1564">
        <v>82.981945007226699</v>
      </c>
      <c r="AN1564">
        <v>1.00000000475573</v>
      </c>
    </row>
    <row r="1565" spans="1:40" x14ac:dyDescent="0.25">
      <c r="A1565" t="str">
        <f>"20190312160327481"</f>
        <v>20190312160327481</v>
      </c>
      <c r="B1565" t="str">
        <f>"1552377807476330"</f>
        <v>1552377807476330</v>
      </c>
      <c r="C1565" t="s">
        <v>40</v>
      </c>
      <c r="D1565">
        <v>5.7883269999999998</v>
      </c>
      <c r="E1565">
        <v>0.6252607</v>
      </c>
      <c r="F1565" t="s">
        <v>45</v>
      </c>
      <c r="G1565">
        <v>0</v>
      </c>
      <c r="H1565">
        <v>0</v>
      </c>
      <c r="I1565">
        <v>0</v>
      </c>
      <c r="J1565">
        <v>-207.32679999999999</v>
      </c>
      <c r="K1565">
        <v>1.0967929999999999</v>
      </c>
      <c r="L1565">
        <v>284.25720000000001</v>
      </c>
      <c r="M1565">
        <v>-0.91010650000000004</v>
      </c>
      <c r="N1565">
        <v>0</v>
      </c>
      <c r="O1565">
        <v>-0.41405979999999998</v>
      </c>
      <c r="P1565">
        <v>-0.95362190000000002</v>
      </c>
      <c r="Q1565">
        <v>1.171791E-2</v>
      </c>
      <c r="R1565">
        <v>-0.30077949999999998</v>
      </c>
      <c r="S1565">
        <v>-3.1629330000000002</v>
      </c>
      <c r="T1565">
        <v>0.17768059999999999</v>
      </c>
      <c r="U1565">
        <v>1.138306E-2</v>
      </c>
      <c r="V1565">
        <v>0.1219552</v>
      </c>
      <c r="W1565">
        <v>2.385659E-2</v>
      </c>
      <c r="X1565">
        <v>0.99224880000000004</v>
      </c>
      <c r="Y1565">
        <v>0.41610819999999998</v>
      </c>
      <c r="Z1565">
        <v>-3.4380889999999997E-2</v>
      </c>
      <c r="AA1565">
        <v>0.9086649</v>
      </c>
      <c r="AB1565">
        <v>32</v>
      </c>
      <c r="AC1565">
        <v>-3.1629330000000002</v>
      </c>
      <c r="AD1565">
        <v>0.17768059999999999</v>
      </c>
      <c r="AE1565">
        <v>1.138306E-2</v>
      </c>
      <c r="AF1565">
        <v>1.3160223000065601</v>
      </c>
      <c r="AG1565">
        <v>0.17768059999999999</v>
      </c>
      <c r="AH1565">
        <v>2.8652254497297398</v>
      </c>
      <c r="AI1565">
        <v>86.774633348167399</v>
      </c>
      <c r="AJ1565">
        <v>65.330280651951995</v>
      </c>
      <c r="AK1565">
        <v>3.1580060113163002</v>
      </c>
      <c r="AL1565">
        <v>88.632988313030793</v>
      </c>
      <c r="AM1565">
        <v>82.993039177796902</v>
      </c>
      <c r="AN1565">
        <v>0.99999994439745199</v>
      </c>
    </row>
    <row r="1566" spans="1:40" x14ac:dyDescent="0.25">
      <c r="A1566" t="str">
        <f>"20190312160327503"</f>
        <v>20190312160327503</v>
      </c>
      <c r="B1566" t="str">
        <f>"1552377807496826"</f>
        <v>1552377807496826</v>
      </c>
      <c r="C1566" t="s">
        <v>40</v>
      </c>
      <c r="D1566">
        <v>5.5040740000000001</v>
      </c>
      <c r="E1566">
        <v>0.62446179999999996</v>
      </c>
      <c r="F1566" t="s">
        <v>45</v>
      </c>
      <c r="G1566">
        <v>0</v>
      </c>
      <c r="H1566">
        <v>0</v>
      </c>
      <c r="I1566">
        <v>0</v>
      </c>
      <c r="J1566">
        <v>-207.63200000000001</v>
      </c>
      <c r="K1566">
        <v>1.0968100000000001</v>
      </c>
      <c r="L1566">
        <v>284.13369999999998</v>
      </c>
      <c r="M1566">
        <v>-0.91637179999999996</v>
      </c>
      <c r="N1566">
        <v>0</v>
      </c>
      <c r="O1566">
        <v>-0.40000330000000001</v>
      </c>
      <c r="P1566">
        <v>-0.95802690000000001</v>
      </c>
      <c r="Q1566">
        <v>1.22121E-2</v>
      </c>
      <c r="R1566">
        <v>-0.28641809999999901</v>
      </c>
      <c r="S1566">
        <v>-3.1592410000000002</v>
      </c>
      <c r="T1566">
        <v>0.1837096</v>
      </c>
      <c r="U1566">
        <v>4.9407960000000001E-2</v>
      </c>
      <c r="V1566">
        <v>0.12160269999999999</v>
      </c>
      <c r="W1566">
        <v>2.4361890000000001E-2</v>
      </c>
      <c r="X1566">
        <v>0.99227980000000005</v>
      </c>
      <c r="Y1566">
        <v>0.41299200000000003</v>
      </c>
      <c r="Z1566">
        <v>-3.4750370000000003E-2</v>
      </c>
      <c r="AA1566">
        <v>0.91007139999999997</v>
      </c>
      <c r="AB1566">
        <v>32</v>
      </c>
      <c r="AC1566">
        <v>-3.1592410000000002</v>
      </c>
      <c r="AD1566">
        <v>0.1837096</v>
      </c>
      <c r="AE1566">
        <v>4.9407960000000001E-2</v>
      </c>
      <c r="AF1566">
        <v>1.30474234916098</v>
      </c>
      <c r="AG1566">
        <v>0.1837096</v>
      </c>
      <c r="AH1566">
        <v>2.8659613658806702</v>
      </c>
      <c r="AI1566">
        <v>86.661185143677898</v>
      </c>
      <c r="AJ1566">
        <v>65.522376340434406</v>
      </c>
      <c r="AK1566">
        <v>3.1543361212063101</v>
      </c>
      <c r="AL1566">
        <v>88.604028357586898</v>
      </c>
      <c r="AM1566">
        <v>83.013307788895304</v>
      </c>
      <c r="AN1566">
        <v>0.99999995990985002</v>
      </c>
    </row>
    <row r="1567" spans="1:40" x14ac:dyDescent="0.25">
      <c r="A1567" t="str">
        <f>"20190312160327526"</f>
        <v>20190312160327526</v>
      </c>
      <c r="B1567" t="str">
        <f>"1552377807516367"</f>
        <v>1552377807516367</v>
      </c>
      <c r="C1567" t="s">
        <v>40</v>
      </c>
      <c r="D1567">
        <v>6.0204449999999996</v>
      </c>
      <c r="E1567">
        <v>0.62364949999999997</v>
      </c>
      <c r="F1567" t="s">
        <v>77</v>
      </c>
      <c r="G1567">
        <v>-550.06380000000001</v>
      </c>
      <c r="H1567">
        <v>21.078890000000001</v>
      </c>
      <c r="I1567">
        <v>293.98719999999997</v>
      </c>
      <c r="J1567">
        <v>-207.9315</v>
      </c>
      <c r="K1567">
        <v>1.0968290000000001</v>
      </c>
      <c r="L1567">
        <v>284.01780000000002</v>
      </c>
      <c r="M1567">
        <v>-0.92227689999999996</v>
      </c>
      <c r="N1567">
        <v>0</v>
      </c>
      <c r="O1567">
        <v>-0.38619419999999999</v>
      </c>
      <c r="P1567">
        <v>-0.96212169999999997</v>
      </c>
      <c r="Q1567">
        <v>1.245449E-2</v>
      </c>
      <c r="R1567">
        <v>-0.27233590000000002</v>
      </c>
      <c r="S1567">
        <v>-3.1562190000000001</v>
      </c>
      <c r="T1567">
        <v>0.1841769</v>
      </c>
      <c r="U1567">
        <v>9.0820310000000001E-2</v>
      </c>
      <c r="V1567">
        <v>0.1212564</v>
      </c>
      <c r="W1567">
        <v>2.4591180000000001E-2</v>
      </c>
      <c r="X1567">
        <v>0.99231650000000005</v>
      </c>
      <c r="Y1567">
        <v>0.4112827</v>
      </c>
      <c r="Z1567">
        <v>-3.407868E-2</v>
      </c>
      <c r="AA1567">
        <v>0.91087059999999997</v>
      </c>
      <c r="AB1567">
        <v>32</v>
      </c>
      <c r="AC1567">
        <v>-342.13229999999999</v>
      </c>
      <c r="AD1567">
        <v>19.982061000000002</v>
      </c>
      <c r="AE1567">
        <v>9.9693999999999399</v>
      </c>
      <c r="AF1567">
        <v>140.862302156873</v>
      </c>
      <c r="AG1567">
        <v>19.982061000000002</v>
      </c>
      <c r="AH1567">
        <v>310.67219052982398</v>
      </c>
      <c r="AI1567">
        <v>86.647520260168406</v>
      </c>
      <c r="AJ1567">
        <v>65.609920274239201</v>
      </c>
      <c r="AK1567">
        <v>341.69969402875</v>
      </c>
      <c r="AL1567">
        <v>88.590887040396396</v>
      </c>
      <c r="AM1567">
        <v>83.033263795825107</v>
      </c>
      <c r="AN1567">
        <v>0.99999993842349899</v>
      </c>
    </row>
    <row r="1568" spans="1:40" x14ac:dyDescent="0.25">
      <c r="A1568" t="str">
        <f>"20190312160327547"</f>
        <v>20190312160327547</v>
      </c>
      <c r="B1568" t="str">
        <f>"1552377807535869"</f>
        <v>1552377807535869</v>
      </c>
      <c r="C1568" t="s">
        <v>40</v>
      </c>
      <c r="D1568">
        <v>5.7788870000000001</v>
      </c>
      <c r="E1568">
        <v>0.59943239999999998</v>
      </c>
      <c r="F1568" t="s">
        <v>77</v>
      </c>
      <c r="G1568">
        <v>-510.9599</v>
      </c>
      <c r="H1568">
        <v>18.830919999999999</v>
      </c>
      <c r="I1568">
        <v>296.5924</v>
      </c>
      <c r="J1568">
        <v>-208.22049999999999</v>
      </c>
      <c r="K1568">
        <v>1.096841</v>
      </c>
      <c r="L1568">
        <v>283.91090000000003</v>
      </c>
      <c r="M1568">
        <v>-0.9277474</v>
      </c>
      <c r="N1568">
        <v>0</v>
      </c>
      <c r="O1568">
        <v>-0.37286459999999999</v>
      </c>
      <c r="P1568">
        <v>-0.96585149999999997</v>
      </c>
      <c r="Q1568">
        <v>1.3318730000000001E-2</v>
      </c>
      <c r="R1568">
        <v>-0.25875340000000002</v>
      </c>
      <c r="S1568">
        <v>-3.152771</v>
      </c>
      <c r="T1568">
        <v>0.18451000000000001</v>
      </c>
      <c r="U1568">
        <v>0.1308289</v>
      </c>
      <c r="V1568">
        <v>0.1209571</v>
      </c>
      <c r="W1568">
        <v>2.5397260000000001E-2</v>
      </c>
      <c r="X1568">
        <v>0.99233280000000001</v>
      </c>
      <c r="Y1568">
        <v>0.40974359999999999</v>
      </c>
      <c r="Z1568">
        <v>-3.3404450000000002E-2</v>
      </c>
      <c r="AA1568">
        <v>0.91158890000000004</v>
      </c>
      <c r="AB1568">
        <v>32</v>
      </c>
      <c r="AC1568">
        <v>-302.73939999999999</v>
      </c>
      <c r="AD1568">
        <v>17.734079000000001</v>
      </c>
      <c r="AE1568">
        <v>12.6814999999999</v>
      </c>
      <c r="AF1568">
        <v>124.23647239020301</v>
      </c>
      <c r="AG1568">
        <v>17.734079000000001</v>
      </c>
      <c r="AH1568">
        <v>275.22987802636499</v>
      </c>
      <c r="AI1568">
        <v>86.639002417055906</v>
      </c>
      <c r="AJ1568">
        <v>65.705980349324093</v>
      </c>
      <c r="AK1568">
        <v>302.49080050201098</v>
      </c>
      <c r="AL1568">
        <v>88.544687730595697</v>
      </c>
      <c r="AM1568">
        <v>83.050404617011793</v>
      </c>
      <c r="AN1568">
        <v>1.00000001340587</v>
      </c>
    </row>
    <row r="1569" spans="1:40" x14ac:dyDescent="0.25">
      <c r="A1569" t="str">
        <f>"20190312160327569"</f>
        <v>20190312160327569</v>
      </c>
      <c r="B1569" t="str">
        <f>"1552377807566121"</f>
        <v>1552377807566121</v>
      </c>
      <c r="C1569" t="s">
        <v>40</v>
      </c>
      <c r="D1569">
        <v>5.5945980000000004</v>
      </c>
      <c r="E1569">
        <v>0.59841529999999998</v>
      </c>
      <c r="F1569" t="s">
        <v>45</v>
      </c>
      <c r="G1569">
        <v>0</v>
      </c>
      <c r="H1569">
        <v>0</v>
      </c>
      <c r="I1569">
        <v>0</v>
      </c>
      <c r="J1569">
        <v>-208.51400000000001</v>
      </c>
      <c r="K1569">
        <v>1.096849</v>
      </c>
      <c r="L1569">
        <v>283.8073</v>
      </c>
      <c r="M1569">
        <v>-0.93306990000000001</v>
      </c>
      <c r="N1569">
        <v>0</v>
      </c>
      <c r="O1569">
        <v>-0.35934310000000003</v>
      </c>
      <c r="P1569">
        <v>-0.96947070000000002</v>
      </c>
      <c r="Q1569">
        <v>1.4316270000000001E-2</v>
      </c>
      <c r="R1569">
        <v>-0.24478910000000001</v>
      </c>
      <c r="S1569">
        <v>-3.1029049999999998</v>
      </c>
      <c r="T1569">
        <v>3.2190080000000003E-2</v>
      </c>
      <c r="U1569">
        <v>-1.0223390000000001E-2</v>
      </c>
      <c r="V1569">
        <v>0.12087630000000001</v>
      </c>
      <c r="W1569">
        <v>2.629198E-2</v>
      </c>
      <c r="X1569">
        <v>0.99231930000000002</v>
      </c>
      <c r="Y1569">
        <v>0.35627419999999999</v>
      </c>
      <c r="Z1569">
        <v>-5.5112429999999999E-3</v>
      </c>
      <c r="AA1569">
        <v>0.93436520000000001</v>
      </c>
      <c r="AB1569">
        <v>32</v>
      </c>
      <c r="AC1569">
        <v>-3.1029049999999998</v>
      </c>
      <c r="AD1569">
        <v>3.2190080000000003E-2</v>
      </c>
      <c r="AE1569">
        <v>-1.0223390000000001E-2</v>
      </c>
      <c r="AF1569">
        <v>1.1054893114574</v>
      </c>
      <c r="AG1569">
        <v>3.2190080000000003E-2</v>
      </c>
      <c r="AH1569">
        <v>2.8989558932463799</v>
      </c>
      <c r="AI1569">
        <v>89.405564132016707</v>
      </c>
      <c r="AJ1569">
        <v>69.126124739665698</v>
      </c>
      <c r="AK1569">
        <v>3.1027549194199802</v>
      </c>
      <c r="AL1569">
        <v>88.493406856041801</v>
      </c>
      <c r="AM1569">
        <v>83.054908070264105</v>
      </c>
      <c r="AN1569">
        <v>0.99999997063324897</v>
      </c>
    </row>
    <row r="1570" spans="1:40" x14ac:dyDescent="0.25">
      <c r="A1570" t="str">
        <f>"20190312160327592"</f>
        <v>20190312160327592</v>
      </c>
      <c r="B1570" t="str">
        <f>"1552377807586618"</f>
        <v>1552377807586618</v>
      </c>
      <c r="C1570" t="s">
        <v>40</v>
      </c>
      <c r="D1570">
        <v>5.8106159999999996</v>
      </c>
      <c r="E1570">
        <v>0.59545519999999996</v>
      </c>
      <c r="F1570" t="s">
        <v>45</v>
      </c>
      <c r="G1570">
        <v>0</v>
      </c>
      <c r="H1570">
        <v>0</v>
      </c>
      <c r="I1570">
        <v>0</v>
      </c>
      <c r="J1570">
        <v>-208.83160000000001</v>
      </c>
      <c r="K1570">
        <v>1.096862</v>
      </c>
      <c r="L1570">
        <v>283.70069999999998</v>
      </c>
      <c r="M1570">
        <v>-0.93856229999999996</v>
      </c>
      <c r="N1570">
        <v>0</v>
      </c>
      <c r="O1570">
        <v>-0.34474939999999998</v>
      </c>
      <c r="P1570">
        <v>-0.97307279999999996</v>
      </c>
      <c r="Q1570">
        <v>1.5398139999999999E-2</v>
      </c>
      <c r="R1570">
        <v>-0.22998389999999999</v>
      </c>
      <c r="S1570">
        <v>-3.100708</v>
      </c>
      <c r="T1570">
        <v>3.2601829999999998E-2</v>
      </c>
      <c r="U1570">
        <v>2.6611329999999999E-2</v>
      </c>
      <c r="V1570">
        <v>0.12054810000000001</v>
      </c>
      <c r="W1570">
        <v>2.725723E-2</v>
      </c>
      <c r="X1570">
        <v>0.99233320000000003</v>
      </c>
      <c r="Y1570">
        <v>0.35279739999999998</v>
      </c>
      <c r="Z1570">
        <v>-5.4237230000000001E-3</v>
      </c>
      <c r="AA1570">
        <v>0.93568399999999996</v>
      </c>
      <c r="AB1570">
        <v>32</v>
      </c>
      <c r="AC1570">
        <v>-3.100708</v>
      </c>
      <c r="AD1570">
        <v>3.2601829999999998E-2</v>
      </c>
      <c r="AE1570">
        <v>2.6611329999999999E-2</v>
      </c>
      <c r="AF1570">
        <v>1.09395871996976</v>
      </c>
      <c r="AG1570">
        <v>3.2601829999999998E-2</v>
      </c>
      <c r="AH1570">
        <v>2.9010734525241801</v>
      </c>
      <c r="AI1570">
        <v>89.397551749708697</v>
      </c>
      <c r="AJ1570">
        <v>69.339164498410796</v>
      </c>
      <c r="AK1570">
        <v>3.10065085703918</v>
      </c>
      <c r="AL1570">
        <v>88.438082297901701</v>
      </c>
      <c r="AM1570">
        <v>83.073677841934796</v>
      </c>
      <c r="AN1570">
        <v>0.99999999041156096</v>
      </c>
    </row>
    <row r="1571" spans="1:40" x14ac:dyDescent="0.25">
      <c r="A1571" t="str">
        <f>"20190312160327614"</f>
        <v>20190312160327614</v>
      </c>
      <c r="B1571" t="str">
        <f>"1552377807606138"</f>
        <v>1552377807606138</v>
      </c>
      <c r="C1571" t="s">
        <v>40</v>
      </c>
      <c r="D1571">
        <v>6.0835229999999996</v>
      </c>
      <c r="E1571">
        <v>0.59295030000000004</v>
      </c>
      <c r="F1571" t="s">
        <v>45</v>
      </c>
      <c r="G1571">
        <v>0</v>
      </c>
      <c r="H1571">
        <v>0</v>
      </c>
      <c r="I1571">
        <v>0</v>
      </c>
      <c r="J1571">
        <v>-209.14420000000001</v>
      </c>
      <c r="K1571">
        <v>1.0968910000000001</v>
      </c>
      <c r="L1571">
        <v>283.601</v>
      </c>
      <c r="M1571">
        <v>-0.94370659999999895</v>
      </c>
      <c r="N1571">
        <v>0</v>
      </c>
      <c r="O1571">
        <v>-0.3304145</v>
      </c>
      <c r="P1571">
        <v>-0.97644560000000002</v>
      </c>
      <c r="Q1571">
        <v>1.525348E-2</v>
      </c>
      <c r="R1571">
        <v>-0.21522459999999999</v>
      </c>
      <c r="S1571">
        <v>-3.0942229999999999</v>
      </c>
      <c r="T1571">
        <v>5.07803E-2</v>
      </c>
      <c r="U1571">
        <v>5.0811769999999999E-2</v>
      </c>
      <c r="V1571">
        <v>0.1204462</v>
      </c>
      <c r="W1571">
        <v>2.6991250000000001E-2</v>
      </c>
      <c r="X1571">
        <v>0.99235280000000003</v>
      </c>
      <c r="Y1571">
        <v>0.34581729999999999</v>
      </c>
      <c r="Z1571">
        <v>-8.1850659999999995E-3</v>
      </c>
      <c r="AA1571">
        <v>0.93826620000000005</v>
      </c>
      <c r="AB1571">
        <v>32</v>
      </c>
      <c r="AC1571">
        <v>-3.0942229999999999</v>
      </c>
      <c r="AD1571">
        <v>5.07803E-2</v>
      </c>
      <c r="AE1571">
        <v>5.0811769999999999E-2</v>
      </c>
      <c r="AF1571">
        <v>1.0701700586859699</v>
      </c>
      <c r="AG1571">
        <v>5.07803E-2</v>
      </c>
      <c r="AH1571">
        <v>2.90282253327221</v>
      </c>
      <c r="AI1571">
        <v>89.059658373294894</v>
      </c>
      <c r="AJ1571">
        <v>69.762817635543101</v>
      </c>
      <c r="AK1571">
        <v>3.0942238530928798</v>
      </c>
      <c r="AL1571">
        <v>88.453327371773099</v>
      </c>
      <c r="AM1571">
        <v>83.079611260751193</v>
      </c>
      <c r="AN1571">
        <v>0.99999994716941998</v>
      </c>
    </row>
    <row r="1572" spans="1:40" x14ac:dyDescent="0.25">
      <c r="A1572" t="str">
        <f>"20190312160327636"</f>
        <v>20190312160327636</v>
      </c>
      <c r="B1572" t="str">
        <f>"1552377807626633"</f>
        <v>1552377807626633</v>
      </c>
      <c r="C1572" t="s">
        <v>40</v>
      </c>
      <c r="D1572">
        <v>6.0638670000000001</v>
      </c>
      <c r="E1572">
        <v>0.59074359999999904</v>
      </c>
      <c r="F1572" t="s">
        <v>45</v>
      </c>
      <c r="G1572">
        <v>0</v>
      </c>
      <c r="H1572">
        <v>0</v>
      </c>
      <c r="I1572">
        <v>0</v>
      </c>
      <c r="J1572">
        <v>-209.44909999999999</v>
      </c>
      <c r="K1572">
        <v>1.0969279999999999</v>
      </c>
      <c r="L1572">
        <v>283.50869999999998</v>
      </c>
      <c r="M1572">
        <v>-0.94847919999999997</v>
      </c>
      <c r="N1572">
        <v>0</v>
      </c>
      <c r="O1572">
        <v>-0.31646079999999999</v>
      </c>
      <c r="P1572">
        <v>-0.97968960000000005</v>
      </c>
      <c r="Q1572">
        <v>1.427459E-2</v>
      </c>
      <c r="R1572">
        <v>-0.2000123</v>
      </c>
      <c r="S1572">
        <v>-3.0887449999999999</v>
      </c>
      <c r="T1572">
        <v>5.4157610000000002E-2</v>
      </c>
      <c r="U1572">
        <v>7.8247070000000002E-2</v>
      </c>
      <c r="V1572">
        <v>0.121209999999999</v>
      </c>
      <c r="W1572">
        <v>2.5870600000000001E-2</v>
      </c>
      <c r="X1572">
        <v>0.99228970000000005</v>
      </c>
      <c r="Y1572">
        <v>0.34032030000000002</v>
      </c>
      <c r="Z1572">
        <v>-8.4633599999999996E-3</v>
      </c>
      <c r="AA1572">
        <v>0.94027150000000004</v>
      </c>
      <c r="AB1572">
        <v>32</v>
      </c>
      <c r="AC1572">
        <v>-3.0887449999999999</v>
      </c>
      <c r="AD1572">
        <v>5.4157610000000002E-2</v>
      </c>
      <c r="AE1572">
        <v>7.8247070000000002E-2</v>
      </c>
      <c r="AF1572">
        <v>1.0514854779974401</v>
      </c>
      <c r="AG1572">
        <v>5.4157610000000002E-2</v>
      </c>
      <c r="AH1572">
        <v>2.9043042501498699</v>
      </c>
      <c r="AI1572">
        <v>88.9955006296249</v>
      </c>
      <c r="AJ1572">
        <v>70.097522953631099</v>
      </c>
      <c r="AK1572">
        <v>3.0892617135165201</v>
      </c>
      <c r="AL1572">
        <v>88.517558412350596</v>
      </c>
      <c r="AM1572">
        <v>83.035717263789607</v>
      </c>
      <c r="AN1572">
        <v>1.0000000003852201</v>
      </c>
    </row>
    <row r="1573" spans="1:40" x14ac:dyDescent="0.25">
      <c r="A1573" t="str">
        <f>"20190312160327651"</f>
        <v>20190312160327651</v>
      </c>
      <c r="B1573" t="str">
        <f>"1552377807646153"</f>
        <v>1552377807646153</v>
      </c>
      <c r="C1573" t="s">
        <v>40</v>
      </c>
      <c r="D1573">
        <v>6.15151</v>
      </c>
      <c r="E1573">
        <v>0.5887095</v>
      </c>
      <c r="F1573" t="s">
        <v>77</v>
      </c>
      <c r="G1573">
        <v>-510.07060000000001</v>
      </c>
      <c r="H1573">
        <v>5.7825170000000004</v>
      </c>
      <c r="I1573">
        <v>294.1413</v>
      </c>
      <c r="J1573">
        <v>-209.63659999999999</v>
      </c>
      <c r="K1573">
        <v>1.0969610000000001</v>
      </c>
      <c r="L1573">
        <v>283.45400000000001</v>
      </c>
      <c r="M1573">
        <v>-0.95129629999999998</v>
      </c>
      <c r="N1573">
        <v>0</v>
      </c>
      <c r="O1573">
        <v>-0.30789250000000001</v>
      </c>
      <c r="P1573">
        <v>-0.98148259999999998</v>
      </c>
      <c r="Q1573">
        <v>1.422814E-2</v>
      </c>
      <c r="R1573">
        <v>-0.19102279999999999</v>
      </c>
      <c r="S1573">
        <v>-3.083771</v>
      </c>
      <c r="T1573">
        <v>4.8065539999999997E-2</v>
      </c>
      <c r="U1573">
        <v>0.10906979999999999</v>
      </c>
      <c r="V1573">
        <v>0.1213497</v>
      </c>
      <c r="W1573">
        <v>2.5752859999999999E-2</v>
      </c>
      <c r="X1573">
        <v>0.99227569999999998</v>
      </c>
      <c r="Y1573">
        <v>0.34128799999999998</v>
      </c>
      <c r="Z1573">
        <v>-7.4033559999999998E-3</v>
      </c>
      <c r="AA1573">
        <v>0.93992969999999998</v>
      </c>
      <c r="AB1573">
        <v>32</v>
      </c>
      <c r="AC1573">
        <v>-300.43400000000003</v>
      </c>
      <c r="AD1573">
        <v>4.6855559999999903</v>
      </c>
      <c r="AE1573">
        <v>10.687299999999899</v>
      </c>
      <c r="AF1573">
        <v>102.655423567379</v>
      </c>
      <c r="AG1573">
        <v>4.6855559999999903</v>
      </c>
      <c r="AH1573">
        <v>282.47615452316398</v>
      </c>
      <c r="AI1573">
        <v>89.106837701614396</v>
      </c>
      <c r="AJ1573">
        <v>70.028212352491295</v>
      </c>
      <c r="AK1573">
        <v>300.58753849256902</v>
      </c>
      <c r="AL1573">
        <v>88.524306683166799</v>
      </c>
      <c r="AM1573">
        <v>83.027672170872407</v>
      </c>
      <c r="AN1573">
        <v>1.00000001214937</v>
      </c>
    </row>
    <row r="1574" spans="1:40" x14ac:dyDescent="0.25">
      <c r="A1574" t="str">
        <f>"20190312160327670"</f>
        <v>20190312160327670</v>
      </c>
      <c r="B1574" t="str">
        <f>"1552377807666649"</f>
        <v>1552377807666649</v>
      </c>
      <c r="C1574" t="s">
        <v>40</v>
      </c>
      <c r="D1574">
        <v>6.067272</v>
      </c>
      <c r="E1574">
        <v>0.58670359999999999</v>
      </c>
      <c r="F1574" t="s">
        <v>77</v>
      </c>
      <c r="G1574">
        <v>-510.9554</v>
      </c>
      <c r="H1574">
        <v>5.3557509999999997</v>
      </c>
      <c r="I1574">
        <v>295.32319999999999</v>
      </c>
      <c r="J1574">
        <v>-209.92089999999999</v>
      </c>
      <c r="K1574">
        <v>1.097019</v>
      </c>
      <c r="L1574">
        <v>283.37490000000003</v>
      </c>
      <c r="M1574">
        <v>-0.95538970000000001</v>
      </c>
      <c r="N1574">
        <v>0</v>
      </c>
      <c r="O1574">
        <v>-0.29495130000000003</v>
      </c>
      <c r="P1574">
        <v>-0.98391700000000004</v>
      </c>
      <c r="Q1574">
        <v>1.497415E-2</v>
      </c>
      <c r="R1574">
        <v>-0.1779974</v>
      </c>
      <c r="S1574">
        <v>-3.07959</v>
      </c>
      <c r="T1574">
        <v>4.3527250000000003E-2</v>
      </c>
      <c r="U1574">
        <v>0.121307399999999</v>
      </c>
      <c r="V1574">
        <v>0.1210442</v>
      </c>
      <c r="W1574">
        <v>2.6414489999999999E-2</v>
      </c>
      <c r="X1574">
        <v>0.99229560000000006</v>
      </c>
      <c r="Y1574">
        <v>0.33230399999999999</v>
      </c>
      <c r="Z1574">
        <v>-6.4735649999999997E-3</v>
      </c>
      <c r="AA1574">
        <v>0.94315009999999999</v>
      </c>
      <c r="AB1574">
        <v>32</v>
      </c>
      <c r="AC1574">
        <v>-301.03449999999998</v>
      </c>
      <c r="AD1574">
        <v>4.2587320000000002</v>
      </c>
      <c r="AE1574">
        <v>11.9482999999999</v>
      </c>
      <c r="AF1574">
        <v>100.197516906245</v>
      </c>
      <c r="AG1574">
        <v>4.2587320000000002</v>
      </c>
      <c r="AH1574">
        <v>284.057612012059</v>
      </c>
      <c r="AI1574">
        <v>89.189967034080993</v>
      </c>
      <c r="AJ1574">
        <v>70.570388727378102</v>
      </c>
      <c r="AK1574">
        <v>301.24144159530698</v>
      </c>
      <c r="AL1574">
        <v>88.4863851415749</v>
      </c>
      <c r="AM1574">
        <v>83.045191108967501</v>
      </c>
      <c r="AN1574">
        <v>0.99999999070748002</v>
      </c>
    </row>
    <row r="1575" spans="1:40" x14ac:dyDescent="0.25">
      <c r="A1575" t="str">
        <f>"20190312160327693"</f>
        <v>20190312160327693</v>
      </c>
      <c r="B1575" t="str">
        <f>"1552377807686169"</f>
        <v>1552377807686169</v>
      </c>
      <c r="C1575" t="s">
        <v>40</v>
      </c>
      <c r="D1575">
        <v>5.8421649999999996</v>
      </c>
      <c r="E1575">
        <v>0.5870436</v>
      </c>
      <c r="F1575" t="s">
        <v>77</v>
      </c>
      <c r="G1575">
        <v>-511.8218</v>
      </c>
      <c r="H1575">
        <v>4.9970879999999998</v>
      </c>
      <c r="I1575">
        <v>297.75700000000001</v>
      </c>
      <c r="J1575">
        <v>-210.232</v>
      </c>
      <c r="K1575">
        <v>1.0970949999999999</v>
      </c>
      <c r="L1575">
        <v>283.29320000000001</v>
      </c>
      <c r="M1575">
        <v>-0.95962800000000004</v>
      </c>
      <c r="N1575">
        <v>0</v>
      </c>
      <c r="O1575">
        <v>-0.280862099999999</v>
      </c>
      <c r="P1575">
        <v>-0.986313</v>
      </c>
      <c r="Q1575">
        <v>1.557132E-2</v>
      </c>
      <c r="R1575">
        <v>-0.16414779999999901</v>
      </c>
      <c r="S1575">
        <v>-3.0749050000000002</v>
      </c>
      <c r="T1575">
        <v>3.9723630000000003E-2</v>
      </c>
      <c r="U1575">
        <v>0.14648439999999999</v>
      </c>
      <c r="V1575">
        <v>0.12040090000000001</v>
      </c>
      <c r="W1575">
        <v>2.6939299999999999E-2</v>
      </c>
      <c r="X1575">
        <v>0.99235980000000001</v>
      </c>
      <c r="Y1575">
        <v>0.32619510000000002</v>
      </c>
      <c r="Z1575">
        <v>-5.7011170000000003E-3</v>
      </c>
      <c r="AA1575">
        <v>0.9452853</v>
      </c>
      <c r="AB1575">
        <v>32</v>
      </c>
      <c r="AC1575">
        <v>-301.58980000000003</v>
      </c>
      <c r="AD1575">
        <v>3.8999929999999998</v>
      </c>
      <c r="AE1575">
        <v>14.4637999999999</v>
      </c>
      <c r="AF1575">
        <v>98.579933042196103</v>
      </c>
      <c r="AG1575">
        <v>3.8999929999999998</v>
      </c>
      <c r="AH1575">
        <v>285.336982349295</v>
      </c>
      <c r="AI1575">
        <v>89.259850868902205</v>
      </c>
      <c r="AJ1575">
        <v>70.940685372295803</v>
      </c>
      <c r="AK1575">
        <v>301.91125623302997</v>
      </c>
      <c r="AL1575">
        <v>88.456305110096494</v>
      </c>
      <c r="AM1575">
        <v>83.082237128056207</v>
      </c>
      <c r="AN1575">
        <v>1.0000000376306599</v>
      </c>
    </row>
    <row r="1576" spans="1:40" x14ac:dyDescent="0.25">
      <c r="A1576" t="str">
        <f>"20190312160327716"</f>
        <v>20190312160327716</v>
      </c>
      <c r="B1576" t="str">
        <f>"1552377807705689"</f>
        <v>1552377807705689</v>
      </c>
      <c r="C1576" t="s">
        <v>40</v>
      </c>
      <c r="D1576">
        <v>5.7002949999999997</v>
      </c>
      <c r="E1576">
        <v>0.58650849999999999</v>
      </c>
      <c r="F1576" t="s">
        <v>77</v>
      </c>
      <c r="G1576">
        <v>-511.82190000000003</v>
      </c>
      <c r="H1576">
        <v>5.3875349999999997</v>
      </c>
      <c r="I1576">
        <v>302.17129999999997</v>
      </c>
      <c r="J1576">
        <v>-210.55799999999999</v>
      </c>
      <c r="K1576">
        <v>1.0971799999999901</v>
      </c>
      <c r="L1576">
        <v>283.21260000000001</v>
      </c>
      <c r="M1576">
        <v>-0.9638023</v>
      </c>
      <c r="N1576">
        <v>0</v>
      </c>
      <c r="O1576">
        <v>-0.26619159999999997</v>
      </c>
      <c r="P1576">
        <v>-0.98856319999999998</v>
      </c>
      <c r="Q1576">
        <v>1.4975179999999999E-2</v>
      </c>
      <c r="R1576">
        <v>-0.1500609</v>
      </c>
      <c r="S1576">
        <v>-3.0729519999999999</v>
      </c>
      <c r="T1576">
        <v>4.3716909999999998E-2</v>
      </c>
      <c r="U1576">
        <v>0.1923523</v>
      </c>
      <c r="V1576">
        <v>0.1193944</v>
      </c>
      <c r="W1576">
        <v>2.6287689999999999E-2</v>
      </c>
      <c r="X1576">
        <v>0.99249880000000001</v>
      </c>
      <c r="Y1576">
        <v>0.32586090000000001</v>
      </c>
      <c r="Z1576">
        <v>-6.0721359999999997E-3</v>
      </c>
      <c r="AA1576">
        <v>0.94539819999999997</v>
      </c>
      <c r="AB1576">
        <v>32</v>
      </c>
      <c r="AC1576">
        <v>-301.26389999999998</v>
      </c>
      <c r="AD1576">
        <v>4.2903549999999999</v>
      </c>
      <c r="AE1576">
        <v>18.958699999999901</v>
      </c>
      <c r="AF1576">
        <v>98.457654311490998</v>
      </c>
      <c r="AG1576">
        <v>4.2903549999999999</v>
      </c>
      <c r="AH1576">
        <v>285.286972917936</v>
      </c>
      <c r="AI1576">
        <v>89.185541466846104</v>
      </c>
      <c r="AJ1576">
        <v>70.959526815004807</v>
      </c>
      <c r="AK1576">
        <v>301.82937854891901</v>
      </c>
      <c r="AL1576">
        <v>88.493652734002396</v>
      </c>
      <c r="AM1576">
        <v>83.140464877347696</v>
      </c>
      <c r="AN1576">
        <v>0.99999996669916702</v>
      </c>
    </row>
    <row r="1577" spans="1:40" x14ac:dyDescent="0.25">
      <c r="A1577" t="str">
        <f>"20190312160327748"</f>
        <v>20190312160327748</v>
      </c>
      <c r="B1577" t="str">
        <f>"1552377807735949"</f>
        <v>1552377807735949</v>
      </c>
      <c r="C1577" t="s">
        <v>40</v>
      </c>
      <c r="D1577">
        <v>5.701975</v>
      </c>
      <c r="E1577">
        <v>0.57831409999999905</v>
      </c>
      <c r="F1577" t="s">
        <v>78</v>
      </c>
      <c r="G1577">
        <v>-439.93529999999998</v>
      </c>
      <c r="H1577">
        <v>4.7567599999999999</v>
      </c>
      <c r="I1577">
        <v>300.53519999999997</v>
      </c>
      <c r="J1577">
        <v>-211.00290000000001</v>
      </c>
      <c r="K1577">
        <v>1.097315</v>
      </c>
      <c r="L1577">
        <v>283.1105</v>
      </c>
      <c r="M1577">
        <v>-0.96906639999999999</v>
      </c>
      <c r="N1577">
        <v>0</v>
      </c>
      <c r="O1577">
        <v>-0.2463486</v>
      </c>
      <c r="P1577">
        <v>-0.99122390000000005</v>
      </c>
      <c r="Q1577">
        <v>1.430705E-2</v>
      </c>
      <c r="R1577">
        <v>-0.13141849999999999</v>
      </c>
      <c r="S1577">
        <v>-3.0691380000000001</v>
      </c>
      <c r="T1577">
        <v>4.8966410000000002E-2</v>
      </c>
      <c r="U1577">
        <v>0.23178099999999999</v>
      </c>
      <c r="V1577">
        <v>0.1176767</v>
      </c>
      <c r="W1577">
        <v>2.5571719999999999E-2</v>
      </c>
      <c r="X1577">
        <v>0.99272269999999896</v>
      </c>
      <c r="Y1577">
        <v>0.31858920000000002</v>
      </c>
      <c r="Z1577">
        <v>-6.4410739999999998E-3</v>
      </c>
      <c r="AA1577">
        <v>0.94787100000000002</v>
      </c>
      <c r="AB1577">
        <v>32</v>
      </c>
      <c r="AC1577">
        <v>-228.9324</v>
      </c>
      <c r="AD1577">
        <v>3.6594449999999998</v>
      </c>
      <c r="AE1577">
        <v>17.424699999999898</v>
      </c>
      <c r="AF1577">
        <v>73.272413855640806</v>
      </c>
      <c r="AG1577">
        <v>3.6594449999999998</v>
      </c>
      <c r="AH1577">
        <v>217.52711195348701</v>
      </c>
      <c r="AI1577">
        <v>89.086623614259594</v>
      </c>
      <c r="AJ1577">
        <v>71.384278774859496</v>
      </c>
      <c r="AK1577">
        <v>229.56542118700099</v>
      </c>
      <c r="AL1577">
        <v>88.534688698780499</v>
      </c>
      <c r="AM1577">
        <v>83.239742057368105</v>
      </c>
      <c r="AN1577">
        <v>1.00000003884096</v>
      </c>
    </row>
    <row r="1578" spans="1:40" x14ac:dyDescent="0.25">
      <c r="A1578" t="str">
        <f>"20190312160327771"</f>
        <v>20190312160327771</v>
      </c>
      <c r="B1578" t="str">
        <f>"1552377807766202"</f>
        <v>1552377807766202</v>
      </c>
      <c r="C1578" t="s">
        <v>40</v>
      </c>
      <c r="D1578">
        <v>5.6252069999999996</v>
      </c>
      <c r="E1578">
        <v>0.57658009999999904</v>
      </c>
      <c r="F1578" t="s">
        <v>70</v>
      </c>
      <c r="G1578">
        <v>-238.6156</v>
      </c>
      <c r="H1578" s="1">
        <v>3.024178E-6</v>
      </c>
      <c r="I1578">
        <v>285.16090000000003</v>
      </c>
      <c r="J1578">
        <v>-211.3202</v>
      </c>
      <c r="K1578">
        <v>1.0974360000000001</v>
      </c>
      <c r="L1578">
        <v>283.0437</v>
      </c>
      <c r="M1578">
        <v>-0.97250979999999998</v>
      </c>
      <c r="N1578">
        <v>0</v>
      </c>
      <c r="O1578">
        <v>-0.23238880000000001</v>
      </c>
      <c r="P1578">
        <v>-0.99270979999999998</v>
      </c>
      <c r="Q1578">
        <v>1.46558E-2</v>
      </c>
      <c r="R1578">
        <v>-0.11963600000000001</v>
      </c>
      <c r="S1578">
        <v>-3.0584259999999999</v>
      </c>
      <c r="T1578">
        <v>-0.1215402</v>
      </c>
      <c r="U1578">
        <v>0.2271118</v>
      </c>
      <c r="V1578">
        <v>0.1151919</v>
      </c>
      <c r="W1578">
        <v>2.593782E-2</v>
      </c>
      <c r="X1578">
        <v>0.99300460000000002</v>
      </c>
      <c r="Y1578">
        <v>0.3033824</v>
      </c>
      <c r="Z1578">
        <v>1.5193099999999999E-2</v>
      </c>
      <c r="AA1578">
        <v>0.95274780000000003</v>
      </c>
      <c r="AB1578">
        <v>32</v>
      </c>
      <c r="AC1578">
        <v>-27.295400000000001</v>
      </c>
      <c r="AD1578">
        <v>-1.0974329758220001</v>
      </c>
      <c r="AE1578">
        <v>2.11720000000002</v>
      </c>
      <c r="AF1578">
        <v>8.3895872497822097</v>
      </c>
      <c r="AG1578">
        <v>-1.0974329758220001</v>
      </c>
      <c r="AH1578">
        <v>26.014098057026999</v>
      </c>
      <c r="AI1578">
        <v>92.299178566853996</v>
      </c>
      <c r="AJ1578">
        <v>72.125407583243501</v>
      </c>
      <c r="AK1578">
        <v>27.355489962322899</v>
      </c>
      <c r="AL1578">
        <v>88.513705756053099</v>
      </c>
      <c r="AM1578">
        <v>83.383070441850904</v>
      </c>
      <c r="AN1578">
        <v>1.0000000399765601</v>
      </c>
    </row>
    <row r="1579" spans="1:40" x14ac:dyDescent="0.25">
      <c r="A1579" t="str">
        <f>"20190312160327793"</f>
        <v>20190312160327793</v>
      </c>
      <c r="B1579" t="str">
        <f>"1552377807785722"</f>
        <v>1552377807785722</v>
      </c>
      <c r="C1579" t="s">
        <v>40</v>
      </c>
      <c r="D1579">
        <v>5.6919420000000001</v>
      </c>
      <c r="E1579">
        <v>0.57234980000000002</v>
      </c>
      <c r="F1579" t="s">
        <v>70</v>
      </c>
      <c r="G1579">
        <v>-251.2199</v>
      </c>
      <c r="H1579" s="1">
        <v>-8.8760489999999997E-7</v>
      </c>
      <c r="I1579">
        <v>286.29950000000002</v>
      </c>
      <c r="J1579">
        <v>-211.6403</v>
      </c>
      <c r="K1579">
        <v>1.0975619999999999</v>
      </c>
      <c r="L1579">
        <v>282.98110000000003</v>
      </c>
      <c r="M1579">
        <v>-0.97573750000000004</v>
      </c>
      <c r="N1579">
        <v>0</v>
      </c>
      <c r="O1579">
        <v>-0.21844710000000001</v>
      </c>
      <c r="P1579">
        <v>-0.99415390000000003</v>
      </c>
      <c r="Q1579">
        <v>1.3333579999999999E-2</v>
      </c>
      <c r="R1579">
        <v>-0.10714609999999999</v>
      </c>
      <c r="S1579">
        <v>-3.0533139999999999</v>
      </c>
      <c r="T1579">
        <v>-8.3980920000000001E-2</v>
      </c>
      <c r="U1579">
        <v>0.24914549999999999</v>
      </c>
      <c r="V1579">
        <v>0.1134184</v>
      </c>
      <c r="W1579">
        <v>2.461549E-2</v>
      </c>
      <c r="X1579">
        <v>0.99324230000000002</v>
      </c>
      <c r="Y1579">
        <v>0.29691719999999999</v>
      </c>
      <c r="Z1579">
        <v>1.0050430000000001E-2</v>
      </c>
      <c r="AA1579">
        <v>0.95485039999999999</v>
      </c>
      <c r="AB1579">
        <v>32</v>
      </c>
      <c r="AC1579">
        <v>-39.579599999999999</v>
      </c>
      <c r="AD1579">
        <v>-1.0975628876049</v>
      </c>
      <c r="AE1579">
        <v>3.3183999999999898</v>
      </c>
      <c r="AF1579">
        <v>11.8761581377118</v>
      </c>
      <c r="AG1579">
        <v>-1.0975628876049</v>
      </c>
      <c r="AH1579">
        <v>37.869603257313898</v>
      </c>
      <c r="AI1579">
        <v>91.584092044627397</v>
      </c>
      <c r="AJ1579">
        <v>72.588230097794494</v>
      </c>
      <c r="AK1579">
        <v>39.703332697275499</v>
      </c>
      <c r="AL1579">
        <v>88.589493790226598</v>
      </c>
      <c r="AM1579">
        <v>83.485608109824994</v>
      </c>
      <c r="AN1579">
        <v>0.99999996115789402</v>
      </c>
    </row>
    <row r="1580" spans="1:40" x14ac:dyDescent="0.25">
      <c r="A1580" t="str">
        <f>"20190312160327815"</f>
        <v>20190312160327815</v>
      </c>
      <c r="B1580" t="str">
        <f>"1552377807806221"</f>
        <v>1552377807806221</v>
      </c>
      <c r="C1580" t="s">
        <v>40</v>
      </c>
      <c r="D1580">
        <v>5.8530870000000004</v>
      </c>
      <c r="E1580">
        <v>0.57023469999999998</v>
      </c>
      <c r="F1580" t="s">
        <v>70</v>
      </c>
      <c r="G1580">
        <v>-247.64529999999999</v>
      </c>
      <c r="H1580" s="1">
        <v>2.5316539999999998E-6</v>
      </c>
      <c r="I1580">
        <v>285.9821</v>
      </c>
      <c r="J1580">
        <v>-211.9579</v>
      </c>
      <c r="K1580">
        <v>1.0976999999999999</v>
      </c>
      <c r="L1580">
        <v>282.92340000000002</v>
      </c>
      <c r="M1580">
        <v>-0.97869289999999998</v>
      </c>
      <c r="N1580">
        <v>0</v>
      </c>
      <c r="O1580">
        <v>-0.20480609999999999</v>
      </c>
      <c r="P1580">
        <v>-0.99545260000000002</v>
      </c>
      <c r="Q1580">
        <v>1.142805E-2</v>
      </c>
      <c r="R1580">
        <v>-9.4568520000000003E-2</v>
      </c>
      <c r="S1580">
        <v>-3.046249</v>
      </c>
      <c r="T1580">
        <v>-9.2860460000000006E-2</v>
      </c>
      <c r="U1580">
        <v>0.25390629999999997</v>
      </c>
      <c r="V1580">
        <v>0.1120491</v>
      </c>
      <c r="W1580">
        <v>2.2706759999999999E-2</v>
      </c>
      <c r="X1580">
        <v>0.99344319999999997</v>
      </c>
      <c r="Y1580">
        <v>0.28519559999999999</v>
      </c>
      <c r="Z1580">
        <v>1.0549930000000001E-2</v>
      </c>
      <c r="AA1580">
        <v>0.95841129999999997</v>
      </c>
      <c r="AB1580">
        <v>32</v>
      </c>
      <c r="AC1580">
        <v>-35.687399999999997</v>
      </c>
      <c r="AD1580">
        <v>-1.0976974683459999</v>
      </c>
      <c r="AE1580">
        <v>3.05869999999998</v>
      </c>
      <c r="AF1580">
        <v>10.2939631166395</v>
      </c>
      <c r="AG1580">
        <v>-1.0976974683459999</v>
      </c>
      <c r="AH1580">
        <v>34.2720585772379</v>
      </c>
      <c r="AI1580">
        <v>91.757003443753206</v>
      </c>
      <c r="AJ1580">
        <v>73.281822606890003</v>
      </c>
      <c r="AK1580">
        <v>35.801461080525399</v>
      </c>
      <c r="AL1580">
        <v>88.698886653995004</v>
      </c>
      <c r="AM1580">
        <v>83.564883055344296</v>
      </c>
      <c r="AN1580">
        <v>0.99999999469337297</v>
      </c>
    </row>
    <row r="1581" spans="1:40" x14ac:dyDescent="0.25">
      <c r="A1581" t="str">
        <f>"20190312160327836"</f>
        <v>20190312160327836</v>
      </c>
      <c r="B1581" t="str">
        <f>"1552377807825738"</f>
        <v>1552377807825738</v>
      </c>
      <c r="C1581" t="s">
        <v>40</v>
      </c>
      <c r="D1581">
        <v>5.5984990000000003</v>
      </c>
      <c r="E1581">
        <v>0.56849490000000003</v>
      </c>
      <c r="F1581" t="s">
        <v>70</v>
      </c>
      <c r="G1581">
        <v>-244.09899999999999</v>
      </c>
      <c r="H1581" s="1">
        <v>6.4448119999999896E-7</v>
      </c>
      <c r="I1581">
        <v>285.83749999999998</v>
      </c>
      <c r="J1581">
        <v>-212.25819999999999</v>
      </c>
      <c r="K1581">
        <v>1.0978570000000001</v>
      </c>
      <c r="L1581">
        <v>282.87290000000002</v>
      </c>
      <c r="M1581">
        <v>-0.98126380000000002</v>
      </c>
      <c r="N1581">
        <v>0</v>
      </c>
      <c r="O1581">
        <v>-0.1921165</v>
      </c>
      <c r="P1581">
        <v>-0.99644440000000001</v>
      </c>
      <c r="Q1581">
        <v>9.7176450000000004E-3</v>
      </c>
      <c r="R1581">
        <v>-8.3689100000000002E-2</v>
      </c>
      <c r="S1581">
        <v>-3.0410919999999999</v>
      </c>
      <c r="T1581">
        <v>-0.10386090000000001</v>
      </c>
      <c r="U1581">
        <v>0.27572629999999998</v>
      </c>
      <c r="V1581">
        <v>0.1099798</v>
      </c>
      <c r="W1581">
        <v>2.1024890000000001E-2</v>
      </c>
      <c r="X1581">
        <v>0.99371140000000002</v>
      </c>
      <c r="Y1581">
        <v>0.27969319999999998</v>
      </c>
      <c r="Z1581">
        <v>1.1295070000000001E-2</v>
      </c>
      <c r="AA1581">
        <v>0.96002299999999996</v>
      </c>
      <c r="AB1581">
        <v>32</v>
      </c>
      <c r="AC1581">
        <v>-31.840800000000002</v>
      </c>
      <c r="AD1581">
        <v>-1.0978563555187999</v>
      </c>
      <c r="AE1581">
        <v>2.9645999999999599</v>
      </c>
      <c r="AF1581">
        <v>9.0165302970753203</v>
      </c>
      <c r="AG1581">
        <v>-1.0978563555187999</v>
      </c>
      <c r="AH1581">
        <v>30.641822026405499</v>
      </c>
      <c r="AI1581">
        <v>91.968568334988205</v>
      </c>
      <c r="AJ1581">
        <v>73.603180700034898</v>
      </c>
      <c r="AK1581">
        <v>31.959730353576798</v>
      </c>
      <c r="AL1581">
        <v>88.795273738965506</v>
      </c>
      <c r="AM1581">
        <v>83.684446991878303</v>
      </c>
      <c r="AN1581">
        <v>0.99999997444875499</v>
      </c>
    </row>
    <row r="1582" spans="1:40" x14ac:dyDescent="0.25">
      <c r="A1582" t="str">
        <f>"20190312160327859"</f>
        <v>20190312160327859</v>
      </c>
      <c r="B1582" t="str">
        <f>"1552377807855994"</f>
        <v>1552377807855994</v>
      </c>
      <c r="C1582" t="s">
        <v>40</v>
      </c>
      <c r="D1582">
        <v>5.6229290000000001</v>
      </c>
      <c r="E1582">
        <v>0.5676213</v>
      </c>
      <c r="F1582" t="s">
        <v>70</v>
      </c>
      <c r="G1582">
        <v>-242.35400000000001</v>
      </c>
      <c r="H1582" s="1">
        <v>-2.8410730000000002E-7</v>
      </c>
      <c r="I1582">
        <v>285.80130000000003</v>
      </c>
      <c r="J1582">
        <v>-212.5849</v>
      </c>
      <c r="K1582">
        <v>1.098063</v>
      </c>
      <c r="L1582">
        <v>282.82209999999998</v>
      </c>
      <c r="M1582">
        <v>-0.9838192</v>
      </c>
      <c r="N1582">
        <v>0</v>
      </c>
      <c r="O1582">
        <v>-0.1785785</v>
      </c>
      <c r="P1582">
        <v>-0.99737520000000002</v>
      </c>
      <c r="Q1582">
        <v>8.8556980000000004E-3</v>
      </c>
      <c r="R1582">
        <v>-7.1863949999999996E-2</v>
      </c>
      <c r="S1582">
        <v>-3.036591</v>
      </c>
      <c r="T1582">
        <v>-0.1107711</v>
      </c>
      <c r="U1582">
        <v>0.29547119999999999</v>
      </c>
      <c r="V1582">
        <v>0.10803889999999999</v>
      </c>
      <c r="W1582">
        <v>2.0190130000000001E-2</v>
      </c>
      <c r="X1582">
        <v>0.99394159999999998</v>
      </c>
      <c r="Y1582">
        <v>0.27274910000000002</v>
      </c>
      <c r="Z1582">
        <v>1.144673E-2</v>
      </c>
      <c r="AA1582">
        <v>0.96201709999999996</v>
      </c>
      <c r="AB1582">
        <v>32</v>
      </c>
      <c r="AC1582">
        <v>-29.769100000000002</v>
      </c>
      <c r="AD1582">
        <v>-1.0980632841072999</v>
      </c>
      <c r="AE1582">
        <v>2.97920000000004</v>
      </c>
      <c r="AF1582">
        <v>8.2368836193920707</v>
      </c>
      <c r="AG1582">
        <v>-1.0980632841072999</v>
      </c>
      <c r="AH1582">
        <v>28.719715766702201</v>
      </c>
      <c r="AI1582">
        <v>92.104793617522304</v>
      </c>
      <c r="AJ1582">
        <v>73.996981171533804</v>
      </c>
      <c r="AK1582">
        <v>29.8977268108376</v>
      </c>
      <c r="AL1582">
        <v>88.843112125648204</v>
      </c>
      <c r="AM1582">
        <v>83.796451282821494</v>
      </c>
      <c r="AN1582">
        <v>0.99999997473659297</v>
      </c>
    </row>
    <row r="1583" spans="1:40" x14ac:dyDescent="0.25">
      <c r="A1583" t="str">
        <f>"20190312160327883"</f>
        <v>20190312160327883</v>
      </c>
      <c r="B1583" t="str">
        <f>"1552377807876490"</f>
        <v>1552377807876490</v>
      </c>
      <c r="C1583" t="s">
        <v>40</v>
      </c>
      <c r="D1583">
        <v>5.8479780000000003</v>
      </c>
      <c r="E1583">
        <v>0.56686599999999998</v>
      </c>
      <c r="F1583" t="s">
        <v>70</v>
      </c>
      <c r="G1583">
        <v>-241.08879999999999</v>
      </c>
      <c r="H1583" s="1">
        <v>-9.5739119999999998E-7</v>
      </c>
      <c r="I1583">
        <v>285.87520000000001</v>
      </c>
      <c r="J1583">
        <v>-212.91980000000001</v>
      </c>
      <c r="K1583">
        <v>1.098311</v>
      </c>
      <c r="L1583">
        <v>282.77449999999999</v>
      </c>
      <c r="M1583">
        <v>-0.98618309999999998</v>
      </c>
      <c r="N1583">
        <v>0</v>
      </c>
      <c r="O1583">
        <v>-0.16503209999999999</v>
      </c>
      <c r="P1583">
        <v>-0.998062</v>
      </c>
      <c r="Q1583">
        <v>9.2373809999999994E-3</v>
      </c>
      <c r="R1583">
        <v>-6.1541699999999901E-2</v>
      </c>
      <c r="S1583">
        <v>-3.0323329999999999</v>
      </c>
      <c r="T1583">
        <v>-0.11681569999999999</v>
      </c>
      <c r="U1583">
        <v>0.32479859999999999</v>
      </c>
      <c r="V1583">
        <v>0.1046482</v>
      </c>
      <c r="W1583">
        <v>2.0647789999999999E-2</v>
      </c>
      <c r="X1583">
        <v>0.99429489999999998</v>
      </c>
      <c r="Y1583">
        <v>0.26883370000000001</v>
      </c>
      <c r="Z1583">
        <v>1.149145E-2</v>
      </c>
      <c r="AA1583">
        <v>0.96311809999999998</v>
      </c>
      <c r="AB1583">
        <v>32</v>
      </c>
      <c r="AC1583">
        <v>-28.168999999999901</v>
      </c>
      <c r="AD1583">
        <v>-1.0983119573911999</v>
      </c>
      <c r="AE1583">
        <v>3.10070000000001</v>
      </c>
      <c r="AF1583">
        <v>7.69588664014569</v>
      </c>
      <c r="AG1583">
        <v>-1.0983119573911999</v>
      </c>
      <c r="AH1583">
        <v>27.2300032459726</v>
      </c>
      <c r="AI1583">
        <v>92.222775217499603</v>
      </c>
      <c r="AJ1583">
        <v>74.2183680292503</v>
      </c>
      <c r="AK1583">
        <v>28.3179454959112</v>
      </c>
      <c r="AL1583">
        <v>88.816884655792293</v>
      </c>
      <c r="AM1583">
        <v>83.9918159432534</v>
      </c>
      <c r="AN1583">
        <v>0.999999962580566</v>
      </c>
    </row>
    <row r="1584" spans="1:40" x14ac:dyDescent="0.25">
      <c r="A1584" t="str">
        <f>"20190312160327904"</f>
        <v>20190312160327904</v>
      </c>
      <c r="B1584" t="str">
        <f>"1552377807896013"</f>
        <v>1552377807896013</v>
      </c>
      <c r="C1584" t="s">
        <v>40</v>
      </c>
      <c r="D1584">
        <v>5.6513200000000001</v>
      </c>
      <c r="E1584">
        <v>0.56613340000000001</v>
      </c>
      <c r="F1584" t="s">
        <v>70</v>
      </c>
      <c r="G1584">
        <v>-243.92060000000001</v>
      </c>
      <c r="H1584" s="1">
        <v>5.49558E-7</v>
      </c>
      <c r="I1584">
        <v>286.35430000000002</v>
      </c>
      <c r="J1584">
        <v>-213.2192</v>
      </c>
      <c r="K1584">
        <v>1.0985590000000001</v>
      </c>
      <c r="L1584">
        <v>282.73570000000001</v>
      </c>
      <c r="M1584">
        <v>-0.98808459999999998</v>
      </c>
      <c r="N1584">
        <v>0</v>
      </c>
      <c r="O1584">
        <v>-0.15324460000000001</v>
      </c>
      <c r="P1584">
        <v>-0.99854319999999996</v>
      </c>
      <c r="Q1584">
        <v>9.5333610000000006E-3</v>
      </c>
      <c r="R1584">
        <v>-5.3111600000000002E-2</v>
      </c>
      <c r="S1584">
        <v>-3.028381</v>
      </c>
      <c r="T1584">
        <v>-0.1072907</v>
      </c>
      <c r="U1584">
        <v>0.34970089999999998</v>
      </c>
      <c r="V1584">
        <v>0.1011639</v>
      </c>
      <c r="W1584">
        <v>2.1027750000000001E-2</v>
      </c>
      <c r="X1584">
        <v>0.99464750000000002</v>
      </c>
      <c r="Y1584">
        <v>0.26534590000000002</v>
      </c>
      <c r="Z1584">
        <v>1.008938E-2</v>
      </c>
      <c r="AA1584">
        <v>0.96410050000000003</v>
      </c>
      <c r="AB1584">
        <v>32</v>
      </c>
      <c r="AC1584">
        <v>-30.7014</v>
      </c>
      <c r="AD1584">
        <v>-1.0985584504420001</v>
      </c>
      <c r="AE1584">
        <v>3.61860000000001</v>
      </c>
      <c r="AF1584">
        <v>8.27071086643247</v>
      </c>
      <c r="AG1584">
        <v>-1.0985584504420001</v>
      </c>
      <c r="AH1584">
        <v>29.746537154031699</v>
      </c>
      <c r="AI1584">
        <v>92.0377771443911</v>
      </c>
      <c r="AJ1584">
        <v>74.461971139732498</v>
      </c>
      <c r="AK1584">
        <v>30.894464901683499</v>
      </c>
      <c r="AL1584">
        <v>88.795109837575296</v>
      </c>
      <c r="AM1584">
        <v>84.192514416499506</v>
      </c>
      <c r="AN1584">
        <v>0.99999997509476102</v>
      </c>
    </row>
    <row r="1585" spans="1:40" x14ac:dyDescent="0.25">
      <c r="A1585" t="str">
        <f>"20190312160327927"</f>
        <v>20190312160327927</v>
      </c>
      <c r="B1585" t="str">
        <f>"1552377807916506"</f>
        <v>1552377807916506</v>
      </c>
      <c r="C1585" t="s">
        <v>40</v>
      </c>
      <c r="D1585">
        <v>5.8278439999999998</v>
      </c>
      <c r="E1585">
        <v>0.56522439999999996</v>
      </c>
      <c r="F1585" t="s">
        <v>70</v>
      </c>
      <c r="G1585">
        <v>-242.4041</v>
      </c>
      <c r="H1585" s="1">
        <v>-2.5747030000000002E-7</v>
      </c>
      <c r="I1585">
        <v>286.3005</v>
      </c>
      <c r="J1585">
        <v>-213.53700000000001</v>
      </c>
      <c r="K1585">
        <v>1.0988549999999999</v>
      </c>
      <c r="L1585">
        <v>282.69810000000001</v>
      </c>
      <c r="M1585">
        <v>-0.98989419999999995</v>
      </c>
      <c r="N1585">
        <v>0</v>
      </c>
      <c r="O1585">
        <v>-0.14109279999999999</v>
      </c>
      <c r="P1585">
        <v>-0.99894669999999997</v>
      </c>
      <c r="Q1585">
        <v>9.1385400000000006E-3</v>
      </c>
      <c r="R1585">
        <v>-4.4971150000000001E-2</v>
      </c>
      <c r="S1585">
        <v>-3.0251160000000001</v>
      </c>
      <c r="T1585">
        <v>-0.1138695</v>
      </c>
      <c r="U1585">
        <v>0.36950680000000002</v>
      </c>
      <c r="V1585">
        <v>9.7021919999999998E-2</v>
      </c>
      <c r="W1585">
        <v>2.073647E-2</v>
      </c>
      <c r="X1585">
        <v>0.99506620000000001</v>
      </c>
      <c r="Y1585">
        <v>0.25981769999999998</v>
      </c>
      <c r="Z1585">
        <v>1.0158179999999999E-2</v>
      </c>
      <c r="AA1585">
        <v>0.96560420000000002</v>
      </c>
      <c r="AB1585">
        <v>32</v>
      </c>
      <c r="AC1585">
        <v>-28.867099999999901</v>
      </c>
      <c r="AD1585">
        <v>-1.0988552574703001</v>
      </c>
      <c r="AE1585">
        <v>3.6023999999999798</v>
      </c>
      <c r="AF1585">
        <v>7.6288227949416703</v>
      </c>
      <c r="AG1585">
        <v>-1.0988552574703001</v>
      </c>
      <c r="AH1585">
        <v>28.029948338844701</v>
      </c>
      <c r="AI1585">
        <v>92.166289779333496</v>
      </c>
      <c r="AJ1585">
        <v>74.774772318533195</v>
      </c>
      <c r="AK1585">
        <v>29.070335808032802</v>
      </c>
      <c r="AL1585">
        <v>88.811802620181396</v>
      </c>
      <c r="AM1585">
        <v>84.431093776912405</v>
      </c>
      <c r="AN1585">
        <v>0.99999999826549302</v>
      </c>
    </row>
    <row r="1586" spans="1:40" x14ac:dyDescent="0.25">
      <c r="A1586" t="str">
        <f>"20190312160327948"</f>
        <v>20190312160327948</v>
      </c>
      <c r="B1586" t="str">
        <f>"1552377807945786"</f>
        <v>1552377807945786</v>
      </c>
      <c r="C1586" t="s">
        <v>40</v>
      </c>
      <c r="D1586">
        <v>5.6695339999999996</v>
      </c>
      <c r="E1586">
        <v>0.56397819999999899</v>
      </c>
      <c r="F1586" t="s">
        <v>70</v>
      </c>
      <c r="G1586">
        <v>-242.2655</v>
      </c>
      <c r="H1586" s="1">
        <v>-3.3119459999999899E-7</v>
      </c>
      <c r="I1586">
        <v>286.37860000000001</v>
      </c>
      <c r="J1586">
        <v>-213.83850000000001</v>
      </c>
      <c r="K1586">
        <v>1.0991580000000001</v>
      </c>
      <c r="L1586">
        <v>282.666</v>
      </c>
      <c r="M1586">
        <v>-0.99141880000000004</v>
      </c>
      <c r="N1586">
        <v>0</v>
      </c>
      <c r="O1586">
        <v>-0.12995689999999999</v>
      </c>
      <c r="P1586">
        <v>-0.99923550000000005</v>
      </c>
      <c r="Q1586">
        <v>7.6824569999999898E-3</v>
      </c>
      <c r="R1586">
        <v>-3.8337299999999998E-2</v>
      </c>
      <c r="S1586">
        <v>-3.0216669999999999</v>
      </c>
      <c r="T1586">
        <v>-0.1155776</v>
      </c>
      <c r="U1586">
        <v>0.3871155</v>
      </c>
      <c r="V1586">
        <v>9.2389600000000002E-2</v>
      </c>
      <c r="W1586">
        <v>1.9396819999999999E-2</v>
      </c>
      <c r="X1586">
        <v>0.99553400000000003</v>
      </c>
      <c r="Y1586">
        <v>0.25463550000000001</v>
      </c>
      <c r="Z1586">
        <v>9.7973139999999997E-3</v>
      </c>
      <c r="AA1586">
        <v>0.9669875</v>
      </c>
      <c r="AB1586">
        <v>32</v>
      </c>
      <c r="AC1586">
        <v>-28.4269999999999</v>
      </c>
      <c r="AD1586">
        <v>-1.0991583311946</v>
      </c>
      <c r="AE1586">
        <v>3.7126000000000001</v>
      </c>
      <c r="AF1586">
        <v>7.3649373679098096</v>
      </c>
      <c r="AG1586">
        <v>-1.0991583311946</v>
      </c>
      <c r="AH1586">
        <v>27.662690482255101</v>
      </c>
      <c r="AI1586">
        <v>92.198892149066097</v>
      </c>
      <c r="AJ1586">
        <v>75.091364644733503</v>
      </c>
      <c r="AK1586">
        <v>28.6474239014142</v>
      </c>
      <c r="AL1586">
        <v>88.888574388522301</v>
      </c>
      <c r="AM1586">
        <v>84.697905664566406</v>
      </c>
      <c r="AN1586">
        <v>1.0000000099851301</v>
      </c>
    </row>
    <row r="1587" spans="1:40" x14ac:dyDescent="0.25">
      <c r="A1587" t="str">
        <f>"20190312160327971"</f>
        <v>20190312160327971</v>
      </c>
      <c r="B1587" t="str">
        <f>"1552377807966283"</f>
        <v>1552377807966283</v>
      </c>
      <c r="C1587" t="s">
        <v>40</v>
      </c>
      <c r="D1587">
        <v>5.8536239999999999</v>
      </c>
      <c r="E1587">
        <v>0.5631119</v>
      </c>
      <c r="F1587" t="s">
        <v>70</v>
      </c>
      <c r="G1587">
        <v>-239.6397</v>
      </c>
      <c r="H1587" s="1">
        <v>3.5297240000000001E-6</v>
      </c>
      <c r="I1587">
        <v>286.06299999999999</v>
      </c>
      <c r="J1587">
        <v>-214.166</v>
      </c>
      <c r="K1587">
        <v>1.0995170000000001</v>
      </c>
      <c r="L1587">
        <v>282.63459999999998</v>
      </c>
      <c r="M1587">
        <v>-0.99287590000000003</v>
      </c>
      <c r="N1587">
        <v>0</v>
      </c>
      <c r="O1587">
        <v>-0.1183205</v>
      </c>
      <c r="P1587">
        <v>-0.9994904</v>
      </c>
      <c r="Q1587">
        <v>6.9189209999999998E-3</v>
      </c>
      <c r="R1587">
        <v>-3.1160569999999999E-2</v>
      </c>
      <c r="S1587">
        <v>-3.0185550000000001</v>
      </c>
      <c r="T1587">
        <v>-0.12859329999999999</v>
      </c>
      <c r="U1587">
        <v>0.39743040000000002</v>
      </c>
      <c r="V1587">
        <v>8.782508E-2</v>
      </c>
      <c r="W1587">
        <v>1.8743200000000002E-2</v>
      </c>
      <c r="X1587">
        <v>0.99595959999999994</v>
      </c>
      <c r="Y1587">
        <v>0.2466122</v>
      </c>
      <c r="Z1587">
        <v>1.0246119999999999E-2</v>
      </c>
      <c r="AA1587">
        <v>0.96906009999999998</v>
      </c>
      <c r="AB1587">
        <v>32</v>
      </c>
      <c r="AC1587">
        <v>-25.473700000000001</v>
      </c>
      <c r="AD1587">
        <v>-1.0995134702760001</v>
      </c>
      <c r="AE1587">
        <v>3.4284000000000101</v>
      </c>
      <c r="AF1587">
        <v>6.4069472952863</v>
      </c>
      <c r="AG1587">
        <v>-1.0995134702760001</v>
      </c>
      <c r="AH1587">
        <v>24.843572715523599</v>
      </c>
      <c r="AI1587">
        <v>92.453925687550296</v>
      </c>
      <c r="AJ1587">
        <v>75.538998121792005</v>
      </c>
      <c r="AK1587">
        <v>25.679972912513001</v>
      </c>
      <c r="AL1587">
        <v>88.926030898308397</v>
      </c>
      <c r="AM1587">
        <v>84.960614815062101</v>
      </c>
      <c r="AN1587">
        <v>1.0000000385276999</v>
      </c>
    </row>
    <row r="1588" spans="1:40" x14ac:dyDescent="0.25">
      <c r="A1588" t="str">
        <f>"20190312160327994"</f>
        <v>20190312160327994</v>
      </c>
      <c r="B1588" t="str">
        <f>"1552377807985803"</f>
        <v>1552377807985803</v>
      </c>
      <c r="C1588" t="s">
        <v>40</v>
      </c>
      <c r="D1588">
        <v>5.7806030000000002</v>
      </c>
      <c r="E1588">
        <v>0.56223800000000002</v>
      </c>
      <c r="F1588" t="s">
        <v>70</v>
      </c>
      <c r="G1588">
        <v>-239.68860000000001</v>
      </c>
      <c r="H1588" s="1">
        <v>3.5531680000000001E-6</v>
      </c>
      <c r="I1588">
        <v>286.12189999999998</v>
      </c>
      <c r="J1588">
        <v>-214.50280000000001</v>
      </c>
      <c r="K1588">
        <v>1.099872</v>
      </c>
      <c r="L1588">
        <v>282.60610000000003</v>
      </c>
      <c r="M1588">
        <v>-0.99418620000000002</v>
      </c>
      <c r="N1588">
        <v>0</v>
      </c>
      <c r="O1588">
        <v>-0.1067644</v>
      </c>
      <c r="P1588">
        <v>-0.99969819999999998</v>
      </c>
      <c r="Q1588">
        <v>6.4737619999999897E-3</v>
      </c>
      <c r="R1588">
        <v>-2.3702190000000001E-2</v>
      </c>
      <c r="S1588">
        <v>-3.0152890000000001</v>
      </c>
      <c r="T1588">
        <v>-0.12989870000000001</v>
      </c>
      <c r="U1588">
        <v>0.4119873</v>
      </c>
      <c r="V1588">
        <v>8.3643519999999999E-2</v>
      </c>
      <c r="W1588">
        <v>1.8390879999999998E-2</v>
      </c>
      <c r="X1588">
        <v>0.99632600000000004</v>
      </c>
      <c r="Y1588">
        <v>0.24007629999999999</v>
      </c>
      <c r="Z1588">
        <v>9.7232459999999996E-3</v>
      </c>
      <c r="AA1588">
        <v>0.97070529999999999</v>
      </c>
      <c r="AB1588">
        <v>32</v>
      </c>
      <c r="AC1588">
        <v>-25.1858</v>
      </c>
      <c r="AD1588">
        <v>-1.0998684468319999</v>
      </c>
      <c r="AE1588">
        <v>3.5157999999999499</v>
      </c>
      <c r="AF1588">
        <v>6.1733621374218002</v>
      </c>
      <c r="AG1588">
        <v>-1.0998684468319999</v>
      </c>
      <c r="AH1588">
        <v>24.620363967215599</v>
      </c>
      <c r="AI1588">
        <v>92.481172211727696</v>
      </c>
      <c r="AJ1588">
        <v>75.923744638477302</v>
      </c>
      <c r="AK1588">
        <v>25.406346304776999</v>
      </c>
      <c r="AL1588">
        <v>88.946220766000494</v>
      </c>
      <c r="AM1588">
        <v>85.201159893331294</v>
      </c>
      <c r="AN1588">
        <v>0.99999998059058204</v>
      </c>
    </row>
    <row r="1589" spans="1:40" x14ac:dyDescent="0.25">
      <c r="A1589" t="str">
        <f>"20190312160328017"</f>
        <v>20190312160328017</v>
      </c>
      <c r="B1589" t="str">
        <f>"1552377808006299"</f>
        <v>1552377808006299</v>
      </c>
      <c r="C1589" t="s">
        <v>40</v>
      </c>
      <c r="D1589">
        <v>5.7756249999999998</v>
      </c>
      <c r="E1589">
        <v>0.56117869999999903</v>
      </c>
      <c r="F1589" t="s">
        <v>70</v>
      </c>
      <c r="G1589">
        <v>-240.28319999999999</v>
      </c>
      <c r="H1589" s="1">
        <v>-1.3861059999999999E-6</v>
      </c>
      <c r="I1589">
        <v>286.26519999999999</v>
      </c>
      <c r="J1589">
        <v>-214.81790000000001</v>
      </c>
      <c r="K1589">
        <v>1.1001920000000001</v>
      </c>
      <c r="L1589">
        <v>282.58249999999998</v>
      </c>
      <c r="M1589">
        <v>-0.99525090000000005</v>
      </c>
      <c r="N1589">
        <v>0</v>
      </c>
      <c r="O1589">
        <v>-9.6345189999999997E-2</v>
      </c>
      <c r="P1589">
        <v>-0.99982459999999995</v>
      </c>
      <c r="Q1589">
        <v>6.8978399999999997E-3</v>
      </c>
      <c r="R1589">
        <v>-1.7418779999999998E-2</v>
      </c>
      <c r="S1589">
        <v>-3.0118559999999999</v>
      </c>
      <c r="T1589">
        <v>-0.12849539999999901</v>
      </c>
      <c r="U1589">
        <v>0.42749019999999999</v>
      </c>
      <c r="V1589">
        <v>7.9462729999999995E-2</v>
      </c>
      <c r="W1589">
        <v>1.8905769999999999E-2</v>
      </c>
      <c r="X1589">
        <v>0.99665859999999995</v>
      </c>
      <c r="Y1589">
        <v>0.23497560000000001</v>
      </c>
      <c r="Z1589">
        <v>9.0758450000000008E-3</v>
      </c>
      <c r="AA1589">
        <v>0.97195889999999996</v>
      </c>
      <c r="AB1589">
        <v>32</v>
      </c>
      <c r="AC1589">
        <v>-25.4652999999999</v>
      </c>
      <c r="AD1589">
        <v>-1.100193386106</v>
      </c>
      <c r="AE1589">
        <v>3.6827000000000099</v>
      </c>
      <c r="AF1589">
        <v>6.1080934325474097</v>
      </c>
      <c r="AG1589">
        <v>-1.100193386106</v>
      </c>
      <c r="AH1589">
        <v>24.946357449538699</v>
      </c>
      <c r="AI1589">
        <v>92.452879284272299</v>
      </c>
      <c r="AJ1589">
        <v>76.241855377938194</v>
      </c>
      <c r="AK1589">
        <v>25.706808064552</v>
      </c>
      <c r="AL1589">
        <v>88.916714695460101</v>
      </c>
      <c r="AM1589">
        <v>85.441499690070899</v>
      </c>
      <c r="AN1589">
        <v>1.00000005927615</v>
      </c>
    </row>
    <row r="1590" spans="1:40" x14ac:dyDescent="0.25">
      <c r="A1590" t="str">
        <f>"20190312160328037"</f>
        <v>20190312160328037</v>
      </c>
      <c r="B1590" t="str">
        <f>"1552377808025818"</f>
        <v>1552377808025818</v>
      </c>
      <c r="C1590" t="s">
        <v>40</v>
      </c>
      <c r="D1590">
        <v>5.8104040000000001</v>
      </c>
      <c r="E1590">
        <v>0.56017229999999996</v>
      </c>
      <c r="F1590" t="s">
        <v>70</v>
      </c>
      <c r="G1590">
        <v>-241.95939999999999</v>
      </c>
      <c r="H1590" s="1">
        <v>-4.940947E-7</v>
      </c>
      <c r="I1590">
        <v>286.53410000000002</v>
      </c>
      <c r="J1590">
        <v>-215.11590000000001</v>
      </c>
      <c r="K1590">
        <v>1.1005210000000001</v>
      </c>
      <c r="L1590">
        <v>282.56310000000002</v>
      </c>
      <c r="M1590">
        <v>-0.99612239999999996</v>
      </c>
      <c r="N1590">
        <v>0</v>
      </c>
      <c r="O1590">
        <v>-8.688448E-2</v>
      </c>
      <c r="P1590">
        <v>-0.99989090000000003</v>
      </c>
      <c r="Q1590">
        <v>7.4713080000000003E-3</v>
      </c>
      <c r="R1590">
        <v>-1.2735679999999999E-2</v>
      </c>
      <c r="S1590">
        <v>-3.0089869999999999</v>
      </c>
      <c r="T1590">
        <v>-0.12197040000000001</v>
      </c>
      <c r="U1590">
        <v>0.43807980000000002</v>
      </c>
      <c r="V1590">
        <v>7.4656700000000006E-2</v>
      </c>
      <c r="W1590">
        <v>1.958323E-2</v>
      </c>
      <c r="X1590">
        <v>0.99701700000000004</v>
      </c>
      <c r="Y1590">
        <v>0.22925799999999999</v>
      </c>
      <c r="Z1590">
        <v>8.1248480000000005E-3</v>
      </c>
      <c r="AA1590">
        <v>0.97333179999999997</v>
      </c>
      <c r="AB1590">
        <v>32</v>
      </c>
      <c r="AC1590">
        <v>-26.843499999999899</v>
      </c>
      <c r="AD1590">
        <v>-1.1005214940946999</v>
      </c>
      <c r="AE1590">
        <v>3.9710000000000001</v>
      </c>
      <c r="AF1590">
        <v>6.2781605407338299</v>
      </c>
      <c r="AG1590">
        <v>-1.1005214940946999</v>
      </c>
      <c r="AH1590">
        <v>26.353570946292699</v>
      </c>
      <c r="AI1590">
        <v>92.326249537026698</v>
      </c>
      <c r="AJ1590">
        <v>76.600299649623594</v>
      </c>
      <c r="AK1590">
        <v>27.113412713184498</v>
      </c>
      <c r="AL1590">
        <v>88.877891855506405</v>
      </c>
      <c r="AM1590">
        <v>85.717679936436397</v>
      </c>
      <c r="AN1590">
        <v>1.0000000120205601</v>
      </c>
    </row>
    <row r="1591" spans="1:40" x14ac:dyDescent="0.25">
      <c r="A1591" t="str">
        <f>"20190312160328061"</f>
        <v>20190312160328061</v>
      </c>
      <c r="B1591" t="str">
        <f>"1552377808056074"</f>
        <v>1552377808056074</v>
      </c>
      <c r="C1591" t="s">
        <v>40</v>
      </c>
      <c r="D1591">
        <v>5.9032499999999999</v>
      </c>
      <c r="E1591">
        <v>0.55947460000000004</v>
      </c>
      <c r="F1591" t="s">
        <v>70</v>
      </c>
      <c r="G1591">
        <v>-242.50479999999999</v>
      </c>
      <c r="H1591" s="1">
        <v>-2.0385850000000001E-7</v>
      </c>
      <c r="I1591">
        <v>286.60899999999998</v>
      </c>
      <c r="J1591">
        <v>-215.44710000000001</v>
      </c>
      <c r="K1591">
        <v>1.100924</v>
      </c>
      <c r="L1591">
        <v>282.54430000000002</v>
      </c>
      <c r="M1591">
        <v>-0.99694839999999996</v>
      </c>
      <c r="N1591">
        <v>0</v>
      </c>
      <c r="O1591">
        <v>-7.6843880000000003E-2</v>
      </c>
      <c r="P1591">
        <v>-0.99994700000000003</v>
      </c>
      <c r="Q1591">
        <v>7.5327429999999997E-3</v>
      </c>
      <c r="R1591">
        <v>-7.0267200000000002E-3</v>
      </c>
      <c r="S1591">
        <v>-3.0068820000000001</v>
      </c>
      <c r="T1591">
        <v>-0.12082030000000001</v>
      </c>
      <c r="U1591">
        <v>0.4441833</v>
      </c>
      <c r="V1591">
        <v>7.0283929999999994E-2</v>
      </c>
      <c r="W1591">
        <v>1.9732449999999999E-2</v>
      </c>
      <c r="X1591">
        <v>0.99733190000000005</v>
      </c>
      <c r="Y1591">
        <v>0.2214941</v>
      </c>
      <c r="Z1591">
        <v>7.4963449999999997E-3</v>
      </c>
      <c r="AA1591">
        <v>0.97513289999999997</v>
      </c>
      <c r="AB1591">
        <v>31</v>
      </c>
      <c r="AC1591">
        <v>-27.057699999999901</v>
      </c>
      <c r="AD1591">
        <v>-1.1009242038584901</v>
      </c>
      <c r="AE1591">
        <v>4.06470000000001</v>
      </c>
      <c r="AF1591">
        <v>6.1221823487654303</v>
      </c>
      <c r="AG1591">
        <v>-1.1009242038584901</v>
      </c>
      <c r="AH1591">
        <v>26.622201346913201</v>
      </c>
      <c r="AI1591">
        <v>92.307867400159196</v>
      </c>
      <c r="AJ1591">
        <v>77.049124123596499</v>
      </c>
      <c r="AK1591">
        <v>27.339253014114401</v>
      </c>
      <c r="AL1591">
        <v>88.869340580753601</v>
      </c>
      <c r="AM1591">
        <v>85.968918701314294</v>
      </c>
      <c r="AN1591">
        <v>1.00000005957842</v>
      </c>
    </row>
    <row r="1592" spans="1:40" x14ac:dyDescent="0.25">
      <c r="A1592" t="str">
        <f>"20190312160328084"</f>
        <v>20190312160328084</v>
      </c>
      <c r="B1592" t="str">
        <f>"1552377808076570"</f>
        <v>1552377808076570</v>
      </c>
      <c r="C1592" t="s">
        <v>40</v>
      </c>
      <c r="D1592">
        <v>5.8143089999999997</v>
      </c>
      <c r="E1592">
        <v>0.55845610000000001</v>
      </c>
      <c r="F1592" t="s">
        <v>70</v>
      </c>
      <c r="G1592">
        <v>-242.62200000000001</v>
      </c>
      <c r="H1592" s="1">
        <v>-1.4149160000000001E-7</v>
      </c>
      <c r="I1592">
        <v>286.66750000000002</v>
      </c>
      <c r="J1592">
        <v>-215.77549999999999</v>
      </c>
      <c r="K1592">
        <v>1.101364</v>
      </c>
      <c r="L1592">
        <v>282.52850000000001</v>
      </c>
      <c r="M1592">
        <v>-0.99763219999999997</v>
      </c>
      <c r="N1592">
        <v>0</v>
      </c>
      <c r="O1592">
        <v>-6.7404169999999999E-2</v>
      </c>
      <c r="P1592">
        <v>-0.99997000000000003</v>
      </c>
      <c r="Q1592">
        <v>7.5610089999999996E-3</v>
      </c>
      <c r="R1592">
        <v>-1.8013619999999999E-3</v>
      </c>
      <c r="S1592">
        <v>-3.0043030000000002</v>
      </c>
      <c r="T1592">
        <v>-0.1217121</v>
      </c>
      <c r="U1592">
        <v>0.4558411</v>
      </c>
      <c r="V1592">
        <v>6.6033480000000006E-2</v>
      </c>
      <c r="W1592">
        <v>1.9842579999999999E-2</v>
      </c>
      <c r="X1592">
        <v>0.99762010000000001</v>
      </c>
      <c r="Y1592">
        <v>0.21609110000000001</v>
      </c>
      <c r="Z1592">
        <v>7.066798E-3</v>
      </c>
      <c r="AA1592">
        <v>0.97634759999999998</v>
      </c>
      <c r="AB1592">
        <v>31</v>
      </c>
      <c r="AC1592">
        <v>-26.846499999999999</v>
      </c>
      <c r="AD1592">
        <v>-1.1013641414916</v>
      </c>
      <c r="AE1592">
        <v>4.1390000000000002</v>
      </c>
      <c r="AF1592">
        <v>5.9295722753979296</v>
      </c>
      <c r="AG1592">
        <v>-1.1013641414916</v>
      </c>
      <c r="AH1592">
        <v>26.462917812327699</v>
      </c>
      <c r="AI1592">
        <v>92.325624631940997</v>
      </c>
      <c r="AJ1592">
        <v>77.370289917667805</v>
      </c>
      <c r="AK1592">
        <v>27.141459973320099</v>
      </c>
      <c r="AL1592">
        <v>88.863029300536496</v>
      </c>
      <c r="AM1592">
        <v>86.213058665997593</v>
      </c>
      <c r="AN1592">
        <v>1.0000000061929799</v>
      </c>
    </row>
    <row r="1593" spans="1:40" x14ac:dyDescent="0.25">
      <c r="A1593" t="str">
        <f>"20190312160328105"</f>
        <v>20190312160328105</v>
      </c>
      <c r="B1593" t="str">
        <f>"1552377808096090"</f>
        <v>1552377808096090</v>
      </c>
      <c r="C1593" t="s">
        <v>40</v>
      </c>
      <c r="D1593">
        <v>5.9118219999999999</v>
      </c>
      <c r="E1593">
        <v>0.55751729999999999</v>
      </c>
      <c r="F1593" t="s">
        <v>70</v>
      </c>
      <c r="G1593">
        <v>-242.9522</v>
      </c>
      <c r="H1593" s="1">
        <v>3.420643E-8</v>
      </c>
      <c r="I1593">
        <v>286.72230000000002</v>
      </c>
      <c r="J1593">
        <v>-216.08330000000001</v>
      </c>
      <c r="K1593">
        <v>1.1018059999999901</v>
      </c>
      <c r="L1593">
        <v>282.51609999999999</v>
      </c>
      <c r="M1593">
        <v>-0.99816260000000001</v>
      </c>
      <c r="N1593">
        <v>0</v>
      </c>
      <c r="O1593">
        <v>-5.9051180000000002E-2</v>
      </c>
      <c r="P1593">
        <v>-0.99996439999999998</v>
      </c>
      <c r="Q1593">
        <v>8.2389200000000003E-3</v>
      </c>
      <c r="R1593">
        <v>1.9168E-3</v>
      </c>
      <c r="S1593">
        <v>-3.001846</v>
      </c>
      <c r="T1593">
        <v>-0.12165280000000001</v>
      </c>
      <c r="U1593">
        <v>0.46322629999999998</v>
      </c>
      <c r="V1593">
        <v>6.1381989999999997E-2</v>
      </c>
      <c r="W1593">
        <v>2.0607739999999999E-2</v>
      </c>
      <c r="X1593">
        <v>0.99790160000000006</v>
      </c>
      <c r="Y1593">
        <v>0.21039179999999999</v>
      </c>
      <c r="Z1593">
        <v>6.6163289999999998E-3</v>
      </c>
      <c r="AA1593">
        <v>0.97759470000000004</v>
      </c>
      <c r="AB1593">
        <v>31</v>
      </c>
      <c r="AC1593">
        <v>-26.8689</v>
      </c>
      <c r="AD1593">
        <v>-1.1018059657935699</v>
      </c>
      <c r="AE1593">
        <v>4.2062000000000204</v>
      </c>
      <c r="AF1593">
        <v>5.7761645983452601</v>
      </c>
      <c r="AG1593">
        <v>-1.1018059657935699</v>
      </c>
      <c r="AH1593">
        <v>26.530055408182701</v>
      </c>
      <c r="AI1593">
        <v>92.3237774827507</v>
      </c>
      <c r="AJ1593">
        <v>77.717160080648597</v>
      </c>
      <c r="AK1593">
        <v>27.173919367928502</v>
      </c>
      <c r="AL1593">
        <v>88.819179902659599</v>
      </c>
      <c r="AM1593">
        <v>86.480110420073501</v>
      </c>
      <c r="AN1593">
        <v>1.0000000154634101</v>
      </c>
    </row>
    <row r="1594" spans="1:40" x14ac:dyDescent="0.25">
      <c r="A1594" t="str">
        <f>"20190312160328127"</f>
        <v>20190312160328127</v>
      </c>
      <c r="B1594" t="str">
        <f>"1552377808116586"</f>
        <v>1552377808116586</v>
      </c>
      <c r="C1594" t="s">
        <v>40</v>
      </c>
      <c r="D1594">
        <v>5.82761</v>
      </c>
      <c r="E1594">
        <v>0.5339391</v>
      </c>
      <c r="F1594" t="s">
        <v>70</v>
      </c>
      <c r="G1594">
        <v>-243.75290000000001</v>
      </c>
      <c r="H1594" s="1">
        <v>4.6032119999999999E-7</v>
      </c>
      <c r="I1594">
        <v>286.82119999999998</v>
      </c>
      <c r="J1594">
        <v>-216.38229999999999</v>
      </c>
      <c r="K1594">
        <v>1.1022609999999999</v>
      </c>
      <c r="L1594">
        <v>282.5061</v>
      </c>
      <c r="M1594">
        <v>-0.99858519999999995</v>
      </c>
      <c r="N1594">
        <v>0</v>
      </c>
      <c r="O1594">
        <v>-5.1430429999999999E-2</v>
      </c>
      <c r="P1594">
        <v>-0.99994360000000004</v>
      </c>
      <c r="Q1594">
        <v>9.5004540000000002E-3</v>
      </c>
      <c r="R1594">
        <v>4.7852950000000002E-3</v>
      </c>
      <c r="S1594">
        <v>-3.0001980000000001</v>
      </c>
      <c r="T1594">
        <v>-0.1194683</v>
      </c>
      <c r="U1594">
        <v>0.46679690000000001</v>
      </c>
      <c r="V1594">
        <v>5.6626040000000002E-2</v>
      </c>
      <c r="W1594">
        <v>2.1953549999999999E-2</v>
      </c>
      <c r="X1594">
        <v>0.99815399999999999</v>
      </c>
      <c r="Y1594">
        <v>0.20416100000000001</v>
      </c>
      <c r="Z1594">
        <v>6.0754470000000003E-3</v>
      </c>
      <c r="AA1594">
        <v>0.97891850000000002</v>
      </c>
      <c r="AB1594">
        <v>31</v>
      </c>
      <c r="AC1594">
        <v>-27.3706</v>
      </c>
      <c r="AD1594">
        <v>-1.1022605396788001</v>
      </c>
      <c r="AE1594">
        <v>4.31509999999997</v>
      </c>
      <c r="AF1594">
        <v>5.7081654264165396</v>
      </c>
      <c r="AG1594">
        <v>-1.1022605396788001</v>
      </c>
      <c r="AH1594">
        <v>27.069585869019601</v>
      </c>
      <c r="AI1594">
        <v>92.281646893012194</v>
      </c>
      <c r="AJ1594">
        <v>78.092483575150496</v>
      </c>
      <c r="AK1594">
        <v>27.686830984294598</v>
      </c>
      <c r="AL1594">
        <v>88.742053100576499</v>
      </c>
      <c r="AM1594">
        <v>86.753046922219596</v>
      </c>
      <c r="AN1594">
        <v>0.99999993723984004</v>
      </c>
    </row>
    <row r="1595" spans="1:40" x14ac:dyDescent="0.25">
      <c r="A1595" t="str">
        <f>"20190312160328149"</f>
        <v>20190312160328149</v>
      </c>
      <c r="B1595" t="str">
        <f>"1552377808145865"</f>
        <v>1552377808145865</v>
      </c>
      <c r="C1595" t="s">
        <v>40</v>
      </c>
      <c r="D1595">
        <v>5.8854670000000002</v>
      </c>
      <c r="E1595">
        <v>0.53366289999999905</v>
      </c>
      <c r="F1595" t="s">
        <v>70</v>
      </c>
      <c r="G1595">
        <v>-233.35910000000001</v>
      </c>
      <c r="H1595" s="1">
        <v>2.714995E-7</v>
      </c>
      <c r="I1595">
        <v>284.14240000000001</v>
      </c>
      <c r="J1595">
        <v>-216.7038</v>
      </c>
      <c r="K1595">
        <v>1.102757</v>
      </c>
      <c r="L1595">
        <v>282.4975</v>
      </c>
      <c r="M1595">
        <v>-0.99894930000000004</v>
      </c>
      <c r="N1595">
        <v>0</v>
      </c>
      <c r="O1595">
        <v>-4.3814039999999999E-2</v>
      </c>
      <c r="P1595">
        <v>-0.99991200000000002</v>
      </c>
      <c r="Q1595">
        <v>1.0678460000000001E-2</v>
      </c>
      <c r="R1595">
        <v>7.8661310000000002E-3</v>
      </c>
      <c r="S1595">
        <v>-3.0006409999999999</v>
      </c>
      <c r="T1595">
        <v>-0.1948233</v>
      </c>
      <c r="U1595">
        <v>0.2892151</v>
      </c>
      <c r="V1595">
        <v>5.2081479999999999E-2</v>
      </c>
      <c r="W1595">
        <v>2.3202549999999999E-2</v>
      </c>
      <c r="X1595">
        <v>0.99837330000000002</v>
      </c>
      <c r="Y1595">
        <v>0.1390817</v>
      </c>
      <c r="Z1595">
        <v>7.3362009999999997E-3</v>
      </c>
      <c r="AA1595">
        <v>0.99025370000000001</v>
      </c>
      <c r="AB1595">
        <v>31</v>
      </c>
      <c r="AC1595">
        <v>-16.6553</v>
      </c>
      <c r="AD1595">
        <v>-1.1027567285005</v>
      </c>
      <c r="AE1595">
        <v>1.6449</v>
      </c>
      <c r="AF1595">
        <v>2.36286366342661</v>
      </c>
      <c r="AG1595">
        <v>-1.1027567285005</v>
      </c>
      <c r="AH1595">
        <v>16.495611298762999</v>
      </c>
      <c r="AI1595">
        <v>93.786088663294095</v>
      </c>
      <c r="AJ1595">
        <v>81.848291484176002</v>
      </c>
      <c r="AK1595">
        <v>16.700430809235801</v>
      </c>
      <c r="AL1595">
        <v>88.6704725556977</v>
      </c>
      <c r="AM1595">
        <v>87.0137957932711</v>
      </c>
      <c r="AN1595">
        <v>1.0000000425191899</v>
      </c>
    </row>
    <row r="1596" spans="1:40" x14ac:dyDescent="0.25">
      <c r="A1596" t="str">
        <f>"20190312160328172"</f>
        <v>20190312160328172</v>
      </c>
      <c r="B1596" t="str">
        <f>"1552377808166362"</f>
        <v>1552377808166362</v>
      </c>
      <c r="C1596" t="s">
        <v>40</v>
      </c>
      <c r="D1596">
        <v>5.9348130000000001</v>
      </c>
      <c r="E1596">
        <v>0.53330330000000004</v>
      </c>
      <c r="F1596" t="s">
        <v>70</v>
      </c>
      <c r="G1596">
        <v>-234.79</v>
      </c>
      <c r="H1596" s="1">
        <v>1.0268380000000001E-6</v>
      </c>
      <c r="I1596">
        <v>284.28199999999998</v>
      </c>
      <c r="J1596">
        <v>-217.02940000000001</v>
      </c>
      <c r="K1596">
        <v>1.103262</v>
      </c>
      <c r="L1596">
        <v>282.49079999999998</v>
      </c>
      <c r="M1596">
        <v>-0.9992375</v>
      </c>
      <c r="N1596">
        <v>0</v>
      </c>
      <c r="O1596">
        <v>-3.6687440000000002E-2</v>
      </c>
      <c r="P1596">
        <v>-0.9998669</v>
      </c>
      <c r="Q1596">
        <v>1.1585949999999999E-2</v>
      </c>
      <c r="R1596">
        <v>1.148889E-2</v>
      </c>
      <c r="S1596">
        <v>-2.999908</v>
      </c>
      <c r="T1596">
        <v>-0.1829104</v>
      </c>
      <c r="U1596">
        <v>0.29598999999999998</v>
      </c>
      <c r="V1596">
        <v>4.8562109999999999E-2</v>
      </c>
      <c r="W1596">
        <v>2.415453E-2</v>
      </c>
      <c r="X1596">
        <v>0.99852810000000003</v>
      </c>
      <c r="Y1596">
        <v>0.1343221</v>
      </c>
      <c r="Z1596">
        <v>6.3115259999999996E-3</v>
      </c>
      <c r="AA1596">
        <v>0.99091759999999995</v>
      </c>
      <c r="AB1596">
        <v>31</v>
      </c>
      <c r="AC1596">
        <v>-17.760599999999901</v>
      </c>
      <c r="AD1596">
        <v>-1.103260973162</v>
      </c>
      <c r="AE1596">
        <v>1.7911999999999999</v>
      </c>
      <c r="AF1596">
        <v>2.4323518047124999</v>
      </c>
      <c r="AG1596">
        <v>-1.103260973162</v>
      </c>
      <c r="AH1596">
        <v>17.615631769341299</v>
      </c>
      <c r="AI1596">
        <v>93.550138152428403</v>
      </c>
      <c r="AJ1596">
        <v>82.138357814439701</v>
      </c>
      <c r="AK1596">
        <v>17.8169582900622</v>
      </c>
      <c r="AL1596">
        <v>88.615912823435707</v>
      </c>
      <c r="AM1596">
        <v>87.215688397441099</v>
      </c>
      <c r="AN1596">
        <v>1.00000004316839</v>
      </c>
    </row>
    <row r="1597" spans="1:40" x14ac:dyDescent="0.25">
      <c r="A1597" t="str">
        <f>"20190312160328195"</f>
        <v>20190312160328195</v>
      </c>
      <c r="B1597" t="str">
        <f>"1552377808185886"</f>
        <v>1552377808185886</v>
      </c>
      <c r="C1597" t="s">
        <v>40</v>
      </c>
      <c r="D1597">
        <v>5.9028019999999897</v>
      </c>
      <c r="E1597">
        <v>0.53223089999999995</v>
      </c>
      <c r="F1597" t="s">
        <v>70</v>
      </c>
      <c r="G1597">
        <v>-236.57990000000001</v>
      </c>
      <c r="H1597" s="1">
        <v>1.9711800000000002E-6</v>
      </c>
      <c r="I1597">
        <v>284.46839999999997</v>
      </c>
      <c r="J1597">
        <v>-217.35409999999999</v>
      </c>
      <c r="K1597">
        <v>1.1037239999999999</v>
      </c>
      <c r="L1597">
        <v>282.48590000000002</v>
      </c>
      <c r="M1597">
        <v>-0.9994596</v>
      </c>
      <c r="N1597">
        <v>0</v>
      </c>
      <c r="O1597">
        <v>-3.0061460000000002E-2</v>
      </c>
      <c r="P1597">
        <v>-0.99980899999999995</v>
      </c>
      <c r="Q1597">
        <v>1.282235E-2</v>
      </c>
      <c r="R1597">
        <v>1.47422E-2</v>
      </c>
      <c r="S1597">
        <v>-2.9988860000000002</v>
      </c>
      <c r="T1597">
        <v>-0.1692311</v>
      </c>
      <c r="U1597">
        <v>0.30334470000000002</v>
      </c>
      <c r="V1597">
        <v>4.5181039999999999E-2</v>
      </c>
      <c r="W1597">
        <v>2.5425860000000002E-2</v>
      </c>
      <c r="X1597">
        <v>0.99865519999999997</v>
      </c>
      <c r="Y1597">
        <v>0.13025219999999901</v>
      </c>
      <c r="Z1597">
        <v>5.3542629999999997E-3</v>
      </c>
      <c r="AA1597">
        <v>0.99146650000000003</v>
      </c>
      <c r="AB1597">
        <v>31</v>
      </c>
      <c r="AC1597">
        <v>-19.2258</v>
      </c>
      <c r="AD1597">
        <v>-1.10372202882</v>
      </c>
      <c r="AE1597">
        <v>1.98249999999995</v>
      </c>
      <c r="AF1597">
        <v>2.5512906960471202</v>
      </c>
      <c r="AG1597">
        <v>-1.10372202882</v>
      </c>
      <c r="AH1597">
        <v>19.0952368217092</v>
      </c>
      <c r="AI1597">
        <v>93.278994077769795</v>
      </c>
      <c r="AJ1597">
        <v>82.389852694055506</v>
      </c>
      <c r="AK1597">
        <v>19.2965114932673</v>
      </c>
      <c r="AL1597">
        <v>88.5430485291688</v>
      </c>
      <c r="AM1597">
        <v>87.409597550946103</v>
      </c>
      <c r="AN1597">
        <v>1.00000000460963</v>
      </c>
    </row>
    <row r="1598" spans="1:40" x14ac:dyDescent="0.25">
      <c r="A1598" t="str">
        <f>"20190312160328217"</f>
        <v>20190312160328217</v>
      </c>
      <c r="B1598" t="str">
        <f>"1552377808206378"</f>
        <v>1552377808206378</v>
      </c>
      <c r="C1598" t="s">
        <v>40</v>
      </c>
      <c r="D1598">
        <v>5.8721880000000004</v>
      </c>
      <c r="E1598">
        <v>0.51530730000000002</v>
      </c>
      <c r="F1598" t="s">
        <v>70</v>
      </c>
      <c r="G1598">
        <v>-236.9931</v>
      </c>
      <c r="H1598" s="1">
        <v>2.190615E-6</v>
      </c>
      <c r="I1598">
        <v>284.47820000000002</v>
      </c>
      <c r="J1598">
        <v>-217.6585</v>
      </c>
      <c r="K1598">
        <v>1.104128</v>
      </c>
      <c r="L1598">
        <v>282.4828</v>
      </c>
      <c r="M1598">
        <v>-0.99961750000000005</v>
      </c>
      <c r="N1598">
        <v>0</v>
      </c>
      <c r="O1598">
        <v>-2.428924E-2</v>
      </c>
      <c r="P1598">
        <v>-0.99976359999999997</v>
      </c>
      <c r="Q1598">
        <v>1.386189E-2</v>
      </c>
      <c r="R1598">
        <v>1.6760009999999999E-2</v>
      </c>
      <c r="S1598">
        <v>-2.9982600000000001</v>
      </c>
      <c r="T1598">
        <v>-0.1685036</v>
      </c>
      <c r="U1598">
        <v>0.30416870000000001</v>
      </c>
      <c r="V1598">
        <v>4.1418089999999998E-2</v>
      </c>
      <c r="W1598">
        <v>2.6501719999999999E-2</v>
      </c>
      <c r="X1598">
        <v>0.99879039999999997</v>
      </c>
      <c r="Y1598">
        <v>0.1248348</v>
      </c>
      <c r="Z1598">
        <v>4.857114E-3</v>
      </c>
      <c r="AA1598">
        <v>0.99216559999999998</v>
      </c>
      <c r="AB1598">
        <v>31</v>
      </c>
      <c r="AC1598">
        <v>-19.334599999999899</v>
      </c>
      <c r="AD1598">
        <v>-1.1041258093849999</v>
      </c>
      <c r="AE1598">
        <v>1.9954000000000101</v>
      </c>
      <c r="AF1598">
        <v>2.4565483389761602</v>
      </c>
      <c r="AG1598">
        <v>-1.1041258093849999</v>
      </c>
      <c r="AH1598">
        <v>19.218410744457501</v>
      </c>
      <c r="AI1598">
        <v>93.261632508050198</v>
      </c>
      <c r="AJ1598">
        <v>82.715801083805601</v>
      </c>
      <c r="AK1598">
        <v>19.406211250199199</v>
      </c>
      <c r="AL1598">
        <v>88.481385541977303</v>
      </c>
      <c r="AM1598">
        <v>87.625404798320105</v>
      </c>
      <c r="AN1598">
        <v>1.00000003123718</v>
      </c>
    </row>
    <row r="1599" spans="1:40" x14ac:dyDescent="0.25">
      <c r="A1599" t="str">
        <f>"20190312160328237"</f>
        <v>20190312160328237</v>
      </c>
      <c r="B1599" t="str">
        <f>"1552377808225898"</f>
        <v>1552377808225898</v>
      </c>
      <c r="C1599" t="s">
        <v>40</v>
      </c>
      <c r="D1599">
        <v>5.8583249999999998</v>
      </c>
      <c r="E1599">
        <v>0.52626890000000004</v>
      </c>
      <c r="F1599" t="s">
        <v>79</v>
      </c>
      <c r="G1599">
        <v>-289.57819999999998</v>
      </c>
      <c r="H1599" s="1">
        <v>3.736027E-6</v>
      </c>
      <c r="I1599">
        <v>286.64269999999999</v>
      </c>
      <c r="J1599">
        <v>-217.96</v>
      </c>
      <c r="K1599">
        <v>1.1045180000000001</v>
      </c>
      <c r="L1599">
        <v>282.48110000000003</v>
      </c>
      <c r="M1599">
        <v>-0.99973239999999997</v>
      </c>
      <c r="N1599">
        <v>0</v>
      </c>
      <c r="O1599">
        <v>-1.9009359999999999E-2</v>
      </c>
      <c r="P1599">
        <v>-0.99969699999999995</v>
      </c>
      <c r="Q1599">
        <v>1.428455E-2</v>
      </c>
      <c r="R1599">
        <v>2.0054269999999999E-2</v>
      </c>
      <c r="S1599">
        <v>-2.9984280000000001</v>
      </c>
      <c r="T1599">
        <v>-4.6032429999999999E-2</v>
      </c>
      <c r="U1599">
        <v>0.17343140000000001</v>
      </c>
      <c r="V1599">
        <v>3.9413499999999997E-2</v>
      </c>
      <c r="W1599">
        <v>2.6932149999999998E-2</v>
      </c>
      <c r="X1599">
        <v>0.99885990000000002</v>
      </c>
      <c r="Y1599">
        <v>7.670188E-2</v>
      </c>
      <c r="Z1599">
        <v>8.7987130000000005E-4</v>
      </c>
      <c r="AA1599">
        <v>0.99705370000000004</v>
      </c>
      <c r="AB1599">
        <v>31</v>
      </c>
      <c r="AC1599">
        <v>-71.618199999999902</v>
      </c>
      <c r="AD1599">
        <v>-1.1045142639729999</v>
      </c>
      <c r="AE1599">
        <v>4.16159999999996</v>
      </c>
      <c r="AF1599">
        <v>5.5210735962459196</v>
      </c>
      <c r="AG1599">
        <v>-1.1045142639729999</v>
      </c>
      <c r="AH1599">
        <v>71.509189590602006</v>
      </c>
      <c r="AI1599">
        <v>90.882281538593602</v>
      </c>
      <c r="AJ1599">
        <v>85.585072441143595</v>
      </c>
      <c r="AK1599">
        <v>71.730512345299402</v>
      </c>
      <c r="AL1599">
        <v>88.456714760937203</v>
      </c>
      <c r="AM1599">
        <v>87.7403674924618</v>
      </c>
      <c r="AN1599">
        <v>0.99999993225693895</v>
      </c>
    </row>
    <row r="1600" spans="1:40" x14ac:dyDescent="0.25">
      <c r="A1600" t="str">
        <f>"20190312160328262"</f>
        <v>20190312160328262</v>
      </c>
      <c r="B1600" t="str">
        <f>"1552377808256154"</f>
        <v>1552377808256154</v>
      </c>
      <c r="C1600" t="s">
        <v>40</v>
      </c>
      <c r="D1600">
        <v>5.9891639999999997</v>
      </c>
      <c r="E1600">
        <v>0.51783630000000003</v>
      </c>
      <c r="F1600" t="s">
        <v>70</v>
      </c>
      <c r="G1600">
        <v>-239.38339999999999</v>
      </c>
      <c r="H1600" s="1">
        <v>3.4649519999999998E-6</v>
      </c>
      <c r="I1600">
        <v>284.42520000000002</v>
      </c>
      <c r="J1600">
        <v>-218.29390000000001</v>
      </c>
      <c r="K1600">
        <v>1.104981</v>
      </c>
      <c r="L1600">
        <v>282.48070000000001</v>
      </c>
      <c r="M1600">
        <v>-0.99982070000000001</v>
      </c>
      <c r="N1600">
        <v>0</v>
      </c>
      <c r="O1600">
        <v>-1.3662769999999999E-2</v>
      </c>
      <c r="P1600">
        <v>-0.9996505</v>
      </c>
      <c r="Q1600">
        <v>1.546993E-2</v>
      </c>
      <c r="R1600">
        <v>2.1435050000000001E-2</v>
      </c>
      <c r="S1600">
        <v>-2.997665</v>
      </c>
      <c r="T1600">
        <v>-0.15454879999999999</v>
      </c>
      <c r="U1600">
        <v>0.27203369999999999</v>
      </c>
      <c r="V1600">
        <v>3.5434359999999998E-2</v>
      </c>
      <c r="W1600">
        <v>2.8145719999999999E-2</v>
      </c>
      <c r="X1600">
        <v>0.99897559999999996</v>
      </c>
      <c r="Y1600">
        <v>0.10382189999999999</v>
      </c>
      <c r="Z1600">
        <v>3.3717399999999998E-3</v>
      </c>
      <c r="AA1600">
        <v>0.99459019999999998</v>
      </c>
      <c r="AB1600">
        <v>31</v>
      </c>
      <c r="AC1600">
        <v>-21.089499999999902</v>
      </c>
      <c r="AD1600">
        <v>-1.104977535048</v>
      </c>
      <c r="AE1600">
        <v>1.9444999999999999</v>
      </c>
      <c r="AF1600">
        <v>2.2264237637596298</v>
      </c>
      <c r="AG1600">
        <v>-1.104977535048</v>
      </c>
      <c r="AH1600">
        <v>21.003788031258399</v>
      </c>
      <c r="AI1600">
        <v>92.994721269988005</v>
      </c>
      <c r="AJ1600">
        <v>83.949181998842406</v>
      </c>
      <c r="AK1600">
        <v>21.150343963889298</v>
      </c>
      <c r="AL1600">
        <v>88.387156060641402</v>
      </c>
      <c r="AM1600">
        <v>87.968530504953705</v>
      </c>
      <c r="AN1600">
        <v>1.0000000124091399</v>
      </c>
    </row>
    <row r="1601" spans="1:40" x14ac:dyDescent="0.25">
      <c r="A1601" t="str">
        <f>"20190312160328275"</f>
        <v>20190312160328275</v>
      </c>
      <c r="B1601" t="str">
        <f>"1552377808265915"</f>
        <v>1552377808265915</v>
      </c>
      <c r="C1601" t="s">
        <v>40</v>
      </c>
      <c r="D1601">
        <v>5.975676</v>
      </c>
      <c r="E1601">
        <v>0.51618710000000001</v>
      </c>
      <c r="F1601" t="s">
        <v>70</v>
      </c>
      <c r="G1601">
        <v>-256.63920000000002</v>
      </c>
      <c r="H1601" s="1">
        <v>1.996258E-6</v>
      </c>
      <c r="I1601">
        <v>285.142</v>
      </c>
      <c r="J1601">
        <v>-218.49289999999999</v>
      </c>
      <c r="K1601">
        <v>1.105267</v>
      </c>
      <c r="L1601">
        <v>282.48099999999999</v>
      </c>
      <c r="M1601">
        <v>-0.99985690000000005</v>
      </c>
      <c r="N1601">
        <v>0</v>
      </c>
      <c r="O1601">
        <v>-1.0737419999999999E-2</v>
      </c>
      <c r="P1601">
        <v>-0.99961599999999995</v>
      </c>
      <c r="Q1601">
        <v>1.6343400000000001E-2</v>
      </c>
      <c r="R1601">
        <v>2.238308E-2</v>
      </c>
      <c r="S1601">
        <v>-2.9979399999999998</v>
      </c>
      <c r="T1601">
        <v>-8.6390259999999996E-2</v>
      </c>
      <c r="U1601">
        <v>0.2080688</v>
      </c>
      <c r="V1601">
        <v>3.3449069999999997E-2</v>
      </c>
      <c r="W1601">
        <v>2.9029889999999999E-2</v>
      </c>
      <c r="X1601">
        <v>0.99901870000000004</v>
      </c>
      <c r="Y1601">
        <v>7.9908519999999997E-2</v>
      </c>
      <c r="Z1601">
        <v>1.4587529999999999E-3</v>
      </c>
      <c r="AA1601">
        <v>0.9968011</v>
      </c>
      <c r="AB1601">
        <v>31</v>
      </c>
      <c r="AC1601">
        <v>-38.146299999999997</v>
      </c>
      <c r="AD1601">
        <v>-1.105265003742</v>
      </c>
      <c r="AE1601">
        <v>2.661</v>
      </c>
      <c r="AF1601">
        <v>3.0679113367305502</v>
      </c>
      <c r="AG1601">
        <v>-1.105265003742</v>
      </c>
      <c r="AH1601">
        <v>38.083708874467199</v>
      </c>
      <c r="AI1601">
        <v>91.657006080082496</v>
      </c>
      <c r="AJ1601">
        <v>85.394366356324397</v>
      </c>
      <c r="AK1601">
        <v>38.223063356221303</v>
      </c>
      <c r="AL1601">
        <v>88.336476064163904</v>
      </c>
      <c r="AM1601">
        <v>88.082343336335299</v>
      </c>
      <c r="AN1601">
        <v>0.99999996887348297</v>
      </c>
    </row>
    <row r="1602" spans="1:40" x14ac:dyDescent="0.25">
      <c r="A1602" t="str">
        <f>"20190312160328298"</f>
        <v>20190312160328298</v>
      </c>
      <c r="B1602" t="str">
        <f>"1552377808286410"</f>
        <v>1552377808286410</v>
      </c>
      <c r="C1602" t="s">
        <v>40</v>
      </c>
      <c r="D1602">
        <v>5.4280099999999996</v>
      </c>
      <c r="E1602">
        <v>0.51423030000000003</v>
      </c>
      <c r="F1602" t="s">
        <v>70</v>
      </c>
      <c r="G1602">
        <v>-251.08459999999999</v>
      </c>
      <c r="H1602" s="1">
        <v>-9.596345000000001E-7</v>
      </c>
      <c r="I1602">
        <v>284.63319999999999</v>
      </c>
      <c r="J1602">
        <v>-218.8108</v>
      </c>
      <c r="K1602">
        <v>1.105729</v>
      </c>
      <c r="L1602">
        <v>282.48230000000001</v>
      </c>
      <c r="M1602">
        <v>-0.99989439999999996</v>
      </c>
      <c r="N1602">
        <v>0</v>
      </c>
      <c r="O1602">
        <v>-6.4492869999999997E-3</v>
      </c>
      <c r="P1602">
        <v>-0.99958210000000003</v>
      </c>
      <c r="Q1602">
        <v>1.747129E-2</v>
      </c>
      <c r="R1602">
        <v>2.3031900000000001E-2</v>
      </c>
      <c r="S1602">
        <v>-2.998383</v>
      </c>
      <c r="T1602">
        <v>-0.10168290000000001</v>
      </c>
      <c r="U1602">
        <v>0.19799800000000001</v>
      </c>
      <c r="V1602">
        <v>2.9791370000000001E-2</v>
      </c>
      <c r="W1602">
        <v>3.017713E-2</v>
      </c>
      <c r="X1602">
        <v>0.99910049999999995</v>
      </c>
      <c r="Y1602">
        <v>7.2280819999999996E-2</v>
      </c>
      <c r="Z1602">
        <v>1.442371E-3</v>
      </c>
      <c r="AA1602">
        <v>0.99738329999999997</v>
      </c>
      <c r="AB1602">
        <v>31</v>
      </c>
      <c r="AC1602">
        <v>-32.273799999999902</v>
      </c>
      <c r="AD1602">
        <v>-1.1057299596345</v>
      </c>
      <c r="AE1602">
        <v>2.1508999999999698</v>
      </c>
      <c r="AF1602">
        <v>2.35626233662081</v>
      </c>
      <c r="AG1602">
        <v>-1.1057299596345</v>
      </c>
      <c r="AH1602">
        <v>32.221600942446202</v>
      </c>
      <c r="AI1602">
        <v>91.960184734976707</v>
      </c>
      <c r="AJ1602">
        <v>85.817587988507299</v>
      </c>
      <c r="AK1602">
        <v>32.326555310407898</v>
      </c>
      <c r="AL1602">
        <v>88.270715275408904</v>
      </c>
      <c r="AM1602">
        <v>88.292049550035699</v>
      </c>
      <c r="AN1602">
        <v>0.99999999700088105</v>
      </c>
    </row>
    <row r="1603" spans="1:40" x14ac:dyDescent="0.25">
      <c r="A1603" t="str">
        <f>"20190312160328331"</f>
        <v>20190312160328331</v>
      </c>
      <c r="B1603" t="str">
        <f>"1552377808326427"</f>
        <v>1552377808326427</v>
      </c>
      <c r="C1603" t="s">
        <v>40</v>
      </c>
      <c r="D1603">
        <v>5.9967100000000002</v>
      </c>
      <c r="E1603">
        <v>0.51204830000000001</v>
      </c>
      <c r="F1603" t="s">
        <v>70</v>
      </c>
      <c r="G1603">
        <v>-253.40620000000001</v>
      </c>
      <c r="H1603" s="1">
        <v>2.7582619999999998E-7</v>
      </c>
      <c r="I1603">
        <v>284.6071</v>
      </c>
      <c r="J1603">
        <v>-219.27879999999999</v>
      </c>
      <c r="K1603">
        <v>1.106382</v>
      </c>
      <c r="L1603">
        <v>282.48579999999998</v>
      </c>
      <c r="M1603">
        <v>-0.99991569999999996</v>
      </c>
      <c r="N1603">
        <v>0</v>
      </c>
      <c r="O1603">
        <v>-9.7985949999999998E-4</v>
      </c>
      <c r="P1603">
        <v>-0.9995655</v>
      </c>
      <c r="Q1603">
        <v>1.7901380000000001E-2</v>
      </c>
      <c r="R1603">
        <v>2.341387E-2</v>
      </c>
      <c r="S1603">
        <v>-2.998688</v>
      </c>
      <c r="T1603">
        <v>-9.5843079999999997E-2</v>
      </c>
      <c r="U1603">
        <v>0.18417359999999999</v>
      </c>
      <c r="V1603">
        <v>2.4662300000000002E-2</v>
      </c>
      <c r="W1603">
        <v>3.06261E-2</v>
      </c>
      <c r="X1603">
        <v>0.99922659999999996</v>
      </c>
      <c r="Y1603">
        <v>6.2248449999999997E-2</v>
      </c>
      <c r="Z1603">
        <v>1.0248760000000001E-3</v>
      </c>
      <c r="AA1603">
        <v>0.99806019999999895</v>
      </c>
      <c r="AB1603">
        <v>31</v>
      </c>
      <c r="AC1603">
        <v>-34.127400000000002</v>
      </c>
      <c r="AD1603">
        <v>-1.1063817241738001</v>
      </c>
      <c r="AE1603">
        <v>2.1213000000000202</v>
      </c>
      <c r="AF1603">
        <v>2.15248827904106</v>
      </c>
      <c r="AG1603">
        <v>-1.1063817241738001</v>
      </c>
      <c r="AH1603">
        <v>34.089614502639201</v>
      </c>
      <c r="AI1603">
        <v>91.855195564443704</v>
      </c>
      <c r="AJ1603">
        <v>86.387023251485303</v>
      </c>
      <c r="AK1603">
        <v>34.175416650708797</v>
      </c>
      <c r="AL1603">
        <v>88.244979285156205</v>
      </c>
      <c r="AM1603">
        <v>88.586147647471705</v>
      </c>
      <c r="AN1603">
        <v>0.99999999259502903</v>
      </c>
    </row>
    <row r="1604" spans="1:40" x14ac:dyDescent="0.25">
      <c r="A1604" t="str">
        <f>"20190312160328344"</f>
        <v>20190312160328344</v>
      </c>
      <c r="B1604" t="str">
        <f>"1552377808336187"</f>
        <v>1552377808336187</v>
      </c>
      <c r="C1604" t="s">
        <v>40</v>
      </c>
      <c r="D1604">
        <v>5.9418379999999997</v>
      </c>
      <c r="E1604">
        <v>0.51142969999999999</v>
      </c>
      <c r="F1604" t="s">
        <v>70</v>
      </c>
      <c r="G1604">
        <v>-254.1566</v>
      </c>
      <c r="H1604" s="1">
        <v>6.7517249999999999E-7</v>
      </c>
      <c r="I1604">
        <v>284.44029999999998</v>
      </c>
      <c r="J1604">
        <v>-219.48159999999999</v>
      </c>
      <c r="K1604">
        <v>1.106644</v>
      </c>
      <c r="L1604">
        <v>282.48790000000002</v>
      </c>
      <c r="M1604">
        <v>-0.99991609999999997</v>
      </c>
      <c r="N1604">
        <v>0</v>
      </c>
      <c r="O1604">
        <v>1.0899379999999999E-3</v>
      </c>
      <c r="P1604">
        <v>-0.99955510000000003</v>
      </c>
      <c r="Q1604">
        <v>1.823688E-2</v>
      </c>
      <c r="R1604">
        <v>2.3605109999999999E-2</v>
      </c>
      <c r="S1604">
        <v>-2.9990839999999999</v>
      </c>
      <c r="T1604">
        <v>-9.5135810000000001E-2</v>
      </c>
      <c r="U1604">
        <v>0.1680603</v>
      </c>
      <c r="V1604">
        <v>2.2767720000000002E-2</v>
      </c>
      <c r="W1604">
        <v>3.0963540000000001E-2</v>
      </c>
      <c r="X1604">
        <v>0.99926119999999996</v>
      </c>
      <c r="Y1604">
        <v>5.4834130000000002E-2</v>
      </c>
      <c r="Z1604">
        <v>8.3427269999999997E-4</v>
      </c>
      <c r="AA1604">
        <v>0.99849509999999997</v>
      </c>
      <c r="AB1604">
        <v>31</v>
      </c>
      <c r="AC1604">
        <v>-34.674999999999997</v>
      </c>
      <c r="AD1604">
        <v>-1.1066433248275001</v>
      </c>
      <c r="AE1604">
        <v>1.95239999999995</v>
      </c>
      <c r="AF1604">
        <v>1.9126601078471599</v>
      </c>
      <c r="AG1604">
        <v>-1.1066433248275001</v>
      </c>
      <c r="AH1604">
        <v>34.641934536573103</v>
      </c>
      <c r="AI1604">
        <v>91.826921987625198</v>
      </c>
      <c r="AJ1604">
        <v>86.839778109475603</v>
      </c>
      <c r="AK1604">
        <v>34.712340119513001</v>
      </c>
      <c r="AL1604">
        <v>88.225636285774101</v>
      </c>
      <c r="AM1604">
        <v>88.694767095094093</v>
      </c>
      <c r="AN1604">
        <v>1.0000000278543799</v>
      </c>
    </row>
    <row r="1605" spans="1:40" x14ac:dyDescent="0.25">
      <c r="A1605" t="str">
        <f>"20190312160328363"</f>
        <v>20190312160328363</v>
      </c>
      <c r="B1605" t="str">
        <f>"1552377808356683"</f>
        <v>1552377808356683</v>
      </c>
      <c r="C1605" t="s">
        <v>40</v>
      </c>
      <c r="D1605">
        <v>5.9373990000000001</v>
      </c>
      <c r="E1605">
        <v>0.51038899999999998</v>
      </c>
      <c r="F1605" t="s">
        <v>70</v>
      </c>
      <c r="G1605">
        <v>-255.99959999999999</v>
      </c>
      <c r="H1605" s="1">
        <v>1.6558939999999999E-6</v>
      </c>
      <c r="I1605">
        <v>284.47989999999999</v>
      </c>
      <c r="J1605">
        <v>-219.73240000000001</v>
      </c>
      <c r="K1605">
        <v>1.1069610000000001</v>
      </c>
      <c r="L1605">
        <v>282.4907</v>
      </c>
      <c r="M1605">
        <v>-0.99991140000000001</v>
      </c>
      <c r="N1605">
        <v>0</v>
      </c>
      <c r="O1605">
        <v>3.367849E-3</v>
      </c>
      <c r="P1605">
        <v>-0.99956299999999998</v>
      </c>
      <c r="Q1605">
        <v>1.8685230000000001E-2</v>
      </c>
      <c r="R1605">
        <v>2.2906650000000001E-2</v>
      </c>
      <c r="S1605">
        <v>-2.9991460000000001</v>
      </c>
      <c r="T1605">
        <v>-9.0886350000000005E-2</v>
      </c>
      <c r="U1605">
        <v>0.16360469999999999</v>
      </c>
      <c r="V1605">
        <v>1.9772080000000001E-2</v>
      </c>
      <c r="W1605">
        <v>3.1416800000000002E-2</v>
      </c>
      <c r="X1605">
        <v>0.99931080000000005</v>
      </c>
      <c r="Y1605">
        <v>5.1084190000000002E-2</v>
      </c>
      <c r="Z1605">
        <v>6.7131129999999995E-4</v>
      </c>
      <c r="AA1605">
        <v>0.99869410000000003</v>
      </c>
      <c r="AB1605">
        <v>31</v>
      </c>
      <c r="AC1605">
        <v>-36.267199999999903</v>
      </c>
      <c r="AD1605">
        <v>-1.1069593441059999</v>
      </c>
      <c r="AE1605">
        <v>1.9891999999999801</v>
      </c>
      <c r="AF1605">
        <v>1.86530360576155</v>
      </c>
      <c r="AG1605">
        <v>-1.1069593441059999</v>
      </c>
      <c r="AH1605">
        <v>36.240033762995999</v>
      </c>
      <c r="AI1605">
        <v>91.747255991364</v>
      </c>
      <c r="AJ1605">
        <v>87.053540399057297</v>
      </c>
      <c r="AK1605">
        <v>36.304886223127902</v>
      </c>
      <c r="AL1605">
        <v>88.199653732697897</v>
      </c>
      <c r="AM1605">
        <v>88.866509855885994</v>
      </c>
      <c r="AN1605">
        <v>1.0000000127332</v>
      </c>
    </row>
    <row r="1606" spans="1:40" x14ac:dyDescent="0.25">
      <c r="A1606" t="str">
        <f>"20190312160328385"</f>
        <v>20190312160328385</v>
      </c>
      <c r="B1606" t="str">
        <f>"1552377808376206"</f>
        <v>1552377808376206</v>
      </c>
      <c r="C1606" t="s">
        <v>40</v>
      </c>
      <c r="D1606">
        <v>5.7921880000000003</v>
      </c>
      <c r="E1606">
        <v>0.50944109999999998</v>
      </c>
      <c r="F1606" t="s">
        <v>70</v>
      </c>
      <c r="G1606">
        <v>-259.4282</v>
      </c>
      <c r="H1606" s="1">
        <v>3.4804479999999998E-6</v>
      </c>
      <c r="I1606">
        <v>284.51949999999999</v>
      </c>
      <c r="J1606">
        <v>-220.0461</v>
      </c>
      <c r="K1606">
        <v>1.1073459999999999</v>
      </c>
      <c r="L1606">
        <v>282.49470000000002</v>
      </c>
      <c r="M1606">
        <v>-0.99990029999999996</v>
      </c>
      <c r="N1606">
        <v>0</v>
      </c>
      <c r="O1606">
        <v>5.8664329999999999E-3</v>
      </c>
      <c r="P1606">
        <v>-0.99955320000000003</v>
      </c>
      <c r="Q1606">
        <v>1.936508E-2</v>
      </c>
      <c r="R1606">
        <v>2.2771509999999998E-2</v>
      </c>
      <c r="S1606">
        <v>-2.9993590000000001</v>
      </c>
      <c r="T1606">
        <v>-8.3640099999999995E-2</v>
      </c>
      <c r="U1606">
        <v>0.1532898</v>
      </c>
      <c r="V1606">
        <v>1.711478E-2</v>
      </c>
      <c r="W1606">
        <v>3.2092139999999998E-2</v>
      </c>
      <c r="X1606">
        <v>0.99933839999999996</v>
      </c>
      <c r="Y1606">
        <v>4.5165520000000001E-2</v>
      </c>
      <c r="Z1606">
        <v>4.6575050000000003E-4</v>
      </c>
      <c r="AA1606">
        <v>0.99897939999999996</v>
      </c>
      <c r="AB1606">
        <v>31</v>
      </c>
      <c r="AC1606">
        <v>-39.382100000000001</v>
      </c>
      <c r="AD1606">
        <v>-1.1073425195519999</v>
      </c>
      <c r="AE1606">
        <v>2.02479999999996</v>
      </c>
      <c r="AF1606">
        <v>1.79230035405026</v>
      </c>
      <c r="AG1606">
        <v>-1.1073425195519999</v>
      </c>
      <c r="AH1606">
        <v>39.362263116427897</v>
      </c>
      <c r="AI1606">
        <v>91.609757700130501</v>
      </c>
      <c r="AJ1606">
        <v>87.392925199705701</v>
      </c>
      <c r="AK1606">
        <v>39.418603547838103</v>
      </c>
      <c r="AL1606">
        <v>88.160940108122603</v>
      </c>
      <c r="AM1606">
        <v>89.018842059390593</v>
      </c>
      <c r="AN1606">
        <v>1.00000002942939</v>
      </c>
    </row>
    <row r="1607" spans="1:40" x14ac:dyDescent="0.25">
      <c r="A1607" t="str">
        <f>"20190312160328398"</f>
        <v>20190312160328398</v>
      </c>
      <c r="B1607" t="str">
        <f>"1552377808395722"</f>
        <v>1552377808395722</v>
      </c>
      <c r="C1607" t="s">
        <v>40</v>
      </c>
      <c r="D1607">
        <v>5.8180579999999997</v>
      </c>
      <c r="E1607">
        <v>0.50867529999999905</v>
      </c>
      <c r="F1607" t="s">
        <v>70</v>
      </c>
      <c r="G1607">
        <v>-262.0222</v>
      </c>
      <c r="H1607" s="1">
        <v>-4.6065580000000001E-7</v>
      </c>
      <c r="I1607">
        <v>284.52109999999999</v>
      </c>
      <c r="J1607">
        <v>-220.2295</v>
      </c>
      <c r="K1607">
        <v>1.107559</v>
      </c>
      <c r="L1607">
        <v>282.49720000000002</v>
      </c>
      <c r="M1607">
        <v>-0.99989249999999996</v>
      </c>
      <c r="N1607">
        <v>0</v>
      </c>
      <c r="O1607">
        <v>7.1168330000000004E-3</v>
      </c>
      <c r="P1607">
        <v>-0.999552</v>
      </c>
      <c r="Q1607">
        <v>1.9360949999999998E-2</v>
      </c>
      <c r="R1607">
        <v>2.282466E-2</v>
      </c>
      <c r="S1607">
        <v>-2.9995880000000001</v>
      </c>
      <c r="T1607">
        <v>-7.913017E-2</v>
      </c>
      <c r="U1607">
        <v>0.14480589999999999</v>
      </c>
      <c r="V1607">
        <v>1.5901370000000001E-2</v>
      </c>
      <c r="W1607">
        <v>3.208213E-2</v>
      </c>
      <c r="X1607">
        <v>0.99935870000000004</v>
      </c>
      <c r="Y1607">
        <v>4.1096960000000002E-2</v>
      </c>
      <c r="Z1607">
        <v>3.5405769999999998E-4</v>
      </c>
      <c r="AA1607">
        <v>0.99915509999999996</v>
      </c>
      <c r="AB1607">
        <v>31</v>
      </c>
      <c r="AC1607">
        <v>-41.792700000000004</v>
      </c>
      <c r="AD1607">
        <v>-1.1075594606557999</v>
      </c>
      <c r="AE1607">
        <v>2.0238999999999598</v>
      </c>
      <c r="AF1607">
        <v>1.7251838357220799</v>
      </c>
      <c r="AG1607">
        <v>-1.1075594606557999</v>
      </c>
      <c r="AH1607">
        <v>41.776774473779398</v>
      </c>
      <c r="AI1607">
        <v>91.517341190920902</v>
      </c>
      <c r="AJ1607">
        <v>87.635297983289803</v>
      </c>
      <c r="AK1607">
        <v>41.827046664317002</v>
      </c>
      <c r="AL1607">
        <v>88.161513813910702</v>
      </c>
      <c r="AM1607">
        <v>89.088410885392804</v>
      </c>
      <c r="AN1607">
        <v>0.99999996394945101</v>
      </c>
    </row>
    <row r="1608" spans="1:40" x14ac:dyDescent="0.25">
      <c r="A1608" t="str">
        <f>"20190312160328411"</f>
        <v>20190312160328411</v>
      </c>
      <c r="B1608" t="str">
        <f>"1552377808406458"</f>
        <v>1552377808406458</v>
      </c>
      <c r="C1608" t="s">
        <v>40</v>
      </c>
      <c r="D1608">
        <v>5.9356929999999997</v>
      </c>
      <c r="E1608">
        <v>0.50835529999999995</v>
      </c>
      <c r="F1608" t="s">
        <v>70</v>
      </c>
      <c r="G1608">
        <v>-263.1705</v>
      </c>
      <c r="H1608" s="1">
        <v>1.503946E-7</v>
      </c>
      <c r="I1608">
        <v>284.48540000000003</v>
      </c>
      <c r="J1608">
        <v>-220.39930000000001</v>
      </c>
      <c r="K1608">
        <v>1.107753</v>
      </c>
      <c r="L1608">
        <v>282.49959999999999</v>
      </c>
      <c r="M1608">
        <v>-0.99988440000000001</v>
      </c>
      <c r="N1608">
        <v>0</v>
      </c>
      <c r="O1608">
        <v>8.2024769999999997E-3</v>
      </c>
      <c r="P1608">
        <v>-0.99955419999999995</v>
      </c>
      <c r="Q1608">
        <v>1.9166619999999999E-2</v>
      </c>
      <c r="R1608">
        <v>2.2893819999999999E-2</v>
      </c>
      <c r="S1608">
        <v>-2.9996800000000001</v>
      </c>
      <c r="T1608">
        <v>-7.7369450000000006E-2</v>
      </c>
      <c r="U1608">
        <v>0.1388855</v>
      </c>
      <c r="V1608">
        <v>1.4869189999999999E-2</v>
      </c>
      <c r="W1608">
        <v>3.1881949999999999E-2</v>
      </c>
      <c r="X1608">
        <v>0.99938099999999996</v>
      </c>
      <c r="Y1608">
        <v>3.8044740000000001E-2</v>
      </c>
      <c r="Z1608">
        <v>2.7887160000000002E-4</v>
      </c>
      <c r="AA1608">
        <v>0.99927600000000005</v>
      </c>
      <c r="AB1608">
        <v>31</v>
      </c>
      <c r="AC1608">
        <v>-42.771199999999901</v>
      </c>
      <c r="AD1608">
        <v>-1.1077528496054001</v>
      </c>
      <c r="AE1608">
        <v>1.98580000000004</v>
      </c>
      <c r="AF1608">
        <v>1.6337810882241799</v>
      </c>
      <c r="AG1608">
        <v>-1.1077528496054001</v>
      </c>
      <c r="AH1608">
        <v>42.757431395799301</v>
      </c>
      <c r="AI1608">
        <v>91.482996376127105</v>
      </c>
      <c r="AJ1608">
        <v>87.811766508641</v>
      </c>
      <c r="AK1608">
        <v>42.802970651422399</v>
      </c>
      <c r="AL1608">
        <v>88.172989159991303</v>
      </c>
      <c r="AM1608">
        <v>89.147593384051206</v>
      </c>
      <c r="AN1608">
        <v>0.99999996735402796</v>
      </c>
    </row>
    <row r="1609" spans="1:40" x14ac:dyDescent="0.25">
      <c r="A1609" t="str">
        <f>"20190312160328428"</f>
        <v>20190312160328428</v>
      </c>
      <c r="B1609" t="str">
        <f>"1552377808425978"</f>
        <v>1552377808425978</v>
      </c>
      <c r="C1609" t="s">
        <v>40</v>
      </c>
      <c r="D1609">
        <v>5.386952</v>
      </c>
      <c r="E1609">
        <v>0.50828809999999902</v>
      </c>
      <c r="F1609" t="s">
        <v>70</v>
      </c>
      <c r="G1609">
        <v>-263.50299999999999</v>
      </c>
      <c r="H1609" s="1">
        <v>3.273389E-7</v>
      </c>
      <c r="I1609">
        <v>284.45929999999998</v>
      </c>
      <c r="J1609">
        <v>-220.65549999999999</v>
      </c>
      <c r="K1609">
        <v>1.1080270000000001</v>
      </c>
      <c r="L1609">
        <v>282.5034</v>
      </c>
      <c r="M1609">
        <v>-0.99987199999999998</v>
      </c>
      <c r="N1609">
        <v>0</v>
      </c>
      <c r="O1609">
        <v>9.6357579999999995E-3</v>
      </c>
      <c r="P1609">
        <v>-0.99958150000000001</v>
      </c>
      <c r="Q1609">
        <v>1.8939049999999999E-2</v>
      </c>
      <c r="R1609">
        <v>2.186302E-2</v>
      </c>
      <c r="S1609">
        <v>-2.9997099999999999</v>
      </c>
      <c r="T1609">
        <v>-7.7091690000000004E-2</v>
      </c>
      <c r="U1609">
        <v>0.13638310000000001</v>
      </c>
      <c r="V1609">
        <v>1.238266E-2</v>
      </c>
      <c r="W1609">
        <v>3.1648900000000001E-2</v>
      </c>
      <c r="X1609">
        <v>0.99942240000000004</v>
      </c>
      <c r="Y1609">
        <v>3.5781170000000001E-2</v>
      </c>
      <c r="Z1609">
        <v>2.1199850000000001E-4</v>
      </c>
      <c r="AA1609">
        <v>0.99935960000000001</v>
      </c>
      <c r="AB1609">
        <v>31</v>
      </c>
      <c r="AC1609">
        <v>-42.847499999999997</v>
      </c>
      <c r="AD1609">
        <v>-1.1080266726611001</v>
      </c>
      <c r="AE1609">
        <v>1.95589999999998</v>
      </c>
      <c r="AF1609">
        <v>1.5418784076550101</v>
      </c>
      <c r="AG1609">
        <v>-1.1080266726611001</v>
      </c>
      <c r="AH1609">
        <v>42.835772685369697</v>
      </c>
      <c r="AI1609">
        <v>91.480772600543801</v>
      </c>
      <c r="AJ1609">
        <v>87.938522045655304</v>
      </c>
      <c r="AK1609">
        <v>42.877832660758301</v>
      </c>
      <c r="AL1609">
        <v>88.186348848882403</v>
      </c>
      <c r="AM1609">
        <v>89.290152134597193</v>
      </c>
      <c r="AN1609">
        <v>1.00000005838082</v>
      </c>
    </row>
    <row r="1610" spans="1:40" x14ac:dyDescent="0.25">
      <c r="A1610" t="str">
        <f>"20190312160328440"</f>
        <v>20190312160328440</v>
      </c>
      <c r="B1610" t="str">
        <f>"1552377808435739"</f>
        <v>1552377808435739</v>
      </c>
      <c r="C1610" t="s">
        <v>40</v>
      </c>
      <c r="D1610">
        <v>6.050732</v>
      </c>
      <c r="E1610">
        <v>0.50812539999999995</v>
      </c>
      <c r="F1610" t="s">
        <v>70</v>
      </c>
      <c r="G1610">
        <v>-264.6583</v>
      </c>
      <c r="H1610" s="1">
        <v>9.4213490000000002E-7</v>
      </c>
      <c r="I1610">
        <v>284.45159999999998</v>
      </c>
      <c r="J1610">
        <v>-220.8201</v>
      </c>
      <c r="K1610">
        <v>1.1081829999999999</v>
      </c>
      <c r="L1610">
        <v>282.50599999999997</v>
      </c>
      <c r="M1610">
        <v>-0.99986419999999998</v>
      </c>
      <c r="N1610">
        <v>0</v>
      </c>
      <c r="O1610">
        <v>1.0425449999999999E-2</v>
      </c>
      <c r="P1610">
        <v>-0.99959770000000003</v>
      </c>
      <c r="Q1610">
        <v>1.863252E-2</v>
      </c>
      <c r="R1610">
        <v>2.1380719999999999E-2</v>
      </c>
      <c r="S1610">
        <v>-2.9998019999999999</v>
      </c>
      <c r="T1610">
        <v>-7.5537320000000005E-2</v>
      </c>
      <c r="U1610">
        <v>0.1328125</v>
      </c>
      <c r="V1610">
        <v>1.1096959999999999E-2</v>
      </c>
      <c r="W1610">
        <v>3.1337209999999997E-2</v>
      </c>
      <c r="X1610">
        <v>0.99944730000000004</v>
      </c>
      <c r="Y1610">
        <v>3.3804540000000001E-2</v>
      </c>
      <c r="Z1610">
        <v>1.6298299999999901E-4</v>
      </c>
      <c r="AA1610">
        <v>0.99942850000000005</v>
      </c>
      <c r="AB1610">
        <v>31</v>
      </c>
      <c r="AC1610">
        <v>-43.838200000000001</v>
      </c>
      <c r="AD1610">
        <v>-1.1081820578650901</v>
      </c>
      <c r="AE1610">
        <v>1.94560000000001</v>
      </c>
      <c r="AF1610">
        <v>1.48747539303668</v>
      </c>
      <c r="AG1610">
        <v>-1.1081820578650901</v>
      </c>
      <c r="AH1610">
        <v>43.8281504090182</v>
      </c>
      <c r="AI1610">
        <v>91.447565451185994</v>
      </c>
      <c r="AJ1610">
        <v>88.056195353822105</v>
      </c>
      <c r="AK1610">
        <v>43.867384453529802</v>
      </c>
      <c r="AL1610">
        <v>88.204216189030902</v>
      </c>
      <c r="AM1610">
        <v>89.363865560383701</v>
      </c>
      <c r="AN1610">
        <v>1.0000000343645501</v>
      </c>
    </row>
    <row r="1611" spans="1:40" x14ac:dyDescent="0.25">
      <c r="A1611" t="str">
        <f>"20190312160328452"</f>
        <v>20190312160328452</v>
      </c>
      <c r="B1611" t="str">
        <f>"1552377808446475"</f>
        <v>1552377808446475</v>
      </c>
      <c r="C1611" t="s">
        <v>40</v>
      </c>
      <c r="D1611">
        <v>5.952699</v>
      </c>
      <c r="E1611">
        <v>0.50794910000000004</v>
      </c>
      <c r="F1611" t="s">
        <v>70</v>
      </c>
      <c r="G1611">
        <v>-264.82679999999999</v>
      </c>
      <c r="H1611" s="1">
        <v>1.031798E-6</v>
      </c>
      <c r="I1611">
        <v>284.41579999999999</v>
      </c>
      <c r="J1611">
        <v>-220.9854</v>
      </c>
      <c r="K1611">
        <v>1.108339</v>
      </c>
      <c r="L1611">
        <v>282.5086</v>
      </c>
      <c r="M1611">
        <v>-0.99985659999999998</v>
      </c>
      <c r="N1611">
        <v>0</v>
      </c>
      <c r="O1611">
        <v>1.1165680000000001E-2</v>
      </c>
      <c r="P1611">
        <v>-0.99961390000000006</v>
      </c>
      <c r="Q1611">
        <v>1.8126989999999999E-2</v>
      </c>
      <c r="R1611">
        <v>2.1064759999999998E-2</v>
      </c>
      <c r="S1611">
        <v>-2.9998469999999999</v>
      </c>
      <c r="T1611">
        <v>-7.5542570000000003E-2</v>
      </c>
      <c r="U1611">
        <v>0.130188</v>
      </c>
      <c r="V1611">
        <v>1.002696E-2</v>
      </c>
      <c r="W1611">
        <v>3.0824850000000001E-2</v>
      </c>
      <c r="X1611">
        <v>0.99947450000000004</v>
      </c>
      <c r="Y1611">
        <v>3.2191959999999999E-2</v>
      </c>
      <c r="Z1611">
        <v>1.2407609999999999E-4</v>
      </c>
      <c r="AA1611">
        <v>0.99948170000000003</v>
      </c>
      <c r="AB1611">
        <v>31</v>
      </c>
      <c r="AC1611">
        <v>-43.841399999999901</v>
      </c>
      <c r="AD1611">
        <v>-1.108337968202</v>
      </c>
      <c r="AE1611">
        <v>1.90719999999998</v>
      </c>
      <c r="AF1611">
        <v>1.4166186991931999</v>
      </c>
      <c r="AG1611">
        <v>-1.108337968202</v>
      </c>
      <c r="AH1611">
        <v>43.832002920058201</v>
      </c>
      <c r="AI1611">
        <v>91.447719383753693</v>
      </c>
      <c r="AJ1611">
        <v>88.148886097414206</v>
      </c>
      <c r="AK1611">
        <v>43.868892185404597</v>
      </c>
      <c r="AL1611">
        <v>88.233586371837404</v>
      </c>
      <c r="AM1611">
        <v>89.425214733562896</v>
      </c>
      <c r="AN1611">
        <v>0.99999999372730697</v>
      </c>
    </row>
    <row r="1612" spans="1:40" x14ac:dyDescent="0.25">
      <c r="A1612" t="str">
        <f>"20190312160328465"</f>
        <v>20190312160328465</v>
      </c>
      <c r="B1612" t="str">
        <f>"1552377808456235"</f>
        <v>1552377808456235</v>
      </c>
      <c r="C1612" t="s">
        <v>40</v>
      </c>
      <c r="D1612">
        <v>5.3839379999999997</v>
      </c>
      <c r="E1612">
        <v>0.50794030000000001</v>
      </c>
      <c r="F1612" t="s">
        <v>70</v>
      </c>
      <c r="G1612">
        <v>-264.48379999999997</v>
      </c>
      <c r="H1612" s="1">
        <v>8.4927089999999996E-7</v>
      </c>
      <c r="I1612">
        <v>284.35829999999999</v>
      </c>
      <c r="J1612">
        <v>-221.17789999999999</v>
      </c>
      <c r="K1612">
        <v>1.108509</v>
      </c>
      <c r="L1612">
        <v>282.51170000000002</v>
      </c>
      <c r="M1612">
        <v>-0.99984770000000001</v>
      </c>
      <c r="N1612">
        <v>0</v>
      </c>
      <c r="O1612">
        <v>1.1945829999999999E-2</v>
      </c>
      <c r="P1612">
        <v>-0.99963650000000004</v>
      </c>
      <c r="Q1612">
        <v>1.7747229999999999E-2</v>
      </c>
      <c r="R1612">
        <v>2.0295690000000002E-2</v>
      </c>
      <c r="S1612">
        <v>-2.9998779999999998</v>
      </c>
      <c r="T1612">
        <v>-7.6436760000000006E-2</v>
      </c>
      <c r="U1612">
        <v>0.1275635</v>
      </c>
      <c r="V1612">
        <v>8.4636009999999994E-3</v>
      </c>
      <c r="W1612">
        <v>3.0437840000000001E-2</v>
      </c>
      <c r="X1612">
        <v>0.99950079999999997</v>
      </c>
      <c r="Y1612">
        <v>3.0539440000000001E-2</v>
      </c>
      <c r="Z1612" s="1">
        <v>8.4640810000000005E-5</v>
      </c>
      <c r="AA1612">
        <v>0.99953349999999996</v>
      </c>
      <c r="AB1612">
        <v>31</v>
      </c>
      <c r="AC1612">
        <v>-43.305899999999902</v>
      </c>
      <c r="AD1612">
        <v>-1.1085081507290999</v>
      </c>
      <c r="AE1612">
        <v>1.8465999999999601</v>
      </c>
      <c r="AF1612">
        <v>1.3282327230995301</v>
      </c>
      <c r="AG1612">
        <v>-1.1085081507290999</v>
      </c>
      <c r="AH1612">
        <v>43.296553355236497</v>
      </c>
      <c r="AI1612">
        <v>91.465916242362098</v>
      </c>
      <c r="AJ1612">
        <v>88.242856226258795</v>
      </c>
      <c r="AK1612">
        <v>43.331103435405197</v>
      </c>
      <c r="AL1612">
        <v>88.255770783749298</v>
      </c>
      <c r="AM1612">
        <v>89.514840781695696</v>
      </c>
      <c r="AN1612">
        <v>0.99999997192319601</v>
      </c>
    </row>
    <row r="1613" spans="1:40" x14ac:dyDescent="0.25">
      <c r="A1613" t="str">
        <f>"20190312160328486"</f>
        <v>20190312160328486</v>
      </c>
      <c r="B1613" t="str">
        <f>"1552377808475754"</f>
        <v>1552377808475754</v>
      </c>
      <c r="C1613" t="s">
        <v>40</v>
      </c>
      <c r="D1613">
        <v>5.9543169999999996</v>
      </c>
      <c r="E1613">
        <v>0.50761160000000005</v>
      </c>
      <c r="F1613" t="s">
        <v>70</v>
      </c>
      <c r="G1613">
        <v>-263.79640000000001</v>
      </c>
      <c r="H1613" s="1">
        <v>4.8346539999999996E-7</v>
      </c>
      <c r="I1613">
        <v>284.29050000000001</v>
      </c>
      <c r="J1613">
        <v>-221.4632</v>
      </c>
      <c r="K1613">
        <v>1.108743</v>
      </c>
      <c r="L1613">
        <v>282.5163</v>
      </c>
      <c r="M1613">
        <v>-0.99983610000000001</v>
      </c>
      <c r="N1613">
        <v>0</v>
      </c>
      <c r="O1613">
        <v>1.29011E-2</v>
      </c>
      <c r="P1613">
        <v>-0.99967490000000003</v>
      </c>
      <c r="Q1613">
        <v>1.6556709999999999E-2</v>
      </c>
      <c r="R1613">
        <v>1.9395030000000001E-2</v>
      </c>
      <c r="S1613">
        <v>-2.999924</v>
      </c>
      <c r="T1613">
        <v>-7.802808E-2</v>
      </c>
      <c r="U1613">
        <v>0.12521360000000001</v>
      </c>
      <c r="V1613">
        <v>6.5868050000000003E-3</v>
      </c>
      <c r="W1613">
        <v>2.923531E-2</v>
      </c>
      <c r="X1613">
        <v>0.99955090000000002</v>
      </c>
      <c r="Y1613">
        <v>2.8802870000000001E-2</v>
      </c>
      <c r="Z1613" s="1">
        <v>3.9002570000000003E-5</v>
      </c>
      <c r="AA1613">
        <v>0.9995851</v>
      </c>
      <c r="AB1613">
        <v>31</v>
      </c>
      <c r="AC1613">
        <v>-42.333199999999998</v>
      </c>
      <c r="AD1613">
        <v>-1.1087425165346001</v>
      </c>
      <c r="AE1613">
        <v>1.7742</v>
      </c>
      <c r="AF1613">
        <v>1.22702320079659</v>
      </c>
      <c r="AG1613">
        <v>-1.1087425165346001</v>
      </c>
      <c r="AH1613">
        <v>42.323585919014199</v>
      </c>
      <c r="AI1613">
        <v>91.499992906421497</v>
      </c>
      <c r="AJ1613">
        <v>88.339375967050799</v>
      </c>
      <c r="AK1613">
        <v>42.355882955587703</v>
      </c>
      <c r="AL1613">
        <v>88.324701495490004</v>
      </c>
      <c r="AM1613">
        <v>89.6224397733926</v>
      </c>
      <c r="AN1613">
        <v>1.00000004552085</v>
      </c>
    </row>
    <row r="1614" spans="1:40" x14ac:dyDescent="0.25">
      <c r="A1614" t="str">
        <f>"20190312160328508"</f>
        <v>20190312160328508</v>
      </c>
      <c r="B1614" t="str">
        <f>"1552377808496250"</f>
        <v>1552377808496250</v>
      </c>
      <c r="C1614" t="s">
        <v>40</v>
      </c>
      <c r="D1614">
        <v>6.0030700000000001</v>
      </c>
      <c r="E1614">
        <v>0.50729069999999998</v>
      </c>
      <c r="F1614" t="s">
        <v>70</v>
      </c>
      <c r="G1614">
        <v>-263.8227</v>
      </c>
      <c r="H1614" s="1">
        <v>4.9746309999999998E-7</v>
      </c>
      <c r="I1614">
        <v>284.21109999999999</v>
      </c>
      <c r="J1614">
        <v>-221.7697</v>
      </c>
      <c r="K1614">
        <v>1.108984</v>
      </c>
      <c r="L1614">
        <v>282.52140000000003</v>
      </c>
      <c r="M1614">
        <v>-0.99982590000000005</v>
      </c>
      <c r="N1614">
        <v>0</v>
      </c>
      <c r="O1614">
        <v>1.369297E-2</v>
      </c>
      <c r="P1614">
        <v>-0.9997144</v>
      </c>
      <c r="Q1614">
        <v>1.5381479999999999E-2</v>
      </c>
      <c r="R1614">
        <v>1.8297709999999998E-2</v>
      </c>
      <c r="S1614">
        <v>-2.9999539999999998</v>
      </c>
      <c r="T1614">
        <v>-7.8522439999999999E-2</v>
      </c>
      <c r="U1614">
        <v>0.1200256</v>
      </c>
      <c r="V1614">
        <v>4.6775009999999997E-3</v>
      </c>
      <c r="W1614">
        <v>2.804657E-2</v>
      </c>
      <c r="X1614">
        <v>0.99959569999999998</v>
      </c>
      <c r="Y1614">
        <v>2.6286E-2</v>
      </c>
      <c r="Z1614" s="1">
        <v>-1.4382850000000001E-5</v>
      </c>
      <c r="AA1614">
        <v>0.9996545</v>
      </c>
      <c r="AB1614">
        <v>31</v>
      </c>
      <c r="AC1614">
        <v>-42.052999999999997</v>
      </c>
      <c r="AD1614">
        <v>-1.1089835025368999</v>
      </c>
      <c r="AE1614">
        <v>1.68969999999995</v>
      </c>
      <c r="AF1614">
        <v>1.11289213088411</v>
      </c>
      <c r="AG1614">
        <v>-1.1089835025368999</v>
      </c>
      <c r="AH1614">
        <v>42.043004610762303</v>
      </c>
      <c r="AI1614">
        <v>91.5104322642634</v>
      </c>
      <c r="AJ1614">
        <v>88.483715987649404</v>
      </c>
      <c r="AK1614">
        <v>42.0723497086206</v>
      </c>
      <c r="AL1614">
        <v>88.392839202964197</v>
      </c>
      <c r="AM1614">
        <v>89.731892494256002</v>
      </c>
      <c r="AN1614">
        <v>1.0000000262814199</v>
      </c>
    </row>
    <row r="1615" spans="1:40" x14ac:dyDescent="0.25">
      <c r="A1615" t="str">
        <f>"20190312160328520"</f>
        <v>20190312160328520</v>
      </c>
      <c r="B1615" t="str">
        <f>"1552377808515771"</f>
        <v>1552377808515771</v>
      </c>
      <c r="C1615" t="s">
        <v>40</v>
      </c>
      <c r="D1615">
        <v>5.3873069999999998</v>
      </c>
      <c r="E1615">
        <v>0.50692570000000003</v>
      </c>
      <c r="F1615" t="s">
        <v>70</v>
      </c>
      <c r="G1615">
        <v>-262.53519999999997</v>
      </c>
      <c r="H1615" s="1">
        <v>-1.8767410000000001E-7</v>
      </c>
      <c r="I1615">
        <v>284.06849999999997</v>
      </c>
      <c r="J1615">
        <v>-221.9452</v>
      </c>
      <c r="K1615">
        <v>1.1091150000000001</v>
      </c>
      <c r="L1615">
        <v>282.52429999999998</v>
      </c>
      <c r="M1615">
        <v>-0.99982139999999997</v>
      </c>
      <c r="N1615">
        <v>0</v>
      </c>
      <c r="O1615">
        <v>1.402923E-2</v>
      </c>
      <c r="P1615">
        <v>-0.99973109999999998</v>
      </c>
      <c r="Q1615">
        <v>1.4723180000000001E-2</v>
      </c>
      <c r="R1615">
        <v>1.7922850000000001E-2</v>
      </c>
      <c r="S1615">
        <v>-3.0000309999999999</v>
      </c>
      <c r="T1615">
        <v>-8.1612829999999997E-2</v>
      </c>
      <c r="U1615">
        <v>0.11386110000000001</v>
      </c>
      <c r="V1615">
        <v>3.9557469999999999E-3</v>
      </c>
      <c r="W1615">
        <v>2.7379730000000001E-2</v>
      </c>
      <c r="X1615">
        <v>0.99961730000000004</v>
      </c>
      <c r="Y1615">
        <v>2.3898369999999999E-2</v>
      </c>
      <c r="Z1615" s="1">
        <v>-5.6550579999999999E-5</v>
      </c>
      <c r="AA1615">
        <v>0.9997144</v>
      </c>
      <c r="AB1615">
        <v>31</v>
      </c>
      <c r="AC1615">
        <v>-40.589999999999897</v>
      </c>
      <c r="AD1615">
        <v>-1.1091151876740999</v>
      </c>
      <c r="AE1615">
        <v>1.54419999999998</v>
      </c>
      <c r="AF1615">
        <v>0.97382984167185604</v>
      </c>
      <c r="AG1615">
        <v>-1.1091151876740999</v>
      </c>
      <c r="AH1615">
        <v>40.577417177512601</v>
      </c>
      <c r="AI1615">
        <v>91.565243082700107</v>
      </c>
      <c r="AJ1615">
        <v>88.625204973727406</v>
      </c>
      <c r="AK1615">
        <v>40.604251819950498</v>
      </c>
      <c r="AL1615">
        <v>88.431060993914201</v>
      </c>
      <c r="AM1615">
        <v>89.773266804367694</v>
      </c>
      <c r="AN1615">
        <v>1.00000002200424</v>
      </c>
    </row>
    <row r="1616" spans="1:40" x14ac:dyDescent="0.25">
      <c r="A1616" t="str">
        <f>"20190312160328541"</f>
        <v>20190312160328541</v>
      </c>
      <c r="B1616" t="str">
        <f>"1552377808536266"</f>
        <v>1552377808536266</v>
      </c>
      <c r="C1616" t="s">
        <v>40</v>
      </c>
      <c r="D1616">
        <v>5.9589809999999996</v>
      </c>
      <c r="E1616">
        <v>0.50695610000000002</v>
      </c>
      <c r="F1616" t="s">
        <v>70</v>
      </c>
      <c r="G1616">
        <v>-261.57240000000002</v>
      </c>
      <c r="H1616" s="1">
        <v>-7.0001739999999998E-7</v>
      </c>
      <c r="I1616">
        <v>283.97500000000002</v>
      </c>
      <c r="J1616">
        <v>-222.232</v>
      </c>
      <c r="K1616">
        <v>1.109302</v>
      </c>
      <c r="L1616">
        <v>282.52910000000003</v>
      </c>
      <c r="M1616">
        <v>-0.99981509999999996</v>
      </c>
      <c r="N1616">
        <v>0</v>
      </c>
      <c r="O1616">
        <v>1.4483869999999999E-2</v>
      </c>
      <c r="P1616">
        <v>-0.9997547</v>
      </c>
      <c r="Q1616">
        <v>1.4067100000000001E-2</v>
      </c>
      <c r="R1616">
        <v>1.7121549999999999E-2</v>
      </c>
      <c r="S1616">
        <v>-3.000076</v>
      </c>
      <c r="T1616">
        <v>-8.3968280000000006E-2</v>
      </c>
      <c r="U1616">
        <v>0.10983279999999999</v>
      </c>
      <c r="V1616">
        <v>2.6854219999999998E-3</v>
      </c>
      <c r="W1616">
        <v>2.6710020000000001E-2</v>
      </c>
      <c r="X1616">
        <v>0.99963959999999996</v>
      </c>
      <c r="Y1616">
        <v>2.2103330000000001E-2</v>
      </c>
      <c r="Z1616" s="1">
        <v>-9.6007020000000006E-5</v>
      </c>
      <c r="AA1616">
        <v>0.99975570000000002</v>
      </c>
      <c r="AB1616">
        <v>31</v>
      </c>
      <c r="AC1616">
        <v>-39.340400000000002</v>
      </c>
      <c r="AD1616">
        <v>-1.1093027000173901</v>
      </c>
      <c r="AE1616">
        <v>1.44589999999999</v>
      </c>
      <c r="AF1616">
        <v>0.87520654202618897</v>
      </c>
      <c r="AG1616">
        <v>-1.1093027000173901</v>
      </c>
      <c r="AH1616">
        <v>39.3259905876617</v>
      </c>
      <c r="AI1616">
        <v>91.615364060850595</v>
      </c>
      <c r="AJ1616">
        <v>88.725083237567702</v>
      </c>
      <c r="AK1616">
        <v>39.3513668717153</v>
      </c>
      <c r="AL1616">
        <v>88.469446531658804</v>
      </c>
      <c r="AM1616">
        <v>89.846081551105897</v>
      </c>
      <c r="AN1616">
        <v>0.99999998327393902</v>
      </c>
    </row>
    <row r="1617" spans="1:40" x14ac:dyDescent="0.25">
      <c r="A1617" t="str">
        <f>"20190312160328553"</f>
        <v>20190312160328553</v>
      </c>
      <c r="B1617" t="str">
        <f>"1552377808546026"</f>
        <v>1552377808546026</v>
      </c>
      <c r="C1617" t="s">
        <v>40</v>
      </c>
      <c r="D1617">
        <v>5.3872239999999998</v>
      </c>
      <c r="E1617">
        <v>0.50678829999999997</v>
      </c>
      <c r="F1617" t="s">
        <v>70</v>
      </c>
      <c r="G1617">
        <v>-259.88420000000002</v>
      </c>
      <c r="H1617" s="1">
        <v>3.7230740000000001E-6</v>
      </c>
      <c r="I1617">
        <v>283.87799999999999</v>
      </c>
      <c r="J1617">
        <v>-222.41489999999999</v>
      </c>
      <c r="K1617">
        <v>1.109413</v>
      </c>
      <c r="L1617">
        <v>282.53199999999998</v>
      </c>
      <c r="M1617">
        <v>-0.99981229999999999</v>
      </c>
      <c r="N1617">
        <v>0</v>
      </c>
      <c r="O1617">
        <v>1.469207E-2</v>
      </c>
      <c r="P1617">
        <v>-0.99975970000000003</v>
      </c>
      <c r="Q1617">
        <v>1.4246119999999999E-2</v>
      </c>
      <c r="R1617">
        <v>1.667774E-2</v>
      </c>
      <c r="S1617">
        <v>-3.0001370000000001</v>
      </c>
      <c r="T1617">
        <v>-8.8389280000000001E-2</v>
      </c>
      <c r="U1617">
        <v>0.10748290000000001</v>
      </c>
      <c r="V1617">
        <v>2.026262E-3</v>
      </c>
      <c r="W1617">
        <v>2.6880660000000001E-2</v>
      </c>
      <c r="X1617">
        <v>0.99963659999999999</v>
      </c>
      <c r="Y1617">
        <v>2.1112559999999999E-2</v>
      </c>
      <c r="Z1617">
        <v>-1.217763E-4</v>
      </c>
      <c r="AA1617">
        <v>0.99977709999999997</v>
      </c>
      <c r="AB1617">
        <v>31</v>
      </c>
      <c r="AC1617">
        <v>-37.469299999999997</v>
      </c>
      <c r="AD1617">
        <v>-1.109409276926</v>
      </c>
      <c r="AE1617">
        <v>1.3460000000000001</v>
      </c>
      <c r="AF1617">
        <v>0.79461349883113197</v>
      </c>
      <c r="AG1617">
        <v>-1.109409276926</v>
      </c>
      <c r="AH1617">
        <v>37.452241575212099</v>
      </c>
      <c r="AI1617">
        <v>91.696336327761998</v>
      </c>
      <c r="AJ1617">
        <v>88.784554186970396</v>
      </c>
      <c r="AK1617">
        <v>37.477094318587497</v>
      </c>
      <c r="AL1617">
        <v>88.4596660995836</v>
      </c>
      <c r="AM1617">
        <v>89.883861693553698</v>
      </c>
      <c r="AN1617">
        <v>1.0000000038396399</v>
      </c>
    </row>
    <row r="1618" spans="1:40" x14ac:dyDescent="0.25">
      <c r="A1618" t="str">
        <f>"20190312160328565"</f>
        <v>20190312160328565</v>
      </c>
      <c r="B1618" t="str">
        <f>"1552377808555787"</f>
        <v>1552377808555787</v>
      </c>
      <c r="C1618" t="s">
        <v>40</v>
      </c>
      <c r="D1618">
        <v>6.244326</v>
      </c>
      <c r="E1618">
        <v>0.50665890000000002</v>
      </c>
      <c r="F1618" t="s">
        <v>70</v>
      </c>
      <c r="G1618">
        <v>-260.70850000000002</v>
      </c>
      <c r="H1618" s="1">
        <v>-1.159765E-6</v>
      </c>
      <c r="I1618">
        <v>283.8673</v>
      </c>
      <c r="J1618">
        <v>-222.58760000000001</v>
      </c>
      <c r="K1618">
        <v>1.1095170000000001</v>
      </c>
      <c r="L1618">
        <v>282.53489999999999</v>
      </c>
      <c r="M1618">
        <v>-0.99980999999999998</v>
      </c>
      <c r="N1618">
        <v>0</v>
      </c>
      <c r="O1618">
        <v>1.484333E-2</v>
      </c>
      <c r="P1618">
        <v>-0.99976609999999999</v>
      </c>
      <c r="Q1618">
        <v>1.406634E-2</v>
      </c>
      <c r="R1618">
        <v>1.643437E-2</v>
      </c>
      <c r="S1618">
        <v>-3.0001980000000001</v>
      </c>
      <c r="T1618">
        <v>-8.6919549999999998E-2</v>
      </c>
      <c r="U1618">
        <v>0.10461429999999999</v>
      </c>
      <c r="V1618">
        <v>1.6243430000000001E-3</v>
      </c>
      <c r="W1618">
        <v>2.6692859999999999E-2</v>
      </c>
      <c r="X1618">
        <v>0.99964240000000004</v>
      </c>
      <c r="Y1618">
        <v>2.0006429999999999E-2</v>
      </c>
      <c r="Z1618">
        <v>-1.4014680000000001E-4</v>
      </c>
      <c r="AA1618">
        <v>0.99979980000000002</v>
      </c>
      <c r="AB1618">
        <v>31</v>
      </c>
      <c r="AC1618">
        <v>-38.120899999999999</v>
      </c>
      <c r="AD1618">
        <v>-1.1095181597649999</v>
      </c>
      <c r="AE1618">
        <v>1.3324</v>
      </c>
      <c r="AF1618">
        <v>0.76571905814594199</v>
      </c>
      <c r="AG1618">
        <v>-1.1095181597649999</v>
      </c>
      <c r="AH1618">
        <v>38.104239146535697</v>
      </c>
      <c r="AI1618">
        <v>91.667529156599898</v>
      </c>
      <c r="AJ1618">
        <v>88.848774646881196</v>
      </c>
      <c r="AK1618">
        <v>38.128078854818298</v>
      </c>
      <c r="AL1618">
        <v>88.470430161003804</v>
      </c>
      <c r="AM1618">
        <v>89.906898790537298</v>
      </c>
      <c r="AN1618">
        <v>1.0000000375714599</v>
      </c>
    </row>
    <row r="1619" spans="1:40" x14ac:dyDescent="0.25">
      <c r="A1619" t="str">
        <f>"20190312160328579"</f>
        <v>20190312160328579</v>
      </c>
      <c r="B1619" t="str">
        <f>"1552377808566523"</f>
        <v>1552377808566523</v>
      </c>
      <c r="C1619" t="s">
        <v>40</v>
      </c>
      <c r="D1619">
        <v>6.0520639999999997</v>
      </c>
      <c r="E1619">
        <v>0.50650909999999905</v>
      </c>
      <c r="F1619" t="s">
        <v>70</v>
      </c>
      <c r="G1619">
        <v>-260.73110000000003</v>
      </c>
      <c r="H1619" s="1">
        <v>-1.147713E-6</v>
      </c>
      <c r="I1619">
        <v>283.84269999999998</v>
      </c>
      <c r="J1619">
        <v>-222.7621</v>
      </c>
      <c r="K1619">
        <v>1.10961</v>
      </c>
      <c r="L1619">
        <v>282.5376</v>
      </c>
      <c r="M1619">
        <v>-0.99980910000000001</v>
      </c>
      <c r="N1619">
        <v>0</v>
      </c>
      <c r="O1619">
        <v>1.49205E-2</v>
      </c>
      <c r="P1619">
        <v>-0.99977470000000002</v>
      </c>
      <c r="Q1619">
        <v>1.394829E-2</v>
      </c>
      <c r="R1619">
        <v>1.6005970000000001E-2</v>
      </c>
      <c r="S1619">
        <v>-3.000229</v>
      </c>
      <c r="T1619">
        <v>-8.7270500000000001E-2</v>
      </c>
      <c r="U1619">
        <v>0.1028748</v>
      </c>
      <c r="V1619">
        <v>1.1123960000000001E-3</v>
      </c>
      <c r="W1619">
        <v>2.6567500000000001E-2</v>
      </c>
      <c r="X1619">
        <v>0.99964640000000005</v>
      </c>
      <c r="Y1619">
        <v>1.935023E-2</v>
      </c>
      <c r="Z1619">
        <v>-1.5249520000000001E-4</v>
      </c>
      <c r="AA1619">
        <v>0.99981279999999995</v>
      </c>
      <c r="AB1619">
        <v>31</v>
      </c>
      <c r="AC1619">
        <v>-37.969000000000001</v>
      </c>
      <c r="AD1619">
        <v>-1.109611147713</v>
      </c>
      <c r="AE1619">
        <v>1.3050999999999799</v>
      </c>
      <c r="AF1619">
        <v>0.73776380539002195</v>
      </c>
      <c r="AG1619">
        <v>-1.109611147713</v>
      </c>
      <c r="AH1619">
        <v>37.9518724846371</v>
      </c>
      <c r="AI1619">
        <v>91.674381963708498</v>
      </c>
      <c r="AJ1619">
        <v>88.8863414064664</v>
      </c>
      <c r="AK1619">
        <v>37.975257173873501</v>
      </c>
      <c r="AL1619">
        <v>88.477615246454306</v>
      </c>
      <c r="AM1619">
        <v>89.936241885491299</v>
      </c>
      <c r="AN1619">
        <v>0.99999999725703503</v>
      </c>
    </row>
    <row r="1620" spans="1:40" x14ac:dyDescent="0.25">
      <c r="A1620" t="str">
        <f>"20190312160328596"</f>
        <v>20190312160328596</v>
      </c>
      <c r="B1620" t="str">
        <f>"1552377808586046"</f>
        <v>1552377808586046</v>
      </c>
      <c r="C1620" t="s">
        <v>40</v>
      </c>
      <c r="D1620">
        <v>6.0029139999999996</v>
      </c>
      <c r="E1620">
        <v>0.50628629999999997</v>
      </c>
      <c r="F1620" t="s">
        <v>70</v>
      </c>
      <c r="G1620">
        <v>-260.88260000000002</v>
      </c>
      <c r="H1620" s="1">
        <v>-1.0670900000000001E-6</v>
      </c>
      <c r="I1620">
        <v>283.8125</v>
      </c>
      <c r="J1620">
        <v>-223.01339999999999</v>
      </c>
      <c r="K1620">
        <v>1.1097379999999999</v>
      </c>
      <c r="L1620">
        <v>282.54160000000002</v>
      </c>
      <c r="M1620">
        <v>-0.99980860000000005</v>
      </c>
      <c r="N1620">
        <v>0</v>
      </c>
      <c r="O1620">
        <v>1.496512E-2</v>
      </c>
      <c r="P1620">
        <v>-0.99978140000000004</v>
      </c>
      <c r="Q1620">
        <v>1.328039E-2</v>
      </c>
      <c r="R1620">
        <v>1.6161490000000001E-2</v>
      </c>
      <c r="S1620">
        <v>-3.0002749999999998</v>
      </c>
      <c r="T1620">
        <v>-8.7331889999999995E-2</v>
      </c>
      <c r="U1620">
        <v>0.10034179999999999</v>
      </c>
      <c r="V1620">
        <v>1.2146279999999999E-3</v>
      </c>
      <c r="W1620">
        <v>2.588824E-2</v>
      </c>
      <c r="X1620">
        <v>0.99966410000000006</v>
      </c>
      <c r="Y1620">
        <v>1.8462360000000001E-2</v>
      </c>
      <c r="Z1620">
        <v>-1.668165E-4</v>
      </c>
      <c r="AA1620">
        <v>0.99982950000000004</v>
      </c>
      <c r="AB1620">
        <v>31</v>
      </c>
      <c r="AC1620">
        <v>-37.869199999999999</v>
      </c>
      <c r="AD1620">
        <v>-1.10973906708999</v>
      </c>
      <c r="AE1620">
        <v>1.2708999999999799</v>
      </c>
      <c r="AF1620">
        <v>0.70339216763774504</v>
      </c>
      <c r="AG1620">
        <v>-1.10973906708999</v>
      </c>
      <c r="AH1620">
        <v>37.851510654791397</v>
      </c>
      <c r="AI1620">
        <v>91.679039729610096</v>
      </c>
      <c r="AJ1620">
        <v>88.935398778586304</v>
      </c>
      <c r="AK1620">
        <v>37.874307124861097</v>
      </c>
      <c r="AL1620">
        <v>88.516547367532596</v>
      </c>
      <c r="AM1620">
        <v>89.930383592017094</v>
      </c>
      <c r="AN1620">
        <v>0.99999999456014299</v>
      </c>
    </row>
    <row r="1621" spans="1:40" x14ac:dyDescent="0.25">
      <c r="A1621" t="str">
        <f>"20190312160328609"</f>
        <v>20190312160328609</v>
      </c>
      <c r="B1621" t="str">
        <f>"1552377808606539"</f>
        <v>1552377808606539</v>
      </c>
      <c r="C1621" t="s">
        <v>40</v>
      </c>
      <c r="D1621">
        <v>5.9931320000000001</v>
      </c>
      <c r="E1621">
        <v>0.50610370000000005</v>
      </c>
      <c r="F1621" t="s">
        <v>70</v>
      </c>
      <c r="G1621">
        <v>-260.4128</v>
      </c>
      <c r="H1621" s="1">
        <v>-1.31709E-6</v>
      </c>
      <c r="I1621">
        <v>283.77530000000002</v>
      </c>
      <c r="J1621">
        <v>-223.18940000000001</v>
      </c>
      <c r="K1621">
        <v>1.1098220000000001</v>
      </c>
      <c r="L1621">
        <v>282.54430000000002</v>
      </c>
      <c r="M1621">
        <v>-0.99980880000000005</v>
      </c>
      <c r="N1621">
        <v>0</v>
      </c>
      <c r="O1621">
        <v>1.49497E-2</v>
      </c>
      <c r="P1621">
        <v>-0.99977830000000001</v>
      </c>
      <c r="Q1621">
        <v>1.314864E-2</v>
      </c>
      <c r="R1621">
        <v>1.6448520000000001E-2</v>
      </c>
      <c r="S1621">
        <v>-3.0002589999999998</v>
      </c>
      <c r="T1621">
        <v>-8.9025499999999994E-2</v>
      </c>
      <c r="U1621">
        <v>9.8968509999999996E-2</v>
      </c>
      <c r="V1621">
        <v>1.5116210000000001E-3</v>
      </c>
      <c r="W1621">
        <v>2.5749049999999999E-2</v>
      </c>
      <c r="X1621">
        <v>0.99966730000000004</v>
      </c>
      <c r="Y1621">
        <v>1.8020919999999999E-2</v>
      </c>
      <c r="Z1621">
        <v>-1.761415E-4</v>
      </c>
      <c r="AA1621">
        <v>0.99983759999999999</v>
      </c>
      <c r="AB1621">
        <v>31</v>
      </c>
      <c r="AC1621">
        <v>-37.223399999999998</v>
      </c>
      <c r="AD1621">
        <v>-1.10982331708999</v>
      </c>
      <c r="AE1621">
        <v>1.2309999999999901</v>
      </c>
      <c r="AF1621">
        <v>0.67374127245278703</v>
      </c>
      <c r="AG1621">
        <v>-1.10982331708999</v>
      </c>
      <c r="AH1621">
        <v>37.204607281429197</v>
      </c>
      <c r="AI1621">
        <v>91.7083617026762</v>
      </c>
      <c r="AJ1621">
        <v>88.962539446337999</v>
      </c>
      <c r="AK1621">
        <v>37.227253968869903</v>
      </c>
      <c r="AL1621">
        <v>88.524525041403095</v>
      </c>
      <c r="AM1621">
        <v>89.913361737938203</v>
      </c>
      <c r="AN1621">
        <v>1.00000000463162</v>
      </c>
    </row>
    <row r="1622" spans="1:40" x14ac:dyDescent="0.25">
      <c r="A1622" t="str">
        <f>"20190312160328621"</f>
        <v>20190312160328621</v>
      </c>
      <c r="B1622" t="str">
        <f>"1552377808616298"</f>
        <v>1552377808616298</v>
      </c>
      <c r="C1622" t="s">
        <v>40</v>
      </c>
      <c r="D1622">
        <v>5.8088199999999999</v>
      </c>
      <c r="E1622">
        <v>0.50604079999999996</v>
      </c>
      <c r="F1622" t="s">
        <v>70</v>
      </c>
      <c r="G1622">
        <v>-260.48099999999999</v>
      </c>
      <c r="H1622" s="1">
        <v>-1.2808220000000001E-6</v>
      </c>
      <c r="I1622">
        <v>283.76389999999998</v>
      </c>
      <c r="J1622">
        <v>-223.36410000000001</v>
      </c>
      <c r="K1622">
        <v>1.109896</v>
      </c>
      <c r="L1622">
        <v>282.54700000000003</v>
      </c>
      <c r="M1622">
        <v>-0.99980990000000003</v>
      </c>
      <c r="N1622">
        <v>0</v>
      </c>
      <c r="O1622">
        <v>1.4878519999999999E-2</v>
      </c>
      <c r="P1622">
        <v>-0.99977859999999996</v>
      </c>
      <c r="Q1622">
        <v>1.2668789999999999E-2</v>
      </c>
      <c r="R1622">
        <v>1.679895E-2</v>
      </c>
      <c r="S1622">
        <v>-3.000229</v>
      </c>
      <c r="T1622">
        <v>-8.928883E-2</v>
      </c>
      <c r="U1622">
        <v>9.8114010000000001E-2</v>
      </c>
      <c r="V1622">
        <v>1.9282360000000001E-3</v>
      </c>
      <c r="W1622">
        <v>2.526283E-2</v>
      </c>
      <c r="X1622">
        <v>0.99967899999999998</v>
      </c>
      <c r="Y1622">
        <v>1.7808040000000001E-2</v>
      </c>
      <c r="Z1622">
        <v>-1.7771430000000001E-4</v>
      </c>
      <c r="AA1622">
        <v>0.99984139999999999</v>
      </c>
      <c r="AB1622">
        <v>31</v>
      </c>
      <c r="AC1622">
        <v>-37.116900000000001</v>
      </c>
      <c r="AD1622">
        <v>-1.109897280822</v>
      </c>
      <c r="AE1622">
        <v>1.2168999999999499</v>
      </c>
      <c r="AF1622">
        <v>0.66388389721040197</v>
      </c>
      <c r="AG1622">
        <v>-1.109897280822</v>
      </c>
      <c r="AH1622">
        <v>37.097761691141201</v>
      </c>
      <c r="AI1622">
        <v>91.713399735897795</v>
      </c>
      <c r="AJ1622">
        <v>88.974771417022893</v>
      </c>
      <c r="AK1622">
        <v>37.120298170888297</v>
      </c>
      <c r="AL1622">
        <v>88.552392477809093</v>
      </c>
      <c r="AM1622">
        <v>89.889484876952693</v>
      </c>
      <c r="AN1622">
        <v>1.0000000158573401</v>
      </c>
    </row>
    <row r="1623" spans="1:40" x14ac:dyDescent="0.25">
      <c r="A1623" t="str">
        <f>"20190312160328633"</f>
        <v>20190312160328633</v>
      </c>
      <c r="B1623" t="str">
        <f>"1552377808626067"</f>
        <v>1552377808626067</v>
      </c>
      <c r="C1623" t="s">
        <v>40</v>
      </c>
      <c r="D1623">
        <v>6.043501</v>
      </c>
      <c r="E1623">
        <v>0.50596200000000002</v>
      </c>
      <c r="F1623" t="s">
        <v>70</v>
      </c>
      <c r="G1623">
        <v>-259.56369999999998</v>
      </c>
      <c r="H1623" s="1">
        <v>3.5525439999999998E-6</v>
      </c>
      <c r="I1623">
        <v>283.73860000000002</v>
      </c>
      <c r="J1623">
        <v>-223.53489999999999</v>
      </c>
      <c r="K1623">
        <v>1.10997099999999</v>
      </c>
      <c r="L1623">
        <v>282.5496</v>
      </c>
      <c r="M1623">
        <v>-0.99981160000000002</v>
      </c>
      <c r="N1623">
        <v>0</v>
      </c>
      <c r="O1623">
        <v>1.47776E-2</v>
      </c>
      <c r="P1623">
        <v>-0.9997743</v>
      </c>
      <c r="Q1623">
        <v>1.1947920000000001E-2</v>
      </c>
      <c r="R1623">
        <v>1.757363E-2</v>
      </c>
      <c r="S1623">
        <v>-3.0001679999999999</v>
      </c>
      <c r="T1623">
        <v>-9.1986299999999993E-2</v>
      </c>
      <c r="U1623">
        <v>9.8754880000000003E-2</v>
      </c>
      <c r="V1623">
        <v>2.7995049999999999E-3</v>
      </c>
      <c r="W1623">
        <v>2.453636E-2</v>
      </c>
      <c r="X1623">
        <v>0.999695</v>
      </c>
      <c r="Y1623">
        <v>1.8122699999999999E-2</v>
      </c>
      <c r="Z1623">
        <v>-1.7516990000000001E-4</v>
      </c>
      <c r="AA1623">
        <v>0.99983569999999999</v>
      </c>
      <c r="AB1623">
        <v>31</v>
      </c>
      <c r="AC1623">
        <v>-36.028799999999897</v>
      </c>
      <c r="AD1623">
        <v>-1.10996744745599</v>
      </c>
      <c r="AE1623">
        <v>1.18900000000002</v>
      </c>
      <c r="AF1623">
        <v>0.65578703977890196</v>
      </c>
      <c r="AG1623">
        <v>-1.10996744745599</v>
      </c>
      <c r="AH1623">
        <v>36.008298184076097</v>
      </c>
      <c r="AI1623">
        <v>91.765309316378904</v>
      </c>
      <c r="AJ1623">
        <v>88.9566383809847</v>
      </c>
      <c r="AK1623">
        <v>36.031369977969</v>
      </c>
      <c r="AL1623">
        <v>88.594029003972906</v>
      </c>
      <c r="AM1623">
        <v>89.839551661314601</v>
      </c>
      <c r="AN1623">
        <v>0.99999998160764703</v>
      </c>
    </row>
    <row r="1624" spans="1:40" x14ac:dyDescent="0.25">
      <c r="A1624" t="str">
        <f>"20190312160328652"</f>
        <v>20190312160328652</v>
      </c>
      <c r="B1624" t="str">
        <f>"1552377808646562"</f>
        <v>1552377808646562</v>
      </c>
      <c r="C1624" t="s">
        <v>40</v>
      </c>
      <c r="D1624">
        <v>5.9989919999999897</v>
      </c>
      <c r="E1624">
        <v>0.50584189999999996</v>
      </c>
      <c r="F1624" t="s">
        <v>70</v>
      </c>
      <c r="G1624">
        <v>-258.94040000000001</v>
      </c>
      <c r="H1624" s="1">
        <v>3.2208250000000002E-6</v>
      </c>
      <c r="I1624">
        <v>283.73050000000001</v>
      </c>
      <c r="J1624">
        <v>-223.79130000000001</v>
      </c>
      <c r="K1624">
        <v>1.1100680000000001</v>
      </c>
      <c r="L1624">
        <v>282.55329999999998</v>
      </c>
      <c r="M1624">
        <v>-0.99981469999999995</v>
      </c>
      <c r="N1624">
        <v>0</v>
      </c>
      <c r="O1624">
        <v>1.456412E-2</v>
      </c>
      <c r="P1624">
        <v>-0.99976180000000003</v>
      </c>
      <c r="Q1624">
        <v>1.121399E-2</v>
      </c>
      <c r="R1624">
        <v>1.8719110000000001E-2</v>
      </c>
      <c r="S1624">
        <v>-3.0000309999999999</v>
      </c>
      <c r="T1624">
        <v>-9.4051360000000001E-2</v>
      </c>
      <c r="U1624">
        <v>0.10006710000000001</v>
      </c>
      <c r="V1624">
        <v>4.1525879999999996E-3</v>
      </c>
      <c r="W1624">
        <v>2.3794619999999999E-2</v>
      </c>
      <c r="X1624">
        <v>0.99970820000000005</v>
      </c>
      <c r="Y1624">
        <v>1.877405E-2</v>
      </c>
      <c r="Z1624">
        <v>-1.6221399999999999E-4</v>
      </c>
      <c r="AA1624">
        <v>0.99982369999999998</v>
      </c>
      <c r="AB1624">
        <v>31</v>
      </c>
      <c r="AC1624">
        <v>-35.149099999999997</v>
      </c>
      <c r="AD1624">
        <v>-1.110064779175</v>
      </c>
      <c r="AE1624">
        <v>1.17720000000002</v>
      </c>
      <c r="AF1624">
        <v>0.66445686636129797</v>
      </c>
      <c r="AG1624">
        <v>-1.110064779175</v>
      </c>
      <c r="AH1624">
        <v>35.127520809013397</v>
      </c>
      <c r="AI1624">
        <v>91.809678070093895</v>
      </c>
      <c r="AJ1624">
        <v>88.916347249204705</v>
      </c>
      <c r="AK1624">
        <v>35.151336602309897</v>
      </c>
      <c r="AL1624">
        <v>88.636539957441798</v>
      </c>
      <c r="AM1624">
        <v>89.762006155319995</v>
      </c>
      <c r="AN1624">
        <v>0.99999995653763996</v>
      </c>
    </row>
    <row r="1625" spans="1:40" x14ac:dyDescent="0.25">
      <c r="A1625" t="str">
        <f>"20190312160328665"</f>
        <v>20190312160328665</v>
      </c>
      <c r="B1625" t="str">
        <f>"1552377808656322"</f>
        <v>1552377808656322</v>
      </c>
      <c r="C1625" t="s">
        <v>40</v>
      </c>
      <c r="D1625">
        <v>5.9042070000000004</v>
      </c>
      <c r="E1625">
        <v>0.50578420000000002</v>
      </c>
      <c r="F1625" t="s">
        <v>70</v>
      </c>
      <c r="G1625">
        <v>-258.4597</v>
      </c>
      <c r="H1625" s="1">
        <v>2.9650469999999998E-6</v>
      </c>
      <c r="I1625">
        <v>283.73719999999997</v>
      </c>
      <c r="J1625">
        <v>-223.97130000000001</v>
      </c>
      <c r="K1625">
        <v>1.1101369999999999</v>
      </c>
      <c r="L1625">
        <v>282.55579999999998</v>
      </c>
      <c r="M1625">
        <v>-0.99981770000000003</v>
      </c>
      <c r="N1625">
        <v>0</v>
      </c>
      <c r="O1625">
        <v>1.4371129999999999E-2</v>
      </c>
      <c r="P1625">
        <v>-0.99975930000000002</v>
      </c>
      <c r="Q1625">
        <v>1.097681E-2</v>
      </c>
      <c r="R1625">
        <v>1.9003929999999999E-2</v>
      </c>
      <c r="S1625">
        <v>-2.9998629999999999</v>
      </c>
      <c r="T1625">
        <v>-9.6054200000000006E-2</v>
      </c>
      <c r="U1625">
        <v>0.1024475</v>
      </c>
      <c r="V1625">
        <v>4.6266759999999997E-3</v>
      </c>
      <c r="W1625">
        <v>2.355293E-2</v>
      </c>
      <c r="X1625">
        <v>0.99971189999999999</v>
      </c>
      <c r="Y1625">
        <v>1.9760659999999999E-2</v>
      </c>
      <c r="Z1625">
        <v>-1.437109E-4</v>
      </c>
      <c r="AA1625">
        <v>0.99980469999999999</v>
      </c>
      <c r="AB1625">
        <v>31</v>
      </c>
      <c r="AC1625">
        <v>-34.488399999999899</v>
      </c>
      <c r="AD1625">
        <v>-1.110134034953</v>
      </c>
      <c r="AE1625">
        <v>1.18139999999999</v>
      </c>
      <c r="AF1625">
        <v>0.68489273768649495</v>
      </c>
      <c r="AG1625">
        <v>-1.110134034953</v>
      </c>
      <c r="AH1625">
        <v>34.466148439196303</v>
      </c>
      <c r="AI1625">
        <v>91.844461132332597</v>
      </c>
      <c r="AJ1625">
        <v>88.861598956323306</v>
      </c>
      <c r="AK1625">
        <v>34.490822893494602</v>
      </c>
      <c r="AL1625">
        <v>88.650391735824002</v>
      </c>
      <c r="AM1625">
        <v>89.734836490994596</v>
      </c>
      <c r="AN1625">
        <v>1.0000000148220001</v>
      </c>
    </row>
    <row r="1626" spans="1:40" x14ac:dyDescent="0.25">
      <c r="A1626" t="str">
        <f>"20190312160328698"</f>
        <v>20190312160328698</v>
      </c>
      <c r="B1626" t="str">
        <f>"1552377808686577"</f>
        <v>1552377808686577</v>
      </c>
      <c r="C1626" t="s">
        <v>40</v>
      </c>
      <c r="D1626">
        <v>5.9073640000000003</v>
      </c>
      <c r="E1626">
        <v>0.50556309999999904</v>
      </c>
      <c r="F1626" t="s">
        <v>70</v>
      </c>
      <c r="G1626">
        <v>-258.26609999999999</v>
      </c>
      <c r="H1626" s="1">
        <v>2.8620170000000001E-6</v>
      </c>
      <c r="I1626">
        <v>283.7312</v>
      </c>
      <c r="J1626">
        <v>-224.4263</v>
      </c>
      <c r="K1626">
        <v>1.1102829999999999</v>
      </c>
      <c r="L1626">
        <v>282.56180000000001</v>
      </c>
      <c r="M1626">
        <v>-0.99982689999999996</v>
      </c>
      <c r="N1626">
        <v>0</v>
      </c>
      <c r="O1626">
        <v>1.372147E-2</v>
      </c>
      <c r="P1626">
        <v>-0.99972609999999995</v>
      </c>
      <c r="Q1626">
        <v>1.029063E-2</v>
      </c>
      <c r="R1626">
        <v>2.1019989999999999E-2</v>
      </c>
      <c r="S1626">
        <v>-2.9998170000000002</v>
      </c>
      <c r="T1626">
        <v>-9.7105029999999995E-2</v>
      </c>
      <c r="U1626">
        <v>0.10281369999999999</v>
      </c>
      <c r="V1626">
        <v>7.2841879999999996E-3</v>
      </c>
      <c r="W1626">
        <v>2.2858839999999998E-2</v>
      </c>
      <c r="X1626">
        <v>0.99971220000000005</v>
      </c>
      <c r="Y1626">
        <v>2.0531939999999999E-2</v>
      </c>
      <c r="Z1626">
        <v>-1.117921E-4</v>
      </c>
      <c r="AA1626">
        <v>0.99978920000000004</v>
      </c>
      <c r="AB1626">
        <v>31</v>
      </c>
      <c r="AC1626">
        <v>-33.839799999999997</v>
      </c>
      <c r="AD1626">
        <v>-1.1102801379829901</v>
      </c>
      <c r="AE1626">
        <v>1.16939999999999</v>
      </c>
      <c r="AF1626">
        <v>0.70416430809156505</v>
      </c>
      <c r="AG1626">
        <v>-1.1102801379829901</v>
      </c>
      <c r="AH1626">
        <v>33.816301389287297</v>
      </c>
      <c r="AI1626">
        <v>91.880091766825302</v>
      </c>
      <c r="AJ1626">
        <v>88.807089734276602</v>
      </c>
      <c r="AK1626">
        <v>33.841849964337101</v>
      </c>
      <c r="AL1626">
        <v>88.690170901514506</v>
      </c>
      <c r="AM1626">
        <v>89.582534009226606</v>
      </c>
      <c r="AN1626">
        <v>1.0000000343949</v>
      </c>
    </row>
    <row r="1627" spans="1:40" x14ac:dyDescent="0.25">
      <c r="A1627" t="str">
        <f>"20190312160328718"</f>
        <v>20190312160328718</v>
      </c>
      <c r="B1627" t="str">
        <f>"1552377808706098"</f>
        <v>1552377808706098</v>
      </c>
      <c r="C1627" t="s">
        <v>40</v>
      </c>
      <c r="D1627">
        <v>5.9984310000000001</v>
      </c>
      <c r="E1627">
        <v>0.50533539999999999</v>
      </c>
      <c r="F1627" t="s">
        <v>70</v>
      </c>
      <c r="G1627">
        <v>-257.71789999999999</v>
      </c>
      <c r="H1627" s="1">
        <v>2.5702949999999998E-6</v>
      </c>
      <c r="I1627">
        <v>283.74799999999999</v>
      </c>
      <c r="J1627">
        <v>-224.7243</v>
      </c>
      <c r="K1627">
        <v>1.110363</v>
      </c>
      <c r="L1627">
        <v>282.56549999999999</v>
      </c>
      <c r="M1627">
        <v>-0.99983409999999995</v>
      </c>
      <c r="N1627">
        <v>0</v>
      </c>
      <c r="O1627">
        <v>1.319245E-2</v>
      </c>
      <c r="P1627">
        <v>-0.99970499999999995</v>
      </c>
      <c r="Q1627">
        <v>9.0886149999999995E-3</v>
      </c>
      <c r="R1627">
        <v>2.2528719999999999E-2</v>
      </c>
      <c r="S1627">
        <v>-2.999603</v>
      </c>
      <c r="T1627">
        <v>-0.10003720000000001</v>
      </c>
      <c r="U1627">
        <v>0.1068726</v>
      </c>
      <c r="V1627">
        <v>9.3182530000000003E-3</v>
      </c>
      <c r="W1627">
        <v>2.165369E-2</v>
      </c>
      <c r="X1627">
        <v>0.99972209999999995</v>
      </c>
      <c r="Y1627">
        <v>2.2412959999999999E-2</v>
      </c>
      <c r="Z1627" s="1">
        <v>-6.6192269999999998E-5</v>
      </c>
      <c r="AA1627">
        <v>0.99974879999999999</v>
      </c>
      <c r="AB1627">
        <v>31</v>
      </c>
      <c r="AC1627">
        <v>-32.993599999999901</v>
      </c>
      <c r="AD1627">
        <v>-1.110360429705</v>
      </c>
      <c r="AE1627">
        <v>1.1825000000000001</v>
      </c>
      <c r="AF1627">
        <v>0.74625222226125698</v>
      </c>
      <c r="AG1627">
        <v>-1.110360429705</v>
      </c>
      <c r="AH1627">
        <v>32.969037469411496</v>
      </c>
      <c r="AI1627">
        <v>91.928435325480294</v>
      </c>
      <c r="AJ1627">
        <v>88.703334818149798</v>
      </c>
      <c r="AK1627">
        <v>32.996169843218802</v>
      </c>
      <c r="AL1627">
        <v>88.7592379707378</v>
      </c>
      <c r="AM1627">
        <v>89.465970484366494</v>
      </c>
      <c r="AN1627">
        <v>0.99999999467899803</v>
      </c>
    </row>
    <row r="1628" spans="1:40" x14ac:dyDescent="0.25">
      <c r="A1628" t="str">
        <f>"20190312160328732"</f>
        <v>20190312160328732</v>
      </c>
      <c r="B1628" t="str">
        <f>"1552377808726006"</f>
        <v>1552377808726006</v>
      </c>
      <c r="C1628" t="s">
        <v>40</v>
      </c>
      <c r="D1628">
        <v>5.997719</v>
      </c>
      <c r="E1628">
        <v>0.50510500000000003</v>
      </c>
      <c r="F1628" t="s">
        <v>70</v>
      </c>
      <c r="G1628">
        <v>-256.5566</v>
      </c>
      <c r="H1628" s="1">
        <v>1.9523100000000002E-6</v>
      </c>
      <c r="I1628">
        <v>283.72300000000001</v>
      </c>
      <c r="J1628">
        <v>-224.91460000000001</v>
      </c>
      <c r="K1628">
        <v>1.110414</v>
      </c>
      <c r="L1628">
        <v>282.5677</v>
      </c>
      <c r="M1628">
        <v>-0.99983909999999998</v>
      </c>
      <c r="N1628">
        <v>0</v>
      </c>
      <c r="O1628">
        <v>1.281967E-2</v>
      </c>
      <c r="P1628">
        <v>-0.99969750000000002</v>
      </c>
      <c r="Q1628">
        <v>8.4499199999999997E-3</v>
      </c>
      <c r="R1628">
        <v>2.310342E-2</v>
      </c>
      <c r="S1628">
        <v>-2.9994049999999999</v>
      </c>
      <c r="T1628">
        <v>-0.10462390000000001</v>
      </c>
      <c r="U1628">
        <v>0.10906979999999999</v>
      </c>
      <c r="V1628">
        <v>1.026372E-2</v>
      </c>
      <c r="W1628">
        <v>2.1013449999999999E-2</v>
      </c>
      <c r="X1628">
        <v>0.99972649999999996</v>
      </c>
      <c r="Y1628">
        <v>2.3518109999999998E-2</v>
      </c>
      <c r="Z1628" s="1">
        <v>-3.6972399999999999E-5</v>
      </c>
      <c r="AA1628">
        <v>0.99972340000000004</v>
      </c>
      <c r="AB1628">
        <v>31</v>
      </c>
      <c r="AC1628">
        <v>-31.641999999999999</v>
      </c>
      <c r="AD1628">
        <v>-1.1104120476899999</v>
      </c>
      <c r="AE1628">
        <v>1.15530000000001</v>
      </c>
      <c r="AF1628">
        <v>0.74861241430458203</v>
      </c>
      <c r="AG1628">
        <v>-1.1104120476899999</v>
      </c>
      <c r="AH1628">
        <v>31.615328143726298</v>
      </c>
      <c r="AI1628">
        <v>92.010985785107806</v>
      </c>
      <c r="AJ1628">
        <v>88.643559289524504</v>
      </c>
      <c r="AK1628">
        <v>31.643678817387801</v>
      </c>
      <c r="AL1628">
        <v>88.795929368576196</v>
      </c>
      <c r="AM1628">
        <v>89.411791946782898</v>
      </c>
      <c r="AN1628">
        <v>0.999999991915695</v>
      </c>
    </row>
    <row r="1629" spans="1:40" x14ac:dyDescent="0.25">
      <c r="A1629" t="str">
        <f>"20190312160328745"</f>
        <v>20190312160328745</v>
      </c>
      <c r="B1629" t="str">
        <f>"1552377808735766"</f>
        <v>1552377808735766</v>
      </c>
      <c r="C1629" t="s">
        <v>40</v>
      </c>
      <c r="D1629">
        <v>5.9951639999999999</v>
      </c>
      <c r="E1629">
        <v>0.50502100000000005</v>
      </c>
      <c r="F1629" t="s">
        <v>70</v>
      </c>
      <c r="G1629">
        <v>-255.98660000000001</v>
      </c>
      <c r="H1629" s="1">
        <v>1.648976E-6</v>
      </c>
      <c r="I1629">
        <v>283.69409999999999</v>
      </c>
      <c r="J1629">
        <v>-225.101</v>
      </c>
      <c r="K1629">
        <v>1.110455</v>
      </c>
      <c r="L1629">
        <v>282.56970000000001</v>
      </c>
      <c r="M1629">
        <v>-0.99984399999999996</v>
      </c>
      <c r="N1629">
        <v>0</v>
      </c>
      <c r="O1629">
        <v>1.243286E-2</v>
      </c>
      <c r="P1629">
        <v>-0.99968760000000001</v>
      </c>
      <c r="Q1629">
        <v>7.813403E-3</v>
      </c>
      <c r="R1629">
        <v>2.3741829999999998E-2</v>
      </c>
      <c r="S1629">
        <v>-2.9992830000000001</v>
      </c>
      <c r="T1629">
        <v>-0.1071845</v>
      </c>
      <c r="U1629">
        <v>0.1087341</v>
      </c>
      <c r="V1629">
        <v>1.1287520000000001E-2</v>
      </c>
      <c r="W1629">
        <v>2.0375580000000001E-2</v>
      </c>
      <c r="X1629">
        <v>0.99972870000000003</v>
      </c>
      <c r="Y1629">
        <v>2.3793849999999998E-2</v>
      </c>
      <c r="Z1629" s="1">
        <v>-1.914165E-5</v>
      </c>
      <c r="AA1629">
        <v>0.99971690000000002</v>
      </c>
      <c r="AB1629">
        <v>31</v>
      </c>
      <c r="AC1629">
        <v>-30.8856</v>
      </c>
      <c r="AD1629">
        <v>-1.110453351024</v>
      </c>
      <c r="AE1629">
        <v>1.1243999999999801</v>
      </c>
      <c r="AF1629">
        <v>0.73933206614983105</v>
      </c>
      <c r="AG1629">
        <v>-1.110453351024</v>
      </c>
      <c r="AH1629">
        <v>30.857357388465701</v>
      </c>
      <c r="AI1629">
        <v>92.060403771685898</v>
      </c>
      <c r="AJ1629">
        <v>88.627474693233495</v>
      </c>
      <c r="AK1629">
        <v>30.8861817573545</v>
      </c>
      <c r="AL1629">
        <v>88.832484493083598</v>
      </c>
      <c r="AM1629">
        <v>89.353124724474299</v>
      </c>
      <c r="AN1629">
        <v>1.0000000229858801</v>
      </c>
    </row>
    <row r="1630" spans="1:40" x14ac:dyDescent="0.25">
      <c r="A1630" t="str">
        <f>"20190312160328757"</f>
        <v>20190312160328757</v>
      </c>
      <c r="B1630" t="str">
        <f>"1552377808746503"</f>
        <v>1552377808746503</v>
      </c>
      <c r="C1630" t="s">
        <v>40</v>
      </c>
      <c r="D1630">
        <v>6.2005379999999999</v>
      </c>
      <c r="E1630">
        <v>0.50498169999999998</v>
      </c>
      <c r="F1630" t="s">
        <v>70</v>
      </c>
      <c r="G1630">
        <v>-255.6482</v>
      </c>
      <c r="H1630" s="1">
        <v>1.4688919999999901E-6</v>
      </c>
      <c r="I1630">
        <v>283.6884</v>
      </c>
      <c r="J1630">
        <v>-225.26400000000001</v>
      </c>
      <c r="K1630">
        <v>1.1104799999999999</v>
      </c>
      <c r="L1630">
        <v>282.57139999999998</v>
      </c>
      <c r="M1630">
        <v>-0.99984839999999997</v>
      </c>
      <c r="N1630">
        <v>0</v>
      </c>
      <c r="O1630">
        <v>1.207518E-2</v>
      </c>
      <c r="P1630">
        <v>-0.99968800000000002</v>
      </c>
      <c r="Q1630">
        <v>7.8033269999999997E-3</v>
      </c>
      <c r="R1630">
        <v>2.3732130000000001E-2</v>
      </c>
      <c r="S1630">
        <v>-2.9991759999999998</v>
      </c>
      <c r="T1630">
        <v>-0.10902630000000001</v>
      </c>
      <c r="U1630">
        <v>0.10983279999999999</v>
      </c>
      <c r="V1630">
        <v>1.1634129999999999E-2</v>
      </c>
      <c r="W1630">
        <v>2.0364139999999999E-2</v>
      </c>
      <c r="X1630">
        <v>0.99972490000000003</v>
      </c>
      <c r="Y1630">
        <v>2.4517529999999999E-2</v>
      </c>
      <c r="Z1630" s="1">
        <v>6.6669020000000001E-6</v>
      </c>
      <c r="AA1630">
        <v>0.99969940000000002</v>
      </c>
      <c r="AB1630">
        <v>31</v>
      </c>
      <c r="AC1630">
        <v>-30.3842</v>
      </c>
      <c r="AD1630">
        <v>-1.1104785311080001</v>
      </c>
      <c r="AE1630">
        <v>1.11700000000001</v>
      </c>
      <c r="AF1630">
        <v>0.74899587333334305</v>
      </c>
      <c r="AG1630">
        <v>-1.1104785311080001</v>
      </c>
      <c r="AH1630">
        <v>30.354981548981598</v>
      </c>
      <c r="AI1630">
        <v>92.094484485224598</v>
      </c>
      <c r="AJ1630">
        <v>88.586538545685897</v>
      </c>
      <c r="AK1630">
        <v>30.384520108524601</v>
      </c>
      <c r="AL1630">
        <v>88.833140023311003</v>
      </c>
      <c r="AM1630">
        <v>89.333260121487399</v>
      </c>
      <c r="AN1630">
        <v>0.99999996342940201</v>
      </c>
    </row>
    <row r="1631" spans="1:40" x14ac:dyDescent="0.25">
      <c r="A1631" t="str">
        <f>"20190312160328776"</f>
        <v>20190312160328776</v>
      </c>
      <c r="B1631" t="str">
        <f>"1552377808766026"</f>
        <v>1552377808766026</v>
      </c>
      <c r="C1631" t="s">
        <v>40</v>
      </c>
      <c r="D1631">
        <v>5.3828259999999997</v>
      </c>
      <c r="E1631">
        <v>0.50491430000000004</v>
      </c>
      <c r="F1631" t="s">
        <v>70</v>
      </c>
      <c r="G1631">
        <v>-255.84399999999999</v>
      </c>
      <c r="H1631" s="1">
        <v>1.573084E-6</v>
      </c>
      <c r="I1631">
        <v>283.68790000000001</v>
      </c>
      <c r="J1631">
        <v>-225.52080000000001</v>
      </c>
      <c r="K1631">
        <v>1.110506</v>
      </c>
      <c r="L1631">
        <v>282.57400000000001</v>
      </c>
      <c r="M1631">
        <v>-0.99985520000000006</v>
      </c>
      <c r="N1631">
        <v>0</v>
      </c>
      <c r="O1631">
        <v>1.149796E-2</v>
      </c>
      <c r="P1631">
        <v>-0.99968670000000004</v>
      </c>
      <c r="Q1631">
        <v>6.830783E-3</v>
      </c>
      <c r="R1631">
        <v>2.4079090000000001E-2</v>
      </c>
      <c r="S1631">
        <v>-2.9991910000000002</v>
      </c>
      <c r="T1631">
        <v>-0.1089123</v>
      </c>
      <c r="U1631">
        <v>0.1094971</v>
      </c>
      <c r="V1631">
        <v>1.25577E-2</v>
      </c>
      <c r="W1631">
        <v>1.9389670000000001E-2</v>
      </c>
      <c r="X1631">
        <v>0.99973319999999999</v>
      </c>
      <c r="Y1631">
        <v>2.4982049999999999E-2</v>
      </c>
      <c r="Z1631" s="1">
        <v>3.6034030000000003E-5</v>
      </c>
      <c r="AA1631">
        <v>0.99968789999999996</v>
      </c>
      <c r="AB1631">
        <v>31</v>
      </c>
      <c r="AC1631">
        <v>-30.3232</v>
      </c>
      <c r="AD1631">
        <v>-1.110504426916</v>
      </c>
      <c r="AE1631">
        <v>1.1138999999999999</v>
      </c>
      <c r="AF1631">
        <v>0.76412052632560401</v>
      </c>
      <c r="AG1631">
        <v>-1.110504426916</v>
      </c>
      <c r="AH1631">
        <v>30.293429279886801</v>
      </c>
      <c r="AI1631">
        <v>92.098756573558504</v>
      </c>
      <c r="AJ1631">
        <v>88.555079414705304</v>
      </c>
      <c r="AK1631">
        <v>30.323406104797201</v>
      </c>
      <c r="AL1631">
        <v>88.888984189482898</v>
      </c>
      <c r="AM1631">
        <v>89.280342622512705</v>
      </c>
      <c r="AN1631">
        <v>1.00000006315711</v>
      </c>
    </row>
    <row r="1632" spans="1:40" x14ac:dyDescent="0.25">
      <c r="A1632" t="str">
        <f>"20190312160328789"</f>
        <v>20190312160328789</v>
      </c>
      <c r="B1632" t="str">
        <f>"1552377808775783"</f>
        <v>1552377808775783</v>
      </c>
      <c r="C1632" t="s">
        <v>40</v>
      </c>
      <c r="D1632">
        <v>5.026986</v>
      </c>
      <c r="E1632">
        <v>0.50491430000000004</v>
      </c>
      <c r="F1632" t="s">
        <v>70</v>
      </c>
      <c r="G1632">
        <v>-255.2938</v>
      </c>
      <c r="H1632" s="1">
        <v>1.280291E-6</v>
      </c>
      <c r="I1632">
        <v>283.66430000000003</v>
      </c>
      <c r="J1632">
        <v>-225.70429999999999</v>
      </c>
      <c r="K1632">
        <v>1.110522</v>
      </c>
      <c r="L1632">
        <v>282.57569999999998</v>
      </c>
      <c r="M1632">
        <v>-0.99985999999999997</v>
      </c>
      <c r="N1632">
        <v>0</v>
      </c>
      <c r="O1632">
        <v>1.107617E-2</v>
      </c>
      <c r="P1632">
        <v>-0.99969010000000003</v>
      </c>
      <c r="Q1632">
        <v>6.5089639999999999E-3</v>
      </c>
      <c r="R1632">
        <v>2.4028440000000002E-2</v>
      </c>
      <c r="S1632">
        <v>-2.999069</v>
      </c>
      <c r="T1632">
        <v>-0.1118625</v>
      </c>
      <c r="U1632">
        <v>0.10983279999999999</v>
      </c>
      <c r="V1632">
        <v>1.2928129999999999E-2</v>
      </c>
      <c r="W1632">
        <v>1.906644E-2</v>
      </c>
      <c r="X1632">
        <v>0.99973460000000003</v>
      </c>
      <c r="Y1632">
        <v>2.5515860000000001E-2</v>
      </c>
      <c r="Z1632" s="1">
        <v>6.2679899999999996E-5</v>
      </c>
      <c r="AA1632">
        <v>0.99967439999999996</v>
      </c>
      <c r="AB1632">
        <v>31</v>
      </c>
      <c r="AC1632">
        <v>-29.589500000000001</v>
      </c>
      <c r="AD1632">
        <v>-1.1105207197089999</v>
      </c>
      <c r="AE1632">
        <v>1.08860000000004</v>
      </c>
      <c r="AF1632">
        <v>0.75970045621883697</v>
      </c>
      <c r="AG1632">
        <v>-1.1105207197089999</v>
      </c>
      <c r="AH1632">
        <v>29.5581646500607</v>
      </c>
      <c r="AI1632">
        <v>92.150920470907906</v>
      </c>
      <c r="AJ1632">
        <v>88.527714776738804</v>
      </c>
      <c r="AK1632">
        <v>29.588773183965898</v>
      </c>
      <c r="AL1632">
        <v>88.907507223784506</v>
      </c>
      <c r="AM1632">
        <v>89.259117369057705</v>
      </c>
      <c r="AN1632">
        <v>0.999999968058364</v>
      </c>
    </row>
    <row r="1633" spans="1:40" x14ac:dyDescent="0.25">
      <c r="A1633" t="str">
        <f>"20190312160328807"</f>
        <v>20190312160328807</v>
      </c>
      <c r="B1633" t="str">
        <f>"1552377808796278"</f>
        <v>1552377808796278</v>
      </c>
      <c r="C1633" t="s">
        <v>40</v>
      </c>
      <c r="D1633">
        <v>5.9785909999999998</v>
      </c>
      <c r="E1633">
        <v>0.50466979999999995</v>
      </c>
      <c r="F1633" t="s">
        <v>70</v>
      </c>
      <c r="G1633">
        <v>-255.21969999999999</v>
      </c>
      <c r="H1633" s="1">
        <v>1.2408620000000001E-6</v>
      </c>
      <c r="I1633">
        <v>283.65539999999999</v>
      </c>
      <c r="J1633">
        <v>-225.97309999999999</v>
      </c>
      <c r="K1633">
        <v>1.1105370000000001</v>
      </c>
      <c r="L1633">
        <v>282.57810000000001</v>
      </c>
      <c r="M1633">
        <v>-0.99986679999999994</v>
      </c>
      <c r="N1633">
        <v>0</v>
      </c>
      <c r="O1633">
        <v>1.0447939999999999E-2</v>
      </c>
      <c r="P1633">
        <v>-0.99968310000000005</v>
      </c>
      <c r="Q1633">
        <v>5.4973230000000001E-3</v>
      </c>
      <c r="R1633">
        <v>2.4565239999999999E-2</v>
      </c>
      <c r="S1633">
        <v>-2.9990079999999999</v>
      </c>
      <c r="T1633">
        <v>-0.11283799999999999</v>
      </c>
      <c r="U1633">
        <v>0.10971069999999999</v>
      </c>
      <c r="V1633">
        <v>1.4093670000000001E-2</v>
      </c>
      <c r="W1633">
        <v>1.805381E-2</v>
      </c>
      <c r="X1633">
        <v>0.99973769999999995</v>
      </c>
      <c r="Y1633">
        <v>2.6103040000000001E-2</v>
      </c>
      <c r="Z1633" s="1">
        <v>9.7885640000000006E-5</v>
      </c>
      <c r="AA1633">
        <v>0.99965919999999997</v>
      </c>
      <c r="AB1633">
        <v>31</v>
      </c>
      <c r="AC1633">
        <v>-29.246600000000001</v>
      </c>
      <c r="AD1633">
        <v>-1.1105357591380001</v>
      </c>
      <c r="AE1633">
        <v>1.0772999999999699</v>
      </c>
      <c r="AF1633">
        <v>0.77054096016294504</v>
      </c>
      <c r="AG1633">
        <v>-1.1105357591380001</v>
      </c>
      <c r="AH1633">
        <v>29.214195030531499</v>
      </c>
      <c r="AI1633">
        <v>92.176212655295501</v>
      </c>
      <c r="AJ1633">
        <v>88.489141613387403</v>
      </c>
      <c r="AK1633">
        <v>29.245447753890499</v>
      </c>
      <c r="AL1633">
        <v>88.965536703066903</v>
      </c>
      <c r="AM1633">
        <v>89.192333827498999</v>
      </c>
      <c r="AN1633">
        <v>1.00000002019543</v>
      </c>
    </row>
    <row r="1634" spans="1:40" x14ac:dyDescent="0.25">
      <c r="A1634" t="str">
        <f>"20190312160328820"</f>
        <v>20190312160328820</v>
      </c>
      <c r="B1634" t="str">
        <f>"1552377808815798"</f>
        <v>1552377808815798</v>
      </c>
      <c r="C1634" t="s">
        <v>40</v>
      </c>
      <c r="D1634">
        <v>5.7221359999999999</v>
      </c>
      <c r="E1634">
        <v>0.50438660000000002</v>
      </c>
      <c r="F1634" t="s">
        <v>70</v>
      </c>
      <c r="G1634">
        <v>-254.68270000000001</v>
      </c>
      <c r="H1634" s="1">
        <v>9.551179000000001E-7</v>
      </c>
      <c r="I1634">
        <v>283.62400000000002</v>
      </c>
      <c r="J1634">
        <v>-226.14330000000001</v>
      </c>
      <c r="K1634">
        <v>1.110541</v>
      </c>
      <c r="L1634">
        <v>282.57940000000002</v>
      </c>
      <c r="M1634">
        <v>-0.99987099999999995</v>
      </c>
      <c r="N1634">
        <v>0</v>
      </c>
      <c r="O1634">
        <v>1.0048380000000001E-2</v>
      </c>
      <c r="P1634">
        <v>-0.99967649999999997</v>
      </c>
      <c r="Q1634">
        <v>4.7393359999999898E-3</v>
      </c>
      <c r="R1634">
        <v>2.499593E-2</v>
      </c>
      <c r="S1634">
        <v>-2.9989170000000001</v>
      </c>
      <c r="T1634">
        <v>-0.1160033</v>
      </c>
      <c r="U1634">
        <v>0.1092529</v>
      </c>
      <c r="V1634">
        <v>1.4924649999999999E-2</v>
      </c>
      <c r="W1634">
        <v>1.7294799999999999E-2</v>
      </c>
      <c r="X1634">
        <v>0.99973909999999999</v>
      </c>
      <c r="Y1634">
        <v>2.6350129999999999E-2</v>
      </c>
      <c r="Z1634">
        <v>1.208529E-4</v>
      </c>
      <c r="AA1634">
        <v>0.99965269999999995</v>
      </c>
      <c r="AB1634">
        <v>31</v>
      </c>
      <c r="AC1634">
        <v>-28.539400000000001</v>
      </c>
      <c r="AD1634">
        <v>-1.1105400448820999</v>
      </c>
      <c r="AE1634">
        <v>1.0446</v>
      </c>
      <c r="AF1634">
        <v>0.75660589314739901</v>
      </c>
      <c r="AG1634">
        <v>-1.1105400448820999</v>
      </c>
      <c r="AH1634">
        <v>28.505351677054801</v>
      </c>
      <c r="AI1634">
        <v>92.230273367315704</v>
      </c>
      <c r="AJ1634">
        <v>88.479578537010099</v>
      </c>
      <c r="AK1634">
        <v>28.537008005419999</v>
      </c>
      <c r="AL1634">
        <v>89.009031607968893</v>
      </c>
      <c r="AM1634">
        <v>89.144720917872306</v>
      </c>
      <c r="AN1634">
        <v>1.0000000616767299</v>
      </c>
    </row>
    <row r="1635" spans="1:40" x14ac:dyDescent="0.25">
      <c r="A1635" t="str">
        <f>"20190312160328832"</f>
        <v>20190312160328832</v>
      </c>
      <c r="B1635" t="str">
        <f>"1552377808826535"</f>
        <v>1552377808826535</v>
      </c>
      <c r="C1635" t="s">
        <v>40</v>
      </c>
      <c r="D1635">
        <v>6.0303589999999998</v>
      </c>
      <c r="E1635">
        <v>0.50424360000000001</v>
      </c>
      <c r="F1635" t="s">
        <v>70</v>
      </c>
      <c r="G1635">
        <v>-254.4726</v>
      </c>
      <c r="H1635" s="1">
        <v>8.4330399999999899E-7</v>
      </c>
      <c r="I1635">
        <v>283.60140000000001</v>
      </c>
      <c r="J1635">
        <v>-226.3099</v>
      </c>
      <c r="K1635">
        <v>1.110544</v>
      </c>
      <c r="L1635">
        <v>282.58069999999998</v>
      </c>
      <c r="M1635">
        <v>-0.99987490000000001</v>
      </c>
      <c r="N1635">
        <v>0</v>
      </c>
      <c r="O1635">
        <v>9.6577739999999992E-3</v>
      </c>
      <c r="P1635">
        <v>-0.999664</v>
      </c>
      <c r="Q1635">
        <v>4.1041749999999998E-3</v>
      </c>
      <c r="R1635">
        <v>2.5598619999999999E-2</v>
      </c>
      <c r="S1635">
        <v>-2.9988250000000001</v>
      </c>
      <c r="T1635">
        <v>-0.11755739999999899</v>
      </c>
      <c r="U1635">
        <v>0.1081848</v>
      </c>
      <c r="V1635">
        <v>1.5918760000000001E-2</v>
      </c>
      <c r="W1635">
        <v>1.665927E-2</v>
      </c>
      <c r="X1635">
        <v>0.99973449999999997</v>
      </c>
      <c r="Y1635">
        <v>2.6385519999999999E-2</v>
      </c>
      <c r="Z1635">
        <v>1.384686E-4</v>
      </c>
      <c r="AA1635">
        <v>0.99965179999999998</v>
      </c>
      <c r="AB1635">
        <v>31</v>
      </c>
      <c r="AC1635">
        <v>-28.162700000000001</v>
      </c>
      <c r="AD1635">
        <v>-1.110543156696</v>
      </c>
      <c r="AE1635">
        <v>1.0207000000000299</v>
      </c>
      <c r="AF1635">
        <v>0.74748126930755798</v>
      </c>
      <c r="AG1635">
        <v>-1.110543156696</v>
      </c>
      <c r="AH1635">
        <v>28.1275646505498</v>
      </c>
      <c r="AI1635">
        <v>92.260202163501603</v>
      </c>
      <c r="AJ1635">
        <v>88.477740785645096</v>
      </c>
      <c r="AK1635">
        <v>28.159402115842301</v>
      </c>
      <c r="AL1635">
        <v>89.045449986991002</v>
      </c>
      <c r="AM1635">
        <v>89.087757107904295</v>
      </c>
      <c r="AN1635">
        <v>1.00000000434356</v>
      </c>
    </row>
    <row r="1636" spans="1:40" x14ac:dyDescent="0.25">
      <c r="A1636" t="str">
        <f>"20190312160328844"</f>
        <v>20190312160328844</v>
      </c>
      <c r="B1636" t="str">
        <f>"1552377808836294"</f>
        <v>1552377808836294</v>
      </c>
      <c r="C1636" t="s">
        <v>40</v>
      </c>
      <c r="D1636">
        <v>5.9801669999999998</v>
      </c>
      <c r="E1636">
        <v>0.50411170000000005</v>
      </c>
      <c r="F1636" t="s">
        <v>70</v>
      </c>
      <c r="G1636">
        <v>-254.1634</v>
      </c>
      <c r="H1636" s="1">
        <v>6.7874990000000002E-7</v>
      </c>
      <c r="I1636">
        <v>283.58960000000002</v>
      </c>
      <c r="J1636">
        <v>-226.4855</v>
      </c>
      <c r="K1636">
        <v>1.110552</v>
      </c>
      <c r="L1636">
        <v>282.58210000000003</v>
      </c>
      <c r="M1636">
        <v>-0.99987879999999996</v>
      </c>
      <c r="N1636">
        <v>0</v>
      </c>
      <c r="O1636">
        <v>9.247178E-3</v>
      </c>
      <c r="P1636">
        <v>-0.99966619999999995</v>
      </c>
      <c r="Q1636">
        <v>3.4630189999999999E-3</v>
      </c>
      <c r="R1636">
        <v>2.5609320000000001E-2</v>
      </c>
      <c r="S1636">
        <v>-2.998688</v>
      </c>
      <c r="T1636">
        <v>-0.1195605</v>
      </c>
      <c r="U1636">
        <v>0.1086121</v>
      </c>
      <c r="V1636">
        <v>1.6340759999999999E-2</v>
      </c>
      <c r="W1636">
        <v>1.6016579999999999E-2</v>
      </c>
      <c r="X1636">
        <v>0.99973820000000002</v>
      </c>
      <c r="Y1636">
        <v>2.6938710000000001E-2</v>
      </c>
      <c r="Z1636">
        <v>1.682105E-4</v>
      </c>
      <c r="AA1636">
        <v>0.99963709999999995</v>
      </c>
      <c r="AB1636">
        <v>31</v>
      </c>
      <c r="AC1636">
        <v>-27.677899999999902</v>
      </c>
      <c r="AD1636">
        <v>-1.1105513212500999</v>
      </c>
      <c r="AE1636">
        <v>1.0074999999999901</v>
      </c>
      <c r="AF1636">
        <v>0.75028804673371197</v>
      </c>
      <c r="AG1636">
        <v>-1.1105513212500999</v>
      </c>
      <c r="AH1636">
        <v>27.641591129580299</v>
      </c>
      <c r="AI1636">
        <v>92.299878842229404</v>
      </c>
      <c r="AJ1636">
        <v>88.445176853186197</v>
      </c>
      <c r="AK1636">
        <v>27.6740639690866</v>
      </c>
      <c r="AL1636">
        <v>89.082278332687594</v>
      </c>
      <c r="AM1636">
        <v>89.063581627135704</v>
      </c>
      <c r="AN1636">
        <v>1.00000000990575</v>
      </c>
    </row>
    <row r="1637" spans="1:40" x14ac:dyDescent="0.25">
      <c r="A1637" t="str">
        <f>"20190312160328857"</f>
        <v>20190312160328857</v>
      </c>
      <c r="B1637" t="str">
        <f>"1552377808846054"</f>
        <v>1552377808846054</v>
      </c>
      <c r="C1637" t="s">
        <v>40</v>
      </c>
      <c r="D1637">
        <v>5.9810559999999997</v>
      </c>
      <c r="E1637">
        <v>0.50397809999999998</v>
      </c>
      <c r="F1637" t="s">
        <v>70</v>
      </c>
      <c r="G1637">
        <v>-253.8946</v>
      </c>
      <c r="H1637" s="1">
        <v>5.3573929999999995E-7</v>
      </c>
      <c r="I1637">
        <v>283.56259999999997</v>
      </c>
      <c r="J1637">
        <v>-226.65700000000001</v>
      </c>
      <c r="K1637">
        <v>1.110552</v>
      </c>
      <c r="L1637">
        <v>282.58330000000001</v>
      </c>
      <c r="M1637">
        <v>-0.9998823</v>
      </c>
      <c r="N1637">
        <v>0</v>
      </c>
      <c r="O1637">
        <v>8.8484140000000006E-3</v>
      </c>
      <c r="P1637">
        <v>-0.99966080000000002</v>
      </c>
      <c r="Q1637">
        <v>3.1028700000000002E-3</v>
      </c>
      <c r="R1637">
        <v>2.5864140000000001E-2</v>
      </c>
      <c r="S1637">
        <v>-2.9986570000000001</v>
      </c>
      <c r="T1637">
        <v>-0.1214982</v>
      </c>
      <c r="U1637">
        <v>0.1072693</v>
      </c>
      <c r="V1637">
        <v>1.6994869999999999E-2</v>
      </c>
      <c r="W1637">
        <v>1.5656130000000001E-2</v>
      </c>
      <c r="X1637">
        <v>0.99973299999999998</v>
      </c>
      <c r="Y1637">
        <v>2.6889940000000001E-2</v>
      </c>
      <c r="Z1637">
        <v>1.8609489999999999E-4</v>
      </c>
      <c r="AA1637">
        <v>0.99963840000000004</v>
      </c>
      <c r="AB1637">
        <v>31</v>
      </c>
      <c r="AC1637">
        <v>-27.237599999999901</v>
      </c>
      <c r="AD1637">
        <v>-1.1105514642606999</v>
      </c>
      <c r="AE1637">
        <v>0.97929999999996598</v>
      </c>
      <c r="AF1637">
        <v>0.73700952802595898</v>
      </c>
      <c r="AG1637">
        <v>-1.1105514642606999</v>
      </c>
      <c r="AH1637">
        <v>27.2000400639409</v>
      </c>
      <c r="AI1637">
        <v>92.337176096398906</v>
      </c>
      <c r="AJ1637">
        <v>88.447899137100293</v>
      </c>
      <c r="AK1637">
        <v>27.232676825445601</v>
      </c>
      <c r="AL1637">
        <v>89.102933182682406</v>
      </c>
      <c r="AM1637">
        <v>89.026099424462501</v>
      </c>
      <c r="AN1637">
        <v>1.0000000056509399</v>
      </c>
    </row>
    <row r="1638" spans="1:40" x14ac:dyDescent="0.25">
      <c r="A1638" t="str">
        <f>"20190312160328877"</f>
        <v>20190312160328877</v>
      </c>
      <c r="B1638" t="str">
        <f>"1552377808866552"</f>
        <v>1552377808866552</v>
      </c>
      <c r="C1638" t="s">
        <v>40</v>
      </c>
      <c r="D1638">
        <v>5.8997630000000001</v>
      </c>
      <c r="E1638">
        <v>0.50376399999999999</v>
      </c>
      <c r="F1638" t="s">
        <v>70</v>
      </c>
      <c r="G1638">
        <v>-253.82409999999999</v>
      </c>
      <c r="H1638" s="1">
        <v>4.9822069999999997E-7</v>
      </c>
      <c r="I1638">
        <v>283.5532</v>
      </c>
      <c r="J1638">
        <v>-226.92949999999999</v>
      </c>
      <c r="K1638">
        <v>1.1105480000000001</v>
      </c>
      <c r="L1638">
        <v>282.58499999999998</v>
      </c>
      <c r="M1638">
        <v>-0.99988779999999999</v>
      </c>
      <c r="N1638">
        <v>0</v>
      </c>
      <c r="O1638">
        <v>8.2181040000000004E-3</v>
      </c>
      <c r="P1638">
        <v>-0.99965850000000001</v>
      </c>
      <c r="Q1638">
        <v>3.297286E-3</v>
      </c>
      <c r="R1638">
        <v>2.5930180000000001E-2</v>
      </c>
      <c r="S1638">
        <v>-2.998596</v>
      </c>
      <c r="T1638">
        <v>-0.1225779</v>
      </c>
      <c r="U1638">
        <v>0.1070557</v>
      </c>
      <c r="V1638">
        <v>1.7690939999999999E-2</v>
      </c>
      <c r="W1638">
        <v>1.5848750000000002E-2</v>
      </c>
      <c r="X1638">
        <v>0.99971790000000005</v>
      </c>
      <c r="Y1638">
        <v>2.7448440000000001E-2</v>
      </c>
      <c r="Z1638">
        <v>2.2490459999999999E-4</v>
      </c>
      <c r="AA1638">
        <v>0.99962320000000005</v>
      </c>
      <c r="AB1638">
        <v>31</v>
      </c>
      <c r="AC1638">
        <v>-26.894600000000001</v>
      </c>
      <c r="AD1638">
        <v>-1.1105475017792901</v>
      </c>
      <c r="AE1638">
        <v>0.96820000000002404</v>
      </c>
      <c r="AF1638">
        <v>0.74585724563714695</v>
      </c>
      <c r="AG1638">
        <v>-1.1105475017792901</v>
      </c>
      <c r="AH1638">
        <v>26.8559168921464</v>
      </c>
      <c r="AI1638">
        <v>92.367037783204793</v>
      </c>
      <c r="AJ1638">
        <v>88.4091591320676</v>
      </c>
      <c r="AK1638">
        <v>26.889215141064501</v>
      </c>
      <c r="AL1638">
        <v>89.091895509465999</v>
      </c>
      <c r="AM1638">
        <v>88.986203593829302</v>
      </c>
      <c r="AN1638">
        <v>1.00000001590752</v>
      </c>
    </row>
    <row r="1639" spans="1:40" x14ac:dyDescent="0.25">
      <c r="A1639" t="str">
        <f>"20190312160328898"</f>
        <v>20190312160328898</v>
      </c>
      <c r="B1639" t="str">
        <f>"1552377808886070"</f>
        <v>1552377808886070</v>
      </c>
      <c r="C1639" t="s">
        <v>40</v>
      </c>
      <c r="D1639">
        <v>5.9866739999999998</v>
      </c>
      <c r="E1639">
        <v>0.50354330000000003</v>
      </c>
      <c r="F1639" t="s">
        <v>70</v>
      </c>
      <c r="G1639">
        <v>-254.19800000000001</v>
      </c>
      <c r="H1639" s="1">
        <v>6.9719249999999997E-7</v>
      </c>
      <c r="I1639">
        <v>283.5421</v>
      </c>
      <c r="J1639">
        <v>-227.24019999999999</v>
      </c>
      <c r="K1639">
        <v>1.110552</v>
      </c>
      <c r="L1639">
        <v>282.58679999999998</v>
      </c>
      <c r="M1639">
        <v>-0.99989349999999999</v>
      </c>
      <c r="N1639">
        <v>0</v>
      </c>
      <c r="O1639">
        <v>7.5055080000000001E-3</v>
      </c>
      <c r="P1639">
        <v>-0.99965490000000001</v>
      </c>
      <c r="Q1639">
        <v>3.8465639999999998E-3</v>
      </c>
      <c r="R1639">
        <v>2.5988730000000002E-2</v>
      </c>
      <c r="S1639">
        <v>-2.9987029999999999</v>
      </c>
      <c r="T1639">
        <v>-0.1221261</v>
      </c>
      <c r="U1639">
        <v>0.1052551</v>
      </c>
      <c r="V1639">
        <v>1.8461100000000001E-2</v>
      </c>
      <c r="W1639">
        <v>1.6396569999999999E-2</v>
      </c>
      <c r="X1639">
        <v>0.99969509999999995</v>
      </c>
      <c r="Y1639">
        <v>2.7559549999999999E-2</v>
      </c>
      <c r="Z1639">
        <v>2.5533169999999999E-4</v>
      </c>
      <c r="AA1639">
        <v>0.99962010000000001</v>
      </c>
      <c r="AB1639">
        <v>31</v>
      </c>
      <c r="AC1639">
        <v>-26.957799999999899</v>
      </c>
      <c r="AD1639">
        <v>-1.1105513028075</v>
      </c>
      <c r="AE1639">
        <v>0.95530000000002202</v>
      </c>
      <c r="AF1639">
        <v>0.75165122431225895</v>
      </c>
      <c r="AG1639">
        <v>-1.1105513028075</v>
      </c>
      <c r="AH1639">
        <v>26.9185848103685</v>
      </c>
      <c r="AI1639">
        <v>92.361531627022103</v>
      </c>
      <c r="AJ1639">
        <v>88.400537941809901</v>
      </c>
      <c r="AK1639">
        <v>26.9519667548062</v>
      </c>
      <c r="AL1639">
        <v>89.060503618198098</v>
      </c>
      <c r="AM1639">
        <v>88.942054529894705</v>
      </c>
      <c r="AN1639">
        <v>0.99999997634249205</v>
      </c>
    </row>
    <row r="1640" spans="1:40" x14ac:dyDescent="0.25">
      <c r="A1640" t="str">
        <f>"20190312160328920"</f>
        <v>20190312160328920</v>
      </c>
      <c r="B1640" t="str">
        <f>"1552377808916327"</f>
        <v>1552377808916327</v>
      </c>
      <c r="C1640" t="s">
        <v>40</v>
      </c>
      <c r="D1640">
        <v>5.7305679999999999</v>
      </c>
      <c r="E1640">
        <v>0.50321329999999997</v>
      </c>
      <c r="F1640" t="s">
        <v>70</v>
      </c>
      <c r="G1640">
        <v>-254.84360000000001</v>
      </c>
      <c r="H1640" s="1">
        <v>1.0407499999999999E-6</v>
      </c>
      <c r="I1640">
        <v>283.54300000000001</v>
      </c>
      <c r="J1640">
        <v>-227.53380000000001</v>
      </c>
      <c r="K1640">
        <v>1.1105609999999999</v>
      </c>
      <c r="L1640">
        <v>282.5883</v>
      </c>
      <c r="M1640">
        <v>-0.99989830000000002</v>
      </c>
      <c r="N1640">
        <v>0</v>
      </c>
      <c r="O1640">
        <v>6.8366119999999997E-3</v>
      </c>
      <c r="P1640">
        <v>-0.99965130000000002</v>
      </c>
      <c r="Q1640">
        <v>4.1882830000000001E-3</v>
      </c>
      <c r="R1640">
        <v>2.6076599999999998E-2</v>
      </c>
      <c r="S1640">
        <v>-2.9987949999999999</v>
      </c>
      <c r="T1640">
        <v>-0.1206487</v>
      </c>
      <c r="U1640">
        <v>0.1038818</v>
      </c>
      <c r="V1640">
        <v>1.9217350000000001E-2</v>
      </c>
      <c r="W1640">
        <v>1.673651E-2</v>
      </c>
      <c r="X1640">
        <v>0.99967519999999999</v>
      </c>
      <c r="Y1640">
        <v>2.7769660000000002E-2</v>
      </c>
      <c r="Z1640">
        <v>2.8335550000000001E-4</v>
      </c>
      <c r="AA1640">
        <v>0.99961429999999996</v>
      </c>
      <c r="AB1640">
        <v>31</v>
      </c>
      <c r="AC1640">
        <v>-27.309799999999999</v>
      </c>
      <c r="AD1640">
        <v>-1.11055995925</v>
      </c>
      <c r="AE1640">
        <v>0.95470000000000199</v>
      </c>
      <c r="AF1640">
        <v>0.76669025359808496</v>
      </c>
      <c r="AG1640">
        <v>-1.11055995925</v>
      </c>
      <c r="AH1640">
        <v>27.270647682870099</v>
      </c>
      <c r="AI1640">
        <v>92.331083907678902</v>
      </c>
      <c r="AJ1640">
        <v>88.389603794067995</v>
      </c>
      <c r="AK1640">
        <v>27.304017697241498</v>
      </c>
      <c r="AL1640">
        <v>89.041023802724695</v>
      </c>
      <c r="AM1640">
        <v>88.898704853430601</v>
      </c>
      <c r="AN1640">
        <v>0.99999996140152003</v>
      </c>
    </row>
    <row r="1641" spans="1:40" x14ac:dyDescent="0.25">
      <c r="A1641" t="str">
        <f>"20190312160328932"</f>
        <v>20190312160328932</v>
      </c>
      <c r="B1641" t="str">
        <f>"1552377808926087"</f>
        <v>1552377808926087</v>
      </c>
      <c r="C1641" t="s">
        <v>40</v>
      </c>
      <c r="D1641">
        <v>5.7300829999999996</v>
      </c>
      <c r="E1641">
        <v>0.50305909999999998</v>
      </c>
      <c r="F1641" t="s">
        <v>70</v>
      </c>
      <c r="G1641">
        <v>-255.4264</v>
      </c>
      <c r="H1641" s="1">
        <v>1.3508770000000001E-6</v>
      </c>
      <c r="I1641">
        <v>283.53059999999999</v>
      </c>
      <c r="J1641">
        <v>-227.7079</v>
      </c>
      <c r="K1641">
        <v>1.1105609999999999</v>
      </c>
      <c r="L1641">
        <v>282.58909999999997</v>
      </c>
      <c r="M1641">
        <v>-0.99990109999999999</v>
      </c>
      <c r="N1641">
        <v>0</v>
      </c>
      <c r="O1641">
        <v>6.4412840000000002E-3</v>
      </c>
      <c r="P1641">
        <v>-0.9996505</v>
      </c>
      <c r="Q1641">
        <v>4.1452030000000001E-3</v>
      </c>
      <c r="R1641">
        <v>2.611757E-2</v>
      </c>
      <c r="S1641">
        <v>-2.9989170000000001</v>
      </c>
      <c r="T1641">
        <v>-0.11940340000000001</v>
      </c>
      <c r="U1641">
        <v>0.1013184</v>
      </c>
      <c r="V1641">
        <v>1.9653790000000001E-2</v>
      </c>
      <c r="W1641">
        <v>1.6693119999999999E-2</v>
      </c>
      <c r="X1641">
        <v>0.99966750000000004</v>
      </c>
      <c r="Y1641">
        <v>2.731039E-2</v>
      </c>
      <c r="Z1641">
        <v>2.8701820000000001E-4</v>
      </c>
      <c r="AA1641">
        <v>0.99962689999999998</v>
      </c>
      <c r="AB1641">
        <v>31</v>
      </c>
      <c r="AC1641">
        <v>-27.718499999999999</v>
      </c>
      <c r="AD1641">
        <v>-1.1105596491230001</v>
      </c>
      <c r="AE1641">
        <v>0.94150000000001899</v>
      </c>
      <c r="AF1641">
        <v>0.76170246148408505</v>
      </c>
      <c r="AG1641">
        <v>-1.1105596491230001</v>
      </c>
      <c r="AH1641">
        <v>27.6796081688668</v>
      </c>
      <c r="AI1641">
        <v>92.296717120343004</v>
      </c>
      <c r="AJ1641">
        <v>88.423701496133802</v>
      </c>
      <c r="AK1641">
        <v>27.712348181922199</v>
      </c>
      <c r="AL1641">
        <v>89.043510271192403</v>
      </c>
      <c r="AM1641">
        <v>88.873691337516405</v>
      </c>
      <c r="AN1641">
        <v>1.0000000211364699</v>
      </c>
    </row>
    <row r="1642" spans="1:40" x14ac:dyDescent="0.25">
      <c r="A1642" t="str">
        <f>"20190312160328945"</f>
        <v>20190312160328945</v>
      </c>
      <c r="B1642" t="str">
        <f>"1552377808935847"</f>
        <v>1552377808935847</v>
      </c>
      <c r="C1642" t="s">
        <v>40</v>
      </c>
      <c r="D1642">
        <v>5.7269360000000002</v>
      </c>
      <c r="E1642">
        <v>0.50292550000000003</v>
      </c>
      <c r="F1642" t="s">
        <v>70</v>
      </c>
      <c r="G1642">
        <v>-255.55779999999999</v>
      </c>
      <c r="H1642" s="1">
        <v>1.420808E-6</v>
      </c>
      <c r="I1642">
        <v>283.51920000000001</v>
      </c>
      <c r="J1642">
        <v>-227.89580000000001</v>
      </c>
      <c r="K1642">
        <v>1.110557</v>
      </c>
      <c r="L1642">
        <v>282.58980000000003</v>
      </c>
      <c r="M1642">
        <v>-0.9999036</v>
      </c>
      <c r="N1642">
        <v>0</v>
      </c>
      <c r="O1642">
        <v>6.0155030000000002E-3</v>
      </c>
      <c r="P1642">
        <v>-0.99965179999999998</v>
      </c>
      <c r="Q1642">
        <v>3.4482940000000002E-3</v>
      </c>
      <c r="R1642">
        <v>2.6164469999999999E-2</v>
      </c>
      <c r="S1642">
        <v>-2.9989469999999998</v>
      </c>
      <c r="T1642">
        <v>-0.11958770000000001</v>
      </c>
      <c r="U1642">
        <v>0.1001587</v>
      </c>
      <c r="V1642">
        <v>2.012738E-2</v>
      </c>
      <c r="W1642">
        <v>1.5995599999999999E-2</v>
      </c>
      <c r="X1642">
        <v>0.99966940000000004</v>
      </c>
      <c r="Y1642">
        <v>2.7349180000000001E-2</v>
      </c>
      <c r="Z1642">
        <v>3.0519990000000001E-4</v>
      </c>
      <c r="AA1642">
        <v>0.99962589999999996</v>
      </c>
      <c r="AB1642">
        <v>31</v>
      </c>
      <c r="AC1642">
        <v>-27.6619999999999</v>
      </c>
      <c r="AD1642">
        <v>-1.1105555791920001</v>
      </c>
      <c r="AE1642">
        <v>0.92939999999998602</v>
      </c>
      <c r="AF1642">
        <v>0.76174290711228898</v>
      </c>
      <c r="AG1642">
        <v>-1.1105555791920001</v>
      </c>
      <c r="AH1642">
        <v>27.622618502258199</v>
      </c>
      <c r="AI1642">
        <v>92.301438396607793</v>
      </c>
      <c r="AJ1642">
        <v>88.420367168259105</v>
      </c>
      <c r="AK1642">
        <v>27.655426933466501</v>
      </c>
      <c r="AL1642">
        <v>89.083480488038703</v>
      </c>
      <c r="AM1642">
        <v>88.846560538096895</v>
      </c>
      <c r="AN1642">
        <v>0.99999993997069003</v>
      </c>
    </row>
    <row r="1643" spans="1:40" x14ac:dyDescent="0.25">
      <c r="A1643" t="str">
        <f>"20190312160328966"</f>
        <v>20190312160328966</v>
      </c>
      <c r="B1643" t="str">
        <f>"1552377808956343"</f>
        <v>1552377808956343</v>
      </c>
      <c r="C1643" t="s">
        <v>40</v>
      </c>
      <c r="D1643">
        <v>5.9376369999999996</v>
      </c>
      <c r="E1643">
        <v>0.50282150000000003</v>
      </c>
      <c r="F1643" t="s">
        <v>70</v>
      </c>
      <c r="G1643">
        <v>-255.24940000000001</v>
      </c>
      <c r="H1643" s="1">
        <v>1.256664E-6</v>
      </c>
      <c r="I1643">
        <v>283.49419999999998</v>
      </c>
      <c r="J1643">
        <v>-228.17599999999999</v>
      </c>
      <c r="K1643">
        <v>1.110552</v>
      </c>
      <c r="L1643">
        <v>282.59089999999998</v>
      </c>
      <c r="M1643">
        <v>-0.9999072</v>
      </c>
      <c r="N1643">
        <v>0</v>
      </c>
      <c r="O1643">
        <v>5.3815959999999998E-3</v>
      </c>
      <c r="P1643">
        <v>-0.99966180000000004</v>
      </c>
      <c r="Q1643">
        <v>3.3130009999999999E-3</v>
      </c>
      <c r="R1643">
        <v>2.579702E-2</v>
      </c>
      <c r="S1643">
        <v>-2.9988860000000002</v>
      </c>
      <c r="T1643">
        <v>-0.121755</v>
      </c>
      <c r="U1643">
        <v>9.9151610000000001E-2</v>
      </c>
      <c r="V1643">
        <v>2.039386E-2</v>
      </c>
      <c r="W1643">
        <v>1.585924E-2</v>
      </c>
      <c r="X1643">
        <v>0.99966619999999995</v>
      </c>
      <c r="Y1643">
        <v>2.7646879999999999E-2</v>
      </c>
      <c r="Z1643">
        <v>3.4249349999999998E-4</v>
      </c>
      <c r="AA1643">
        <v>0.99961770000000005</v>
      </c>
      <c r="AB1643">
        <v>31</v>
      </c>
      <c r="AC1643">
        <v>-27.073399999999999</v>
      </c>
      <c r="AD1643">
        <v>-1.110550743336</v>
      </c>
      <c r="AE1643">
        <v>0.90330000000000099</v>
      </c>
      <c r="AF1643">
        <v>0.75630622850149498</v>
      </c>
      <c r="AG1643">
        <v>-1.110550743336</v>
      </c>
      <c r="AH1643">
        <v>27.032434191490601</v>
      </c>
      <c r="AI1643">
        <v>92.351592260891294</v>
      </c>
      <c r="AJ1643">
        <v>88.397412030332802</v>
      </c>
      <c r="AK1643">
        <v>27.0658053710224</v>
      </c>
      <c r="AL1643">
        <v>89.091294357862793</v>
      </c>
      <c r="AM1643">
        <v>88.831289840582201</v>
      </c>
      <c r="AN1643">
        <v>0.99999996822075798</v>
      </c>
    </row>
    <row r="1644" spans="1:40" x14ac:dyDescent="0.25">
      <c r="A1644" t="str">
        <f>"20190312160328979"</f>
        <v>20190312160328979</v>
      </c>
      <c r="B1644" t="str">
        <f>"1552377808975863"</f>
        <v>1552377808975863</v>
      </c>
      <c r="C1644" t="s">
        <v>40</v>
      </c>
      <c r="D1644">
        <v>9.2790520000000001</v>
      </c>
      <c r="E1644">
        <v>0.50247920000000001</v>
      </c>
      <c r="F1644" t="s">
        <v>70</v>
      </c>
      <c r="G1644">
        <v>-255.4246</v>
      </c>
      <c r="H1644" s="1">
        <v>1.3498909999999999E-6</v>
      </c>
      <c r="I1644">
        <v>283.47430000000003</v>
      </c>
      <c r="J1644">
        <v>-228.36369999999999</v>
      </c>
      <c r="K1644">
        <v>1.1105510000000001</v>
      </c>
      <c r="L1644">
        <v>282.59140000000002</v>
      </c>
      <c r="M1644">
        <v>-0.99990939999999995</v>
      </c>
      <c r="N1644">
        <v>0</v>
      </c>
      <c r="O1644">
        <v>4.9588109999999996E-3</v>
      </c>
      <c r="P1644">
        <v>-0.99967620000000001</v>
      </c>
      <c r="Q1644">
        <v>3.160698E-3</v>
      </c>
      <c r="R1644">
        <v>2.524742E-2</v>
      </c>
      <c r="S1644">
        <v>-2.9989319999999999</v>
      </c>
      <c r="T1644">
        <v>-0.122225399999999</v>
      </c>
      <c r="U1644">
        <v>9.7228999999999996E-2</v>
      </c>
      <c r="V1644">
        <v>2.0267230000000001E-2</v>
      </c>
      <c r="W1644">
        <v>1.5705239999999999E-2</v>
      </c>
      <c r="X1644">
        <v>0.99967119999999998</v>
      </c>
      <c r="Y1644">
        <v>2.7428560000000001E-2</v>
      </c>
      <c r="Z1644">
        <v>3.5658780000000001E-4</v>
      </c>
      <c r="AA1644">
        <v>0.9996237</v>
      </c>
      <c r="AB1644">
        <v>31</v>
      </c>
      <c r="AC1644">
        <v>-27.0609</v>
      </c>
      <c r="AD1644">
        <v>-1.110549650109</v>
      </c>
      <c r="AE1644">
        <v>0.88290000000000601</v>
      </c>
      <c r="AF1644">
        <v>0.74743126717044805</v>
      </c>
      <c r="AG1644">
        <v>-1.110549650109</v>
      </c>
      <c r="AH1644">
        <v>27.0194881068049</v>
      </c>
      <c r="AI1644">
        <v>92.352736003315002</v>
      </c>
      <c r="AJ1644">
        <v>88.415449676522897</v>
      </c>
      <c r="AK1644">
        <v>27.052628552106999</v>
      </c>
      <c r="AL1644">
        <v>89.100119001363097</v>
      </c>
      <c r="AM1644">
        <v>88.838550434745699</v>
      </c>
      <c r="AN1644">
        <v>0.99999996164238403</v>
      </c>
    </row>
    <row r="1645" spans="1:40" x14ac:dyDescent="0.25">
      <c r="A1645" t="str">
        <f>"20190312160328994"</f>
        <v>20190312160328994</v>
      </c>
      <c r="B1645" t="str">
        <f>"1552377808986599"</f>
        <v>1552377808986599</v>
      </c>
      <c r="C1645" t="s">
        <v>40</v>
      </c>
      <c r="D1645">
        <v>5.6971600000000002</v>
      </c>
      <c r="E1645">
        <v>0.50231990000000004</v>
      </c>
      <c r="F1645" t="s">
        <v>70</v>
      </c>
      <c r="G1645">
        <v>-255.55690000000001</v>
      </c>
      <c r="H1645" s="1">
        <v>1.42033899999999E-6</v>
      </c>
      <c r="I1645">
        <v>283.43290000000002</v>
      </c>
      <c r="J1645">
        <v>-228.57089999999999</v>
      </c>
      <c r="K1645">
        <v>1.110547</v>
      </c>
      <c r="L1645">
        <v>282.59190000000001</v>
      </c>
      <c r="M1645">
        <v>-0.99991169999999996</v>
      </c>
      <c r="N1645">
        <v>0</v>
      </c>
      <c r="O1645">
        <v>4.4943220000000002E-3</v>
      </c>
      <c r="P1645">
        <v>-0.99968919999999994</v>
      </c>
      <c r="Q1645">
        <v>2.8704099999999999E-3</v>
      </c>
      <c r="R1645">
        <v>2.4773070000000001E-2</v>
      </c>
      <c r="S1645">
        <v>-2.9990230000000002</v>
      </c>
      <c r="T1645">
        <v>-0.1224778</v>
      </c>
      <c r="U1645">
        <v>9.2803960000000005E-2</v>
      </c>
      <c r="V1645">
        <v>2.0257819999999999E-2</v>
      </c>
      <c r="W1645">
        <v>1.5413929999999999E-2</v>
      </c>
      <c r="X1645">
        <v>0.99967600000000001</v>
      </c>
      <c r="Y1645">
        <v>2.6418830000000001E-2</v>
      </c>
      <c r="Z1645">
        <v>3.5567349999999999E-4</v>
      </c>
      <c r="AA1645">
        <v>0.99965090000000001</v>
      </c>
      <c r="AB1645">
        <v>31</v>
      </c>
      <c r="AC1645">
        <v>-26.986000000000001</v>
      </c>
      <c r="AD1645">
        <v>-1.110545579661</v>
      </c>
      <c r="AE1645">
        <v>0.84100000000000796</v>
      </c>
      <c r="AF1645">
        <v>0.71848264709765597</v>
      </c>
      <c r="AG1645">
        <v>-1.110545579661</v>
      </c>
      <c r="AH1645">
        <v>26.9439210683318</v>
      </c>
      <c r="AI1645">
        <v>92.359382179998903</v>
      </c>
      <c r="AJ1645">
        <v>88.472521125953406</v>
      </c>
      <c r="AK1645">
        <v>26.976367645314699</v>
      </c>
      <c r="AL1645">
        <v>89.1168119227235</v>
      </c>
      <c r="AM1645">
        <v>88.839095116525996</v>
      </c>
      <c r="AN1645">
        <v>1.0000000367425901</v>
      </c>
    </row>
    <row r="1646" spans="1:40" x14ac:dyDescent="0.25">
      <c r="A1646" t="str">
        <f>"20190312160329009"</f>
        <v>20190312160329009</v>
      </c>
      <c r="B1646" t="str">
        <f>"1552377809006119"</f>
        <v>1552377809006119</v>
      </c>
      <c r="C1646" t="s">
        <v>40</v>
      </c>
      <c r="D1646">
        <v>5.6855260000000003</v>
      </c>
      <c r="E1646">
        <v>0.5020154</v>
      </c>
      <c r="F1646" t="s">
        <v>70</v>
      </c>
      <c r="G1646">
        <v>-255.6113</v>
      </c>
      <c r="H1646" s="1">
        <v>1.449283E-6</v>
      </c>
      <c r="I1646">
        <v>283.40280000000001</v>
      </c>
      <c r="J1646">
        <v>-228.77600000000001</v>
      </c>
      <c r="K1646">
        <v>1.110544</v>
      </c>
      <c r="L1646">
        <v>282.5924</v>
      </c>
      <c r="M1646">
        <v>-0.99991350000000001</v>
      </c>
      <c r="N1646">
        <v>0</v>
      </c>
      <c r="O1646">
        <v>4.0373609999999997E-3</v>
      </c>
      <c r="P1646">
        <v>-0.99970159999999997</v>
      </c>
      <c r="Q1646">
        <v>2.8689539999999999E-3</v>
      </c>
      <c r="R1646">
        <v>2.426122E-2</v>
      </c>
      <c r="S1646">
        <v>-2.9990540000000001</v>
      </c>
      <c r="T1646">
        <v>-0.12317069999999999</v>
      </c>
      <c r="U1646">
        <v>8.9935299999999996E-2</v>
      </c>
      <c r="V1646">
        <v>2.020303E-2</v>
      </c>
      <c r="W1646">
        <v>1.5411070000000001E-2</v>
      </c>
      <c r="X1646">
        <v>0.99967709999999999</v>
      </c>
      <c r="Y1646">
        <v>2.5919890000000001E-2</v>
      </c>
      <c r="Z1646">
        <v>3.662025E-4</v>
      </c>
      <c r="AA1646">
        <v>0.99966390000000005</v>
      </c>
      <c r="AB1646">
        <v>31</v>
      </c>
      <c r="AC1646">
        <v>-26.8353</v>
      </c>
      <c r="AD1646">
        <v>-1.1105425507169999</v>
      </c>
      <c r="AE1646">
        <v>0.810400000000015</v>
      </c>
      <c r="AF1646">
        <v>0.70084193852138699</v>
      </c>
      <c r="AG1646">
        <v>-1.1105425507169999</v>
      </c>
      <c r="AH1646">
        <v>26.792510177728001</v>
      </c>
      <c r="AI1646">
        <v>92.372725713439394</v>
      </c>
      <c r="AJ1646">
        <v>88.501591304648599</v>
      </c>
      <c r="AK1646">
        <v>26.824673079152401</v>
      </c>
      <c r="AL1646">
        <v>89.1169757614323</v>
      </c>
      <c r="AM1646">
        <v>88.842235357815397</v>
      </c>
      <c r="AN1646">
        <v>0.99999998388206701</v>
      </c>
    </row>
    <row r="1647" spans="1:40" x14ac:dyDescent="0.25">
      <c r="A1647" t="str">
        <f>"20190312160329032"</f>
        <v>20190312160329032</v>
      </c>
      <c r="B1647" t="str">
        <f>"1552377809026615"</f>
        <v>1552377809026615</v>
      </c>
      <c r="C1647" t="s">
        <v>40</v>
      </c>
      <c r="D1647">
        <v>5.8752199999999997</v>
      </c>
      <c r="E1647">
        <v>0.50172499999999998</v>
      </c>
      <c r="F1647" t="s">
        <v>70</v>
      </c>
      <c r="G1647">
        <v>-255.87450000000001</v>
      </c>
      <c r="H1647" s="1">
        <v>1.5893040000000001E-6</v>
      </c>
      <c r="I1647">
        <v>283.36750000000001</v>
      </c>
      <c r="J1647">
        <v>-229.09979999999999</v>
      </c>
      <c r="K1647">
        <v>1.110538</v>
      </c>
      <c r="L1647">
        <v>282.59289999999999</v>
      </c>
      <c r="M1647">
        <v>-0.99991609999999997</v>
      </c>
      <c r="N1647">
        <v>0</v>
      </c>
      <c r="O1647">
        <v>3.3253900000000001E-3</v>
      </c>
      <c r="P1647">
        <v>-0.99970570000000003</v>
      </c>
      <c r="Q1647">
        <v>3.1053719999999999E-3</v>
      </c>
      <c r="R1647">
        <v>2.405968E-2</v>
      </c>
      <c r="S1647">
        <v>-2.9991460000000001</v>
      </c>
      <c r="T1647">
        <v>-0.12291009999999999</v>
      </c>
      <c r="U1647">
        <v>8.5784910000000006E-2</v>
      </c>
      <c r="V1647">
        <v>2.0713229999999999E-2</v>
      </c>
      <c r="W1647">
        <v>1.5646119999999999E-2</v>
      </c>
      <c r="X1647">
        <v>0.99966299999999997</v>
      </c>
      <c r="Y1647">
        <v>2.5248590000000001E-2</v>
      </c>
      <c r="Z1647">
        <v>3.8083870000000001E-4</v>
      </c>
      <c r="AA1647">
        <v>0.99968109999999999</v>
      </c>
      <c r="AB1647">
        <v>31</v>
      </c>
      <c r="AC1647">
        <v>-26.774699999999999</v>
      </c>
      <c r="AD1647">
        <v>-1.1105364106960001</v>
      </c>
      <c r="AE1647">
        <v>0.77460000000002005</v>
      </c>
      <c r="AF1647">
        <v>0.68437603791965396</v>
      </c>
      <c r="AG1647">
        <v>-1.1105364106960001</v>
      </c>
      <c r="AH1647">
        <v>26.731179503589701</v>
      </c>
      <c r="AI1647">
        <v>92.378184355390502</v>
      </c>
      <c r="AJ1647">
        <v>88.533424440702703</v>
      </c>
      <c r="AK1647">
        <v>26.7629897308558</v>
      </c>
      <c r="AL1647">
        <v>89.103506757347105</v>
      </c>
      <c r="AM1647">
        <v>88.812989113589296</v>
      </c>
      <c r="AN1647">
        <v>0.99999997626854298</v>
      </c>
    </row>
    <row r="1648" spans="1:40" x14ac:dyDescent="0.25">
      <c r="A1648" t="str">
        <f>"20190312160329045"</f>
        <v>20190312160329045</v>
      </c>
      <c r="B1648" t="str">
        <f>"1552377809036375"</f>
        <v>1552377809036375</v>
      </c>
      <c r="C1648" t="s">
        <v>40</v>
      </c>
      <c r="D1648">
        <v>5.9261220000000003</v>
      </c>
      <c r="E1648">
        <v>0.50159279999999995</v>
      </c>
      <c r="F1648" t="s">
        <v>70</v>
      </c>
      <c r="G1648">
        <v>-256.4409</v>
      </c>
      <c r="H1648" s="1">
        <v>1.8907529999999999E-6</v>
      </c>
      <c r="I1648">
        <v>283.34679999999997</v>
      </c>
      <c r="J1648">
        <v>-229.27959999999999</v>
      </c>
      <c r="K1648">
        <v>1.11053</v>
      </c>
      <c r="L1648">
        <v>282.59309999999999</v>
      </c>
      <c r="M1648">
        <v>-0.99991739999999996</v>
      </c>
      <c r="N1648">
        <v>0</v>
      </c>
      <c r="O1648">
        <v>2.9348629999999998E-3</v>
      </c>
      <c r="P1648">
        <v>-0.99970300000000001</v>
      </c>
      <c r="Q1648">
        <v>2.9245479999999999E-3</v>
      </c>
      <c r="R1648">
        <v>2.4195589999999999E-2</v>
      </c>
      <c r="S1648">
        <v>-2.9992830000000001</v>
      </c>
      <c r="T1648">
        <v>-0.12182419999999999</v>
      </c>
      <c r="U1648">
        <v>8.2702639999999994E-2</v>
      </c>
      <c r="V1648">
        <v>2.1240120000000001E-2</v>
      </c>
      <c r="W1648">
        <v>1.5464469999999999E-2</v>
      </c>
      <c r="X1648">
        <v>0.99965479999999995</v>
      </c>
      <c r="Y1648">
        <v>2.46117E-2</v>
      </c>
      <c r="Z1648">
        <v>3.8039170000000002E-4</v>
      </c>
      <c r="AA1648">
        <v>0.99969699999999995</v>
      </c>
      <c r="AB1648">
        <v>31</v>
      </c>
      <c r="AC1648">
        <v>-27.161300000000001</v>
      </c>
      <c r="AD1648">
        <v>-1.1105281092470001</v>
      </c>
      <c r="AE1648">
        <v>0.75369999999998005</v>
      </c>
      <c r="AF1648">
        <v>0.67285187735913099</v>
      </c>
      <c r="AG1648">
        <v>-1.1105281092470001</v>
      </c>
      <c r="AH1648">
        <v>27.1180967778803</v>
      </c>
      <c r="AI1648">
        <v>92.344319990512005</v>
      </c>
      <c r="AJ1648">
        <v>88.578673685514602</v>
      </c>
      <c r="AK1648">
        <v>27.149165276022298</v>
      </c>
      <c r="AL1648">
        <v>89.113915821566806</v>
      </c>
      <c r="AM1648">
        <v>88.782793673776695</v>
      </c>
      <c r="AN1648">
        <v>1.0000000058465099</v>
      </c>
    </row>
    <row r="1649" spans="1:40" x14ac:dyDescent="0.25">
      <c r="A1649" t="str">
        <f>"20190312160329057"</f>
        <v>20190312160329057</v>
      </c>
      <c r="B1649" t="str">
        <f>"1552377809046135"</f>
        <v>1552377809046135</v>
      </c>
      <c r="C1649" t="s">
        <v>40</v>
      </c>
      <c r="D1649">
        <v>5.7640330000000004</v>
      </c>
      <c r="E1649">
        <v>0.50146400000000002</v>
      </c>
      <c r="F1649" t="s">
        <v>70</v>
      </c>
      <c r="G1649">
        <v>-256.5548</v>
      </c>
      <c r="H1649" s="1">
        <v>1.9513669999999998E-6</v>
      </c>
      <c r="I1649">
        <v>283.33909999999997</v>
      </c>
      <c r="J1649">
        <v>-229.4556</v>
      </c>
      <c r="K1649">
        <v>1.110522</v>
      </c>
      <c r="L1649">
        <v>282.59320000000002</v>
      </c>
      <c r="M1649">
        <v>-0.99991859999999999</v>
      </c>
      <c r="N1649">
        <v>0</v>
      </c>
      <c r="O1649">
        <v>2.5602699999999999E-3</v>
      </c>
      <c r="P1649">
        <v>-0.99970749999999997</v>
      </c>
      <c r="Q1649">
        <v>2.4777190000000002E-3</v>
      </c>
      <c r="R1649">
        <v>2.4066049999999999E-2</v>
      </c>
      <c r="S1649">
        <v>-2.9992679999999998</v>
      </c>
      <c r="T1649">
        <v>-0.122117</v>
      </c>
      <c r="U1649">
        <v>8.203125E-2</v>
      </c>
      <c r="V1649">
        <v>2.1486000000000002E-2</v>
      </c>
      <c r="W1649">
        <v>1.5017249999999999E-2</v>
      </c>
      <c r="X1649">
        <v>0.9996564</v>
      </c>
      <c r="Y1649">
        <v>2.4762220000000001E-2</v>
      </c>
      <c r="Z1649">
        <v>3.9961420000000003E-4</v>
      </c>
      <c r="AA1649">
        <v>0.99969330000000001</v>
      </c>
      <c r="AB1649">
        <v>31</v>
      </c>
      <c r="AC1649">
        <v>-27.0992</v>
      </c>
      <c r="AD1649">
        <v>-1.110520048633</v>
      </c>
      <c r="AE1649">
        <v>0.74589999999994905</v>
      </c>
      <c r="AF1649">
        <v>0.67537753240676202</v>
      </c>
      <c r="AG1649">
        <v>-1.110520048633</v>
      </c>
      <c r="AH1649">
        <v>27.0556197063787</v>
      </c>
      <c r="AI1649">
        <v>92.349701623527096</v>
      </c>
      <c r="AJ1649">
        <v>88.570047627392498</v>
      </c>
      <c r="AK1649">
        <v>27.086822391817801</v>
      </c>
      <c r="AL1649">
        <v>89.139542647796603</v>
      </c>
      <c r="AM1649">
        <v>88.768709326061</v>
      </c>
      <c r="AN1649">
        <v>1.0000000420272599</v>
      </c>
    </row>
    <row r="1650" spans="1:40" x14ac:dyDescent="0.25">
      <c r="A1650" t="str">
        <f>"20190312160329077"</f>
        <v>20190312160329077</v>
      </c>
      <c r="B1650" t="str">
        <f>"1552377809066630"</f>
        <v>1552377809066630</v>
      </c>
      <c r="C1650" t="s">
        <v>40</v>
      </c>
      <c r="D1650">
        <v>5.9140620000000004</v>
      </c>
      <c r="E1650">
        <v>0.50136720000000001</v>
      </c>
      <c r="F1650" t="s">
        <v>70</v>
      </c>
      <c r="G1650">
        <v>-256.42579999999998</v>
      </c>
      <c r="H1650" s="1">
        <v>1.882671E-6</v>
      </c>
      <c r="I1650">
        <v>283.31709999999998</v>
      </c>
      <c r="J1650">
        <v>-229.72620000000001</v>
      </c>
      <c r="K1650">
        <v>1.110501</v>
      </c>
      <c r="L1650">
        <v>282.5933</v>
      </c>
      <c r="M1650">
        <v>-0.99991980000000003</v>
      </c>
      <c r="N1650">
        <v>0</v>
      </c>
      <c r="O1650">
        <v>2.0011540000000002E-3</v>
      </c>
      <c r="P1650">
        <v>-0.99970199999999998</v>
      </c>
      <c r="Q1650">
        <v>1.23894E-3</v>
      </c>
      <c r="R1650">
        <v>2.4386629999999999E-2</v>
      </c>
      <c r="S1650">
        <v>-2.9992679999999998</v>
      </c>
      <c r="T1650">
        <v>-0.1234975</v>
      </c>
      <c r="U1650">
        <v>8.0505370000000007E-2</v>
      </c>
      <c r="V1650">
        <v>2.2367930000000001E-2</v>
      </c>
      <c r="W1650">
        <v>1.377712E-2</v>
      </c>
      <c r="X1650">
        <v>0.99965490000000001</v>
      </c>
      <c r="Y1650">
        <v>2.481206E-2</v>
      </c>
      <c r="Z1650">
        <v>4.2816579999999999E-4</v>
      </c>
      <c r="AA1650">
        <v>0.99969200000000003</v>
      </c>
      <c r="AB1650">
        <v>31</v>
      </c>
      <c r="AC1650">
        <v>-26.699599999999901</v>
      </c>
      <c r="AD1650">
        <v>-1.110499117329</v>
      </c>
      <c r="AE1650">
        <v>0.72379999999998201</v>
      </c>
      <c r="AF1650">
        <v>0.66920753298261804</v>
      </c>
      <c r="AG1650">
        <v>-1.110499117329</v>
      </c>
      <c r="AH1650">
        <v>26.654917969454601</v>
      </c>
      <c r="AI1650">
        <v>92.384930585618406</v>
      </c>
      <c r="AJ1650">
        <v>88.561814590161504</v>
      </c>
      <c r="AK1650">
        <v>26.686432863351001</v>
      </c>
      <c r="AL1650">
        <v>89.210604217094399</v>
      </c>
      <c r="AM1650">
        <v>88.718183479577803</v>
      </c>
      <c r="AN1650">
        <v>1.00000002621099</v>
      </c>
    </row>
    <row r="1651" spans="1:40" x14ac:dyDescent="0.25">
      <c r="A1651" t="str">
        <f>"20190312160329092"</f>
        <v>20190312160329092</v>
      </c>
      <c r="B1651" t="str">
        <f>"1552377809086151"</f>
        <v>1552377809086151</v>
      </c>
      <c r="C1651" t="s">
        <v>40</v>
      </c>
      <c r="D1651">
        <v>5.7804349999999998</v>
      </c>
      <c r="E1651">
        <v>0.50112939999999995</v>
      </c>
      <c r="F1651" t="s">
        <v>70</v>
      </c>
      <c r="G1651">
        <v>-255.7296</v>
      </c>
      <c r="H1651" s="1">
        <v>1.512243E-6</v>
      </c>
      <c r="I1651">
        <v>283.29289999999997</v>
      </c>
      <c r="J1651">
        <v>-229.94300000000001</v>
      </c>
      <c r="K1651">
        <v>1.110482</v>
      </c>
      <c r="L1651">
        <v>282.5933</v>
      </c>
      <c r="M1651">
        <v>-0.99992049999999999</v>
      </c>
      <c r="N1651">
        <v>0</v>
      </c>
      <c r="O1651">
        <v>1.57211E-3</v>
      </c>
      <c r="P1651">
        <v>-0.99969770000000002</v>
      </c>
      <c r="Q1651">
        <v>8.9986530000000001E-4</v>
      </c>
      <c r="R1651">
        <v>2.4579150000000001E-2</v>
      </c>
      <c r="S1651">
        <v>-2.9990839999999999</v>
      </c>
      <c r="T1651">
        <v>-0.12807830000000001</v>
      </c>
      <c r="U1651">
        <v>8.0688480000000007E-2</v>
      </c>
      <c r="V1651">
        <v>2.299035E-2</v>
      </c>
      <c r="W1651">
        <v>1.3437650000000001E-2</v>
      </c>
      <c r="X1651">
        <v>0.99964540000000002</v>
      </c>
      <c r="Y1651">
        <v>2.530133E-2</v>
      </c>
      <c r="Z1651">
        <v>4.7281279999999997E-4</v>
      </c>
      <c r="AA1651">
        <v>0.99967969999999895</v>
      </c>
      <c r="AB1651">
        <v>31</v>
      </c>
      <c r="AC1651">
        <v>-25.7866</v>
      </c>
      <c r="AD1651">
        <v>-1.110480487757</v>
      </c>
      <c r="AE1651">
        <v>0.69959999999997502</v>
      </c>
      <c r="AF1651">
        <v>0.65783750895493998</v>
      </c>
      <c r="AG1651">
        <v>-1.110480487757</v>
      </c>
      <c r="AH1651">
        <v>25.739967649356998</v>
      </c>
      <c r="AI1651">
        <v>92.469532408374207</v>
      </c>
      <c r="AJ1651">
        <v>88.536007876476802</v>
      </c>
      <c r="AK1651">
        <v>25.772307845666901</v>
      </c>
      <c r="AL1651">
        <v>89.230056215888297</v>
      </c>
      <c r="AM1651">
        <v>88.682514966499696</v>
      </c>
      <c r="AN1651">
        <v>1.0000000261858999</v>
      </c>
    </row>
    <row r="1652" spans="1:40" x14ac:dyDescent="0.25">
      <c r="A1652" t="str">
        <f>"20190312160329111"</f>
        <v>20190312160329111</v>
      </c>
      <c r="B1652" t="str">
        <f>"1552377809106646"</f>
        <v>1552377809106646</v>
      </c>
      <c r="C1652" t="s">
        <v>40</v>
      </c>
      <c r="D1652">
        <v>5.8800530000000002</v>
      </c>
      <c r="E1652">
        <v>0.50090619999999997</v>
      </c>
      <c r="F1652" t="s">
        <v>70</v>
      </c>
      <c r="G1652">
        <v>-255.76410000000001</v>
      </c>
      <c r="H1652" s="1">
        <v>1.5305490000000001E-6</v>
      </c>
      <c r="I1652">
        <v>283.27769999999998</v>
      </c>
      <c r="J1652">
        <v>-230.197</v>
      </c>
      <c r="K1652">
        <v>1.1104459999999901</v>
      </c>
      <c r="L1652">
        <v>282.59320000000002</v>
      </c>
      <c r="M1652">
        <v>-0.99992119999999995</v>
      </c>
      <c r="N1652">
        <v>0</v>
      </c>
      <c r="O1652">
        <v>1.0945639999999999E-3</v>
      </c>
      <c r="P1652">
        <v>-0.99967709999999999</v>
      </c>
      <c r="Q1652">
        <v>-3.86592E-4</v>
      </c>
      <c r="R1652">
        <v>2.5407099999999998E-2</v>
      </c>
      <c r="S1652">
        <v>-2.999069</v>
      </c>
      <c r="T1652">
        <v>-0.12898019999999999</v>
      </c>
      <c r="U1652">
        <v>7.9498289999999999E-2</v>
      </c>
      <c r="V1652">
        <v>2.4297969999999999E-2</v>
      </c>
      <c r="W1652">
        <v>1.2150289999999999E-2</v>
      </c>
      <c r="X1652">
        <v>0.99963089999999999</v>
      </c>
      <c r="Y1652">
        <v>2.5381629999999999E-2</v>
      </c>
      <c r="Z1652">
        <v>4.9839549999999995E-4</v>
      </c>
      <c r="AA1652">
        <v>0.9996777</v>
      </c>
      <c r="AB1652">
        <v>31</v>
      </c>
      <c r="AC1652">
        <v>-25.5671</v>
      </c>
      <c r="AD1652">
        <v>-1.1104444694509901</v>
      </c>
      <c r="AE1652">
        <v>0.68449999999995703</v>
      </c>
      <c r="AF1652">
        <v>0.65527735286504796</v>
      </c>
      <c r="AG1652">
        <v>-1.1104444694509901</v>
      </c>
      <c r="AH1652">
        <v>25.519728371685201</v>
      </c>
      <c r="AI1652">
        <v>92.490729789749395</v>
      </c>
      <c r="AJ1652">
        <v>88.529123112112202</v>
      </c>
      <c r="AK1652">
        <v>25.552279966639102</v>
      </c>
      <c r="AL1652">
        <v>89.303822518105406</v>
      </c>
      <c r="AM1652">
        <v>88.607589009837397</v>
      </c>
      <c r="AN1652">
        <v>0.99999997856400702</v>
      </c>
    </row>
    <row r="1653" spans="1:40" x14ac:dyDescent="0.25">
      <c r="A1653" t="str">
        <f>"20190312160329132"</f>
        <v>20190312160329132</v>
      </c>
      <c r="B1653" t="str">
        <f>"1552377809126167"</f>
        <v>1552377809126167</v>
      </c>
      <c r="C1653" t="s">
        <v>40</v>
      </c>
      <c r="D1653">
        <v>5.8577219999999999</v>
      </c>
      <c r="E1653">
        <v>0.50066379999999999</v>
      </c>
      <c r="F1653" t="s">
        <v>70</v>
      </c>
      <c r="G1653">
        <v>-255.29060000000001</v>
      </c>
      <c r="H1653" s="1">
        <v>1.278604E-6</v>
      </c>
      <c r="I1653">
        <v>283.26400000000001</v>
      </c>
      <c r="J1653">
        <v>-230.50739999999999</v>
      </c>
      <c r="K1653">
        <v>1.1104069999999999</v>
      </c>
      <c r="L1653">
        <v>282.59289999999999</v>
      </c>
      <c r="M1653">
        <v>-0.99992159999999997</v>
      </c>
      <c r="N1653">
        <v>0</v>
      </c>
      <c r="O1653">
        <v>5.6217409999999995E-4</v>
      </c>
      <c r="P1653">
        <v>-0.99967819999999996</v>
      </c>
      <c r="Q1653">
        <v>-8.8971199999999997E-4</v>
      </c>
      <c r="R1653">
        <v>2.5359179999999999E-2</v>
      </c>
      <c r="S1653">
        <v>-2.9988709999999998</v>
      </c>
      <c r="T1653">
        <v>-0.13270650000000001</v>
      </c>
      <c r="U1653">
        <v>8.0169679999999993E-2</v>
      </c>
      <c r="V1653">
        <v>2.47841E-2</v>
      </c>
      <c r="W1653">
        <v>1.1644399999999999E-2</v>
      </c>
      <c r="X1653">
        <v>0.99962499999999999</v>
      </c>
      <c r="Y1653">
        <v>2.613671E-2</v>
      </c>
      <c r="Z1653">
        <v>5.5305440000000001E-4</v>
      </c>
      <c r="AA1653">
        <v>0.99965820000000005</v>
      </c>
      <c r="AB1653">
        <v>31</v>
      </c>
      <c r="AC1653">
        <v>-24.783200000000001</v>
      </c>
      <c r="AD1653">
        <v>-1.1104057213959999</v>
      </c>
      <c r="AE1653">
        <v>0.67110000000002401</v>
      </c>
      <c r="AF1653">
        <v>0.65585069605138202</v>
      </c>
      <c r="AG1653">
        <v>-1.1104057213959999</v>
      </c>
      <c r="AH1653">
        <v>24.733957143441401</v>
      </c>
      <c r="AI1653">
        <v>92.569607462305996</v>
      </c>
      <c r="AJ1653">
        <v>88.481089243128693</v>
      </c>
      <c r="AK1653">
        <v>24.767554925248799</v>
      </c>
      <c r="AL1653">
        <v>89.332809941605902</v>
      </c>
      <c r="AM1653">
        <v>88.579733932854893</v>
      </c>
      <c r="AN1653">
        <v>0.99999999214458402</v>
      </c>
    </row>
    <row r="1654" spans="1:40" x14ac:dyDescent="0.25">
      <c r="A1654" t="str">
        <f>"20190312160329145"</f>
        <v>20190312160329145</v>
      </c>
      <c r="B1654" t="str">
        <f>"1552377809135927"</f>
        <v>1552377809135927</v>
      </c>
      <c r="C1654" t="s">
        <v>40</v>
      </c>
      <c r="D1654">
        <v>5.8656499999999996</v>
      </c>
      <c r="E1654">
        <v>0.50055850000000002</v>
      </c>
      <c r="F1654" t="s">
        <v>70</v>
      </c>
      <c r="G1654">
        <v>-255.3357</v>
      </c>
      <c r="H1654" s="1">
        <v>1.3026109999999999E-6</v>
      </c>
      <c r="I1654">
        <v>283.2364</v>
      </c>
      <c r="J1654">
        <v>-230.68459999999999</v>
      </c>
      <c r="K1654">
        <v>1.1103829999999999</v>
      </c>
      <c r="L1654">
        <v>282.59269999999998</v>
      </c>
      <c r="M1654">
        <v>-0.99992170000000002</v>
      </c>
      <c r="N1654">
        <v>0</v>
      </c>
      <c r="O1654">
        <v>2.8198470000000001E-4</v>
      </c>
      <c r="P1654">
        <v>-0.99966889999999997</v>
      </c>
      <c r="Q1654">
        <v>-1.028291E-3</v>
      </c>
      <c r="R1654">
        <v>2.5706710000000001E-2</v>
      </c>
      <c r="S1654">
        <v>-2.9988709999999998</v>
      </c>
      <c r="T1654">
        <v>-0.13411970000000001</v>
      </c>
      <c r="U1654">
        <v>7.7728270000000002E-2</v>
      </c>
      <c r="V1654">
        <v>2.5412480000000001E-2</v>
      </c>
      <c r="W1654">
        <v>1.150374E-2</v>
      </c>
      <c r="X1654">
        <v>0.99961080000000002</v>
      </c>
      <c r="Y1654">
        <v>2.5603270000000001E-2</v>
      </c>
      <c r="Z1654">
        <v>5.5954710000000001E-4</v>
      </c>
      <c r="AA1654">
        <v>0.99967209999999995</v>
      </c>
      <c r="AB1654">
        <v>31</v>
      </c>
      <c r="AC1654">
        <v>-24.6511</v>
      </c>
      <c r="AD1654">
        <v>-1.1103816973889999</v>
      </c>
      <c r="AE1654">
        <v>0.64370000000002303</v>
      </c>
      <c r="AF1654">
        <v>0.63545975788315301</v>
      </c>
      <c r="AG1654">
        <v>-1.1103816973889999</v>
      </c>
      <c r="AH1654">
        <v>24.6013994766286</v>
      </c>
      <c r="AI1654">
        <v>92.583424826218305</v>
      </c>
      <c r="AJ1654">
        <v>88.520365963497596</v>
      </c>
      <c r="AK1654">
        <v>24.634642534984099</v>
      </c>
      <c r="AL1654">
        <v>89.340869672051994</v>
      </c>
      <c r="AM1654">
        <v>88.543718918397303</v>
      </c>
      <c r="AN1654">
        <v>0.99999994082518695</v>
      </c>
    </row>
    <row r="1655" spans="1:40" x14ac:dyDescent="0.25">
      <c r="A1655" t="str">
        <f>"20190312160329157"</f>
        <v>20190312160329157</v>
      </c>
      <c r="B1655" t="str">
        <f>"1552377809145687"</f>
        <v>1552377809145687</v>
      </c>
      <c r="C1655" t="s">
        <v>40</v>
      </c>
      <c r="D1655">
        <v>5.9347009999999996</v>
      </c>
      <c r="E1655">
        <v>0.50050859999999997</v>
      </c>
      <c r="F1655" t="s">
        <v>70</v>
      </c>
      <c r="G1655">
        <v>-255.45429999999999</v>
      </c>
      <c r="H1655" s="1">
        <v>1.3657009999999999E-6</v>
      </c>
      <c r="I1655">
        <v>283.2362</v>
      </c>
      <c r="J1655">
        <v>-230.84020000000001</v>
      </c>
      <c r="K1655">
        <v>1.110355</v>
      </c>
      <c r="L1655">
        <v>282.59249999999997</v>
      </c>
      <c r="M1655">
        <v>-0.99992179999999997</v>
      </c>
      <c r="N1655">
        <v>0</v>
      </c>
      <c r="O1655" s="1">
        <v>6.6366910000000004E-5</v>
      </c>
      <c r="P1655">
        <v>-0.99966940000000004</v>
      </c>
      <c r="Q1655">
        <v>-1.4043949999999999E-3</v>
      </c>
      <c r="R1655">
        <v>2.5675549999999998E-2</v>
      </c>
      <c r="S1655">
        <v>-2.99884</v>
      </c>
      <c r="T1655">
        <v>-0.13443279999999999</v>
      </c>
      <c r="U1655">
        <v>7.7911380000000002E-2</v>
      </c>
      <c r="V1655">
        <v>2.559821E-2</v>
      </c>
      <c r="W1655">
        <v>1.1125639999999999E-2</v>
      </c>
      <c r="X1655">
        <v>0.99961040000000001</v>
      </c>
      <c r="Y1655">
        <v>2.587948E-2</v>
      </c>
      <c r="Z1655">
        <v>5.7670379999999997E-4</v>
      </c>
      <c r="AA1655">
        <v>0.99966489999999997</v>
      </c>
      <c r="AB1655">
        <v>31</v>
      </c>
      <c r="AC1655">
        <v>-24.614099999999901</v>
      </c>
      <c r="AD1655">
        <v>-1.1103536342989999</v>
      </c>
      <c r="AE1655">
        <v>0.64370000000002303</v>
      </c>
      <c r="AF1655">
        <v>0.64076327608055095</v>
      </c>
      <c r="AG1655">
        <v>-1.1103536342989999</v>
      </c>
      <c r="AH1655">
        <v>24.564189822739198</v>
      </c>
      <c r="AI1655">
        <v>92.587250470469897</v>
      </c>
      <c r="AJ1655">
        <v>88.505763551144696</v>
      </c>
      <c r="AK1655">
        <v>24.5976194867864</v>
      </c>
      <c r="AL1655">
        <v>89.362534632263305</v>
      </c>
      <c r="AM1655">
        <v>88.533079569402602</v>
      </c>
      <c r="AN1655">
        <v>1.0000000000043801</v>
      </c>
    </row>
    <row r="1656" spans="1:40" x14ac:dyDescent="0.25">
      <c r="A1656" t="str">
        <f>"20190312160329170"</f>
        <v>20190312160329170</v>
      </c>
      <c r="B1656" t="str">
        <f>"1552377809166183"</f>
        <v>1552377809166183</v>
      </c>
      <c r="C1656" t="s">
        <v>40</v>
      </c>
      <c r="D1656">
        <v>5.9506519999999998</v>
      </c>
      <c r="E1656">
        <v>0.50073239999999997</v>
      </c>
      <c r="F1656" t="s">
        <v>70</v>
      </c>
      <c r="G1656">
        <v>-255.06020000000001</v>
      </c>
      <c r="H1656" s="1">
        <v>1.1560199999999999E-6</v>
      </c>
      <c r="I1656">
        <v>283.21780000000001</v>
      </c>
      <c r="J1656">
        <v>-231.01390000000001</v>
      </c>
      <c r="K1656">
        <v>1.11032</v>
      </c>
      <c r="L1656">
        <v>282.59219999999999</v>
      </c>
      <c r="M1656">
        <v>-0.99992170000000002</v>
      </c>
      <c r="N1656">
        <v>0</v>
      </c>
      <c r="O1656">
        <v>-1.5988809999999999E-4</v>
      </c>
      <c r="P1656">
        <v>-0.99966560000000004</v>
      </c>
      <c r="Q1656">
        <v>-1.7751189999999999E-3</v>
      </c>
      <c r="R1656">
        <v>2.5798249999999998E-2</v>
      </c>
      <c r="S1656">
        <v>-2.9987949999999999</v>
      </c>
      <c r="T1656">
        <v>-0.13747799999999999</v>
      </c>
      <c r="U1656">
        <v>7.7423099999999995E-2</v>
      </c>
      <c r="V1656">
        <v>2.5948260000000001E-2</v>
      </c>
      <c r="W1656">
        <v>1.075277E-2</v>
      </c>
      <c r="X1656">
        <v>0.99960550000000004</v>
      </c>
      <c r="Y1656">
        <v>2.594192E-2</v>
      </c>
      <c r="Z1656">
        <v>6.0156070000000003E-4</v>
      </c>
      <c r="AA1656">
        <v>0.99966330000000003</v>
      </c>
      <c r="AB1656">
        <v>31</v>
      </c>
      <c r="AC1656">
        <v>-24.046299999999999</v>
      </c>
      <c r="AD1656">
        <v>-1.11031884397999</v>
      </c>
      <c r="AE1656">
        <v>0.62560000000001903</v>
      </c>
      <c r="AF1656">
        <v>0.62810675636614099</v>
      </c>
      <c r="AG1656">
        <v>-1.11031884397999</v>
      </c>
      <c r="AH1656">
        <v>23.995075383803801</v>
      </c>
      <c r="AI1656">
        <v>92.648439259677303</v>
      </c>
      <c r="AJ1656">
        <v>88.500540244365297</v>
      </c>
      <c r="AK1656">
        <v>24.0289610409421</v>
      </c>
      <c r="AL1656">
        <v>89.383899815764906</v>
      </c>
      <c r="AM1656">
        <v>88.513021408583199</v>
      </c>
      <c r="AN1656">
        <v>1.00000004494497</v>
      </c>
    </row>
    <row r="1657" spans="1:40" x14ac:dyDescent="0.25">
      <c r="A1657" t="str">
        <f>"20190312160329188"</f>
        <v>20190312160329188</v>
      </c>
      <c r="B1657" t="str">
        <f>"1552377809175943"</f>
        <v>1552377809175943</v>
      </c>
      <c r="C1657" t="s">
        <v>40</v>
      </c>
      <c r="D1657">
        <v>5.90177</v>
      </c>
      <c r="E1657">
        <v>0.50073239999999997</v>
      </c>
      <c r="F1657" t="s">
        <v>70</v>
      </c>
      <c r="G1657">
        <v>-254.69059999999999</v>
      </c>
      <c r="H1657" s="1">
        <v>9.5931549999999997E-7</v>
      </c>
      <c r="I1657">
        <v>283.22089999999997</v>
      </c>
      <c r="J1657">
        <v>-231.2807</v>
      </c>
      <c r="K1657">
        <v>1.110244</v>
      </c>
      <c r="L1657">
        <v>282.59190000000001</v>
      </c>
      <c r="M1657">
        <v>-0.99992170000000002</v>
      </c>
      <c r="N1657">
        <v>0</v>
      </c>
      <c r="O1657">
        <v>-4.3325820000000002E-4</v>
      </c>
      <c r="P1657">
        <v>-0.9996678</v>
      </c>
      <c r="Q1657">
        <v>-1.9927249999999999E-3</v>
      </c>
      <c r="R1657">
        <v>2.5697500000000002E-2</v>
      </c>
      <c r="S1657">
        <v>-2.9987180000000002</v>
      </c>
      <c r="T1657">
        <v>-0.14062479999999999</v>
      </c>
      <c r="U1657">
        <v>7.9620360000000001E-2</v>
      </c>
      <c r="V1657">
        <v>2.61225E-2</v>
      </c>
      <c r="W1657">
        <v>1.0530100000000001E-2</v>
      </c>
      <c r="X1657">
        <v>0.99960329999999997</v>
      </c>
      <c r="Y1657">
        <v>2.6945190000000001E-2</v>
      </c>
      <c r="Z1657">
        <v>6.5164330000000003E-4</v>
      </c>
      <c r="AA1657">
        <v>0.99963670000000004</v>
      </c>
      <c r="AB1657">
        <v>31</v>
      </c>
      <c r="AC1657">
        <v>-23.4099</v>
      </c>
      <c r="AD1657">
        <v>-1.1102430406845001</v>
      </c>
      <c r="AE1657">
        <v>0.62899999999996203</v>
      </c>
      <c r="AF1657">
        <v>0.63770993347705895</v>
      </c>
      <c r="AG1657">
        <v>-1.1102430406845001</v>
      </c>
      <c r="AH1657">
        <v>23.3571272318122</v>
      </c>
      <c r="AI1657">
        <v>92.720401062015995</v>
      </c>
      <c r="AJ1657">
        <v>88.436065678711302</v>
      </c>
      <c r="AK1657">
        <v>23.392193272365599</v>
      </c>
      <c r="AL1657">
        <v>89.396658569404494</v>
      </c>
      <c r="AM1657">
        <v>88.503037729390996</v>
      </c>
      <c r="AN1657">
        <v>1.00000001269157</v>
      </c>
    </row>
    <row r="1658" spans="1:40" x14ac:dyDescent="0.25">
      <c r="A1658" t="str">
        <f>"20190312160329211"</f>
        <v>20190312160329211</v>
      </c>
      <c r="B1658" t="str">
        <f>"1552377809206198"</f>
        <v>1552377809206198</v>
      </c>
      <c r="C1658" t="s">
        <v>40</v>
      </c>
      <c r="D1658">
        <v>5.941827</v>
      </c>
      <c r="E1658">
        <v>0.5248294</v>
      </c>
      <c r="F1658" t="s">
        <v>70</v>
      </c>
      <c r="G1658">
        <v>-254.84549999999999</v>
      </c>
      <c r="H1658" s="1">
        <v>1.0417229999999999E-6</v>
      </c>
      <c r="I1658">
        <v>283.21660000000003</v>
      </c>
      <c r="J1658">
        <v>-231.58150000000001</v>
      </c>
      <c r="K1658">
        <v>1.1101540000000001</v>
      </c>
      <c r="L1658">
        <v>282.59140000000002</v>
      </c>
      <c r="M1658">
        <v>-0.99992170000000002</v>
      </c>
      <c r="N1658">
        <v>0</v>
      </c>
      <c r="O1658">
        <v>-6.4195669999999997E-4</v>
      </c>
      <c r="P1658">
        <v>-0.99965389999999998</v>
      </c>
      <c r="Q1658">
        <v>-2.4318360000000002E-3</v>
      </c>
      <c r="R1658">
        <v>2.6203230000000001E-2</v>
      </c>
      <c r="S1658">
        <v>-2.998672</v>
      </c>
      <c r="T1658">
        <v>-0.14128109999999999</v>
      </c>
      <c r="U1658">
        <v>7.9498289999999999E-2</v>
      </c>
      <c r="V1658">
        <v>2.68393E-2</v>
      </c>
      <c r="W1658">
        <v>1.008476E-2</v>
      </c>
      <c r="X1658">
        <v>0.9995889</v>
      </c>
      <c r="Y1658">
        <v>2.7112859999999999E-2</v>
      </c>
      <c r="Z1658">
        <v>6.6846519999999999E-4</v>
      </c>
      <c r="AA1658">
        <v>0.99963219999999997</v>
      </c>
      <c r="AB1658">
        <v>31</v>
      </c>
      <c r="AC1658">
        <v>-23.2639999999999</v>
      </c>
      <c r="AD1658">
        <v>-1.110152958277</v>
      </c>
      <c r="AE1658">
        <v>0.62520000000000597</v>
      </c>
      <c r="AF1658">
        <v>0.63868217523172</v>
      </c>
      <c r="AG1658">
        <v>-1.110152958277</v>
      </c>
      <c r="AH1658">
        <v>23.210776911981</v>
      </c>
      <c r="AI1658">
        <v>92.737290125393002</v>
      </c>
      <c r="AJ1658">
        <v>88.423811422465107</v>
      </c>
      <c r="AK1658">
        <v>23.246086108622301</v>
      </c>
      <c r="AL1658">
        <v>89.422176025577798</v>
      </c>
      <c r="AM1658">
        <v>88.461958485319599</v>
      </c>
      <c r="AN1658">
        <v>1.00000000970597</v>
      </c>
    </row>
    <row r="1659" spans="1:40" x14ac:dyDescent="0.25">
      <c r="A1659" t="str">
        <f>"20190312160329233"</f>
        <v>20190312160329233</v>
      </c>
      <c r="B1659" t="str">
        <f>"1552377809225720"</f>
        <v>1552377809225720</v>
      </c>
      <c r="C1659" t="s">
        <v>40</v>
      </c>
      <c r="D1659">
        <v>5.8199519999999998</v>
      </c>
      <c r="E1659">
        <v>0.52382649999999997</v>
      </c>
      <c r="F1659" t="s">
        <v>49</v>
      </c>
      <c r="G1659">
        <v>-232.511</v>
      </c>
      <c r="H1659">
        <v>0.96569490000000002</v>
      </c>
      <c r="I1659">
        <v>282.67380000000003</v>
      </c>
      <c r="J1659">
        <v>-231.9085</v>
      </c>
      <c r="K1659">
        <v>1.110061</v>
      </c>
      <c r="L1659">
        <v>282.59100000000001</v>
      </c>
      <c r="M1659">
        <v>-0.99992170000000002</v>
      </c>
      <c r="N1659">
        <v>0</v>
      </c>
      <c r="O1659">
        <v>-7.6319129999999997E-4</v>
      </c>
      <c r="P1659">
        <v>-0.99962810000000002</v>
      </c>
      <c r="Q1659">
        <v>-3.238477E-3</v>
      </c>
      <c r="R1659">
        <v>2.7088770000000002E-2</v>
      </c>
      <c r="S1659">
        <v>-2.9929809999999999</v>
      </c>
      <c r="T1659">
        <v>-0.46522920000000001</v>
      </c>
      <c r="U1659">
        <v>0.264679</v>
      </c>
      <c r="V1659">
        <v>2.7848540000000001E-2</v>
      </c>
      <c r="W1659">
        <v>9.2713150000000005E-3</v>
      </c>
      <c r="X1659">
        <v>0.99956920000000005</v>
      </c>
      <c r="Y1659">
        <v>8.7794419999999998E-2</v>
      </c>
      <c r="Z1659">
        <v>6.8873919999999896E-3</v>
      </c>
      <c r="AA1659">
        <v>0.99611479999999997</v>
      </c>
      <c r="AB1659">
        <v>31</v>
      </c>
      <c r="AC1659">
        <v>-0.60249999999999204</v>
      </c>
      <c r="AD1659">
        <v>-0.144366099999999</v>
      </c>
      <c r="AE1659">
        <v>8.2800000000020094E-2</v>
      </c>
      <c r="AF1659">
        <v>7.8818448593245799E-2</v>
      </c>
      <c r="AG1659">
        <v>-0.144366099999999</v>
      </c>
      <c r="AH1659">
        <v>0.57030044102065902</v>
      </c>
      <c r="AI1659">
        <v>104.07705495688199</v>
      </c>
      <c r="AJ1659">
        <v>82.131275756200793</v>
      </c>
      <c r="AK1659">
        <v>0.59354571154732005</v>
      </c>
      <c r="AL1659">
        <v>89.468785191806205</v>
      </c>
      <c r="AM1659">
        <v>88.404121336820296</v>
      </c>
      <c r="AN1659">
        <v>1.0000000420252899</v>
      </c>
    </row>
    <row r="1660" spans="1:40" x14ac:dyDescent="0.25">
      <c r="A1660" t="str">
        <f>"20190312160329246"</f>
        <v>20190312160329246</v>
      </c>
      <c r="B1660" t="str">
        <f>"1552377809236455"</f>
        <v>1552377809236455</v>
      </c>
      <c r="C1660" t="s">
        <v>40</v>
      </c>
      <c r="D1660">
        <v>5.8269010000000003</v>
      </c>
      <c r="E1660">
        <v>0.5236073</v>
      </c>
      <c r="F1660" t="s">
        <v>49</v>
      </c>
      <c r="G1660">
        <v>-232.7971</v>
      </c>
      <c r="H1660">
        <v>0.98076960000000002</v>
      </c>
      <c r="I1660">
        <v>282.66829999999999</v>
      </c>
      <c r="J1660">
        <v>-232.0822</v>
      </c>
      <c r="K1660">
        <v>1.110012</v>
      </c>
      <c r="L1660">
        <v>282.5908</v>
      </c>
      <c r="M1660">
        <v>-0.99992159999999997</v>
      </c>
      <c r="N1660">
        <v>0</v>
      </c>
      <c r="O1660">
        <v>-7.9324949999999995E-4</v>
      </c>
      <c r="P1660">
        <v>-0.99960320000000003</v>
      </c>
      <c r="Q1660">
        <v>-3.9410570000000004E-3</v>
      </c>
      <c r="R1660">
        <v>2.7896529999999999E-2</v>
      </c>
      <c r="S1660">
        <v>-2.992645</v>
      </c>
      <c r="T1660">
        <v>-0.43557499999999999</v>
      </c>
      <c r="U1660">
        <v>0.26016240000000002</v>
      </c>
      <c r="V1660">
        <v>2.8687529999999999E-2</v>
      </c>
      <c r="W1660">
        <v>8.5651459999999992E-3</v>
      </c>
      <c r="X1660">
        <v>0.99955170000000004</v>
      </c>
      <c r="Y1660">
        <v>8.6484809999999995E-2</v>
      </c>
      <c r="Z1660">
        <v>6.3639300000000003E-3</v>
      </c>
      <c r="AA1660">
        <v>0.99623289999999998</v>
      </c>
      <c r="AB1660">
        <v>31</v>
      </c>
      <c r="AC1660">
        <v>-0.71489999999999998</v>
      </c>
      <c r="AD1660">
        <v>-0.12924239999999901</v>
      </c>
      <c r="AE1660">
        <v>7.7499999999986302E-2</v>
      </c>
      <c r="AF1660">
        <v>7.5624211051442305E-2</v>
      </c>
      <c r="AG1660">
        <v>-0.12924239999999901</v>
      </c>
      <c r="AH1660">
        <v>0.692469328273288</v>
      </c>
      <c r="AI1660">
        <v>100.510951039299</v>
      </c>
      <c r="AJ1660">
        <v>83.767457651349901</v>
      </c>
      <c r="AK1660">
        <v>0.70847469245850403</v>
      </c>
      <c r="AL1660">
        <v>89.509247267310499</v>
      </c>
      <c r="AM1660">
        <v>88.356039701213206</v>
      </c>
      <c r="AN1660">
        <v>0.99999996853819495</v>
      </c>
    </row>
    <row r="1661" spans="1:40" x14ac:dyDescent="0.25">
      <c r="A1661" t="str">
        <f>"20190312160329258"</f>
        <v>20190312160329258</v>
      </c>
      <c r="B1661" t="str">
        <f>"1552377809246214"</f>
        <v>1552377809246214</v>
      </c>
      <c r="C1661" t="s">
        <v>40</v>
      </c>
      <c r="D1661">
        <v>5.8187870000000004</v>
      </c>
      <c r="E1661">
        <v>0.52338589999999996</v>
      </c>
      <c r="F1661" t="s">
        <v>49</v>
      </c>
      <c r="G1661">
        <v>-232.80930000000001</v>
      </c>
      <c r="H1661">
        <v>1.005636</v>
      </c>
      <c r="I1661">
        <v>282.65429999999998</v>
      </c>
      <c r="J1661">
        <v>-232.25399999999999</v>
      </c>
      <c r="K1661">
        <v>1.109966</v>
      </c>
      <c r="L1661">
        <v>282.59059999999999</v>
      </c>
      <c r="M1661">
        <v>-0.99992159999999997</v>
      </c>
      <c r="N1661">
        <v>0</v>
      </c>
      <c r="O1661">
        <v>-7.7219249999999995E-4</v>
      </c>
      <c r="P1661">
        <v>-0.99958320000000001</v>
      </c>
      <c r="Q1661">
        <v>-4.3849529999999996E-3</v>
      </c>
      <c r="R1661">
        <v>2.8538190000000001E-2</v>
      </c>
      <c r="S1661">
        <v>-2.9922179999999998</v>
      </c>
      <c r="T1661">
        <v>-0.42967749999999999</v>
      </c>
      <c r="U1661">
        <v>0.26095580000000002</v>
      </c>
      <c r="V1661">
        <v>2.930899E-2</v>
      </c>
      <c r="W1661">
        <v>8.1178889999999997E-3</v>
      </c>
      <c r="X1661">
        <v>0.99953740000000002</v>
      </c>
      <c r="Y1661">
        <v>8.6759870000000003E-2</v>
      </c>
      <c r="Z1661">
        <v>6.2960619999999998E-3</v>
      </c>
      <c r="AA1661">
        <v>0.99620940000000002</v>
      </c>
      <c r="AB1661">
        <v>31</v>
      </c>
      <c r="AC1661">
        <v>-0.55529999999998803</v>
      </c>
      <c r="AD1661">
        <v>-0.10433000000000001</v>
      </c>
      <c r="AE1661">
        <v>6.3699999999982895E-2</v>
      </c>
      <c r="AF1661">
        <v>6.1969750559745497E-2</v>
      </c>
      <c r="AG1661">
        <v>-0.10433000000000001</v>
      </c>
      <c r="AH1661">
        <v>0.53655669224778102</v>
      </c>
      <c r="AI1661">
        <v>100.93258668172</v>
      </c>
      <c r="AJ1661">
        <v>83.411799680233599</v>
      </c>
      <c r="AK1661">
        <v>0.55010733759905195</v>
      </c>
      <c r="AL1661">
        <v>89.534874096963193</v>
      </c>
      <c r="AM1661">
        <v>88.320422639475098</v>
      </c>
      <c r="AN1661">
        <v>0.99999996550769699</v>
      </c>
    </row>
    <row r="1662" spans="1:40" x14ac:dyDescent="0.25">
      <c r="A1662" t="str">
        <f>"20190312160329271"</f>
        <v>20190312160329271</v>
      </c>
      <c r="B1662" t="str">
        <f>"1552377809265735"</f>
        <v>1552377809265735</v>
      </c>
      <c r="C1662" t="s">
        <v>40</v>
      </c>
      <c r="D1662">
        <v>5.8287250000000004</v>
      </c>
      <c r="E1662">
        <v>0.52275199999999999</v>
      </c>
      <c r="F1662" t="s">
        <v>49</v>
      </c>
      <c r="G1662">
        <v>-233.08150000000001</v>
      </c>
      <c r="H1662">
        <v>0.99260199999999998</v>
      </c>
      <c r="I1662">
        <v>282.66300000000001</v>
      </c>
      <c r="J1662">
        <v>-232.43549999999999</v>
      </c>
      <c r="K1662">
        <v>1.109915</v>
      </c>
      <c r="L1662">
        <v>282.59050000000002</v>
      </c>
      <c r="M1662">
        <v>-0.99992159999999997</v>
      </c>
      <c r="N1662">
        <v>0</v>
      </c>
      <c r="O1662">
        <v>-7.1706340000000002E-4</v>
      </c>
      <c r="P1662">
        <v>-0.99956259999999997</v>
      </c>
      <c r="Q1662">
        <v>-4.8244050000000004E-3</v>
      </c>
      <c r="R1662">
        <v>2.917732E-2</v>
      </c>
      <c r="S1662">
        <v>-2.9919280000000001</v>
      </c>
      <c r="T1662">
        <v>-0.42443639999999999</v>
      </c>
      <c r="U1662">
        <v>0.26119999999999999</v>
      </c>
      <c r="V1662">
        <v>2.9894049999999998E-2</v>
      </c>
      <c r="W1662">
        <v>7.6734910000000002E-3</v>
      </c>
      <c r="X1662">
        <v>0.99952359999999896</v>
      </c>
      <c r="Y1662">
        <v>8.6815329999999996E-2</v>
      </c>
      <c r="Z1662">
        <v>6.216737E-3</v>
      </c>
      <c r="AA1662">
        <v>0.99620500000000001</v>
      </c>
      <c r="AB1662">
        <v>31</v>
      </c>
      <c r="AC1662">
        <v>-0.64600000000001501</v>
      </c>
      <c r="AD1662">
        <v>-0.117312999999999</v>
      </c>
      <c r="AE1662">
        <v>7.2499999999990905E-2</v>
      </c>
      <c r="AF1662">
        <v>7.0661921883953996E-2</v>
      </c>
      <c r="AG1662">
        <v>-0.117312999999999</v>
      </c>
      <c r="AH1662">
        <v>0.62557413407548901</v>
      </c>
      <c r="AI1662">
        <v>100.555631516384</v>
      </c>
      <c r="AJ1662">
        <v>83.555453126128697</v>
      </c>
      <c r="AK1662">
        <v>0.64038929128900302</v>
      </c>
      <c r="AL1662">
        <v>89.560337028764806</v>
      </c>
      <c r="AM1662">
        <v>88.286891407923804</v>
      </c>
      <c r="AN1662">
        <v>0.99999998182324401</v>
      </c>
    </row>
    <row r="1663" spans="1:40" x14ac:dyDescent="0.25">
      <c r="A1663" t="str">
        <f>"20190312160329290"</f>
        <v>20190312160329290</v>
      </c>
      <c r="B1663" t="str">
        <f>"1552377809276471"</f>
        <v>1552377809276471</v>
      </c>
      <c r="C1663" t="s">
        <v>40</v>
      </c>
      <c r="D1663">
        <v>5.7863480000000003</v>
      </c>
      <c r="E1663">
        <v>0.52253450000000001</v>
      </c>
      <c r="F1663" t="s">
        <v>49</v>
      </c>
      <c r="G1663">
        <v>-233.35480000000001</v>
      </c>
      <c r="H1663">
        <v>0.98185149999999999</v>
      </c>
      <c r="I1663">
        <v>282.66980000000001</v>
      </c>
      <c r="J1663">
        <v>-232.68559999999999</v>
      </c>
      <c r="K1663">
        <v>1.1098269999999999</v>
      </c>
      <c r="L1663">
        <v>282.59039999999999</v>
      </c>
      <c r="M1663">
        <v>-0.99992170000000002</v>
      </c>
      <c r="N1663">
        <v>0</v>
      </c>
      <c r="O1663">
        <v>-5.4782289999999998E-4</v>
      </c>
      <c r="P1663">
        <v>-0.99953999999999998</v>
      </c>
      <c r="Q1663">
        <v>-4.3243780000000002E-3</v>
      </c>
      <c r="R1663">
        <v>3.0018179999999998E-2</v>
      </c>
      <c r="S1663">
        <v>-2.9917760000000002</v>
      </c>
      <c r="T1663">
        <v>-0.41677219999999998</v>
      </c>
      <c r="U1663">
        <v>0.25802609999999998</v>
      </c>
      <c r="V1663">
        <v>3.056735E-2</v>
      </c>
      <c r="W1663">
        <v>8.1670019999999996E-3</v>
      </c>
      <c r="X1663">
        <v>0.99949929999999998</v>
      </c>
      <c r="Y1663">
        <v>8.5645789999999999E-2</v>
      </c>
      <c r="Z1663">
        <v>6.0017949999999999E-3</v>
      </c>
      <c r="AA1663">
        <v>0.99630759999999996</v>
      </c>
      <c r="AB1663">
        <v>31</v>
      </c>
      <c r="AC1663">
        <v>-0.669200000000017</v>
      </c>
      <c r="AD1663">
        <v>-0.12797549999999999</v>
      </c>
      <c r="AE1663">
        <v>7.9400000000020995E-2</v>
      </c>
      <c r="AF1663">
        <v>7.6990070910411698E-2</v>
      </c>
      <c r="AG1663">
        <v>-0.12797549999999999</v>
      </c>
      <c r="AH1663">
        <v>0.64586413122737196</v>
      </c>
      <c r="AI1663">
        <v>101.130947510526</v>
      </c>
      <c r="AJ1663">
        <v>83.202148579915203</v>
      </c>
      <c r="AK1663">
        <v>0.66290698866818998</v>
      </c>
      <c r="AL1663">
        <v>89.532060031863494</v>
      </c>
      <c r="AM1663">
        <v>88.248288487453095</v>
      </c>
      <c r="AN1663">
        <v>0.99999995675408904</v>
      </c>
    </row>
    <row r="1664" spans="1:40" x14ac:dyDescent="0.25">
      <c r="A1664" t="str">
        <f>"20190312160329303"</f>
        <v>20190312160329303</v>
      </c>
      <c r="B1664" t="str">
        <f>"1552377809295991"</f>
        <v>1552377809295991</v>
      </c>
      <c r="C1664" t="s">
        <v>40</v>
      </c>
      <c r="D1664">
        <v>5.8072800000000004</v>
      </c>
      <c r="E1664">
        <v>0.52214519999999998</v>
      </c>
      <c r="F1664" t="s">
        <v>49</v>
      </c>
      <c r="G1664">
        <v>-233.63220000000001</v>
      </c>
      <c r="H1664">
        <v>0.97921670000000005</v>
      </c>
      <c r="I1664">
        <v>282.67239999999998</v>
      </c>
      <c r="J1664">
        <v>-232.88929999999999</v>
      </c>
      <c r="K1664">
        <v>1.109742</v>
      </c>
      <c r="L1664">
        <v>282.59039999999999</v>
      </c>
      <c r="M1664">
        <v>-0.99992190000000003</v>
      </c>
      <c r="N1664">
        <v>0</v>
      </c>
      <c r="O1664">
        <v>-3.2604649999999998E-4</v>
      </c>
      <c r="P1664">
        <v>-0.99953040000000004</v>
      </c>
      <c r="Q1664">
        <v>-3.9359429999999999E-3</v>
      </c>
      <c r="R1664">
        <v>3.0391359999999999E-2</v>
      </c>
      <c r="S1664">
        <v>-2.9918369999999999</v>
      </c>
      <c r="T1664">
        <v>-0.41286539999999999</v>
      </c>
      <c r="U1664">
        <v>0.25900269999999997</v>
      </c>
      <c r="V1664">
        <v>3.072068E-2</v>
      </c>
      <c r="W1664">
        <v>8.5484569999999902E-3</v>
      </c>
      <c r="X1664">
        <v>0.99949149999999998</v>
      </c>
      <c r="Y1664">
        <v>8.5762270000000002E-2</v>
      </c>
      <c r="Z1664">
        <v>5.9234359999999998E-3</v>
      </c>
      <c r="AA1664">
        <v>0.99629800000000002</v>
      </c>
      <c r="AB1664">
        <v>31</v>
      </c>
      <c r="AC1664">
        <v>-0.74290000000001999</v>
      </c>
      <c r="AD1664">
        <v>-0.13052530000000001</v>
      </c>
      <c r="AE1664">
        <v>8.1999999999993606E-2</v>
      </c>
      <c r="AF1664">
        <v>7.9808252869907698E-2</v>
      </c>
      <c r="AG1664">
        <v>-0.13052530000000001</v>
      </c>
      <c r="AH1664">
        <v>0.72088768461339203</v>
      </c>
      <c r="AI1664">
        <v>100.201888540806</v>
      </c>
      <c r="AJ1664">
        <v>83.682606960586</v>
      </c>
      <c r="AK1664">
        <v>0.73694318980060802</v>
      </c>
      <c r="AL1664">
        <v>89.510203550257103</v>
      </c>
      <c r="AM1664">
        <v>88.239493448880197</v>
      </c>
      <c r="AN1664">
        <v>1.0000000474344899</v>
      </c>
    </row>
    <row r="1665" spans="1:40" x14ac:dyDescent="0.25">
      <c r="A1665" t="str">
        <f>"20190312160329324"</f>
        <v>20190312160329324</v>
      </c>
      <c r="B1665" t="str">
        <f>"1552377809316487"</f>
        <v>1552377809316487</v>
      </c>
      <c r="C1665" t="s">
        <v>40</v>
      </c>
      <c r="D1665">
        <v>6.0511169999999996</v>
      </c>
      <c r="E1665">
        <v>0.5224993</v>
      </c>
      <c r="F1665" t="s">
        <v>49</v>
      </c>
      <c r="G1665">
        <v>-233.64570000000001</v>
      </c>
      <c r="H1665">
        <v>1.0067109999999999</v>
      </c>
      <c r="I1665">
        <v>282.65559999999999</v>
      </c>
      <c r="J1665">
        <v>-233.16489999999999</v>
      </c>
      <c r="K1665">
        <v>1.1096220000000001</v>
      </c>
      <c r="L1665">
        <v>282.59059999999999</v>
      </c>
      <c r="M1665">
        <v>-0.99992199999999998</v>
      </c>
      <c r="N1665">
        <v>0</v>
      </c>
      <c r="O1665" s="1">
        <v>8.0694979999999998E-5</v>
      </c>
      <c r="P1665">
        <v>-0.99950749999999999</v>
      </c>
      <c r="Q1665">
        <v>-3.7950869999999999E-3</v>
      </c>
      <c r="R1665">
        <v>3.1156610000000001E-2</v>
      </c>
      <c r="S1665">
        <v>-2.991959</v>
      </c>
      <c r="T1665">
        <v>-0.40764270000000002</v>
      </c>
      <c r="U1665">
        <v>0.25738529999999998</v>
      </c>
      <c r="V1665">
        <v>3.108207E-2</v>
      </c>
      <c r="W1665">
        <v>8.6795829999999994E-3</v>
      </c>
      <c r="X1665">
        <v>0.99947920000000001</v>
      </c>
      <c r="Y1665">
        <v>8.4851259999999998E-2</v>
      </c>
      <c r="Z1665">
        <v>5.7323629999999999E-3</v>
      </c>
      <c r="AA1665">
        <v>0.99637710000000002</v>
      </c>
      <c r="AB1665">
        <v>31</v>
      </c>
      <c r="AC1665">
        <v>-0.48080000000001599</v>
      </c>
      <c r="AD1665">
        <v>-0.102910999999999</v>
      </c>
      <c r="AE1665">
        <v>6.4999999999997699E-2</v>
      </c>
      <c r="AF1665">
        <v>6.2164341933594901E-2</v>
      </c>
      <c r="AG1665">
        <v>-0.102910999999999</v>
      </c>
      <c r="AH1665">
        <v>0.46010452746448699</v>
      </c>
      <c r="AI1665">
        <v>102.497822582054</v>
      </c>
      <c r="AJ1665">
        <v>82.305409159077399</v>
      </c>
      <c r="AK1665">
        <v>0.47555363054271399</v>
      </c>
      <c r="AL1665">
        <v>89.502690307113298</v>
      </c>
      <c r="AM1665">
        <v>88.218774670283807</v>
      </c>
      <c r="AN1665">
        <v>1.0000000507345801</v>
      </c>
    </row>
    <row r="1666" spans="1:40" x14ac:dyDescent="0.25">
      <c r="A1666" t="str">
        <f>"20190312160329347"</f>
        <v>20190312160329347</v>
      </c>
      <c r="B1666" t="str">
        <f>"1552377809336007"</f>
        <v>1552377809336007</v>
      </c>
      <c r="C1666" t="s">
        <v>40</v>
      </c>
      <c r="D1666">
        <v>5.6687599999999998</v>
      </c>
      <c r="E1666">
        <v>0.52223829999999904</v>
      </c>
      <c r="F1666" t="s">
        <v>49</v>
      </c>
      <c r="G1666">
        <v>-233.9246</v>
      </c>
      <c r="H1666">
        <v>1.0072810000000001</v>
      </c>
      <c r="I1666">
        <v>282.65750000000003</v>
      </c>
      <c r="J1666">
        <v>-233.49090000000001</v>
      </c>
      <c r="K1666">
        <v>1.109453</v>
      </c>
      <c r="L1666">
        <v>282.59129999999999</v>
      </c>
      <c r="M1666">
        <v>-0.99992159999999997</v>
      </c>
      <c r="N1666">
        <v>0</v>
      </c>
      <c r="O1666">
        <v>7.6128429999999998E-4</v>
      </c>
      <c r="P1666">
        <v>-0.99946270000000004</v>
      </c>
      <c r="Q1666">
        <v>-4.3949890000000002E-3</v>
      </c>
      <c r="R1666">
        <v>3.2480090000000003E-2</v>
      </c>
      <c r="S1666">
        <v>-2.9917760000000002</v>
      </c>
      <c r="T1666">
        <v>-0.40314290000000003</v>
      </c>
      <c r="U1666">
        <v>0.26281739999999998</v>
      </c>
      <c r="V1666">
        <v>3.1728109999999997E-2</v>
      </c>
      <c r="W1666">
        <v>8.0668690000000008E-3</v>
      </c>
      <c r="X1666">
        <v>0.99946400000000002</v>
      </c>
      <c r="Y1666">
        <v>8.5986789999999994E-2</v>
      </c>
      <c r="Z1666">
        <v>5.6544430000000003E-3</v>
      </c>
      <c r="AA1666">
        <v>0.99628030000000001</v>
      </c>
      <c r="AB1666">
        <v>31</v>
      </c>
      <c r="AC1666">
        <v>-0.43369999999998698</v>
      </c>
      <c r="AD1666">
        <v>-0.102172</v>
      </c>
      <c r="AE1666">
        <v>6.6200000000037507E-2</v>
      </c>
      <c r="AF1666">
        <v>6.2481101965640301E-2</v>
      </c>
      <c r="AG1666">
        <v>-0.102172</v>
      </c>
      <c r="AH1666">
        <v>0.411435907313764</v>
      </c>
      <c r="AI1666">
        <v>103.794156437426</v>
      </c>
      <c r="AJ1666">
        <v>81.364977266650101</v>
      </c>
      <c r="AK1666">
        <v>0.42851197359460202</v>
      </c>
      <c r="AL1666">
        <v>89.537797447403307</v>
      </c>
      <c r="AM1666">
        <v>88.181748913801499</v>
      </c>
      <c r="AN1666">
        <v>1.0000000173178101</v>
      </c>
    </row>
    <row r="1667" spans="1:40" x14ac:dyDescent="0.25">
      <c r="A1667" t="str">
        <f>"20190312160329368"</f>
        <v>20190312160329368</v>
      </c>
      <c r="B1667" t="str">
        <f>"1552377809356503"</f>
        <v>1552377809356503</v>
      </c>
      <c r="C1667" t="s">
        <v>40</v>
      </c>
      <c r="D1667">
        <v>5.7764360000000003</v>
      </c>
      <c r="E1667">
        <v>0.52265850000000003</v>
      </c>
      <c r="F1667" t="s">
        <v>49</v>
      </c>
      <c r="G1667">
        <v>-234.46780000000001</v>
      </c>
      <c r="H1667">
        <v>0.97881220000000002</v>
      </c>
      <c r="I1667">
        <v>282.67759999999998</v>
      </c>
      <c r="J1667">
        <v>-233.7792</v>
      </c>
      <c r="K1667">
        <v>1.1092820000000001</v>
      </c>
      <c r="L1667">
        <v>282.59219999999999</v>
      </c>
      <c r="M1667">
        <v>-0.9999207</v>
      </c>
      <c r="N1667">
        <v>0</v>
      </c>
      <c r="O1667">
        <v>1.60213E-3</v>
      </c>
      <c r="P1667">
        <v>-0.99942189999999997</v>
      </c>
      <c r="Q1667">
        <v>-4.646992E-3</v>
      </c>
      <c r="R1667">
        <v>3.3686729999999998E-2</v>
      </c>
      <c r="S1667">
        <v>-2.9912570000000001</v>
      </c>
      <c r="T1667">
        <v>-0.40003060000000001</v>
      </c>
      <c r="U1667">
        <v>0.26443480000000003</v>
      </c>
      <c r="V1667">
        <v>3.2097479999999998E-2</v>
      </c>
      <c r="W1667">
        <v>7.8017549999999996E-3</v>
      </c>
      <c r="X1667">
        <v>0.99945430000000002</v>
      </c>
      <c r="Y1667">
        <v>8.5719970000000006E-2</v>
      </c>
      <c r="Z1667">
        <v>5.4825350000000002E-3</v>
      </c>
      <c r="AA1667">
        <v>0.99630419999999997</v>
      </c>
      <c r="AB1667">
        <v>31</v>
      </c>
      <c r="AC1667">
        <v>-0.68860000000000798</v>
      </c>
      <c r="AD1667">
        <v>-0.130469799999999</v>
      </c>
      <c r="AE1667">
        <v>8.5399999999992801E-2</v>
      </c>
      <c r="AF1667">
        <v>8.1418003469379302E-2</v>
      </c>
      <c r="AG1667">
        <v>-0.130469799999999</v>
      </c>
      <c r="AH1667">
        <v>0.66521687434787402</v>
      </c>
      <c r="AI1667">
        <v>101.016461794873</v>
      </c>
      <c r="AJ1667">
        <v>83.022092906235898</v>
      </c>
      <c r="AK1667">
        <v>0.68276258678850799</v>
      </c>
      <c r="AL1667">
        <v>89.5529878338766</v>
      </c>
      <c r="AM1667">
        <v>88.160577948644601</v>
      </c>
      <c r="AN1667">
        <v>1.00000000669596</v>
      </c>
    </row>
    <row r="1668" spans="1:40" x14ac:dyDescent="0.25">
      <c r="A1668" t="str">
        <f>"20190312160329389"</f>
        <v>20190312160329389</v>
      </c>
      <c r="B1668" t="str">
        <f>"1552377809385782"</f>
        <v>1552377809385782</v>
      </c>
      <c r="C1668" t="s">
        <v>40</v>
      </c>
      <c r="D1668">
        <v>5.6803919999999897</v>
      </c>
      <c r="E1668">
        <v>0.52252690000000002</v>
      </c>
      <c r="F1668" t="s">
        <v>49</v>
      </c>
      <c r="G1668">
        <v>-234.74610000000001</v>
      </c>
      <c r="H1668">
        <v>0.97825569999999895</v>
      </c>
      <c r="I1668">
        <v>282.68</v>
      </c>
      <c r="J1668">
        <v>-234.0735</v>
      </c>
      <c r="K1668">
        <v>1.109116</v>
      </c>
      <c r="L1668">
        <v>282.59370000000001</v>
      </c>
      <c r="M1668">
        <v>-0.99991839999999999</v>
      </c>
      <c r="N1668">
        <v>0</v>
      </c>
      <c r="O1668">
        <v>2.6475349999999999E-3</v>
      </c>
      <c r="P1668">
        <v>-0.99937969999999998</v>
      </c>
      <c r="Q1668">
        <v>-4.1204149999999997E-3</v>
      </c>
      <c r="R1668">
        <v>3.4977349999999997E-2</v>
      </c>
      <c r="S1668">
        <v>-2.990723</v>
      </c>
      <c r="T1668">
        <v>-0.40529579999999998</v>
      </c>
      <c r="U1668">
        <v>0.270874</v>
      </c>
      <c r="V1668">
        <v>3.2347279999999999E-2</v>
      </c>
      <c r="W1668">
        <v>8.316248E-3</v>
      </c>
      <c r="X1668">
        <v>0.9994421</v>
      </c>
      <c r="Y1668">
        <v>8.6802000000000004E-2</v>
      </c>
      <c r="Z1668">
        <v>5.4865950000000004E-3</v>
      </c>
      <c r="AA1668">
        <v>0.9962105</v>
      </c>
      <c r="AB1668">
        <v>31</v>
      </c>
      <c r="AC1668">
        <v>-0.67260000000001696</v>
      </c>
      <c r="AD1668">
        <v>-0.13086030000000001</v>
      </c>
      <c r="AE1668">
        <v>8.6299999999994201E-2</v>
      </c>
      <c r="AF1668">
        <v>8.1484343362792797E-2</v>
      </c>
      <c r="AG1668">
        <v>-0.13086030000000001</v>
      </c>
      <c r="AH1668">
        <v>0.648669636891965</v>
      </c>
      <c r="AI1668">
        <v>101.318931411031</v>
      </c>
      <c r="AJ1668">
        <v>82.840143055724894</v>
      </c>
      <c r="AK1668">
        <v>0.66673564038148503</v>
      </c>
      <c r="AL1668">
        <v>89.523508599982705</v>
      </c>
      <c r="AM1668">
        <v>88.146249905388899</v>
      </c>
      <c r="AN1668">
        <v>1.0000000088783001</v>
      </c>
    </row>
    <row r="1669" spans="1:40" x14ac:dyDescent="0.25">
      <c r="A1669" t="str">
        <f>"20190312160329403"</f>
        <v>20190312160329403</v>
      </c>
      <c r="B1669" t="str">
        <f>"1552377809396519"</f>
        <v>1552377809396519</v>
      </c>
      <c r="C1669" t="s">
        <v>40</v>
      </c>
      <c r="D1669">
        <v>5.9398609999999996</v>
      </c>
      <c r="E1669">
        <v>0.52242109999999997</v>
      </c>
      <c r="F1669" t="s">
        <v>49</v>
      </c>
      <c r="G1669">
        <v>-235.0257</v>
      </c>
      <c r="H1669">
        <v>0.98024880000000003</v>
      </c>
      <c r="I1669">
        <v>282.68099999999998</v>
      </c>
      <c r="J1669">
        <v>-234.27950000000001</v>
      </c>
      <c r="K1669">
        <v>1.1090009999999999</v>
      </c>
      <c r="L1669">
        <v>282.59500000000003</v>
      </c>
      <c r="M1669">
        <v>-0.99991580000000002</v>
      </c>
      <c r="N1669">
        <v>0</v>
      </c>
      <c r="O1669">
        <v>3.5013679999999999E-3</v>
      </c>
      <c r="P1669">
        <v>-0.99934529999999999</v>
      </c>
      <c r="Q1669">
        <v>-3.8309260000000001E-3</v>
      </c>
      <c r="R1669">
        <v>3.5984670000000003E-2</v>
      </c>
      <c r="S1669">
        <v>-2.990631</v>
      </c>
      <c r="T1669">
        <v>-0.40475670000000002</v>
      </c>
      <c r="U1669">
        <v>0.27380369999999998</v>
      </c>
      <c r="V1669">
        <v>3.2504430000000001E-2</v>
      </c>
      <c r="W1669">
        <v>8.597571E-3</v>
      </c>
      <c r="X1669">
        <v>0.99943459999999995</v>
      </c>
      <c r="Y1669">
        <v>8.693062E-2</v>
      </c>
      <c r="Z1669">
        <v>5.3731369999999896E-3</v>
      </c>
      <c r="AA1669">
        <v>0.99619990000000003</v>
      </c>
      <c r="AB1669">
        <v>31</v>
      </c>
      <c r="AC1669">
        <v>-0.74619999999998698</v>
      </c>
      <c r="AD1669">
        <v>-0.12875219999999901</v>
      </c>
      <c r="AE1669">
        <v>8.5999999999955806E-2</v>
      </c>
      <c r="AF1669">
        <v>8.1006487443410199E-2</v>
      </c>
      <c r="AG1669">
        <v>-0.12875219999999901</v>
      </c>
      <c r="AH1669">
        <v>0.72518968837108599</v>
      </c>
      <c r="AI1669">
        <v>100.006579148192</v>
      </c>
      <c r="AJ1669">
        <v>83.626262599961393</v>
      </c>
      <c r="AK1669">
        <v>0.740971837610926</v>
      </c>
      <c r="AL1669">
        <v>89.507389392749204</v>
      </c>
      <c r="AM1669">
        <v>88.137236351880603</v>
      </c>
      <c r="AN1669">
        <v>0.999999987936942</v>
      </c>
    </row>
    <row r="1670" spans="1:40" x14ac:dyDescent="0.25">
      <c r="A1670" t="str">
        <f>"20190312160329416"</f>
        <v>20190312160329416</v>
      </c>
      <c r="B1670" t="str">
        <f>"1552377809406279"</f>
        <v>1552377809406279</v>
      </c>
      <c r="C1670" t="s">
        <v>40</v>
      </c>
      <c r="D1670">
        <v>5.9406939999999997</v>
      </c>
      <c r="E1670">
        <v>0.52226139999999999</v>
      </c>
      <c r="F1670" t="s">
        <v>49</v>
      </c>
      <c r="G1670">
        <v>-235.03890000000001</v>
      </c>
      <c r="H1670">
        <v>1.006942</v>
      </c>
      <c r="I1670">
        <v>282.6653</v>
      </c>
      <c r="J1670">
        <v>-234.44319999999999</v>
      </c>
      <c r="K1670">
        <v>1.108905</v>
      </c>
      <c r="L1670">
        <v>282.59629999999999</v>
      </c>
      <c r="M1670">
        <v>-0.99991280000000005</v>
      </c>
      <c r="N1670">
        <v>0</v>
      </c>
      <c r="O1670">
        <v>4.2613219999999997E-3</v>
      </c>
      <c r="P1670">
        <v>-0.99931789999999998</v>
      </c>
      <c r="Q1670">
        <v>-3.558182E-3</v>
      </c>
      <c r="R1670">
        <v>3.6761080000000002E-2</v>
      </c>
      <c r="S1670">
        <v>-2.9904790000000001</v>
      </c>
      <c r="T1670">
        <v>-0.40191480000000002</v>
      </c>
      <c r="U1670">
        <v>0.27627560000000001</v>
      </c>
      <c r="V1670">
        <v>3.252381E-2</v>
      </c>
      <c r="W1670">
        <v>8.8641120000000004E-3</v>
      </c>
      <c r="X1670">
        <v>0.99943170000000003</v>
      </c>
      <c r="Y1670">
        <v>8.7011270000000002E-2</v>
      </c>
      <c r="Z1670">
        <v>5.2397349999999997E-3</v>
      </c>
      <c r="AA1670">
        <v>0.99619349999999995</v>
      </c>
      <c r="AB1670">
        <v>31</v>
      </c>
      <c r="AC1670">
        <v>-0.59570000000002199</v>
      </c>
      <c r="AD1670">
        <v>-0.101963</v>
      </c>
      <c r="AE1670">
        <v>6.9000000000016798E-2</v>
      </c>
      <c r="AF1670">
        <v>6.4593338408877099E-2</v>
      </c>
      <c r="AG1670">
        <v>-0.101963</v>
      </c>
      <c r="AH1670">
        <v>0.57924296586243695</v>
      </c>
      <c r="AI1670">
        <v>99.923113423529401</v>
      </c>
      <c r="AJ1670">
        <v>83.637042277522397</v>
      </c>
      <c r="AK1670">
        <v>0.59168502282626401</v>
      </c>
      <c r="AL1670">
        <v>89.4921171659702</v>
      </c>
      <c r="AM1670">
        <v>88.136121101632099</v>
      </c>
      <c r="AN1670">
        <v>1.0000000468316701</v>
      </c>
    </row>
    <row r="1671" spans="1:40" x14ac:dyDescent="0.25">
      <c r="A1671" t="str">
        <f>"20190312160329434"</f>
        <v>20190312160329434</v>
      </c>
      <c r="B1671" t="str">
        <f>"1552377809425799"</f>
        <v>1552377809425799</v>
      </c>
      <c r="C1671" t="s">
        <v>40</v>
      </c>
      <c r="D1671">
        <v>5.9412510000000003</v>
      </c>
      <c r="E1671">
        <v>0.52212579999999997</v>
      </c>
      <c r="F1671" t="s">
        <v>49</v>
      </c>
      <c r="G1671">
        <v>-235.31059999999999</v>
      </c>
      <c r="H1671">
        <v>0.99295710000000004</v>
      </c>
      <c r="I1671">
        <v>282.6771</v>
      </c>
      <c r="J1671">
        <v>-234.70509999999999</v>
      </c>
      <c r="K1671">
        <v>1.1087450000000001</v>
      </c>
      <c r="L1671">
        <v>282.59859999999998</v>
      </c>
      <c r="M1671">
        <v>-0.99990610000000002</v>
      </c>
      <c r="N1671">
        <v>0</v>
      </c>
      <c r="O1671">
        <v>5.6130499999999996E-3</v>
      </c>
      <c r="P1671">
        <v>-0.99924020000000002</v>
      </c>
      <c r="Q1671">
        <v>-3.0534239999999999E-3</v>
      </c>
      <c r="R1671">
        <v>3.8859369999999997E-2</v>
      </c>
      <c r="S1671">
        <v>-2.9904169999999999</v>
      </c>
      <c r="T1671">
        <v>-0.3998138</v>
      </c>
      <c r="U1671">
        <v>0.27761839999999999</v>
      </c>
      <c r="V1671">
        <v>3.3276140000000003E-2</v>
      </c>
      <c r="W1671">
        <v>9.3561890000000009E-3</v>
      </c>
      <c r="X1671">
        <v>0.99940240000000002</v>
      </c>
      <c r="Y1671">
        <v>8.6137290000000005E-2</v>
      </c>
      <c r="Z1671">
        <v>4.975007E-3</v>
      </c>
      <c r="AA1671">
        <v>0.99627080000000001</v>
      </c>
      <c r="AB1671">
        <v>31</v>
      </c>
      <c r="AC1671">
        <v>-0.60550000000000603</v>
      </c>
      <c r="AD1671">
        <v>-0.1157879</v>
      </c>
      <c r="AE1671">
        <v>7.8500000000019499E-2</v>
      </c>
      <c r="AF1671">
        <v>7.2492720418662199E-2</v>
      </c>
      <c r="AG1671">
        <v>-0.1157879</v>
      </c>
      <c r="AH1671">
        <v>0.58489633328323798</v>
      </c>
      <c r="AI1671">
        <v>101.11476967906</v>
      </c>
      <c r="AJ1671">
        <v>82.934726065603698</v>
      </c>
      <c r="AK1671">
        <v>0.60063778851174898</v>
      </c>
      <c r="AL1671">
        <v>89.463922035722902</v>
      </c>
      <c r="AM1671">
        <v>88.092982079664395</v>
      </c>
      <c r="AN1671">
        <v>0.99999999844583098</v>
      </c>
    </row>
    <row r="1672" spans="1:40" x14ac:dyDescent="0.25">
      <c r="A1672" t="str">
        <f>"20190312160329446"</f>
        <v>20190312160329446</v>
      </c>
      <c r="B1672" t="str">
        <f>"1552377809436535"</f>
        <v>1552377809436535</v>
      </c>
      <c r="C1672" t="s">
        <v>40</v>
      </c>
      <c r="D1672">
        <v>5.8550259999999996</v>
      </c>
      <c r="E1672">
        <v>0.52212579999999997</v>
      </c>
      <c r="F1672" t="s">
        <v>49</v>
      </c>
      <c r="G1672">
        <v>-235.58860000000001</v>
      </c>
      <c r="H1672">
        <v>0.99173750000000005</v>
      </c>
      <c r="I1672">
        <v>282.68220000000002</v>
      </c>
      <c r="J1672">
        <v>-234.88</v>
      </c>
      <c r="K1672">
        <v>1.1086309999999999</v>
      </c>
      <c r="L1672">
        <v>282.60039999999998</v>
      </c>
      <c r="M1672">
        <v>-0.99989989999999995</v>
      </c>
      <c r="N1672">
        <v>0</v>
      </c>
      <c r="O1672">
        <v>6.6074899999999997E-3</v>
      </c>
      <c r="P1672">
        <v>-0.99918810000000002</v>
      </c>
      <c r="Q1672">
        <v>-2.9144850000000001E-3</v>
      </c>
      <c r="R1672">
        <v>4.0184980000000002E-2</v>
      </c>
      <c r="S1672">
        <v>-2.9900669999999998</v>
      </c>
      <c r="T1672">
        <v>-0.39599450000000003</v>
      </c>
      <c r="U1672">
        <v>0.2825317</v>
      </c>
      <c r="V1672">
        <v>3.3611189999999999E-2</v>
      </c>
      <c r="W1672">
        <v>9.4858830000000005E-3</v>
      </c>
      <c r="X1672">
        <v>0.99938990000000005</v>
      </c>
      <c r="Y1672">
        <v>8.6796449999999997E-2</v>
      </c>
      <c r="Z1672">
        <v>4.8406270000000001E-3</v>
      </c>
      <c r="AA1672">
        <v>0.9962143</v>
      </c>
      <c r="AB1672">
        <v>31</v>
      </c>
      <c r="AC1672">
        <v>-0.70860000000001799</v>
      </c>
      <c r="AD1672">
        <v>-0.116893499999999</v>
      </c>
      <c r="AE1672">
        <v>8.1800000000043796E-2</v>
      </c>
      <c r="AF1672">
        <v>7.5098978384771697E-2</v>
      </c>
      <c r="AG1672">
        <v>-0.116893499999999</v>
      </c>
      <c r="AH1672">
        <v>0.69057938275824005</v>
      </c>
      <c r="AI1672">
        <v>99.552050014960002</v>
      </c>
      <c r="AJ1672">
        <v>83.793599990652496</v>
      </c>
      <c r="AK1672">
        <v>0.70441736973717395</v>
      </c>
      <c r="AL1672">
        <v>89.4564907515947</v>
      </c>
      <c r="AM1672">
        <v>88.073771061710104</v>
      </c>
      <c r="AN1672">
        <v>0.99999993314575497</v>
      </c>
    </row>
    <row r="1673" spans="1:40" x14ac:dyDescent="0.25">
      <c r="A1673" t="str">
        <f>"20190312160329458"</f>
        <v>20190312160329458</v>
      </c>
      <c r="B1673" t="str">
        <f>"1552377809446294"</f>
        <v>1552377809446294</v>
      </c>
      <c r="C1673" t="s">
        <v>40</v>
      </c>
      <c r="D1673">
        <v>5.0494680000000001</v>
      </c>
      <c r="E1673">
        <v>0.50081529999999996</v>
      </c>
      <c r="F1673" t="s">
        <v>49</v>
      </c>
      <c r="G1673">
        <v>-235.5994</v>
      </c>
      <c r="H1673">
        <v>1.0134479999999999</v>
      </c>
      <c r="I1673">
        <v>282.6694</v>
      </c>
      <c r="J1673">
        <v>-235.04650000000001</v>
      </c>
      <c r="K1673">
        <v>1.1085149999999999</v>
      </c>
      <c r="L1673">
        <v>282.60250000000002</v>
      </c>
      <c r="M1673">
        <v>-0.99989220000000001</v>
      </c>
      <c r="N1673">
        <v>0</v>
      </c>
      <c r="O1673">
        <v>7.6805299999999996E-3</v>
      </c>
      <c r="P1673">
        <v>-0.99914539999999996</v>
      </c>
      <c r="Q1673">
        <v>-3.2849400000000001E-3</v>
      </c>
      <c r="R1673">
        <v>4.1201799999999997E-2</v>
      </c>
      <c r="S1673">
        <v>-2.989792</v>
      </c>
      <c r="T1673">
        <v>-0.39561069999999998</v>
      </c>
      <c r="U1673">
        <v>0.28625489999999998</v>
      </c>
      <c r="V1673">
        <v>3.3557190000000001E-2</v>
      </c>
      <c r="W1673">
        <v>9.1091950000000005E-3</v>
      </c>
      <c r="X1673">
        <v>0.99939529999999999</v>
      </c>
      <c r="Y1673">
        <v>8.6974490000000002E-2</v>
      </c>
      <c r="Z1673">
        <v>4.706801E-3</v>
      </c>
      <c r="AA1673">
        <v>0.99619939999999996</v>
      </c>
      <c r="AB1673">
        <v>31</v>
      </c>
      <c r="AC1673">
        <v>-0.55289999999999395</v>
      </c>
      <c r="AD1673">
        <v>-9.5066999999999999E-2</v>
      </c>
      <c r="AE1673">
        <v>6.6899999999975507E-2</v>
      </c>
      <c r="AF1673">
        <v>6.0877308620007599E-2</v>
      </c>
      <c r="AG1673">
        <v>-9.5066999999999999E-2</v>
      </c>
      <c r="AH1673">
        <v>0.53772939902066597</v>
      </c>
      <c r="AI1673">
        <v>99.963554718686595</v>
      </c>
      <c r="AJ1673">
        <v>83.5409435148201</v>
      </c>
      <c r="AK1673">
        <v>0.54945126059091198</v>
      </c>
      <c r="AL1673">
        <v>89.478074360892407</v>
      </c>
      <c r="AM1673">
        <v>88.076873813870293</v>
      </c>
      <c r="AN1673">
        <v>1.00000001404816</v>
      </c>
    </row>
    <row r="1674" spans="1:40" x14ac:dyDescent="0.25">
      <c r="A1674" t="str">
        <f>"20190312160329471"</f>
        <v>20190312160329471</v>
      </c>
      <c r="B1674" t="str">
        <f>"1552377809465815"</f>
        <v>1552377809465815</v>
      </c>
      <c r="C1674" t="s">
        <v>40</v>
      </c>
      <c r="D1674">
        <v>5.7356550000000004</v>
      </c>
      <c r="E1674">
        <v>0.49809629999999999</v>
      </c>
      <c r="F1674" t="s">
        <v>49</v>
      </c>
      <c r="G1674">
        <v>-235.88849999999999</v>
      </c>
      <c r="H1674">
        <v>1.033466</v>
      </c>
      <c r="I1674">
        <v>282.63720000000001</v>
      </c>
      <c r="J1674">
        <v>-235.22630000000001</v>
      </c>
      <c r="K1674">
        <v>1.1083829999999999</v>
      </c>
      <c r="L1674">
        <v>282.60500000000002</v>
      </c>
      <c r="M1674">
        <v>-0.99988200000000005</v>
      </c>
      <c r="N1674">
        <v>0</v>
      </c>
      <c r="O1674">
        <v>8.8950399999999999E-3</v>
      </c>
      <c r="P1674">
        <v>-0.99908110000000006</v>
      </c>
      <c r="Q1674">
        <v>-3.4513289999999999E-3</v>
      </c>
      <c r="R1674">
        <v>4.2723940000000002E-2</v>
      </c>
      <c r="S1674">
        <v>-2.9966279999999998</v>
      </c>
      <c r="T1674">
        <v>-0.26711099999999999</v>
      </c>
      <c r="U1674">
        <v>0.1229553</v>
      </c>
      <c r="V1674">
        <v>3.3868290000000002E-2</v>
      </c>
      <c r="W1674">
        <v>8.9332509999999997E-3</v>
      </c>
      <c r="X1674">
        <v>0.99938640000000001</v>
      </c>
      <c r="Y1674">
        <v>3.2015349999999998E-2</v>
      </c>
      <c r="Z1674">
        <v>6.3246349999999995E-4</v>
      </c>
      <c r="AA1674">
        <v>0.99948720000000002</v>
      </c>
      <c r="AB1674">
        <v>31</v>
      </c>
      <c r="AC1674">
        <v>-0.66219999999998402</v>
      </c>
      <c r="AD1674">
        <v>-7.49169999999999E-2</v>
      </c>
      <c r="AE1674">
        <v>3.2199999999988897E-2</v>
      </c>
      <c r="AF1674">
        <v>2.5976277409929201E-2</v>
      </c>
      <c r="AG1674">
        <v>-7.49169999999999E-2</v>
      </c>
      <c r="AH1674">
        <v>0.65410793946659496</v>
      </c>
      <c r="AI1674">
        <v>96.528690265978895</v>
      </c>
      <c r="AJ1674">
        <v>87.725834981007694</v>
      </c>
      <c r="AK1674">
        <v>0.65889644129431502</v>
      </c>
      <c r="AL1674">
        <v>89.488155622807895</v>
      </c>
      <c r="AM1674">
        <v>88.059041312503695</v>
      </c>
      <c r="AN1674">
        <v>1.00000002027295</v>
      </c>
    </row>
    <row r="1675" spans="1:40" x14ac:dyDescent="0.25">
      <c r="A1675" t="str">
        <f>"20190312160329490"</f>
        <v>20190312160329490</v>
      </c>
      <c r="B1675" t="str">
        <f>"1552377809486311"</f>
        <v>1552377809486311</v>
      </c>
      <c r="C1675" t="s">
        <v>40</v>
      </c>
      <c r="D1675">
        <v>5.7681959999999997</v>
      </c>
      <c r="E1675">
        <v>0.49656139999999999</v>
      </c>
      <c r="F1675" t="s">
        <v>49</v>
      </c>
      <c r="G1675">
        <v>-236.17750000000001</v>
      </c>
      <c r="H1675">
        <v>1.04725</v>
      </c>
      <c r="I1675">
        <v>282.63929999999999</v>
      </c>
      <c r="J1675">
        <v>-235.4787</v>
      </c>
      <c r="K1675">
        <v>1.1081920000000001</v>
      </c>
      <c r="L1675">
        <v>282.60890000000001</v>
      </c>
      <c r="M1675">
        <v>-0.99986370000000002</v>
      </c>
      <c r="N1675">
        <v>0</v>
      </c>
      <c r="O1675">
        <v>1.076622E-2</v>
      </c>
      <c r="P1675">
        <v>-0.99899400000000005</v>
      </c>
      <c r="Q1675">
        <v>-4.0765130000000004E-3</v>
      </c>
      <c r="R1675">
        <v>4.4663649999999999E-2</v>
      </c>
      <c r="S1675">
        <v>-2.9974820000000002</v>
      </c>
      <c r="T1675">
        <v>-0.1925848</v>
      </c>
      <c r="U1675">
        <v>0.1080627</v>
      </c>
      <c r="V1675">
        <v>3.393989E-2</v>
      </c>
      <c r="W1675">
        <v>8.2971729999999997E-3</v>
      </c>
      <c r="X1675">
        <v>0.99938939999999998</v>
      </c>
      <c r="Y1675">
        <v>2.5235819999999999E-2</v>
      </c>
      <c r="Z1675">
        <v>1.187974E-4</v>
      </c>
      <c r="AA1675">
        <v>0.9996815</v>
      </c>
      <c r="AB1675">
        <v>31</v>
      </c>
      <c r="AC1675">
        <v>-0.69880000000000497</v>
      </c>
      <c r="AD1675">
        <v>-6.0942000000000003E-2</v>
      </c>
      <c r="AE1675">
        <v>3.03999999999859E-2</v>
      </c>
      <c r="AF1675">
        <v>2.2701880916486301E-2</v>
      </c>
      <c r="AG1675">
        <v>-6.0942000000000003E-2</v>
      </c>
      <c r="AH1675">
        <v>0.69381993383448404</v>
      </c>
      <c r="AI1675">
        <v>95.017047804028195</v>
      </c>
      <c r="AJ1675">
        <v>88.125943042773301</v>
      </c>
      <c r="AK1675">
        <v>0.69686110764429499</v>
      </c>
      <c r="AL1675">
        <v>89.524601534301596</v>
      </c>
      <c r="AM1675">
        <v>88.054946969076198</v>
      </c>
      <c r="AN1675">
        <v>0.99999996602268104</v>
      </c>
    </row>
    <row r="1676" spans="1:40" x14ac:dyDescent="0.25">
      <c r="A1676" t="str">
        <f>"20190312160329503"</f>
        <v>20190312160329503</v>
      </c>
      <c r="B1676" t="str">
        <f>"1552377809496071"</f>
        <v>1552377809496071</v>
      </c>
      <c r="C1676" t="s">
        <v>40</v>
      </c>
      <c r="D1676">
        <v>5.6031529999999998</v>
      </c>
      <c r="E1676">
        <v>0.49667470000000002</v>
      </c>
      <c r="F1676" t="s">
        <v>70</v>
      </c>
      <c r="G1676">
        <v>-254.84389999999999</v>
      </c>
      <c r="H1676" s="1">
        <v>1.040912E-6</v>
      </c>
      <c r="I1676">
        <v>283.27010000000001</v>
      </c>
      <c r="J1676">
        <v>-235.67449999999999</v>
      </c>
      <c r="K1676">
        <v>1.108047</v>
      </c>
      <c r="L1676">
        <v>282.61239999999998</v>
      </c>
      <c r="M1676">
        <v>-0.99984530000000005</v>
      </c>
      <c r="N1676">
        <v>0</v>
      </c>
      <c r="O1676">
        <v>1.23482E-2</v>
      </c>
      <c r="P1676">
        <v>-0.99891980000000002</v>
      </c>
      <c r="Q1676">
        <v>-4.277299E-3</v>
      </c>
      <c r="R1676">
        <v>4.6272019999999997E-2</v>
      </c>
      <c r="S1676">
        <v>-2.9977260000000001</v>
      </c>
      <c r="T1676">
        <v>-0.1715469</v>
      </c>
      <c r="U1676">
        <v>0.102356</v>
      </c>
      <c r="V1676">
        <v>3.3969850000000003E-2</v>
      </c>
      <c r="W1676">
        <v>8.0883259999999998E-3</v>
      </c>
      <c r="X1676">
        <v>0.99939009999999995</v>
      </c>
      <c r="Y1676">
        <v>2.1764680000000002E-2</v>
      </c>
      <c r="Z1676" s="1">
        <v>-8.3796619999999998E-5</v>
      </c>
      <c r="AA1676">
        <v>0.99976310000000002</v>
      </c>
      <c r="AB1676">
        <v>31</v>
      </c>
      <c r="AC1676">
        <v>-19.1694</v>
      </c>
      <c r="AD1676">
        <v>-1.1080459590880001</v>
      </c>
      <c r="AE1676">
        <v>0.65770000000003304</v>
      </c>
      <c r="AF1676">
        <v>0.419523639578118</v>
      </c>
      <c r="AG1676">
        <v>-1.1080459590880001</v>
      </c>
      <c r="AH1676">
        <v>19.112278028911501</v>
      </c>
      <c r="AI1676">
        <v>93.317246253152604</v>
      </c>
      <c r="AJ1676">
        <v>88.742532182017797</v>
      </c>
      <c r="AK1676">
        <v>19.148967005716798</v>
      </c>
      <c r="AL1676">
        <v>89.536567990703404</v>
      </c>
      <c r="AM1676">
        <v>88.053232681704998</v>
      </c>
      <c r="AN1676">
        <v>0.99999997185225598</v>
      </c>
    </row>
    <row r="1677" spans="1:40" x14ac:dyDescent="0.25">
      <c r="A1677" t="str">
        <f>"20190312160329525"</f>
        <v>20190312160329525</v>
      </c>
      <c r="B1677" t="str">
        <f>"1552377809516567"</f>
        <v>1552377809516567</v>
      </c>
      <c r="C1677" t="s">
        <v>40</v>
      </c>
      <c r="D1677">
        <v>5.6008570000000004</v>
      </c>
      <c r="E1677">
        <v>0.49605379999999899</v>
      </c>
      <c r="F1677" t="s">
        <v>70</v>
      </c>
      <c r="G1677">
        <v>-253.9427</v>
      </c>
      <c r="H1677" s="1">
        <v>5.61341E-7</v>
      </c>
      <c r="I1677">
        <v>283.26769999999999</v>
      </c>
      <c r="J1677">
        <v>-235.9597</v>
      </c>
      <c r="K1677">
        <v>1.1078490000000001</v>
      </c>
      <c r="L1677">
        <v>282.61840000000001</v>
      </c>
      <c r="M1677">
        <v>-0.99981169999999997</v>
      </c>
      <c r="N1677">
        <v>0</v>
      </c>
      <c r="O1677">
        <v>1.481681E-2</v>
      </c>
      <c r="P1677">
        <v>-0.99882040000000005</v>
      </c>
      <c r="Q1677">
        <v>-3.7803839999999999E-3</v>
      </c>
      <c r="R1677">
        <v>4.8412480000000001E-2</v>
      </c>
      <c r="S1677">
        <v>-2.9974980000000002</v>
      </c>
      <c r="T1677">
        <v>-0.1818109</v>
      </c>
      <c r="U1677">
        <v>0.1075134</v>
      </c>
      <c r="V1677">
        <v>3.365017E-2</v>
      </c>
      <c r="W1677">
        <v>8.5770680000000002E-3</v>
      </c>
      <c r="X1677">
        <v>0.99939690000000003</v>
      </c>
      <c r="Y1677">
        <v>2.102091E-2</v>
      </c>
      <c r="Z1677">
        <v>-2.6086149999999999E-4</v>
      </c>
      <c r="AA1677">
        <v>0.99977899999999997</v>
      </c>
      <c r="AB1677">
        <v>31</v>
      </c>
      <c r="AC1677">
        <v>-17.983000000000001</v>
      </c>
      <c r="AD1677">
        <v>-1.107848438659</v>
      </c>
      <c r="AE1677">
        <v>0.649299999999982</v>
      </c>
      <c r="AF1677">
        <v>0.381311819029934</v>
      </c>
      <c r="AG1677">
        <v>-1.107848438659</v>
      </c>
      <c r="AH1677">
        <v>17.922714916976201</v>
      </c>
      <c r="AI1677">
        <v>93.536298895357803</v>
      </c>
      <c r="AJ1677">
        <v>88.781196791591</v>
      </c>
      <c r="AK1677">
        <v>17.9609698196276</v>
      </c>
      <c r="AL1677">
        <v>89.508564193044094</v>
      </c>
      <c r="AM1677">
        <v>88.071552333758405</v>
      </c>
      <c r="AN1677">
        <v>1.00000003188305</v>
      </c>
    </row>
    <row r="1678" spans="1:40" x14ac:dyDescent="0.25">
      <c r="A1678" t="str">
        <f>"20190312160329546"</f>
        <v>20190312160329546</v>
      </c>
      <c r="B1678" t="str">
        <f>"1552377809536087"</f>
        <v>1552377809536087</v>
      </c>
      <c r="C1678" t="s">
        <v>40</v>
      </c>
      <c r="D1678">
        <v>5.6080779999999999</v>
      </c>
      <c r="E1678">
        <v>0.4962394</v>
      </c>
      <c r="F1678" t="s">
        <v>70</v>
      </c>
      <c r="G1678">
        <v>-254.51779999999999</v>
      </c>
      <c r="H1678" s="1">
        <v>8.6735419999999898E-7</v>
      </c>
      <c r="I1678">
        <v>283.29419999999999</v>
      </c>
      <c r="J1678">
        <v>-236.26859999999999</v>
      </c>
      <c r="K1678">
        <v>1.107648</v>
      </c>
      <c r="L1678">
        <v>282.62580000000003</v>
      </c>
      <c r="M1678">
        <v>-0.9997646</v>
      </c>
      <c r="N1678">
        <v>0</v>
      </c>
      <c r="O1678">
        <v>1.771213E-2</v>
      </c>
      <c r="P1678">
        <v>-0.9986969</v>
      </c>
      <c r="Q1678">
        <v>-3.7148910000000001E-3</v>
      </c>
      <c r="R1678">
        <v>5.0902559999999999E-2</v>
      </c>
      <c r="S1678">
        <v>-2.9975429999999998</v>
      </c>
      <c r="T1678">
        <v>-0.17894260000000001</v>
      </c>
      <c r="U1678">
        <v>0.10916140000000001</v>
      </c>
      <c r="V1678">
        <v>3.3252049999999998E-2</v>
      </c>
      <c r="W1678">
        <v>8.6347619999999903E-3</v>
      </c>
      <c r="X1678">
        <v>0.99940969999999996</v>
      </c>
      <c r="Y1678">
        <v>1.8683600000000002E-2</v>
      </c>
      <c r="Z1678">
        <v>-4.9902599999999996E-4</v>
      </c>
      <c r="AA1678">
        <v>0.99982530000000003</v>
      </c>
      <c r="AB1678">
        <v>31</v>
      </c>
      <c r="AC1678">
        <v>-18.249199999999998</v>
      </c>
      <c r="AD1678">
        <v>-1.1076471326457999</v>
      </c>
      <c r="AE1678">
        <v>0.66839999999996202</v>
      </c>
      <c r="AF1678">
        <v>0.34377279724187199</v>
      </c>
      <c r="AG1678">
        <v>-1.1076471326457999</v>
      </c>
      <c r="AH1678">
        <v>18.191250374856502</v>
      </c>
      <c r="AI1678">
        <v>93.483760688319904</v>
      </c>
      <c r="AJ1678">
        <v>88.917370396710496</v>
      </c>
      <c r="AK1678">
        <v>18.228182907445799</v>
      </c>
      <c r="AL1678">
        <v>89.505258433837298</v>
      </c>
      <c r="AM1678">
        <v>88.094375541139698</v>
      </c>
      <c r="AN1678">
        <v>1.0000000031990399</v>
      </c>
    </row>
    <row r="1679" spans="1:40" x14ac:dyDescent="0.25">
      <c r="A1679" t="str">
        <f>"20190312160329559"</f>
        <v>20190312160329559</v>
      </c>
      <c r="B1679" t="str">
        <f>"1552377809556582"</f>
        <v>1552377809556582</v>
      </c>
      <c r="C1679" t="s">
        <v>40</v>
      </c>
      <c r="D1679">
        <v>5.6291180000000001</v>
      </c>
      <c r="E1679">
        <v>0.4968012</v>
      </c>
      <c r="F1679" t="s">
        <v>70</v>
      </c>
      <c r="G1679">
        <v>-255.0686</v>
      </c>
      <c r="H1679" s="1">
        <v>1.1604510000000001E-6</v>
      </c>
      <c r="I1679">
        <v>283.36810000000003</v>
      </c>
      <c r="J1679">
        <v>-236.44380000000001</v>
      </c>
      <c r="K1679">
        <v>1.107545</v>
      </c>
      <c r="L1679">
        <v>282.63060000000002</v>
      </c>
      <c r="M1679">
        <v>-0.9997315</v>
      </c>
      <c r="N1679">
        <v>0</v>
      </c>
      <c r="O1679">
        <v>1.9477959999999999E-2</v>
      </c>
      <c r="P1679">
        <v>-0.99861529999999998</v>
      </c>
      <c r="Q1679">
        <v>-3.9148029999999997E-3</v>
      </c>
      <c r="R1679">
        <v>5.2461880000000002E-2</v>
      </c>
      <c r="S1679">
        <v>-2.997223</v>
      </c>
      <c r="T1679">
        <v>-0.17658850000000001</v>
      </c>
      <c r="U1679">
        <v>0.1183472</v>
      </c>
      <c r="V1679">
        <v>3.3048479999999998E-2</v>
      </c>
      <c r="W1679">
        <v>8.4316369999999901E-3</v>
      </c>
      <c r="X1679">
        <v>0.99941820000000003</v>
      </c>
      <c r="Y1679">
        <v>1.998217E-2</v>
      </c>
      <c r="Z1679">
        <v>-5.5816649999999998E-4</v>
      </c>
      <c r="AA1679">
        <v>0.99980020000000003</v>
      </c>
      <c r="AB1679">
        <v>31</v>
      </c>
      <c r="AC1679">
        <v>-18.6248</v>
      </c>
      <c r="AD1679">
        <v>-1.107543839549</v>
      </c>
      <c r="AE1679">
        <v>0.73750000000001104</v>
      </c>
      <c r="AF1679">
        <v>0.37324058386484599</v>
      </c>
      <c r="AG1679">
        <v>-1.107543839549</v>
      </c>
      <c r="AH1679">
        <v>18.570067256318701</v>
      </c>
      <c r="AI1679">
        <v>93.412466806823105</v>
      </c>
      <c r="AJ1679">
        <v>88.848564685173997</v>
      </c>
      <c r="AK1679">
        <v>18.606809500668501</v>
      </c>
      <c r="AL1679">
        <v>89.516897069209307</v>
      </c>
      <c r="AM1679">
        <v>88.106049402119098</v>
      </c>
      <c r="AN1679">
        <v>1.00000001651202</v>
      </c>
    </row>
    <row r="1680" spans="1:40" x14ac:dyDescent="0.25">
      <c r="A1680" t="str">
        <f>"20190312160329579"</f>
        <v>20190312160329579</v>
      </c>
      <c r="B1680" t="str">
        <f>"1552377809566343"</f>
        <v>1552377809566343</v>
      </c>
      <c r="C1680" t="s">
        <v>40</v>
      </c>
      <c r="D1680">
        <v>5.6380369999999997</v>
      </c>
      <c r="E1680">
        <v>0.49670619999999999</v>
      </c>
      <c r="F1680" t="s">
        <v>70</v>
      </c>
      <c r="G1680">
        <v>-256.41899999999998</v>
      </c>
      <c r="H1680" s="1">
        <v>1.879086E-6</v>
      </c>
      <c r="I1680">
        <v>283.48270000000002</v>
      </c>
      <c r="J1680">
        <v>-236.7176</v>
      </c>
      <c r="K1680">
        <v>1.1073839999999999</v>
      </c>
      <c r="L1680">
        <v>282.63869999999997</v>
      </c>
      <c r="M1680">
        <v>-0.99967189999999995</v>
      </c>
      <c r="N1680">
        <v>0</v>
      </c>
      <c r="O1680">
        <v>2.2336160000000001E-2</v>
      </c>
      <c r="P1680">
        <v>-0.99842819999999999</v>
      </c>
      <c r="Q1680">
        <v>-4.5669660000000004E-3</v>
      </c>
      <c r="R1680">
        <v>5.5864280000000002E-2</v>
      </c>
      <c r="S1680">
        <v>-2.9968110000000001</v>
      </c>
      <c r="T1680">
        <v>-0.1661608</v>
      </c>
      <c r="U1680">
        <v>0.12783810000000001</v>
      </c>
      <c r="V1680">
        <v>3.3595970000000003E-2</v>
      </c>
      <c r="W1680">
        <v>7.7693319999999899E-3</v>
      </c>
      <c r="X1680">
        <v>0.99940530000000005</v>
      </c>
      <c r="Y1680">
        <v>2.0294179999999998E-2</v>
      </c>
      <c r="Z1680">
        <v>-6.7488159999999999E-4</v>
      </c>
      <c r="AA1680">
        <v>0.99979379999999995</v>
      </c>
      <c r="AB1680">
        <v>31</v>
      </c>
      <c r="AC1680">
        <v>-19.7014</v>
      </c>
      <c r="AD1680">
        <v>-1.107382120914</v>
      </c>
      <c r="AE1680">
        <v>0.84400000000005004</v>
      </c>
      <c r="AF1680">
        <v>0.40243208699461402</v>
      </c>
      <c r="AG1680">
        <v>-1.107382120914</v>
      </c>
      <c r="AH1680">
        <v>19.653358724120601</v>
      </c>
      <c r="AI1680">
        <v>93.2242859367758</v>
      </c>
      <c r="AJ1680">
        <v>88.826946647371997</v>
      </c>
      <c r="AK1680">
        <v>19.688645354247502</v>
      </c>
      <c r="AL1680">
        <v>89.554845589446401</v>
      </c>
      <c r="AM1680">
        <v>88.074672296249105</v>
      </c>
      <c r="AN1680">
        <v>1.0000000026940199</v>
      </c>
    </row>
    <row r="1681" spans="1:40" x14ac:dyDescent="0.25">
      <c r="A1681" t="str">
        <f>"20190312160329591"</f>
        <v>20190312160329591</v>
      </c>
      <c r="B1681" t="str">
        <f>"1552377809586839"</f>
        <v>1552377809586839</v>
      </c>
      <c r="C1681" t="s">
        <v>40</v>
      </c>
      <c r="D1681">
        <v>5.4553589999999996</v>
      </c>
      <c r="E1681">
        <v>0.49628329999999998</v>
      </c>
      <c r="F1681" t="s">
        <v>70</v>
      </c>
      <c r="G1681">
        <v>-257.11369999999999</v>
      </c>
      <c r="H1681" s="1">
        <v>2.248754E-6</v>
      </c>
      <c r="I1681">
        <v>283.57159999999999</v>
      </c>
      <c r="J1681">
        <v>-236.88679999999999</v>
      </c>
      <c r="K1681">
        <v>1.107289</v>
      </c>
      <c r="L1681">
        <v>282.64409999999998</v>
      </c>
      <c r="M1681">
        <v>-0.9996292</v>
      </c>
      <c r="N1681">
        <v>0</v>
      </c>
      <c r="O1681">
        <v>2.4165530000000001E-2</v>
      </c>
      <c r="P1681">
        <v>-0.99832140000000003</v>
      </c>
      <c r="Q1681">
        <v>-4.5116369999999998E-3</v>
      </c>
      <c r="R1681">
        <v>5.7741750000000001E-2</v>
      </c>
      <c r="S1681">
        <v>-2.996292</v>
      </c>
      <c r="T1681">
        <v>-0.16267999999999999</v>
      </c>
      <c r="U1681">
        <v>0.13705439999999999</v>
      </c>
      <c r="V1681">
        <v>3.3648289999999997E-2</v>
      </c>
      <c r="W1681">
        <v>7.8208289999999996E-3</v>
      </c>
      <c r="X1681">
        <v>0.99940309999999999</v>
      </c>
      <c r="Y1681">
        <v>2.1541890000000001E-2</v>
      </c>
      <c r="Z1681">
        <v>-7.2615530000000002E-4</v>
      </c>
      <c r="AA1681">
        <v>0.99976770000000004</v>
      </c>
      <c r="AB1681">
        <v>31</v>
      </c>
      <c r="AC1681">
        <v>-20.226900000000001</v>
      </c>
      <c r="AD1681">
        <v>-1.1072867512459901</v>
      </c>
      <c r="AE1681">
        <v>0.92750000000000898</v>
      </c>
      <c r="AF1681">
        <v>0.437089713654846</v>
      </c>
      <c r="AG1681">
        <v>-1.1072867512459901</v>
      </c>
      <c r="AH1681">
        <v>20.183049343392501</v>
      </c>
      <c r="AI1681">
        <v>93.139490591117493</v>
      </c>
      <c r="AJ1681">
        <v>88.759380633424598</v>
      </c>
      <c r="AK1681">
        <v>20.218125832160698</v>
      </c>
      <c r="AL1681">
        <v>89.551894921951202</v>
      </c>
      <c r="AM1681">
        <v>88.071671946597405</v>
      </c>
      <c r="AN1681">
        <v>0.99999996453788997</v>
      </c>
    </row>
    <row r="1682" spans="1:40" x14ac:dyDescent="0.25">
      <c r="A1682" t="str">
        <f>"20190312160329603"</f>
        <v>20190312160329603</v>
      </c>
      <c r="B1682" t="str">
        <f>"1552377809596599"</f>
        <v>1552377809596599</v>
      </c>
      <c r="C1682" t="s">
        <v>40</v>
      </c>
      <c r="D1682">
        <v>5.6007280000000002</v>
      </c>
      <c r="E1682">
        <v>0.49616379999999999</v>
      </c>
      <c r="F1682" t="s">
        <v>70</v>
      </c>
      <c r="G1682">
        <v>-258.73989999999998</v>
      </c>
      <c r="H1682" s="1">
        <v>3.1141599999999999E-6</v>
      </c>
      <c r="I1682">
        <v>283.6626</v>
      </c>
      <c r="J1682">
        <v>-237.06880000000001</v>
      </c>
      <c r="K1682">
        <v>1.1071959999999901</v>
      </c>
      <c r="L1682">
        <v>282.65039999999999</v>
      </c>
      <c r="M1682">
        <v>-0.99957810000000002</v>
      </c>
      <c r="N1682">
        <v>0</v>
      </c>
      <c r="O1682">
        <v>2.6191220000000001E-2</v>
      </c>
      <c r="P1682">
        <v>-0.99820229999999999</v>
      </c>
      <c r="Q1682">
        <v>-4.9660340000000002E-3</v>
      </c>
      <c r="R1682">
        <v>5.9729020000000001E-2</v>
      </c>
      <c r="S1682">
        <v>-2.9962620000000002</v>
      </c>
      <c r="T1682">
        <v>-0.15181889999999901</v>
      </c>
      <c r="U1682">
        <v>0.13964840000000001</v>
      </c>
      <c r="V1682">
        <v>3.3611519999999999E-2</v>
      </c>
      <c r="W1682">
        <v>7.3630789999999998E-3</v>
      </c>
      <c r="X1682">
        <v>0.99940779999999996</v>
      </c>
      <c r="Y1682">
        <v>2.0383600000000002E-2</v>
      </c>
      <c r="Z1682">
        <v>-8.0951179999999903E-4</v>
      </c>
      <c r="AA1682">
        <v>0.99979189999999996</v>
      </c>
      <c r="AB1682">
        <v>31</v>
      </c>
      <c r="AC1682">
        <v>-21.6710999999999</v>
      </c>
      <c r="AD1682">
        <v>-1.10719288583999</v>
      </c>
      <c r="AE1682">
        <v>1.0122</v>
      </c>
      <c r="AF1682">
        <v>0.44306142957643602</v>
      </c>
      <c r="AG1682">
        <v>-1.10719288583999</v>
      </c>
      <c r="AH1682">
        <v>21.633830312245401</v>
      </c>
      <c r="AI1682">
        <v>92.929158357657101</v>
      </c>
      <c r="AJ1682">
        <v>88.826744901858106</v>
      </c>
      <c r="AK1682">
        <v>21.666674721697898</v>
      </c>
      <c r="AL1682">
        <v>89.578122815899803</v>
      </c>
      <c r="AM1682">
        <v>88.073786638213306</v>
      </c>
      <c r="AN1682">
        <v>0.999999949954954</v>
      </c>
    </row>
    <row r="1683" spans="1:40" x14ac:dyDescent="0.25">
      <c r="A1683" t="str">
        <f>"20190312160329617"</f>
        <v>20190312160329617</v>
      </c>
      <c r="B1683" t="str">
        <f>"1552377809606360"</f>
        <v>1552377809606360</v>
      </c>
      <c r="C1683" t="s">
        <v>40</v>
      </c>
      <c r="D1683">
        <v>5.5712260000000002</v>
      </c>
      <c r="E1683">
        <v>0.49599979999999999</v>
      </c>
      <c r="F1683" t="s">
        <v>70</v>
      </c>
      <c r="G1683">
        <v>-259.33890000000002</v>
      </c>
      <c r="H1683" s="1">
        <v>3.4329260000000001E-6</v>
      </c>
      <c r="I1683">
        <v>283.72539999999998</v>
      </c>
      <c r="J1683">
        <v>-237.24420000000001</v>
      </c>
      <c r="K1683">
        <v>1.1071070000000001</v>
      </c>
      <c r="L1683">
        <v>282.65690000000001</v>
      </c>
      <c r="M1683">
        <v>-0.99952359999999896</v>
      </c>
      <c r="N1683">
        <v>0</v>
      </c>
      <c r="O1683">
        <v>2.8192720000000001E-2</v>
      </c>
      <c r="P1683">
        <v>-0.99807460000000003</v>
      </c>
      <c r="Q1683">
        <v>-5.3589379999999997E-3</v>
      </c>
      <c r="R1683">
        <v>6.1793380000000002E-2</v>
      </c>
      <c r="S1683">
        <v>-2.9960019999999998</v>
      </c>
      <c r="T1683">
        <v>-0.1489509</v>
      </c>
      <c r="U1683">
        <v>0.1446228</v>
      </c>
      <c r="V1683">
        <v>3.3675959999999998E-2</v>
      </c>
      <c r="W1683">
        <v>6.9668369999999896E-3</v>
      </c>
      <c r="X1683">
        <v>0.99940850000000003</v>
      </c>
      <c r="Y1683">
        <v>2.00445E-2</v>
      </c>
      <c r="Z1683">
        <v>-9.0202489999999995E-4</v>
      </c>
      <c r="AA1683">
        <v>0.99979870000000004</v>
      </c>
      <c r="AB1683">
        <v>31</v>
      </c>
      <c r="AC1683">
        <v>-22.0947</v>
      </c>
      <c r="AD1683">
        <v>-1.1071035670739999</v>
      </c>
      <c r="AE1683">
        <v>1.06849999999997</v>
      </c>
      <c r="AF1683">
        <v>0.44400421017543401</v>
      </c>
      <c r="AG1683">
        <v>-1.1071035670739999</v>
      </c>
      <c r="AH1683">
        <v>22.060782937749199</v>
      </c>
      <c r="AI1683">
        <v>92.872354105643893</v>
      </c>
      <c r="AJ1683">
        <v>88.846997711619494</v>
      </c>
      <c r="AK1683">
        <v>22.093007080824599</v>
      </c>
      <c r="AL1683">
        <v>89.600826405609396</v>
      </c>
      <c r="AM1683">
        <v>88.070097842943994</v>
      </c>
      <c r="AN1683">
        <v>0.99999997848597699</v>
      </c>
    </row>
    <row r="1684" spans="1:40" x14ac:dyDescent="0.25">
      <c r="A1684" t="str">
        <f>"20190312160329635"</f>
        <v>20190312160329635</v>
      </c>
      <c r="B1684" t="str">
        <f>"1552377809625879"</f>
        <v>1552377809625879</v>
      </c>
      <c r="C1684" t="s">
        <v>40</v>
      </c>
      <c r="D1684">
        <v>5.6836159999999998</v>
      </c>
      <c r="E1684">
        <v>0.49586960000000002</v>
      </c>
      <c r="F1684" t="s">
        <v>70</v>
      </c>
      <c r="G1684">
        <v>-259.90609999999998</v>
      </c>
      <c r="H1684" s="1">
        <v>3.7347340000000001E-6</v>
      </c>
      <c r="I1684">
        <v>283.78930000000003</v>
      </c>
      <c r="J1684">
        <v>-237.50810000000001</v>
      </c>
      <c r="K1684">
        <v>1.1069910000000001</v>
      </c>
      <c r="L1684">
        <v>282.66739999999999</v>
      </c>
      <c r="M1684">
        <v>-0.99943199999999999</v>
      </c>
      <c r="N1684">
        <v>0</v>
      </c>
      <c r="O1684">
        <v>3.1271010000000002E-2</v>
      </c>
      <c r="P1684">
        <v>-0.99789050000000001</v>
      </c>
      <c r="Q1684">
        <v>-6.1856910000000001E-3</v>
      </c>
      <c r="R1684">
        <v>6.4624760000000003E-2</v>
      </c>
      <c r="S1684">
        <v>-2.9957579999999999</v>
      </c>
      <c r="T1684">
        <v>-0.14635209999999901</v>
      </c>
      <c r="U1684">
        <v>0.14968870000000001</v>
      </c>
      <c r="V1684">
        <v>3.3429540000000001E-2</v>
      </c>
      <c r="W1684">
        <v>6.1381119999999898E-3</v>
      </c>
      <c r="X1684">
        <v>0.99942229999999999</v>
      </c>
      <c r="Y1684">
        <v>1.8660699999999999E-2</v>
      </c>
      <c r="Z1684">
        <v>-1.0702000000000001E-3</v>
      </c>
      <c r="AA1684">
        <v>0.99982530000000003</v>
      </c>
      <c r="AB1684">
        <v>31</v>
      </c>
      <c r="AC1684">
        <v>-22.3979999999999</v>
      </c>
      <c r="AD1684">
        <v>-1.106987265266</v>
      </c>
      <c r="AE1684">
        <v>1.1219000000000301</v>
      </c>
      <c r="AF1684">
        <v>0.41986485922764999</v>
      </c>
      <c r="AG1684">
        <v>-1.106987265266</v>
      </c>
      <c r="AH1684">
        <v>22.36762982414</v>
      </c>
      <c r="AI1684">
        <v>92.832792190472802</v>
      </c>
      <c r="AJ1684">
        <v>88.924621887956704</v>
      </c>
      <c r="AK1684">
        <v>22.398941297642398</v>
      </c>
      <c r="AL1684">
        <v>89.648309905168603</v>
      </c>
      <c r="AM1684">
        <v>88.084235553469895</v>
      </c>
      <c r="AN1684">
        <v>1.0000000721504101</v>
      </c>
    </row>
    <row r="1685" spans="1:40" x14ac:dyDescent="0.25">
      <c r="A1685" t="str">
        <f>"20190312160329657"</f>
        <v>20190312160329657</v>
      </c>
      <c r="B1685" t="str">
        <f>"1552377809646379"</f>
        <v>1552377809646379</v>
      </c>
      <c r="C1685" t="s">
        <v>40</v>
      </c>
      <c r="D1685">
        <v>5.7371239999999997</v>
      </c>
      <c r="E1685">
        <v>0.49574649999999998</v>
      </c>
      <c r="F1685" t="s">
        <v>70</v>
      </c>
      <c r="G1685">
        <v>-259.97030000000001</v>
      </c>
      <c r="H1685" s="1">
        <v>-1.552579E-6</v>
      </c>
      <c r="I1685">
        <v>283.84789999999998</v>
      </c>
      <c r="J1685">
        <v>-237.8023</v>
      </c>
      <c r="K1685">
        <v>1.1068849999999999</v>
      </c>
      <c r="L1685">
        <v>282.68009999999998</v>
      </c>
      <c r="M1685">
        <v>-0.99931559999999997</v>
      </c>
      <c r="N1685">
        <v>0</v>
      </c>
      <c r="O1685">
        <v>3.4794430000000001E-2</v>
      </c>
      <c r="P1685">
        <v>-0.99763869999999999</v>
      </c>
      <c r="Q1685">
        <v>-7.3175089999999998E-3</v>
      </c>
      <c r="R1685">
        <v>6.8289660000000002E-2</v>
      </c>
      <c r="S1685">
        <v>-2.9952390000000002</v>
      </c>
      <c r="T1685">
        <v>-0.14761250000000001</v>
      </c>
      <c r="U1685">
        <v>0.15740970000000001</v>
      </c>
      <c r="V1685">
        <v>3.3570389999999999E-2</v>
      </c>
      <c r="W1685">
        <v>5.0018270000000004E-3</v>
      </c>
      <c r="X1685">
        <v>0.99942390000000003</v>
      </c>
      <c r="Y1685">
        <v>1.7720509999999998E-2</v>
      </c>
      <c r="Z1685">
        <v>-1.275928E-3</v>
      </c>
      <c r="AA1685">
        <v>0.99984220000000001</v>
      </c>
      <c r="AB1685">
        <v>31</v>
      </c>
      <c r="AC1685">
        <v>-22.167999999999999</v>
      </c>
      <c r="AD1685">
        <v>-1.1068865525789999</v>
      </c>
      <c r="AE1685">
        <v>1.16779999999999</v>
      </c>
      <c r="AF1685">
        <v>0.39472762970159703</v>
      </c>
      <c r="AG1685">
        <v>-1.1068865525789999</v>
      </c>
      <c r="AH1685">
        <v>22.140164489076799</v>
      </c>
      <c r="AI1685">
        <v>92.861637135573702</v>
      </c>
      <c r="AJ1685">
        <v>88.978605987486901</v>
      </c>
      <c r="AK1685">
        <v>22.171330391866601</v>
      </c>
      <c r="AL1685">
        <v>89.713415245435101</v>
      </c>
      <c r="AM1685">
        <v>88.076172917924396</v>
      </c>
      <c r="AN1685">
        <v>1.00000006062464</v>
      </c>
    </row>
    <row r="1686" spans="1:40" x14ac:dyDescent="0.25">
      <c r="A1686" t="str">
        <f>"20190312160329679"</f>
        <v>20190312160329679</v>
      </c>
      <c r="B1686" t="str">
        <f>"1552377809676631"</f>
        <v>1552377809676631</v>
      </c>
      <c r="C1686" t="s">
        <v>40</v>
      </c>
      <c r="D1686">
        <v>5.6970609999999997</v>
      </c>
      <c r="E1686">
        <v>0.4957588</v>
      </c>
      <c r="F1686" t="s">
        <v>70</v>
      </c>
      <c r="G1686">
        <v>-260.25760000000002</v>
      </c>
      <c r="H1686" s="1">
        <v>-1.399687E-6</v>
      </c>
      <c r="I1686">
        <v>283.93599999999998</v>
      </c>
      <c r="J1686">
        <v>-238.11490000000001</v>
      </c>
      <c r="K1686">
        <v>1.1067910000000001</v>
      </c>
      <c r="L1686">
        <v>282.69490000000002</v>
      </c>
      <c r="M1686">
        <v>-0.99917480000000003</v>
      </c>
      <c r="N1686">
        <v>0</v>
      </c>
      <c r="O1686">
        <v>3.8621589999999997E-2</v>
      </c>
      <c r="P1686">
        <v>-0.99734699999999998</v>
      </c>
      <c r="Q1686">
        <v>-8.6401840000000004E-3</v>
      </c>
      <c r="R1686">
        <v>7.2279010000000005E-2</v>
      </c>
      <c r="S1686">
        <v>-2.9945529999999998</v>
      </c>
      <c r="T1686">
        <v>-0.14760970000000001</v>
      </c>
      <c r="U1686">
        <v>0.1674805</v>
      </c>
      <c r="V1686">
        <v>3.373147E-2</v>
      </c>
      <c r="W1686">
        <v>3.6757550000000002E-3</v>
      </c>
      <c r="X1686">
        <v>0.99942419999999998</v>
      </c>
      <c r="Y1686">
        <v>1.7260899999999999E-2</v>
      </c>
      <c r="Z1686">
        <v>-1.47558E-3</v>
      </c>
      <c r="AA1686">
        <v>0.99984989999999996</v>
      </c>
      <c r="AB1686">
        <v>31</v>
      </c>
      <c r="AC1686">
        <v>-22.142700000000001</v>
      </c>
      <c r="AD1686">
        <v>-1.1067923996869999</v>
      </c>
      <c r="AE1686">
        <v>1.2410999999999599</v>
      </c>
      <c r="AF1686">
        <v>0.383963680090393</v>
      </c>
      <c r="AG1686">
        <v>-1.1067923996869999</v>
      </c>
      <c r="AH1686">
        <v>22.1190236728362</v>
      </c>
      <c r="AI1686">
        <v>92.864148041402302</v>
      </c>
      <c r="AJ1686">
        <v>89.005503617756801</v>
      </c>
      <c r="AK1686">
        <v>22.150025412245501</v>
      </c>
      <c r="AL1686">
        <v>89.789394283488406</v>
      </c>
      <c r="AM1686">
        <v>88.066949430821296</v>
      </c>
      <c r="AN1686">
        <v>1.0000000273944101</v>
      </c>
    </row>
    <row r="1687" spans="1:40" x14ac:dyDescent="0.25">
      <c r="A1687" t="str">
        <f>"20190312160329702"</f>
        <v>20190312160329702</v>
      </c>
      <c r="B1687" t="str">
        <f>"1552377809686394"</f>
        <v>1552377809686394</v>
      </c>
      <c r="C1687" t="s">
        <v>40</v>
      </c>
      <c r="D1687">
        <v>5.8306490000000002</v>
      </c>
      <c r="E1687">
        <v>0.49630869999999999</v>
      </c>
      <c r="F1687" t="s">
        <v>70</v>
      </c>
      <c r="G1687">
        <v>-260.63909999999998</v>
      </c>
      <c r="H1687" s="1">
        <v>-1.196702E-6</v>
      </c>
      <c r="I1687">
        <v>284.04340000000002</v>
      </c>
      <c r="J1687">
        <v>-238.43100000000001</v>
      </c>
      <c r="K1687">
        <v>1.1067209999999901</v>
      </c>
      <c r="L1687">
        <v>282.71120000000002</v>
      </c>
      <c r="M1687">
        <v>-0.99901490000000004</v>
      </c>
      <c r="N1687">
        <v>0</v>
      </c>
      <c r="O1687">
        <v>4.2555309999999999E-2</v>
      </c>
      <c r="P1687">
        <v>-0.99700259999999996</v>
      </c>
      <c r="Q1687">
        <v>-9.2095049999999998E-3</v>
      </c>
      <c r="R1687">
        <v>7.681818E-2</v>
      </c>
      <c r="S1687">
        <v>-2.9937130000000001</v>
      </c>
      <c r="T1687">
        <v>-0.14710500000000001</v>
      </c>
      <c r="U1687">
        <v>0.17922969999999999</v>
      </c>
      <c r="V1687">
        <v>3.4342289999999998E-2</v>
      </c>
      <c r="W1687">
        <v>3.1006919999999999E-3</v>
      </c>
      <c r="X1687">
        <v>0.99940530000000005</v>
      </c>
      <c r="Y1687">
        <v>1.7255320000000001E-2</v>
      </c>
      <c r="Z1687">
        <v>-1.663671E-3</v>
      </c>
      <c r="AA1687">
        <v>0.99984969999999995</v>
      </c>
      <c r="AB1687">
        <v>31</v>
      </c>
      <c r="AC1687">
        <v>-22.208100000000002</v>
      </c>
      <c r="AD1687">
        <v>-1.10672219670199</v>
      </c>
      <c r="AE1687">
        <v>1.3322000000000001</v>
      </c>
      <c r="AF1687">
        <v>0.38489317238232801</v>
      </c>
      <c r="AG1687">
        <v>-1.10672219670199</v>
      </c>
      <c r="AH1687">
        <v>22.189765984534102</v>
      </c>
      <c r="AI1687">
        <v>92.854851968599505</v>
      </c>
      <c r="AJ1687">
        <v>89.006274193939305</v>
      </c>
      <c r="AK1687">
        <v>22.2206816102298</v>
      </c>
      <c r="AL1687">
        <v>89.822343146676701</v>
      </c>
      <c r="AM1687">
        <v>88.031935240041804</v>
      </c>
      <c r="AN1687">
        <v>0.99999998042070604</v>
      </c>
    </row>
    <row r="1688" spans="1:40" x14ac:dyDescent="0.25">
      <c r="A1688" t="str">
        <f>"20190312160329716"</f>
        <v>20190312160329716</v>
      </c>
      <c r="B1688" t="str">
        <f>"1552377809705913"</f>
        <v>1552377809705913</v>
      </c>
      <c r="C1688" t="s">
        <v>40</v>
      </c>
      <c r="D1688">
        <v>5.787407</v>
      </c>
      <c r="E1688">
        <v>0.51569240000000005</v>
      </c>
      <c r="F1688" t="s">
        <v>70</v>
      </c>
      <c r="G1688">
        <v>-260.25200000000001</v>
      </c>
      <c r="H1688" s="1">
        <v>-1.402687E-6</v>
      </c>
      <c r="I1688">
        <v>284.14920000000001</v>
      </c>
      <c r="J1688">
        <v>-238.62389999999999</v>
      </c>
      <c r="K1688">
        <v>1.1066830000000001</v>
      </c>
      <c r="L1688">
        <v>282.7217</v>
      </c>
      <c r="M1688">
        <v>-0.99890880000000004</v>
      </c>
      <c r="N1688">
        <v>0</v>
      </c>
      <c r="O1688">
        <v>4.4978690000000002E-2</v>
      </c>
      <c r="P1688">
        <v>-0.99679390000000001</v>
      </c>
      <c r="Q1688">
        <v>-9.0748240000000004E-3</v>
      </c>
      <c r="R1688">
        <v>7.9497020000000002E-2</v>
      </c>
      <c r="S1688">
        <v>-2.992432</v>
      </c>
      <c r="T1688">
        <v>-0.1517712</v>
      </c>
      <c r="U1688">
        <v>0.19720460000000001</v>
      </c>
      <c r="V1688">
        <v>3.460473E-2</v>
      </c>
      <c r="W1688">
        <v>3.2327760000000001E-3</v>
      </c>
      <c r="X1688">
        <v>0.99939579999999995</v>
      </c>
      <c r="Y1688">
        <v>2.0837890000000001E-2</v>
      </c>
      <c r="Z1688">
        <v>-1.7485549999999999E-3</v>
      </c>
      <c r="AA1688">
        <v>0.99978129999999998</v>
      </c>
      <c r="AB1688">
        <v>31</v>
      </c>
      <c r="AC1688">
        <v>-21.6281</v>
      </c>
      <c r="AD1688">
        <v>-1.106684402687</v>
      </c>
      <c r="AE1688">
        <v>1.4275</v>
      </c>
      <c r="AF1688">
        <v>0.451996232360801</v>
      </c>
      <c r="AG1688">
        <v>-1.106684402687</v>
      </c>
      <c r="AH1688">
        <v>21.614074343413201</v>
      </c>
      <c r="AI1688">
        <v>92.930460776715805</v>
      </c>
      <c r="AJ1688">
        <v>88.801998090990807</v>
      </c>
      <c r="AK1688">
        <v>21.647107443808999</v>
      </c>
      <c r="AL1688">
        <v>89.814775247500606</v>
      </c>
      <c r="AM1688">
        <v>88.016888632994196</v>
      </c>
      <c r="AN1688">
        <v>0.99999995161833799</v>
      </c>
    </row>
    <row r="1689" spans="1:40" x14ac:dyDescent="0.25">
      <c r="A1689" t="str">
        <f>"20190312160329736"</f>
        <v>20190312160329736</v>
      </c>
      <c r="B1689" t="str">
        <f>"1552377809726407"</f>
        <v>1552377809726407</v>
      </c>
      <c r="C1689" t="s">
        <v>40</v>
      </c>
      <c r="D1689">
        <v>5.3017159999999999</v>
      </c>
      <c r="E1689">
        <v>0.51621629999999996</v>
      </c>
      <c r="F1689" t="s">
        <v>49</v>
      </c>
      <c r="G1689">
        <v>-239.5034</v>
      </c>
      <c r="H1689">
        <v>1.0258229999999999</v>
      </c>
      <c r="I1689">
        <v>282.82679999999999</v>
      </c>
      <c r="J1689">
        <v>-238.90770000000001</v>
      </c>
      <c r="K1689">
        <v>1.1066389999999999</v>
      </c>
      <c r="L1689">
        <v>282.73809999999997</v>
      </c>
      <c r="M1689">
        <v>-0.99874090000000004</v>
      </c>
      <c r="N1689">
        <v>0</v>
      </c>
      <c r="O1689">
        <v>4.856274E-2</v>
      </c>
      <c r="P1689">
        <v>-0.99653270000000005</v>
      </c>
      <c r="Q1689">
        <v>-8.4870899999999992E-3</v>
      </c>
      <c r="R1689">
        <v>8.2768289999999994E-2</v>
      </c>
      <c r="S1689">
        <v>-2.9787750000000002</v>
      </c>
      <c r="T1689">
        <v>-0.27388499999999999</v>
      </c>
      <c r="U1689">
        <v>0.35565190000000002</v>
      </c>
      <c r="V1689">
        <v>3.430354E-2</v>
      </c>
      <c r="W1689">
        <v>3.8226200000000001E-3</v>
      </c>
      <c r="X1689">
        <v>0.99940410000000002</v>
      </c>
      <c r="Y1689">
        <v>7.0099789999999995E-2</v>
      </c>
      <c r="Z1689">
        <v>-1.2313129999999999E-3</v>
      </c>
      <c r="AA1689">
        <v>0.99753919999999996</v>
      </c>
      <c r="AB1689">
        <v>31</v>
      </c>
      <c r="AC1689">
        <v>-0.59569999999999301</v>
      </c>
      <c r="AD1689">
        <v>-8.0815999999999999E-2</v>
      </c>
      <c r="AE1689">
        <v>8.8700000000017099E-2</v>
      </c>
      <c r="AF1689">
        <v>5.8608907007571702E-2</v>
      </c>
      <c r="AG1689">
        <v>-8.0815999999999999E-2</v>
      </c>
      <c r="AH1689">
        <v>0.58870471667873903</v>
      </c>
      <c r="AI1689">
        <v>97.778593920623194</v>
      </c>
      <c r="AJ1689">
        <v>84.314612743823204</v>
      </c>
      <c r="AK1689">
        <v>0.59710926410198795</v>
      </c>
      <c r="AL1689">
        <v>89.780979463002197</v>
      </c>
      <c r="AM1689">
        <v>88.034151796940506</v>
      </c>
      <c r="AN1689">
        <v>0.99999995018850096</v>
      </c>
    </row>
    <row r="1690" spans="1:40" x14ac:dyDescent="0.25">
      <c r="A1690" t="str">
        <f>"20190312160329748"</f>
        <v>20190312160329748</v>
      </c>
      <c r="B1690" t="str">
        <f>"1552377809736168"</f>
        <v>1552377809736168</v>
      </c>
      <c r="C1690" t="s">
        <v>40</v>
      </c>
      <c r="D1690">
        <v>5.7571199999999996</v>
      </c>
      <c r="E1690">
        <v>0.51611300000000004</v>
      </c>
      <c r="F1690" t="s">
        <v>49</v>
      </c>
      <c r="G1690">
        <v>-239.7809</v>
      </c>
      <c r="H1690">
        <v>1.025312</v>
      </c>
      <c r="I1690">
        <v>282.8467</v>
      </c>
      <c r="J1690">
        <v>-239.07679999999999</v>
      </c>
      <c r="K1690">
        <v>1.1066119999999999</v>
      </c>
      <c r="L1690">
        <v>282.7482</v>
      </c>
      <c r="M1690">
        <v>-0.99863449999999998</v>
      </c>
      <c r="N1690">
        <v>0</v>
      </c>
      <c r="O1690">
        <v>5.0704810000000003E-2</v>
      </c>
      <c r="P1690">
        <v>-0.99638590000000005</v>
      </c>
      <c r="Q1690">
        <v>-8.0027220000000003E-3</v>
      </c>
      <c r="R1690">
        <v>8.4564689999999998E-2</v>
      </c>
      <c r="S1690">
        <v>-2.977417</v>
      </c>
      <c r="T1690">
        <v>-0.2772191</v>
      </c>
      <c r="U1690">
        <v>0.36968990000000002</v>
      </c>
      <c r="V1690">
        <v>3.3965410000000001E-2</v>
      </c>
      <c r="W1690">
        <v>4.3099430000000001E-3</v>
      </c>
      <c r="X1690">
        <v>0.99941369999999896</v>
      </c>
      <c r="Y1690">
        <v>7.2644109999999998E-2</v>
      </c>
      <c r="Z1690">
        <v>-1.326362E-3</v>
      </c>
      <c r="AA1690">
        <v>0.9973571</v>
      </c>
      <c r="AB1690">
        <v>31</v>
      </c>
      <c r="AC1690">
        <v>-0.70410000000001105</v>
      </c>
      <c r="AD1690">
        <v>-8.1300000000000094E-2</v>
      </c>
      <c r="AE1690">
        <v>9.8500000000001295E-2</v>
      </c>
      <c r="AF1690">
        <v>6.1860274963572298E-2</v>
      </c>
      <c r="AG1690">
        <v>-8.1300000000000094E-2</v>
      </c>
      <c r="AH1690">
        <v>0.69904780605279304</v>
      </c>
      <c r="AI1690">
        <v>96.608164027001393</v>
      </c>
      <c r="AJ1690">
        <v>84.942943619013604</v>
      </c>
      <c r="AK1690">
        <v>0.70647308424722899</v>
      </c>
      <c r="AL1690">
        <v>89.753057687739101</v>
      </c>
      <c r="AM1690">
        <v>88.053532865797294</v>
      </c>
      <c r="AN1690">
        <v>0.99999998421641001</v>
      </c>
    </row>
    <row r="1691" spans="1:40" x14ac:dyDescent="0.25">
      <c r="A1691" t="str">
        <f>"20190312160329760"</f>
        <v>20190312160329760</v>
      </c>
      <c r="B1691" t="str">
        <f>"1552377809756663"</f>
        <v>1552377809756663</v>
      </c>
      <c r="C1691" t="s">
        <v>40</v>
      </c>
      <c r="D1691">
        <v>5.8381679999999996</v>
      </c>
      <c r="E1691">
        <v>0.51639629999999903</v>
      </c>
      <c r="F1691" t="s">
        <v>49</v>
      </c>
      <c r="G1691">
        <v>-240.053</v>
      </c>
      <c r="H1691">
        <v>1.0146500000000001</v>
      </c>
      <c r="I1691">
        <v>282.87119999999999</v>
      </c>
      <c r="J1691">
        <v>-239.25239999999999</v>
      </c>
      <c r="K1691">
        <v>1.106595</v>
      </c>
      <c r="L1691">
        <v>282.75940000000003</v>
      </c>
      <c r="M1691">
        <v>-0.99851869999999998</v>
      </c>
      <c r="N1691">
        <v>0</v>
      </c>
      <c r="O1691">
        <v>5.2934589999999997E-2</v>
      </c>
      <c r="P1691">
        <v>-0.99623099999999998</v>
      </c>
      <c r="Q1691">
        <v>-7.9882719999999994E-3</v>
      </c>
      <c r="R1691">
        <v>8.6372649999999995E-2</v>
      </c>
      <c r="S1691">
        <v>-2.976807</v>
      </c>
      <c r="T1691">
        <v>-0.28045140000000002</v>
      </c>
      <c r="U1691">
        <v>0.37460329999999997</v>
      </c>
      <c r="V1691">
        <v>3.3547720000000003E-2</v>
      </c>
      <c r="W1691">
        <v>4.328063E-3</v>
      </c>
      <c r="X1691">
        <v>0.99942770000000003</v>
      </c>
      <c r="Y1691">
        <v>7.2072890000000001E-2</v>
      </c>
      <c r="Z1691">
        <v>-1.5768500000000001E-3</v>
      </c>
      <c r="AA1691">
        <v>0.99739809999999995</v>
      </c>
      <c r="AB1691">
        <v>31</v>
      </c>
      <c r="AC1691">
        <v>-0.80060000000000198</v>
      </c>
      <c r="AD1691">
        <v>-9.1944999999999902E-2</v>
      </c>
      <c r="AE1691">
        <v>0.111799999999959</v>
      </c>
      <c r="AF1691">
        <v>6.8375854890723203E-2</v>
      </c>
      <c r="AG1691">
        <v>-9.1944999999999902E-2</v>
      </c>
      <c r="AH1691">
        <v>0.79510949779412199</v>
      </c>
      <c r="AI1691">
        <v>96.572237003833905</v>
      </c>
      <c r="AJ1691">
        <v>85.084911901296195</v>
      </c>
      <c r="AK1691">
        <v>0.80332325625457801</v>
      </c>
      <c r="AL1691">
        <v>89.752019471167003</v>
      </c>
      <c r="AM1691">
        <v>88.077478402568701</v>
      </c>
      <c r="AN1691">
        <v>0.99999995458690905</v>
      </c>
    </row>
    <row r="1692" spans="1:40" x14ac:dyDescent="0.25">
      <c r="A1692" t="str">
        <f>"20190312160329773"</f>
        <v>20190312160329773</v>
      </c>
      <c r="B1692" t="str">
        <f>"1552377809766423"</f>
        <v>1552377809766423</v>
      </c>
      <c r="C1692" t="s">
        <v>40</v>
      </c>
      <c r="D1692">
        <v>6.1393139999999997</v>
      </c>
      <c r="E1692">
        <v>0.51659409999999995</v>
      </c>
      <c r="F1692" t="s">
        <v>49</v>
      </c>
      <c r="G1692">
        <v>-240.06059999999999</v>
      </c>
      <c r="H1692">
        <v>1.0292460000000001</v>
      </c>
      <c r="I1692">
        <v>282.86329999999998</v>
      </c>
      <c r="J1692">
        <v>-239.4186</v>
      </c>
      <c r="K1692">
        <v>1.106582</v>
      </c>
      <c r="L1692">
        <v>282.77030000000002</v>
      </c>
      <c r="M1692">
        <v>-0.99840439999999997</v>
      </c>
      <c r="N1692">
        <v>0</v>
      </c>
      <c r="O1692">
        <v>5.5045789999999997E-2</v>
      </c>
      <c r="P1692">
        <v>-0.99608509999999995</v>
      </c>
      <c r="Q1692">
        <v>-8.4614100000000008E-3</v>
      </c>
      <c r="R1692">
        <v>8.7994290000000003E-2</v>
      </c>
      <c r="S1692">
        <v>-2.9759519999999999</v>
      </c>
      <c r="T1692">
        <v>-0.28484219999999999</v>
      </c>
      <c r="U1692">
        <v>0.38198850000000001</v>
      </c>
      <c r="V1692">
        <v>3.3058150000000001E-2</v>
      </c>
      <c r="W1692">
        <v>3.8598119999999998E-3</v>
      </c>
      <c r="X1692">
        <v>0.99944599999999995</v>
      </c>
      <c r="Y1692">
        <v>7.244043E-2</v>
      </c>
      <c r="Z1692">
        <v>-1.78431799999999E-3</v>
      </c>
      <c r="AA1692">
        <v>0.99737109999999995</v>
      </c>
      <c r="AB1692">
        <v>31</v>
      </c>
      <c r="AC1692">
        <v>-0.64199999999999502</v>
      </c>
      <c r="AD1692">
        <v>-7.7336000000000002E-2</v>
      </c>
      <c r="AE1692">
        <v>9.2999999999960795E-2</v>
      </c>
      <c r="AF1692">
        <v>5.6710764941732897E-2</v>
      </c>
      <c r="AG1692">
        <v>-7.7336000000000002E-2</v>
      </c>
      <c r="AH1692">
        <v>0.63709138925944697</v>
      </c>
      <c r="AI1692">
        <v>96.894228546723696</v>
      </c>
      <c r="AJ1692">
        <v>84.913216543767902</v>
      </c>
      <c r="AK1692">
        <v>0.64426889264095999</v>
      </c>
      <c r="AL1692">
        <v>89.778848518683901</v>
      </c>
      <c r="AM1692">
        <v>88.105548293120094</v>
      </c>
      <c r="AN1692">
        <v>1.0000000231730399</v>
      </c>
    </row>
    <row r="1693" spans="1:40" x14ac:dyDescent="0.25">
      <c r="A1693" t="str">
        <f>"20190312160329791"</f>
        <v>20190312160329791</v>
      </c>
      <c r="B1693" t="str">
        <f>"1552377809785944"</f>
        <v>1552377809785944</v>
      </c>
      <c r="C1693" t="s">
        <v>40</v>
      </c>
      <c r="D1693">
        <v>5.7172470000000004</v>
      </c>
      <c r="E1693">
        <v>0.51664030000000005</v>
      </c>
      <c r="F1693" t="s">
        <v>49</v>
      </c>
      <c r="G1693">
        <v>-240.33240000000001</v>
      </c>
      <c r="H1693">
        <v>1.018194</v>
      </c>
      <c r="I1693">
        <v>282.88959999999997</v>
      </c>
      <c r="J1693">
        <v>-239.67089999999999</v>
      </c>
      <c r="K1693">
        <v>1.1065659999999999</v>
      </c>
      <c r="L1693">
        <v>282.78730000000002</v>
      </c>
      <c r="M1693">
        <v>-0.99822250000000001</v>
      </c>
      <c r="N1693">
        <v>0</v>
      </c>
      <c r="O1693">
        <v>5.8251190000000001E-2</v>
      </c>
      <c r="P1693">
        <v>-0.99583489999999997</v>
      </c>
      <c r="Q1693">
        <v>-1.030969E-2</v>
      </c>
      <c r="R1693">
        <v>9.0591149999999995E-2</v>
      </c>
      <c r="S1693">
        <v>-2.975082</v>
      </c>
      <c r="T1693">
        <v>-0.28771350000000001</v>
      </c>
      <c r="U1693">
        <v>0.38830569999999998</v>
      </c>
      <c r="V1693">
        <v>3.2441369999999997E-2</v>
      </c>
      <c r="W1693">
        <v>2.0177989999999998E-3</v>
      </c>
      <c r="X1693">
        <v>0.99947160000000002</v>
      </c>
      <c r="Y1693">
        <v>7.1375629999999995E-2</v>
      </c>
      <c r="Z1693">
        <v>-2.1606310000000001E-3</v>
      </c>
      <c r="AA1693">
        <v>0.99744719999999998</v>
      </c>
      <c r="AB1693">
        <v>31</v>
      </c>
      <c r="AC1693">
        <v>-0.66150000000001796</v>
      </c>
      <c r="AD1693">
        <v>-8.8371999999999895E-2</v>
      </c>
      <c r="AE1693">
        <v>0.102299999999956</v>
      </c>
      <c r="AF1693">
        <v>6.25006378145984E-2</v>
      </c>
      <c r="AG1693">
        <v>-8.8371999999999895E-2</v>
      </c>
      <c r="AH1693">
        <v>0.65492066180012098</v>
      </c>
      <c r="AI1693">
        <v>97.650469965716397</v>
      </c>
      <c r="AJ1693">
        <v>84.548636504573906</v>
      </c>
      <c r="AK1693">
        <v>0.66380495129513795</v>
      </c>
      <c r="AL1693">
        <v>89.884388554549204</v>
      </c>
      <c r="AM1693">
        <v>88.140916432037997</v>
      </c>
      <c r="AN1693">
        <v>0.99999999660341998</v>
      </c>
    </row>
    <row r="1694" spans="1:40" x14ac:dyDescent="0.25">
      <c r="A1694" t="str">
        <f>"20190312160329803"</f>
        <v>20190312160329803</v>
      </c>
      <c r="B1694" t="str">
        <f>"1552377809796679"</f>
        <v>1552377809796679</v>
      </c>
      <c r="C1694" t="s">
        <v>40</v>
      </c>
      <c r="D1694">
        <v>5.7007989999999999</v>
      </c>
      <c r="E1694">
        <v>0.51664790000000005</v>
      </c>
      <c r="F1694" t="s">
        <v>49</v>
      </c>
      <c r="G1694">
        <v>-240.60730000000001</v>
      </c>
      <c r="H1694">
        <v>1.0133030000000001</v>
      </c>
      <c r="I1694">
        <v>282.91199999999998</v>
      </c>
      <c r="J1694">
        <v>-239.84059999999999</v>
      </c>
      <c r="K1694">
        <v>1.1065579999999999</v>
      </c>
      <c r="L1694">
        <v>282.79930000000002</v>
      </c>
      <c r="M1694">
        <v>-0.9980945</v>
      </c>
      <c r="N1694">
        <v>0</v>
      </c>
      <c r="O1694">
        <v>6.0406349999999998E-2</v>
      </c>
      <c r="P1694">
        <v>-0.99565289999999995</v>
      </c>
      <c r="Q1694">
        <v>-1.0849869999999999E-2</v>
      </c>
      <c r="R1694">
        <v>9.250775E-2</v>
      </c>
      <c r="S1694">
        <v>-2.9734799999999999</v>
      </c>
      <c r="T1694">
        <v>-0.29610779999999998</v>
      </c>
      <c r="U1694">
        <v>0.39578249999999998</v>
      </c>
      <c r="V1694">
        <v>3.220311E-2</v>
      </c>
      <c r="W1694">
        <v>1.4808810000000001E-3</v>
      </c>
      <c r="X1694">
        <v>0.99948020000000004</v>
      </c>
      <c r="Y1694">
        <v>7.1761179999999994E-2</v>
      </c>
      <c r="Z1694">
        <v>-2.417485E-3</v>
      </c>
      <c r="AA1694">
        <v>0.9974189</v>
      </c>
      <c r="AB1694">
        <v>31</v>
      </c>
      <c r="AC1694">
        <v>-0.76670000000001404</v>
      </c>
      <c r="AD1694">
        <v>-9.3254999999999796E-2</v>
      </c>
      <c r="AE1694">
        <v>0.11270000000001799</v>
      </c>
      <c r="AF1694">
        <v>6.5232291970144601E-2</v>
      </c>
      <c r="AG1694">
        <v>-9.3254999999999796E-2</v>
      </c>
      <c r="AH1694">
        <v>0.76108644985197305</v>
      </c>
      <c r="AI1694">
        <v>96.960295402538605</v>
      </c>
      <c r="AJ1694">
        <v>85.101183267868095</v>
      </c>
      <c r="AK1694">
        <v>0.76954813435480296</v>
      </c>
      <c r="AL1694">
        <v>89.915151733632499</v>
      </c>
      <c r="AM1694">
        <v>88.154576540024607</v>
      </c>
      <c r="AN1694">
        <v>0.99999995174712297</v>
      </c>
    </row>
    <row r="1695" spans="1:40" x14ac:dyDescent="0.25">
      <c r="A1695" t="str">
        <f>"20190312160329815"</f>
        <v>20190312160329815</v>
      </c>
      <c r="B1695" t="str">
        <f>"1552377809806439"</f>
        <v>1552377809806439</v>
      </c>
      <c r="C1695" t="s">
        <v>40</v>
      </c>
      <c r="D1695">
        <v>5.7713619999999999</v>
      </c>
      <c r="E1695">
        <v>0.51668519999999996</v>
      </c>
      <c r="F1695" t="s">
        <v>49</v>
      </c>
      <c r="G1695">
        <v>-240.61529999999999</v>
      </c>
      <c r="H1695">
        <v>1.028432</v>
      </c>
      <c r="I1695">
        <v>282.90410000000003</v>
      </c>
      <c r="J1695">
        <v>-240.00380000000001</v>
      </c>
      <c r="K1695">
        <v>1.106549</v>
      </c>
      <c r="L1695">
        <v>282.81119999999999</v>
      </c>
      <c r="M1695">
        <v>-0.99796689999999999</v>
      </c>
      <c r="N1695">
        <v>0</v>
      </c>
      <c r="O1695">
        <v>6.247697E-2</v>
      </c>
      <c r="P1695">
        <v>-0.99548800000000004</v>
      </c>
      <c r="Q1695">
        <v>-1.1007110000000001E-2</v>
      </c>
      <c r="R1695">
        <v>9.4246780000000002E-2</v>
      </c>
      <c r="S1695">
        <v>-2.972534</v>
      </c>
      <c r="T1695">
        <v>-0.29981910000000001</v>
      </c>
      <c r="U1695">
        <v>0.40164179999999999</v>
      </c>
      <c r="V1695">
        <v>3.1874230000000003E-2</v>
      </c>
      <c r="W1695">
        <v>1.3268620000000001E-3</v>
      </c>
      <c r="X1695">
        <v>0.99949100000000002</v>
      </c>
      <c r="Y1695">
        <v>7.1673970000000004E-2</v>
      </c>
      <c r="Z1695">
        <v>-2.6590469999999999E-3</v>
      </c>
      <c r="AA1695">
        <v>0.99742450000000005</v>
      </c>
      <c r="AB1695">
        <v>31</v>
      </c>
      <c r="AC1695">
        <v>-0.61149999999997795</v>
      </c>
      <c r="AD1695">
        <v>-7.8116999999999895E-2</v>
      </c>
      <c r="AE1695">
        <v>9.2900000000042796E-2</v>
      </c>
      <c r="AF1695">
        <v>5.3654932268800498E-2</v>
      </c>
      <c r="AG1695">
        <v>-7.8116999999999895E-2</v>
      </c>
      <c r="AH1695">
        <v>0.60643647646051602</v>
      </c>
      <c r="AI1695">
        <v>97.311779815408897</v>
      </c>
      <c r="AJ1695">
        <v>84.943877589309395</v>
      </c>
      <c r="AK1695">
        <v>0.61379664175328896</v>
      </c>
      <c r="AL1695">
        <v>89.923976384571006</v>
      </c>
      <c r="AM1695">
        <v>88.173430146927402</v>
      </c>
      <c r="AN1695">
        <v>0.99999999309092902</v>
      </c>
    </row>
    <row r="1696" spans="1:40" x14ac:dyDescent="0.25">
      <c r="A1696" t="str">
        <f>"20190312160329827"</f>
        <v>20190312160329827</v>
      </c>
      <c r="B1696" t="str">
        <f>"1552377809816200"</f>
        <v>1552377809816200</v>
      </c>
      <c r="C1696" t="s">
        <v>40</v>
      </c>
      <c r="D1696">
        <v>5.8531529999999998</v>
      </c>
      <c r="E1696">
        <v>0.51662649999999999</v>
      </c>
      <c r="F1696" t="s">
        <v>49</v>
      </c>
      <c r="G1696">
        <v>-240.88650000000001</v>
      </c>
      <c r="H1696">
        <v>1.016888</v>
      </c>
      <c r="I1696">
        <v>282.93220000000002</v>
      </c>
      <c r="J1696">
        <v>-240.17439999999999</v>
      </c>
      <c r="K1696">
        <v>1.1065449999999999</v>
      </c>
      <c r="L1696">
        <v>282.82389999999998</v>
      </c>
      <c r="M1696">
        <v>-0.99782910000000002</v>
      </c>
      <c r="N1696">
        <v>0</v>
      </c>
      <c r="O1696">
        <v>6.4642610000000003E-2</v>
      </c>
      <c r="P1696">
        <v>-0.99532359999999998</v>
      </c>
      <c r="Q1696">
        <v>-1.0763750000000001E-2</v>
      </c>
      <c r="R1696">
        <v>9.5996629999999999E-2</v>
      </c>
      <c r="S1696">
        <v>-2.9717250000000002</v>
      </c>
      <c r="T1696">
        <v>-0.30184329999999998</v>
      </c>
      <c r="U1696">
        <v>0.407196</v>
      </c>
      <c r="V1696">
        <v>3.1464110000000003E-2</v>
      </c>
      <c r="W1696">
        <v>1.5743409999999999E-3</v>
      </c>
      <c r="X1696">
        <v>0.99950360000000005</v>
      </c>
      <c r="Y1696">
        <v>7.1387419999999993E-2</v>
      </c>
      <c r="Z1696">
        <v>-2.9092549999999999E-3</v>
      </c>
      <c r="AA1696">
        <v>0.99744449999999996</v>
      </c>
      <c r="AB1696">
        <v>31</v>
      </c>
      <c r="AC1696">
        <v>-0.71210000000002005</v>
      </c>
      <c r="AD1696">
        <v>-8.9657000000000098E-2</v>
      </c>
      <c r="AE1696">
        <v>0.108300000000042</v>
      </c>
      <c r="AF1696">
        <v>6.1091272254343298E-2</v>
      </c>
      <c r="AG1696">
        <v>-8.9657000000000098E-2</v>
      </c>
      <c r="AH1696">
        <v>0.70666290574035295</v>
      </c>
      <c r="AI1696">
        <v>97.204113739803205</v>
      </c>
      <c r="AJ1696">
        <v>85.059043038306399</v>
      </c>
      <c r="AK1696">
        <v>0.71494264353446801</v>
      </c>
      <c r="AL1696">
        <v>89.909796864097899</v>
      </c>
      <c r="AM1696">
        <v>88.196939393975299</v>
      </c>
      <c r="AN1696">
        <v>0.99999995759031701</v>
      </c>
    </row>
    <row r="1697" spans="1:40" x14ac:dyDescent="0.25">
      <c r="A1697" t="str">
        <f>"20190312160329839"</f>
        <v>20190312160329839</v>
      </c>
      <c r="B1697" t="str">
        <f>"1552377809836695"</f>
        <v>1552377809836695</v>
      </c>
      <c r="C1697" t="s">
        <v>40</v>
      </c>
      <c r="D1697">
        <v>5.6364000000000001</v>
      </c>
      <c r="E1697">
        <v>0.51661099999999904</v>
      </c>
      <c r="F1697" t="s">
        <v>49</v>
      </c>
      <c r="G1697">
        <v>-241.15809999999999</v>
      </c>
      <c r="H1697">
        <v>1.0063580000000001</v>
      </c>
      <c r="I1697">
        <v>282.96050000000002</v>
      </c>
      <c r="J1697">
        <v>-240.3459</v>
      </c>
      <c r="K1697">
        <v>1.106544</v>
      </c>
      <c r="L1697">
        <v>282.8372</v>
      </c>
      <c r="M1697">
        <v>-0.99768579999999996</v>
      </c>
      <c r="N1697">
        <v>0</v>
      </c>
      <c r="O1697">
        <v>6.68155E-2</v>
      </c>
      <c r="P1697">
        <v>-0.99512690000000004</v>
      </c>
      <c r="Q1697">
        <v>-1.0704989999999999E-2</v>
      </c>
      <c r="R1697">
        <v>9.8020590000000005E-2</v>
      </c>
      <c r="S1697">
        <v>-2.971085</v>
      </c>
      <c r="T1697">
        <v>-0.30266769999999998</v>
      </c>
      <c r="U1697">
        <v>0.41192630000000002</v>
      </c>
      <c r="V1697">
        <v>3.1320590000000002E-2</v>
      </c>
      <c r="W1697">
        <v>1.6358529999999901E-3</v>
      </c>
      <c r="X1697">
        <v>0.99950799999999995</v>
      </c>
      <c r="Y1697">
        <v>7.0816190000000001E-2</v>
      </c>
      <c r="Z1697">
        <v>-3.165172E-3</v>
      </c>
      <c r="AA1697">
        <v>0.99748440000000005</v>
      </c>
      <c r="AB1697">
        <v>31</v>
      </c>
      <c r="AC1697">
        <v>-0.81219999999999004</v>
      </c>
      <c r="AD1697">
        <v>-0.100185999999999</v>
      </c>
      <c r="AE1697">
        <v>0.123300000000028</v>
      </c>
      <c r="AF1697">
        <v>6.7745008722622999E-2</v>
      </c>
      <c r="AG1697">
        <v>-0.100185999999999</v>
      </c>
      <c r="AH1697">
        <v>0.806626928205463</v>
      </c>
      <c r="AI1697">
        <v>97.0554979605309</v>
      </c>
      <c r="AJ1697">
        <v>85.199248597015796</v>
      </c>
      <c r="AK1697">
        <v>0.81564307274015901</v>
      </c>
      <c r="AL1697">
        <v>89.906272480586907</v>
      </c>
      <c r="AM1697">
        <v>88.205166356458406</v>
      </c>
      <c r="AN1697">
        <v>0.99999994871849096</v>
      </c>
    </row>
    <row r="1698" spans="1:40" x14ac:dyDescent="0.25">
      <c r="A1698" t="str">
        <f>"20190312160329858"</f>
        <v>20190312160329858</v>
      </c>
      <c r="B1698" t="str">
        <f>"1552377809846468"</f>
        <v>1552377809846468</v>
      </c>
      <c r="C1698" t="s">
        <v>40</v>
      </c>
      <c r="D1698">
        <v>5.5941269999999896</v>
      </c>
      <c r="E1698">
        <v>0.51637849999999996</v>
      </c>
      <c r="F1698" t="s">
        <v>49</v>
      </c>
      <c r="G1698">
        <v>-241.166</v>
      </c>
      <c r="H1698">
        <v>1.0211939999999999</v>
      </c>
      <c r="I1698">
        <v>282.95280000000002</v>
      </c>
      <c r="J1698">
        <v>-240.5975</v>
      </c>
      <c r="K1698">
        <v>1.1065449999999999</v>
      </c>
      <c r="L1698">
        <v>282.85730000000001</v>
      </c>
      <c r="M1698">
        <v>-0.9974672</v>
      </c>
      <c r="N1698">
        <v>0</v>
      </c>
      <c r="O1698">
        <v>7.0002419999999996E-2</v>
      </c>
      <c r="P1698">
        <v>-0.99483220000000006</v>
      </c>
      <c r="Q1698">
        <v>-1.053721E-2</v>
      </c>
      <c r="R1698">
        <v>0.1009847</v>
      </c>
      <c r="S1698">
        <v>-2.9702000000000002</v>
      </c>
      <c r="T1698">
        <v>-0.30917939999999999</v>
      </c>
      <c r="U1698">
        <v>0.41790769999999999</v>
      </c>
      <c r="V1698">
        <v>3.1106140000000001E-2</v>
      </c>
      <c r="W1698">
        <v>1.80656E-3</v>
      </c>
      <c r="X1698">
        <v>0.99951449999999997</v>
      </c>
      <c r="Y1698">
        <v>6.9662249999999995E-2</v>
      </c>
      <c r="Z1698">
        <v>-3.6208030000000001E-3</v>
      </c>
      <c r="AA1698">
        <v>0.99756409999999995</v>
      </c>
      <c r="AB1698">
        <v>31</v>
      </c>
      <c r="AC1698">
        <v>-0.56850000000000001</v>
      </c>
      <c r="AD1698">
        <v>-8.5350999999999899E-2</v>
      </c>
      <c r="AE1698">
        <v>9.5500000000015406E-2</v>
      </c>
      <c r="AF1698">
        <v>5.4276327998924803E-2</v>
      </c>
      <c r="AG1698">
        <v>-8.5350999999999899E-2</v>
      </c>
      <c r="AH1698">
        <v>0.56148236469575297</v>
      </c>
      <c r="AI1698">
        <v>98.603868211611996</v>
      </c>
      <c r="AJ1698">
        <v>84.478593974551202</v>
      </c>
      <c r="AK1698">
        <v>0.57052007751382505</v>
      </c>
      <c r="AL1698">
        <v>89.896491684986003</v>
      </c>
      <c r="AM1698">
        <v>88.217459092297005</v>
      </c>
      <c r="AN1698">
        <v>1.00000004565749</v>
      </c>
    </row>
    <row r="1699" spans="1:40" x14ac:dyDescent="0.25">
      <c r="A1699" t="str">
        <f>"20190312160329880"</f>
        <v>20190312160329880</v>
      </c>
      <c r="B1699" t="str">
        <f>"1552377809876711"</f>
        <v>1552377809876711</v>
      </c>
      <c r="C1699" t="s">
        <v>40</v>
      </c>
      <c r="D1699">
        <v>5.7132610000000001</v>
      </c>
      <c r="E1699">
        <v>0.50678869999999998</v>
      </c>
      <c r="F1699" t="s">
        <v>49</v>
      </c>
      <c r="G1699">
        <v>-241.44130000000001</v>
      </c>
      <c r="H1699">
        <v>1.0180739999999999</v>
      </c>
      <c r="I1699">
        <v>282.97809999999998</v>
      </c>
      <c r="J1699">
        <v>-240.905</v>
      </c>
      <c r="K1699">
        <v>1.1065400000000001</v>
      </c>
      <c r="L1699">
        <v>282.88299999999998</v>
      </c>
      <c r="M1699">
        <v>-0.99718669999999998</v>
      </c>
      <c r="N1699">
        <v>0</v>
      </c>
      <c r="O1699">
        <v>7.3891219999999994E-2</v>
      </c>
      <c r="P1699">
        <v>-0.99443809999999999</v>
      </c>
      <c r="Q1699">
        <v>-1.042702E-2</v>
      </c>
      <c r="R1699">
        <v>0.1048051</v>
      </c>
      <c r="S1699">
        <v>-2.969147</v>
      </c>
      <c r="T1699">
        <v>-0.31122889999999998</v>
      </c>
      <c r="U1699">
        <v>0.42498780000000003</v>
      </c>
      <c r="V1699">
        <v>3.104902E-2</v>
      </c>
      <c r="W1699">
        <v>1.9190940000000001E-3</v>
      </c>
      <c r="X1699">
        <v>0.99951599999999996</v>
      </c>
      <c r="Y1699">
        <v>6.8181699999999998E-2</v>
      </c>
      <c r="Z1699">
        <v>-4.1248709999999996E-3</v>
      </c>
      <c r="AA1699">
        <v>0.99766440000000001</v>
      </c>
      <c r="AB1699">
        <v>31</v>
      </c>
      <c r="AC1699">
        <v>-0.53630000000001099</v>
      </c>
      <c r="AD1699">
        <v>-8.8465999999999906E-2</v>
      </c>
      <c r="AE1699">
        <v>9.51000000000021E-2</v>
      </c>
      <c r="AF1699">
        <v>5.37899442314679E-2</v>
      </c>
      <c r="AG1699">
        <v>-8.8465999999999906E-2</v>
      </c>
      <c r="AH1699">
        <v>0.52793387532365998</v>
      </c>
      <c r="AI1699">
        <v>99.464579641786699</v>
      </c>
      <c r="AJ1699">
        <v>84.182343204963104</v>
      </c>
      <c r="AK1699">
        <v>0.53799049059503101</v>
      </c>
      <c r="AL1699">
        <v>89.890043943553806</v>
      </c>
      <c r="AM1699">
        <v>88.220732922976495</v>
      </c>
      <c r="AN1699">
        <v>0.99999997941037</v>
      </c>
    </row>
    <row r="1700" spans="1:40" x14ac:dyDescent="0.25">
      <c r="A1700" t="str">
        <f>"20190312160329893"</f>
        <v>20190312160329893</v>
      </c>
      <c r="B1700" t="str">
        <f>"1552377809886472"</f>
        <v>1552377809886472</v>
      </c>
      <c r="C1700" t="s">
        <v>40</v>
      </c>
      <c r="D1700">
        <v>5.6306349999999998</v>
      </c>
      <c r="E1700">
        <v>0.48953750000000001</v>
      </c>
      <c r="F1700" t="s">
        <v>49</v>
      </c>
      <c r="G1700">
        <v>-241.71940000000001</v>
      </c>
      <c r="H1700">
        <v>1.016748</v>
      </c>
      <c r="I1700">
        <v>282.98140000000001</v>
      </c>
      <c r="J1700">
        <v>-241.0789</v>
      </c>
      <c r="K1700">
        <v>1.1065430000000001</v>
      </c>
      <c r="L1700">
        <v>282.89800000000002</v>
      </c>
      <c r="M1700">
        <v>-0.99702170000000001</v>
      </c>
      <c r="N1700">
        <v>0</v>
      </c>
      <c r="O1700">
        <v>7.6086189999999998E-2</v>
      </c>
      <c r="P1700">
        <v>-0.99423640000000002</v>
      </c>
      <c r="Q1700">
        <v>-1.0257789999999999E-2</v>
      </c>
      <c r="R1700">
        <v>0.1067207</v>
      </c>
      <c r="S1700">
        <v>-2.975403</v>
      </c>
      <c r="T1700">
        <v>-0.32806039999999997</v>
      </c>
      <c r="U1700">
        <v>0.35977170000000003</v>
      </c>
      <c r="V1700">
        <v>3.0775520000000001E-2</v>
      </c>
      <c r="W1700">
        <v>2.0917079999999998E-3</v>
      </c>
      <c r="X1700">
        <v>0.99952410000000003</v>
      </c>
      <c r="Y1700">
        <v>4.4339499999999997E-2</v>
      </c>
      <c r="Z1700">
        <v>-5.8905149999999998E-3</v>
      </c>
      <c r="AA1700">
        <v>0.99899919999999998</v>
      </c>
      <c r="AB1700">
        <v>31</v>
      </c>
      <c r="AC1700">
        <v>-0.64050000000000296</v>
      </c>
      <c r="AD1700">
        <v>-8.9795E-2</v>
      </c>
      <c r="AE1700">
        <v>8.3400000000040095E-2</v>
      </c>
      <c r="AF1700">
        <v>3.3768491633091403E-2</v>
      </c>
      <c r="AG1700">
        <v>-8.9795E-2</v>
      </c>
      <c r="AH1700">
        <v>0.63275979718713204</v>
      </c>
      <c r="AI1700">
        <v>98.065592409934297</v>
      </c>
      <c r="AJ1700">
        <v>86.945194043833595</v>
      </c>
      <c r="AK1700">
        <v>0.639990948364487</v>
      </c>
      <c r="AL1700">
        <v>89.8801538682998</v>
      </c>
      <c r="AM1700">
        <v>88.236410208120105</v>
      </c>
      <c r="AN1700">
        <v>0.99999996717721795</v>
      </c>
    </row>
    <row r="1701" spans="1:40" x14ac:dyDescent="0.25">
      <c r="A1701" t="str">
        <f>"20190312160329905"</f>
        <v>20190312160329905</v>
      </c>
      <c r="B1701" t="str">
        <f>"1552377809896231"</f>
        <v>1552377809896231</v>
      </c>
      <c r="C1701" t="s">
        <v>40</v>
      </c>
      <c r="D1701">
        <v>5.7601659999999999</v>
      </c>
      <c r="E1701">
        <v>0.48592380000000002</v>
      </c>
      <c r="F1701" t="s">
        <v>49</v>
      </c>
      <c r="G1701">
        <v>-242.00909999999999</v>
      </c>
      <c r="H1701">
        <v>1.0324660000000001</v>
      </c>
      <c r="I1701">
        <v>282.9701</v>
      </c>
      <c r="J1701">
        <v>-241.2637</v>
      </c>
      <c r="K1701">
        <v>1.1065499999999999</v>
      </c>
      <c r="L1701">
        <v>282.91430000000003</v>
      </c>
      <c r="M1701">
        <v>-0.99684139999999999</v>
      </c>
      <c r="N1701">
        <v>0</v>
      </c>
      <c r="O1701">
        <v>7.8413609999999995E-2</v>
      </c>
      <c r="P1701">
        <v>-0.99409009999999998</v>
      </c>
      <c r="Q1701">
        <v>-1.018516E-2</v>
      </c>
      <c r="R1701">
        <v>0.1080793</v>
      </c>
      <c r="S1701">
        <v>-2.9901119999999999</v>
      </c>
      <c r="T1701">
        <v>-0.2381453</v>
      </c>
      <c r="U1701">
        <v>0.23117070000000001</v>
      </c>
      <c r="V1701">
        <v>2.980847E-2</v>
      </c>
      <c r="W1701">
        <v>2.173248E-3</v>
      </c>
      <c r="X1701">
        <v>0.99955329999999998</v>
      </c>
      <c r="Y1701">
        <v>-1.09268E-3</v>
      </c>
      <c r="Z1701">
        <v>-6.2604430000000001E-3</v>
      </c>
      <c r="AA1701">
        <v>0.99997979999999997</v>
      </c>
      <c r="AB1701">
        <v>31</v>
      </c>
      <c r="AC1701">
        <v>-0.74539999999998896</v>
      </c>
      <c r="AD1701">
        <v>-7.4083999999999997E-2</v>
      </c>
      <c r="AE1701">
        <v>5.57999999999765E-2</v>
      </c>
      <c r="AF1701">
        <v>-2.79848928698121E-3</v>
      </c>
      <c r="AG1701">
        <v>-7.4083999999999997E-2</v>
      </c>
      <c r="AH1701">
        <v>0.74020925159492601</v>
      </c>
      <c r="AI1701">
        <v>95.715386479290601</v>
      </c>
      <c r="AJ1701">
        <v>90.216615586566206</v>
      </c>
      <c r="AK1701">
        <v>0.74391263381193495</v>
      </c>
      <c r="AL1701">
        <v>89.8754819679462</v>
      </c>
      <c r="AM1701">
        <v>88.291843472433996</v>
      </c>
      <c r="AN1701">
        <v>1.00000003371574</v>
      </c>
    </row>
    <row r="1702" spans="1:40" x14ac:dyDescent="0.25">
      <c r="A1702" t="str">
        <f>"20190312160329926"</f>
        <v>20190312160329926</v>
      </c>
      <c r="B1702" t="str">
        <f>"1552377809916727"</f>
        <v>1552377809916727</v>
      </c>
      <c r="C1702" t="s">
        <v>40</v>
      </c>
      <c r="D1702">
        <v>5.6931219999999998</v>
      </c>
      <c r="E1702">
        <v>0.48379329999999998</v>
      </c>
      <c r="F1702" t="s">
        <v>70</v>
      </c>
      <c r="G1702">
        <v>-253.7653</v>
      </c>
      <c r="H1702" s="1">
        <v>4.6690430000000001E-7</v>
      </c>
      <c r="I1702">
        <v>283.77440000000001</v>
      </c>
      <c r="J1702">
        <v>-241.54660000000001</v>
      </c>
      <c r="K1702">
        <v>1.1065700000000001</v>
      </c>
      <c r="L1702">
        <v>282.9402</v>
      </c>
      <c r="M1702">
        <v>-0.99655609999999994</v>
      </c>
      <c r="N1702">
        <v>0</v>
      </c>
      <c r="O1702">
        <v>8.1958710000000004E-2</v>
      </c>
      <c r="P1702">
        <v>-0.99395940000000005</v>
      </c>
      <c r="Q1702">
        <v>-8.6709040000000001E-3</v>
      </c>
      <c r="R1702">
        <v>0.1094059</v>
      </c>
      <c r="S1702">
        <v>-2.992737</v>
      </c>
      <c r="T1702">
        <v>-0.26489580000000001</v>
      </c>
      <c r="U1702">
        <v>0.2059021</v>
      </c>
      <c r="V1702">
        <v>2.7598080000000001E-2</v>
      </c>
      <c r="W1702">
        <v>3.7072260000000001E-3</v>
      </c>
      <c r="X1702">
        <v>0.99961219999999995</v>
      </c>
      <c r="Y1702">
        <v>-1.299606E-2</v>
      </c>
      <c r="Z1702">
        <v>-7.7945080000000003E-3</v>
      </c>
      <c r="AA1702">
        <v>0.99988509999999997</v>
      </c>
      <c r="AB1702">
        <v>31</v>
      </c>
      <c r="AC1702">
        <v>-12.218699999999901</v>
      </c>
      <c r="AD1702">
        <v>-1.1065695330956999</v>
      </c>
      <c r="AE1702">
        <v>0.83420000000000905</v>
      </c>
      <c r="AF1702">
        <v>-0.16873776427833501</v>
      </c>
      <c r="AG1702">
        <v>-1.1065695330956999</v>
      </c>
      <c r="AH1702">
        <v>12.146798788629001</v>
      </c>
      <c r="AI1702">
        <v>95.2047599886765</v>
      </c>
      <c r="AJ1702">
        <v>90.795875529545597</v>
      </c>
      <c r="AK1702">
        <v>12.198265834786101</v>
      </c>
      <c r="AL1702">
        <v>89.787591104425999</v>
      </c>
      <c r="AM1702">
        <v>88.418534785058299</v>
      </c>
      <c r="AN1702">
        <v>0.99999997396657003</v>
      </c>
    </row>
    <row r="1703" spans="1:40" x14ac:dyDescent="0.25">
      <c r="A1703" t="str">
        <f>"20190312160329948"</f>
        <v>20190312160329948</v>
      </c>
      <c r="B1703" t="str">
        <f>"1552377809936247"</f>
        <v>1552377809936247</v>
      </c>
      <c r="C1703" t="s">
        <v>40</v>
      </c>
      <c r="D1703">
        <v>5.6898540000000004</v>
      </c>
      <c r="E1703">
        <v>0.48105179999999997</v>
      </c>
      <c r="F1703" t="s">
        <v>70</v>
      </c>
      <c r="G1703">
        <v>-254.22130000000001</v>
      </c>
      <c r="H1703" s="1">
        <v>7.0955079999999999E-7</v>
      </c>
      <c r="I1703">
        <v>283.7586</v>
      </c>
      <c r="J1703">
        <v>-241.84700000000001</v>
      </c>
      <c r="K1703">
        <v>1.1065940000000001</v>
      </c>
      <c r="L1703">
        <v>282.96879999999999</v>
      </c>
      <c r="M1703">
        <v>-0.99624230000000003</v>
      </c>
      <c r="N1703">
        <v>0</v>
      </c>
      <c r="O1703">
        <v>8.5688929999999996E-2</v>
      </c>
      <c r="P1703">
        <v>-0.99373020000000001</v>
      </c>
      <c r="Q1703">
        <v>-8.2580169999999994E-3</v>
      </c>
      <c r="R1703">
        <v>0.1115003</v>
      </c>
      <c r="S1703">
        <v>-2.994675</v>
      </c>
      <c r="T1703">
        <v>-0.26145200000000002</v>
      </c>
      <c r="U1703">
        <v>0.19335939999999999</v>
      </c>
      <c r="V1703">
        <v>2.5965249999999999E-2</v>
      </c>
      <c r="W1703">
        <v>4.1354219999999997E-3</v>
      </c>
      <c r="X1703">
        <v>0.9996543</v>
      </c>
      <c r="Y1703">
        <v>-2.0918389999999999E-2</v>
      </c>
      <c r="Z1703">
        <v>-8.3582399999999994E-3</v>
      </c>
      <c r="AA1703">
        <v>0.99974629999999998</v>
      </c>
      <c r="AB1703">
        <v>31</v>
      </c>
      <c r="AC1703">
        <v>-12.3743</v>
      </c>
      <c r="AD1703">
        <v>-1.1065932904492</v>
      </c>
      <c r="AE1703">
        <v>0.78980000000001305</v>
      </c>
      <c r="AF1703">
        <v>-0.271368692645929</v>
      </c>
      <c r="AG1703">
        <v>-1.1065932904492</v>
      </c>
      <c r="AH1703">
        <v>12.2985079564553</v>
      </c>
      <c r="AI1703">
        <v>95.140261121089495</v>
      </c>
      <c r="AJ1703">
        <v>91.264036111748098</v>
      </c>
      <c r="AK1703">
        <v>12.351173532616601</v>
      </c>
      <c r="AL1703">
        <v>89.763057099364303</v>
      </c>
      <c r="AM1703">
        <v>88.512120829817803</v>
      </c>
      <c r="AN1703">
        <v>1.00000000771558</v>
      </c>
    </row>
    <row r="1704" spans="1:40" x14ac:dyDescent="0.25">
      <c r="A1704" t="str">
        <f>"20190312160329963"</f>
        <v>20190312160329963</v>
      </c>
      <c r="B1704" t="str">
        <f>"1552377809956743"</f>
        <v>1552377809956743</v>
      </c>
      <c r="C1704" t="s">
        <v>40</v>
      </c>
      <c r="D1704">
        <v>5.6886580000000002</v>
      </c>
      <c r="E1704">
        <v>0.47883870000000001</v>
      </c>
      <c r="F1704" t="s">
        <v>49</v>
      </c>
      <c r="G1704">
        <v>-242.8338</v>
      </c>
      <c r="H1704">
        <v>1.0163329999999999</v>
      </c>
      <c r="I1704">
        <v>283.02730000000003</v>
      </c>
      <c r="J1704">
        <v>-242.06379999999999</v>
      </c>
      <c r="K1704">
        <v>1.1066199999999999</v>
      </c>
      <c r="L1704">
        <v>282.99020000000002</v>
      </c>
      <c r="M1704">
        <v>-0.99601019999999896</v>
      </c>
      <c r="N1704">
        <v>0</v>
      </c>
      <c r="O1704">
        <v>8.8346560000000005E-2</v>
      </c>
      <c r="P1704">
        <v>-0.99349549999999998</v>
      </c>
      <c r="Q1704">
        <v>-8.2047609999999997E-3</v>
      </c>
      <c r="R1704">
        <v>0.11357639999999999</v>
      </c>
      <c r="S1704">
        <v>-2.9967649999999999</v>
      </c>
      <c r="T1704">
        <v>-0.2741613</v>
      </c>
      <c r="U1704">
        <v>0.1774597</v>
      </c>
      <c r="V1704">
        <v>2.5387170000000001E-2</v>
      </c>
      <c r="W1704">
        <v>4.1945489999999997E-3</v>
      </c>
      <c r="X1704">
        <v>0.99966889999999997</v>
      </c>
      <c r="Y1704">
        <v>-2.8830410000000001E-2</v>
      </c>
      <c r="Z1704">
        <v>-9.3609690000000002E-3</v>
      </c>
      <c r="AA1704">
        <v>0.99954050000000005</v>
      </c>
      <c r="AB1704">
        <v>31</v>
      </c>
      <c r="AC1704">
        <v>-0.77000000000001001</v>
      </c>
      <c r="AD1704">
        <v>-9.02870000000002E-2</v>
      </c>
      <c r="AE1704">
        <v>3.7100000000009403E-2</v>
      </c>
      <c r="AF1704">
        <v>-3.0656814543485001E-2</v>
      </c>
      <c r="AG1704">
        <v>-9.02870000000002E-2</v>
      </c>
      <c r="AH1704">
        <v>0.75984373901693902</v>
      </c>
      <c r="AI1704">
        <v>96.770833467108105</v>
      </c>
      <c r="AJ1704">
        <v>92.310414413356796</v>
      </c>
      <c r="AK1704">
        <v>0.76580290569453702</v>
      </c>
      <c r="AL1704">
        <v>89.759669342070694</v>
      </c>
      <c r="AM1704">
        <v>88.545253220497401</v>
      </c>
      <c r="AN1704">
        <v>1.00000000613456</v>
      </c>
    </row>
    <row r="1705" spans="1:40" x14ac:dyDescent="0.25">
      <c r="A1705" t="str">
        <f>"20190312160329982"</f>
        <v>20190312160329982</v>
      </c>
      <c r="B1705" t="str">
        <f>"1552377809976264"</f>
        <v>1552377809976264</v>
      </c>
      <c r="C1705" t="s">
        <v>40</v>
      </c>
      <c r="D1705">
        <v>5.6776660000000003</v>
      </c>
      <c r="E1705">
        <v>0.47738530000000001</v>
      </c>
      <c r="F1705" t="s">
        <v>70</v>
      </c>
      <c r="G1705">
        <v>-253.81270000000001</v>
      </c>
      <c r="H1705" s="1">
        <v>4.9215669999999997E-7</v>
      </c>
      <c r="I1705">
        <v>283.64100000000002</v>
      </c>
      <c r="J1705">
        <v>-242.30549999999999</v>
      </c>
      <c r="K1705">
        <v>1.106654</v>
      </c>
      <c r="L1705">
        <v>283.0147</v>
      </c>
      <c r="M1705">
        <v>-0.99574549999999995</v>
      </c>
      <c r="N1705">
        <v>0</v>
      </c>
      <c r="O1705">
        <v>9.1281860000000006E-2</v>
      </c>
      <c r="P1705">
        <v>-0.99322379999999999</v>
      </c>
      <c r="Q1705">
        <v>-9.3173570000000001E-3</v>
      </c>
      <c r="R1705">
        <v>0.1158448</v>
      </c>
      <c r="S1705">
        <v>-2.9983369999999998</v>
      </c>
      <c r="T1705">
        <v>-0.28241119999999997</v>
      </c>
      <c r="U1705">
        <v>0.16607669999999999</v>
      </c>
      <c r="V1705">
        <v>2.4715250000000001E-2</v>
      </c>
      <c r="W1705">
        <v>3.088295E-3</v>
      </c>
      <c r="X1705">
        <v>0.99968979999999996</v>
      </c>
      <c r="Y1705">
        <v>-3.5517510000000002E-2</v>
      </c>
      <c r="Z1705">
        <v>-1.0226280000000001E-2</v>
      </c>
      <c r="AA1705">
        <v>0.99931680000000001</v>
      </c>
      <c r="AB1705">
        <v>31</v>
      </c>
      <c r="AC1705">
        <v>-11.507199999999999</v>
      </c>
      <c r="AD1705">
        <v>-1.1066535078433</v>
      </c>
      <c r="AE1705">
        <v>0.626299999999957</v>
      </c>
      <c r="AF1705">
        <v>-0.42289731411540699</v>
      </c>
      <c r="AG1705">
        <v>-1.1066535078433</v>
      </c>
      <c r="AH1705">
        <v>11.4110983542228</v>
      </c>
      <c r="AI1705">
        <v>95.535471732425293</v>
      </c>
      <c r="AJ1705">
        <v>92.122420348115497</v>
      </c>
      <c r="AK1705">
        <v>11.472431728907999</v>
      </c>
      <c r="AL1705">
        <v>89.823053456180006</v>
      </c>
      <c r="AM1705">
        <v>88.583769578278293</v>
      </c>
      <c r="AN1705">
        <v>1.0000000386862999</v>
      </c>
    </row>
    <row r="1706" spans="1:40" x14ac:dyDescent="0.25">
      <c r="A1706" t="str">
        <f>"20190312160329996"</f>
        <v>20190312160329996</v>
      </c>
      <c r="B1706" t="str">
        <f>"1552377809986023"</f>
        <v>1552377809986023</v>
      </c>
      <c r="C1706" t="s">
        <v>40</v>
      </c>
      <c r="D1706">
        <v>5.5876130000000002</v>
      </c>
      <c r="E1706">
        <v>0.47688219999999998</v>
      </c>
      <c r="F1706" t="s">
        <v>70</v>
      </c>
      <c r="G1706">
        <v>-254.3158</v>
      </c>
      <c r="H1706" s="1">
        <v>7.5983839999999997E-7</v>
      </c>
      <c r="I1706">
        <v>283.66160000000002</v>
      </c>
      <c r="J1706">
        <v>-242.51419999999999</v>
      </c>
      <c r="K1706">
        <v>1.1066860000000001</v>
      </c>
      <c r="L1706">
        <v>283.03629999999998</v>
      </c>
      <c r="M1706">
        <v>-0.99551299999999998</v>
      </c>
      <c r="N1706">
        <v>0</v>
      </c>
      <c r="O1706">
        <v>9.3781920000000005E-2</v>
      </c>
      <c r="P1706">
        <v>-0.99295310000000003</v>
      </c>
      <c r="Q1706">
        <v>-9.6554039999999994E-3</v>
      </c>
      <c r="R1706">
        <v>0.1181151</v>
      </c>
      <c r="S1706">
        <v>-2.9990540000000001</v>
      </c>
      <c r="T1706">
        <v>-0.27633970000000002</v>
      </c>
      <c r="U1706">
        <v>0.16152949999999999</v>
      </c>
      <c r="V1706">
        <v>2.4488019999999999E-2</v>
      </c>
      <c r="W1706">
        <v>2.7526030000000002E-3</v>
      </c>
      <c r="X1706">
        <v>0.99969629999999998</v>
      </c>
      <c r="Y1706">
        <v>-3.9546869999999998E-2</v>
      </c>
      <c r="Z1706">
        <v>-1.0419350000000001E-2</v>
      </c>
      <c r="AA1706">
        <v>0.99916340000000003</v>
      </c>
      <c r="AB1706">
        <v>31</v>
      </c>
      <c r="AC1706">
        <v>-11.801600000000001</v>
      </c>
      <c r="AD1706">
        <v>-1.1066852401616001</v>
      </c>
      <c r="AE1706">
        <v>0.62530000000003805</v>
      </c>
      <c r="AF1706">
        <v>-0.48011080839204401</v>
      </c>
      <c r="AG1706">
        <v>-1.1066852401616001</v>
      </c>
      <c r="AH1706">
        <v>11.705579809250001</v>
      </c>
      <c r="AI1706">
        <v>95.396373399629397</v>
      </c>
      <c r="AJ1706">
        <v>92.348701516145795</v>
      </c>
      <c r="AK1706">
        <v>11.7675765253449</v>
      </c>
      <c r="AL1706">
        <v>89.842287260916194</v>
      </c>
      <c r="AM1706">
        <v>88.596794175684806</v>
      </c>
      <c r="AN1706">
        <v>0.999999966090242</v>
      </c>
    </row>
    <row r="1707" spans="1:40" x14ac:dyDescent="0.25">
      <c r="A1707" t="str">
        <f>"20190312160330015"</f>
        <v>20190312160330015</v>
      </c>
      <c r="B1707" t="str">
        <f>"1552377810006519"</f>
        <v>1552377810006519</v>
      </c>
      <c r="C1707" t="s">
        <v>40</v>
      </c>
      <c r="D1707">
        <v>9.0859170000000002</v>
      </c>
      <c r="E1707">
        <v>0.4763694</v>
      </c>
      <c r="F1707" t="s">
        <v>70</v>
      </c>
      <c r="G1707">
        <v>-255.0111</v>
      </c>
      <c r="H1707" s="1">
        <v>1.1298529999999999E-6</v>
      </c>
      <c r="I1707">
        <v>283.72250000000003</v>
      </c>
      <c r="J1707">
        <v>-242.78139999999999</v>
      </c>
      <c r="K1707">
        <v>1.106738</v>
      </c>
      <c r="L1707">
        <v>283.06479999999999</v>
      </c>
      <c r="M1707">
        <v>-0.9952124</v>
      </c>
      <c r="N1707">
        <v>0</v>
      </c>
      <c r="O1707">
        <v>9.6921560000000004E-2</v>
      </c>
      <c r="P1707">
        <v>-0.99259629999999999</v>
      </c>
      <c r="Q1707">
        <v>-1.007978E-2</v>
      </c>
      <c r="R1707">
        <v>0.12104330000000001</v>
      </c>
      <c r="S1707">
        <v>-2.9991300000000001</v>
      </c>
      <c r="T1707">
        <v>-0.26559369999999999</v>
      </c>
      <c r="U1707">
        <v>0.16467290000000001</v>
      </c>
      <c r="V1707">
        <v>2.428025E-2</v>
      </c>
      <c r="W1707">
        <v>2.3315570000000002E-3</v>
      </c>
      <c r="X1707">
        <v>0.99970250000000005</v>
      </c>
      <c r="Y1707">
        <v>-4.1678130000000001E-2</v>
      </c>
      <c r="Z1707">
        <v>-1.038525E-2</v>
      </c>
      <c r="AA1707">
        <v>0.99907710000000005</v>
      </c>
      <c r="AB1707">
        <v>31</v>
      </c>
      <c r="AC1707">
        <v>-12.229699999999999</v>
      </c>
      <c r="AD1707">
        <v>-1.106736870147</v>
      </c>
      <c r="AE1707">
        <v>0.65770000000003304</v>
      </c>
      <c r="AF1707">
        <v>-0.52651303139230299</v>
      </c>
      <c r="AG1707">
        <v>-1.106736870147</v>
      </c>
      <c r="AH1707">
        <v>12.1367567883378</v>
      </c>
      <c r="AI1707">
        <v>95.2054570004494</v>
      </c>
      <c r="AJ1707">
        <v>92.484030286306094</v>
      </c>
      <c r="AK1707">
        <v>12.1984813731559</v>
      </c>
      <c r="AL1707">
        <v>89.866411506858199</v>
      </c>
      <c r="AM1707">
        <v>88.608703681068107</v>
      </c>
      <c r="AN1707">
        <v>1.0000000276021701</v>
      </c>
    </row>
    <row r="1708" spans="1:40" x14ac:dyDescent="0.25">
      <c r="A1708" t="str">
        <f>"20190312160330037"</f>
        <v>20190312160330037</v>
      </c>
      <c r="B1708" t="str">
        <f>"1552377810026039"</f>
        <v>1552377810026039</v>
      </c>
      <c r="C1708" t="s">
        <v>40</v>
      </c>
      <c r="D1708">
        <v>5.543031</v>
      </c>
      <c r="E1708">
        <v>0.47573130000000002</v>
      </c>
      <c r="F1708" t="s">
        <v>70</v>
      </c>
      <c r="G1708">
        <v>-255.98769999999999</v>
      </c>
      <c r="H1708" s="1">
        <v>1.6495569999999999E-6</v>
      </c>
      <c r="I1708">
        <v>283.81310000000002</v>
      </c>
      <c r="J1708">
        <v>-243.0753</v>
      </c>
      <c r="K1708">
        <v>1.1068100000000001</v>
      </c>
      <c r="L1708">
        <v>283.09699999999998</v>
      </c>
      <c r="M1708">
        <v>-0.99487919999999996</v>
      </c>
      <c r="N1708">
        <v>0</v>
      </c>
      <c r="O1708">
        <v>0.1002827</v>
      </c>
      <c r="P1708">
        <v>-0.99222589999999999</v>
      </c>
      <c r="Q1708">
        <v>-9.9967709999999998E-3</v>
      </c>
      <c r="R1708">
        <v>0.1240475</v>
      </c>
      <c r="S1708">
        <v>-2.9991150000000002</v>
      </c>
      <c r="T1708">
        <v>-0.25133719999999998</v>
      </c>
      <c r="U1708">
        <v>0.169952399999999</v>
      </c>
      <c r="V1708">
        <v>2.3929740000000001E-2</v>
      </c>
      <c r="W1708">
        <v>2.4183410000000001E-3</v>
      </c>
      <c r="X1708">
        <v>0.99971069999999995</v>
      </c>
      <c r="Y1708">
        <v>-4.333824E-2</v>
      </c>
      <c r="Z1708">
        <v>-1.0178130000000001E-2</v>
      </c>
      <c r="AA1708">
        <v>0.99900860000000002</v>
      </c>
      <c r="AB1708">
        <v>31</v>
      </c>
      <c r="AC1708">
        <v>-12.9123999999999</v>
      </c>
      <c r="AD1708">
        <v>-1.106808350443</v>
      </c>
      <c r="AE1708">
        <v>0.71610000000003904</v>
      </c>
      <c r="AF1708">
        <v>-0.57826786982943201</v>
      </c>
      <c r="AG1708">
        <v>-1.106808350443</v>
      </c>
      <c r="AH1708">
        <v>12.8251740162245</v>
      </c>
      <c r="AI1708">
        <v>94.927405096495093</v>
      </c>
      <c r="AJ1708">
        <v>92.581632289190196</v>
      </c>
      <c r="AK1708">
        <v>12.885825817553499</v>
      </c>
      <c r="AL1708">
        <v>89.861439129759205</v>
      </c>
      <c r="AM1708">
        <v>88.628791971163807</v>
      </c>
      <c r="AN1708">
        <v>0.99999998226207398</v>
      </c>
    </row>
    <row r="1709" spans="1:40" x14ac:dyDescent="0.25">
      <c r="A1709" t="str">
        <f>"20190312160330050"</f>
        <v>20190312160330050</v>
      </c>
      <c r="B1709" t="str">
        <f>"1552377810046535"</f>
        <v>1552377810046535</v>
      </c>
      <c r="C1709" t="s">
        <v>40</v>
      </c>
      <c r="D1709">
        <v>5.5078480000000001</v>
      </c>
      <c r="E1709">
        <v>0.47514919999999999</v>
      </c>
      <c r="F1709" t="s">
        <v>70</v>
      </c>
      <c r="G1709">
        <v>-257.08600000000001</v>
      </c>
      <c r="H1709" s="1">
        <v>2.2340050000000001E-6</v>
      </c>
      <c r="I1709">
        <v>283.91199999999998</v>
      </c>
      <c r="J1709">
        <v>-243.2587</v>
      </c>
      <c r="K1709">
        <v>1.106854</v>
      </c>
      <c r="L1709">
        <v>283.11750000000001</v>
      </c>
      <c r="M1709">
        <v>-0.99467070000000002</v>
      </c>
      <c r="N1709">
        <v>0</v>
      </c>
      <c r="O1709">
        <v>0.10233150000000001</v>
      </c>
      <c r="P1709">
        <v>-0.99199090000000001</v>
      </c>
      <c r="Q1709">
        <v>-1.008235E-2</v>
      </c>
      <c r="R1709">
        <v>0.12590680000000001</v>
      </c>
      <c r="S1709">
        <v>-2.9992830000000001</v>
      </c>
      <c r="T1709">
        <v>-0.2369368</v>
      </c>
      <c r="U1709">
        <v>0.17446900000000001</v>
      </c>
      <c r="V1709">
        <v>2.3743360000000002E-2</v>
      </c>
      <c r="W1709">
        <v>2.334895E-3</v>
      </c>
      <c r="X1709">
        <v>0.99971540000000003</v>
      </c>
      <c r="Y1709">
        <v>-4.3946989999999998E-2</v>
      </c>
      <c r="Z1709">
        <v>-9.7803349999999994E-3</v>
      </c>
      <c r="AA1709">
        <v>0.99898600000000004</v>
      </c>
      <c r="AB1709">
        <v>31</v>
      </c>
      <c r="AC1709">
        <v>-13.827299999999999</v>
      </c>
      <c r="AD1709">
        <v>-1.1068517659949999</v>
      </c>
      <c r="AE1709">
        <v>0.79450000000002696</v>
      </c>
      <c r="AF1709">
        <v>-0.620787233835281</v>
      </c>
      <c r="AG1709">
        <v>-1.1068517659949999</v>
      </c>
      <c r="AH1709">
        <v>13.7482039559318</v>
      </c>
      <c r="AI1709">
        <v>94.598223171590504</v>
      </c>
      <c r="AJ1709">
        <v>92.585380949779505</v>
      </c>
      <c r="AK1709">
        <v>13.806650920316599</v>
      </c>
      <c r="AL1709">
        <v>89.866220254681195</v>
      </c>
      <c r="AM1709">
        <v>88.639474173399606</v>
      </c>
      <c r="AN1709">
        <v>1.0000000399379501</v>
      </c>
    </row>
    <row r="1710" spans="1:40" x14ac:dyDescent="0.25">
      <c r="A1710" t="str">
        <f>"20190312160330065"</f>
        <v>20190312160330065</v>
      </c>
      <c r="B1710" t="str">
        <f>"1552377810056296"</f>
        <v>1552377810056296</v>
      </c>
      <c r="C1710" t="s">
        <v>40</v>
      </c>
      <c r="D1710">
        <v>5.7015359999999999</v>
      </c>
      <c r="E1710">
        <v>0.47477510000000001</v>
      </c>
      <c r="F1710" t="s">
        <v>70</v>
      </c>
      <c r="G1710">
        <v>-257.68709999999999</v>
      </c>
      <c r="H1710" s="1">
        <v>2.55389E-6</v>
      </c>
      <c r="I1710">
        <v>283.96179999999998</v>
      </c>
      <c r="J1710">
        <v>-243.47239999999999</v>
      </c>
      <c r="K1710">
        <v>1.106919</v>
      </c>
      <c r="L1710">
        <v>283.14179999999999</v>
      </c>
      <c r="M1710">
        <v>-0.9944286</v>
      </c>
      <c r="N1710">
        <v>0</v>
      </c>
      <c r="O1710">
        <v>0.1046579</v>
      </c>
      <c r="P1710">
        <v>-0.99174180000000001</v>
      </c>
      <c r="Q1710">
        <v>-1.008615E-2</v>
      </c>
      <c r="R1710">
        <v>0.12785479999999999</v>
      </c>
      <c r="S1710">
        <v>-2.9995880000000001</v>
      </c>
      <c r="T1710">
        <v>-0.2301087</v>
      </c>
      <c r="U1710">
        <v>0.1755371</v>
      </c>
      <c r="V1710">
        <v>2.3367889999999999E-2</v>
      </c>
      <c r="W1710">
        <v>2.334895E-3</v>
      </c>
      <c r="X1710">
        <v>0.99972419999999995</v>
      </c>
      <c r="Y1710">
        <v>-4.5948389999999999E-2</v>
      </c>
      <c r="Z1710">
        <v>-9.7518970000000007E-3</v>
      </c>
      <c r="AA1710">
        <v>0.99889620000000001</v>
      </c>
      <c r="AB1710">
        <v>31</v>
      </c>
      <c r="AC1710">
        <v>-14.214699999999899</v>
      </c>
      <c r="AD1710">
        <v>-1.1069164461100001</v>
      </c>
      <c r="AE1710">
        <v>0.81999999999999296</v>
      </c>
      <c r="AF1710">
        <v>-0.66826361130471601</v>
      </c>
      <c r="AG1710">
        <v>-1.1069164461100001</v>
      </c>
      <c r="AH1710">
        <v>14.137009228926701</v>
      </c>
      <c r="AI1710">
        <v>94.472105650021007</v>
      </c>
      <c r="AJ1710">
        <v>92.706386010211702</v>
      </c>
      <c r="AK1710">
        <v>14.196015997864301</v>
      </c>
      <c r="AL1710">
        <v>89.866220248407402</v>
      </c>
      <c r="AM1710">
        <v>88.660992985758398</v>
      </c>
      <c r="AN1710">
        <v>0.99999999304167597</v>
      </c>
    </row>
    <row r="1711" spans="1:40" x14ac:dyDescent="0.25">
      <c r="A1711" t="str">
        <f>"20190312160330081"</f>
        <v>20190312160330081</v>
      </c>
      <c r="B1711" t="str">
        <f>"1552377810075815"</f>
        <v>1552377810075815</v>
      </c>
      <c r="C1711" t="s">
        <v>40</v>
      </c>
      <c r="D1711">
        <v>5.6862769999999996</v>
      </c>
      <c r="E1711">
        <v>0.47413549999999899</v>
      </c>
      <c r="F1711" t="s">
        <v>70</v>
      </c>
      <c r="G1711">
        <v>-258.21339999999998</v>
      </c>
      <c r="H1711" s="1">
        <v>2.8339749999999998E-6</v>
      </c>
      <c r="I1711">
        <v>284.01870000000002</v>
      </c>
      <c r="J1711">
        <v>-243.68729999999999</v>
      </c>
      <c r="K1711">
        <v>1.1069929999999999</v>
      </c>
      <c r="L1711">
        <v>283.16680000000002</v>
      </c>
      <c r="M1711">
        <v>-0.99418899999999999</v>
      </c>
      <c r="N1711">
        <v>0</v>
      </c>
      <c r="O1711">
        <v>0.1069108</v>
      </c>
      <c r="P1711">
        <v>-0.99153729999999995</v>
      </c>
      <c r="Q1711">
        <v>-1.0563039999999999E-2</v>
      </c>
      <c r="R1711">
        <v>0.12939249999999999</v>
      </c>
      <c r="S1711">
        <v>-2.9996640000000001</v>
      </c>
      <c r="T1711">
        <v>-0.2252479</v>
      </c>
      <c r="U1711">
        <v>0.17843629999999999</v>
      </c>
      <c r="V1711">
        <v>2.264996E-2</v>
      </c>
      <c r="W1711">
        <v>1.8642579999999999E-3</v>
      </c>
      <c r="X1711">
        <v>0.99974169999999996</v>
      </c>
      <c r="Y1711">
        <v>-4.7259580000000002E-2</v>
      </c>
      <c r="Z1711">
        <v>-9.7628070000000001E-3</v>
      </c>
      <c r="AA1711">
        <v>0.99883489999999997</v>
      </c>
      <c r="AB1711">
        <v>31</v>
      </c>
      <c r="AC1711">
        <v>-14.5260999999999</v>
      </c>
      <c r="AD1711">
        <v>-1.1069901660250001</v>
      </c>
      <c r="AE1711">
        <v>0.85189999999999999</v>
      </c>
      <c r="AF1711">
        <v>-0.70204013190561299</v>
      </c>
      <c r="AG1711">
        <v>-1.1069901660250001</v>
      </c>
      <c r="AH1711">
        <v>14.450284213382201</v>
      </c>
      <c r="AI1711">
        <v>94.375549977888099</v>
      </c>
      <c r="AJ1711">
        <v>92.781421709098893</v>
      </c>
      <c r="AK1711">
        <v>14.5096175491295</v>
      </c>
      <c r="AL1711">
        <v>89.893185820821799</v>
      </c>
      <c r="AM1711">
        <v>88.702139618562896</v>
      </c>
      <c r="AN1711">
        <v>0.99999998143238999</v>
      </c>
    </row>
    <row r="1712" spans="1:40" x14ac:dyDescent="0.25">
      <c r="A1712" t="str">
        <f>"20190312160330094"</f>
        <v>20190312160330094</v>
      </c>
      <c r="B1712" t="str">
        <f>"1552377810086552"</f>
        <v>1552377810086552</v>
      </c>
      <c r="C1712" t="s">
        <v>40</v>
      </c>
      <c r="D1712">
        <v>5.5252059999999998</v>
      </c>
      <c r="E1712">
        <v>0.47381040000000002</v>
      </c>
      <c r="F1712" t="s">
        <v>70</v>
      </c>
      <c r="G1712">
        <v>-258.64490000000001</v>
      </c>
      <c r="H1712" s="1">
        <v>3.0635719999999998E-6</v>
      </c>
      <c r="I1712">
        <v>284.05419999999998</v>
      </c>
      <c r="J1712">
        <v>-243.8629</v>
      </c>
      <c r="K1712">
        <v>1.107064</v>
      </c>
      <c r="L1712">
        <v>283.18759999999997</v>
      </c>
      <c r="M1712">
        <v>-0.99399599999999999</v>
      </c>
      <c r="N1712">
        <v>0</v>
      </c>
      <c r="O1712">
        <v>0.1086913</v>
      </c>
      <c r="P1712">
        <v>-0.99134889999999998</v>
      </c>
      <c r="Q1712">
        <v>-1.0712799999999899E-2</v>
      </c>
      <c r="R1712">
        <v>0.13081719999999999</v>
      </c>
      <c r="S1712">
        <v>-3</v>
      </c>
      <c r="T1712">
        <v>-0.22202669999999999</v>
      </c>
      <c r="U1712">
        <v>0.17797850000000001</v>
      </c>
      <c r="V1712">
        <v>2.2294789999999998E-2</v>
      </c>
      <c r="W1712">
        <v>1.7178689999999999E-3</v>
      </c>
      <c r="X1712">
        <v>0.99975000000000003</v>
      </c>
      <c r="Y1712">
        <v>-4.920923E-2</v>
      </c>
      <c r="Z1712">
        <v>-9.8252449999999998E-3</v>
      </c>
      <c r="AA1712">
        <v>0.99874010000000002</v>
      </c>
      <c r="AB1712">
        <v>31</v>
      </c>
      <c r="AC1712">
        <v>-14.782</v>
      </c>
      <c r="AD1712">
        <v>-1.107060936428</v>
      </c>
      <c r="AE1712">
        <v>0.86660000000000503</v>
      </c>
      <c r="AF1712">
        <v>-0.74119377159393596</v>
      </c>
      <c r="AG1712">
        <v>-1.107060936428</v>
      </c>
      <c r="AH1712">
        <v>14.706406197961501</v>
      </c>
      <c r="AI1712">
        <v>94.299524849785797</v>
      </c>
      <c r="AJ1712">
        <v>92.885230561151104</v>
      </c>
      <c r="AK1712">
        <v>14.766629113763701</v>
      </c>
      <c r="AL1712">
        <v>89.901573311638501</v>
      </c>
      <c r="AM1712">
        <v>88.722494941023399</v>
      </c>
      <c r="AN1712">
        <v>1.00000003561752</v>
      </c>
    </row>
    <row r="1713" spans="1:40" x14ac:dyDescent="0.25">
      <c r="A1713" t="str">
        <f>"20190312160330107"</f>
        <v>20190312160330107</v>
      </c>
      <c r="B1713" t="str">
        <f>"1552377810096312"</f>
        <v>1552377810096312</v>
      </c>
      <c r="C1713" t="s">
        <v>40</v>
      </c>
      <c r="D1713">
        <v>5.5378879999999997</v>
      </c>
      <c r="E1713">
        <v>0.47359899999999999</v>
      </c>
      <c r="F1713" t="s">
        <v>70</v>
      </c>
      <c r="G1713">
        <v>-258.78449999999998</v>
      </c>
      <c r="H1713" s="1">
        <v>3.137884E-6</v>
      </c>
      <c r="I1713">
        <v>284.08100000000002</v>
      </c>
      <c r="J1713">
        <v>-244.03809999999999</v>
      </c>
      <c r="K1713">
        <v>1.1071409999999999</v>
      </c>
      <c r="L1713">
        <v>283.20839999999998</v>
      </c>
      <c r="M1713">
        <v>-0.9938051</v>
      </c>
      <c r="N1713">
        <v>0</v>
      </c>
      <c r="O1713">
        <v>0.1104228</v>
      </c>
      <c r="P1713">
        <v>-0.99117</v>
      </c>
      <c r="Q1713">
        <v>-1.0858019999999999E-2</v>
      </c>
      <c r="R1713">
        <v>0.13215170000000001</v>
      </c>
      <c r="S1713">
        <v>-3.0000460000000002</v>
      </c>
      <c r="T1713">
        <v>-0.2225791</v>
      </c>
      <c r="U1713">
        <v>0.17962649999999999</v>
      </c>
      <c r="V1713">
        <v>2.189791E-2</v>
      </c>
      <c r="W1713">
        <v>1.5762479999999999E-3</v>
      </c>
      <c r="X1713">
        <v>0.99975899999999995</v>
      </c>
      <c r="Y1713">
        <v>-5.0393340000000002E-2</v>
      </c>
      <c r="Z1713">
        <v>-1.002047E-2</v>
      </c>
      <c r="AA1713">
        <v>0.99867919999999999</v>
      </c>
      <c r="AB1713">
        <v>31</v>
      </c>
      <c r="AC1713">
        <v>-14.7463999999999</v>
      </c>
      <c r="AD1713">
        <v>-1.107137862116</v>
      </c>
      <c r="AE1713">
        <v>0.87259999999997695</v>
      </c>
      <c r="AF1713">
        <v>-0.75695278104886099</v>
      </c>
      <c r="AG1713">
        <v>-1.107137862116</v>
      </c>
      <c r="AH1713">
        <v>14.670165633145199</v>
      </c>
      <c r="AI1713">
        <v>94.310142777768604</v>
      </c>
      <c r="AJ1713">
        <v>92.953734333952994</v>
      </c>
      <c r="AK1713">
        <v>14.7313438444149</v>
      </c>
      <c r="AL1713">
        <v>89.9096876074954</v>
      </c>
      <c r="AM1713">
        <v>88.745240362595993</v>
      </c>
      <c r="AN1713">
        <v>1.0000000305505601</v>
      </c>
    </row>
    <row r="1714" spans="1:40" x14ac:dyDescent="0.25">
      <c r="A1714" t="str">
        <f>"20190312160330126"</f>
        <v>20190312160330126</v>
      </c>
      <c r="B1714" t="str">
        <f>"1552377810116138"</f>
        <v>1552377810116138</v>
      </c>
      <c r="C1714" t="s">
        <v>40</v>
      </c>
      <c r="D1714">
        <v>5.5281129999999896</v>
      </c>
      <c r="E1714">
        <v>0.47338170000000002</v>
      </c>
      <c r="F1714" t="s">
        <v>70</v>
      </c>
      <c r="G1714">
        <v>-258.97770000000003</v>
      </c>
      <c r="H1714" s="1">
        <v>3.2406840000000001E-6</v>
      </c>
      <c r="I1714">
        <v>284.11489999999998</v>
      </c>
      <c r="J1714">
        <v>-244.3115</v>
      </c>
      <c r="K1714">
        <v>1.1072770000000001</v>
      </c>
      <c r="L1714">
        <v>283.24149999999997</v>
      </c>
      <c r="M1714">
        <v>-0.99351849999999997</v>
      </c>
      <c r="N1714">
        <v>0</v>
      </c>
      <c r="O1714">
        <v>0.1129724</v>
      </c>
      <c r="P1714">
        <v>-0.99086680000000005</v>
      </c>
      <c r="Q1714">
        <v>-1.119323E-2</v>
      </c>
      <c r="R1714">
        <v>0.1343789</v>
      </c>
      <c r="S1714">
        <v>-3.0000149999999999</v>
      </c>
      <c r="T1714">
        <v>-0.22232350000000001</v>
      </c>
      <c r="U1714">
        <v>0.18203739999999999</v>
      </c>
      <c r="V1714">
        <v>2.1577229999999999E-2</v>
      </c>
      <c r="W1714">
        <v>1.2448470000000001E-3</v>
      </c>
      <c r="X1714">
        <v>0.99976640000000006</v>
      </c>
      <c r="Y1714">
        <v>-5.2144969999999999E-2</v>
      </c>
      <c r="Z1714">
        <v>-1.026084E-2</v>
      </c>
      <c r="AA1714">
        <v>0.9985868</v>
      </c>
      <c r="AB1714">
        <v>31</v>
      </c>
      <c r="AC1714">
        <v>-14.6662</v>
      </c>
      <c r="AD1714">
        <v>-1.107273759316</v>
      </c>
      <c r="AE1714">
        <v>0.87340000000000295</v>
      </c>
      <c r="AF1714">
        <v>-0.78474197220702302</v>
      </c>
      <c r="AG1714">
        <v>-1.107273759316</v>
      </c>
      <c r="AH1714">
        <v>14.5881134501338</v>
      </c>
      <c r="AI1714">
        <v>94.334325333585298</v>
      </c>
      <c r="AJ1714">
        <v>93.079158170610498</v>
      </c>
      <c r="AK1714">
        <v>14.6511067559754</v>
      </c>
      <c r="AL1714">
        <v>89.928675501664003</v>
      </c>
      <c r="AM1714">
        <v>88.7636188665969</v>
      </c>
      <c r="AN1714">
        <v>0.999999990533743</v>
      </c>
    </row>
    <row r="1715" spans="1:40" x14ac:dyDescent="0.25">
      <c r="A1715" t="str">
        <f>"20190312160330142"</f>
        <v>20190312160330142</v>
      </c>
      <c r="B1715" t="str">
        <f>"1552377810136634"</f>
        <v>1552377810136634</v>
      </c>
      <c r="C1715" t="s">
        <v>40</v>
      </c>
      <c r="D1715">
        <v>5.6686100000000001</v>
      </c>
      <c r="E1715">
        <v>0.47278789999999998</v>
      </c>
      <c r="F1715" t="s">
        <v>70</v>
      </c>
      <c r="G1715">
        <v>-259.2174</v>
      </c>
      <c r="H1715" s="1">
        <v>3.3682530000000002E-6</v>
      </c>
      <c r="I1715">
        <v>284.17079999999999</v>
      </c>
      <c r="J1715">
        <v>-244.52</v>
      </c>
      <c r="K1715">
        <v>1.107389</v>
      </c>
      <c r="L1715">
        <v>283.2672</v>
      </c>
      <c r="M1715">
        <v>-0.99331049999999999</v>
      </c>
      <c r="N1715">
        <v>0</v>
      </c>
      <c r="O1715">
        <v>0.11478869999999999</v>
      </c>
      <c r="P1715">
        <v>-0.990676</v>
      </c>
      <c r="Q1715">
        <v>-1.1147219999999999E-2</v>
      </c>
      <c r="R1715">
        <v>0.13578209999999999</v>
      </c>
      <c r="S1715">
        <v>-2.999771</v>
      </c>
      <c r="T1715">
        <v>-0.22283520000000001</v>
      </c>
      <c r="U1715">
        <v>0.1870117</v>
      </c>
      <c r="V1715">
        <v>2.1165159999999999E-2</v>
      </c>
      <c r="W1715">
        <v>1.294438E-3</v>
      </c>
      <c r="X1715">
        <v>0.99977519999999998</v>
      </c>
      <c r="Y1715">
        <v>-5.230866E-2</v>
      </c>
      <c r="Z1715">
        <v>-1.0424279999999999E-2</v>
      </c>
      <c r="AA1715">
        <v>0.99857660000000004</v>
      </c>
      <c r="AB1715">
        <v>31</v>
      </c>
      <c r="AC1715">
        <v>-14.697399999999901</v>
      </c>
      <c r="AD1715">
        <v>-1.1073856317470001</v>
      </c>
      <c r="AE1715">
        <v>0.90359999999998297</v>
      </c>
      <c r="AF1715">
        <v>-0.78516181859370304</v>
      </c>
      <c r="AG1715">
        <v>-1.1073856317470001</v>
      </c>
      <c r="AH1715">
        <v>14.621273042585401</v>
      </c>
      <c r="AI1715">
        <v>94.324989654153001</v>
      </c>
      <c r="AJ1715">
        <v>93.073828845156299</v>
      </c>
      <c r="AK1715">
        <v>14.6841549775468</v>
      </c>
      <c r="AL1715">
        <v>89.925834148388205</v>
      </c>
      <c r="AM1715">
        <v>88.787234140406298</v>
      </c>
      <c r="AN1715">
        <v>1.00000004505129</v>
      </c>
    </row>
    <row r="1716" spans="1:40" x14ac:dyDescent="0.25">
      <c r="A1716" t="str">
        <f>"20190312160330161"</f>
        <v>20190312160330161</v>
      </c>
      <c r="B1716" t="str">
        <f>"1552377810156154"</f>
        <v>1552377810156154</v>
      </c>
      <c r="C1716" t="s">
        <v>40</v>
      </c>
      <c r="D1716">
        <v>5.5489329999999999</v>
      </c>
      <c r="E1716">
        <v>0.4722537</v>
      </c>
      <c r="F1716" t="s">
        <v>70</v>
      </c>
      <c r="G1716">
        <v>-259.94170000000003</v>
      </c>
      <c r="H1716" s="1">
        <v>3.7536680000000001E-6</v>
      </c>
      <c r="I1716">
        <v>284.2269</v>
      </c>
      <c r="J1716">
        <v>-244.77250000000001</v>
      </c>
      <c r="K1716">
        <v>1.107524</v>
      </c>
      <c r="L1716">
        <v>283.29860000000002</v>
      </c>
      <c r="M1716">
        <v>-0.99306799999999995</v>
      </c>
      <c r="N1716">
        <v>0</v>
      </c>
      <c r="O1716">
        <v>0.11686820000000001</v>
      </c>
      <c r="P1716">
        <v>-0.99045680000000003</v>
      </c>
      <c r="Q1716">
        <v>-1.140161E-2</v>
      </c>
      <c r="R1716">
        <v>0.13735139999999901</v>
      </c>
      <c r="S1716">
        <v>-3.0002140000000002</v>
      </c>
      <c r="T1716">
        <v>-0.21543609999999999</v>
      </c>
      <c r="U1716">
        <v>0.1867065</v>
      </c>
      <c r="V1716">
        <v>2.0654260000000001E-2</v>
      </c>
      <c r="W1716">
        <v>1.0450520000000001E-3</v>
      </c>
      <c r="X1716">
        <v>0.99978610000000001</v>
      </c>
      <c r="Y1716">
        <v>-5.4528680000000003E-2</v>
      </c>
      <c r="Z1716">
        <v>-1.0305119999999999E-2</v>
      </c>
      <c r="AA1716">
        <v>0.99845899999999999</v>
      </c>
      <c r="AB1716">
        <v>31</v>
      </c>
      <c r="AC1716">
        <v>-15.1692</v>
      </c>
      <c r="AD1716">
        <v>-1.107520246332</v>
      </c>
      <c r="AE1716">
        <v>0.92829999999997803</v>
      </c>
      <c r="AF1716">
        <v>-0.84650365301250297</v>
      </c>
      <c r="AG1716">
        <v>-1.107520246332</v>
      </c>
      <c r="AH1716">
        <v>15.0935749209774</v>
      </c>
      <c r="AI1716">
        <v>94.190106472375504</v>
      </c>
      <c r="AJ1716">
        <v>93.209997047083306</v>
      </c>
      <c r="AK1716">
        <v>15.1578089915976</v>
      </c>
      <c r="AL1716">
        <v>89.940122918223494</v>
      </c>
      <c r="AM1716">
        <v>88.816513233276297</v>
      </c>
      <c r="AN1716">
        <v>0.99999996817151904</v>
      </c>
    </row>
    <row r="1717" spans="1:40" x14ac:dyDescent="0.25">
      <c r="A1717" t="str">
        <f>"20190312160330183"</f>
        <v>20190312160330183</v>
      </c>
      <c r="B1717" t="str">
        <f>"1552377810176650"</f>
        <v>1552377810176650</v>
      </c>
      <c r="C1717" t="s">
        <v>40</v>
      </c>
      <c r="D1717">
        <v>5.5456570000000003</v>
      </c>
      <c r="E1717">
        <v>0.47177479999999999</v>
      </c>
      <c r="F1717" t="s">
        <v>70</v>
      </c>
      <c r="G1717">
        <v>-260.50889999999998</v>
      </c>
      <c r="H1717" s="1">
        <v>-1.265992E-6</v>
      </c>
      <c r="I1717">
        <v>284.28100000000001</v>
      </c>
      <c r="J1717">
        <v>-245.0821</v>
      </c>
      <c r="K1717">
        <v>1.1076919999999999</v>
      </c>
      <c r="L1717">
        <v>283.33769999999998</v>
      </c>
      <c r="M1717">
        <v>-0.99278739999999999</v>
      </c>
      <c r="N1717">
        <v>0</v>
      </c>
      <c r="O1717">
        <v>0.11923</v>
      </c>
      <c r="P1717">
        <v>-0.99023629999999996</v>
      </c>
      <c r="Q1717">
        <v>-1.1142579999999999E-2</v>
      </c>
      <c r="R1717">
        <v>0.13895360000000001</v>
      </c>
      <c r="S1717">
        <v>-3.0004879999999998</v>
      </c>
      <c r="T1717">
        <v>-0.21117379999999999</v>
      </c>
      <c r="U1717">
        <v>0.18731690000000001</v>
      </c>
      <c r="V1717">
        <v>1.989397E-2</v>
      </c>
      <c r="W1717">
        <v>1.309696E-3</v>
      </c>
      <c r="X1717">
        <v>0.99980119999999895</v>
      </c>
      <c r="Y1717">
        <v>-5.6713079999999999E-2</v>
      </c>
      <c r="Z1717">
        <v>-1.034212E-2</v>
      </c>
      <c r="AA1717">
        <v>0.99833700000000003</v>
      </c>
      <c r="AB1717">
        <v>31</v>
      </c>
      <c r="AC1717">
        <v>-15.426799999999901</v>
      </c>
      <c r="AD1717">
        <v>-1.10769326599199</v>
      </c>
      <c r="AE1717">
        <v>0.94330000000002101</v>
      </c>
      <c r="AF1717">
        <v>-0.89829796527462702</v>
      </c>
      <c r="AG1717">
        <v>-1.10769326599199</v>
      </c>
      <c r="AH1717">
        <v>15.350369496331901</v>
      </c>
      <c r="AI1717">
        <v>94.120324264523504</v>
      </c>
      <c r="AJ1717">
        <v>93.349108324832599</v>
      </c>
      <c r="AK1717">
        <v>15.416477135839299</v>
      </c>
      <c r="AL1717">
        <v>89.924959922483097</v>
      </c>
      <c r="AM1717">
        <v>88.860083261449006</v>
      </c>
      <c r="AN1717">
        <v>0.99999996243370504</v>
      </c>
    </row>
    <row r="1718" spans="1:40" x14ac:dyDescent="0.25">
      <c r="A1718" t="str">
        <f>"20190312160330198"</f>
        <v>20190312160330198</v>
      </c>
      <c r="B1718" t="str">
        <f>"1552377810186409"</f>
        <v>1552377810186409</v>
      </c>
      <c r="C1718" t="s">
        <v>40</v>
      </c>
      <c r="D1718">
        <v>5.54671</v>
      </c>
      <c r="E1718">
        <v>0.47165610000000002</v>
      </c>
      <c r="F1718" t="s">
        <v>70</v>
      </c>
      <c r="G1718">
        <v>-261.07429999999999</v>
      </c>
      <c r="H1718" s="1">
        <v>-9.651085E-7</v>
      </c>
      <c r="I1718">
        <v>284.34199999999998</v>
      </c>
      <c r="J1718">
        <v>-245.2816</v>
      </c>
      <c r="K1718">
        <v>1.107801</v>
      </c>
      <c r="L1718">
        <v>283.36320000000001</v>
      </c>
      <c r="M1718">
        <v>-0.99261770000000005</v>
      </c>
      <c r="N1718">
        <v>0</v>
      </c>
      <c r="O1718">
        <v>0.1206337</v>
      </c>
      <c r="P1718">
        <v>-0.99010100000000001</v>
      </c>
      <c r="Q1718">
        <v>-1.11269E-2</v>
      </c>
      <c r="R1718">
        <v>0.13991579999999901</v>
      </c>
      <c r="S1718">
        <v>-3.0008089999999998</v>
      </c>
      <c r="T1718">
        <v>-0.20785029999999999</v>
      </c>
      <c r="U1718">
        <v>0.188446</v>
      </c>
      <c r="V1718">
        <v>1.9451840000000001E-2</v>
      </c>
      <c r="W1718">
        <v>1.32877E-3</v>
      </c>
      <c r="X1718">
        <v>0.99980990000000003</v>
      </c>
      <c r="Y1718">
        <v>-5.7764969999999999E-2</v>
      </c>
      <c r="Z1718">
        <v>-1.031117E-2</v>
      </c>
      <c r="AA1718">
        <v>0.99827690000000002</v>
      </c>
      <c r="AB1718">
        <v>31</v>
      </c>
      <c r="AC1718">
        <v>-15.7926999999999</v>
      </c>
      <c r="AD1718">
        <v>-1.1078019651085</v>
      </c>
      <c r="AE1718">
        <v>0.97879999999997802</v>
      </c>
      <c r="AF1718">
        <v>-0.92907715339714003</v>
      </c>
      <c r="AG1718">
        <v>-1.1078019651085</v>
      </c>
      <c r="AH1718">
        <v>15.718387869521599</v>
      </c>
      <c r="AI1718">
        <v>94.024430199990704</v>
      </c>
      <c r="AJ1718">
        <v>93.382683839909504</v>
      </c>
      <c r="AK1718">
        <v>15.7847434812095</v>
      </c>
      <c r="AL1718">
        <v>89.923867063733198</v>
      </c>
      <c r="AM1718">
        <v>88.885420371201604</v>
      </c>
      <c r="AN1718">
        <v>0.99999998792355405</v>
      </c>
    </row>
    <row r="1719" spans="1:40" x14ac:dyDescent="0.25">
      <c r="A1719" t="str">
        <f>"20190312160330216"</f>
        <v>20190312160330216</v>
      </c>
      <c r="B1719" t="str">
        <f>"1552377810205930"</f>
        <v>1552377810205930</v>
      </c>
      <c r="C1719" t="s">
        <v>40</v>
      </c>
      <c r="D1719">
        <v>5.5484549999999997</v>
      </c>
      <c r="E1719">
        <v>0.47130379999999999</v>
      </c>
      <c r="F1719" t="s">
        <v>70</v>
      </c>
      <c r="G1719">
        <v>-261.2165</v>
      </c>
      <c r="H1719" s="1">
        <v>-8.8942260000000004E-7</v>
      </c>
      <c r="I1719">
        <v>284.37479999999999</v>
      </c>
      <c r="J1719">
        <v>-245.5394</v>
      </c>
      <c r="K1719">
        <v>1.1079460000000001</v>
      </c>
      <c r="L1719">
        <v>283.39640000000003</v>
      </c>
      <c r="M1719">
        <v>-0.99241029999999997</v>
      </c>
      <c r="N1719">
        <v>0</v>
      </c>
      <c r="O1719">
        <v>0.1223287</v>
      </c>
      <c r="P1719">
        <v>-0.98999800000000004</v>
      </c>
      <c r="Q1719">
        <v>-1.1201259999999999E-2</v>
      </c>
      <c r="R1719">
        <v>0.14063629999999999</v>
      </c>
      <c r="S1719">
        <v>-3.0007169999999999</v>
      </c>
      <c r="T1719">
        <v>-0.20861080000000001</v>
      </c>
      <c r="U1719">
        <v>0.19049070000000001</v>
      </c>
      <c r="V1719">
        <v>1.8471169999999999E-2</v>
      </c>
      <c r="W1719">
        <v>1.2601050000000001E-3</v>
      </c>
      <c r="X1719">
        <v>0.99982859999999996</v>
      </c>
      <c r="Y1719">
        <v>-5.8780869999999999E-2</v>
      </c>
      <c r="Z1719">
        <v>-1.050075E-2</v>
      </c>
      <c r="AA1719">
        <v>0.99821570000000004</v>
      </c>
      <c r="AB1719">
        <v>31</v>
      </c>
      <c r="AC1719">
        <v>-15.6770999999999</v>
      </c>
      <c r="AD1719">
        <v>-1.1079468894225999</v>
      </c>
      <c r="AE1719">
        <v>0.97839999999996496</v>
      </c>
      <c r="AF1719">
        <v>-0.94217201017465402</v>
      </c>
      <c r="AG1719">
        <v>-1.1079468894225999</v>
      </c>
      <c r="AH1719">
        <v>15.6014150527258</v>
      </c>
      <c r="AI1719">
        <v>94.054723486428401</v>
      </c>
      <c r="AJ1719">
        <v>93.455904391085497</v>
      </c>
      <c r="AK1719">
        <v>15.6690582376209</v>
      </c>
      <c r="AL1719">
        <v>89.927801282698894</v>
      </c>
      <c r="AM1719">
        <v>88.941618887098002</v>
      </c>
      <c r="AN1719">
        <v>1.0000000006818699</v>
      </c>
    </row>
    <row r="1720" spans="1:40" x14ac:dyDescent="0.25">
      <c r="A1720" t="str">
        <f>"20190312160330228"</f>
        <v>20190312160330228</v>
      </c>
      <c r="B1720" t="str">
        <f>"1552377810216666"</f>
        <v>1552377810216666</v>
      </c>
      <c r="C1720" t="s">
        <v>40</v>
      </c>
      <c r="D1720">
        <v>5.5563120000000001</v>
      </c>
      <c r="E1720">
        <v>0.4711379</v>
      </c>
      <c r="F1720" t="s">
        <v>70</v>
      </c>
      <c r="G1720">
        <v>-261.4239</v>
      </c>
      <c r="H1720" s="1">
        <v>-7.7905489999999997E-7</v>
      </c>
      <c r="I1720">
        <v>284.4008</v>
      </c>
      <c r="J1720">
        <v>-245.70500000000001</v>
      </c>
      <c r="K1720">
        <v>1.108034</v>
      </c>
      <c r="L1720">
        <v>283.41789999999997</v>
      </c>
      <c r="M1720">
        <v>-0.99228300000000003</v>
      </c>
      <c r="N1720">
        <v>0</v>
      </c>
      <c r="O1720">
        <v>0.1233581</v>
      </c>
      <c r="P1720">
        <v>-0.98988100000000001</v>
      </c>
      <c r="Q1720">
        <v>-1.150496E-2</v>
      </c>
      <c r="R1720">
        <v>0.14143320000000001</v>
      </c>
      <c r="S1720">
        <v>-3.0009769999999998</v>
      </c>
      <c r="T1720">
        <v>-0.20931839999999999</v>
      </c>
      <c r="U1720">
        <v>0.18975829999999999</v>
      </c>
      <c r="V1720">
        <v>1.823775E-2</v>
      </c>
      <c r="W1720">
        <v>9.5826769999999997E-4</v>
      </c>
      <c r="X1720">
        <v>0.99983319999999998</v>
      </c>
      <c r="Y1720">
        <v>-6.0055959999999999E-2</v>
      </c>
      <c r="Z1720">
        <v>-1.0650949999999999E-2</v>
      </c>
      <c r="AA1720">
        <v>0.99813819999999998</v>
      </c>
      <c r="AB1720">
        <v>31</v>
      </c>
      <c r="AC1720">
        <v>-15.7188999999999</v>
      </c>
      <c r="AD1720">
        <v>-1.1080347790549001</v>
      </c>
      <c r="AE1720">
        <v>0.98290000000002897</v>
      </c>
      <c r="AF1720">
        <v>-0.95906747499887501</v>
      </c>
      <c r="AG1720">
        <v>-1.1080347790549001</v>
      </c>
      <c r="AH1720">
        <v>15.6426573147361</v>
      </c>
      <c r="AI1720">
        <v>94.044163322094406</v>
      </c>
      <c r="AJ1720">
        <v>93.508471647603599</v>
      </c>
      <c r="AK1720">
        <v>15.7111514332802</v>
      </c>
      <c r="AL1720">
        <v>89.945095295689796</v>
      </c>
      <c r="AM1720">
        <v>88.954995461054907</v>
      </c>
      <c r="AN1720">
        <v>0.99999998081214303</v>
      </c>
    </row>
    <row r="1721" spans="1:40" x14ac:dyDescent="0.25">
      <c r="A1721" t="str">
        <f>"20190312160330241"</f>
        <v>20190312160330241</v>
      </c>
      <c r="B1721" t="str">
        <f>"1552377810236187"</f>
        <v>1552377810236187</v>
      </c>
      <c r="C1721" t="s">
        <v>40</v>
      </c>
      <c r="D1721">
        <v>5.5752199999999998</v>
      </c>
      <c r="E1721">
        <v>0.47087760000000001</v>
      </c>
      <c r="F1721" t="s">
        <v>70</v>
      </c>
      <c r="G1721">
        <v>-261.51159999999999</v>
      </c>
      <c r="H1721" s="1">
        <v>-7.3237279999999998E-7</v>
      </c>
      <c r="I1721">
        <v>284.423</v>
      </c>
      <c r="J1721">
        <v>-245.8809</v>
      </c>
      <c r="K1721">
        <v>1.1081240000000001</v>
      </c>
      <c r="L1721">
        <v>283.4409</v>
      </c>
      <c r="M1721">
        <v>-0.99215779999999998</v>
      </c>
      <c r="N1721">
        <v>0</v>
      </c>
      <c r="O1721">
        <v>0.12436179999999999</v>
      </c>
      <c r="P1721">
        <v>-0.98978350000000004</v>
      </c>
      <c r="Q1721">
        <v>-1.172145E-2</v>
      </c>
      <c r="R1721">
        <v>0.14209620000000001</v>
      </c>
      <c r="S1721">
        <v>-3.000931</v>
      </c>
      <c r="T1721">
        <v>-0.21036350000000001</v>
      </c>
      <c r="U1721">
        <v>0.19082640000000001</v>
      </c>
      <c r="V1721">
        <v>1.7895230000000002E-2</v>
      </c>
      <c r="W1721">
        <v>7.4369110000000003E-4</v>
      </c>
      <c r="X1721">
        <v>0.99983960000000005</v>
      </c>
      <c r="Y1721">
        <v>-6.0702449999999998E-2</v>
      </c>
      <c r="Z1721">
        <v>-1.079627E-2</v>
      </c>
      <c r="AA1721">
        <v>0.99809749999999997</v>
      </c>
      <c r="AB1721">
        <v>31</v>
      </c>
      <c r="AC1721">
        <v>-15.6306999999999</v>
      </c>
      <c r="AD1721">
        <v>-1.1081247323727901</v>
      </c>
      <c r="AE1721">
        <v>0.98210000000000197</v>
      </c>
      <c r="AF1721">
        <v>-0.96471039881232401</v>
      </c>
      <c r="AG1721">
        <v>-1.1081247323727901</v>
      </c>
      <c r="AH1721">
        <v>15.5536193717451</v>
      </c>
      <c r="AI1721">
        <v>94.067388301609697</v>
      </c>
      <c r="AJ1721">
        <v>93.5492135451492</v>
      </c>
      <c r="AK1721">
        <v>15.622857681525399</v>
      </c>
      <c r="AL1721">
        <v>89.957389635165498</v>
      </c>
      <c r="AM1721">
        <v>88.974623840690498</v>
      </c>
      <c r="AN1721">
        <v>1.00000000903068</v>
      </c>
    </row>
    <row r="1722" spans="1:40" x14ac:dyDescent="0.25">
      <c r="A1722" t="str">
        <f>"20190312160330259"</f>
        <v>20190312160330259</v>
      </c>
      <c r="B1722" t="str">
        <f>"1552377810245946"</f>
        <v>1552377810245946</v>
      </c>
      <c r="C1722" t="s">
        <v>40</v>
      </c>
      <c r="D1722">
        <v>5.5848849999999999</v>
      </c>
      <c r="E1722">
        <v>0.47077799999999997</v>
      </c>
      <c r="F1722" t="s">
        <v>70</v>
      </c>
      <c r="G1722">
        <v>-261.61</v>
      </c>
      <c r="H1722" s="1">
        <v>-6.8003739999999999E-7</v>
      </c>
      <c r="I1722">
        <v>284.4402</v>
      </c>
      <c r="J1722">
        <v>-246.13300000000001</v>
      </c>
      <c r="K1722">
        <v>1.108255</v>
      </c>
      <c r="L1722">
        <v>283.47410000000002</v>
      </c>
      <c r="M1722">
        <v>-0.99198750000000002</v>
      </c>
      <c r="N1722">
        <v>0</v>
      </c>
      <c r="O1722">
        <v>0.12571280000000001</v>
      </c>
      <c r="P1722">
        <v>-0.98969790000000002</v>
      </c>
      <c r="Q1722">
        <v>-1.2161750000000001E-2</v>
      </c>
      <c r="R1722">
        <v>0.14265429999999901</v>
      </c>
      <c r="S1722">
        <v>-3.0011139999999998</v>
      </c>
      <c r="T1722">
        <v>-0.2114307</v>
      </c>
      <c r="U1722">
        <v>0.1906738</v>
      </c>
      <c r="V1722">
        <v>1.709639E-2</v>
      </c>
      <c r="W1722">
        <v>3.0738510000000001E-4</v>
      </c>
      <c r="X1722">
        <v>0.99985380000000001</v>
      </c>
      <c r="Y1722">
        <v>-6.210475E-2</v>
      </c>
      <c r="Z1722">
        <v>-1.099377E-2</v>
      </c>
      <c r="AA1722">
        <v>0.99800909999999998</v>
      </c>
      <c r="AB1722">
        <v>31</v>
      </c>
      <c r="AC1722">
        <v>-15.477</v>
      </c>
      <c r="AD1722">
        <v>-1.1082556800373999</v>
      </c>
      <c r="AE1722">
        <v>0.96609999999998297</v>
      </c>
      <c r="AF1722">
        <v>-0.98235794123317299</v>
      </c>
      <c r="AG1722">
        <v>-1.1082556800373999</v>
      </c>
      <c r="AH1722">
        <v>15.397015372610801</v>
      </c>
      <c r="AI1722">
        <v>94.108644862817201</v>
      </c>
      <c r="AJ1722">
        <v>93.650628127363504</v>
      </c>
      <c r="AK1722">
        <v>15.4680748692736</v>
      </c>
      <c r="AL1722">
        <v>89.982388130828696</v>
      </c>
      <c r="AM1722">
        <v>89.020401238446894</v>
      </c>
      <c r="AN1722">
        <v>1.0000000012055299</v>
      </c>
    </row>
    <row r="1723" spans="1:40" x14ac:dyDescent="0.25">
      <c r="A1723" t="str">
        <f>"20190312160330272"</f>
        <v>20190312160330272</v>
      </c>
      <c r="B1723" t="str">
        <f>"1552377810266441"</f>
        <v>1552377810266441</v>
      </c>
      <c r="C1723" t="s">
        <v>40</v>
      </c>
      <c r="D1723">
        <v>5.5357320000000003</v>
      </c>
      <c r="E1723">
        <v>0.47036080000000002</v>
      </c>
      <c r="F1723" t="s">
        <v>70</v>
      </c>
      <c r="G1723">
        <v>-261.72820000000002</v>
      </c>
      <c r="H1723" s="1">
        <v>-6.1710200000000004E-7</v>
      </c>
      <c r="I1723">
        <v>284.46910000000003</v>
      </c>
      <c r="J1723">
        <v>-246.3049</v>
      </c>
      <c r="K1723">
        <v>1.1083459999999901</v>
      </c>
      <c r="L1723">
        <v>283.49680000000001</v>
      </c>
      <c r="M1723">
        <v>-0.99187930000000002</v>
      </c>
      <c r="N1723">
        <v>0</v>
      </c>
      <c r="O1723">
        <v>0.12656329999999999</v>
      </c>
      <c r="P1723">
        <v>-0.98962589999999995</v>
      </c>
      <c r="Q1723">
        <v>-1.245276E-2</v>
      </c>
      <c r="R1723">
        <v>0.14312830000000001</v>
      </c>
      <c r="S1723">
        <v>-3.0010219999999999</v>
      </c>
      <c r="T1723">
        <v>-0.2132638</v>
      </c>
      <c r="U1723">
        <v>0.19146730000000001</v>
      </c>
      <c r="V1723">
        <v>1.6717409999999999E-2</v>
      </c>
      <c r="W1723" s="1">
        <v>1.7854850000000001E-5</v>
      </c>
      <c r="X1723">
        <v>0.99986019999999998</v>
      </c>
      <c r="Y1723">
        <v>-6.2684139999999999E-2</v>
      </c>
      <c r="Z1723">
        <v>-1.1169409999999999E-2</v>
      </c>
      <c r="AA1723">
        <v>0.99797089999999999</v>
      </c>
      <c r="AB1723">
        <v>31</v>
      </c>
      <c r="AC1723">
        <v>-15.423299999999999</v>
      </c>
      <c r="AD1723">
        <v>-1.10834661710199</v>
      </c>
      <c r="AE1723">
        <v>0.97230000000001804</v>
      </c>
      <c r="AF1723">
        <v>-0.98264272928872898</v>
      </c>
      <c r="AG1723">
        <v>-1.10834661710199</v>
      </c>
      <c r="AH1723">
        <v>15.3434000735417</v>
      </c>
      <c r="AI1723">
        <v>94.123226467863802</v>
      </c>
      <c r="AJ1723">
        <v>93.664409164770504</v>
      </c>
      <c r="AK1723">
        <v>15.4147314207489</v>
      </c>
      <c r="AL1723">
        <v>89.998976992395598</v>
      </c>
      <c r="AM1723">
        <v>89.042118290212699</v>
      </c>
      <c r="AN1723">
        <v>0.99999994582996998</v>
      </c>
    </row>
    <row r="1724" spans="1:40" x14ac:dyDescent="0.25">
      <c r="A1724" t="str">
        <f>"20190312160330284"</f>
        <v>20190312160330284</v>
      </c>
      <c r="B1724" t="str">
        <f>"1552377810276202"</f>
        <v>1552377810276202</v>
      </c>
      <c r="C1724" t="s">
        <v>40</v>
      </c>
      <c r="D1724">
        <v>5.5324439999999999</v>
      </c>
      <c r="E1724">
        <v>0.47012029999999999</v>
      </c>
      <c r="F1724" t="s">
        <v>70</v>
      </c>
      <c r="G1724">
        <v>-261.86529999999999</v>
      </c>
      <c r="H1724" s="1">
        <v>-5.4416229999999995E-7</v>
      </c>
      <c r="I1724">
        <v>284.47899999999998</v>
      </c>
      <c r="J1724">
        <v>-246.48220000000001</v>
      </c>
      <c r="K1724">
        <v>1.108441</v>
      </c>
      <c r="L1724">
        <v>283.52030000000002</v>
      </c>
      <c r="M1724">
        <v>-0.99177599999999999</v>
      </c>
      <c r="N1724">
        <v>0</v>
      </c>
      <c r="O1724">
        <v>0.12737129999999999</v>
      </c>
      <c r="P1724">
        <v>-0.98956690000000003</v>
      </c>
      <c r="Q1724">
        <v>-1.237777E-2</v>
      </c>
      <c r="R1724">
        <v>0.14354169999999999</v>
      </c>
      <c r="S1724">
        <v>-3.0013730000000001</v>
      </c>
      <c r="T1724">
        <v>-0.2137841</v>
      </c>
      <c r="U1724">
        <v>0.18945310000000001</v>
      </c>
      <c r="V1724">
        <v>1.6320500000000002E-2</v>
      </c>
      <c r="W1724" s="1">
        <v>9.4769899999999995E-5</v>
      </c>
      <c r="X1724">
        <v>0.99986679999999994</v>
      </c>
      <c r="Y1724">
        <v>-6.4163600000000001E-2</v>
      </c>
      <c r="Z1724">
        <v>-1.130516E-2</v>
      </c>
      <c r="AA1724">
        <v>0.99787530000000002</v>
      </c>
      <c r="AB1724">
        <v>31</v>
      </c>
      <c r="AC1724">
        <v>-15.383099999999899</v>
      </c>
      <c r="AD1724">
        <v>-1.1084415441622999</v>
      </c>
      <c r="AE1724">
        <v>0.95870000000002098</v>
      </c>
      <c r="AF1724">
        <v>-1.0034391952639301</v>
      </c>
      <c r="AG1724">
        <v>-1.1084415441622999</v>
      </c>
      <c r="AH1724">
        <v>15.300772156600001</v>
      </c>
      <c r="AI1724">
        <v>94.134617969378297</v>
      </c>
      <c r="AJ1724">
        <v>93.752138744797094</v>
      </c>
      <c r="AK1724">
        <v>15.373651533178499</v>
      </c>
      <c r="AL1724">
        <v>89.994570084657397</v>
      </c>
      <c r="AM1724">
        <v>89.064862702655105</v>
      </c>
      <c r="AN1724">
        <v>0.99999999272191098</v>
      </c>
    </row>
    <row r="1725" spans="1:40" x14ac:dyDescent="0.25">
      <c r="A1725" t="str">
        <f>"20190312160330296"</f>
        <v>20190312160330296</v>
      </c>
      <c r="B1725" t="str">
        <f>"1552377810285963"</f>
        <v>1552377810285963</v>
      </c>
      <c r="C1725" t="s">
        <v>40</v>
      </c>
      <c r="D1725">
        <v>5.6782309999999896</v>
      </c>
      <c r="E1725">
        <v>0.4698659</v>
      </c>
      <c r="F1725" t="s">
        <v>70</v>
      </c>
      <c r="G1725">
        <v>-262.08730000000003</v>
      </c>
      <c r="H1725" s="1">
        <v>-4.26041E-7</v>
      </c>
      <c r="I1725">
        <v>284.50290000000001</v>
      </c>
      <c r="J1725">
        <v>-246.6439</v>
      </c>
      <c r="K1725">
        <v>1.108535</v>
      </c>
      <c r="L1725">
        <v>283.5419</v>
      </c>
      <c r="M1725">
        <v>-0.99169110000000005</v>
      </c>
      <c r="N1725">
        <v>0</v>
      </c>
      <c r="O1725">
        <v>0.1280309</v>
      </c>
      <c r="P1725">
        <v>-0.98956670000000002</v>
      </c>
      <c r="Q1725">
        <v>-1.2158270000000001E-2</v>
      </c>
      <c r="R1725">
        <v>0.14356169999999999</v>
      </c>
      <c r="S1725">
        <v>-3.001541</v>
      </c>
      <c r="T1725">
        <v>-0.21320159999999999</v>
      </c>
      <c r="U1725">
        <v>0.18899540000000001</v>
      </c>
      <c r="V1725">
        <v>1.567613E-2</v>
      </c>
      <c r="W1725">
        <v>3.1692189999999999E-4</v>
      </c>
      <c r="X1725">
        <v>0.99987709999999996</v>
      </c>
      <c r="Y1725">
        <v>-6.4981369999999997E-2</v>
      </c>
      <c r="Z1725">
        <v>-1.134923E-2</v>
      </c>
      <c r="AA1725">
        <v>0.99782190000000004</v>
      </c>
      <c r="AB1725">
        <v>31</v>
      </c>
      <c r="AC1725">
        <v>-15.4434</v>
      </c>
      <c r="AD1725">
        <v>-1.1085354260410001</v>
      </c>
      <c r="AE1725">
        <v>0.96100000000001196</v>
      </c>
      <c r="AF1725">
        <v>-1.01906715466376</v>
      </c>
      <c r="AG1725">
        <v>-1.1085354260410001</v>
      </c>
      <c r="AH1725">
        <v>15.360492112504801</v>
      </c>
      <c r="AI1725">
        <v>94.118740534857295</v>
      </c>
      <c r="AJ1725">
        <v>93.795634141253998</v>
      </c>
      <c r="AK1725">
        <v>15.4341202079945</v>
      </c>
      <c r="AL1725">
        <v>89.981841712904597</v>
      </c>
      <c r="AM1725">
        <v>89.101787101684707</v>
      </c>
      <c r="AN1725">
        <v>1.0000000282978301</v>
      </c>
    </row>
    <row r="1726" spans="1:40" x14ac:dyDescent="0.25">
      <c r="A1726" t="str">
        <f>"20190312160330311"</f>
        <v>20190312160330311</v>
      </c>
      <c r="B1726" t="str">
        <f>"1552377810306458"</f>
        <v>1552377810306458</v>
      </c>
      <c r="C1726" t="s">
        <v>40</v>
      </c>
      <c r="D1726">
        <v>5.5175269999999896</v>
      </c>
      <c r="E1726">
        <v>0.46946149999999998</v>
      </c>
      <c r="F1726" t="s">
        <v>70</v>
      </c>
      <c r="G1726">
        <v>-262.43549999999999</v>
      </c>
      <c r="H1726" s="1">
        <v>-2.4071300000000002E-7</v>
      </c>
      <c r="I1726">
        <v>284.52569999999997</v>
      </c>
      <c r="J1726">
        <v>-246.8312</v>
      </c>
      <c r="K1726">
        <v>1.108646</v>
      </c>
      <c r="L1726">
        <v>283.56689999999998</v>
      </c>
      <c r="M1726">
        <v>-0.99159850000000005</v>
      </c>
      <c r="N1726">
        <v>0</v>
      </c>
      <c r="O1726">
        <v>0.1287459</v>
      </c>
      <c r="P1726">
        <v>-0.9895313</v>
      </c>
      <c r="Q1726">
        <v>-1.220102E-2</v>
      </c>
      <c r="R1726">
        <v>0.14380109999999999</v>
      </c>
      <c r="S1726">
        <v>-3.0019070000000001</v>
      </c>
      <c r="T1726">
        <v>-0.21072640000000001</v>
      </c>
      <c r="U1726">
        <v>0.1870117</v>
      </c>
      <c r="V1726">
        <v>1.519709E-2</v>
      </c>
      <c r="W1726">
        <v>2.7639059999999999E-4</v>
      </c>
      <c r="X1726">
        <v>0.99988449999999995</v>
      </c>
      <c r="Y1726">
        <v>-6.6371230000000003E-2</v>
      </c>
      <c r="Z1726">
        <v>-1.13151E-2</v>
      </c>
      <c r="AA1726">
        <v>0.99773089999999998</v>
      </c>
      <c r="AB1726">
        <v>31</v>
      </c>
      <c r="AC1726">
        <v>-15.604299999999901</v>
      </c>
      <c r="AD1726">
        <v>-1.108646240713</v>
      </c>
      <c r="AE1726">
        <v>0.95879999999999599</v>
      </c>
      <c r="AF1726">
        <v>-1.0530325917015899</v>
      </c>
      <c r="AG1726">
        <v>-1.108646240713</v>
      </c>
      <c r="AH1726">
        <v>15.519820368042099</v>
      </c>
      <c r="AI1726">
        <v>94.076597395441397</v>
      </c>
      <c r="AJ1726">
        <v>93.881616471538607</v>
      </c>
      <c r="AK1726">
        <v>15.5949606726829</v>
      </c>
      <c r="AL1726">
        <v>89.984163985248102</v>
      </c>
      <c r="AM1726">
        <v>89.129237347306898</v>
      </c>
      <c r="AN1726">
        <v>1.00000002063824</v>
      </c>
    </row>
    <row r="1727" spans="1:40" x14ac:dyDescent="0.25">
      <c r="A1727" t="str">
        <f>"20190312160330350"</f>
        <v>20190312160330350</v>
      </c>
      <c r="B1727" t="str">
        <f>"1552377810346005"</f>
        <v>1552377810346005</v>
      </c>
      <c r="C1727" t="s">
        <v>40</v>
      </c>
      <c r="D1727">
        <v>5.5433009999999996</v>
      </c>
      <c r="E1727">
        <v>0.46890080000000001</v>
      </c>
      <c r="F1727" t="s">
        <v>70</v>
      </c>
      <c r="G1727">
        <v>-262.83300000000003</v>
      </c>
      <c r="H1727" s="1">
        <v>-2.9199100000000001E-8</v>
      </c>
      <c r="I1727">
        <v>284.55090000000001</v>
      </c>
      <c r="J1727">
        <v>-247.38040000000001</v>
      </c>
      <c r="K1727">
        <v>1.1089739999999999</v>
      </c>
      <c r="L1727">
        <v>283.6404</v>
      </c>
      <c r="M1727">
        <v>-0.99138720000000002</v>
      </c>
      <c r="N1727">
        <v>0</v>
      </c>
      <c r="O1727">
        <v>0.13036439999999999</v>
      </c>
      <c r="P1727">
        <v>-0.98969359999999995</v>
      </c>
      <c r="Q1727">
        <v>-1.192328E-2</v>
      </c>
      <c r="R1727">
        <v>0.14270539999999901</v>
      </c>
      <c r="S1727">
        <v>-3.002319</v>
      </c>
      <c r="T1727">
        <v>-0.20800840000000001</v>
      </c>
      <c r="U1727">
        <v>0.1846313</v>
      </c>
      <c r="V1727">
        <v>1.2457849999999999E-2</v>
      </c>
      <c r="W1727">
        <v>5.6296980000000003E-4</v>
      </c>
      <c r="X1727">
        <v>0.99992219999999998</v>
      </c>
      <c r="Y1727">
        <v>-6.8798970000000001E-2</v>
      </c>
      <c r="Z1727">
        <v>-1.136325E-2</v>
      </c>
      <c r="AA1727">
        <v>0.99756579999999995</v>
      </c>
      <c r="AB1727">
        <v>31</v>
      </c>
      <c r="AC1727">
        <v>-15.452599999999901</v>
      </c>
      <c r="AD1727">
        <v>-1.1089740291990999</v>
      </c>
      <c r="AE1727">
        <v>0.91050000000001297</v>
      </c>
      <c r="AF1727">
        <v>-1.1062201683381201</v>
      </c>
      <c r="AG1727">
        <v>-1.1089740291990999</v>
      </c>
      <c r="AH1727">
        <v>15.360575992964099</v>
      </c>
      <c r="AI1727">
        <v>94.118738497711206</v>
      </c>
      <c r="AJ1727">
        <v>94.119149679538495</v>
      </c>
      <c r="AK1727">
        <v>15.4402344960787</v>
      </c>
      <c r="AL1727">
        <v>89.967744203488905</v>
      </c>
      <c r="AM1727">
        <v>89.286199167659703</v>
      </c>
      <c r="AN1727">
        <v>0.99999996050722795</v>
      </c>
    </row>
    <row r="1728" spans="1:40" x14ac:dyDescent="0.25">
      <c r="A1728" t="str">
        <f>"20190312160330372"</f>
        <v>20190312160330372</v>
      </c>
      <c r="B1728" t="str">
        <f>"1552377810366502"</f>
        <v>1552377810366502</v>
      </c>
      <c r="C1728" t="s">
        <v>40</v>
      </c>
      <c r="D1728">
        <v>5.516146</v>
      </c>
      <c r="E1728">
        <v>0.46863919999999998</v>
      </c>
      <c r="F1728" t="s">
        <v>70</v>
      </c>
      <c r="G1728">
        <v>-263.80759999999998</v>
      </c>
      <c r="H1728" s="1">
        <v>4.8941329999999999E-7</v>
      </c>
      <c r="I1728">
        <v>284.60939999999999</v>
      </c>
      <c r="J1728">
        <v>-247.67330000000001</v>
      </c>
      <c r="K1728">
        <v>1.1091409999999999</v>
      </c>
      <c r="L1728">
        <v>283.6798</v>
      </c>
      <c r="M1728">
        <v>-0.99130790000000002</v>
      </c>
      <c r="N1728">
        <v>0</v>
      </c>
      <c r="O1728">
        <v>0.13096669999999999</v>
      </c>
      <c r="P1728">
        <v>-0.98988319999999996</v>
      </c>
      <c r="Q1728">
        <v>-1.1425329999999999E-2</v>
      </c>
      <c r="R1728">
        <v>0.14142479999999999</v>
      </c>
      <c r="S1728">
        <v>-3.0032809999999999</v>
      </c>
      <c r="T1728">
        <v>-0.20274719999999999</v>
      </c>
      <c r="U1728">
        <v>0.17715449999999999</v>
      </c>
      <c r="V1728">
        <v>1.0556650000000001E-2</v>
      </c>
      <c r="W1728">
        <v>1.065079E-3</v>
      </c>
      <c r="X1728">
        <v>0.99994369999999999</v>
      </c>
      <c r="Y1728">
        <v>-7.1914210000000006E-2</v>
      </c>
      <c r="Z1728">
        <v>-1.121933E-2</v>
      </c>
      <c r="AA1728">
        <v>0.99734769999999995</v>
      </c>
      <c r="AB1728">
        <v>31</v>
      </c>
      <c r="AC1728">
        <v>-16.1342999999999</v>
      </c>
      <c r="AD1728">
        <v>-1.1091405105866901</v>
      </c>
      <c r="AE1728">
        <v>0.92959999999999299</v>
      </c>
      <c r="AF1728">
        <v>-1.18604295059432</v>
      </c>
      <c r="AG1728">
        <v>-1.1091405105866901</v>
      </c>
      <c r="AH1728">
        <v>16.041508159266701</v>
      </c>
      <c r="AI1728">
        <v>93.944512271125802</v>
      </c>
      <c r="AJ1728">
        <v>94.228519735469106</v>
      </c>
      <c r="AK1728">
        <v>16.123488288106198</v>
      </c>
      <c r="AL1728">
        <v>89.938975456316896</v>
      </c>
      <c r="AM1728">
        <v>89.395136925232805</v>
      </c>
      <c r="AN1728">
        <v>0.99999999021109398</v>
      </c>
    </row>
    <row r="1729" spans="1:40" x14ac:dyDescent="0.25">
      <c r="A1729" t="str">
        <f>"20190312160330395"</f>
        <v>20190312160330395</v>
      </c>
      <c r="B1729" t="str">
        <f>"1552377810386021"</f>
        <v>1552377810386021</v>
      </c>
      <c r="C1729" t="s">
        <v>40</v>
      </c>
      <c r="D1729">
        <v>5.5134259999999999</v>
      </c>
      <c r="E1729">
        <v>0.46835700000000002</v>
      </c>
      <c r="F1729" t="s">
        <v>70</v>
      </c>
      <c r="G1729">
        <v>-264.2561</v>
      </c>
      <c r="H1729" s="1">
        <v>7.2809959999999999E-7</v>
      </c>
      <c r="I1729">
        <v>284.62580000000003</v>
      </c>
      <c r="J1729">
        <v>-247.99270000000001</v>
      </c>
      <c r="K1729">
        <v>1.109308</v>
      </c>
      <c r="L1729">
        <v>283.72269999999997</v>
      </c>
      <c r="M1729">
        <v>-0.99124829999999997</v>
      </c>
      <c r="N1729">
        <v>0</v>
      </c>
      <c r="O1729">
        <v>0.1314186</v>
      </c>
      <c r="P1729">
        <v>-0.99008479999999999</v>
      </c>
      <c r="Q1729">
        <v>-1.1250609999999999E-2</v>
      </c>
      <c r="R1729">
        <v>0.14002000000000001</v>
      </c>
      <c r="S1729">
        <v>-3.003876</v>
      </c>
      <c r="T1729">
        <v>-0.2009146</v>
      </c>
      <c r="U1729">
        <v>0.17135619999999999</v>
      </c>
      <c r="V1729">
        <v>8.6813359999999996E-3</v>
      </c>
      <c r="W1729">
        <v>1.242462E-3</v>
      </c>
      <c r="X1729">
        <v>0.99996160000000001</v>
      </c>
      <c r="Y1729">
        <v>-7.4301030000000004E-2</v>
      </c>
      <c r="Z1729">
        <v>-1.1226430000000001E-2</v>
      </c>
      <c r="AA1729">
        <v>0.99717270000000002</v>
      </c>
      <c r="AB1729">
        <v>31</v>
      </c>
      <c r="AC1729">
        <v>-16.263399999999901</v>
      </c>
      <c r="AD1729">
        <v>-1.1093072719004</v>
      </c>
      <c r="AE1729">
        <v>0.90310000000005097</v>
      </c>
      <c r="AF1729">
        <v>-1.2364788277699199</v>
      </c>
      <c r="AG1729">
        <v>-1.1093072719004</v>
      </c>
      <c r="AH1729">
        <v>16.166037898045499</v>
      </c>
      <c r="AI1729">
        <v>93.914064227228295</v>
      </c>
      <c r="AJ1729">
        <v>94.373820633812699</v>
      </c>
      <c r="AK1729">
        <v>16.251160691964699</v>
      </c>
      <c r="AL1729">
        <v>89.928812156822104</v>
      </c>
      <c r="AM1729">
        <v>89.502589482209601</v>
      </c>
      <c r="AN1729">
        <v>1.0000000553905599</v>
      </c>
    </row>
    <row r="1730" spans="1:40" x14ac:dyDescent="0.25">
      <c r="A1730" t="str">
        <f>"20190312160330416"</f>
        <v>20190312160330416</v>
      </c>
      <c r="B1730" t="str">
        <f>"1552377810406517"</f>
        <v>1552377810406517</v>
      </c>
      <c r="C1730" t="s">
        <v>40</v>
      </c>
      <c r="D1730">
        <v>5.5000859999999996</v>
      </c>
      <c r="E1730">
        <v>0.46805809999999998</v>
      </c>
      <c r="F1730" t="s">
        <v>70</v>
      </c>
      <c r="G1730">
        <v>-264.51510000000002</v>
      </c>
      <c r="H1730" s="1">
        <v>8.6592119999999997E-7</v>
      </c>
      <c r="I1730">
        <v>284.62790000000001</v>
      </c>
      <c r="J1730">
        <v>-248.27629999999999</v>
      </c>
      <c r="K1730">
        <v>1.1094569999999999</v>
      </c>
      <c r="L1730">
        <v>283.76069999999999</v>
      </c>
      <c r="M1730">
        <v>-0.99121720000000002</v>
      </c>
      <c r="N1730">
        <v>0</v>
      </c>
      <c r="O1730">
        <v>0.1316514</v>
      </c>
      <c r="P1730">
        <v>-0.99023519999999998</v>
      </c>
      <c r="Q1730">
        <v>-1.1445759999999999E-2</v>
      </c>
      <c r="R1730">
        <v>0.13893620000000001</v>
      </c>
      <c r="S1730">
        <v>-3.0044559999999998</v>
      </c>
      <c r="T1730">
        <v>-0.2017177</v>
      </c>
      <c r="U1730">
        <v>0.1646118</v>
      </c>
      <c r="V1730">
        <v>7.3517829999999998E-3</v>
      </c>
      <c r="W1730">
        <v>1.04839E-3</v>
      </c>
      <c r="X1730">
        <v>0.99997239999999998</v>
      </c>
      <c r="Y1730">
        <v>-7.6767849999999999E-2</v>
      </c>
      <c r="Z1730">
        <v>-1.136819E-2</v>
      </c>
      <c r="AA1730">
        <v>0.99698419999999999</v>
      </c>
      <c r="AB1730">
        <v>31</v>
      </c>
      <c r="AC1730">
        <v>-16.238800000000001</v>
      </c>
      <c r="AD1730">
        <v>-1.1094561340787901</v>
      </c>
      <c r="AE1730">
        <v>0.86720000000002495</v>
      </c>
      <c r="AF1730">
        <v>-1.27245447859116</v>
      </c>
      <c r="AG1730">
        <v>-1.1094561340787901</v>
      </c>
      <c r="AH1730">
        <v>16.1365057146247</v>
      </c>
      <c r="AI1730">
        <v>93.921014666152303</v>
      </c>
      <c r="AJ1730">
        <v>94.5087652986237</v>
      </c>
      <c r="AK1730">
        <v>16.224575494959701</v>
      </c>
      <c r="AL1730">
        <v>89.939931665168601</v>
      </c>
      <c r="AM1730">
        <v>89.578769825334206</v>
      </c>
      <c r="AN1730">
        <v>0.999999974298315</v>
      </c>
    </row>
    <row r="1731" spans="1:40" x14ac:dyDescent="0.25">
      <c r="A1731" t="str">
        <f>"20190312160330428"</f>
        <v>20190312160330428</v>
      </c>
      <c r="B1731" t="str">
        <f>"1552377810416278"</f>
        <v>1552377810416278</v>
      </c>
      <c r="C1731" t="s">
        <v>40</v>
      </c>
      <c r="D1731">
        <v>5.4664900000000003</v>
      </c>
      <c r="E1731">
        <v>0.4679239</v>
      </c>
      <c r="F1731" t="s">
        <v>70</v>
      </c>
      <c r="G1731">
        <v>-264.61250000000001</v>
      </c>
      <c r="H1731" s="1">
        <v>9.1773100000000003E-7</v>
      </c>
      <c r="I1731">
        <v>284.62439999999998</v>
      </c>
      <c r="J1731">
        <v>-248.44630000000001</v>
      </c>
      <c r="K1731">
        <v>1.1095440000000001</v>
      </c>
      <c r="L1731">
        <v>283.7835</v>
      </c>
      <c r="M1731">
        <v>-0.99120649999999999</v>
      </c>
      <c r="N1731">
        <v>0</v>
      </c>
      <c r="O1731">
        <v>0.13173280000000001</v>
      </c>
      <c r="P1731">
        <v>-0.99034529999999998</v>
      </c>
      <c r="Q1731">
        <v>-1.1206590000000001E-2</v>
      </c>
      <c r="R1731">
        <v>0.13816879999999901</v>
      </c>
      <c r="S1731">
        <v>-3.0049589999999999</v>
      </c>
      <c r="T1731">
        <v>-0.20407890000000001</v>
      </c>
      <c r="U1731">
        <v>0.1588745</v>
      </c>
      <c r="V1731">
        <v>6.4943519999999897E-3</v>
      </c>
      <c r="W1731">
        <v>1.287762E-3</v>
      </c>
      <c r="X1731">
        <v>0.99997809999999998</v>
      </c>
      <c r="Y1731">
        <v>-7.8741149999999996E-2</v>
      </c>
      <c r="Z1731">
        <v>-1.1572259999999999E-2</v>
      </c>
      <c r="AA1731">
        <v>0.99682789999999999</v>
      </c>
      <c r="AB1731">
        <v>31</v>
      </c>
      <c r="AC1731">
        <v>-16.1662</v>
      </c>
      <c r="AD1731">
        <v>-1.109543082269</v>
      </c>
      <c r="AE1731">
        <v>0.840899999999976</v>
      </c>
      <c r="AF1731">
        <v>-1.29015350204517</v>
      </c>
      <c r="AG1731">
        <v>-1.109543082269</v>
      </c>
      <c r="AH1731">
        <v>16.060626071457101</v>
      </c>
      <c r="AI1731">
        <v>93.939331357378606</v>
      </c>
      <c r="AJ1731">
        <v>94.592720220588006</v>
      </c>
      <c r="AK1731">
        <v>16.150519859045399</v>
      </c>
      <c r="AL1731">
        <v>89.926216653296393</v>
      </c>
      <c r="AM1731">
        <v>89.627898122083906</v>
      </c>
      <c r="AN1731">
        <v>1.0000000177092301</v>
      </c>
    </row>
    <row r="1732" spans="1:40" x14ac:dyDescent="0.25">
      <c r="A1732" t="str">
        <f>"20190312160330441"</f>
        <v>20190312160330441</v>
      </c>
      <c r="B1732" t="str">
        <f>"1552377810436203"</f>
        <v>1552377810436203</v>
      </c>
      <c r="C1732" t="s">
        <v>40</v>
      </c>
      <c r="D1732">
        <v>5.4947990000000004</v>
      </c>
      <c r="E1732">
        <v>0.46772209999999997</v>
      </c>
      <c r="F1732" t="s">
        <v>70</v>
      </c>
      <c r="G1732">
        <v>-264.8347</v>
      </c>
      <c r="H1732" s="1">
        <v>1.0360070000000001E-6</v>
      </c>
      <c r="I1732">
        <v>284.6309</v>
      </c>
      <c r="J1732">
        <v>-248.61250000000001</v>
      </c>
      <c r="K1732">
        <v>1.1096299999999999</v>
      </c>
      <c r="L1732">
        <v>283.8057</v>
      </c>
      <c r="M1732">
        <v>-0.99120609999999998</v>
      </c>
      <c r="N1732">
        <v>0</v>
      </c>
      <c r="O1732">
        <v>0.13173509999999999</v>
      </c>
      <c r="P1732">
        <v>-0.99047229999999997</v>
      </c>
      <c r="Q1732">
        <v>-1.0980409999999999E-2</v>
      </c>
      <c r="R1732">
        <v>0.137273799999999</v>
      </c>
      <c r="S1732">
        <v>-3.0052639999999999</v>
      </c>
      <c r="T1732">
        <v>-0.2034647</v>
      </c>
      <c r="U1732">
        <v>0.15539549999999999</v>
      </c>
      <c r="V1732">
        <v>5.5880019999999999E-3</v>
      </c>
      <c r="W1732">
        <v>1.5142599999999999E-3</v>
      </c>
      <c r="X1732">
        <v>0.99998330000000002</v>
      </c>
      <c r="Y1732">
        <v>-7.9899819999999996E-2</v>
      </c>
      <c r="Z1732">
        <v>-1.157617E-2</v>
      </c>
      <c r="AA1732">
        <v>0.9967357</v>
      </c>
      <c r="AB1732">
        <v>31</v>
      </c>
      <c r="AC1732">
        <v>-16.222199999999901</v>
      </c>
      <c r="AD1732">
        <v>-1.1096289639929999</v>
      </c>
      <c r="AE1732">
        <v>0.82519999999999505</v>
      </c>
      <c r="AF1732">
        <v>-1.31306524883767</v>
      </c>
      <c r="AG1732">
        <v>-1.1096289639929999</v>
      </c>
      <c r="AH1732">
        <v>16.114315566098099</v>
      </c>
      <c r="AI1732">
        <v>93.926187280236107</v>
      </c>
      <c r="AJ1732">
        <v>94.658419920101593</v>
      </c>
      <c r="AK1732">
        <v>16.205757709815</v>
      </c>
      <c r="AL1732">
        <v>89.913239264921103</v>
      </c>
      <c r="AM1732">
        <v>89.679829055190098</v>
      </c>
      <c r="AN1732">
        <v>1.0000000595142899</v>
      </c>
    </row>
    <row r="1733" spans="1:40" x14ac:dyDescent="0.25">
      <c r="A1733" t="str">
        <f>"20190312160330452"</f>
        <v>20190312160330452</v>
      </c>
      <c r="B1733" t="str">
        <f>"1552377810445962"</f>
        <v>1552377810445962</v>
      </c>
      <c r="C1733" t="s">
        <v>40</v>
      </c>
      <c r="D1733">
        <v>5.5066730000000002</v>
      </c>
      <c r="E1733">
        <v>0.46765370000000001</v>
      </c>
      <c r="F1733" t="s">
        <v>70</v>
      </c>
      <c r="G1733">
        <v>-265.0831</v>
      </c>
      <c r="H1733" s="1">
        <v>1.1682060000000001E-6</v>
      </c>
      <c r="I1733">
        <v>284.63310000000001</v>
      </c>
      <c r="J1733">
        <v>-248.78030000000001</v>
      </c>
      <c r="K1733">
        <v>1.1097159999999999</v>
      </c>
      <c r="L1733">
        <v>283.82799999999997</v>
      </c>
      <c r="M1733">
        <v>-0.99121179999999998</v>
      </c>
      <c r="N1733">
        <v>0</v>
      </c>
      <c r="O1733">
        <v>0.13169349999999999</v>
      </c>
      <c r="P1733">
        <v>-0.99062969999999895</v>
      </c>
      <c r="Q1733">
        <v>-1.07717E-2</v>
      </c>
      <c r="R1733">
        <v>0.13615079999999999</v>
      </c>
      <c r="S1733">
        <v>-3.0057070000000001</v>
      </c>
      <c r="T1733">
        <v>-0.20249529999999999</v>
      </c>
      <c r="U1733">
        <v>0.151001</v>
      </c>
      <c r="V1733">
        <v>4.4958369999999999E-3</v>
      </c>
      <c r="W1733">
        <v>1.723114E-3</v>
      </c>
      <c r="X1733">
        <v>0.9999884</v>
      </c>
      <c r="Y1733">
        <v>-8.1320519999999993E-2</v>
      </c>
      <c r="Z1733">
        <v>-1.156509E-2</v>
      </c>
      <c r="AA1733">
        <v>0.99662090000000003</v>
      </c>
      <c r="AB1733">
        <v>31</v>
      </c>
      <c r="AC1733">
        <v>-16.302799999999898</v>
      </c>
      <c r="AD1733">
        <v>-1.109714831794</v>
      </c>
      <c r="AE1733">
        <v>0.80510000000003801</v>
      </c>
      <c r="AF1733">
        <v>-1.34284660675309</v>
      </c>
      <c r="AG1733">
        <v>-1.109714831794</v>
      </c>
      <c r="AH1733">
        <v>16.191981785159999</v>
      </c>
      <c r="AI1733">
        <v>93.907254181984896</v>
      </c>
      <c r="AJ1733">
        <v>94.740851107279099</v>
      </c>
      <c r="AK1733">
        <v>16.285422258821701</v>
      </c>
      <c r="AL1733">
        <v>89.901272790426404</v>
      </c>
      <c r="AM1733">
        <v>89.742406261986801</v>
      </c>
      <c r="AN1733">
        <v>0.99999999090337299</v>
      </c>
    </row>
    <row r="1734" spans="1:40" x14ac:dyDescent="0.25">
      <c r="A1734" t="str">
        <f>"20190312160330465"</f>
        <v>20190312160330465</v>
      </c>
      <c r="B1734" t="str">
        <f>"1552377810456699"</f>
        <v>1552377810456699</v>
      </c>
      <c r="C1734" t="s">
        <v>40</v>
      </c>
      <c r="D1734">
        <v>5.4837389999999999</v>
      </c>
      <c r="E1734">
        <v>0.46758759999999999</v>
      </c>
      <c r="F1734" t="s">
        <v>70</v>
      </c>
      <c r="G1734">
        <v>-265.24279999999999</v>
      </c>
      <c r="H1734" s="1">
        <v>1.253148E-6</v>
      </c>
      <c r="I1734">
        <v>284.63350000000003</v>
      </c>
      <c r="J1734">
        <v>-248.95439999999999</v>
      </c>
      <c r="K1734">
        <v>1.109809</v>
      </c>
      <c r="L1734">
        <v>283.85120000000001</v>
      </c>
      <c r="M1734">
        <v>-0.99122410000000005</v>
      </c>
      <c r="N1734">
        <v>0</v>
      </c>
      <c r="O1734">
        <v>0.13160069999999999</v>
      </c>
      <c r="P1734">
        <v>-0.99080069999999998</v>
      </c>
      <c r="Q1734">
        <v>-1.0508E-2</v>
      </c>
      <c r="R1734">
        <v>0.1349223</v>
      </c>
      <c r="S1734">
        <v>-3.0059659999999999</v>
      </c>
      <c r="T1734">
        <v>-0.20262859999999999</v>
      </c>
      <c r="U1734">
        <v>0.14706420000000001</v>
      </c>
      <c r="V1734">
        <v>3.3489169999999999E-3</v>
      </c>
      <c r="W1734">
        <v>1.9863279999999999E-3</v>
      </c>
      <c r="X1734">
        <v>0.9999924</v>
      </c>
      <c r="Y1734">
        <v>-8.2530389999999995E-2</v>
      </c>
      <c r="Z1734">
        <v>-1.1606760000000001E-2</v>
      </c>
      <c r="AA1734">
        <v>0.99652090000000004</v>
      </c>
      <c r="AB1734">
        <v>31</v>
      </c>
      <c r="AC1734">
        <v>-16.2883999999999</v>
      </c>
      <c r="AD1734">
        <v>-1.109807746852</v>
      </c>
      <c r="AE1734">
        <v>0.78230000000001998</v>
      </c>
      <c r="AF1734">
        <v>-1.3619289704606401</v>
      </c>
      <c r="AG1734">
        <v>-1.109807746852</v>
      </c>
      <c r="AH1734">
        <v>16.1747574914355</v>
      </c>
      <c r="AI1734">
        <v>93.911318191004796</v>
      </c>
      <c r="AJ1734">
        <v>94.813002640197794</v>
      </c>
      <c r="AK1734">
        <v>16.269889479105299</v>
      </c>
      <c r="AL1734">
        <v>89.886191711802297</v>
      </c>
      <c r="AM1734">
        <v>89.808120449004505</v>
      </c>
      <c r="AN1734">
        <v>0.99999998040087801</v>
      </c>
    </row>
    <row r="1735" spans="1:40" x14ac:dyDescent="0.25">
      <c r="A1735" t="str">
        <f>"20190312160330484"</f>
        <v>20190312160330484</v>
      </c>
      <c r="B1735" t="str">
        <f>"1552377810476218"</f>
        <v>1552377810476218</v>
      </c>
      <c r="C1735" t="s">
        <v>40</v>
      </c>
      <c r="D1735">
        <v>5.4938760000000002</v>
      </c>
      <c r="E1735">
        <v>0.46740369999999998</v>
      </c>
      <c r="F1735" t="s">
        <v>70</v>
      </c>
      <c r="G1735">
        <v>-265.4348</v>
      </c>
      <c r="H1735" s="1">
        <v>1.3553489999999901E-6</v>
      </c>
      <c r="I1735">
        <v>284.6343</v>
      </c>
      <c r="J1735">
        <v>-249.19929999999999</v>
      </c>
      <c r="K1735">
        <v>1.1099429999999999</v>
      </c>
      <c r="L1735">
        <v>283.88350000000003</v>
      </c>
      <c r="M1735">
        <v>-0.99125980000000002</v>
      </c>
      <c r="N1735">
        <v>0</v>
      </c>
      <c r="O1735">
        <v>0.13133230000000001</v>
      </c>
      <c r="P1735">
        <v>-0.99108350000000001</v>
      </c>
      <c r="Q1735">
        <v>-1.025124E-2</v>
      </c>
      <c r="R1735">
        <v>0.13284879999999999</v>
      </c>
      <c r="S1735">
        <v>-3.0062410000000002</v>
      </c>
      <c r="T1735">
        <v>-0.20244290000000001</v>
      </c>
      <c r="U1735">
        <v>0.142852799999999</v>
      </c>
      <c r="V1735">
        <v>1.5261160000000001E-3</v>
      </c>
      <c r="W1735">
        <v>2.241912E-3</v>
      </c>
      <c r="X1735">
        <v>0.99999629999999995</v>
      </c>
      <c r="Y1735">
        <v>-8.3656729999999999E-2</v>
      </c>
      <c r="Z1735">
        <v>-1.161565E-2</v>
      </c>
      <c r="AA1735">
        <v>0.9964269</v>
      </c>
      <c r="AB1735">
        <v>31</v>
      </c>
      <c r="AC1735">
        <v>-16.235499999999998</v>
      </c>
      <c r="AD1735">
        <v>-1.109941644651</v>
      </c>
      <c r="AE1735">
        <v>0.75079999999996905</v>
      </c>
      <c r="AF1735">
        <v>-1.38167200136382</v>
      </c>
      <c r="AG1735">
        <v>-1.109941644651</v>
      </c>
      <c r="AH1735">
        <v>16.118291874074199</v>
      </c>
      <c r="AI1735">
        <v>93.924947990549995</v>
      </c>
      <c r="AJ1735">
        <v>94.899459892864002</v>
      </c>
      <c r="AK1735">
        <v>16.215434650718699</v>
      </c>
      <c r="AL1735">
        <v>89.871547793879799</v>
      </c>
      <c r="AM1735">
        <v>89.912559738507497</v>
      </c>
      <c r="AN1735">
        <v>0.999999977606575</v>
      </c>
    </row>
    <row r="1736" spans="1:40" x14ac:dyDescent="0.25">
      <c r="A1736" t="str">
        <f>"20190312160330508"</f>
        <v>20190312160330508</v>
      </c>
      <c r="B1736" t="str">
        <f>"1552377810496714"</f>
        <v>1552377810496714</v>
      </c>
      <c r="C1736" t="s">
        <v>40</v>
      </c>
      <c r="D1736">
        <v>6.0524969999999998</v>
      </c>
      <c r="E1736">
        <v>0.467331</v>
      </c>
      <c r="F1736" t="s">
        <v>70</v>
      </c>
      <c r="G1736">
        <v>-265.67860000000002</v>
      </c>
      <c r="H1736" s="1">
        <v>1.4850960000000001E-6</v>
      </c>
      <c r="I1736">
        <v>284.6223</v>
      </c>
      <c r="J1736">
        <v>-249.524</v>
      </c>
      <c r="K1736">
        <v>1.1101369999999999</v>
      </c>
      <c r="L1736">
        <v>283.92610000000002</v>
      </c>
      <c r="M1736">
        <v>-0.99133309999999997</v>
      </c>
      <c r="N1736">
        <v>0</v>
      </c>
      <c r="O1736">
        <v>0.13077629999999901</v>
      </c>
      <c r="P1736">
        <v>-0.99137779999999998</v>
      </c>
      <c r="Q1736">
        <v>-9.9256480000000005E-3</v>
      </c>
      <c r="R1736">
        <v>0.130658</v>
      </c>
      <c r="S1736">
        <v>-3.0068359999999998</v>
      </c>
      <c r="T1736">
        <v>-0.2025216</v>
      </c>
      <c r="U1736">
        <v>0.1347961</v>
      </c>
      <c r="V1736">
        <v>-1.2523290000000001E-4</v>
      </c>
      <c r="W1736">
        <v>2.565683E-3</v>
      </c>
      <c r="X1736">
        <v>0.99999669999999896</v>
      </c>
      <c r="Y1736">
        <v>-8.5767399999999994E-2</v>
      </c>
      <c r="Z1736">
        <v>-1.1652839999999999E-2</v>
      </c>
      <c r="AA1736">
        <v>0.99624710000000005</v>
      </c>
      <c r="AB1736">
        <v>31</v>
      </c>
      <c r="AC1736">
        <v>-16.154599999999999</v>
      </c>
      <c r="AD1736">
        <v>-1.110135514904</v>
      </c>
      <c r="AE1736">
        <v>0.69619999999997595</v>
      </c>
      <c r="AF1736">
        <v>-1.41590980360138</v>
      </c>
      <c r="AG1736">
        <v>-1.110135514904</v>
      </c>
      <c r="AH1736">
        <v>16.031329065125401</v>
      </c>
      <c r="AI1736">
        <v>93.9459754705221</v>
      </c>
      <c r="AJ1736">
        <v>95.047347758931394</v>
      </c>
      <c r="AK1736">
        <v>16.131977963898901</v>
      </c>
      <c r="AL1736">
        <v>89.852997031135203</v>
      </c>
      <c r="AM1736">
        <v>90.007175340267295</v>
      </c>
      <c r="AN1736">
        <v>0.99999999921171201</v>
      </c>
    </row>
    <row r="1737" spans="1:40" x14ac:dyDescent="0.25">
      <c r="A1737" t="str">
        <f>"20190312160330529"</f>
        <v>20190312160330529</v>
      </c>
      <c r="B1737" t="str">
        <f>"1552377810516234"</f>
        <v>1552377810516234</v>
      </c>
      <c r="C1737" t="s">
        <v>40</v>
      </c>
      <c r="D1737">
        <v>5.5096049999999996</v>
      </c>
      <c r="E1737">
        <v>0.46719490000000002</v>
      </c>
      <c r="F1737" t="s">
        <v>70</v>
      </c>
      <c r="G1737">
        <v>-266.16669999999999</v>
      </c>
      <c r="H1737" s="1">
        <v>1.744806E-6</v>
      </c>
      <c r="I1737">
        <v>284.63260000000002</v>
      </c>
      <c r="J1737">
        <v>-249.80799999999999</v>
      </c>
      <c r="K1737">
        <v>1.1103130000000001</v>
      </c>
      <c r="L1737">
        <v>283.96300000000002</v>
      </c>
      <c r="M1737">
        <v>-0.99142580000000002</v>
      </c>
      <c r="N1737">
        <v>0</v>
      </c>
      <c r="O1737">
        <v>0.13007340000000001</v>
      </c>
      <c r="P1737">
        <v>-0.9917203</v>
      </c>
      <c r="Q1737">
        <v>-9.5228329999999996E-3</v>
      </c>
      <c r="R1737">
        <v>0.12806319999999999</v>
      </c>
      <c r="S1737">
        <v>-3.007263</v>
      </c>
      <c r="T1737">
        <v>-0.200597</v>
      </c>
      <c r="U1737">
        <v>0.12765499999999999</v>
      </c>
      <c r="V1737">
        <v>-2.0344790000000001E-3</v>
      </c>
      <c r="W1737">
        <v>2.9657479999999998E-3</v>
      </c>
      <c r="X1737">
        <v>0.99999349999999998</v>
      </c>
      <c r="Y1737">
        <v>-8.7435499999999999E-2</v>
      </c>
      <c r="Z1737">
        <v>-1.155074E-2</v>
      </c>
      <c r="AA1737">
        <v>0.99610319999999997</v>
      </c>
      <c r="AB1737">
        <v>31</v>
      </c>
      <c r="AC1737">
        <v>-16.358699999999999</v>
      </c>
      <c r="AD1737">
        <v>-1.110311255194</v>
      </c>
      <c r="AE1737">
        <v>0.66960000000005904</v>
      </c>
      <c r="AF1737">
        <v>-1.4573845310337901</v>
      </c>
      <c r="AG1737">
        <v>-1.110311255194</v>
      </c>
      <c r="AH1737">
        <v>16.232152758811601</v>
      </c>
      <c r="AI1737">
        <v>93.897420385692399</v>
      </c>
      <c r="AJ1737">
        <v>95.130477114527693</v>
      </c>
      <c r="AK1737">
        <v>16.335224024790801</v>
      </c>
      <c r="AL1737">
        <v>89.830074901860499</v>
      </c>
      <c r="AM1737">
        <v>90.116567657068302</v>
      </c>
      <c r="AN1737">
        <v>0.999999967404124</v>
      </c>
    </row>
    <row r="1738" spans="1:40" x14ac:dyDescent="0.25">
      <c r="A1738" t="str">
        <f>"20190312160330545"</f>
        <v>20190312160330545</v>
      </c>
      <c r="B1738" t="str">
        <f>"1552377810536260"</f>
        <v>1552377810536260</v>
      </c>
      <c r="C1738" t="s">
        <v>40</v>
      </c>
      <c r="D1738">
        <v>5.507136</v>
      </c>
      <c r="E1738">
        <v>0.46710360000000001</v>
      </c>
      <c r="F1738" t="s">
        <v>70</v>
      </c>
      <c r="G1738">
        <v>-266.67489999999998</v>
      </c>
      <c r="H1738" s="1">
        <v>2.0152370000000002E-6</v>
      </c>
      <c r="I1738">
        <v>284.62849999999997</v>
      </c>
      <c r="J1738">
        <v>-250.02719999999999</v>
      </c>
      <c r="K1738">
        <v>1.1104419999999999</v>
      </c>
      <c r="L1738">
        <v>283.99119999999999</v>
      </c>
      <c r="M1738">
        <v>-0.99151279999999997</v>
      </c>
      <c r="N1738">
        <v>0</v>
      </c>
      <c r="O1738">
        <v>0.12940739999999901</v>
      </c>
      <c r="P1738">
        <v>-0.99190299999999998</v>
      </c>
      <c r="Q1738">
        <v>-9.4167880000000006E-3</v>
      </c>
      <c r="R1738">
        <v>0.12664839999999999</v>
      </c>
      <c r="S1738">
        <v>-3.0077970000000001</v>
      </c>
      <c r="T1738">
        <v>-0.19799729999999999</v>
      </c>
      <c r="U1738">
        <v>0.11868289999999999</v>
      </c>
      <c r="V1738">
        <v>-2.7902600000000001E-3</v>
      </c>
      <c r="W1738">
        <v>3.0701750000000001E-3</v>
      </c>
      <c r="X1738">
        <v>0.99999139999999997</v>
      </c>
      <c r="Y1738">
        <v>-8.9748949999999994E-2</v>
      </c>
      <c r="Z1738">
        <v>-1.143306E-2</v>
      </c>
      <c r="AA1738">
        <v>0.99589879999999997</v>
      </c>
      <c r="AB1738">
        <v>31</v>
      </c>
      <c r="AC1738">
        <v>-16.647699999999901</v>
      </c>
      <c r="AD1738">
        <v>-1.110439984763</v>
      </c>
      <c r="AE1738">
        <v>0.63729999999998199</v>
      </c>
      <c r="AF1738">
        <v>-1.5158289467862001</v>
      </c>
      <c r="AG1738">
        <v>-1.110439984763</v>
      </c>
      <c r="AH1738">
        <v>16.516794876004699</v>
      </c>
      <c r="AI1738">
        <v>93.830213980682004</v>
      </c>
      <c r="AJ1738">
        <v>95.243631660976604</v>
      </c>
      <c r="AK1738">
        <v>16.6233368290392</v>
      </c>
      <c r="AL1738">
        <v>89.824091654801606</v>
      </c>
      <c r="AM1738">
        <v>90.159871081737904</v>
      </c>
      <c r="AN1738">
        <v>1.0000000057996701</v>
      </c>
    </row>
    <row r="1739" spans="1:40" x14ac:dyDescent="0.25">
      <c r="A1739" t="str">
        <f>"20190312160330562"</f>
        <v>20190312160330562</v>
      </c>
      <c r="B1739" t="str">
        <f>"1552377810556756"</f>
        <v>1552377810556756</v>
      </c>
      <c r="C1739" t="s">
        <v>40</v>
      </c>
      <c r="D1739">
        <v>5.5403880000000001</v>
      </c>
      <c r="E1739">
        <v>0.46703650000000002</v>
      </c>
      <c r="F1739" t="s">
        <v>70</v>
      </c>
      <c r="G1739">
        <v>-266.8295</v>
      </c>
      <c r="H1739" s="1">
        <v>2.0975269999999999E-6</v>
      </c>
      <c r="I1739">
        <v>284.62619999999998</v>
      </c>
      <c r="J1739">
        <v>-250.27080000000001</v>
      </c>
      <c r="K1739">
        <v>1.110574</v>
      </c>
      <c r="L1739">
        <v>284.0222</v>
      </c>
      <c r="M1739">
        <v>-0.99162410000000001</v>
      </c>
      <c r="N1739">
        <v>0</v>
      </c>
      <c r="O1739">
        <v>0.12855269999999999</v>
      </c>
      <c r="P1739">
        <v>-0.99215730000000002</v>
      </c>
      <c r="Q1739">
        <v>-9.7109429999999997E-3</v>
      </c>
      <c r="R1739">
        <v>0.1246192</v>
      </c>
      <c r="S1739">
        <v>-3.0080719999999999</v>
      </c>
      <c r="T1739">
        <v>-0.19879949999999999</v>
      </c>
      <c r="U1739">
        <v>0.113678</v>
      </c>
      <c r="V1739">
        <v>-3.9737599999999998E-3</v>
      </c>
      <c r="W1739">
        <v>2.7731069999999999E-3</v>
      </c>
      <c r="X1739">
        <v>0.99998830000000005</v>
      </c>
      <c r="Y1739">
        <v>-9.0544799999999995E-2</v>
      </c>
      <c r="Z1739">
        <v>-1.14491E-2</v>
      </c>
      <c r="AA1739">
        <v>0.99582649999999995</v>
      </c>
      <c r="AB1739">
        <v>31</v>
      </c>
      <c r="AC1739">
        <v>-16.558699999999899</v>
      </c>
      <c r="AD1739">
        <v>-1.1105719024730001</v>
      </c>
      <c r="AE1739">
        <v>0.60399999999998499</v>
      </c>
      <c r="AF1739">
        <v>-1.52300215418729</v>
      </c>
      <c r="AG1739">
        <v>-1.1105719024730001</v>
      </c>
      <c r="AH1739">
        <v>16.425151719978601</v>
      </c>
      <c r="AI1739">
        <v>93.851643188901804</v>
      </c>
      <c r="AJ1739">
        <v>95.297533705134697</v>
      </c>
      <c r="AK1739">
        <v>16.532952384148999</v>
      </c>
      <c r="AL1739">
        <v>89.841112475554397</v>
      </c>
      <c r="AM1739">
        <v>90.227681142238197</v>
      </c>
      <c r="AN1739">
        <v>1.00000004051392</v>
      </c>
    </row>
    <row r="1740" spans="1:40" x14ac:dyDescent="0.25">
      <c r="A1740" t="str">
        <f>"20190312160330575"</f>
        <v>20190312160330575</v>
      </c>
      <c r="B1740" t="str">
        <f>"1552377810566517"</f>
        <v>1552377810566517</v>
      </c>
      <c r="C1740" t="s">
        <v>40</v>
      </c>
      <c r="D1740">
        <v>5.4774789999999998</v>
      </c>
      <c r="E1740">
        <v>0.4670146</v>
      </c>
      <c r="F1740" t="s">
        <v>70</v>
      </c>
      <c r="G1740">
        <v>-266.91059999999999</v>
      </c>
      <c r="H1740" s="1">
        <v>2.140657E-6</v>
      </c>
      <c r="I1740">
        <v>284.61360000000002</v>
      </c>
      <c r="J1740">
        <v>-250.45140000000001</v>
      </c>
      <c r="K1740">
        <v>1.1106750000000001</v>
      </c>
      <c r="L1740">
        <v>284.04500000000002</v>
      </c>
      <c r="M1740">
        <v>-0.99171759999999998</v>
      </c>
      <c r="N1740">
        <v>0</v>
      </c>
      <c r="O1740">
        <v>0.127829</v>
      </c>
      <c r="P1740">
        <v>-0.99228700000000003</v>
      </c>
      <c r="Q1740">
        <v>-1.0034080000000001E-2</v>
      </c>
      <c r="R1740">
        <v>0.12355629999999999</v>
      </c>
      <c r="S1740">
        <v>-3.0083470000000001</v>
      </c>
      <c r="T1740">
        <v>-0.20078299999999999</v>
      </c>
      <c r="U1740">
        <v>0.1069336</v>
      </c>
      <c r="V1740">
        <v>-4.3151750000000001E-3</v>
      </c>
      <c r="W1740">
        <v>2.4483819999999998E-3</v>
      </c>
      <c r="X1740">
        <v>0.99998770000000003</v>
      </c>
      <c r="Y1740">
        <v>-9.2039720000000005E-2</v>
      </c>
      <c r="Z1740">
        <v>-1.156475E-2</v>
      </c>
      <c r="AA1740">
        <v>0.99568820000000002</v>
      </c>
      <c r="AB1740">
        <v>31</v>
      </c>
      <c r="AC1740">
        <v>-16.4591999999999</v>
      </c>
      <c r="AD1740">
        <v>-1.110672859343</v>
      </c>
      <c r="AE1740">
        <v>0.56860000000000299</v>
      </c>
      <c r="AF1740">
        <v>-1.5332192048512301</v>
      </c>
      <c r="AG1740">
        <v>-1.110672859343</v>
      </c>
      <c r="AH1740">
        <v>16.322602469279602</v>
      </c>
      <c r="AI1740">
        <v>93.875687404804495</v>
      </c>
      <c r="AJ1740">
        <v>95.366177538992503</v>
      </c>
      <c r="AK1740">
        <v>16.432032944853098</v>
      </c>
      <c r="AL1740">
        <v>89.859717905693103</v>
      </c>
      <c r="AM1740">
        <v>90.247242821821402</v>
      </c>
      <c r="AN1740">
        <v>1.00000000773049</v>
      </c>
    </row>
    <row r="1741" spans="1:40" x14ac:dyDescent="0.25">
      <c r="A1741" t="str">
        <f>"20190312160330587"</f>
        <v>20190312160330587</v>
      </c>
      <c r="B1741" t="str">
        <f>"1552377810576277"</f>
        <v>1552377810576277</v>
      </c>
      <c r="C1741" t="s">
        <v>40</v>
      </c>
      <c r="D1741">
        <v>5.5019280000000004</v>
      </c>
      <c r="E1741">
        <v>0.46700639999999999</v>
      </c>
      <c r="F1741" t="s">
        <v>70</v>
      </c>
      <c r="G1741">
        <v>-266.97609999999997</v>
      </c>
      <c r="H1741" s="1">
        <v>2.1755549999999998E-6</v>
      </c>
      <c r="I1741">
        <v>284.61219999999997</v>
      </c>
      <c r="J1741">
        <v>-250.6173</v>
      </c>
      <c r="K1741">
        <v>1.110765</v>
      </c>
      <c r="L1741">
        <v>284.06569999999999</v>
      </c>
      <c r="M1741">
        <v>-0.99180880000000005</v>
      </c>
      <c r="N1741">
        <v>0</v>
      </c>
      <c r="O1741">
        <v>0.12712010000000001</v>
      </c>
      <c r="P1741">
        <v>-0.99241420000000002</v>
      </c>
      <c r="Q1741">
        <v>-1.006341E-2</v>
      </c>
      <c r="R1741">
        <v>0.1225275</v>
      </c>
      <c r="S1741">
        <v>-3.0083920000000002</v>
      </c>
      <c r="T1741">
        <v>-0.20220299999999999</v>
      </c>
      <c r="U1741">
        <v>0.1032715</v>
      </c>
      <c r="V1741">
        <v>-4.6375130000000002E-3</v>
      </c>
      <c r="W1741">
        <v>2.417864E-3</v>
      </c>
      <c r="X1741">
        <v>0.99998640000000005</v>
      </c>
      <c r="Y1741">
        <v>-9.2532690000000001E-2</v>
      </c>
      <c r="Z1741">
        <v>-1.16158999999999E-2</v>
      </c>
      <c r="AA1741">
        <v>0.99564189999999997</v>
      </c>
      <c r="AB1741">
        <v>31</v>
      </c>
      <c r="AC1741">
        <v>-16.358799999999899</v>
      </c>
      <c r="AD1741">
        <v>-1.1107628244450001</v>
      </c>
      <c r="AE1741">
        <v>0.54649999999998</v>
      </c>
      <c r="AF1741">
        <v>-1.5305798188905499</v>
      </c>
      <c r="AG1741">
        <v>-1.1107628244450001</v>
      </c>
      <c r="AH1741">
        <v>16.2208408786319</v>
      </c>
      <c r="AI1741">
        <v>93.900086914941895</v>
      </c>
      <c r="AJ1741">
        <v>95.390403432726799</v>
      </c>
      <c r="AK1741">
        <v>16.330711786203899</v>
      </c>
      <c r="AL1741">
        <v>89.8614664729662</v>
      </c>
      <c r="AM1741">
        <v>90.265711631155398</v>
      </c>
      <c r="AN1741">
        <v>1.00000007638905</v>
      </c>
    </row>
    <row r="1742" spans="1:40" x14ac:dyDescent="0.25">
      <c r="A1742" t="str">
        <f>"20190312160330605"</f>
        <v>20190312160330605</v>
      </c>
      <c r="B1742" t="str">
        <f>"1552377810595796"</f>
        <v>1552377810595796</v>
      </c>
      <c r="C1742" t="s">
        <v>40</v>
      </c>
      <c r="D1742">
        <v>5.5372089999999998</v>
      </c>
      <c r="E1742">
        <v>0.4669565</v>
      </c>
      <c r="F1742" t="s">
        <v>70</v>
      </c>
      <c r="G1742">
        <v>-267.08819999999997</v>
      </c>
      <c r="H1742" s="1">
        <v>2.2351969999999999E-6</v>
      </c>
      <c r="I1742">
        <v>284.61340000000001</v>
      </c>
      <c r="J1742">
        <v>-250.8621</v>
      </c>
      <c r="K1742">
        <v>1.110903</v>
      </c>
      <c r="L1742">
        <v>284.096</v>
      </c>
      <c r="M1742">
        <v>-0.99196039999999996</v>
      </c>
      <c r="N1742">
        <v>0</v>
      </c>
      <c r="O1742">
        <v>0.12593109999999999</v>
      </c>
      <c r="P1742">
        <v>-0.99266829999999995</v>
      </c>
      <c r="Q1742">
        <v>-1.0010450000000001E-2</v>
      </c>
      <c r="R1742">
        <v>0.1204562</v>
      </c>
      <c r="S1742">
        <v>-3.0085299999999999</v>
      </c>
      <c r="T1742">
        <v>-0.20288870000000001</v>
      </c>
      <c r="U1742">
        <v>0.1000366</v>
      </c>
      <c r="V1742">
        <v>-5.5268009999999996E-3</v>
      </c>
      <c r="W1742">
        <v>2.468409E-3</v>
      </c>
      <c r="X1742">
        <v>0.99998169999999997</v>
      </c>
      <c r="Y1742">
        <v>-9.2409560000000002E-2</v>
      </c>
      <c r="Z1742">
        <v>-1.1571369999999999E-2</v>
      </c>
      <c r="AA1742">
        <v>0.99565389999999998</v>
      </c>
      <c r="AB1742">
        <v>31</v>
      </c>
      <c r="AC1742">
        <v>-16.226099999999899</v>
      </c>
      <c r="AD1742">
        <v>-1.110900764803</v>
      </c>
      <c r="AE1742">
        <v>0.51740000000000896</v>
      </c>
      <c r="AF1742">
        <v>-1.5231175670499399</v>
      </c>
      <c r="AG1742">
        <v>-1.110900764803</v>
      </c>
      <c r="AH1742">
        <v>16.086738773683098</v>
      </c>
      <c r="AI1742">
        <v>93.932865484777693</v>
      </c>
      <c r="AJ1742">
        <v>95.408730037352299</v>
      </c>
      <c r="AK1742">
        <v>16.1968253681089</v>
      </c>
      <c r="AL1742">
        <v>89.858570441316203</v>
      </c>
      <c r="AM1742">
        <v>90.316664942211602</v>
      </c>
      <c r="AN1742">
        <v>1.0000000194535801</v>
      </c>
    </row>
    <row r="1743" spans="1:40" x14ac:dyDescent="0.25">
      <c r="A1743" t="str">
        <f>"20190312160330618"</f>
        <v>20190312160330618</v>
      </c>
      <c r="B1743" t="str">
        <f>"1552377810606533"</f>
        <v>1552377810606533</v>
      </c>
      <c r="C1743" t="s">
        <v>40</v>
      </c>
      <c r="D1743">
        <v>5.5196329999999998</v>
      </c>
      <c r="E1743">
        <v>0.46693519999999999</v>
      </c>
      <c r="F1743" t="s">
        <v>70</v>
      </c>
      <c r="G1743">
        <v>-267.25060000000002</v>
      </c>
      <c r="H1743" s="1">
        <v>2.3216100000000002E-6</v>
      </c>
      <c r="I1743">
        <v>284.60309999999998</v>
      </c>
      <c r="J1743">
        <v>-251.02209999999999</v>
      </c>
      <c r="K1743">
        <v>1.110989</v>
      </c>
      <c r="L1743">
        <v>284.1155</v>
      </c>
      <c r="M1743">
        <v>-0.99206839999999996</v>
      </c>
      <c r="N1743">
        <v>0</v>
      </c>
      <c r="O1743">
        <v>0.1250771</v>
      </c>
      <c r="P1743">
        <v>-0.99279850000000003</v>
      </c>
      <c r="Q1743">
        <v>-9.7872830000000008E-3</v>
      </c>
      <c r="R1743">
        <v>0.1193969</v>
      </c>
      <c r="S1743">
        <v>-3.0088349999999999</v>
      </c>
      <c r="T1743">
        <v>-0.2039551</v>
      </c>
      <c r="U1743">
        <v>9.3109129999999998E-2</v>
      </c>
      <c r="V1743">
        <v>-5.7342169999999998E-3</v>
      </c>
      <c r="W1743">
        <v>2.690137E-3</v>
      </c>
      <c r="X1743">
        <v>0.99997990000000003</v>
      </c>
      <c r="Y1743">
        <v>-9.3839240000000004E-2</v>
      </c>
      <c r="Z1743">
        <v>-1.162259E-2</v>
      </c>
      <c r="AA1743">
        <v>0.9955195</v>
      </c>
      <c r="AB1743">
        <v>31</v>
      </c>
      <c r="AC1743">
        <v>-16.2285</v>
      </c>
      <c r="AD1743">
        <v>-1.11098667839</v>
      </c>
      <c r="AE1743">
        <v>0.48759999999998599</v>
      </c>
      <c r="AF1743">
        <v>-1.5389955787685901</v>
      </c>
      <c r="AG1743">
        <v>-1.11098667839</v>
      </c>
      <c r="AH1743">
        <v>16.086705895317099</v>
      </c>
      <c r="AI1743">
        <v>93.932811626223796</v>
      </c>
      <c r="AJ1743">
        <v>95.4647858260779</v>
      </c>
      <c r="AK1743">
        <v>16.198299458691899</v>
      </c>
      <c r="AL1743">
        <v>89.845866311398794</v>
      </c>
      <c r="AM1743">
        <v>90.328549435676905</v>
      </c>
      <c r="AN1743">
        <v>0.99999995924284502</v>
      </c>
    </row>
    <row r="1744" spans="1:40" x14ac:dyDescent="0.25">
      <c r="A1744" t="str">
        <f>"20190312160330629"</f>
        <v>20190312160330629</v>
      </c>
      <c r="B1744" t="str">
        <f>"1552377810626053"</f>
        <v>1552377810626053</v>
      </c>
      <c r="C1744" t="s">
        <v>40</v>
      </c>
      <c r="D1744">
        <v>5.4940230000000003</v>
      </c>
      <c r="E1744">
        <v>0.46688350000000001</v>
      </c>
      <c r="F1744" t="s">
        <v>70</v>
      </c>
      <c r="G1744">
        <v>-267.4162</v>
      </c>
      <c r="H1744" s="1">
        <v>2.409755E-6</v>
      </c>
      <c r="I1744">
        <v>284.60489999999999</v>
      </c>
      <c r="J1744">
        <v>-251.18790000000001</v>
      </c>
      <c r="K1744">
        <v>1.1110770000000001</v>
      </c>
      <c r="L1744">
        <v>284.13569999999999</v>
      </c>
      <c r="M1744">
        <v>-0.99218309999999998</v>
      </c>
      <c r="N1744">
        <v>0</v>
      </c>
      <c r="O1744">
        <v>0.1241636</v>
      </c>
      <c r="P1744">
        <v>-0.99292740000000002</v>
      </c>
      <c r="Q1744">
        <v>-9.4540579999999996E-3</v>
      </c>
      <c r="R1744">
        <v>0.1183459</v>
      </c>
      <c r="S1744">
        <v>-3.008972</v>
      </c>
      <c r="T1744">
        <v>-0.2039107</v>
      </c>
      <c r="U1744">
        <v>8.9813229999999994E-2</v>
      </c>
      <c r="V1744">
        <v>-5.8739219999999898E-3</v>
      </c>
      <c r="W1744">
        <v>3.023445E-3</v>
      </c>
      <c r="X1744">
        <v>0.99997820000000004</v>
      </c>
      <c r="Y1744">
        <v>-9.4015290000000001E-2</v>
      </c>
      <c r="Z1744">
        <v>-1.1564430000000001E-2</v>
      </c>
      <c r="AA1744">
        <v>0.99550360000000004</v>
      </c>
      <c r="AB1744">
        <v>31</v>
      </c>
      <c r="AC1744">
        <v>-16.228299999999901</v>
      </c>
      <c r="AD1744">
        <v>-1.1110745902449899</v>
      </c>
      <c r="AE1744">
        <v>0.46920000000000001</v>
      </c>
      <c r="AF1744">
        <v>-1.5423291694851999</v>
      </c>
      <c r="AG1744">
        <v>-1.1110745902449899</v>
      </c>
      <c r="AH1744">
        <v>16.085625711153</v>
      </c>
      <c r="AI1744">
        <v>93.933305630121893</v>
      </c>
      <c r="AJ1744">
        <v>95.4769166368458</v>
      </c>
      <c r="AK1744">
        <v>16.1975498311146</v>
      </c>
      <c r="AL1744">
        <v>89.8267691018535</v>
      </c>
      <c r="AM1744">
        <v>90.336554405918605</v>
      </c>
      <c r="AN1744">
        <v>1.00000002232728</v>
      </c>
    </row>
    <row r="1745" spans="1:40" x14ac:dyDescent="0.25">
      <c r="A1745" t="str">
        <f>"20190312160330642"</f>
        <v>20190312160330642</v>
      </c>
      <c r="B1745" t="str">
        <f>"1552377810636320"</f>
        <v>1552377810636320</v>
      </c>
      <c r="C1745" t="s">
        <v>40</v>
      </c>
      <c r="D1745">
        <v>5.5585990000000001</v>
      </c>
      <c r="E1745">
        <v>0.46681519999999999</v>
      </c>
      <c r="F1745" t="s">
        <v>70</v>
      </c>
      <c r="G1745">
        <v>-267.61989999999997</v>
      </c>
      <c r="H1745" s="1">
        <v>2.5181519999999998E-6</v>
      </c>
      <c r="I1745">
        <v>284.60480000000001</v>
      </c>
      <c r="J1745">
        <v>-251.3552</v>
      </c>
      <c r="K1745">
        <v>1.111165</v>
      </c>
      <c r="L1745">
        <v>284.15559999999999</v>
      </c>
      <c r="M1745">
        <v>-0.9923071</v>
      </c>
      <c r="N1745">
        <v>0</v>
      </c>
      <c r="O1745">
        <v>0.123169</v>
      </c>
      <c r="P1745">
        <v>-0.99308649999999998</v>
      </c>
      <c r="Q1745">
        <v>-9.3129300000000005E-3</v>
      </c>
      <c r="R1745">
        <v>0.1170153</v>
      </c>
      <c r="S1745">
        <v>-3.009201</v>
      </c>
      <c r="T1745">
        <v>-0.20347119999999999</v>
      </c>
      <c r="U1745">
        <v>8.5906979999999994E-2</v>
      </c>
      <c r="V1745">
        <v>-6.2129419999999999E-3</v>
      </c>
      <c r="W1745">
        <v>3.1631570000000002E-3</v>
      </c>
      <c r="X1745">
        <v>0.99997570000000002</v>
      </c>
      <c r="Y1745">
        <v>-9.4314620000000002E-2</v>
      </c>
      <c r="Z1745">
        <v>-1.148246E-2</v>
      </c>
      <c r="AA1745">
        <v>0.99547620000000003</v>
      </c>
      <c r="AB1745">
        <v>31</v>
      </c>
      <c r="AC1745">
        <v>-16.264699999999898</v>
      </c>
      <c r="AD1745">
        <v>-1.1111624818479999</v>
      </c>
      <c r="AE1745">
        <v>0.44920000000001797</v>
      </c>
      <c r="AF1745">
        <v>-1.55045313248022</v>
      </c>
      <c r="AG1745">
        <v>-1.1111624818479999</v>
      </c>
      <c r="AH1745">
        <v>16.120984632065699</v>
      </c>
      <c r="AI1745">
        <v>93.924905688493496</v>
      </c>
      <c r="AJ1745">
        <v>95.493586877356293</v>
      </c>
      <c r="AK1745">
        <v>16.233444874221298</v>
      </c>
      <c r="AL1745">
        <v>89.818764152350397</v>
      </c>
      <c r="AM1745">
        <v>90.355979424849906</v>
      </c>
      <c r="AN1745">
        <v>1.0000000034004899</v>
      </c>
    </row>
    <row r="1746" spans="1:40" x14ac:dyDescent="0.25">
      <c r="A1746" t="str">
        <f>"20190312160330654"</f>
        <v>20190312160330654</v>
      </c>
      <c r="B1746" t="str">
        <f>"1552377810646079"</f>
        <v>1552377810646079</v>
      </c>
      <c r="C1746" t="s">
        <v>40</v>
      </c>
      <c r="D1746">
        <v>5.5239820000000002</v>
      </c>
      <c r="E1746">
        <v>0.46678219999999998</v>
      </c>
      <c r="F1746" t="s">
        <v>70</v>
      </c>
      <c r="G1746">
        <v>-267.74759999999998</v>
      </c>
      <c r="H1746" s="1">
        <v>2.5861039999999998E-6</v>
      </c>
      <c r="I1746">
        <v>284.6003</v>
      </c>
      <c r="J1746">
        <v>-251.5248</v>
      </c>
      <c r="K1746">
        <v>1.111248</v>
      </c>
      <c r="L1746">
        <v>284.17570000000001</v>
      </c>
      <c r="M1746">
        <v>-0.99243780000000004</v>
      </c>
      <c r="N1746">
        <v>0</v>
      </c>
      <c r="O1746">
        <v>0.122110999999999</v>
      </c>
      <c r="P1746">
        <v>-0.9931972</v>
      </c>
      <c r="Q1746">
        <v>-9.1889580000000005E-3</v>
      </c>
      <c r="R1746">
        <v>0.116081</v>
      </c>
      <c r="S1746">
        <v>-3.0093380000000001</v>
      </c>
      <c r="T1746">
        <v>-0.2039888</v>
      </c>
      <c r="U1746">
        <v>8.1634520000000002E-2</v>
      </c>
      <c r="V1746">
        <v>-6.088965E-3</v>
      </c>
      <c r="W1746">
        <v>3.2880880000000002E-3</v>
      </c>
      <c r="X1746">
        <v>0.99997599999999998</v>
      </c>
      <c r="Y1746">
        <v>-9.4665869999999999E-2</v>
      </c>
      <c r="Z1746">
        <v>-1.1452220000000001E-2</v>
      </c>
      <c r="AA1746">
        <v>0.99544319999999997</v>
      </c>
      <c r="AB1746">
        <v>31</v>
      </c>
      <c r="AC1746">
        <v>-16.2227999999999</v>
      </c>
      <c r="AD1746">
        <v>-1.111245413896</v>
      </c>
      <c r="AE1746">
        <v>0.42459999999999798</v>
      </c>
      <c r="AF1746">
        <v>-1.55243577904258</v>
      </c>
      <c r="AG1746">
        <v>-1.111245413896</v>
      </c>
      <c r="AH1746">
        <v>16.0778418309282</v>
      </c>
      <c r="AI1746">
        <v>93.935554544760606</v>
      </c>
      <c r="AJ1746">
        <v>95.515237936307798</v>
      </c>
      <c r="AK1746">
        <v>16.190797421940101</v>
      </c>
      <c r="AL1746">
        <v>89.811606084872096</v>
      </c>
      <c r="AM1746">
        <v>90.348876057483196</v>
      </c>
      <c r="AN1746">
        <v>0.99999994379673196</v>
      </c>
    </row>
    <row r="1747" spans="1:40" x14ac:dyDescent="0.25">
      <c r="A1747" t="str">
        <f>"20190312160330666"</f>
        <v>20190312160330666</v>
      </c>
      <c r="B1747" t="str">
        <f>"1552377810656816"</f>
        <v>1552377810656816</v>
      </c>
      <c r="C1747" t="s">
        <v>40</v>
      </c>
      <c r="D1747">
        <v>5.5008520000000001</v>
      </c>
      <c r="E1747">
        <v>0.46677819999999998</v>
      </c>
      <c r="F1747" t="s">
        <v>70</v>
      </c>
      <c r="G1747">
        <v>-267.92160000000001</v>
      </c>
      <c r="H1747" s="1">
        <v>2.6786749999999998E-6</v>
      </c>
      <c r="I1747">
        <v>284.60419999999999</v>
      </c>
      <c r="J1747">
        <v>-251.69110000000001</v>
      </c>
      <c r="K1747">
        <v>1.111327</v>
      </c>
      <c r="L1747">
        <v>284.1952</v>
      </c>
      <c r="M1747">
        <v>-0.99256889999999998</v>
      </c>
      <c r="N1747">
        <v>0</v>
      </c>
      <c r="O1747">
        <v>0.1210407</v>
      </c>
      <c r="P1747">
        <v>-0.9933014</v>
      </c>
      <c r="Q1747">
        <v>-9.0832169999999993E-3</v>
      </c>
      <c r="R1747">
        <v>0.11519409999999999</v>
      </c>
      <c r="S1747">
        <v>-3.0094759999999998</v>
      </c>
      <c r="T1747">
        <v>-0.203959</v>
      </c>
      <c r="U1747">
        <v>7.86438E-2</v>
      </c>
      <c r="V1747">
        <v>-5.9049089999999999E-3</v>
      </c>
      <c r="W1747">
        <v>3.3939460000000001E-3</v>
      </c>
      <c r="X1747">
        <v>0.9999768</v>
      </c>
      <c r="Y1747">
        <v>-9.45849E-2</v>
      </c>
      <c r="Z1747">
        <v>-1.137558E-2</v>
      </c>
      <c r="AA1747">
        <v>0.9954518</v>
      </c>
      <c r="AB1747">
        <v>31</v>
      </c>
      <c r="AC1747">
        <v>-16.230499999999999</v>
      </c>
      <c r="AD1747">
        <v>-1.1113243213249999</v>
      </c>
      <c r="AE1747">
        <v>0.40899999999999098</v>
      </c>
      <c r="AF1747">
        <v>-1.55144302968829</v>
      </c>
      <c r="AG1747">
        <v>-1.1113243213249999</v>
      </c>
      <c r="AH1747">
        <v>16.085291550873201</v>
      </c>
      <c r="AI1747">
        <v>93.934055921853002</v>
      </c>
      <c r="AJ1747">
        <v>95.509195797383896</v>
      </c>
      <c r="AK1747">
        <v>16.1981054910175</v>
      </c>
      <c r="AL1747">
        <v>89.805540843749299</v>
      </c>
      <c r="AM1747">
        <v>90.338330281022195</v>
      </c>
      <c r="AN1747">
        <v>0.99999999367899395</v>
      </c>
    </row>
    <row r="1748" spans="1:40" x14ac:dyDescent="0.25">
      <c r="A1748" t="str">
        <f>"20190312160330686"</f>
        <v>20190312160330686</v>
      </c>
      <c r="B1748" t="str">
        <f>"1552377810676335"</f>
        <v>1552377810676335</v>
      </c>
      <c r="C1748" t="s">
        <v>40</v>
      </c>
      <c r="D1748">
        <v>5.5065460000000002</v>
      </c>
      <c r="E1748">
        <v>0.46673700000000001</v>
      </c>
      <c r="F1748" t="s">
        <v>70</v>
      </c>
      <c r="G1748">
        <v>-268.06540000000001</v>
      </c>
      <c r="H1748" s="1">
        <v>2.7551929999999999E-6</v>
      </c>
      <c r="I1748">
        <v>284.60809999999998</v>
      </c>
      <c r="J1748">
        <v>-251.94290000000001</v>
      </c>
      <c r="K1748">
        <v>1.1114329999999999</v>
      </c>
      <c r="L1748">
        <v>284.2242</v>
      </c>
      <c r="M1748">
        <v>-0.99277870000000001</v>
      </c>
      <c r="N1748">
        <v>0</v>
      </c>
      <c r="O1748">
        <v>0.11930739999999899</v>
      </c>
      <c r="P1748">
        <v>-0.99349019999999999</v>
      </c>
      <c r="Q1748">
        <v>-9.6106569999999999E-3</v>
      </c>
      <c r="R1748">
        <v>0.1135135</v>
      </c>
      <c r="S1748">
        <v>-3.0095830000000001</v>
      </c>
      <c r="T1748">
        <v>-0.20426059999999999</v>
      </c>
      <c r="U1748">
        <v>7.5897220000000001E-2</v>
      </c>
      <c r="V1748">
        <v>-5.8481770000000004E-3</v>
      </c>
      <c r="W1748">
        <v>2.8670430000000001E-3</v>
      </c>
      <c r="X1748">
        <v>0.99997879999999995</v>
      </c>
      <c r="Y1748">
        <v>-9.3759809999999999E-2</v>
      </c>
      <c r="Z1748">
        <v>-1.1247480000000001E-2</v>
      </c>
      <c r="AA1748">
        <v>0.99553130000000001</v>
      </c>
      <c r="AB1748">
        <v>31</v>
      </c>
      <c r="AC1748">
        <v>-16.122499999999999</v>
      </c>
      <c r="AD1748">
        <v>-1.1114302448069999</v>
      </c>
      <c r="AE1748">
        <v>0.38389999999998198</v>
      </c>
      <c r="AF1748">
        <v>-1.5352345967960399</v>
      </c>
      <c r="AG1748">
        <v>-1.1114302448069999</v>
      </c>
      <c r="AH1748">
        <v>15.977245572471601</v>
      </c>
      <c r="AI1748">
        <v>93.961088268346202</v>
      </c>
      <c r="AJ1748">
        <v>95.488632666940205</v>
      </c>
      <c r="AK1748">
        <v>16.0892696707879</v>
      </c>
      <c r="AL1748">
        <v>89.835730313140004</v>
      </c>
      <c r="AM1748">
        <v>90.335079143543695</v>
      </c>
      <c r="AN1748">
        <v>1.0000000107796101</v>
      </c>
    </row>
    <row r="1749" spans="1:40" x14ac:dyDescent="0.25">
      <c r="A1749" t="str">
        <f>"20190312160330697"</f>
        <v>20190312160330697</v>
      </c>
      <c r="B1749" t="str">
        <f>"1552377810686095"</f>
        <v>1552377810686095</v>
      </c>
      <c r="C1749" t="s">
        <v>40</v>
      </c>
      <c r="D1749">
        <v>5.5489990000000002</v>
      </c>
      <c r="E1749">
        <v>0.46671580000000001</v>
      </c>
      <c r="F1749" t="s">
        <v>70</v>
      </c>
      <c r="G1749">
        <v>-268.06200000000001</v>
      </c>
      <c r="H1749" s="1">
        <v>2.7534070000000002E-6</v>
      </c>
      <c r="I1749">
        <v>284.60079999999999</v>
      </c>
      <c r="J1749">
        <v>-252.10929999999999</v>
      </c>
      <c r="K1749">
        <v>1.111499</v>
      </c>
      <c r="L1749">
        <v>284.24299999999999</v>
      </c>
      <c r="M1749">
        <v>-0.99292279999999999</v>
      </c>
      <c r="N1749">
        <v>0</v>
      </c>
      <c r="O1749">
        <v>0.11810229999999999</v>
      </c>
      <c r="P1749">
        <v>-0.99365740000000002</v>
      </c>
      <c r="Q1749">
        <v>-9.3704559999999992E-3</v>
      </c>
      <c r="R1749">
        <v>0.1120597</v>
      </c>
      <c r="S1749">
        <v>-3.009598</v>
      </c>
      <c r="T1749">
        <v>-0.2075148</v>
      </c>
      <c r="U1749">
        <v>7.03125E-2</v>
      </c>
      <c r="V1749">
        <v>-6.0994589999999998E-3</v>
      </c>
      <c r="W1749">
        <v>3.1068910000000001E-3</v>
      </c>
      <c r="X1749">
        <v>0.99997659999999999</v>
      </c>
      <c r="Y1749">
        <v>-9.4383540000000002E-2</v>
      </c>
      <c r="Z1749">
        <v>-1.136567E-2</v>
      </c>
      <c r="AA1749">
        <v>0.99547099999999999</v>
      </c>
      <c r="AB1749">
        <v>31</v>
      </c>
      <c r="AC1749">
        <v>-15.9527</v>
      </c>
      <c r="AD1749">
        <v>-1.1114962465930001</v>
      </c>
      <c r="AE1749">
        <v>0.35779999999999701</v>
      </c>
      <c r="AF1749">
        <v>-1.52151960884453</v>
      </c>
      <c r="AG1749">
        <v>-1.1114962465930001</v>
      </c>
      <c r="AH1749">
        <v>15.806601656764601</v>
      </c>
      <c r="AI1749">
        <v>94.003885262969206</v>
      </c>
      <c r="AJ1749">
        <v>95.498265228057207</v>
      </c>
      <c r="AK1749">
        <v>15.9185144332605</v>
      </c>
      <c r="AL1749">
        <v>89.821987976955498</v>
      </c>
      <c r="AM1749">
        <v>90.349477101806698</v>
      </c>
      <c r="AN1749">
        <v>1.00000002835966</v>
      </c>
    </row>
    <row r="1750" spans="1:40" x14ac:dyDescent="0.25">
      <c r="A1750" t="str">
        <f>"20190312160330719"</f>
        <v>20190312160330719</v>
      </c>
      <c r="B1750" t="str">
        <f>"1552377810706601"</f>
        <v>1552377810706601</v>
      </c>
      <c r="C1750" t="s">
        <v>40</v>
      </c>
      <c r="D1750">
        <v>5.5327149999999996</v>
      </c>
      <c r="E1750">
        <v>0.46667180000000003</v>
      </c>
      <c r="F1750" t="s">
        <v>70</v>
      </c>
      <c r="G1750">
        <v>-268.22480000000002</v>
      </c>
      <c r="H1750" s="1">
        <v>2.8400159999999999E-6</v>
      </c>
      <c r="I1750">
        <v>284.59550000000002</v>
      </c>
      <c r="J1750">
        <v>-252.39240000000001</v>
      </c>
      <c r="K1750">
        <v>1.1116010000000001</v>
      </c>
      <c r="L1750">
        <v>284.27449999999999</v>
      </c>
      <c r="M1750">
        <v>-0.99317219999999995</v>
      </c>
      <c r="N1750">
        <v>0</v>
      </c>
      <c r="O1750">
        <v>0.1159854</v>
      </c>
      <c r="P1750">
        <v>-0.9939827</v>
      </c>
      <c r="Q1750">
        <v>-9.8614800000000006E-3</v>
      </c>
      <c r="R1750">
        <v>0.1090926</v>
      </c>
      <c r="S1750">
        <v>-3.0097809999999998</v>
      </c>
      <c r="T1750">
        <v>-0.20758760000000001</v>
      </c>
      <c r="U1750">
        <v>6.5826419999999997E-2</v>
      </c>
      <c r="V1750">
        <v>-6.9515549999999999E-3</v>
      </c>
      <c r="W1750">
        <v>2.6133670000000001E-3</v>
      </c>
      <c r="X1750">
        <v>0.99997239999999998</v>
      </c>
      <c r="Y1750">
        <v>-9.3751979999999999E-2</v>
      </c>
      <c r="Z1750">
        <v>-1.12026E-2</v>
      </c>
      <c r="AA1750">
        <v>0.99553259999999999</v>
      </c>
      <c r="AB1750">
        <v>31</v>
      </c>
      <c r="AC1750">
        <v>-15.8324</v>
      </c>
      <c r="AD1750">
        <v>-1.1115981599839999</v>
      </c>
      <c r="AE1750">
        <v>0.32100000000002599</v>
      </c>
      <c r="AF1750">
        <v>-1.5101961900016301</v>
      </c>
      <c r="AG1750">
        <v>-1.1115981599839999</v>
      </c>
      <c r="AH1750">
        <v>15.6854736586192</v>
      </c>
      <c r="AI1750">
        <v>94.035063257346494</v>
      </c>
      <c r="AJ1750">
        <v>95.499481945257102</v>
      </c>
      <c r="AK1750">
        <v>15.797165153811999</v>
      </c>
      <c r="AL1750">
        <v>89.850264926738703</v>
      </c>
      <c r="AM1750">
        <v>90.398299339699093</v>
      </c>
      <c r="AN1750">
        <v>0.99999997728287704</v>
      </c>
    </row>
    <row r="1751" spans="1:40" x14ac:dyDescent="0.25">
      <c r="A1751" t="str">
        <f>"20190312160330752"</f>
        <v>20190312160330752</v>
      </c>
      <c r="B1751" t="str">
        <f>"1552377810746140"</f>
        <v>1552377810746140</v>
      </c>
      <c r="C1751" t="s">
        <v>40</v>
      </c>
      <c r="D1751">
        <v>5.7685040000000001</v>
      </c>
      <c r="E1751">
        <v>0.50599689999999997</v>
      </c>
      <c r="F1751" t="s">
        <v>70</v>
      </c>
      <c r="G1751">
        <v>-268.33019999999999</v>
      </c>
      <c r="H1751" s="1">
        <v>2.8961219999999999E-6</v>
      </c>
      <c r="I1751">
        <v>284.57560000000001</v>
      </c>
      <c r="J1751">
        <v>-252.8519</v>
      </c>
      <c r="K1751">
        <v>1.1117220000000001</v>
      </c>
      <c r="L1751">
        <v>284.32420000000002</v>
      </c>
      <c r="M1751">
        <v>-0.99358630000000003</v>
      </c>
      <c r="N1751">
        <v>0</v>
      </c>
      <c r="O1751">
        <v>0.1123828</v>
      </c>
      <c r="P1751">
        <v>-0.99440640000000002</v>
      </c>
      <c r="Q1751">
        <v>-1.1261119999999999E-2</v>
      </c>
      <c r="R1751">
        <v>0.1050209</v>
      </c>
      <c r="S1751">
        <v>-3.009827</v>
      </c>
      <c r="T1751">
        <v>-0.20992340000000001</v>
      </c>
      <c r="U1751">
        <v>5.6854250000000002E-2</v>
      </c>
      <c r="V1751">
        <v>-7.4131400000000004E-3</v>
      </c>
      <c r="W1751">
        <v>1.2124219999999999E-3</v>
      </c>
      <c r="X1751">
        <v>0.99997179999999997</v>
      </c>
      <c r="Y1751">
        <v>-9.310715E-2</v>
      </c>
      <c r="Z1751">
        <v>-1.105683E-2</v>
      </c>
      <c r="AA1751">
        <v>0.99559470000000005</v>
      </c>
      <c r="AB1751">
        <v>31</v>
      </c>
      <c r="AC1751">
        <v>-15.4782999999999</v>
      </c>
      <c r="AD1751">
        <v>-1.1117191038780001</v>
      </c>
      <c r="AE1751">
        <v>0.25139999999998902</v>
      </c>
      <c r="AF1751">
        <v>-1.4821794230555301</v>
      </c>
      <c r="AG1751">
        <v>-1.1117191038780001</v>
      </c>
      <c r="AH1751">
        <v>15.3294249708935</v>
      </c>
      <c r="AI1751">
        <v>94.128750118749394</v>
      </c>
      <c r="AJ1751">
        <v>95.522676961580601</v>
      </c>
      <c r="AK1751">
        <v>15.440985886474699</v>
      </c>
      <c r="AL1751">
        <v>89.930533320274705</v>
      </c>
      <c r="AM1751">
        <v>90.4247458320812</v>
      </c>
      <c r="AN1751">
        <v>1.0000000127035</v>
      </c>
    </row>
    <row r="1752" spans="1:40" x14ac:dyDescent="0.25">
      <c r="A1752" t="str">
        <f>"20190312160330765"</f>
        <v>20190312160330765</v>
      </c>
      <c r="B1752" t="str">
        <f>"1552377810755899"</f>
        <v>1552377810755899</v>
      </c>
      <c r="C1752" t="s">
        <v>40</v>
      </c>
      <c r="D1752">
        <v>5.6721779999999997</v>
      </c>
      <c r="E1752">
        <v>0.52094110000000005</v>
      </c>
      <c r="F1752" t="s">
        <v>49</v>
      </c>
      <c r="G1752">
        <v>-253.75540000000001</v>
      </c>
      <c r="H1752">
        <v>0.99351230000000001</v>
      </c>
      <c r="I1752">
        <v>284.43079999999998</v>
      </c>
      <c r="J1752">
        <v>-253.04159999999999</v>
      </c>
      <c r="K1752">
        <v>1.1117629999999901</v>
      </c>
      <c r="L1752">
        <v>284.34429999999998</v>
      </c>
      <c r="M1752">
        <v>-0.99375789999999997</v>
      </c>
      <c r="N1752">
        <v>0</v>
      </c>
      <c r="O1752">
        <v>0.11085490000000001</v>
      </c>
      <c r="P1752">
        <v>-0.99454219999999904</v>
      </c>
      <c r="Q1752">
        <v>-1.182004E-2</v>
      </c>
      <c r="R1752">
        <v>0.1036643</v>
      </c>
      <c r="S1752">
        <v>-2.9754179999999999</v>
      </c>
      <c r="T1752">
        <v>-0.38943610000000001</v>
      </c>
      <c r="U1752">
        <v>0.35067749999999998</v>
      </c>
      <c r="V1752">
        <v>-7.236241E-3</v>
      </c>
      <c r="W1752">
        <v>6.5452260000000003E-4</v>
      </c>
      <c r="X1752">
        <v>0.99997360000000002</v>
      </c>
      <c r="Y1752">
        <v>7.0923160000000004E-3</v>
      </c>
      <c r="Z1752">
        <v>-1.3893290000000001E-2</v>
      </c>
      <c r="AA1752">
        <v>0.9998783</v>
      </c>
      <c r="AB1752">
        <v>31</v>
      </c>
      <c r="AC1752">
        <v>-0.71380000000001997</v>
      </c>
      <c r="AD1752">
        <v>-0.118250699999999</v>
      </c>
      <c r="AE1752">
        <v>8.6500000000000896E-2</v>
      </c>
      <c r="AF1752">
        <v>6.65243509214683E-3</v>
      </c>
      <c r="AG1752">
        <v>-0.118250699999999</v>
      </c>
      <c r="AH1752">
        <v>0.70005501523333702</v>
      </c>
      <c r="AI1752">
        <v>99.587262069218696</v>
      </c>
      <c r="AJ1752">
        <v>89.4555499588743</v>
      </c>
      <c r="AK1752">
        <v>0.71000317414536496</v>
      </c>
      <c r="AL1752">
        <v>89.962498614601699</v>
      </c>
      <c r="AM1752">
        <v>90.414609777685001</v>
      </c>
      <c r="AN1752">
        <v>0.99999999614030199</v>
      </c>
    </row>
    <row r="1753" spans="1:40" x14ac:dyDescent="0.25">
      <c r="A1753" t="str">
        <f>"20190312160330785"</f>
        <v>20190312160330785</v>
      </c>
      <c r="B1753" t="str">
        <f>"1552377810776395"</f>
        <v>1552377810776395</v>
      </c>
      <c r="C1753" t="s">
        <v>40</v>
      </c>
      <c r="D1753">
        <v>5.4264679999999998</v>
      </c>
      <c r="E1753">
        <v>0.53420800000000002</v>
      </c>
      <c r="F1753" t="s">
        <v>49</v>
      </c>
      <c r="G1753">
        <v>-253.7604</v>
      </c>
      <c r="H1753">
        <v>1.0104949999999999</v>
      </c>
      <c r="I1753">
        <v>284.45699999999999</v>
      </c>
      <c r="J1753">
        <v>-253.30189999999999</v>
      </c>
      <c r="K1753">
        <v>1.111807</v>
      </c>
      <c r="L1753">
        <v>284.37119999999999</v>
      </c>
      <c r="M1753">
        <v>-0.9939926</v>
      </c>
      <c r="N1753">
        <v>0</v>
      </c>
      <c r="O1753">
        <v>0.10873049999999999</v>
      </c>
      <c r="P1753">
        <v>-0.99471080000000001</v>
      </c>
      <c r="Q1753">
        <v>-1.289998E-2</v>
      </c>
      <c r="R1753">
        <v>0.1019033</v>
      </c>
      <c r="S1753">
        <v>-2.9631349999999999</v>
      </c>
      <c r="T1753">
        <v>-0.41767549999999998</v>
      </c>
      <c r="U1753">
        <v>0.46417239999999999</v>
      </c>
      <c r="V1753">
        <v>-6.8628889999999996E-3</v>
      </c>
      <c r="W1753">
        <v>-4.2328029999999999E-4</v>
      </c>
      <c r="X1753">
        <v>0.99997630000000004</v>
      </c>
      <c r="Y1753">
        <v>4.7005270000000002E-2</v>
      </c>
      <c r="Z1753">
        <v>-1.182973E-2</v>
      </c>
      <c r="AA1753">
        <v>0.99882459999999995</v>
      </c>
      <c r="AB1753">
        <v>31</v>
      </c>
      <c r="AC1753">
        <v>-0.45850000000001501</v>
      </c>
      <c r="AD1753">
        <v>-0.101311999999999</v>
      </c>
      <c r="AE1753">
        <v>8.5800000000006094E-2</v>
      </c>
      <c r="AF1753">
        <v>3.3838149041501599E-2</v>
      </c>
      <c r="AG1753">
        <v>-0.101311999999999</v>
      </c>
      <c r="AH1753">
        <v>0.44415868262250802</v>
      </c>
      <c r="AI1753">
        <v>102.813355613612</v>
      </c>
      <c r="AJ1753">
        <v>85.643347231225505</v>
      </c>
      <c r="AK1753">
        <v>0.45682171251322601</v>
      </c>
      <c r="AL1753">
        <v>90.024252176932805</v>
      </c>
      <c r="AM1753">
        <v>90.393217720738605</v>
      </c>
      <c r="AN1753">
        <v>0.99999993948666199</v>
      </c>
    </row>
    <row r="1754" spans="1:40" x14ac:dyDescent="0.25">
      <c r="A1754" t="str">
        <f>"20190312160330797"</f>
        <v>20190312160330797</v>
      </c>
      <c r="B1754" t="str">
        <f>"1552377810786155"</f>
        <v>1552377810786155</v>
      </c>
      <c r="C1754" t="s">
        <v>40</v>
      </c>
      <c r="D1754">
        <v>5.3089409999999999</v>
      </c>
      <c r="E1754">
        <v>0.53815679999999999</v>
      </c>
      <c r="F1754" t="s">
        <v>49</v>
      </c>
      <c r="G1754">
        <v>-254.0258</v>
      </c>
      <c r="H1754">
        <v>1.003268</v>
      </c>
      <c r="I1754">
        <v>284.50979999999998</v>
      </c>
      <c r="J1754">
        <v>-253.46610000000001</v>
      </c>
      <c r="K1754">
        <v>1.111826</v>
      </c>
      <c r="L1754">
        <v>284.3877</v>
      </c>
      <c r="M1754">
        <v>-0.99413940000000001</v>
      </c>
      <c r="N1754">
        <v>0</v>
      </c>
      <c r="O1754">
        <v>0.1073803</v>
      </c>
      <c r="P1754">
        <v>-0.99484030000000001</v>
      </c>
      <c r="Q1754">
        <v>-1.297122E-2</v>
      </c>
      <c r="R1754">
        <v>0.10062260000000001</v>
      </c>
      <c r="S1754">
        <v>-2.9524689999999998</v>
      </c>
      <c r="T1754">
        <v>-0.44315559999999998</v>
      </c>
      <c r="U1754">
        <v>0.56369019999999903</v>
      </c>
      <c r="V1754">
        <v>-6.7913629999999999E-3</v>
      </c>
      <c r="W1754">
        <v>-4.9385390000000003E-4</v>
      </c>
      <c r="X1754">
        <v>0.9999768</v>
      </c>
      <c r="Y1754">
        <v>8.1244200000000003E-2</v>
      </c>
      <c r="Z1754">
        <v>-9.8147849999999995E-3</v>
      </c>
      <c r="AA1754">
        <v>0.99664589999999997</v>
      </c>
      <c r="AB1754">
        <v>31</v>
      </c>
      <c r="AC1754">
        <v>-0.55969999999999198</v>
      </c>
      <c r="AD1754">
        <v>-0.108557999999999</v>
      </c>
      <c r="AE1754">
        <v>0.122099999999989</v>
      </c>
      <c r="AF1754">
        <v>5.9163853747447002E-2</v>
      </c>
      <c r="AG1754">
        <v>-0.108557999999999</v>
      </c>
      <c r="AH1754">
        <v>0.54983077835121497</v>
      </c>
      <c r="AI1754">
        <v>101.106263573037</v>
      </c>
      <c r="AJ1754">
        <v>83.858390184571206</v>
      </c>
      <c r="AK1754">
        <v>0.56355930102922802</v>
      </c>
      <c r="AL1754">
        <v>90.028295745782501</v>
      </c>
      <c r="AM1754">
        <v>90.389119482145801</v>
      </c>
      <c r="AN1754">
        <v>0.999999983520656</v>
      </c>
    </row>
    <row r="1755" spans="1:40" x14ac:dyDescent="0.25">
      <c r="A1755" t="str">
        <f>"20190312160330808"</f>
        <v>20190312160330808</v>
      </c>
      <c r="B1755" t="str">
        <f>"1552377810806651"</f>
        <v>1552377810806651</v>
      </c>
      <c r="C1755" t="s">
        <v>40</v>
      </c>
      <c r="D1755">
        <v>5.6374320000000004</v>
      </c>
      <c r="E1755">
        <v>0.54265640000000004</v>
      </c>
      <c r="F1755" t="s">
        <v>49</v>
      </c>
      <c r="G1755">
        <v>-254.28800000000001</v>
      </c>
      <c r="H1755">
        <v>0.98653729999999995</v>
      </c>
      <c r="I1755">
        <v>284.55250000000001</v>
      </c>
      <c r="J1755">
        <v>-253.61940000000001</v>
      </c>
      <c r="K1755">
        <v>1.1118380000000001</v>
      </c>
      <c r="L1755">
        <v>284.40309999999999</v>
      </c>
      <c r="M1755">
        <v>-0.99427480000000001</v>
      </c>
      <c r="N1755">
        <v>0</v>
      </c>
      <c r="O1755">
        <v>0.1061178</v>
      </c>
      <c r="P1755">
        <v>-0.99493719999999997</v>
      </c>
      <c r="Q1755">
        <v>-1.293272E-2</v>
      </c>
      <c r="R1755">
        <v>9.9663570000000007E-2</v>
      </c>
      <c r="S1755">
        <v>-2.9498899999999999</v>
      </c>
      <c r="T1755">
        <v>-0.44983610000000002</v>
      </c>
      <c r="U1755">
        <v>0.59109500000000004</v>
      </c>
      <c r="V1755">
        <v>-6.4857179999999997E-3</v>
      </c>
      <c r="W1755">
        <v>-4.5354979999999998E-4</v>
      </c>
      <c r="X1755">
        <v>0.99997879999999995</v>
      </c>
      <c r="Y1755">
        <v>9.1464699999999996E-2</v>
      </c>
      <c r="Z1755">
        <v>-9.0038889999999993E-3</v>
      </c>
      <c r="AA1755">
        <v>0.99576759999999997</v>
      </c>
      <c r="AB1755">
        <v>31</v>
      </c>
      <c r="AC1755">
        <v>-0.668599999999969</v>
      </c>
      <c r="AD1755">
        <v>-0.12530069999999899</v>
      </c>
      <c r="AE1755">
        <v>0.14940000000001399</v>
      </c>
      <c r="AF1755">
        <v>7.5088558494850494E-2</v>
      </c>
      <c r="AG1755">
        <v>-0.12530069999999899</v>
      </c>
      <c r="AH1755">
        <v>0.65864682001388397</v>
      </c>
      <c r="AI1755">
        <v>100.703500593386</v>
      </c>
      <c r="AJ1755">
        <v>83.496115681104101</v>
      </c>
      <c r="AK1755">
        <v>0.67465116212137799</v>
      </c>
      <c r="AL1755">
        <v>90.025986491910004</v>
      </c>
      <c r="AM1755">
        <v>90.371606936035704</v>
      </c>
      <c r="AN1755">
        <v>0.99999993534741605</v>
      </c>
    </row>
    <row r="1756" spans="1:40" x14ac:dyDescent="0.25">
      <c r="A1756" t="str">
        <f>"20190312160330821"</f>
        <v>20190312160330821</v>
      </c>
      <c r="B1756" t="str">
        <f>"1552377810816411"</f>
        <v>1552377810816411</v>
      </c>
      <c r="C1756" t="s">
        <v>40</v>
      </c>
      <c r="D1756">
        <v>5.7061199999999896</v>
      </c>
      <c r="E1756">
        <v>0.54519859999999998</v>
      </c>
      <c r="F1756" t="s">
        <v>49</v>
      </c>
      <c r="G1756">
        <v>-254.5489</v>
      </c>
      <c r="H1756">
        <v>0.9677346</v>
      </c>
      <c r="I1756">
        <v>284.60019999999997</v>
      </c>
      <c r="J1756">
        <v>-253.7878</v>
      </c>
      <c r="K1756">
        <v>1.1118490000000001</v>
      </c>
      <c r="L1756">
        <v>284.41969999999998</v>
      </c>
      <c r="M1756">
        <v>-0.99442229999999998</v>
      </c>
      <c r="N1756">
        <v>0</v>
      </c>
      <c r="O1756">
        <v>0.10472770000000001</v>
      </c>
      <c r="P1756">
        <v>-0.99504110000000001</v>
      </c>
      <c r="Q1756">
        <v>-1.3077190000000001E-2</v>
      </c>
      <c r="R1756">
        <v>9.8601820000000007E-2</v>
      </c>
      <c r="S1756">
        <v>-2.9468079999999999</v>
      </c>
      <c r="T1756">
        <v>-0.45705040000000002</v>
      </c>
      <c r="U1756">
        <v>0.62399289999999996</v>
      </c>
      <c r="V1756">
        <v>-6.1538460000000001E-3</v>
      </c>
      <c r="W1756">
        <v>-5.9604489999999998E-4</v>
      </c>
      <c r="X1756">
        <v>0.99998089999999995</v>
      </c>
      <c r="Y1756">
        <v>0.1035655</v>
      </c>
      <c r="Z1756">
        <v>-8.0108009999999997E-3</v>
      </c>
      <c r="AA1756">
        <v>0.99459039999999999</v>
      </c>
      <c r="AB1756">
        <v>31</v>
      </c>
      <c r="AC1756">
        <v>-0.761099999999999</v>
      </c>
      <c r="AD1756">
        <v>-0.1441144</v>
      </c>
      <c r="AE1756">
        <v>0.180499999999995</v>
      </c>
      <c r="AF1756">
        <v>9.65165851547755E-2</v>
      </c>
      <c r="AG1756">
        <v>-0.1441144</v>
      </c>
      <c r="AH1756">
        <v>0.750348742179612</v>
      </c>
      <c r="AI1756">
        <v>100.785271045342</v>
      </c>
      <c r="AJ1756">
        <v>82.670350147660102</v>
      </c>
      <c r="AK1756">
        <v>0.770134823513276</v>
      </c>
      <c r="AL1756">
        <v>90.034150858757698</v>
      </c>
      <c r="AM1756">
        <v>90.352591687173302</v>
      </c>
      <c r="AN1756">
        <v>1.00000001272746</v>
      </c>
    </row>
    <row r="1757" spans="1:40" x14ac:dyDescent="0.25">
      <c r="A1757" t="str">
        <f>"20190312160330833"</f>
        <v>20190312160330833</v>
      </c>
      <c r="B1757" t="str">
        <f>"1552377810826172"</f>
        <v>1552377810826172</v>
      </c>
      <c r="C1757" t="s">
        <v>40</v>
      </c>
      <c r="D1757">
        <v>5.6198059999999996</v>
      </c>
      <c r="E1757">
        <v>0.54707240000000001</v>
      </c>
      <c r="F1757" t="s">
        <v>49</v>
      </c>
      <c r="G1757">
        <v>-254.56030000000001</v>
      </c>
      <c r="H1757">
        <v>0.98877110000000001</v>
      </c>
      <c r="I1757">
        <v>284.58800000000002</v>
      </c>
      <c r="J1757">
        <v>-253.94589999999999</v>
      </c>
      <c r="K1757">
        <v>1.1118570000000001</v>
      </c>
      <c r="L1757">
        <v>284.43509999999998</v>
      </c>
      <c r="M1757">
        <v>-0.99455890000000002</v>
      </c>
      <c r="N1757">
        <v>0</v>
      </c>
      <c r="O1757">
        <v>0.10342229999999999</v>
      </c>
      <c r="P1757">
        <v>-0.9951122</v>
      </c>
      <c r="Q1757">
        <v>-1.3115419999999999E-2</v>
      </c>
      <c r="R1757">
        <v>9.7876759999999993E-2</v>
      </c>
      <c r="S1757">
        <v>-2.9452820000000002</v>
      </c>
      <c r="T1757">
        <v>-0.46943099999999999</v>
      </c>
      <c r="U1757">
        <v>0.64068599999999998</v>
      </c>
      <c r="V1757">
        <v>-5.5697300000000002E-3</v>
      </c>
      <c r="W1757">
        <v>-6.3104879999999999E-4</v>
      </c>
      <c r="X1757">
        <v>0.99998430000000005</v>
      </c>
      <c r="Y1757">
        <v>0.11026660000000001</v>
      </c>
      <c r="Z1757">
        <v>-7.49629599999999E-3</v>
      </c>
      <c r="AA1757">
        <v>0.99387380000000003</v>
      </c>
      <c r="AB1757">
        <v>31</v>
      </c>
      <c r="AC1757">
        <v>-0.61440000000001704</v>
      </c>
      <c r="AD1757">
        <v>-0.123085899999999</v>
      </c>
      <c r="AE1757">
        <v>0.15289999999998799</v>
      </c>
      <c r="AF1757">
        <v>8.5308219101874694E-2</v>
      </c>
      <c r="AG1757">
        <v>-0.123085899999999</v>
      </c>
      <c r="AH1757">
        <v>0.60408864022224695</v>
      </c>
      <c r="AI1757">
        <v>101.40647072937701</v>
      </c>
      <c r="AJ1757">
        <v>81.961953596734901</v>
      </c>
      <c r="AK1757">
        <v>0.62237506077180405</v>
      </c>
      <c r="AL1757">
        <v>90.036156434938405</v>
      </c>
      <c r="AM1757">
        <v>90.319123732304803</v>
      </c>
      <c r="AN1757">
        <v>1.0000000101806701</v>
      </c>
    </row>
    <row r="1758" spans="1:40" x14ac:dyDescent="0.25">
      <c r="A1758" t="str">
        <f>"20190312160330845"</f>
        <v>20190312160330845</v>
      </c>
      <c r="B1758" t="str">
        <f>"1552377810836438"</f>
        <v>1552377810836438</v>
      </c>
      <c r="C1758" t="s">
        <v>40</v>
      </c>
      <c r="D1758">
        <v>5.6950000000000003</v>
      </c>
      <c r="E1758">
        <v>0.54811330000000003</v>
      </c>
      <c r="F1758" t="s">
        <v>49</v>
      </c>
      <c r="G1758">
        <v>-254.82130000000001</v>
      </c>
      <c r="H1758">
        <v>0.96853069999999997</v>
      </c>
      <c r="I1758">
        <v>284.62950000000001</v>
      </c>
      <c r="J1758">
        <v>-254.1172</v>
      </c>
      <c r="K1758">
        <v>1.111866</v>
      </c>
      <c r="L1758">
        <v>284.45150000000001</v>
      </c>
      <c r="M1758">
        <v>-0.99470510000000001</v>
      </c>
      <c r="N1758">
        <v>0</v>
      </c>
      <c r="O1758">
        <v>0.1020075</v>
      </c>
      <c r="P1758">
        <v>-0.99519100000000005</v>
      </c>
      <c r="Q1758">
        <v>-1.3170060000000001E-2</v>
      </c>
      <c r="R1758">
        <v>9.7065659999999998E-2</v>
      </c>
      <c r="S1758">
        <v>-2.944153</v>
      </c>
      <c r="T1758">
        <v>-0.4822263</v>
      </c>
      <c r="U1758">
        <v>0.65304569999999995</v>
      </c>
      <c r="V1758">
        <v>-4.9627250000000003E-3</v>
      </c>
      <c r="W1758">
        <v>-6.8232109999999998E-4</v>
      </c>
      <c r="X1758">
        <v>0.99998739999999997</v>
      </c>
      <c r="Y1758">
        <v>0.11564770000000001</v>
      </c>
      <c r="Z1758">
        <v>-7.0387339999999996E-3</v>
      </c>
      <c r="AA1758">
        <v>0.99326530000000002</v>
      </c>
      <c r="AB1758">
        <v>31</v>
      </c>
      <c r="AC1758">
        <v>-0.70410000000001105</v>
      </c>
      <c r="AD1758">
        <v>-0.1433353</v>
      </c>
      <c r="AE1758">
        <v>0.17799999999999699</v>
      </c>
      <c r="AF1758">
        <v>0.101296520804601</v>
      </c>
      <c r="AG1758">
        <v>-0.1433353</v>
      </c>
      <c r="AH1758">
        <v>0.69164423031756095</v>
      </c>
      <c r="AI1758">
        <v>101.587930245585</v>
      </c>
      <c r="AJ1758">
        <v>81.667837852049502</v>
      </c>
      <c r="AK1758">
        <v>0.71356690974622605</v>
      </c>
      <c r="AL1758">
        <v>90.039094124401103</v>
      </c>
      <c r="AM1758">
        <v>90.284344445770998</v>
      </c>
      <c r="AN1758">
        <v>0.99999994718013296</v>
      </c>
    </row>
    <row r="1759" spans="1:40" x14ac:dyDescent="0.25">
      <c r="A1759" t="str">
        <f>"20190312160330863"</f>
        <v>20190312160330863</v>
      </c>
      <c r="B1759" t="str">
        <f>"1552377810855961"</f>
        <v>1552377810855961</v>
      </c>
      <c r="C1759" t="s">
        <v>40</v>
      </c>
      <c r="D1759">
        <v>7.5127949999999997</v>
      </c>
      <c r="E1759">
        <v>0.54936649999999998</v>
      </c>
      <c r="F1759" t="s">
        <v>49</v>
      </c>
      <c r="G1759">
        <v>-254.8355</v>
      </c>
      <c r="H1759">
        <v>0.99452110000000005</v>
      </c>
      <c r="I1759">
        <v>284.61250000000001</v>
      </c>
      <c r="J1759">
        <v>-254.36189999999999</v>
      </c>
      <c r="K1759">
        <v>1.1118749999999999</v>
      </c>
      <c r="L1759">
        <v>284.47460000000001</v>
      </c>
      <c r="M1759">
        <v>-0.99490979999999996</v>
      </c>
      <c r="N1759">
        <v>0</v>
      </c>
      <c r="O1759">
        <v>9.9990670000000004E-2</v>
      </c>
      <c r="P1759">
        <v>-0.99523499999999998</v>
      </c>
      <c r="Q1759">
        <v>-1.37868E-2</v>
      </c>
      <c r="R1759">
        <v>9.6526909999999994E-2</v>
      </c>
      <c r="S1759">
        <v>-2.9438780000000002</v>
      </c>
      <c r="T1759">
        <v>-0.48117690000000002</v>
      </c>
      <c r="U1759">
        <v>0.65866089999999999</v>
      </c>
      <c r="V1759">
        <v>-3.472621E-3</v>
      </c>
      <c r="W1759">
        <v>-1.291178E-3</v>
      </c>
      <c r="X1759">
        <v>0.99999309999999997</v>
      </c>
      <c r="Y1759">
        <v>0.11941350000000001</v>
      </c>
      <c r="Z1759">
        <v>-6.399839E-3</v>
      </c>
      <c r="AA1759">
        <v>0.99282400000000004</v>
      </c>
      <c r="AB1759">
        <v>31</v>
      </c>
      <c r="AC1759">
        <v>-0.47360000000000402</v>
      </c>
      <c r="AD1759">
        <v>-0.1173539</v>
      </c>
      <c r="AE1759">
        <v>0.13790000000000099</v>
      </c>
      <c r="AF1759">
        <v>8.5036309335980095E-2</v>
      </c>
      <c r="AG1759">
        <v>-0.1173539</v>
      </c>
      <c r="AH1759">
        <v>0.45903384152553001</v>
      </c>
      <c r="AI1759">
        <v>104.110483596314</v>
      </c>
      <c r="AJ1759">
        <v>79.504897524859004</v>
      </c>
      <c r="AK1759">
        <v>0.48136802907586201</v>
      </c>
      <c r="AL1759">
        <v>90.073979073282402</v>
      </c>
      <c r="AM1759">
        <v>90.198967100230703</v>
      </c>
      <c r="AN1759">
        <v>0.99999996314242201</v>
      </c>
    </row>
    <row r="1760" spans="1:40" x14ac:dyDescent="0.25">
      <c r="A1760" t="str">
        <f>"20190312160330875"</f>
        <v>20190312160330875</v>
      </c>
      <c r="B1760" t="str">
        <f>"1552377810866694"</f>
        <v>1552377810866694</v>
      </c>
      <c r="C1760" t="s">
        <v>40</v>
      </c>
      <c r="D1760">
        <v>5.5846049999999998</v>
      </c>
      <c r="E1760">
        <v>0.54999819999999999</v>
      </c>
      <c r="F1760" t="s">
        <v>49</v>
      </c>
      <c r="G1760">
        <v>-255.10470000000001</v>
      </c>
      <c r="H1760">
        <v>0.98954370000000003</v>
      </c>
      <c r="I1760">
        <v>284.6431</v>
      </c>
      <c r="J1760">
        <v>-254.52440000000001</v>
      </c>
      <c r="K1760">
        <v>1.111872</v>
      </c>
      <c r="L1760">
        <v>284.4896</v>
      </c>
      <c r="M1760">
        <v>-0.99504320000000002</v>
      </c>
      <c r="N1760">
        <v>0</v>
      </c>
      <c r="O1760">
        <v>9.8653939999999996E-2</v>
      </c>
      <c r="P1760">
        <v>-0.99529829999999997</v>
      </c>
      <c r="Q1760">
        <v>-1.389815E-2</v>
      </c>
      <c r="R1760">
        <v>9.5855090000000004E-2</v>
      </c>
      <c r="S1760">
        <v>-2.9430239999999999</v>
      </c>
      <c r="T1760">
        <v>-0.48493190000000003</v>
      </c>
      <c r="U1760">
        <v>0.66656490000000002</v>
      </c>
      <c r="V1760">
        <v>-2.8031449999999999E-3</v>
      </c>
      <c r="W1760">
        <v>-1.3988729999999999E-3</v>
      </c>
      <c r="X1760">
        <v>0.99999510000000003</v>
      </c>
      <c r="Y1760">
        <v>0.1232756</v>
      </c>
      <c r="Z1760">
        <v>-5.9222769999999897E-3</v>
      </c>
      <c r="AA1760">
        <v>0.99235479999999998</v>
      </c>
      <c r="AB1760">
        <v>31</v>
      </c>
      <c r="AC1760">
        <v>-0.58029999999999404</v>
      </c>
      <c r="AD1760">
        <v>-0.122328299999999</v>
      </c>
      <c r="AE1760">
        <v>0.15350000000000799</v>
      </c>
      <c r="AF1760">
        <v>9.1689712239977003E-2</v>
      </c>
      <c r="AG1760">
        <v>-0.122328299999999</v>
      </c>
      <c r="AH1760">
        <v>0.56898262510945397</v>
      </c>
      <c r="AI1760">
        <v>101.98354909564</v>
      </c>
      <c r="AJ1760">
        <v>80.845669546893106</v>
      </c>
      <c r="AK1760">
        <v>0.58916249370439899</v>
      </c>
      <c r="AL1760">
        <v>90.080149544534095</v>
      </c>
      <c r="AM1760">
        <v>90.160608744177196</v>
      </c>
      <c r="AN1760">
        <v>1.00000000724578</v>
      </c>
    </row>
    <row r="1761" spans="1:40" x14ac:dyDescent="0.25">
      <c r="A1761" t="str">
        <f>"20190312160330886"</f>
        <v>20190312160330886</v>
      </c>
      <c r="B1761" t="str">
        <f>"1552377810876453"</f>
        <v>1552377810876453</v>
      </c>
      <c r="C1761" t="s">
        <v>40</v>
      </c>
      <c r="D1761">
        <v>5.2690910000000004</v>
      </c>
      <c r="E1761">
        <v>0.55063709999999999</v>
      </c>
      <c r="F1761" t="s">
        <v>49</v>
      </c>
      <c r="G1761">
        <v>-255.36779999999999</v>
      </c>
      <c r="H1761">
        <v>0.97315669999999999</v>
      </c>
      <c r="I1761">
        <v>284.6816</v>
      </c>
      <c r="J1761">
        <v>-254.6849</v>
      </c>
      <c r="K1761">
        <v>1.111874</v>
      </c>
      <c r="L1761">
        <v>284.50420000000003</v>
      </c>
      <c r="M1761">
        <v>-0.99517319999999998</v>
      </c>
      <c r="N1761">
        <v>0</v>
      </c>
      <c r="O1761">
        <v>9.7333859999999994E-2</v>
      </c>
      <c r="P1761">
        <v>-0.99536049999999998</v>
      </c>
      <c r="Q1761">
        <v>-1.4006360000000001E-2</v>
      </c>
      <c r="R1761">
        <v>9.5192250000000006E-2</v>
      </c>
      <c r="S1761">
        <v>-2.9429630000000002</v>
      </c>
      <c r="T1761">
        <v>-0.48416890000000001</v>
      </c>
      <c r="U1761">
        <v>0.66940310000000003</v>
      </c>
      <c r="V1761">
        <v>-2.142251E-3</v>
      </c>
      <c r="W1761">
        <v>-1.5034619999999999E-3</v>
      </c>
      <c r="X1761">
        <v>0.99999660000000001</v>
      </c>
      <c r="Y1761">
        <v>0.12546289999999999</v>
      </c>
      <c r="Z1761">
        <v>-5.5247550000000001E-3</v>
      </c>
      <c r="AA1761">
        <v>0.99208300000000005</v>
      </c>
      <c r="AB1761">
        <v>31</v>
      </c>
      <c r="AC1761">
        <v>-0.68289999999998896</v>
      </c>
      <c r="AD1761">
        <v>-0.13871729999999999</v>
      </c>
      <c r="AE1761">
        <v>0.17739999999997699</v>
      </c>
      <c r="AF1761">
        <v>0.105986325523486</v>
      </c>
      <c r="AG1761">
        <v>-0.13871729999999999</v>
      </c>
      <c r="AH1761">
        <v>0.67098938589955304</v>
      </c>
      <c r="AI1761">
        <v>101.541336253305</v>
      </c>
      <c r="AJ1761">
        <v>81.023988160915195</v>
      </c>
      <c r="AK1761">
        <v>0.69332701267664398</v>
      </c>
      <c r="AL1761">
        <v>90.086142057572403</v>
      </c>
      <c r="AM1761">
        <v>90.122742170516204</v>
      </c>
      <c r="AN1761">
        <v>1.0000000248244401</v>
      </c>
    </row>
    <row r="1762" spans="1:40" x14ac:dyDescent="0.25">
      <c r="A1762" t="str">
        <f>"20190312160330898"</f>
        <v>20190312160330898</v>
      </c>
      <c r="B1762" t="str">
        <f>"1552377810886214"</f>
        <v>1552377810886214</v>
      </c>
      <c r="C1762" t="s">
        <v>40</v>
      </c>
      <c r="D1762">
        <v>5.6151619999999998</v>
      </c>
      <c r="E1762">
        <v>0.55100190000000004</v>
      </c>
      <c r="F1762" t="s">
        <v>49</v>
      </c>
      <c r="G1762">
        <v>-255.381</v>
      </c>
      <c r="H1762">
        <v>0.99711760000000005</v>
      </c>
      <c r="I1762">
        <v>284.66340000000002</v>
      </c>
      <c r="J1762">
        <v>-254.8366</v>
      </c>
      <c r="K1762">
        <v>1.1118760000000001</v>
      </c>
      <c r="L1762">
        <v>284.51780000000002</v>
      </c>
      <c r="M1762">
        <v>-0.99529400000000001</v>
      </c>
      <c r="N1762">
        <v>0</v>
      </c>
      <c r="O1762">
        <v>9.6089270000000004E-2</v>
      </c>
      <c r="P1762">
        <v>-0.99544160000000004</v>
      </c>
      <c r="Q1762">
        <v>-1.3964519999999999E-2</v>
      </c>
      <c r="R1762">
        <v>9.4345109999999996E-2</v>
      </c>
      <c r="S1762">
        <v>-2.9428559999999999</v>
      </c>
      <c r="T1762">
        <v>-0.48534169999999999</v>
      </c>
      <c r="U1762">
        <v>0.67230219999999996</v>
      </c>
      <c r="V1762">
        <v>-1.7426620000000001E-3</v>
      </c>
      <c r="W1762">
        <v>-1.459386E-3</v>
      </c>
      <c r="X1762">
        <v>0.99999740000000004</v>
      </c>
      <c r="Y1762">
        <v>0.1275954</v>
      </c>
      <c r="Z1762">
        <v>-5.1653480000000002E-3</v>
      </c>
      <c r="AA1762">
        <v>0.9918129</v>
      </c>
      <c r="AB1762">
        <v>31</v>
      </c>
      <c r="AC1762">
        <v>-0.54439999999996702</v>
      </c>
      <c r="AD1762">
        <v>-0.1147584</v>
      </c>
      <c r="AE1762">
        <v>0.14560000000000101</v>
      </c>
      <c r="AF1762">
        <v>8.8923455606216797E-2</v>
      </c>
      <c r="AG1762">
        <v>-0.1147584</v>
      </c>
      <c r="AH1762">
        <v>0.533738358793445</v>
      </c>
      <c r="AI1762">
        <v>101.97416969158</v>
      </c>
      <c r="AJ1762">
        <v>80.541118044437695</v>
      </c>
      <c r="AK1762">
        <v>0.55313064186955996</v>
      </c>
      <c r="AL1762">
        <v>90.083616689554503</v>
      </c>
      <c r="AM1762">
        <v>90.099847336246199</v>
      </c>
      <c r="AN1762">
        <v>0.99999998334255102</v>
      </c>
    </row>
    <row r="1763" spans="1:40" x14ac:dyDescent="0.25">
      <c r="A1763" t="str">
        <f>"20190312160330909"</f>
        <v>20190312160330909</v>
      </c>
      <c r="B1763" t="str">
        <f>"1552377810906709"</f>
        <v>1552377810906709</v>
      </c>
      <c r="C1763" t="s">
        <v>40</v>
      </c>
      <c r="D1763">
        <v>5.6422730000000003</v>
      </c>
      <c r="E1763">
        <v>0.55143959999999903</v>
      </c>
      <c r="F1763" t="s">
        <v>49</v>
      </c>
      <c r="G1763">
        <v>-255.64320000000001</v>
      </c>
      <c r="H1763">
        <v>0.97915180000000002</v>
      </c>
      <c r="I1763">
        <v>284.7022</v>
      </c>
      <c r="J1763">
        <v>-254.99170000000001</v>
      </c>
      <c r="K1763">
        <v>1.1118779999999999</v>
      </c>
      <c r="L1763">
        <v>284.53149999999999</v>
      </c>
      <c r="M1763">
        <v>-0.99541619999999997</v>
      </c>
      <c r="N1763">
        <v>0</v>
      </c>
      <c r="O1763">
        <v>9.4816730000000002E-2</v>
      </c>
      <c r="P1763">
        <v>-0.99555349999999998</v>
      </c>
      <c r="Q1763">
        <v>-1.383182E-2</v>
      </c>
      <c r="R1763">
        <v>9.3178830000000004E-2</v>
      </c>
      <c r="S1763">
        <v>-2.9432070000000001</v>
      </c>
      <c r="T1763">
        <v>-0.48435289999999998</v>
      </c>
      <c r="U1763">
        <v>0.67248540000000001</v>
      </c>
      <c r="V1763">
        <v>-1.6368050000000001E-3</v>
      </c>
      <c r="W1763">
        <v>-1.325891E-3</v>
      </c>
      <c r="X1763">
        <v>0.99999780000000005</v>
      </c>
      <c r="Y1763">
        <v>0.1288657</v>
      </c>
      <c r="Z1763">
        <v>-4.8481549999999998E-3</v>
      </c>
      <c r="AA1763">
        <v>0.99165020000000004</v>
      </c>
      <c r="AB1763">
        <v>31</v>
      </c>
      <c r="AC1763">
        <v>-0.65149999999999797</v>
      </c>
      <c r="AD1763">
        <v>-0.13272619999999999</v>
      </c>
      <c r="AE1763">
        <v>0.17070000000001001</v>
      </c>
      <c r="AF1763">
        <v>0.10410956684346</v>
      </c>
      <c r="AG1763">
        <v>-0.13272619999999999</v>
      </c>
      <c r="AH1763">
        <v>0.63989889607239603</v>
      </c>
      <c r="AI1763">
        <v>101.570036402432</v>
      </c>
      <c r="AJ1763">
        <v>80.759122786927705</v>
      </c>
      <c r="AK1763">
        <v>0.66175950561321295</v>
      </c>
      <c r="AL1763">
        <v>90.075967979242705</v>
      </c>
      <c r="AM1763">
        <v>90.0937821409549</v>
      </c>
      <c r="AN1763">
        <v>1.0000000185611899</v>
      </c>
    </row>
    <row r="1764" spans="1:40" x14ac:dyDescent="0.25">
      <c r="A1764" t="str">
        <f>"20190312160330921"</f>
        <v>20190312160330921</v>
      </c>
      <c r="B1764" t="str">
        <f>"1552377810916470"</f>
        <v>1552377810916470</v>
      </c>
      <c r="C1764" t="s">
        <v>40</v>
      </c>
      <c r="D1764">
        <v>5.7647449999999996</v>
      </c>
      <c r="E1764">
        <v>0.56606749999999995</v>
      </c>
      <c r="F1764" t="s">
        <v>49</v>
      </c>
      <c r="G1764">
        <v>-255.90610000000001</v>
      </c>
      <c r="H1764">
        <v>0.96176200000000001</v>
      </c>
      <c r="I1764">
        <v>284.74059999999997</v>
      </c>
      <c r="J1764">
        <v>-255.1566</v>
      </c>
      <c r="K1764">
        <v>1.1118779999999999</v>
      </c>
      <c r="L1764">
        <v>284.54590000000002</v>
      </c>
      <c r="M1764">
        <v>-0.99554390000000004</v>
      </c>
      <c r="N1764">
        <v>0</v>
      </c>
      <c r="O1764">
        <v>9.3466240000000006E-2</v>
      </c>
      <c r="P1764">
        <v>-0.99566569999999999</v>
      </c>
      <c r="Q1764">
        <v>-1.3674739999999999E-2</v>
      </c>
      <c r="R1764">
        <v>9.1995049999999995E-2</v>
      </c>
      <c r="S1764">
        <v>-2.943756</v>
      </c>
      <c r="T1764">
        <v>-0.48352000000000001</v>
      </c>
      <c r="U1764">
        <v>0.67254639999999999</v>
      </c>
      <c r="V1764">
        <v>-1.4708659999999999E-3</v>
      </c>
      <c r="W1764">
        <v>-1.1676970000000001E-3</v>
      </c>
      <c r="X1764">
        <v>0.99999819999999995</v>
      </c>
      <c r="Y1764">
        <v>0.1301583</v>
      </c>
      <c r="Z1764">
        <v>-4.5191650000000003E-3</v>
      </c>
      <c r="AA1764">
        <v>0.99148289999999994</v>
      </c>
      <c r="AB1764">
        <v>31</v>
      </c>
      <c r="AC1764">
        <v>-0.74950000000001105</v>
      </c>
      <c r="AD1764">
        <v>-0.150116</v>
      </c>
      <c r="AE1764">
        <v>0.19469999999995399</v>
      </c>
      <c r="AF1764">
        <v>0.119305692561138</v>
      </c>
      <c r="AG1764">
        <v>-0.150116</v>
      </c>
      <c r="AH1764">
        <v>0.73673185492178495</v>
      </c>
      <c r="AI1764">
        <v>101.372671349063</v>
      </c>
      <c r="AJ1764">
        <v>80.801427019189305</v>
      </c>
      <c r="AK1764">
        <v>0.761276879847265</v>
      </c>
      <c r="AL1764">
        <v>90.066904127497295</v>
      </c>
      <c r="AM1764">
        <v>90.084274504948795</v>
      </c>
      <c r="AN1764">
        <v>0.99999996348315601</v>
      </c>
    </row>
    <row r="1765" spans="1:40" x14ac:dyDescent="0.25">
      <c r="A1765" t="str">
        <f>"20190312160330942"</f>
        <v>20190312160330942</v>
      </c>
      <c r="B1765" t="str">
        <f>"1552377810935990"</f>
        <v>1552377810935990</v>
      </c>
      <c r="C1765" t="s">
        <v>40</v>
      </c>
      <c r="D1765">
        <v>5.6781829999999998</v>
      </c>
      <c r="E1765">
        <v>0.56675759999999997</v>
      </c>
      <c r="F1765" t="s">
        <v>49</v>
      </c>
      <c r="G1765">
        <v>-255.90049999999999</v>
      </c>
      <c r="H1765">
        <v>0.95045900000000005</v>
      </c>
      <c r="I1765">
        <v>284.74400000000003</v>
      </c>
      <c r="J1765">
        <v>-255.43289999999999</v>
      </c>
      <c r="K1765">
        <v>1.11188</v>
      </c>
      <c r="L1765">
        <v>284.56950000000001</v>
      </c>
      <c r="M1765">
        <v>-0.99575360000000002</v>
      </c>
      <c r="N1765">
        <v>0</v>
      </c>
      <c r="O1765">
        <v>9.1204789999999994E-2</v>
      </c>
      <c r="P1765">
        <v>-0.99588480000000001</v>
      </c>
      <c r="Q1765">
        <v>-1.3878349999999999E-2</v>
      </c>
      <c r="R1765">
        <v>8.9561119999999994E-2</v>
      </c>
      <c r="S1765">
        <v>-2.9322509999999999</v>
      </c>
      <c r="T1765">
        <v>-0.63656829999999998</v>
      </c>
      <c r="U1765">
        <v>0.77996829999999995</v>
      </c>
      <c r="V1765">
        <v>-1.641574E-3</v>
      </c>
      <c r="W1765">
        <v>-1.3717989999999999E-3</v>
      </c>
      <c r="X1765">
        <v>0.99999769999999999</v>
      </c>
      <c r="Y1765">
        <v>0.16621240000000001</v>
      </c>
      <c r="Z1765">
        <v>-1.6339379999999999E-3</v>
      </c>
      <c r="AA1765">
        <v>0.98608859999999998</v>
      </c>
      <c r="AB1765">
        <v>31</v>
      </c>
      <c r="AC1765">
        <v>-0.46760000000000401</v>
      </c>
      <c r="AD1765">
        <v>-0.16142099999999901</v>
      </c>
      <c r="AE1765">
        <v>0.174500000000023</v>
      </c>
      <c r="AF1765">
        <v>0.118704945322683</v>
      </c>
      <c r="AG1765">
        <v>-0.16142099999999901</v>
      </c>
      <c r="AH1765">
        <v>0.43596392844774301</v>
      </c>
      <c r="AI1765">
        <v>109.659575414473</v>
      </c>
      <c r="AJ1765">
        <v>74.768652635799995</v>
      </c>
      <c r="AK1765">
        <v>0.47980428321624002</v>
      </c>
      <c r="AL1765">
        <v>90.078598318611199</v>
      </c>
      <c r="AM1765">
        <v>90.094055393799906</v>
      </c>
      <c r="AN1765">
        <v>0.99999998830149095</v>
      </c>
    </row>
    <row r="1766" spans="1:40" x14ac:dyDescent="0.25">
      <c r="A1766" t="str">
        <f>"20190312160330965"</f>
        <v>20190312160330965</v>
      </c>
      <c r="B1766" t="str">
        <f>"1552377810956486"</f>
        <v>1552377810956486</v>
      </c>
      <c r="C1766" t="s">
        <v>40</v>
      </c>
      <c r="D1766">
        <v>5.2138400000000003</v>
      </c>
      <c r="E1766">
        <v>0.56480940000000002</v>
      </c>
      <c r="F1766" t="s">
        <v>49</v>
      </c>
      <c r="G1766">
        <v>-256.16590000000002</v>
      </c>
      <c r="H1766">
        <v>0.93542829999999999</v>
      </c>
      <c r="I1766">
        <v>284.76350000000002</v>
      </c>
      <c r="J1766">
        <v>-255.74029999999999</v>
      </c>
      <c r="K1766">
        <v>1.111877</v>
      </c>
      <c r="L1766">
        <v>284.59500000000003</v>
      </c>
      <c r="M1766">
        <v>-0.99598070000000005</v>
      </c>
      <c r="N1766">
        <v>0</v>
      </c>
      <c r="O1766">
        <v>8.8690820000000004E-2</v>
      </c>
      <c r="P1766">
        <v>-0.99610080000000001</v>
      </c>
      <c r="Q1766">
        <v>-1.438071E-2</v>
      </c>
      <c r="R1766">
        <v>8.7044789999999997E-2</v>
      </c>
      <c r="S1766">
        <v>-2.9327999999999999</v>
      </c>
      <c r="T1766">
        <v>-0.70612430000000004</v>
      </c>
      <c r="U1766">
        <v>0.77569580000000005</v>
      </c>
      <c r="V1766">
        <v>-1.6406179999999999E-3</v>
      </c>
      <c r="W1766">
        <v>-1.8738139999999999E-3</v>
      </c>
      <c r="X1766">
        <v>0.99999689999999997</v>
      </c>
      <c r="Y1766">
        <v>0.16685849999999999</v>
      </c>
      <c r="Z1766">
        <v>-1.151029E-3</v>
      </c>
      <c r="AA1766">
        <v>0.98598019999999997</v>
      </c>
      <c r="AB1766">
        <v>31</v>
      </c>
      <c r="AC1766">
        <v>-0.42560000000003101</v>
      </c>
      <c r="AD1766">
        <v>-0.17644869999999899</v>
      </c>
      <c r="AE1766">
        <v>0.16849999999999399</v>
      </c>
      <c r="AF1766">
        <v>0.113257011872581</v>
      </c>
      <c r="AG1766">
        <v>-0.17644869999999899</v>
      </c>
      <c r="AH1766">
        <v>0.38209222695274597</v>
      </c>
      <c r="AI1766">
        <v>113.881615609308</v>
      </c>
      <c r="AJ1766">
        <v>73.489504434400402</v>
      </c>
      <c r="AK1766">
        <v>0.43583914965008003</v>
      </c>
      <c r="AL1766">
        <v>90.107361696469098</v>
      </c>
      <c r="AM1766">
        <v>90.094000694256806</v>
      </c>
      <c r="AN1766">
        <v>1.00000000140796</v>
      </c>
    </row>
    <row r="1767" spans="1:40" x14ac:dyDescent="0.25">
      <c r="A1767" t="str">
        <f>"20190312160330976"</f>
        <v>20190312160330976</v>
      </c>
      <c r="B1767" t="str">
        <f>"1552377810966246"</f>
        <v>1552377810966246</v>
      </c>
      <c r="C1767" t="s">
        <v>40</v>
      </c>
      <c r="D1767">
        <v>5.4239959999999998</v>
      </c>
      <c r="E1767">
        <v>0.56309189999999998</v>
      </c>
      <c r="F1767" t="s">
        <v>49</v>
      </c>
      <c r="G1767">
        <v>-256.44650000000001</v>
      </c>
      <c r="H1767">
        <v>0.95196760000000002</v>
      </c>
      <c r="I1767">
        <v>284.7765</v>
      </c>
      <c r="J1767">
        <v>-255.8965</v>
      </c>
      <c r="K1767">
        <v>1.111872</v>
      </c>
      <c r="L1767">
        <v>284.60759999999999</v>
      </c>
      <c r="M1767">
        <v>-0.99609360000000002</v>
      </c>
      <c r="N1767">
        <v>0</v>
      </c>
      <c r="O1767">
        <v>8.7414190000000003E-2</v>
      </c>
      <c r="P1767">
        <v>-0.99621590000000004</v>
      </c>
      <c r="Q1767">
        <v>-1.5023450000000001E-2</v>
      </c>
      <c r="R1767">
        <v>8.560769E-2</v>
      </c>
      <c r="S1767">
        <v>-2.9362789999999999</v>
      </c>
      <c r="T1767">
        <v>-0.66507019999999994</v>
      </c>
      <c r="U1767">
        <v>0.75375369999999997</v>
      </c>
      <c r="V1767">
        <v>-1.7974950000000001E-3</v>
      </c>
      <c r="W1767">
        <v>-2.5171820000000002E-3</v>
      </c>
      <c r="X1767">
        <v>0.99999519999999997</v>
      </c>
      <c r="Y1767">
        <v>0.16126409999999999</v>
      </c>
      <c r="Z1767">
        <v>-1.424212E-3</v>
      </c>
      <c r="AA1767">
        <v>0.98691030000000002</v>
      </c>
      <c r="AB1767">
        <v>31</v>
      </c>
      <c r="AC1767">
        <v>-0.55000000000001104</v>
      </c>
      <c r="AD1767">
        <v>-0.1599044</v>
      </c>
      <c r="AE1767">
        <v>0.16890000000000699</v>
      </c>
      <c r="AF1767">
        <v>0.111554993574836</v>
      </c>
      <c r="AG1767">
        <v>-0.1599044</v>
      </c>
      <c r="AH1767">
        <v>0.52231473839033804</v>
      </c>
      <c r="AI1767">
        <v>106.667348762175</v>
      </c>
      <c r="AJ1767">
        <v>77.944011464289204</v>
      </c>
      <c r="AK1767">
        <v>0.55751826846356201</v>
      </c>
      <c r="AL1767">
        <v>90.144224059536199</v>
      </c>
      <c r="AM1767">
        <v>90.102989260624796</v>
      </c>
      <c r="AN1767">
        <v>0.99999998360826703</v>
      </c>
    </row>
    <row r="1768" spans="1:40" x14ac:dyDescent="0.25">
      <c r="A1768" t="str">
        <f>"20190312160330997"</f>
        <v>20190312160330997</v>
      </c>
      <c r="B1768" t="str">
        <f>"1552377810986741"</f>
        <v>1552377810986741</v>
      </c>
      <c r="C1768" t="s">
        <v>40</v>
      </c>
      <c r="D1768">
        <v>5.679494</v>
      </c>
      <c r="E1768">
        <v>0.56314529999999996</v>
      </c>
      <c r="F1768" t="s">
        <v>49</v>
      </c>
      <c r="G1768">
        <v>-256.7088</v>
      </c>
      <c r="H1768">
        <v>0.93185910000000005</v>
      </c>
      <c r="I1768">
        <v>284.81139999999999</v>
      </c>
      <c r="J1768">
        <v>-256.17809999999997</v>
      </c>
      <c r="K1768">
        <v>1.1118680000000001</v>
      </c>
      <c r="L1768">
        <v>284.62990000000002</v>
      </c>
      <c r="M1768">
        <v>-0.99629290000000004</v>
      </c>
      <c r="N1768">
        <v>0</v>
      </c>
      <c r="O1768">
        <v>8.5111699999999998E-2</v>
      </c>
      <c r="P1768">
        <v>-0.99639529999999998</v>
      </c>
      <c r="Q1768">
        <v>-1.601313E-2</v>
      </c>
      <c r="R1768">
        <v>8.3307129999999993E-2</v>
      </c>
      <c r="S1768">
        <v>-2.9383539999999999</v>
      </c>
      <c r="T1768">
        <v>-0.65126419999999996</v>
      </c>
      <c r="U1768">
        <v>0.73608399999999996</v>
      </c>
      <c r="V1768">
        <v>-1.7893830000000001E-3</v>
      </c>
      <c r="W1768">
        <v>-3.5066089999999999E-3</v>
      </c>
      <c r="X1768">
        <v>0.99999229999999995</v>
      </c>
      <c r="Y1768">
        <v>0.1578936</v>
      </c>
      <c r="Z1768">
        <v>-1.267333E-3</v>
      </c>
      <c r="AA1768">
        <v>0.98745530000000004</v>
      </c>
      <c r="AB1768">
        <v>31</v>
      </c>
      <c r="AC1768">
        <v>-0.53070000000002404</v>
      </c>
      <c r="AD1768">
        <v>-0.1800089</v>
      </c>
      <c r="AE1768">
        <v>0.18149999999997099</v>
      </c>
      <c r="AF1768">
        <v>0.122999650165961</v>
      </c>
      <c r="AG1768">
        <v>-0.1800089</v>
      </c>
      <c r="AH1768">
        <v>0.49340114247110101</v>
      </c>
      <c r="AI1768">
        <v>109.493905960997</v>
      </c>
      <c r="AJ1768">
        <v>76.002085041284104</v>
      </c>
      <c r="AK1768">
        <v>0.53942265934232603</v>
      </c>
      <c r="AL1768">
        <v>90.2009142979839</v>
      </c>
      <c r="AM1768">
        <v>90.102524773848003</v>
      </c>
      <c r="AN1768">
        <v>1.00000004912874</v>
      </c>
    </row>
    <row r="1769" spans="1:40" x14ac:dyDescent="0.25">
      <c r="A1769" t="str">
        <f>"20190312160331009"</f>
        <v>20190312160331009</v>
      </c>
      <c r="B1769" t="str">
        <f>"1552377811006262"</f>
        <v>1552377811006262</v>
      </c>
      <c r="C1769" t="s">
        <v>40</v>
      </c>
      <c r="D1769">
        <v>5.4539460000000002</v>
      </c>
      <c r="E1769">
        <v>0.56390150000000006</v>
      </c>
      <c r="F1769" t="s">
        <v>49</v>
      </c>
      <c r="G1769">
        <v>-256.98270000000002</v>
      </c>
      <c r="H1769">
        <v>0.93525250000000004</v>
      </c>
      <c r="I1769">
        <v>284.82940000000002</v>
      </c>
      <c r="J1769">
        <v>-256.32810000000001</v>
      </c>
      <c r="K1769">
        <v>1.111866</v>
      </c>
      <c r="L1769">
        <v>284.64150000000001</v>
      </c>
      <c r="M1769">
        <v>-0.99639679999999997</v>
      </c>
      <c r="N1769">
        <v>0</v>
      </c>
      <c r="O1769">
        <v>8.3885089999999995E-2</v>
      </c>
      <c r="P1769">
        <v>-0.99647300000000005</v>
      </c>
      <c r="Q1769">
        <v>-1.6556250000000002E-2</v>
      </c>
      <c r="R1769">
        <v>8.2266350000000002E-2</v>
      </c>
      <c r="S1769">
        <v>-2.939514</v>
      </c>
      <c r="T1769">
        <v>-0.64516200000000001</v>
      </c>
      <c r="U1769">
        <v>0.7292786</v>
      </c>
      <c r="V1769">
        <v>-1.5991229999999901E-3</v>
      </c>
      <c r="W1769">
        <v>-4.0487229999999997E-3</v>
      </c>
      <c r="X1769">
        <v>0.9999905</v>
      </c>
      <c r="Y1769">
        <v>0.15689020000000001</v>
      </c>
      <c r="Z1769">
        <v>-1.1030790000000001E-3</v>
      </c>
      <c r="AA1769">
        <v>0.98761540000000003</v>
      </c>
      <c r="AB1769">
        <v>31</v>
      </c>
      <c r="AC1769">
        <v>-0.65460000000001595</v>
      </c>
      <c r="AD1769">
        <v>-0.17661350000000001</v>
      </c>
      <c r="AE1769">
        <v>0.187900000000013</v>
      </c>
      <c r="AF1769">
        <v>0.123983891231736</v>
      </c>
      <c r="AG1769">
        <v>-0.17661350000000001</v>
      </c>
      <c r="AH1769">
        <v>0.62595829255603097</v>
      </c>
      <c r="AI1769">
        <v>105.47060189836</v>
      </c>
      <c r="AJ1769">
        <v>78.796405365511902</v>
      </c>
      <c r="AK1769">
        <v>0.66210884126922398</v>
      </c>
      <c r="AL1769">
        <v>90.231975379947301</v>
      </c>
      <c r="AM1769">
        <v>90.091623791147597</v>
      </c>
      <c r="AN1769">
        <v>0.999999974721274</v>
      </c>
    </row>
    <row r="1770" spans="1:40" x14ac:dyDescent="0.25">
      <c r="A1770" t="str">
        <f>"20190312160331022"</f>
        <v>20190312160331022</v>
      </c>
      <c r="B1770" t="str">
        <f>"1552377811016022"</f>
        <v>1552377811016022</v>
      </c>
      <c r="C1770" t="s">
        <v>40</v>
      </c>
      <c r="D1770">
        <v>5.4901269999999904</v>
      </c>
      <c r="E1770">
        <v>0.56480039999999998</v>
      </c>
      <c r="F1770" t="s">
        <v>49</v>
      </c>
      <c r="G1770">
        <v>-257.24189999999999</v>
      </c>
      <c r="H1770">
        <v>0.90660209999999997</v>
      </c>
      <c r="I1770">
        <v>284.8691</v>
      </c>
      <c r="J1770">
        <v>-256.52999999999997</v>
      </c>
      <c r="K1770">
        <v>1.111864</v>
      </c>
      <c r="L1770">
        <v>284.65679999999998</v>
      </c>
      <c r="M1770">
        <v>-0.99653460000000005</v>
      </c>
      <c r="N1770">
        <v>0</v>
      </c>
      <c r="O1770">
        <v>8.2234050000000003E-2</v>
      </c>
      <c r="P1770">
        <v>-0.99660629999999994</v>
      </c>
      <c r="Q1770">
        <v>-1.6297430000000002E-2</v>
      </c>
      <c r="R1770">
        <v>8.0688159999999995E-2</v>
      </c>
      <c r="S1770">
        <v>-2.93927</v>
      </c>
      <c r="T1770">
        <v>-0.6604198</v>
      </c>
      <c r="U1770">
        <v>0.73135380000000005</v>
      </c>
      <c r="V1770">
        <v>-1.5276000000000001E-3</v>
      </c>
      <c r="W1770">
        <v>-3.789312E-3</v>
      </c>
      <c r="X1770">
        <v>0.99999170000000004</v>
      </c>
      <c r="Y1770">
        <v>0.1590358</v>
      </c>
      <c r="Z1770">
        <v>-5.3544529999999995E-4</v>
      </c>
      <c r="AA1770">
        <v>0.9872727</v>
      </c>
      <c r="AB1770">
        <v>31</v>
      </c>
      <c r="AC1770">
        <v>-0.71190000000001397</v>
      </c>
      <c r="AD1770">
        <v>-0.205261899999999</v>
      </c>
      <c r="AE1770">
        <v>0.21230000000002699</v>
      </c>
      <c r="AF1770">
        <v>0.14217923980927699</v>
      </c>
      <c r="AG1770">
        <v>-0.205261899999999</v>
      </c>
      <c r="AH1770">
        <v>0.67538610418589196</v>
      </c>
      <c r="AI1770">
        <v>106.562446528603</v>
      </c>
      <c r="AJ1770">
        <v>78.111935653496204</v>
      </c>
      <c r="AK1770">
        <v>0.720065117577397</v>
      </c>
      <c r="AL1770">
        <v>90.217112094398402</v>
      </c>
      <c r="AM1770">
        <v>90.087525691164601</v>
      </c>
      <c r="AN1770">
        <v>1.0000000462580401</v>
      </c>
    </row>
    <row r="1771" spans="1:40" x14ac:dyDescent="0.25">
      <c r="A1771" t="str">
        <f>"20190312160331033"</f>
        <v>20190312160331033</v>
      </c>
      <c r="B1771" t="str">
        <f>"1552377811026757"</f>
        <v>1552377811026757</v>
      </c>
      <c r="C1771" t="s">
        <v>40</v>
      </c>
      <c r="D1771">
        <v>5.571879</v>
      </c>
      <c r="E1771">
        <v>0.56551149999999994</v>
      </c>
      <c r="F1771" t="s">
        <v>49</v>
      </c>
      <c r="G1771">
        <v>-257.2602</v>
      </c>
      <c r="H1771">
        <v>0.94550040000000002</v>
      </c>
      <c r="I1771">
        <v>284.83909999999997</v>
      </c>
      <c r="J1771">
        <v>-256.68639999999999</v>
      </c>
      <c r="K1771">
        <v>1.1118619999999999</v>
      </c>
      <c r="L1771">
        <v>284.66840000000002</v>
      </c>
      <c r="M1771">
        <v>-0.99663930000000001</v>
      </c>
      <c r="N1771">
        <v>0</v>
      </c>
      <c r="O1771">
        <v>8.0954570000000003E-2</v>
      </c>
      <c r="P1771">
        <v>-0.99668129999999999</v>
      </c>
      <c r="Q1771">
        <v>-1.5846030000000001E-2</v>
      </c>
      <c r="R1771">
        <v>7.9848009999999997E-2</v>
      </c>
      <c r="S1771">
        <v>-2.9399109999999999</v>
      </c>
      <c r="T1771">
        <v>-0.66999390000000003</v>
      </c>
      <c r="U1771">
        <v>0.73297119999999905</v>
      </c>
      <c r="V1771">
        <v>-1.089869E-3</v>
      </c>
      <c r="W1771">
        <v>-3.3355580000000002E-3</v>
      </c>
      <c r="X1771">
        <v>0.99999389999999999</v>
      </c>
      <c r="Y1771">
        <v>0.16064349999999999</v>
      </c>
      <c r="Z1771" s="1">
        <v>-8.2928689999999997E-5</v>
      </c>
      <c r="AA1771">
        <v>0.98701249999999996</v>
      </c>
      <c r="AB1771">
        <v>31</v>
      </c>
      <c r="AC1771">
        <v>-0.57380000000000497</v>
      </c>
      <c r="AD1771">
        <v>-0.1663616</v>
      </c>
      <c r="AE1771">
        <v>0.170699999999953</v>
      </c>
      <c r="AF1771">
        <v>0.11481751987441299</v>
      </c>
      <c r="AG1771">
        <v>-0.1663616</v>
      </c>
      <c r="AH1771">
        <v>0.54374577583480099</v>
      </c>
      <c r="AI1771">
        <v>106.66526208119301</v>
      </c>
      <c r="AJ1771">
        <v>78.076563546993199</v>
      </c>
      <c r="AK1771">
        <v>0.58010233025119096</v>
      </c>
      <c r="AL1771">
        <v>90.191113739234794</v>
      </c>
      <c r="AM1771">
        <v>90.062445250113498</v>
      </c>
      <c r="AN1771">
        <v>1.0000000568994001</v>
      </c>
    </row>
    <row r="1772" spans="1:40" x14ac:dyDescent="0.25">
      <c r="A1772" t="str">
        <f>"20190312160331045"</f>
        <v>20190312160331045</v>
      </c>
      <c r="B1772" t="str">
        <f>"1552377811035934"</f>
        <v>1552377811035934</v>
      </c>
      <c r="C1772" t="s">
        <v>40</v>
      </c>
      <c r="D1772">
        <v>5.4696850000000001</v>
      </c>
      <c r="E1772">
        <v>0.56499309999999903</v>
      </c>
      <c r="F1772" t="s">
        <v>49</v>
      </c>
      <c r="G1772">
        <v>-257.52109999999999</v>
      </c>
      <c r="H1772">
        <v>0.92137179999999996</v>
      </c>
      <c r="I1772">
        <v>284.87759999999997</v>
      </c>
      <c r="J1772">
        <v>-256.84879999999998</v>
      </c>
      <c r="K1772">
        <v>1.1118619999999999</v>
      </c>
      <c r="L1772">
        <v>284.68040000000002</v>
      </c>
      <c r="M1772">
        <v>-0.99674620000000003</v>
      </c>
      <c r="N1772">
        <v>0</v>
      </c>
      <c r="O1772">
        <v>7.9626219999999998E-2</v>
      </c>
      <c r="P1772">
        <v>-0.99676730000000002</v>
      </c>
      <c r="Q1772">
        <v>-1.5598539999999999E-2</v>
      </c>
      <c r="R1772">
        <v>7.8816029999999995E-2</v>
      </c>
      <c r="S1772">
        <v>-2.9403380000000001</v>
      </c>
      <c r="T1772">
        <v>-0.67124649999999997</v>
      </c>
      <c r="U1772">
        <v>0.7361145</v>
      </c>
      <c r="V1772">
        <v>-7.9423199999999997E-4</v>
      </c>
      <c r="W1772">
        <v>-3.0864740000000001E-3</v>
      </c>
      <c r="X1772">
        <v>0.99999490000000002</v>
      </c>
      <c r="Y1772">
        <v>0.1628271</v>
      </c>
      <c r="Z1772">
        <v>4.5245890000000002E-4</v>
      </c>
      <c r="AA1772">
        <v>0.98665449999999999</v>
      </c>
      <c r="AB1772">
        <v>31</v>
      </c>
      <c r="AC1772">
        <v>-0.672300000000007</v>
      </c>
      <c r="AD1772">
        <v>-0.1904902</v>
      </c>
      <c r="AE1772">
        <v>0.197199999999952</v>
      </c>
      <c r="AF1772">
        <v>0.13319108513920799</v>
      </c>
      <c r="AG1772">
        <v>-0.1904902</v>
      </c>
      <c r="AH1772">
        <v>0.63865758844014897</v>
      </c>
      <c r="AI1772">
        <v>106.27698969565</v>
      </c>
      <c r="AJ1772">
        <v>78.219895988952601</v>
      </c>
      <c r="AK1772">
        <v>0.67963953440686997</v>
      </c>
      <c r="AL1772">
        <v>90.176842218342202</v>
      </c>
      <c r="AM1772">
        <v>90.045506364068103</v>
      </c>
      <c r="AN1772">
        <v>0.999999978576115</v>
      </c>
    </row>
    <row r="1773" spans="1:40" x14ac:dyDescent="0.25">
      <c r="A1773" t="str">
        <f>"20190312160331065"</f>
        <v>20190312160331065</v>
      </c>
      <c r="B1773" t="str">
        <f>"1552377811056434"</f>
        <v>1552377811056434</v>
      </c>
      <c r="C1773" t="s">
        <v>40</v>
      </c>
      <c r="D1773">
        <v>5.5249579999999998</v>
      </c>
      <c r="E1773">
        <v>0.56447460000000005</v>
      </c>
      <c r="F1773" t="s">
        <v>49</v>
      </c>
      <c r="G1773">
        <v>-257.53829999999999</v>
      </c>
      <c r="H1773">
        <v>0.95684990000000003</v>
      </c>
      <c r="I1773">
        <v>284.85160000000002</v>
      </c>
      <c r="J1773">
        <v>-257.10340000000002</v>
      </c>
      <c r="K1773">
        <v>1.1118600000000001</v>
      </c>
      <c r="L1773">
        <v>284.69850000000002</v>
      </c>
      <c r="M1773">
        <v>-0.99691030000000003</v>
      </c>
      <c r="N1773">
        <v>0</v>
      </c>
      <c r="O1773">
        <v>7.7543669999999995E-2</v>
      </c>
      <c r="P1773">
        <v>-0.99685310000000005</v>
      </c>
      <c r="Q1773">
        <v>-1.583447E-2</v>
      </c>
      <c r="R1773">
        <v>7.7675659999999994E-2</v>
      </c>
      <c r="S1773">
        <v>-2.9417110000000002</v>
      </c>
      <c r="T1773">
        <v>-0.66163139999999998</v>
      </c>
      <c r="U1773">
        <v>0.72937010000000002</v>
      </c>
      <c r="V1773">
        <v>1.5267199999999999E-4</v>
      </c>
      <c r="W1773">
        <v>-3.317534E-3</v>
      </c>
      <c r="X1773">
        <v>0.99999450000000001</v>
      </c>
      <c r="Y1773">
        <v>0.1626611</v>
      </c>
      <c r="Z1773">
        <v>8.8026749999999996E-4</v>
      </c>
      <c r="AA1773">
        <v>0.98668160000000005</v>
      </c>
      <c r="AB1773">
        <v>31</v>
      </c>
      <c r="AC1773">
        <v>-0.43489999999996998</v>
      </c>
      <c r="AD1773">
        <v>-0.15501010000000001</v>
      </c>
      <c r="AE1773">
        <v>0.15309999999999399</v>
      </c>
      <c r="AF1773">
        <v>0.10683656982999</v>
      </c>
      <c r="AG1773">
        <v>-0.15501010000000001</v>
      </c>
      <c r="AH1773">
        <v>0.40022483631344702</v>
      </c>
      <c r="AI1773">
        <v>110.51607427315</v>
      </c>
      <c r="AJ1773">
        <v>75.053888924350701</v>
      </c>
      <c r="AK1773">
        <v>0.44229187575307599</v>
      </c>
      <c r="AL1773">
        <v>90.190081042473807</v>
      </c>
      <c r="AM1773">
        <v>89.991252490706799</v>
      </c>
      <c r="AN1773">
        <v>1.00000001468541</v>
      </c>
    </row>
    <row r="1774" spans="1:40" x14ac:dyDescent="0.25">
      <c r="A1774" t="str">
        <f>"20190312160331076"</f>
        <v>20190312160331076</v>
      </c>
      <c r="B1774" t="str">
        <f>"1552377811066190"</f>
        <v>1552377811066190</v>
      </c>
      <c r="C1774" t="s">
        <v>40</v>
      </c>
      <c r="D1774">
        <v>5.4909819999999998</v>
      </c>
      <c r="E1774">
        <v>0.56404540000000003</v>
      </c>
      <c r="F1774" t="s">
        <v>49</v>
      </c>
      <c r="G1774">
        <v>-257.81</v>
      </c>
      <c r="H1774">
        <v>0.95607920000000002</v>
      </c>
      <c r="I1774">
        <v>284.87209999999999</v>
      </c>
      <c r="J1774">
        <v>-257.26249999999999</v>
      </c>
      <c r="K1774">
        <v>1.111855</v>
      </c>
      <c r="L1774">
        <v>284.70960000000002</v>
      </c>
      <c r="M1774">
        <v>-0.99701090000000003</v>
      </c>
      <c r="N1774">
        <v>0</v>
      </c>
      <c r="O1774">
        <v>7.624148E-2</v>
      </c>
      <c r="P1774">
        <v>-0.9969036</v>
      </c>
      <c r="Q1774">
        <v>-1.626114E-2</v>
      </c>
      <c r="R1774">
        <v>7.6935370000000003E-2</v>
      </c>
      <c r="S1774">
        <v>-2.9428709999999998</v>
      </c>
      <c r="T1774">
        <v>-0.64888919999999894</v>
      </c>
      <c r="U1774">
        <v>0.72253420000000002</v>
      </c>
      <c r="V1774">
        <v>7.1872069999999997E-4</v>
      </c>
      <c r="W1774">
        <v>-3.7414269999999999E-3</v>
      </c>
      <c r="X1774">
        <v>0.99999269999999996</v>
      </c>
      <c r="Y1774">
        <v>0.161764299999999</v>
      </c>
      <c r="Z1774">
        <v>1.044758E-3</v>
      </c>
      <c r="AA1774">
        <v>0.98682890000000001</v>
      </c>
      <c r="AB1774">
        <v>31</v>
      </c>
      <c r="AC1774">
        <v>-0.54750000000001298</v>
      </c>
      <c r="AD1774">
        <v>-0.15577579999999999</v>
      </c>
      <c r="AE1774">
        <v>0.16249999999996501</v>
      </c>
      <c r="AF1774">
        <v>0.11195235235895799</v>
      </c>
      <c r="AG1774">
        <v>-0.15577579999999999</v>
      </c>
      <c r="AH1774">
        <v>0.51963609341780803</v>
      </c>
      <c r="AI1774">
        <v>106.333463698274</v>
      </c>
      <c r="AJ1774">
        <v>77.841819992747403</v>
      </c>
      <c r="AK1774">
        <v>0.55391434233721104</v>
      </c>
      <c r="AL1774">
        <v>90.214368485712399</v>
      </c>
      <c r="AM1774">
        <v>89.958820043718305</v>
      </c>
      <c r="AN1774">
        <v>0.99999995744436398</v>
      </c>
    </row>
    <row r="1775" spans="1:40" x14ac:dyDescent="0.25">
      <c r="A1775" t="str">
        <f>"20190312160331097"</f>
        <v>20190312160331097</v>
      </c>
      <c r="B1775" t="str">
        <f>"1552377811086685"</f>
        <v>1552377811086685</v>
      </c>
      <c r="C1775" t="s">
        <v>40</v>
      </c>
      <c r="D1775">
        <v>5.5397299999999996</v>
      </c>
      <c r="E1775">
        <v>0.56406219999999996</v>
      </c>
      <c r="F1775" t="s">
        <v>49</v>
      </c>
      <c r="G1775">
        <v>-258.07170000000002</v>
      </c>
      <c r="H1775">
        <v>0.93451949999999995</v>
      </c>
      <c r="I1775">
        <v>284.90679999999998</v>
      </c>
      <c r="J1775">
        <v>-257.53890000000001</v>
      </c>
      <c r="K1775">
        <v>1.11185</v>
      </c>
      <c r="L1775">
        <v>284.72829999999999</v>
      </c>
      <c r="M1775">
        <v>-0.99718119999999999</v>
      </c>
      <c r="N1775">
        <v>0</v>
      </c>
      <c r="O1775">
        <v>7.3979089999999997E-2</v>
      </c>
      <c r="P1775">
        <v>-0.99696370000000001</v>
      </c>
      <c r="Q1775">
        <v>-1.6668189999999999E-2</v>
      </c>
      <c r="R1775">
        <v>7.6063640000000002E-2</v>
      </c>
      <c r="S1775">
        <v>-2.94339</v>
      </c>
      <c r="T1775">
        <v>-0.64511640000000003</v>
      </c>
      <c r="U1775">
        <v>0.71713260000000001</v>
      </c>
      <c r="V1775">
        <v>2.1155990000000001E-3</v>
      </c>
      <c r="W1775">
        <v>-4.1416589999999998E-3</v>
      </c>
      <c r="X1775">
        <v>0.99998920000000002</v>
      </c>
      <c r="Y1775">
        <v>0.16221459999999999</v>
      </c>
      <c r="Z1775">
        <v>1.566757E-3</v>
      </c>
      <c r="AA1775">
        <v>0.98675420000000003</v>
      </c>
      <c r="AB1775">
        <v>31</v>
      </c>
      <c r="AC1775">
        <v>-0.53280000000000804</v>
      </c>
      <c r="AD1775">
        <v>-0.1773305</v>
      </c>
      <c r="AE1775">
        <v>0.178499999999985</v>
      </c>
      <c r="AF1775">
        <v>0.12603874987975699</v>
      </c>
      <c r="AG1775">
        <v>-0.1773305</v>
      </c>
      <c r="AH1775">
        <v>0.49522398934663803</v>
      </c>
      <c r="AI1775">
        <v>109.13773217036</v>
      </c>
      <c r="AJ1775">
        <v>75.720888956185604</v>
      </c>
      <c r="AK1775">
        <v>0.54090541902064704</v>
      </c>
      <c r="AL1775">
        <v>90.237300255834498</v>
      </c>
      <c r="AM1775">
        <v>89.878783977871095</v>
      </c>
      <c r="AN1775">
        <v>1.0000000146075201</v>
      </c>
    </row>
    <row r="1776" spans="1:40" x14ac:dyDescent="0.25">
      <c r="A1776" t="str">
        <f>"20190312160331108"</f>
        <v>20190312160331108</v>
      </c>
      <c r="B1776" t="str">
        <f>"1552377811096446"</f>
        <v>1552377811096446</v>
      </c>
      <c r="C1776" t="s">
        <v>40</v>
      </c>
      <c r="D1776">
        <v>5.4725440000000001</v>
      </c>
      <c r="E1776">
        <v>0.56428610000000001</v>
      </c>
      <c r="F1776" t="s">
        <v>49</v>
      </c>
      <c r="G1776">
        <v>-258.34379999999999</v>
      </c>
      <c r="H1776">
        <v>0.93414830000000004</v>
      </c>
      <c r="I1776">
        <v>284.92360000000002</v>
      </c>
      <c r="J1776">
        <v>-257.69290000000001</v>
      </c>
      <c r="K1776">
        <v>1.1118509999999999</v>
      </c>
      <c r="L1776">
        <v>284.73860000000002</v>
      </c>
      <c r="M1776">
        <v>-0.99727399999999999</v>
      </c>
      <c r="N1776">
        <v>0</v>
      </c>
      <c r="O1776">
        <v>7.2719510000000001E-2</v>
      </c>
      <c r="P1776">
        <v>-0.99699629999999995</v>
      </c>
      <c r="Q1776">
        <v>-1.6989069999999998E-2</v>
      </c>
      <c r="R1776">
        <v>7.5565460000000001E-2</v>
      </c>
      <c r="S1776">
        <v>-2.943848</v>
      </c>
      <c r="T1776">
        <v>-0.65023059999999999</v>
      </c>
      <c r="U1776">
        <v>0.71337890000000004</v>
      </c>
      <c r="V1776">
        <v>2.880914E-3</v>
      </c>
      <c r="W1776">
        <v>-4.4588529999999996E-3</v>
      </c>
      <c r="X1776">
        <v>0.99998589999999998</v>
      </c>
      <c r="Y1776">
        <v>0.16217809999999999</v>
      </c>
      <c r="Z1776">
        <v>1.844198E-3</v>
      </c>
      <c r="AA1776">
        <v>0.98675979999999996</v>
      </c>
      <c r="AB1776">
        <v>31</v>
      </c>
      <c r="AC1776">
        <v>-0.65089999999997805</v>
      </c>
      <c r="AD1776">
        <v>-0.17770269999999899</v>
      </c>
      <c r="AE1776">
        <v>0.185000000000002</v>
      </c>
      <c r="AF1776">
        <v>0.128323603762351</v>
      </c>
      <c r="AG1776">
        <v>-0.17770269999999899</v>
      </c>
      <c r="AH1776">
        <v>0.619881206333318</v>
      </c>
      <c r="AI1776">
        <v>105.680505095887</v>
      </c>
      <c r="AJ1776">
        <v>78.304220838469902</v>
      </c>
      <c r="AK1776">
        <v>0.65749365535729398</v>
      </c>
      <c r="AL1776">
        <v>90.255474307300901</v>
      </c>
      <c r="AM1776">
        <v>89.834933915897906</v>
      </c>
      <c r="AN1776">
        <v>0.99999999061718003</v>
      </c>
    </row>
    <row r="1777" spans="1:40" x14ac:dyDescent="0.25">
      <c r="A1777" t="str">
        <f>"20190312160331119"</f>
        <v>20190312160331119</v>
      </c>
      <c r="B1777" t="str">
        <f>"1552377811106205"</f>
        <v>1552377811106205</v>
      </c>
      <c r="C1777" t="s">
        <v>40</v>
      </c>
      <c r="D1777">
        <v>5.5567460000000004</v>
      </c>
      <c r="E1777">
        <v>0.56442709999999996</v>
      </c>
      <c r="F1777" t="s">
        <v>49</v>
      </c>
      <c r="G1777">
        <v>-258.60340000000002</v>
      </c>
      <c r="H1777">
        <v>0.90622910000000001</v>
      </c>
      <c r="I1777">
        <v>284.95920000000001</v>
      </c>
      <c r="J1777">
        <v>-257.8467</v>
      </c>
      <c r="K1777">
        <v>1.1118509999999999</v>
      </c>
      <c r="L1777">
        <v>284.74849999999998</v>
      </c>
      <c r="M1777">
        <v>-0.9973649</v>
      </c>
      <c r="N1777">
        <v>0</v>
      </c>
      <c r="O1777">
        <v>7.1460709999999997E-2</v>
      </c>
      <c r="P1777">
        <v>-0.99704280000000001</v>
      </c>
      <c r="Q1777">
        <v>-1.6983160000000001E-2</v>
      </c>
      <c r="R1777">
        <v>7.4950020000000006E-2</v>
      </c>
      <c r="S1777">
        <v>-2.9437259999999998</v>
      </c>
      <c r="T1777">
        <v>-0.66487059999999998</v>
      </c>
      <c r="U1777">
        <v>0.71276859999999997</v>
      </c>
      <c r="V1777">
        <v>3.525607E-3</v>
      </c>
      <c r="W1777">
        <v>-4.4498360000000004E-3</v>
      </c>
      <c r="X1777">
        <v>0.99998390000000004</v>
      </c>
      <c r="Y1777">
        <v>0.16309580000000001</v>
      </c>
      <c r="Z1777">
        <v>2.2609919999999999E-3</v>
      </c>
      <c r="AA1777">
        <v>0.98660760000000003</v>
      </c>
      <c r="AB1777">
        <v>31</v>
      </c>
      <c r="AC1777">
        <v>-0.75670000000002302</v>
      </c>
      <c r="AD1777">
        <v>-0.2056219</v>
      </c>
      <c r="AE1777">
        <v>0.210700000000031</v>
      </c>
      <c r="AF1777">
        <v>0.14607277517373299</v>
      </c>
      <c r="AG1777">
        <v>-0.2056219</v>
      </c>
      <c r="AH1777">
        <v>0.72045269452209204</v>
      </c>
      <c r="AI1777">
        <v>105.627110865022</v>
      </c>
      <c r="AJ1777">
        <v>78.538568967636706</v>
      </c>
      <c r="AK1777">
        <v>0.76332804641956498</v>
      </c>
      <c r="AL1777">
        <v>90.254957659756599</v>
      </c>
      <c r="AM1777">
        <v>89.797995183378205</v>
      </c>
      <c r="AN1777">
        <v>1.00000001560217</v>
      </c>
    </row>
    <row r="1778" spans="1:40" x14ac:dyDescent="0.25">
      <c r="A1778" t="str">
        <f>"20190312160331133"</f>
        <v>20190312160331133</v>
      </c>
      <c r="B1778" t="str">
        <f>"1552377811126702"</f>
        <v>1552377811126702</v>
      </c>
      <c r="C1778" t="s">
        <v>40</v>
      </c>
      <c r="D1778">
        <v>5.5580790000000002</v>
      </c>
      <c r="E1778">
        <v>0.56457590000000002</v>
      </c>
      <c r="F1778" t="s">
        <v>49</v>
      </c>
      <c r="G1778">
        <v>-258.61709999999999</v>
      </c>
      <c r="H1778">
        <v>0.93635639999999998</v>
      </c>
      <c r="I1778">
        <v>284.93490000000003</v>
      </c>
      <c r="J1778">
        <v>-258.01839999999999</v>
      </c>
      <c r="K1778">
        <v>1.111855</v>
      </c>
      <c r="L1778">
        <v>284.75940000000003</v>
      </c>
      <c r="M1778">
        <v>-0.99746469999999998</v>
      </c>
      <c r="N1778">
        <v>0</v>
      </c>
      <c r="O1778">
        <v>7.0055580000000006E-2</v>
      </c>
      <c r="P1778">
        <v>-0.99709950000000003</v>
      </c>
      <c r="Q1778">
        <v>-1.6973579999999999E-2</v>
      </c>
      <c r="R1778">
        <v>7.4195259999999999E-2</v>
      </c>
      <c r="S1778">
        <v>-2.944</v>
      </c>
      <c r="T1778">
        <v>-0.67076950000000002</v>
      </c>
      <c r="U1778">
        <v>0.71148679999999997</v>
      </c>
      <c r="V1778">
        <v>4.1772679999999996E-3</v>
      </c>
      <c r="W1778">
        <v>-4.4370900000000003E-3</v>
      </c>
      <c r="X1778">
        <v>0.99998140000000002</v>
      </c>
      <c r="Y1778">
        <v>0.16396520000000001</v>
      </c>
      <c r="Z1778">
        <v>2.6867739999999998E-3</v>
      </c>
      <c r="AA1778">
        <v>0.98646250000000002</v>
      </c>
      <c r="AB1778">
        <v>31</v>
      </c>
      <c r="AC1778">
        <v>-0.598700000000007</v>
      </c>
      <c r="AD1778">
        <v>-0.1754986</v>
      </c>
      <c r="AE1778">
        <v>0.17549999999999899</v>
      </c>
      <c r="AF1778">
        <v>0.123361867394931</v>
      </c>
      <c r="AG1778">
        <v>-0.1754986</v>
      </c>
      <c r="AH1778">
        <v>0.56483085505022701</v>
      </c>
      <c r="AI1778">
        <v>106.885900985718</v>
      </c>
      <c r="AJ1778">
        <v>77.679779935752407</v>
      </c>
      <c r="AK1778">
        <v>0.60419517024376701</v>
      </c>
      <c r="AL1778">
        <v>90.254227372440795</v>
      </c>
      <c r="AM1778">
        <v>89.760657114089994</v>
      </c>
      <c r="AN1778">
        <v>0.99999996884078501</v>
      </c>
    </row>
    <row r="1779" spans="1:40" x14ac:dyDescent="0.25">
      <c r="A1779" t="str">
        <f>"20190312160331154"</f>
        <v>20190312160331154</v>
      </c>
      <c r="B1779" t="str">
        <f>"1552377811146728"</f>
        <v>1552377811146728</v>
      </c>
      <c r="C1779" t="s">
        <v>40</v>
      </c>
      <c r="D1779">
        <v>5.533595</v>
      </c>
      <c r="E1779">
        <v>0.56480439999999998</v>
      </c>
      <c r="F1779" t="s">
        <v>49</v>
      </c>
      <c r="G1779">
        <v>-258.87889999999999</v>
      </c>
      <c r="H1779">
        <v>0.91333430000000004</v>
      </c>
      <c r="I1779">
        <v>284.96719999999999</v>
      </c>
      <c r="J1779">
        <v>-258.31979999999999</v>
      </c>
      <c r="K1779">
        <v>1.111855</v>
      </c>
      <c r="L1779">
        <v>284.77800000000002</v>
      </c>
      <c r="M1779">
        <v>-0.99763469999999999</v>
      </c>
      <c r="N1779">
        <v>0</v>
      </c>
      <c r="O1779">
        <v>6.7589650000000001E-2</v>
      </c>
      <c r="P1779">
        <v>-0.99723490000000004</v>
      </c>
      <c r="Q1779">
        <v>-1.6431020000000001E-2</v>
      </c>
      <c r="R1779">
        <v>7.2475040000000004E-2</v>
      </c>
      <c r="S1779">
        <v>-2.9443049999999999</v>
      </c>
      <c r="T1779">
        <v>-0.67949930000000003</v>
      </c>
      <c r="U1779">
        <v>0.70983890000000005</v>
      </c>
      <c r="V1779">
        <v>4.9205500000000001E-3</v>
      </c>
      <c r="W1779">
        <v>-3.8908359999999999E-3</v>
      </c>
      <c r="X1779">
        <v>0.99998030000000004</v>
      </c>
      <c r="Y1779">
        <v>0.165694799999999</v>
      </c>
      <c r="Z1779">
        <v>3.4659130000000002E-3</v>
      </c>
      <c r="AA1779">
        <v>0.98617100000000002</v>
      </c>
      <c r="AB1779">
        <v>31</v>
      </c>
      <c r="AC1779">
        <v>-0.55910000000000004</v>
      </c>
      <c r="AD1779">
        <v>-0.19852069999999999</v>
      </c>
      <c r="AE1779">
        <v>0.189199999999971</v>
      </c>
      <c r="AF1779">
        <v>0.13563199168089499</v>
      </c>
      <c r="AG1779">
        <v>-0.19852069999999999</v>
      </c>
      <c r="AH1779">
        <v>0.51262150879857804</v>
      </c>
      <c r="AI1779">
        <v>110.525041440859</v>
      </c>
      <c r="AJ1779">
        <v>75.179989636935304</v>
      </c>
      <c r="AK1779">
        <v>0.56620430657029397</v>
      </c>
      <c r="AL1779">
        <v>90.222929049535907</v>
      </c>
      <c r="AM1779">
        <v>89.718069973471103</v>
      </c>
      <c r="AN1779">
        <v>0.99999997540258501</v>
      </c>
    </row>
    <row r="1780" spans="1:40" x14ac:dyDescent="0.25">
      <c r="A1780" t="str">
        <f>"20190312160331168"</f>
        <v>20190312160331168</v>
      </c>
      <c r="B1780" t="str">
        <f>"1552377811156488"</f>
        <v>1552377811156488</v>
      </c>
      <c r="C1780" t="s">
        <v>40</v>
      </c>
      <c r="D1780">
        <v>5.4753639999999999</v>
      </c>
      <c r="E1780">
        <v>0.56482569999999999</v>
      </c>
      <c r="F1780" t="s">
        <v>49</v>
      </c>
      <c r="G1780">
        <v>-259.15359999999998</v>
      </c>
      <c r="H1780">
        <v>0.91864509999999999</v>
      </c>
      <c r="I1780">
        <v>284.97789999999998</v>
      </c>
      <c r="J1780">
        <v>-258.50099999999998</v>
      </c>
      <c r="K1780">
        <v>1.111856</v>
      </c>
      <c r="L1780">
        <v>284.78879999999998</v>
      </c>
      <c r="M1780">
        <v>-0.99773409999999996</v>
      </c>
      <c r="N1780">
        <v>0</v>
      </c>
      <c r="O1780">
        <v>6.6107150000000003E-2</v>
      </c>
      <c r="P1780">
        <v>-0.99732739999999998</v>
      </c>
      <c r="Q1780">
        <v>-1.6158659999999998E-2</v>
      </c>
      <c r="R1780">
        <v>7.1252860000000001E-2</v>
      </c>
      <c r="S1780">
        <v>-2.94577</v>
      </c>
      <c r="T1780">
        <v>-0.68274860000000004</v>
      </c>
      <c r="U1780">
        <v>0.70587159999999904</v>
      </c>
      <c r="V1780">
        <v>5.17936E-3</v>
      </c>
      <c r="W1780">
        <v>-3.6172679999999999E-3</v>
      </c>
      <c r="X1780">
        <v>0.99997999999999998</v>
      </c>
      <c r="Y1780">
        <v>0.1657323</v>
      </c>
      <c r="Z1780">
        <v>3.8177279999999998E-3</v>
      </c>
      <c r="AA1780">
        <v>0.98616340000000002</v>
      </c>
      <c r="AB1780">
        <v>31</v>
      </c>
      <c r="AC1780">
        <v>-0.65260000000000595</v>
      </c>
      <c r="AD1780">
        <v>-0.19321089999999999</v>
      </c>
      <c r="AE1780">
        <v>0.18909999999999599</v>
      </c>
      <c r="AF1780">
        <v>0.13465283164505201</v>
      </c>
      <c r="AG1780">
        <v>-0.19321089999999999</v>
      </c>
      <c r="AH1780">
        <v>0.61402188205045305</v>
      </c>
      <c r="AI1780">
        <v>107.085369167035</v>
      </c>
      <c r="AJ1780">
        <v>77.631035504797694</v>
      </c>
      <c r="AK1780">
        <v>0.65763569594846505</v>
      </c>
      <c r="AL1780">
        <v>90.207254650988205</v>
      </c>
      <c r="AM1780">
        <v>89.703241249874196</v>
      </c>
      <c r="AN1780">
        <v>0.99999995539889497</v>
      </c>
    </row>
    <row r="1781" spans="1:40" x14ac:dyDescent="0.25">
      <c r="A1781" t="str">
        <f>"20190312160331186"</f>
        <v>20190312160331186</v>
      </c>
      <c r="B1781" t="str">
        <f>"1552377811176008"</f>
        <v>1552377811176008</v>
      </c>
      <c r="C1781" t="s">
        <v>40</v>
      </c>
      <c r="D1781">
        <v>5.8532710000000003</v>
      </c>
      <c r="E1781">
        <v>0.56532230000000006</v>
      </c>
      <c r="F1781" t="s">
        <v>49</v>
      </c>
      <c r="G1781">
        <v>-259.41660000000002</v>
      </c>
      <c r="H1781">
        <v>0.89801600000000004</v>
      </c>
      <c r="I1781">
        <v>285.00740000000002</v>
      </c>
      <c r="J1781">
        <v>-258.76100000000002</v>
      </c>
      <c r="K1781">
        <v>1.1118619999999999</v>
      </c>
      <c r="L1781">
        <v>284.8039</v>
      </c>
      <c r="M1781">
        <v>-0.9978728</v>
      </c>
      <c r="N1781">
        <v>0</v>
      </c>
      <c r="O1781">
        <v>6.3979170000000002E-2</v>
      </c>
      <c r="P1781">
        <v>-0.99747240000000004</v>
      </c>
      <c r="Q1781">
        <v>-1.5745809999999999E-2</v>
      </c>
      <c r="R1781">
        <v>6.9289539999999997E-2</v>
      </c>
      <c r="S1781">
        <v>-2.9467159999999999</v>
      </c>
      <c r="T1781">
        <v>-0.68847849999999999</v>
      </c>
      <c r="U1781">
        <v>0.70220950000000004</v>
      </c>
      <c r="V1781">
        <v>5.3411209999999999E-3</v>
      </c>
      <c r="W1781">
        <v>-3.2038869999999999E-3</v>
      </c>
      <c r="X1781">
        <v>0.9999806</v>
      </c>
      <c r="Y1781">
        <v>0.1664891</v>
      </c>
      <c r="Z1781">
        <v>4.4157370000000003E-3</v>
      </c>
      <c r="AA1781">
        <v>0.98603339999999995</v>
      </c>
      <c r="AB1781">
        <v>31</v>
      </c>
      <c r="AC1781">
        <v>-0.65560000000004903</v>
      </c>
      <c r="AD1781">
        <v>-0.21384600000000001</v>
      </c>
      <c r="AE1781">
        <v>0.203500000000019</v>
      </c>
      <c r="AF1781">
        <v>0.14688086274057199</v>
      </c>
      <c r="AG1781">
        <v>-0.21384600000000001</v>
      </c>
      <c r="AH1781">
        <v>0.60824954260090003</v>
      </c>
      <c r="AI1781">
        <v>108.868012810721</v>
      </c>
      <c r="AJ1781">
        <v>76.424046341999897</v>
      </c>
      <c r="AK1781">
        <v>0.66126515531186103</v>
      </c>
      <c r="AL1781">
        <v>90.183569517848298</v>
      </c>
      <c r="AM1781">
        <v>89.6939732820138</v>
      </c>
      <c r="AN1781">
        <v>0.99999999642090198</v>
      </c>
    </row>
    <row r="1782" spans="1:40" x14ac:dyDescent="0.25">
      <c r="A1782" t="str">
        <f>"20190312160331199"</f>
        <v>20190312160331199</v>
      </c>
      <c r="B1782" t="str">
        <f>"1552377811186745"</f>
        <v>1552377811186745</v>
      </c>
      <c r="C1782" t="s">
        <v>40</v>
      </c>
      <c r="D1782">
        <v>5.5629289999999996</v>
      </c>
      <c r="E1782">
        <v>0.56534459999999997</v>
      </c>
      <c r="F1782" t="s">
        <v>49</v>
      </c>
      <c r="G1782">
        <v>-259.44139999999999</v>
      </c>
      <c r="H1782">
        <v>0.95189369999999995</v>
      </c>
      <c r="I1782">
        <v>284.9658</v>
      </c>
      <c r="J1782">
        <v>-258.9273</v>
      </c>
      <c r="K1782">
        <v>1.1118619999999999</v>
      </c>
      <c r="L1782">
        <v>284.81310000000002</v>
      </c>
      <c r="M1782">
        <v>-0.99795900000000004</v>
      </c>
      <c r="N1782">
        <v>0</v>
      </c>
      <c r="O1782">
        <v>6.2618510000000002E-2</v>
      </c>
      <c r="P1782">
        <v>-0.99757419999999997</v>
      </c>
      <c r="Q1782">
        <v>-1.5422089999999999E-2</v>
      </c>
      <c r="R1782">
        <v>6.7881479999999994E-2</v>
      </c>
      <c r="S1782">
        <v>-2.948029</v>
      </c>
      <c r="T1782">
        <v>-0.69351099999999999</v>
      </c>
      <c r="U1782">
        <v>0.70001219999999997</v>
      </c>
      <c r="V1782">
        <v>5.291118E-3</v>
      </c>
      <c r="W1782">
        <v>-2.880568E-3</v>
      </c>
      <c r="X1782">
        <v>0.99998189999999998</v>
      </c>
      <c r="Y1782">
        <v>0.1669551</v>
      </c>
      <c r="Z1782">
        <v>4.8089710000000004E-3</v>
      </c>
      <c r="AA1782">
        <v>0.98595279999999996</v>
      </c>
      <c r="AB1782">
        <v>31</v>
      </c>
      <c r="AC1782">
        <v>-0.51409999999998401</v>
      </c>
      <c r="AD1782">
        <v>-0.15996830000000001</v>
      </c>
      <c r="AE1782">
        <v>0.15269999999998099</v>
      </c>
      <c r="AF1782">
        <v>0.110384431826251</v>
      </c>
      <c r="AG1782">
        <v>-0.15996830000000001</v>
      </c>
      <c r="AH1782">
        <v>0.47995118843564599</v>
      </c>
      <c r="AI1782">
        <v>107.994887075516</v>
      </c>
      <c r="AJ1782">
        <v>77.047727730695698</v>
      </c>
      <c r="AK1782">
        <v>0.51781050884979396</v>
      </c>
      <c r="AL1782">
        <v>90.165044609497301</v>
      </c>
      <c r="AM1782">
        <v>89.696838611598196</v>
      </c>
      <c r="AN1782">
        <v>1.0000000469646499</v>
      </c>
    </row>
    <row r="1783" spans="1:40" x14ac:dyDescent="0.25">
      <c r="A1783" t="str">
        <f>"20190312160331212"</f>
        <v>20190312160331212</v>
      </c>
      <c r="B1783" t="str">
        <f>"1552377811206265"</f>
        <v>1552377811206265</v>
      </c>
      <c r="C1783" t="s">
        <v>40</v>
      </c>
      <c r="D1783">
        <v>5.4784810000000004</v>
      </c>
      <c r="E1783">
        <v>0.56539240000000002</v>
      </c>
      <c r="F1783" t="s">
        <v>49</v>
      </c>
      <c r="G1783">
        <v>-259.70269999999999</v>
      </c>
      <c r="H1783">
        <v>0.92893820000000005</v>
      </c>
      <c r="I1783">
        <v>284.99610000000001</v>
      </c>
      <c r="J1783">
        <v>-259.09930000000003</v>
      </c>
      <c r="K1783">
        <v>1.111856</v>
      </c>
      <c r="L1783">
        <v>284.82260000000002</v>
      </c>
      <c r="M1783">
        <v>-0.99804649999999995</v>
      </c>
      <c r="N1783">
        <v>0</v>
      </c>
      <c r="O1783">
        <v>6.1210929999999997E-2</v>
      </c>
      <c r="P1783">
        <v>-0.99767130000000004</v>
      </c>
      <c r="Q1783">
        <v>-1.5174989999999999E-2</v>
      </c>
      <c r="R1783">
        <v>6.649687E-2</v>
      </c>
      <c r="S1783">
        <v>-2.9491879999999999</v>
      </c>
      <c r="T1783">
        <v>-0.69576629999999995</v>
      </c>
      <c r="U1783">
        <v>0.69558719999999996</v>
      </c>
      <c r="V1783">
        <v>5.3121219999999999E-3</v>
      </c>
      <c r="W1783">
        <v>-2.6335159999999998E-3</v>
      </c>
      <c r="X1783">
        <v>0.99998240000000005</v>
      </c>
      <c r="Y1783">
        <v>0.1668077</v>
      </c>
      <c r="Z1783">
        <v>5.1278259999999899E-3</v>
      </c>
      <c r="AA1783">
        <v>0.98597610000000002</v>
      </c>
      <c r="AB1783">
        <v>31</v>
      </c>
      <c r="AC1783">
        <v>-0.60339999999996496</v>
      </c>
      <c r="AD1783">
        <v>-0.18291779999999999</v>
      </c>
      <c r="AE1783">
        <v>0.173499999999989</v>
      </c>
      <c r="AF1783">
        <v>0.125578060686793</v>
      </c>
      <c r="AG1783">
        <v>-0.18291779999999999</v>
      </c>
      <c r="AH1783">
        <v>0.564937728578637</v>
      </c>
      <c r="AI1783">
        <v>107.540153966134</v>
      </c>
      <c r="AJ1783">
        <v>77.467679876921693</v>
      </c>
      <c r="AK1783">
        <v>0.60694596798585498</v>
      </c>
      <c r="AL1783">
        <v>90.150889529937402</v>
      </c>
      <c r="AM1783">
        <v>89.695635335271106</v>
      </c>
      <c r="AN1783">
        <v>0.99999997717821199</v>
      </c>
    </row>
    <row r="1784" spans="1:40" x14ac:dyDescent="0.25">
      <c r="A1784" t="str">
        <f>"20190312160331223"</f>
        <v>20190312160331223</v>
      </c>
      <c r="B1784" t="str">
        <f>"1552377811216025"</f>
        <v>1552377811216025</v>
      </c>
      <c r="C1784" t="s">
        <v>40</v>
      </c>
      <c r="D1784">
        <v>5.593191</v>
      </c>
      <c r="E1784">
        <v>0.56542190000000003</v>
      </c>
      <c r="F1784" t="s">
        <v>49</v>
      </c>
      <c r="G1784">
        <v>-259.96499999999997</v>
      </c>
      <c r="H1784">
        <v>0.90684129999999996</v>
      </c>
      <c r="I1784">
        <v>285.0258</v>
      </c>
      <c r="J1784">
        <v>-259.2627</v>
      </c>
      <c r="K1784">
        <v>1.111855</v>
      </c>
      <c r="L1784">
        <v>284.8313</v>
      </c>
      <c r="M1784">
        <v>-0.99812769999999995</v>
      </c>
      <c r="N1784">
        <v>0</v>
      </c>
      <c r="O1784">
        <v>5.9873280000000001E-2</v>
      </c>
      <c r="P1784">
        <v>-0.99776770000000004</v>
      </c>
      <c r="Q1784">
        <v>-1.483398E-2</v>
      </c>
      <c r="R1784">
        <v>6.5114450000000004E-2</v>
      </c>
      <c r="S1784">
        <v>-2.9502869999999999</v>
      </c>
      <c r="T1784">
        <v>-0.69894429999999996</v>
      </c>
      <c r="U1784">
        <v>0.69143679999999996</v>
      </c>
      <c r="V1784">
        <v>5.2648690000000001E-3</v>
      </c>
      <c r="W1784">
        <v>-2.2928340000000001E-3</v>
      </c>
      <c r="X1784">
        <v>0.99998350000000003</v>
      </c>
      <c r="Y1784">
        <v>0.1666764</v>
      </c>
      <c r="Z1784">
        <v>5.4414110000000002E-3</v>
      </c>
      <c r="AA1784">
        <v>0.98599669999999895</v>
      </c>
      <c r="AB1784">
        <v>31</v>
      </c>
      <c r="AC1784">
        <v>-0.70229999999997905</v>
      </c>
      <c r="AD1784">
        <v>-0.20501369999999999</v>
      </c>
      <c r="AE1784">
        <v>0.194500000000005</v>
      </c>
      <c r="AF1784">
        <v>0.14094367191159499</v>
      </c>
      <c r="AG1784">
        <v>-0.20501369999999999</v>
      </c>
      <c r="AH1784">
        <v>0.66041713413956105</v>
      </c>
      <c r="AI1784">
        <v>106.88796431260199</v>
      </c>
      <c r="AJ1784">
        <v>77.952887290791793</v>
      </c>
      <c r="AK1784">
        <v>0.70572411529203405</v>
      </c>
      <c r="AL1784">
        <v>90.131369827990994</v>
      </c>
      <c r="AM1784">
        <v>89.698343036490499</v>
      </c>
      <c r="AN1784">
        <v>0.999999988102794</v>
      </c>
    </row>
    <row r="1785" spans="1:40" x14ac:dyDescent="0.25">
      <c r="A1785" t="str">
        <f>"20190312160331243"</f>
        <v>20190312160331243</v>
      </c>
      <c r="B1785" t="str">
        <f>"1552377811236521"</f>
        <v>1552377811236521</v>
      </c>
      <c r="C1785" t="s">
        <v>40</v>
      </c>
      <c r="D1785">
        <v>5.5606629999999999</v>
      </c>
      <c r="E1785">
        <v>0.56545349999999905</v>
      </c>
      <c r="F1785" t="s">
        <v>49</v>
      </c>
      <c r="G1785">
        <v>-259.98059999999998</v>
      </c>
      <c r="H1785">
        <v>0.94167880000000004</v>
      </c>
      <c r="I1785">
        <v>284.99869999999999</v>
      </c>
      <c r="J1785">
        <v>-259.51920000000001</v>
      </c>
      <c r="K1785">
        <v>1.111861</v>
      </c>
      <c r="L1785">
        <v>284.84449999999998</v>
      </c>
      <c r="M1785">
        <v>-0.99825120000000001</v>
      </c>
      <c r="N1785">
        <v>0</v>
      </c>
      <c r="O1785">
        <v>5.7774020000000002E-2</v>
      </c>
      <c r="P1785">
        <v>-0.99792780000000003</v>
      </c>
      <c r="Q1785">
        <v>-1.455393E-2</v>
      </c>
      <c r="R1785">
        <v>6.267404E-2</v>
      </c>
      <c r="S1785">
        <v>-2.9514770000000001</v>
      </c>
      <c r="T1785">
        <v>-0.69995680000000005</v>
      </c>
      <c r="U1785">
        <v>0.68704219999999905</v>
      </c>
      <c r="V1785">
        <v>4.9204440000000004E-3</v>
      </c>
      <c r="W1785">
        <v>-2.014633E-3</v>
      </c>
      <c r="X1785">
        <v>0.99998589999999998</v>
      </c>
      <c r="Y1785">
        <v>0.1671926</v>
      </c>
      <c r="Z1785">
        <v>5.9899300000000001E-3</v>
      </c>
      <c r="AA1785">
        <v>0.98590610000000001</v>
      </c>
      <c r="AB1785">
        <v>31</v>
      </c>
      <c r="AC1785">
        <v>-0.461399999999969</v>
      </c>
      <c r="AD1785">
        <v>-0.17018219999999901</v>
      </c>
      <c r="AE1785">
        <v>0.154200000000003</v>
      </c>
      <c r="AF1785">
        <v>0.113405483194913</v>
      </c>
      <c r="AG1785">
        <v>-0.17018219999999901</v>
      </c>
      <c r="AH1785">
        <v>0.418344163765344</v>
      </c>
      <c r="AI1785">
        <v>111.436410948316</v>
      </c>
      <c r="AJ1785">
        <v>74.832670288870801</v>
      </c>
      <c r="AK1785">
        <v>0.46565504847691302</v>
      </c>
      <c r="AL1785">
        <v>90.1154300422278</v>
      </c>
      <c r="AM1785">
        <v>89.718077625567204</v>
      </c>
      <c r="AN1785">
        <v>1.0000000348570399</v>
      </c>
    </row>
    <row r="1786" spans="1:40" x14ac:dyDescent="0.25">
      <c r="A1786" t="str">
        <f>"20190312160331256"</f>
        <v>20190312160331256</v>
      </c>
      <c r="B1786" t="str">
        <f>"1552377811246281"</f>
        <v>1552377811246281</v>
      </c>
      <c r="C1786" t="s">
        <v>40</v>
      </c>
      <c r="D1786">
        <v>5.5999879999999997</v>
      </c>
      <c r="E1786">
        <v>0.565002</v>
      </c>
      <c r="F1786" t="s">
        <v>49</v>
      </c>
      <c r="G1786">
        <v>-260.25040000000001</v>
      </c>
      <c r="H1786">
        <v>0.9368379</v>
      </c>
      <c r="I1786">
        <v>285.01299999999998</v>
      </c>
      <c r="J1786">
        <v>-259.7047</v>
      </c>
      <c r="K1786">
        <v>1.111861</v>
      </c>
      <c r="L1786">
        <v>284.8537</v>
      </c>
      <c r="M1786">
        <v>-0.9983379</v>
      </c>
      <c r="N1786">
        <v>0</v>
      </c>
      <c r="O1786">
        <v>5.6257389999999997E-2</v>
      </c>
      <c r="P1786">
        <v>-0.99803509999999995</v>
      </c>
      <c r="Q1786">
        <v>-1.437752E-2</v>
      </c>
      <c r="R1786">
        <v>6.0986209999999999E-2</v>
      </c>
      <c r="S1786">
        <v>-2.9532470000000002</v>
      </c>
      <c r="T1786">
        <v>-0.70710810000000002</v>
      </c>
      <c r="U1786">
        <v>0.67971800000000004</v>
      </c>
      <c r="V1786">
        <v>4.7476519999999998E-3</v>
      </c>
      <c r="W1786">
        <v>-1.839086E-3</v>
      </c>
      <c r="X1786">
        <v>0.99998710000000002</v>
      </c>
      <c r="Y1786">
        <v>0.16616789999999901</v>
      </c>
      <c r="Z1786">
        <v>6.2800759999999999E-3</v>
      </c>
      <c r="AA1786">
        <v>0.98607750000000005</v>
      </c>
      <c r="AB1786">
        <v>31</v>
      </c>
      <c r="AC1786">
        <v>-0.54570000000000995</v>
      </c>
      <c r="AD1786">
        <v>-0.17502309999999899</v>
      </c>
      <c r="AE1786">
        <v>0.15929999999997299</v>
      </c>
      <c r="AF1786">
        <v>0.11723299944370801</v>
      </c>
      <c r="AG1786">
        <v>-0.17502309999999899</v>
      </c>
      <c r="AH1786">
        <v>0.50584834442295301</v>
      </c>
      <c r="AI1786">
        <v>108.62718990252201</v>
      </c>
      <c r="AJ1786">
        <v>76.951757627882003</v>
      </c>
      <c r="AK1786">
        <v>0.54795913100122795</v>
      </c>
      <c r="AL1786">
        <v>90.1053719189009</v>
      </c>
      <c r="AM1786">
        <v>89.727978112543994</v>
      </c>
      <c r="AN1786">
        <v>1.00000006130161</v>
      </c>
    </row>
    <row r="1787" spans="1:40" x14ac:dyDescent="0.25">
      <c r="A1787" t="str">
        <f>"20190312160331268"</f>
        <v>20190312160331268</v>
      </c>
      <c r="B1787" t="str">
        <f>"1552377811256041"</f>
        <v>1552377811256041</v>
      </c>
      <c r="C1787" t="s">
        <v>40</v>
      </c>
      <c r="D1787">
        <v>5.5433450000000004</v>
      </c>
      <c r="E1787">
        <v>0.565002</v>
      </c>
      <c r="F1787" t="s">
        <v>49</v>
      </c>
      <c r="G1787">
        <v>-260.5147</v>
      </c>
      <c r="H1787">
        <v>0.91906759999999998</v>
      </c>
      <c r="I1787">
        <v>285.0378</v>
      </c>
      <c r="J1787">
        <v>-259.8664</v>
      </c>
      <c r="K1787">
        <v>1.1118589999999999</v>
      </c>
      <c r="L1787">
        <v>284.86149999999998</v>
      </c>
      <c r="M1787">
        <v>-0.99841150000000001</v>
      </c>
      <c r="N1787">
        <v>0</v>
      </c>
      <c r="O1787">
        <v>5.4934700000000003E-2</v>
      </c>
      <c r="P1787">
        <v>-0.99811090000000002</v>
      </c>
      <c r="Q1787">
        <v>-1.4435399999999999E-2</v>
      </c>
      <c r="R1787">
        <v>5.9714910000000003E-2</v>
      </c>
      <c r="S1787">
        <v>-2.9547729999999999</v>
      </c>
      <c r="T1787">
        <v>-0.70330979999999998</v>
      </c>
      <c r="U1787">
        <v>0.67123409999999994</v>
      </c>
      <c r="V1787">
        <v>4.7987719999999998E-3</v>
      </c>
      <c r="W1787">
        <v>-1.8967159999999999E-3</v>
      </c>
      <c r="X1787">
        <v>0.99998670000000001</v>
      </c>
      <c r="Y1787">
        <v>0.16470670000000001</v>
      </c>
      <c r="Z1787">
        <v>6.3818260000000002E-3</v>
      </c>
      <c r="AA1787">
        <v>0.98632189999999997</v>
      </c>
      <c r="AB1787">
        <v>31</v>
      </c>
      <c r="AC1787">
        <v>-0.64830000000000598</v>
      </c>
      <c r="AD1787">
        <v>-0.192791399999999</v>
      </c>
      <c r="AE1787">
        <v>0.17630000000002599</v>
      </c>
      <c r="AF1787">
        <v>0.12973382444200199</v>
      </c>
      <c r="AG1787">
        <v>-0.192791399999999</v>
      </c>
      <c r="AH1787">
        <v>0.60702134140466102</v>
      </c>
      <c r="AI1787">
        <v>107.25417570574101</v>
      </c>
      <c r="AJ1787">
        <v>77.936126114833201</v>
      </c>
      <c r="AK1787">
        <v>0.64998022896009899</v>
      </c>
      <c r="AL1787">
        <v>90.108673885486098</v>
      </c>
      <c r="AM1787">
        <v>89.725049071265005</v>
      </c>
      <c r="AN1787">
        <v>1.0000000129605899</v>
      </c>
    </row>
    <row r="1788" spans="1:40" x14ac:dyDescent="0.25">
      <c r="A1788" t="str">
        <f>"20190312160331280"</f>
        <v>20190312160331280</v>
      </c>
      <c r="B1788" t="str">
        <f>"1552377811276538"</f>
        <v>1552377811276538</v>
      </c>
      <c r="C1788" t="s">
        <v>40</v>
      </c>
      <c r="D1788">
        <v>5.6384249999999998</v>
      </c>
      <c r="E1788">
        <v>0.56488870000000002</v>
      </c>
      <c r="F1788" t="s">
        <v>49</v>
      </c>
      <c r="G1788">
        <v>-260.77629999999999</v>
      </c>
      <c r="H1788">
        <v>0.89531450000000001</v>
      </c>
      <c r="I1788">
        <v>285.06720000000001</v>
      </c>
      <c r="J1788">
        <v>-260.03590000000003</v>
      </c>
      <c r="K1788">
        <v>1.1118589999999999</v>
      </c>
      <c r="L1788">
        <v>284.86939999999998</v>
      </c>
      <c r="M1788">
        <v>-0.99848669999999995</v>
      </c>
      <c r="N1788">
        <v>0</v>
      </c>
      <c r="O1788">
        <v>5.3551429999999997E-2</v>
      </c>
      <c r="P1788">
        <v>-0.99817140000000004</v>
      </c>
      <c r="Q1788">
        <v>-1.464434E-2</v>
      </c>
      <c r="R1788">
        <v>5.8646150000000001E-2</v>
      </c>
      <c r="S1788">
        <v>-2.9555359999999999</v>
      </c>
      <c r="T1788">
        <v>-0.70348049999999995</v>
      </c>
      <c r="U1788">
        <v>0.66757200000000005</v>
      </c>
      <c r="V1788">
        <v>5.1147759999999997E-3</v>
      </c>
      <c r="W1788">
        <v>-2.1040939999999999E-3</v>
      </c>
      <c r="X1788">
        <v>0.99998469999999995</v>
      </c>
      <c r="Y1788">
        <v>0.1648144</v>
      </c>
      <c r="Z1788">
        <v>6.7145269999999996E-3</v>
      </c>
      <c r="AA1788">
        <v>0.98630180000000001</v>
      </c>
      <c r="AB1788">
        <v>31</v>
      </c>
      <c r="AC1788">
        <v>-0.74039999999996498</v>
      </c>
      <c r="AD1788">
        <v>-0.216544499999999</v>
      </c>
      <c r="AE1788">
        <v>0.19780000000002901</v>
      </c>
      <c r="AF1788">
        <v>0.14619157969718199</v>
      </c>
      <c r="AG1788">
        <v>-0.216544499999999</v>
      </c>
      <c r="AH1788">
        <v>0.69448304852568499</v>
      </c>
      <c r="AI1788">
        <v>106.96798483985199</v>
      </c>
      <c r="AJ1788">
        <v>78.112556818163</v>
      </c>
      <c r="AK1788">
        <v>0.74200418000449098</v>
      </c>
      <c r="AL1788">
        <v>90.120555795553699</v>
      </c>
      <c r="AM1788">
        <v>89.706942993842503</v>
      </c>
      <c r="AN1788">
        <v>0.99999999418958996</v>
      </c>
    </row>
    <row r="1789" spans="1:40" x14ac:dyDescent="0.25">
      <c r="A1789" t="str">
        <f>"20190312160331298"</f>
        <v>20190312160331298</v>
      </c>
      <c r="B1789" t="str">
        <f>"1552377811286297"</f>
        <v>1552377811286297</v>
      </c>
      <c r="C1789" t="s">
        <v>40</v>
      </c>
      <c r="D1789">
        <v>5.6480600000000001</v>
      </c>
      <c r="E1789">
        <v>0.56489630000000002</v>
      </c>
      <c r="F1789" t="s">
        <v>49</v>
      </c>
      <c r="G1789">
        <v>-260.7921</v>
      </c>
      <c r="H1789">
        <v>0.93127919999999997</v>
      </c>
      <c r="I1789">
        <v>285.03919999999999</v>
      </c>
      <c r="J1789">
        <v>-260.27999999999997</v>
      </c>
      <c r="K1789">
        <v>1.111861</v>
      </c>
      <c r="L1789">
        <v>284.88049999999998</v>
      </c>
      <c r="M1789">
        <v>-0.99859140000000002</v>
      </c>
      <c r="N1789">
        <v>0</v>
      </c>
      <c r="O1789">
        <v>5.1561969999999999E-2</v>
      </c>
      <c r="P1789">
        <v>-0.99821839999999995</v>
      </c>
      <c r="Q1789">
        <v>-1.499136E-2</v>
      </c>
      <c r="R1789">
        <v>5.7754020000000003E-2</v>
      </c>
      <c r="S1789">
        <v>-2.9562379999999999</v>
      </c>
      <c r="T1789">
        <v>-0.70601119999999995</v>
      </c>
      <c r="U1789">
        <v>0.66323849999999995</v>
      </c>
      <c r="V1789">
        <v>6.2152140000000002E-3</v>
      </c>
      <c r="W1789">
        <v>-2.445876E-3</v>
      </c>
      <c r="X1789">
        <v>0.99997769999999997</v>
      </c>
      <c r="Y1789">
        <v>0.16526579999999999</v>
      </c>
      <c r="Z1789">
        <v>7.2511969999999896E-3</v>
      </c>
      <c r="AA1789">
        <v>0.98622240000000005</v>
      </c>
      <c r="AB1789">
        <v>31</v>
      </c>
      <c r="AC1789">
        <v>-0.51210000000003197</v>
      </c>
      <c r="AD1789">
        <v>-0.18058179999999999</v>
      </c>
      <c r="AE1789">
        <v>0.15870000000001</v>
      </c>
      <c r="AF1789">
        <v>0.118623788831088</v>
      </c>
      <c r="AG1789">
        <v>-0.18058179999999999</v>
      </c>
      <c r="AH1789">
        <v>0.46665878443282</v>
      </c>
      <c r="AI1789">
        <v>110.558067809717</v>
      </c>
      <c r="AJ1789">
        <v>75.737595278804605</v>
      </c>
      <c r="AK1789">
        <v>0.51424878303813204</v>
      </c>
      <c r="AL1789">
        <v>90.140138510918604</v>
      </c>
      <c r="AM1789">
        <v>89.643891113219297</v>
      </c>
      <c r="AN1789">
        <v>1.00000000584588</v>
      </c>
    </row>
    <row r="1790" spans="1:40" x14ac:dyDescent="0.25">
      <c r="A1790" t="str">
        <f>"20190312160331324"</f>
        <v>20190312160331324</v>
      </c>
      <c r="B1790" t="str">
        <f>"1552377811316553"</f>
        <v>1552377811316553</v>
      </c>
      <c r="C1790" t="s">
        <v>40</v>
      </c>
      <c r="D1790">
        <v>5.570989</v>
      </c>
      <c r="E1790">
        <v>0.53653629999999997</v>
      </c>
      <c r="F1790" t="s">
        <v>49</v>
      </c>
      <c r="G1790">
        <v>-261.06110000000001</v>
      </c>
      <c r="H1790">
        <v>0.92438909999999996</v>
      </c>
      <c r="I1790">
        <v>285.05489999999998</v>
      </c>
      <c r="J1790">
        <v>-260.63959999999997</v>
      </c>
      <c r="K1790">
        <v>1.111864</v>
      </c>
      <c r="L1790">
        <v>284.89589999999998</v>
      </c>
      <c r="M1790">
        <v>-0.99873789999999996</v>
      </c>
      <c r="N1790">
        <v>0</v>
      </c>
      <c r="O1790">
        <v>4.8641440000000001E-2</v>
      </c>
      <c r="P1790">
        <v>-0.99829319999999999</v>
      </c>
      <c r="Q1790">
        <v>-1.4907159999999999E-2</v>
      </c>
      <c r="R1790">
        <v>5.6465170000000002E-2</v>
      </c>
      <c r="S1790">
        <v>-2.9565730000000001</v>
      </c>
      <c r="T1790">
        <v>-0.70984360000000002</v>
      </c>
      <c r="U1790">
        <v>0.65908809999999995</v>
      </c>
      <c r="V1790">
        <v>7.8477640000000001E-3</v>
      </c>
      <c r="W1790">
        <v>-2.3541360000000002E-3</v>
      </c>
      <c r="X1790">
        <v>0.99996640000000003</v>
      </c>
      <c r="Y1790">
        <v>0.1666559</v>
      </c>
      <c r="Z1790">
        <v>8.1331690000000009E-3</v>
      </c>
      <c r="AA1790">
        <v>0.98598160000000001</v>
      </c>
      <c r="AB1790">
        <v>31</v>
      </c>
      <c r="AC1790">
        <v>-0.42150000000003701</v>
      </c>
      <c r="AD1790">
        <v>-0.1874749</v>
      </c>
      <c r="AE1790">
        <v>0.15899999999999101</v>
      </c>
      <c r="AF1790">
        <v>0.117890806282135</v>
      </c>
      <c r="AG1790">
        <v>-0.1874749</v>
      </c>
      <c r="AH1790">
        <v>0.36544567846702802</v>
      </c>
      <c r="AI1790">
        <v>116.022917836597</v>
      </c>
      <c r="AJ1790">
        <v>72.120578670421494</v>
      </c>
      <c r="AK1790">
        <v>0.42731209232373502</v>
      </c>
      <c r="AL1790">
        <v>90.134882186473305</v>
      </c>
      <c r="AM1790">
        <v>89.550350367033403</v>
      </c>
      <c r="AN1790">
        <v>0.99999996524253199</v>
      </c>
    </row>
    <row r="1791" spans="1:40" x14ac:dyDescent="0.25">
      <c r="A1791" t="str">
        <f>"20190312160331339"</f>
        <v>20190312160331339</v>
      </c>
      <c r="B1791" t="str">
        <f>"1552377811326313"</f>
        <v>1552377811326313</v>
      </c>
      <c r="C1791" t="s">
        <v>40</v>
      </c>
      <c r="D1791">
        <v>5.5639900000000004</v>
      </c>
      <c r="E1791">
        <v>0.53653629999999997</v>
      </c>
      <c r="F1791" t="s">
        <v>49</v>
      </c>
      <c r="G1791">
        <v>-261.35829999999999</v>
      </c>
      <c r="H1791">
        <v>0.97476770000000001</v>
      </c>
      <c r="I1791">
        <v>285.00130000000001</v>
      </c>
      <c r="J1791">
        <v>-260.82209999999998</v>
      </c>
      <c r="K1791">
        <v>1.1118629999999901</v>
      </c>
      <c r="L1791">
        <v>284.9033</v>
      </c>
      <c r="M1791">
        <v>-0.99880869999999999</v>
      </c>
      <c r="N1791">
        <v>0</v>
      </c>
      <c r="O1791">
        <v>4.7167399999999998E-2</v>
      </c>
      <c r="P1791">
        <v>-0.9983419</v>
      </c>
      <c r="Q1791">
        <v>-1.441071E-2</v>
      </c>
      <c r="R1791">
        <v>5.5731419999999997E-2</v>
      </c>
      <c r="S1791">
        <v>-2.9720460000000002</v>
      </c>
      <c r="T1791">
        <v>-0.5669343</v>
      </c>
      <c r="U1791">
        <v>0.4354248</v>
      </c>
      <c r="V1791">
        <v>8.5857869999999992E-3</v>
      </c>
      <c r="W1791">
        <v>-1.854381E-3</v>
      </c>
      <c r="X1791">
        <v>0.9999614</v>
      </c>
      <c r="Y1791">
        <v>9.7242110000000007E-2</v>
      </c>
      <c r="Z1791">
        <v>2.8273559999999998E-4</v>
      </c>
      <c r="AA1791">
        <v>0.9952607</v>
      </c>
      <c r="AB1791">
        <v>31</v>
      </c>
      <c r="AC1791">
        <v>-0.536200000000008</v>
      </c>
      <c r="AD1791">
        <v>-0.137095299999999</v>
      </c>
      <c r="AE1791">
        <v>9.8000000000013202E-2</v>
      </c>
      <c r="AF1791">
        <v>6.8278547514122795E-2</v>
      </c>
      <c r="AG1791">
        <v>-0.137095299999999</v>
      </c>
      <c r="AH1791">
        <v>0.50808500313006899</v>
      </c>
      <c r="AI1791">
        <v>104.971898256288</v>
      </c>
      <c r="AJ1791">
        <v>82.346211723426805</v>
      </c>
      <c r="AK1791">
        <v>0.53066698760937703</v>
      </c>
      <c r="AL1791">
        <v>90.106248268142195</v>
      </c>
      <c r="AM1791">
        <v>89.508063740405902</v>
      </c>
      <c r="AN1791">
        <v>0.99999997797863105</v>
      </c>
    </row>
    <row r="1792" spans="1:40" x14ac:dyDescent="0.25">
      <c r="A1792" t="str">
        <f>"20190312160331356"</f>
        <v>20190312160331356</v>
      </c>
      <c r="B1792" t="str">
        <f>"1552377811346809"</f>
        <v>1552377811346809</v>
      </c>
      <c r="C1792" t="s">
        <v>40</v>
      </c>
      <c r="D1792">
        <v>5.3756209999999998</v>
      </c>
      <c r="E1792">
        <v>0.49458180000000002</v>
      </c>
      <c r="F1792" t="s">
        <v>49</v>
      </c>
      <c r="G1792">
        <v>-261.62240000000003</v>
      </c>
      <c r="H1792">
        <v>0.9597561</v>
      </c>
      <c r="I1792">
        <v>285.0204</v>
      </c>
      <c r="J1792">
        <v>-261.0564</v>
      </c>
      <c r="K1792">
        <v>1.111864</v>
      </c>
      <c r="L1792">
        <v>284.91239999999999</v>
      </c>
      <c r="M1792">
        <v>-0.99889589999999995</v>
      </c>
      <c r="N1792">
        <v>0</v>
      </c>
      <c r="O1792">
        <v>4.5279890000000003E-2</v>
      </c>
      <c r="P1792">
        <v>-0.99839359999999999</v>
      </c>
      <c r="Q1792">
        <v>-1.358679E-2</v>
      </c>
      <c r="R1792">
        <v>5.5004600000000001E-2</v>
      </c>
      <c r="S1792">
        <v>-2.972626</v>
      </c>
      <c r="T1792">
        <v>-0.56542269999999994</v>
      </c>
      <c r="U1792">
        <v>0.433197</v>
      </c>
      <c r="V1792">
        <v>9.7426079999999998E-3</v>
      </c>
      <c r="W1792">
        <v>-1.0252900000000001E-3</v>
      </c>
      <c r="X1792">
        <v>0.99995199999999995</v>
      </c>
      <c r="Y1792">
        <v>9.8317379999999996E-2</v>
      </c>
      <c r="Z1792">
        <v>7.3591710000000003E-4</v>
      </c>
      <c r="AA1792">
        <v>0.99515489999999995</v>
      </c>
      <c r="AB1792">
        <v>31</v>
      </c>
      <c r="AC1792">
        <v>-0.56600000000003003</v>
      </c>
      <c r="AD1792">
        <v>-0.15210789999999899</v>
      </c>
      <c r="AE1792">
        <v>0.108000000000004</v>
      </c>
      <c r="AF1792">
        <v>7.6900008235589096E-2</v>
      </c>
      <c r="AG1792">
        <v>-0.15210789999999899</v>
      </c>
      <c r="AH1792">
        <v>0.53315695495914694</v>
      </c>
      <c r="AI1792">
        <v>105.768329259246</v>
      </c>
      <c r="AJ1792">
        <v>81.792534033406895</v>
      </c>
      <c r="AK1792">
        <v>0.55973812013329405</v>
      </c>
      <c r="AL1792">
        <v>90.058744800893606</v>
      </c>
      <c r="AM1792">
        <v>89.441780547784305</v>
      </c>
      <c r="AN1792">
        <v>0.99999998596711204</v>
      </c>
    </row>
    <row r="1793" spans="1:40" x14ac:dyDescent="0.25">
      <c r="A1793" t="str">
        <f>"20190312160331378"</f>
        <v>20190312160331378</v>
      </c>
      <c r="B1793" t="str">
        <f>"1552377811366329"</f>
        <v>1552377811366329</v>
      </c>
      <c r="C1793" t="s">
        <v>40</v>
      </c>
      <c r="D1793">
        <v>5.52996</v>
      </c>
      <c r="E1793">
        <v>0.49318139999999999</v>
      </c>
      <c r="F1793" t="s">
        <v>70</v>
      </c>
      <c r="G1793">
        <v>-278.07659999999998</v>
      </c>
      <c r="H1793" s="1">
        <v>2.7198190000000001E-6</v>
      </c>
      <c r="I1793">
        <v>285.56299999999999</v>
      </c>
      <c r="J1793">
        <v>-261.3537</v>
      </c>
      <c r="K1793">
        <v>1.1118669999999999</v>
      </c>
      <c r="L1793">
        <v>284.92340000000002</v>
      </c>
      <c r="M1793">
        <v>-0.99900129999999998</v>
      </c>
      <c r="N1793">
        <v>0</v>
      </c>
      <c r="O1793">
        <v>4.2896379999999998E-2</v>
      </c>
      <c r="P1793">
        <v>-0.99849560000000004</v>
      </c>
      <c r="Q1793">
        <v>-1.298085E-2</v>
      </c>
      <c r="R1793">
        <v>5.327453E-2</v>
      </c>
      <c r="S1793">
        <v>-2.995819</v>
      </c>
      <c r="T1793">
        <v>-0.1957043</v>
      </c>
      <c r="U1793">
        <v>0.11450200000000001</v>
      </c>
      <c r="V1793">
        <v>1.0392500000000001E-2</v>
      </c>
      <c r="W1793">
        <v>-4.1685870000000001E-4</v>
      </c>
      <c r="X1793">
        <v>0.99994590000000005</v>
      </c>
      <c r="Y1793">
        <v>-4.609864E-3</v>
      </c>
      <c r="Z1793">
        <v>-2.9475980000000001E-3</v>
      </c>
      <c r="AA1793">
        <v>0.99998500000000001</v>
      </c>
      <c r="AB1793">
        <v>31</v>
      </c>
      <c r="AC1793">
        <v>-16.7228999999999</v>
      </c>
      <c r="AD1793">
        <v>-1.1118642801809999</v>
      </c>
      <c r="AE1793">
        <v>0.63959999999997297</v>
      </c>
      <c r="AF1793">
        <v>-7.8052235647811496E-2</v>
      </c>
      <c r="AG1793">
        <v>-1.1118642801809999</v>
      </c>
      <c r="AH1793">
        <v>16.661397632202998</v>
      </c>
      <c r="AI1793">
        <v>93.817814223392801</v>
      </c>
      <c r="AJ1793">
        <v>90.268406712885707</v>
      </c>
      <c r="AK1793">
        <v>16.698637830296601</v>
      </c>
      <c r="AL1793">
        <v>90.023884245084801</v>
      </c>
      <c r="AM1793">
        <v>89.404542834983005</v>
      </c>
      <c r="AN1793">
        <v>0.99999999037711795</v>
      </c>
    </row>
    <row r="1794" spans="1:40" x14ac:dyDescent="0.25">
      <c r="A1794" t="str">
        <f>"20190312160331392"</f>
        <v>20190312160331392</v>
      </c>
      <c r="B1794" t="str">
        <f>"1552377811386825"</f>
        <v>1552377811386825</v>
      </c>
      <c r="C1794" t="s">
        <v>40</v>
      </c>
      <c r="D1794">
        <v>4.9482759999999999</v>
      </c>
      <c r="E1794">
        <v>0.49353989999999998</v>
      </c>
      <c r="F1794" t="s">
        <v>79</v>
      </c>
      <c r="G1794">
        <v>-280.74630000000002</v>
      </c>
      <c r="H1794" s="1">
        <v>7.8752509999999999E-6</v>
      </c>
      <c r="I1794">
        <v>285.5652</v>
      </c>
      <c r="J1794">
        <v>-261.54610000000002</v>
      </c>
      <c r="K1794">
        <v>1.1118729999999999</v>
      </c>
      <c r="L1794">
        <v>284.93009999999998</v>
      </c>
      <c r="M1794">
        <v>-0.99906600000000001</v>
      </c>
      <c r="N1794">
        <v>0</v>
      </c>
      <c r="O1794">
        <v>4.1361040000000002E-2</v>
      </c>
      <c r="P1794">
        <v>-0.998556</v>
      </c>
      <c r="Q1794">
        <v>-1.29582E-2</v>
      </c>
      <c r="R1794">
        <v>5.2137860000000001E-2</v>
      </c>
      <c r="S1794">
        <v>-2.9970400000000001</v>
      </c>
      <c r="T1794">
        <v>-0.17183329999999999</v>
      </c>
      <c r="U1794">
        <v>9.9182129999999993E-2</v>
      </c>
      <c r="V1794">
        <v>1.0790799999999901E-2</v>
      </c>
      <c r="W1794">
        <v>-3.9282899999999998E-4</v>
      </c>
      <c r="X1794">
        <v>0.99994170000000004</v>
      </c>
      <c r="Y1794">
        <v>-8.2134189999999996E-3</v>
      </c>
      <c r="Z1794">
        <v>-2.6032870000000001E-3</v>
      </c>
      <c r="AA1794">
        <v>0.99996289999999999</v>
      </c>
      <c r="AB1794">
        <v>30</v>
      </c>
      <c r="AC1794">
        <v>-19.200199999999899</v>
      </c>
      <c r="AD1794">
        <v>-1.1118651247489999</v>
      </c>
      <c r="AE1794">
        <v>0.63510000000002198</v>
      </c>
      <c r="AF1794">
        <v>-0.159112912666665</v>
      </c>
      <c r="AG1794">
        <v>-1.1118651247489999</v>
      </c>
      <c r="AH1794">
        <v>19.1459028317554</v>
      </c>
      <c r="AI1794">
        <v>93.323505631089404</v>
      </c>
      <c r="AJ1794">
        <v>90.476148269063302</v>
      </c>
      <c r="AK1794">
        <v>19.178820511638101</v>
      </c>
      <c r="AL1794">
        <v>90.022507444359604</v>
      </c>
      <c r="AM1794">
        <v>89.3817206551618</v>
      </c>
      <c r="AN1794">
        <v>0.99999999953907603</v>
      </c>
    </row>
    <row r="1795" spans="1:40" x14ac:dyDescent="0.25">
      <c r="A1795" t="str">
        <f>"20190312160331412"</f>
        <v>20190312160331412</v>
      </c>
      <c r="B1795" t="str">
        <f>"1552377811406345"</f>
        <v>1552377811406345</v>
      </c>
      <c r="C1795" t="s">
        <v>40</v>
      </c>
      <c r="D1795">
        <v>5.5653329999999999</v>
      </c>
      <c r="E1795">
        <v>0.49277609999999999</v>
      </c>
      <c r="F1795" t="s">
        <v>79</v>
      </c>
      <c r="G1795">
        <v>-282.02010000000001</v>
      </c>
      <c r="H1795" s="1">
        <v>7.3020809999999996E-6</v>
      </c>
      <c r="I1795">
        <v>285.60539999999997</v>
      </c>
      <c r="J1795">
        <v>-261.82010000000002</v>
      </c>
      <c r="K1795">
        <v>1.1118950000000001</v>
      </c>
      <c r="L1795">
        <v>284.93920000000003</v>
      </c>
      <c r="M1795">
        <v>-0.99915379999999998</v>
      </c>
      <c r="N1795">
        <v>0</v>
      </c>
      <c r="O1795">
        <v>3.9182939999999999E-2</v>
      </c>
      <c r="P1795">
        <v>-0.99864169999999997</v>
      </c>
      <c r="Q1795">
        <v>-1.2699759999999999E-2</v>
      </c>
      <c r="R1795">
        <v>5.0535249999999997E-2</v>
      </c>
      <c r="S1795">
        <v>-2.9970699999999999</v>
      </c>
      <c r="T1795">
        <v>-0.1627596</v>
      </c>
      <c r="U1795">
        <v>9.8846439999999994E-2</v>
      </c>
      <c r="V1795">
        <v>1.1364539999999999E-2</v>
      </c>
      <c r="W1795">
        <v>-1.325252E-4</v>
      </c>
      <c r="X1795">
        <v>0.99993540000000003</v>
      </c>
      <c r="Y1795">
        <v>-6.1602319999999999E-3</v>
      </c>
      <c r="Z1795">
        <v>-2.2922509999999999E-3</v>
      </c>
      <c r="AA1795">
        <v>0.99997840000000005</v>
      </c>
      <c r="AB1795">
        <v>30</v>
      </c>
      <c r="AC1795">
        <v>-20.1999999999999</v>
      </c>
      <c r="AD1795">
        <v>-1.111887697919</v>
      </c>
      <c r="AE1795">
        <v>0.66619999999994595</v>
      </c>
      <c r="AF1795">
        <v>-0.12548917010038299</v>
      </c>
      <c r="AG1795">
        <v>-1.111887697919</v>
      </c>
      <c r="AH1795">
        <v>20.149607102186302</v>
      </c>
      <c r="AI1795">
        <v>93.158408795798593</v>
      </c>
      <c r="AJ1795">
        <v>90.3568261569078</v>
      </c>
      <c r="AK1795">
        <v>20.180651826863102</v>
      </c>
      <c r="AL1795">
        <v>90.007593134758096</v>
      </c>
      <c r="AM1795">
        <v>89.348845790965697</v>
      </c>
      <c r="AN1795">
        <v>0.99999998725274997</v>
      </c>
    </row>
    <row r="1796" spans="1:40" x14ac:dyDescent="0.25">
      <c r="A1796" t="str">
        <f>"20190312160331424"</f>
        <v>20190312160331424</v>
      </c>
      <c r="B1796" t="str">
        <f>"1552377811416105"</f>
        <v>1552377811416105</v>
      </c>
      <c r="C1796" t="s">
        <v>40</v>
      </c>
      <c r="D1796">
        <v>5.505674</v>
      </c>
      <c r="E1796">
        <v>0.49243890000000001</v>
      </c>
      <c r="F1796" t="s">
        <v>79</v>
      </c>
      <c r="G1796">
        <v>-281.43970000000002</v>
      </c>
      <c r="H1796" s="1">
        <v>7.5792119999999997E-6</v>
      </c>
      <c r="I1796">
        <v>285.50970000000001</v>
      </c>
      <c r="J1796">
        <v>-261.99650000000003</v>
      </c>
      <c r="K1796">
        <v>1.1119030000000001</v>
      </c>
      <c r="L1796">
        <v>284.94470000000001</v>
      </c>
      <c r="M1796">
        <v>-0.99920759999999997</v>
      </c>
      <c r="N1796">
        <v>0</v>
      </c>
      <c r="O1796">
        <v>3.7785449999999998E-2</v>
      </c>
      <c r="P1796">
        <v>-0.99869850000000004</v>
      </c>
      <c r="Q1796">
        <v>-1.207165E-2</v>
      </c>
      <c r="R1796">
        <v>4.9556790000000003E-2</v>
      </c>
      <c r="S1796">
        <v>-2.9974980000000002</v>
      </c>
      <c r="T1796">
        <v>-0.16987479999999999</v>
      </c>
      <c r="U1796">
        <v>8.7158200000000005E-2</v>
      </c>
      <c r="V1796">
        <v>1.177985E-2</v>
      </c>
      <c r="W1796">
        <v>4.9716629999999897E-4</v>
      </c>
      <c r="X1796">
        <v>0.99993050000000006</v>
      </c>
      <c r="Y1796">
        <v>-8.6540769999999996E-3</v>
      </c>
      <c r="Z1796">
        <v>-2.3836830000000002E-3</v>
      </c>
      <c r="AA1796">
        <v>0.99995970000000001</v>
      </c>
      <c r="AB1796">
        <v>30</v>
      </c>
      <c r="AC1796">
        <v>-19.443199999999901</v>
      </c>
      <c r="AD1796">
        <v>-1.1118954207879901</v>
      </c>
      <c r="AE1796">
        <v>0.56499999999999695</v>
      </c>
      <c r="AF1796">
        <v>-0.16957696912881801</v>
      </c>
      <c r="AG1796">
        <v>-1.1118954207879901</v>
      </c>
      <c r="AH1796">
        <v>19.387313859331901</v>
      </c>
      <c r="AI1796">
        <v>93.282289406104795</v>
      </c>
      <c r="AJ1796">
        <v>90.501141980539998</v>
      </c>
      <c r="AK1796">
        <v>19.4199126273902</v>
      </c>
      <c r="AL1796">
        <v>89.971514468360596</v>
      </c>
      <c r="AM1796">
        <v>89.325048623442399</v>
      </c>
      <c r="AN1796">
        <v>1.0000000084353</v>
      </c>
    </row>
    <row r="1797" spans="1:40" x14ac:dyDescent="0.25">
      <c r="A1797" t="str">
        <f>"20190312160331438"</f>
        <v>20190312160331438</v>
      </c>
      <c r="B1797" t="str">
        <f>"1552377811425867"</f>
        <v>1552377811425867</v>
      </c>
      <c r="C1797" t="s">
        <v>40</v>
      </c>
      <c r="D1797">
        <v>5.6066949999999904</v>
      </c>
      <c r="E1797">
        <v>0.49264400000000003</v>
      </c>
      <c r="F1797" t="s">
        <v>79</v>
      </c>
      <c r="G1797">
        <v>-281.44970000000001</v>
      </c>
      <c r="H1797" s="1">
        <v>7.5823609999999996E-6</v>
      </c>
      <c r="I1797">
        <v>285.47289999999998</v>
      </c>
      <c r="J1797">
        <v>-262.1705</v>
      </c>
      <c r="K1797">
        <v>1.111909</v>
      </c>
      <c r="L1797">
        <v>284.94990000000001</v>
      </c>
      <c r="M1797">
        <v>-0.99925850000000005</v>
      </c>
      <c r="N1797">
        <v>0</v>
      </c>
      <c r="O1797">
        <v>3.6413279999999999E-2</v>
      </c>
      <c r="P1797">
        <v>-0.99876799999999999</v>
      </c>
      <c r="Q1797">
        <v>-1.1159789999999999E-2</v>
      </c>
      <c r="R1797">
        <v>4.8357490000000003E-2</v>
      </c>
      <c r="S1797">
        <v>-2.9978030000000002</v>
      </c>
      <c r="T1797">
        <v>-0.17134649999999901</v>
      </c>
      <c r="U1797">
        <v>8.1390379999999998E-2</v>
      </c>
      <c r="V1797">
        <v>1.19477E-2</v>
      </c>
      <c r="W1797">
        <v>1.4093560000000001E-3</v>
      </c>
      <c r="X1797">
        <v>0.99992760000000003</v>
      </c>
      <c r="Y1797">
        <v>-9.2063400000000004E-3</v>
      </c>
      <c r="Z1797">
        <v>-2.3416119999999999E-3</v>
      </c>
      <c r="AA1797">
        <v>0.99995489999999998</v>
      </c>
      <c r="AB1797">
        <v>30</v>
      </c>
      <c r="AC1797">
        <v>-19.279199999999999</v>
      </c>
      <c r="AD1797">
        <v>-1.1119014176390001</v>
      </c>
      <c r="AE1797">
        <v>0.52299999999996705</v>
      </c>
      <c r="AF1797">
        <v>-0.17882637123999301</v>
      </c>
      <c r="AG1797">
        <v>-1.1119014176390001</v>
      </c>
      <c r="AH1797">
        <v>19.221569309759701</v>
      </c>
      <c r="AI1797">
        <v>93.310530609021896</v>
      </c>
      <c r="AJ1797">
        <v>90.533031438715</v>
      </c>
      <c r="AK1797">
        <v>19.254532722543399</v>
      </c>
      <c r="AL1797">
        <v>89.919249820176006</v>
      </c>
      <c r="AM1797">
        <v>89.315430226927603</v>
      </c>
      <c r="AN1797">
        <v>0.99999996953069203</v>
      </c>
    </row>
    <row r="1798" spans="1:40" x14ac:dyDescent="0.25">
      <c r="A1798" t="str">
        <f>"20190312160331456"</f>
        <v>20190312160331456</v>
      </c>
      <c r="B1798" t="str">
        <f>"1552377811446375"</f>
        <v>1552377811446375</v>
      </c>
      <c r="C1798" t="s">
        <v>40</v>
      </c>
      <c r="D1798">
        <v>5.6907540000000001</v>
      </c>
      <c r="E1798">
        <v>0.49226029999999998</v>
      </c>
      <c r="F1798" t="s">
        <v>79</v>
      </c>
      <c r="G1798">
        <v>-281.8252</v>
      </c>
      <c r="H1798" s="1">
        <v>7.4164940000000003E-6</v>
      </c>
      <c r="I1798">
        <v>285.4699</v>
      </c>
      <c r="J1798">
        <v>-262.41329999999999</v>
      </c>
      <c r="K1798">
        <v>1.1119220000000001</v>
      </c>
      <c r="L1798">
        <v>284.95679999999999</v>
      </c>
      <c r="M1798">
        <v>-0.9993263</v>
      </c>
      <c r="N1798">
        <v>0</v>
      </c>
      <c r="O1798">
        <v>3.4504390000000003E-2</v>
      </c>
      <c r="P1798">
        <v>-0.9988648</v>
      </c>
      <c r="Q1798">
        <v>-1.0098370000000001E-2</v>
      </c>
      <c r="R1798">
        <v>4.6555399999999997E-2</v>
      </c>
      <c r="S1798">
        <v>-2.997986</v>
      </c>
      <c r="T1798">
        <v>-0.169601799999999</v>
      </c>
      <c r="U1798">
        <v>7.9315189999999994E-2</v>
      </c>
      <c r="V1798">
        <v>1.2048059999999999E-2</v>
      </c>
      <c r="W1798">
        <v>2.4707930000000002E-3</v>
      </c>
      <c r="X1798">
        <v>0.99992440000000005</v>
      </c>
      <c r="Y1798">
        <v>-7.9959850000000006E-3</v>
      </c>
      <c r="Z1798">
        <v>-2.1756729999999999E-3</v>
      </c>
      <c r="AA1798">
        <v>0.99996569999999996</v>
      </c>
      <c r="AB1798">
        <v>30</v>
      </c>
      <c r="AC1798">
        <v>-19.411899999999999</v>
      </c>
      <c r="AD1798">
        <v>-1.11191458350599</v>
      </c>
      <c r="AE1798">
        <v>0.51310000000000799</v>
      </c>
      <c r="AF1798">
        <v>-0.15654047392482001</v>
      </c>
      <c r="AG1798">
        <v>-1.11191458350599</v>
      </c>
      <c r="AH1798">
        <v>19.3545867489673</v>
      </c>
      <c r="AI1798">
        <v>93.287902067890002</v>
      </c>
      <c r="AJ1798">
        <v>90.463399866284902</v>
      </c>
      <c r="AK1798">
        <v>19.387131999970801</v>
      </c>
      <c r="AL1798">
        <v>89.858433849701697</v>
      </c>
      <c r="AM1798">
        <v>89.309678224977205</v>
      </c>
      <c r="AN1798">
        <v>1.0000000331415799</v>
      </c>
    </row>
    <row r="1799" spans="1:40" x14ac:dyDescent="0.25">
      <c r="A1799" t="str">
        <f>"20190312160331469"</f>
        <v>20190312160331469</v>
      </c>
      <c r="B1799" t="str">
        <f>"1552377811456121"</f>
        <v>1552377811456121</v>
      </c>
      <c r="C1799" t="s">
        <v>40</v>
      </c>
      <c r="D1799">
        <v>5.6744209999999997</v>
      </c>
      <c r="E1799">
        <v>0.49258439999999998</v>
      </c>
      <c r="F1799" t="s">
        <v>79</v>
      </c>
      <c r="G1799">
        <v>-282.63799999999998</v>
      </c>
      <c r="H1799" s="1">
        <v>7.0632319999999996E-6</v>
      </c>
      <c r="I1799">
        <v>285.435</v>
      </c>
      <c r="J1799">
        <v>-262.59449999999998</v>
      </c>
      <c r="K1799">
        <v>1.111928</v>
      </c>
      <c r="L1799">
        <v>284.96170000000001</v>
      </c>
      <c r="M1799">
        <v>-0.99937430000000005</v>
      </c>
      <c r="N1799">
        <v>0</v>
      </c>
      <c r="O1799">
        <v>3.3083960000000003E-2</v>
      </c>
      <c r="P1799">
        <v>-0.99892919999999996</v>
      </c>
      <c r="Q1799">
        <v>-9.638743E-3</v>
      </c>
      <c r="R1799">
        <v>4.5248669999999998E-2</v>
      </c>
      <c r="S1799">
        <v>-2.9984440000000001</v>
      </c>
      <c r="T1799">
        <v>-0.1648481</v>
      </c>
      <c r="U1799">
        <v>7.0892330000000003E-2</v>
      </c>
      <c r="V1799">
        <v>1.215888E-2</v>
      </c>
      <c r="W1799">
        <v>2.9304629999999999E-3</v>
      </c>
      <c r="X1799">
        <v>0.99992179999999997</v>
      </c>
      <c r="Y1799">
        <v>-9.3897259999999993E-3</v>
      </c>
      <c r="Z1799">
        <v>-2.0748590000000001E-3</v>
      </c>
      <c r="AA1799">
        <v>0.99995369999999995</v>
      </c>
      <c r="AB1799">
        <v>30</v>
      </c>
      <c r="AC1799">
        <v>-20.043499999999899</v>
      </c>
      <c r="AD1799">
        <v>-1.1119209367680001</v>
      </c>
      <c r="AE1799">
        <v>0.473299999999994</v>
      </c>
      <c r="AF1799">
        <v>-0.18954636309908399</v>
      </c>
      <c r="AG1799">
        <v>-1.1119209367680001</v>
      </c>
      <c r="AH1799">
        <v>19.986710655987299</v>
      </c>
      <c r="AI1799">
        <v>93.184111548707406</v>
      </c>
      <c r="AJ1799">
        <v>90.5433550946222</v>
      </c>
      <c r="AK1799">
        <v>20.018513901874499</v>
      </c>
      <c r="AL1799">
        <v>89.832096600459394</v>
      </c>
      <c r="AM1799">
        <v>89.303327345571802</v>
      </c>
      <c r="AN1799">
        <v>1.0000000160457401</v>
      </c>
    </row>
    <row r="1800" spans="1:40" x14ac:dyDescent="0.25">
      <c r="A1800" t="str">
        <f>"20190312160331481"</f>
        <v>20190312160331481</v>
      </c>
      <c r="B1800" t="str">
        <f>"1552377811476616"</f>
        <v>1552377811476616</v>
      </c>
      <c r="C1800" t="s">
        <v>40</v>
      </c>
      <c r="D1800">
        <v>5.9599099999999998</v>
      </c>
      <c r="E1800">
        <v>0.4930252</v>
      </c>
      <c r="F1800" t="s">
        <v>79</v>
      </c>
      <c r="G1800">
        <v>-282.94119999999998</v>
      </c>
      <c r="H1800" s="1">
        <v>6.9292359999999998E-6</v>
      </c>
      <c r="I1800">
        <v>285.43279999999999</v>
      </c>
      <c r="J1800">
        <v>-262.75549999999998</v>
      </c>
      <c r="K1800">
        <v>1.1119300000000001</v>
      </c>
      <c r="L1800">
        <v>284.9658</v>
      </c>
      <c r="M1800">
        <v>-0.99941519999999995</v>
      </c>
      <c r="N1800">
        <v>0</v>
      </c>
      <c r="O1800">
        <v>3.1828559999999999E-2</v>
      </c>
      <c r="P1800">
        <v>-0.9989789</v>
      </c>
      <c r="Q1800">
        <v>-9.0524219999999992E-3</v>
      </c>
      <c r="R1800">
        <v>4.4263459999999998E-2</v>
      </c>
      <c r="S1800">
        <v>-2.9984739999999999</v>
      </c>
      <c r="T1800">
        <v>-0.16386310000000001</v>
      </c>
      <c r="U1800">
        <v>6.9427489999999994E-2</v>
      </c>
      <c r="V1800">
        <v>1.242592E-2</v>
      </c>
      <c r="W1800">
        <v>3.517446E-3</v>
      </c>
      <c r="X1800">
        <v>0.99991660000000004</v>
      </c>
      <c r="Y1800">
        <v>-8.6258700000000008E-3</v>
      </c>
      <c r="Z1800">
        <v>-1.9731089999999998E-3</v>
      </c>
      <c r="AA1800">
        <v>0.99996079999999998</v>
      </c>
      <c r="AB1800">
        <v>30</v>
      </c>
      <c r="AC1800">
        <v>-20.185700000000001</v>
      </c>
      <c r="AD1800">
        <v>-1.11192307076399</v>
      </c>
      <c r="AE1800">
        <v>0.46699999999998398</v>
      </c>
      <c r="AF1800">
        <v>-0.175237151596699</v>
      </c>
      <c r="AG1800">
        <v>-1.11192307076399</v>
      </c>
      <c r="AH1800">
        <v>20.129290174560801</v>
      </c>
      <c r="AI1800">
        <v>93.161632188976895</v>
      </c>
      <c r="AJ1800">
        <v>90.498780408140206</v>
      </c>
      <c r="AK1800">
        <v>20.160739170632301</v>
      </c>
      <c r="AL1800">
        <v>89.798464772227206</v>
      </c>
      <c r="AM1800">
        <v>89.2880244940567</v>
      </c>
      <c r="AN1800">
        <v>0.99999999143488405</v>
      </c>
    </row>
    <row r="1801" spans="1:40" x14ac:dyDescent="0.25">
      <c r="A1801" t="str">
        <f>"20190312160331494"</f>
        <v>20190312160331494</v>
      </c>
      <c r="B1801" t="str">
        <f>"1552377811486378"</f>
        <v>1552377811486378</v>
      </c>
      <c r="C1801" t="s">
        <v>40</v>
      </c>
      <c r="D1801">
        <v>5.6776720000000003</v>
      </c>
      <c r="E1801">
        <v>0.49327189999999999</v>
      </c>
      <c r="F1801" t="s">
        <v>79</v>
      </c>
      <c r="G1801">
        <v>-283.27640000000002</v>
      </c>
      <c r="H1801" s="1">
        <v>6.7781469999999998E-6</v>
      </c>
      <c r="I1801">
        <v>285.44470000000001</v>
      </c>
      <c r="J1801">
        <v>-262.93270000000001</v>
      </c>
      <c r="K1801">
        <v>1.1119399999999999</v>
      </c>
      <c r="L1801">
        <v>284.97000000000003</v>
      </c>
      <c r="M1801">
        <v>-0.99945799999999996</v>
      </c>
      <c r="N1801">
        <v>0</v>
      </c>
      <c r="O1801">
        <v>3.0449980000000001E-2</v>
      </c>
      <c r="P1801">
        <v>-0.99901910000000005</v>
      </c>
      <c r="Q1801">
        <v>-8.8065709999999991E-3</v>
      </c>
      <c r="R1801">
        <v>4.3397600000000001E-2</v>
      </c>
      <c r="S1801">
        <v>-2.9984739999999999</v>
      </c>
      <c r="T1801">
        <v>-0.16247220000000001</v>
      </c>
      <c r="U1801">
        <v>6.997681E-2</v>
      </c>
      <c r="V1801">
        <v>1.2937280000000001E-2</v>
      </c>
      <c r="W1801">
        <v>3.765399E-3</v>
      </c>
      <c r="X1801">
        <v>0.99990919999999905</v>
      </c>
      <c r="Y1801">
        <v>-7.0687839999999998E-3</v>
      </c>
      <c r="Z1801">
        <v>-1.8396339999999999E-3</v>
      </c>
      <c r="AA1801">
        <v>0.99997329999999995</v>
      </c>
      <c r="AB1801">
        <v>30</v>
      </c>
      <c r="AC1801">
        <v>-20.343699999999998</v>
      </c>
      <c r="AD1801">
        <v>-1.111933221853</v>
      </c>
      <c r="AE1801">
        <v>0.47469999999998402</v>
      </c>
      <c r="AF1801">
        <v>-0.14460214174498501</v>
      </c>
      <c r="AG1801">
        <v>-1.111933221853</v>
      </c>
      <c r="AH1801">
        <v>20.288144321115698</v>
      </c>
      <c r="AI1801">
        <v>93.136994250649806</v>
      </c>
      <c r="AJ1801">
        <v>90.408364215529005</v>
      </c>
      <c r="AK1801">
        <v>20.3191069012315</v>
      </c>
      <c r="AL1801">
        <v>89.784258014960102</v>
      </c>
      <c r="AM1801">
        <v>89.258722508199398</v>
      </c>
      <c r="AN1801">
        <v>0.99999997984403299</v>
      </c>
    </row>
    <row r="1802" spans="1:40" x14ac:dyDescent="0.25">
      <c r="A1802" t="str">
        <f>"20190312160331511"</f>
        <v>20190312160331511</v>
      </c>
      <c r="B1802" t="str">
        <f>"1552377811505897"</f>
        <v>1552377811505897</v>
      </c>
      <c r="C1802" t="s">
        <v>40</v>
      </c>
      <c r="D1802">
        <v>5.7302559999999998</v>
      </c>
      <c r="E1802">
        <v>0.49358269999999999</v>
      </c>
      <c r="F1802" t="s">
        <v>79</v>
      </c>
      <c r="G1802">
        <v>-283.54899999999998</v>
      </c>
      <c r="H1802" s="1">
        <v>6.6570860000000002E-6</v>
      </c>
      <c r="I1802">
        <v>285.44549999999998</v>
      </c>
      <c r="J1802">
        <v>-263.1617</v>
      </c>
      <c r="K1802">
        <v>1.111955</v>
      </c>
      <c r="L1802">
        <v>284.9753</v>
      </c>
      <c r="M1802">
        <v>-0.99951060000000003</v>
      </c>
      <c r="N1802">
        <v>0</v>
      </c>
      <c r="O1802">
        <v>2.8674439999999999E-2</v>
      </c>
      <c r="P1802">
        <v>-0.99904499999999996</v>
      </c>
      <c r="Q1802">
        <v>-7.6169609999999898E-3</v>
      </c>
      <c r="R1802">
        <v>4.3026839999999997E-2</v>
      </c>
      <c r="S1802">
        <v>-2.9985659999999998</v>
      </c>
      <c r="T1802">
        <v>-0.16172639999999999</v>
      </c>
      <c r="U1802">
        <v>6.9152829999999998E-2</v>
      </c>
      <c r="V1802">
        <v>1.4336740000000001E-2</v>
      </c>
      <c r="W1802">
        <v>4.9603420000000004E-3</v>
      </c>
      <c r="X1802">
        <v>0.99988489999999997</v>
      </c>
      <c r="Y1802">
        <v>-5.5729660000000004E-3</v>
      </c>
      <c r="Z1802">
        <v>-1.6952079999999999E-3</v>
      </c>
      <c r="AA1802">
        <v>0.99998299999999996</v>
      </c>
      <c r="AB1802">
        <v>30</v>
      </c>
      <c r="AC1802">
        <v>-20.3873</v>
      </c>
      <c r="AD1802">
        <v>-1.111948342914</v>
      </c>
      <c r="AE1802">
        <v>0.47019999999997703</v>
      </c>
      <c r="AF1802">
        <v>-0.114293673746012</v>
      </c>
      <c r="AG1802">
        <v>-1.111948342914</v>
      </c>
      <c r="AH1802">
        <v>20.331949065791498</v>
      </c>
      <c r="AI1802">
        <v>93.130321592893097</v>
      </c>
      <c r="AJ1802">
        <v>90.322078130970894</v>
      </c>
      <c r="AK1802">
        <v>20.362653190955001</v>
      </c>
      <c r="AL1802">
        <v>89.715792167328004</v>
      </c>
      <c r="AM1802">
        <v>89.178527040308694</v>
      </c>
      <c r="AN1802">
        <v>0.99999998017729697</v>
      </c>
    </row>
    <row r="1803" spans="1:40" x14ac:dyDescent="0.25">
      <c r="A1803" t="str">
        <f>"20190312160331535"</f>
        <v>20190312160331535</v>
      </c>
      <c r="B1803" t="str">
        <f>"1552377811526394"</f>
        <v>1552377811526394</v>
      </c>
      <c r="C1803" t="s">
        <v>40</v>
      </c>
      <c r="D1803">
        <v>5.7979799999999999</v>
      </c>
      <c r="E1803">
        <v>0.49393019999999999</v>
      </c>
      <c r="F1803" t="s">
        <v>79</v>
      </c>
      <c r="G1803">
        <v>-284.13350000000003</v>
      </c>
      <c r="H1803" s="1">
        <v>6.3936790000000004E-6</v>
      </c>
      <c r="I1803">
        <v>285.46589999999998</v>
      </c>
      <c r="J1803">
        <v>-263.46570000000003</v>
      </c>
      <c r="K1803">
        <v>1.1119490000000001</v>
      </c>
      <c r="L1803">
        <v>284.98140000000001</v>
      </c>
      <c r="M1803">
        <v>-0.99957499999999999</v>
      </c>
      <c r="N1803">
        <v>0</v>
      </c>
      <c r="O1803">
        <v>2.6333700000000002E-2</v>
      </c>
      <c r="P1803">
        <v>-0.99908629999999998</v>
      </c>
      <c r="Q1803">
        <v>-5.6644030000000001E-3</v>
      </c>
      <c r="R1803">
        <v>4.2363829999999998E-2</v>
      </c>
      <c r="S1803">
        <v>-2.9986269999999999</v>
      </c>
      <c r="T1803">
        <v>-0.1589912</v>
      </c>
      <c r="U1803">
        <v>7.0159910000000006E-2</v>
      </c>
      <c r="V1803">
        <v>1.600534E-2</v>
      </c>
      <c r="W1803">
        <v>6.9186769999999998E-3</v>
      </c>
      <c r="X1803">
        <v>0.99984790000000001</v>
      </c>
      <c r="Y1803">
        <v>-2.904692E-3</v>
      </c>
      <c r="Z1803">
        <v>-1.471899E-3</v>
      </c>
      <c r="AA1803">
        <v>0.99999470000000001</v>
      </c>
      <c r="AB1803">
        <v>30</v>
      </c>
      <c r="AC1803">
        <v>-20.6678</v>
      </c>
      <c r="AD1803">
        <v>-1.1119426063210001</v>
      </c>
      <c r="AE1803">
        <v>0.48449999999996801</v>
      </c>
      <c r="AF1803">
        <v>-5.9797256719186599E-2</v>
      </c>
      <c r="AG1803">
        <v>-1.1119426063210001</v>
      </c>
      <c r="AH1803">
        <v>20.613757008569198</v>
      </c>
      <c r="AI1803">
        <v>93.087630579957903</v>
      </c>
      <c r="AJ1803">
        <v>90.166205550251107</v>
      </c>
      <c r="AK1803">
        <v>20.643811907688001</v>
      </c>
      <c r="AL1803">
        <v>89.603585818118304</v>
      </c>
      <c r="AM1803">
        <v>89.082900395452796</v>
      </c>
      <c r="AN1803">
        <v>0.999999931067175</v>
      </c>
    </row>
    <row r="1804" spans="1:40" x14ac:dyDescent="0.25">
      <c r="A1804" t="str">
        <f>"20190312160331550"</f>
        <v>20190312160331550</v>
      </c>
      <c r="B1804" t="str">
        <f>"1552377811545913"</f>
        <v>1552377811545913</v>
      </c>
      <c r="C1804" t="s">
        <v>40</v>
      </c>
      <c r="D1804">
        <v>5.6577590000000004</v>
      </c>
      <c r="E1804">
        <v>0.49419609999999897</v>
      </c>
      <c r="F1804" t="s">
        <v>79</v>
      </c>
      <c r="G1804">
        <v>-284.8888</v>
      </c>
      <c r="H1804" s="1">
        <v>6.0549430000000004E-6</v>
      </c>
      <c r="I1804">
        <v>285.48419999999999</v>
      </c>
      <c r="J1804">
        <v>-263.69049999999999</v>
      </c>
      <c r="K1804">
        <v>1.1119429999999999</v>
      </c>
      <c r="L1804">
        <v>284.98570000000001</v>
      </c>
      <c r="M1804">
        <v>-0.99961880000000003</v>
      </c>
      <c r="N1804">
        <v>0</v>
      </c>
      <c r="O1804">
        <v>2.4612249999999999E-2</v>
      </c>
      <c r="P1804">
        <v>-0.99913010000000002</v>
      </c>
      <c r="Q1804">
        <v>-4.8298589999999997E-3</v>
      </c>
      <c r="R1804">
        <v>4.142233E-2</v>
      </c>
      <c r="S1804">
        <v>-2.9988709999999998</v>
      </c>
      <c r="T1804">
        <v>-0.15565300000000001</v>
      </c>
      <c r="U1804">
        <v>7.0373539999999998E-2</v>
      </c>
      <c r="V1804">
        <v>1.6781250000000001E-2</v>
      </c>
      <c r="W1804">
        <v>7.7559809999999899E-3</v>
      </c>
      <c r="X1804">
        <v>0.99982910000000003</v>
      </c>
      <c r="Y1804">
        <v>-1.1196769999999999E-3</v>
      </c>
      <c r="Z1804">
        <v>-1.3053819999999999E-3</v>
      </c>
      <c r="AA1804">
        <v>0.99999850000000001</v>
      </c>
      <c r="AB1804">
        <v>30</v>
      </c>
      <c r="AC1804">
        <v>-21.1983</v>
      </c>
      <c r="AD1804">
        <v>-1.111936945057</v>
      </c>
      <c r="AE1804">
        <v>0.49849999999997802</v>
      </c>
      <c r="AF1804">
        <v>-2.3365467841621999E-2</v>
      </c>
      <c r="AG1804">
        <v>-1.111936945057</v>
      </c>
      <c r="AH1804">
        <v>21.1459980699501</v>
      </c>
      <c r="AI1804">
        <v>93.010055725126406</v>
      </c>
      <c r="AJ1804">
        <v>90.0633094803284</v>
      </c>
      <c r="AK1804">
        <v>21.1752257151891</v>
      </c>
      <c r="AL1804">
        <v>89.555610566092597</v>
      </c>
      <c r="AM1804">
        <v>89.038431139157098</v>
      </c>
      <c r="AN1804">
        <v>0.99999999739982204</v>
      </c>
    </row>
    <row r="1805" spans="1:40" x14ac:dyDescent="0.25">
      <c r="A1805" t="str">
        <f>"20190312160331568"</f>
        <v>20190312160331568</v>
      </c>
      <c r="B1805" t="str">
        <f>"1552377811556649"</f>
        <v>1552377811556649</v>
      </c>
      <c r="C1805" t="s">
        <v>40</v>
      </c>
      <c r="D1805">
        <v>5.7251379999999896</v>
      </c>
      <c r="E1805">
        <v>0.4942822</v>
      </c>
      <c r="F1805" t="s">
        <v>79</v>
      </c>
      <c r="G1805">
        <v>-284.97030000000001</v>
      </c>
      <c r="H1805" s="1">
        <v>6.0197549999999998E-6</v>
      </c>
      <c r="I1805">
        <v>285.4796</v>
      </c>
      <c r="J1805">
        <v>-263.93349999999998</v>
      </c>
      <c r="K1805">
        <v>1.111926</v>
      </c>
      <c r="L1805">
        <v>284.98970000000003</v>
      </c>
      <c r="M1805">
        <v>-0.99966259999999996</v>
      </c>
      <c r="N1805">
        <v>0</v>
      </c>
      <c r="O1805">
        <v>2.276243E-2</v>
      </c>
      <c r="P1805">
        <v>-0.99913169999999996</v>
      </c>
      <c r="Q1805">
        <v>-3.8070920000000002E-3</v>
      </c>
      <c r="R1805">
        <v>4.1493889999999999E-2</v>
      </c>
      <c r="S1805">
        <v>-2.9989620000000001</v>
      </c>
      <c r="T1805">
        <v>-0.15670499999999901</v>
      </c>
      <c r="U1805">
        <v>6.9610599999999995E-2</v>
      </c>
      <c r="V1805">
        <v>1.8698570000000001E-2</v>
      </c>
      <c r="W1805">
        <v>8.7863909999999993E-3</v>
      </c>
      <c r="X1805">
        <v>0.99978659999999997</v>
      </c>
      <c r="Y1805">
        <v>4.7160360000000001E-4</v>
      </c>
      <c r="Z1805">
        <v>-1.1760620000000001E-3</v>
      </c>
      <c r="AA1805">
        <v>0.99999919999999998</v>
      </c>
      <c r="AB1805">
        <v>30</v>
      </c>
      <c r="AC1805">
        <v>-21.036799999999999</v>
      </c>
      <c r="AD1805">
        <v>-1.1119199802449999</v>
      </c>
      <c r="AE1805">
        <v>0.48989999999997702</v>
      </c>
      <c r="AF1805">
        <v>1.0856558480192499E-2</v>
      </c>
      <c r="AG1805">
        <v>-1.1119199802449999</v>
      </c>
      <c r="AH1805">
        <v>20.983908705409199</v>
      </c>
      <c r="AI1805">
        <v>93.033218777894106</v>
      </c>
      <c r="AJ1805">
        <v>89.970356574926797</v>
      </c>
      <c r="AK1805">
        <v>21.013350719584899</v>
      </c>
      <c r="AL1805">
        <v>89.496570421713798</v>
      </c>
      <c r="AM1805">
        <v>88.928547096047495</v>
      </c>
      <c r="AN1805">
        <v>1.0000000413632</v>
      </c>
    </row>
    <row r="1806" spans="1:40" x14ac:dyDescent="0.25">
      <c r="A1806" t="str">
        <f>"20190312160331588"</f>
        <v>20190312160331588</v>
      </c>
      <c r="B1806" t="str">
        <f>"1552377811576169"</f>
        <v>1552377811576169</v>
      </c>
      <c r="C1806" t="s">
        <v>40</v>
      </c>
      <c r="D1806">
        <v>5.8612089999999997</v>
      </c>
      <c r="E1806">
        <v>0.49443120000000002</v>
      </c>
      <c r="F1806" t="s">
        <v>79</v>
      </c>
      <c r="G1806">
        <v>-285.39729999999997</v>
      </c>
      <c r="H1806" s="1">
        <v>5.82777799999999E-6</v>
      </c>
      <c r="I1806">
        <v>285.4923</v>
      </c>
      <c r="J1806">
        <v>-264.2081</v>
      </c>
      <c r="K1806">
        <v>1.1118980000000001</v>
      </c>
      <c r="L1806">
        <v>284.99380000000002</v>
      </c>
      <c r="M1806">
        <v>-0.99970780000000004</v>
      </c>
      <c r="N1806">
        <v>0</v>
      </c>
      <c r="O1806">
        <v>2.068803E-2</v>
      </c>
      <c r="P1806">
        <v>-0.99911740000000004</v>
      </c>
      <c r="Q1806">
        <v>-4.3191519999999997E-3</v>
      </c>
      <c r="R1806">
        <v>4.1785070000000001E-2</v>
      </c>
      <c r="S1806">
        <v>-2.9991150000000002</v>
      </c>
      <c r="T1806">
        <v>-0.15536730000000001</v>
      </c>
      <c r="U1806">
        <v>7.0220950000000004E-2</v>
      </c>
      <c r="V1806">
        <v>2.1067039999999999E-2</v>
      </c>
      <c r="W1806">
        <v>8.2828680000000005E-3</v>
      </c>
      <c r="X1806">
        <v>0.99974379999999996</v>
      </c>
      <c r="Y1806">
        <v>2.742534E-3</v>
      </c>
      <c r="Z1806">
        <v>-9.9984719999999996E-4</v>
      </c>
      <c r="AA1806">
        <v>0.99999579999999999</v>
      </c>
      <c r="AB1806">
        <v>30</v>
      </c>
      <c r="AC1806">
        <v>-21.1891999999999</v>
      </c>
      <c r="AD1806">
        <v>-1.1118921722220001</v>
      </c>
      <c r="AE1806">
        <v>0.49849999999997802</v>
      </c>
      <c r="AF1806">
        <v>5.9831563211613203E-2</v>
      </c>
      <c r="AG1806">
        <v>-1.1118921722220001</v>
      </c>
      <c r="AH1806">
        <v>21.136808662775099</v>
      </c>
      <c r="AI1806">
        <v>93.011230726086097</v>
      </c>
      <c r="AJ1806">
        <v>89.837814357301099</v>
      </c>
      <c r="AK1806">
        <v>21.166118313601299</v>
      </c>
      <c r="AL1806">
        <v>89.5254212165095</v>
      </c>
      <c r="AM1806">
        <v>88.792816856208404</v>
      </c>
      <c r="AN1806">
        <v>1.00000004585755</v>
      </c>
    </row>
    <row r="1807" spans="1:40" x14ac:dyDescent="0.25">
      <c r="A1807" t="str">
        <f>"20190312160331600"</f>
        <v>20190312160331600</v>
      </c>
      <c r="B1807" t="str">
        <f>"1552377811596666"</f>
        <v>1552377811596666</v>
      </c>
      <c r="C1807" t="s">
        <v>40</v>
      </c>
      <c r="D1807">
        <v>5.8678800000000004</v>
      </c>
      <c r="E1807">
        <v>0.49452750000000001</v>
      </c>
      <c r="F1807" t="s">
        <v>79</v>
      </c>
      <c r="G1807">
        <v>-285.07100000000003</v>
      </c>
      <c r="H1807" s="1">
        <v>5.9720840000000004E-6</v>
      </c>
      <c r="I1807">
        <v>285.49419999999998</v>
      </c>
      <c r="J1807">
        <v>-264.37540000000001</v>
      </c>
      <c r="K1807">
        <v>1.111883</v>
      </c>
      <c r="L1807">
        <v>284.99599999999998</v>
      </c>
      <c r="M1807">
        <v>-0.99973290000000004</v>
      </c>
      <c r="N1807">
        <v>0</v>
      </c>
      <c r="O1807">
        <v>1.943551E-2</v>
      </c>
      <c r="P1807">
        <v>-0.99910639999999995</v>
      </c>
      <c r="Q1807">
        <v>-5.102405E-3</v>
      </c>
      <c r="R1807">
        <v>4.1954169999999999E-2</v>
      </c>
      <c r="S1807">
        <v>-2.998993</v>
      </c>
      <c r="T1807">
        <v>-0.15983220000000001</v>
      </c>
      <c r="U1807">
        <v>7.1929930000000003E-2</v>
      </c>
      <c r="V1807">
        <v>2.2492439999999999E-2</v>
      </c>
      <c r="W1807">
        <v>7.5046959999999999E-3</v>
      </c>
      <c r="X1807">
        <v>0.99971880000000002</v>
      </c>
      <c r="Y1807">
        <v>4.562923E-3</v>
      </c>
      <c r="Z1807">
        <v>-9.1342259999999998E-4</v>
      </c>
      <c r="AA1807">
        <v>0.99998920000000002</v>
      </c>
      <c r="AB1807">
        <v>30</v>
      </c>
      <c r="AC1807">
        <v>-20.695599999999899</v>
      </c>
      <c r="AD1807">
        <v>-1.111877027916</v>
      </c>
      <c r="AE1807">
        <v>0.49819999999999698</v>
      </c>
      <c r="AF1807">
        <v>9.5569193125738597E-2</v>
      </c>
      <c r="AG1807">
        <v>-1.111877027916</v>
      </c>
      <c r="AH1807">
        <v>20.6418275841216</v>
      </c>
      <c r="AI1807">
        <v>93.083238322043002</v>
      </c>
      <c r="AJ1807">
        <v>89.7347292883656</v>
      </c>
      <c r="AK1807">
        <v>20.671972571781499</v>
      </c>
      <c r="AL1807">
        <v>89.570008536906798</v>
      </c>
      <c r="AM1807">
        <v>88.711133069626001</v>
      </c>
      <c r="AN1807">
        <v>0.99999995469632197</v>
      </c>
    </row>
    <row r="1808" spans="1:40" x14ac:dyDescent="0.25">
      <c r="A1808" t="str">
        <f>"20190312160331612"</f>
        <v>20190312160331612</v>
      </c>
      <c r="B1808" t="str">
        <f>"1552377811606426"</f>
        <v>1552377811606426</v>
      </c>
      <c r="C1808" t="s">
        <v>40</v>
      </c>
      <c r="D1808">
        <v>5.6039289999999999</v>
      </c>
      <c r="E1808">
        <v>0.49444369999999999</v>
      </c>
      <c r="F1808" t="s">
        <v>79</v>
      </c>
      <c r="G1808">
        <v>-284.68259999999998</v>
      </c>
      <c r="H1808" s="1">
        <v>6.1452720000000003E-6</v>
      </c>
      <c r="I1808">
        <v>285.48970000000003</v>
      </c>
      <c r="J1808">
        <v>-264.53739999999999</v>
      </c>
      <c r="K1808">
        <v>1.1118699999999999</v>
      </c>
      <c r="L1808">
        <v>284.99799999999999</v>
      </c>
      <c r="M1808">
        <v>-0.99975570000000002</v>
      </c>
      <c r="N1808">
        <v>0</v>
      </c>
      <c r="O1808">
        <v>1.822679E-2</v>
      </c>
      <c r="P1808">
        <v>-0.99909930000000002</v>
      </c>
      <c r="Q1808">
        <v>-5.7847410000000004E-3</v>
      </c>
      <c r="R1808">
        <v>4.2040889999999997E-2</v>
      </c>
      <c r="S1808">
        <v>-2.9988100000000002</v>
      </c>
      <c r="T1808">
        <v>-0.1641936</v>
      </c>
      <c r="U1808">
        <v>7.2906490000000004E-2</v>
      </c>
      <c r="V1808">
        <v>2.3791530000000002E-2</v>
      </c>
      <c r="W1808">
        <v>6.8266500000000001E-3</v>
      </c>
      <c r="X1808">
        <v>0.99969359999999996</v>
      </c>
      <c r="Y1808">
        <v>6.0959200000000003E-3</v>
      </c>
      <c r="Z1808">
        <v>-8.3032220000000005E-4</v>
      </c>
      <c r="AA1808">
        <v>0.99998100000000001</v>
      </c>
      <c r="AB1808">
        <v>30</v>
      </c>
      <c r="AC1808">
        <v>-20.1451999999999</v>
      </c>
      <c r="AD1808">
        <v>-1.111863854728</v>
      </c>
      <c r="AE1808">
        <v>0.491700000000037</v>
      </c>
      <c r="AF1808">
        <v>0.124029676429758</v>
      </c>
      <c r="AG1808">
        <v>-1.111863854728</v>
      </c>
      <c r="AH1808">
        <v>20.089654832251298</v>
      </c>
      <c r="AI1808">
        <v>93.167748332768198</v>
      </c>
      <c r="AJ1808">
        <v>89.646271338829294</v>
      </c>
      <c r="AK1808">
        <v>20.120781691352999</v>
      </c>
      <c r="AL1808">
        <v>89.608858715756199</v>
      </c>
      <c r="AM1808">
        <v>88.6366852920127</v>
      </c>
      <c r="AN1808">
        <v>0.99999996696546101</v>
      </c>
    </row>
    <row r="1809" spans="1:40" x14ac:dyDescent="0.25">
      <c r="A1809" t="str">
        <f>"20190312160331624"</f>
        <v>20190312160331624</v>
      </c>
      <c r="B1809" t="str">
        <f>"1552377811616185"</f>
        <v>1552377811616185</v>
      </c>
      <c r="C1809" t="s">
        <v>40</v>
      </c>
      <c r="D1809">
        <v>5.7703670000000002</v>
      </c>
      <c r="E1809">
        <v>0.49444369999999999</v>
      </c>
      <c r="F1809" t="s">
        <v>79</v>
      </c>
      <c r="G1809">
        <v>-284.57979999999998</v>
      </c>
      <c r="H1809" s="1">
        <v>6.1923690000000004E-6</v>
      </c>
      <c r="I1809">
        <v>285.48219999999998</v>
      </c>
      <c r="J1809">
        <v>-264.70670000000001</v>
      </c>
      <c r="K1809">
        <v>1.111855</v>
      </c>
      <c r="L1809">
        <v>284.99979999999999</v>
      </c>
      <c r="M1809">
        <v>-0.9997779</v>
      </c>
      <c r="N1809">
        <v>0</v>
      </c>
      <c r="O1809">
        <v>1.697017E-2</v>
      </c>
      <c r="P1809">
        <v>-0.99909110000000001</v>
      </c>
      <c r="Q1809">
        <v>-6.4080819999999998E-3</v>
      </c>
      <c r="R1809">
        <v>4.2145630000000003E-2</v>
      </c>
      <c r="S1809">
        <v>-2.998688</v>
      </c>
      <c r="T1809">
        <v>-0.16635349999999999</v>
      </c>
      <c r="U1809">
        <v>7.2448730000000003E-2</v>
      </c>
      <c r="V1809">
        <v>2.5155810000000001E-2</v>
      </c>
      <c r="W1809">
        <v>6.2077290000000004E-3</v>
      </c>
      <c r="X1809">
        <v>0.9996642</v>
      </c>
      <c r="Y1809">
        <v>7.1980859999999898E-3</v>
      </c>
      <c r="Z1809">
        <v>-7.4108279999999995E-4</v>
      </c>
      <c r="AA1809">
        <v>0.99997380000000002</v>
      </c>
      <c r="AB1809">
        <v>30</v>
      </c>
      <c r="AC1809">
        <v>-19.873099999999901</v>
      </c>
      <c r="AD1809">
        <v>-1.111848807631</v>
      </c>
      <c r="AE1809">
        <v>0.48239999999998401</v>
      </c>
      <c r="AF1809">
        <v>0.144601945987479</v>
      </c>
      <c r="AG1809">
        <v>-1.111848807631</v>
      </c>
      <c r="AH1809">
        <v>19.8164336216945</v>
      </c>
      <c r="AI1809">
        <v>93.211265599491995</v>
      </c>
      <c r="AJ1809">
        <v>89.581915983234296</v>
      </c>
      <c r="AK1809">
        <v>19.848127341813399</v>
      </c>
      <c r="AL1809">
        <v>89.644321019226197</v>
      </c>
      <c r="AM1809">
        <v>88.558498319151298</v>
      </c>
      <c r="AN1809">
        <v>0.99999993171886403</v>
      </c>
    </row>
    <row r="1810" spans="1:40" x14ac:dyDescent="0.25">
      <c r="A1810" t="str">
        <f>"20190312160331637"</f>
        <v>20190312160331637</v>
      </c>
      <c r="B1810" t="str">
        <f>"1552377811625945"</f>
        <v>1552377811625945</v>
      </c>
      <c r="C1810" t="s">
        <v>40</v>
      </c>
      <c r="D1810">
        <v>5.8715849999999996</v>
      </c>
      <c r="E1810">
        <v>0.49288110000000002</v>
      </c>
      <c r="F1810" t="s">
        <v>79</v>
      </c>
      <c r="G1810">
        <v>-284.52890000000002</v>
      </c>
      <c r="H1810" s="1">
        <v>6.2154069999999998E-6</v>
      </c>
      <c r="I1810">
        <v>285.48</v>
      </c>
      <c r="J1810">
        <v>-264.86840000000001</v>
      </c>
      <c r="K1810">
        <v>1.1118380000000001</v>
      </c>
      <c r="L1810">
        <v>285.00139999999999</v>
      </c>
      <c r="M1810">
        <v>-0.99979739999999995</v>
      </c>
      <c r="N1810">
        <v>0</v>
      </c>
      <c r="O1810">
        <v>1.578187E-2</v>
      </c>
      <c r="P1810">
        <v>-0.999081</v>
      </c>
      <c r="Q1810">
        <v>-6.929195E-3</v>
      </c>
      <c r="R1810">
        <v>4.2299759999999999E-2</v>
      </c>
      <c r="S1810">
        <v>-2.998535</v>
      </c>
      <c r="T1810">
        <v>-0.16819120000000001</v>
      </c>
      <c r="U1810">
        <v>7.2631840000000003E-2</v>
      </c>
      <c r="V1810">
        <v>2.6500699999999999E-2</v>
      </c>
      <c r="W1810">
        <v>5.6913220000000004E-3</v>
      </c>
      <c r="X1810">
        <v>0.99963259999999998</v>
      </c>
      <c r="Y1810">
        <v>8.4453730000000008E-3</v>
      </c>
      <c r="Z1810">
        <v>-6.4776269999999999E-4</v>
      </c>
      <c r="AA1810">
        <v>0.99996410000000002</v>
      </c>
      <c r="AB1810">
        <v>30</v>
      </c>
      <c r="AC1810">
        <v>-19.660499999999999</v>
      </c>
      <c r="AD1810">
        <v>-1.1118317845929999</v>
      </c>
      <c r="AE1810">
        <v>0.478600000000028</v>
      </c>
      <c r="AF1810">
        <v>0.16770070886167501</v>
      </c>
      <c r="AG1810">
        <v>-1.1118317845929999</v>
      </c>
      <c r="AH1810">
        <v>19.602950227336802</v>
      </c>
      <c r="AI1810">
        <v>93.246081199276801</v>
      </c>
      <c r="AJ1810">
        <v>89.509853958971803</v>
      </c>
      <c r="AK1810">
        <v>19.635171276574798</v>
      </c>
      <c r="AL1810">
        <v>89.673909511283398</v>
      </c>
      <c r="AM1810">
        <v>88.481419366561298</v>
      </c>
      <c r="AN1810">
        <v>1.0000000066146699</v>
      </c>
    </row>
    <row r="1811" spans="1:40" x14ac:dyDescent="0.25">
      <c r="A1811" t="str">
        <f>"20190312160331649"</f>
        <v>20190312160331649</v>
      </c>
      <c r="B1811" t="str">
        <f>"1552377811646441"</f>
        <v>1552377811646441</v>
      </c>
      <c r="C1811" t="s">
        <v>40</v>
      </c>
      <c r="D1811">
        <v>5.4676549999999997</v>
      </c>
      <c r="E1811">
        <v>0.49402000000000001</v>
      </c>
      <c r="F1811" t="s">
        <v>49</v>
      </c>
      <c r="G1811">
        <v>-265.73090000000002</v>
      </c>
      <c r="H1811">
        <v>1.0270319999999999</v>
      </c>
      <c r="I1811">
        <v>285.01650000000001</v>
      </c>
      <c r="J1811">
        <v>-265.03550000000001</v>
      </c>
      <c r="K1811">
        <v>1.111823</v>
      </c>
      <c r="L1811">
        <v>285.00290000000001</v>
      </c>
      <c r="M1811">
        <v>-0.99981580000000003</v>
      </c>
      <c r="N1811">
        <v>0</v>
      </c>
      <c r="O1811">
        <v>1.455854E-2</v>
      </c>
      <c r="P1811">
        <v>-0.9990715</v>
      </c>
      <c r="Q1811">
        <v>-7.8114609999999996E-3</v>
      </c>
      <c r="R1811">
        <v>4.2368360000000001E-2</v>
      </c>
      <c r="S1811">
        <v>-2.9985050000000002</v>
      </c>
      <c r="T1811">
        <v>-0.29492740000000001</v>
      </c>
      <c r="U1811">
        <v>5.2154539999999999E-2</v>
      </c>
      <c r="V1811">
        <v>2.779655E-2</v>
      </c>
      <c r="W1811">
        <v>4.8125240000000003E-3</v>
      </c>
      <c r="X1811">
        <v>0.99960199999999999</v>
      </c>
      <c r="Y1811">
        <v>2.8878689999999999E-3</v>
      </c>
      <c r="Z1811">
        <v>-1.2867550000000001E-3</v>
      </c>
      <c r="AA1811">
        <v>0.99999499999999997</v>
      </c>
      <c r="AB1811">
        <v>30</v>
      </c>
      <c r="AC1811">
        <v>-0.69540000000000601</v>
      </c>
      <c r="AD1811">
        <v>-8.4791000000000005E-2</v>
      </c>
      <c r="AE1811">
        <v>1.35999999999967E-2</v>
      </c>
      <c r="AF1811">
        <v>3.4228884259727001E-3</v>
      </c>
      <c r="AG1811">
        <v>-8.4791000000000005E-2</v>
      </c>
      <c r="AH1811">
        <v>0.68533910048464097</v>
      </c>
      <c r="AI1811">
        <v>97.052777321566296</v>
      </c>
      <c r="AJ1811">
        <v>89.713841761313802</v>
      </c>
      <c r="AK1811">
        <v>0.690572887173594</v>
      </c>
      <c r="AL1811">
        <v>89.724261617067597</v>
      </c>
      <c r="AM1811">
        <v>88.407151362172002</v>
      </c>
      <c r="AN1811">
        <v>0.99999998349157604</v>
      </c>
    </row>
    <row r="1812" spans="1:40" x14ac:dyDescent="0.25">
      <c r="A1812" t="str">
        <f>"20190312160331665"</f>
        <v>20190312160331665</v>
      </c>
      <c r="B1812" t="str">
        <f>"1552377811656201"</f>
        <v>1552377811656201</v>
      </c>
      <c r="C1812" t="s">
        <v>40</v>
      </c>
      <c r="D1812">
        <v>5.704091</v>
      </c>
      <c r="E1812">
        <v>0.49459170000000002</v>
      </c>
      <c r="F1812" t="s">
        <v>49</v>
      </c>
      <c r="G1812">
        <v>-266.00009999999997</v>
      </c>
      <c r="H1812">
        <v>1.0237069999999999</v>
      </c>
      <c r="I1812">
        <v>285.02330000000001</v>
      </c>
      <c r="J1812">
        <v>-265.2731</v>
      </c>
      <c r="K1812">
        <v>1.111796</v>
      </c>
      <c r="L1812">
        <v>285.00459999999998</v>
      </c>
      <c r="M1812">
        <v>-0.99983960000000005</v>
      </c>
      <c r="N1812">
        <v>0</v>
      </c>
      <c r="O1812">
        <v>1.2837070000000001E-2</v>
      </c>
      <c r="P1812">
        <v>-0.99904979999999999</v>
      </c>
      <c r="Q1812">
        <v>-8.6714959999999904E-3</v>
      </c>
      <c r="R1812">
        <v>4.271693E-2</v>
      </c>
      <c r="S1812">
        <v>-2.9980159999999998</v>
      </c>
      <c r="T1812">
        <v>-0.27406429999999998</v>
      </c>
      <c r="U1812">
        <v>6.2896729999999998E-2</v>
      </c>
      <c r="V1812">
        <v>2.9870480000000001E-2</v>
      </c>
      <c r="W1812">
        <v>3.9589930000000001E-3</v>
      </c>
      <c r="X1812">
        <v>0.99954589999999999</v>
      </c>
      <c r="Y1812">
        <v>8.15736699999999E-3</v>
      </c>
      <c r="Z1812">
        <v>-7.9892429999999903E-4</v>
      </c>
      <c r="AA1812">
        <v>0.99996640000000003</v>
      </c>
      <c r="AB1812">
        <v>30</v>
      </c>
      <c r="AC1812">
        <v>-0.726999999999975</v>
      </c>
      <c r="AD1812">
        <v>-8.8089000000000001E-2</v>
      </c>
      <c r="AE1812">
        <v>1.8700000000023899E-2</v>
      </c>
      <c r="AF1812">
        <v>9.2297626221500492E-3</v>
      </c>
      <c r="AG1812">
        <v>-8.8089000000000001E-2</v>
      </c>
      <c r="AH1812">
        <v>0.71666529469631801</v>
      </c>
      <c r="AI1812">
        <v>97.006793931120598</v>
      </c>
      <c r="AJ1812">
        <v>89.262142015972898</v>
      </c>
      <c r="AK1812">
        <v>0.722117722439508</v>
      </c>
      <c r="AL1812">
        <v>89.7731658089631</v>
      </c>
      <c r="AM1812">
        <v>88.288279473413496</v>
      </c>
      <c r="AN1812">
        <v>0.99999996270390601</v>
      </c>
    </row>
    <row r="1813" spans="1:40" x14ac:dyDescent="0.25">
      <c r="A1813" t="str">
        <f>"20190312160331678"</f>
        <v>20190312160331678</v>
      </c>
      <c r="B1813" t="str">
        <f>"1552377811665961"</f>
        <v>1552377811665961</v>
      </c>
      <c r="C1813" t="s">
        <v>40</v>
      </c>
      <c r="D1813">
        <v>5.5880409999999996</v>
      </c>
      <c r="E1813">
        <v>0.49474479999999998</v>
      </c>
      <c r="F1813" t="s">
        <v>49</v>
      </c>
      <c r="G1813">
        <v>-266.02339999999998</v>
      </c>
      <c r="H1813">
        <v>1.046524</v>
      </c>
      <c r="I1813">
        <v>285.02199999999999</v>
      </c>
      <c r="J1813">
        <v>-265.43529999999998</v>
      </c>
      <c r="K1813">
        <v>1.11178</v>
      </c>
      <c r="L1813">
        <v>285.00549999999998</v>
      </c>
      <c r="M1813">
        <v>-0.99985369999999996</v>
      </c>
      <c r="N1813">
        <v>0</v>
      </c>
      <c r="O1813">
        <v>1.1674790000000001E-2</v>
      </c>
      <c r="P1813">
        <v>-0.99904939999999998</v>
      </c>
      <c r="Q1813">
        <v>-9.2501059999999993E-3</v>
      </c>
      <c r="R1813">
        <v>4.2599480000000002E-2</v>
      </c>
      <c r="S1813">
        <v>-2.99762</v>
      </c>
      <c r="T1813">
        <v>-0.26102049999999999</v>
      </c>
      <c r="U1813">
        <v>6.9152829999999998E-2</v>
      </c>
      <c r="V1813">
        <v>3.0917429999999999E-2</v>
      </c>
      <c r="W1813">
        <v>3.382978E-3</v>
      </c>
      <c r="X1813">
        <v>0.99951619999999997</v>
      </c>
      <c r="Y1813">
        <v>1.1390020000000001E-2</v>
      </c>
      <c r="Z1813">
        <v>-5.1967050000000002E-4</v>
      </c>
      <c r="AA1813">
        <v>0.99993500000000002</v>
      </c>
      <c r="AB1813">
        <v>30</v>
      </c>
      <c r="AC1813">
        <v>-0.58809999999999696</v>
      </c>
      <c r="AD1813">
        <v>-6.5255999999999897E-2</v>
      </c>
      <c r="AE1813">
        <v>1.6500000000007699E-2</v>
      </c>
      <c r="AF1813">
        <v>9.5153314532369308E-3</v>
      </c>
      <c r="AG1813">
        <v>-6.5255999999999897E-2</v>
      </c>
      <c r="AH1813">
        <v>0.58110348005165202</v>
      </c>
      <c r="AI1813">
        <v>96.406431840350606</v>
      </c>
      <c r="AJ1813">
        <v>89.061888918444097</v>
      </c>
      <c r="AK1813">
        <v>0.584833430642269</v>
      </c>
      <c r="AL1813">
        <v>89.806169265408499</v>
      </c>
      <c r="AM1813">
        <v>88.228269238562604</v>
      </c>
      <c r="AN1813">
        <v>0.99999998304019599</v>
      </c>
    </row>
    <row r="1814" spans="1:40" x14ac:dyDescent="0.25">
      <c r="A1814" t="str">
        <f>"20190312160331692"</f>
        <v>20190312160331692</v>
      </c>
      <c r="B1814" t="str">
        <f>"1552377811686457"</f>
        <v>1552377811686457</v>
      </c>
      <c r="C1814" t="s">
        <v>40</v>
      </c>
      <c r="D1814">
        <v>5.3159419999999997</v>
      </c>
      <c r="E1814">
        <v>0.49527769999999999</v>
      </c>
      <c r="F1814" t="s">
        <v>49</v>
      </c>
      <c r="G1814">
        <v>-266.28019999999998</v>
      </c>
      <c r="H1814">
        <v>1.040203</v>
      </c>
      <c r="I1814">
        <v>285.02550000000002</v>
      </c>
      <c r="J1814">
        <v>-265.6019</v>
      </c>
      <c r="K1814">
        <v>1.111766</v>
      </c>
      <c r="L1814">
        <v>285.00630000000001</v>
      </c>
      <c r="M1814">
        <v>-0.99986679999999994</v>
      </c>
      <c r="N1814">
        <v>0</v>
      </c>
      <c r="O1814">
        <v>1.0484800000000001E-2</v>
      </c>
      <c r="P1814">
        <v>-0.99905920000000004</v>
      </c>
      <c r="Q1814">
        <v>-9.3683359999999997E-3</v>
      </c>
      <c r="R1814">
        <v>4.2347740000000002E-2</v>
      </c>
      <c r="S1814">
        <v>-2.9974980000000002</v>
      </c>
      <c r="T1814">
        <v>-0.25410379999999999</v>
      </c>
      <c r="U1814">
        <v>7.0373539999999998E-2</v>
      </c>
      <c r="V1814">
        <v>3.1855899999999999E-2</v>
      </c>
      <c r="W1814">
        <v>3.2666309999999999E-3</v>
      </c>
      <c r="X1814">
        <v>0.99948720000000002</v>
      </c>
      <c r="Y1814">
        <v>1.2978E-2</v>
      </c>
      <c r="Z1814">
        <v>-3.3810920000000003E-4</v>
      </c>
      <c r="AA1814">
        <v>0.99991569999999996</v>
      </c>
      <c r="AB1814">
        <v>30</v>
      </c>
      <c r="AC1814">
        <v>-0.67829999999997803</v>
      </c>
      <c r="AD1814">
        <v>-7.1563000000000002E-2</v>
      </c>
      <c r="AE1814">
        <v>1.9200000000011999E-2</v>
      </c>
      <c r="AF1814">
        <v>1.19535994686475E-2</v>
      </c>
      <c r="AG1814">
        <v>-7.1563000000000002E-2</v>
      </c>
      <c r="AH1814">
        <v>0.67100111282138297</v>
      </c>
      <c r="AI1814">
        <v>96.086687204643496</v>
      </c>
      <c r="AJ1814">
        <v>88.979408009692094</v>
      </c>
      <c r="AK1814">
        <v>0.67491232387384303</v>
      </c>
      <c r="AL1814">
        <v>89.812835509976296</v>
      </c>
      <c r="AM1814">
        <v>88.174472910634194</v>
      </c>
      <c r="AN1814">
        <v>1.0000000661033599</v>
      </c>
    </row>
    <row r="1815" spans="1:40" x14ac:dyDescent="0.25">
      <c r="A1815" t="str">
        <f>"20190312160331705"</f>
        <v>20190312160331705</v>
      </c>
      <c r="B1815" t="str">
        <f>"1552377811696218"</f>
        <v>1552377811696218</v>
      </c>
      <c r="C1815" t="s">
        <v>40</v>
      </c>
      <c r="D1815">
        <v>5.7671279999999996</v>
      </c>
      <c r="E1815">
        <v>0.49544519999999997</v>
      </c>
      <c r="F1815" t="s">
        <v>49</v>
      </c>
      <c r="G1815">
        <v>-266.54759999999999</v>
      </c>
      <c r="H1815">
        <v>1.035128</v>
      </c>
      <c r="I1815">
        <v>285.0299</v>
      </c>
      <c r="J1815">
        <v>-265.79419999999999</v>
      </c>
      <c r="K1815">
        <v>1.11175</v>
      </c>
      <c r="L1815">
        <v>285.00689999999997</v>
      </c>
      <c r="M1815">
        <v>-0.99988030000000006</v>
      </c>
      <c r="N1815">
        <v>0</v>
      </c>
      <c r="O1815">
        <v>9.1228290000000007E-3</v>
      </c>
      <c r="P1815">
        <v>-0.99907880000000004</v>
      </c>
      <c r="Q1815">
        <v>-9.6772569999999999E-3</v>
      </c>
      <c r="R1815">
        <v>4.1811859999999999E-2</v>
      </c>
      <c r="S1815">
        <v>-2.9974059999999998</v>
      </c>
      <c r="T1815">
        <v>-0.2431054</v>
      </c>
      <c r="U1815">
        <v>7.4371339999999994E-2</v>
      </c>
      <c r="V1815">
        <v>3.2682570000000001E-2</v>
      </c>
      <c r="W1815">
        <v>2.958596E-3</v>
      </c>
      <c r="X1815">
        <v>0.99946140000000006</v>
      </c>
      <c r="Y1815">
        <v>1.5661049999999999E-2</v>
      </c>
      <c r="Z1815">
        <v>-1.046541E-4</v>
      </c>
      <c r="AA1815">
        <v>0.99987729999999997</v>
      </c>
      <c r="AB1815">
        <v>30</v>
      </c>
      <c r="AC1815">
        <v>-0.75339999999999896</v>
      </c>
      <c r="AD1815">
        <v>-7.6621999999999899E-2</v>
      </c>
      <c r="AE1815">
        <v>2.3000000000024501E-2</v>
      </c>
      <c r="AF1815">
        <v>1.59604380439048E-2</v>
      </c>
      <c r="AG1815">
        <v>-7.6621999999999899E-2</v>
      </c>
      <c r="AH1815">
        <v>0.74587096091468397</v>
      </c>
      <c r="AI1815">
        <v>95.863986049337399</v>
      </c>
      <c r="AJ1815">
        <v>88.774149618235697</v>
      </c>
      <c r="AK1815">
        <v>0.74996610376892903</v>
      </c>
      <c r="AL1815">
        <v>89.830484688083601</v>
      </c>
      <c r="AM1815">
        <v>88.127084944166995</v>
      </c>
      <c r="AN1815">
        <v>0.99999999688102803</v>
      </c>
    </row>
    <row r="1816" spans="1:40" x14ac:dyDescent="0.25">
      <c r="A1816" t="str">
        <f>"20190312160331716"</f>
        <v>20190312160331716</v>
      </c>
      <c r="B1816" t="str">
        <f>"1552377811705977"</f>
        <v>1552377811705977</v>
      </c>
      <c r="C1816" t="s">
        <v>40</v>
      </c>
      <c r="D1816">
        <v>5.5886509999999996</v>
      </c>
      <c r="E1816">
        <v>0.49532029999999999</v>
      </c>
      <c r="F1816" t="s">
        <v>70</v>
      </c>
      <c r="G1816">
        <v>-279.685</v>
      </c>
      <c r="H1816" s="1">
        <v>3.5849549999999998E-6</v>
      </c>
      <c r="I1816">
        <v>285.35109999999997</v>
      </c>
      <c r="J1816">
        <v>-265.95069999999998</v>
      </c>
      <c r="K1816">
        <v>1.1117349999999999</v>
      </c>
      <c r="L1816">
        <v>285.00720000000001</v>
      </c>
      <c r="M1816">
        <v>-0.99988969999999999</v>
      </c>
      <c r="N1816">
        <v>0</v>
      </c>
      <c r="O1816">
        <v>8.0221319999999995E-3</v>
      </c>
      <c r="P1816">
        <v>-0.99909409999999998</v>
      </c>
      <c r="Q1816">
        <v>-1.008069E-2</v>
      </c>
      <c r="R1816">
        <v>4.1345750000000001E-2</v>
      </c>
      <c r="S1816">
        <v>-2.9973450000000001</v>
      </c>
      <c r="T1816">
        <v>-0.2398914</v>
      </c>
      <c r="U1816">
        <v>7.4279789999999998E-2</v>
      </c>
      <c r="V1816">
        <v>3.3318449999999999E-2</v>
      </c>
      <c r="W1816">
        <v>2.5566230000000001E-3</v>
      </c>
      <c r="X1816">
        <v>0.99944149999999998</v>
      </c>
      <c r="Y1816">
        <v>1.672535E-2</v>
      </c>
      <c r="Z1816" s="1">
        <v>2.717844E-5</v>
      </c>
      <c r="AA1816">
        <v>0.99986010000000003</v>
      </c>
      <c r="AB1816">
        <v>30</v>
      </c>
      <c r="AC1816">
        <v>-13.734299999999999</v>
      </c>
      <c r="AD1816">
        <v>-1.1117314150449999</v>
      </c>
      <c r="AE1816">
        <v>0.34389999999996201</v>
      </c>
      <c r="AF1816">
        <v>0.23218161145852101</v>
      </c>
      <c r="AG1816">
        <v>-1.1117314150449999</v>
      </c>
      <c r="AH1816">
        <v>13.647253603875701</v>
      </c>
      <c r="AI1816">
        <v>94.656469551520004</v>
      </c>
      <c r="AJ1816">
        <v>89.025317215414205</v>
      </c>
      <c r="AK1816">
        <v>13.6944290121347</v>
      </c>
      <c r="AL1816">
        <v>89.853516130324905</v>
      </c>
      <c r="AM1816">
        <v>88.090633780794604</v>
      </c>
      <c r="AN1816">
        <v>0.99999998367690801</v>
      </c>
    </row>
    <row r="1817" spans="1:40" x14ac:dyDescent="0.25">
      <c r="A1817" t="str">
        <f>"20190312160331735"</f>
        <v>20190312160331735</v>
      </c>
      <c r="B1817" t="str">
        <f>"1552377811726473"</f>
        <v>1552377811726473</v>
      </c>
      <c r="C1817" t="s">
        <v>40</v>
      </c>
      <c r="D1817">
        <v>5.8065329999999999</v>
      </c>
      <c r="E1817">
        <v>0.4955753</v>
      </c>
      <c r="F1817" t="s">
        <v>49</v>
      </c>
      <c r="G1817">
        <v>-266.82420000000002</v>
      </c>
      <c r="H1817">
        <v>1.043015</v>
      </c>
      <c r="I1817">
        <v>285.02839999999998</v>
      </c>
      <c r="J1817">
        <v>-266.19729999999998</v>
      </c>
      <c r="K1817">
        <v>1.111718</v>
      </c>
      <c r="L1817">
        <v>285.00740000000002</v>
      </c>
      <c r="M1817">
        <v>-0.99990210000000002</v>
      </c>
      <c r="N1817">
        <v>0</v>
      </c>
      <c r="O1817">
        <v>6.2979050000000003E-3</v>
      </c>
      <c r="P1817">
        <v>-0.99910180000000004</v>
      </c>
      <c r="Q1817">
        <v>-1.0981289999999999E-2</v>
      </c>
      <c r="R1817">
        <v>4.0927669999999999E-2</v>
      </c>
      <c r="S1817">
        <v>-2.9973749999999999</v>
      </c>
      <c r="T1817">
        <v>-0.2361364</v>
      </c>
      <c r="U1817">
        <v>7.1960449999999995E-2</v>
      </c>
      <c r="V1817">
        <v>3.4627449999999997E-2</v>
      </c>
      <c r="W1817">
        <v>1.658741E-3</v>
      </c>
      <c r="X1817">
        <v>0.99939889999999998</v>
      </c>
      <c r="Y1817">
        <v>1.7668639999999999E-2</v>
      </c>
      <c r="Z1817">
        <v>1.994567E-4</v>
      </c>
      <c r="AA1817">
        <v>0.99984390000000001</v>
      </c>
      <c r="AB1817">
        <v>30</v>
      </c>
      <c r="AC1817">
        <v>-0.62690000000003399</v>
      </c>
      <c r="AD1817">
        <v>-6.8702999999999903E-2</v>
      </c>
      <c r="AE1817">
        <v>2.0999999999958101E-2</v>
      </c>
      <c r="AF1817">
        <v>1.6848983579911901E-2</v>
      </c>
      <c r="AG1817">
        <v>-6.8702999999999903E-2</v>
      </c>
      <c r="AH1817">
        <v>0.61958673278710297</v>
      </c>
      <c r="AI1817">
        <v>96.325086303919207</v>
      </c>
      <c r="AJ1817">
        <v>88.442287843126493</v>
      </c>
      <c r="AK1817">
        <v>0.62361182630100298</v>
      </c>
      <c r="AL1817">
        <v>89.904961096531295</v>
      </c>
      <c r="AM1817">
        <v>88.015593797164996</v>
      </c>
      <c r="AN1817">
        <v>0.99999998651820798</v>
      </c>
    </row>
    <row r="1818" spans="1:40" x14ac:dyDescent="0.25">
      <c r="A1818" t="str">
        <f>"20190312160331748"</f>
        <v>20190312160331748</v>
      </c>
      <c r="B1818" t="str">
        <f>"1552377811736232"</f>
        <v>1552377811736232</v>
      </c>
      <c r="C1818" t="s">
        <v>40</v>
      </c>
      <c r="D1818">
        <v>5.7955500000000004</v>
      </c>
      <c r="E1818">
        <v>0.4903826</v>
      </c>
      <c r="F1818" t="s">
        <v>49</v>
      </c>
      <c r="G1818">
        <v>-267.09339999999997</v>
      </c>
      <c r="H1818">
        <v>1.041453</v>
      </c>
      <c r="I1818">
        <v>285.02949999999998</v>
      </c>
      <c r="J1818">
        <v>-266.38670000000002</v>
      </c>
      <c r="K1818">
        <v>1.1117090000000001</v>
      </c>
      <c r="L1818">
        <v>285.00729999999999</v>
      </c>
      <c r="M1818">
        <v>-0.99990959999999995</v>
      </c>
      <c r="N1818">
        <v>0</v>
      </c>
      <c r="O1818">
        <v>4.9800010000000004E-3</v>
      </c>
      <c r="P1818">
        <v>-0.99912939999999995</v>
      </c>
      <c r="Q1818">
        <v>-1.147196E-2</v>
      </c>
      <c r="R1818">
        <v>4.0114240000000002E-2</v>
      </c>
      <c r="S1818">
        <v>-2.9971009999999998</v>
      </c>
      <c r="T1818">
        <v>-0.23548469999999999</v>
      </c>
      <c r="U1818">
        <v>7.2723389999999999E-2</v>
      </c>
      <c r="V1818">
        <v>3.5133079999999997E-2</v>
      </c>
      <c r="W1818">
        <v>1.1685529999999999E-3</v>
      </c>
      <c r="X1818">
        <v>0.99938199999999999</v>
      </c>
      <c r="Y1818">
        <v>1.9234310000000001E-2</v>
      </c>
      <c r="Z1818">
        <v>3.6370800000000002E-4</v>
      </c>
      <c r="AA1818">
        <v>0.99981489999999995</v>
      </c>
      <c r="AB1818">
        <v>30</v>
      </c>
      <c r="AC1818">
        <v>-0.70669999999995503</v>
      </c>
      <c r="AD1818">
        <v>-7.0256000000000096E-2</v>
      </c>
      <c r="AE1818">
        <v>2.2199999999997999E-2</v>
      </c>
      <c r="AF1818">
        <v>1.84974500537308E-2</v>
      </c>
      <c r="AG1818">
        <v>-7.0256000000000096E-2</v>
      </c>
      <c r="AH1818">
        <v>0.69989146664378499</v>
      </c>
      <c r="AI1818">
        <v>95.730234063077305</v>
      </c>
      <c r="AJ1818">
        <v>88.486080752178793</v>
      </c>
      <c r="AK1818">
        <v>0.70365199230534303</v>
      </c>
      <c r="AL1818">
        <v>89.933046832428303</v>
      </c>
      <c r="AM1818">
        <v>87.986607156477305</v>
      </c>
      <c r="AN1818">
        <v>1.0000000403751901</v>
      </c>
    </row>
    <row r="1819" spans="1:40" x14ac:dyDescent="0.25">
      <c r="A1819" t="str">
        <f>"20190312160331761"</f>
        <v>20190312160331761</v>
      </c>
      <c r="B1819" t="str">
        <f>"1552377811756729"</f>
        <v>1552377811756729</v>
      </c>
      <c r="C1819" t="s">
        <v>40</v>
      </c>
      <c r="D1819">
        <v>5.4699220000000004</v>
      </c>
      <c r="E1819">
        <v>0.49162489999999998</v>
      </c>
      <c r="F1819" t="s">
        <v>49</v>
      </c>
      <c r="G1819">
        <v>-267.34879999999998</v>
      </c>
      <c r="H1819">
        <v>1.011018</v>
      </c>
      <c r="I1819">
        <v>285.0147</v>
      </c>
      <c r="J1819">
        <v>-266.56569999999999</v>
      </c>
      <c r="K1819">
        <v>1.1117060000000001</v>
      </c>
      <c r="L1819">
        <v>285.00689999999997</v>
      </c>
      <c r="M1819">
        <v>-0.99991490000000005</v>
      </c>
      <c r="N1819">
        <v>0</v>
      </c>
      <c r="O1819">
        <v>3.7406620000000001E-3</v>
      </c>
      <c r="P1819">
        <v>-0.9991544</v>
      </c>
      <c r="Q1819">
        <v>-1.127886E-2</v>
      </c>
      <c r="R1819">
        <v>3.9536460000000002E-2</v>
      </c>
      <c r="S1819">
        <v>-2.9980769999999999</v>
      </c>
      <c r="T1819">
        <v>-0.31380010000000003</v>
      </c>
      <c r="U1819">
        <v>2.3010249999999999E-2</v>
      </c>
      <c r="V1819">
        <v>3.5792940000000002E-2</v>
      </c>
      <c r="W1819">
        <v>1.3631019999999999E-3</v>
      </c>
      <c r="X1819">
        <v>0.99935830000000003</v>
      </c>
      <c r="Y1819">
        <v>3.9328310000000003E-3</v>
      </c>
      <c r="Z1819">
        <v>-1.852251E-4</v>
      </c>
      <c r="AA1819">
        <v>0.99999229999999995</v>
      </c>
      <c r="AB1819">
        <v>30</v>
      </c>
      <c r="AC1819">
        <v>-0.78309999999999003</v>
      </c>
      <c r="AD1819">
        <v>-0.100687999999999</v>
      </c>
      <c r="AE1819">
        <v>7.8000000000315499E-3</v>
      </c>
      <c r="AF1819">
        <v>4.7912046688969E-3</v>
      </c>
      <c r="AG1819">
        <v>-0.100687999999999</v>
      </c>
      <c r="AH1819">
        <v>0.77038902138239995</v>
      </c>
      <c r="AI1819">
        <v>97.446071790703002</v>
      </c>
      <c r="AJ1819">
        <v>89.643670587858296</v>
      </c>
      <c r="AK1819">
        <v>0.77695577303519103</v>
      </c>
      <c r="AL1819">
        <v>89.921899984339603</v>
      </c>
      <c r="AM1819">
        <v>87.948775558578404</v>
      </c>
      <c r="AN1819">
        <v>1.00000000218989</v>
      </c>
    </row>
    <row r="1820" spans="1:40" x14ac:dyDescent="0.25">
      <c r="A1820" t="str">
        <f>"20190312160331780"</f>
        <v>20190312160331780</v>
      </c>
      <c r="B1820" t="str">
        <f>"1552377811766489"</f>
        <v>1552377811766489</v>
      </c>
      <c r="C1820" t="s">
        <v>40</v>
      </c>
      <c r="D1820">
        <v>5.6374219999999999</v>
      </c>
      <c r="E1820">
        <v>0.49131249999999999</v>
      </c>
      <c r="F1820" t="s">
        <v>79</v>
      </c>
      <c r="G1820">
        <v>-283.28120000000001</v>
      </c>
      <c r="H1820" s="1">
        <v>6.8211120000000001E-6</v>
      </c>
      <c r="I1820">
        <v>285.22649999999999</v>
      </c>
      <c r="J1820">
        <v>-266.80009999999999</v>
      </c>
      <c r="K1820">
        <v>1.111702</v>
      </c>
      <c r="L1820">
        <v>285.0061</v>
      </c>
      <c r="M1820">
        <v>-0.99991969999999997</v>
      </c>
      <c r="N1820">
        <v>0</v>
      </c>
      <c r="O1820">
        <v>2.1201729999999999E-3</v>
      </c>
      <c r="P1820">
        <v>-0.99917659999999997</v>
      </c>
      <c r="Q1820">
        <v>-1.002955E-2</v>
      </c>
      <c r="R1820">
        <v>3.9315210000000003E-2</v>
      </c>
      <c r="S1820">
        <v>-2.9987180000000002</v>
      </c>
      <c r="T1820">
        <v>-0.19943630000000001</v>
      </c>
      <c r="U1820">
        <v>3.939819E-2</v>
      </c>
      <c r="V1820">
        <v>3.7185900000000001E-2</v>
      </c>
      <c r="W1820">
        <v>2.6162289999999999E-3</v>
      </c>
      <c r="X1820">
        <v>0.999305</v>
      </c>
      <c r="Y1820">
        <v>1.0997420000000001E-2</v>
      </c>
      <c r="Z1820">
        <v>2.24429E-4</v>
      </c>
      <c r="AA1820">
        <v>0.99993949999999998</v>
      </c>
      <c r="AB1820">
        <v>30</v>
      </c>
      <c r="AC1820">
        <v>-16.481100000000001</v>
      </c>
      <c r="AD1820">
        <v>-1.1116951788879901</v>
      </c>
      <c r="AE1820">
        <v>0.220399999999983</v>
      </c>
      <c r="AF1820">
        <v>0.184614173321618</v>
      </c>
      <c r="AG1820">
        <v>-1.1116951788879901</v>
      </c>
      <c r="AH1820">
        <v>16.406894373768399</v>
      </c>
      <c r="AI1820">
        <v>93.876066775143698</v>
      </c>
      <c r="AJ1820">
        <v>89.355321833463194</v>
      </c>
      <c r="AK1820">
        <v>16.445550509355002</v>
      </c>
      <c r="AL1820">
        <v>89.850100957965594</v>
      </c>
      <c r="AM1820">
        <v>87.868906368799301</v>
      </c>
      <c r="AN1820">
        <v>1.00000005941899</v>
      </c>
    </row>
    <row r="1821" spans="1:40" x14ac:dyDescent="0.25">
      <c r="A1821" t="str">
        <f>"20190312160331794"</f>
        <v>20190312160331794</v>
      </c>
      <c r="B1821" t="str">
        <f>"1552377811786010"</f>
        <v>1552377811786010</v>
      </c>
      <c r="C1821" t="s">
        <v>40</v>
      </c>
      <c r="D1821">
        <v>5.6137560000000004</v>
      </c>
      <c r="E1821">
        <v>0.49015520000000001</v>
      </c>
      <c r="F1821" t="s">
        <v>79</v>
      </c>
      <c r="G1821">
        <v>-283.55840000000001</v>
      </c>
      <c r="H1821" s="1">
        <v>6.7022839999999997E-6</v>
      </c>
      <c r="I1821">
        <v>285.20650000000001</v>
      </c>
      <c r="J1821">
        <v>-266.99740000000003</v>
      </c>
      <c r="K1821">
        <v>1.1116980000000001</v>
      </c>
      <c r="L1821">
        <v>285.0052</v>
      </c>
      <c r="M1821">
        <v>-0.99992170000000002</v>
      </c>
      <c r="N1821">
        <v>0</v>
      </c>
      <c r="O1821">
        <v>7.5895729999999998E-4</v>
      </c>
      <c r="P1821">
        <v>-0.99920810000000004</v>
      </c>
      <c r="Q1821">
        <v>-9.1986359999999996E-3</v>
      </c>
      <c r="R1821">
        <v>3.8712290000000003E-2</v>
      </c>
      <c r="S1821">
        <v>-2.9990540000000001</v>
      </c>
      <c r="T1821">
        <v>-0.19894829999999999</v>
      </c>
      <c r="U1821">
        <v>3.5858149999999998E-2</v>
      </c>
      <c r="V1821">
        <v>3.7939729999999998E-2</v>
      </c>
      <c r="W1821">
        <v>3.4487820000000001E-3</v>
      </c>
      <c r="X1821">
        <v>0.99927410000000005</v>
      </c>
      <c r="Y1821">
        <v>1.1173779999999999E-2</v>
      </c>
      <c r="Z1821">
        <v>3.1990380000000002E-4</v>
      </c>
      <c r="AA1821">
        <v>0.99993750000000003</v>
      </c>
      <c r="AB1821">
        <v>30</v>
      </c>
      <c r="AC1821">
        <v>-16.5609999999999</v>
      </c>
      <c r="AD1821">
        <v>-1.1116912977159901</v>
      </c>
      <c r="AE1821">
        <v>0.201300000000003</v>
      </c>
      <c r="AF1821">
        <v>0.18788338407671001</v>
      </c>
      <c r="AG1821">
        <v>-1.1116912977159901</v>
      </c>
      <c r="AH1821">
        <v>16.486868461651699</v>
      </c>
      <c r="AI1821">
        <v>93.857302061884198</v>
      </c>
      <c r="AJ1821">
        <v>89.347088926861304</v>
      </c>
      <c r="AK1821">
        <v>16.525374107088599</v>
      </c>
      <c r="AL1821">
        <v>89.802398959584707</v>
      </c>
      <c r="AM1821">
        <v>87.825678868284101</v>
      </c>
      <c r="AN1821">
        <v>1.00000002207028</v>
      </c>
    </row>
    <row r="1822" spans="1:40" x14ac:dyDescent="0.25">
      <c r="A1822" t="str">
        <f>"20190312160331806"</f>
        <v>20190312160331806</v>
      </c>
      <c r="B1822" t="str">
        <f>"1552377811796746"</f>
        <v>1552377811796746</v>
      </c>
      <c r="C1822" t="s">
        <v>40</v>
      </c>
      <c r="D1822">
        <v>5.947546</v>
      </c>
      <c r="E1822">
        <v>0.48941869999999998</v>
      </c>
      <c r="F1822" t="s">
        <v>79</v>
      </c>
      <c r="G1822">
        <v>-282.86219999999997</v>
      </c>
      <c r="H1822" s="1">
        <v>7.027068E-6</v>
      </c>
      <c r="I1822">
        <v>285.12880000000001</v>
      </c>
      <c r="J1822">
        <v>-267.16759999999999</v>
      </c>
      <c r="K1822">
        <v>1.111696</v>
      </c>
      <c r="L1822">
        <v>285.00420000000003</v>
      </c>
      <c r="M1822">
        <v>-0.99992190000000003</v>
      </c>
      <c r="N1822">
        <v>0</v>
      </c>
      <c r="O1822">
        <v>-4.1495939999999998E-4</v>
      </c>
      <c r="P1822">
        <v>-0.99924109999999999</v>
      </c>
      <c r="Q1822">
        <v>-8.5102540000000001E-3</v>
      </c>
      <c r="R1822">
        <v>3.8015189999999997E-2</v>
      </c>
      <c r="S1822">
        <v>-2.9995419999999999</v>
      </c>
      <c r="T1822">
        <v>-0.21018539999999999</v>
      </c>
      <c r="U1822">
        <v>2.3376460000000002E-2</v>
      </c>
      <c r="V1822">
        <v>3.8413040000000002E-2</v>
      </c>
      <c r="W1822">
        <v>4.13876E-3</v>
      </c>
      <c r="X1822">
        <v>0.99925339999999996</v>
      </c>
      <c r="Y1822">
        <v>8.1869939999999995E-3</v>
      </c>
      <c r="Z1822">
        <v>3.1552940000000002E-4</v>
      </c>
      <c r="AA1822">
        <v>0.99996640000000003</v>
      </c>
      <c r="AB1822">
        <v>30</v>
      </c>
      <c r="AC1822">
        <v>-15.6945999999999</v>
      </c>
      <c r="AD1822">
        <v>-1.1116889729320001</v>
      </c>
      <c r="AE1822">
        <v>0.124599999999986</v>
      </c>
      <c r="AF1822">
        <v>0.13045861641476</v>
      </c>
      <c r="AG1822">
        <v>-1.1116889729320001</v>
      </c>
      <c r="AH1822">
        <v>15.6162014286315</v>
      </c>
      <c r="AI1822">
        <v>94.071771496791499</v>
      </c>
      <c r="AJ1822">
        <v>89.521359001712597</v>
      </c>
      <c r="AK1822">
        <v>15.6562645251901</v>
      </c>
      <c r="AL1822">
        <v>89.762865848324694</v>
      </c>
      <c r="AM1822">
        <v>87.798534497272399</v>
      </c>
      <c r="AN1822">
        <v>1.0000000241939599</v>
      </c>
    </row>
    <row r="1823" spans="1:40" x14ac:dyDescent="0.25">
      <c r="A1823" t="str">
        <f>"20190312160331824"</f>
        <v>20190312160331824</v>
      </c>
      <c r="B1823" t="str">
        <f>"1552377811816269"</f>
        <v>1552377811816269</v>
      </c>
      <c r="C1823" t="s">
        <v>40</v>
      </c>
      <c r="D1823">
        <v>5.3674119999999998</v>
      </c>
      <c r="E1823">
        <v>0.48884759999999999</v>
      </c>
      <c r="F1823" t="s">
        <v>79</v>
      </c>
      <c r="G1823">
        <v>-283.31810000000002</v>
      </c>
      <c r="H1823" s="1">
        <v>6.833221E-6</v>
      </c>
      <c r="I1823">
        <v>285.08870000000002</v>
      </c>
      <c r="J1823">
        <v>-267.40609999999998</v>
      </c>
      <c r="K1823">
        <v>1.1116900000000001</v>
      </c>
      <c r="L1823">
        <v>285.00229999999999</v>
      </c>
      <c r="M1823">
        <v>-0.99991980000000003</v>
      </c>
      <c r="N1823">
        <v>0</v>
      </c>
      <c r="O1823">
        <v>-2.0596770000000002E-3</v>
      </c>
      <c r="P1823">
        <v>-0.99928950000000005</v>
      </c>
      <c r="Q1823">
        <v>-6.8699080000000001E-3</v>
      </c>
      <c r="R1823">
        <v>3.7061410000000003E-2</v>
      </c>
      <c r="S1823">
        <v>-2.9999389999999999</v>
      </c>
      <c r="T1823">
        <v>-0.20649480000000001</v>
      </c>
      <c r="U1823">
        <v>1.5686039999999998E-2</v>
      </c>
      <c r="V1823">
        <v>3.9096119999999998E-2</v>
      </c>
      <c r="W1823">
        <v>5.7804900000000001E-3</v>
      </c>
      <c r="X1823">
        <v>0.99921879999999996</v>
      </c>
      <c r="Y1823">
        <v>7.2664460000000002E-3</v>
      </c>
      <c r="Z1823">
        <v>3.9140490000000002E-4</v>
      </c>
      <c r="AA1823">
        <v>0.99997349999999996</v>
      </c>
      <c r="AB1823">
        <v>30</v>
      </c>
      <c r="AC1823">
        <v>-15.912000000000001</v>
      </c>
      <c r="AD1823">
        <v>-1.1116831667789999</v>
      </c>
      <c r="AE1823">
        <v>8.6400000000025998E-2</v>
      </c>
      <c r="AF1823">
        <v>0.118597095942165</v>
      </c>
      <c r="AG1823">
        <v>-1.1116831667789999</v>
      </c>
      <c r="AH1823">
        <v>15.8345016886704</v>
      </c>
      <c r="AI1823">
        <v>94.015827994983297</v>
      </c>
      <c r="AJ1823">
        <v>89.570874654842498</v>
      </c>
      <c r="AK1823">
        <v>15.87392038732</v>
      </c>
      <c r="AL1823">
        <v>89.668800496694601</v>
      </c>
      <c r="AM1823">
        <v>87.759348975192793</v>
      </c>
      <c r="AN1823">
        <v>1.0000000654685599</v>
      </c>
    </row>
    <row r="1824" spans="1:40" x14ac:dyDescent="0.25">
      <c r="A1824" t="str">
        <f>"20190312160331836"</f>
        <v>20190312160331836</v>
      </c>
      <c r="B1824" t="str">
        <f>"1552377811826025"</f>
        <v>1552377811826025</v>
      </c>
      <c r="C1824" t="s">
        <v>40</v>
      </c>
      <c r="D1824">
        <v>5.6818489999999997</v>
      </c>
      <c r="E1824">
        <v>0.4885486</v>
      </c>
      <c r="F1824" t="s">
        <v>79</v>
      </c>
      <c r="G1824">
        <v>-284.06079999999997</v>
      </c>
      <c r="H1824" s="1">
        <v>6.51209E-6</v>
      </c>
      <c r="I1824">
        <v>285.04880000000003</v>
      </c>
      <c r="J1824">
        <v>-267.57709999999997</v>
      </c>
      <c r="K1824">
        <v>1.111688</v>
      </c>
      <c r="L1824">
        <v>285.00080000000003</v>
      </c>
      <c r="M1824">
        <v>-0.99991669999999999</v>
      </c>
      <c r="N1824">
        <v>0</v>
      </c>
      <c r="O1824">
        <v>-3.2397670000000002E-3</v>
      </c>
      <c r="P1824">
        <v>-0.9993244</v>
      </c>
      <c r="Q1824">
        <v>-6.0224939999999998E-3</v>
      </c>
      <c r="R1824">
        <v>3.6259680000000002E-2</v>
      </c>
      <c r="S1824">
        <v>-3.0004270000000002</v>
      </c>
      <c r="T1824">
        <v>-0.2002746</v>
      </c>
      <c r="U1824">
        <v>8.3618159999999993E-3</v>
      </c>
      <c r="V1824">
        <v>3.9470199999999997E-2</v>
      </c>
      <c r="W1824">
        <v>6.6287680000000002E-3</v>
      </c>
      <c r="X1824">
        <v>0.9991987</v>
      </c>
      <c r="Y1824">
        <v>6.0062819999999999E-3</v>
      </c>
      <c r="Z1824">
        <v>4.1625880000000003E-4</v>
      </c>
      <c r="AA1824">
        <v>0.99998189999999998</v>
      </c>
      <c r="AB1824">
        <v>30</v>
      </c>
      <c r="AC1824">
        <v>-16.483699999999999</v>
      </c>
      <c r="AD1824">
        <v>-1.1116814879100001</v>
      </c>
      <c r="AE1824">
        <v>4.8000000000001798E-2</v>
      </c>
      <c r="AF1824">
        <v>0.100948123065842</v>
      </c>
      <c r="AG1824">
        <v>-1.1116814879100001</v>
      </c>
      <c r="AH1824">
        <v>16.408825942770601</v>
      </c>
      <c r="AI1824">
        <v>93.875735781695496</v>
      </c>
      <c r="AJ1824">
        <v>89.647517229214699</v>
      </c>
      <c r="AK1824">
        <v>16.4467502891682</v>
      </c>
      <c r="AL1824">
        <v>89.620196765817795</v>
      </c>
      <c r="AM1824">
        <v>87.737886658258006</v>
      </c>
      <c r="AN1824">
        <v>0.99999993966746203</v>
      </c>
    </row>
    <row r="1825" spans="1:40" x14ac:dyDescent="0.25">
      <c r="A1825" t="str">
        <f>"20190312160331849"</f>
        <v>20190312160331849</v>
      </c>
      <c r="B1825" t="str">
        <f>"1552377811846521"</f>
        <v>1552377811846521</v>
      </c>
      <c r="C1825" t="s">
        <v>40</v>
      </c>
      <c r="D1825">
        <v>5.7526260000000002</v>
      </c>
      <c r="E1825">
        <v>0.4883323</v>
      </c>
      <c r="F1825" t="s">
        <v>79</v>
      </c>
      <c r="G1825">
        <v>-284.40320000000003</v>
      </c>
      <c r="H1825" s="1">
        <v>6.3661249999999898E-6</v>
      </c>
      <c r="I1825">
        <v>285.0204</v>
      </c>
      <c r="J1825">
        <v>-267.74009999999998</v>
      </c>
      <c r="K1825">
        <v>1.111683</v>
      </c>
      <c r="L1825">
        <v>284.9991</v>
      </c>
      <c r="M1825">
        <v>-0.99991229999999998</v>
      </c>
      <c r="N1825">
        <v>0</v>
      </c>
      <c r="O1825">
        <v>-4.3643129999999999E-3</v>
      </c>
      <c r="P1825">
        <v>-0.99936069999999999</v>
      </c>
      <c r="Q1825">
        <v>-5.3009989999999998E-3</v>
      </c>
      <c r="R1825">
        <v>3.5352740000000001E-2</v>
      </c>
      <c r="S1825">
        <v>-3.0006710000000001</v>
      </c>
      <c r="T1825">
        <v>-0.19825110000000001</v>
      </c>
      <c r="U1825">
        <v>3.5095209999999998E-3</v>
      </c>
      <c r="V1825">
        <v>3.9684190000000001E-2</v>
      </c>
      <c r="W1825">
        <v>7.35068099999999E-3</v>
      </c>
      <c r="X1825">
        <v>0.99918530000000005</v>
      </c>
      <c r="Y1825">
        <v>5.5126840000000003E-3</v>
      </c>
      <c r="Z1825">
        <v>4.6996339999999997E-4</v>
      </c>
      <c r="AA1825">
        <v>0.99998469999999995</v>
      </c>
      <c r="AB1825">
        <v>30</v>
      </c>
      <c r="AC1825">
        <v>-16.6631</v>
      </c>
      <c r="AD1825">
        <v>-1.1116766338749999</v>
      </c>
      <c r="AE1825">
        <v>2.1299999999996499E-2</v>
      </c>
      <c r="AF1825">
        <v>9.3611812916994303E-2</v>
      </c>
      <c r="AG1825">
        <v>-1.1116766338749999</v>
      </c>
      <c r="AH1825">
        <v>16.5890128200652</v>
      </c>
      <c r="AI1825">
        <v>93.833759247047098</v>
      </c>
      <c r="AJ1825">
        <v>89.676683301138894</v>
      </c>
      <c r="AK1825">
        <v>16.6264829249636</v>
      </c>
      <c r="AL1825">
        <v>89.5788332369372</v>
      </c>
      <c r="AM1825">
        <v>87.725604853468596</v>
      </c>
      <c r="AN1825">
        <v>1.0000000655915999</v>
      </c>
    </row>
    <row r="1826" spans="1:40" x14ac:dyDescent="0.25">
      <c r="A1826" t="str">
        <f>"20190312160331862"</f>
        <v>20190312160331862</v>
      </c>
      <c r="B1826" t="str">
        <f>"1552377811856281"</f>
        <v>1552377811856281</v>
      </c>
      <c r="C1826" t="s">
        <v>40</v>
      </c>
      <c r="D1826">
        <v>5.5360950000000004</v>
      </c>
      <c r="E1826">
        <v>0.48826009999999997</v>
      </c>
      <c r="F1826" t="s">
        <v>49</v>
      </c>
      <c r="G1826">
        <v>-268.72410000000002</v>
      </c>
      <c r="H1826">
        <v>1.0459210000000001</v>
      </c>
      <c r="I1826">
        <v>284.99889999999999</v>
      </c>
      <c r="J1826">
        <v>-267.92340000000002</v>
      </c>
      <c r="K1826">
        <v>1.11168</v>
      </c>
      <c r="L1826">
        <v>284.99700000000001</v>
      </c>
      <c r="M1826">
        <v>-0.99990619999999997</v>
      </c>
      <c r="N1826">
        <v>0</v>
      </c>
      <c r="O1826">
        <v>-5.6311959999999998E-3</v>
      </c>
      <c r="P1826">
        <v>-0.99939999999999996</v>
      </c>
      <c r="Q1826">
        <v>-4.6197879999999997E-3</v>
      </c>
      <c r="R1826">
        <v>3.4329470000000001E-2</v>
      </c>
      <c r="S1826">
        <v>-3.0008849999999998</v>
      </c>
      <c r="T1826">
        <v>-0.20070289999999999</v>
      </c>
      <c r="U1826">
        <v>-1.190186E-3</v>
      </c>
      <c r="V1826">
        <v>3.9924279999999999E-2</v>
      </c>
      <c r="W1826">
        <v>8.0320610000000001E-3</v>
      </c>
      <c r="X1826">
        <v>0.99917040000000001</v>
      </c>
      <c r="Y1826">
        <v>5.2108079999999999E-3</v>
      </c>
      <c r="Z1826">
        <v>5.5028719999999996E-4</v>
      </c>
      <c r="AA1826">
        <v>0.99998629999999999</v>
      </c>
      <c r="AB1826">
        <v>30</v>
      </c>
      <c r="AC1826">
        <v>-0.80070000000000596</v>
      </c>
      <c r="AD1826">
        <v>-6.5759000000000095E-2</v>
      </c>
      <c r="AE1826">
        <v>1.8999999999778001E-3</v>
      </c>
      <c r="AF1826">
        <v>6.3662807603918998E-3</v>
      </c>
      <c r="AG1826">
        <v>-6.5759000000000095E-2</v>
      </c>
      <c r="AH1826">
        <v>0.79531238917737701</v>
      </c>
      <c r="AI1826">
        <v>94.726497873640398</v>
      </c>
      <c r="AJ1826">
        <v>89.5413711225833</v>
      </c>
      <c r="AK1826">
        <v>0.79805173515928596</v>
      </c>
      <c r="AL1826">
        <v>89.539791844086693</v>
      </c>
      <c r="AM1826">
        <v>87.711825221885505</v>
      </c>
      <c r="AN1826">
        <v>0.99999997518679196</v>
      </c>
    </row>
    <row r="1827" spans="1:40" x14ac:dyDescent="0.25">
      <c r="A1827" t="str">
        <f>"20190312160331873"</f>
        <v>20190312160331873</v>
      </c>
      <c r="B1827" t="str">
        <f>"1552377811866042"</f>
        <v>1552377811866042</v>
      </c>
      <c r="C1827" t="s">
        <v>40</v>
      </c>
      <c r="D1827">
        <v>5.6251129999999998</v>
      </c>
      <c r="E1827">
        <v>0.48825069999999998</v>
      </c>
      <c r="F1827" t="s">
        <v>79</v>
      </c>
      <c r="G1827">
        <v>-284.77030000000002</v>
      </c>
      <c r="H1827" s="1">
        <v>6.2137759999999999E-6</v>
      </c>
      <c r="I1827">
        <v>284.96980000000002</v>
      </c>
      <c r="J1827">
        <v>-268.0779</v>
      </c>
      <c r="K1827">
        <v>1.111675</v>
      </c>
      <c r="L1827">
        <v>284.99509999999998</v>
      </c>
      <c r="M1827">
        <v>-0.99989950000000005</v>
      </c>
      <c r="N1827">
        <v>0</v>
      </c>
      <c r="O1827">
        <v>-6.698776E-3</v>
      </c>
      <c r="P1827">
        <v>-0.99943380000000004</v>
      </c>
      <c r="Q1827">
        <v>-3.9931609999999899E-3</v>
      </c>
      <c r="R1827">
        <v>3.3412419999999998E-2</v>
      </c>
      <c r="S1827">
        <v>-3.0010379999999999</v>
      </c>
      <c r="T1827">
        <v>-0.1980288</v>
      </c>
      <c r="U1827">
        <v>-4.8522950000000004E-3</v>
      </c>
      <c r="V1827">
        <v>4.0071700000000002E-2</v>
      </c>
      <c r="W1827">
        <v>8.6590799999999996E-3</v>
      </c>
      <c r="X1827">
        <v>0.99915929999999997</v>
      </c>
      <c r="Y1827">
        <v>5.0568899999999996E-3</v>
      </c>
      <c r="Z1827">
        <v>6.0824429999999997E-4</v>
      </c>
      <c r="AA1827">
        <v>0.99998699999999996</v>
      </c>
      <c r="AB1827">
        <v>30</v>
      </c>
      <c r="AC1827">
        <v>-16.692399999999999</v>
      </c>
      <c r="AD1827">
        <v>-1.111668786224</v>
      </c>
      <c r="AE1827">
        <v>-2.52999999999588E-2</v>
      </c>
      <c r="AF1827">
        <v>8.6145872289917796E-2</v>
      </c>
      <c r="AG1827">
        <v>-1.111668786224</v>
      </c>
      <c r="AH1827">
        <v>16.618488745392501</v>
      </c>
      <c r="AI1827">
        <v>93.826962149422698</v>
      </c>
      <c r="AJ1827">
        <v>89.702996417370301</v>
      </c>
      <c r="AK1827">
        <v>16.655851727915699</v>
      </c>
      <c r="AL1827">
        <v>89.503865068239506</v>
      </c>
      <c r="AM1827">
        <v>87.703359703585605</v>
      </c>
      <c r="AN1827">
        <v>1.0000000137919101</v>
      </c>
    </row>
    <row r="1828" spans="1:40" x14ac:dyDescent="0.25">
      <c r="A1828" t="str">
        <f>"20190312160331890"</f>
        <v>20190312160331890</v>
      </c>
      <c r="B1828" t="str">
        <f>"1552377811886537"</f>
        <v>1552377811886537</v>
      </c>
      <c r="C1828" t="s">
        <v>40</v>
      </c>
      <c r="D1828">
        <v>5.7029439999999996</v>
      </c>
      <c r="E1828">
        <v>0.48847780000000002</v>
      </c>
      <c r="F1828" t="s">
        <v>79</v>
      </c>
      <c r="G1828">
        <v>-285.16919999999999</v>
      </c>
      <c r="H1828" s="1">
        <v>6.0404760000000002E-6</v>
      </c>
      <c r="I1828">
        <v>284.95249999999999</v>
      </c>
      <c r="J1828">
        <v>-268.29790000000003</v>
      </c>
      <c r="K1828">
        <v>1.1116569999999999</v>
      </c>
      <c r="L1828">
        <v>284.99209999999999</v>
      </c>
      <c r="M1828">
        <v>-0.9998882</v>
      </c>
      <c r="N1828">
        <v>0</v>
      </c>
      <c r="O1828">
        <v>-8.2193319999999993E-3</v>
      </c>
      <c r="P1828">
        <v>-0.9994864</v>
      </c>
      <c r="Q1828">
        <v>-3.8802810000000002E-3</v>
      </c>
      <c r="R1828">
        <v>3.1816589999999999E-2</v>
      </c>
      <c r="S1828">
        <v>-3.0011290000000002</v>
      </c>
      <c r="T1828">
        <v>-0.1952034</v>
      </c>
      <c r="U1828">
        <v>-7.4768069999999898E-3</v>
      </c>
      <c r="V1828">
        <v>3.9995360000000001E-2</v>
      </c>
      <c r="W1828">
        <v>8.7706569999999994E-3</v>
      </c>
      <c r="X1828">
        <v>0.99916139999999998</v>
      </c>
      <c r="Y1828">
        <v>5.6992960000000004E-3</v>
      </c>
      <c r="Z1828">
        <v>7.1923799999999997E-4</v>
      </c>
      <c r="AA1828">
        <v>0.99998350000000003</v>
      </c>
      <c r="AB1828">
        <v>30</v>
      </c>
      <c r="AC1828">
        <v>-16.871299999999898</v>
      </c>
      <c r="AD1828">
        <v>-1.1116509595239901</v>
      </c>
      <c r="AE1828">
        <v>-3.9600000000007102E-2</v>
      </c>
      <c r="AF1828">
        <v>9.8654666646648001E-2</v>
      </c>
      <c r="AG1828">
        <v>-1.1116509595239901</v>
      </c>
      <c r="AH1828">
        <v>16.798126856842401</v>
      </c>
      <c r="AI1828">
        <v>93.786081610266194</v>
      </c>
      <c r="AJ1828">
        <v>89.663508253644594</v>
      </c>
      <c r="AK1828">
        <v>16.8351586418908</v>
      </c>
      <c r="AL1828">
        <v>89.497471941617903</v>
      </c>
      <c r="AM1828">
        <v>87.707735139821807</v>
      </c>
      <c r="AN1828">
        <v>1.0000000282478501</v>
      </c>
    </row>
    <row r="1829" spans="1:40" x14ac:dyDescent="0.25">
      <c r="A1829" t="str">
        <f>"20190312160331913"</f>
        <v>20190312160331913</v>
      </c>
      <c r="B1829" t="str">
        <f>"1552377811906061"</f>
        <v>1552377811906061</v>
      </c>
      <c r="C1829" t="s">
        <v>40</v>
      </c>
      <c r="D1829">
        <v>5.6653460000000004</v>
      </c>
      <c r="E1829">
        <v>0.48895450000000001</v>
      </c>
      <c r="F1829" t="s">
        <v>79</v>
      </c>
      <c r="G1829">
        <v>-285.3997</v>
      </c>
      <c r="H1829" s="1">
        <v>5.94258799999999E-6</v>
      </c>
      <c r="I1829">
        <v>284.9314</v>
      </c>
      <c r="J1829">
        <v>-268.61180000000002</v>
      </c>
      <c r="K1829">
        <v>1.111645</v>
      </c>
      <c r="L1829">
        <v>284.98719999999997</v>
      </c>
      <c r="M1829">
        <v>-0.99986799999999998</v>
      </c>
      <c r="N1829">
        <v>0</v>
      </c>
      <c r="O1829">
        <v>-1.0392169999999999E-2</v>
      </c>
      <c r="P1829">
        <v>-0.99956769999999995</v>
      </c>
      <c r="Q1829">
        <v>-3.8682040000000001E-3</v>
      </c>
      <c r="R1829">
        <v>2.9144819999999998E-2</v>
      </c>
      <c r="S1829">
        <v>-3.00116</v>
      </c>
      <c r="T1829">
        <v>-0.19508020000000001</v>
      </c>
      <c r="U1829">
        <v>-1.0650629999999999E-2</v>
      </c>
      <c r="V1829">
        <v>3.9495780000000001E-2</v>
      </c>
      <c r="W1829">
        <v>8.7811460000000001E-3</v>
      </c>
      <c r="X1829">
        <v>0.99918119999999999</v>
      </c>
      <c r="Y1829">
        <v>6.8079919999999997E-3</v>
      </c>
      <c r="Z1829">
        <v>8.9586549999999998E-4</v>
      </c>
      <c r="AA1829">
        <v>0.99997639999999999</v>
      </c>
      <c r="AB1829">
        <v>30</v>
      </c>
      <c r="AC1829">
        <v>-16.787899999999901</v>
      </c>
      <c r="AD1829">
        <v>-1.1116390574120001</v>
      </c>
      <c r="AE1829">
        <v>-5.57999999999765E-2</v>
      </c>
      <c r="AF1829">
        <v>0.118161242955082</v>
      </c>
      <c r="AG1829">
        <v>-1.1116390574120001</v>
      </c>
      <c r="AH1829">
        <v>16.714287761416799</v>
      </c>
      <c r="AI1829">
        <v>93.804947004379997</v>
      </c>
      <c r="AJ1829">
        <v>89.594955654795996</v>
      </c>
      <c r="AK1829">
        <v>16.7516303339331</v>
      </c>
      <c r="AL1829">
        <v>89.496870952896302</v>
      </c>
      <c r="AM1829">
        <v>87.736382539741101</v>
      </c>
      <c r="AN1829">
        <v>1.0000000477981501</v>
      </c>
    </row>
    <row r="1830" spans="1:40" x14ac:dyDescent="0.25">
      <c r="A1830" t="str">
        <f>"20190312160331925"</f>
        <v>20190312160331925</v>
      </c>
      <c r="B1830" t="str">
        <f>"1552377811916794"</f>
        <v>1552377811916794</v>
      </c>
      <c r="C1830" t="s">
        <v>40</v>
      </c>
      <c r="D1830">
        <v>5.712504</v>
      </c>
      <c r="E1830">
        <v>0.4888245</v>
      </c>
      <c r="F1830" t="s">
        <v>79</v>
      </c>
      <c r="G1830">
        <v>-285.61989999999997</v>
      </c>
      <c r="H1830" s="1">
        <v>5.850892E-6</v>
      </c>
      <c r="I1830">
        <v>284.90269999999998</v>
      </c>
      <c r="J1830">
        <v>-268.7765</v>
      </c>
      <c r="K1830">
        <v>1.111642</v>
      </c>
      <c r="L1830">
        <v>284.98430000000002</v>
      </c>
      <c r="M1830">
        <v>-0.99985550000000001</v>
      </c>
      <c r="N1830">
        <v>0</v>
      </c>
      <c r="O1830">
        <v>-1.153188E-2</v>
      </c>
      <c r="P1830">
        <v>-0.99961409999999995</v>
      </c>
      <c r="Q1830">
        <v>-3.789939E-3</v>
      </c>
      <c r="R1830">
        <v>2.7525870000000001E-2</v>
      </c>
      <c r="S1830">
        <v>-3.0009769999999998</v>
      </c>
      <c r="T1830">
        <v>-0.19614290000000001</v>
      </c>
      <c r="U1830">
        <v>-1.4892580000000001E-2</v>
      </c>
      <c r="V1830">
        <v>3.901628E-2</v>
      </c>
      <c r="W1830">
        <v>8.856961E-3</v>
      </c>
      <c r="X1830">
        <v>0.99919930000000001</v>
      </c>
      <c r="Y1830">
        <v>6.5319089999999998E-3</v>
      </c>
      <c r="Z1830">
        <v>9.6618609999999999E-4</v>
      </c>
      <c r="AA1830">
        <v>0.99997820000000004</v>
      </c>
      <c r="AB1830">
        <v>30</v>
      </c>
      <c r="AC1830">
        <v>-16.8433999999999</v>
      </c>
      <c r="AD1830">
        <v>-1.111636149108</v>
      </c>
      <c r="AE1830">
        <v>-8.1600000000037198E-2</v>
      </c>
      <c r="AF1830">
        <v>0.112168078215533</v>
      </c>
      <c r="AG1830">
        <v>-1.111636149108</v>
      </c>
      <c r="AH1830">
        <v>16.7701754523139</v>
      </c>
      <c r="AI1830">
        <v>93.792303851357701</v>
      </c>
      <c r="AJ1830">
        <v>89.616780297766397</v>
      </c>
      <c r="AK1830">
        <v>16.807352596621701</v>
      </c>
      <c r="AL1830">
        <v>89.492526869473096</v>
      </c>
      <c r="AM1830">
        <v>87.763876468830702</v>
      </c>
      <c r="AN1830">
        <v>0.99999997849184097</v>
      </c>
    </row>
    <row r="1831" spans="1:40" x14ac:dyDescent="0.25">
      <c r="A1831" t="str">
        <f>"20190312160331938"</f>
        <v>20190312160331938</v>
      </c>
      <c r="B1831" t="str">
        <f>"1552377811926553"</f>
        <v>1552377811926553</v>
      </c>
      <c r="C1831" t="s">
        <v>40</v>
      </c>
      <c r="D1831">
        <v>5.8286230000000003</v>
      </c>
      <c r="E1831">
        <v>0.4888245</v>
      </c>
      <c r="F1831" t="s">
        <v>79</v>
      </c>
      <c r="G1831">
        <v>-285.42500000000001</v>
      </c>
      <c r="H1831" s="1">
        <v>5.9448250000000003E-6</v>
      </c>
      <c r="I1831">
        <v>284.86630000000002</v>
      </c>
      <c r="J1831">
        <v>-268.93970000000002</v>
      </c>
      <c r="K1831">
        <v>1.1116379999999999</v>
      </c>
      <c r="L1831">
        <v>284.98129999999998</v>
      </c>
      <c r="M1831">
        <v>-0.99984170000000006</v>
      </c>
      <c r="N1831">
        <v>0</v>
      </c>
      <c r="O1831">
        <v>-1.266158E-2</v>
      </c>
      <c r="P1831">
        <v>-0.99965649999999995</v>
      </c>
      <c r="Q1831">
        <v>-3.3634789999999999E-3</v>
      </c>
      <c r="R1831">
        <v>2.598924E-2</v>
      </c>
      <c r="S1831">
        <v>-3.0009459999999999</v>
      </c>
      <c r="T1831">
        <v>-0.2003759</v>
      </c>
      <c r="U1831">
        <v>-2.1270750000000001E-2</v>
      </c>
      <c r="V1831">
        <v>3.8607339999999997E-2</v>
      </c>
      <c r="W1831">
        <v>9.2813280000000001E-3</v>
      </c>
      <c r="X1831">
        <v>0.99921139999999997</v>
      </c>
      <c r="Y1831">
        <v>5.5344629999999999E-3</v>
      </c>
      <c r="Z1831">
        <v>1.029077E-3</v>
      </c>
      <c r="AA1831">
        <v>0.99998410000000004</v>
      </c>
      <c r="AB1831">
        <v>30</v>
      </c>
      <c r="AC1831">
        <v>-16.485299999999899</v>
      </c>
      <c r="AD1831">
        <v>-1.1116320551750001</v>
      </c>
      <c r="AE1831">
        <v>-0.114999999999952</v>
      </c>
      <c r="AF1831">
        <v>9.3331115333096695E-2</v>
      </c>
      <c r="AG1831">
        <v>-1.1116320551750001</v>
      </c>
      <c r="AH1831">
        <v>16.4108175598024</v>
      </c>
      <c r="AI1831">
        <v>93.875105691903002</v>
      </c>
      <c r="AJ1831">
        <v>89.674152653596906</v>
      </c>
      <c r="AK1831">
        <v>16.448688990442399</v>
      </c>
      <c r="AL1831">
        <v>89.4682114665233</v>
      </c>
      <c r="AM1831">
        <v>87.787317222366497</v>
      </c>
      <c r="AN1831">
        <v>1.00000004582063</v>
      </c>
    </row>
    <row r="1832" spans="1:40" x14ac:dyDescent="0.25">
      <c r="A1832" t="str">
        <f>"20190312160331952"</f>
        <v>20190312160331952</v>
      </c>
      <c r="B1832" t="str">
        <f>"1552377811946074"</f>
        <v>1552377811946074</v>
      </c>
      <c r="C1832" t="s">
        <v>40</v>
      </c>
      <c r="D1832">
        <v>5.8394019999999998</v>
      </c>
      <c r="E1832">
        <v>0.4892746</v>
      </c>
      <c r="F1832" t="s">
        <v>79</v>
      </c>
      <c r="G1832">
        <v>-285.69549999999998</v>
      </c>
      <c r="H1832" s="1">
        <v>5.8308649999999996E-6</v>
      </c>
      <c r="I1832">
        <v>284.83730000000003</v>
      </c>
      <c r="J1832">
        <v>-269.14069999999998</v>
      </c>
      <c r="K1832">
        <v>1.1116360000000001</v>
      </c>
      <c r="L1832">
        <v>284.97730000000001</v>
      </c>
      <c r="M1832">
        <v>-0.99982329999999997</v>
      </c>
      <c r="N1832">
        <v>0</v>
      </c>
      <c r="O1832">
        <v>-1.405293E-2</v>
      </c>
      <c r="P1832">
        <v>-0.99970420000000004</v>
      </c>
      <c r="Q1832">
        <v>-3.9059300000000002E-3</v>
      </c>
      <c r="R1832">
        <v>2.400619E-2</v>
      </c>
      <c r="S1832">
        <v>-3.0010680000000001</v>
      </c>
      <c r="T1832">
        <v>-0.19909979999999999</v>
      </c>
      <c r="U1832">
        <v>-2.5787350000000001E-2</v>
      </c>
      <c r="V1832">
        <v>3.8017870000000002E-2</v>
      </c>
      <c r="W1832">
        <v>8.7363240000000002E-3</v>
      </c>
      <c r="X1832">
        <v>0.99923879999999998</v>
      </c>
      <c r="Y1832">
        <v>5.4191419999999896E-3</v>
      </c>
      <c r="Z1832">
        <v>1.1108680000000001E-3</v>
      </c>
      <c r="AA1832">
        <v>0.99998469999999995</v>
      </c>
      <c r="AB1832">
        <v>30</v>
      </c>
      <c r="AC1832">
        <v>-16.5548</v>
      </c>
      <c r="AD1832">
        <v>-1.1116301691349999</v>
      </c>
      <c r="AE1832">
        <v>-0.139999999999986</v>
      </c>
      <c r="AF1832">
        <v>9.2259446202367396E-2</v>
      </c>
      <c r="AG1832">
        <v>-1.1116301691349999</v>
      </c>
      <c r="AH1832">
        <v>16.480827108476799</v>
      </c>
      <c r="AI1832">
        <v>93.858689722860802</v>
      </c>
      <c r="AJ1832">
        <v>89.679262355192293</v>
      </c>
      <c r="AK1832">
        <v>16.518531884457801</v>
      </c>
      <c r="AL1832">
        <v>89.499439104054801</v>
      </c>
      <c r="AM1832">
        <v>87.821128090382601</v>
      </c>
      <c r="AN1832">
        <v>0.99999993061090198</v>
      </c>
    </row>
    <row r="1833" spans="1:40" x14ac:dyDescent="0.25">
      <c r="A1833" t="str">
        <f>"20190312160331969"</f>
        <v>20190312160331969</v>
      </c>
      <c r="B1833" t="str">
        <f>"1552377811956810"</f>
        <v>1552377811956810</v>
      </c>
      <c r="C1833" t="s">
        <v>40</v>
      </c>
      <c r="D1833">
        <v>5.799194</v>
      </c>
      <c r="E1833">
        <v>0.48952050000000003</v>
      </c>
      <c r="F1833" t="s">
        <v>79</v>
      </c>
      <c r="G1833">
        <v>-285.47719999999998</v>
      </c>
      <c r="H1833" s="1">
        <v>5.9308239999999999E-6</v>
      </c>
      <c r="I1833">
        <v>284.82209999999998</v>
      </c>
      <c r="J1833">
        <v>-269.36189999999999</v>
      </c>
      <c r="K1833">
        <v>1.1116330000000001</v>
      </c>
      <c r="L1833">
        <v>284.97269999999997</v>
      </c>
      <c r="M1833">
        <v>-0.99980049999999998</v>
      </c>
      <c r="N1833">
        <v>0</v>
      </c>
      <c r="O1833">
        <v>-1.558506E-2</v>
      </c>
      <c r="P1833">
        <v>-0.9997644</v>
      </c>
      <c r="Q1833">
        <v>-4.5775700000000004E-3</v>
      </c>
      <c r="R1833">
        <v>2.1218290000000001E-2</v>
      </c>
      <c r="S1833">
        <v>-3.0007630000000001</v>
      </c>
      <c r="T1833">
        <v>-0.2041888</v>
      </c>
      <c r="U1833">
        <v>-2.8503420000000002E-2</v>
      </c>
      <c r="V1833">
        <v>3.6765359999999997E-2</v>
      </c>
      <c r="W1833">
        <v>8.0597169999999992E-3</v>
      </c>
      <c r="X1833">
        <v>0.99929140000000005</v>
      </c>
      <c r="Y1833">
        <v>6.0384330000000002E-3</v>
      </c>
      <c r="Z1833">
        <v>1.2644799999999999E-3</v>
      </c>
      <c r="AA1833">
        <v>0.99998100000000001</v>
      </c>
      <c r="AB1833">
        <v>30</v>
      </c>
      <c r="AC1833">
        <v>-16.115299999999898</v>
      </c>
      <c r="AD1833">
        <v>-1.111627069176</v>
      </c>
      <c r="AE1833">
        <v>-0.15059999999999699</v>
      </c>
      <c r="AF1833">
        <v>0.100119466752237</v>
      </c>
      <c r="AG1833">
        <v>-1.111627069176</v>
      </c>
      <c r="AH1833">
        <v>16.039378029589301</v>
      </c>
      <c r="AI1833">
        <v>93.964531544085403</v>
      </c>
      <c r="AJ1833">
        <v>89.642358426943701</v>
      </c>
      <c r="AK1833">
        <v>16.0781648898318</v>
      </c>
      <c r="AL1833">
        <v>89.5382072212483</v>
      </c>
      <c r="AM1833">
        <v>87.892956676985705</v>
      </c>
      <c r="AN1833">
        <v>0.99999997642400396</v>
      </c>
    </row>
    <row r="1834" spans="1:40" x14ac:dyDescent="0.25">
      <c r="A1834" t="str">
        <f>"20190312160331997"</f>
        <v>20190312160331997</v>
      </c>
      <c r="B1834" t="str">
        <f>"1552377811987066"</f>
        <v>1552377811987066</v>
      </c>
      <c r="C1834" t="s">
        <v>40</v>
      </c>
      <c r="D1834">
        <v>9.3518699999999999</v>
      </c>
      <c r="E1834">
        <v>0.48950959999999899</v>
      </c>
      <c r="F1834" t="s">
        <v>49</v>
      </c>
      <c r="G1834">
        <v>-270.34320000000002</v>
      </c>
      <c r="H1834">
        <v>1.044162</v>
      </c>
      <c r="I1834">
        <v>284.9615</v>
      </c>
      <c r="J1834">
        <v>-269.74549999999999</v>
      </c>
      <c r="K1834">
        <v>1.111629</v>
      </c>
      <c r="L1834">
        <v>284.96370000000002</v>
      </c>
      <c r="M1834">
        <v>-0.99975570000000002</v>
      </c>
      <c r="N1834">
        <v>0</v>
      </c>
      <c r="O1834">
        <v>-1.8241529999999999E-2</v>
      </c>
      <c r="P1834">
        <v>-0.99983390000000005</v>
      </c>
      <c r="Q1834">
        <v>-3.9613690000000002E-3</v>
      </c>
      <c r="R1834">
        <v>1.7800529999999998E-2</v>
      </c>
      <c r="S1834">
        <v>-3.0004879999999998</v>
      </c>
      <c r="T1834">
        <v>-0.20657800000000001</v>
      </c>
      <c r="U1834">
        <v>-3.4851069999999998E-2</v>
      </c>
      <c r="V1834">
        <v>3.6002079999999999E-2</v>
      </c>
      <c r="W1834">
        <v>8.6729069999999901E-3</v>
      </c>
      <c r="X1834">
        <v>0.99931409999999998</v>
      </c>
      <c r="Y1834">
        <v>6.5705729999999997E-3</v>
      </c>
      <c r="Z1834">
        <v>1.4802909999999999E-3</v>
      </c>
      <c r="AA1834">
        <v>0.99997729999999996</v>
      </c>
      <c r="AB1834">
        <v>30</v>
      </c>
      <c r="AC1834">
        <v>-0.59770000000003098</v>
      </c>
      <c r="AD1834">
        <v>-6.7466999999999902E-2</v>
      </c>
      <c r="AE1834">
        <v>-2.2000000000161799E-3</v>
      </c>
      <c r="AF1834">
        <v>8.5946715194572393E-3</v>
      </c>
      <c r="AG1834">
        <v>-6.7466999999999902E-2</v>
      </c>
      <c r="AH1834">
        <v>0.59012180619558996</v>
      </c>
      <c r="AI1834">
        <v>96.521464905147994</v>
      </c>
      <c r="AJ1834">
        <v>89.165589907947094</v>
      </c>
      <c r="AK1834">
        <v>0.59402812274762995</v>
      </c>
      <c r="AL1834">
        <v>89.503072812728007</v>
      </c>
      <c r="AM1834">
        <v>87.936709299118604</v>
      </c>
      <c r="AN1834">
        <v>1.0000000197694801</v>
      </c>
    </row>
    <row r="1835" spans="1:40" x14ac:dyDescent="0.25">
      <c r="A1835" t="str">
        <f>"20190312160332014"</f>
        <v>20190312160332014</v>
      </c>
      <c r="B1835" t="str">
        <f>"1552377812006585"</f>
        <v>1552377812006585</v>
      </c>
      <c r="C1835" t="s">
        <v>40</v>
      </c>
      <c r="D1835">
        <v>5.7917809999999896</v>
      </c>
      <c r="E1835">
        <v>0.48960569999999998</v>
      </c>
      <c r="F1835" t="s">
        <v>79</v>
      </c>
      <c r="G1835">
        <v>-286.13420000000002</v>
      </c>
      <c r="H1835" s="1">
        <v>5.6606950000000004E-6</v>
      </c>
      <c r="I1835">
        <v>284.71929999999998</v>
      </c>
      <c r="J1835">
        <v>-269.97289999999998</v>
      </c>
      <c r="K1835">
        <v>1.111637</v>
      </c>
      <c r="L1835">
        <v>284.9579</v>
      </c>
      <c r="M1835">
        <v>-0.99972559999999999</v>
      </c>
      <c r="N1835">
        <v>0</v>
      </c>
      <c r="O1835">
        <v>-1.9815019999999999E-2</v>
      </c>
      <c r="P1835">
        <v>-0.9998667</v>
      </c>
      <c r="Q1835">
        <v>-1.537189E-3</v>
      </c>
      <c r="R1835">
        <v>1.6261950000000001E-2</v>
      </c>
      <c r="S1835">
        <v>-3.0004580000000001</v>
      </c>
      <c r="T1835">
        <v>-0.203517</v>
      </c>
      <c r="U1835">
        <v>-4.4738769999999997E-2</v>
      </c>
      <c r="V1835">
        <v>3.6027360000000001E-2</v>
      </c>
      <c r="W1835">
        <v>1.109655E-2</v>
      </c>
      <c r="X1835">
        <v>0.99928919999999999</v>
      </c>
      <c r="Y1835">
        <v>4.8516380000000001E-3</v>
      </c>
      <c r="Z1835">
        <v>1.5067399999999999E-3</v>
      </c>
      <c r="AA1835">
        <v>0.99998710000000002</v>
      </c>
      <c r="AB1835">
        <v>30</v>
      </c>
      <c r="AC1835">
        <v>-16.161300000000001</v>
      </c>
      <c r="AD1835">
        <v>-1.1116313393049999</v>
      </c>
      <c r="AE1835">
        <v>-0.23860000000001899</v>
      </c>
      <c r="AF1835">
        <v>8.1323659140063898E-2</v>
      </c>
      <c r="AG1835">
        <v>-1.1116313393049999</v>
      </c>
      <c r="AH1835">
        <v>16.086761984916201</v>
      </c>
      <c r="AI1835">
        <v>93.952932543626005</v>
      </c>
      <c r="AJ1835">
        <v>89.710354218258402</v>
      </c>
      <c r="AK1835">
        <v>16.125329420864698</v>
      </c>
      <c r="AL1835">
        <v>89.364201472345897</v>
      </c>
      <c r="AM1835">
        <v>87.935210343766499</v>
      </c>
      <c r="AN1835">
        <v>1.00000000466355</v>
      </c>
    </row>
    <row r="1836" spans="1:40" x14ac:dyDescent="0.25">
      <c r="A1836" t="str">
        <f>"20190312160332025"</f>
        <v>20190312160332025</v>
      </c>
      <c r="B1836" t="str">
        <f>"1552377812016346"</f>
        <v>1552377812016346</v>
      </c>
      <c r="C1836" t="s">
        <v>40</v>
      </c>
      <c r="D1836">
        <v>5.5841539999999998</v>
      </c>
      <c r="E1836">
        <v>0.48961939999999998</v>
      </c>
      <c r="F1836" t="s">
        <v>79</v>
      </c>
      <c r="G1836">
        <v>-286.62189999999998</v>
      </c>
      <c r="H1836" s="1">
        <v>5.4514430000000001E-6</v>
      </c>
      <c r="I1836">
        <v>284.68549999999999</v>
      </c>
      <c r="J1836">
        <v>-270.13400000000001</v>
      </c>
      <c r="K1836">
        <v>1.111639</v>
      </c>
      <c r="L1836">
        <v>284.95359999999999</v>
      </c>
      <c r="M1836">
        <v>-0.99970300000000001</v>
      </c>
      <c r="N1836">
        <v>0</v>
      </c>
      <c r="O1836">
        <v>-2.0930279999999999E-2</v>
      </c>
      <c r="P1836">
        <v>-0.99988560000000004</v>
      </c>
      <c r="Q1836" s="1">
        <v>-9.3270089999999999E-5</v>
      </c>
      <c r="R1836">
        <v>1.514565E-2</v>
      </c>
      <c r="S1836">
        <v>-3.0008849999999998</v>
      </c>
      <c r="T1836">
        <v>-0.20036519999999999</v>
      </c>
      <c r="U1836">
        <v>-4.9102779999999999E-2</v>
      </c>
      <c r="V1836">
        <v>3.6020660000000003E-2</v>
      </c>
      <c r="W1836">
        <v>1.2540320000000001E-2</v>
      </c>
      <c r="X1836">
        <v>0.9992723</v>
      </c>
      <c r="Y1836">
        <v>4.515486E-3</v>
      </c>
      <c r="Z1836">
        <v>1.546382E-3</v>
      </c>
      <c r="AA1836">
        <v>0.99998860000000001</v>
      </c>
      <c r="AB1836">
        <v>30</v>
      </c>
      <c r="AC1836">
        <v>-16.4878999999999</v>
      </c>
      <c r="AD1836">
        <v>-1.1116335485569999</v>
      </c>
      <c r="AE1836">
        <v>-0.268100000000004</v>
      </c>
      <c r="AF1836">
        <v>7.67332878425908E-2</v>
      </c>
      <c r="AG1836">
        <v>-1.1116335485569999</v>
      </c>
      <c r="AH1836">
        <v>16.4153014963996</v>
      </c>
      <c r="AI1836">
        <v>93.874075858961504</v>
      </c>
      <c r="AJ1836">
        <v>89.732172965544393</v>
      </c>
      <c r="AK1836">
        <v>16.4530769268681</v>
      </c>
      <c r="AL1836">
        <v>89.281473712740606</v>
      </c>
      <c r="AM1836">
        <v>87.935559116297796</v>
      </c>
      <c r="AN1836">
        <v>0.99999993855991198</v>
      </c>
    </row>
    <row r="1837" spans="1:40" x14ac:dyDescent="0.25">
      <c r="A1837" t="str">
        <f>"20190312160332037"</f>
        <v>20190312160332037</v>
      </c>
      <c r="B1837" t="str">
        <f>"1552377812026106"</f>
        <v>1552377812026106</v>
      </c>
      <c r="C1837" t="s">
        <v>40</v>
      </c>
      <c r="D1837">
        <v>4.8864289999999997</v>
      </c>
      <c r="E1837">
        <v>0.4896858</v>
      </c>
      <c r="F1837" t="s">
        <v>79</v>
      </c>
      <c r="G1837">
        <v>-287.22719999999998</v>
      </c>
      <c r="H1837" s="1">
        <v>5.1892469999999996E-6</v>
      </c>
      <c r="I1837">
        <v>284.65519999999998</v>
      </c>
      <c r="J1837">
        <v>-270.2912</v>
      </c>
      <c r="K1837">
        <v>1.1116440000000001</v>
      </c>
      <c r="L1837">
        <v>284.94920000000002</v>
      </c>
      <c r="M1837">
        <v>-0.9996796</v>
      </c>
      <c r="N1837">
        <v>0</v>
      </c>
      <c r="O1837">
        <v>-2.2017180000000001E-2</v>
      </c>
      <c r="P1837">
        <v>-0.99989320000000004</v>
      </c>
      <c r="Q1837">
        <v>1.3520380000000001E-3</v>
      </c>
      <c r="R1837">
        <v>1.4568599999999999E-2</v>
      </c>
      <c r="S1837">
        <v>-3.00116</v>
      </c>
      <c r="T1837">
        <v>-0.19517660000000001</v>
      </c>
      <c r="U1837">
        <v>-5.2398680000000003E-2</v>
      </c>
      <c r="V1837">
        <v>3.6524460000000002E-2</v>
      </c>
      <c r="W1837">
        <v>1.3987390000000001E-2</v>
      </c>
      <c r="X1837">
        <v>0.99923490000000004</v>
      </c>
      <c r="Y1837">
        <v>4.5069460000000004E-3</v>
      </c>
      <c r="Z1837">
        <v>1.576582E-3</v>
      </c>
      <c r="AA1837">
        <v>0.99998860000000001</v>
      </c>
      <c r="AB1837">
        <v>30</v>
      </c>
      <c r="AC1837">
        <v>-16.9359999999999</v>
      </c>
      <c r="AD1837">
        <v>-1.111638810753</v>
      </c>
      <c r="AE1837">
        <v>-0.29400000000003901</v>
      </c>
      <c r="AF1837">
        <v>7.8644594437590795E-2</v>
      </c>
      <c r="AG1837">
        <v>-1.111638810753</v>
      </c>
      <c r="AH1837">
        <v>16.865726819246099</v>
      </c>
      <c r="AI1837">
        <v>93.770933263326995</v>
      </c>
      <c r="AJ1837">
        <v>89.732832700725794</v>
      </c>
      <c r="AK1837">
        <v>16.902504754007499</v>
      </c>
      <c r="AL1837">
        <v>89.198555479272301</v>
      </c>
      <c r="AM1837">
        <v>87.906632214509798</v>
      </c>
      <c r="AN1837">
        <v>1.0000000343176501</v>
      </c>
    </row>
    <row r="1838" spans="1:40" x14ac:dyDescent="0.25">
      <c r="A1838" t="str">
        <f>"20190312160332058"</f>
        <v>20190312160332058</v>
      </c>
      <c r="B1838" t="str">
        <f>"1552377812046601"</f>
        <v>1552377812046601</v>
      </c>
      <c r="C1838" t="s">
        <v>40</v>
      </c>
      <c r="D1838">
        <v>5.5690600000000003</v>
      </c>
      <c r="E1838">
        <v>0.48973719999999998</v>
      </c>
      <c r="F1838" t="s">
        <v>79</v>
      </c>
      <c r="G1838">
        <v>-287.84379999999999</v>
      </c>
      <c r="H1838" s="1">
        <v>4.9197630000000004E-6</v>
      </c>
      <c r="I1838">
        <v>284.63600000000002</v>
      </c>
      <c r="J1838">
        <v>-270.56369999999998</v>
      </c>
      <c r="K1838">
        <v>1.1116520000000001</v>
      </c>
      <c r="L1838">
        <v>284.94119999999998</v>
      </c>
      <c r="M1838">
        <v>-0.99963639999999998</v>
      </c>
      <c r="N1838">
        <v>0</v>
      </c>
      <c r="O1838">
        <v>-2.3899500000000001E-2</v>
      </c>
      <c r="P1838">
        <v>-0.99990219999999996</v>
      </c>
      <c r="Q1838">
        <v>4.4181910000000001E-3</v>
      </c>
      <c r="R1838">
        <v>1.329341E-2</v>
      </c>
      <c r="S1838">
        <v>-3.0013730000000001</v>
      </c>
      <c r="T1838">
        <v>-0.19008240000000001</v>
      </c>
      <c r="U1838">
        <v>-5.3558349999999998E-2</v>
      </c>
      <c r="V1838">
        <v>3.7118980000000003E-2</v>
      </c>
      <c r="W1838">
        <v>1.7054989999999999E-2</v>
      </c>
      <c r="X1838">
        <v>0.99916530000000003</v>
      </c>
      <c r="Y1838">
        <v>6.0010030000000004E-3</v>
      </c>
      <c r="Z1838">
        <v>1.701716E-3</v>
      </c>
      <c r="AA1838">
        <v>0.9999806</v>
      </c>
      <c r="AB1838">
        <v>30</v>
      </c>
      <c r="AC1838">
        <v>-17.280100000000001</v>
      </c>
      <c r="AD1838">
        <v>-1.111647080237</v>
      </c>
      <c r="AE1838">
        <v>-0.30520000000001302</v>
      </c>
      <c r="AF1838">
        <v>0.107460546068351</v>
      </c>
      <c r="AG1838">
        <v>-1.111647080237</v>
      </c>
      <c r="AH1838">
        <v>17.211251853809799</v>
      </c>
      <c r="AI1838">
        <v>93.6954373349338</v>
      </c>
      <c r="AJ1838">
        <v>89.642271474389801</v>
      </c>
      <c r="AK1838">
        <v>17.247449010657601</v>
      </c>
      <c r="AL1838">
        <v>89.022773668893805</v>
      </c>
      <c r="AM1838">
        <v>87.872440819415203</v>
      </c>
      <c r="AN1838">
        <v>0.99999999404211504</v>
      </c>
    </row>
    <row r="1839" spans="1:40" x14ac:dyDescent="0.25">
      <c r="A1839" t="str">
        <f>"20190312160332070"</f>
        <v>20190312160332070</v>
      </c>
      <c r="B1839" t="str">
        <f>"1552377812066122"</f>
        <v>1552377812066122</v>
      </c>
      <c r="C1839" t="s">
        <v>40</v>
      </c>
      <c r="D1839">
        <v>5.7102599999999999</v>
      </c>
      <c r="E1839">
        <v>0.49009170000000002</v>
      </c>
      <c r="F1839" t="s">
        <v>79</v>
      </c>
      <c r="G1839">
        <v>-289.10359999999997</v>
      </c>
      <c r="H1839" s="1">
        <v>4.3705360000000001E-6</v>
      </c>
      <c r="I1839">
        <v>284.59050000000002</v>
      </c>
      <c r="J1839">
        <v>-270.72500000000002</v>
      </c>
      <c r="K1839">
        <v>1.1116539999999999</v>
      </c>
      <c r="L1839">
        <v>284.93619999999999</v>
      </c>
      <c r="M1839">
        <v>-0.99960919999999998</v>
      </c>
      <c r="N1839">
        <v>0</v>
      </c>
      <c r="O1839">
        <v>-2.5011640000000002E-2</v>
      </c>
      <c r="P1839">
        <v>-0.9999112</v>
      </c>
      <c r="Q1839">
        <v>5.3553510000000004E-3</v>
      </c>
      <c r="R1839">
        <v>1.221349E-2</v>
      </c>
      <c r="S1839">
        <v>-3.001862</v>
      </c>
      <c r="T1839">
        <v>-0.17999119999999999</v>
      </c>
      <c r="U1839">
        <v>-5.6793209999999997E-2</v>
      </c>
      <c r="V1839">
        <v>3.7147390000000002E-2</v>
      </c>
      <c r="W1839">
        <v>1.799183E-2</v>
      </c>
      <c r="X1839">
        <v>0.99914780000000003</v>
      </c>
      <c r="Y1839">
        <v>6.0433469999999897E-3</v>
      </c>
      <c r="Z1839">
        <v>1.6791270000000001E-3</v>
      </c>
      <c r="AA1839">
        <v>0.99998030000000004</v>
      </c>
      <c r="AB1839">
        <v>30</v>
      </c>
      <c r="AC1839">
        <v>-18.378599999999899</v>
      </c>
      <c r="AD1839">
        <v>-1.1116496294639999</v>
      </c>
      <c r="AE1839">
        <v>-0.34569999999996498</v>
      </c>
      <c r="AF1839">
        <v>0.113707062939534</v>
      </c>
      <c r="AG1839">
        <v>-1.1116496294639999</v>
      </c>
      <c r="AH1839">
        <v>18.314515558139401</v>
      </c>
      <c r="AI1839">
        <v>93.473395838756502</v>
      </c>
      <c r="AJ1839">
        <v>89.644279365217798</v>
      </c>
      <c r="AK1839">
        <v>18.348574176872201</v>
      </c>
      <c r="AL1839">
        <v>88.969088431260602</v>
      </c>
      <c r="AM1839">
        <v>87.870776675289093</v>
      </c>
      <c r="AN1839">
        <v>0.99999998038769999</v>
      </c>
    </row>
    <row r="1840" spans="1:40" x14ac:dyDescent="0.25">
      <c r="A1840" t="str">
        <f>"20190312160332081"</f>
        <v>20190312160332081</v>
      </c>
      <c r="B1840" t="str">
        <f>"1552377812076857"</f>
        <v>1552377812076857</v>
      </c>
      <c r="C1840" t="s">
        <v>40</v>
      </c>
      <c r="D1840">
        <v>5.7562870000000004</v>
      </c>
      <c r="E1840">
        <v>0.49034139999999998</v>
      </c>
      <c r="F1840" t="s">
        <v>79</v>
      </c>
      <c r="G1840">
        <v>-289.54270000000002</v>
      </c>
      <c r="H1840" s="1">
        <v>4.1781529999999998E-6</v>
      </c>
      <c r="I1840">
        <v>284.57909999999998</v>
      </c>
      <c r="J1840">
        <v>-270.88569999999999</v>
      </c>
      <c r="K1840">
        <v>1.1116569999999999</v>
      </c>
      <c r="L1840">
        <v>284.93110000000001</v>
      </c>
      <c r="M1840">
        <v>-0.99958089999999999</v>
      </c>
      <c r="N1840">
        <v>0</v>
      </c>
      <c r="O1840">
        <v>-2.6117930000000001E-2</v>
      </c>
      <c r="P1840">
        <v>-0.99991850000000004</v>
      </c>
      <c r="Q1840">
        <v>6.0390230000000001E-3</v>
      </c>
      <c r="R1840">
        <v>1.126919E-2</v>
      </c>
      <c r="S1840">
        <v>-3.0019230000000001</v>
      </c>
      <c r="T1840">
        <v>-0.1773372</v>
      </c>
      <c r="U1840">
        <v>-5.6976319999999997E-2</v>
      </c>
      <c r="V1840">
        <v>3.7307069999999998E-2</v>
      </c>
      <c r="W1840">
        <v>1.8675500000000001E-2</v>
      </c>
      <c r="X1840">
        <v>0.99912939999999995</v>
      </c>
      <c r="Y1840">
        <v>7.0873580000000002E-3</v>
      </c>
      <c r="Z1840">
        <v>1.7504560000000001E-3</v>
      </c>
      <c r="AA1840">
        <v>0.99997340000000001</v>
      </c>
      <c r="AB1840">
        <v>30</v>
      </c>
      <c r="AC1840">
        <v>-18.657</v>
      </c>
      <c r="AD1840">
        <v>-1.1116528218470001</v>
      </c>
      <c r="AE1840">
        <v>-0.35200000000003201</v>
      </c>
      <c r="AF1840">
        <v>0.13496132839193001</v>
      </c>
      <c r="AG1840">
        <v>-1.1116528218470001</v>
      </c>
      <c r="AH1840">
        <v>18.5938400969602</v>
      </c>
      <c r="AI1840">
        <v>93.421327581115605</v>
      </c>
      <c r="AJ1840">
        <v>89.584132235139194</v>
      </c>
      <c r="AK1840">
        <v>18.627530059237699</v>
      </c>
      <c r="AL1840">
        <v>88.9299105403814</v>
      </c>
      <c r="AM1840">
        <v>87.861593232259693</v>
      </c>
      <c r="AN1840">
        <v>1.00000007485829</v>
      </c>
    </row>
    <row r="1841" spans="1:40" x14ac:dyDescent="0.25">
      <c r="A1841" t="str">
        <f>"20190312160332104"</f>
        <v>20190312160332104</v>
      </c>
      <c r="B1841" t="str">
        <f>"1552377812096378"</f>
        <v>1552377812096378</v>
      </c>
      <c r="C1841" t="s">
        <v>40</v>
      </c>
      <c r="D1841">
        <v>5.7502149999999999</v>
      </c>
      <c r="E1841">
        <v>0.49075849999999999</v>
      </c>
      <c r="F1841" t="s">
        <v>79</v>
      </c>
      <c r="G1841">
        <v>-289.82760000000002</v>
      </c>
      <c r="H1841" s="1">
        <v>4.0543880000000002E-6</v>
      </c>
      <c r="I1841">
        <v>284.56659999999999</v>
      </c>
      <c r="J1841">
        <v>-271.17939999999999</v>
      </c>
      <c r="K1841">
        <v>1.1116520000000001</v>
      </c>
      <c r="L1841">
        <v>284.92129999999997</v>
      </c>
      <c r="M1841">
        <v>-0.99952629999999998</v>
      </c>
      <c r="N1841">
        <v>0</v>
      </c>
      <c r="O1841">
        <v>-2.813189E-2</v>
      </c>
      <c r="P1841">
        <v>-0.99993010000000004</v>
      </c>
      <c r="Q1841">
        <v>7.0789869999999897E-3</v>
      </c>
      <c r="R1841">
        <v>9.4943379999999997E-3</v>
      </c>
      <c r="S1841">
        <v>-3.0019529999999999</v>
      </c>
      <c r="T1841">
        <v>-0.17617720000000001</v>
      </c>
      <c r="U1841">
        <v>-5.776978E-2</v>
      </c>
      <c r="V1841">
        <v>3.7542569999999997E-2</v>
      </c>
      <c r="W1841">
        <v>1.9715770000000001E-2</v>
      </c>
      <c r="X1841">
        <v>0.99910049999999995</v>
      </c>
      <c r="Y1841">
        <v>8.8324230000000007E-3</v>
      </c>
      <c r="Z1841">
        <v>1.908203E-3</v>
      </c>
      <c r="AA1841">
        <v>0.99995919999999905</v>
      </c>
      <c r="AB1841">
        <v>30</v>
      </c>
      <c r="AC1841">
        <v>-18.648199999999999</v>
      </c>
      <c r="AD1841">
        <v>-1.1116479456119901</v>
      </c>
      <c r="AE1841">
        <v>-0.35469999999997898</v>
      </c>
      <c r="AF1841">
        <v>0.169488315703889</v>
      </c>
      <c r="AG1841">
        <v>-1.1116479456119901</v>
      </c>
      <c r="AH1841">
        <v>18.5847796283214</v>
      </c>
      <c r="AI1841">
        <v>93.422924558224494</v>
      </c>
      <c r="AJ1841">
        <v>89.477492003931602</v>
      </c>
      <c r="AK1841">
        <v>18.618767984950399</v>
      </c>
      <c r="AL1841">
        <v>88.870296373308605</v>
      </c>
      <c r="AM1841">
        <v>87.848045053342204</v>
      </c>
      <c r="AN1841">
        <v>0.99999998262457301</v>
      </c>
    </row>
    <row r="1842" spans="1:40" x14ac:dyDescent="0.25">
      <c r="A1842" t="str">
        <f>"20190312160332129"</f>
        <v>20190312160332129</v>
      </c>
      <c r="B1842" t="str">
        <f>"1552377812116874"</f>
        <v>1552377812116874</v>
      </c>
      <c r="C1842" t="s">
        <v>40</v>
      </c>
      <c r="D1842">
        <v>5.6840169999999999</v>
      </c>
      <c r="E1842">
        <v>0.49097790000000002</v>
      </c>
      <c r="F1842" t="s">
        <v>79</v>
      </c>
      <c r="G1842">
        <v>-290.2636</v>
      </c>
      <c r="H1842" s="1">
        <v>2.2588840000000001E-6</v>
      </c>
      <c r="I1842">
        <v>284.54329999999999</v>
      </c>
      <c r="J1842">
        <v>-271.52229999999997</v>
      </c>
      <c r="K1842">
        <v>1.1116429999999999</v>
      </c>
      <c r="L1842">
        <v>284.90910000000002</v>
      </c>
      <c r="M1842">
        <v>-0.99945779999999995</v>
      </c>
      <c r="N1842">
        <v>0</v>
      </c>
      <c r="O1842">
        <v>-3.046447E-2</v>
      </c>
      <c r="P1842">
        <v>-0.99994329999999998</v>
      </c>
      <c r="Q1842">
        <v>7.9196949999999992E-3</v>
      </c>
      <c r="R1842">
        <v>7.1140869999999998E-3</v>
      </c>
      <c r="S1842">
        <v>-3.002014</v>
      </c>
      <c r="T1842">
        <v>-0.17486670000000001</v>
      </c>
      <c r="U1842">
        <v>-5.9448239999999999E-2</v>
      </c>
      <c r="V1842">
        <v>3.749272E-2</v>
      </c>
      <c r="W1842">
        <v>2.0554349999999999E-2</v>
      </c>
      <c r="X1842">
        <v>0.99908549999999996</v>
      </c>
      <c r="Y1842">
        <v>1.0601599999999999E-2</v>
      </c>
      <c r="Z1842">
        <v>2.0811499999999999E-3</v>
      </c>
      <c r="AA1842">
        <v>0.99994159999999999</v>
      </c>
      <c r="AB1842">
        <v>30</v>
      </c>
      <c r="AC1842">
        <v>-18.741299999999999</v>
      </c>
      <c r="AD1842">
        <v>-1.1116407411160001</v>
      </c>
      <c r="AE1842">
        <v>-0.36580000000003499</v>
      </c>
      <c r="AF1842">
        <v>0.204638429602261</v>
      </c>
      <c r="AG1842">
        <v>-1.1116407411160001</v>
      </c>
      <c r="AH1842">
        <v>18.678055182351901</v>
      </c>
      <c r="AI1842">
        <v>93.405786651853703</v>
      </c>
      <c r="AJ1842">
        <v>89.372287471861895</v>
      </c>
      <c r="AK1842">
        <v>18.712225079320799</v>
      </c>
      <c r="AL1842">
        <v>88.822239566902397</v>
      </c>
      <c r="AM1842">
        <v>87.850867558159607</v>
      </c>
      <c r="AN1842">
        <v>1.00000001083358</v>
      </c>
    </row>
    <row r="1843" spans="1:40" x14ac:dyDescent="0.25">
      <c r="A1843" t="str">
        <f>"20190312160332141"</f>
        <v>20190312160332141</v>
      </c>
      <c r="B1843" t="str">
        <f>"1552377812136394"</f>
        <v>1552377812136394</v>
      </c>
      <c r="C1843" t="s">
        <v>40</v>
      </c>
      <c r="D1843">
        <v>5.7939550000000004</v>
      </c>
      <c r="E1843">
        <v>0.49140859999999897</v>
      </c>
      <c r="F1843" t="s">
        <v>79</v>
      </c>
      <c r="G1843">
        <v>-290.80099999999999</v>
      </c>
      <c r="H1843" s="1">
        <v>2.3586249999999998E-6</v>
      </c>
      <c r="I1843">
        <v>284.49279999999999</v>
      </c>
      <c r="J1843">
        <v>-271.68680000000001</v>
      </c>
      <c r="K1843">
        <v>1.1116360000000001</v>
      </c>
      <c r="L1843">
        <v>284.90289999999999</v>
      </c>
      <c r="M1843">
        <v>-0.99942350000000002</v>
      </c>
      <c r="N1843">
        <v>0</v>
      </c>
      <c r="O1843">
        <v>-3.157074E-2</v>
      </c>
      <c r="P1843">
        <v>-0.99994680000000002</v>
      </c>
      <c r="Q1843">
        <v>8.4192720000000002E-3</v>
      </c>
      <c r="R1843">
        <v>5.9638740000000001E-3</v>
      </c>
      <c r="S1843">
        <v>-3.0020449999999999</v>
      </c>
      <c r="T1843">
        <v>-0.17310320000000001</v>
      </c>
      <c r="U1843">
        <v>-6.4819340000000003E-2</v>
      </c>
      <c r="V1843">
        <v>3.744778E-2</v>
      </c>
      <c r="W1843">
        <v>2.1052540000000002E-2</v>
      </c>
      <c r="X1843">
        <v>0.99907679999999999</v>
      </c>
      <c r="Y1843">
        <v>9.9210440000000004E-3</v>
      </c>
      <c r="Z1843">
        <v>2.104224E-3</v>
      </c>
      <c r="AA1843">
        <v>0.99994859999999997</v>
      </c>
      <c r="AB1843">
        <v>30</v>
      </c>
      <c r="AC1843">
        <v>-19.114199999999901</v>
      </c>
      <c r="AD1843">
        <v>-1.1116336413750001</v>
      </c>
      <c r="AE1843">
        <v>-0.41009999999999902</v>
      </c>
      <c r="AF1843">
        <v>0.192948649946274</v>
      </c>
      <c r="AG1843">
        <v>-1.1116336413750001</v>
      </c>
      <c r="AH1843">
        <v>19.0532047837129</v>
      </c>
      <c r="AI1843">
        <v>93.338889215764397</v>
      </c>
      <c r="AJ1843">
        <v>89.419794961449497</v>
      </c>
      <c r="AK1843">
        <v>19.0865809160324</v>
      </c>
      <c r="AL1843">
        <v>88.793689189493506</v>
      </c>
      <c r="AM1843">
        <v>87.853422492518405</v>
      </c>
      <c r="AN1843">
        <v>0.99999999898281</v>
      </c>
    </row>
    <row r="1844" spans="1:40" x14ac:dyDescent="0.25">
      <c r="A1844" t="str">
        <f>"20190312160332159"</f>
        <v>20190312160332159</v>
      </c>
      <c r="B1844" t="str">
        <f>"1552377812146153"</f>
        <v>1552377812146153</v>
      </c>
      <c r="C1844" t="s">
        <v>40</v>
      </c>
      <c r="D1844">
        <v>5.7285130000000004</v>
      </c>
      <c r="E1844">
        <v>0.49140859999999897</v>
      </c>
      <c r="F1844" t="s">
        <v>79</v>
      </c>
      <c r="G1844">
        <v>-291.06040000000002</v>
      </c>
      <c r="H1844" s="1">
        <v>2.405459E-6</v>
      </c>
      <c r="I1844">
        <v>284.48340000000002</v>
      </c>
      <c r="J1844">
        <v>-271.93119999999999</v>
      </c>
      <c r="K1844">
        <v>1.1116280000000001</v>
      </c>
      <c r="L1844">
        <v>284.89350000000002</v>
      </c>
      <c r="M1844">
        <v>-0.9993706</v>
      </c>
      <c r="N1844">
        <v>0</v>
      </c>
      <c r="O1844">
        <v>-3.3202469999999998E-2</v>
      </c>
      <c r="P1844">
        <v>-0.99994749999999999</v>
      </c>
      <c r="Q1844">
        <v>9.4406100000000003E-3</v>
      </c>
      <c r="R1844">
        <v>3.983136E-3</v>
      </c>
      <c r="S1844">
        <v>-3.0019840000000002</v>
      </c>
      <c r="T1844">
        <v>-0.1722506</v>
      </c>
      <c r="U1844">
        <v>-6.5002439999999995E-2</v>
      </c>
      <c r="V1844">
        <v>3.7096360000000002E-2</v>
      </c>
      <c r="W1844">
        <v>2.2070349999999999E-2</v>
      </c>
      <c r="X1844">
        <v>0.99906799999999996</v>
      </c>
      <c r="Y1844">
        <v>1.148767E-2</v>
      </c>
      <c r="Z1844">
        <v>2.2323149999999999E-3</v>
      </c>
      <c r="AA1844">
        <v>0.99993149999999997</v>
      </c>
      <c r="AB1844">
        <v>30</v>
      </c>
      <c r="AC1844">
        <v>-19.129200000000001</v>
      </c>
      <c r="AD1844">
        <v>-1.1116255945410001</v>
      </c>
      <c r="AE1844">
        <v>-0.41009999999999902</v>
      </c>
      <c r="AF1844">
        <v>0.224554422447378</v>
      </c>
      <c r="AG1844">
        <v>-1.1116255945410001</v>
      </c>
      <c r="AH1844">
        <v>19.067907173590999</v>
      </c>
      <c r="AI1844">
        <v>93.336236338746403</v>
      </c>
      <c r="AJ1844">
        <v>89.325283796255604</v>
      </c>
      <c r="AK1844">
        <v>19.101602554020499</v>
      </c>
      <c r="AL1844">
        <v>88.735359479508205</v>
      </c>
      <c r="AM1844">
        <v>87.8735292576565</v>
      </c>
      <c r="AN1844">
        <v>1.0000000544491801</v>
      </c>
    </row>
    <row r="1845" spans="1:40" x14ac:dyDescent="0.25">
      <c r="A1845" t="str">
        <f>"20190312160332173"</f>
        <v>20190312160332173</v>
      </c>
      <c r="B1845" t="str">
        <f>"1552377812166650"</f>
        <v>1552377812166650</v>
      </c>
      <c r="C1845" t="s">
        <v>40</v>
      </c>
      <c r="D1845">
        <v>5.9124759999999998</v>
      </c>
      <c r="E1845">
        <v>0.49174430000000002</v>
      </c>
      <c r="F1845" t="s">
        <v>79</v>
      </c>
      <c r="G1845">
        <v>-291.64609999999999</v>
      </c>
      <c r="H1845" s="1">
        <v>2.5140239999999998E-6</v>
      </c>
      <c r="I1845">
        <v>284.43009999999998</v>
      </c>
      <c r="J1845">
        <v>-272.11970000000002</v>
      </c>
      <c r="K1845">
        <v>1.111615</v>
      </c>
      <c r="L1845">
        <v>284.88589999999999</v>
      </c>
      <c r="M1845">
        <v>-0.99932840000000001</v>
      </c>
      <c r="N1845">
        <v>0</v>
      </c>
      <c r="O1845">
        <v>-3.4448600000000003E-2</v>
      </c>
      <c r="P1845">
        <v>-0.99994550000000004</v>
      </c>
      <c r="Q1845">
        <v>1.017387E-2</v>
      </c>
      <c r="R1845">
        <v>2.375706E-3</v>
      </c>
      <c r="S1845">
        <v>-3.0020449999999999</v>
      </c>
      <c r="T1845">
        <v>-0.16927020000000001</v>
      </c>
      <c r="U1845">
        <v>-7.0556640000000004E-2</v>
      </c>
      <c r="V1845">
        <v>3.6733639999999998E-2</v>
      </c>
      <c r="W1845">
        <v>2.280068E-2</v>
      </c>
      <c r="X1845">
        <v>0.99906490000000003</v>
      </c>
      <c r="Y1845">
        <v>1.088741E-2</v>
      </c>
      <c r="Z1845">
        <v>2.2468980000000002E-3</v>
      </c>
      <c r="AA1845">
        <v>0.9999382</v>
      </c>
      <c r="AB1845">
        <v>30</v>
      </c>
      <c r="AC1845">
        <v>-19.526399999999899</v>
      </c>
      <c r="AD1845">
        <v>-1.1116124859759999</v>
      </c>
      <c r="AE1845">
        <v>-0.45580000000000997</v>
      </c>
      <c r="AF1845">
        <v>0.21647900407239901</v>
      </c>
      <c r="AG1845">
        <v>-1.1116124859759999</v>
      </c>
      <c r="AH1845">
        <v>19.467454345444299</v>
      </c>
      <c r="AI1845">
        <v>93.267899917568101</v>
      </c>
      <c r="AJ1845">
        <v>89.362894508042203</v>
      </c>
      <c r="AK1845">
        <v>19.500367282954901</v>
      </c>
      <c r="AL1845">
        <v>88.693503986137998</v>
      </c>
      <c r="AM1845">
        <v>87.894296080836796</v>
      </c>
      <c r="AN1845">
        <v>0.99999995286405996</v>
      </c>
    </row>
    <row r="1846" spans="1:40" x14ac:dyDescent="0.25">
      <c r="A1846" t="str">
        <f>"20190312160332186"</f>
        <v>20190312160332186</v>
      </c>
      <c r="B1846" t="str">
        <f>"1552377812176410"</f>
        <v>1552377812176410</v>
      </c>
      <c r="C1846" t="s">
        <v>40</v>
      </c>
      <c r="D1846">
        <v>5.9095519999999997</v>
      </c>
      <c r="E1846">
        <v>0.49193880000000001</v>
      </c>
      <c r="F1846" t="s">
        <v>79</v>
      </c>
      <c r="G1846">
        <v>-292.28910000000002</v>
      </c>
      <c r="H1846" s="1">
        <v>2.6308190000000002E-6</v>
      </c>
      <c r="I1846">
        <v>284.39870000000002</v>
      </c>
      <c r="J1846">
        <v>-272.29969999999997</v>
      </c>
      <c r="K1846">
        <v>1.111604</v>
      </c>
      <c r="L1846">
        <v>284.87849999999997</v>
      </c>
      <c r="M1846">
        <v>-0.99928709999999998</v>
      </c>
      <c r="N1846">
        <v>0</v>
      </c>
      <c r="O1846">
        <v>-3.5628449999999999E-2</v>
      </c>
      <c r="P1846">
        <v>-0.99994570000000005</v>
      </c>
      <c r="Q1846">
        <v>1.0369740000000001E-2</v>
      </c>
      <c r="R1846">
        <v>1.0673779999999999E-3</v>
      </c>
      <c r="S1846">
        <v>-3.0019840000000002</v>
      </c>
      <c r="T1846">
        <v>-0.16545079999999901</v>
      </c>
      <c r="U1846">
        <v>-7.2509770000000001E-2</v>
      </c>
      <c r="V1846">
        <v>3.6605770000000003E-2</v>
      </c>
      <c r="W1846">
        <v>2.2994230000000001E-2</v>
      </c>
      <c r="X1846">
        <v>0.99906519999999999</v>
      </c>
      <c r="Y1846">
        <v>1.141793E-2</v>
      </c>
      <c r="Z1846">
        <v>2.2758330000000001E-3</v>
      </c>
      <c r="AA1846">
        <v>0.99993220000000005</v>
      </c>
      <c r="AB1846">
        <v>30</v>
      </c>
      <c r="AC1846">
        <v>-19.9894</v>
      </c>
      <c r="AD1846">
        <v>-1.1116013691810001</v>
      </c>
      <c r="AE1846">
        <v>-0.47979999999995399</v>
      </c>
      <c r="AF1846">
        <v>0.232034397254435</v>
      </c>
      <c r="AG1846">
        <v>-1.1116013691810001</v>
      </c>
      <c r="AH1846">
        <v>19.9321994551598</v>
      </c>
      <c r="AI1846">
        <v>93.191813266323607</v>
      </c>
      <c r="AJ1846">
        <v>89.333039427242397</v>
      </c>
      <c r="AK1846">
        <v>19.964520346999201</v>
      </c>
      <c r="AL1846">
        <v>88.682411535322601</v>
      </c>
      <c r="AM1846">
        <v>87.9016201130501</v>
      </c>
      <c r="AN1846">
        <v>0.99999999543081197</v>
      </c>
    </row>
    <row r="1847" spans="1:40" x14ac:dyDescent="0.25">
      <c r="A1847" t="str">
        <f>"20190312160332204"</f>
        <v>20190312160332204</v>
      </c>
      <c r="B1847" t="str">
        <f>"1552377812195929"</f>
        <v>1552377812195929</v>
      </c>
      <c r="C1847" t="s">
        <v>40</v>
      </c>
      <c r="D1847">
        <v>5.7739770000000004</v>
      </c>
      <c r="E1847">
        <v>0.4923035</v>
      </c>
      <c r="F1847" t="s">
        <v>79</v>
      </c>
      <c r="G1847">
        <v>-292.4128</v>
      </c>
      <c r="H1847" s="1">
        <v>2.6547830000000001E-6</v>
      </c>
      <c r="I1847">
        <v>284.37580000000003</v>
      </c>
      <c r="J1847">
        <v>-272.5471</v>
      </c>
      <c r="K1847">
        <v>1.1115889999999999</v>
      </c>
      <c r="L1847">
        <v>284.86799999999999</v>
      </c>
      <c r="M1847">
        <v>-0.99922880000000003</v>
      </c>
      <c r="N1847">
        <v>0</v>
      </c>
      <c r="O1847">
        <v>-3.7226330000000002E-2</v>
      </c>
      <c r="P1847">
        <v>-0.99993109999999996</v>
      </c>
      <c r="Q1847">
        <v>1.161743E-2</v>
      </c>
      <c r="R1847">
        <v>-1.76387299999999E-3</v>
      </c>
      <c r="S1847">
        <v>-3.0019529999999999</v>
      </c>
      <c r="T1847">
        <v>-0.16591</v>
      </c>
      <c r="U1847">
        <v>-7.5042719999999993E-2</v>
      </c>
      <c r="V1847">
        <v>3.537034E-2</v>
      </c>
      <c r="W1847">
        <v>2.4235090000000001E-2</v>
      </c>
      <c r="X1847">
        <v>0.99908039999999998</v>
      </c>
      <c r="Y1847">
        <v>1.216947E-2</v>
      </c>
      <c r="Z1847">
        <v>2.391055E-3</v>
      </c>
      <c r="AA1847">
        <v>0.99992309999999995</v>
      </c>
      <c r="AB1847">
        <v>30</v>
      </c>
      <c r="AC1847">
        <v>-19.8657</v>
      </c>
      <c r="AD1847">
        <v>-1.1115863452169901</v>
      </c>
      <c r="AE1847">
        <v>-0.492199999999968</v>
      </c>
      <c r="AF1847">
        <v>0.24695328406480799</v>
      </c>
      <c r="AG1847">
        <v>-1.1115863452169901</v>
      </c>
      <c r="AH1847">
        <v>19.8082713475143</v>
      </c>
      <c r="AI1847">
        <v>93.211665568847707</v>
      </c>
      <c r="AJ1847">
        <v>89.285720209916306</v>
      </c>
      <c r="AK1847">
        <v>19.840973360804099</v>
      </c>
      <c r="AL1847">
        <v>88.611295696166906</v>
      </c>
      <c r="AM1847">
        <v>87.972410268250897</v>
      </c>
      <c r="AN1847">
        <v>1.00000002310159</v>
      </c>
    </row>
    <row r="1848" spans="1:40" x14ac:dyDescent="0.25">
      <c r="A1848" t="str">
        <f>"20190312160332217"</f>
        <v>20190312160332217</v>
      </c>
      <c r="B1848" t="str">
        <f>"1552377812206666"</f>
        <v>1552377812206666</v>
      </c>
      <c r="C1848" t="s">
        <v>40</v>
      </c>
      <c r="D1848">
        <v>5.374733</v>
      </c>
      <c r="E1848">
        <v>0.49249520000000002</v>
      </c>
      <c r="F1848" t="s">
        <v>79</v>
      </c>
      <c r="G1848">
        <v>-292.88760000000002</v>
      </c>
      <c r="H1848" s="1">
        <v>2.7435539999999999E-6</v>
      </c>
      <c r="I1848">
        <v>284.3236</v>
      </c>
      <c r="J1848">
        <v>-272.7124</v>
      </c>
      <c r="K1848">
        <v>1.111575</v>
      </c>
      <c r="L1848">
        <v>284.86070000000001</v>
      </c>
      <c r="M1848">
        <v>-0.99918929999999995</v>
      </c>
      <c r="N1848">
        <v>0</v>
      </c>
      <c r="O1848">
        <v>-3.8278489999999998E-2</v>
      </c>
      <c r="P1848">
        <v>-0.99991980000000003</v>
      </c>
      <c r="Q1848">
        <v>1.2237120000000001E-2</v>
      </c>
      <c r="R1848">
        <v>-3.3090540000000001E-3</v>
      </c>
      <c r="S1848">
        <v>-3.0019840000000002</v>
      </c>
      <c r="T1848">
        <v>-0.16405520000000001</v>
      </c>
      <c r="U1848">
        <v>-8.0352779999999999E-2</v>
      </c>
      <c r="V1848">
        <v>3.4876409999999997E-2</v>
      </c>
      <c r="W1848">
        <v>2.485097E-2</v>
      </c>
      <c r="X1848">
        <v>0.99908260000000004</v>
      </c>
      <c r="Y1848">
        <v>1.1456269999999999E-2</v>
      </c>
      <c r="Z1848">
        <v>2.4022050000000001E-3</v>
      </c>
      <c r="AA1848">
        <v>0.99993149999999997</v>
      </c>
      <c r="AB1848">
        <v>30</v>
      </c>
      <c r="AC1848">
        <v>-20.1752</v>
      </c>
      <c r="AD1848">
        <v>-1.111572256446</v>
      </c>
      <c r="AE1848">
        <v>-0.53710000000000901</v>
      </c>
      <c r="AF1848">
        <v>0.23491733727432201</v>
      </c>
      <c r="AG1848">
        <v>-1.111572256446</v>
      </c>
      <c r="AH1848">
        <v>20.119940318719198</v>
      </c>
      <c r="AI1848">
        <v>93.162006987807302</v>
      </c>
      <c r="AJ1848">
        <v>89.331053663139699</v>
      </c>
      <c r="AK1848">
        <v>20.151991898208902</v>
      </c>
      <c r="AL1848">
        <v>88.575997689314903</v>
      </c>
      <c r="AM1848">
        <v>88.000705853962003</v>
      </c>
      <c r="AN1848">
        <v>0.99999998815359403</v>
      </c>
    </row>
    <row r="1849" spans="1:40" x14ac:dyDescent="0.25">
      <c r="A1849" t="str">
        <f>"20190312160332229"</f>
        <v>20190312160332229</v>
      </c>
      <c r="B1849" t="str">
        <f>"1552377812216425"</f>
        <v>1552377812216425</v>
      </c>
      <c r="C1849" t="s">
        <v>40</v>
      </c>
      <c r="D1849">
        <v>5.75345</v>
      </c>
      <c r="E1849">
        <v>0.49264669999999999</v>
      </c>
      <c r="F1849" t="s">
        <v>79</v>
      </c>
      <c r="G1849">
        <v>-293.19630000000001</v>
      </c>
      <c r="H1849" s="1">
        <v>2.8011639999999998E-6</v>
      </c>
      <c r="I1849">
        <v>284.291</v>
      </c>
      <c r="J1849">
        <v>-272.86810000000003</v>
      </c>
      <c r="K1849">
        <v>1.1115619999999999</v>
      </c>
      <c r="L1849">
        <v>284.85379999999998</v>
      </c>
      <c r="M1849">
        <v>-0.99915089999999995</v>
      </c>
      <c r="N1849">
        <v>0</v>
      </c>
      <c r="O1849">
        <v>-3.926379E-2</v>
      </c>
      <c r="P1849">
        <v>-0.99990650000000003</v>
      </c>
      <c r="Q1849">
        <v>1.279983E-2</v>
      </c>
      <c r="R1849">
        <v>-4.822209E-3</v>
      </c>
      <c r="S1849">
        <v>-3.0019230000000001</v>
      </c>
      <c r="T1849">
        <v>-0.16290099999999999</v>
      </c>
      <c r="U1849">
        <v>-8.3496089999999995E-2</v>
      </c>
      <c r="V1849">
        <v>3.4348160000000003E-2</v>
      </c>
      <c r="W1849">
        <v>2.541013E-2</v>
      </c>
      <c r="X1849">
        <v>0.9990869</v>
      </c>
      <c r="Y1849">
        <v>1.1395219999999999E-2</v>
      </c>
      <c r="Z1849">
        <v>2.4370569999999999E-3</v>
      </c>
      <c r="AA1849">
        <v>0.99993209999999999</v>
      </c>
      <c r="AB1849">
        <v>30</v>
      </c>
      <c r="AC1849">
        <v>-20.328199999999899</v>
      </c>
      <c r="AD1849">
        <v>-1.1115591988360001</v>
      </c>
      <c r="AE1849">
        <v>-0.56279999999998098</v>
      </c>
      <c r="AF1849">
        <v>0.235155856166301</v>
      </c>
      <c r="AG1849">
        <v>-1.1115591988360001</v>
      </c>
      <c r="AH1849">
        <v>20.2740490175932</v>
      </c>
      <c r="AI1849">
        <v>93.137985926998894</v>
      </c>
      <c r="AJ1849">
        <v>89.335464074622806</v>
      </c>
      <c r="AK1849">
        <v>20.305859393214099</v>
      </c>
      <c r="AL1849">
        <v>88.543950152479596</v>
      </c>
      <c r="AM1849">
        <v>88.030972292728606</v>
      </c>
      <c r="AN1849">
        <v>1.0000000522768</v>
      </c>
    </row>
    <row r="1850" spans="1:40" x14ac:dyDescent="0.25">
      <c r="A1850" t="str">
        <f>"20190312160332246"</f>
        <v>20190312160332246</v>
      </c>
      <c r="B1850" t="str">
        <f>"1552377812235946"</f>
        <v>1552377812235946</v>
      </c>
      <c r="C1850" t="s">
        <v>40</v>
      </c>
      <c r="D1850">
        <v>5.8953139999999999</v>
      </c>
      <c r="E1850">
        <v>0.49292530000000001</v>
      </c>
      <c r="F1850" t="s">
        <v>79</v>
      </c>
      <c r="G1850">
        <v>-293.48110000000003</v>
      </c>
      <c r="H1850" s="1">
        <v>2.8544749999999999E-6</v>
      </c>
      <c r="I1850">
        <v>284.25909999999999</v>
      </c>
      <c r="J1850">
        <v>-273.1148</v>
      </c>
      <c r="K1850">
        <v>1.1115459999999999</v>
      </c>
      <c r="L1850">
        <v>284.84249999999997</v>
      </c>
      <c r="M1850">
        <v>-0.99908929999999996</v>
      </c>
      <c r="N1850">
        <v>0</v>
      </c>
      <c r="O1850">
        <v>-4.0802270000000002E-2</v>
      </c>
      <c r="P1850">
        <v>-0.9998842</v>
      </c>
      <c r="Q1850">
        <v>1.3453110000000001E-2</v>
      </c>
      <c r="R1850">
        <v>-7.1182329999999999E-3</v>
      </c>
      <c r="S1850">
        <v>-3.0019230000000001</v>
      </c>
      <c r="T1850">
        <v>-0.16187869999999999</v>
      </c>
      <c r="U1850">
        <v>-8.6608889999999994E-2</v>
      </c>
      <c r="V1850">
        <v>3.3590700000000001E-2</v>
      </c>
      <c r="W1850">
        <v>2.6058410000000001E-2</v>
      </c>
      <c r="X1850">
        <v>0.99909590000000004</v>
      </c>
      <c r="Y1850">
        <v>1.189689E-2</v>
      </c>
      <c r="Z1850">
        <v>2.5180699999999999E-3</v>
      </c>
      <c r="AA1850">
        <v>0.99992599999999998</v>
      </c>
      <c r="AB1850">
        <v>30</v>
      </c>
      <c r="AC1850">
        <v>-20.366299999999999</v>
      </c>
      <c r="AD1850">
        <v>-1.111543145525</v>
      </c>
      <c r="AE1850">
        <v>-0.58339999999998304</v>
      </c>
      <c r="AF1850">
        <v>0.24740555267151801</v>
      </c>
      <c r="AG1850">
        <v>-1.111543145525</v>
      </c>
      <c r="AH1850">
        <v>20.312687010583701</v>
      </c>
      <c r="AI1850">
        <v>93.131962137224406</v>
      </c>
      <c r="AJ1850">
        <v>89.302180302959897</v>
      </c>
      <c r="AK1850">
        <v>20.3445813734712</v>
      </c>
      <c r="AL1850">
        <v>88.506794057341693</v>
      </c>
      <c r="AM1850">
        <v>88.074378390451102</v>
      </c>
      <c r="AN1850">
        <v>0.99999999662751404</v>
      </c>
    </row>
    <row r="1851" spans="1:40" x14ac:dyDescent="0.25">
      <c r="A1851" t="str">
        <f>"20190312160332260"</f>
        <v>20190312160332260</v>
      </c>
      <c r="B1851" t="str">
        <f>"1552377812256695"</f>
        <v>1552377812256695</v>
      </c>
      <c r="C1851" t="s">
        <v>40</v>
      </c>
      <c r="D1851">
        <v>5.9014680000000004</v>
      </c>
      <c r="E1851">
        <v>0.49308099999999999</v>
      </c>
      <c r="F1851" t="s">
        <v>79</v>
      </c>
      <c r="G1851">
        <v>-293.79880000000003</v>
      </c>
      <c r="H1851" s="1">
        <v>2.914885E-6</v>
      </c>
      <c r="I1851">
        <v>284.21269999999998</v>
      </c>
      <c r="J1851">
        <v>-273.29340000000002</v>
      </c>
      <c r="K1851">
        <v>1.111532</v>
      </c>
      <c r="L1851">
        <v>284.834</v>
      </c>
      <c r="M1851">
        <v>-0.99904389999999998</v>
      </c>
      <c r="N1851">
        <v>0</v>
      </c>
      <c r="O1851">
        <v>-4.1899470000000001E-2</v>
      </c>
      <c r="P1851">
        <v>-0.99987150000000002</v>
      </c>
      <c r="Q1851">
        <v>1.3641250000000001E-2</v>
      </c>
      <c r="R1851">
        <v>-8.4364629999999999E-3</v>
      </c>
      <c r="S1851">
        <v>-3.0018919999999998</v>
      </c>
      <c r="T1851">
        <v>-0.1613193</v>
      </c>
      <c r="U1851">
        <v>-9.1400149999999999E-2</v>
      </c>
      <c r="V1851">
        <v>3.3370860000000002E-2</v>
      </c>
      <c r="W1851">
        <v>2.624336E-2</v>
      </c>
      <c r="X1851">
        <v>0.99909840000000005</v>
      </c>
      <c r="Y1851">
        <v>1.139986E-2</v>
      </c>
      <c r="Z1851">
        <v>2.5548419999999999E-3</v>
      </c>
      <c r="AA1851">
        <v>0.99993180000000004</v>
      </c>
      <c r="AB1851">
        <v>30</v>
      </c>
      <c r="AC1851">
        <v>-20.505400000000002</v>
      </c>
      <c r="AD1851">
        <v>-1.1115290851149999</v>
      </c>
      <c r="AE1851">
        <v>-0.62130000000001895</v>
      </c>
      <c r="AF1851">
        <v>0.237779943214246</v>
      </c>
      <c r="AG1851">
        <v>-1.1115290851149999</v>
      </c>
      <c r="AH1851">
        <v>20.453379875181799</v>
      </c>
      <c r="AI1851">
        <v>93.110441941945197</v>
      </c>
      <c r="AJ1851">
        <v>89.333940230203396</v>
      </c>
      <c r="AK1851">
        <v>20.484940432594399</v>
      </c>
      <c r="AL1851">
        <v>88.496193538374698</v>
      </c>
      <c r="AM1851">
        <v>88.086976334138797</v>
      </c>
      <c r="AN1851">
        <v>0.99999997056189405</v>
      </c>
    </row>
    <row r="1852" spans="1:40" x14ac:dyDescent="0.25">
      <c r="A1852" t="str">
        <f>"20190312160332284"</f>
        <v>20190312160332284</v>
      </c>
      <c r="B1852" t="str">
        <f>"1552377812276216"</f>
        <v>1552377812276216</v>
      </c>
      <c r="C1852" t="s">
        <v>40</v>
      </c>
      <c r="D1852">
        <v>5.7733860000000004</v>
      </c>
      <c r="E1852">
        <v>0.50501720000000005</v>
      </c>
      <c r="F1852" t="s">
        <v>79</v>
      </c>
      <c r="G1852">
        <v>-293.96769999999998</v>
      </c>
      <c r="H1852" s="1">
        <v>2.9471230000000001E-6</v>
      </c>
      <c r="I1852">
        <v>284.1866</v>
      </c>
      <c r="J1852">
        <v>-273.62220000000002</v>
      </c>
      <c r="K1852">
        <v>1.111504</v>
      </c>
      <c r="L1852">
        <v>284.81799999999998</v>
      </c>
      <c r="M1852">
        <v>-0.99895820000000002</v>
      </c>
      <c r="N1852">
        <v>0</v>
      </c>
      <c r="O1852">
        <v>-4.3895940000000001E-2</v>
      </c>
      <c r="P1852">
        <v>-0.99984660000000003</v>
      </c>
      <c r="Q1852">
        <v>1.384444E-2</v>
      </c>
      <c r="R1852">
        <v>-1.074163E-2</v>
      </c>
      <c r="S1852">
        <v>-3.0018009999999999</v>
      </c>
      <c r="T1852">
        <v>-0.16138849999999999</v>
      </c>
      <c r="U1852">
        <v>-9.3994140000000004E-2</v>
      </c>
      <c r="V1852">
        <v>3.3065079999999997E-2</v>
      </c>
      <c r="W1852">
        <v>2.6442130000000001E-2</v>
      </c>
      <c r="X1852">
        <v>0.99910339999999997</v>
      </c>
      <c r="Y1852">
        <v>1.252941E-2</v>
      </c>
      <c r="Z1852">
        <v>2.693436E-3</v>
      </c>
      <c r="AA1852">
        <v>0.99991790000000003</v>
      </c>
      <c r="AB1852">
        <v>30</v>
      </c>
      <c r="AC1852">
        <v>-20.345499999999902</v>
      </c>
      <c r="AD1852">
        <v>-1.111501052877</v>
      </c>
      <c r="AE1852">
        <v>-0.63139999999998497</v>
      </c>
      <c r="AF1852">
        <v>0.26158309631764898</v>
      </c>
      <c r="AG1852">
        <v>-1.111501052877</v>
      </c>
      <c r="AH1852">
        <v>20.293096083459002</v>
      </c>
      <c r="AI1852">
        <v>93.134833364958396</v>
      </c>
      <c r="AJ1852">
        <v>89.261483938890393</v>
      </c>
      <c r="AK1852">
        <v>20.325196406414499</v>
      </c>
      <c r="AL1852">
        <v>88.484801014882905</v>
      </c>
      <c r="AM1852">
        <v>88.104502163755299</v>
      </c>
      <c r="AN1852">
        <v>1.00000004482295</v>
      </c>
    </row>
    <row r="1853" spans="1:40" x14ac:dyDescent="0.25">
      <c r="A1853" t="str">
        <f>"20190312160332295"</f>
        <v>20190312160332295</v>
      </c>
      <c r="B1853" t="str">
        <f>"1552377812285975"</f>
        <v>1552377812285975</v>
      </c>
      <c r="C1853" t="s">
        <v>40</v>
      </c>
      <c r="D1853">
        <v>5.8815489999999997</v>
      </c>
      <c r="E1853">
        <v>0.50530719999999996</v>
      </c>
      <c r="F1853" t="s">
        <v>79</v>
      </c>
      <c r="G1853">
        <v>-292.53559999999999</v>
      </c>
      <c r="H1853" s="1">
        <v>2.641498E-6</v>
      </c>
      <c r="I1853">
        <v>284.77690000000001</v>
      </c>
      <c r="J1853">
        <v>-273.76560000000001</v>
      </c>
      <c r="K1853">
        <v>1.1114930000000001</v>
      </c>
      <c r="L1853">
        <v>284.8109</v>
      </c>
      <c r="M1853">
        <v>-0.99892020000000004</v>
      </c>
      <c r="N1853">
        <v>0</v>
      </c>
      <c r="O1853">
        <v>-4.4753260000000003E-2</v>
      </c>
      <c r="P1853">
        <v>-0.99983509999999998</v>
      </c>
      <c r="Q1853">
        <v>1.388563E-2</v>
      </c>
      <c r="R1853">
        <v>-1.1708359999999999E-2</v>
      </c>
      <c r="S1853">
        <v>-3.0028079999999999</v>
      </c>
      <c r="T1853">
        <v>-0.17646829999999999</v>
      </c>
      <c r="U1853">
        <v>-6.5307619999999999E-3</v>
      </c>
      <c r="V1853">
        <v>3.2956920000000001E-2</v>
      </c>
      <c r="W1853">
        <v>2.64817E-2</v>
      </c>
      <c r="X1853">
        <v>0.99910589999999999</v>
      </c>
      <c r="Y1853">
        <v>4.2433560000000002E-2</v>
      </c>
      <c r="Z1853">
        <v>3.8730790000000002E-3</v>
      </c>
      <c r="AA1853">
        <v>0.99909179999999997</v>
      </c>
      <c r="AB1853">
        <v>30</v>
      </c>
      <c r="AC1853">
        <v>-18.7699999999999</v>
      </c>
      <c r="AD1853">
        <v>-1.111490358502</v>
      </c>
      <c r="AE1853">
        <v>-3.3999999999991801E-2</v>
      </c>
      <c r="AF1853">
        <v>0.80330128849572402</v>
      </c>
      <c r="AG1853">
        <v>-1.111490358502</v>
      </c>
      <c r="AH1853">
        <v>18.687184834528299</v>
      </c>
      <c r="AI1853">
        <v>93.400737817858001</v>
      </c>
      <c r="AJ1853">
        <v>87.538556204652593</v>
      </c>
      <c r="AK1853">
        <v>18.7374379469811</v>
      </c>
      <c r="AL1853">
        <v>88.482532987918404</v>
      </c>
      <c r="AM1853">
        <v>88.110702796666004</v>
      </c>
      <c r="AN1853">
        <v>1.00000001921279</v>
      </c>
    </row>
    <row r="1854" spans="1:40" x14ac:dyDescent="0.25">
      <c r="A1854" t="str">
        <f>"20190312160332308"</f>
        <v>20190312160332308</v>
      </c>
      <c r="B1854" t="str">
        <f>"1552377812296712"</f>
        <v>1552377812296712</v>
      </c>
      <c r="C1854" t="s">
        <v>40</v>
      </c>
      <c r="D1854">
        <v>5.7601430000000002</v>
      </c>
      <c r="E1854">
        <v>0.50532779999999999</v>
      </c>
      <c r="F1854" t="s">
        <v>79</v>
      </c>
      <c r="G1854">
        <v>-292.8383</v>
      </c>
      <c r="H1854" s="1">
        <v>2.6960480000000002E-6</v>
      </c>
      <c r="I1854">
        <v>284.76710000000003</v>
      </c>
      <c r="J1854">
        <v>-273.93029999999999</v>
      </c>
      <c r="K1854">
        <v>1.11148</v>
      </c>
      <c r="L1854">
        <v>284.80250000000001</v>
      </c>
      <c r="M1854">
        <v>-0.99887570000000003</v>
      </c>
      <c r="N1854">
        <v>0</v>
      </c>
      <c r="O1854">
        <v>-4.5734169999999998E-2</v>
      </c>
      <c r="P1854">
        <v>-0.99982130000000002</v>
      </c>
      <c r="Q1854">
        <v>1.4014E-2</v>
      </c>
      <c r="R1854">
        <v>-1.269811E-2</v>
      </c>
      <c r="S1854">
        <v>-3.0028380000000001</v>
      </c>
      <c r="T1854">
        <v>-0.1749946</v>
      </c>
      <c r="U1854">
        <v>-6.8969729999999998E-3</v>
      </c>
      <c r="V1854">
        <v>3.294938E-2</v>
      </c>
      <c r="W1854">
        <v>2.6608489999999999E-2</v>
      </c>
      <c r="X1854">
        <v>0.99910279999999996</v>
      </c>
      <c r="Y1854">
        <v>4.3292200000000003E-2</v>
      </c>
      <c r="Z1854">
        <v>3.9228209999999999E-3</v>
      </c>
      <c r="AA1854">
        <v>0.99905469999999996</v>
      </c>
      <c r="AB1854">
        <v>30</v>
      </c>
      <c r="AC1854">
        <v>-18.908000000000001</v>
      </c>
      <c r="AD1854">
        <v>-1.1114773039520001</v>
      </c>
      <c r="AE1854">
        <v>-3.5399999999981398E-2</v>
      </c>
      <c r="AF1854">
        <v>0.82658980521847902</v>
      </c>
      <c r="AG1854">
        <v>-1.1114773039520001</v>
      </c>
      <c r="AH1854">
        <v>18.824782883850801</v>
      </c>
      <c r="AI1854">
        <v>93.375763776354702</v>
      </c>
      <c r="AJ1854">
        <v>87.485776861191496</v>
      </c>
      <c r="AK1854">
        <v>18.875674375433999</v>
      </c>
      <c r="AL1854">
        <v>88.475265925812494</v>
      </c>
      <c r="AM1854">
        <v>88.111128867080694</v>
      </c>
      <c r="AN1854">
        <v>1.00000003917515</v>
      </c>
    </row>
    <row r="1855" spans="1:40" x14ac:dyDescent="0.25">
      <c r="A1855" t="str">
        <f>"20190312160332321"</f>
        <v>20190312160332321</v>
      </c>
      <c r="B1855" t="str">
        <f>"1552377812316231"</f>
        <v>1552377812316231</v>
      </c>
      <c r="C1855" t="s">
        <v>40</v>
      </c>
      <c r="D1855">
        <v>5.9242569999999999</v>
      </c>
      <c r="E1855">
        <v>0.50580919999999996</v>
      </c>
      <c r="F1855" t="s">
        <v>49</v>
      </c>
      <c r="G1855">
        <v>-274.93150000000003</v>
      </c>
      <c r="H1855">
        <v>1.0532760000000001</v>
      </c>
      <c r="I1855">
        <v>284.79919999999998</v>
      </c>
      <c r="J1855">
        <v>-274.10550000000001</v>
      </c>
      <c r="K1855">
        <v>1.111469</v>
      </c>
      <c r="L1855">
        <v>284.79340000000002</v>
      </c>
      <c r="M1855">
        <v>-0.9988281</v>
      </c>
      <c r="N1855">
        <v>0</v>
      </c>
      <c r="O1855">
        <v>-4.6763590000000001E-2</v>
      </c>
      <c r="P1855">
        <v>-0.99980429999999998</v>
      </c>
      <c r="Q1855">
        <v>1.418327E-2</v>
      </c>
      <c r="R1855">
        <v>-1.3810940000000001E-2</v>
      </c>
      <c r="S1855">
        <v>-3.002869</v>
      </c>
      <c r="T1855">
        <v>-0.17444189999999901</v>
      </c>
      <c r="U1855">
        <v>-9.5825200000000006E-3</v>
      </c>
      <c r="V1855">
        <v>3.286737E-2</v>
      </c>
      <c r="W1855">
        <v>2.6775319999999998E-2</v>
      </c>
      <c r="X1855">
        <v>0.99910100000000002</v>
      </c>
      <c r="Y1855">
        <v>4.342737E-2</v>
      </c>
      <c r="Z1855">
        <v>3.9740219999999998E-3</v>
      </c>
      <c r="AA1855">
        <v>0.99904870000000001</v>
      </c>
      <c r="AB1855">
        <v>30</v>
      </c>
      <c r="AC1855">
        <v>-0.82600000000002105</v>
      </c>
      <c r="AD1855">
        <v>-5.8192999999999898E-2</v>
      </c>
      <c r="AE1855">
        <v>5.7999999999651603E-3</v>
      </c>
      <c r="AF1855">
        <v>4.4203992095514497E-2</v>
      </c>
      <c r="AG1855">
        <v>-5.8192999999999898E-2</v>
      </c>
      <c r="AH1855">
        <v>0.82075141625158499</v>
      </c>
      <c r="AI1855">
        <v>94.049754563390806</v>
      </c>
      <c r="AJ1855">
        <v>86.917145026382599</v>
      </c>
      <c r="AK1855">
        <v>0.82399836495296697</v>
      </c>
      <c r="AL1855">
        <v>88.465703796575596</v>
      </c>
      <c r="AM1855">
        <v>88.115823424574003</v>
      </c>
      <c r="AN1855">
        <v>0.99999999498640901</v>
      </c>
    </row>
    <row r="1856" spans="1:40" x14ac:dyDescent="0.25">
      <c r="A1856" t="str">
        <f>"20190312160332338"</f>
        <v>20190312160332338</v>
      </c>
      <c r="B1856" t="str">
        <f>"1552377812325992"</f>
        <v>1552377812325992</v>
      </c>
      <c r="C1856" t="s">
        <v>40</v>
      </c>
      <c r="D1856">
        <v>5.8656100000000002</v>
      </c>
      <c r="E1856">
        <v>0.50580919999999996</v>
      </c>
      <c r="F1856" t="s">
        <v>79</v>
      </c>
      <c r="G1856">
        <v>-293.33569999999997</v>
      </c>
      <c r="H1856" s="1">
        <v>2.7869730000000001E-6</v>
      </c>
      <c r="I1856">
        <v>284.73610000000002</v>
      </c>
      <c r="J1856">
        <v>-274.33210000000003</v>
      </c>
      <c r="K1856">
        <v>1.111453</v>
      </c>
      <c r="L1856">
        <v>284.78129999999999</v>
      </c>
      <c r="M1856">
        <v>-0.99876520000000002</v>
      </c>
      <c r="N1856">
        <v>0</v>
      </c>
      <c r="O1856">
        <v>-4.8086549999999999E-2</v>
      </c>
      <c r="P1856">
        <v>-0.99978860000000003</v>
      </c>
      <c r="Q1856">
        <v>1.437255E-2</v>
      </c>
      <c r="R1856">
        <v>-1.4710330000000001E-2</v>
      </c>
      <c r="S1856">
        <v>-3.0029300000000001</v>
      </c>
      <c r="T1856">
        <v>-0.173563</v>
      </c>
      <c r="U1856">
        <v>-8.9416500000000006E-3</v>
      </c>
      <c r="V1856">
        <v>3.3292219999999997E-2</v>
      </c>
      <c r="W1856">
        <v>2.6964080000000001E-2</v>
      </c>
      <c r="X1856">
        <v>0.99908189999999997</v>
      </c>
      <c r="Y1856">
        <v>4.4960670000000001E-2</v>
      </c>
      <c r="Z1856">
        <v>4.0745699999999996E-3</v>
      </c>
      <c r="AA1856">
        <v>0.99898050000000005</v>
      </c>
      <c r="AB1856">
        <v>30</v>
      </c>
      <c r="AC1856">
        <v>-19.003599999999899</v>
      </c>
      <c r="AD1856">
        <v>-1.1114502130270001</v>
      </c>
      <c r="AE1856">
        <v>-4.5199999999965698E-2</v>
      </c>
      <c r="AF1856">
        <v>0.86577952485385301</v>
      </c>
      <c r="AG1856">
        <v>-1.1114502130270001</v>
      </c>
      <c r="AH1856">
        <v>18.919071272597101</v>
      </c>
      <c r="AI1856">
        <v>93.358618872787105</v>
      </c>
      <c r="AJ1856">
        <v>87.379843450512894</v>
      </c>
      <c r="AK1856">
        <v>18.971456285148498</v>
      </c>
      <c r="AL1856">
        <v>88.454884805692899</v>
      </c>
      <c r="AM1856">
        <v>88.091449630266496</v>
      </c>
      <c r="AN1856">
        <v>1.0000000382151899</v>
      </c>
    </row>
    <row r="1857" spans="1:40" x14ac:dyDescent="0.25">
      <c r="A1857" t="str">
        <f>"20190312160332351"</f>
        <v>20190312160332351</v>
      </c>
      <c r="B1857" t="str">
        <f>"1552377812346487"</f>
        <v>1552377812346487</v>
      </c>
      <c r="C1857" t="s">
        <v>40</v>
      </c>
      <c r="D1857">
        <v>5.9395709999999999</v>
      </c>
      <c r="E1857">
        <v>0.505583</v>
      </c>
      <c r="F1857" t="s">
        <v>79</v>
      </c>
      <c r="G1857">
        <v>-293.62700000000001</v>
      </c>
      <c r="H1857" s="1">
        <v>2.8411300000000002E-6</v>
      </c>
      <c r="I1857">
        <v>284.70780000000002</v>
      </c>
      <c r="J1857">
        <v>-274.51119999999997</v>
      </c>
      <c r="K1857">
        <v>1.1114360000000001</v>
      </c>
      <c r="L1857">
        <v>284.77159999999998</v>
      </c>
      <c r="M1857">
        <v>-0.99871460000000001</v>
      </c>
      <c r="N1857">
        <v>0</v>
      </c>
      <c r="O1857">
        <v>-4.9124330000000001E-2</v>
      </c>
      <c r="P1857">
        <v>-0.99977150000000004</v>
      </c>
      <c r="Q1857">
        <v>1.454982E-2</v>
      </c>
      <c r="R1857">
        <v>-1.5658129999999999E-2</v>
      </c>
      <c r="S1857">
        <v>-3.0029910000000002</v>
      </c>
      <c r="T1857">
        <v>-0.17298169999999999</v>
      </c>
      <c r="U1857">
        <v>-1.1444090000000001E-2</v>
      </c>
      <c r="V1857">
        <v>3.3383339999999997E-2</v>
      </c>
      <c r="W1857">
        <v>2.7139489999999999E-2</v>
      </c>
      <c r="X1857">
        <v>0.99907400000000002</v>
      </c>
      <c r="Y1857">
        <v>4.5165289999999997E-2</v>
      </c>
      <c r="Z1857">
        <v>4.1264120000000003E-3</v>
      </c>
      <c r="AA1857">
        <v>0.99897100000000005</v>
      </c>
      <c r="AB1857">
        <v>30</v>
      </c>
      <c r="AC1857">
        <v>-19.1158</v>
      </c>
      <c r="AD1857">
        <v>-1.1114331588699999</v>
      </c>
      <c r="AE1857">
        <v>-6.3799999999957793E-2</v>
      </c>
      <c r="AF1857">
        <v>0.87245184105445395</v>
      </c>
      <c r="AG1857">
        <v>-1.1114331588699999</v>
      </c>
      <c r="AH1857">
        <v>19.031516277405899</v>
      </c>
      <c r="AI1857">
        <v>93.338756649312103</v>
      </c>
      <c r="AJ1857">
        <v>87.375257195689599</v>
      </c>
      <c r="AK1857">
        <v>19.0838955063886</v>
      </c>
      <c r="AL1857">
        <v>88.444830703141406</v>
      </c>
      <c r="AM1857">
        <v>88.086214731650202</v>
      </c>
      <c r="AN1857">
        <v>0.99999992839150498</v>
      </c>
    </row>
    <row r="1858" spans="1:40" x14ac:dyDescent="0.25">
      <c r="A1858" t="str">
        <f>"20190312160332372"</f>
        <v>20190312160332372</v>
      </c>
      <c r="B1858" t="str">
        <f>"1552377812366007"</f>
        <v>1552377812366007</v>
      </c>
      <c r="C1858" t="s">
        <v>40</v>
      </c>
      <c r="D1858">
        <v>5.8360620000000001</v>
      </c>
      <c r="E1858">
        <v>0.50494410000000001</v>
      </c>
      <c r="F1858" t="s">
        <v>49</v>
      </c>
      <c r="G1858">
        <v>-275.4701</v>
      </c>
      <c r="H1858">
        <v>1.053971</v>
      </c>
      <c r="I1858">
        <v>284.7663</v>
      </c>
      <c r="J1858">
        <v>-274.79520000000002</v>
      </c>
      <c r="K1858">
        <v>1.111413</v>
      </c>
      <c r="L1858">
        <v>284.7559</v>
      </c>
      <c r="M1858">
        <v>-0.99863360000000001</v>
      </c>
      <c r="N1858">
        <v>0</v>
      </c>
      <c r="O1858">
        <v>-5.0747970000000003E-2</v>
      </c>
      <c r="P1858">
        <v>-0.99974669999999999</v>
      </c>
      <c r="Q1858">
        <v>1.466081E-2</v>
      </c>
      <c r="R1858">
        <v>-1.7084539999999999E-2</v>
      </c>
      <c r="S1858">
        <v>-3.0030519999999998</v>
      </c>
      <c r="T1858">
        <v>-0.1800254</v>
      </c>
      <c r="U1858">
        <v>-1.663208E-2</v>
      </c>
      <c r="V1858">
        <v>3.3583149999999999E-2</v>
      </c>
      <c r="W1858">
        <v>2.7248649999999999E-2</v>
      </c>
      <c r="X1858">
        <v>0.99906439999999996</v>
      </c>
      <c r="Y1858">
        <v>4.5048070000000003E-2</v>
      </c>
      <c r="Z1858">
        <v>4.3876490000000004E-3</v>
      </c>
      <c r="AA1858">
        <v>0.99897519999999995</v>
      </c>
      <c r="AB1858">
        <v>30</v>
      </c>
      <c r="AC1858">
        <v>-0.67489999999997896</v>
      </c>
      <c r="AD1858">
        <v>-5.7441999999999903E-2</v>
      </c>
      <c r="AE1858">
        <v>1.04000000000041E-2</v>
      </c>
      <c r="AF1858">
        <v>4.4318101475640199E-2</v>
      </c>
      <c r="AG1858">
        <v>-5.7441999999999903E-2</v>
      </c>
      <c r="AH1858">
        <v>0.66865978862251896</v>
      </c>
      <c r="AI1858">
        <v>94.899309308481705</v>
      </c>
      <c r="AJ1858">
        <v>86.208039171599594</v>
      </c>
      <c r="AK1858">
        <v>0.67258426267874905</v>
      </c>
      <c r="AL1858">
        <v>88.438574087270894</v>
      </c>
      <c r="AM1858">
        <v>88.074750221707205</v>
      </c>
      <c r="AN1858">
        <v>0.99999999611905199</v>
      </c>
    </row>
    <row r="1859" spans="1:40" x14ac:dyDescent="0.25">
      <c r="A1859" t="str">
        <f>"20190312160332394"</f>
        <v>20190312160332394</v>
      </c>
      <c r="B1859" t="str">
        <f>"1552377812386503"</f>
        <v>1552377812386503</v>
      </c>
      <c r="C1859" t="s">
        <v>40</v>
      </c>
      <c r="D1859">
        <v>5.8754109999999997</v>
      </c>
      <c r="E1859">
        <v>0.50335989999999997</v>
      </c>
      <c r="F1859" t="s">
        <v>49</v>
      </c>
      <c r="G1859">
        <v>-275.73860000000002</v>
      </c>
      <c r="H1859">
        <v>1.0534490000000001</v>
      </c>
      <c r="I1859">
        <v>284.74779999999998</v>
      </c>
      <c r="J1859">
        <v>-275.0915</v>
      </c>
      <c r="K1859">
        <v>1.111383</v>
      </c>
      <c r="L1859">
        <v>284.73899999999998</v>
      </c>
      <c r="M1859">
        <v>-0.99854750000000003</v>
      </c>
      <c r="N1859">
        <v>0</v>
      </c>
      <c r="O1859">
        <v>-5.2414950000000002E-2</v>
      </c>
      <c r="P1859">
        <v>-0.99971940000000004</v>
      </c>
      <c r="Q1859">
        <v>1.453366E-2</v>
      </c>
      <c r="R1859">
        <v>-1.8708209999999999E-2</v>
      </c>
      <c r="S1859">
        <v>-3.0030519999999998</v>
      </c>
      <c r="T1859">
        <v>-0.1847067</v>
      </c>
      <c r="U1859">
        <v>-2.6184079999999998E-2</v>
      </c>
      <c r="V1859">
        <v>3.3630340000000002E-2</v>
      </c>
      <c r="W1859">
        <v>2.7119000000000001E-2</v>
      </c>
      <c r="X1859">
        <v>0.99906640000000002</v>
      </c>
      <c r="Y1859">
        <v>4.3528980000000002E-2</v>
      </c>
      <c r="Z1859">
        <v>4.5570709999999898E-3</v>
      </c>
      <c r="AA1859">
        <v>0.99904179999999998</v>
      </c>
      <c r="AB1859">
        <v>30</v>
      </c>
      <c r="AC1859">
        <v>-0.64710000000002299</v>
      </c>
      <c r="AD1859">
        <v>-5.7933999999999902E-2</v>
      </c>
      <c r="AE1859">
        <v>8.7999999999510692E-3</v>
      </c>
      <c r="AF1859">
        <v>4.2368715540726701E-2</v>
      </c>
      <c r="AG1859">
        <v>-5.7933999999999902E-2</v>
      </c>
      <c r="AH1859">
        <v>0.64061523857409297</v>
      </c>
      <c r="AI1859">
        <v>95.156279527048</v>
      </c>
      <c r="AJ1859">
        <v>86.216108840817895</v>
      </c>
      <c r="AK1859">
        <v>0.64462340967879295</v>
      </c>
      <c r="AL1859">
        <v>88.446005324005398</v>
      </c>
      <c r="AM1859">
        <v>88.072050817256297</v>
      </c>
      <c r="AN1859">
        <v>1.0000000557692299</v>
      </c>
    </row>
    <row r="1860" spans="1:40" x14ac:dyDescent="0.25">
      <c r="A1860" t="str">
        <f>"20190312160332416"</f>
        <v>20190312160332416</v>
      </c>
      <c r="B1860" t="str">
        <f>"1552377812406023"</f>
        <v>1552377812406023</v>
      </c>
      <c r="C1860" t="s">
        <v>40</v>
      </c>
      <c r="D1860">
        <v>5.7307300000000003</v>
      </c>
      <c r="E1860">
        <v>0.50254569999999998</v>
      </c>
      <c r="F1860" t="s">
        <v>79</v>
      </c>
      <c r="G1860">
        <v>-293.80270000000002</v>
      </c>
      <c r="H1860" s="1">
        <v>2.8931190000000002E-6</v>
      </c>
      <c r="I1860">
        <v>284.46960000000001</v>
      </c>
      <c r="J1860">
        <v>-275.3879</v>
      </c>
      <c r="K1860">
        <v>1.111359</v>
      </c>
      <c r="L1860">
        <v>284.72160000000002</v>
      </c>
      <c r="M1860">
        <v>-0.99846020000000002</v>
      </c>
      <c r="N1860">
        <v>0</v>
      </c>
      <c r="O1860">
        <v>-5.4051589999999997E-2</v>
      </c>
      <c r="P1860">
        <v>-0.99968489999999999</v>
      </c>
      <c r="Q1860">
        <v>1.4477449999999999E-2</v>
      </c>
      <c r="R1860">
        <v>-2.0510859999999999E-2</v>
      </c>
      <c r="S1860">
        <v>-3.0026250000000001</v>
      </c>
      <c r="T1860">
        <v>-0.17834510000000001</v>
      </c>
      <c r="U1860">
        <v>-4.3243410000000003E-2</v>
      </c>
      <c r="V1860">
        <v>3.3468489999999997E-2</v>
      </c>
      <c r="W1860">
        <v>2.705894E-2</v>
      </c>
      <c r="X1860">
        <v>0.9990734</v>
      </c>
      <c r="Y1860">
        <v>3.9506109999999997E-2</v>
      </c>
      <c r="Z1860">
        <v>4.3784080000000003E-3</v>
      </c>
      <c r="AA1860">
        <v>0.99920980000000004</v>
      </c>
      <c r="AB1860">
        <v>30</v>
      </c>
      <c r="AC1860">
        <v>-18.4148</v>
      </c>
      <c r="AD1860">
        <v>-1.1113561068810001</v>
      </c>
      <c r="AE1860">
        <v>-0.25200000000000899</v>
      </c>
      <c r="AF1860">
        <v>0.741096369232215</v>
      </c>
      <c r="AG1860">
        <v>-1.1113561068810001</v>
      </c>
      <c r="AH1860">
        <v>18.334730500378502</v>
      </c>
      <c r="AI1860">
        <v>93.465905175576296</v>
      </c>
      <c r="AJ1860">
        <v>87.685344101632793</v>
      </c>
      <c r="AK1860">
        <v>18.3833261067278</v>
      </c>
      <c r="AL1860">
        <v>88.449447673216397</v>
      </c>
      <c r="AM1860">
        <v>88.081335782757293</v>
      </c>
      <c r="AN1860">
        <v>0.99999999232218095</v>
      </c>
    </row>
    <row r="1861" spans="1:40" x14ac:dyDescent="0.25">
      <c r="A1861" t="str">
        <f>"20190312160332428"</f>
        <v>20190312160332428</v>
      </c>
      <c r="B1861" t="str">
        <f>"1552377812416759"</f>
        <v>1552377812416759</v>
      </c>
      <c r="C1861" t="s">
        <v>40</v>
      </c>
      <c r="D1861">
        <v>5.7252929999999997</v>
      </c>
      <c r="E1861">
        <v>0.50223669999999998</v>
      </c>
      <c r="F1861" t="s">
        <v>79</v>
      </c>
      <c r="G1861">
        <v>-295.42660000000001</v>
      </c>
      <c r="H1861" s="1">
        <v>3.190862E-6</v>
      </c>
      <c r="I1861">
        <v>284.3587</v>
      </c>
      <c r="J1861">
        <v>-275.54759999999999</v>
      </c>
      <c r="K1861">
        <v>1.111343</v>
      </c>
      <c r="L1861">
        <v>284.7122</v>
      </c>
      <c r="M1861">
        <v>-0.99841270000000004</v>
      </c>
      <c r="N1861">
        <v>0</v>
      </c>
      <c r="O1861">
        <v>-5.492064E-2</v>
      </c>
      <c r="P1861">
        <v>-0.99966219999999995</v>
      </c>
      <c r="Q1861">
        <v>1.453286E-2</v>
      </c>
      <c r="R1861">
        <v>-2.154054E-2</v>
      </c>
      <c r="S1861">
        <v>-3.0021969999999998</v>
      </c>
      <c r="T1861">
        <v>-0.1665035</v>
      </c>
      <c r="U1861">
        <v>-5.4382319999999998E-2</v>
      </c>
      <c r="V1861">
        <v>3.3309709999999999E-2</v>
      </c>
      <c r="W1861">
        <v>2.711185E-2</v>
      </c>
      <c r="X1861">
        <v>0.99907729999999995</v>
      </c>
      <c r="Y1861">
        <v>3.6691420000000002E-2</v>
      </c>
      <c r="Z1861">
        <v>4.0586509999999999E-3</v>
      </c>
      <c r="AA1861">
        <v>0.99931840000000005</v>
      </c>
      <c r="AB1861">
        <v>30</v>
      </c>
      <c r="AC1861">
        <v>-19.879000000000001</v>
      </c>
      <c r="AD1861">
        <v>-1.111339809138</v>
      </c>
      <c r="AE1861">
        <v>-0.35349999999999598</v>
      </c>
      <c r="AF1861">
        <v>0.73658468688235001</v>
      </c>
      <c r="AG1861">
        <v>-1.111339809138</v>
      </c>
      <c r="AH1861">
        <v>19.806524745717301</v>
      </c>
      <c r="AI1861">
        <v>93.209272504621197</v>
      </c>
      <c r="AJ1861">
        <v>87.870209210681296</v>
      </c>
      <c r="AK1861">
        <v>19.851348963610398</v>
      </c>
      <c r="AL1861">
        <v>88.446415084346995</v>
      </c>
      <c r="AM1861">
        <v>88.090438933778998</v>
      </c>
      <c r="AN1861">
        <v>1.00000002028299</v>
      </c>
    </row>
    <row r="1862" spans="1:40" x14ac:dyDescent="0.25">
      <c r="A1862" t="str">
        <f>"20190312160332442"</f>
        <v>20190312160332442</v>
      </c>
      <c r="B1862" t="str">
        <f>"1552377812436280"</f>
        <v>1552377812436280</v>
      </c>
      <c r="C1862" t="s">
        <v>40</v>
      </c>
      <c r="D1862">
        <v>5.8691820000000003</v>
      </c>
      <c r="E1862">
        <v>0.50173140000000005</v>
      </c>
      <c r="F1862" t="s">
        <v>79</v>
      </c>
      <c r="G1862">
        <v>-296.14580000000001</v>
      </c>
      <c r="H1862" s="1">
        <v>3.3232919999999998E-6</v>
      </c>
      <c r="I1862">
        <v>284.3032</v>
      </c>
      <c r="J1862">
        <v>-275.72269999999997</v>
      </c>
      <c r="K1862">
        <v>1.1113230000000001</v>
      </c>
      <c r="L1862">
        <v>284.70150000000001</v>
      </c>
      <c r="M1862">
        <v>-0.99836130000000001</v>
      </c>
      <c r="N1862">
        <v>0</v>
      </c>
      <c r="O1862">
        <v>-5.585039E-2</v>
      </c>
      <c r="P1862">
        <v>-0.99963740000000001</v>
      </c>
      <c r="Q1862">
        <v>1.461317E-2</v>
      </c>
      <c r="R1862">
        <v>-2.2626299999999998E-2</v>
      </c>
      <c r="S1862">
        <v>-3.0020449999999999</v>
      </c>
      <c r="T1862">
        <v>-0.161969899999999</v>
      </c>
      <c r="U1862">
        <v>-5.960083E-2</v>
      </c>
      <c r="V1862">
        <v>3.3156150000000002E-2</v>
      </c>
      <c r="W1862">
        <v>2.7189069999999999E-2</v>
      </c>
      <c r="X1862">
        <v>0.99908030000000003</v>
      </c>
      <c r="Y1862">
        <v>3.5891930000000002E-2</v>
      </c>
      <c r="Z1862">
        <v>3.9769050000000002E-3</v>
      </c>
      <c r="AA1862">
        <v>0.99934769999999995</v>
      </c>
      <c r="AB1862">
        <v>30</v>
      </c>
      <c r="AC1862">
        <v>-20.423100000000002</v>
      </c>
      <c r="AD1862">
        <v>-1.111319676708</v>
      </c>
      <c r="AE1862">
        <v>-0.39830000000000598</v>
      </c>
      <c r="AF1862">
        <v>0.74085572843409797</v>
      </c>
      <c r="AG1862">
        <v>-1.111319676708</v>
      </c>
      <c r="AH1862">
        <v>20.3532220997431</v>
      </c>
      <c r="AI1862">
        <v>93.123276817373196</v>
      </c>
      <c r="AJ1862">
        <v>87.915358365952798</v>
      </c>
      <c r="AK1862">
        <v>20.396998516342101</v>
      </c>
      <c r="AL1862">
        <v>88.441989057996594</v>
      </c>
      <c r="AM1862">
        <v>88.099241369437294</v>
      </c>
      <c r="AN1862">
        <v>1.00000001082918</v>
      </c>
    </row>
    <row r="1863" spans="1:40" x14ac:dyDescent="0.25">
      <c r="A1863" t="str">
        <f>"20190312160332453"</f>
        <v>20190312160332453</v>
      </c>
      <c r="B1863" t="str">
        <f>"1552377812446039"</f>
        <v>1552377812446039</v>
      </c>
      <c r="C1863" t="s">
        <v>40</v>
      </c>
      <c r="D1863">
        <v>5.6501270000000003</v>
      </c>
      <c r="E1863">
        <v>0.50147109999999995</v>
      </c>
      <c r="F1863" t="s">
        <v>79</v>
      </c>
      <c r="G1863">
        <v>-297.33350000000002</v>
      </c>
      <c r="H1863" s="1">
        <v>3.54103E-6</v>
      </c>
      <c r="I1863">
        <v>284.22239999999999</v>
      </c>
      <c r="J1863">
        <v>-275.89429999999999</v>
      </c>
      <c r="K1863">
        <v>1.111302</v>
      </c>
      <c r="L1863">
        <v>284.69099999999997</v>
      </c>
      <c r="M1863">
        <v>-0.9983107</v>
      </c>
      <c r="N1863">
        <v>0</v>
      </c>
      <c r="O1863">
        <v>-5.674481E-2</v>
      </c>
      <c r="P1863">
        <v>-0.99961140000000004</v>
      </c>
      <c r="Q1863">
        <v>1.4793509999999999E-2</v>
      </c>
      <c r="R1863">
        <v>-2.3633149999999999E-2</v>
      </c>
      <c r="S1863">
        <v>-3.0018310000000001</v>
      </c>
      <c r="T1863">
        <v>-0.15436739999999999</v>
      </c>
      <c r="U1863">
        <v>-6.6558839999999994E-2</v>
      </c>
      <c r="V1863">
        <v>3.3045680000000001E-2</v>
      </c>
      <c r="W1863">
        <v>2.7366379999999999E-2</v>
      </c>
      <c r="X1863">
        <v>0.9990791</v>
      </c>
      <c r="Y1863">
        <v>3.4483310000000003E-2</v>
      </c>
      <c r="Z1863">
        <v>3.8003239999999999E-3</v>
      </c>
      <c r="AA1863">
        <v>0.99939809999999996</v>
      </c>
      <c r="AB1863">
        <v>30</v>
      </c>
      <c r="AC1863">
        <v>-21.4392</v>
      </c>
      <c r="AD1863">
        <v>-1.1112984589699999</v>
      </c>
      <c r="AE1863">
        <v>-0.46859999999997998</v>
      </c>
      <c r="AF1863">
        <v>0.74680765524130299</v>
      </c>
      <c r="AG1863">
        <v>-1.1112984589699999</v>
      </c>
      <c r="AH1863">
        <v>21.373841648278201</v>
      </c>
      <c r="AI1863">
        <v>92.974509838501206</v>
      </c>
      <c r="AJ1863">
        <v>87.998884447339705</v>
      </c>
      <c r="AK1863">
        <v>21.415737501765101</v>
      </c>
      <c r="AL1863">
        <v>88.4318261320403</v>
      </c>
      <c r="AM1863">
        <v>88.105567440454607</v>
      </c>
      <c r="AN1863">
        <v>0.999999991888888</v>
      </c>
    </row>
    <row r="1864" spans="1:40" x14ac:dyDescent="0.25">
      <c r="A1864" t="str">
        <f>"20190312160332465"</f>
        <v>20190312160332465</v>
      </c>
      <c r="B1864" t="str">
        <f>"1552377812456775"</f>
        <v>1552377812456775</v>
      </c>
      <c r="C1864" t="s">
        <v>40</v>
      </c>
      <c r="D1864">
        <v>7.6959460000000002</v>
      </c>
      <c r="E1864">
        <v>0.501247</v>
      </c>
      <c r="F1864" t="s">
        <v>79</v>
      </c>
      <c r="G1864">
        <v>-297.94670000000002</v>
      </c>
      <c r="H1864" s="1">
        <v>3.6546929999999999E-6</v>
      </c>
      <c r="I1864">
        <v>284.16660000000002</v>
      </c>
      <c r="J1864">
        <v>-276.05810000000002</v>
      </c>
      <c r="K1864">
        <v>1.1112820000000001</v>
      </c>
      <c r="L1864">
        <v>284.68079999999998</v>
      </c>
      <c r="M1864">
        <v>-0.99826280000000001</v>
      </c>
      <c r="N1864">
        <v>0</v>
      </c>
      <c r="O1864">
        <v>-5.7584490000000002E-2</v>
      </c>
      <c r="P1864">
        <v>-0.99958740000000001</v>
      </c>
      <c r="Q1864">
        <v>1.4999449999999999E-2</v>
      </c>
      <c r="R1864">
        <v>-2.449546E-2</v>
      </c>
      <c r="S1864">
        <v>-3.001709</v>
      </c>
      <c r="T1864">
        <v>-0.15126609999999999</v>
      </c>
      <c r="U1864">
        <v>-7.1380620000000006E-2</v>
      </c>
      <c r="V1864">
        <v>3.3024640000000001E-2</v>
      </c>
      <c r="W1864">
        <v>2.7569920000000001E-2</v>
      </c>
      <c r="X1864">
        <v>0.99907420000000002</v>
      </c>
      <c r="Y1864">
        <v>3.3723179999999998E-2</v>
      </c>
      <c r="Z1864">
        <v>3.7472030000000002E-3</v>
      </c>
      <c r="AA1864">
        <v>0.99942419999999998</v>
      </c>
      <c r="AB1864">
        <v>30</v>
      </c>
      <c r="AC1864">
        <v>-21.8886</v>
      </c>
      <c r="AD1864">
        <v>-1.1112783453070001</v>
      </c>
      <c r="AE1864">
        <v>-0.51419999999995902</v>
      </c>
      <c r="AF1864">
        <v>0.745275262234814</v>
      </c>
      <c r="AG1864">
        <v>-1.1112783453070001</v>
      </c>
      <c r="AH1864">
        <v>21.825659411132499</v>
      </c>
      <c r="AI1864">
        <v>92.913068016709502</v>
      </c>
      <c r="AJ1864">
        <v>88.044295414416894</v>
      </c>
      <c r="AK1864">
        <v>21.8666363098673</v>
      </c>
      <c r="AL1864">
        <v>88.4201597475179</v>
      </c>
      <c r="AM1864">
        <v>88.106763458381593</v>
      </c>
      <c r="AN1864">
        <v>0.99999999222078795</v>
      </c>
    </row>
    <row r="1865" spans="1:40" x14ac:dyDescent="0.25">
      <c r="A1865" t="str">
        <f>"20190312160332484"</f>
        <v>20190312160332484</v>
      </c>
      <c r="B1865" t="str">
        <f>"1552377812476296"</f>
        <v>1552377812476296</v>
      </c>
      <c r="C1865" t="s">
        <v>40</v>
      </c>
      <c r="D1865">
        <v>5.7555820000000004</v>
      </c>
      <c r="E1865">
        <v>0.5014132</v>
      </c>
      <c r="F1865" t="s">
        <v>79</v>
      </c>
      <c r="G1865">
        <v>-298.53019999999998</v>
      </c>
      <c r="H1865" s="1">
        <v>3.7627450000000002E-6</v>
      </c>
      <c r="I1865">
        <v>284.11450000000002</v>
      </c>
      <c r="J1865">
        <v>-276.30590000000001</v>
      </c>
      <c r="K1865">
        <v>1.1112379999999999</v>
      </c>
      <c r="L1865">
        <v>284.6653</v>
      </c>
      <c r="M1865">
        <v>-0.99819210000000003</v>
      </c>
      <c r="N1865">
        <v>0</v>
      </c>
      <c r="O1865">
        <v>-5.8797330000000002E-2</v>
      </c>
      <c r="P1865">
        <v>-0.9995501</v>
      </c>
      <c r="Q1865">
        <v>1.5486160000000001E-2</v>
      </c>
      <c r="R1865">
        <v>-2.5684019999999998E-2</v>
      </c>
      <c r="S1865">
        <v>-3.001617</v>
      </c>
      <c r="T1865">
        <v>-0.1484345</v>
      </c>
      <c r="U1865">
        <v>-7.5653079999999998E-2</v>
      </c>
      <c r="V1865">
        <v>3.3051789999999998E-2</v>
      </c>
      <c r="W1865">
        <v>2.8051340000000001E-2</v>
      </c>
      <c r="X1865">
        <v>0.9990599</v>
      </c>
      <c r="Y1865">
        <v>3.351809E-2</v>
      </c>
      <c r="Z1865">
        <v>3.7319330000000002E-3</v>
      </c>
      <c r="AA1865">
        <v>0.99943110000000002</v>
      </c>
      <c r="AB1865">
        <v>30</v>
      </c>
      <c r="AC1865">
        <v>-22.2242999999999</v>
      </c>
      <c r="AD1865">
        <v>-1.1112342372549999</v>
      </c>
      <c r="AE1865">
        <v>-0.55079999999998097</v>
      </c>
      <c r="AF1865">
        <v>0.75509746428190905</v>
      </c>
      <c r="AG1865">
        <v>-1.1112342372549999</v>
      </c>
      <c r="AH1865">
        <v>22.162857692475502</v>
      </c>
      <c r="AI1865">
        <v>92.868715330314004</v>
      </c>
      <c r="AJ1865">
        <v>88.048664574706294</v>
      </c>
      <c r="AK1865">
        <v>22.203541942841699</v>
      </c>
      <c r="AL1865">
        <v>88.392565738033298</v>
      </c>
      <c r="AM1865">
        <v>88.105181036044499</v>
      </c>
      <c r="AN1865">
        <v>0.99999999114300397</v>
      </c>
    </row>
    <row r="1866" spans="1:40" x14ac:dyDescent="0.25">
      <c r="A1866" t="str">
        <f>"20190312160332495"</f>
        <v>20190312160332495</v>
      </c>
      <c r="B1866" t="str">
        <f>"1552377812486055"</f>
        <v>1552377812486055</v>
      </c>
      <c r="C1866" t="s">
        <v>40</v>
      </c>
      <c r="D1866">
        <v>5.7019080000000004</v>
      </c>
      <c r="E1866">
        <v>0.50138209999999905</v>
      </c>
      <c r="F1866" t="s">
        <v>79</v>
      </c>
      <c r="G1866">
        <v>-298.56099999999998</v>
      </c>
      <c r="H1866" s="1">
        <v>3.7704189999999998E-6</v>
      </c>
      <c r="I1866">
        <v>284.08920000000001</v>
      </c>
      <c r="J1866">
        <v>-276.45030000000003</v>
      </c>
      <c r="K1866">
        <v>1.1112059999999999</v>
      </c>
      <c r="L1866">
        <v>284.65600000000001</v>
      </c>
      <c r="M1866">
        <v>-0.99815229999999999</v>
      </c>
      <c r="N1866">
        <v>0</v>
      </c>
      <c r="O1866">
        <v>-5.946854E-2</v>
      </c>
      <c r="P1866">
        <v>-0.99952350000000001</v>
      </c>
      <c r="Q1866">
        <v>1.5955239999999999E-2</v>
      </c>
      <c r="R1866">
        <v>-2.6427539999999999E-2</v>
      </c>
      <c r="S1866">
        <v>-3.001709</v>
      </c>
      <c r="T1866">
        <v>-0.14988029999999999</v>
      </c>
      <c r="U1866">
        <v>-7.7697749999999996E-2</v>
      </c>
      <c r="V1866">
        <v>3.298106E-2</v>
      </c>
      <c r="W1866">
        <v>2.8516550000000002E-2</v>
      </c>
      <c r="X1866">
        <v>0.99904910000000002</v>
      </c>
      <c r="Y1866">
        <v>3.350757E-2</v>
      </c>
      <c r="Z1866">
        <v>3.8012469999999998E-3</v>
      </c>
      <c r="AA1866">
        <v>0.99943130000000002</v>
      </c>
      <c r="AB1866">
        <v>30</v>
      </c>
      <c r="AC1866">
        <v>-22.110699999999898</v>
      </c>
      <c r="AD1866">
        <v>-1.111202229581</v>
      </c>
      <c r="AE1866">
        <v>-0.56679999999999997</v>
      </c>
      <c r="AF1866">
        <v>0.74731032824278099</v>
      </c>
      <c r="AG1866">
        <v>-1.111202229581</v>
      </c>
      <c r="AH1866">
        <v>22.049617268095599</v>
      </c>
      <c r="AI1866">
        <v>92.883357915145695</v>
      </c>
      <c r="AJ1866">
        <v>88.058862250901797</v>
      </c>
      <c r="AK1866">
        <v>22.0902436562213</v>
      </c>
      <c r="AL1866">
        <v>88.365900553816999</v>
      </c>
      <c r="AM1866">
        <v>88.109212529763397</v>
      </c>
      <c r="AN1866">
        <v>1.00000002407671</v>
      </c>
    </row>
    <row r="1867" spans="1:40" x14ac:dyDescent="0.25">
      <c r="A1867" t="str">
        <f>"20190312160332506"</f>
        <v>20190312160332506</v>
      </c>
      <c r="B1867" t="str">
        <f>"1552377812496794"</f>
        <v>1552377812496794</v>
      </c>
      <c r="C1867" t="s">
        <v>40</v>
      </c>
      <c r="D1867">
        <v>5.7113930000000002</v>
      </c>
      <c r="E1867">
        <v>0.50138279999999902</v>
      </c>
      <c r="F1867" t="s">
        <v>79</v>
      </c>
      <c r="G1867">
        <v>-299.1825</v>
      </c>
      <c r="H1867" s="1">
        <v>3.8841599999999998E-6</v>
      </c>
      <c r="I1867">
        <v>284.04910000000001</v>
      </c>
      <c r="J1867">
        <v>-276.6028</v>
      </c>
      <c r="K1867">
        <v>1.111175</v>
      </c>
      <c r="L1867">
        <v>284.64620000000002</v>
      </c>
      <c r="M1867">
        <v>-0.99811039999999995</v>
      </c>
      <c r="N1867">
        <v>0</v>
      </c>
      <c r="O1867">
        <v>-6.0166619999999997E-2</v>
      </c>
      <c r="P1867">
        <v>-0.99950320000000004</v>
      </c>
      <c r="Q1867">
        <v>1.621827E-2</v>
      </c>
      <c r="R1867">
        <v>-2.7030470000000001E-2</v>
      </c>
      <c r="S1867">
        <v>-3.0016479999999999</v>
      </c>
      <c r="T1867">
        <v>-0.1467271</v>
      </c>
      <c r="U1867">
        <v>-8.0139160000000001E-2</v>
      </c>
      <c r="V1867">
        <v>3.3078749999999997E-2</v>
      </c>
      <c r="W1867">
        <v>2.877584E-2</v>
      </c>
      <c r="X1867">
        <v>0.99903839999999999</v>
      </c>
      <c r="Y1867">
        <v>3.3397820000000002E-2</v>
      </c>
      <c r="Z1867">
        <v>3.7527519999999998E-3</v>
      </c>
      <c r="AA1867">
        <v>0.99943510000000002</v>
      </c>
      <c r="AB1867">
        <v>30</v>
      </c>
      <c r="AC1867">
        <v>-22.579699999999999</v>
      </c>
      <c r="AD1867">
        <v>-1.1111711158399999</v>
      </c>
      <c r="AE1867">
        <v>-0.59710000000001096</v>
      </c>
      <c r="AF1867">
        <v>0.760790706139571</v>
      </c>
      <c r="AG1867">
        <v>-1.1111711158399999</v>
      </c>
      <c r="AH1867">
        <v>22.520215601410701</v>
      </c>
      <c r="AI1867">
        <v>92.823135271611704</v>
      </c>
      <c r="AJ1867">
        <v>88.065137292652395</v>
      </c>
      <c r="AK1867">
        <v>22.560443579000101</v>
      </c>
      <c r="AL1867">
        <v>88.351038173770505</v>
      </c>
      <c r="AM1867">
        <v>88.103595798788803</v>
      </c>
      <c r="AN1867">
        <v>0.99999998867191398</v>
      </c>
    </row>
    <row r="1868" spans="1:40" x14ac:dyDescent="0.25">
      <c r="A1868" t="str">
        <f>"20190312160332518"</f>
        <v>20190312160332518</v>
      </c>
      <c r="B1868" t="str">
        <f>"1552377812516311"</f>
        <v>1552377812516311</v>
      </c>
      <c r="C1868" t="s">
        <v>40</v>
      </c>
      <c r="D1868">
        <v>5.7254250000000004</v>
      </c>
      <c r="E1868">
        <v>0.50109059999999905</v>
      </c>
      <c r="F1868" t="s">
        <v>79</v>
      </c>
      <c r="G1868">
        <v>-299.78089999999997</v>
      </c>
      <c r="H1868" s="1">
        <v>3.9933530000000004E-6</v>
      </c>
      <c r="I1868">
        <v>284.01420000000002</v>
      </c>
      <c r="J1868">
        <v>-276.76170000000002</v>
      </c>
      <c r="K1868">
        <v>1.111132</v>
      </c>
      <c r="L1868">
        <v>284.63589999999999</v>
      </c>
      <c r="M1868">
        <v>-0.99806980000000001</v>
      </c>
      <c r="N1868">
        <v>0</v>
      </c>
      <c r="O1868">
        <v>-6.0839610000000002E-2</v>
      </c>
      <c r="P1868">
        <v>-0.99948230000000005</v>
      </c>
      <c r="Q1868">
        <v>1.6414060000000001E-2</v>
      </c>
      <c r="R1868">
        <v>-2.7681620000000001E-2</v>
      </c>
      <c r="S1868">
        <v>-3.001617</v>
      </c>
      <c r="T1868">
        <v>-0.14389959999999999</v>
      </c>
      <c r="U1868">
        <v>-8.184814E-2</v>
      </c>
      <c r="V1868">
        <v>3.3104080000000001E-2</v>
      </c>
      <c r="W1868">
        <v>2.8966970000000002E-2</v>
      </c>
      <c r="X1868">
        <v>0.99903200000000003</v>
      </c>
      <c r="Y1868">
        <v>3.3506180000000003E-2</v>
      </c>
      <c r="Z1868">
        <v>3.7152930000000002E-3</v>
      </c>
      <c r="AA1868">
        <v>0.99943159999999998</v>
      </c>
      <c r="AB1868">
        <v>30</v>
      </c>
      <c r="AC1868">
        <v>-23.019199999999898</v>
      </c>
      <c r="AD1868">
        <v>-1.111128006647</v>
      </c>
      <c r="AE1868">
        <v>-0.62169999999997505</v>
      </c>
      <c r="AF1868">
        <v>0.77822778069516396</v>
      </c>
      <c r="AG1868">
        <v>-1.111128006647</v>
      </c>
      <c r="AH1868">
        <v>22.960919557018801</v>
      </c>
      <c r="AI1868">
        <v>92.768916512553602</v>
      </c>
      <c r="AJ1868">
        <v>88.058783983894799</v>
      </c>
      <c r="AK1868">
        <v>23.000958041561798</v>
      </c>
      <c r="AL1868">
        <v>88.340082602167996</v>
      </c>
      <c r="AM1868">
        <v>88.102132542709896</v>
      </c>
      <c r="AN1868">
        <v>0.99999995124381202</v>
      </c>
    </row>
    <row r="1869" spans="1:40" x14ac:dyDescent="0.25">
      <c r="A1869" t="str">
        <f>"20190312160332530"</f>
        <v>20190312160332530</v>
      </c>
      <c r="B1869" t="str">
        <f>"1552377812526071"</f>
        <v>1552377812526071</v>
      </c>
      <c r="C1869" t="s">
        <v>40</v>
      </c>
      <c r="D1869">
        <v>5.7760369999999996</v>
      </c>
      <c r="E1869">
        <v>0.50100829999999996</v>
      </c>
      <c r="F1869" t="s">
        <v>79</v>
      </c>
      <c r="G1869">
        <v>-300.5215</v>
      </c>
      <c r="H1869" s="1">
        <v>3.9298890000000002E-6</v>
      </c>
      <c r="I1869">
        <v>283.95519999999999</v>
      </c>
      <c r="J1869">
        <v>-276.92599999999999</v>
      </c>
      <c r="K1869">
        <v>1.111084</v>
      </c>
      <c r="L1869">
        <v>284.62520000000001</v>
      </c>
      <c r="M1869">
        <v>-0.99802860000000004</v>
      </c>
      <c r="N1869">
        <v>0</v>
      </c>
      <c r="O1869">
        <v>-6.1510500000000003E-2</v>
      </c>
      <c r="P1869">
        <v>-0.99946310000000005</v>
      </c>
      <c r="Q1869">
        <v>1.703584E-2</v>
      </c>
      <c r="R1869">
        <v>-2.799511E-2</v>
      </c>
      <c r="S1869">
        <v>-3.001465</v>
      </c>
      <c r="T1869">
        <v>-0.14036370000000001</v>
      </c>
      <c r="U1869">
        <v>-8.5998539999999998E-2</v>
      </c>
      <c r="V1869">
        <v>3.3463720000000002E-2</v>
      </c>
      <c r="W1869">
        <v>2.958421E-2</v>
      </c>
      <c r="X1869">
        <v>0.99900199999999995</v>
      </c>
      <c r="Y1869">
        <v>3.2800969999999999E-2</v>
      </c>
      <c r="Z1869">
        <v>3.6390039999999999E-3</v>
      </c>
      <c r="AA1869">
        <v>0.99945530000000005</v>
      </c>
      <c r="AB1869">
        <v>30</v>
      </c>
      <c r="AC1869">
        <v>-23.595500000000001</v>
      </c>
      <c r="AD1869">
        <v>-1.111080070111</v>
      </c>
      <c r="AE1869">
        <v>-0.67000000000001503</v>
      </c>
      <c r="AF1869">
        <v>0.78102225512216295</v>
      </c>
      <c r="AG1869">
        <v>-1.111080070111</v>
      </c>
      <c r="AH1869">
        <v>23.539874846039801</v>
      </c>
      <c r="AI1869">
        <v>92.700866286745594</v>
      </c>
      <c r="AJ1869">
        <v>88.099698079533795</v>
      </c>
      <c r="AK1869">
        <v>23.5790203878874</v>
      </c>
      <c r="AL1869">
        <v>88.304702306437804</v>
      </c>
      <c r="AM1869">
        <v>88.081472023010406</v>
      </c>
      <c r="AN1869">
        <v>1.00000002102078</v>
      </c>
    </row>
    <row r="1870" spans="1:40" x14ac:dyDescent="0.25">
      <c r="A1870" t="str">
        <f>"20190312160332542"</f>
        <v>20190312160332542</v>
      </c>
      <c r="B1870" t="str">
        <f>"1552377812536807"</f>
        <v>1552377812536807</v>
      </c>
      <c r="C1870" t="s">
        <v>40</v>
      </c>
      <c r="D1870">
        <v>5.7355980000000004</v>
      </c>
      <c r="E1870">
        <v>0.50102970000000002</v>
      </c>
      <c r="F1870" t="s">
        <v>79</v>
      </c>
      <c r="G1870">
        <v>-301.24340000000001</v>
      </c>
      <c r="H1870" s="1">
        <v>3.805262E-6</v>
      </c>
      <c r="I1870">
        <v>283.91609999999997</v>
      </c>
      <c r="J1870">
        <v>-277.08550000000002</v>
      </c>
      <c r="K1870">
        <v>1.1110249999999999</v>
      </c>
      <c r="L1870">
        <v>284.61470000000003</v>
      </c>
      <c r="M1870">
        <v>-0.99799139999999997</v>
      </c>
      <c r="N1870">
        <v>0</v>
      </c>
      <c r="O1870">
        <v>-6.2108919999999998E-2</v>
      </c>
      <c r="P1870">
        <v>-0.99944339999999998</v>
      </c>
      <c r="Q1870">
        <v>1.7476749999999999E-2</v>
      </c>
      <c r="R1870">
        <v>-2.8412840000000002E-2</v>
      </c>
      <c r="S1870">
        <v>-3.0014949999999998</v>
      </c>
      <c r="T1870">
        <v>-0.1371406</v>
      </c>
      <c r="U1870">
        <v>-8.7524409999999997E-2</v>
      </c>
      <c r="V1870">
        <v>3.3647629999999998E-2</v>
      </c>
      <c r="W1870">
        <v>3.001937E-2</v>
      </c>
      <c r="X1870">
        <v>0.99898279999999995</v>
      </c>
      <c r="Y1870">
        <v>3.2896839999999997E-2</v>
      </c>
      <c r="Z1870">
        <v>3.584921E-3</v>
      </c>
      <c r="AA1870">
        <v>0.99945240000000002</v>
      </c>
      <c r="AB1870">
        <v>30</v>
      </c>
      <c r="AC1870">
        <v>-24.157899999999898</v>
      </c>
      <c r="AD1870">
        <v>-1.111021194738</v>
      </c>
      <c r="AE1870">
        <v>-0.69860000000005495</v>
      </c>
      <c r="AF1870">
        <v>0.80159278926797495</v>
      </c>
      <c r="AG1870">
        <v>-1.111021194738</v>
      </c>
      <c r="AH1870">
        <v>24.103706996970601</v>
      </c>
      <c r="AI1870">
        <v>92.637631786539401</v>
      </c>
      <c r="AJ1870">
        <v>88.095273749456496</v>
      </c>
      <c r="AK1870">
        <v>24.142609844231298</v>
      </c>
      <c r="AL1870">
        <v>88.279758325616001</v>
      </c>
      <c r="AM1870">
        <v>88.070899068774494</v>
      </c>
      <c r="AN1870">
        <v>0.99999998013782598</v>
      </c>
    </row>
    <row r="1871" spans="1:40" x14ac:dyDescent="0.25">
      <c r="A1871" t="str">
        <f>"20190312160332554"</f>
        <v>20190312160332554</v>
      </c>
      <c r="B1871" t="str">
        <f>"1552377812546568"</f>
        <v>1552377812546568</v>
      </c>
      <c r="C1871" t="s">
        <v>40</v>
      </c>
      <c r="D1871">
        <v>5.6744510000000004</v>
      </c>
      <c r="E1871">
        <v>0.50119529999999901</v>
      </c>
      <c r="F1871" t="s">
        <v>79</v>
      </c>
      <c r="G1871">
        <v>-301.88299999999998</v>
      </c>
      <c r="H1871" s="1">
        <v>3.6947200000000001E-6</v>
      </c>
      <c r="I1871">
        <v>283.8827</v>
      </c>
      <c r="J1871">
        <v>-277.24810000000002</v>
      </c>
      <c r="K1871">
        <v>1.1109659999999999</v>
      </c>
      <c r="L1871">
        <v>284.60390000000001</v>
      </c>
      <c r="M1871">
        <v>-0.99795619999999996</v>
      </c>
      <c r="N1871">
        <v>0</v>
      </c>
      <c r="O1871">
        <v>-6.267317E-2</v>
      </c>
      <c r="P1871">
        <v>-0.99942120000000001</v>
      </c>
      <c r="Q1871">
        <v>1.818579E-2</v>
      </c>
      <c r="R1871">
        <v>-2.8755079999999999E-2</v>
      </c>
      <c r="S1871">
        <v>-3.0014949999999998</v>
      </c>
      <c r="T1871">
        <v>-0.1344784</v>
      </c>
      <c r="U1871">
        <v>-8.8592530000000003E-2</v>
      </c>
      <c r="V1871">
        <v>3.3872670000000001E-2</v>
      </c>
      <c r="W1871">
        <v>3.0722849999999999E-2</v>
      </c>
      <c r="X1871">
        <v>0.9989538</v>
      </c>
      <c r="Y1871">
        <v>3.310958E-2</v>
      </c>
      <c r="Z1871">
        <v>3.5453519999999999E-3</v>
      </c>
      <c r="AA1871">
        <v>0.99944540000000004</v>
      </c>
      <c r="AB1871">
        <v>30</v>
      </c>
      <c r="AC1871">
        <v>-24.634899999999899</v>
      </c>
      <c r="AD1871">
        <v>-1.11096230528</v>
      </c>
      <c r="AE1871">
        <v>-0.72120000000001006</v>
      </c>
      <c r="AF1871">
        <v>0.82261379732268702</v>
      </c>
      <c r="AG1871">
        <v>-1.11096230528</v>
      </c>
      <c r="AH1871">
        <v>24.581716032492899</v>
      </c>
      <c r="AI1871">
        <v>92.5862566429374</v>
      </c>
      <c r="AJ1871">
        <v>88.083343063146202</v>
      </c>
      <c r="AK1871">
        <v>24.620554295251299</v>
      </c>
      <c r="AL1871">
        <v>88.239433273993299</v>
      </c>
      <c r="AM1871">
        <v>88.057950487870698</v>
      </c>
      <c r="AN1871">
        <v>0.99999997290974496</v>
      </c>
    </row>
    <row r="1872" spans="1:40" x14ac:dyDescent="0.25">
      <c r="A1872" t="str">
        <f>"20190312160332566"</f>
        <v>20190312160332566</v>
      </c>
      <c r="B1872" t="str">
        <f>"1552377812556329"</f>
        <v>1552377812556329</v>
      </c>
      <c r="C1872" t="s">
        <v>40</v>
      </c>
      <c r="D1872">
        <v>5.6590610000000003</v>
      </c>
      <c r="E1872">
        <v>0.5012451</v>
      </c>
      <c r="F1872" t="s">
        <v>79</v>
      </c>
      <c r="G1872">
        <v>-302.8492</v>
      </c>
      <c r="H1872" s="1">
        <v>3.5260339999999999E-6</v>
      </c>
      <c r="I1872">
        <v>283.8519</v>
      </c>
      <c r="J1872">
        <v>-277.40069999999997</v>
      </c>
      <c r="K1872">
        <v>1.110908</v>
      </c>
      <c r="L1872">
        <v>284.59379999999999</v>
      </c>
      <c r="M1872">
        <v>-0.99792449999999999</v>
      </c>
      <c r="N1872">
        <v>0</v>
      </c>
      <c r="O1872">
        <v>-6.3176179999999998E-2</v>
      </c>
      <c r="P1872">
        <v>-0.99939710000000004</v>
      </c>
      <c r="Q1872">
        <v>1.8759089999999999E-2</v>
      </c>
      <c r="R1872">
        <v>-2.9211339999999999E-2</v>
      </c>
      <c r="S1872">
        <v>-3.0015260000000001</v>
      </c>
      <c r="T1872">
        <v>-0.1302518</v>
      </c>
      <c r="U1872">
        <v>-8.8165279999999999E-2</v>
      </c>
      <c r="V1872">
        <v>3.3922609999999999E-2</v>
      </c>
      <c r="W1872">
        <v>3.1289539999999998E-2</v>
      </c>
      <c r="X1872">
        <v>0.99893460000000001</v>
      </c>
      <c r="Y1872">
        <v>3.3760640000000001E-2</v>
      </c>
      <c r="Z1872">
        <v>3.4698929999999999E-3</v>
      </c>
      <c r="AA1872">
        <v>0.99942390000000003</v>
      </c>
      <c r="AB1872">
        <v>30</v>
      </c>
      <c r="AC1872">
        <v>-25.448499999999999</v>
      </c>
      <c r="AD1872">
        <v>-1.1109044739659999</v>
      </c>
      <c r="AE1872">
        <v>-0.74189999999998602</v>
      </c>
      <c r="AF1872">
        <v>0.86579780745252399</v>
      </c>
      <c r="AG1872">
        <v>-1.1109044739659999</v>
      </c>
      <c r="AH1872">
        <v>25.3961764008214</v>
      </c>
      <c r="AI1872">
        <v>92.503239093812695</v>
      </c>
      <c r="AJ1872">
        <v>88.0474479849712</v>
      </c>
      <c r="AK1872">
        <v>25.435201795450801</v>
      </c>
      <c r="AL1872">
        <v>88.206948859258404</v>
      </c>
      <c r="AM1872">
        <v>88.055052080945302</v>
      </c>
      <c r="AN1872">
        <v>1.0000000569298899</v>
      </c>
    </row>
    <row r="1873" spans="1:40" x14ac:dyDescent="0.25">
      <c r="A1873" t="str">
        <f>"20190312160332585"</f>
        <v>20190312160332585</v>
      </c>
      <c r="B1873" t="str">
        <f>"1552377812576823"</f>
        <v>1552377812576823</v>
      </c>
      <c r="C1873" t="s">
        <v>40</v>
      </c>
      <c r="D1873">
        <v>5.7852540000000001</v>
      </c>
      <c r="E1873">
        <v>0.50141179999999996</v>
      </c>
      <c r="F1873" t="s">
        <v>79</v>
      </c>
      <c r="G1873">
        <v>-303.61880000000002</v>
      </c>
      <c r="H1873" s="1">
        <v>3.3925670000000001E-6</v>
      </c>
      <c r="I1873">
        <v>283.81700000000001</v>
      </c>
      <c r="J1873">
        <v>-277.6515</v>
      </c>
      <c r="K1873">
        <v>1.110808</v>
      </c>
      <c r="L1873">
        <v>284.57709999999997</v>
      </c>
      <c r="M1873">
        <v>-0.99787959999999998</v>
      </c>
      <c r="N1873">
        <v>0</v>
      </c>
      <c r="O1873">
        <v>-6.3884040000000003E-2</v>
      </c>
      <c r="P1873">
        <v>-0.99937770000000004</v>
      </c>
      <c r="Q1873">
        <v>1.8982249999999999E-2</v>
      </c>
      <c r="R1873">
        <v>-2.9736169999999999E-2</v>
      </c>
      <c r="S1873">
        <v>-3.001617</v>
      </c>
      <c r="T1873">
        <v>-0.12718360000000001</v>
      </c>
      <c r="U1873">
        <v>-8.8928220000000002E-2</v>
      </c>
      <c r="V1873">
        <v>3.4114060000000002E-2</v>
      </c>
      <c r="W1873">
        <v>3.1502580000000002E-2</v>
      </c>
      <c r="X1873">
        <v>0.99892130000000001</v>
      </c>
      <c r="Y1873">
        <v>3.4219859999999998E-2</v>
      </c>
      <c r="Z1873">
        <v>3.4277470000000001E-3</v>
      </c>
      <c r="AA1873">
        <v>0.99940839999999997</v>
      </c>
      <c r="AB1873">
        <v>30</v>
      </c>
      <c r="AC1873">
        <v>-25.967300000000002</v>
      </c>
      <c r="AD1873">
        <v>-1.110804607433</v>
      </c>
      <c r="AE1873">
        <v>-0.76009999999996503</v>
      </c>
      <c r="AF1873">
        <v>0.898834250161201</v>
      </c>
      <c r="AG1873">
        <v>-1.110804607433</v>
      </c>
      <c r="AH1873">
        <v>25.915429686985199</v>
      </c>
      <c r="AI1873">
        <v>92.452874910651403</v>
      </c>
      <c r="AJ1873">
        <v>88.013585945860697</v>
      </c>
      <c r="AK1873">
        <v>25.954793116999301</v>
      </c>
      <c r="AL1873">
        <v>88.194736394403407</v>
      </c>
      <c r="AM1873">
        <v>88.044057803382202</v>
      </c>
      <c r="AN1873">
        <v>0.99999997261501405</v>
      </c>
    </row>
    <row r="1874" spans="1:40" x14ac:dyDescent="0.25">
      <c r="A1874" t="str">
        <f>"20190312160332600"</f>
        <v>20190312160332600</v>
      </c>
      <c r="B1874" t="str">
        <f>"1552377812596343"</f>
        <v>1552377812596343</v>
      </c>
      <c r="C1874" t="s">
        <v>40</v>
      </c>
      <c r="D1874">
        <v>5.7359369999999998</v>
      </c>
      <c r="E1874">
        <v>0.50130479999999999</v>
      </c>
      <c r="F1874" t="s">
        <v>79</v>
      </c>
      <c r="G1874">
        <v>-304.5274</v>
      </c>
      <c r="H1874" s="1">
        <v>3.2347690000000001E-6</v>
      </c>
      <c r="I1874">
        <v>283.77839999999998</v>
      </c>
      <c r="J1874">
        <v>-277.84800000000001</v>
      </c>
      <c r="K1874">
        <v>1.1107180000000001</v>
      </c>
      <c r="L1874">
        <v>284.56389999999999</v>
      </c>
      <c r="M1874">
        <v>-0.99785029999999997</v>
      </c>
      <c r="N1874">
        <v>0</v>
      </c>
      <c r="O1874">
        <v>-6.4337950000000005E-2</v>
      </c>
      <c r="P1874">
        <v>-0.99935640000000003</v>
      </c>
      <c r="Q1874">
        <v>1.902237E-2</v>
      </c>
      <c r="R1874">
        <v>-3.0409909999999998E-2</v>
      </c>
      <c r="S1874">
        <v>-3.0015869999999998</v>
      </c>
      <c r="T1874">
        <v>-0.124058</v>
      </c>
      <c r="U1874">
        <v>-8.9202879999999998E-2</v>
      </c>
      <c r="V1874">
        <v>3.3901590000000002E-2</v>
      </c>
      <c r="W1874">
        <v>3.1533560000000002E-2</v>
      </c>
      <c r="X1874">
        <v>0.99892760000000003</v>
      </c>
      <c r="Y1874">
        <v>3.4586369999999998E-2</v>
      </c>
      <c r="Z1874">
        <v>3.3698909999999999E-3</v>
      </c>
      <c r="AA1874">
        <v>0.99939599999999995</v>
      </c>
      <c r="AB1874">
        <v>30</v>
      </c>
      <c r="AC1874">
        <v>-26.679399999999902</v>
      </c>
      <c r="AD1874">
        <v>-1.1107147652310001</v>
      </c>
      <c r="AE1874">
        <v>-0.78550000000001297</v>
      </c>
      <c r="AF1874">
        <v>0.93114649273602401</v>
      </c>
      <c r="AG1874">
        <v>-1.1107147652310001</v>
      </c>
      <c r="AH1874">
        <v>26.6285444713223</v>
      </c>
      <c r="AI1874">
        <v>92.387047280263403</v>
      </c>
      <c r="AJ1874">
        <v>87.997298159432304</v>
      </c>
      <c r="AK1874">
        <v>26.667960209619</v>
      </c>
      <c r="AL1874">
        <v>88.192960568360306</v>
      </c>
      <c r="AM1874">
        <v>88.056242724472696</v>
      </c>
      <c r="AN1874">
        <v>1.0000000166262799</v>
      </c>
    </row>
    <row r="1875" spans="1:40" x14ac:dyDescent="0.25">
      <c r="A1875" t="str">
        <f>"20190312160332617"</f>
        <v>20190312160332617</v>
      </c>
      <c r="B1875" t="str">
        <f>"1552377812606103"</f>
        <v>1552377812606103</v>
      </c>
      <c r="C1875" t="s">
        <v>40</v>
      </c>
      <c r="D1875">
        <v>5.7297070000000003</v>
      </c>
      <c r="E1875">
        <v>0.50129609999999902</v>
      </c>
      <c r="F1875" t="s">
        <v>79</v>
      </c>
      <c r="G1875">
        <v>-304.10489999999999</v>
      </c>
      <c r="H1875" s="1">
        <v>3.3113750000000001E-6</v>
      </c>
      <c r="I1875">
        <v>283.7593</v>
      </c>
      <c r="J1875">
        <v>-278.09300000000002</v>
      </c>
      <c r="K1875">
        <v>1.1105910000000001</v>
      </c>
      <c r="L1875">
        <v>284.54750000000001</v>
      </c>
      <c r="M1875">
        <v>-0.99782099999999996</v>
      </c>
      <c r="N1875">
        <v>0</v>
      </c>
      <c r="O1875">
        <v>-6.4791959999999996E-2</v>
      </c>
      <c r="P1875">
        <v>-0.99935510000000005</v>
      </c>
      <c r="Q1875">
        <v>1.8917159999999999E-2</v>
      </c>
      <c r="R1875">
        <v>-3.0525190000000001E-2</v>
      </c>
      <c r="S1875">
        <v>-3.0015260000000001</v>
      </c>
      <c r="T1875">
        <v>-0.12696959999999999</v>
      </c>
      <c r="U1875">
        <v>-9.1979980000000003E-2</v>
      </c>
      <c r="V1875">
        <v>3.4250620000000002E-2</v>
      </c>
      <c r="W1875">
        <v>3.1417750000000001E-2</v>
      </c>
      <c r="X1875">
        <v>0.99891929999999995</v>
      </c>
      <c r="Y1875">
        <v>3.4112669999999998E-2</v>
      </c>
      <c r="Z1875">
        <v>3.4580570000000001E-3</v>
      </c>
      <c r="AA1875">
        <v>0.99941199999999997</v>
      </c>
      <c r="AB1875">
        <v>30</v>
      </c>
      <c r="AC1875">
        <v>-26.011899999999901</v>
      </c>
      <c r="AD1875">
        <v>-1.1105876886249999</v>
      </c>
      <c r="AE1875">
        <v>-0.788200000000017</v>
      </c>
      <c r="AF1875">
        <v>0.89731504726114897</v>
      </c>
      <c r="AG1875">
        <v>-1.1105876886249999</v>
      </c>
      <c r="AH1875">
        <v>25.961027312401601</v>
      </c>
      <c r="AI1875">
        <v>92.448104481786103</v>
      </c>
      <c r="AJ1875">
        <v>88.020420932199798</v>
      </c>
      <c r="AK1875">
        <v>26.000259968381599</v>
      </c>
      <c r="AL1875">
        <v>88.199599204975001</v>
      </c>
      <c r="AM1875">
        <v>88.036230274943307</v>
      </c>
      <c r="AN1875">
        <v>0.999999973948968</v>
      </c>
    </row>
    <row r="1876" spans="1:40" x14ac:dyDescent="0.25">
      <c r="A1876" t="str">
        <f>"20190312160332630"</f>
        <v>20190312160332630</v>
      </c>
      <c r="B1876" t="str">
        <f>"1552377812626589"</f>
        <v>1552377812626589</v>
      </c>
      <c r="C1876" t="s">
        <v>40</v>
      </c>
      <c r="D1876">
        <v>5.6007300000000004</v>
      </c>
      <c r="E1876">
        <v>0.50134239999999997</v>
      </c>
      <c r="F1876" t="s">
        <v>79</v>
      </c>
      <c r="G1876">
        <v>-304.3734</v>
      </c>
      <c r="H1876" s="1">
        <v>3.2655330000000002E-6</v>
      </c>
      <c r="I1876">
        <v>283.73899999999998</v>
      </c>
      <c r="J1876">
        <v>-278.2645</v>
      </c>
      <c r="K1876">
        <v>1.1105020000000001</v>
      </c>
      <c r="L1876">
        <v>284.53609999999998</v>
      </c>
      <c r="M1876">
        <v>-0.99780500000000005</v>
      </c>
      <c r="N1876">
        <v>0</v>
      </c>
      <c r="O1876">
        <v>-6.5036739999999996E-2</v>
      </c>
      <c r="P1876">
        <v>-0.99935459999999998</v>
      </c>
      <c r="Q1876">
        <v>1.8788699999999998E-2</v>
      </c>
      <c r="R1876">
        <v>-3.0616899999999999E-2</v>
      </c>
      <c r="S1876">
        <v>-3.0015260000000001</v>
      </c>
      <c r="T1876">
        <v>-0.12684210000000001</v>
      </c>
      <c r="U1876">
        <v>-9.2346189999999995E-2</v>
      </c>
      <c r="V1876">
        <v>3.4411259999999999E-2</v>
      </c>
      <c r="W1876">
        <v>3.1280490000000001E-2</v>
      </c>
      <c r="X1876">
        <v>0.99891810000000003</v>
      </c>
      <c r="Y1876">
        <v>3.4235880000000003E-2</v>
      </c>
      <c r="Z1876">
        <v>3.467496E-3</v>
      </c>
      <c r="AA1876">
        <v>0.99940779999999996</v>
      </c>
      <c r="AB1876">
        <v>30</v>
      </c>
      <c r="AC1876">
        <v>-26.108899999999998</v>
      </c>
      <c r="AD1876">
        <v>-1.1104987344670001</v>
      </c>
      <c r="AE1876">
        <v>-0.79709999999994297</v>
      </c>
      <c r="AF1876">
        <v>0.90112882384234905</v>
      </c>
      <c r="AG1876">
        <v>-1.1104987344670001</v>
      </c>
      <c r="AH1876">
        <v>26.058362385337698</v>
      </c>
      <c r="AI1876">
        <v>92.438774640770404</v>
      </c>
      <c r="AJ1876">
        <v>88.019433787393297</v>
      </c>
      <c r="AK1876">
        <v>26.097576339614299</v>
      </c>
      <c r="AL1876">
        <v>88.207467514919998</v>
      </c>
      <c r="AM1876">
        <v>88.027024825523895</v>
      </c>
      <c r="AN1876">
        <v>0.99999998718851801</v>
      </c>
    </row>
    <row r="1877" spans="1:40" x14ac:dyDescent="0.25">
      <c r="A1877" t="str">
        <f>"20190312160332643"</f>
        <v>20190312160332643</v>
      </c>
      <c r="B1877" t="str">
        <f>"1552377812636350"</f>
        <v>1552377812636350</v>
      </c>
      <c r="C1877" t="s">
        <v>40</v>
      </c>
      <c r="D1877">
        <v>5.5344920000000002</v>
      </c>
      <c r="E1877">
        <v>0.50135620000000003</v>
      </c>
      <c r="F1877" t="s">
        <v>79</v>
      </c>
      <c r="G1877">
        <v>-304.70740000000001</v>
      </c>
      <c r="H1877" s="1">
        <v>3.207538E-6</v>
      </c>
      <c r="I1877">
        <v>283.72460000000001</v>
      </c>
      <c r="J1877">
        <v>-278.44229999999999</v>
      </c>
      <c r="K1877">
        <v>1.1104069999999999</v>
      </c>
      <c r="L1877">
        <v>284.52420000000001</v>
      </c>
      <c r="M1877">
        <v>-0.99779379999999995</v>
      </c>
      <c r="N1877">
        <v>0</v>
      </c>
      <c r="O1877">
        <v>-6.5209320000000001E-2</v>
      </c>
      <c r="P1877">
        <v>-0.99936340000000001</v>
      </c>
      <c r="Q1877">
        <v>1.8643119999999999E-2</v>
      </c>
      <c r="R1877">
        <v>-3.0425029999999999E-2</v>
      </c>
      <c r="S1877">
        <v>-3.001465</v>
      </c>
      <c r="T1877">
        <v>-0.12604979999999999</v>
      </c>
      <c r="U1877">
        <v>-9.2102050000000005E-2</v>
      </c>
      <c r="V1877">
        <v>3.4783559999999998E-2</v>
      </c>
      <c r="W1877">
        <v>3.1126540000000001E-2</v>
      </c>
      <c r="X1877">
        <v>0.99890999999999996</v>
      </c>
      <c r="Y1877">
        <v>3.449004E-2</v>
      </c>
      <c r="Z1877">
        <v>3.4584910000000002E-3</v>
      </c>
      <c r="AA1877">
        <v>0.99939909999999998</v>
      </c>
      <c r="AB1877">
        <v>30</v>
      </c>
      <c r="AC1877">
        <v>-26.2651</v>
      </c>
      <c r="AD1877">
        <v>-1.1104037924619901</v>
      </c>
      <c r="AE1877">
        <v>-0.79959999999999798</v>
      </c>
      <c r="AF1877">
        <v>0.91333351446162703</v>
      </c>
      <c r="AG1877">
        <v>-1.1104037924619901</v>
      </c>
      <c r="AH1877">
        <v>26.214523768020399</v>
      </c>
      <c r="AI1877">
        <v>92.424035305705004</v>
      </c>
      <c r="AJ1877">
        <v>88.004579545073895</v>
      </c>
      <c r="AK1877">
        <v>26.253922203645299</v>
      </c>
      <c r="AL1877">
        <v>88.216292471968899</v>
      </c>
      <c r="AM1877">
        <v>88.005679930805101</v>
      </c>
      <c r="AN1877">
        <v>0.99999997281932196</v>
      </c>
    </row>
    <row r="1878" spans="1:40" x14ac:dyDescent="0.25">
      <c r="A1878" t="str">
        <f>"20190312160332655"</f>
        <v>20190312160332655</v>
      </c>
      <c r="B1878" t="str">
        <f>"1552377812646109"</f>
        <v>1552377812646109</v>
      </c>
      <c r="C1878" t="s">
        <v>40</v>
      </c>
      <c r="D1878">
        <v>5.606541</v>
      </c>
      <c r="E1878">
        <v>0.50144140000000004</v>
      </c>
      <c r="F1878" t="s">
        <v>79</v>
      </c>
      <c r="G1878">
        <v>-304.92619999999999</v>
      </c>
      <c r="H1878" s="1">
        <v>3.169152E-6</v>
      </c>
      <c r="I1878">
        <v>283.71980000000002</v>
      </c>
      <c r="J1878">
        <v>-278.6003</v>
      </c>
      <c r="K1878">
        <v>1.1103209999999999</v>
      </c>
      <c r="L1878">
        <v>284.51369999999997</v>
      </c>
      <c r="M1878">
        <v>-0.99778770000000006</v>
      </c>
      <c r="N1878">
        <v>0</v>
      </c>
      <c r="O1878">
        <v>-6.5303570000000005E-2</v>
      </c>
      <c r="P1878">
        <v>-0.99937739999999997</v>
      </c>
      <c r="Q1878">
        <v>1.8351719999999998E-2</v>
      </c>
      <c r="R1878">
        <v>-3.013654E-2</v>
      </c>
      <c r="S1878">
        <v>-3.0015260000000001</v>
      </c>
      <c r="T1878">
        <v>-0.1258464</v>
      </c>
      <c r="U1878">
        <v>-9.1156009999999996E-2</v>
      </c>
      <c r="V1878">
        <v>3.517294E-2</v>
      </c>
      <c r="W1878">
        <v>3.0827710000000001E-2</v>
      </c>
      <c r="X1878">
        <v>0.99890570000000001</v>
      </c>
      <c r="Y1878">
        <v>3.4899609999999998E-2</v>
      </c>
      <c r="Z1878">
        <v>3.4653900000000001E-3</v>
      </c>
      <c r="AA1878">
        <v>0.99938479999999996</v>
      </c>
      <c r="AB1878">
        <v>30</v>
      </c>
      <c r="AC1878">
        <v>-26.325899999999901</v>
      </c>
      <c r="AD1878">
        <v>-1.110317830848</v>
      </c>
      <c r="AE1878">
        <v>-0.79389999999995098</v>
      </c>
      <c r="AF1878">
        <v>0.92545880665526803</v>
      </c>
      <c r="AG1878">
        <v>-1.110317830848</v>
      </c>
      <c r="AH1878">
        <v>26.2748503304725</v>
      </c>
      <c r="AI1878">
        <v>92.418257138962304</v>
      </c>
      <c r="AJ1878">
        <v>87.982748836913501</v>
      </c>
      <c r="AK1878">
        <v>26.314578460941501</v>
      </c>
      <c r="AL1878">
        <v>88.233422510563301</v>
      </c>
      <c r="AM1878">
        <v>87.983364433881704</v>
      </c>
      <c r="AN1878">
        <v>1.00000004045228</v>
      </c>
    </row>
    <row r="1879" spans="1:40" x14ac:dyDescent="0.25">
      <c r="A1879" t="str">
        <f>"20190312160332672"</f>
        <v>20190312160332672</v>
      </c>
      <c r="B1879" t="str">
        <f>"1552377812666605"</f>
        <v>1552377812666605</v>
      </c>
      <c r="C1879" t="s">
        <v>40</v>
      </c>
      <c r="D1879">
        <v>5.5890300000000002</v>
      </c>
      <c r="E1879">
        <v>0.50164849999999905</v>
      </c>
      <c r="F1879" t="s">
        <v>79</v>
      </c>
      <c r="G1879">
        <v>-305.01069999999999</v>
      </c>
      <c r="H1879" s="1">
        <v>3.1538199999999999E-6</v>
      </c>
      <c r="I1879">
        <v>283.72370000000001</v>
      </c>
      <c r="J1879">
        <v>-278.82619999999997</v>
      </c>
      <c r="K1879">
        <v>1.1101970000000001</v>
      </c>
      <c r="L1879">
        <v>284.49880000000002</v>
      </c>
      <c r="M1879">
        <v>-0.997784</v>
      </c>
      <c r="N1879">
        <v>0</v>
      </c>
      <c r="O1879">
        <v>-6.5361310000000006E-2</v>
      </c>
      <c r="P1879">
        <v>-0.99942410000000004</v>
      </c>
      <c r="Q1879">
        <v>1.7388999999999901E-2</v>
      </c>
      <c r="R1879">
        <v>-2.9146950000000001E-2</v>
      </c>
      <c r="S1879">
        <v>-3.001465</v>
      </c>
      <c r="T1879">
        <v>-0.1261845</v>
      </c>
      <c r="U1879">
        <v>-8.9782710000000002E-2</v>
      </c>
      <c r="V1879">
        <v>3.6230739999999997E-2</v>
      </c>
      <c r="W1879">
        <v>2.9853979999999999E-2</v>
      </c>
      <c r="X1879">
        <v>0.99889740000000005</v>
      </c>
      <c r="Y1879">
        <v>3.541267E-2</v>
      </c>
      <c r="Z1879">
        <v>3.4879939999999999E-3</v>
      </c>
      <c r="AA1879">
        <v>0.99936670000000005</v>
      </c>
      <c r="AB1879">
        <v>30</v>
      </c>
      <c r="AC1879">
        <v>-26.1845</v>
      </c>
      <c r="AD1879">
        <v>-1.1101938461799901</v>
      </c>
      <c r="AE1879">
        <v>-0.775100000000009</v>
      </c>
      <c r="AF1879">
        <v>0.93646157531391405</v>
      </c>
      <c r="AG1879">
        <v>-1.1101938461799901</v>
      </c>
      <c r="AH1879">
        <v>26.132229613495401</v>
      </c>
      <c r="AI1879">
        <v>92.431115332910394</v>
      </c>
      <c r="AJ1879">
        <v>87.947655187794794</v>
      </c>
      <c r="AK1879">
        <v>26.172560349163</v>
      </c>
      <c r="AL1879">
        <v>88.289238708607897</v>
      </c>
      <c r="AM1879">
        <v>87.922750730454794</v>
      </c>
      <c r="AN1879">
        <v>0.99999997118477302</v>
      </c>
    </row>
    <row r="1880" spans="1:40" x14ac:dyDescent="0.25">
      <c r="A1880" t="str">
        <f>"20190312160332685"</f>
        <v>20190312160332685</v>
      </c>
      <c r="B1880" t="str">
        <f>"1552377812676365"</f>
        <v>1552377812676365</v>
      </c>
      <c r="C1880" t="s">
        <v>40</v>
      </c>
      <c r="D1880">
        <v>5.5919369999999997</v>
      </c>
      <c r="E1880">
        <v>0.50178900000000004</v>
      </c>
      <c r="F1880" t="s">
        <v>79</v>
      </c>
      <c r="G1880">
        <v>-304.95069999999998</v>
      </c>
      <c r="H1880" s="1">
        <v>3.1615480000000002E-6</v>
      </c>
      <c r="I1880">
        <v>283.75720000000001</v>
      </c>
      <c r="J1880">
        <v>-279.00580000000002</v>
      </c>
      <c r="K1880">
        <v>1.110101</v>
      </c>
      <c r="L1880">
        <v>284.48689999999999</v>
      </c>
      <c r="M1880">
        <v>-0.9977859</v>
      </c>
      <c r="N1880">
        <v>0</v>
      </c>
      <c r="O1880">
        <v>-6.5332459999999995E-2</v>
      </c>
      <c r="P1880">
        <v>-0.99944379999999999</v>
      </c>
      <c r="Q1880">
        <v>1.6944420000000002E-2</v>
      </c>
      <c r="R1880">
        <v>-2.8731329999999999E-2</v>
      </c>
      <c r="S1880">
        <v>-3.001465</v>
      </c>
      <c r="T1880">
        <v>-0.12755139999999901</v>
      </c>
      <c r="U1880">
        <v>-8.5205080000000002E-2</v>
      </c>
      <c r="V1880">
        <v>3.6624579999999997E-2</v>
      </c>
      <c r="W1880">
        <v>2.9400699999999998E-2</v>
      </c>
      <c r="X1880">
        <v>0.99889649999999996</v>
      </c>
      <c r="Y1880">
        <v>3.6903350000000001E-2</v>
      </c>
      <c r="Z1880">
        <v>3.5562900000000001E-3</v>
      </c>
      <c r="AA1880">
        <v>0.99931250000000005</v>
      </c>
      <c r="AB1880">
        <v>30</v>
      </c>
      <c r="AC1880">
        <v>-25.944899999999901</v>
      </c>
      <c r="AD1880">
        <v>-1.1100978384519999</v>
      </c>
      <c r="AE1880">
        <v>-0.72969999999997903</v>
      </c>
      <c r="AF1880">
        <v>0.96526897595838801</v>
      </c>
      <c r="AG1880">
        <v>-1.1100978384519999</v>
      </c>
      <c r="AH1880">
        <v>25.8897791745364</v>
      </c>
      <c r="AI1880">
        <v>92.453512810381199</v>
      </c>
      <c r="AJ1880">
        <v>87.864785447893993</v>
      </c>
      <c r="AK1880">
        <v>25.9315392353238</v>
      </c>
      <c r="AL1880">
        <v>88.315221177084894</v>
      </c>
      <c r="AM1880">
        <v>87.900188565712199</v>
      </c>
      <c r="AN1880">
        <v>0.99999998936645795</v>
      </c>
    </row>
    <row r="1881" spans="1:40" x14ac:dyDescent="0.25">
      <c r="A1881" t="str">
        <f>"20190312160332697"</f>
        <v>20190312160332697</v>
      </c>
      <c r="B1881" t="str">
        <f>"1552377812686125"</f>
        <v>1552377812686125</v>
      </c>
      <c r="C1881" t="s">
        <v>40</v>
      </c>
      <c r="D1881">
        <v>5.5572589999999904</v>
      </c>
      <c r="E1881">
        <v>0.50194740000000004</v>
      </c>
      <c r="F1881" t="s">
        <v>79</v>
      </c>
      <c r="G1881">
        <v>-305.0394</v>
      </c>
      <c r="H1881" s="1">
        <v>3.1445269999999998E-6</v>
      </c>
      <c r="I1881">
        <v>283.77170000000001</v>
      </c>
      <c r="J1881">
        <v>-279.1703</v>
      </c>
      <c r="K1881">
        <v>1.1100159999999999</v>
      </c>
      <c r="L1881">
        <v>284.47620000000001</v>
      </c>
      <c r="M1881">
        <v>-0.99779269999999998</v>
      </c>
      <c r="N1881">
        <v>0</v>
      </c>
      <c r="O1881">
        <v>-6.5227129999999994E-2</v>
      </c>
      <c r="P1881">
        <v>-0.99947399999999997</v>
      </c>
      <c r="Q1881">
        <v>1.6180050000000001E-2</v>
      </c>
      <c r="R1881">
        <v>-2.8105870000000002E-2</v>
      </c>
      <c r="S1881">
        <v>-3.001465</v>
      </c>
      <c r="T1881">
        <v>-0.12798499999999999</v>
      </c>
      <c r="U1881">
        <v>-8.2458500000000004E-2</v>
      </c>
      <c r="V1881">
        <v>3.7151040000000003E-2</v>
      </c>
      <c r="W1881">
        <v>2.862808E-2</v>
      </c>
      <c r="X1881">
        <v>0.99889950000000005</v>
      </c>
      <c r="Y1881">
        <v>3.7710319999999999E-2</v>
      </c>
      <c r="Z1881">
        <v>3.5811469999999998E-3</v>
      </c>
      <c r="AA1881">
        <v>0.99928229999999996</v>
      </c>
      <c r="AB1881">
        <v>30</v>
      </c>
      <c r="AC1881">
        <v>-25.8691</v>
      </c>
      <c r="AD1881">
        <v>-1.110012855473</v>
      </c>
      <c r="AE1881">
        <v>-0.70449999999999502</v>
      </c>
      <c r="AF1881">
        <v>0.98269060918349105</v>
      </c>
      <c r="AG1881">
        <v>-1.110012855473</v>
      </c>
      <c r="AH1881">
        <v>25.812467939475599</v>
      </c>
      <c r="AI1881">
        <v>92.460591445866001</v>
      </c>
      <c r="AJ1881">
        <v>87.8197804741894</v>
      </c>
      <c r="AK1881">
        <v>25.855005521158802</v>
      </c>
      <c r="AL1881">
        <v>88.3595076879825</v>
      </c>
      <c r="AM1881">
        <v>87.870038823179598</v>
      </c>
      <c r="AN1881">
        <v>0.99999998891890896</v>
      </c>
    </row>
    <row r="1882" spans="1:40" x14ac:dyDescent="0.25">
      <c r="A1882" t="str">
        <f>"20190312160332710"</f>
        <v>20190312160332710</v>
      </c>
      <c r="B1882" t="str">
        <f>"1552377812706621"</f>
        <v>1552377812706621</v>
      </c>
      <c r="C1882" t="s">
        <v>40</v>
      </c>
      <c r="D1882">
        <v>5.5816749999999997</v>
      </c>
      <c r="E1882">
        <v>0.50202879999999905</v>
      </c>
      <c r="F1882" t="s">
        <v>79</v>
      </c>
      <c r="G1882">
        <v>-304.96080000000001</v>
      </c>
      <c r="H1882" s="1">
        <v>3.1565249999999998E-6</v>
      </c>
      <c r="I1882">
        <v>283.79410000000001</v>
      </c>
      <c r="J1882">
        <v>-279.33010000000002</v>
      </c>
      <c r="K1882">
        <v>1.1099319999999999</v>
      </c>
      <c r="L1882">
        <v>284.4658</v>
      </c>
      <c r="M1882">
        <v>-0.99780139999999995</v>
      </c>
      <c r="N1882">
        <v>0</v>
      </c>
      <c r="O1882">
        <v>-6.5094319999999997E-2</v>
      </c>
      <c r="P1882">
        <v>-0.9995096</v>
      </c>
      <c r="Q1882">
        <v>1.544833E-2</v>
      </c>
      <c r="R1882">
        <v>-2.724377E-2</v>
      </c>
      <c r="S1882">
        <v>-3.0014340000000002</v>
      </c>
      <c r="T1882">
        <v>-0.12918099999999999</v>
      </c>
      <c r="U1882">
        <v>-7.9376219999999997E-2</v>
      </c>
      <c r="V1882">
        <v>3.7886219999999998E-2</v>
      </c>
      <c r="W1882">
        <v>2.7888799999999998E-2</v>
      </c>
      <c r="X1882">
        <v>0.99889280000000003</v>
      </c>
      <c r="Y1882">
        <v>3.8600009999999997E-2</v>
      </c>
      <c r="Z1882">
        <v>3.6281260000000002E-3</v>
      </c>
      <c r="AA1882">
        <v>0.99924809999999997</v>
      </c>
      <c r="AB1882">
        <v>30</v>
      </c>
      <c r="AC1882">
        <v>-25.630699999999901</v>
      </c>
      <c r="AD1882">
        <v>-1.1099288434750001</v>
      </c>
      <c r="AE1882">
        <v>-0.67169999999998697</v>
      </c>
      <c r="AF1882">
        <v>0.99639994340240401</v>
      </c>
      <c r="AG1882">
        <v>-1.1099288434750001</v>
      </c>
      <c r="AH1882">
        <v>25.572136695935701</v>
      </c>
      <c r="AI1882">
        <v>92.483414657154398</v>
      </c>
      <c r="AJ1882">
        <v>87.768639866009295</v>
      </c>
      <c r="AK1882">
        <v>25.615599350403802</v>
      </c>
      <c r="AL1882">
        <v>88.401882234659993</v>
      </c>
      <c r="AM1882">
        <v>87.827914558035204</v>
      </c>
      <c r="AN1882">
        <v>0.99999998836158399</v>
      </c>
    </row>
    <row r="1883" spans="1:40" x14ac:dyDescent="0.25">
      <c r="A1883" t="str">
        <f>"20190312160332727"</f>
        <v>20190312160332727</v>
      </c>
      <c r="B1883" t="str">
        <f>"1552377812716382"</f>
        <v>1552377812716382</v>
      </c>
      <c r="C1883" t="s">
        <v>40</v>
      </c>
      <c r="D1883">
        <v>5.5991200000000001</v>
      </c>
      <c r="E1883">
        <v>0.50220790000000004</v>
      </c>
      <c r="F1883" t="s">
        <v>79</v>
      </c>
      <c r="G1883">
        <v>-304.25119999999998</v>
      </c>
      <c r="H1883" s="1">
        <v>3.279137E-6</v>
      </c>
      <c r="I1883">
        <v>283.8313</v>
      </c>
      <c r="J1883">
        <v>-279.56439999999998</v>
      </c>
      <c r="K1883">
        <v>1.109818</v>
      </c>
      <c r="L1883">
        <v>284.45069999999998</v>
      </c>
      <c r="M1883">
        <v>-0.9978207</v>
      </c>
      <c r="N1883">
        <v>0</v>
      </c>
      <c r="O1883">
        <v>-6.4797560000000004E-2</v>
      </c>
      <c r="P1883">
        <v>-0.99958259999999999</v>
      </c>
      <c r="Q1883">
        <v>1.429011E-2</v>
      </c>
      <c r="R1883">
        <v>-2.511816E-2</v>
      </c>
      <c r="S1883">
        <v>-3.001465</v>
      </c>
      <c r="T1883">
        <v>-0.1336782</v>
      </c>
      <c r="U1883">
        <v>-7.6416020000000001E-2</v>
      </c>
      <c r="V1883">
        <v>3.9722399999999998E-2</v>
      </c>
      <c r="W1883">
        <v>2.6717649999999999E-2</v>
      </c>
      <c r="X1883">
        <v>0.99885349999999995</v>
      </c>
      <c r="Y1883">
        <v>3.9280759999999998E-2</v>
      </c>
      <c r="Z1883">
        <v>3.7563079999999999E-3</v>
      </c>
      <c r="AA1883">
        <v>0.99922109999999997</v>
      </c>
      <c r="AB1883">
        <v>30</v>
      </c>
      <c r="AC1883">
        <v>-24.686800000000002</v>
      </c>
      <c r="AD1883">
        <v>-1.109814720863</v>
      </c>
      <c r="AE1883">
        <v>-0.61939999999998396</v>
      </c>
      <c r="AF1883">
        <v>0.97969167307083904</v>
      </c>
      <c r="AG1883">
        <v>-1.109814720863</v>
      </c>
      <c r="AH1883">
        <v>24.625312596313801</v>
      </c>
      <c r="AI1883">
        <v>92.578425734973905</v>
      </c>
      <c r="AJ1883">
        <v>87.721750278442798</v>
      </c>
      <c r="AK1883">
        <v>24.669769049488401</v>
      </c>
      <c r="AL1883">
        <v>88.469009246911796</v>
      </c>
      <c r="AM1883">
        <v>87.722661809653999</v>
      </c>
      <c r="AN1883">
        <v>1.00000000817276</v>
      </c>
    </row>
    <row r="1884" spans="1:40" x14ac:dyDescent="0.25">
      <c r="A1884" t="str">
        <f>"20190312160332740"</f>
        <v>20190312160332740</v>
      </c>
      <c r="B1884" t="str">
        <f>"1552377812736877"</f>
        <v>1552377812736877</v>
      </c>
      <c r="C1884" t="s">
        <v>40</v>
      </c>
      <c r="D1884">
        <v>5.6440530000000004</v>
      </c>
      <c r="E1884">
        <v>0.50238760000000005</v>
      </c>
      <c r="F1884" t="s">
        <v>79</v>
      </c>
      <c r="G1884">
        <v>-303.64280000000002</v>
      </c>
      <c r="H1884" s="1">
        <v>3.3811499999999998E-6</v>
      </c>
      <c r="I1884">
        <v>283.89879999999999</v>
      </c>
      <c r="J1884">
        <v>-279.73559999999998</v>
      </c>
      <c r="K1884">
        <v>1.1097399999999999</v>
      </c>
      <c r="L1884">
        <v>284.43979999999999</v>
      </c>
      <c r="M1884">
        <v>-0.99783999999999995</v>
      </c>
      <c r="N1884">
        <v>0</v>
      </c>
      <c r="O1884">
        <v>-6.4500160000000001E-2</v>
      </c>
      <c r="P1884">
        <v>-0.99961469999999997</v>
      </c>
      <c r="Q1884">
        <v>1.3926610000000001E-2</v>
      </c>
      <c r="R1884">
        <v>-2.4017130000000001E-2</v>
      </c>
      <c r="S1884">
        <v>-3.0014949999999998</v>
      </c>
      <c r="T1884">
        <v>-0.13834379999999999</v>
      </c>
      <c r="U1884">
        <v>-6.8786620000000007E-2</v>
      </c>
      <c r="V1884">
        <v>4.0530450000000003E-2</v>
      </c>
      <c r="W1884">
        <v>2.6344889999999999E-2</v>
      </c>
      <c r="X1884">
        <v>0.99883089999999997</v>
      </c>
      <c r="Y1884">
        <v>4.151212E-2</v>
      </c>
      <c r="Z1884">
        <v>3.9251310000000001E-3</v>
      </c>
      <c r="AA1884">
        <v>0.99913030000000003</v>
      </c>
      <c r="AB1884">
        <v>30</v>
      </c>
      <c r="AC1884">
        <v>-23.9072</v>
      </c>
      <c r="AD1884">
        <v>-1.10973661885</v>
      </c>
      <c r="AE1884">
        <v>-0.54099999999999604</v>
      </c>
      <c r="AF1884">
        <v>1.0001106819194201</v>
      </c>
      <c r="AG1884">
        <v>-1.10973661885</v>
      </c>
      <c r="AH1884">
        <v>23.840964209436599</v>
      </c>
      <c r="AI1884">
        <v>92.662711620826599</v>
      </c>
      <c r="AJ1884">
        <v>87.597893114395305</v>
      </c>
      <c r="AK1884">
        <v>23.8877230219823</v>
      </c>
      <c r="AL1884">
        <v>88.490374282887998</v>
      </c>
      <c r="AM1884">
        <v>87.676332980609402</v>
      </c>
      <c r="AN1884">
        <v>0.99999996870056096</v>
      </c>
    </row>
    <row r="1885" spans="1:40" x14ac:dyDescent="0.25">
      <c r="A1885" t="str">
        <f>"20190312160332764"</f>
        <v>20190312160332764</v>
      </c>
      <c r="B1885" t="str">
        <f>"1552377812756733"</f>
        <v>1552377812756733</v>
      </c>
      <c r="C1885" t="s">
        <v>40</v>
      </c>
      <c r="D1885">
        <v>5.4842269999999997</v>
      </c>
      <c r="E1885">
        <v>0.50249339999999998</v>
      </c>
      <c r="F1885" t="s">
        <v>79</v>
      </c>
      <c r="G1885">
        <v>-303.65170000000001</v>
      </c>
      <c r="H1885" s="1">
        <v>3.3769720000000001E-6</v>
      </c>
      <c r="I1885">
        <v>283.92860000000002</v>
      </c>
      <c r="J1885">
        <v>-280.072</v>
      </c>
      <c r="K1885">
        <v>1.109599</v>
      </c>
      <c r="L1885">
        <v>284.41860000000003</v>
      </c>
      <c r="M1885">
        <v>-0.9978844</v>
      </c>
      <c r="N1885">
        <v>0</v>
      </c>
      <c r="O1885">
        <v>-6.3811160000000006E-2</v>
      </c>
      <c r="P1885">
        <v>-0.99966330000000003</v>
      </c>
      <c r="Q1885">
        <v>1.445661E-2</v>
      </c>
      <c r="R1885">
        <v>-2.1555890000000001E-2</v>
      </c>
      <c r="S1885">
        <v>-3.0015869999999998</v>
      </c>
      <c r="T1885">
        <v>-0.1392775</v>
      </c>
      <c r="U1885">
        <v>-6.4147949999999995E-2</v>
      </c>
      <c r="V1885">
        <v>4.2309979999999997E-2</v>
      </c>
      <c r="W1885">
        <v>2.6856359999999999E-2</v>
      </c>
      <c r="X1885">
        <v>0.99874350000000001</v>
      </c>
      <c r="Y1885">
        <v>4.2364529999999997E-2</v>
      </c>
      <c r="Z1885">
        <v>3.9394479999999999E-3</v>
      </c>
      <c r="AA1885">
        <v>0.99909440000000005</v>
      </c>
      <c r="AB1885">
        <v>30</v>
      </c>
      <c r="AC1885">
        <v>-23.579699999999999</v>
      </c>
      <c r="AD1885">
        <v>-1.109595623028</v>
      </c>
      <c r="AE1885">
        <v>-0.49000000000000898</v>
      </c>
      <c r="AF1885">
        <v>1.0135199535644499</v>
      </c>
      <c r="AG1885">
        <v>-1.109595623028</v>
      </c>
      <c r="AH1885">
        <v>23.510867188883399</v>
      </c>
      <c r="AI1885">
        <v>92.699566444873199</v>
      </c>
      <c r="AJ1885">
        <v>87.531588959327394</v>
      </c>
      <c r="AK1885">
        <v>23.558847618596101</v>
      </c>
      <c r="AL1885">
        <v>88.461058866447701</v>
      </c>
      <c r="AM1885">
        <v>87.574217339253295</v>
      </c>
      <c r="AN1885">
        <v>0.99999998863614903</v>
      </c>
    </row>
    <row r="1886" spans="1:40" x14ac:dyDescent="0.25">
      <c r="A1886" t="str">
        <f>"20190312160332777"</f>
        <v>20190312160332777</v>
      </c>
      <c r="B1886" t="str">
        <f>"1552377812766493"</f>
        <v>1552377812766493</v>
      </c>
      <c r="C1886" t="s">
        <v>40</v>
      </c>
      <c r="D1886">
        <v>5.5569750000000004</v>
      </c>
      <c r="E1886">
        <v>0.50256460000000003</v>
      </c>
      <c r="F1886" t="s">
        <v>79</v>
      </c>
      <c r="G1886">
        <v>-304.22250000000003</v>
      </c>
      <c r="H1886" s="1">
        <v>3.2723130000000001E-6</v>
      </c>
      <c r="I1886">
        <v>283.9676</v>
      </c>
      <c r="J1886">
        <v>-280.22980000000001</v>
      </c>
      <c r="K1886">
        <v>1.1095410000000001</v>
      </c>
      <c r="L1886">
        <v>284.40879999999999</v>
      </c>
      <c r="M1886">
        <v>-0.99790919999999905</v>
      </c>
      <c r="N1886">
        <v>0</v>
      </c>
      <c r="O1886">
        <v>-6.3420840000000006E-2</v>
      </c>
      <c r="P1886">
        <v>-0.99967349999999999</v>
      </c>
      <c r="Q1886">
        <v>1.521143E-2</v>
      </c>
      <c r="R1886">
        <v>-2.0541319999999998E-2</v>
      </c>
      <c r="S1886">
        <v>-3.00177</v>
      </c>
      <c r="T1886">
        <v>-0.1379166</v>
      </c>
      <c r="U1886">
        <v>-5.6060789999999999E-2</v>
      </c>
      <c r="V1886">
        <v>4.2937629999999997E-2</v>
      </c>
      <c r="W1886">
        <v>2.7602809999999998E-2</v>
      </c>
      <c r="X1886">
        <v>0.99869640000000004</v>
      </c>
      <c r="Y1886">
        <v>4.4665749999999997E-2</v>
      </c>
      <c r="Z1886">
        <v>3.9358689999999998E-3</v>
      </c>
      <c r="AA1886">
        <v>0.99899420000000005</v>
      </c>
      <c r="AB1886">
        <v>30</v>
      </c>
      <c r="AC1886">
        <v>-23.992699999999999</v>
      </c>
      <c r="AD1886">
        <v>-1.109537727687</v>
      </c>
      <c r="AE1886">
        <v>-0.44119999999998</v>
      </c>
      <c r="AF1886">
        <v>1.0791364362012399</v>
      </c>
      <c r="AG1886">
        <v>-1.109537727687</v>
      </c>
      <c r="AH1886">
        <v>23.921235346139401</v>
      </c>
      <c r="AI1886">
        <v>92.652950293642803</v>
      </c>
      <c r="AJ1886">
        <v>87.417020057785393</v>
      </c>
      <c r="AK1886">
        <v>23.971255909995399</v>
      </c>
      <c r="AL1886">
        <v>88.418274627332394</v>
      </c>
      <c r="AM1886">
        <v>87.538159908452897</v>
      </c>
      <c r="AN1886">
        <v>1.00000002728143</v>
      </c>
    </row>
    <row r="1887" spans="1:40" x14ac:dyDescent="0.25">
      <c r="A1887" t="str">
        <f>"20190312160332790"</f>
        <v>20190312160332790</v>
      </c>
      <c r="B1887" t="str">
        <f>"1552377812786014"</f>
        <v>1552377812786014</v>
      </c>
      <c r="C1887" t="s">
        <v>40</v>
      </c>
      <c r="D1887">
        <v>5.7415560000000001</v>
      </c>
      <c r="E1887">
        <v>0.50276889999999996</v>
      </c>
      <c r="F1887" t="s">
        <v>79</v>
      </c>
      <c r="G1887">
        <v>-304.75760000000002</v>
      </c>
      <c r="H1887" s="1">
        <v>3.1763189999999999E-6</v>
      </c>
      <c r="I1887">
        <v>283.98</v>
      </c>
      <c r="J1887">
        <v>-280.40960000000001</v>
      </c>
      <c r="K1887">
        <v>1.1094759999999999</v>
      </c>
      <c r="L1887">
        <v>284.39780000000002</v>
      </c>
      <c r="M1887">
        <v>-0.99793909999999997</v>
      </c>
      <c r="N1887">
        <v>0</v>
      </c>
      <c r="O1887">
        <v>-6.2950839999999994E-2</v>
      </c>
      <c r="P1887">
        <v>-0.99967189999999995</v>
      </c>
      <c r="Q1887">
        <v>1.647028E-2</v>
      </c>
      <c r="R1887">
        <v>-1.9624059999999999E-2</v>
      </c>
      <c r="S1887">
        <v>-3.0019529999999999</v>
      </c>
      <c r="T1887">
        <v>-0.13579639999999901</v>
      </c>
      <c r="U1887">
        <v>-5.2490229999999999E-2</v>
      </c>
      <c r="V1887">
        <v>4.3388719999999999E-2</v>
      </c>
      <c r="W1887">
        <v>2.8853529999999999E-2</v>
      </c>
      <c r="X1887">
        <v>0.99864160000000002</v>
      </c>
      <c r="Y1887">
        <v>4.5387429999999999E-2</v>
      </c>
      <c r="Z1887">
        <v>3.870358E-3</v>
      </c>
      <c r="AA1887">
        <v>0.99896200000000002</v>
      </c>
      <c r="AB1887">
        <v>30</v>
      </c>
      <c r="AC1887">
        <v>-24.347999999999999</v>
      </c>
      <c r="AD1887">
        <v>-1.1094728236810001</v>
      </c>
      <c r="AE1887">
        <v>-0.41779999999999901</v>
      </c>
      <c r="AF1887">
        <v>1.11356293862039</v>
      </c>
      <c r="AG1887">
        <v>-1.1094728236810001</v>
      </c>
      <c r="AH1887">
        <v>24.2756137459934</v>
      </c>
      <c r="AI1887">
        <v>92.6140335916769</v>
      </c>
      <c r="AJ1887">
        <v>87.373588061278298</v>
      </c>
      <c r="AK1887">
        <v>24.3264542239394</v>
      </c>
      <c r="AL1887">
        <v>88.346585160343096</v>
      </c>
      <c r="AM1887">
        <v>87.512192531644899</v>
      </c>
      <c r="AN1887">
        <v>1.0000000762336201</v>
      </c>
    </row>
    <row r="1888" spans="1:40" x14ac:dyDescent="0.25">
      <c r="A1888" t="str">
        <f>"20190312160332806"</f>
        <v>20190312160332806</v>
      </c>
      <c r="B1888" t="str">
        <f>"1552377812796749"</f>
        <v>1552377812796749</v>
      </c>
      <c r="C1888" t="s">
        <v>40</v>
      </c>
      <c r="D1888">
        <v>5.6714060000000002</v>
      </c>
      <c r="E1888">
        <v>0.50282439999999995</v>
      </c>
      <c r="F1888" t="s">
        <v>79</v>
      </c>
      <c r="G1888">
        <v>-305.6343</v>
      </c>
      <c r="H1888" s="1">
        <v>3.0195480000000001E-6</v>
      </c>
      <c r="I1888">
        <v>283.99419999999998</v>
      </c>
      <c r="J1888">
        <v>-280.63400000000001</v>
      </c>
      <c r="K1888">
        <v>1.1093999999999999</v>
      </c>
      <c r="L1888">
        <v>284.38420000000002</v>
      </c>
      <c r="M1888">
        <v>-0.99797930000000001</v>
      </c>
      <c r="N1888">
        <v>0</v>
      </c>
      <c r="O1888">
        <v>-6.2306960000000002E-2</v>
      </c>
      <c r="P1888">
        <v>-0.99965769999999998</v>
      </c>
      <c r="Q1888">
        <v>1.8633130000000001E-2</v>
      </c>
      <c r="R1888">
        <v>-1.8366939999999998E-2</v>
      </c>
      <c r="S1888">
        <v>-3.0022579999999999</v>
      </c>
      <c r="T1888">
        <v>-0.13204979999999999</v>
      </c>
      <c r="U1888">
        <v>-4.8034670000000002E-2</v>
      </c>
      <c r="V1888">
        <v>4.4006509999999999E-2</v>
      </c>
      <c r="W1888">
        <v>3.1005959999999999E-2</v>
      </c>
      <c r="X1888">
        <v>0.99855000000000005</v>
      </c>
      <c r="Y1888">
        <v>4.623261E-2</v>
      </c>
      <c r="Z1888">
        <v>3.7536969999999998E-3</v>
      </c>
      <c r="AA1888">
        <v>0.99892369999999997</v>
      </c>
      <c r="AB1888">
        <v>30</v>
      </c>
      <c r="AC1888">
        <v>-25.0002999999999</v>
      </c>
      <c r="AD1888">
        <v>-1.1093969804520001</v>
      </c>
      <c r="AE1888">
        <v>-0.39000000000004298</v>
      </c>
      <c r="AF1888">
        <v>1.1662753887030199</v>
      </c>
      <c r="AG1888">
        <v>-1.1093969804520001</v>
      </c>
      <c r="AH1888">
        <v>24.926945830298099</v>
      </c>
      <c r="AI1888">
        <v>92.545539439910399</v>
      </c>
      <c r="AJ1888">
        <v>87.321213693842907</v>
      </c>
      <c r="AK1888">
        <v>24.9788628317853</v>
      </c>
      <c r="AL1888">
        <v>88.223204621797393</v>
      </c>
      <c r="AM1888">
        <v>87.476584200579097</v>
      </c>
      <c r="AN1888">
        <v>1.00000002248895</v>
      </c>
    </row>
    <row r="1889" spans="1:40" x14ac:dyDescent="0.25">
      <c r="A1889" t="str">
        <f>"20190312160332821"</f>
        <v>20190312160332821</v>
      </c>
      <c r="B1889" t="str">
        <f>"1552377812816269"</f>
        <v>1552377812816269</v>
      </c>
      <c r="C1889" t="s">
        <v>40</v>
      </c>
      <c r="D1889">
        <v>4.7909499999999996</v>
      </c>
      <c r="E1889">
        <v>0.50302209999999903</v>
      </c>
      <c r="F1889" t="s">
        <v>79</v>
      </c>
      <c r="G1889">
        <v>-307.11939999999998</v>
      </c>
      <c r="H1889" s="1">
        <v>2.7556910000000001E-6</v>
      </c>
      <c r="I1889">
        <v>283.99930000000001</v>
      </c>
      <c r="J1889">
        <v>-280.81529999999998</v>
      </c>
      <c r="K1889">
        <v>1.1093489999999999</v>
      </c>
      <c r="L1889">
        <v>284.37349999999998</v>
      </c>
      <c r="M1889">
        <v>-0.99801450000000003</v>
      </c>
      <c r="N1889">
        <v>0</v>
      </c>
      <c r="O1889">
        <v>-6.1741119999999997E-2</v>
      </c>
      <c r="P1889">
        <v>-0.99965329999999997</v>
      </c>
      <c r="Q1889">
        <v>1.9463069999999999E-2</v>
      </c>
      <c r="R1889">
        <v>-1.7731739999999999E-2</v>
      </c>
      <c r="S1889">
        <v>-3.0025330000000001</v>
      </c>
      <c r="T1889">
        <v>-0.12576760000000001</v>
      </c>
      <c r="U1889">
        <v>-4.3640140000000001E-2</v>
      </c>
      <c r="V1889">
        <v>4.4079300000000002E-2</v>
      </c>
      <c r="W1889">
        <v>3.1829530000000002E-2</v>
      </c>
      <c r="X1889">
        <v>0.99852090000000004</v>
      </c>
      <c r="Y1889">
        <v>4.713883E-2</v>
      </c>
      <c r="Z1889">
        <v>3.5703380000000002E-3</v>
      </c>
      <c r="AA1889">
        <v>0.99888200000000005</v>
      </c>
      <c r="AB1889">
        <v>30</v>
      </c>
      <c r="AC1889">
        <v>-26.304099999999998</v>
      </c>
      <c r="AD1889">
        <v>-1.1093462443090001</v>
      </c>
      <c r="AE1889">
        <v>-0.374199999999973</v>
      </c>
      <c r="AF1889">
        <v>1.2484644421244799</v>
      </c>
      <c r="AG1889">
        <v>-1.1093462443090001</v>
      </c>
      <c r="AH1889">
        <v>26.2303696234118</v>
      </c>
      <c r="AI1889">
        <v>92.418999747832103</v>
      </c>
      <c r="AJ1889">
        <v>87.274998335925105</v>
      </c>
      <c r="AK1889">
        <v>26.283485368836001</v>
      </c>
      <c r="AL1889">
        <v>88.175994272899501</v>
      </c>
      <c r="AM1889">
        <v>87.472342128052006</v>
      </c>
      <c r="AN1889">
        <v>1.0000000457026501</v>
      </c>
    </row>
    <row r="1890" spans="1:40" x14ac:dyDescent="0.25">
      <c r="A1890" t="str">
        <f>"20190312160332839"</f>
        <v>20190312160332839</v>
      </c>
      <c r="B1890" t="str">
        <f>"1552377812836765"</f>
        <v>1552377812836765</v>
      </c>
      <c r="C1890" t="s">
        <v>40</v>
      </c>
      <c r="D1890">
        <v>5.9023700000000003</v>
      </c>
      <c r="E1890">
        <v>0.50342259999999905</v>
      </c>
      <c r="F1890" t="s">
        <v>79</v>
      </c>
      <c r="G1890">
        <v>-307.99959999999999</v>
      </c>
      <c r="H1890" s="1">
        <v>2.5985190000000001E-6</v>
      </c>
      <c r="I1890">
        <v>284.01100000000002</v>
      </c>
      <c r="J1890">
        <v>-281.0693</v>
      </c>
      <c r="K1890">
        <v>1.109283</v>
      </c>
      <c r="L1890">
        <v>284.35860000000002</v>
      </c>
      <c r="M1890">
        <v>-0.99806569999999994</v>
      </c>
      <c r="N1890">
        <v>0</v>
      </c>
      <c r="O1890">
        <v>-6.0910140000000002E-2</v>
      </c>
      <c r="P1890">
        <v>-0.99964140000000001</v>
      </c>
      <c r="Q1890">
        <v>2.0587270000000001E-2</v>
      </c>
      <c r="R1890">
        <v>-1.7134659999999999E-2</v>
      </c>
      <c r="S1890">
        <v>-3.0027159999999999</v>
      </c>
      <c r="T1890">
        <v>-0.1225358</v>
      </c>
      <c r="U1890">
        <v>-4.0039060000000001E-2</v>
      </c>
      <c r="V1890">
        <v>4.385004E-2</v>
      </c>
      <c r="W1890">
        <v>3.2947129999999998E-2</v>
      </c>
      <c r="X1890">
        <v>0.99849469999999996</v>
      </c>
      <c r="Y1890">
        <v>4.7510950000000003E-2</v>
      </c>
      <c r="Z1890">
        <v>3.4522569999999998E-3</v>
      </c>
      <c r="AA1890">
        <v>0.9988648</v>
      </c>
      <c r="AB1890">
        <v>30</v>
      </c>
      <c r="AC1890">
        <v>-26.9302999999999</v>
      </c>
      <c r="AD1890">
        <v>-1.109280401481</v>
      </c>
      <c r="AE1890">
        <v>-0.34760000000005598</v>
      </c>
      <c r="AF1890">
        <v>1.2913102582459</v>
      </c>
      <c r="AG1890">
        <v>-1.109280401481</v>
      </c>
      <c r="AH1890">
        <v>26.855905193935801</v>
      </c>
      <c r="AI1890">
        <v>92.362525410601293</v>
      </c>
      <c r="AJ1890">
        <v>87.247171969881805</v>
      </c>
      <c r="AK1890">
        <v>26.909805442957602</v>
      </c>
      <c r="AL1890">
        <v>88.111926815711996</v>
      </c>
      <c r="AM1890">
        <v>87.485405867419402</v>
      </c>
      <c r="AN1890">
        <v>1.0000000026556599</v>
      </c>
    </row>
    <row r="1891" spans="1:40" x14ac:dyDescent="0.25">
      <c r="A1891" t="str">
        <f>"20190312160332852"</f>
        <v>20190312160332852</v>
      </c>
      <c r="B1891" t="str">
        <f>"1552377812846057"</f>
        <v>1552377812846057</v>
      </c>
      <c r="C1891" t="s">
        <v>40</v>
      </c>
      <c r="D1891">
        <v>6.3171350000000004</v>
      </c>
      <c r="E1891">
        <v>0.50352079999999999</v>
      </c>
      <c r="F1891" t="s">
        <v>79</v>
      </c>
      <c r="G1891">
        <v>-308.59519999999998</v>
      </c>
      <c r="H1891" s="1">
        <v>2.490694E-6</v>
      </c>
      <c r="I1891">
        <v>284.036</v>
      </c>
      <c r="J1891">
        <v>-281.24630000000002</v>
      </c>
      <c r="K1891">
        <v>1.1092409999999999</v>
      </c>
      <c r="L1891">
        <v>284.34829999999999</v>
      </c>
      <c r="M1891">
        <v>-0.9981025</v>
      </c>
      <c r="N1891">
        <v>0</v>
      </c>
      <c r="O1891">
        <v>-6.030311E-2</v>
      </c>
      <c r="P1891">
        <v>-0.99964419999999998</v>
      </c>
      <c r="Q1891">
        <v>2.0762880000000001E-2</v>
      </c>
      <c r="R1891">
        <v>-1.6755829999999999E-2</v>
      </c>
      <c r="S1891">
        <v>-3.0029910000000002</v>
      </c>
      <c r="T1891">
        <v>-0.12101919999999999</v>
      </c>
      <c r="U1891">
        <v>-3.5186769999999999E-2</v>
      </c>
      <c r="V1891">
        <v>4.3624490000000002E-2</v>
      </c>
      <c r="W1891">
        <v>3.3118699999999897E-2</v>
      </c>
      <c r="X1891">
        <v>0.99849889999999997</v>
      </c>
      <c r="Y1891">
        <v>4.8520269999999997E-2</v>
      </c>
      <c r="Z1891">
        <v>3.4052309999999999E-3</v>
      </c>
      <c r="AA1891">
        <v>0.99881640000000005</v>
      </c>
      <c r="AB1891">
        <v>30</v>
      </c>
      <c r="AC1891">
        <v>-27.348899999999901</v>
      </c>
      <c r="AD1891">
        <v>-1.109238509306</v>
      </c>
      <c r="AE1891">
        <v>-0.31229999999999303</v>
      </c>
      <c r="AF1891">
        <v>1.33542343340547</v>
      </c>
      <c r="AG1891">
        <v>-1.109238509306</v>
      </c>
      <c r="AH1891">
        <v>27.273095619425401</v>
      </c>
      <c r="AI1891">
        <v>92.326239431834097</v>
      </c>
      <c r="AJ1891">
        <v>87.196758796263794</v>
      </c>
      <c r="AK1891">
        <v>27.328291393413799</v>
      </c>
      <c r="AL1891">
        <v>88.1020912039872</v>
      </c>
      <c r="AM1891">
        <v>87.498334136745001</v>
      </c>
      <c r="AN1891">
        <v>0.999999998859329</v>
      </c>
    </row>
    <row r="1892" spans="1:40" x14ac:dyDescent="0.25">
      <c r="A1892" t="str">
        <f>"20190312160332864"</f>
        <v>20190312160332864</v>
      </c>
      <c r="B1892" t="str">
        <f>"1552377812856793"</f>
        <v>1552377812856793</v>
      </c>
      <c r="C1892" t="s">
        <v>40</v>
      </c>
      <c r="D1892">
        <v>5.6876680000000004</v>
      </c>
      <c r="E1892">
        <v>0.50360099999999997</v>
      </c>
      <c r="F1892" t="s">
        <v>79</v>
      </c>
      <c r="G1892">
        <v>-309.0788</v>
      </c>
      <c r="H1892" s="1">
        <v>2.4045309999999998E-6</v>
      </c>
      <c r="I1892">
        <v>284.0403</v>
      </c>
      <c r="J1892">
        <v>-281.41539999999998</v>
      </c>
      <c r="K1892">
        <v>1.1092059999999999</v>
      </c>
      <c r="L1892">
        <v>284.33870000000002</v>
      </c>
      <c r="M1892">
        <v>-0.99813839999999998</v>
      </c>
      <c r="N1892">
        <v>0</v>
      </c>
      <c r="O1892">
        <v>-5.9704510000000002E-2</v>
      </c>
      <c r="P1892">
        <v>-0.99964750000000002</v>
      </c>
      <c r="Q1892">
        <v>2.0595220000000001E-2</v>
      </c>
      <c r="R1892">
        <v>-1.6757499999999901E-2</v>
      </c>
      <c r="S1892">
        <v>-3.0029910000000002</v>
      </c>
      <c r="T1892">
        <v>-0.1196815</v>
      </c>
      <c r="U1892">
        <v>-3.3233640000000002E-2</v>
      </c>
      <c r="V1892">
        <v>4.3026250000000002E-2</v>
      </c>
      <c r="W1892">
        <v>3.2949029999999997E-2</v>
      </c>
      <c r="X1892">
        <v>0.99853040000000004</v>
      </c>
      <c r="Y1892">
        <v>4.8573169999999999E-2</v>
      </c>
      <c r="Z1892">
        <v>3.344886E-3</v>
      </c>
      <c r="AA1892">
        <v>0.99881399999999998</v>
      </c>
      <c r="AB1892">
        <v>30</v>
      </c>
      <c r="AC1892">
        <v>-27.663399999999999</v>
      </c>
      <c r="AD1892">
        <v>-1.1092035954689901</v>
      </c>
      <c r="AE1892">
        <v>-0.29840000000001499</v>
      </c>
      <c r="AF1892">
        <v>1.35171731047391</v>
      </c>
      <c r="AG1892">
        <v>-1.1092035954689901</v>
      </c>
      <c r="AH1892">
        <v>27.5875127172162</v>
      </c>
      <c r="AI1892">
        <v>92.299679760493504</v>
      </c>
      <c r="AJ1892">
        <v>87.1948972195826</v>
      </c>
      <c r="AK1892">
        <v>27.6428712370152</v>
      </c>
      <c r="AL1892">
        <v>88.1118177540434</v>
      </c>
      <c r="AM1892">
        <v>87.532675524831504</v>
      </c>
      <c r="AN1892">
        <v>0.99999992824557904</v>
      </c>
    </row>
    <row r="1893" spans="1:40" x14ac:dyDescent="0.25">
      <c r="A1893" t="str">
        <f>"20190312160332876"</f>
        <v>20190312160332876</v>
      </c>
      <c r="B1893" t="str">
        <f>"1552377812866553"</f>
        <v>1552377812866553</v>
      </c>
      <c r="C1893" t="s">
        <v>40</v>
      </c>
      <c r="D1893">
        <v>5.610798</v>
      </c>
      <c r="E1893">
        <v>0.50367519999999999</v>
      </c>
      <c r="F1893" t="s">
        <v>79</v>
      </c>
      <c r="G1893">
        <v>-309.33780000000002</v>
      </c>
      <c r="H1893" s="1">
        <v>2.358831E-6</v>
      </c>
      <c r="I1893">
        <v>284.0376</v>
      </c>
      <c r="J1893">
        <v>-281.5634</v>
      </c>
      <c r="K1893">
        <v>1.109173</v>
      </c>
      <c r="L1893">
        <v>284.3304</v>
      </c>
      <c r="M1893">
        <v>-0.99817080000000002</v>
      </c>
      <c r="N1893">
        <v>0</v>
      </c>
      <c r="O1893">
        <v>-5.9162869999999999E-2</v>
      </c>
      <c r="P1893">
        <v>-0.99965820000000005</v>
      </c>
      <c r="Q1893">
        <v>2.0291650000000001E-2</v>
      </c>
      <c r="R1893">
        <v>-1.64967E-2</v>
      </c>
      <c r="S1893">
        <v>-3.0029599999999999</v>
      </c>
      <c r="T1893">
        <v>-0.11929149999999999</v>
      </c>
      <c r="U1893">
        <v>-3.2379150000000002E-2</v>
      </c>
      <c r="V1893">
        <v>4.2746930000000002E-2</v>
      </c>
      <c r="W1893">
        <v>3.2644020000000003E-2</v>
      </c>
      <c r="X1893">
        <v>0.99855249999999995</v>
      </c>
      <c r="Y1893">
        <v>4.8316419999999999E-2</v>
      </c>
      <c r="Z1893">
        <v>3.3074630000000001E-3</v>
      </c>
      <c r="AA1893">
        <v>0.99882660000000001</v>
      </c>
      <c r="AB1893">
        <v>30</v>
      </c>
      <c r="AC1893">
        <v>-27.7744</v>
      </c>
      <c r="AD1893">
        <v>-1.1091706411690001</v>
      </c>
      <c r="AE1893">
        <v>-0.29279999999999901</v>
      </c>
      <c r="AF1893">
        <v>1.3489023917471501</v>
      </c>
      <c r="AG1893">
        <v>-1.1091706411690001</v>
      </c>
      <c r="AH1893">
        <v>27.698896069003499</v>
      </c>
      <c r="AI1893">
        <v>92.290407433855805</v>
      </c>
      <c r="AJ1893">
        <v>87.211968163603899</v>
      </c>
      <c r="AK1893">
        <v>27.753894152265399</v>
      </c>
      <c r="AL1893">
        <v>88.129303107091999</v>
      </c>
      <c r="AM1893">
        <v>87.548727611448896</v>
      </c>
      <c r="AN1893">
        <v>1.0000000136612099</v>
      </c>
    </row>
    <row r="1894" spans="1:40" x14ac:dyDescent="0.25">
      <c r="A1894" t="str">
        <f>"20190312160332888"</f>
        <v>20190312160332888</v>
      </c>
      <c r="B1894" t="str">
        <f>"1552377812876314"</f>
        <v>1552377812876314</v>
      </c>
      <c r="C1894" t="s">
        <v>40</v>
      </c>
      <c r="D1894">
        <v>5.6098869999999996</v>
      </c>
      <c r="E1894">
        <v>0.50373409999999996</v>
      </c>
      <c r="F1894" t="s">
        <v>79</v>
      </c>
      <c r="G1894">
        <v>-309.4597</v>
      </c>
      <c r="H1894" s="1">
        <v>2.336783E-6</v>
      </c>
      <c r="I1894">
        <v>284.04239999999999</v>
      </c>
      <c r="J1894">
        <v>-281.72340000000003</v>
      </c>
      <c r="K1894">
        <v>1.109143</v>
      </c>
      <c r="L1894">
        <v>284.32150000000001</v>
      </c>
      <c r="M1894">
        <v>-0.99820569999999997</v>
      </c>
      <c r="N1894">
        <v>0</v>
      </c>
      <c r="O1894">
        <v>-5.857068E-2</v>
      </c>
      <c r="P1894">
        <v>-0.9996718</v>
      </c>
      <c r="Q1894">
        <v>1.984439E-2</v>
      </c>
      <c r="R1894">
        <v>-1.620216E-2</v>
      </c>
      <c r="S1894">
        <v>-3.0028990000000002</v>
      </c>
      <c r="T1894">
        <v>-0.11939660000000001</v>
      </c>
      <c r="U1894">
        <v>-3.100586E-2</v>
      </c>
      <c r="V1894">
        <v>4.2450139999999997E-2</v>
      </c>
      <c r="W1894">
        <v>3.2194599999999997E-2</v>
      </c>
      <c r="X1894">
        <v>0.99857969999999896</v>
      </c>
      <c r="Y1894">
        <v>4.8180779999999999E-2</v>
      </c>
      <c r="Z1894">
        <v>3.2842589999999999E-3</v>
      </c>
      <c r="AA1894">
        <v>0.99883319999999998</v>
      </c>
      <c r="AB1894">
        <v>30</v>
      </c>
      <c r="AC1894">
        <v>-27.7362999999999</v>
      </c>
      <c r="AD1894">
        <v>-1.109140663217</v>
      </c>
      <c r="AE1894">
        <v>-0.27910000000002799</v>
      </c>
      <c r="AF1894">
        <v>1.34389016585443</v>
      </c>
      <c r="AG1894">
        <v>-1.109140663217</v>
      </c>
      <c r="AH1894">
        <v>27.6607970991512</v>
      </c>
      <c r="AI1894">
        <v>92.293509556312699</v>
      </c>
      <c r="AJ1894">
        <v>87.218491742412198</v>
      </c>
      <c r="AK1894">
        <v>27.715626097006901</v>
      </c>
      <c r="AL1894">
        <v>88.155066423138294</v>
      </c>
      <c r="AM1894">
        <v>87.565792366918302</v>
      </c>
      <c r="AN1894">
        <v>0.99999996195363305</v>
      </c>
    </row>
    <row r="1895" spans="1:40" x14ac:dyDescent="0.25">
      <c r="A1895" t="str">
        <f>"20190312160332900"</f>
        <v>20190312160332900</v>
      </c>
      <c r="B1895" t="str">
        <f>"1552377812896808"</f>
        <v>1552377812896808</v>
      </c>
      <c r="C1895" t="s">
        <v>40</v>
      </c>
      <c r="D1895">
        <v>5.6571379999999998</v>
      </c>
      <c r="E1895">
        <v>0.50394309999999998</v>
      </c>
      <c r="F1895" t="s">
        <v>79</v>
      </c>
      <c r="G1895">
        <v>-309.44159999999999</v>
      </c>
      <c r="H1895" s="1">
        <v>2.339437E-6</v>
      </c>
      <c r="I1895">
        <v>284.04880000000003</v>
      </c>
      <c r="J1895">
        <v>-281.88560000000001</v>
      </c>
      <c r="K1895">
        <v>1.109119</v>
      </c>
      <c r="L1895">
        <v>284.31259999999997</v>
      </c>
      <c r="M1895">
        <v>-0.99824170000000001</v>
      </c>
      <c r="N1895">
        <v>0</v>
      </c>
      <c r="O1895">
        <v>-5.7953520000000001E-2</v>
      </c>
      <c r="P1895">
        <v>-0.99969269999999999</v>
      </c>
      <c r="Q1895">
        <v>1.9244150000000002E-2</v>
      </c>
      <c r="R1895">
        <v>-1.562499E-2</v>
      </c>
      <c r="S1895">
        <v>-3.0028990000000002</v>
      </c>
      <c r="T1895">
        <v>-0.1201608</v>
      </c>
      <c r="U1895">
        <v>-2.9541020000000001E-2</v>
      </c>
      <c r="V1895">
        <v>4.2410490000000002E-2</v>
      </c>
      <c r="W1895">
        <v>3.1592660000000002E-2</v>
      </c>
      <c r="X1895">
        <v>0.99860070000000001</v>
      </c>
      <c r="Y1895">
        <v>4.8049950000000001E-2</v>
      </c>
      <c r="Z1895">
        <v>3.2780119999999999E-3</v>
      </c>
      <c r="AA1895">
        <v>0.99883960000000005</v>
      </c>
      <c r="AB1895">
        <v>30</v>
      </c>
      <c r="AC1895">
        <v>-27.555999999999901</v>
      </c>
      <c r="AD1895">
        <v>-1.1091166605630001</v>
      </c>
      <c r="AE1895">
        <v>-0.26379999999994602</v>
      </c>
      <c r="AF1895">
        <v>1.33157734414503</v>
      </c>
      <c r="AG1895">
        <v>-1.1091166605630001</v>
      </c>
      <c r="AH1895">
        <v>27.480453304605899</v>
      </c>
      <c r="AI1895">
        <v>92.308509277171297</v>
      </c>
      <c r="AJ1895">
        <v>87.225877817175601</v>
      </c>
      <c r="AK1895">
        <v>27.535042251952401</v>
      </c>
      <c r="AL1895">
        <v>88.189572763822198</v>
      </c>
      <c r="AM1895">
        <v>87.5681143565768</v>
      </c>
      <c r="AN1895">
        <v>1.0000000519342001</v>
      </c>
    </row>
    <row r="1896" spans="1:40" x14ac:dyDescent="0.25">
      <c r="A1896" t="str">
        <f>"20190312160332912"</f>
        <v>20190312160332912</v>
      </c>
      <c r="B1896" t="str">
        <f>"1552377812906570"</f>
        <v>1552377812906570</v>
      </c>
      <c r="C1896" t="s">
        <v>40</v>
      </c>
      <c r="D1896">
        <v>5.5888949999999999</v>
      </c>
      <c r="E1896">
        <v>0.50396509999999894</v>
      </c>
      <c r="F1896" t="s">
        <v>79</v>
      </c>
      <c r="G1896">
        <v>-309.423</v>
      </c>
      <c r="H1896" s="1">
        <v>2.3407439999999998E-6</v>
      </c>
      <c r="I1896">
        <v>284.07159999999999</v>
      </c>
      <c r="J1896">
        <v>-282.04629999999997</v>
      </c>
      <c r="K1896">
        <v>1.1090960000000001</v>
      </c>
      <c r="L1896">
        <v>284.30380000000002</v>
      </c>
      <c r="M1896">
        <v>-0.99827710000000003</v>
      </c>
      <c r="N1896">
        <v>0</v>
      </c>
      <c r="O1896">
        <v>-5.733746E-2</v>
      </c>
      <c r="P1896">
        <v>-0.99971109999999996</v>
      </c>
      <c r="Q1896">
        <v>1.8897959999999998E-2</v>
      </c>
      <c r="R1896">
        <v>-1.485854E-2</v>
      </c>
      <c r="S1896">
        <v>-3.0028380000000001</v>
      </c>
      <c r="T1896">
        <v>-0.1209447</v>
      </c>
      <c r="U1896">
        <v>-2.6275630000000001E-2</v>
      </c>
      <c r="V1896">
        <v>4.2561149999999999E-2</v>
      </c>
      <c r="W1896">
        <v>3.124379E-2</v>
      </c>
      <c r="X1896">
        <v>0.99860519999999997</v>
      </c>
      <c r="Y1896">
        <v>4.851842E-2</v>
      </c>
      <c r="Z1896">
        <v>3.2841429999999998E-3</v>
      </c>
      <c r="AA1896">
        <v>0.99881690000000001</v>
      </c>
      <c r="AB1896">
        <v>30</v>
      </c>
      <c r="AC1896">
        <v>-27.3767</v>
      </c>
      <c r="AD1896">
        <v>-1.1090936592559999</v>
      </c>
      <c r="AE1896">
        <v>-0.23220000000003399</v>
      </c>
      <c r="AF1896">
        <v>1.3358221062895099</v>
      </c>
      <c r="AG1896">
        <v>-1.1090936592559999</v>
      </c>
      <c r="AH1896">
        <v>27.300166016389401</v>
      </c>
      <c r="AI1896">
        <v>92.323636010365405</v>
      </c>
      <c r="AJ1896">
        <v>87.1986993068179</v>
      </c>
      <c r="AK1896">
        <v>27.3553207615461</v>
      </c>
      <c r="AL1896">
        <v>88.209571295649994</v>
      </c>
      <c r="AM1896">
        <v>87.559496681667397</v>
      </c>
      <c r="AN1896">
        <v>0.99999998568496296</v>
      </c>
    </row>
    <row r="1897" spans="1:40" x14ac:dyDescent="0.25">
      <c r="A1897" t="str">
        <f>"20190312160332929"</f>
        <v>20190312160332929</v>
      </c>
      <c r="B1897" t="str">
        <f>"1552377812916329"</f>
        <v>1552377812916329</v>
      </c>
      <c r="C1897" t="s">
        <v>40</v>
      </c>
      <c r="D1897">
        <v>5.7141599999999997</v>
      </c>
      <c r="E1897">
        <v>0.50398220000000005</v>
      </c>
      <c r="F1897" t="s">
        <v>79</v>
      </c>
      <c r="G1897">
        <v>-309.31529999999998</v>
      </c>
      <c r="H1897" s="1">
        <v>2.358534E-6</v>
      </c>
      <c r="I1897">
        <v>284.0865</v>
      </c>
      <c r="J1897">
        <v>-282.2713</v>
      </c>
      <c r="K1897">
        <v>1.1090739999999999</v>
      </c>
      <c r="L1897">
        <v>284.29180000000002</v>
      </c>
      <c r="M1897">
        <v>-0.99832699999999996</v>
      </c>
      <c r="N1897">
        <v>0</v>
      </c>
      <c r="O1897">
        <v>-5.6463060000000002E-2</v>
      </c>
      <c r="P1897">
        <v>-0.99973959999999995</v>
      </c>
      <c r="Q1897">
        <v>1.8357229999999999E-2</v>
      </c>
      <c r="R1897">
        <v>-1.354556E-2</v>
      </c>
      <c r="S1897">
        <v>-3.0028079999999999</v>
      </c>
      <c r="T1897">
        <v>-0.122131</v>
      </c>
      <c r="U1897">
        <v>-2.3925780000000001E-2</v>
      </c>
      <c r="V1897">
        <v>4.299886E-2</v>
      </c>
      <c r="W1897">
        <v>3.0700450000000001E-2</v>
      </c>
      <c r="X1897">
        <v>0.99860329999999997</v>
      </c>
      <c r="Y1897">
        <v>4.8424149999999999E-2</v>
      </c>
      <c r="Z1897">
        <v>3.2789659999999999E-3</v>
      </c>
      <c r="AA1897">
        <v>0.99882150000000003</v>
      </c>
      <c r="AB1897">
        <v>30</v>
      </c>
      <c r="AC1897">
        <v>-27.043999999999901</v>
      </c>
      <c r="AD1897">
        <v>-1.10907164146599</v>
      </c>
      <c r="AE1897">
        <v>-0.20530000000002199</v>
      </c>
      <c r="AF1897">
        <v>1.3199132951605701</v>
      </c>
      <c r="AG1897">
        <v>-1.10907164146599</v>
      </c>
      <c r="AH1897">
        <v>26.967091519372001</v>
      </c>
      <c r="AI1897">
        <v>92.352255236963899</v>
      </c>
      <c r="AJ1897">
        <v>87.197875153331907</v>
      </c>
      <c r="AK1897">
        <v>27.0221434387954</v>
      </c>
      <c r="AL1897">
        <v>88.240717326780398</v>
      </c>
      <c r="AM1897">
        <v>87.5344240379506</v>
      </c>
      <c r="AN1897">
        <v>0.99999998518119504</v>
      </c>
    </row>
    <row r="1898" spans="1:40" x14ac:dyDescent="0.25">
      <c r="A1898" t="str">
        <f>"20190312160332940"</f>
        <v>20190312160332940</v>
      </c>
      <c r="B1898" t="str">
        <f>"1552377812936825"</f>
        <v>1552377812936825</v>
      </c>
      <c r="C1898" t="s">
        <v>40</v>
      </c>
      <c r="D1898">
        <v>5.7200059999999997</v>
      </c>
      <c r="E1898">
        <v>0.5040405</v>
      </c>
      <c r="F1898" t="s">
        <v>79</v>
      </c>
      <c r="G1898">
        <v>-309.0206</v>
      </c>
      <c r="H1898" s="1">
        <v>2.4085509999999998E-6</v>
      </c>
      <c r="I1898">
        <v>284.11239999999998</v>
      </c>
      <c r="J1898">
        <v>-282.42840000000001</v>
      </c>
      <c r="K1898">
        <v>1.109065</v>
      </c>
      <c r="L1898">
        <v>284.2835</v>
      </c>
      <c r="M1898">
        <v>-0.99836170000000002</v>
      </c>
      <c r="N1898">
        <v>0</v>
      </c>
      <c r="O1898">
        <v>-5.5846529999999998E-2</v>
      </c>
      <c r="P1898">
        <v>-0.99975409999999998</v>
      </c>
      <c r="Q1898">
        <v>1.8079250000000002E-2</v>
      </c>
      <c r="R1898">
        <v>-1.284388E-2</v>
      </c>
      <c r="S1898">
        <v>-3.002869</v>
      </c>
      <c r="T1898">
        <v>-0.12450410000000001</v>
      </c>
      <c r="U1898">
        <v>-2.0141599999999999E-2</v>
      </c>
      <c r="V1898">
        <v>4.3083549999999998E-2</v>
      </c>
      <c r="W1898">
        <v>3.0420679999999999E-2</v>
      </c>
      <c r="X1898">
        <v>0.99860819999999995</v>
      </c>
      <c r="Y1898">
        <v>4.9062679999999997E-2</v>
      </c>
      <c r="Z1898">
        <v>3.3303030000000002E-3</v>
      </c>
      <c r="AA1898">
        <v>0.99879010000000001</v>
      </c>
      <c r="AB1898">
        <v>30</v>
      </c>
      <c r="AC1898">
        <v>-26.592199999999899</v>
      </c>
      <c r="AD1898">
        <v>-1.109062591449</v>
      </c>
      <c r="AE1898">
        <v>-0.17110000000002401</v>
      </c>
      <c r="AF1898">
        <v>1.3120821658109001</v>
      </c>
      <c r="AG1898">
        <v>-1.109062591449</v>
      </c>
      <c r="AH1898">
        <v>26.514131707613402</v>
      </c>
      <c r="AI1898">
        <v>92.392311241964293</v>
      </c>
      <c r="AJ1898">
        <v>87.166963826940602</v>
      </c>
      <c r="AK1898">
        <v>26.569733902511398</v>
      </c>
      <c r="AL1898">
        <v>88.256754437748398</v>
      </c>
      <c r="AM1898">
        <v>87.529585988815796</v>
      </c>
      <c r="AN1898">
        <v>0.99999997357975201</v>
      </c>
    </row>
    <row r="1899" spans="1:40" x14ac:dyDescent="0.25">
      <c r="A1899" t="str">
        <f>"20190312160332952"</f>
        <v>20190312160332952</v>
      </c>
      <c r="B1899" t="str">
        <f>"1552377812946117"</f>
        <v>1552377812946117</v>
      </c>
      <c r="C1899" t="s">
        <v>40</v>
      </c>
      <c r="D1899">
        <v>5.5490269999999997</v>
      </c>
      <c r="E1899">
        <v>0.50406470000000003</v>
      </c>
      <c r="F1899" t="s">
        <v>79</v>
      </c>
      <c r="G1899">
        <v>-308.73829999999998</v>
      </c>
      <c r="H1899" s="1">
        <v>2.4570360000000001E-6</v>
      </c>
      <c r="I1899">
        <v>284.13060000000002</v>
      </c>
      <c r="J1899">
        <v>-282.59309999999999</v>
      </c>
      <c r="K1899">
        <v>1.1090580000000001</v>
      </c>
      <c r="L1899">
        <v>284.27499999999998</v>
      </c>
      <c r="M1899">
        <v>-0.9983978</v>
      </c>
      <c r="N1899">
        <v>0</v>
      </c>
      <c r="O1899">
        <v>-5.5198190000000001E-2</v>
      </c>
      <c r="P1899">
        <v>-0.99976569999999998</v>
      </c>
      <c r="Q1899">
        <v>1.8017060000000001E-2</v>
      </c>
      <c r="R1899">
        <v>-1.2006050000000001E-2</v>
      </c>
      <c r="S1899">
        <v>-3.0028380000000001</v>
      </c>
      <c r="T1899">
        <v>-0.1265811</v>
      </c>
      <c r="U1899">
        <v>-1.7456050000000001E-2</v>
      </c>
      <c r="V1899">
        <v>4.3272640000000001E-2</v>
      </c>
      <c r="W1899">
        <v>3.0357769999999999E-2</v>
      </c>
      <c r="X1899">
        <v>0.99860199999999999</v>
      </c>
      <c r="Y1899">
        <v>4.9304540000000001E-2</v>
      </c>
      <c r="Z1899">
        <v>3.36368E-3</v>
      </c>
      <c r="AA1899">
        <v>0.9987781</v>
      </c>
      <c r="AB1899">
        <v>30</v>
      </c>
      <c r="AC1899">
        <v>-26.1451999999999</v>
      </c>
      <c r="AD1899">
        <v>-1.1090555429639899</v>
      </c>
      <c r="AE1899">
        <v>-0.144399999999961</v>
      </c>
      <c r="AF1899">
        <v>1.29676645111293</v>
      </c>
      <c r="AG1899">
        <v>-1.1090555429639899</v>
      </c>
      <c r="AH1899">
        <v>26.066402636576999</v>
      </c>
      <c r="AI1899">
        <v>92.433306738281004</v>
      </c>
      <c r="AJ1899">
        <v>87.151964479407098</v>
      </c>
      <c r="AK1899">
        <v>26.122192745599602</v>
      </c>
      <c r="AL1899">
        <v>88.260360687724699</v>
      </c>
      <c r="AM1899">
        <v>87.518741689228904</v>
      </c>
      <c r="AN1899">
        <v>1.0000000349879701</v>
      </c>
    </row>
    <row r="1900" spans="1:40" x14ac:dyDescent="0.25">
      <c r="A1900" t="str">
        <f>"20190312160332964"</f>
        <v>20190312160332964</v>
      </c>
      <c r="B1900" t="str">
        <f>"1552377812956853"</f>
        <v>1552377812956853</v>
      </c>
      <c r="C1900" t="s">
        <v>40</v>
      </c>
      <c r="D1900">
        <v>5.545204</v>
      </c>
      <c r="E1900">
        <v>0.50408120000000001</v>
      </c>
      <c r="F1900" t="s">
        <v>79</v>
      </c>
      <c r="G1900">
        <v>-308.76190000000003</v>
      </c>
      <c r="H1900" s="1">
        <v>2.4515780000000002E-6</v>
      </c>
      <c r="I1900">
        <v>284.14519999999999</v>
      </c>
      <c r="J1900">
        <v>-282.7552</v>
      </c>
      <c r="K1900">
        <v>1.109054</v>
      </c>
      <c r="L1900">
        <v>284.26670000000001</v>
      </c>
      <c r="M1900">
        <v>-0.99843309999999996</v>
      </c>
      <c r="N1900">
        <v>0</v>
      </c>
      <c r="O1900">
        <v>-5.4558339999999997E-2</v>
      </c>
      <c r="P1900">
        <v>-0.99976659999999995</v>
      </c>
      <c r="Q1900">
        <v>1.8386599999999999E-2</v>
      </c>
      <c r="R1900">
        <v>-1.135277E-2</v>
      </c>
      <c r="S1900">
        <v>-3.0028079999999999</v>
      </c>
      <c r="T1900">
        <v>-0.12726179999999901</v>
      </c>
      <c r="U1900">
        <v>-1.4892580000000001E-2</v>
      </c>
      <c r="V1900">
        <v>4.3286100000000001E-2</v>
      </c>
      <c r="W1900">
        <v>3.0726199999999999E-2</v>
      </c>
      <c r="X1900">
        <v>0.99859010000000004</v>
      </c>
      <c r="Y1900">
        <v>4.9516400000000002E-2</v>
      </c>
      <c r="Z1900">
        <v>3.35922E-3</v>
      </c>
      <c r="AA1900">
        <v>0.99876770000000004</v>
      </c>
      <c r="AB1900">
        <v>30</v>
      </c>
      <c r="AC1900">
        <v>-26.006699999999999</v>
      </c>
      <c r="AD1900">
        <v>-1.109051548422</v>
      </c>
      <c r="AE1900">
        <v>-0.121500000000025</v>
      </c>
      <c r="AF1900">
        <v>1.2953175688872001</v>
      </c>
      <c r="AG1900">
        <v>-1.109051548422</v>
      </c>
      <c r="AH1900">
        <v>25.9274384200328</v>
      </c>
      <c r="AI1900">
        <v>92.446298407863196</v>
      </c>
      <c r="AJ1900">
        <v>87.139918929452406</v>
      </c>
      <c r="AK1900">
        <v>25.9834544656002</v>
      </c>
      <c r="AL1900">
        <v>88.239241266965095</v>
      </c>
      <c r="AM1900">
        <v>87.517941315425503</v>
      </c>
      <c r="AN1900">
        <v>0.99999998681882996</v>
      </c>
    </row>
    <row r="1901" spans="1:40" x14ac:dyDescent="0.25">
      <c r="A1901" t="str">
        <f>"20190312160332977"</f>
        <v>20190312160332977</v>
      </c>
      <c r="B1901" t="str">
        <f>"1552377812966612"</f>
        <v>1552377812966612</v>
      </c>
      <c r="C1901" t="s">
        <v>40</v>
      </c>
      <c r="D1901">
        <v>5.6797060000000004</v>
      </c>
      <c r="E1901">
        <v>0.50408009999999903</v>
      </c>
      <c r="F1901" t="s">
        <v>79</v>
      </c>
      <c r="G1901">
        <v>-309.02870000000001</v>
      </c>
      <c r="H1901" s="1">
        <v>2.4034639999999998E-6</v>
      </c>
      <c r="I1901">
        <v>284.15429999999998</v>
      </c>
      <c r="J1901">
        <v>-282.91239999999999</v>
      </c>
      <c r="K1901">
        <v>1.1090580000000001</v>
      </c>
      <c r="L1901">
        <v>284.25869999999998</v>
      </c>
      <c r="M1901">
        <v>-0.99846659999999998</v>
      </c>
      <c r="N1901">
        <v>0</v>
      </c>
      <c r="O1901">
        <v>-5.3938079999999999E-2</v>
      </c>
      <c r="P1901">
        <v>-0.99976730000000003</v>
      </c>
      <c r="Q1901">
        <v>1.875957E-2</v>
      </c>
      <c r="R1901">
        <v>-1.064259E-2</v>
      </c>
      <c r="S1901">
        <v>-3.0028990000000002</v>
      </c>
      <c r="T1901">
        <v>-0.12675799999999901</v>
      </c>
      <c r="U1901">
        <v>-1.2847900000000001E-2</v>
      </c>
      <c r="V1901">
        <v>4.3375850000000001E-2</v>
      </c>
      <c r="W1901">
        <v>3.1098420000000002E-2</v>
      </c>
      <c r="X1901">
        <v>0.99857470000000004</v>
      </c>
      <c r="Y1901">
        <v>4.9577400000000001E-2</v>
      </c>
      <c r="Z1901">
        <v>3.320992E-3</v>
      </c>
      <c r="AA1901">
        <v>0.99876480000000001</v>
      </c>
      <c r="AB1901">
        <v>30</v>
      </c>
      <c r="AC1901">
        <v>-26.116299999999999</v>
      </c>
      <c r="AD1901">
        <v>-1.1090555965360001</v>
      </c>
      <c r="AE1901">
        <v>-0.10439999999999799</v>
      </c>
      <c r="AF1901">
        <v>1.3021760968051701</v>
      </c>
      <c r="AG1901">
        <v>-1.1090555965360001</v>
      </c>
      <c r="AH1901">
        <v>26.036954357140001</v>
      </c>
      <c r="AI1901">
        <v>92.436023692401903</v>
      </c>
      <c r="AJ1901">
        <v>87.136873960070005</v>
      </c>
      <c r="AK1901">
        <v>26.0930768423176</v>
      </c>
      <c r="AL1901">
        <v>88.217904464889997</v>
      </c>
      <c r="AM1901">
        <v>87.512763127269295</v>
      </c>
      <c r="AN1901">
        <v>1.0000000037848999</v>
      </c>
    </row>
    <row r="1902" spans="1:40" x14ac:dyDescent="0.25">
      <c r="A1902" t="str">
        <f>"20190312160332993"</f>
        <v>20190312160332993</v>
      </c>
      <c r="B1902" t="str">
        <f>"1552377812986133"</f>
        <v>1552377812986133</v>
      </c>
      <c r="C1902" t="s">
        <v>40</v>
      </c>
      <c r="D1902">
        <v>5.4599739999999999</v>
      </c>
      <c r="E1902">
        <v>0.50407820000000003</v>
      </c>
      <c r="F1902" t="s">
        <v>79</v>
      </c>
      <c r="G1902">
        <v>-309.24650000000003</v>
      </c>
      <c r="H1902" s="1">
        <v>2.363932E-6</v>
      </c>
      <c r="I1902">
        <v>284.16449999999998</v>
      </c>
      <c r="J1902">
        <v>-283.13499999999999</v>
      </c>
      <c r="K1902">
        <v>1.1090580000000001</v>
      </c>
      <c r="L1902">
        <v>284.24759999999998</v>
      </c>
      <c r="M1902">
        <v>-0.99851350000000005</v>
      </c>
      <c r="N1902">
        <v>0</v>
      </c>
      <c r="O1902">
        <v>-5.3063100000000002E-2</v>
      </c>
      <c r="P1902">
        <v>-0.99976069999999995</v>
      </c>
      <c r="Q1902">
        <v>1.943829E-2</v>
      </c>
      <c r="R1902">
        <v>-1.0045770000000001E-2</v>
      </c>
      <c r="S1902">
        <v>-3.0029599999999999</v>
      </c>
      <c r="T1902">
        <v>-0.12646940000000001</v>
      </c>
      <c r="U1902">
        <v>-1.074219E-2</v>
      </c>
      <c r="V1902">
        <v>4.3097719999999999E-2</v>
      </c>
      <c r="W1902">
        <v>3.177758E-2</v>
      </c>
      <c r="X1902">
        <v>0.99856540000000005</v>
      </c>
      <c r="Y1902">
        <v>4.9403950000000002E-2</v>
      </c>
      <c r="Z1902">
        <v>3.2729399999999998E-3</v>
      </c>
      <c r="AA1902">
        <v>0.99877349999999998</v>
      </c>
      <c r="AB1902">
        <v>30</v>
      </c>
      <c r="AC1902">
        <v>-26.111499999999999</v>
      </c>
      <c r="AD1902">
        <v>-1.109055636068</v>
      </c>
      <c r="AE1902">
        <v>-8.31000000000017E-2</v>
      </c>
      <c r="AF1902">
        <v>1.3003358719921401</v>
      </c>
      <c r="AG1902">
        <v>-1.109055636068</v>
      </c>
      <c r="AH1902">
        <v>26.0321550493274</v>
      </c>
      <c r="AI1902">
        <v>92.436479803292301</v>
      </c>
      <c r="AJ1902">
        <v>87.140387160112994</v>
      </c>
      <c r="AK1902">
        <v>26.088196072095599</v>
      </c>
      <c r="AL1902">
        <v>88.178972290176105</v>
      </c>
      <c r="AM1902">
        <v>87.528668697986404</v>
      </c>
      <c r="AN1902">
        <v>1.0000000430685001</v>
      </c>
    </row>
    <row r="1903" spans="1:40" x14ac:dyDescent="0.25">
      <c r="A1903" t="str">
        <f>"20190312160333008"</f>
        <v>20190312160333008</v>
      </c>
      <c r="B1903" t="str">
        <f>"1552377812996868"</f>
        <v>1552377812996868</v>
      </c>
      <c r="C1903" t="s">
        <v>40</v>
      </c>
      <c r="D1903">
        <v>5.6437400000000002</v>
      </c>
      <c r="E1903">
        <v>0.50414440000000005</v>
      </c>
      <c r="F1903" t="s">
        <v>79</v>
      </c>
      <c r="G1903">
        <v>-309.60489999999999</v>
      </c>
      <c r="H1903" s="1">
        <v>2.300108E-6</v>
      </c>
      <c r="I1903">
        <v>284.16719999999998</v>
      </c>
      <c r="J1903">
        <v>-283.33550000000002</v>
      </c>
      <c r="K1903">
        <v>1.1090629999999999</v>
      </c>
      <c r="L1903">
        <v>284.23779999999999</v>
      </c>
      <c r="M1903">
        <v>-0.99855479999999996</v>
      </c>
      <c r="N1903">
        <v>0</v>
      </c>
      <c r="O1903">
        <v>-5.2279230000000003E-2</v>
      </c>
      <c r="P1903">
        <v>-0.99975119999999895</v>
      </c>
      <c r="Q1903">
        <v>2.0147120000000001E-2</v>
      </c>
      <c r="R1903">
        <v>-9.5799149999999996E-3</v>
      </c>
      <c r="S1903">
        <v>-3.0031129999999999</v>
      </c>
      <c r="T1903">
        <v>-0.12582670000000001</v>
      </c>
      <c r="U1903">
        <v>-9.1247559999999995E-3</v>
      </c>
      <c r="V1903">
        <v>4.2780150000000003E-2</v>
      </c>
      <c r="W1903">
        <v>3.2487219999999997E-2</v>
      </c>
      <c r="X1903">
        <v>0.9985562</v>
      </c>
      <c r="Y1903">
        <v>4.915982E-2</v>
      </c>
      <c r="Z1903">
        <v>3.218261E-3</v>
      </c>
      <c r="AA1903">
        <v>0.9987857</v>
      </c>
      <c r="AB1903">
        <v>30</v>
      </c>
      <c r="AC1903">
        <v>-26.269399999999901</v>
      </c>
      <c r="AD1903">
        <v>-1.1090606998919901</v>
      </c>
      <c r="AE1903">
        <v>-7.0600000000013097E-2</v>
      </c>
      <c r="AF1903">
        <v>1.30062889238032</v>
      </c>
      <c r="AG1903">
        <v>-1.1090606998919901</v>
      </c>
      <c r="AH1903">
        <v>26.190480245809699</v>
      </c>
      <c r="AI1903">
        <v>92.421814513240605</v>
      </c>
      <c r="AJ1903">
        <v>87.157006043248501</v>
      </c>
      <c r="AK1903">
        <v>26.246197946710101</v>
      </c>
      <c r="AL1903">
        <v>88.138291869540097</v>
      </c>
      <c r="AM1903">
        <v>87.546834054787297</v>
      </c>
      <c r="AN1903">
        <v>1.00000002262789</v>
      </c>
    </row>
    <row r="1904" spans="1:40" x14ac:dyDescent="0.25">
      <c r="A1904" t="str">
        <f>"20190312160333022"</f>
        <v>20190312160333022</v>
      </c>
      <c r="B1904" t="str">
        <f>"1552377813016389"</f>
        <v>1552377813016389</v>
      </c>
      <c r="C1904" t="s">
        <v>40</v>
      </c>
      <c r="D1904">
        <v>5.5422029999999998</v>
      </c>
      <c r="E1904">
        <v>0.50426409999999999</v>
      </c>
      <c r="F1904" t="s">
        <v>79</v>
      </c>
      <c r="G1904">
        <v>-310.35739999999998</v>
      </c>
      <c r="H1904" s="1">
        <v>2.4138789999999999E-6</v>
      </c>
      <c r="I1904">
        <v>284.1771</v>
      </c>
      <c r="J1904">
        <v>-283.52589999999998</v>
      </c>
      <c r="K1904">
        <v>1.1090679999999999</v>
      </c>
      <c r="L1904">
        <v>284.22859999999997</v>
      </c>
      <c r="M1904">
        <v>-0.99859319999999896</v>
      </c>
      <c r="N1904">
        <v>0</v>
      </c>
      <c r="O1904">
        <v>-5.1542959999999999E-2</v>
      </c>
      <c r="P1904">
        <v>-0.99975069999999999</v>
      </c>
      <c r="Q1904">
        <v>2.0356300000000001E-2</v>
      </c>
      <c r="R1904">
        <v>-9.1892280000000007E-3</v>
      </c>
      <c r="S1904">
        <v>-3.003174</v>
      </c>
      <c r="T1904">
        <v>-0.12325949999999999</v>
      </c>
      <c r="U1904">
        <v>-6.7443850000000003E-3</v>
      </c>
      <c r="V1904">
        <v>4.2433659999999998E-2</v>
      </c>
      <c r="W1904">
        <v>3.2697869999999997E-2</v>
      </c>
      <c r="X1904">
        <v>0.99856409999999995</v>
      </c>
      <c r="Y1904">
        <v>4.9219260000000001E-2</v>
      </c>
      <c r="Z1904">
        <v>3.1236480000000001E-3</v>
      </c>
      <c r="AA1904">
        <v>0.99878310000000003</v>
      </c>
      <c r="AB1904">
        <v>30</v>
      </c>
      <c r="AC1904">
        <v>-26.831499999999998</v>
      </c>
      <c r="AD1904">
        <v>-1.1090655861209999</v>
      </c>
      <c r="AE1904">
        <v>-5.1499999999975898E-2</v>
      </c>
      <c r="AF1904">
        <v>1.32937926503117</v>
      </c>
      <c r="AG1904">
        <v>-1.1090655861209999</v>
      </c>
      <c r="AH1904">
        <v>26.7527761663329</v>
      </c>
      <c r="AI1904">
        <v>92.370977787135999</v>
      </c>
      <c r="AJ1904">
        <v>87.155240198049697</v>
      </c>
      <c r="AK1904">
        <v>26.808735671615</v>
      </c>
      <c r="AL1904">
        <v>88.126216082082607</v>
      </c>
      <c r="AM1904">
        <v>87.566698271510006</v>
      </c>
      <c r="AN1904">
        <v>1.00000001400617</v>
      </c>
    </row>
    <row r="1905" spans="1:40" x14ac:dyDescent="0.25">
      <c r="A1905" t="str">
        <f>"20190312160333036"</f>
        <v>20190312160333036</v>
      </c>
      <c r="B1905" t="str">
        <f>"1552377813026149"</f>
        <v>1552377813026149</v>
      </c>
      <c r="C1905" t="s">
        <v>40</v>
      </c>
      <c r="D1905">
        <v>5.4470960000000002</v>
      </c>
      <c r="E1905">
        <v>0.50432829999999995</v>
      </c>
      <c r="F1905" t="s">
        <v>79</v>
      </c>
      <c r="G1905">
        <v>-310.86520000000002</v>
      </c>
      <c r="H1905" s="1">
        <v>2.6381950000000001E-6</v>
      </c>
      <c r="I1905">
        <v>284.18689999999998</v>
      </c>
      <c r="J1905">
        <v>-283.71749999999997</v>
      </c>
      <c r="K1905">
        <v>1.1090739999999999</v>
      </c>
      <c r="L1905">
        <v>284.21940000000001</v>
      </c>
      <c r="M1905">
        <v>-0.99863080000000004</v>
      </c>
      <c r="N1905">
        <v>0</v>
      </c>
      <c r="O1905">
        <v>-5.080838E-2</v>
      </c>
      <c r="P1905">
        <v>-0.99975590000000003</v>
      </c>
      <c r="Q1905">
        <v>2.0358319999999999E-2</v>
      </c>
      <c r="R1905">
        <v>-8.5842560000000002E-3</v>
      </c>
      <c r="S1905">
        <v>-3.003174</v>
      </c>
      <c r="T1905">
        <v>-0.1218289</v>
      </c>
      <c r="U1905">
        <v>-4.5776369999999999E-3</v>
      </c>
      <c r="V1905">
        <v>4.2302699999999999E-2</v>
      </c>
      <c r="W1905">
        <v>3.2700729999999997E-2</v>
      </c>
      <c r="X1905">
        <v>0.9985695</v>
      </c>
      <c r="Y1905">
        <v>4.920774E-2</v>
      </c>
      <c r="Z1905">
        <v>3.0574420000000001E-3</v>
      </c>
      <c r="AA1905">
        <v>0.99878389999999995</v>
      </c>
      <c r="AB1905">
        <v>30</v>
      </c>
      <c r="AC1905">
        <v>-27.1477</v>
      </c>
      <c r="AD1905">
        <v>-1.1090713618050001</v>
      </c>
      <c r="AE1905">
        <v>-3.2500000000027202E-2</v>
      </c>
      <c r="AF1905">
        <v>1.3447352323382</v>
      </c>
      <c r="AG1905">
        <v>-1.1090713618050001</v>
      </c>
      <c r="AH1905">
        <v>27.069104624946199</v>
      </c>
      <c r="AI1905">
        <v>92.343315449950794</v>
      </c>
      <c r="AJ1905">
        <v>87.156006213755404</v>
      </c>
      <c r="AK1905">
        <v>27.125168705962999</v>
      </c>
      <c r="AL1905">
        <v>88.126052010835096</v>
      </c>
      <c r="AM1905">
        <v>87.574212115856795</v>
      </c>
      <c r="AN1905">
        <v>0.99999995125003505</v>
      </c>
    </row>
    <row r="1906" spans="1:40" x14ac:dyDescent="0.25">
      <c r="A1906" t="str">
        <f>"20190312160333053"</f>
        <v>20190312160333053</v>
      </c>
      <c r="B1906" t="str">
        <f>"1552377813046175"</f>
        <v>1552377813046175</v>
      </c>
      <c r="C1906" t="s">
        <v>40</v>
      </c>
      <c r="D1906">
        <v>5.3952519999999904</v>
      </c>
      <c r="E1906">
        <v>0.50439319999999999</v>
      </c>
      <c r="F1906" t="s">
        <v>79</v>
      </c>
      <c r="G1906">
        <v>-311.14440000000002</v>
      </c>
      <c r="H1906" s="1">
        <v>2.7610240000000001E-6</v>
      </c>
      <c r="I1906">
        <v>284.19819999999999</v>
      </c>
      <c r="J1906">
        <v>-283.92840000000001</v>
      </c>
      <c r="K1906">
        <v>1.10907</v>
      </c>
      <c r="L1906">
        <v>284.20960000000002</v>
      </c>
      <c r="M1906">
        <v>-0.99867099999999998</v>
      </c>
      <c r="N1906">
        <v>0</v>
      </c>
      <c r="O1906">
        <v>-5.0010289999999999E-2</v>
      </c>
      <c r="P1906">
        <v>-0.99975259999999999</v>
      </c>
      <c r="Q1906">
        <v>2.055295E-2</v>
      </c>
      <c r="R1906">
        <v>-8.4989729999999999E-3</v>
      </c>
      <c r="S1906">
        <v>-3.003174</v>
      </c>
      <c r="T1906">
        <v>-0.1214406</v>
      </c>
      <c r="U1906">
        <v>-2.319336E-3</v>
      </c>
      <c r="V1906">
        <v>4.158916E-2</v>
      </c>
      <c r="W1906">
        <v>3.2898040000000003E-2</v>
      </c>
      <c r="X1906">
        <v>0.99859299999999995</v>
      </c>
      <c r="Y1906">
        <v>4.9161799999999999E-2</v>
      </c>
      <c r="Z1906">
        <v>3.0145570000000002E-3</v>
      </c>
      <c r="AA1906">
        <v>0.99878630000000002</v>
      </c>
      <c r="AB1906">
        <v>30</v>
      </c>
      <c r="AC1906">
        <v>-27.216000000000001</v>
      </c>
      <c r="AD1906">
        <v>-1.1090672389759999</v>
      </c>
      <c r="AE1906">
        <v>-1.14000000000373E-2</v>
      </c>
      <c r="AF1906">
        <v>1.34756218259213</v>
      </c>
      <c r="AG1906">
        <v>-1.1090672389759999</v>
      </c>
      <c r="AH1906">
        <v>27.137444907291702</v>
      </c>
      <c r="AI1906">
        <v>92.337414569499202</v>
      </c>
      <c r="AJ1906">
        <v>87.157202594263197</v>
      </c>
      <c r="AK1906">
        <v>27.1935078662687</v>
      </c>
      <c r="AL1906">
        <v>88.114740909602403</v>
      </c>
      <c r="AM1906">
        <v>87.6151374569843</v>
      </c>
      <c r="AN1906">
        <v>0.99999995945717202</v>
      </c>
    </row>
    <row r="1907" spans="1:40" x14ac:dyDescent="0.25">
      <c r="A1907" t="str">
        <f>"20190312160333077"</f>
        <v>20190312160333077</v>
      </c>
      <c r="B1907" t="str">
        <f>"1552377813066671"</f>
        <v>1552377813066671</v>
      </c>
      <c r="C1907" t="s">
        <v>40</v>
      </c>
      <c r="D1907">
        <v>5.6146969999999996</v>
      </c>
      <c r="E1907">
        <v>0.50439319999999999</v>
      </c>
      <c r="F1907" t="s">
        <v>79</v>
      </c>
      <c r="G1907">
        <v>-311.55759999999998</v>
      </c>
      <c r="H1907" s="1">
        <v>2.9446539999999999E-6</v>
      </c>
      <c r="I1907">
        <v>284.19380000000001</v>
      </c>
      <c r="J1907">
        <v>-284.25630000000001</v>
      </c>
      <c r="K1907">
        <v>1.1090960000000001</v>
      </c>
      <c r="L1907">
        <v>284.19450000000001</v>
      </c>
      <c r="M1907">
        <v>-0.99873080000000003</v>
      </c>
      <c r="N1907">
        <v>0</v>
      </c>
      <c r="O1907">
        <v>-4.8802039999999998E-2</v>
      </c>
      <c r="P1907">
        <v>-0.99975890000000001</v>
      </c>
      <c r="Q1907">
        <v>2.0526699999999998E-2</v>
      </c>
      <c r="R1907">
        <v>-7.7935690000000002E-3</v>
      </c>
      <c r="S1907">
        <v>-3.0032350000000001</v>
      </c>
      <c r="T1907">
        <v>-0.1205534</v>
      </c>
      <c r="U1907">
        <v>-1.708984E-3</v>
      </c>
      <c r="V1907">
        <v>4.10839E-2</v>
      </c>
      <c r="W1907">
        <v>3.287516E-2</v>
      </c>
      <c r="X1907">
        <v>0.99861469999999997</v>
      </c>
      <c r="Y1907">
        <v>4.8159390000000003E-2</v>
      </c>
      <c r="Z1907">
        <v>2.9239410000000002E-3</v>
      </c>
      <c r="AA1907">
        <v>0.99883540000000004</v>
      </c>
      <c r="AB1907">
        <v>30</v>
      </c>
      <c r="AC1907">
        <v>-27.301299999999902</v>
      </c>
      <c r="AD1907">
        <v>-1.1090930553459999</v>
      </c>
      <c r="AE1907">
        <v>-6.9999999999481501E-4</v>
      </c>
      <c r="AF1907">
        <v>1.3295691183168501</v>
      </c>
      <c r="AG1907">
        <v>-1.1090930553459999</v>
      </c>
      <c r="AH1907">
        <v>27.223870593381399</v>
      </c>
      <c r="AI1907">
        <v>92.330150116203797</v>
      </c>
      <c r="AJ1907">
        <v>87.203989838522205</v>
      </c>
      <c r="AK1907">
        <v>27.278874088403601</v>
      </c>
      <c r="AL1907">
        <v>88.1160526060536</v>
      </c>
      <c r="AM1907">
        <v>87.644129057409202</v>
      </c>
      <c r="AN1907">
        <v>0.99999999102016202</v>
      </c>
    </row>
    <row r="1908" spans="1:40" x14ac:dyDescent="0.25">
      <c r="A1908" t="str">
        <f>"20190312160333089"</f>
        <v>20190312160333089</v>
      </c>
      <c r="B1908" t="str">
        <f>"1552377813076431"</f>
        <v>1552377813076431</v>
      </c>
      <c r="C1908" t="s">
        <v>40</v>
      </c>
      <c r="D1908">
        <v>5.6014739999999996</v>
      </c>
      <c r="E1908">
        <v>0.50286450000000005</v>
      </c>
      <c r="F1908" t="s">
        <v>79</v>
      </c>
      <c r="G1908">
        <v>-311.86779999999999</v>
      </c>
      <c r="H1908" s="1">
        <v>3.0816720000000001E-6</v>
      </c>
      <c r="I1908">
        <v>284.20010000000002</v>
      </c>
      <c r="J1908">
        <v>-284.42059999999998</v>
      </c>
      <c r="K1908">
        <v>1.1091089999999999</v>
      </c>
      <c r="L1908">
        <v>284.18709999999999</v>
      </c>
      <c r="M1908">
        <v>-0.99875970000000003</v>
      </c>
      <c r="N1908">
        <v>0</v>
      </c>
      <c r="O1908">
        <v>-4.8210219999999998E-2</v>
      </c>
      <c r="P1908">
        <v>-0.99975599999999998</v>
      </c>
      <c r="Q1908">
        <v>2.0784850000000001E-2</v>
      </c>
      <c r="R1908">
        <v>-7.4860609999999996E-3</v>
      </c>
      <c r="S1908">
        <v>-3.0032040000000002</v>
      </c>
      <c r="T1908">
        <v>-0.1206319</v>
      </c>
      <c r="U1908">
        <v>6.1035159999999996E-4</v>
      </c>
      <c r="V1908">
        <v>4.0798580000000001E-2</v>
      </c>
      <c r="W1908">
        <v>3.3134900000000002E-2</v>
      </c>
      <c r="X1908">
        <v>0.9986178</v>
      </c>
      <c r="Y1908">
        <v>4.8339119999999999E-2</v>
      </c>
      <c r="Z1908">
        <v>2.9057499999999999E-3</v>
      </c>
      <c r="AA1908">
        <v>0.99882669999999996</v>
      </c>
      <c r="AB1908">
        <v>30</v>
      </c>
      <c r="AC1908">
        <v>-27.447199999999999</v>
      </c>
      <c r="AD1908">
        <v>-1.1091059183280001</v>
      </c>
      <c r="AE1908">
        <v>1.3000000000033599E-2</v>
      </c>
      <c r="AF1908">
        <v>1.3341444105870801</v>
      </c>
      <c r="AG1908">
        <v>-1.1091059183280001</v>
      </c>
      <c r="AH1908">
        <v>27.369961570981499</v>
      </c>
      <c r="AI1908">
        <v>92.317763605848</v>
      </c>
      <c r="AJ1908">
        <v>87.209335230841901</v>
      </c>
      <c r="AK1908">
        <v>27.4248947790757</v>
      </c>
      <c r="AL1908">
        <v>88.101162463218401</v>
      </c>
      <c r="AM1908">
        <v>87.660479151725099</v>
      </c>
      <c r="AN1908">
        <v>0.99999997810243202</v>
      </c>
    </row>
    <row r="1909" spans="1:40" x14ac:dyDescent="0.25">
      <c r="A1909" t="str">
        <f>"20190312160333107"</f>
        <v>20190312160333107</v>
      </c>
      <c r="B1909" t="str">
        <f>"1552377813095950"</f>
        <v>1552377813095950</v>
      </c>
      <c r="C1909" t="s">
        <v>40</v>
      </c>
      <c r="D1909">
        <v>5.5412759999999999</v>
      </c>
      <c r="E1909">
        <v>0.50464759999999997</v>
      </c>
      <c r="F1909" t="s">
        <v>49</v>
      </c>
      <c r="G1909">
        <v>-285.39249999999998</v>
      </c>
      <c r="H1909">
        <v>1.03487</v>
      </c>
      <c r="I1909">
        <v>284.1816</v>
      </c>
      <c r="J1909">
        <v>-284.66969999999998</v>
      </c>
      <c r="K1909">
        <v>1.1091310000000001</v>
      </c>
      <c r="L1909">
        <v>284.17599999999999</v>
      </c>
      <c r="M1909">
        <v>-0.99880089999999999</v>
      </c>
      <c r="N1909">
        <v>0</v>
      </c>
      <c r="O1909">
        <v>-4.7343679999999999E-2</v>
      </c>
      <c r="P1909">
        <v>-0.99975970000000003</v>
      </c>
      <c r="Q1909">
        <v>2.09213E-2</v>
      </c>
      <c r="R1909">
        <v>-6.5457919999999999E-3</v>
      </c>
      <c r="S1909">
        <v>-3.0053709999999998</v>
      </c>
      <c r="T1909">
        <v>-0.22968540000000001</v>
      </c>
      <c r="U1909">
        <v>-1.7456050000000001E-2</v>
      </c>
      <c r="V1909">
        <v>4.08694E-2</v>
      </c>
      <c r="W1909">
        <v>3.32731E-2</v>
      </c>
      <c r="X1909">
        <v>0.99861029999999995</v>
      </c>
      <c r="Y1909">
        <v>4.128652E-2</v>
      </c>
      <c r="Z1909">
        <v>5.1874340000000003E-3</v>
      </c>
      <c r="AA1909">
        <v>0.99913390000000002</v>
      </c>
      <c r="AB1909">
        <v>30</v>
      </c>
      <c r="AC1909">
        <v>-0.72280000000000599</v>
      </c>
      <c r="AD1909">
        <v>-7.4260999999999605E-2</v>
      </c>
      <c r="AE1909">
        <v>5.6000000000153696E-3</v>
      </c>
      <c r="AF1909">
        <v>3.9400516167026403E-2</v>
      </c>
      <c r="AG1909">
        <v>-7.4260999999999605E-2</v>
      </c>
      <c r="AH1909">
        <v>0.71418597355118596</v>
      </c>
      <c r="AI1909">
        <v>95.927328968625105</v>
      </c>
      <c r="AJ1909">
        <v>86.842282983140507</v>
      </c>
      <c r="AK1909">
        <v>0.71911661197088395</v>
      </c>
      <c r="AL1909">
        <v>88.093239800654104</v>
      </c>
      <c r="AM1909">
        <v>87.656405049298101</v>
      </c>
      <c r="AN1909">
        <v>0.99999996915302902</v>
      </c>
    </row>
    <row r="1910" spans="1:40" x14ac:dyDescent="0.25">
      <c r="A1910" t="str">
        <f>"20190312160333119"</f>
        <v>20190312160333119</v>
      </c>
      <c r="B1910" t="str">
        <f>"1552377813106687"</f>
        <v>1552377813106687</v>
      </c>
      <c r="C1910" t="s">
        <v>40</v>
      </c>
      <c r="D1910">
        <v>5.430345</v>
      </c>
      <c r="E1910">
        <v>0.5050192</v>
      </c>
      <c r="F1910" t="s">
        <v>49</v>
      </c>
      <c r="G1910">
        <v>-285.67919999999998</v>
      </c>
      <c r="H1910">
        <v>1.0528470000000001</v>
      </c>
      <c r="I1910">
        <v>284.1771</v>
      </c>
      <c r="J1910">
        <v>-284.82760000000002</v>
      </c>
      <c r="K1910">
        <v>1.109151</v>
      </c>
      <c r="L1910">
        <v>284.16910000000001</v>
      </c>
      <c r="M1910">
        <v>-0.99882579999999999</v>
      </c>
      <c r="N1910">
        <v>0</v>
      </c>
      <c r="O1910">
        <v>-4.6818600000000002E-2</v>
      </c>
      <c r="P1910">
        <v>-0.99976549999999997</v>
      </c>
      <c r="Q1910">
        <v>2.0865729999999999E-2</v>
      </c>
      <c r="R1910">
        <v>-5.7970670000000004E-3</v>
      </c>
      <c r="S1910">
        <v>-3.0042420000000001</v>
      </c>
      <c r="T1910">
        <v>-0.16753409999999999</v>
      </c>
      <c r="U1910">
        <v>3.2958979999999998E-3</v>
      </c>
      <c r="V1910">
        <v>4.1090689999999999E-2</v>
      </c>
      <c r="W1910">
        <v>3.3218780000000003E-2</v>
      </c>
      <c r="X1910">
        <v>0.99860300000000002</v>
      </c>
      <c r="Y1910">
        <v>4.7771139999999997E-2</v>
      </c>
      <c r="Z1910">
        <v>3.9393179999999998E-3</v>
      </c>
      <c r="AA1910">
        <v>0.99885049999999997</v>
      </c>
      <c r="AB1910">
        <v>30</v>
      </c>
      <c r="AC1910">
        <v>-0.85159999999996205</v>
      </c>
      <c r="AD1910">
        <v>-5.6304000000000097E-2</v>
      </c>
      <c r="AE1910">
        <v>7.9999999999813502E-3</v>
      </c>
      <c r="AF1910">
        <v>4.7656734937416401E-2</v>
      </c>
      <c r="AG1910">
        <v>-5.6304000000000097E-2</v>
      </c>
      <c r="AH1910">
        <v>0.84659107174092896</v>
      </c>
      <c r="AI1910">
        <v>93.798954593223797</v>
      </c>
      <c r="AJ1910">
        <v>86.778077244346093</v>
      </c>
      <c r="AK1910">
        <v>0.84979865118294295</v>
      </c>
      <c r="AL1910">
        <v>88.096353776986703</v>
      </c>
      <c r="AM1910">
        <v>87.643712562076701</v>
      </c>
      <c r="AN1910">
        <v>0.99999994187917995</v>
      </c>
    </row>
    <row r="1911" spans="1:40" x14ac:dyDescent="0.25">
      <c r="A1911" t="str">
        <f>"20190312160333131"</f>
        <v>20190312160333131</v>
      </c>
      <c r="B1911" t="str">
        <f>"1552377813126207"</f>
        <v>1552377813126207</v>
      </c>
      <c r="C1911" t="s">
        <v>40</v>
      </c>
      <c r="D1911">
        <v>5.4515219999999998</v>
      </c>
      <c r="E1911">
        <v>0.50551349999999995</v>
      </c>
      <c r="F1911" t="s">
        <v>79</v>
      </c>
      <c r="G1911">
        <v>-306.36610000000002</v>
      </c>
      <c r="H1911" s="1">
        <v>2.868657E-6</v>
      </c>
      <c r="I1911">
        <v>284.23540000000003</v>
      </c>
      <c r="J1911">
        <v>-284.98329999999999</v>
      </c>
      <c r="K1911">
        <v>1.109173</v>
      </c>
      <c r="L1911">
        <v>284.16239999999999</v>
      </c>
      <c r="M1911">
        <v>-0.9988496</v>
      </c>
      <c r="N1911">
        <v>0</v>
      </c>
      <c r="O1911">
        <v>-4.6308530000000001E-2</v>
      </c>
      <c r="P1911">
        <v>-0.99977680000000002</v>
      </c>
      <c r="Q1911">
        <v>2.052501E-2</v>
      </c>
      <c r="R1911">
        <v>-5.037466E-3</v>
      </c>
      <c r="S1911">
        <v>-3.0039980000000002</v>
      </c>
      <c r="T1911">
        <v>-0.1546941</v>
      </c>
      <c r="U1911">
        <v>9.2468259999999997E-3</v>
      </c>
      <c r="V1911">
        <v>4.1337619999999999E-2</v>
      </c>
      <c r="W1911">
        <v>3.2879930000000002E-2</v>
      </c>
      <c r="X1911">
        <v>0.99860409999999999</v>
      </c>
      <c r="Y1911">
        <v>4.9260150000000003E-2</v>
      </c>
      <c r="Z1911">
        <v>3.6502190000000001E-3</v>
      </c>
      <c r="AA1911">
        <v>0.99877930000000004</v>
      </c>
      <c r="AB1911">
        <v>30</v>
      </c>
      <c r="AC1911">
        <v>-21.3828</v>
      </c>
      <c r="AD1911">
        <v>-1.109170131343</v>
      </c>
      <c r="AE1911">
        <v>7.3000000000035897E-2</v>
      </c>
      <c r="AF1911">
        <v>1.0603513890821901</v>
      </c>
      <c r="AG1911">
        <v>-1.109170131343</v>
      </c>
      <c r="AH1911">
        <v>21.299166608108798</v>
      </c>
      <c r="AI1911">
        <v>92.977347427510296</v>
      </c>
      <c r="AJ1911">
        <v>87.149956895158596</v>
      </c>
      <c r="AK1911">
        <v>21.354369614871999</v>
      </c>
      <c r="AL1911">
        <v>88.115779209301493</v>
      </c>
      <c r="AM1911">
        <v>87.629571422910303</v>
      </c>
      <c r="AN1911">
        <v>1.0000000185804301</v>
      </c>
    </row>
    <row r="1912" spans="1:40" x14ac:dyDescent="0.25">
      <c r="A1912" t="str">
        <f>"20190312160333144"</f>
        <v>20190312160333144</v>
      </c>
      <c r="B1912" t="str">
        <f>"1552377813135967"</f>
        <v>1552377813135967</v>
      </c>
      <c r="C1912" t="s">
        <v>40</v>
      </c>
      <c r="D1912">
        <v>5.0478339999999999</v>
      </c>
      <c r="E1912">
        <v>0.50545379999999995</v>
      </c>
      <c r="F1912" t="s">
        <v>79</v>
      </c>
      <c r="G1912">
        <v>-308.70960000000002</v>
      </c>
      <c r="H1912" s="1">
        <v>2.4480620000000001E-6</v>
      </c>
      <c r="I1912">
        <v>284.29160000000002</v>
      </c>
      <c r="J1912">
        <v>-285.15960000000001</v>
      </c>
      <c r="K1912">
        <v>1.1091949999999999</v>
      </c>
      <c r="L1912">
        <v>284.15480000000002</v>
      </c>
      <c r="M1912">
        <v>-0.99887530000000002</v>
      </c>
      <c r="N1912">
        <v>0</v>
      </c>
      <c r="O1912">
        <v>-4.5748690000000002E-2</v>
      </c>
      <c r="P1912">
        <v>-0.99978420000000001</v>
      </c>
      <c r="Q1912">
        <v>2.0277360000000001E-2</v>
      </c>
      <c r="R1912">
        <v>-4.526736E-3</v>
      </c>
      <c r="S1912">
        <v>-3.0036619999999998</v>
      </c>
      <c r="T1912">
        <v>-0.14041719999999999</v>
      </c>
      <c r="U1912">
        <v>1.6357420000000001E-2</v>
      </c>
      <c r="V1912">
        <v>4.1285809999999999E-2</v>
      </c>
      <c r="W1912">
        <v>3.2634490000000002E-2</v>
      </c>
      <c r="X1912">
        <v>0.99861429999999995</v>
      </c>
      <c r="Y1912">
        <v>5.1085869999999999E-2</v>
      </c>
      <c r="Z1912">
        <v>3.3306170000000001E-3</v>
      </c>
      <c r="AA1912">
        <v>0.99868869999999998</v>
      </c>
      <c r="AB1912">
        <v>30</v>
      </c>
      <c r="AC1912">
        <v>-23.55</v>
      </c>
      <c r="AD1912">
        <v>-1.1091925519379999</v>
      </c>
      <c r="AE1912">
        <v>0.13679999999999301</v>
      </c>
      <c r="AF1912">
        <v>1.2114346976088799</v>
      </c>
      <c r="AG1912">
        <v>-1.1091925519379999</v>
      </c>
      <c r="AH1912">
        <v>23.4670234020622</v>
      </c>
      <c r="AI1912">
        <v>92.702535550569195</v>
      </c>
      <c r="AJ1912">
        <v>87.044851615199903</v>
      </c>
      <c r="AK1912">
        <v>23.524435582958802</v>
      </c>
      <c r="AL1912">
        <v>88.1298494464816</v>
      </c>
      <c r="AM1912">
        <v>87.632563142069003</v>
      </c>
      <c r="AN1912">
        <v>1.0000000241047</v>
      </c>
    </row>
    <row r="1913" spans="1:40" x14ac:dyDescent="0.25">
      <c r="A1913" t="str">
        <f>"20190312160333155"</f>
        <v>20190312160333155</v>
      </c>
      <c r="B1913" t="str">
        <f>"1552377813146235"</f>
        <v>1552377813146235</v>
      </c>
      <c r="C1913" t="s">
        <v>40</v>
      </c>
      <c r="D1913">
        <v>5.4083100000000002</v>
      </c>
      <c r="E1913">
        <v>0.50548329999999997</v>
      </c>
      <c r="F1913" t="s">
        <v>79</v>
      </c>
      <c r="G1913">
        <v>-309.51260000000002</v>
      </c>
      <c r="H1913" s="1">
        <v>2.3051120000000001E-6</v>
      </c>
      <c r="I1913">
        <v>284.29730000000001</v>
      </c>
      <c r="J1913">
        <v>-285.30880000000002</v>
      </c>
      <c r="K1913">
        <v>1.109219</v>
      </c>
      <c r="L1913">
        <v>284.14839999999998</v>
      </c>
      <c r="M1913">
        <v>-0.99889589999999995</v>
      </c>
      <c r="N1913">
        <v>0</v>
      </c>
      <c r="O1913">
        <v>-4.5297080000000003E-2</v>
      </c>
      <c r="P1913">
        <v>-0.99979189999999996</v>
      </c>
      <c r="Q1913">
        <v>1.99826E-2</v>
      </c>
      <c r="R1913">
        <v>-4.1048329999999996E-3</v>
      </c>
      <c r="S1913">
        <v>-3.0035099999999999</v>
      </c>
      <c r="T1913">
        <v>-0.13679929999999901</v>
      </c>
      <c r="U1913">
        <v>1.7578130000000001E-2</v>
      </c>
      <c r="V1913">
        <v>4.1253560000000002E-2</v>
      </c>
      <c r="W1913">
        <v>3.2341870000000002E-2</v>
      </c>
      <c r="X1913">
        <v>0.99862510000000004</v>
      </c>
      <c r="Y1913">
        <v>5.1046370000000001E-2</v>
      </c>
      <c r="Z1913">
        <v>3.2236140000000001E-3</v>
      </c>
      <c r="AA1913">
        <v>0.99869110000000005</v>
      </c>
      <c r="AB1913">
        <v>30</v>
      </c>
      <c r="AC1913">
        <v>-24.203800000000001</v>
      </c>
      <c r="AD1913">
        <v>-1.109216694888</v>
      </c>
      <c r="AE1913">
        <v>0.14890000000002601</v>
      </c>
      <c r="AF1913">
        <v>1.24258406098368</v>
      </c>
      <c r="AG1913">
        <v>-1.109216694888</v>
      </c>
      <c r="AH1913">
        <v>24.1215484020491</v>
      </c>
      <c r="AI1913">
        <v>92.629379995065307</v>
      </c>
      <c r="AJ1913">
        <v>87.051103592024106</v>
      </c>
      <c r="AK1913">
        <v>24.1789882777842</v>
      </c>
      <c r="AL1913">
        <v>88.146624094774097</v>
      </c>
      <c r="AM1913">
        <v>87.634435894611002</v>
      </c>
      <c r="AN1913">
        <v>0.99999997155888898</v>
      </c>
    </row>
    <row r="1914" spans="1:40" x14ac:dyDescent="0.25">
      <c r="A1914" t="str">
        <f>"20190312160333165"</f>
        <v>20190312160333165</v>
      </c>
      <c r="B1914" t="str">
        <f>"1552377813155994"</f>
        <v>1552377813155994</v>
      </c>
      <c r="C1914" t="s">
        <v>40</v>
      </c>
      <c r="D1914">
        <v>5.4207000000000001</v>
      </c>
      <c r="E1914">
        <v>0.50523039999999997</v>
      </c>
      <c r="F1914" t="s">
        <v>79</v>
      </c>
      <c r="G1914">
        <v>-310.21449999999999</v>
      </c>
      <c r="H1914" s="1">
        <v>2.3388419999999998E-6</v>
      </c>
      <c r="I1914">
        <v>284.31040000000002</v>
      </c>
      <c r="J1914">
        <v>-285.45870000000002</v>
      </c>
      <c r="K1914">
        <v>1.1092409999999999</v>
      </c>
      <c r="L1914">
        <v>284.14210000000003</v>
      </c>
      <c r="M1914">
        <v>-0.99891600000000003</v>
      </c>
      <c r="N1914">
        <v>0</v>
      </c>
      <c r="O1914">
        <v>-4.4851670000000003E-2</v>
      </c>
      <c r="P1914">
        <v>-0.99978739999999999</v>
      </c>
      <c r="Q1914">
        <v>2.0289689999999999E-2</v>
      </c>
      <c r="R1914">
        <v>-3.6306379999999998E-3</v>
      </c>
      <c r="S1914">
        <v>-3.003387</v>
      </c>
      <c r="T1914">
        <v>-0.13376089999999999</v>
      </c>
      <c r="U1914">
        <v>1.953125E-2</v>
      </c>
      <c r="V1914">
        <v>4.1280209999999998E-2</v>
      </c>
      <c r="W1914">
        <v>3.265117E-2</v>
      </c>
      <c r="X1914">
        <v>0.998614</v>
      </c>
      <c r="Y1914">
        <v>5.1255340000000003E-2</v>
      </c>
      <c r="Z1914">
        <v>3.1370529999999999E-3</v>
      </c>
      <c r="AA1914">
        <v>0.99868069999999998</v>
      </c>
      <c r="AB1914">
        <v>30</v>
      </c>
      <c r="AC1914">
        <v>-24.755799999999901</v>
      </c>
      <c r="AD1914">
        <v>-1.1092386611580001</v>
      </c>
      <c r="AE1914">
        <v>0.16829999999998699</v>
      </c>
      <c r="AF1914">
        <v>1.27599404587795</v>
      </c>
      <c r="AG1914">
        <v>-1.1092386611580001</v>
      </c>
      <c r="AH1914">
        <v>24.673799213311199</v>
      </c>
      <c r="AI1914">
        <v>92.570633125336201</v>
      </c>
      <c r="AJ1914">
        <v>87.039612621931099</v>
      </c>
      <c r="AK1914">
        <v>24.7316586348615</v>
      </c>
      <c r="AL1914">
        <v>88.128893268991604</v>
      </c>
      <c r="AM1914">
        <v>87.632883185176397</v>
      </c>
      <c r="AN1914">
        <v>1.0000000378180001</v>
      </c>
    </row>
    <row r="1915" spans="1:40" x14ac:dyDescent="0.25">
      <c r="A1915" t="str">
        <f>"20190312160333177"</f>
        <v>20190312160333177</v>
      </c>
      <c r="B1915" t="str">
        <f>"1552377813166730"</f>
        <v>1552377813166730</v>
      </c>
      <c r="C1915" t="s">
        <v>40</v>
      </c>
      <c r="D1915">
        <v>5.6483949999999998</v>
      </c>
      <c r="E1915">
        <v>0.50511289999999998</v>
      </c>
      <c r="F1915" t="s">
        <v>79</v>
      </c>
      <c r="G1915">
        <v>-310.66120000000001</v>
      </c>
      <c r="H1915" s="1">
        <v>2.5379100000000002E-6</v>
      </c>
      <c r="I1915">
        <v>284.2996</v>
      </c>
      <c r="J1915">
        <v>-285.60829999999999</v>
      </c>
      <c r="K1915">
        <v>1.10927</v>
      </c>
      <c r="L1915">
        <v>284.13580000000002</v>
      </c>
      <c r="M1915">
        <v>-0.99893449999999995</v>
      </c>
      <c r="N1915">
        <v>0</v>
      </c>
      <c r="O1915">
        <v>-4.4440279999999999E-2</v>
      </c>
      <c r="P1915">
        <v>-0.99979090000000004</v>
      </c>
      <c r="Q1915">
        <v>2.0188459999999998E-2</v>
      </c>
      <c r="R1915">
        <v>-3.3127040000000001E-3</v>
      </c>
      <c r="S1915">
        <v>-3.003387</v>
      </c>
      <c r="T1915">
        <v>-0.1321881</v>
      </c>
      <c r="U1915">
        <v>1.876831E-2</v>
      </c>
      <c r="V1915">
        <v>4.11843E-2</v>
      </c>
      <c r="W1915">
        <v>3.2552039999999997E-2</v>
      </c>
      <c r="X1915">
        <v>0.99862119999999999</v>
      </c>
      <c r="Y1915">
        <v>5.0593619999999999E-2</v>
      </c>
      <c r="Z1915">
        <v>3.06756E-3</v>
      </c>
      <c r="AA1915">
        <v>0.99871460000000001</v>
      </c>
      <c r="AB1915">
        <v>30</v>
      </c>
      <c r="AC1915">
        <v>-25.052900000000001</v>
      </c>
      <c r="AD1915">
        <v>-1.1092674620899901</v>
      </c>
      <c r="AE1915">
        <v>0.16379999999997999</v>
      </c>
      <c r="AF1915">
        <v>1.27458363741262</v>
      </c>
      <c r="AG1915">
        <v>-1.1092674620899901</v>
      </c>
      <c r="AH1915">
        <v>24.9719109096796</v>
      </c>
      <c r="AI1915">
        <v>92.540139102138795</v>
      </c>
      <c r="AJ1915">
        <v>87.078119264380803</v>
      </c>
      <c r="AK1915">
        <v>25.029010612331199</v>
      </c>
      <c r="AL1915">
        <v>88.134576027039998</v>
      </c>
      <c r="AM1915">
        <v>87.638393692807199</v>
      </c>
      <c r="AN1915">
        <v>1.00000004148204</v>
      </c>
    </row>
    <row r="1916" spans="1:40" x14ac:dyDescent="0.25">
      <c r="A1916" t="str">
        <f>"20190312160333190"</f>
        <v>20190312160333190</v>
      </c>
      <c r="B1916" t="str">
        <f>"1552377813186249"</f>
        <v>1552377813186249</v>
      </c>
      <c r="C1916" t="s">
        <v>40</v>
      </c>
      <c r="D1916">
        <v>5.5921320000000003</v>
      </c>
      <c r="E1916">
        <v>0.50488140000000004</v>
      </c>
      <c r="F1916" t="s">
        <v>79</v>
      </c>
      <c r="G1916">
        <v>-311.06439999999998</v>
      </c>
      <c r="H1916" s="1">
        <v>2.7169760000000002E-6</v>
      </c>
      <c r="I1916">
        <v>284.29649999999998</v>
      </c>
      <c r="J1916">
        <v>-285.76979999999998</v>
      </c>
      <c r="K1916">
        <v>1.109299</v>
      </c>
      <c r="L1916">
        <v>284.12909999999999</v>
      </c>
      <c r="M1916">
        <v>-0.99895350000000005</v>
      </c>
      <c r="N1916">
        <v>0</v>
      </c>
      <c r="O1916">
        <v>-4.4007240000000003E-2</v>
      </c>
      <c r="P1916">
        <v>-0.99979220000000002</v>
      </c>
      <c r="Q1916">
        <v>2.012634E-2</v>
      </c>
      <c r="R1916">
        <v>-3.2075160000000001E-3</v>
      </c>
      <c r="S1916">
        <v>-3.0032960000000002</v>
      </c>
      <c r="T1916">
        <v>-0.13087089999999901</v>
      </c>
      <c r="U1916">
        <v>1.895142E-2</v>
      </c>
      <c r="V1916">
        <v>4.0853779999999999E-2</v>
      </c>
      <c r="W1916">
        <v>3.2493420000000002E-2</v>
      </c>
      <c r="X1916">
        <v>0.99863670000000004</v>
      </c>
      <c r="Y1916">
        <v>5.0224350000000001E-2</v>
      </c>
      <c r="Z1916">
        <v>3.0102229999999998E-3</v>
      </c>
      <c r="AA1916">
        <v>0.99873339999999999</v>
      </c>
      <c r="AB1916">
        <v>30</v>
      </c>
      <c r="AC1916">
        <v>-25.294599999999999</v>
      </c>
      <c r="AD1916">
        <v>-1.1092962830239901</v>
      </c>
      <c r="AE1916">
        <v>0.167399999999986</v>
      </c>
      <c r="AF1916">
        <v>1.2780119104997101</v>
      </c>
      <c r="AG1916">
        <v>-1.1092962830239901</v>
      </c>
      <c r="AH1916">
        <v>25.214232141317702</v>
      </c>
      <c r="AI1916">
        <v>92.515869102599098</v>
      </c>
      <c r="AJ1916">
        <v>87.098381663228196</v>
      </c>
      <c r="AK1916">
        <v>25.270958730589701</v>
      </c>
      <c r="AL1916">
        <v>88.137936510485304</v>
      </c>
      <c r="AM1916">
        <v>87.657361619522504</v>
      </c>
      <c r="AN1916">
        <v>1.00000005613523</v>
      </c>
    </row>
    <row r="1917" spans="1:40" x14ac:dyDescent="0.25">
      <c r="A1917" t="str">
        <f>"20190312160333202"</f>
        <v>20190312160333202</v>
      </c>
      <c r="B1917" t="str">
        <f>"1552377813196010"</f>
        <v>1552377813196010</v>
      </c>
      <c r="C1917" t="s">
        <v>40</v>
      </c>
      <c r="D1917">
        <v>5.5341570000000004</v>
      </c>
      <c r="E1917">
        <v>0.50477419999999995</v>
      </c>
      <c r="F1917" t="s">
        <v>79</v>
      </c>
      <c r="G1917">
        <v>-311.69099999999997</v>
      </c>
      <c r="H1917" s="1">
        <v>2.9962109999999999E-6</v>
      </c>
      <c r="I1917">
        <v>284.28109999999998</v>
      </c>
      <c r="J1917">
        <v>-285.94560000000001</v>
      </c>
      <c r="K1917">
        <v>1.109334</v>
      </c>
      <c r="L1917">
        <v>284.12180000000001</v>
      </c>
      <c r="M1917">
        <v>-0.99897279999999999</v>
      </c>
      <c r="N1917">
        <v>0</v>
      </c>
      <c r="O1917">
        <v>-4.3571070000000003E-2</v>
      </c>
      <c r="P1917">
        <v>-0.99979099999999999</v>
      </c>
      <c r="Q1917">
        <v>2.017994E-2</v>
      </c>
      <c r="R1917">
        <v>-3.3347170000000001E-3</v>
      </c>
      <c r="S1917">
        <v>-3.0032350000000001</v>
      </c>
      <c r="T1917">
        <v>-0.1285229</v>
      </c>
      <c r="U1917">
        <v>1.7608639999999998E-2</v>
      </c>
      <c r="V1917">
        <v>4.0287860000000002E-2</v>
      </c>
      <c r="W1917">
        <v>3.255156E-2</v>
      </c>
      <c r="X1917">
        <v>0.99865780000000004</v>
      </c>
      <c r="Y1917">
        <v>4.9346220000000003E-2</v>
      </c>
      <c r="Z1917">
        <v>2.9188970000000002E-3</v>
      </c>
      <c r="AA1917">
        <v>0.99877740000000004</v>
      </c>
      <c r="AB1917">
        <v>30</v>
      </c>
      <c r="AC1917">
        <v>-25.745399999999901</v>
      </c>
      <c r="AD1917">
        <v>-1.1093310037890001</v>
      </c>
      <c r="AE1917">
        <v>0.15929999999997299</v>
      </c>
      <c r="AF1917">
        <v>1.27861639961417</v>
      </c>
      <c r="AG1917">
        <v>-1.1093310037890001</v>
      </c>
      <c r="AH1917">
        <v>25.666354325568001</v>
      </c>
      <c r="AI1917">
        <v>92.471791436597698</v>
      </c>
      <c r="AJ1917">
        <v>87.148063589079896</v>
      </c>
      <c r="AK1917">
        <v>25.7221153783847</v>
      </c>
      <c r="AL1917">
        <v>88.134603575559595</v>
      </c>
      <c r="AM1917">
        <v>87.689825968084904</v>
      </c>
      <c r="AN1917">
        <v>1.00000005861132</v>
      </c>
    </row>
    <row r="1918" spans="1:40" x14ac:dyDescent="0.25">
      <c r="A1918" t="str">
        <f>"20190312160333220"</f>
        <v>20190312160333220</v>
      </c>
      <c r="B1918" t="str">
        <f>"1552377813206745"</f>
        <v>1552377813206745</v>
      </c>
      <c r="C1918" t="s">
        <v>40</v>
      </c>
      <c r="D1918">
        <v>5.5320220000000004</v>
      </c>
      <c r="E1918">
        <v>0.50469790000000003</v>
      </c>
      <c r="F1918" t="s">
        <v>79</v>
      </c>
      <c r="G1918">
        <v>-312.04329999999999</v>
      </c>
      <c r="H1918" s="1">
        <v>3.1537130000000001E-6</v>
      </c>
      <c r="I1918">
        <v>284.26639999999998</v>
      </c>
      <c r="J1918">
        <v>-286.173</v>
      </c>
      <c r="K1918">
        <v>1.1093850000000001</v>
      </c>
      <c r="L1918">
        <v>284.11250000000001</v>
      </c>
      <c r="M1918">
        <v>-0.99899559999999998</v>
      </c>
      <c r="N1918">
        <v>0</v>
      </c>
      <c r="O1918">
        <v>-4.304289E-2</v>
      </c>
      <c r="P1918">
        <v>-0.99979030000000002</v>
      </c>
      <c r="Q1918">
        <v>2.0111150000000001E-2</v>
      </c>
      <c r="R1918">
        <v>-3.891743E-3</v>
      </c>
      <c r="S1918">
        <v>-3.0032649999999999</v>
      </c>
      <c r="T1918">
        <v>-0.1276593</v>
      </c>
      <c r="U1918">
        <v>1.663208E-2</v>
      </c>
      <c r="V1918">
        <v>3.9199240000000003E-2</v>
      </c>
      <c r="W1918">
        <v>3.2488650000000001E-2</v>
      </c>
      <c r="X1918">
        <v>0.99870309999999995</v>
      </c>
      <c r="Y1918">
        <v>4.8495709999999997E-2</v>
      </c>
      <c r="Z1918">
        <v>2.858775E-3</v>
      </c>
      <c r="AA1918">
        <v>0.99881929999999997</v>
      </c>
      <c r="AB1918">
        <v>30</v>
      </c>
      <c r="AC1918">
        <v>-25.870299999999901</v>
      </c>
      <c r="AD1918">
        <v>-1.109381846287</v>
      </c>
      <c r="AE1918">
        <v>0.15389999999996401</v>
      </c>
      <c r="AF1918">
        <v>1.26504996557588</v>
      </c>
      <c r="AG1918">
        <v>-1.109381846287</v>
      </c>
      <c r="AH1918">
        <v>25.7922676872168</v>
      </c>
      <c r="AI1918">
        <v>92.459945222775602</v>
      </c>
      <c r="AJ1918">
        <v>87.192027242981197</v>
      </c>
      <c r="AK1918">
        <v>25.847091750240001</v>
      </c>
      <c r="AL1918">
        <v>88.138209827643095</v>
      </c>
      <c r="AM1918">
        <v>87.752286214018199</v>
      </c>
      <c r="AN1918">
        <v>0.99999998737250495</v>
      </c>
    </row>
    <row r="1919" spans="1:40" x14ac:dyDescent="0.25">
      <c r="A1919" t="str">
        <f>"20190312160333234"</f>
        <v>20190312160333234</v>
      </c>
      <c r="B1919" t="str">
        <f>"1552377813226265"</f>
        <v>1552377813226265</v>
      </c>
      <c r="C1919" t="s">
        <v>40</v>
      </c>
      <c r="D1919">
        <v>5.6904180000000002</v>
      </c>
      <c r="E1919">
        <v>0.50462499999999999</v>
      </c>
      <c r="F1919" t="s">
        <v>79</v>
      </c>
      <c r="G1919">
        <v>-312.29349999999999</v>
      </c>
      <c r="H1919" s="1">
        <v>3.2673219999999998E-6</v>
      </c>
      <c r="I1919">
        <v>284.23599999999999</v>
      </c>
      <c r="J1919">
        <v>-286.35700000000003</v>
      </c>
      <c r="K1919">
        <v>1.109421</v>
      </c>
      <c r="L1919">
        <v>284.10500000000002</v>
      </c>
      <c r="M1919">
        <v>-0.99901289999999998</v>
      </c>
      <c r="N1919">
        <v>0</v>
      </c>
      <c r="O1919">
        <v>-4.2643920000000002E-2</v>
      </c>
      <c r="P1919">
        <v>-0.99979260000000003</v>
      </c>
      <c r="Q1919">
        <v>1.9933550000000001E-2</v>
      </c>
      <c r="R1919">
        <v>-4.2080279999999999E-3</v>
      </c>
      <c r="S1919">
        <v>-3.0032649999999999</v>
      </c>
      <c r="T1919">
        <v>-0.1275539</v>
      </c>
      <c r="U1919">
        <v>1.4190670000000001E-2</v>
      </c>
      <c r="V1919">
        <v>3.848116E-2</v>
      </c>
      <c r="W1919">
        <v>3.2315650000000001E-2</v>
      </c>
      <c r="X1919">
        <v>0.99873670000000003</v>
      </c>
      <c r="Y1919">
        <v>4.7286420000000003E-2</v>
      </c>
      <c r="Z1919">
        <v>2.813819E-3</v>
      </c>
      <c r="AA1919">
        <v>0.99887740000000003</v>
      </c>
      <c r="AB1919">
        <v>30</v>
      </c>
      <c r="AC1919">
        <v>-25.936499999999899</v>
      </c>
      <c r="AD1919">
        <v>-1.1094177326779999</v>
      </c>
      <c r="AE1919">
        <v>0.130999999999971</v>
      </c>
      <c r="AF1919">
        <v>1.2347413361208901</v>
      </c>
      <c r="AG1919">
        <v>-1.1094177326779999</v>
      </c>
      <c r="AH1919">
        <v>25.860002530744399</v>
      </c>
      <c r="AI1919">
        <v>92.453742952822196</v>
      </c>
      <c r="AJ1919">
        <v>87.266366115702496</v>
      </c>
      <c r="AK1919">
        <v>25.913222971348301</v>
      </c>
      <c r="AL1919">
        <v>88.148127318216197</v>
      </c>
      <c r="AM1919">
        <v>87.793494540005497</v>
      </c>
      <c r="AN1919">
        <v>1.00000004841837</v>
      </c>
    </row>
    <row r="1920" spans="1:40" x14ac:dyDescent="0.25">
      <c r="A1920" t="str">
        <f>"20190312160333245"</f>
        <v>20190312160333245</v>
      </c>
      <c r="B1920" t="str">
        <f>"1552377813236025"</f>
        <v>1552377813236025</v>
      </c>
      <c r="C1920" t="s">
        <v>40</v>
      </c>
      <c r="D1920">
        <v>5.6372210000000003</v>
      </c>
      <c r="E1920">
        <v>0.50456889999999999</v>
      </c>
      <c r="F1920" t="s">
        <v>79</v>
      </c>
      <c r="G1920">
        <v>-312.6848</v>
      </c>
      <c r="H1920" s="1">
        <v>3.442482E-6</v>
      </c>
      <c r="I1920">
        <v>284.2174</v>
      </c>
      <c r="J1920">
        <v>-286.5197</v>
      </c>
      <c r="K1920">
        <v>1.1094539999999999</v>
      </c>
      <c r="L1920">
        <v>284.09840000000003</v>
      </c>
      <c r="M1920">
        <v>-0.999027</v>
      </c>
      <c r="N1920">
        <v>0</v>
      </c>
      <c r="O1920">
        <v>-4.230913E-2</v>
      </c>
      <c r="P1920">
        <v>-0.99979580000000001</v>
      </c>
      <c r="Q1920">
        <v>1.9688549999999999E-2</v>
      </c>
      <c r="R1920">
        <v>-4.5703530000000001E-3</v>
      </c>
      <c r="S1920">
        <v>-3.003174</v>
      </c>
      <c r="T1920">
        <v>-0.1265492</v>
      </c>
      <c r="U1920">
        <v>1.281738E-2</v>
      </c>
      <c r="V1920">
        <v>3.7781799999999997E-2</v>
      </c>
      <c r="W1920">
        <v>3.2074499999999999E-2</v>
      </c>
      <c r="X1920">
        <v>0.99877110000000002</v>
      </c>
      <c r="Y1920">
        <v>4.6497320000000002E-2</v>
      </c>
      <c r="Z1920">
        <v>2.7610489999999998E-3</v>
      </c>
      <c r="AA1920">
        <v>0.99891459999999999</v>
      </c>
      <c r="AB1920">
        <v>30</v>
      </c>
      <c r="AC1920">
        <v>-26.165099999999899</v>
      </c>
      <c r="AD1920">
        <v>-1.109450557518</v>
      </c>
      <c r="AE1920">
        <v>0.118999999999971</v>
      </c>
      <c r="AF1920">
        <v>1.2238015879320701</v>
      </c>
      <c r="AG1920">
        <v>-1.109450557518</v>
      </c>
      <c r="AH1920">
        <v>26.089725768459399</v>
      </c>
      <c r="AI1920">
        <v>92.432331712745196</v>
      </c>
      <c r="AJ1920">
        <v>87.314371685540706</v>
      </c>
      <c r="AK1920">
        <v>26.141965525561002</v>
      </c>
      <c r="AL1920">
        <v>88.161951224448003</v>
      </c>
      <c r="AM1920">
        <v>87.833631746950005</v>
      </c>
      <c r="AN1920">
        <v>0.99999997407834895</v>
      </c>
    </row>
    <row r="1921" spans="1:40" x14ac:dyDescent="0.25">
      <c r="A1921" t="str">
        <f>"20190312160333257"</f>
        <v>20190312160333257</v>
      </c>
      <c r="B1921" t="str">
        <f>"1552377813246761"</f>
        <v>1552377813246761</v>
      </c>
      <c r="C1921" t="s">
        <v>40</v>
      </c>
      <c r="D1921">
        <v>5.5329280000000001</v>
      </c>
      <c r="E1921">
        <v>0.50451579999999996</v>
      </c>
      <c r="F1921" t="s">
        <v>79</v>
      </c>
      <c r="G1921">
        <v>-312.81369999999998</v>
      </c>
      <c r="H1921" s="1">
        <v>3.5013080000000001E-6</v>
      </c>
      <c r="I1921">
        <v>284.19810000000001</v>
      </c>
      <c r="J1921">
        <v>-286.66660000000002</v>
      </c>
      <c r="K1921">
        <v>1.109477</v>
      </c>
      <c r="L1921">
        <v>284.0926</v>
      </c>
      <c r="M1921">
        <v>-0.99903889999999995</v>
      </c>
      <c r="N1921">
        <v>0</v>
      </c>
      <c r="O1921">
        <v>-4.2027889999999998E-2</v>
      </c>
      <c r="P1921">
        <v>-0.9998013</v>
      </c>
      <c r="Q1921">
        <v>1.9338439999999998E-2</v>
      </c>
      <c r="R1921">
        <v>-4.8781470000000002E-3</v>
      </c>
      <c r="S1921">
        <v>-3.003174</v>
      </c>
      <c r="T1921">
        <v>-0.1267161</v>
      </c>
      <c r="U1921">
        <v>1.138306E-2</v>
      </c>
      <c r="V1921">
        <v>3.7190929999999997E-2</v>
      </c>
      <c r="W1921">
        <v>3.1727539999999999E-2</v>
      </c>
      <c r="X1921">
        <v>0.99880440000000004</v>
      </c>
      <c r="Y1921">
        <v>4.5739729999999999E-2</v>
      </c>
      <c r="Z1921">
        <v>2.736853E-3</v>
      </c>
      <c r="AA1921">
        <v>0.99894959999999999</v>
      </c>
      <c r="AB1921">
        <v>30</v>
      </c>
      <c r="AC1921">
        <v>-26.147099999999899</v>
      </c>
      <c r="AD1921">
        <v>-1.1094734986920001</v>
      </c>
      <c r="AE1921">
        <v>0.10550000000000601</v>
      </c>
      <c r="AF1921">
        <v>1.20223479360519</v>
      </c>
      <c r="AG1921">
        <v>-1.1094734986920001</v>
      </c>
      <c r="AH1921">
        <v>26.0726172452786</v>
      </c>
      <c r="AI1921">
        <v>92.434065980863295</v>
      </c>
      <c r="AJ1921">
        <v>87.3599036511268</v>
      </c>
      <c r="AK1921">
        <v>26.1238907891236</v>
      </c>
      <c r="AL1921">
        <v>88.181840767624294</v>
      </c>
      <c r="AM1921">
        <v>87.867551108571803</v>
      </c>
      <c r="AN1921">
        <v>1.0000000157640301</v>
      </c>
    </row>
    <row r="1922" spans="1:40" x14ac:dyDescent="0.25">
      <c r="A1922" t="str">
        <f>"20190312160333269"</f>
        <v>20190312160333269</v>
      </c>
      <c r="B1922" t="str">
        <f>"1552377813256522"</f>
        <v>1552377813256522</v>
      </c>
      <c r="C1922" t="s">
        <v>40</v>
      </c>
      <c r="D1922">
        <v>5.6209040000000003</v>
      </c>
      <c r="E1922">
        <v>0.50449089999999996</v>
      </c>
      <c r="F1922" t="s">
        <v>79</v>
      </c>
      <c r="G1922">
        <v>-312.87079999999997</v>
      </c>
      <c r="H1922" s="1">
        <v>3.5280509999999999E-6</v>
      </c>
      <c r="I1922">
        <v>284.18209999999999</v>
      </c>
      <c r="J1922">
        <v>-286.83179999999999</v>
      </c>
      <c r="K1922">
        <v>1.1095010000000001</v>
      </c>
      <c r="L1922">
        <v>284.08600000000001</v>
      </c>
      <c r="M1922">
        <v>-0.99905200000000005</v>
      </c>
      <c r="N1922">
        <v>0</v>
      </c>
      <c r="O1922">
        <v>-4.1718289999999998E-2</v>
      </c>
      <c r="P1922">
        <v>-0.9998032</v>
      </c>
      <c r="Q1922">
        <v>1.911668E-2</v>
      </c>
      <c r="R1922">
        <v>-5.3369649999999999E-3</v>
      </c>
      <c r="S1922">
        <v>-3.0031129999999999</v>
      </c>
      <c r="T1922">
        <v>-0.12715000000000001</v>
      </c>
      <c r="U1922">
        <v>1.025391E-2</v>
      </c>
      <c r="V1922">
        <v>3.6420510000000003E-2</v>
      </c>
      <c r="W1922">
        <v>3.150878E-2</v>
      </c>
      <c r="X1922">
        <v>0.9988397</v>
      </c>
      <c r="Y1922">
        <v>4.5054980000000001E-2</v>
      </c>
      <c r="Z1922">
        <v>2.7186850000000002E-3</v>
      </c>
      <c r="AA1922">
        <v>0.9989808</v>
      </c>
      <c r="AB1922">
        <v>30</v>
      </c>
      <c r="AC1922">
        <v>-26.038999999999898</v>
      </c>
      <c r="AD1922">
        <v>-1.1094974719490001</v>
      </c>
      <c r="AE1922">
        <v>9.6099999999978494E-2</v>
      </c>
      <c r="AF1922">
        <v>1.1802601329242599</v>
      </c>
      <c r="AG1922">
        <v>-1.1094974719490001</v>
      </c>
      <c r="AH1922">
        <v>25.965177860777501</v>
      </c>
      <c r="AI1922">
        <v>92.444251393672701</v>
      </c>
      <c r="AJ1922">
        <v>87.397383239379806</v>
      </c>
      <c r="AK1922">
        <v>26.0156579767539</v>
      </c>
      <c r="AL1922">
        <v>88.194381036353704</v>
      </c>
      <c r="AM1922">
        <v>87.911759566951105</v>
      </c>
      <c r="AN1922">
        <v>1.0000000015309101</v>
      </c>
    </row>
    <row r="1923" spans="1:40" x14ac:dyDescent="0.25">
      <c r="A1923" t="str">
        <f>"20190312160333285"</f>
        <v>20190312160333285</v>
      </c>
      <c r="B1923" t="str">
        <f>"1552377813276041"</f>
        <v>1552377813276041</v>
      </c>
      <c r="C1923" t="s">
        <v>40</v>
      </c>
      <c r="D1923">
        <v>5.5069429999999997</v>
      </c>
      <c r="E1923">
        <v>0.50449200000000005</v>
      </c>
      <c r="F1923" t="s">
        <v>79</v>
      </c>
      <c r="G1923">
        <v>-313.09750000000003</v>
      </c>
      <c r="H1923" s="1">
        <v>3.6304259999999999E-6</v>
      </c>
      <c r="I1923">
        <v>284.161</v>
      </c>
      <c r="J1923">
        <v>-287.05720000000002</v>
      </c>
      <c r="K1923">
        <v>1.1095189999999999</v>
      </c>
      <c r="L1923">
        <v>284.077</v>
      </c>
      <c r="M1923">
        <v>-0.99906850000000003</v>
      </c>
      <c r="N1923">
        <v>0</v>
      </c>
      <c r="O1923">
        <v>-4.1319559999999998E-2</v>
      </c>
      <c r="P1923">
        <v>-0.99981450000000005</v>
      </c>
      <c r="Q1923">
        <v>1.8336910000000001E-2</v>
      </c>
      <c r="R1923">
        <v>-5.8889090000000003E-3</v>
      </c>
      <c r="S1923">
        <v>-3.0030519999999998</v>
      </c>
      <c r="T1923">
        <v>-0.126852399999999</v>
      </c>
      <c r="U1923">
        <v>8.5754390000000007E-3</v>
      </c>
      <c r="V1923">
        <v>3.5467680000000001E-2</v>
      </c>
      <c r="W1923">
        <v>3.0732389999999998E-2</v>
      </c>
      <c r="X1923">
        <v>0.99889810000000001</v>
      </c>
      <c r="Y1923">
        <v>4.4099550000000001E-2</v>
      </c>
      <c r="Z1923">
        <v>2.6753839999999998E-3</v>
      </c>
      <c r="AA1923">
        <v>0.99902360000000001</v>
      </c>
      <c r="AB1923">
        <v>30</v>
      </c>
      <c r="AC1923">
        <v>-26.040299999999998</v>
      </c>
      <c r="AD1923">
        <v>-1.1095153695739901</v>
      </c>
      <c r="AE1923">
        <v>8.40000000000031E-2</v>
      </c>
      <c r="AF1923">
        <v>1.1578832830390999</v>
      </c>
      <c r="AG1923">
        <v>-1.1095153695739901</v>
      </c>
      <c r="AH1923">
        <v>25.967445501285098</v>
      </c>
      <c r="AI1923">
        <v>92.444172536884196</v>
      </c>
      <c r="AJ1923">
        <v>87.446883652679801</v>
      </c>
      <c r="AK1923">
        <v>26.016916495132001</v>
      </c>
      <c r="AL1923">
        <v>88.238886329878099</v>
      </c>
      <c r="AM1923">
        <v>87.966464227366004</v>
      </c>
      <c r="AN1923">
        <v>0.99999992515164904</v>
      </c>
    </row>
    <row r="1924" spans="1:40" x14ac:dyDescent="0.25">
      <c r="A1924" t="str">
        <f>"20190312160333298"</f>
        <v>20190312160333298</v>
      </c>
      <c r="B1924" t="str">
        <f>"1552377813286778"</f>
        <v>1552377813286778</v>
      </c>
      <c r="C1924" t="s">
        <v>40</v>
      </c>
      <c r="D1924">
        <v>5.5481660000000002</v>
      </c>
      <c r="E1924">
        <v>0.50443139999999997</v>
      </c>
      <c r="F1924" t="s">
        <v>79</v>
      </c>
      <c r="G1924">
        <v>-313.21030000000002</v>
      </c>
      <c r="H1924" s="1">
        <v>3.6822300000000001E-6</v>
      </c>
      <c r="I1924">
        <v>284.14049999999997</v>
      </c>
      <c r="J1924">
        <v>-287.2176</v>
      </c>
      <c r="K1924">
        <v>1.1095330000000001</v>
      </c>
      <c r="L1924">
        <v>284.07069999999999</v>
      </c>
      <c r="M1924">
        <v>-0.99907959999999996</v>
      </c>
      <c r="N1924">
        <v>0</v>
      </c>
      <c r="O1924">
        <v>-4.1047609999999998E-2</v>
      </c>
      <c r="P1924">
        <v>-0.99981889999999995</v>
      </c>
      <c r="Q1924">
        <v>1.8053329999999999E-2</v>
      </c>
      <c r="R1924">
        <v>-6.0386240000000002E-3</v>
      </c>
      <c r="S1924">
        <v>-3.0029599999999999</v>
      </c>
      <c r="T1924">
        <v>-0.12739719999999999</v>
      </c>
      <c r="U1924">
        <v>7.2937009999999997E-3</v>
      </c>
      <c r="V1924">
        <v>3.5045079999999999E-2</v>
      </c>
      <c r="W1924">
        <v>3.0450229999999998E-2</v>
      </c>
      <c r="X1924">
        <v>0.99892179999999997</v>
      </c>
      <c r="Y1924">
        <v>4.3401509999999997E-2</v>
      </c>
      <c r="Z1924">
        <v>2.6606170000000001E-3</v>
      </c>
      <c r="AA1924">
        <v>0.9990542</v>
      </c>
      <c r="AB1924">
        <v>30</v>
      </c>
      <c r="AC1924">
        <v>-25.992699999999999</v>
      </c>
      <c r="AD1924">
        <v>-1.1095293177700001</v>
      </c>
      <c r="AE1924">
        <v>6.9799999999986498E-2</v>
      </c>
      <c r="AF1924">
        <v>1.1346945731817399</v>
      </c>
      <c r="AG1924">
        <v>-1.1095293177700001</v>
      </c>
      <c r="AH1924">
        <v>25.920694356807601</v>
      </c>
      <c r="AI1924">
        <v>92.448694090910294</v>
      </c>
      <c r="AJ1924">
        <v>87.493441785042904</v>
      </c>
      <c r="AK1924">
        <v>25.969231467651099</v>
      </c>
      <c r="AL1924">
        <v>88.255060728084402</v>
      </c>
      <c r="AM1924">
        <v>87.990721607290794</v>
      </c>
      <c r="AN1924">
        <v>1.0000000683272401</v>
      </c>
    </row>
    <row r="1925" spans="1:40" x14ac:dyDescent="0.25">
      <c r="A1925" t="str">
        <f>"20190312160333322"</f>
        <v>20190312160333322</v>
      </c>
      <c r="B1925" t="str">
        <f>"1552377813316058"</f>
        <v>1552377813316058</v>
      </c>
      <c r="C1925" t="s">
        <v>40</v>
      </c>
      <c r="D1925">
        <v>5.4143800000000004</v>
      </c>
      <c r="E1925">
        <v>0.50438709999999998</v>
      </c>
      <c r="F1925" t="s">
        <v>79</v>
      </c>
      <c r="G1925">
        <v>-313.2389</v>
      </c>
      <c r="H1925" s="1">
        <v>3.6960619999999999E-6</v>
      </c>
      <c r="I1925">
        <v>284.12729999999999</v>
      </c>
      <c r="J1925">
        <v>-287.55200000000002</v>
      </c>
      <c r="K1925">
        <v>1.1095630000000001</v>
      </c>
      <c r="L1925">
        <v>284.05759999999998</v>
      </c>
      <c r="M1925">
        <v>-0.99910239999999995</v>
      </c>
      <c r="N1925">
        <v>0</v>
      </c>
      <c r="O1925">
        <v>-4.0492189999999997E-2</v>
      </c>
      <c r="P1925">
        <v>-0.99981900000000001</v>
      </c>
      <c r="Q1925">
        <v>1.8040090000000002E-2</v>
      </c>
      <c r="R1925">
        <v>-6.0757229999999999E-3</v>
      </c>
      <c r="S1925">
        <v>-3.0028990000000002</v>
      </c>
      <c r="T1925">
        <v>-0.1280414</v>
      </c>
      <c r="U1925">
        <v>6.5307619999999999E-3</v>
      </c>
      <c r="V1925">
        <v>3.4450929999999998E-2</v>
      </c>
      <c r="W1925">
        <v>3.0438799999999998E-2</v>
      </c>
      <c r="X1925">
        <v>0.99894269999999996</v>
      </c>
      <c r="Y1925">
        <v>4.2592779999999997E-2</v>
      </c>
      <c r="Z1925">
        <v>2.6332180000000001E-3</v>
      </c>
      <c r="AA1925">
        <v>0.99908909999999995</v>
      </c>
      <c r="AB1925">
        <v>30</v>
      </c>
      <c r="AC1925">
        <v>-25.686899999999898</v>
      </c>
      <c r="AD1925">
        <v>-1.1095593039379901</v>
      </c>
      <c r="AE1925">
        <v>6.97000000000116E-2</v>
      </c>
      <c r="AF1925">
        <v>1.1077752332703601</v>
      </c>
      <c r="AG1925">
        <v>-1.1095593039379901</v>
      </c>
      <c r="AH1925">
        <v>25.615213334278899</v>
      </c>
      <c r="AI1925">
        <v>92.477984183184901</v>
      </c>
      <c r="AJ1925">
        <v>87.523685649263697</v>
      </c>
      <c r="AK1925">
        <v>25.663153391136898</v>
      </c>
      <c r="AL1925">
        <v>88.255715720417001</v>
      </c>
      <c r="AM1925">
        <v>88.024800744316593</v>
      </c>
      <c r="AN1925">
        <v>0.99999995250329599</v>
      </c>
    </row>
    <row r="1926" spans="1:40" x14ac:dyDescent="0.25">
      <c r="A1926" t="str">
        <f>"20190312160333335"</f>
        <v>20190312160333335</v>
      </c>
      <c r="B1926" t="str">
        <f>"1552377813326794"</f>
        <v>1552377813326794</v>
      </c>
      <c r="C1926" t="s">
        <v>40</v>
      </c>
      <c r="D1926">
        <v>6.2770519999999896</v>
      </c>
      <c r="E1926">
        <v>0.504328</v>
      </c>
      <c r="F1926" t="s">
        <v>79</v>
      </c>
      <c r="G1926">
        <v>-313.78930000000003</v>
      </c>
      <c r="H1926" s="1">
        <v>3.941559E-6</v>
      </c>
      <c r="I1926">
        <v>284.1112</v>
      </c>
      <c r="J1926">
        <v>-287.72399999999999</v>
      </c>
      <c r="K1926">
        <v>1.1095710000000001</v>
      </c>
      <c r="L1926">
        <v>284.05099999999999</v>
      </c>
      <c r="M1926">
        <v>-0.9991139</v>
      </c>
      <c r="N1926">
        <v>0</v>
      </c>
      <c r="O1926">
        <v>-4.0210139999999998E-2</v>
      </c>
      <c r="P1926">
        <v>-0.99981419999999999</v>
      </c>
      <c r="Q1926">
        <v>1.8293899999999998E-2</v>
      </c>
      <c r="R1926">
        <v>-6.1084769999999898E-3</v>
      </c>
      <c r="S1926">
        <v>-3.002869</v>
      </c>
      <c r="T1926">
        <v>-0.1269892</v>
      </c>
      <c r="U1926">
        <v>6.1340329999999997E-3</v>
      </c>
      <c r="V1926">
        <v>3.4135430000000001E-2</v>
      </c>
      <c r="W1926">
        <v>3.0693310000000001E-2</v>
      </c>
      <c r="X1926">
        <v>0.99894579999999999</v>
      </c>
      <c r="Y1926">
        <v>4.218061E-2</v>
      </c>
      <c r="Z1926">
        <v>2.5909980000000002E-3</v>
      </c>
      <c r="AA1926">
        <v>0.99910659999999896</v>
      </c>
      <c r="AB1926">
        <v>30</v>
      </c>
      <c r="AC1926">
        <v>-26.065300000000001</v>
      </c>
      <c r="AD1926">
        <v>-1.10956705844099</v>
      </c>
      <c r="AE1926">
        <v>6.0200000000008899E-2</v>
      </c>
      <c r="AF1926">
        <v>1.1063169291614099</v>
      </c>
      <c r="AG1926">
        <v>-1.10956705844099</v>
      </c>
      <c r="AH1926">
        <v>25.994690795075901</v>
      </c>
      <c r="AI1926">
        <v>92.4419428610924</v>
      </c>
      <c r="AJ1926">
        <v>87.563000006396607</v>
      </c>
      <c r="AK1926">
        <v>26.041870626676001</v>
      </c>
      <c r="AL1926">
        <v>88.241126653613193</v>
      </c>
      <c r="AM1926">
        <v>88.042881463009195</v>
      </c>
      <c r="AN1926">
        <v>1.0000000090988399</v>
      </c>
    </row>
    <row r="1927" spans="1:40" x14ac:dyDescent="0.25">
      <c r="A1927" t="str">
        <f>"20190312160333348"</f>
        <v>20190312160333348</v>
      </c>
      <c r="B1927" t="str">
        <f>"1552377813336554"</f>
        <v>1552377813336554</v>
      </c>
      <c r="C1927" t="s">
        <v>40</v>
      </c>
      <c r="D1927">
        <v>5.5033349999999999</v>
      </c>
      <c r="E1927">
        <v>0.504328</v>
      </c>
      <c r="F1927" t="s">
        <v>79</v>
      </c>
      <c r="G1927">
        <v>-314.19889999999998</v>
      </c>
      <c r="H1927" s="1">
        <v>4.1241500000000001E-6</v>
      </c>
      <c r="I1927">
        <v>284.10019999999997</v>
      </c>
      <c r="J1927">
        <v>-287.88900000000001</v>
      </c>
      <c r="K1927">
        <v>1.10958</v>
      </c>
      <c r="L1927">
        <v>284.0446</v>
      </c>
      <c r="M1927">
        <v>-0.99912460000000003</v>
      </c>
      <c r="N1927">
        <v>0</v>
      </c>
      <c r="O1927">
        <v>-3.9940219999999999E-2</v>
      </c>
      <c r="P1927">
        <v>-0.99981010000000003</v>
      </c>
      <c r="Q1927">
        <v>1.8485709999999999E-2</v>
      </c>
      <c r="R1927">
        <v>-6.1747829999999997E-3</v>
      </c>
      <c r="S1927">
        <v>-3.0028990000000002</v>
      </c>
      <c r="T1927">
        <v>-0.12585209999999999</v>
      </c>
      <c r="U1927">
        <v>5.5847170000000003E-3</v>
      </c>
      <c r="V1927">
        <v>3.3798710000000003E-2</v>
      </c>
      <c r="W1927">
        <v>3.0886340000000002E-2</v>
      </c>
      <c r="X1927">
        <v>0.99895129999999999</v>
      </c>
      <c r="Y1927">
        <v>4.1729849999999999E-2</v>
      </c>
      <c r="Z1927">
        <v>2.5470470000000002E-3</v>
      </c>
      <c r="AA1927">
        <v>0.99912570000000001</v>
      </c>
      <c r="AB1927">
        <v>30</v>
      </c>
      <c r="AC1927">
        <v>-26.309899999999899</v>
      </c>
      <c r="AD1927">
        <v>-1.1095758758499901</v>
      </c>
      <c r="AE1927">
        <v>5.5599999999969799E-2</v>
      </c>
      <c r="AF1927">
        <v>1.1044957369239801</v>
      </c>
      <c r="AG1927">
        <v>-1.1095758758499901</v>
      </c>
      <c r="AH1927">
        <v>26.240012478869701</v>
      </c>
      <c r="AI1927">
        <v>92.4192069411869</v>
      </c>
      <c r="AJ1927">
        <v>87.589726365286793</v>
      </c>
      <c r="AK1927">
        <v>26.286675794941999</v>
      </c>
      <c r="AL1927">
        <v>88.230061603553807</v>
      </c>
      <c r="AM1927">
        <v>88.062182814708194</v>
      </c>
      <c r="AN1927">
        <v>1.00000000928397</v>
      </c>
    </row>
    <row r="1928" spans="1:40" x14ac:dyDescent="0.25">
      <c r="A1928" t="str">
        <f>"20190312160333364"</f>
        <v>20190312160333364</v>
      </c>
      <c r="B1928" t="str">
        <f>"1552377813356074"</f>
        <v>1552377813356074</v>
      </c>
      <c r="C1928" t="s">
        <v>40</v>
      </c>
      <c r="D1928">
        <v>5.5441659999999997</v>
      </c>
      <c r="E1928">
        <v>0.50355099999999997</v>
      </c>
      <c r="F1928" t="s">
        <v>79</v>
      </c>
      <c r="G1928">
        <v>-314.48899999999998</v>
      </c>
      <c r="H1928" s="1">
        <v>4.2533130000000001E-6</v>
      </c>
      <c r="I1928">
        <v>284.09410000000003</v>
      </c>
      <c r="J1928">
        <v>-288.11610000000002</v>
      </c>
      <c r="K1928">
        <v>1.1095870000000001</v>
      </c>
      <c r="L1928">
        <v>284.036</v>
      </c>
      <c r="M1928">
        <v>-0.99913940000000001</v>
      </c>
      <c r="N1928">
        <v>0</v>
      </c>
      <c r="O1928">
        <v>-3.9567419999999999E-2</v>
      </c>
      <c r="P1928">
        <v>-0.99979779999999996</v>
      </c>
      <c r="Q1928">
        <v>1.898797E-2</v>
      </c>
      <c r="R1928">
        <v>-6.6152829999999996E-3</v>
      </c>
      <c r="S1928">
        <v>-3.0029300000000001</v>
      </c>
      <c r="T1928">
        <v>-0.1252626</v>
      </c>
      <c r="U1928">
        <v>5.5847170000000003E-3</v>
      </c>
      <c r="V1928">
        <v>3.2985390000000003E-2</v>
      </c>
      <c r="W1928">
        <v>3.1389149999999998E-2</v>
      </c>
      <c r="X1928">
        <v>0.99896280000000004</v>
      </c>
      <c r="Y1928">
        <v>4.1358359999999997E-2</v>
      </c>
      <c r="Z1928">
        <v>2.5118200000000001E-3</v>
      </c>
      <c r="AA1928">
        <v>0.99914119999999995</v>
      </c>
      <c r="AB1928">
        <v>30</v>
      </c>
      <c r="AC1928">
        <v>-26.372900000000001</v>
      </c>
      <c r="AD1928">
        <v>-1.1095827466869901</v>
      </c>
      <c r="AE1928">
        <v>5.8100000000024403E-2</v>
      </c>
      <c r="AF1928">
        <v>1.09969633475601</v>
      </c>
      <c r="AG1928">
        <v>-1.1095827466869901</v>
      </c>
      <c r="AH1928">
        <v>26.303385196770598</v>
      </c>
      <c r="AI1928">
        <v>92.4134288312504</v>
      </c>
      <c r="AJ1928">
        <v>87.605962666330797</v>
      </c>
      <c r="AK1928">
        <v>26.349735837577501</v>
      </c>
      <c r="AL1928">
        <v>88.201238711219403</v>
      </c>
      <c r="AM1928">
        <v>88.108801226095594</v>
      </c>
      <c r="AN1928">
        <v>0.99999999523750704</v>
      </c>
    </row>
    <row r="1929" spans="1:40" x14ac:dyDescent="0.25">
      <c r="A1929" t="str">
        <f>"20190312160333379"</f>
        <v>20190312160333379</v>
      </c>
      <c r="B1929" t="str">
        <f>"1552377813366810"</f>
        <v>1552377813366810</v>
      </c>
      <c r="C1929" t="s">
        <v>40</v>
      </c>
      <c r="D1929">
        <v>5.6424149999999997</v>
      </c>
      <c r="E1929">
        <v>0.50325259999999905</v>
      </c>
      <c r="F1929" t="s">
        <v>79</v>
      </c>
      <c r="G1929">
        <v>-315.55759999999998</v>
      </c>
      <c r="H1929" s="1">
        <v>4.7337540000000003E-6</v>
      </c>
      <c r="I1929">
        <v>284.01900000000001</v>
      </c>
      <c r="J1929">
        <v>-288.29660000000001</v>
      </c>
      <c r="K1929">
        <v>1.109591</v>
      </c>
      <c r="L1929">
        <v>284.0292</v>
      </c>
      <c r="M1929">
        <v>-0.99915120000000002</v>
      </c>
      <c r="N1929">
        <v>0</v>
      </c>
      <c r="O1929">
        <v>-3.9268379999999999E-2</v>
      </c>
      <c r="P1929">
        <v>-0.99980009999999997</v>
      </c>
      <c r="Q1929">
        <v>1.888778E-2</v>
      </c>
      <c r="R1929">
        <v>-6.5425989999999996E-3</v>
      </c>
      <c r="S1929">
        <v>-3.002869</v>
      </c>
      <c r="T1929">
        <v>-0.1214194</v>
      </c>
      <c r="U1929">
        <v>-1.8615719999999999E-3</v>
      </c>
      <c r="V1929">
        <v>3.2758710000000003E-2</v>
      </c>
      <c r="W1929">
        <v>3.128906E-2</v>
      </c>
      <c r="X1929">
        <v>0.99897340000000001</v>
      </c>
      <c r="Y1929">
        <v>3.8588360000000002E-2</v>
      </c>
      <c r="Z1929">
        <v>2.366791E-3</v>
      </c>
      <c r="AA1929">
        <v>0.99925240000000004</v>
      </c>
      <c r="AB1929">
        <v>30</v>
      </c>
      <c r="AC1929">
        <v>-27.2609999999999</v>
      </c>
      <c r="AD1929">
        <v>-1.1095862662459901</v>
      </c>
      <c r="AE1929">
        <v>-1.0199999999997499E-2</v>
      </c>
      <c r="AF1929">
        <v>1.05863226670985</v>
      </c>
      <c r="AG1929">
        <v>-1.1095862662459901</v>
      </c>
      <c r="AH1929">
        <v>27.195316966927201</v>
      </c>
      <c r="AI1929">
        <v>92.334642204942995</v>
      </c>
      <c r="AJ1929">
        <v>87.770772384191005</v>
      </c>
      <c r="AK1929">
        <v>27.238523250903299</v>
      </c>
      <c r="AL1929">
        <v>88.206976265655896</v>
      </c>
      <c r="AM1929">
        <v>88.121808370719407</v>
      </c>
      <c r="AN1929">
        <v>0.99999999613205304</v>
      </c>
    </row>
    <row r="1930" spans="1:40" x14ac:dyDescent="0.25">
      <c r="A1930" t="str">
        <f>"20190312160333392"</f>
        <v>20190312160333392</v>
      </c>
      <c r="B1930" t="str">
        <f>"1552377813386331"</f>
        <v>1552377813386331</v>
      </c>
      <c r="C1930" t="s">
        <v>40</v>
      </c>
      <c r="D1930">
        <v>5.5371959999999998</v>
      </c>
      <c r="E1930">
        <v>0.50270479999999995</v>
      </c>
      <c r="F1930" t="s">
        <v>79</v>
      </c>
      <c r="G1930">
        <v>-315.94060000000002</v>
      </c>
      <c r="H1930" s="1">
        <v>4.9056780000000001E-6</v>
      </c>
      <c r="I1930">
        <v>283.99520000000001</v>
      </c>
      <c r="J1930">
        <v>-288.47460000000001</v>
      </c>
      <c r="K1930">
        <v>1.109594</v>
      </c>
      <c r="L1930">
        <v>284.02249999999998</v>
      </c>
      <c r="M1930">
        <v>-0.99916289999999996</v>
      </c>
      <c r="N1930">
        <v>0</v>
      </c>
      <c r="O1930">
        <v>-3.8972189999999997E-2</v>
      </c>
      <c r="P1930">
        <v>-0.99980020000000003</v>
      </c>
      <c r="Q1930">
        <v>1.8820529999999999E-2</v>
      </c>
      <c r="R1930">
        <v>-6.7572209999999999E-3</v>
      </c>
      <c r="S1930">
        <v>-3.0028380000000001</v>
      </c>
      <c r="T1930">
        <v>-0.1205292</v>
      </c>
      <c r="U1930">
        <v>-3.692627E-3</v>
      </c>
      <c r="V1930">
        <v>3.2247720000000001E-2</v>
      </c>
      <c r="W1930">
        <v>3.122281E-2</v>
      </c>
      <c r="X1930">
        <v>0.99899210000000005</v>
      </c>
      <c r="Y1930">
        <v>3.768469E-2</v>
      </c>
      <c r="Z1930">
        <v>2.3194639999999998E-3</v>
      </c>
      <c r="AA1930">
        <v>0.99928700000000004</v>
      </c>
      <c r="AB1930">
        <v>30</v>
      </c>
      <c r="AC1930">
        <v>-27.466000000000001</v>
      </c>
      <c r="AD1930">
        <v>-1.1095890943219999</v>
      </c>
      <c r="AE1930">
        <v>-2.7299999999968301E-2</v>
      </c>
      <c r="AF1930">
        <v>1.0415139008576999</v>
      </c>
      <c r="AG1930">
        <v>-1.1095890943219999</v>
      </c>
      <c r="AH1930">
        <v>27.4014742149574</v>
      </c>
      <c r="AI1930">
        <v>92.317184029899593</v>
      </c>
      <c r="AJ1930">
        <v>87.823269005276003</v>
      </c>
      <c r="AK1930">
        <v>27.443701068130199</v>
      </c>
      <c r="AL1930">
        <v>88.210773969170106</v>
      </c>
      <c r="AM1930">
        <v>88.151119620073302</v>
      </c>
      <c r="AN1930">
        <v>0.99999999758595204</v>
      </c>
    </row>
    <row r="1931" spans="1:40" x14ac:dyDescent="0.25">
      <c r="A1931" t="str">
        <f>"20190312160333410"</f>
        <v>20190312160333410</v>
      </c>
      <c r="B1931" t="str">
        <f>"1552377813406826"</f>
        <v>1552377813406826</v>
      </c>
      <c r="C1931" t="s">
        <v>40</v>
      </c>
      <c r="D1931">
        <v>5.3465389999999999</v>
      </c>
      <c r="E1931">
        <v>0.50225129999999996</v>
      </c>
      <c r="F1931" t="s">
        <v>79</v>
      </c>
      <c r="G1931">
        <v>-316.51100000000002</v>
      </c>
      <c r="H1931" s="1">
        <v>5.1635019999999901E-6</v>
      </c>
      <c r="I1931">
        <v>283.93979999999999</v>
      </c>
      <c r="J1931">
        <v>-288.70979999999997</v>
      </c>
      <c r="K1931">
        <v>1.10959599999999</v>
      </c>
      <c r="L1931">
        <v>284.01369999999997</v>
      </c>
      <c r="M1931">
        <v>-0.99917809999999996</v>
      </c>
      <c r="N1931">
        <v>0</v>
      </c>
      <c r="O1931">
        <v>-3.8577649999999998E-2</v>
      </c>
      <c r="P1931">
        <v>-0.99980000000000002</v>
      </c>
      <c r="Q1931">
        <v>1.8708039999999999E-2</v>
      </c>
      <c r="R1931">
        <v>-7.0900059999999899E-3</v>
      </c>
      <c r="S1931">
        <v>-3.002777</v>
      </c>
      <c r="T1931">
        <v>-0.118839899999999</v>
      </c>
      <c r="U1931">
        <v>-8.8500980000000007E-3</v>
      </c>
      <c r="V1931">
        <v>3.1520520000000003E-2</v>
      </c>
      <c r="W1931">
        <v>3.1110809999999999E-2</v>
      </c>
      <c r="X1931">
        <v>0.99901879999999998</v>
      </c>
      <c r="Y1931">
        <v>3.5577339999999999E-2</v>
      </c>
      <c r="Z1931">
        <v>2.229726E-3</v>
      </c>
      <c r="AA1931">
        <v>0.99936440000000004</v>
      </c>
      <c r="AB1931">
        <v>30</v>
      </c>
      <c r="AC1931">
        <v>-27.801199999999898</v>
      </c>
      <c r="AD1931">
        <v>-1.1095908364979901</v>
      </c>
      <c r="AE1931">
        <v>-7.3899999999980495E-2</v>
      </c>
      <c r="AF1931">
        <v>0.99715465847255402</v>
      </c>
      <c r="AG1931">
        <v>-1.1095908364979901</v>
      </c>
      <c r="AH1931">
        <v>27.739166402559</v>
      </c>
      <c r="AI1931">
        <v>92.289182889977795</v>
      </c>
      <c r="AJ1931">
        <v>87.941244440308495</v>
      </c>
      <c r="AK1931">
        <v>27.779252364781399</v>
      </c>
      <c r="AL1931">
        <v>88.2171942094608</v>
      </c>
      <c r="AM1931">
        <v>88.1928329720173</v>
      </c>
      <c r="AN1931">
        <v>0.99999999421668295</v>
      </c>
    </row>
    <row r="1932" spans="1:40" x14ac:dyDescent="0.25">
      <c r="A1932" t="str">
        <f>"20190312160333424"</f>
        <v>20190312160333424</v>
      </c>
      <c r="B1932" t="str">
        <f>"1552377813416586"</f>
        <v>1552377813416586</v>
      </c>
      <c r="C1932" t="s">
        <v>40</v>
      </c>
      <c r="D1932">
        <v>5.5528649999999997</v>
      </c>
      <c r="E1932">
        <v>0.5021523</v>
      </c>
      <c r="F1932" t="s">
        <v>79</v>
      </c>
      <c r="G1932">
        <v>-317.21170000000001</v>
      </c>
      <c r="H1932" s="1">
        <v>5.4787599999999997E-6</v>
      </c>
      <c r="I1932">
        <v>283.8877</v>
      </c>
      <c r="J1932">
        <v>-288.91379999999998</v>
      </c>
      <c r="K1932">
        <v>1.10959599999999</v>
      </c>
      <c r="L1932">
        <v>284.00630000000001</v>
      </c>
      <c r="M1932">
        <v>-0.9991913</v>
      </c>
      <c r="N1932">
        <v>0</v>
      </c>
      <c r="O1932">
        <v>-3.8233400000000001E-2</v>
      </c>
      <c r="P1932">
        <v>-0.99979850000000003</v>
      </c>
      <c r="Q1932">
        <v>1.8781740000000002E-2</v>
      </c>
      <c r="R1932">
        <v>-7.0862969999999897E-3</v>
      </c>
      <c r="S1932">
        <v>-3.0026860000000002</v>
      </c>
      <c r="T1932">
        <v>-0.11689579999999999</v>
      </c>
      <c r="U1932">
        <v>-1.3275149999999999E-2</v>
      </c>
      <c r="V1932">
        <v>3.1179749999999999E-2</v>
      </c>
      <c r="W1932">
        <v>3.1184690000000001E-2</v>
      </c>
      <c r="X1932">
        <v>0.9990272</v>
      </c>
      <c r="Y1932">
        <v>3.3763649999999999E-2</v>
      </c>
      <c r="Z1932">
        <v>2.144647E-3</v>
      </c>
      <c r="AA1932">
        <v>0.99942759999999997</v>
      </c>
      <c r="AB1932">
        <v>30</v>
      </c>
      <c r="AC1932">
        <v>-28.297899999999998</v>
      </c>
      <c r="AD1932">
        <v>-1.1095905212399999</v>
      </c>
      <c r="AE1932">
        <v>-0.118600000000014</v>
      </c>
      <c r="AF1932">
        <v>0.96201641204400701</v>
      </c>
      <c r="AG1932">
        <v>-1.1095905212399999</v>
      </c>
      <c r="AH1932">
        <v>28.2383253702994</v>
      </c>
      <c r="AI1932">
        <v>92.248906740141294</v>
      </c>
      <c r="AJ1932">
        <v>88.048815918242099</v>
      </c>
      <c r="AK1932">
        <v>28.276486458199901</v>
      </c>
      <c r="AL1932">
        <v>88.212959159877599</v>
      </c>
      <c r="AM1932">
        <v>88.212372624988006</v>
      </c>
      <c r="AN1932">
        <v>1.00000000402014</v>
      </c>
    </row>
    <row r="1933" spans="1:40" x14ac:dyDescent="0.25">
      <c r="A1933" t="str">
        <f>"20190312160333439"</f>
        <v>20190312160333439</v>
      </c>
      <c r="B1933" t="str">
        <f>"1552377813426346"</f>
        <v>1552377813426346</v>
      </c>
      <c r="C1933" t="s">
        <v>40</v>
      </c>
      <c r="D1933">
        <v>5.7370460000000003</v>
      </c>
      <c r="E1933">
        <v>0.50197460000000005</v>
      </c>
      <c r="F1933" t="s">
        <v>79</v>
      </c>
      <c r="G1933">
        <v>-317.19119999999998</v>
      </c>
      <c r="H1933" s="1">
        <v>5.4709070000000004E-6</v>
      </c>
      <c r="I1933">
        <v>283.87380000000002</v>
      </c>
      <c r="J1933">
        <v>-289.08870000000002</v>
      </c>
      <c r="K1933">
        <v>1.10959599999999</v>
      </c>
      <c r="L1933">
        <v>283.99990000000003</v>
      </c>
      <c r="M1933">
        <v>-0.9992027</v>
      </c>
      <c r="N1933">
        <v>0</v>
      </c>
      <c r="O1933">
        <v>-3.7937060000000002E-2</v>
      </c>
      <c r="P1933">
        <v>-0.99979189999999996</v>
      </c>
      <c r="Q1933">
        <v>1.9023829999999999E-2</v>
      </c>
      <c r="R1933">
        <v>-7.3686419999999999E-3</v>
      </c>
      <c r="S1933">
        <v>-3.0027159999999999</v>
      </c>
      <c r="T1933">
        <v>-0.1178252</v>
      </c>
      <c r="U1933">
        <v>-1.4068600000000001E-2</v>
      </c>
      <c r="V1933">
        <v>3.0601130000000001E-2</v>
      </c>
      <c r="W1933">
        <v>3.1427759999999999E-2</v>
      </c>
      <c r="X1933">
        <v>0.99903739999999996</v>
      </c>
      <c r="Y1933">
        <v>3.320298E-2</v>
      </c>
      <c r="Z1933">
        <v>2.1390459999999999E-3</v>
      </c>
      <c r="AA1933">
        <v>0.99944630000000001</v>
      </c>
      <c r="AB1933">
        <v>30</v>
      </c>
      <c r="AC1933">
        <v>-28.1024999999999</v>
      </c>
      <c r="AD1933">
        <v>-1.1095905290929899</v>
      </c>
      <c r="AE1933">
        <v>-0.12610000000000801</v>
      </c>
      <c r="AF1933">
        <v>0.93873609144898496</v>
      </c>
      <c r="AG1933">
        <v>-1.1095905290929899</v>
      </c>
      <c r="AH1933">
        <v>28.0433333576112</v>
      </c>
      <c r="AI1933">
        <v>92.2645729924634</v>
      </c>
      <c r="AJ1933">
        <v>88.082769289091502</v>
      </c>
      <c r="AK1933">
        <v>28.080971535859501</v>
      </c>
      <c r="AL1933">
        <v>88.199025311540197</v>
      </c>
      <c r="AM1933">
        <v>88.245543594896105</v>
      </c>
      <c r="AN1933">
        <v>0.999999929927324</v>
      </c>
    </row>
    <row r="1934" spans="1:40" x14ac:dyDescent="0.25">
      <c r="A1934" t="str">
        <f>"20190312160333455"</f>
        <v>20190312160333455</v>
      </c>
      <c r="B1934" t="str">
        <f>"1552377813446842"</f>
        <v>1552377813446842</v>
      </c>
      <c r="C1934" t="s">
        <v>40</v>
      </c>
      <c r="D1934">
        <v>6.0369299999999999</v>
      </c>
      <c r="E1934">
        <v>0.50165150000000003</v>
      </c>
      <c r="F1934" t="s">
        <v>79</v>
      </c>
      <c r="G1934">
        <v>-317.74180000000001</v>
      </c>
      <c r="H1934" s="1">
        <v>5.7177089999999999E-6</v>
      </c>
      <c r="I1934">
        <v>283.84379999999999</v>
      </c>
      <c r="J1934">
        <v>-289.31880000000001</v>
      </c>
      <c r="K1934">
        <v>1.109594</v>
      </c>
      <c r="L1934">
        <v>283.99149999999997</v>
      </c>
      <c r="M1934">
        <v>-0.99921749999999998</v>
      </c>
      <c r="N1934">
        <v>0</v>
      </c>
      <c r="O1934">
        <v>-3.7546780000000002E-2</v>
      </c>
      <c r="P1934">
        <v>-0.99978670000000003</v>
      </c>
      <c r="Q1934">
        <v>1.9041849999999999E-2</v>
      </c>
      <c r="R1934">
        <v>-7.9900930000000002E-3</v>
      </c>
      <c r="S1934">
        <v>-3.0027159999999999</v>
      </c>
      <c r="T1934">
        <v>-0.1162801</v>
      </c>
      <c r="U1934">
        <v>-1.6357420000000001E-2</v>
      </c>
      <c r="V1934">
        <v>2.9589540000000001E-2</v>
      </c>
      <c r="W1934">
        <v>3.1446830000000002E-2</v>
      </c>
      <c r="X1934">
        <v>0.99906740000000005</v>
      </c>
      <c r="Y1934">
        <v>3.2053350000000001E-2</v>
      </c>
      <c r="Z1934">
        <v>2.073657E-3</v>
      </c>
      <c r="AA1934">
        <v>0.99948400000000004</v>
      </c>
      <c r="AB1934">
        <v>30</v>
      </c>
      <c r="AC1934">
        <v>-28.422999999999998</v>
      </c>
      <c r="AD1934">
        <v>-1.1095882822909999</v>
      </c>
      <c r="AE1934">
        <v>-0.14769999999998601</v>
      </c>
      <c r="AF1934">
        <v>0.91827939298288197</v>
      </c>
      <c r="AG1934">
        <v>-1.1095882822909999</v>
      </c>
      <c r="AH1934">
        <v>28.365273704576602</v>
      </c>
      <c r="AI1934">
        <v>92.238973303798204</v>
      </c>
      <c r="AJ1934">
        <v>88.145790325991499</v>
      </c>
      <c r="AK1934">
        <v>28.401816412605001</v>
      </c>
      <c r="AL1934">
        <v>88.197932369454605</v>
      </c>
      <c r="AM1934">
        <v>88.303557585927805</v>
      </c>
      <c r="AN1934">
        <v>1.0000000568686001</v>
      </c>
    </row>
    <row r="1935" spans="1:40" x14ac:dyDescent="0.25">
      <c r="A1935" t="str">
        <f>"20190312160333467"</f>
        <v>20190312160333467</v>
      </c>
      <c r="B1935" t="str">
        <f>"1552377813456601"</f>
        <v>1552377813456601</v>
      </c>
      <c r="C1935" t="s">
        <v>40</v>
      </c>
      <c r="D1935">
        <v>5.5770759999999999</v>
      </c>
      <c r="E1935">
        <v>0.50186569999999997</v>
      </c>
      <c r="F1935" t="s">
        <v>79</v>
      </c>
      <c r="G1935">
        <v>-318.25630000000001</v>
      </c>
      <c r="H1935" s="1">
        <v>5.9501640000000001E-6</v>
      </c>
      <c r="I1935">
        <v>283.79419999999999</v>
      </c>
      <c r="J1935">
        <v>-289.48050000000001</v>
      </c>
      <c r="K1935">
        <v>1.1095950000000001</v>
      </c>
      <c r="L1935">
        <v>283.98570000000001</v>
      </c>
      <c r="M1935">
        <v>-0.99922770000000005</v>
      </c>
      <c r="N1935">
        <v>0</v>
      </c>
      <c r="O1935">
        <v>-3.7272239999999998E-2</v>
      </c>
      <c r="P1935">
        <v>-0.99978389999999995</v>
      </c>
      <c r="Q1935">
        <v>1.9042940000000001E-2</v>
      </c>
      <c r="R1935">
        <v>-8.3545900000000003E-3</v>
      </c>
      <c r="S1935">
        <v>-3.0026549999999999</v>
      </c>
      <c r="T1935">
        <v>-0.1151348</v>
      </c>
      <c r="U1935">
        <v>-2.0477289999999999E-2</v>
      </c>
      <c r="V1935">
        <v>2.895083E-2</v>
      </c>
      <c r="W1935">
        <v>3.1448249999999997E-2</v>
      </c>
      <c r="X1935">
        <v>0.99908600000000003</v>
      </c>
      <c r="Y1935">
        <v>3.040971E-2</v>
      </c>
      <c r="Z1935">
        <v>2.0112540000000001E-3</v>
      </c>
      <c r="AA1935">
        <v>0.99953550000000002</v>
      </c>
      <c r="AB1935">
        <v>30</v>
      </c>
      <c r="AC1935">
        <v>-28.7758</v>
      </c>
      <c r="AD1935">
        <v>-1.1095890498359999</v>
      </c>
      <c r="AE1935">
        <v>-0.19150000000001899</v>
      </c>
      <c r="AF1935">
        <v>0.87994632645020898</v>
      </c>
      <c r="AG1935">
        <v>-1.1095890498359999</v>
      </c>
      <c r="AH1935">
        <v>28.720239158629699</v>
      </c>
      <c r="AI1935">
        <v>92.211450696011198</v>
      </c>
      <c r="AJ1935">
        <v>88.245089693837798</v>
      </c>
      <c r="AK1935">
        <v>28.755132250188598</v>
      </c>
      <c r="AL1935">
        <v>88.197850847186501</v>
      </c>
      <c r="AM1935">
        <v>88.340186603009798</v>
      </c>
      <c r="AN1935">
        <v>0.99999998919087496</v>
      </c>
    </row>
    <row r="1936" spans="1:40" x14ac:dyDescent="0.25">
      <c r="A1936" t="str">
        <f>"20190312160333480"</f>
        <v>20190312160333480</v>
      </c>
      <c r="B1936" t="str">
        <f>"1552377813476121"</f>
        <v>1552377813476121</v>
      </c>
      <c r="C1936" t="s">
        <v>40</v>
      </c>
      <c r="D1936">
        <v>5.6856689999999999</v>
      </c>
      <c r="E1936">
        <v>0.50159869999999995</v>
      </c>
      <c r="F1936" t="s">
        <v>79</v>
      </c>
      <c r="G1936">
        <v>-317.93779999999998</v>
      </c>
      <c r="H1936" s="1">
        <v>5.808555E-6</v>
      </c>
      <c r="I1936">
        <v>283.7989</v>
      </c>
      <c r="J1936">
        <v>-289.65010000000001</v>
      </c>
      <c r="K1936">
        <v>1.109591</v>
      </c>
      <c r="L1936">
        <v>283.97980000000001</v>
      </c>
      <c r="M1936">
        <v>-0.99923850000000003</v>
      </c>
      <c r="N1936">
        <v>0</v>
      </c>
      <c r="O1936">
        <v>-3.6983519999999999E-2</v>
      </c>
      <c r="P1936">
        <v>-0.99977519999999998</v>
      </c>
      <c r="Q1936">
        <v>1.9370950000000001E-2</v>
      </c>
      <c r="R1936">
        <v>-8.6395710000000004E-3</v>
      </c>
      <c r="S1936">
        <v>-3.0027159999999999</v>
      </c>
      <c r="T1936">
        <v>-0.11707969999999999</v>
      </c>
      <c r="U1936">
        <v>-1.971436E-2</v>
      </c>
      <c r="V1936">
        <v>2.8377099999999902E-2</v>
      </c>
      <c r="W1936">
        <v>3.177663E-2</v>
      </c>
      <c r="X1936">
        <v>0.99909210000000004</v>
      </c>
      <c r="Y1936">
        <v>3.0373540000000001E-2</v>
      </c>
      <c r="Z1936">
        <v>2.033212E-3</v>
      </c>
      <c r="AA1936">
        <v>0.9995366</v>
      </c>
      <c r="AB1936">
        <v>30</v>
      </c>
      <c r="AC1936">
        <v>-28.287699999999901</v>
      </c>
      <c r="AD1936">
        <v>-1.1095851914449999</v>
      </c>
      <c r="AE1936">
        <v>-0.180900000000008</v>
      </c>
      <c r="AF1936">
        <v>0.86415386186297805</v>
      </c>
      <c r="AG1936">
        <v>-1.1095851914449999</v>
      </c>
      <c r="AH1936">
        <v>28.231600142799099</v>
      </c>
      <c r="AI1936">
        <v>92.249682183524797</v>
      </c>
      <c r="AJ1936">
        <v>88.246754905127105</v>
      </c>
      <c r="AK1936">
        <v>28.266609061168602</v>
      </c>
      <c r="AL1936">
        <v>88.179026705098195</v>
      </c>
      <c r="AM1936">
        <v>88.373071849908598</v>
      </c>
      <c r="AN1936">
        <v>1.0000000191504801</v>
      </c>
    </row>
    <row r="1937" spans="1:40" x14ac:dyDescent="0.25">
      <c r="A1937" t="str">
        <f>"20190312160333492"</f>
        <v>20190312160333492</v>
      </c>
      <c r="B1937" t="str">
        <f>"1552377813486858"</f>
        <v>1552377813486858</v>
      </c>
      <c r="C1937" t="s">
        <v>40</v>
      </c>
      <c r="D1937">
        <v>5.5376240000000001</v>
      </c>
      <c r="E1937">
        <v>0.50149379999999999</v>
      </c>
      <c r="F1937" t="s">
        <v>79</v>
      </c>
      <c r="G1937">
        <v>-318.65469999999999</v>
      </c>
      <c r="H1937" s="1">
        <v>6.1297290000000001E-6</v>
      </c>
      <c r="I1937">
        <v>283.76130000000001</v>
      </c>
      <c r="J1937">
        <v>-289.81290000000001</v>
      </c>
      <c r="K1937">
        <v>1.1095900000000001</v>
      </c>
      <c r="L1937">
        <v>283.97399999999999</v>
      </c>
      <c r="M1937">
        <v>-0.99924869999999999</v>
      </c>
      <c r="N1937">
        <v>0</v>
      </c>
      <c r="O1937">
        <v>-3.6706250000000003E-2</v>
      </c>
      <c r="P1937">
        <v>-0.99977419999999995</v>
      </c>
      <c r="Q1937">
        <v>1.9350909999999999E-2</v>
      </c>
      <c r="R1937">
        <v>-8.8190939999999995E-3</v>
      </c>
      <c r="S1937">
        <v>-3.0027159999999999</v>
      </c>
      <c r="T1937">
        <v>-0.11487020000000001</v>
      </c>
      <c r="U1937">
        <v>-2.261353E-2</v>
      </c>
      <c r="V1937">
        <v>2.7920770000000001E-2</v>
      </c>
      <c r="W1937">
        <v>3.1757090000000002E-2</v>
      </c>
      <c r="X1937">
        <v>0.99910560000000004</v>
      </c>
      <c r="Y1937">
        <v>2.9134159999999999E-2</v>
      </c>
      <c r="Z1937">
        <v>1.9605619999999999E-3</v>
      </c>
      <c r="AA1937">
        <v>0.99957359999999995</v>
      </c>
      <c r="AB1937">
        <v>30</v>
      </c>
      <c r="AC1937">
        <v>-28.8417999999999</v>
      </c>
      <c r="AD1937">
        <v>-1.1095838702709999</v>
      </c>
      <c r="AE1937">
        <v>-0.21269999999998301</v>
      </c>
      <c r="AF1937">
        <v>0.84494907677203202</v>
      </c>
      <c r="AG1937">
        <v>-1.1095838702709999</v>
      </c>
      <c r="AH1937">
        <v>28.787563849525998</v>
      </c>
      <c r="AI1937">
        <v>92.206358699170394</v>
      </c>
      <c r="AJ1937">
        <v>88.318783720322102</v>
      </c>
      <c r="AK1937">
        <v>28.821328000250801</v>
      </c>
      <c r="AL1937">
        <v>88.180146869808794</v>
      </c>
      <c r="AM1937">
        <v>88.399242253470305</v>
      </c>
      <c r="AN1937">
        <v>1.000000041057</v>
      </c>
    </row>
    <row r="1938" spans="1:40" x14ac:dyDescent="0.25">
      <c r="A1938" t="str">
        <f>"20190312160333503"</f>
        <v>20190312160333503</v>
      </c>
      <c r="B1938" t="str">
        <f>"1552377813496617"</f>
        <v>1552377813496617</v>
      </c>
      <c r="C1938" t="s">
        <v>40</v>
      </c>
      <c r="D1938">
        <v>5.7473470000000004</v>
      </c>
      <c r="E1938">
        <v>0.50135359999999995</v>
      </c>
      <c r="F1938" t="s">
        <v>79</v>
      </c>
      <c r="G1938">
        <v>-318.91660000000002</v>
      </c>
      <c r="H1938" s="1">
        <v>6.2475979999999996E-6</v>
      </c>
      <c r="I1938">
        <v>283.74149999999997</v>
      </c>
      <c r="J1938">
        <v>-289.96899999999999</v>
      </c>
      <c r="K1938">
        <v>1.1095900000000001</v>
      </c>
      <c r="L1938">
        <v>283.96859999999998</v>
      </c>
      <c r="M1938">
        <v>-0.99925850000000005</v>
      </c>
      <c r="N1938">
        <v>0</v>
      </c>
      <c r="O1938">
        <v>-3.6440180000000003E-2</v>
      </c>
      <c r="P1938">
        <v>-0.99977649999999996</v>
      </c>
      <c r="Q1938">
        <v>1.909843E-2</v>
      </c>
      <c r="R1938">
        <v>-9.0960490000000001E-3</v>
      </c>
      <c r="S1938">
        <v>-3.0026860000000002</v>
      </c>
      <c r="T1938">
        <v>-0.114478</v>
      </c>
      <c r="U1938">
        <v>-2.3986819999999999E-2</v>
      </c>
      <c r="V1938">
        <v>2.737763E-2</v>
      </c>
      <c r="W1938">
        <v>3.1505440000000003E-2</v>
      </c>
      <c r="X1938">
        <v>0.99912860000000003</v>
      </c>
      <c r="Y1938">
        <v>2.8411840000000001E-2</v>
      </c>
      <c r="Z1938">
        <v>1.929987E-3</v>
      </c>
      <c r="AA1938">
        <v>0.99959439999999999</v>
      </c>
      <c r="AB1938">
        <v>30</v>
      </c>
      <c r="AC1938">
        <v>-28.947600000000001</v>
      </c>
      <c r="AD1938">
        <v>-1.10958375240199</v>
      </c>
      <c r="AE1938">
        <v>-0.22710000000000699</v>
      </c>
      <c r="AF1938">
        <v>0.82677347968191195</v>
      </c>
      <c r="AG1938">
        <v>-1.10958375240199</v>
      </c>
      <c r="AH1938">
        <v>28.894197156875499</v>
      </c>
      <c r="AI1938">
        <v>92.198270849627804</v>
      </c>
      <c r="AJ1938">
        <v>88.360995848413395</v>
      </c>
      <c r="AK1938">
        <v>28.9273116592381</v>
      </c>
      <c r="AL1938">
        <v>88.194572574850199</v>
      </c>
      <c r="AM1938">
        <v>88.430402019725904</v>
      </c>
      <c r="AN1938">
        <v>1.0000000433559799</v>
      </c>
    </row>
    <row r="1939" spans="1:40" x14ac:dyDescent="0.25">
      <c r="A1939" t="str">
        <f>"20190312160333521"</f>
        <v>20190312160333521</v>
      </c>
      <c r="B1939" t="str">
        <f>"1552377813516138"</f>
        <v>1552377813516138</v>
      </c>
      <c r="C1939" t="s">
        <v>40</v>
      </c>
      <c r="D1939">
        <v>5.4843129999999896</v>
      </c>
      <c r="E1939">
        <v>0.50115559999999904</v>
      </c>
      <c r="F1939" t="s">
        <v>79</v>
      </c>
      <c r="G1939">
        <v>-319.17349999999999</v>
      </c>
      <c r="H1939" s="1">
        <v>6.3634820000000001E-6</v>
      </c>
      <c r="I1939">
        <v>283.7192</v>
      </c>
      <c r="J1939">
        <v>-290.19650000000001</v>
      </c>
      <c r="K1939">
        <v>1.1095900000000001</v>
      </c>
      <c r="L1939">
        <v>283.96069999999997</v>
      </c>
      <c r="M1939">
        <v>-0.99927239999999995</v>
      </c>
      <c r="N1939">
        <v>0</v>
      </c>
      <c r="O1939">
        <v>-3.6052750000000001E-2</v>
      </c>
      <c r="P1939">
        <v>-0.99978400000000001</v>
      </c>
      <c r="Q1939">
        <v>1.852374E-2</v>
      </c>
      <c r="R1939">
        <v>-9.4356679999999995E-3</v>
      </c>
      <c r="S1939">
        <v>-3.0026250000000001</v>
      </c>
      <c r="T1939">
        <v>-0.1140805</v>
      </c>
      <c r="U1939">
        <v>-2.5634770000000001E-2</v>
      </c>
      <c r="V1939">
        <v>2.665027E-2</v>
      </c>
      <c r="W1939">
        <v>3.0931609999999998E-2</v>
      </c>
      <c r="X1939">
        <v>0.99916609999999995</v>
      </c>
      <c r="Y1939">
        <v>2.7476810000000001E-2</v>
      </c>
      <c r="Z1939">
        <v>1.8908600000000001E-3</v>
      </c>
      <c r="AA1939">
        <v>0.99962070000000003</v>
      </c>
      <c r="AB1939">
        <v>30</v>
      </c>
      <c r="AC1939">
        <v>-28.976999999999901</v>
      </c>
      <c r="AD1939">
        <v>-1.1095836365179901</v>
      </c>
      <c r="AE1939">
        <v>-0.24149999999997299</v>
      </c>
      <c r="AF1939">
        <v>0.802262219325514</v>
      </c>
      <c r="AG1939">
        <v>-1.1095836365179901</v>
      </c>
      <c r="AH1939">
        <v>28.924458156468699</v>
      </c>
      <c r="AI1939">
        <v>92.196027213066102</v>
      </c>
      <c r="AJ1939">
        <v>88.4112249582152</v>
      </c>
      <c r="AK1939">
        <v>28.9568485882061</v>
      </c>
      <c r="AL1939">
        <v>88.227466475774406</v>
      </c>
      <c r="AM1939">
        <v>88.472139870995306</v>
      </c>
      <c r="AN1939">
        <v>0.99999994838873596</v>
      </c>
    </row>
    <row r="1940" spans="1:40" x14ac:dyDescent="0.25">
      <c r="A1940" t="str">
        <f>"20190312160333532"</f>
        <v>20190312160333532</v>
      </c>
      <c r="B1940" t="str">
        <f>"1552377813526875"</f>
        <v>1552377813526875</v>
      </c>
      <c r="C1940" t="s">
        <v>40</v>
      </c>
      <c r="D1940">
        <v>5.4394960000000001</v>
      </c>
      <c r="E1940">
        <v>0.50106189999999995</v>
      </c>
      <c r="F1940" t="s">
        <v>79</v>
      </c>
      <c r="G1940">
        <v>-319.17129999999997</v>
      </c>
      <c r="H1940" s="1">
        <v>6.3652779999999997E-6</v>
      </c>
      <c r="I1940">
        <v>283.68770000000001</v>
      </c>
      <c r="J1940">
        <v>-290.35169999999999</v>
      </c>
      <c r="K1940">
        <v>1.1095889999999999</v>
      </c>
      <c r="L1940">
        <v>283.9554</v>
      </c>
      <c r="M1940">
        <v>-0.999282</v>
      </c>
      <c r="N1940">
        <v>0</v>
      </c>
      <c r="O1940">
        <v>-3.5788470000000003E-2</v>
      </c>
      <c r="P1940">
        <v>-0.99979079999999998</v>
      </c>
      <c r="Q1940">
        <v>1.8242789999999998E-2</v>
      </c>
      <c r="R1940">
        <v>-9.2613169999999998E-3</v>
      </c>
      <c r="S1940">
        <v>-3.002472</v>
      </c>
      <c r="T1940">
        <v>-0.11497880000000001</v>
      </c>
      <c r="U1940">
        <v>-2.8289789999999999E-2</v>
      </c>
      <c r="V1940">
        <v>2.6560130000000001E-2</v>
      </c>
      <c r="W1940">
        <v>3.0650409999999999E-2</v>
      </c>
      <c r="X1940">
        <v>0.99917719999999999</v>
      </c>
      <c r="Y1940">
        <v>2.6328420000000002E-2</v>
      </c>
      <c r="Z1940">
        <v>1.8737300000000001E-3</v>
      </c>
      <c r="AA1940">
        <v>0.99965159999999997</v>
      </c>
      <c r="AB1940">
        <v>30</v>
      </c>
      <c r="AC1940">
        <v>-28.819599999999902</v>
      </c>
      <c r="AD1940">
        <v>-1.1095826347219999</v>
      </c>
      <c r="AE1940">
        <v>-0.26769999999999</v>
      </c>
      <c r="AF1940">
        <v>0.76283001737831702</v>
      </c>
      <c r="AG1940">
        <v>-1.1095826347219999</v>
      </c>
      <c r="AH1940">
        <v>28.768076305073901</v>
      </c>
      <c r="AI1940">
        <v>92.208023875830804</v>
      </c>
      <c r="AJ1940">
        <v>88.481069763185104</v>
      </c>
      <c r="AK1940">
        <v>28.799571134884001</v>
      </c>
      <c r="AL1940">
        <v>88.243585752929604</v>
      </c>
      <c r="AM1940">
        <v>88.477322068526703</v>
      </c>
      <c r="AN1940">
        <v>0.999999982569312</v>
      </c>
    </row>
    <row r="1941" spans="1:40" x14ac:dyDescent="0.25">
      <c r="A1941" t="str">
        <f>"20190312160333544"</f>
        <v>20190312160333544</v>
      </c>
      <c r="B1941" t="str">
        <f>"1552377813536633"</f>
        <v>1552377813536633</v>
      </c>
      <c r="C1941" t="s">
        <v>40</v>
      </c>
      <c r="D1941">
        <v>5.6953379999999996</v>
      </c>
      <c r="E1941">
        <v>0.50098100000000001</v>
      </c>
      <c r="F1941" t="s">
        <v>79</v>
      </c>
      <c r="G1941">
        <v>-319.2867</v>
      </c>
      <c r="H1941" s="1">
        <v>6.4169999999999997E-6</v>
      </c>
      <c r="I1941">
        <v>283.68099999999998</v>
      </c>
      <c r="J1941">
        <v>-290.50979999999998</v>
      </c>
      <c r="K1941">
        <v>1.109586</v>
      </c>
      <c r="L1941">
        <v>283.95</v>
      </c>
      <c r="M1941">
        <v>-0.99929159999999995</v>
      </c>
      <c r="N1941">
        <v>0</v>
      </c>
      <c r="O1941">
        <v>-3.5518939999999999E-2</v>
      </c>
      <c r="P1941">
        <v>-0.99979750000000001</v>
      </c>
      <c r="Q1941">
        <v>1.796033E-2</v>
      </c>
      <c r="R1941">
        <v>-9.0837209999999995E-3</v>
      </c>
      <c r="S1941">
        <v>-3.002472</v>
      </c>
      <c r="T1941">
        <v>-0.11513710000000001</v>
      </c>
      <c r="U1941">
        <v>-2.8472899999999999E-2</v>
      </c>
      <c r="V1941">
        <v>2.646803E-2</v>
      </c>
      <c r="W1941">
        <v>3.0368249999999999E-2</v>
      </c>
      <c r="X1941">
        <v>0.99918830000000003</v>
      </c>
      <c r="Y1941">
        <v>2.5998150000000001E-2</v>
      </c>
      <c r="Z1941">
        <v>1.85965E-3</v>
      </c>
      <c r="AA1941">
        <v>0.99966029999999995</v>
      </c>
      <c r="AB1941">
        <v>30</v>
      </c>
      <c r="AC1941">
        <v>-28.776900000000001</v>
      </c>
      <c r="AD1941">
        <v>-1.1095795829999999</v>
      </c>
      <c r="AE1941">
        <v>-0.26900000000000501</v>
      </c>
      <c r="AF1941">
        <v>0.75225552607847901</v>
      </c>
      <c r="AG1941">
        <v>-1.1095795829999999</v>
      </c>
      <c r="AH1941">
        <v>28.725591245197101</v>
      </c>
      <c r="AI1941">
        <v>92.211299354607704</v>
      </c>
      <c r="AJ1941">
        <v>88.499901441681999</v>
      </c>
      <c r="AK1941">
        <v>28.756853924128599</v>
      </c>
      <c r="AL1941">
        <v>88.259759930197902</v>
      </c>
      <c r="AM1941">
        <v>88.482616487978603</v>
      </c>
      <c r="AN1941">
        <v>1.00000002303851</v>
      </c>
    </row>
    <row r="1942" spans="1:40" x14ac:dyDescent="0.25">
      <c r="A1942" t="str">
        <f>"20190312160333556"</f>
        <v>20190312160333556</v>
      </c>
      <c r="B1942" t="str">
        <f>"1552377813546394"</f>
        <v>1552377813546394</v>
      </c>
      <c r="C1942" t="s">
        <v>40</v>
      </c>
      <c r="D1942">
        <v>5.5101459999999998</v>
      </c>
      <c r="E1942">
        <v>0.50091490000000005</v>
      </c>
      <c r="F1942" t="s">
        <v>79</v>
      </c>
      <c r="G1942">
        <v>-319.38</v>
      </c>
      <c r="H1942" s="1">
        <v>6.4588309999999997E-6</v>
      </c>
      <c r="I1942">
        <v>283.67590000000001</v>
      </c>
      <c r="J1942">
        <v>-290.66059999999999</v>
      </c>
      <c r="K1942">
        <v>1.1095870000000001</v>
      </c>
      <c r="L1942">
        <v>283.94490000000002</v>
      </c>
      <c r="M1942">
        <v>-0.99930059999999998</v>
      </c>
      <c r="N1942">
        <v>0</v>
      </c>
      <c r="O1942">
        <v>-3.5262410000000001E-2</v>
      </c>
      <c r="P1942">
        <v>-0.99980119999999895</v>
      </c>
      <c r="Q1942">
        <v>1.7779159999999999E-2</v>
      </c>
      <c r="R1942">
        <v>-9.0263340000000004E-3</v>
      </c>
      <c r="S1942">
        <v>-3.0024410000000001</v>
      </c>
      <c r="T1942">
        <v>-0.1153942</v>
      </c>
      <c r="U1942">
        <v>-2.8503420000000002E-2</v>
      </c>
      <c r="V1942">
        <v>2.6268639999999999E-2</v>
      </c>
      <c r="W1942">
        <v>3.0187140000000001E-2</v>
      </c>
      <c r="X1942">
        <v>0.99919899999999995</v>
      </c>
      <c r="Y1942">
        <v>2.5731460000000001E-2</v>
      </c>
      <c r="Z1942">
        <v>1.848845E-3</v>
      </c>
      <c r="AA1942">
        <v>0.99966719999999998</v>
      </c>
      <c r="AB1942">
        <v>30</v>
      </c>
      <c r="AC1942">
        <v>-28.7194</v>
      </c>
      <c r="AD1942">
        <v>-1.1095805411690001</v>
      </c>
      <c r="AE1942">
        <v>-0.26900000000000501</v>
      </c>
      <c r="AF1942">
        <v>0.74285226440483898</v>
      </c>
      <c r="AG1942">
        <v>-1.1095805411690001</v>
      </c>
      <c r="AH1942">
        <v>28.668233843601801</v>
      </c>
      <c r="AI1942">
        <v>92.215736955607795</v>
      </c>
      <c r="AJ1942">
        <v>88.515681932075793</v>
      </c>
      <c r="AK1942">
        <v>28.6993141063599</v>
      </c>
      <c r="AL1942">
        <v>88.270141442119197</v>
      </c>
      <c r="AM1942">
        <v>88.494058136262396</v>
      </c>
      <c r="AN1942">
        <v>0.99999997323491396</v>
      </c>
    </row>
    <row r="1943" spans="1:40" x14ac:dyDescent="0.25">
      <c r="A1943" t="str">
        <f>"20190312160333568"</f>
        <v>20190312160333568</v>
      </c>
      <c r="B1943" t="str">
        <f>"1552377813556155"</f>
        <v>1552377813556155</v>
      </c>
      <c r="C1943" t="s">
        <v>40</v>
      </c>
      <c r="D1943">
        <v>5.5087820000000001</v>
      </c>
      <c r="E1943">
        <v>0.50097510000000001</v>
      </c>
      <c r="F1943" t="s">
        <v>79</v>
      </c>
      <c r="G1943">
        <v>-319.47179999999997</v>
      </c>
      <c r="H1943" s="1">
        <v>6.5003259999999997E-6</v>
      </c>
      <c r="I1943">
        <v>283.6669</v>
      </c>
      <c r="J1943">
        <v>-290.82929999999999</v>
      </c>
      <c r="K1943">
        <v>1.1095889999999999</v>
      </c>
      <c r="L1943">
        <v>283.93920000000003</v>
      </c>
      <c r="M1943">
        <v>-0.9993107</v>
      </c>
      <c r="N1943">
        <v>0</v>
      </c>
      <c r="O1943">
        <v>-3.4975359999999997E-2</v>
      </c>
      <c r="P1943">
        <v>-0.99980539999999996</v>
      </c>
      <c r="Q1943">
        <v>1.7726229999999999E-2</v>
      </c>
      <c r="R1943">
        <v>-8.6580059999999993E-3</v>
      </c>
      <c r="S1943">
        <v>-3.00238</v>
      </c>
      <c r="T1943">
        <v>-0.1156281</v>
      </c>
      <c r="U1943">
        <v>-2.896118E-2</v>
      </c>
      <c r="V1943">
        <v>2.6349839999999999E-2</v>
      </c>
      <c r="W1943">
        <v>3.0133759999999999E-2</v>
      </c>
      <c r="X1943">
        <v>0.99919849999999999</v>
      </c>
      <c r="Y1943">
        <v>2.5292060000000002E-2</v>
      </c>
      <c r="Z1943">
        <v>1.8331210000000001E-3</v>
      </c>
      <c r="AA1943">
        <v>0.99967839999999997</v>
      </c>
      <c r="AB1943">
        <v>30</v>
      </c>
      <c r="AC1943">
        <v>-28.642499999999899</v>
      </c>
      <c r="AD1943">
        <v>-1.109582499674</v>
      </c>
      <c r="AE1943">
        <v>-0.27230000000002902</v>
      </c>
      <c r="AF1943">
        <v>0.72863257723667696</v>
      </c>
      <c r="AG1943">
        <v>-1.109582499674</v>
      </c>
      <c r="AH1943">
        <v>28.5915937436286</v>
      </c>
      <c r="AI1943">
        <v>92.221698626691904</v>
      </c>
      <c r="AJ1943">
        <v>88.540181500825298</v>
      </c>
      <c r="AK1943">
        <v>28.622391786098099</v>
      </c>
      <c r="AL1943">
        <v>88.273201329123907</v>
      </c>
      <c r="AM1943">
        <v>88.489404459648298</v>
      </c>
      <c r="AN1943">
        <v>0.99999999998100597</v>
      </c>
    </row>
    <row r="1944" spans="1:40" x14ac:dyDescent="0.25">
      <c r="A1944" t="str">
        <f>"20190312160333586"</f>
        <v>20190312160333586</v>
      </c>
      <c r="B1944" t="str">
        <f>"1552377813576649"</f>
        <v>1552377813576649</v>
      </c>
      <c r="C1944" t="s">
        <v>40</v>
      </c>
      <c r="D1944">
        <v>5.4399550000000003</v>
      </c>
      <c r="E1944">
        <v>0.500859099999999</v>
      </c>
      <c r="F1944" t="s">
        <v>79</v>
      </c>
      <c r="G1944">
        <v>-319.28359999999998</v>
      </c>
      <c r="H1944" s="1">
        <v>6.4158480000000001E-6</v>
      </c>
      <c r="I1944">
        <v>283.6789</v>
      </c>
      <c r="J1944">
        <v>-291.08010000000002</v>
      </c>
      <c r="K1944">
        <v>1.1095820000000001</v>
      </c>
      <c r="L1944">
        <v>283.93090000000001</v>
      </c>
      <c r="M1944">
        <v>-0.99932560000000004</v>
      </c>
      <c r="N1944">
        <v>0</v>
      </c>
      <c r="O1944">
        <v>-3.4548370000000002E-2</v>
      </c>
      <c r="P1944">
        <v>-0.99979110000000004</v>
      </c>
      <c r="Q1944">
        <v>1.846923E-2</v>
      </c>
      <c r="R1944">
        <v>-8.7441229999999995E-3</v>
      </c>
      <c r="S1944">
        <v>-3.0024109999999999</v>
      </c>
      <c r="T1944">
        <v>-0.1170795</v>
      </c>
      <c r="U1944">
        <v>-2.7465819999999998E-2</v>
      </c>
      <c r="V1944">
        <v>2.5836959999999999E-2</v>
      </c>
      <c r="W1944">
        <v>3.0876799999999999E-2</v>
      </c>
      <c r="X1944">
        <v>0.9991892</v>
      </c>
      <c r="Y1944">
        <v>2.5362010000000001E-2</v>
      </c>
      <c r="Z1944">
        <v>1.840829E-3</v>
      </c>
      <c r="AA1944">
        <v>0.99967660000000003</v>
      </c>
      <c r="AB1944">
        <v>30</v>
      </c>
      <c r="AC1944">
        <v>-28.203499999999899</v>
      </c>
      <c r="AD1944">
        <v>-1.1095755841519901</v>
      </c>
      <c r="AE1944">
        <v>-0.25200000000000899</v>
      </c>
      <c r="AF1944">
        <v>0.72149419680472804</v>
      </c>
      <c r="AG1944">
        <v>-1.1095755841519901</v>
      </c>
      <c r="AH1944">
        <v>28.1517983591947</v>
      </c>
      <c r="AI1944">
        <v>92.256348664808996</v>
      </c>
      <c r="AJ1944">
        <v>88.5319046177991</v>
      </c>
      <c r="AK1944">
        <v>28.182893086227399</v>
      </c>
      <c r="AL1944">
        <v>88.230608434348298</v>
      </c>
      <c r="AM1944">
        <v>88.5187800674709</v>
      </c>
      <c r="AN1944">
        <v>0.99999999133845996</v>
      </c>
    </row>
    <row r="1945" spans="1:40" x14ac:dyDescent="0.25">
      <c r="A1945" t="str">
        <f>"20190312160333601"</f>
        <v>20190312160333601</v>
      </c>
      <c r="B1945" t="str">
        <f>"1552377813596170"</f>
        <v>1552377813596170</v>
      </c>
      <c r="C1945" t="s">
        <v>40</v>
      </c>
      <c r="D1945">
        <v>5.6835009999999997</v>
      </c>
      <c r="E1945">
        <v>0.50075320000000001</v>
      </c>
      <c r="F1945" t="s">
        <v>70</v>
      </c>
      <c r="G1945">
        <v>-320.23669999999998</v>
      </c>
      <c r="H1945" s="1">
        <v>-1.3687450000000001E-6</v>
      </c>
      <c r="I1945">
        <v>283.65379999999999</v>
      </c>
      <c r="J1945">
        <v>-291.25459999999998</v>
      </c>
      <c r="K1945">
        <v>1.109583</v>
      </c>
      <c r="L1945">
        <v>283.92520000000002</v>
      </c>
      <c r="M1945">
        <v>-0.99933570000000005</v>
      </c>
      <c r="N1945">
        <v>0</v>
      </c>
      <c r="O1945">
        <v>-3.4251669999999998E-2</v>
      </c>
      <c r="P1945">
        <v>-0.99978429999999996</v>
      </c>
      <c r="Q1945">
        <v>1.8974439999999999E-2</v>
      </c>
      <c r="R1945">
        <v>-8.4465719999999994E-3</v>
      </c>
      <c r="S1945">
        <v>-3.0025019999999998</v>
      </c>
      <c r="T1945">
        <v>-0.1142632</v>
      </c>
      <c r="U1945">
        <v>-2.8533940000000001E-2</v>
      </c>
      <c r="V1945">
        <v>2.5837860000000001E-2</v>
      </c>
      <c r="W1945">
        <v>3.1382010000000002E-2</v>
      </c>
      <c r="X1945">
        <v>0.99917350000000005</v>
      </c>
      <c r="Y1945">
        <v>2.4712729999999999E-2</v>
      </c>
      <c r="Z1945">
        <v>1.7728889999999999E-3</v>
      </c>
      <c r="AA1945">
        <v>0.99969300000000005</v>
      </c>
      <c r="AB1945">
        <v>30</v>
      </c>
      <c r="AC1945">
        <v>-28.982099999999999</v>
      </c>
      <c r="AD1945">
        <v>-1.109584368745</v>
      </c>
      <c r="AE1945">
        <v>-0.27140000000002801</v>
      </c>
      <c r="AF1945">
        <v>0.72046559722910397</v>
      </c>
      <c r="AG1945">
        <v>-1.109584368745</v>
      </c>
      <c r="AH1945">
        <v>28.9319849910936</v>
      </c>
      <c r="AI1945">
        <v>92.195621422516496</v>
      </c>
      <c r="AJ1945">
        <v>88.573512722084601</v>
      </c>
      <c r="AK1945">
        <v>28.9622168293972</v>
      </c>
      <c r="AL1945">
        <v>88.201648111031901</v>
      </c>
      <c r="AM1945">
        <v>88.518705229080894</v>
      </c>
      <c r="AN1945">
        <v>1.0000000543316301</v>
      </c>
    </row>
    <row r="1946" spans="1:40" x14ac:dyDescent="0.25">
      <c r="A1946" t="str">
        <f>"20190312160333613"</f>
        <v>20190312160333613</v>
      </c>
      <c r="B1946" t="str">
        <f>"1552377813606906"</f>
        <v>1552377813606906</v>
      </c>
      <c r="C1946" t="s">
        <v>40</v>
      </c>
      <c r="D1946">
        <v>5.7123470000000003</v>
      </c>
      <c r="E1946">
        <v>0.50070789999999998</v>
      </c>
      <c r="F1946" t="s">
        <v>70</v>
      </c>
      <c r="G1946">
        <v>-320.97019999999998</v>
      </c>
      <c r="H1946" s="1">
        <v>-9.7815110000000008E-7</v>
      </c>
      <c r="I1946">
        <v>283.64729999999997</v>
      </c>
      <c r="J1946">
        <v>-291.43200000000002</v>
      </c>
      <c r="K1946">
        <v>1.1095889999999999</v>
      </c>
      <c r="L1946">
        <v>283.9194</v>
      </c>
      <c r="M1946">
        <v>-0.99934610000000001</v>
      </c>
      <c r="N1946">
        <v>0</v>
      </c>
      <c r="O1946">
        <v>-3.3949600000000003E-2</v>
      </c>
      <c r="P1946">
        <v>-0.99978</v>
      </c>
      <c r="Q1946">
        <v>1.92908E-2</v>
      </c>
      <c r="R1946">
        <v>-8.2565450000000006E-3</v>
      </c>
      <c r="S1946">
        <v>-3.0025330000000001</v>
      </c>
      <c r="T1946">
        <v>-0.1121151</v>
      </c>
      <c r="U1946">
        <v>-2.8076170000000001E-2</v>
      </c>
      <c r="V1946">
        <v>2.5725970000000001E-2</v>
      </c>
      <c r="W1946">
        <v>3.1697999999999997E-2</v>
      </c>
      <c r="X1946">
        <v>0.99916640000000001</v>
      </c>
      <c r="Y1946">
        <v>2.4564949999999999E-2</v>
      </c>
      <c r="Z1946">
        <v>1.7255409999999999E-3</v>
      </c>
      <c r="AA1946">
        <v>0.99969669999999999</v>
      </c>
      <c r="AB1946">
        <v>30</v>
      </c>
      <c r="AC1946">
        <v>-29.5381999999999</v>
      </c>
      <c r="AD1946">
        <v>-1.1095899781510901</v>
      </c>
      <c r="AE1946">
        <v>-0.27210000000002299</v>
      </c>
      <c r="AF1946">
        <v>0.72991468380796998</v>
      </c>
      <c r="AG1946">
        <v>-1.1095899781510901</v>
      </c>
      <c r="AH1946">
        <v>29.4888003167713</v>
      </c>
      <c r="AI1946">
        <v>92.154221431059796</v>
      </c>
      <c r="AJ1946">
        <v>88.582089044679407</v>
      </c>
      <c r="AK1946">
        <v>29.518694237510999</v>
      </c>
      <c r="AL1946">
        <v>88.183534183981394</v>
      </c>
      <c r="AM1946">
        <v>88.525106611935399</v>
      </c>
      <c r="AN1946">
        <v>1.00000004181269</v>
      </c>
    </row>
    <row r="1947" spans="1:40" x14ac:dyDescent="0.25">
      <c r="A1947" t="str">
        <f>"20190312160333634"</f>
        <v>20190312160333634</v>
      </c>
      <c r="B1947" t="str">
        <f>"1552377813626426"</f>
        <v>1552377813626426</v>
      </c>
      <c r="C1947" t="s">
        <v>40</v>
      </c>
      <c r="D1947">
        <v>5.255306</v>
      </c>
      <c r="E1947">
        <v>0.50063089999999999</v>
      </c>
      <c r="F1947" t="s">
        <v>70</v>
      </c>
      <c r="G1947">
        <v>-321.53559999999999</v>
      </c>
      <c r="H1947" s="1">
        <v>-6.7684700000000005E-7</v>
      </c>
      <c r="I1947">
        <v>283.63819999999998</v>
      </c>
      <c r="J1947">
        <v>-291.69709999999998</v>
      </c>
      <c r="K1947">
        <v>1.109591</v>
      </c>
      <c r="L1947">
        <v>283.91090000000003</v>
      </c>
      <c r="M1947">
        <v>-0.99936139999999996</v>
      </c>
      <c r="N1947">
        <v>0</v>
      </c>
      <c r="O1947">
        <v>-3.3496369999999998E-2</v>
      </c>
      <c r="P1947">
        <v>-0.99977300000000002</v>
      </c>
      <c r="Q1947">
        <v>1.9684320000000002E-2</v>
      </c>
      <c r="R1947">
        <v>-8.1630599999999998E-3</v>
      </c>
      <c r="S1947">
        <v>-3.0025940000000002</v>
      </c>
      <c r="T1947">
        <v>-0.1106726</v>
      </c>
      <c r="U1947">
        <v>-2.8045649999999998E-2</v>
      </c>
      <c r="V1947">
        <v>2.5366380000000001E-2</v>
      </c>
      <c r="W1947">
        <v>3.2091649999999999E-2</v>
      </c>
      <c r="X1947">
        <v>0.99916300000000002</v>
      </c>
      <c r="Y1947">
        <v>2.4123559999999999E-2</v>
      </c>
      <c r="Z1947">
        <v>1.6784949999999999E-3</v>
      </c>
      <c r="AA1947">
        <v>0.99970760000000003</v>
      </c>
      <c r="AB1947">
        <v>30</v>
      </c>
      <c r="AC1947">
        <v>-29.8385</v>
      </c>
      <c r="AD1947">
        <v>-1.109591676847</v>
      </c>
      <c r="AE1947">
        <v>-0.27270000000004202</v>
      </c>
      <c r="AF1947">
        <v>0.72600797992709898</v>
      </c>
      <c r="AG1947">
        <v>-1.109591676847</v>
      </c>
      <c r="AH1947">
        <v>29.789697386604502</v>
      </c>
      <c r="AI1947">
        <v>92.132505653505206</v>
      </c>
      <c r="AJ1947">
        <v>88.603914636258594</v>
      </c>
      <c r="AK1947">
        <v>29.819194349641901</v>
      </c>
      <c r="AL1947">
        <v>88.160968168955904</v>
      </c>
      <c r="AM1947">
        <v>88.545708372926299</v>
      </c>
      <c r="AN1947">
        <v>1.0000000139015099</v>
      </c>
    </row>
    <row r="1948" spans="1:40" x14ac:dyDescent="0.25">
      <c r="A1948" t="str">
        <f>"20190312160333647"</f>
        <v>20190312160333647</v>
      </c>
      <c r="B1948" t="str">
        <f>"1552377813636186"</f>
        <v>1552377813636186</v>
      </c>
      <c r="C1948" t="s">
        <v>40</v>
      </c>
      <c r="D1948">
        <v>5.2127480000000004</v>
      </c>
      <c r="E1948">
        <v>0.50059430000000005</v>
      </c>
      <c r="F1948" t="s">
        <v>70</v>
      </c>
      <c r="G1948">
        <v>-322.3109</v>
      </c>
      <c r="H1948" s="1">
        <v>-2.6362939999999998E-7</v>
      </c>
      <c r="I1948">
        <v>283.6234</v>
      </c>
      <c r="J1948">
        <v>-291.88139999999999</v>
      </c>
      <c r="K1948">
        <v>1.1095950000000001</v>
      </c>
      <c r="L1948">
        <v>283.9051</v>
      </c>
      <c r="M1948">
        <v>-0.99937200000000004</v>
      </c>
      <c r="N1948">
        <v>0</v>
      </c>
      <c r="O1948">
        <v>-3.3179859999999999E-2</v>
      </c>
      <c r="P1948">
        <v>-0.99976810000000005</v>
      </c>
      <c r="Q1948">
        <v>1.9962400000000002E-2</v>
      </c>
      <c r="R1948">
        <v>-8.0803619999999902E-3</v>
      </c>
      <c r="S1948">
        <v>-3.0025940000000002</v>
      </c>
      <c r="T1948">
        <v>-0.1088282</v>
      </c>
      <c r="U1948">
        <v>-2.8198239999999999E-2</v>
      </c>
      <c r="V1948">
        <v>2.513259E-2</v>
      </c>
      <c r="W1948">
        <v>3.2369990000000001E-2</v>
      </c>
      <c r="X1948">
        <v>0.99915989999999999</v>
      </c>
      <c r="Y1948">
        <v>2.3757879999999999E-2</v>
      </c>
      <c r="Z1948">
        <v>1.6324519999999999E-3</v>
      </c>
      <c r="AA1948">
        <v>0.99971639999999995</v>
      </c>
      <c r="AB1948">
        <v>30</v>
      </c>
      <c r="AC1948">
        <v>-30.429500000000001</v>
      </c>
      <c r="AD1948">
        <v>-1.1095952636294</v>
      </c>
      <c r="AE1948">
        <v>-0.28170000000000001</v>
      </c>
      <c r="AF1948">
        <v>0.72721292452487896</v>
      </c>
      <c r="AG1948">
        <v>-1.1095952636294</v>
      </c>
      <c r="AH1948">
        <v>30.3816965510362</v>
      </c>
      <c r="AI1948">
        <v>92.091018904907898</v>
      </c>
      <c r="AJ1948">
        <v>88.628836384649603</v>
      </c>
      <c r="AK1948">
        <v>30.410648227321801</v>
      </c>
      <c r="AL1948">
        <v>88.145012117487596</v>
      </c>
      <c r="AM1948">
        <v>88.559101749741899</v>
      </c>
      <c r="AN1948">
        <v>0.99999998455035899</v>
      </c>
    </row>
    <row r="1949" spans="1:40" x14ac:dyDescent="0.25">
      <c r="A1949" t="str">
        <f>"20190312160333665"</f>
        <v>20190312160333665</v>
      </c>
      <c r="B1949" t="str">
        <f>"1552377813656682"</f>
        <v>1552377813656682</v>
      </c>
      <c r="C1949" t="s">
        <v>40</v>
      </c>
      <c r="D1949">
        <v>5.5648019999999896</v>
      </c>
      <c r="E1949">
        <v>0.50054160000000003</v>
      </c>
      <c r="F1949" t="s">
        <v>70</v>
      </c>
      <c r="G1949">
        <v>-322.85050000000001</v>
      </c>
      <c r="H1949" s="1">
        <v>2.395704E-8</v>
      </c>
      <c r="I1949">
        <v>283.613</v>
      </c>
      <c r="J1949">
        <v>-292.1311</v>
      </c>
      <c r="K1949">
        <v>1.1095969999999999</v>
      </c>
      <c r="L1949">
        <v>283.8972</v>
      </c>
      <c r="M1949">
        <v>-0.99938629999999995</v>
      </c>
      <c r="N1949">
        <v>0</v>
      </c>
      <c r="O1949">
        <v>-3.2745690000000001E-2</v>
      </c>
      <c r="P1949">
        <v>-0.99975930000000002</v>
      </c>
      <c r="Q1949">
        <v>2.0334069999999999E-2</v>
      </c>
      <c r="R1949">
        <v>-8.2511549999999996E-3</v>
      </c>
      <c r="S1949">
        <v>-3.0026250000000001</v>
      </c>
      <c r="T1949">
        <v>-0.1075815</v>
      </c>
      <c r="U1949">
        <v>-2.8320310000000001E-2</v>
      </c>
      <c r="V1949">
        <v>2.452799E-2</v>
      </c>
      <c r="W1949">
        <v>3.274171E-2</v>
      </c>
      <c r="X1949">
        <v>0.99916289999999996</v>
      </c>
      <c r="Y1949">
        <v>2.328444E-2</v>
      </c>
      <c r="Z1949">
        <v>1.589724E-3</v>
      </c>
      <c r="AA1949">
        <v>0.99972760000000005</v>
      </c>
      <c r="AB1949">
        <v>30</v>
      </c>
      <c r="AC1949">
        <v>-30.7194</v>
      </c>
      <c r="AD1949">
        <v>-1.10959697604296</v>
      </c>
      <c r="AE1949">
        <v>-0.28419999999999801</v>
      </c>
      <c r="AF1949">
        <v>0.72101760508443202</v>
      </c>
      <c r="AG1949">
        <v>-1.10959697604296</v>
      </c>
      <c r="AH1949">
        <v>30.672216074706899</v>
      </c>
      <c r="AI1949">
        <v>92.071254858697699</v>
      </c>
      <c r="AJ1949">
        <v>88.653385240318002</v>
      </c>
      <c r="AK1949">
        <v>30.7007477232981</v>
      </c>
      <c r="AL1949">
        <v>88.123702997032794</v>
      </c>
      <c r="AM1949">
        <v>88.5937547255689</v>
      </c>
      <c r="AN1949">
        <v>1.00000007130178</v>
      </c>
    </row>
    <row r="1950" spans="1:40" x14ac:dyDescent="0.25">
      <c r="A1950" t="str">
        <f>"20190312160333679"</f>
        <v>20190312160333679</v>
      </c>
      <c r="B1950" t="str">
        <f>"1552377813666442"</f>
        <v>1552377813666442</v>
      </c>
      <c r="C1950" t="s">
        <v>40</v>
      </c>
      <c r="D1950">
        <v>5.4217639999999996</v>
      </c>
      <c r="E1950">
        <v>0.5005366</v>
      </c>
      <c r="F1950" t="s">
        <v>70</v>
      </c>
      <c r="G1950">
        <v>-323.53680000000003</v>
      </c>
      <c r="H1950" s="1">
        <v>3.9005529999999998E-7</v>
      </c>
      <c r="I1950">
        <v>283.59300000000002</v>
      </c>
      <c r="J1950">
        <v>-292.29640000000001</v>
      </c>
      <c r="K1950">
        <v>1.1095969999999999</v>
      </c>
      <c r="L1950">
        <v>283.8922</v>
      </c>
      <c r="M1950">
        <v>-0.99939579999999995</v>
      </c>
      <c r="N1950">
        <v>0</v>
      </c>
      <c r="O1950">
        <v>-3.2454429999999999E-2</v>
      </c>
      <c r="P1950">
        <v>-0.99975840000000005</v>
      </c>
      <c r="Q1950">
        <v>2.0363599999999999E-2</v>
      </c>
      <c r="R1950">
        <v>-8.2995580000000003E-3</v>
      </c>
      <c r="S1950">
        <v>-3.0026549999999999</v>
      </c>
      <c r="T1950">
        <v>-0.1060869</v>
      </c>
      <c r="U1950">
        <v>-2.9083250000000001E-2</v>
      </c>
      <c r="V1950">
        <v>2.4188580000000001E-2</v>
      </c>
      <c r="W1950">
        <v>3.2771260000000003E-2</v>
      </c>
      <c r="X1950">
        <v>0.99917009999999995</v>
      </c>
      <c r="Y1950">
        <v>2.2740699999999999E-2</v>
      </c>
      <c r="Z1950">
        <v>1.5477479999999901E-3</v>
      </c>
      <c r="AA1950">
        <v>0.99974019999999997</v>
      </c>
      <c r="AB1950">
        <v>30</v>
      </c>
      <c r="AC1950">
        <v>-31.240400000000001</v>
      </c>
      <c r="AD1950">
        <v>-1.1095966099447001</v>
      </c>
      <c r="AE1950">
        <v>-0.29919999999998398</v>
      </c>
      <c r="AF1950">
        <v>0.71402478927813595</v>
      </c>
      <c r="AG1950">
        <v>-1.1095966099447001</v>
      </c>
      <c r="AH1950">
        <v>31.194302740640602</v>
      </c>
      <c r="AI1950">
        <v>92.0366469967217</v>
      </c>
      <c r="AJ1950">
        <v>88.688752088203799</v>
      </c>
      <c r="AK1950">
        <v>31.222196583700601</v>
      </c>
      <c r="AL1950">
        <v>88.122008799620104</v>
      </c>
      <c r="AM1950">
        <v>88.613216207311197</v>
      </c>
      <c r="AN1950">
        <v>0.99999996580920603</v>
      </c>
    </row>
    <row r="1951" spans="1:40" x14ac:dyDescent="0.25">
      <c r="A1951" t="str">
        <f>"20190312160333690"</f>
        <v>20190312160333690</v>
      </c>
      <c r="B1951" t="str">
        <f>"1552377813685962"</f>
        <v>1552377813685962</v>
      </c>
      <c r="C1951" t="s">
        <v>40</v>
      </c>
      <c r="D1951">
        <v>5.5832090000000001</v>
      </c>
      <c r="E1951">
        <v>0.50049030000000005</v>
      </c>
      <c r="F1951" t="s">
        <v>70</v>
      </c>
      <c r="G1951">
        <v>-323.82889999999998</v>
      </c>
      <c r="H1951" s="1">
        <v>5.4577099999999997E-7</v>
      </c>
      <c r="I1951">
        <v>283.58640000000003</v>
      </c>
      <c r="J1951">
        <v>-292.46230000000003</v>
      </c>
      <c r="K1951">
        <v>1.109594</v>
      </c>
      <c r="L1951">
        <v>283.88709999999998</v>
      </c>
      <c r="M1951">
        <v>-0.99940530000000005</v>
      </c>
      <c r="N1951">
        <v>0</v>
      </c>
      <c r="O1951">
        <v>-3.2159340000000002E-2</v>
      </c>
      <c r="P1951">
        <v>-0.99975369999999997</v>
      </c>
      <c r="Q1951">
        <v>2.0482150000000001E-2</v>
      </c>
      <c r="R1951">
        <v>-8.5418630000000002E-3</v>
      </c>
      <c r="S1951">
        <v>-3.0026549999999999</v>
      </c>
      <c r="T1951">
        <v>-0.10566059999999999</v>
      </c>
      <c r="U1951">
        <v>-2.9113770000000001E-2</v>
      </c>
      <c r="V1951">
        <v>2.365157E-2</v>
      </c>
      <c r="W1951">
        <v>3.2890410000000002E-2</v>
      </c>
      <c r="X1951">
        <v>0.99917909999999999</v>
      </c>
      <c r="Y1951">
        <v>2.2436000000000001E-2</v>
      </c>
      <c r="Z1951">
        <v>1.5257960000000001E-3</v>
      </c>
      <c r="AA1951">
        <v>0.9997471</v>
      </c>
      <c r="AB1951">
        <v>30</v>
      </c>
      <c r="AC1951">
        <v>-31.366599999999899</v>
      </c>
      <c r="AD1951">
        <v>-1.109593454229</v>
      </c>
      <c r="AE1951">
        <v>-0.30069999999994901</v>
      </c>
      <c r="AF1951">
        <v>0.70737768578242299</v>
      </c>
      <c r="AG1951">
        <v>-1.109593454229</v>
      </c>
      <c r="AH1951">
        <v>31.320853302492601</v>
      </c>
      <c r="AI1951">
        <v>92.028433170555701</v>
      </c>
      <c r="AJ1951">
        <v>88.706201694496201</v>
      </c>
      <c r="AK1951">
        <v>31.348483733990602</v>
      </c>
      <c r="AL1951">
        <v>88.115178436431705</v>
      </c>
      <c r="AM1951">
        <v>88.644004740018502</v>
      </c>
      <c r="AN1951">
        <v>1.00000002485512</v>
      </c>
    </row>
    <row r="1952" spans="1:40" x14ac:dyDescent="0.25">
      <c r="A1952" t="str">
        <f>"20190312160333703"</f>
        <v>20190312160333703</v>
      </c>
      <c r="B1952" t="str">
        <f>"1552377813696698"</f>
        <v>1552377813696698</v>
      </c>
      <c r="C1952" t="s">
        <v>40</v>
      </c>
      <c r="D1952">
        <v>5.4847570000000001</v>
      </c>
      <c r="E1952">
        <v>0.50040750000000001</v>
      </c>
      <c r="F1952" t="s">
        <v>70</v>
      </c>
      <c r="G1952">
        <v>-324.39589999999998</v>
      </c>
      <c r="H1952" s="1">
        <v>8.4833740000000003E-7</v>
      </c>
      <c r="I1952">
        <v>283.56709999999998</v>
      </c>
      <c r="J1952">
        <v>-292.63319999999999</v>
      </c>
      <c r="K1952">
        <v>1.1095889999999999</v>
      </c>
      <c r="L1952">
        <v>283.88189999999997</v>
      </c>
      <c r="M1952">
        <v>-0.99941530000000001</v>
      </c>
      <c r="N1952">
        <v>0</v>
      </c>
      <c r="O1952">
        <v>-3.1849339999999997E-2</v>
      </c>
      <c r="P1952">
        <v>-0.9997492</v>
      </c>
      <c r="Q1952">
        <v>2.0696099999999999E-2</v>
      </c>
      <c r="R1952">
        <v>-8.5459019999999993E-3</v>
      </c>
      <c r="S1952">
        <v>-3.0026250000000001</v>
      </c>
      <c r="T1952">
        <v>-0.1043321</v>
      </c>
      <c r="U1952">
        <v>-3.0090329999999998E-2</v>
      </c>
      <c r="V1952">
        <v>2.333797E-2</v>
      </c>
      <c r="W1952">
        <v>3.3104399999999999E-2</v>
      </c>
      <c r="X1952">
        <v>0.99917940000000005</v>
      </c>
      <c r="Y1952">
        <v>2.180207E-2</v>
      </c>
      <c r="Z1952">
        <v>1.4848610000000001E-3</v>
      </c>
      <c r="AA1952">
        <v>0.99976120000000002</v>
      </c>
      <c r="AB1952">
        <v>30</v>
      </c>
      <c r="AC1952">
        <v>-31.762699999999899</v>
      </c>
      <c r="AD1952">
        <v>-1.1095881516625901</v>
      </c>
      <c r="AE1952">
        <v>-0.31479999999999098</v>
      </c>
      <c r="AF1952">
        <v>0.69620946263557304</v>
      </c>
      <c r="AG1952">
        <v>-1.1095881516625901</v>
      </c>
      <c r="AH1952">
        <v>31.7179070982883</v>
      </c>
      <c r="AI1952">
        <v>92.003080196144893</v>
      </c>
      <c r="AJ1952">
        <v>88.742557028663498</v>
      </c>
      <c r="AK1952">
        <v>31.744944860210701</v>
      </c>
      <c r="AL1952">
        <v>88.102911019027502</v>
      </c>
      <c r="AM1952">
        <v>88.661977922571197</v>
      </c>
      <c r="AN1952">
        <v>1.0000000177637201</v>
      </c>
    </row>
    <row r="1953" spans="1:40" x14ac:dyDescent="0.25">
      <c r="A1953" t="str">
        <f>"20190312160333716"</f>
        <v>20190312160333716</v>
      </c>
      <c r="B1953" t="str">
        <f>"1552377813706459"</f>
        <v>1552377813706459</v>
      </c>
      <c r="C1953" t="s">
        <v>40</v>
      </c>
      <c r="D1953">
        <v>5.6596449999999896</v>
      </c>
      <c r="E1953">
        <v>0.50035109999999905</v>
      </c>
      <c r="F1953" t="s">
        <v>70</v>
      </c>
      <c r="G1953">
        <v>-324.85309999999998</v>
      </c>
      <c r="H1953" s="1">
        <v>1.092219E-6</v>
      </c>
      <c r="I1953">
        <v>283.55340000000001</v>
      </c>
      <c r="J1953">
        <v>-292.79849999999999</v>
      </c>
      <c r="K1953">
        <v>1.109577</v>
      </c>
      <c r="L1953">
        <v>283.87689999999998</v>
      </c>
      <c r="M1953">
        <v>-0.99942509999999996</v>
      </c>
      <c r="N1953">
        <v>0</v>
      </c>
      <c r="O1953">
        <v>-3.1543120000000001E-2</v>
      </c>
      <c r="P1953">
        <v>-0.9997492</v>
      </c>
      <c r="Q1953">
        <v>2.073094E-2</v>
      </c>
      <c r="R1953">
        <v>-8.4877689999999992E-3</v>
      </c>
      <c r="S1953">
        <v>-3.0026250000000001</v>
      </c>
      <c r="T1953">
        <v>-0.10340439999999999</v>
      </c>
      <c r="U1953">
        <v>-3.0609129999999998E-2</v>
      </c>
      <c r="V1953">
        <v>2.3090360000000001E-2</v>
      </c>
      <c r="W1953">
        <v>3.3139189999999999E-2</v>
      </c>
      <c r="X1953">
        <v>0.99918399999999996</v>
      </c>
      <c r="Y1953">
        <v>2.1324070000000001E-2</v>
      </c>
      <c r="Z1953">
        <v>1.45289799999999E-3</v>
      </c>
      <c r="AA1953">
        <v>0.99977150000000004</v>
      </c>
      <c r="AB1953">
        <v>30</v>
      </c>
      <c r="AC1953">
        <v>-32.054599999999901</v>
      </c>
      <c r="AD1953">
        <v>-1.1095759077809999</v>
      </c>
      <c r="AE1953">
        <v>-0.32349999999996698</v>
      </c>
      <c r="AF1953">
        <v>0.68701810382180895</v>
      </c>
      <c r="AG1953">
        <v>-1.1095759077809999</v>
      </c>
      <c r="AH1953">
        <v>32.010500467807503</v>
      </c>
      <c r="AI1953">
        <v>91.984784769527593</v>
      </c>
      <c r="AJ1953">
        <v>88.7704910907064</v>
      </c>
      <c r="AK1953">
        <v>32.037092451869199</v>
      </c>
      <c r="AL1953">
        <v>88.100916605522798</v>
      </c>
      <c r="AM1953">
        <v>88.676175014251299</v>
      </c>
      <c r="AN1953">
        <v>1.00000001824739</v>
      </c>
    </row>
    <row r="1954" spans="1:40" x14ac:dyDescent="0.25">
      <c r="A1954" t="str">
        <f>"20190312160333735"</f>
        <v>20190312160333735</v>
      </c>
      <c r="B1954" t="str">
        <f>"1552377813725980"</f>
        <v>1552377813725980</v>
      </c>
      <c r="C1954" t="s">
        <v>40</v>
      </c>
      <c r="D1954">
        <v>6.2629890000000001</v>
      </c>
      <c r="E1954">
        <v>0.50021610000000005</v>
      </c>
      <c r="F1954" t="s">
        <v>70</v>
      </c>
      <c r="G1954">
        <v>-325.15839999999997</v>
      </c>
      <c r="H1954" s="1">
        <v>1.2550860000000001E-6</v>
      </c>
      <c r="I1954">
        <v>283.54469999999998</v>
      </c>
      <c r="J1954">
        <v>-293.05849999999998</v>
      </c>
      <c r="K1954">
        <v>1.1095649999999999</v>
      </c>
      <c r="L1954">
        <v>283.86930000000001</v>
      </c>
      <c r="M1954">
        <v>-0.99944040000000001</v>
      </c>
      <c r="N1954">
        <v>0</v>
      </c>
      <c r="O1954">
        <v>-3.104873E-2</v>
      </c>
      <c r="P1954">
        <v>-0.99975939999999996</v>
      </c>
      <c r="Q1954">
        <v>2.030858E-2</v>
      </c>
      <c r="R1954">
        <v>-8.292832E-3</v>
      </c>
      <c r="S1954">
        <v>-3.0025940000000002</v>
      </c>
      <c r="T1954">
        <v>-0.1029547</v>
      </c>
      <c r="U1954">
        <v>-3.0822749999999999E-2</v>
      </c>
      <c r="V1954">
        <v>2.279165E-2</v>
      </c>
      <c r="W1954">
        <v>3.2716460000000003E-2</v>
      </c>
      <c r="X1954">
        <v>0.9992048</v>
      </c>
      <c r="Y1954">
        <v>2.0759179999999999E-2</v>
      </c>
      <c r="Z1954">
        <v>1.4199760000000001E-3</v>
      </c>
      <c r="AA1954">
        <v>0.99978350000000005</v>
      </c>
      <c r="AB1954">
        <v>30</v>
      </c>
      <c r="AC1954">
        <v>-32.099899999999899</v>
      </c>
      <c r="AD1954">
        <v>-1.1095637449139999</v>
      </c>
      <c r="AE1954">
        <v>-0.32460000000003197</v>
      </c>
      <c r="AF1954">
        <v>0.67149261224200096</v>
      </c>
      <c r="AG1954">
        <v>-1.1095637449139999</v>
      </c>
      <c r="AH1954">
        <v>32.056203531493402</v>
      </c>
      <c r="AI1954">
        <v>91.981957192337802</v>
      </c>
      <c r="AJ1954">
        <v>88.7999805782392</v>
      </c>
      <c r="AK1954">
        <v>32.082428506658403</v>
      </c>
      <c r="AL1954">
        <v>88.125150411887105</v>
      </c>
      <c r="AM1954">
        <v>88.693321980507207</v>
      </c>
      <c r="AN1954">
        <v>1.00000002920384</v>
      </c>
    </row>
    <row r="1955" spans="1:40" x14ac:dyDescent="0.25">
      <c r="A1955" t="str">
        <f>"20190312160333748"</f>
        <v>20190312160333748</v>
      </c>
      <c r="B1955" t="str">
        <f>"1552377813736715"</f>
        <v>1552377813736715</v>
      </c>
      <c r="C1955" t="s">
        <v>40</v>
      </c>
      <c r="D1955">
        <v>5.5265190000000004</v>
      </c>
      <c r="E1955">
        <v>0.50018629999999997</v>
      </c>
      <c r="F1955" t="s">
        <v>70</v>
      </c>
      <c r="G1955">
        <v>-325.2647</v>
      </c>
      <c r="H1955" s="1">
        <v>1.3122819999999901E-6</v>
      </c>
      <c r="I1955">
        <v>283.5308</v>
      </c>
      <c r="J1955">
        <v>-293.23110000000003</v>
      </c>
      <c r="K1955">
        <v>1.1095569999999999</v>
      </c>
      <c r="L1955">
        <v>283.86419999999998</v>
      </c>
      <c r="M1955">
        <v>-0.99945090000000003</v>
      </c>
      <c r="N1955">
        <v>0</v>
      </c>
      <c r="O1955">
        <v>-3.0712079999999999E-2</v>
      </c>
      <c r="P1955">
        <v>-0.99976339999999997</v>
      </c>
      <c r="Q1955">
        <v>2.0229899999999999E-2</v>
      </c>
      <c r="R1955">
        <v>-7.9850579999999997E-3</v>
      </c>
      <c r="S1955">
        <v>-3.0025629999999999</v>
      </c>
      <c r="T1955">
        <v>-0.10344390000000001</v>
      </c>
      <c r="U1955">
        <v>-3.1555180000000002E-2</v>
      </c>
      <c r="V1955">
        <v>2.2763200000000001E-2</v>
      </c>
      <c r="W1955">
        <v>3.2637340000000001E-2</v>
      </c>
      <c r="X1955">
        <v>0.99920799999999999</v>
      </c>
      <c r="Y1955">
        <v>2.0178700000000001E-2</v>
      </c>
      <c r="Z1955">
        <v>1.4051440000000001E-3</v>
      </c>
      <c r="AA1955">
        <v>0.9997954</v>
      </c>
      <c r="AB1955">
        <v>30</v>
      </c>
      <c r="AC1955">
        <v>-32.0335999999999</v>
      </c>
      <c r="AD1955">
        <v>-1.1095556877179999</v>
      </c>
      <c r="AE1955">
        <v>-0.33339999999998299</v>
      </c>
      <c r="AF1955">
        <v>0.64987228228329896</v>
      </c>
      <c r="AG1955">
        <v>-1.1095556877179999</v>
      </c>
      <c r="AH1955">
        <v>31.990350832362701</v>
      </c>
      <c r="AI1955">
        <v>91.986045305045195</v>
      </c>
      <c r="AJ1955">
        <v>88.836217259138493</v>
      </c>
      <c r="AK1955">
        <v>32.016183316958198</v>
      </c>
      <c r="AL1955">
        <v>88.129686008754504</v>
      </c>
      <c r="AM1955">
        <v>88.694956673434007</v>
      </c>
      <c r="AN1955">
        <v>0.99999999325025701</v>
      </c>
    </row>
    <row r="1956" spans="1:40" x14ac:dyDescent="0.25">
      <c r="A1956" t="str">
        <f>"20190312160333760"</f>
        <v>20190312160333760</v>
      </c>
      <c r="B1956" t="str">
        <f>"1552377813756237"</f>
        <v>1552377813756237</v>
      </c>
      <c r="C1956" t="s">
        <v>40</v>
      </c>
      <c r="D1956">
        <v>5.7086680000000003</v>
      </c>
      <c r="E1956">
        <v>0.50009110000000001</v>
      </c>
      <c r="F1956" t="s">
        <v>70</v>
      </c>
      <c r="G1956">
        <v>-325.36239999999998</v>
      </c>
      <c r="H1956" s="1">
        <v>1.364016E-6</v>
      </c>
      <c r="I1956">
        <v>283.536</v>
      </c>
      <c r="J1956">
        <v>-293.38260000000002</v>
      </c>
      <c r="K1956">
        <v>1.1095459999999999</v>
      </c>
      <c r="L1956">
        <v>283.85989999999998</v>
      </c>
      <c r="M1956">
        <v>-0.99946029999999997</v>
      </c>
      <c r="N1956">
        <v>0</v>
      </c>
      <c r="O1956">
        <v>-3.040667E-2</v>
      </c>
      <c r="P1956">
        <v>-0.99976500000000001</v>
      </c>
      <c r="Q1956">
        <v>2.0266220000000001E-2</v>
      </c>
      <c r="R1956">
        <v>-7.7318469999999896E-3</v>
      </c>
      <c r="S1956">
        <v>-3.0025629999999999</v>
      </c>
      <c r="T1956">
        <v>-0.10368429999999999</v>
      </c>
      <c r="U1956">
        <v>-3.067017E-2</v>
      </c>
      <c r="V1956">
        <v>2.2711889999999998E-2</v>
      </c>
      <c r="W1956">
        <v>3.2672619999999999E-2</v>
      </c>
      <c r="X1956">
        <v>0.99920799999999999</v>
      </c>
      <c r="Y1956">
        <v>2.0167890000000001E-2</v>
      </c>
      <c r="Z1956">
        <v>1.3976850000000001E-3</v>
      </c>
      <c r="AA1956">
        <v>0.99979560000000001</v>
      </c>
      <c r="AB1956">
        <v>30</v>
      </c>
      <c r="AC1956">
        <v>-31.979799999999901</v>
      </c>
      <c r="AD1956">
        <v>-1.109544635984</v>
      </c>
      <c r="AE1956">
        <v>-0.32389999999997998</v>
      </c>
      <c r="AF1956">
        <v>0.64794427786834397</v>
      </c>
      <c r="AG1956">
        <v>-1.109544635984</v>
      </c>
      <c r="AH1956">
        <v>31.9364203860465</v>
      </c>
      <c r="AI1956">
        <v>91.989377662614501</v>
      </c>
      <c r="AJ1956">
        <v>88.837710066107107</v>
      </c>
      <c r="AK1956">
        <v>31.962256931586499</v>
      </c>
      <c r="AL1956">
        <v>88.127663507683906</v>
      </c>
      <c r="AM1956">
        <v>88.697897327366903</v>
      </c>
      <c r="AN1956">
        <v>0.99999997865451795</v>
      </c>
    </row>
    <row r="1957" spans="1:40" x14ac:dyDescent="0.25">
      <c r="A1957" t="str">
        <f>"20190312160333778"</f>
        <v>20190312160333778</v>
      </c>
      <c r="B1957" t="str">
        <f>"1552377813765994"</f>
        <v>1552377813765994</v>
      </c>
      <c r="C1957" t="s">
        <v>40</v>
      </c>
      <c r="D1957">
        <v>5.7076140000000004</v>
      </c>
      <c r="E1957">
        <v>0.50003520000000001</v>
      </c>
      <c r="F1957" t="s">
        <v>70</v>
      </c>
      <c r="G1957">
        <v>-325.67770000000002</v>
      </c>
      <c r="H1957" s="1">
        <v>1.532143E-6</v>
      </c>
      <c r="I1957">
        <v>283.52910000000003</v>
      </c>
      <c r="J1957">
        <v>-293.62189999999998</v>
      </c>
      <c r="K1957">
        <v>1.109531</v>
      </c>
      <c r="L1957">
        <v>283.85309999999998</v>
      </c>
      <c r="M1957">
        <v>-0.99947529999999996</v>
      </c>
      <c r="N1957">
        <v>0</v>
      </c>
      <c r="O1957">
        <v>-2.9912109999999999E-2</v>
      </c>
      <c r="P1957">
        <v>-0.99977369999999999</v>
      </c>
      <c r="Q1957">
        <v>1.9998100000000001E-2</v>
      </c>
      <c r="R1957">
        <v>-7.27056199999999E-3</v>
      </c>
      <c r="S1957">
        <v>-3.0025330000000001</v>
      </c>
      <c r="T1957">
        <v>-0.10315630000000001</v>
      </c>
      <c r="U1957">
        <v>-3.0761719999999999E-2</v>
      </c>
      <c r="V1957">
        <v>2.2679640000000001E-2</v>
      </c>
      <c r="W1957">
        <v>3.240382E-2</v>
      </c>
      <c r="X1957">
        <v>0.99921749999999998</v>
      </c>
      <c r="Y1957">
        <v>1.964349E-2</v>
      </c>
      <c r="Z1957">
        <v>1.3646000000000001E-3</v>
      </c>
      <c r="AA1957">
        <v>0.99980610000000003</v>
      </c>
      <c r="AB1957">
        <v>30</v>
      </c>
      <c r="AC1957">
        <v>-32.055799999999998</v>
      </c>
      <c r="AD1957">
        <v>-1.109529467857</v>
      </c>
      <c r="AE1957">
        <v>-0.32399999999995499</v>
      </c>
      <c r="AF1957">
        <v>0.63431579916742897</v>
      </c>
      <c r="AG1957">
        <v>-1.109529467857</v>
      </c>
      <c r="AH1957">
        <v>32.012798047203397</v>
      </c>
      <c r="AI1957">
        <v>91.984626846100497</v>
      </c>
      <c r="AJ1957">
        <v>88.864864516954398</v>
      </c>
      <c r="AK1957">
        <v>32.038299751768101</v>
      </c>
      <c r="AL1957">
        <v>88.1430727995034</v>
      </c>
      <c r="AM1957">
        <v>88.699757985145794</v>
      </c>
      <c r="AN1957">
        <v>0.99999999296368602</v>
      </c>
    </row>
    <row r="1958" spans="1:40" x14ac:dyDescent="0.25">
      <c r="A1958" t="str">
        <f>"20190312160333791"</f>
        <v>20190312160333791</v>
      </c>
      <c r="B1958" t="str">
        <f>"1552377813786490"</f>
        <v>1552377813786490</v>
      </c>
      <c r="C1958" t="s">
        <v>40</v>
      </c>
      <c r="D1958">
        <v>5.496264</v>
      </c>
      <c r="E1958">
        <v>0.49990440000000003</v>
      </c>
      <c r="F1958" t="s">
        <v>70</v>
      </c>
      <c r="G1958">
        <v>-325.78100000000001</v>
      </c>
      <c r="H1958" s="1">
        <v>1.586763E-6</v>
      </c>
      <c r="I1958">
        <v>283.53640000000001</v>
      </c>
      <c r="J1958">
        <v>-293.79379999999998</v>
      </c>
      <c r="K1958">
        <v>1.1095219999999999</v>
      </c>
      <c r="L1958">
        <v>283.84840000000003</v>
      </c>
      <c r="M1958">
        <v>-0.99948599999999999</v>
      </c>
      <c r="N1958">
        <v>0</v>
      </c>
      <c r="O1958">
        <v>-2.9546719999999999E-2</v>
      </c>
      <c r="P1958">
        <v>-0.99977609999999995</v>
      </c>
      <c r="Q1958">
        <v>2.0022120000000001E-2</v>
      </c>
      <c r="R1958">
        <v>-6.8374500000000001E-3</v>
      </c>
      <c r="S1958">
        <v>-3.0025019999999998</v>
      </c>
      <c r="T1958">
        <v>-0.1035904</v>
      </c>
      <c r="U1958">
        <v>-2.9571529999999999E-2</v>
      </c>
      <c r="V1958">
        <v>2.2747949999999999E-2</v>
      </c>
      <c r="W1958">
        <v>3.2427169999999998E-2</v>
      </c>
      <c r="X1958">
        <v>0.99921519999999997</v>
      </c>
      <c r="Y1958">
        <v>1.96741E-2</v>
      </c>
      <c r="Z1958">
        <v>1.358286E-3</v>
      </c>
      <c r="AA1958">
        <v>0.99980550000000001</v>
      </c>
      <c r="AB1958">
        <v>30</v>
      </c>
      <c r="AC1958">
        <v>-31.987200000000001</v>
      </c>
      <c r="AD1958">
        <v>-1.10952041323699</v>
      </c>
      <c r="AE1958">
        <v>-0.31200000000001099</v>
      </c>
      <c r="AF1958">
        <v>0.63256521268261401</v>
      </c>
      <c r="AG1958">
        <v>-1.10952041323699</v>
      </c>
      <c r="AH1958">
        <v>31.944021878950199</v>
      </c>
      <c r="AI1958">
        <v>91.988880622321204</v>
      </c>
      <c r="AJ1958">
        <v>88.865559858854496</v>
      </c>
      <c r="AK1958">
        <v>31.969543445262602</v>
      </c>
      <c r="AL1958">
        <v>88.141734258718202</v>
      </c>
      <c r="AM1958">
        <v>88.695840067498096</v>
      </c>
      <c r="AN1958">
        <v>1.00000000324722</v>
      </c>
    </row>
    <row r="1959" spans="1:40" x14ac:dyDescent="0.25">
      <c r="A1959" t="str">
        <f>"20190312160333803"</f>
        <v>20190312160333803</v>
      </c>
      <c r="B1959" t="str">
        <f>"1552377813796251"</f>
        <v>1552377813796251</v>
      </c>
      <c r="C1959" t="s">
        <v>40</v>
      </c>
      <c r="D1959">
        <v>6.623405</v>
      </c>
      <c r="E1959">
        <v>0.49982959999999899</v>
      </c>
      <c r="F1959" t="s">
        <v>70</v>
      </c>
      <c r="G1959">
        <v>-326.18279999999999</v>
      </c>
      <c r="H1959" s="1">
        <v>1.8007899999999999E-6</v>
      </c>
      <c r="I1959">
        <v>283.5324</v>
      </c>
      <c r="J1959">
        <v>-293.95519999999999</v>
      </c>
      <c r="K1959">
        <v>1.10951</v>
      </c>
      <c r="L1959">
        <v>283.84399999999999</v>
      </c>
      <c r="M1959">
        <v>-0.99949639999999995</v>
      </c>
      <c r="N1959">
        <v>0</v>
      </c>
      <c r="O1959">
        <v>-2.9192880000000001E-2</v>
      </c>
      <c r="P1959">
        <v>-0.99977579999999999</v>
      </c>
      <c r="Q1959">
        <v>2.012945E-2</v>
      </c>
      <c r="R1959">
        <v>-6.5624740000000004E-3</v>
      </c>
      <c r="S1959">
        <v>-3.0025019999999998</v>
      </c>
      <c r="T1959">
        <v>-0.1028539</v>
      </c>
      <c r="U1959">
        <v>-2.9296880000000001E-2</v>
      </c>
      <c r="V1959">
        <v>2.2670019999999999E-2</v>
      </c>
      <c r="W1959">
        <v>3.253441E-2</v>
      </c>
      <c r="X1959">
        <v>0.99921349999999998</v>
      </c>
      <c r="Y1959">
        <v>1.9412390000000002E-2</v>
      </c>
      <c r="Z1959">
        <v>1.3320420000000001E-3</v>
      </c>
      <c r="AA1959">
        <v>0.99981070000000005</v>
      </c>
      <c r="AB1959">
        <v>30</v>
      </c>
      <c r="AC1959">
        <v>-32.227599999999903</v>
      </c>
      <c r="AD1959">
        <v>-1.10950819921</v>
      </c>
      <c r="AE1959">
        <v>-0.31159999999999799</v>
      </c>
      <c r="AF1959">
        <v>0.62867701445921897</v>
      </c>
      <c r="AG1959">
        <v>-1.10950819921</v>
      </c>
      <c r="AH1959">
        <v>32.184816520180703</v>
      </c>
      <c r="AI1959">
        <v>91.974001101830794</v>
      </c>
      <c r="AJ1959">
        <v>88.880964276996394</v>
      </c>
      <c r="AK1959">
        <v>32.210070749228699</v>
      </c>
      <c r="AL1959">
        <v>88.135586643320494</v>
      </c>
      <c r="AM1959">
        <v>88.700304117203999</v>
      </c>
      <c r="AN1959">
        <v>1.00000001811154</v>
      </c>
    </row>
    <row r="1960" spans="1:40" x14ac:dyDescent="0.25">
      <c r="A1960" t="str">
        <f>"20190312160333814"</f>
        <v>20190312160333814</v>
      </c>
      <c r="B1960" t="str">
        <f>"1552377813806986"</f>
        <v>1552377813806986</v>
      </c>
      <c r="C1960" t="s">
        <v>40</v>
      </c>
      <c r="D1960">
        <v>5.5331320000000002</v>
      </c>
      <c r="E1960">
        <v>0.49976860000000001</v>
      </c>
      <c r="F1960" t="s">
        <v>70</v>
      </c>
      <c r="G1960">
        <v>-326.50259999999997</v>
      </c>
      <c r="H1960" s="1">
        <v>1.9710720000000001E-6</v>
      </c>
      <c r="I1960">
        <v>283.52980000000002</v>
      </c>
      <c r="J1960">
        <v>-294.11189999999999</v>
      </c>
      <c r="K1960">
        <v>1.109494</v>
      </c>
      <c r="L1960">
        <v>283.83980000000003</v>
      </c>
      <c r="M1960">
        <v>-0.99950669999999997</v>
      </c>
      <c r="N1960">
        <v>0</v>
      </c>
      <c r="O1960">
        <v>-2.8839759999999999E-2</v>
      </c>
      <c r="P1960">
        <v>-0.99977369999999999</v>
      </c>
      <c r="Q1960">
        <v>2.0280510000000002E-2</v>
      </c>
      <c r="R1960">
        <v>-6.4299769999999999E-3</v>
      </c>
      <c r="S1960">
        <v>-3.0025330000000001</v>
      </c>
      <c r="T1960">
        <v>-0.10235329999999999</v>
      </c>
      <c r="U1960">
        <v>-2.8991699999999999E-2</v>
      </c>
      <c r="V1960">
        <v>2.2450370000000001E-2</v>
      </c>
      <c r="W1960">
        <v>3.268501E-2</v>
      </c>
      <c r="X1960">
        <v>0.99921349999999998</v>
      </c>
      <c r="Y1960">
        <v>1.916149E-2</v>
      </c>
      <c r="Z1960">
        <v>1.3092449999999999E-3</v>
      </c>
      <c r="AA1960">
        <v>0.99981549999999997</v>
      </c>
      <c r="AB1960">
        <v>30</v>
      </c>
      <c r="AC1960">
        <v>-32.390699999999903</v>
      </c>
      <c r="AD1960">
        <v>-1.1094920289279999</v>
      </c>
      <c r="AE1960">
        <v>-0.310000000000002</v>
      </c>
      <c r="AF1960">
        <v>0.62360959662005</v>
      </c>
      <c r="AG1960">
        <v>-1.1094920289279999</v>
      </c>
      <c r="AH1960">
        <v>32.348215378273402</v>
      </c>
      <c r="AI1960">
        <v>91.964018879448801</v>
      </c>
      <c r="AJ1960">
        <v>88.895587523546794</v>
      </c>
      <c r="AK1960">
        <v>32.373243576299501</v>
      </c>
      <c r="AL1960">
        <v>88.1269532244864</v>
      </c>
      <c r="AM1960">
        <v>88.712892623864306</v>
      </c>
      <c r="AN1960">
        <v>0.99999997378704297</v>
      </c>
    </row>
    <row r="1961" spans="1:40" x14ac:dyDescent="0.25">
      <c r="A1961" t="str">
        <f>"20190312160333828"</f>
        <v>20190312160333828</v>
      </c>
      <c r="B1961" t="str">
        <f>"1552377813816747"</f>
        <v>1552377813816747</v>
      </c>
      <c r="C1961" t="s">
        <v>40</v>
      </c>
      <c r="D1961">
        <v>5.552899</v>
      </c>
      <c r="E1961">
        <v>0.49983470000000002</v>
      </c>
      <c r="F1961" t="s">
        <v>70</v>
      </c>
      <c r="G1961">
        <v>-326.86750000000001</v>
      </c>
      <c r="H1961" s="1">
        <v>2.1655350000000002E-6</v>
      </c>
      <c r="I1961">
        <v>283.52289999999999</v>
      </c>
      <c r="J1961">
        <v>-294.28440000000001</v>
      </c>
      <c r="K1961">
        <v>1.1094809999999999</v>
      </c>
      <c r="L1961">
        <v>283.83519999999999</v>
      </c>
      <c r="M1961">
        <v>-0.99951809999999996</v>
      </c>
      <c r="N1961">
        <v>0</v>
      </c>
      <c r="O1961">
        <v>-2.844489E-2</v>
      </c>
      <c r="P1961">
        <v>-0.99977139999999998</v>
      </c>
      <c r="Q1961">
        <v>2.046895E-2</v>
      </c>
      <c r="R1961">
        <v>-6.2127959999999996E-3</v>
      </c>
      <c r="S1961">
        <v>-3.0025330000000001</v>
      </c>
      <c r="T1961">
        <v>-0.1017015</v>
      </c>
      <c r="U1961">
        <v>-2.9052729999999999E-2</v>
      </c>
      <c r="V1961">
        <v>2.2273950000000001E-2</v>
      </c>
      <c r="W1961">
        <v>3.2872310000000002E-2</v>
      </c>
      <c r="X1961">
        <v>0.99921130000000002</v>
      </c>
      <c r="Y1961">
        <v>1.8747E-2</v>
      </c>
      <c r="Z1961">
        <v>1.2805270000000001E-3</v>
      </c>
      <c r="AA1961">
        <v>0.99982349999999998</v>
      </c>
      <c r="AB1961">
        <v>30</v>
      </c>
      <c r="AC1961">
        <v>-32.583100000000002</v>
      </c>
      <c r="AD1961">
        <v>-1.109478834465</v>
      </c>
      <c r="AE1961">
        <v>-0.31229999999999303</v>
      </c>
      <c r="AF1961">
        <v>0.61400881908893701</v>
      </c>
      <c r="AG1961">
        <v>-1.109478834465</v>
      </c>
      <c r="AH1961">
        <v>32.541071251015801</v>
      </c>
      <c r="AI1961">
        <v>91.952380106734694</v>
      </c>
      <c r="AJ1961">
        <v>88.919029447754895</v>
      </c>
      <c r="AK1961">
        <v>32.565768350796397</v>
      </c>
      <c r="AL1961">
        <v>88.116215947401102</v>
      </c>
      <c r="AM1961">
        <v>88.723000826737504</v>
      </c>
      <c r="AN1961">
        <v>0.99999996983051298</v>
      </c>
    </row>
    <row r="1962" spans="1:40" x14ac:dyDescent="0.25">
      <c r="A1962" t="str">
        <f>"20190312160333846"</f>
        <v>20190312160333846</v>
      </c>
      <c r="B1962" t="str">
        <f>"1552377813836266"</f>
        <v>1552377813836266</v>
      </c>
      <c r="C1962" t="s">
        <v>40</v>
      </c>
      <c r="D1962">
        <v>5.7090189999999996</v>
      </c>
      <c r="E1962">
        <v>0.49970409999999998</v>
      </c>
      <c r="F1962" t="s">
        <v>70</v>
      </c>
      <c r="G1962">
        <v>-327.1164</v>
      </c>
      <c r="H1962" s="1">
        <v>2.2975559999999999E-6</v>
      </c>
      <c r="I1962">
        <v>283.5326</v>
      </c>
      <c r="J1962">
        <v>-294.52659999999997</v>
      </c>
      <c r="K1962">
        <v>1.1094520000000001</v>
      </c>
      <c r="L1962">
        <v>283.82889999999998</v>
      </c>
      <c r="M1962">
        <v>-0.99953429999999999</v>
      </c>
      <c r="N1962">
        <v>0</v>
      </c>
      <c r="O1962">
        <v>-2.7866729999999999E-2</v>
      </c>
      <c r="P1962">
        <v>-0.99977530000000003</v>
      </c>
      <c r="Q1962">
        <v>2.0445870000000001E-2</v>
      </c>
      <c r="R1962">
        <v>-5.6128519999999998E-3</v>
      </c>
      <c r="S1962">
        <v>-3.0025629999999999</v>
      </c>
      <c r="T1962">
        <v>-0.1014645</v>
      </c>
      <c r="U1962">
        <v>-2.767944E-2</v>
      </c>
      <c r="V1962">
        <v>2.22971E-2</v>
      </c>
      <c r="W1962">
        <v>3.2848469999999998E-2</v>
      </c>
      <c r="X1962">
        <v>0.99921159999999998</v>
      </c>
      <c r="Y1962">
        <v>1.8626529999999999E-2</v>
      </c>
      <c r="Z1962">
        <v>1.255976E-3</v>
      </c>
      <c r="AA1962">
        <v>0.99982570000000004</v>
      </c>
      <c r="AB1962">
        <v>30</v>
      </c>
      <c r="AC1962">
        <v>-32.589799999999997</v>
      </c>
      <c r="AD1962">
        <v>-1.109449702444</v>
      </c>
      <c r="AE1962">
        <v>-0.29629999999997297</v>
      </c>
      <c r="AF1962">
        <v>0.61134802451284498</v>
      </c>
      <c r="AG1962">
        <v>-1.109449702444</v>
      </c>
      <c r="AH1962">
        <v>32.547682352763601</v>
      </c>
      <c r="AI1962">
        <v>91.951935772138597</v>
      </c>
      <c r="AJ1962">
        <v>88.923931271708398</v>
      </c>
      <c r="AK1962">
        <v>32.572323398642098</v>
      </c>
      <c r="AL1962">
        <v>88.117582677683103</v>
      </c>
      <c r="AM1962">
        <v>88.721674426140495</v>
      </c>
      <c r="AN1962">
        <v>1.00000000211215</v>
      </c>
    </row>
    <row r="1963" spans="1:40" x14ac:dyDescent="0.25">
      <c r="A1963" t="str">
        <f>"20190312160333868"</f>
        <v>20190312160333868</v>
      </c>
      <c r="B1963" t="str">
        <f>"1552377813856762"</f>
        <v>1552377813856762</v>
      </c>
      <c r="C1963" t="s">
        <v>40</v>
      </c>
      <c r="D1963">
        <v>5.5422609999999999</v>
      </c>
      <c r="E1963">
        <v>0.4996063</v>
      </c>
      <c r="F1963" t="s">
        <v>70</v>
      </c>
      <c r="G1963">
        <v>-327.29309999999998</v>
      </c>
      <c r="H1963" s="1">
        <v>2.3914640000000002E-6</v>
      </c>
      <c r="I1963">
        <v>283.53550000000001</v>
      </c>
      <c r="J1963">
        <v>-294.82209999999998</v>
      </c>
      <c r="K1963">
        <v>1.1094299999999999</v>
      </c>
      <c r="L1963">
        <v>283.82150000000001</v>
      </c>
      <c r="M1963">
        <v>-0.99955430000000001</v>
      </c>
      <c r="N1963">
        <v>0</v>
      </c>
      <c r="O1963">
        <v>-2.713639E-2</v>
      </c>
      <c r="P1963">
        <v>-0.99978940000000005</v>
      </c>
      <c r="Q1963">
        <v>1.991097E-2</v>
      </c>
      <c r="R1963">
        <v>-4.961577E-3</v>
      </c>
      <c r="S1963">
        <v>-3.0025629999999999</v>
      </c>
      <c r="T1963">
        <v>-0.1016648</v>
      </c>
      <c r="U1963">
        <v>-2.6885989999999999E-2</v>
      </c>
      <c r="V1963">
        <v>2.2219320000000001E-2</v>
      </c>
      <c r="W1963">
        <v>3.2312800000000003E-2</v>
      </c>
      <c r="X1963">
        <v>0.99923079999999997</v>
      </c>
      <c r="Y1963">
        <v>1.8160760000000001E-2</v>
      </c>
      <c r="Z1963">
        <v>1.225858E-3</v>
      </c>
      <c r="AA1963">
        <v>0.99983429999999995</v>
      </c>
      <c r="AB1963">
        <v>30</v>
      </c>
      <c r="AC1963">
        <v>-32.470999999999997</v>
      </c>
      <c r="AD1963">
        <v>-1.109427608536</v>
      </c>
      <c r="AE1963">
        <v>-0.28600000000000098</v>
      </c>
      <c r="AF1963">
        <v>0.59462518396057695</v>
      </c>
      <c r="AG1963">
        <v>-1.109427608536</v>
      </c>
      <c r="AH1963">
        <v>32.428948519838798</v>
      </c>
      <c r="AI1963">
        <v>91.959054187195093</v>
      </c>
      <c r="AJ1963">
        <v>88.949528199411006</v>
      </c>
      <c r="AK1963">
        <v>32.453368250927902</v>
      </c>
      <c r="AL1963">
        <v>88.148290613199606</v>
      </c>
      <c r="AM1963">
        <v>88.7261566651528</v>
      </c>
      <c r="AN1963">
        <v>1.0000000034468699</v>
      </c>
    </row>
    <row r="1964" spans="1:40" x14ac:dyDescent="0.25">
      <c r="A1964" t="str">
        <f>"20190312160333880"</f>
        <v>20190312160333880</v>
      </c>
      <c r="B1964" t="str">
        <f>"1552377813876282"</f>
        <v>1552377813876282</v>
      </c>
      <c r="C1964" t="s">
        <v>40</v>
      </c>
      <c r="D1964">
        <v>5.7325980000000003</v>
      </c>
      <c r="E1964">
        <v>0.49963920000000001</v>
      </c>
      <c r="F1964" t="s">
        <v>70</v>
      </c>
      <c r="G1964">
        <v>-327.22660000000002</v>
      </c>
      <c r="H1964" s="1">
        <v>2.3557510000000001E-6</v>
      </c>
      <c r="I1964">
        <v>283.54320000000001</v>
      </c>
      <c r="J1964">
        <v>-294.98939999999999</v>
      </c>
      <c r="K1964">
        <v>1.1094200000000001</v>
      </c>
      <c r="L1964">
        <v>283.81740000000002</v>
      </c>
      <c r="M1964">
        <v>-0.99956590000000001</v>
      </c>
      <c r="N1964">
        <v>0</v>
      </c>
      <c r="O1964">
        <v>-2.6707680000000001E-2</v>
      </c>
      <c r="P1964">
        <v>-0.99979039999999997</v>
      </c>
      <c r="Q1964">
        <v>2.0020909999999999E-2</v>
      </c>
      <c r="R1964">
        <v>-4.3113839999999997E-3</v>
      </c>
      <c r="S1964">
        <v>-3.0025940000000002</v>
      </c>
      <c r="T1964">
        <v>-0.1027993</v>
      </c>
      <c r="U1964">
        <v>-2.5787350000000001E-2</v>
      </c>
      <c r="V1964">
        <v>2.2441829999999999E-2</v>
      </c>
      <c r="W1964">
        <v>3.2421449999999997E-2</v>
      </c>
      <c r="X1964">
        <v>0.99922230000000001</v>
      </c>
      <c r="Y1964">
        <v>1.8097530000000001E-2</v>
      </c>
      <c r="Z1964">
        <v>1.223769E-3</v>
      </c>
      <c r="AA1964">
        <v>0.99983549999999999</v>
      </c>
      <c r="AB1964">
        <v>30</v>
      </c>
      <c r="AC1964">
        <v>-32.237200000000001</v>
      </c>
      <c r="AD1964">
        <v>-1.109417644249</v>
      </c>
      <c r="AE1964">
        <v>-0.27420000000000699</v>
      </c>
      <c r="AF1964">
        <v>0.58625098838073797</v>
      </c>
      <c r="AG1964">
        <v>-1.109417644249</v>
      </c>
      <c r="AH1964">
        <v>32.194895715064803</v>
      </c>
      <c r="AI1964">
        <v>91.973271901864607</v>
      </c>
      <c r="AJ1964">
        <v>88.956791293693399</v>
      </c>
      <c r="AK1964">
        <v>32.219339034726403</v>
      </c>
      <c r="AL1964">
        <v>88.142062148564307</v>
      </c>
      <c r="AM1964">
        <v>88.713393395220805</v>
      </c>
      <c r="AN1964">
        <v>0.99999999548556995</v>
      </c>
    </row>
    <row r="1965" spans="1:40" x14ac:dyDescent="0.25">
      <c r="A1965" t="str">
        <f>"20190312160333891"</f>
        <v>20190312160333891</v>
      </c>
      <c r="B1965" t="str">
        <f>"1552377813887019"</f>
        <v>1552377813887019</v>
      </c>
      <c r="C1965" t="s">
        <v>40</v>
      </c>
      <c r="D1965">
        <v>5.8063659999999997</v>
      </c>
      <c r="E1965">
        <v>0.53674100000000002</v>
      </c>
      <c r="F1965" t="s">
        <v>70</v>
      </c>
      <c r="G1965">
        <v>-327.77690000000001</v>
      </c>
      <c r="H1965" s="1">
        <v>2.6479149999999999E-6</v>
      </c>
      <c r="I1965">
        <v>283.5591</v>
      </c>
      <c r="J1965">
        <v>-295.1379</v>
      </c>
      <c r="K1965">
        <v>1.1094120000000001</v>
      </c>
      <c r="L1965">
        <v>283.81380000000001</v>
      </c>
      <c r="M1965">
        <v>-0.99957609999999997</v>
      </c>
      <c r="N1965">
        <v>0</v>
      </c>
      <c r="O1965">
        <v>-2.6322979999999999E-2</v>
      </c>
      <c r="P1965">
        <v>-0.99978889999999998</v>
      </c>
      <c r="Q1965">
        <v>2.0082269999999999E-2</v>
      </c>
      <c r="R1965">
        <v>-4.3911169999999999E-3</v>
      </c>
      <c r="S1965">
        <v>-3.0025330000000001</v>
      </c>
      <c r="T1965">
        <v>-0.10159550000000001</v>
      </c>
      <c r="U1965">
        <v>-2.3651120000000001E-2</v>
      </c>
      <c r="V1965">
        <v>2.197847E-2</v>
      </c>
      <c r="W1965">
        <v>3.2482940000000002E-2</v>
      </c>
      <c r="X1965">
        <v>0.99923059999999997</v>
      </c>
      <c r="Y1965">
        <v>1.84245E-2</v>
      </c>
      <c r="Z1965">
        <v>1.201997E-3</v>
      </c>
      <c r="AA1965">
        <v>0.99982950000000004</v>
      </c>
      <c r="AB1965">
        <v>30</v>
      </c>
      <c r="AC1965">
        <v>-32.639000000000003</v>
      </c>
      <c r="AD1965">
        <v>-1.1094093520849999</v>
      </c>
      <c r="AE1965">
        <v>-0.25470000000001303</v>
      </c>
      <c r="AF1965">
        <v>0.60391280396943503</v>
      </c>
      <c r="AG1965">
        <v>-1.1094093520849999</v>
      </c>
      <c r="AH1965">
        <v>32.596735470202503</v>
      </c>
      <c r="AI1965">
        <v>91.948939153805895</v>
      </c>
      <c r="AJ1965">
        <v>88.938614672138797</v>
      </c>
      <c r="AK1965">
        <v>32.621199596269399</v>
      </c>
      <c r="AL1965">
        <v>88.138537170269501</v>
      </c>
      <c r="AM1965">
        <v>88.739959972847601</v>
      </c>
      <c r="AN1965">
        <v>0.99999999325547195</v>
      </c>
    </row>
    <row r="1966" spans="1:40" x14ac:dyDescent="0.25">
      <c r="A1966" t="str">
        <f>"20190312160333903"</f>
        <v>20190312160333903</v>
      </c>
      <c r="B1966" t="str">
        <f>"1552377813896778"</f>
        <v>1552377813896778</v>
      </c>
      <c r="C1966" t="s">
        <v>40</v>
      </c>
      <c r="D1966">
        <v>5.8216769999999904</v>
      </c>
      <c r="E1966">
        <v>0.53820170000000001</v>
      </c>
      <c r="F1966" t="s">
        <v>79</v>
      </c>
      <c r="G1966">
        <v>-316.65109999999999</v>
      </c>
      <c r="H1966" s="1">
        <v>5.0675430000000003E-6</v>
      </c>
      <c r="I1966">
        <v>285.74779999999998</v>
      </c>
      <c r="J1966">
        <v>-295.30250000000001</v>
      </c>
      <c r="K1966">
        <v>1.1094010000000001</v>
      </c>
      <c r="L1966">
        <v>283.80990000000003</v>
      </c>
      <c r="M1966">
        <v>-0.99958740000000001</v>
      </c>
      <c r="N1966">
        <v>0</v>
      </c>
      <c r="O1966">
        <v>-2.5890110000000001E-2</v>
      </c>
      <c r="P1966">
        <v>-0.99977700000000003</v>
      </c>
      <c r="Q1966">
        <v>2.0691850000000001E-2</v>
      </c>
      <c r="R1966">
        <v>-4.233751E-3</v>
      </c>
      <c r="S1966">
        <v>-3.0049130000000002</v>
      </c>
      <c r="T1966">
        <v>-0.1549594</v>
      </c>
      <c r="U1966">
        <v>0.27014159999999998</v>
      </c>
      <c r="V1966">
        <v>2.1704299999999999E-2</v>
      </c>
      <c r="W1966">
        <v>3.3092480000000001E-2</v>
      </c>
      <c r="X1966">
        <v>0.99921660000000001</v>
      </c>
      <c r="Y1966">
        <v>0.115111</v>
      </c>
      <c r="Z1966">
        <v>4.2920629999999996E-3</v>
      </c>
      <c r="AA1966">
        <v>0.99334339999999999</v>
      </c>
      <c r="AB1966">
        <v>30</v>
      </c>
      <c r="AC1966">
        <v>-21.348599999999902</v>
      </c>
      <c r="AD1966">
        <v>-1.109395932457</v>
      </c>
      <c r="AE1966">
        <v>1.93789999999995</v>
      </c>
      <c r="AF1966">
        <v>2.4833593212671898</v>
      </c>
      <c r="AG1966">
        <v>-1.109395932457</v>
      </c>
      <c r="AH1966">
        <v>21.234392863157201</v>
      </c>
      <c r="AI1966">
        <v>92.970503989729593</v>
      </c>
      <c r="AJ1966">
        <v>83.329567448937098</v>
      </c>
      <c r="AK1966">
        <v>21.407878762744801</v>
      </c>
      <c r="AL1966">
        <v>88.103594327865494</v>
      </c>
      <c r="AM1966">
        <v>88.755655915962507</v>
      </c>
      <c r="AN1966">
        <v>1.0000000012932999</v>
      </c>
    </row>
    <row r="1967" spans="1:40" x14ac:dyDescent="0.25">
      <c r="A1967" t="str">
        <f>"20190312160333915"</f>
        <v>20190312160333915</v>
      </c>
      <c r="B1967" t="str">
        <f>"1552377813906538"</f>
        <v>1552377813906538</v>
      </c>
      <c r="C1967" t="s">
        <v>40</v>
      </c>
      <c r="D1967">
        <v>5.7187449999999904</v>
      </c>
      <c r="E1967">
        <v>0.53923669999999901</v>
      </c>
      <c r="F1967" t="s">
        <v>79</v>
      </c>
      <c r="G1967">
        <v>-317.38499999999999</v>
      </c>
      <c r="H1967" s="1">
        <v>5.3810349999999997E-6</v>
      </c>
      <c r="I1967">
        <v>285.88499999999999</v>
      </c>
      <c r="J1967">
        <v>-295.45530000000002</v>
      </c>
      <c r="K1967">
        <v>1.109391</v>
      </c>
      <c r="L1967">
        <v>283.8064</v>
      </c>
      <c r="M1967">
        <v>-0.99959799999999999</v>
      </c>
      <c r="N1967">
        <v>0</v>
      </c>
      <c r="O1967">
        <v>-2.5481589999999998E-2</v>
      </c>
      <c r="P1967">
        <v>-0.9997684</v>
      </c>
      <c r="Q1967">
        <v>2.1104049999999999E-2</v>
      </c>
      <c r="R1967">
        <v>-4.2263279999999997E-3</v>
      </c>
      <c r="S1967">
        <v>-3.0050050000000001</v>
      </c>
      <c r="T1967">
        <v>-0.15096709999999999</v>
      </c>
      <c r="U1967">
        <v>0.2823792</v>
      </c>
      <c r="V1967">
        <v>2.130431E-2</v>
      </c>
      <c r="W1967">
        <v>3.3504239999999998E-2</v>
      </c>
      <c r="X1967">
        <v>0.99921150000000003</v>
      </c>
      <c r="Y1967">
        <v>0.1187185</v>
      </c>
      <c r="Z1967">
        <v>4.2506269999999999E-3</v>
      </c>
      <c r="AA1967">
        <v>0.99291879999999999</v>
      </c>
      <c r="AB1967">
        <v>30</v>
      </c>
      <c r="AC1967">
        <v>-21.929699999999901</v>
      </c>
      <c r="AD1967">
        <v>-1.109385618965</v>
      </c>
      <c r="AE1967">
        <v>2.07859999999999</v>
      </c>
      <c r="AF1967">
        <v>2.6301008102554402</v>
      </c>
      <c r="AG1967">
        <v>-1.109385618965</v>
      </c>
      <c r="AH1967">
        <v>21.814278584732801</v>
      </c>
      <c r="AI1967">
        <v>92.890425702353596</v>
      </c>
      <c r="AJ1967">
        <v>83.125154828212601</v>
      </c>
      <c r="AK1967">
        <v>22.000248109873699</v>
      </c>
      <c r="AL1967">
        <v>88.079989153233896</v>
      </c>
      <c r="AM1967">
        <v>88.778574772076993</v>
      </c>
      <c r="AN1967">
        <v>1.0000000147274</v>
      </c>
    </row>
    <row r="1968" spans="1:40" x14ac:dyDescent="0.25">
      <c r="A1968" t="str">
        <f>"20190312160333927"</f>
        <v>20190312160333927</v>
      </c>
      <c r="B1968" t="str">
        <f>"1552377813916299"</f>
        <v>1552377813916299</v>
      </c>
      <c r="C1968" t="s">
        <v>40</v>
      </c>
      <c r="D1968">
        <v>5.6586369999999997</v>
      </c>
      <c r="E1968">
        <v>0.54055200000000003</v>
      </c>
      <c r="F1968" t="s">
        <v>79</v>
      </c>
      <c r="G1968">
        <v>-318.80070000000001</v>
      </c>
      <c r="H1968" s="1">
        <v>5.9928670000000004E-6</v>
      </c>
      <c r="I1968">
        <v>286.06729999999999</v>
      </c>
      <c r="J1968">
        <v>-295.60329999999999</v>
      </c>
      <c r="K1968">
        <v>1.1093839999999999</v>
      </c>
      <c r="L1968">
        <v>283.803</v>
      </c>
      <c r="M1968">
        <v>-0.9996081</v>
      </c>
      <c r="N1968">
        <v>0</v>
      </c>
      <c r="O1968">
        <v>-2.5083569999999999E-2</v>
      </c>
      <c r="P1968">
        <v>-0.99976589999999999</v>
      </c>
      <c r="Q1968">
        <v>2.129441E-2</v>
      </c>
      <c r="R1968">
        <v>-3.9118159999999898E-3</v>
      </c>
      <c r="S1968">
        <v>-3.0049440000000001</v>
      </c>
      <c r="T1968">
        <v>-0.1427969</v>
      </c>
      <c r="U1968">
        <v>0.29101559999999999</v>
      </c>
      <c r="V1968">
        <v>2.1221790000000001E-2</v>
      </c>
      <c r="W1968">
        <v>3.3694399999999999E-2</v>
      </c>
      <c r="X1968">
        <v>0.99920679999999995</v>
      </c>
      <c r="Y1968">
        <v>0.1211694</v>
      </c>
      <c r="Z1968">
        <v>4.0595939999999997E-3</v>
      </c>
      <c r="AA1968">
        <v>0.99262360000000005</v>
      </c>
      <c r="AB1968">
        <v>30</v>
      </c>
      <c r="AC1968">
        <v>-23.197399999999998</v>
      </c>
      <c r="AD1968">
        <v>-1.1093780071329999</v>
      </c>
      <c r="AE1968">
        <v>2.2642999999999902</v>
      </c>
      <c r="AF1968">
        <v>2.8390741006116902</v>
      </c>
      <c r="AG1968">
        <v>-1.1093780071329999</v>
      </c>
      <c r="AH1968">
        <v>23.0810090708984</v>
      </c>
      <c r="AI1968">
        <v>92.7312244900412</v>
      </c>
      <c r="AJ1968">
        <v>82.987570942292294</v>
      </c>
      <c r="AK1968">
        <v>23.281409773516</v>
      </c>
      <c r="AL1968">
        <v>88.069087513655603</v>
      </c>
      <c r="AM1968">
        <v>88.783298687791998</v>
      </c>
      <c r="AN1968">
        <v>0.99999995306420097</v>
      </c>
    </row>
    <row r="1969" spans="1:40" x14ac:dyDescent="0.25">
      <c r="A1969" t="str">
        <f>"20190312160333937"</f>
        <v>20190312160333937</v>
      </c>
      <c r="B1969" t="str">
        <f>"1552377813926058"</f>
        <v>1552377813926058</v>
      </c>
      <c r="C1969" t="s">
        <v>40</v>
      </c>
      <c r="D1969">
        <v>5.7250779999999999</v>
      </c>
      <c r="E1969">
        <v>0.54095300000000002</v>
      </c>
      <c r="F1969" t="s">
        <v>70</v>
      </c>
      <c r="G1969">
        <v>-322.23790000000002</v>
      </c>
      <c r="H1969" s="1">
        <v>-4.2782030000000001E-7</v>
      </c>
      <c r="I1969">
        <v>286.4907</v>
      </c>
      <c r="J1969">
        <v>-295.74939999999998</v>
      </c>
      <c r="K1969">
        <v>1.109378</v>
      </c>
      <c r="L1969">
        <v>283.79969999999997</v>
      </c>
      <c r="M1969">
        <v>-0.99961809999999995</v>
      </c>
      <c r="N1969">
        <v>0</v>
      </c>
      <c r="O1969">
        <v>-2.468294E-2</v>
      </c>
      <c r="P1969">
        <v>-0.9997682</v>
      </c>
      <c r="Q1969">
        <v>2.1192030000000001E-2</v>
      </c>
      <c r="R1969">
        <v>-3.8401109999999998E-3</v>
      </c>
      <c r="S1969">
        <v>-3.0045169999999999</v>
      </c>
      <c r="T1969">
        <v>-0.12514410000000001</v>
      </c>
      <c r="U1969">
        <v>0.30319210000000002</v>
      </c>
      <c r="V1969">
        <v>2.0893370000000001E-2</v>
      </c>
      <c r="W1969">
        <v>3.3592400000000001E-2</v>
      </c>
      <c r="X1969">
        <v>0.99921720000000003</v>
      </c>
      <c r="Y1969">
        <v>0.12480330000000001</v>
      </c>
      <c r="Z1969">
        <v>3.6168229999999999E-3</v>
      </c>
      <c r="AA1969">
        <v>0.99217489999999997</v>
      </c>
      <c r="AB1969">
        <v>30</v>
      </c>
      <c r="AC1969">
        <v>-26.488499999999998</v>
      </c>
      <c r="AD1969">
        <v>-1.1093784278203001</v>
      </c>
      <c r="AE1969">
        <v>2.69100000000003</v>
      </c>
      <c r="AF1969">
        <v>3.3382488682167999</v>
      </c>
      <c r="AG1969">
        <v>-1.1093784278203001</v>
      </c>
      <c r="AH1969">
        <v>26.368222580682499</v>
      </c>
      <c r="AI1969">
        <v>92.390103279062004</v>
      </c>
      <c r="AJ1969">
        <v>82.784670407565798</v>
      </c>
      <c r="AK1969">
        <v>26.6018380580492</v>
      </c>
      <c r="AL1969">
        <v>88.074935079294804</v>
      </c>
      <c r="AM1969">
        <v>88.802134809066601</v>
      </c>
      <c r="AN1969">
        <v>0.99999999751177804</v>
      </c>
    </row>
    <row r="1970" spans="1:40" x14ac:dyDescent="0.25">
      <c r="A1970" t="str">
        <f>"20190312160333950"</f>
        <v>20190312160333950</v>
      </c>
      <c r="B1970" t="str">
        <f>"1552377813946554"</f>
        <v>1552377813946554</v>
      </c>
      <c r="C1970" t="s">
        <v>40</v>
      </c>
      <c r="D1970">
        <v>5.8971330000000002</v>
      </c>
      <c r="E1970">
        <v>0.54234930000000003</v>
      </c>
      <c r="F1970" t="s">
        <v>70</v>
      </c>
      <c r="G1970">
        <v>-322.08420000000001</v>
      </c>
      <c r="H1970" s="1">
        <v>-5.0933420000000001E-7</v>
      </c>
      <c r="I1970">
        <v>286.48399999999998</v>
      </c>
      <c r="J1970">
        <v>-295.90719999999999</v>
      </c>
      <c r="K1970">
        <v>1.109369</v>
      </c>
      <c r="L1970">
        <v>283.79629999999997</v>
      </c>
      <c r="M1970">
        <v>-0.99962850000000003</v>
      </c>
      <c r="N1970">
        <v>0</v>
      </c>
      <c r="O1970">
        <v>-2.4248820000000001E-2</v>
      </c>
      <c r="P1970">
        <v>-0.9997684</v>
      </c>
      <c r="Q1970">
        <v>2.1217570000000002E-2</v>
      </c>
      <c r="R1970">
        <v>-3.6059239999999999E-3</v>
      </c>
      <c r="S1970">
        <v>-3.0045470000000001</v>
      </c>
      <c r="T1970">
        <v>-0.1265695</v>
      </c>
      <c r="U1970">
        <v>0.30624390000000001</v>
      </c>
      <c r="V1970">
        <v>2.0693960000000001E-2</v>
      </c>
      <c r="W1970">
        <v>3.3617660000000001E-2</v>
      </c>
      <c r="X1970">
        <v>0.99922049999999996</v>
      </c>
      <c r="Y1970">
        <v>0.125365899999999</v>
      </c>
      <c r="Z1970">
        <v>3.6513349999999999E-3</v>
      </c>
      <c r="AA1970">
        <v>0.99210390000000004</v>
      </c>
      <c r="AB1970">
        <v>30</v>
      </c>
      <c r="AC1970">
        <v>-26.177</v>
      </c>
      <c r="AD1970">
        <v>-1.1093695093342</v>
      </c>
      <c r="AE1970">
        <v>2.6877000000000599</v>
      </c>
      <c r="AF1970">
        <v>3.3158268991966202</v>
      </c>
      <c r="AG1970">
        <v>-1.1093695093342</v>
      </c>
      <c r="AH1970">
        <v>26.057810676830801</v>
      </c>
      <c r="AI1970">
        <v>92.418326772023093</v>
      </c>
      <c r="AJ1970">
        <v>82.748150662120295</v>
      </c>
      <c r="AK1970">
        <v>26.291346599275499</v>
      </c>
      <c r="AL1970">
        <v>88.073486969650304</v>
      </c>
      <c r="AM1970">
        <v>88.813568078836298</v>
      </c>
      <c r="AN1970">
        <v>0.99999999733230305</v>
      </c>
    </row>
    <row r="1971" spans="1:40" x14ac:dyDescent="0.25">
      <c r="A1971" t="str">
        <f>"20190312160333961"</f>
        <v>20190312160333961</v>
      </c>
      <c r="B1971" t="str">
        <f>"1552377813956314"</f>
        <v>1552377813956314</v>
      </c>
      <c r="C1971" t="s">
        <v>40</v>
      </c>
      <c r="D1971">
        <v>5.7711040000000002</v>
      </c>
      <c r="E1971">
        <v>0.54181619999999997</v>
      </c>
      <c r="F1971" t="s">
        <v>70</v>
      </c>
      <c r="G1971">
        <v>-322.15069999999997</v>
      </c>
      <c r="H1971" s="1">
        <v>-4.778798E-7</v>
      </c>
      <c r="I1971">
        <v>286.57459999999998</v>
      </c>
      <c r="J1971">
        <v>-296.06580000000002</v>
      </c>
      <c r="K1971">
        <v>1.109364</v>
      </c>
      <c r="L1971">
        <v>283.79289999999997</v>
      </c>
      <c r="M1971">
        <v>-0.99963919999999995</v>
      </c>
      <c r="N1971">
        <v>0</v>
      </c>
      <c r="O1971">
        <v>-2.3808269999999999E-2</v>
      </c>
      <c r="P1971">
        <v>-0.9997665</v>
      </c>
      <c r="Q1971">
        <v>2.1289369999999998E-2</v>
      </c>
      <c r="R1971">
        <v>-3.7286480000000002E-3</v>
      </c>
      <c r="S1971">
        <v>-3.0045169999999999</v>
      </c>
      <c r="T1971">
        <v>-0.12700739999999999</v>
      </c>
      <c r="U1971">
        <v>0.3180847</v>
      </c>
      <c r="V1971">
        <v>2.0131389999999999E-2</v>
      </c>
      <c r="W1971">
        <v>3.3690100000000001E-2</v>
      </c>
      <c r="X1971">
        <v>0.99922960000000005</v>
      </c>
      <c r="Y1971">
        <v>0.12879360000000001</v>
      </c>
      <c r="Z1971">
        <v>3.7169049999999999E-3</v>
      </c>
      <c r="AA1971">
        <v>0.99166449999999995</v>
      </c>
      <c r="AB1971">
        <v>30</v>
      </c>
      <c r="AC1971">
        <v>-26.084899999999902</v>
      </c>
      <c r="AD1971">
        <v>-1.1093644778798</v>
      </c>
      <c r="AE1971">
        <v>2.7816999999999998</v>
      </c>
      <c r="AF1971">
        <v>3.39592255946555</v>
      </c>
      <c r="AG1971">
        <v>-1.1093644778798</v>
      </c>
      <c r="AH1971">
        <v>25.9648373937396</v>
      </c>
      <c r="AI1971">
        <v>92.4258759461555</v>
      </c>
      <c r="AJ1971">
        <v>82.548621139834907</v>
      </c>
      <c r="AK1971">
        <v>26.209459369815399</v>
      </c>
      <c r="AL1971">
        <v>88.069334202283798</v>
      </c>
      <c r="AM1971">
        <v>88.845823161609005</v>
      </c>
      <c r="AN1971">
        <v>1.00000004460875</v>
      </c>
    </row>
    <row r="1972" spans="1:40" x14ac:dyDescent="0.25">
      <c r="A1972" t="str">
        <f>"20190312160333978"</f>
        <v>20190312160333978</v>
      </c>
      <c r="B1972" t="str">
        <f>"1552377813966074"</f>
        <v>1552377813966074</v>
      </c>
      <c r="C1972" t="s">
        <v>40</v>
      </c>
      <c r="D1972">
        <v>5.8216960000000002</v>
      </c>
      <c r="E1972">
        <v>0.54157250000000001</v>
      </c>
      <c r="F1972" t="s">
        <v>70</v>
      </c>
      <c r="G1972">
        <v>-321.92020000000002</v>
      </c>
      <c r="H1972" s="1">
        <v>-5.9685499999999998E-7</v>
      </c>
      <c r="I1972">
        <v>286.49040000000002</v>
      </c>
      <c r="J1972">
        <v>-296.2921</v>
      </c>
      <c r="K1972">
        <v>1.1093459999999999</v>
      </c>
      <c r="L1972">
        <v>283.78820000000002</v>
      </c>
      <c r="M1972">
        <v>-0.99965400000000004</v>
      </c>
      <c r="N1972">
        <v>0</v>
      </c>
      <c r="O1972">
        <v>-2.3175910000000001E-2</v>
      </c>
      <c r="P1972">
        <v>-0.99976969999999998</v>
      </c>
      <c r="Q1972">
        <v>2.123326E-2</v>
      </c>
      <c r="R1972">
        <v>-3.134572E-3</v>
      </c>
      <c r="S1972">
        <v>-3.004578</v>
      </c>
      <c r="T1972">
        <v>-0.1289206</v>
      </c>
      <c r="U1972">
        <v>0.31347659999999899</v>
      </c>
      <c r="V1972">
        <v>2.0093529999999998E-2</v>
      </c>
      <c r="W1972">
        <v>3.3633870000000003E-2</v>
      </c>
      <c r="X1972">
        <v>0.99923220000000001</v>
      </c>
      <c r="Y1972">
        <v>0.12665799999999999</v>
      </c>
      <c r="Z1972">
        <v>3.7003299999999999E-3</v>
      </c>
      <c r="AA1972">
        <v>0.99193949999999997</v>
      </c>
      <c r="AB1972">
        <v>30</v>
      </c>
      <c r="AC1972">
        <v>-25.6281</v>
      </c>
      <c r="AD1972">
        <v>-1.109346596855</v>
      </c>
      <c r="AE1972">
        <v>2.7021999999999999</v>
      </c>
      <c r="AF1972">
        <v>3.2893790214218899</v>
      </c>
      <c r="AG1972">
        <v>-1.109346596855</v>
      </c>
      <c r="AH1972">
        <v>25.511309356168098</v>
      </c>
      <c r="AI1972">
        <v>92.469492420635902</v>
      </c>
      <c r="AJ1972">
        <v>82.652928838199998</v>
      </c>
      <c r="AK1972">
        <v>25.746408861909899</v>
      </c>
      <c r="AL1972">
        <v>88.072557662200197</v>
      </c>
      <c r="AM1972">
        <v>88.847996169839007</v>
      </c>
      <c r="AN1972">
        <v>0.99999998833793802</v>
      </c>
    </row>
    <row r="1973" spans="1:40" x14ac:dyDescent="0.25">
      <c r="A1973" t="str">
        <f>"20190312160333992"</f>
        <v>20190312160333992</v>
      </c>
      <c r="B1973" t="str">
        <f>"1552377813986570"</f>
        <v>1552377813986570</v>
      </c>
      <c r="C1973" t="s">
        <v>40</v>
      </c>
      <c r="D1973">
        <v>5.851388</v>
      </c>
      <c r="E1973">
        <v>0.54147230000000002</v>
      </c>
      <c r="F1973" t="s">
        <v>70</v>
      </c>
      <c r="G1973">
        <v>-321.43979999999999</v>
      </c>
      <c r="H1973" s="1">
        <v>-8.4903700000000001E-7</v>
      </c>
      <c r="I1973">
        <v>286.411</v>
      </c>
      <c r="J1973">
        <v>-296.4699</v>
      </c>
      <c r="K1973">
        <v>1.109343</v>
      </c>
      <c r="L1973">
        <v>283.78460000000001</v>
      </c>
      <c r="M1973">
        <v>-0.99966560000000004</v>
      </c>
      <c r="N1973">
        <v>0</v>
      </c>
      <c r="O1973">
        <v>-2.2676620000000001E-2</v>
      </c>
      <c r="P1973">
        <v>-0.99977559999999999</v>
      </c>
      <c r="Q1973">
        <v>2.102656E-2</v>
      </c>
      <c r="R1973">
        <v>-2.6053980000000001E-3</v>
      </c>
      <c r="S1973">
        <v>-3.004486</v>
      </c>
      <c r="T1973">
        <v>-0.13253719999999999</v>
      </c>
      <c r="U1973">
        <v>0.31335449999999998</v>
      </c>
      <c r="V1973">
        <v>2.012363E-2</v>
      </c>
      <c r="W1973">
        <v>3.3427030000000003E-2</v>
      </c>
      <c r="X1973">
        <v>0.99923859999999998</v>
      </c>
      <c r="Y1973">
        <v>0.12611900000000001</v>
      </c>
      <c r="Z1973">
        <v>3.7703480000000002E-3</v>
      </c>
      <c r="AA1973">
        <v>0.992008</v>
      </c>
      <c r="AB1973">
        <v>30</v>
      </c>
      <c r="AC1973">
        <v>-24.969899999999999</v>
      </c>
      <c r="AD1973">
        <v>-1.109343849037</v>
      </c>
      <c r="AE1973">
        <v>2.6263999999999799</v>
      </c>
      <c r="AF1973">
        <v>3.1857819647467198</v>
      </c>
      <c r="AG1973">
        <v>-1.109343849037</v>
      </c>
      <c r="AH1973">
        <v>24.855393324204702</v>
      </c>
      <c r="AI1973">
        <v>92.5348154252558</v>
      </c>
      <c r="AJ1973">
        <v>82.696070485586503</v>
      </c>
      <c r="AK1973">
        <v>25.0832698786107</v>
      </c>
      <c r="AL1973">
        <v>88.084415513474895</v>
      </c>
      <c r="AM1973">
        <v>88.846278327880796</v>
      </c>
      <c r="AN1973">
        <v>1.0000000532744699</v>
      </c>
    </row>
    <row r="1974" spans="1:40" x14ac:dyDescent="0.25">
      <c r="A1974" t="str">
        <f>"20190312160334012"</f>
        <v>20190312160334012</v>
      </c>
      <c r="B1974" t="str">
        <f>"1552377814006090"</f>
        <v>1552377814006090</v>
      </c>
      <c r="C1974" t="s">
        <v>40</v>
      </c>
      <c r="D1974">
        <v>5.7627169999999897</v>
      </c>
      <c r="E1974">
        <v>0.54114030000000002</v>
      </c>
      <c r="F1974" t="s">
        <v>70</v>
      </c>
      <c r="G1974">
        <v>-321.06549999999999</v>
      </c>
      <c r="H1974" s="1">
        <v>-1.0457119999999999E-6</v>
      </c>
      <c r="I1974">
        <v>286.35300000000001</v>
      </c>
      <c r="J1974">
        <v>-296.7457</v>
      </c>
      <c r="K1974">
        <v>1.109332</v>
      </c>
      <c r="L1974">
        <v>283.7792</v>
      </c>
      <c r="M1974">
        <v>-0.99968279999999998</v>
      </c>
      <c r="N1974">
        <v>0</v>
      </c>
      <c r="O1974">
        <v>-2.1898620000000001E-2</v>
      </c>
      <c r="P1974">
        <v>-0.99977559999999999</v>
      </c>
      <c r="Q1974">
        <v>2.115976E-2</v>
      </c>
      <c r="R1974">
        <v>-1.1129569999999999E-3</v>
      </c>
      <c r="S1974">
        <v>-3.0043030000000002</v>
      </c>
      <c r="T1974">
        <v>-0.1355044</v>
      </c>
      <c r="U1974">
        <v>0.31372070000000002</v>
      </c>
      <c r="V1974">
        <v>2.083844E-2</v>
      </c>
      <c r="W1974">
        <v>3.3558570000000003E-2</v>
      </c>
      <c r="X1974">
        <v>0.99921950000000004</v>
      </c>
      <c r="Y1974">
        <v>0.12546769999999999</v>
      </c>
      <c r="Z1974">
        <v>3.8052450000000001E-3</v>
      </c>
      <c r="AA1974">
        <v>0.99209040000000004</v>
      </c>
      <c r="AB1974">
        <v>30</v>
      </c>
      <c r="AC1974">
        <v>-24.319799999999901</v>
      </c>
      <c r="AD1974">
        <v>-1.1093330457120001</v>
      </c>
      <c r="AE1974">
        <v>2.5737999999999999</v>
      </c>
      <c r="AF1974">
        <v>3.09941652509711</v>
      </c>
      <c r="AG1974">
        <v>-1.1093330457120001</v>
      </c>
      <c r="AH1974">
        <v>24.207789485093301</v>
      </c>
      <c r="AI1974">
        <v>92.602554635586898</v>
      </c>
      <c r="AJ1974">
        <v>82.703895414445995</v>
      </c>
      <c r="AK1974">
        <v>24.430597093745899</v>
      </c>
      <c r="AL1974">
        <v>88.076874520116704</v>
      </c>
      <c r="AM1974">
        <v>88.805285908139496</v>
      </c>
      <c r="AN1974">
        <v>1.00000001369116</v>
      </c>
    </row>
    <row r="1975" spans="1:40" x14ac:dyDescent="0.25">
      <c r="A1975" t="str">
        <f>"20190312160334025"</f>
        <v>20190312160334025</v>
      </c>
      <c r="B1975" t="str">
        <f>"1552377814016826"</f>
        <v>1552377814016826</v>
      </c>
      <c r="C1975" t="s">
        <v>40</v>
      </c>
      <c r="D1975">
        <v>5.8689859999999996</v>
      </c>
      <c r="E1975">
        <v>0.54120419999999902</v>
      </c>
      <c r="F1975" t="s">
        <v>70</v>
      </c>
      <c r="G1975">
        <v>-321.10629999999998</v>
      </c>
      <c r="H1975" s="1">
        <v>-1.0233429999999999E-6</v>
      </c>
      <c r="I1975">
        <v>286.33800000000002</v>
      </c>
      <c r="J1975">
        <v>-296.9135</v>
      </c>
      <c r="K1975">
        <v>1.109329</v>
      </c>
      <c r="L1975">
        <v>283.77600000000001</v>
      </c>
      <c r="M1975">
        <v>-0.9996931</v>
      </c>
      <c r="N1975">
        <v>0</v>
      </c>
      <c r="O1975">
        <v>-2.142463E-2</v>
      </c>
      <c r="P1975">
        <v>-0.99977830000000001</v>
      </c>
      <c r="Q1975">
        <v>2.1057039999999999E-2</v>
      </c>
      <c r="R1975">
        <v>-5.1608589999999998E-4</v>
      </c>
      <c r="S1975">
        <v>-3.0039060000000002</v>
      </c>
      <c r="T1975">
        <v>-0.1367921</v>
      </c>
      <c r="U1975">
        <v>0.3155212</v>
      </c>
      <c r="V1975">
        <v>2.096131E-2</v>
      </c>
      <c r="W1975">
        <v>3.3455159999999998E-2</v>
      </c>
      <c r="X1975">
        <v>0.99922040000000001</v>
      </c>
      <c r="Y1975">
        <v>0.1255966</v>
      </c>
      <c r="Z1975">
        <v>3.823155E-3</v>
      </c>
      <c r="AA1975">
        <v>0.99207400000000001</v>
      </c>
      <c r="AB1975">
        <v>30</v>
      </c>
      <c r="AC1975">
        <v>-24.192799999999899</v>
      </c>
      <c r="AD1975">
        <v>-1.1093300233429999</v>
      </c>
      <c r="AE1975">
        <v>2.5619999999999501</v>
      </c>
      <c r="AF1975">
        <v>3.07338340613429</v>
      </c>
      <c r="AG1975">
        <v>-1.1093300233429999</v>
      </c>
      <c r="AH1975">
        <v>24.082278943121501</v>
      </c>
      <c r="AI1975">
        <v>92.616228500861595</v>
      </c>
      <c r="AJ1975">
        <v>82.727219196367102</v>
      </c>
      <c r="AK1975">
        <v>24.302931052778501</v>
      </c>
      <c r="AL1975">
        <v>88.082802809855593</v>
      </c>
      <c r="AM1975">
        <v>88.798244639807393</v>
      </c>
      <c r="AN1975">
        <v>1.0000000160118501</v>
      </c>
    </row>
    <row r="1976" spans="1:40" x14ac:dyDescent="0.25">
      <c r="A1976" t="str">
        <f>"20190312160334048"</f>
        <v>20190312160334048</v>
      </c>
      <c r="B1976" t="str">
        <f>"1552377814036346"</f>
        <v>1552377814036346</v>
      </c>
      <c r="C1976" t="s">
        <v>40</v>
      </c>
      <c r="D1976">
        <v>5.7945010000000003</v>
      </c>
      <c r="E1976">
        <v>0.54107090000000002</v>
      </c>
      <c r="F1976" t="s">
        <v>70</v>
      </c>
      <c r="G1976">
        <v>-321.14949999999999</v>
      </c>
      <c r="H1976" s="1">
        <v>-1.000422E-6</v>
      </c>
      <c r="I1976">
        <v>286.33999999999997</v>
      </c>
      <c r="J1976">
        <v>-297.2038</v>
      </c>
      <c r="K1976">
        <v>1.1093280000000001</v>
      </c>
      <c r="L1976">
        <v>283.77069999999998</v>
      </c>
      <c r="M1976">
        <v>-0.9997104</v>
      </c>
      <c r="N1976">
        <v>0</v>
      </c>
      <c r="O1976">
        <v>-2.0604339999999999E-2</v>
      </c>
      <c r="P1976">
        <v>-0.9997798</v>
      </c>
      <c r="Q1976">
        <v>2.0987789999999999E-2</v>
      </c>
      <c r="R1976">
        <v>6.4898479999999997E-4</v>
      </c>
      <c r="S1976">
        <v>-3.0037539999999998</v>
      </c>
      <c r="T1976">
        <v>-0.13748759999999999</v>
      </c>
      <c r="U1976">
        <v>0.31777949999999999</v>
      </c>
      <c r="V1976">
        <v>2.130628E-2</v>
      </c>
      <c r="W1976">
        <v>3.3385100000000001E-2</v>
      </c>
      <c r="X1976">
        <v>0.99921539999999998</v>
      </c>
      <c r="Y1976">
        <v>0.12552489999999999</v>
      </c>
      <c r="Z1976">
        <v>3.8035460000000001E-3</v>
      </c>
      <c r="AA1976">
        <v>0.99208320000000005</v>
      </c>
      <c r="AB1976">
        <v>30</v>
      </c>
      <c r="AC1976">
        <v>-23.945699999999899</v>
      </c>
      <c r="AD1976">
        <v>-1.109329000422</v>
      </c>
      <c r="AE1976">
        <v>2.5692999999999899</v>
      </c>
      <c r="AF1976">
        <v>3.0556945338761601</v>
      </c>
      <c r="AG1976">
        <v>-1.109329000422</v>
      </c>
      <c r="AH1976">
        <v>23.8370965362815</v>
      </c>
      <c r="AI1976">
        <v>92.6429084531607</v>
      </c>
      <c r="AJ1976">
        <v>82.6950527280448</v>
      </c>
      <c r="AK1976">
        <v>24.0577441003005</v>
      </c>
      <c r="AL1976">
        <v>88.086819105780407</v>
      </c>
      <c r="AM1976">
        <v>88.778466627948603</v>
      </c>
      <c r="AN1976">
        <v>0.99999996903330302</v>
      </c>
    </row>
    <row r="1977" spans="1:40" x14ac:dyDescent="0.25">
      <c r="A1977" t="str">
        <f>"20190312160334060"</f>
        <v>20190312160334060</v>
      </c>
      <c r="B1977" t="str">
        <f>"1552377814056842"</f>
        <v>1552377814056842</v>
      </c>
      <c r="C1977" t="s">
        <v>40</v>
      </c>
      <c r="D1977">
        <v>5.7748210000000002</v>
      </c>
      <c r="E1977">
        <v>0.54092130000000005</v>
      </c>
      <c r="F1977" t="s">
        <v>70</v>
      </c>
      <c r="G1977">
        <v>-320.93680000000001</v>
      </c>
      <c r="H1977" s="1">
        <v>-1.111874E-6</v>
      </c>
      <c r="I1977">
        <v>286.30040000000002</v>
      </c>
      <c r="J1977">
        <v>-297.37880000000001</v>
      </c>
      <c r="K1977">
        <v>1.109327</v>
      </c>
      <c r="L1977">
        <v>283.76760000000002</v>
      </c>
      <c r="M1977">
        <v>-0.99972050000000001</v>
      </c>
      <c r="N1977">
        <v>0</v>
      </c>
      <c r="O1977">
        <v>-2.0109269999999999E-2</v>
      </c>
      <c r="P1977">
        <v>-0.99977950000000004</v>
      </c>
      <c r="Q1977">
        <v>2.0988969999999999E-2</v>
      </c>
      <c r="R1977">
        <v>8.5664460000000003E-4</v>
      </c>
      <c r="S1977">
        <v>-3.0033569999999998</v>
      </c>
      <c r="T1977">
        <v>-0.1403828</v>
      </c>
      <c r="U1977">
        <v>0.32012940000000001</v>
      </c>
      <c r="V1977">
        <v>2.1018829999999999E-2</v>
      </c>
      <c r="W1977">
        <v>3.3386520000000003E-2</v>
      </c>
      <c r="X1977">
        <v>0.99922140000000004</v>
      </c>
      <c r="Y1977">
        <v>0.12580859999999999</v>
      </c>
      <c r="Z1977">
        <v>3.8674389999999999E-3</v>
      </c>
      <c r="AA1977">
        <v>0.99204700000000001</v>
      </c>
      <c r="AB1977">
        <v>30</v>
      </c>
      <c r="AC1977">
        <v>-23.558</v>
      </c>
      <c r="AD1977">
        <v>-1.1093281118739999</v>
      </c>
      <c r="AE1977">
        <v>2.5327999999999999</v>
      </c>
      <c r="AF1977">
        <v>2.99948351073391</v>
      </c>
      <c r="AG1977">
        <v>-1.1093281118739999</v>
      </c>
      <c r="AH1977">
        <v>23.450893157765702</v>
      </c>
      <c r="AI1977">
        <v>92.686464662782598</v>
      </c>
      <c r="AJ1977">
        <v>82.711166272673495</v>
      </c>
      <c r="AK1977">
        <v>23.667950905980401</v>
      </c>
      <c r="AL1977">
        <v>88.086737622954701</v>
      </c>
      <c r="AM1977">
        <v>88.794949075678602</v>
      </c>
      <c r="AN1977">
        <v>0.99999992857511699</v>
      </c>
    </row>
    <row r="1978" spans="1:40" x14ac:dyDescent="0.25">
      <c r="A1978" t="str">
        <f>"20190312160334090"</f>
        <v>20190312160334090</v>
      </c>
      <c r="B1978" t="str">
        <f>"1552377814086122"</f>
        <v>1552377814086122</v>
      </c>
      <c r="C1978" t="s">
        <v>40</v>
      </c>
      <c r="D1978">
        <v>5.6413440000000001</v>
      </c>
      <c r="E1978">
        <v>0.50994150000000005</v>
      </c>
      <c r="F1978" t="s">
        <v>70</v>
      </c>
      <c r="G1978">
        <v>-320.96190000000001</v>
      </c>
      <c r="H1978" s="1">
        <v>-1.09749E-6</v>
      </c>
      <c r="I1978">
        <v>286.2765</v>
      </c>
      <c r="J1978">
        <v>-297.7722</v>
      </c>
      <c r="K1978">
        <v>1.1093309999999901</v>
      </c>
      <c r="L1978">
        <v>283.76100000000002</v>
      </c>
      <c r="M1978">
        <v>-0.99974209999999997</v>
      </c>
      <c r="N1978">
        <v>0</v>
      </c>
      <c r="O1978">
        <v>-1.899791E-2</v>
      </c>
      <c r="P1978">
        <v>-0.99977119999999997</v>
      </c>
      <c r="Q1978">
        <v>2.131593E-2</v>
      </c>
      <c r="R1978">
        <v>1.7779510000000001E-3</v>
      </c>
      <c r="S1978">
        <v>-3.003387</v>
      </c>
      <c r="T1978">
        <v>-0.14127700000000001</v>
      </c>
      <c r="U1978">
        <v>0.319519</v>
      </c>
      <c r="V1978">
        <v>2.0829159999999999E-2</v>
      </c>
      <c r="W1978">
        <v>3.3713930000000003E-2</v>
      </c>
      <c r="X1978">
        <v>0.99921450000000001</v>
      </c>
      <c r="Y1978">
        <v>0.1245059</v>
      </c>
      <c r="Z1978">
        <v>3.8093889999999998E-3</v>
      </c>
      <c r="AA1978">
        <v>0.99221159999999997</v>
      </c>
      <c r="AB1978">
        <v>30</v>
      </c>
      <c r="AC1978">
        <v>-23.189699999999998</v>
      </c>
      <c r="AD1978">
        <v>-1.1093320974899901</v>
      </c>
      <c r="AE1978">
        <v>2.51550000000003</v>
      </c>
      <c r="AF1978">
        <v>2.94896593558444</v>
      </c>
      <c r="AG1978">
        <v>-1.1093320974899901</v>
      </c>
      <c r="AH1978">
        <v>23.085506620713399</v>
      </c>
      <c r="AI1978">
        <v>92.7289869309473</v>
      </c>
      <c r="AJ1978">
        <v>82.720403989138106</v>
      </c>
      <c r="AK1978">
        <v>23.299520032111399</v>
      </c>
      <c r="AL1978">
        <v>88.067968078266006</v>
      </c>
      <c r="AM1978">
        <v>88.805811823192997</v>
      </c>
      <c r="AN1978">
        <v>1.00000004999629</v>
      </c>
    </row>
    <row r="1979" spans="1:40" x14ac:dyDescent="0.25">
      <c r="A1979" t="str">
        <f>"20190312160334115"</f>
        <v>20190312160334115</v>
      </c>
      <c r="B1979" t="str">
        <f>"1552377814106619"</f>
        <v>1552377814106619</v>
      </c>
      <c r="C1979" t="s">
        <v>40</v>
      </c>
      <c r="D1979">
        <v>5.524966</v>
      </c>
      <c r="E1979">
        <v>0.50797890000000001</v>
      </c>
      <c r="F1979" t="s">
        <v>70</v>
      </c>
      <c r="G1979">
        <v>-334.29169999999999</v>
      </c>
      <c r="H1979" s="1">
        <v>7.432924E-7</v>
      </c>
      <c r="I1979">
        <v>284.70229999999998</v>
      </c>
      <c r="J1979">
        <v>-298.10379999999998</v>
      </c>
      <c r="K1979">
        <v>1.109332</v>
      </c>
      <c r="L1979">
        <v>283.75580000000002</v>
      </c>
      <c r="M1979">
        <v>-0.99975959999999997</v>
      </c>
      <c r="N1979">
        <v>0</v>
      </c>
      <c r="O1979">
        <v>-1.8063470000000002E-2</v>
      </c>
      <c r="P1979">
        <v>-0.99976580000000004</v>
      </c>
      <c r="Q1979">
        <v>2.1484690000000001E-2</v>
      </c>
      <c r="R1979">
        <v>2.667132E-3</v>
      </c>
      <c r="S1979">
        <v>-3.0025019999999998</v>
      </c>
      <c r="T1979">
        <v>-9.1205120000000001E-2</v>
      </c>
      <c r="U1979">
        <v>7.7392580000000002E-2</v>
      </c>
      <c r="V1979">
        <v>2.0784070000000002E-2</v>
      </c>
      <c r="W1979">
        <v>3.3882160000000001E-2</v>
      </c>
      <c r="X1979">
        <v>0.99920969999999998</v>
      </c>
      <c r="Y1979">
        <v>4.379363E-2</v>
      </c>
      <c r="Z1979">
        <v>1.2134190000000001E-3</v>
      </c>
      <c r="AA1979">
        <v>0.99903989999999998</v>
      </c>
      <c r="AB1979">
        <v>30</v>
      </c>
      <c r="AC1979">
        <v>-36.187899999999999</v>
      </c>
      <c r="AD1979">
        <v>-1.1093312567075999</v>
      </c>
      <c r="AE1979">
        <v>0.94649999999995704</v>
      </c>
      <c r="AF1979">
        <v>1.5985739051165899</v>
      </c>
      <c r="AG1979">
        <v>-1.1093312567075999</v>
      </c>
      <c r="AH1979">
        <v>36.130966787913003</v>
      </c>
      <c r="AI1979">
        <v>91.756885670567797</v>
      </c>
      <c r="AJ1979">
        <v>87.466664965327794</v>
      </c>
      <c r="AK1979">
        <v>36.183322337735902</v>
      </c>
      <c r="AL1979">
        <v>88.058323605459606</v>
      </c>
      <c r="AM1979">
        <v>88.808390477651699</v>
      </c>
      <c r="AN1979">
        <v>1.0000000014530599</v>
      </c>
    </row>
    <row r="1980" spans="1:40" x14ac:dyDescent="0.25">
      <c r="A1980" t="str">
        <f>"20190312160334126"</f>
        <v>20190312160334126</v>
      </c>
      <c r="B1980" t="str">
        <f>"1552377814116379"</f>
        <v>1552377814116379</v>
      </c>
      <c r="C1980" t="s">
        <v>40</v>
      </c>
      <c r="D1980">
        <v>5.5690119999999999</v>
      </c>
      <c r="E1980">
        <v>0.50652509999999995</v>
      </c>
      <c r="F1980" t="s">
        <v>70</v>
      </c>
      <c r="G1980">
        <v>-341.06209999999999</v>
      </c>
      <c r="H1980" s="1">
        <v>-9.7160659999999995E-7</v>
      </c>
      <c r="I1980">
        <v>284.68150000000003</v>
      </c>
      <c r="J1980">
        <v>-298.25470000000001</v>
      </c>
      <c r="K1980">
        <v>1.109332</v>
      </c>
      <c r="L1980">
        <v>283.75349999999997</v>
      </c>
      <c r="M1980">
        <v>-0.99976710000000002</v>
      </c>
      <c r="N1980">
        <v>0</v>
      </c>
      <c r="O1980">
        <v>-1.7638029999999999E-2</v>
      </c>
      <c r="P1980">
        <v>-0.99975270000000005</v>
      </c>
      <c r="Q1980">
        <v>2.2024220000000001E-2</v>
      </c>
      <c r="R1980">
        <v>3.1140920000000002E-3</v>
      </c>
      <c r="S1980">
        <v>-3.0021969999999998</v>
      </c>
      <c r="T1980">
        <v>-7.7527280000000004E-2</v>
      </c>
      <c r="U1980">
        <v>6.4697270000000001E-2</v>
      </c>
      <c r="V1980">
        <v>2.0806379999999999E-2</v>
      </c>
      <c r="W1980">
        <v>3.4421630000000002E-2</v>
      </c>
      <c r="X1980">
        <v>0.99919080000000005</v>
      </c>
      <c r="Y1980">
        <v>3.9157989999999997E-2</v>
      </c>
      <c r="Z1980">
        <v>9.6084190000000002E-4</v>
      </c>
      <c r="AA1980">
        <v>0.99923260000000003</v>
      </c>
      <c r="AB1980">
        <v>30</v>
      </c>
      <c r="AC1980">
        <v>-42.807399999999902</v>
      </c>
      <c r="AD1980">
        <v>-1.1093329716066</v>
      </c>
      <c r="AE1980">
        <v>0.928000000000054</v>
      </c>
      <c r="AF1980">
        <v>1.68182329173635</v>
      </c>
      <c r="AG1980">
        <v>-1.1093329716066</v>
      </c>
      <c r="AH1980">
        <v>42.755670803101701</v>
      </c>
      <c r="AI1980">
        <v>91.485107265538204</v>
      </c>
      <c r="AJ1980">
        <v>87.747393013827406</v>
      </c>
      <c r="AK1980">
        <v>42.803113613961798</v>
      </c>
      <c r="AL1980">
        <v>88.027396215457699</v>
      </c>
      <c r="AM1980">
        <v>88.807089194318493</v>
      </c>
      <c r="AN1980">
        <v>1.0000000044326001</v>
      </c>
    </row>
    <row r="1981" spans="1:40" x14ac:dyDescent="0.25">
      <c r="A1981" t="str">
        <f>"20190312160334137"</f>
        <v>20190312160334137</v>
      </c>
      <c r="B1981" t="str">
        <f>"1552377814126139"</f>
        <v>1552377814126139</v>
      </c>
      <c r="C1981" t="s">
        <v>40</v>
      </c>
      <c r="D1981">
        <v>5.7193300000000002</v>
      </c>
      <c r="E1981">
        <v>0.50538729999999998</v>
      </c>
      <c r="F1981" t="s">
        <v>70</v>
      </c>
      <c r="G1981">
        <v>-346.52679999999998</v>
      </c>
      <c r="H1981" s="1">
        <v>1.936422E-6</v>
      </c>
      <c r="I1981">
        <v>284.63580000000002</v>
      </c>
      <c r="J1981">
        <v>-298.40219999999999</v>
      </c>
      <c r="K1981">
        <v>1.1093329999999999</v>
      </c>
      <c r="L1981">
        <v>283.75130000000001</v>
      </c>
      <c r="M1981">
        <v>-0.99977439999999995</v>
      </c>
      <c r="N1981">
        <v>0</v>
      </c>
      <c r="O1981">
        <v>-1.7222479999999998E-2</v>
      </c>
      <c r="P1981">
        <v>-0.99974830000000003</v>
      </c>
      <c r="Q1981">
        <v>2.2178150000000001E-2</v>
      </c>
      <c r="R1981">
        <v>3.4070810000000002E-3</v>
      </c>
      <c r="S1981">
        <v>-3.0021059999999999</v>
      </c>
      <c r="T1981">
        <v>-6.8990709999999997E-2</v>
      </c>
      <c r="U1981">
        <v>5.487061E-2</v>
      </c>
      <c r="V1981">
        <v>2.0683900000000002E-2</v>
      </c>
      <c r="W1981">
        <v>3.4576030000000001E-2</v>
      </c>
      <c r="X1981">
        <v>0.99918799999999997</v>
      </c>
      <c r="Y1981">
        <v>3.5478639999999999E-2</v>
      </c>
      <c r="Z1981">
        <v>8.0330759999999897E-4</v>
      </c>
      <c r="AA1981">
        <v>0.99937010000000004</v>
      </c>
      <c r="AB1981">
        <v>30</v>
      </c>
      <c r="AC1981">
        <v>-48.124600000000001</v>
      </c>
      <c r="AD1981">
        <v>-1.1093310635779901</v>
      </c>
      <c r="AE1981">
        <v>0.88450000000000195</v>
      </c>
      <c r="AF1981">
        <v>1.71234823783262</v>
      </c>
      <c r="AG1981">
        <v>-1.1093310635779901</v>
      </c>
      <c r="AH1981">
        <v>48.076689338500202</v>
      </c>
      <c r="AI1981">
        <v>91.320982306754004</v>
      </c>
      <c r="AJ1981">
        <v>87.960157545877806</v>
      </c>
      <c r="AK1981">
        <v>48.119962693739602</v>
      </c>
      <c r="AL1981">
        <v>88.018544454291302</v>
      </c>
      <c r="AM1981">
        <v>88.814106116238193</v>
      </c>
      <c r="AN1981">
        <v>0.99999999245688498</v>
      </c>
    </row>
    <row r="1982" spans="1:40" x14ac:dyDescent="0.25">
      <c r="A1982" t="str">
        <f>"20190312160334149"</f>
        <v>20190312160334149</v>
      </c>
      <c r="B1982" t="str">
        <f>"1552377814146635"</f>
        <v>1552377814146635</v>
      </c>
      <c r="C1982" t="s">
        <v>40</v>
      </c>
      <c r="D1982">
        <v>5.7741280000000001</v>
      </c>
      <c r="E1982">
        <v>0.50466599999999995</v>
      </c>
      <c r="F1982" t="s">
        <v>70</v>
      </c>
      <c r="G1982">
        <v>-351.95299999999997</v>
      </c>
      <c r="H1982" s="1">
        <v>-4.9750489999999999E-7</v>
      </c>
      <c r="I1982">
        <v>284.59129999999999</v>
      </c>
      <c r="J1982">
        <v>-298.55829999999997</v>
      </c>
      <c r="K1982">
        <v>1.109335</v>
      </c>
      <c r="L1982">
        <v>283.7491</v>
      </c>
      <c r="M1982">
        <v>-0.9997819</v>
      </c>
      <c r="N1982">
        <v>0</v>
      </c>
      <c r="O1982">
        <v>-1.6782620000000002E-2</v>
      </c>
      <c r="P1982">
        <v>-0.99974609999999997</v>
      </c>
      <c r="Q1982">
        <v>2.2253499999999999E-2</v>
      </c>
      <c r="R1982">
        <v>3.5728790000000002E-3</v>
      </c>
      <c r="S1982">
        <v>-3.0019840000000002</v>
      </c>
      <c r="T1982">
        <v>-6.218767E-2</v>
      </c>
      <c r="U1982">
        <v>4.7088619999999998E-2</v>
      </c>
      <c r="V1982">
        <v>2.0410089999999999E-2</v>
      </c>
      <c r="W1982">
        <v>3.4651319999999999E-2</v>
      </c>
      <c r="X1982">
        <v>0.99919100000000005</v>
      </c>
      <c r="Y1982">
        <v>3.2452990000000001E-2</v>
      </c>
      <c r="Z1982">
        <v>6.8371199999999995E-4</v>
      </c>
      <c r="AA1982">
        <v>0.99947299999999994</v>
      </c>
      <c r="AB1982">
        <v>30</v>
      </c>
      <c r="AC1982">
        <v>-53.3947</v>
      </c>
      <c r="AD1982">
        <v>-1.1093354975048999</v>
      </c>
      <c r="AE1982">
        <v>0.84219999999999096</v>
      </c>
      <c r="AF1982">
        <v>1.73750375507009</v>
      </c>
      <c r="AG1982">
        <v>-1.1093354975048999</v>
      </c>
      <c r="AH1982">
        <v>53.350020725548802</v>
      </c>
      <c r="AI1982">
        <v>91.190579047727994</v>
      </c>
      <c r="AJ1982">
        <v>88.134650075575294</v>
      </c>
      <c r="AK1982">
        <v>53.389832889431197</v>
      </c>
      <c r="AL1982">
        <v>88.014228024117102</v>
      </c>
      <c r="AM1982">
        <v>88.829803898564407</v>
      </c>
      <c r="AN1982">
        <v>0.99999997011627395</v>
      </c>
    </row>
    <row r="1983" spans="1:40" x14ac:dyDescent="0.25">
      <c r="A1983" t="str">
        <f>"20190312160334160"</f>
        <v>20190312160334160</v>
      </c>
      <c r="B1983" t="str">
        <f>"1552377814156394"</f>
        <v>1552377814156394</v>
      </c>
      <c r="C1983" t="s">
        <v>40</v>
      </c>
      <c r="D1983">
        <v>5.8940229999999998</v>
      </c>
      <c r="E1983">
        <v>0.50483239999999996</v>
      </c>
      <c r="F1983" t="s">
        <v>70</v>
      </c>
      <c r="G1983">
        <v>-352.14409999999998</v>
      </c>
      <c r="H1983" s="1">
        <v>-3.9578769999999999E-7</v>
      </c>
      <c r="I1983">
        <v>284.49369999999999</v>
      </c>
      <c r="J1983">
        <v>-298.70639999999997</v>
      </c>
      <c r="K1983">
        <v>1.109337</v>
      </c>
      <c r="L1983">
        <v>283.74709999999999</v>
      </c>
      <c r="M1983">
        <v>-0.99978860000000003</v>
      </c>
      <c r="N1983">
        <v>0</v>
      </c>
      <c r="O1983">
        <v>-1.6366120000000001E-2</v>
      </c>
      <c r="P1983">
        <v>-0.99973820000000002</v>
      </c>
      <c r="Q1983">
        <v>2.258932E-2</v>
      </c>
      <c r="R1983">
        <v>3.6895869999999998E-3</v>
      </c>
      <c r="S1983">
        <v>-3.0019529999999999</v>
      </c>
      <c r="T1983">
        <v>-6.214654E-2</v>
      </c>
      <c r="U1983">
        <v>4.1717530000000003E-2</v>
      </c>
      <c r="V1983">
        <v>2.0110820000000001E-2</v>
      </c>
      <c r="W1983">
        <v>3.498776E-2</v>
      </c>
      <c r="X1983">
        <v>0.9991854</v>
      </c>
      <c r="Y1983">
        <v>3.0249419999999999E-2</v>
      </c>
      <c r="Z1983">
        <v>6.5184759999999998E-4</v>
      </c>
      <c r="AA1983">
        <v>0.99954219999999905</v>
      </c>
      <c r="AB1983">
        <v>30</v>
      </c>
      <c r="AC1983">
        <v>-53.4377</v>
      </c>
      <c r="AD1983">
        <v>-1.1093373957877</v>
      </c>
      <c r="AE1983">
        <v>0.74660000000000004</v>
      </c>
      <c r="AF1983">
        <v>1.62043734661773</v>
      </c>
      <c r="AG1983">
        <v>-1.1093373957877</v>
      </c>
      <c r="AH1983">
        <v>53.395315398953201</v>
      </c>
      <c r="AI1983">
        <v>91.189654392929995</v>
      </c>
      <c r="AJ1983">
        <v>88.261725155228902</v>
      </c>
      <c r="AK1983">
        <v>53.431415414582602</v>
      </c>
      <c r="AL1983">
        <v>87.9949398473793</v>
      </c>
      <c r="AM1983">
        <v>88.846951176117599</v>
      </c>
      <c r="AN1983">
        <v>1.0000000260020201</v>
      </c>
    </row>
    <row r="1984" spans="1:40" x14ac:dyDescent="0.25">
      <c r="A1984" t="str">
        <f>"20190312160334172"</f>
        <v>20190312160334172</v>
      </c>
      <c r="B1984" t="str">
        <f>"1552377814166154"</f>
        <v>1552377814166154</v>
      </c>
      <c r="C1984" t="s">
        <v>40</v>
      </c>
      <c r="D1984">
        <v>5.6327819999999997</v>
      </c>
      <c r="E1984">
        <v>0.50455360000000005</v>
      </c>
      <c r="F1984" t="s">
        <v>70</v>
      </c>
      <c r="G1984">
        <v>-362.90660000000003</v>
      </c>
      <c r="H1984" s="1">
        <v>9.9441879999999999E-9</v>
      </c>
      <c r="I1984">
        <v>284.6909</v>
      </c>
      <c r="J1984">
        <v>-298.85559999999998</v>
      </c>
      <c r="K1984">
        <v>1.1093379999999999</v>
      </c>
      <c r="L1984">
        <v>283.745</v>
      </c>
      <c r="M1984">
        <v>-0.99979560000000001</v>
      </c>
      <c r="N1984">
        <v>0</v>
      </c>
      <c r="O1984">
        <v>-1.5946519999999999E-2</v>
      </c>
      <c r="P1984">
        <v>-0.99974070000000004</v>
      </c>
      <c r="Q1984">
        <v>2.2485620000000001E-2</v>
      </c>
      <c r="R1984">
        <v>3.5714039999999998E-3</v>
      </c>
      <c r="S1984">
        <v>-3.0018310000000001</v>
      </c>
      <c r="T1984">
        <v>-5.186963E-2</v>
      </c>
      <c r="U1984">
        <v>4.4128420000000002E-2</v>
      </c>
      <c r="V1984">
        <v>1.957275E-2</v>
      </c>
      <c r="W1984">
        <v>3.4885310000000003E-2</v>
      </c>
      <c r="X1984">
        <v>0.99919959999999997</v>
      </c>
      <c r="Y1984">
        <v>3.0636119999999999E-2</v>
      </c>
      <c r="Z1984">
        <v>5.4018220000000001E-4</v>
      </c>
      <c r="AA1984">
        <v>0.99953040000000004</v>
      </c>
      <c r="AB1984">
        <v>30</v>
      </c>
      <c r="AC1984">
        <v>-64.051000000000002</v>
      </c>
      <c r="AD1984">
        <v>-1.10933799005581</v>
      </c>
      <c r="AE1984">
        <v>0.94589999999999397</v>
      </c>
      <c r="AF1984">
        <v>1.9666593460725399</v>
      </c>
      <c r="AG1984">
        <v>-1.10933799005581</v>
      </c>
      <c r="AH1984">
        <v>64.008573051133098</v>
      </c>
      <c r="AI1984">
        <v>90.992430360959403</v>
      </c>
      <c r="AJ1984">
        <v>88.240144450786602</v>
      </c>
      <c r="AK1984">
        <v>64.048386426216197</v>
      </c>
      <c r="AL1984">
        <v>88.000813251474398</v>
      </c>
      <c r="AM1984">
        <v>88.877809231133895</v>
      </c>
      <c r="AN1984">
        <v>0.999999959018258</v>
      </c>
    </row>
    <row r="1985" spans="1:40" x14ac:dyDescent="0.25">
      <c r="A1985" t="str">
        <f>"20190312160334182"</f>
        <v>20190312160334182</v>
      </c>
      <c r="B1985" t="str">
        <f>"1552377814176891"</f>
        <v>1552377814176891</v>
      </c>
      <c r="C1985" t="s">
        <v>40</v>
      </c>
      <c r="D1985">
        <v>5.0656610000000004</v>
      </c>
      <c r="E1985">
        <v>0.50455360000000005</v>
      </c>
      <c r="F1985" t="s">
        <v>70</v>
      </c>
      <c r="G1985">
        <v>-350.22460000000001</v>
      </c>
      <c r="H1985" s="1">
        <v>-1.4172740000000001E-6</v>
      </c>
      <c r="I1985">
        <v>284.44479999999999</v>
      </c>
      <c r="J1985">
        <v>-299.01280000000003</v>
      </c>
      <c r="K1985">
        <v>1.1093440000000001</v>
      </c>
      <c r="L1985">
        <v>283.74299999999999</v>
      </c>
      <c r="M1985">
        <v>-0.99980250000000004</v>
      </c>
      <c r="N1985">
        <v>0</v>
      </c>
      <c r="O1985">
        <v>-1.550428E-2</v>
      </c>
      <c r="P1985">
        <v>-0.99973610000000002</v>
      </c>
      <c r="Q1985">
        <v>2.26471E-2</v>
      </c>
      <c r="R1985">
        <v>3.9400449999999997E-3</v>
      </c>
      <c r="S1985">
        <v>-3.0021059999999999</v>
      </c>
      <c r="T1985">
        <v>-6.4831970000000003E-2</v>
      </c>
      <c r="U1985">
        <v>4.0893550000000001E-2</v>
      </c>
      <c r="V1985">
        <v>1.9499699999999998E-2</v>
      </c>
      <c r="W1985">
        <v>3.5046380000000002E-2</v>
      </c>
      <c r="X1985">
        <v>0.99919550000000001</v>
      </c>
      <c r="Y1985">
        <v>2.911236E-2</v>
      </c>
      <c r="Z1985">
        <v>6.4908930000000004E-4</v>
      </c>
      <c r="AA1985">
        <v>0.99957589999999996</v>
      </c>
      <c r="AB1985">
        <v>30</v>
      </c>
      <c r="AC1985">
        <v>-51.211799999999897</v>
      </c>
      <c r="AD1985">
        <v>-1.109345417274</v>
      </c>
      <c r="AE1985">
        <v>0.70179999999999099</v>
      </c>
      <c r="AF1985">
        <v>1.4950776768932601</v>
      </c>
      <c r="AG1985">
        <v>-1.109345417274</v>
      </c>
      <c r="AH1985">
        <v>51.1707549456032</v>
      </c>
      <c r="AI1985">
        <v>91.241407443022496</v>
      </c>
      <c r="AJ1985">
        <v>88.326440986596396</v>
      </c>
      <c r="AK1985">
        <v>51.204609814134301</v>
      </c>
      <c r="AL1985">
        <v>87.991579190425497</v>
      </c>
      <c r="AM1985">
        <v>88.881991853539105</v>
      </c>
      <c r="AN1985">
        <v>1.0000000671357101</v>
      </c>
    </row>
    <row r="1986" spans="1:40" x14ac:dyDescent="0.25">
      <c r="A1986" t="str">
        <f>"20190312160334194"</f>
        <v>20190312160334194</v>
      </c>
      <c r="B1986" t="str">
        <f>"1552377814176891"</f>
        <v>1552377814176891</v>
      </c>
      <c r="C1986" t="s">
        <v>40</v>
      </c>
      <c r="D1986">
        <v>5.0656610000000004</v>
      </c>
      <c r="E1986">
        <v>0.50455360000000005</v>
      </c>
      <c r="F1986" t="s">
        <v>70</v>
      </c>
      <c r="G1986">
        <v>-350.7568</v>
      </c>
      <c r="H1986" s="1">
        <v>-1.1340380000000001E-6</v>
      </c>
      <c r="I1986">
        <v>284.46620000000001</v>
      </c>
      <c r="J1986">
        <v>-299.15649999999999</v>
      </c>
      <c r="K1986">
        <v>1.109343</v>
      </c>
      <c r="L1986">
        <v>283.74119999999999</v>
      </c>
      <c r="M1986">
        <v>-0.99980860000000005</v>
      </c>
      <c r="N1986">
        <v>0</v>
      </c>
      <c r="O1986">
        <v>-1.5099939999999999E-2</v>
      </c>
      <c r="P1986">
        <v>-0.99972930000000004</v>
      </c>
      <c r="Q1986">
        <v>2.292392E-2</v>
      </c>
      <c r="R1986">
        <v>4.0335570000000001E-3</v>
      </c>
      <c r="S1986">
        <v>-3.0021059999999999</v>
      </c>
      <c r="T1986">
        <v>-6.4362409999999995E-2</v>
      </c>
      <c r="U1986">
        <v>4.196167E-2</v>
      </c>
      <c r="V1986">
        <v>1.9189319999999999E-2</v>
      </c>
      <c r="W1986">
        <v>3.5323729999999998E-2</v>
      </c>
      <c r="X1986">
        <v>0.99919170000000002</v>
      </c>
      <c r="Y1986">
        <v>2.906394E-2</v>
      </c>
      <c r="Z1986">
        <v>6.3520129999999897E-4</v>
      </c>
      <c r="AA1986">
        <v>0.9995773</v>
      </c>
      <c r="AB1986">
        <v>30</v>
      </c>
      <c r="AC1986">
        <v>-51.600299999999997</v>
      </c>
      <c r="AD1986">
        <v>-1.1093441340379999</v>
      </c>
      <c r="AE1986">
        <v>0.72500000000002196</v>
      </c>
      <c r="AF1986">
        <v>1.5034443082306701</v>
      </c>
      <c r="AG1986">
        <v>-1.1093441340379999</v>
      </c>
      <c r="AH1986">
        <v>51.559641741420599</v>
      </c>
      <c r="AI1986">
        <v>91.232047730016006</v>
      </c>
      <c r="AJ1986">
        <v>88.329767064511998</v>
      </c>
      <c r="AK1986">
        <v>51.593484527596303</v>
      </c>
      <c r="AL1986">
        <v>87.975678275338794</v>
      </c>
      <c r="AM1986">
        <v>88.899778784240198</v>
      </c>
      <c r="AN1986">
        <v>1.0000000246260301</v>
      </c>
    </row>
    <row r="1987" spans="1:40" x14ac:dyDescent="0.25">
      <c r="A1987" t="str">
        <f>"20190312160334582"</f>
        <v>20190312160334582</v>
      </c>
      <c r="B1987" t="str">
        <f>"1552377814576437"</f>
        <v>1552377814576437</v>
      </c>
      <c r="C1987" t="s">
        <v>40</v>
      </c>
      <c r="D1987">
        <v>5.1045949999999998</v>
      </c>
      <c r="E1987">
        <v>0.50282039999999995</v>
      </c>
      <c r="F1987" t="s">
        <v>70</v>
      </c>
      <c r="G1987">
        <v>-351.5652</v>
      </c>
      <c r="H1987" s="1">
        <v>-7.0389369999999996E-7</v>
      </c>
      <c r="I1987">
        <v>284.47480000000002</v>
      </c>
      <c r="J1987">
        <v>-304.29360000000003</v>
      </c>
      <c r="K1987">
        <v>1.109321</v>
      </c>
      <c r="L1987">
        <v>283.7149</v>
      </c>
      <c r="M1987">
        <v>-0.99992250000000005</v>
      </c>
      <c r="N1987">
        <v>0</v>
      </c>
      <c r="O1987">
        <v>-6.5853319999999995E-4</v>
      </c>
      <c r="P1987">
        <v>-0.99964620000000004</v>
      </c>
      <c r="Q1987">
        <v>1.712547E-2</v>
      </c>
      <c r="R1987">
        <v>2.034774E-2</v>
      </c>
      <c r="S1987">
        <v>-3.0021059999999999</v>
      </c>
      <c r="T1987">
        <v>-6.3546060000000001E-2</v>
      </c>
      <c r="U1987">
        <v>4.2022709999999998E-2</v>
      </c>
      <c r="V1987">
        <v>2.1054469999999999E-2</v>
      </c>
      <c r="W1987">
        <v>2.9521769999999999E-2</v>
      </c>
      <c r="X1987">
        <v>0.99934239999999996</v>
      </c>
      <c r="Y1987">
        <v>1.465146E-2</v>
      </c>
      <c r="Z1987">
        <v>1.689781E-4</v>
      </c>
      <c r="AA1987">
        <v>0.99989269999999997</v>
      </c>
      <c r="AB1987">
        <v>30</v>
      </c>
      <c r="AC1987">
        <v>-47.2715999999999</v>
      </c>
      <c r="AD1987">
        <v>-1.1093217038937</v>
      </c>
      <c r="AE1987">
        <v>0.75990000000001501</v>
      </c>
      <c r="AF1987">
        <v>0.79059689065740402</v>
      </c>
      <c r="AG1987">
        <v>-1.1093217038937</v>
      </c>
      <c r="AH1987">
        <v>47.245078186908401</v>
      </c>
      <c r="AI1987">
        <v>91.344878349692294</v>
      </c>
      <c r="AJ1987">
        <v>89.041304631115096</v>
      </c>
      <c r="AK1987">
        <v>47.264712534546703</v>
      </c>
      <c r="AL1987">
        <v>88.308281431681905</v>
      </c>
      <c r="AM1987">
        <v>88.793052479535504</v>
      </c>
      <c r="AN1987">
        <v>1.0000000290243301</v>
      </c>
    </row>
    <row r="1988" spans="1:40" x14ac:dyDescent="0.25">
      <c r="A1988" t="str">
        <f>"20190312160334594"</f>
        <v>20190312160334594</v>
      </c>
      <c r="B1988" t="str">
        <f>"1552377814586197"</f>
        <v>1552377814586197</v>
      </c>
      <c r="C1988" t="s">
        <v>40</v>
      </c>
      <c r="D1988">
        <v>5.3333740000000001</v>
      </c>
      <c r="E1988">
        <v>0.50219639999999999</v>
      </c>
      <c r="F1988" t="s">
        <v>70</v>
      </c>
      <c r="G1988">
        <v>-343.10730000000001</v>
      </c>
      <c r="H1988" s="1">
        <v>1.1677669999999901E-7</v>
      </c>
      <c r="I1988">
        <v>284.70920000000001</v>
      </c>
      <c r="J1988">
        <v>-304.44450000000001</v>
      </c>
      <c r="K1988">
        <v>1.109321</v>
      </c>
      <c r="L1988">
        <v>283.71519999999998</v>
      </c>
      <c r="M1988">
        <v>-0.9999228</v>
      </c>
      <c r="N1988">
        <v>0</v>
      </c>
      <c r="O1988">
        <v>-2.384648E-4</v>
      </c>
      <c r="P1988">
        <v>-0.99963239999999998</v>
      </c>
      <c r="Q1988">
        <v>1.739081E-2</v>
      </c>
      <c r="R1988">
        <v>2.0804019999999999E-2</v>
      </c>
      <c r="S1988">
        <v>-3.0009769999999998</v>
      </c>
      <c r="T1988">
        <v>-8.5769890000000001E-2</v>
      </c>
      <c r="U1988">
        <v>7.6873780000000003E-2</v>
      </c>
      <c r="V1988">
        <v>2.1091200000000001E-2</v>
      </c>
      <c r="W1988">
        <v>2.9786770000000001E-2</v>
      </c>
      <c r="X1988">
        <v>0.99933369999999999</v>
      </c>
      <c r="Y1988">
        <v>2.583562E-2</v>
      </c>
      <c r="Z1988">
        <v>3.7587710000000003E-4</v>
      </c>
      <c r="AA1988">
        <v>0.99966619999999995</v>
      </c>
      <c r="AB1988">
        <v>30</v>
      </c>
      <c r="AC1988">
        <v>-38.662799999999997</v>
      </c>
      <c r="AD1988">
        <v>-1.1093208832232999</v>
      </c>
      <c r="AE1988">
        <v>0.99400000000002797</v>
      </c>
      <c r="AF1988">
        <v>1.0023957304992199</v>
      </c>
      <c r="AG1988">
        <v>-1.1093208832232999</v>
      </c>
      <c r="AH1988">
        <v>38.630780355678603</v>
      </c>
      <c r="AI1988">
        <v>91.644299526518097</v>
      </c>
      <c r="AJ1988">
        <v>88.513616358206406</v>
      </c>
      <c r="AK1988">
        <v>38.659702286892497</v>
      </c>
      <c r="AL1988">
        <v>88.2930912645419</v>
      </c>
      <c r="AM1988">
        <v>88.790937034048198</v>
      </c>
      <c r="AN1988">
        <v>0.99999996717008099</v>
      </c>
    </row>
    <row r="1989" spans="1:40" x14ac:dyDescent="0.25">
      <c r="A1989" t="str">
        <f>"20190312160334604"</f>
        <v>20190312160334604</v>
      </c>
      <c r="B1989" t="str">
        <f>"1552377814596934"</f>
        <v>1552377814596934</v>
      </c>
      <c r="C1989" t="s">
        <v>40</v>
      </c>
      <c r="D1989">
        <v>4.8182470000000004</v>
      </c>
      <c r="E1989">
        <v>0.49815490000000001</v>
      </c>
      <c r="F1989" t="s">
        <v>70</v>
      </c>
      <c r="G1989">
        <v>-353.70460000000003</v>
      </c>
      <c r="H1989" s="1">
        <v>4.3458909999999999E-7</v>
      </c>
      <c r="I1989">
        <v>284.93110000000001</v>
      </c>
      <c r="J1989">
        <v>-304.59730000000002</v>
      </c>
      <c r="K1989">
        <v>1.1093230000000001</v>
      </c>
      <c r="L1989">
        <v>283.71559999999999</v>
      </c>
      <c r="M1989">
        <v>-0.99992259999999999</v>
      </c>
      <c r="N1989">
        <v>0</v>
      </c>
      <c r="O1989">
        <v>1.8613239999999999E-4</v>
      </c>
      <c r="P1989">
        <v>-0.99962410000000002</v>
      </c>
      <c r="Q1989">
        <v>1.743749E-2</v>
      </c>
      <c r="R1989">
        <v>2.1155980000000001E-2</v>
      </c>
      <c r="S1989">
        <v>-3.000702</v>
      </c>
      <c r="T1989">
        <v>-6.757486E-2</v>
      </c>
      <c r="U1989">
        <v>7.4066160000000006E-2</v>
      </c>
      <c r="V1989">
        <v>2.1018829999999999E-2</v>
      </c>
      <c r="W1989">
        <v>2.9833479999999999E-2</v>
      </c>
      <c r="X1989">
        <v>0.9993339</v>
      </c>
      <c r="Y1989">
        <v>2.448318E-2</v>
      </c>
      <c r="Z1989">
        <v>2.714091E-4</v>
      </c>
      <c r="AA1989">
        <v>0.99970020000000004</v>
      </c>
      <c r="AB1989">
        <v>30</v>
      </c>
      <c r="AC1989">
        <v>-49.107300000000002</v>
      </c>
      <c r="AD1989">
        <v>-1.1093225654109</v>
      </c>
      <c r="AE1989">
        <v>1.21550000000002</v>
      </c>
      <c r="AF1989">
        <v>1.20574390039929</v>
      </c>
      <c r="AG1989">
        <v>-1.1093225654109</v>
      </c>
      <c r="AH1989">
        <v>49.082494064148001</v>
      </c>
      <c r="AI1989">
        <v>91.294341772383007</v>
      </c>
      <c r="AJ1989">
        <v>88.592774343284304</v>
      </c>
      <c r="AK1989">
        <v>49.109832401104804</v>
      </c>
      <c r="AL1989">
        <v>88.290413905887903</v>
      </c>
      <c r="AM1989">
        <v>88.795084694274394</v>
      </c>
      <c r="AN1989">
        <v>1.0000000357163401</v>
      </c>
    </row>
    <row r="1990" spans="1:40" x14ac:dyDescent="0.25">
      <c r="A1990" t="str">
        <f>"20190312160334617"</f>
        <v>20190312160334617</v>
      </c>
      <c r="B1990" t="str">
        <f>"1552377814606694"</f>
        <v>1552377814606694</v>
      </c>
      <c r="C1990" t="s">
        <v>40</v>
      </c>
      <c r="D1990">
        <v>5.620298</v>
      </c>
      <c r="E1990">
        <v>0.4986061</v>
      </c>
      <c r="F1990" t="s">
        <v>70</v>
      </c>
      <c r="G1990">
        <v>-369.18729999999999</v>
      </c>
      <c r="H1990" s="1">
        <v>3.3522109999999999E-6</v>
      </c>
      <c r="I1990">
        <v>284.6549</v>
      </c>
      <c r="J1990">
        <v>-304.75170000000003</v>
      </c>
      <c r="K1990">
        <v>1.1093249999999999</v>
      </c>
      <c r="L1990">
        <v>283.71609999999998</v>
      </c>
      <c r="M1990">
        <v>-0.99992259999999999</v>
      </c>
      <c r="N1990">
        <v>0</v>
      </c>
      <c r="O1990">
        <v>6.1340389999999998E-4</v>
      </c>
      <c r="P1990">
        <v>-0.99961409999999995</v>
      </c>
      <c r="Q1990">
        <v>1.7543380000000001E-2</v>
      </c>
      <c r="R1990">
        <v>2.1544339999999999E-2</v>
      </c>
      <c r="S1990">
        <v>-3.001099</v>
      </c>
      <c r="T1990">
        <v>-5.1543239999999997E-2</v>
      </c>
      <c r="U1990">
        <v>4.3640140000000001E-2</v>
      </c>
      <c r="V1990">
        <v>2.0980240000000001E-2</v>
      </c>
      <c r="W1990">
        <v>2.9939299999999999E-2</v>
      </c>
      <c r="X1990">
        <v>0.99933150000000004</v>
      </c>
      <c r="Y1990">
        <v>1.3924499999999999E-2</v>
      </c>
      <c r="Z1990">
        <v>1.090255E-4</v>
      </c>
      <c r="AA1990">
        <v>0.99990299999999999</v>
      </c>
      <c r="AB1990">
        <v>30</v>
      </c>
      <c r="AC1990">
        <v>-64.435599999999894</v>
      </c>
      <c r="AD1990">
        <v>-1.109321647789</v>
      </c>
      <c r="AE1990">
        <v>0.93880000000001396</v>
      </c>
      <c r="AF1990">
        <v>0.899005323538</v>
      </c>
      <c r="AG1990">
        <v>-1.109321647789</v>
      </c>
      <c r="AH1990">
        <v>64.417075273054394</v>
      </c>
      <c r="AI1990">
        <v>90.986492778744505</v>
      </c>
      <c r="AJ1990">
        <v>89.200431456756405</v>
      </c>
      <c r="AK1990">
        <v>64.432898365853106</v>
      </c>
      <c r="AL1990">
        <v>88.284348077882001</v>
      </c>
      <c r="AM1990">
        <v>88.797293348045102</v>
      </c>
      <c r="AN1990">
        <v>0.99999998952359803</v>
      </c>
    </row>
    <row r="1991" spans="1:40" x14ac:dyDescent="0.25">
      <c r="A1991" t="str">
        <f>"20190312160334629"</f>
        <v>20190312160334629</v>
      </c>
      <c r="B1991" t="str">
        <f>"1552377814616454"</f>
        <v>1552377814616454</v>
      </c>
      <c r="C1991" t="s">
        <v>40</v>
      </c>
      <c r="D1991">
        <v>5.3617780000000002</v>
      </c>
      <c r="E1991">
        <v>0.49836809999999998</v>
      </c>
      <c r="F1991" t="s">
        <v>70</v>
      </c>
      <c r="G1991">
        <v>-386.86110000000002</v>
      </c>
      <c r="H1991" s="1">
        <v>2.1143299999999998E-6</v>
      </c>
      <c r="I1991">
        <v>285.05470000000003</v>
      </c>
      <c r="J1991">
        <v>-304.91090000000003</v>
      </c>
      <c r="K1991">
        <v>1.1093280000000001</v>
      </c>
      <c r="L1991">
        <v>283.7167</v>
      </c>
      <c r="M1991">
        <v>-0.99992219999999998</v>
      </c>
      <c r="N1991">
        <v>0</v>
      </c>
      <c r="O1991">
        <v>1.0526509999999999E-3</v>
      </c>
      <c r="P1991">
        <v>-0.99960210000000005</v>
      </c>
      <c r="Q1991">
        <v>1.782249E-2</v>
      </c>
      <c r="R1991">
        <v>2.187354E-2</v>
      </c>
      <c r="S1991">
        <v>-3.0007929999999998</v>
      </c>
      <c r="T1991">
        <v>-4.0541649999999999E-2</v>
      </c>
      <c r="U1991">
        <v>4.891968E-2</v>
      </c>
      <c r="V1991">
        <v>2.087052E-2</v>
      </c>
      <c r="W1991">
        <v>3.0218600000000002E-2</v>
      </c>
      <c r="X1991">
        <v>0.99932540000000003</v>
      </c>
      <c r="Y1991">
        <v>1.524619E-2</v>
      </c>
      <c r="Z1991" s="1">
        <v>8.8757699999999999E-5</v>
      </c>
      <c r="AA1991">
        <v>0.99988379999999999</v>
      </c>
      <c r="AB1991">
        <v>30</v>
      </c>
      <c r="AC1991">
        <v>-81.950199999999995</v>
      </c>
      <c r="AD1991">
        <v>-1.1093258856699999</v>
      </c>
      <c r="AE1991">
        <v>1.3380000000000201</v>
      </c>
      <c r="AF1991">
        <v>1.25149837209433</v>
      </c>
      <c r="AG1991">
        <v>-1.1093258856699999</v>
      </c>
      <c r="AH1991">
        <v>81.936553162568401</v>
      </c>
      <c r="AI1991">
        <v>90.775580548690698</v>
      </c>
      <c r="AJ1991">
        <v>89.124932687299804</v>
      </c>
      <c r="AK1991">
        <v>81.953618567201602</v>
      </c>
      <c r="AL1991">
        <v>88.268338138316906</v>
      </c>
      <c r="AM1991">
        <v>88.803573988345406</v>
      </c>
      <c r="AN1991">
        <v>0.99999999873809498</v>
      </c>
    </row>
    <row r="1992" spans="1:40" x14ac:dyDescent="0.25">
      <c r="A1992" t="str">
        <f>"20190312160334641"</f>
        <v>20190312160334641</v>
      </c>
      <c r="B1992" t="str">
        <f>"1552377814636950"</f>
        <v>1552377814636950</v>
      </c>
      <c r="C1992" t="s">
        <v>40</v>
      </c>
      <c r="D1992">
        <v>5.4250550000000004</v>
      </c>
      <c r="E1992">
        <v>0.49877680000000002</v>
      </c>
      <c r="F1992" t="s">
        <v>79</v>
      </c>
      <c r="G1992">
        <v>-413.63780000000003</v>
      </c>
      <c r="H1992" s="1">
        <v>2.7756990000000001E-6</v>
      </c>
      <c r="I1992">
        <v>285.47820000000002</v>
      </c>
      <c r="J1992">
        <v>-305.0788</v>
      </c>
      <c r="K1992">
        <v>1.1093309999999901</v>
      </c>
      <c r="L1992">
        <v>283.71730000000002</v>
      </c>
      <c r="M1992">
        <v>-0.99992159999999997</v>
      </c>
      <c r="N1992">
        <v>0</v>
      </c>
      <c r="O1992">
        <v>1.512382E-3</v>
      </c>
      <c r="P1992">
        <v>-0.99959399999999998</v>
      </c>
      <c r="Q1992">
        <v>1.7820760000000001E-2</v>
      </c>
      <c r="R1992">
        <v>2.2237300000000002E-2</v>
      </c>
      <c r="S1992">
        <v>-3.0006409999999999</v>
      </c>
      <c r="T1992">
        <v>-3.0615090000000001E-2</v>
      </c>
      <c r="U1992">
        <v>4.8614499999999998E-2</v>
      </c>
      <c r="V1992">
        <v>2.077449E-2</v>
      </c>
      <c r="W1992">
        <v>3.0217170000000002E-2</v>
      </c>
      <c r="X1992">
        <v>0.99932739999999998</v>
      </c>
      <c r="Y1992">
        <v>1.468624E-2</v>
      </c>
      <c r="Z1992" s="1">
        <v>5.9483569999999999E-5</v>
      </c>
      <c r="AA1992">
        <v>0.99989220000000001</v>
      </c>
      <c r="AB1992">
        <v>30</v>
      </c>
      <c r="AC1992">
        <v>-108.559</v>
      </c>
      <c r="AD1992">
        <v>-1.1093282243010001</v>
      </c>
      <c r="AE1992">
        <v>1.7608999999999899</v>
      </c>
      <c r="AF1992">
        <v>1.5965359549144</v>
      </c>
      <c r="AG1992">
        <v>-1.1093282243010001</v>
      </c>
      <c r="AH1992">
        <v>108.550207230967</v>
      </c>
      <c r="AI1992">
        <v>90.585450195166999</v>
      </c>
      <c r="AJ1992">
        <v>89.157365247707403</v>
      </c>
      <c r="AK1992">
        <v>108.567614996602</v>
      </c>
      <c r="AL1992">
        <v>88.268420032252706</v>
      </c>
      <c r="AM1992">
        <v>88.809079809655699</v>
      </c>
      <c r="AN1992">
        <v>0.99999995459416302</v>
      </c>
    </row>
    <row r="1993" spans="1:40" x14ac:dyDescent="0.25">
      <c r="A1993" t="str">
        <f>"20190312160334655"</f>
        <v>20190312160334655</v>
      </c>
      <c r="B1993" t="str">
        <f>"1552377814646709"</f>
        <v>1552377814646709</v>
      </c>
      <c r="C1993" t="s">
        <v>40</v>
      </c>
      <c r="D1993">
        <v>5.4086959999999999</v>
      </c>
      <c r="E1993">
        <v>0.49861899999999998</v>
      </c>
      <c r="F1993" t="s">
        <v>59</v>
      </c>
      <c r="G1993">
        <v>-492.79570000000001</v>
      </c>
      <c r="H1993" s="1">
        <v>3.682534E-6</v>
      </c>
      <c r="I1993">
        <v>287.0625</v>
      </c>
      <c r="J1993">
        <v>-305.24849999999998</v>
      </c>
      <c r="K1993">
        <v>1.1093360000000001</v>
      </c>
      <c r="L1993">
        <v>283.71809999999999</v>
      </c>
      <c r="M1993">
        <v>-0.99992080000000005</v>
      </c>
      <c r="N1993">
        <v>0</v>
      </c>
      <c r="O1993">
        <v>1.973472E-3</v>
      </c>
      <c r="P1993">
        <v>-0.9995754</v>
      </c>
      <c r="Q1993">
        <v>1.7815629999999999E-2</v>
      </c>
      <c r="R1993">
        <v>2.3059340000000001E-2</v>
      </c>
      <c r="S1993">
        <v>-3.0003359999999999</v>
      </c>
      <c r="T1993">
        <v>-1.773071E-2</v>
      </c>
      <c r="U1993">
        <v>5.3466800000000002E-2</v>
      </c>
      <c r="V1993">
        <v>2.1135319999999999E-2</v>
      </c>
      <c r="W1993">
        <v>3.021097E-2</v>
      </c>
      <c r="X1993">
        <v>0.99932010000000004</v>
      </c>
      <c r="Y1993">
        <v>1.5843860000000001E-2</v>
      </c>
      <c r="Z1993" s="1">
        <v>3.514892E-5</v>
      </c>
      <c r="AA1993">
        <v>0.9998745</v>
      </c>
      <c r="AB1993">
        <v>30</v>
      </c>
      <c r="AC1993">
        <v>-187.5472</v>
      </c>
      <c r="AD1993">
        <v>-1.1093323174659999</v>
      </c>
      <c r="AE1993">
        <v>3.3443999999999998</v>
      </c>
      <c r="AF1993">
        <v>2.97414172158541</v>
      </c>
      <c r="AG1993">
        <v>-1.1093323174659999</v>
      </c>
      <c r="AH1993">
        <v>187.54687577498399</v>
      </c>
      <c r="AI1993">
        <v>90.338855702654499</v>
      </c>
      <c r="AJ1993">
        <v>89.091472544037799</v>
      </c>
      <c r="AK1993">
        <v>187.57373683468501</v>
      </c>
      <c r="AL1993">
        <v>88.268775564763899</v>
      </c>
      <c r="AM1993">
        <v>88.788392103470201</v>
      </c>
      <c r="AN1993">
        <v>1.0000000333619199</v>
      </c>
    </row>
    <row r="1994" spans="1:40" x14ac:dyDescent="0.25">
      <c r="A1994" t="str">
        <f>"20190312160334673"</f>
        <v>20190312160334673</v>
      </c>
      <c r="B1994" t="str">
        <f>"1552377814666737"</f>
        <v>1552377814666737</v>
      </c>
      <c r="C1994" t="s">
        <v>40</v>
      </c>
      <c r="D1994">
        <v>5.476108</v>
      </c>
      <c r="E1994">
        <v>0.49871559999999998</v>
      </c>
      <c r="F1994" t="s">
        <v>45</v>
      </c>
      <c r="G1994">
        <v>0</v>
      </c>
      <c r="H1994">
        <v>0</v>
      </c>
      <c r="I1994">
        <v>0</v>
      </c>
      <c r="J1994">
        <v>-305.49630000000002</v>
      </c>
      <c r="K1994">
        <v>1.109343</v>
      </c>
      <c r="L1994">
        <v>283.71940000000001</v>
      </c>
      <c r="M1994">
        <v>-0.99991920000000001</v>
      </c>
      <c r="N1994">
        <v>0</v>
      </c>
      <c r="O1994">
        <v>2.6393660000000002E-3</v>
      </c>
      <c r="P1994">
        <v>-0.99953570000000003</v>
      </c>
      <c r="Q1994">
        <v>1.8131379999999999E-2</v>
      </c>
      <c r="R1994">
        <v>2.4492380000000001E-2</v>
      </c>
      <c r="S1994">
        <v>-3.0002749999999998</v>
      </c>
      <c r="T1994">
        <v>-1.262629E-2</v>
      </c>
      <c r="U1994">
        <v>5.4992680000000002E-2</v>
      </c>
      <c r="V1994">
        <v>2.1902789999999998E-2</v>
      </c>
      <c r="W1994">
        <v>3.0526020000000001E-2</v>
      </c>
      <c r="X1994">
        <v>0.99929400000000002</v>
      </c>
      <c r="Y1994">
        <v>1.5686829999999999E-2</v>
      </c>
      <c r="Z1994" s="1">
        <v>2.1897889999999998E-5</v>
      </c>
      <c r="AA1994">
        <v>0.99987700000000002</v>
      </c>
      <c r="AB1994">
        <v>30</v>
      </c>
      <c r="AC1994">
        <v>-3.0002749999999998</v>
      </c>
      <c r="AD1994">
        <v>-1.262629E-2</v>
      </c>
      <c r="AE1994">
        <v>5.4992680000000002E-2</v>
      </c>
      <c r="AF1994">
        <v>4.7072218904270199E-2</v>
      </c>
      <c r="AG1994">
        <v>-1.262629E-2</v>
      </c>
      <c r="AH1994">
        <v>3.00035658526699</v>
      </c>
      <c r="AI1994">
        <v>90.241084624997896</v>
      </c>
      <c r="AJ1994">
        <v>89.101167428686395</v>
      </c>
      <c r="AK1994">
        <v>3.0007523816114401</v>
      </c>
      <c r="AL1994">
        <v>88.250716202042994</v>
      </c>
      <c r="AM1994">
        <v>88.744377007325198</v>
      </c>
      <c r="AN1994">
        <v>1.0000000342714099</v>
      </c>
    </row>
    <row r="1995" spans="1:40" x14ac:dyDescent="0.25">
      <c r="A1995" t="str">
        <f>"20190312160334694"</f>
        <v>20190312160334694</v>
      </c>
      <c r="B1995" t="str">
        <f>"1552377814686257"</f>
        <v>1552377814686257</v>
      </c>
      <c r="C1995" t="s">
        <v>40</v>
      </c>
      <c r="D1995">
        <v>5.5113969999999997</v>
      </c>
      <c r="E1995">
        <v>0.4992084</v>
      </c>
      <c r="F1995" t="s">
        <v>45</v>
      </c>
      <c r="G1995">
        <v>0</v>
      </c>
      <c r="H1995">
        <v>0</v>
      </c>
      <c r="I1995">
        <v>0</v>
      </c>
      <c r="J1995">
        <v>-305.7672</v>
      </c>
      <c r="K1995">
        <v>1.109356</v>
      </c>
      <c r="L1995">
        <v>283.72089999999997</v>
      </c>
      <c r="M1995">
        <v>-0.99991699999999994</v>
      </c>
      <c r="N1995">
        <v>0</v>
      </c>
      <c r="O1995">
        <v>3.3512189999999999E-3</v>
      </c>
      <c r="P1995">
        <v>-0.99949410000000005</v>
      </c>
      <c r="Q1995">
        <v>1.836571E-2</v>
      </c>
      <c r="R1995">
        <v>2.5966280000000001E-2</v>
      </c>
      <c r="S1995">
        <v>-2.999908</v>
      </c>
      <c r="T1995">
        <v>-3.0374530000000001E-4</v>
      </c>
      <c r="U1995">
        <v>6.0577390000000002E-2</v>
      </c>
      <c r="V1995">
        <v>2.2664469999999999E-2</v>
      </c>
      <c r="W1995">
        <v>3.0759080000000001E-2</v>
      </c>
      <c r="X1995">
        <v>0.99926979999999999</v>
      </c>
      <c r="Y1995">
        <v>1.6838059999999998E-2</v>
      </c>
      <c r="Z1995" s="1">
        <v>5.1304829999999998E-7</v>
      </c>
      <c r="AA1995">
        <v>0.99985820000000003</v>
      </c>
      <c r="AB1995">
        <v>30</v>
      </c>
      <c r="AC1995">
        <v>-2.999908</v>
      </c>
      <c r="AD1995">
        <v>-3.0374530000000001E-4</v>
      </c>
      <c r="AE1995">
        <v>6.0577390000000002E-2</v>
      </c>
      <c r="AF1995">
        <v>5.0522922547788798E-2</v>
      </c>
      <c r="AG1995">
        <v>-3.0374530000000001E-4</v>
      </c>
      <c r="AH1995">
        <v>3.0000941449257899</v>
      </c>
      <c r="AI1995">
        <v>90.005800103451705</v>
      </c>
      <c r="AJ1995">
        <v>89.035204734782397</v>
      </c>
      <c r="AK1995">
        <v>3.0005195444092601</v>
      </c>
      <c r="AL1995">
        <v>88.237356454479198</v>
      </c>
      <c r="AM1995">
        <v>88.700695378720894</v>
      </c>
      <c r="AN1995">
        <v>0.99999996619743303</v>
      </c>
    </row>
    <row r="1996" spans="1:40" x14ac:dyDescent="0.25">
      <c r="A1996" t="str">
        <f>"20190312160334706"</f>
        <v>20190312160334706</v>
      </c>
      <c r="B1996" t="str">
        <f>"1552377814696993"</f>
        <v>1552377814696993</v>
      </c>
      <c r="C1996" t="s">
        <v>40</v>
      </c>
      <c r="D1996">
        <v>5.4771559999999999</v>
      </c>
      <c r="E1996">
        <v>0.49931330000000002</v>
      </c>
      <c r="F1996" t="s">
        <v>45</v>
      </c>
      <c r="G1996">
        <v>0</v>
      </c>
      <c r="H1996">
        <v>0</v>
      </c>
      <c r="I1996">
        <v>0</v>
      </c>
      <c r="J1996">
        <v>-305.94279999999998</v>
      </c>
      <c r="K1996">
        <v>1.1093569999999999</v>
      </c>
      <c r="L1996">
        <v>283.72190000000001</v>
      </c>
      <c r="M1996">
        <v>-0.99991549999999996</v>
      </c>
      <c r="N1996">
        <v>0</v>
      </c>
      <c r="O1996">
        <v>3.8049109999999998E-3</v>
      </c>
      <c r="P1996">
        <v>-0.99947330000000001</v>
      </c>
      <c r="Q1996">
        <v>1.839389E-2</v>
      </c>
      <c r="R1996">
        <v>2.674232E-2</v>
      </c>
      <c r="S1996">
        <v>-2.9995729999999998</v>
      </c>
      <c r="T1996">
        <v>6.2615869999999999E-3</v>
      </c>
      <c r="U1996">
        <v>6.9152829999999998E-2</v>
      </c>
      <c r="V1996">
        <v>2.2986489999999998E-2</v>
      </c>
      <c r="W1996">
        <v>3.078672E-2</v>
      </c>
      <c r="X1996">
        <v>0.99926159999999997</v>
      </c>
      <c r="Y1996">
        <v>1.9243710000000001E-2</v>
      </c>
      <c r="Z1996" s="1">
        <v>-1.214069E-5</v>
      </c>
      <c r="AA1996">
        <v>0.9998148</v>
      </c>
      <c r="AB1996">
        <v>30</v>
      </c>
      <c r="AC1996">
        <v>-2.9995729999999998</v>
      </c>
      <c r="AD1996">
        <v>6.2615869999999999E-3</v>
      </c>
      <c r="AE1996">
        <v>6.9152829999999998E-2</v>
      </c>
      <c r="AF1996">
        <v>5.7738087722364599E-2</v>
      </c>
      <c r="AG1996">
        <v>6.2615869999999999E-3</v>
      </c>
      <c r="AH1996">
        <v>2.9998013592604602</v>
      </c>
      <c r="AI1996">
        <v>89.880426898463995</v>
      </c>
      <c r="AJ1996">
        <v>88.897346881523305</v>
      </c>
      <c r="AK1996">
        <v>3.0003634928565699</v>
      </c>
      <c r="AL1996">
        <v>88.235772060789202</v>
      </c>
      <c r="AM1996">
        <v>88.682230328612405</v>
      </c>
      <c r="AN1996">
        <v>0.99999997304271804</v>
      </c>
    </row>
    <row r="1997" spans="1:40" x14ac:dyDescent="0.25">
      <c r="A1997" t="str">
        <f>"20190312160334718"</f>
        <v>20190312160334718</v>
      </c>
      <c r="B1997" t="str">
        <f>"1552377814706754"</f>
        <v>1552377814706754</v>
      </c>
      <c r="C1997" t="s">
        <v>40</v>
      </c>
      <c r="D1997">
        <v>5.5208879999999896</v>
      </c>
      <c r="E1997">
        <v>0.49948330000000002</v>
      </c>
      <c r="F1997" t="s">
        <v>45</v>
      </c>
      <c r="G1997">
        <v>0</v>
      </c>
      <c r="H1997">
        <v>0</v>
      </c>
      <c r="I1997">
        <v>0</v>
      </c>
      <c r="J1997">
        <v>-306.09160000000003</v>
      </c>
      <c r="K1997">
        <v>1.1093660000000001</v>
      </c>
      <c r="L1997">
        <v>283.72289999999998</v>
      </c>
      <c r="M1997">
        <v>-0.99991399999999997</v>
      </c>
      <c r="N1997">
        <v>0</v>
      </c>
      <c r="O1997">
        <v>4.177778E-3</v>
      </c>
      <c r="P1997">
        <v>-0.99945689999999998</v>
      </c>
      <c r="Q1997">
        <v>1.8606359999999999E-2</v>
      </c>
      <c r="R1997">
        <v>2.7199959999999999E-2</v>
      </c>
      <c r="S1997">
        <v>-2.9994200000000002</v>
      </c>
      <c r="T1997">
        <v>1.048732E-2</v>
      </c>
      <c r="U1997">
        <v>7.2448730000000003E-2</v>
      </c>
      <c r="V1997">
        <v>2.3070960000000001E-2</v>
      </c>
      <c r="W1997">
        <v>3.0999289999999999E-2</v>
      </c>
      <c r="X1997">
        <v>0.99925310000000001</v>
      </c>
      <c r="Y1997">
        <v>1.997001E-2</v>
      </c>
      <c r="Z1997" s="1">
        <v>-2.030074E-5</v>
      </c>
      <c r="AA1997">
        <v>0.99980060000000004</v>
      </c>
      <c r="AB1997">
        <v>30</v>
      </c>
      <c r="AC1997">
        <v>-2.9994200000000002</v>
      </c>
      <c r="AD1997">
        <v>1.048732E-2</v>
      </c>
      <c r="AE1997">
        <v>7.2448730000000003E-2</v>
      </c>
      <c r="AF1997">
        <v>5.99154863396585E-2</v>
      </c>
      <c r="AG1997">
        <v>1.048732E-2</v>
      </c>
      <c r="AH1997">
        <v>2.9996598683259101</v>
      </c>
      <c r="AI1997">
        <v>89.799724993770397</v>
      </c>
      <c r="AJ1997">
        <v>88.855720908671799</v>
      </c>
      <c r="AK1997">
        <v>3.0002765164279599</v>
      </c>
      <c r="AL1997">
        <v>88.223586913395707</v>
      </c>
      <c r="AM1997">
        <v>88.677378302162296</v>
      </c>
      <c r="AN1997">
        <v>0.99999999151771701</v>
      </c>
    </row>
    <row r="1998" spans="1:40" x14ac:dyDescent="0.25">
      <c r="A1998" t="str">
        <f>"20190312160334730"</f>
        <v>20190312160334730</v>
      </c>
      <c r="B1998" t="str">
        <f>"1552377814716513"</f>
        <v>1552377814716513</v>
      </c>
      <c r="C1998" t="s">
        <v>40</v>
      </c>
      <c r="D1998">
        <v>5.5143259999999996</v>
      </c>
      <c r="E1998">
        <v>0.49954310000000002</v>
      </c>
      <c r="F1998" t="s">
        <v>45</v>
      </c>
      <c r="G1998">
        <v>0</v>
      </c>
      <c r="H1998">
        <v>0</v>
      </c>
      <c r="I1998">
        <v>0</v>
      </c>
      <c r="J1998">
        <v>-306.24400000000003</v>
      </c>
      <c r="K1998">
        <v>1.1093759999999999</v>
      </c>
      <c r="L1998">
        <v>283.72390000000001</v>
      </c>
      <c r="M1998">
        <v>-0.99991240000000003</v>
      </c>
      <c r="N1998">
        <v>0</v>
      </c>
      <c r="O1998">
        <v>4.5554609999999898E-3</v>
      </c>
      <c r="P1998">
        <v>-0.99943700000000002</v>
      </c>
      <c r="Q1998">
        <v>1.8868800000000002E-2</v>
      </c>
      <c r="R1998">
        <v>2.7748160000000001E-2</v>
      </c>
      <c r="S1998">
        <v>-2.9993590000000001</v>
      </c>
      <c r="T1998">
        <v>1.415348E-2</v>
      </c>
      <c r="U1998">
        <v>7.5408939999999994E-2</v>
      </c>
      <c r="V1998">
        <v>2.3241499999999998E-2</v>
      </c>
      <c r="W1998">
        <v>3.1261419999999998E-2</v>
      </c>
      <c r="X1998">
        <v>0.99924100000000005</v>
      </c>
      <c r="Y1998">
        <v>2.0578929999999999E-2</v>
      </c>
      <c r="Z1998" s="1">
        <v>-2.7052090000000001E-5</v>
      </c>
      <c r="AA1998">
        <v>0.99978820000000002</v>
      </c>
      <c r="AB1998">
        <v>29</v>
      </c>
      <c r="AC1998">
        <v>-2.9993590000000001</v>
      </c>
      <c r="AD1998">
        <v>1.415348E-2</v>
      </c>
      <c r="AE1998">
        <v>7.5408939999999994E-2</v>
      </c>
      <c r="AF1998">
        <v>6.1742265286996598E-2</v>
      </c>
      <c r="AG1998">
        <v>1.415348E-2</v>
      </c>
      <c r="AH1998">
        <v>2.99960467114767</v>
      </c>
      <c r="AI1998">
        <v>89.729712075230395</v>
      </c>
      <c r="AJ1998">
        <v>88.820820696428299</v>
      </c>
      <c r="AK1998">
        <v>3.0002734227882999</v>
      </c>
      <c r="AL1998">
        <v>88.208560720753098</v>
      </c>
      <c r="AM1998">
        <v>88.667588896333896</v>
      </c>
      <c r="AN1998">
        <v>1.00000000989183</v>
      </c>
    </row>
    <row r="1999" spans="1:40" x14ac:dyDescent="0.25">
      <c r="A1999" t="str">
        <f>"20190312160334741"</f>
        <v>20190312160334741</v>
      </c>
      <c r="B1999" t="str">
        <f>"1552377814737009"</f>
        <v>1552377814737009</v>
      </c>
      <c r="C1999" t="s">
        <v>40</v>
      </c>
      <c r="D1999">
        <v>5.5389889999999999</v>
      </c>
      <c r="E1999">
        <v>0.49969429999999998</v>
      </c>
      <c r="F1999" t="s">
        <v>45</v>
      </c>
      <c r="G1999">
        <v>0</v>
      </c>
      <c r="H1999">
        <v>0</v>
      </c>
      <c r="I1999">
        <v>0</v>
      </c>
      <c r="J1999">
        <v>-306.3972</v>
      </c>
      <c r="K1999">
        <v>1.109386</v>
      </c>
      <c r="L1999">
        <v>283.72500000000002</v>
      </c>
      <c r="M1999">
        <v>-0.99991059999999998</v>
      </c>
      <c r="N1999">
        <v>0</v>
      </c>
      <c r="O1999">
        <v>4.9220870000000003E-3</v>
      </c>
      <c r="P1999">
        <v>-0.99943599999999999</v>
      </c>
      <c r="Q1999">
        <v>1.8647270000000001E-2</v>
      </c>
      <c r="R1999">
        <v>2.7932249999999999E-2</v>
      </c>
      <c r="S1999">
        <v>-2.9991759999999998</v>
      </c>
      <c r="T1999">
        <v>1.836848E-2</v>
      </c>
      <c r="U1999">
        <v>7.778931E-2</v>
      </c>
      <c r="V1999">
        <v>2.305778E-2</v>
      </c>
      <c r="W1999">
        <v>3.104123E-2</v>
      </c>
      <c r="X1999">
        <v>0.99925209999999998</v>
      </c>
      <c r="Y1999">
        <v>2.1006750000000001E-2</v>
      </c>
      <c r="Z1999" s="1">
        <v>-3.4174819999999998E-5</v>
      </c>
      <c r="AA1999">
        <v>0.99977930000000004</v>
      </c>
      <c r="AB1999">
        <v>29</v>
      </c>
      <c r="AC1999">
        <v>-2.9991759999999998</v>
      </c>
      <c r="AD1999">
        <v>1.836848E-2</v>
      </c>
      <c r="AE1999">
        <v>7.778931E-2</v>
      </c>
      <c r="AF1999">
        <v>6.3022658990860597E-2</v>
      </c>
      <c r="AG1999">
        <v>1.836848E-2</v>
      </c>
      <c r="AH1999">
        <v>2.9994101480132498</v>
      </c>
      <c r="AI1999">
        <v>89.649200697221104</v>
      </c>
      <c r="AJ1999">
        <v>88.796296292095306</v>
      </c>
      <c r="AK1999">
        <v>3.00012841268647</v>
      </c>
      <c r="AL1999">
        <v>88.221182767397295</v>
      </c>
      <c r="AM1999">
        <v>88.678132300194306</v>
      </c>
      <c r="AN1999">
        <v>0.99999998926642497</v>
      </c>
    </row>
    <row r="2000" spans="1:40" x14ac:dyDescent="0.25">
      <c r="A2000" t="str">
        <f>"20190312160334753"</f>
        <v>20190312160334753</v>
      </c>
      <c r="B2000" t="str">
        <f>"1552377814746769"</f>
        <v>1552377814746769</v>
      </c>
      <c r="C2000" t="s">
        <v>40</v>
      </c>
      <c r="D2000">
        <v>5.5435629999999998</v>
      </c>
      <c r="E2000">
        <v>0.49974489999999999</v>
      </c>
      <c r="F2000" t="s">
        <v>45</v>
      </c>
      <c r="G2000">
        <v>0</v>
      </c>
      <c r="H2000">
        <v>0</v>
      </c>
      <c r="I2000">
        <v>0</v>
      </c>
      <c r="J2000">
        <v>-306.53899999999999</v>
      </c>
      <c r="K2000">
        <v>1.1093980000000001</v>
      </c>
      <c r="L2000">
        <v>283.72609999999997</v>
      </c>
      <c r="M2000">
        <v>-0.99990900000000005</v>
      </c>
      <c r="N2000">
        <v>0</v>
      </c>
      <c r="O2000">
        <v>5.2542070000000003E-3</v>
      </c>
      <c r="P2000">
        <v>-0.99942920000000002</v>
      </c>
      <c r="Q2000">
        <v>1.8633340000000002E-2</v>
      </c>
      <c r="R2000">
        <v>2.8187420000000001E-2</v>
      </c>
      <c r="S2000">
        <v>-2.9990540000000001</v>
      </c>
      <c r="T2000">
        <v>2.173042E-2</v>
      </c>
      <c r="U2000">
        <v>7.9650879999999993E-2</v>
      </c>
      <c r="V2000">
        <v>2.298012E-2</v>
      </c>
      <c r="W2000">
        <v>3.1027889999999999E-2</v>
      </c>
      <c r="X2000">
        <v>0.99925430000000004</v>
      </c>
      <c r="Y2000">
        <v>2.129576E-2</v>
      </c>
      <c r="Z2000" s="1">
        <v>-3.9071730000000003E-5</v>
      </c>
      <c r="AA2000">
        <v>0.99977320000000003</v>
      </c>
      <c r="AB2000">
        <v>29</v>
      </c>
      <c r="AC2000">
        <v>-2.9990540000000001</v>
      </c>
      <c r="AD2000">
        <v>2.173042E-2</v>
      </c>
      <c r="AE2000">
        <v>7.9650879999999993E-2</v>
      </c>
      <c r="AF2000">
        <v>6.3887561542965404E-2</v>
      </c>
      <c r="AG2000">
        <v>2.173042E-2</v>
      </c>
      <c r="AH2000">
        <v>2.9992737769485398</v>
      </c>
      <c r="AI2000">
        <v>89.584980462381296</v>
      </c>
      <c r="AJ2000">
        <v>88.779726548961904</v>
      </c>
      <c r="AK2000">
        <v>3.0000328366143698</v>
      </c>
      <c r="AL2000">
        <v>88.221947455586502</v>
      </c>
      <c r="AM2000">
        <v>88.682585758468605</v>
      </c>
      <c r="AN2000">
        <v>0.99999998597077799</v>
      </c>
    </row>
    <row r="2001" spans="1:40" x14ac:dyDescent="0.25">
      <c r="A2001" t="str">
        <f>"20190312160334763"</f>
        <v>20190312160334763</v>
      </c>
      <c r="B2001" t="str">
        <f>"1552377814757037"</f>
        <v>1552377814757037</v>
      </c>
      <c r="C2001" t="s">
        <v>40</v>
      </c>
      <c r="D2001">
        <v>5.5834359999999998</v>
      </c>
      <c r="E2001">
        <v>0.49979050000000003</v>
      </c>
      <c r="F2001" t="s">
        <v>45</v>
      </c>
      <c r="G2001">
        <v>0</v>
      </c>
      <c r="H2001">
        <v>0</v>
      </c>
      <c r="I2001">
        <v>0</v>
      </c>
      <c r="J2001">
        <v>-306.69409999999999</v>
      </c>
      <c r="K2001">
        <v>1.1094109999999999</v>
      </c>
      <c r="L2001">
        <v>283.72730000000001</v>
      </c>
      <c r="M2001">
        <v>-0.99990710000000005</v>
      </c>
      <c r="N2001">
        <v>0</v>
      </c>
      <c r="O2001">
        <v>5.6088900000000001E-3</v>
      </c>
      <c r="P2001">
        <v>-0.99942399999999998</v>
      </c>
      <c r="Q2001">
        <v>1.8443000000000001E-2</v>
      </c>
      <c r="R2001">
        <v>2.8495599999999999E-2</v>
      </c>
      <c r="S2001">
        <v>-2.9990230000000002</v>
      </c>
      <c r="T2001">
        <v>2.3862600000000001E-2</v>
      </c>
      <c r="U2001">
        <v>8.1024170000000006E-2</v>
      </c>
      <c r="V2001">
        <v>2.2932270000000001E-2</v>
      </c>
      <c r="W2001">
        <v>3.08382E-2</v>
      </c>
      <c r="X2001">
        <v>0.99926130000000002</v>
      </c>
      <c r="Y2001">
        <v>2.1398799999999999E-2</v>
      </c>
      <c r="Z2001" s="1">
        <v>-4.049367E-5</v>
      </c>
      <c r="AA2001">
        <v>0.99977099999999997</v>
      </c>
      <c r="AB2001">
        <v>29</v>
      </c>
      <c r="AC2001">
        <v>-2.9990230000000002</v>
      </c>
      <c r="AD2001">
        <v>2.3862600000000001E-2</v>
      </c>
      <c r="AE2001">
        <v>8.1024170000000006E-2</v>
      </c>
      <c r="AF2001">
        <v>6.4196345670923097E-2</v>
      </c>
      <c r="AG2001">
        <v>2.3862600000000001E-2</v>
      </c>
      <c r="AH2001">
        <v>2.9992405639697699</v>
      </c>
      <c r="AI2001">
        <v>89.544256511582404</v>
      </c>
      <c r="AJ2001">
        <v>88.773816892575596</v>
      </c>
      <c r="AK2001">
        <v>3.0000224257558399</v>
      </c>
      <c r="AL2001">
        <v>88.2328211463212</v>
      </c>
      <c r="AM2001">
        <v>88.685337166470006</v>
      </c>
      <c r="AN2001">
        <v>1.0000000146321399</v>
      </c>
    </row>
    <row r="2002" spans="1:40" x14ac:dyDescent="0.25">
      <c r="A2002" t="str">
        <f>"20190312160334775"</f>
        <v>20190312160334775</v>
      </c>
      <c r="B2002" t="str">
        <f>"1552377814766797"</f>
        <v>1552377814766797</v>
      </c>
      <c r="C2002" t="s">
        <v>40</v>
      </c>
      <c r="D2002">
        <v>5.5684800000000001</v>
      </c>
      <c r="E2002">
        <v>0.49985249999999998</v>
      </c>
      <c r="F2002" t="s">
        <v>45</v>
      </c>
      <c r="G2002">
        <v>0</v>
      </c>
      <c r="H2002">
        <v>0</v>
      </c>
      <c r="I2002">
        <v>0</v>
      </c>
      <c r="J2002">
        <v>-306.84440000000001</v>
      </c>
      <c r="K2002">
        <v>1.109429</v>
      </c>
      <c r="L2002">
        <v>283.7285</v>
      </c>
      <c r="M2002">
        <v>-0.99990509999999999</v>
      </c>
      <c r="N2002">
        <v>0</v>
      </c>
      <c r="O2002">
        <v>5.9402040000000001E-3</v>
      </c>
      <c r="P2002">
        <v>-0.99942059999999999</v>
      </c>
      <c r="Q2002">
        <v>1.848385E-2</v>
      </c>
      <c r="R2002">
        <v>2.8580910000000001E-2</v>
      </c>
      <c r="S2002">
        <v>-2.9989319999999999</v>
      </c>
      <c r="T2002">
        <v>2.3971800000000001E-2</v>
      </c>
      <c r="U2002">
        <v>8.2397460000000006E-2</v>
      </c>
      <c r="V2002">
        <v>2.2685449999999999E-2</v>
      </c>
      <c r="W2002">
        <v>3.0879670000000001E-2</v>
      </c>
      <c r="X2002">
        <v>0.99926559999999998</v>
      </c>
      <c r="Y2002">
        <v>2.1525829999999999E-2</v>
      </c>
      <c r="Z2002" s="1">
        <v>-3.8539730000000002E-5</v>
      </c>
      <c r="AA2002">
        <v>0.99976830000000005</v>
      </c>
      <c r="AB2002">
        <v>29</v>
      </c>
      <c r="AC2002">
        <v>-2.9989319999999999</v>
      </c>
      <c r="AD2002">
        <v>2.3971800000000001E-2</v>
      </c>
      <c r="AE2002">
        <v>8.2397460000000006E-2</v>
      </c>
      <c r="AF2002">
        <v>6.4576238807580205E-2</v>
      </c>
      <c r="AG2002">
        <v>2.3971800000000001E-2</v>
      </c>
      <c r="AH2002">
        <v>2.99917708831748</v>
      </c>
      <c r="AI2002">
        <v>89.542162586926693</v>
      </c>
      <c r="AJ2002">
        <v>88.766536877146095</v>
      </c>
      <c r="AK2002">
        <v>2.9999679906462799</v>
      </c>
      <c r="AL2002">
        <v>88.230443864196403</v>
      </c>
      <c r="AM2002">
        <v>88.699487589694598</v>
      </c>
      <c r="AN2002">
        <v>0.99999996150218395</v>
      </c>
    </row>
    <row r="2003" spans="1:40" x14ac:dyDescent="0.25">
      <c r="A2003" t="str">
        <f>"20190312160334787"</f>
        <v>20190312160334787</v>
      </c>
      <c r="B2003" t="str">
        <f>"1552377814776558"</f>
        <v>1552377814776558</v>
      </c>
      <c r="C2003" t="s">
        <v>40</v>
      </c>
      <c r="D2003">
        <v>5.670687</v>
      </c>
      <c r="E2003">
        <v>0.49978240000000002</v>
      </c>
      <c r="F2003" t="s">
        <v>45</v>
      </c>
      <c r="G2003">
        <v>0</v>
      </c>
      <c r="H2003">
        <v>0</v>
      </c>
      <c r="I2003">
        <v>0</v>
      </c>
      <c r="J2003">
        <v>-307.00110000000001</v>
      </c>
      <c r="K2003">
        <v>1.109443</v>
      </c>
      <c r="L2003">
        <v>283.72980000000001</v>
      </c>
      <c r="M2003">
        <v>-0.99990310000000004</v>
      </c>
      <c r="N2003">
        <v>0</v>
      </c>
      <c r="O2003">
        <v>6.2799680000000004E-3</v>
      </c>
      <c r="P2003">
        <v>-0.99941460000000004</v>
      </c>
      <c r="Q2003">
        <v>1.8620879999999999E-2</v>
      </c>
      <c r="R2003">
        <v>2.870586E-2</v>
      </c>
      <c r="S2003">
        <v>-2.998901</v>
      </c>
      <c r="T2003">
        <v>2.559662E-2</v>
      </c>
      <c r="U2003">
        <v>8.3099370000000006E-2</v>
      </c>
      <c r="V2003">
        <v>2.2469699999999999E-2</v>
      </c>
      <c r="W2003">
        <v>3.1017880000000001E-2</v>
      </c>
      <c r="X2003">
        <v>0.99926619999999999</v>
      </c>
      <c r="Y2003">
        <v>2.1420169999999999E-2</v>
      </c>
      <c r="Z2003" s="1">
        <v>-3.7801839999999997E-5</v>
      </c>
      <c r="AA2003">
        <v>0.99977059999999995</v>
      </c>
      <c r="AB2003">
        <v>29</v>
      </c>
      <c r="AC2003">
        <v>-2.998901</v>
      </c>
      <c r="AD2003">
        <v>2.559662E-2</v>
      </c>
      <c r="AE2003">
        <v>8.3099370000000006E-2</v>
      </c>
      <c r="AF2003">
        <v>6.4258597379253393E-2</v>
      </c>
      <c r="AG2003">
        <v>2.559662E-2</v>
      </c>
      <c r="AH2003">
        <v>2.9991454307716601</v>
      </c>
      <c r="AI2003">
        <v>89.511125338579106</v>
      </c>
      <c r="AJ2003">
        <v>88.772589296138307</v>
      </c>
      <c r="AK2003">
        <v>2.9999429443259502</v>
      </c>
      <c r="AL2003">
        <v>88.222521229480293</v>
      </c>
      <c r="AM2003">
        <v>88.711852700327199</v>
      </c>
      <c r="AN2003">
        <v>0.99999996738011099</v>
      </c>
    </row>
    <row r="2004" spans="1:40" x14ac:dyDescent="0.25">
      <c r="A2004" t="str">
        <f>"20190312160334798"</f>
        <v>20190312160334798</v>
      </c>
      <c r="B2004" t="str">
        <f>"1552377814786318"</f>
        <v>1552377814786318</v>
      </c>
      <c r="C2004" t="s">
        <v>40</v>
      </c>
      <c r="D2004">
        <v>5.6493570000000002</v>
      </c>
      <c r="E2004">
        <v>0.49974990000000002</v>
      </c>
      <c r="F2004" t="s">
        <v>45</v>
      </c>
      <c r="G2004">
        <v>0</v>
      </c>
      <c r="H2004">
        <v>0</v>
      </c>
      <c r="I2004">
        <v>0</v>
      </c>
      <c r="J2004">
        <v>-307.14920000000001</v>
      </c>
      <c r="K2004">
        <v>1.109456</v>
      </c>
      <c r="L2004">
        <v>283.73110000000003</v>
      </c>
      <c r="M2004">
        <v>-0.99990120000000005</v>
      </c>
      <c r="N2004">
        <v>0</v>
      </c>
      <c r="O2004">
        <v>6.5830860000000001E-3</v>
      </c>
      <c r="P2004">
        <v>-0.99941239999999998</v>
      </c>
      <c r="Q2004">
        <v>1.866369E-2</v>
      </c>
      <c r="R2004">
        <v>2.8755570000000001E-2</v>
      </c>
      <c r="S2004">
        <v>-2.998901</v>
      </c>
      <c r="T2004">
        <v>2.7944799999999999E-2</v>
      </c>
      <c r="U2004">
        <v>8.2916260000000006E-2</v>
      </c>
      <c r="V2004">
        <v>2.221534E-2</v>
      </c>
      <c r="W2004">
        <v>3.1061249999999999E-2</v>
      </c>
      <c r="X2004">
        <v>0.99927060000000001</v>
      </c>
      <c r="Y2004">
        <v>2.105601E-2</v>
      </c>
      <c r="Z2004" s="1">
        <v>-3.6749299999999997E-5</v>
      </c>
      <c r="AA2004">
        <v>0.99977830000000001</v>
      </c>
      <c r="AB2004">
        <v>29</v>
      </c>
      <c r="AC2004">
        <v>-2.998901</v>
      </c>
      <c r="AD2004">
        <v>2.7944799999999999E-2</v>
      </c>
      <c r="AE2004">
        <v>8.2916260000000006E-2</v>
      </c>
      <c r="AF2004">
        <v>6.31654364659201E-2</v>
      </c>
      <c r="AG2004">
        <v>2.7944799999999999E-2</v>
      </c>
      <c r="AH2004">
        <v>2.9991216749508398</v>
      </c>
      <c r="AI2004">
        <v>89.466271136316706</v>
      </c>
      <c r="AJ2004">
        <v>88.793454106064701</v>
      </c>
      <c r="AK2004">
        <v>2.9999169330784601</v>
      </c>
      <c r="AL2004">
        <v>88.220035220219003</v>
      </c>
      <c r="AM2004">
        <v>88.726435475309799</v>
      </c>
      <c r="AN2004">
        <v>1.00000002730361</v>
      </c>
    </row>
    <row r="2005" spans="1:40" x14ac:dyDescent="0.25">
      <c r="A2005" t="str">
        <f>"20190312160334820"</f>
        <v>20190312160334820</v>
      </c>
      <c r="B2005" t="str">
        <f>"1552377814816574"</f>
        <v>1552377814816574</v>
      </c>
      <c r="C2005" t="s">
        <v>40</v>
      </c>
      <c r="D2005">
        <v>5.5659970000000003</v>
      </c>
      <c r="E2005">
        <v>0.49977840000000001</v>
      </c>
      <c r="F2005" t="s">
        <v>45</v>
      </c>
      <c r="G2005">
        <v>0</v>
      </c>
      <c r="H2005">
        <v>0</v>
      </c>
      <c r="I2005">
        <v>0</v>
      </c>
      <c r="J2005">
        <v>-307.44159999999999</v>
      </c>
      <c r="K2005">
        <v>1.1094900000000001</v>
      </c>
      <c r="L2005">
        <v>283.7337</v>
      </c>
      <c r="M2005">
        <v>-0.99989709999999998</v>
      </c>
      <c r="N2005">
        <v>0</v>
      </c>
      <c r="O2005">
        <v>7.1622719999999999E-3</v>
      </c>
      <c r="P2005">
        <v>-0.99942260000000005</v>
      </c>
      <c r="Q2005">
        <v>1.7998759999999999E-2</v>
      </c>
      <c r="R2005">
        <v>2.882003E-2</v>
      </c>
      <c r="S2005">
        <v>-2.9987789999999999</v>
      </c>
      <c r="T2005">
        <v>2.9854539999999999E-2</v>
      </c>
      <c r="U2005">
        <v>8.306885E-2</v>
      </c>
      <c r="V2005">
        <v>2.1697749999999998E-2</v>
      </c>
      <c r="W2005">
        <v>3.039876E-2</v>
      </c>
      <c r="X2005">
        <v>0.99930229999999998</v>
      </c>
      <c r="Y2005">
        <v>2.0528810000000002E-2</v>
      </c>
      <c r="Z2005" s="1">
        <v>-3.0873500000000002E-5</v>
      </c>
      <c r="AA2005">
        <v>0.99978920000000004</v>
      </c>
      <c r="AB2005">
        <v>29</v>
      </c>
      <c r="AC2005">
        <v>-2.9987789999999999</v>
      </c>
      <c r="AD2005">
        <v>2.9854539999999999E-2</v>
      </c>
      <c r="AE2005">
        <v>8.306885E-2</v>
      </c>
      <c r="AF2005">
        <v>6.15808900551972E-2</v>
      </c>
      <c r="AG2005">
        <v>2.9854539999999999E-2</v>
      </c>
      <c r="AH2005">
        <v>2.99900006607586</v>
      </c>
      <c r="AI2005">
        <v>89.429769210025</v>
      </c>
      <c r="AJ2005">
        <v>88.823664803130796</v>
      </c>
      <c r="AK2005">
        <v>2.9997808079760802</v>
      </c>
      <c r="AL2005">
        <v>88.258010956834497</v>
      </c>
      <c r="AM2005">
        <v>88.756137969510903</v>
      </c>
      <c r="AN2005">
        <v>0.99999998187494399</v>
      </c>
    </row>
    <row r="2006" spans="1:40" x14ac:dyDescent="0.25">
      <c r="A2006" t="str">
        <f>"20190312160334832"</f>
        <v>20190312160334832</v>
      </c>
      <c r="B2006" t="str">
        <f>"1552377814826333"</f>
        <v>1552377814826333</v>
      </c>
      <c r="C2006" t="s">
        <v>40</v>
      </c>
      <c r="D2006">
        <v>5.8465559999999996</v>
      </c>
      <c r="E2006">
        <v>0.49989630000000002</v>
      </c>
      <c r="F2006" t="s">
        <v>45</v>
      </c>
      <c r="G2006">
        <v>0</v>
      </c>
      <c r="H2006">
        <v>0</v>
      </c>
      <c r="I2006">
        <v>0</v>
      </c>
      <c r="J2006">
        <v>-307.58710000000002</v>
      </c>
      <c r="K2006">
        <v>1.1095010000000001</v>
      </c>
      <c r="L2006">
        <v>283.73500000000001</v>
      </c>
      <c r="M2006">
        <v>-0.99989519999999998</v>
      </c>
      <c r="N2006">
        <v>0</v>
      </c>
      <c r="O2006">
        <v>7.4380449999999999E-3</v>
      </c>
      <c r="P2006">
        <v>-0.99941619999999998</v>
      </c>
      <c r="Q2006">
        <v>1.8025340000000001E-2</v>
      </c>
      <c r="R2006">
        <v>2.902743E-2</v>
      </c>
      <c r="S2006">
        <v>-2.9988709999999998</v>
      </c>
      <c r="T2006">
        <v>2.6932600000000001E-2</v>
      </c>
      <c r="U2006">
        <v>8.3221439999999994E-2</v>
      </c>
      <c r="V2006">
        <v>2.162851E-2</v>
      </c>
      <c r="W2006">
        <v>3.0425919999999999E-2</v>
      </c>
      <c r="X2006">
        <v>0.99930300000000005</v>
      </c>
      <c r="Y2006">
        <v>2.03032E-2</v>
      </c>
      <c r="Z2006" s="1">
        <v>-2.4362059999999999E-5</v>
      </c>
      <c r="AA2006">
        <v>0.99979390000000001</v>
      </c>
      <c r="AB2006">
        <v>29</v>
      </c>
      <c r="AC2006">
        <v>-2.9988709999999998</v>
      </c>
      <c r="AD2006">
        <v>2.6932600000000001E-2</v>
      </c>
      <c r="AE2006">
        <v>8.3221439999999994E-2</v>
      </c>
      <c r="AF2006">
        <v>6.0906770617119597E-2</v>
      </c>
      <c r="AG2006">
        <v>2.6932600000000001E-2</v>
      </c>
      <c r="AH2006">
        <v>2.9991653661455602</v>
      </c>
      <c r="AI2006">
        <v>89.485601969698195</v>
      </c>
      <c r="AJ2006">
        <v>88.836602566915502</v>
      </c>
      <c r="AK2006">
        <v>2.99990464734078</v>
      </c>
      <c r="AL2006">
        <v>88.256454127855406</v>
      </c>
      <c r="AM2006">
        <v>88.760106902583502</v>
      </c>
      <c r="AN2006">
        <v>1.00000000743083</v>
      </c>
    </row>
    <row r="2007" spans="1:40" x14ac:dyDescent="0.25">
      <c r="A2007" t="str">
        <f>"20190312160334843"</f>
        <v>20190312160334843</v>
      </c>
      <c r="B2007" t="str">
        <f>"1552377814836093"</f>
        <v>1552377814836093</v>
      </c>
      <c r="C2007" t="s">
        <v>40</v>
      </c>
      <c r="D2007">
        <v>5.6516500000000001</v>
      </c>
      <c r="E2007">
        <v>0.49994939999999999</v>
      </c>
      <c r="F2007" t="s">
        <v>45</v>
      </c>
      <c r="G2007">
        <v>0</v>
      </c>
      <c r="H2007">
        <v>0</v>
      </c>
      <c r="I2007">
        <v>0</v>
      </c>
      <c r="J2007">
        <v>-307.74610000000001</v>
      </c>
      <c r="K2007">
        <v>1.1095170000000001</v>
      </c>
      <c r="L2007">
        <v>283.73649999999998</v>
      </c>
      <c r="M2007">
        <v>-0.99989289999999997</v>
      </c>
      <c r="N2007">
        <v>0</v>
      </c>
      <c r="O2007">
        <v>7.729901E-3</v>
      </c>
      <c r="P2007">
        <v>-0.99940890000000004</v>
      </c>
      <c r="Q2007">
        <v>1.7937649999999999E-2</v>
      </c>
      <c r="R2007">
        <v>2.9332029999999999E-2</v>
      </c>
      <c r="S2007">
        <v>-2.998901</v>
      </c>
      <c r="T2007">
        <v>2.3472429999999999E-2</v>
      </c>
      <c r="U2007">
        <v>8.4716799999999995E-2</v>
      </c>
      <c r="V2007">
        <v>2.1640159999999999E-2</v>
      </c>
      <c r="W2007">
        <v>3.03387E-2</v>
      </c>
      <c r="X2007">
        <v>0.99930540000000001</v>
      </c>
      <c r="Y2007">
        <v>2.0509369999999999E-2</v>
      </c>
      <c r="Z2007" s="1">
        <v>-1.9754699999999999E-5</v>
      </c>
      <c r="AA2007">
        <v>0.9997897</v>
      </c>
      <c r="AB2007">
        <v>29</v>
      </c>
      <c r="AC2007">
        <v>-2.998901</v>
      </c>
      <c r="AD2007">
        <v>2.3472429999999999E-2</v>
      </c>
      <c r="AE2007">
        <v>8.4716799999999995E-2</v>
      </c>
      <c r="AF2007">
        <v>6.1527504234475498E-2</v>
      </c>
      <c r="AG2007">
        <v>2.3472429999999999E-2</v>
      </c>
      <c r="AH2007">
        <v>2.9992826978220402</v>
      </c>
      <c r="AI2007">
        <v>89.551705863836304</v>
      </c>
      <c r="AJ2007">
        <v>88.824795030263402</v>
      </c>
      <c r="AK2007">
        <v>3.0000055483618802</v>
      </c>
      <c r="AL2007">
        <v>88.2614537745294</v>
      </c>
      <c r="AM2007">
        <v>88.759442232592605</v>
      </c>
      <c r="AN2007">
        <v>1.00000000785583</v>
      </c>
    </row>
    <row r="2008" spans="1:40" x14ac:dyDescent="0.25">
      <c r="A2008" t="str">
        <f>"20190312160334862"</f>
        <v>20190312160334862</v>
      </c>
      <c r="B2008" t="str">
        <f>"1552377814856589"</f>
        <v>1552377814856589</v>
      </c>
      <c r="C2008" t="s">
        <v>40</v>
      </c>
      <c r="D2008">
        <v>5.7120620000000004</v>
      </c>
      <c r="E2008">
        <v>0.50007489999999999</v>
      </c>
      <c r="F2008" t="s">
        <v>45</v>
      </c>
      <c r="G2008">
        <v>0</v>
      </c>
      <c r="H2008">
        <v>0</v>
      </c>
      <c r="I2008">
        <v>0</v>
      </c>
      <c r="J2008">
        <v>-307.9796</v>
      </c>
      <c r="K2008">
        <v>1.109534</v>
      </c>
      <c r="L2008">
        <v>283.7389</v>
      </c>
      <c r="M2008">
        <v>-0.99988960000000005</v>
      </c>
      <c r="N2008">
        <v>0</v>
      </c>
      <c r="O2008">
        <v>8.1420250000000007E-3</v>
      </c>
      <c r="P2008">
        <v>-0.99939999999999996</v>
      </c>
      <c r="Q2008">
        <v>1.7747499999999999E-2</v>
      </c>
      <c r="R2008">
        <v>2.9747659999999999E-2</v>
      </c>
      <c r="S2008">
        <v>-2.9988709999999998</v>
      </c>
      <c r="T2008">
        <v>2.005053E-2</v>
      </c>
      <c r="U2008">
        <v>8.5998539999999998E-2</v>
      </c>
      <c r="V2008">
        <v>2.1642290000000002E-2</v>
      </c>
      <c r="W2008">
        <v>3.0149490000000001E-2</v>
      </c>
      <c r="X2008">
        <v>0.99931110000000001</v>
      </c>
      <c r="Y2008">
        <v>2.0524649999999998E-2</v>
      </c>
      <c r="Z2008" s="1">
        <v>-1.4171150000000001E-5</v>
      </c>
      <c r="AA2008">
        <v>0.99978940000000005</v>
      </c>
      <c r="AB2008">
        <v>29</v>
      </c>
      <c r="AC2008">
        <v>-2.9988709999999998</v>
      </c>
      <c r="AD2008">
        <v>2.005053E-2</v>
      </c>
      <c r="AE2008">
        <v>8.5998539999999998E-2</v>
      </c>
      <c r="AF2008">
        <v>6.1574169676646598E-2</v>
      </c>
      <c r="AG2008">
        <v>2.005053E-2</v>
      </c>
      <c r="AH2008">
        <v>2.9993378688491599</v>
      </c>
      <c r="AI2008">
        <v>89.617064936462</v>
      </c>
      <c r="AJ2008">
        <v>88.823925575603795</v>
      </c>
      <c r="AK2008">
        <v>3.0000368420466499</v>
      </c>
      <c r="AL2008">
        <v>88.272299704426004</v>
      </c>
      <c r="AM2008">
        <v>88.759327239541506</v>
      </c>
      <c r="AN2008">
        <v>1.00000002752345</v>
      </c>
    </row>
    <row r="2009" spans="1:40" x14ac:dyDescent="0.25">
      <c r="A2009" t="str">
        <f>"20190312160334883"</f>
        <v>20190312160334883</v>
      </c>
      <c r="B2009" t="str">
        <f>"1552377814876109"</f>
        <v>1552377814876109</v>
      </c>
      <c r="C2009" t="s">
        <v>40</v>
      </c>
      <c r="D2009">
        <v>5.5286660000000003</v>
      </c>
      <c r="E2009">
        <v>0.50020989999999999</v>
      </c>
      <c r="F2009" t="s">
        <v>45</v>
      </c>
      <c r="G2009">
        <v>0</v>
      </c>
      <c r="H2009">
        <v>0</v>
      </c>
      <c r="I2009">
        <v>0</v>
      </c>
      <c r="J2009">
        <v>-308.27350000000001</v>
      </c>
      <c r="K2009">
        <v>1.1095539999999999</v>
      </c>
      <c r="L2009">
        <v>283.74180000000001</v>
      </c>
      <c r="M2009">
        <v>-0.99988560000000004</v>
      </c>
      <c r="N2009">
        <v>0</v>
      </c>
      <c r="O2009">
        <v>8.64031E-3</v>
      </c>
      <c r="P2009">
        <v>-0.99940189999999995</v>
      </c>
      <c r="Q2009">
        <v>1.742488E-2</v>
      </c>
      <c r="R2009">
        <v>2.9875260000000001E-2</v>
      </c>
      <c r="S2009">
        <v>-2.9989620000000001</v>
      </c>
      <c r="T2009">
        <v>1.2349840000000001E-2</v>
      </c>
      <c r="U2009">
        <v>8.7768550000000001E-2</v>
      </c>
      <c r="V2009">
        <v>2.126977E-2</v>
      </c>
      <c r="W2009">
        <v>2.9827759999999998E-2</v>
      </c>
      <c r="X2009">
        <v>0.99932869999999996</v>
      </c>
      <c r="Y2009">
        <v>2.0615310000000001E-2</v>
      </c>
      <c r="Z2009" s="1">
        <v>-6.86340699999999E-6</v>
      </c>
      <c r="AA2009">
        <v>0.99978750000000005</v>
      </c>
      <c r="AB2009">
        <v>29</v>
      </c>
      <c r="AC2009">
        <v>-2.9989620000000001</v>
      </c>
      <c r="AD2009">
        <v>1.2349840000000001E-2</v>
      </c>
      <c r="AE2009">
        <v>8.7768550000000001E-2</v>
      </c>
      <c r="AF2009">
        <v>6.1850266761437601E-2</v>
      </c>
      <c r="AG2009">
        <v>1.2349840000000001E-2</v>
      </c>
      <c r="AH2009">
        <v>2.9995576192117199</v>
      </c>
      <c r="AI2009">
        <v>89.764152109803703</v>
      </c>
      <c r="AJ2009">
        <v>88.8187400994981</v>
      </c>
      <c r="AK2009">
        <v>3.0002206393893101</v>
      </c>
      <c r="AL2009">
        <v>88.290741679007894</v>
      </c>
      <c r="AM2009">
        <v>88.780697403345101</v>
      </c>
      <c r="AN2009">
        <v>0.99999997451307998</v>
      </c>
    </row>
    <row r="2010" spans="1:40" x14ac:dyDescent="0.25">
      <c r="A2010" t="str">
        <f>"20190312160334896"</f>
        <v>20190312160334896</v>
      </c>
      <c r="B2010" t="str">
        <f>"1552377814886845"</f>
        <v>1552377814886845</v>
      </c>
      <c r="C2010" t="s">
        <v>40</v>
      </c>
      <c r="D2010">
        <v>5.5458230000000004</v>
      </c>
      <c r="E2010">
        <v>0.50029449999999998</v>
      </c>
      <c r="F2010" t="s">
        <v>45</v>
      </c>
      <c r="G2010">
        <v>0</v>
      </c>
      <c r="H2010">
        <v>0</v>
      </c>
      <c r="I2010">
        <v>0</v>
      </c>
      <c r="J2010">
        <v>-308.43860000000001</v>
      </c>
      <c r="K2010">
        <v>1.109564</v>
      </c>
      <c r="L2010">
        <v>283.74360000000001</v>
      </c>
      <c r="M2010">
        <v>-0.99988299999999997</v>
      </c>
      <c r="N2010">
        <v>0</v>
      </c>
      <c r="O2010">
        <v>8.9113660000000004E-3</v>
      </c>
      <c r="P2010">
        <v>-0.99940510000000005</v>
      </c>
      <c r="Q2010">
        <v>1.7267680000000001E-2</v>
      </c>
      <c r="R2010">
        <v>2.9854530000000001E-2</v>
      </c>
      <c r="S2010">
        <v>-2.9990230000000002</v>
      </c>
      <c r="T2010">
        <v>5.6788919999999996E-3</v>
      </c>
      <c r="U2010">
        <v>8.9111330000000002E-2</v>
      </c>
      <c r="V2010">
        <v>2.0977079999999999E-2</v>
      </c>
      <c r="W2010">
        <v>2.9671429999999999E-2</v>
      </c>
      <c r="X2010">
        <v>0.99933959999999999</v>
      </c>
      <c r="Y2010">
        <v>2.079102E-2</v>
      </c>
      <c r="Z2010" s="1">
        <v>-2.8091439999999999E-6</v>
      </c>
      <c r="AA2010">
        <v>0.9997838</v>
      </c>
      <c r="AB2010">
        <v>29</v>
      </c>
      <c r="AC2010">
        <v>-2.9990230000000002</v>
      </c>
      <c r="AD2010">
        <v>5.6788919999999996E-3</v>
      </c>
      <c r="AE2010">
        <v>8.9111330000000002E-2</v>
      </c>
      <c r="AF2010">
        <v>6.2380110274200998E-2</v>
      </c>
      <c r="AG2010">
        <v>5.6788919999999996E-3</v>
      </c>
      <c r="AH2010">
        <v>2.9996873180755701</v>
      </c>
      <c r="AI2010">
        <v>89.891553422573395</v>
      </c>
      <c r="AJ2010">
        <v>88.808675176846407</v>
      </c>
      <c r="AK2010">
        <v>3.0003412362922299</v>
      </c>
      <c r="AL2010">
        <v>88.299702795737204</v>
      </c>
      <c r="AM2010">
        <v>88.797484188048401</v>
      </c>
      <c r="AN2010">
        <v>1.0000000338858599</v>
      </c>
    </row>
    <row r="2011" spans="1:40" x14ac:dyDescent="0.25">
      <c r="A2011" t="str">
        <f>"20190312160334908"</f>
        <v>20190312160334908</v>
      </c>
      <c r="B2011" t="str">
        <f>"1552377814896605"</f>
        <v>1552377814896605</v>
      </c>
      <c r="C2011" t="s">
        <v>40</v>
      </c>
      <c r="D2011">
        <v>5.5879029999999998</v>
      </c>
      <c r="E2011">
        <v>0.5002991</v>
      </c>
      <c r="F2011" t="s">
        <v>45</v>
      </c>
      <c r="G2011">
        <v>0</v>
      </c>
      <c r="H2011">
        <v>0</v>
      </c>
      <c r="I2011">
        <v>0</v>
      </c>
      <c r="J2011">
        <v>-308.59249999999997</v>
      </c>
      <c r="K2011">
        <v>1.1095699999999999</v>
      </c>
      <c r="L2011">
        <v>283.74520000000001</v>
      </c>
      <c r="M2011">
        <v>-0.99988089999999996</v>
      </c>
      <c r="N2011">
        <v>0</v>
      </c>
      <c r="O2011">
        <v>9.1613400000000005E-3</v>
      </c>
      <c r="P2011">
        <v>-0.99941869999999999</v>
      </c>
      <c r="Q2011">
        <v>1.692165E-2</v>
      </c>
      <c r="R2011">
        <v>2.961132E-2</v>
      </c>
      <c r="S2011">
        <v>-2.9990230000000002</v>
      </c>
      <c r="T2011">
        <v>3.198266E-3</v>
      </c>
      <c r="U2011">
        <v>8.9691160000000006E-2</v>
      </c>
      <c r="V2011">
        <v>2.0483230000000002E-2</v>
      </c>
      <c r="W2011">
        <v>2.9326359999999999E-2</v>
      </c>
      <c r="X2011">
        <v>0.99936000000000003</v>
      </c>
      <c r="Y2011">
        <v>2.0734209999999999E-2</v>
      </c>
      <c r="Z2011" s="1">
        <v>-1.2852669999999999E-6</v>
      </c>
      <c r="AA2011">
        <v>0.99978500000000003</v>
      </c>
      <c r="AB2011">
        <v>29</v>
      </c>
      <c r="AC2011">
        <v>-2.9990230000000002</v>
      </c>
      <c r="AD2011">
        <v>3.198266E-3</v>
      </c>
      <c r="AE2011">
        <v>8.9691160000000006E-2</v>
      </c>
      <c r="AF2011">
        <v>6.2210136047992901E-2</v>
      </c>
      <c r="AG2011">
        <v>3.198266E-3</v>
      </c>
      <c r="AH2011">
        <v>2.9997154698251101</v>
      </c>
      <c r="AI2011">
        <v>89.938924980692406</v>
      </c>
      <c r="AJ2011">
        <v>88.811931530945401</v>
      </c>
      <c r="AK2011">
        <v>3.0003621831106599</v>
      </c>
      <c r="AL2011">
        <v>88.319482407166802</v>
      </c>
      <c r="AM2011">
        <v>88.825810190907205</v>
      </c>
      <c r="AN2011">
        <v>1.0000000038510399</v>
      </c>
    </row>
    <row r="2012" spans="1:40" x14ac:dyDescent="0.25">
      <c r="A2012" t="str">
        <f>"20190312160334921"</f>
        <v>20190312160334921</v>
      </c>
      <c r="B2012" t="str">
        <f>"1552377814916125"</f>
        <v>1552377814916125</v>
      </c>
      <c r="C2012" t="s">
        <v>40</v>
      </c>
      <c r="D2012">
        <v>5.4373630000000004</v>
      </c>
      <c r="E2012">
        <v>0.50028439999999996</v>
      </c>
      <c r="F2012" t="s">
        <v>45</v>
      </c>
      <c r="G2012">
        <v>0</v>
      </c>
      <c r="H2012">
        <v>0</v>
      </c>
      <c r="I2012">
        <v>0</v>
      </c>
      <c r="J2012">
        <v>-308.77140000000003</v>
      </c>
      <c r="K2012">
        <v>1.109577</v>
      </c>
      <c r="L2012">
        <v>283.74720000000002</v>
      </c>
      <c r="M2012">
        <v>-0.99987809999999999</v>
      </c>
      <c r="N2012">
        <v>0</v>
      </c>
      <c r="O2012">
        <v>9.4467869999999999E-3</v>
      </c>
      <c r="P2012">
        <v>-0.99940810000000002</v>
      </c>
      <c r="Q2012">
        <v>1.6854919999999999E-2</v>
      </c>
      <c r="R2012">
        <v>2.9989399999999999E-2</v>
      </c>
      <c r="S2012">
        <v>-2.9992070000000002</v>
      </c>
      <c r="T2012">
        <v>-3.0527110000000001E-3</v>
      </c>
      <c r="U2012">
        <v>8.8653560000000006E-2</v>
      </c>
      <c r="V2012">
        <v>2.0575050000000001E-2</v>
      </c>
      <c r="W2012">
        <v>2.9259629999999998E-2</v>
      </c>
      <c r="X2012">
        <v>0.99936009999999997</v>
      </c>
      <c r="Y2012">
        <v>2.010139E-2</v>
      </c>
      <c r="Z2012" s="1">
        <v>6.1424730000000004E-7</v>
      </c>
      <c r="AA2012">
        <v>0.99979790000000002</v>
      </c>
      <c r="AB2012">
        <v>29</v>
      </c>
      <c r="AC2012">
        <v>-2.9992070000000002</v>
      </c>
      <c r="AD2012">
        <v>-3.0527110000000001E-3</v>
      </c>
      <c r="AE2012">
        <v>8.8653560000000006E-2</v>
      </c>
      <c r="AF2012">
        <v>6.0314481788165397E-2</v>
      </c>
      <c r="AG2012">
        <v>-3.0527110000000001E-3</v>
      </c>
      <c r="AH2012">
        <v>2.9999075998730902</v>
      </c>
      <c r="AI2012">
        <v>90.058292480550605</v>
      </c>
      <c r="AJ2012">
        <v>88.848197950204906</v>
      </c>
      <c r="AK2012">
        <v>3.0005154163133598</v>
      </c>
      <c r="AL2012">
        <v>88.323307446594896</v>
      </c>
      <c r="AM2012">
        <v>88.820548261799999</v>
      </c>
      <c r="AN2012">
        <v>1.0000000340511199</v>
      </c>
    </row>
    <row r="2013" spans="1:40" x14ac:dyDescent="0.25">
      <c r="A2013" t="str">
        <f>"20190312160334932"</f>
        <v>20190312160334932</v>
      </c>
      <c r="B2013" t="str">
        <f>"1552377814926861"</f>
        <v>1552377814926861</v>
      </c>
      <c r="C2013" t="s">
        <v>40</v>
      </c>
      <c r="D2013">
        <v>5.353847</v>
      </c>
      <c r="E2013">
        <v>0.50044769999999905</v>
      </c>
      <c r="F2013" t="s">
        <v>45</v>
      </c>
      <c r="G2013">
        <v>0</v>
      </c>
      <c r="H2013">
        <v>0</v>
      </c>
      <c r="I2013">
        <v>0</v>
      </c>
      <c r="J2013">
        <v>-308.91739999999999</v>
      </c>
      <c r="K2013">
        <v>1.1095839999999999</v>
      </c>
      <c r="L2013">
        <v>283.74880000000002</v>
      </c>
      <c r="M2013">
        <v>-0.99987599999999999</v>
      </c>
      <c r="N2013">
        <v>0</v>
      </c>
      <c r="O2013">
        <v>9.6780870000000001E-3</v>
      </c>
      <c r="P2013">
        <v>-0.99941380000000002</v>
      </c>
      <c r="Q2013">
        <v>1.655394E-2</v>
      </c>
      <c r="R2013">
        <v>2.9974359999999999E-2</v>
      </c>
      <c r="S2013">
        <v>-2.999298</v>
      </c>
      <c r="T2013">
        <v>-1.0901330000000001E-2</v>
      </c>
      <c r="U2013">
        <v>8.9385989999999999E-2</v>
      </c>
      <c r="V2013">
        <v>2.032815E-2</v>
      </c>
      <c r="W2013">
        <v>2.8958870000000001E-2</v>
      </c>
      <c r="X2013">
        <v>0.99937390000000004</v>
      </c>
      <c r="Y2013">
        <v>2.011307E-2</v>
      </c>
      <c r="Z2013" s="1">
        <v>1.3741769999999999E-6</v>
      </c>
      <c r="AA2013">
        <v>0.99979770000000001</v>
      </c>
      <c r="AB2013">
        <v>29</v>
      </c>
      <c r="AC2013">
        <v>-2.999298</v>
      </c>
      <c r="AD2013">
        <v>-1.0901330000000001E-2</v>
      </c>
      <c r="AE2013">
        <v>8.9385989999999999E-2</v>
      </c>
      <c r="AF2013">
        <v>6.0351299515030501E-2</v>
      </c>
      <c r="AG2013">
        <v>-1.0901330000000001E-2</v>
      </c>
      <c r="AH2013">
        <v>2.99998306584772</v>
      </c>
      <c r="AI2013">
        <v>90.208158209122104</v>
      </c>
      <c r="AJ2013">
        <v>88.847524030048206</v>
      </c>
      <c r="AK2013">
        <v>3.0006098569660802</v>
      </c>
      <c r="AL2013">
        <v>88.340547008433703</v>
      </c>
      <c r="AM2013">
        <v>88.834713808683603</v>
      </c>
      <c r="AN2013">
        <v>1.0000000209176501</v>
      </c>
    </row>
    <row r="2014" spans="1:40" x14ac:dyDescent="0.25">
      <c r="A2014" t="str">
        <f>"20190312160334944"</f>
        <v>20190312160334944</v>
      </c>
      <c r="B2014" t="str">
        <f>"1552377814936622"</f>
        <v>1552377814936622</v>
      </c>
      <c r="C2014" t="s">
        <v>40</v>
      </c>
      <c r="D2014">
        <v>5.4558030000000004</v>
      </c>
      <c r="E2014">
        <v>0.50056899999999904</v>
      </c>
      <c r="F2014" t="s">
        <v>43</v>
      </c>
      <c r="G2014">
        <v>-548.2201</v>
      </c>
      <c r="H2014">
        <v>-0.05</v>
      </c>
      <c r="I2014">
        <v>290.97059999999999</v>
      </c>
      <c r="J2014">
        <v>-309.0711</v>
      </c>
      <c r="K2014">
        <v>1.1095900000000001</v>
      </c>
      <c r="L2014">
        <v>283.75049999999999</v>
      </c>
      <c r="M2014">
        <v>-0.99987360000000003</v>
      </c>
      <c r="N2014">
        <v>0</v>
      </c>
      <c r="O2014">
        <v>9.9198870000000005E-3</v>
      </c>
      <c r="P2014">
        <v>-0.99940530000000005</v>
      </c>
      <c r="Q2014">
        <v>1.6575090000000001E-2</v>
      </c>
      <c r="R2014">
        <v>3.0236499999999999E-2</v>
      </c>
      <c r="S2014">
        <v>-2.999298</v>
      </c>
      <c r="T2014">
        <v>-1.453364E-2</v>
      </c>
      <c r="U2014">
        <v>9.0515139999999994E-2</v>
      </c>
      <c r="V2014">
        <v>2.0348069999999999E-2</v>
      </c>
      <c r="W2014">
        <v>2.8980309999999999E-2</v>
      </c>
      <c r="X2014">
        <v>0.99937279999999995</v>
      </c>
      <c r="Y2014">
        <v>2.0247299999999999E-2</v>
      </c>
      <c r="Z2014" s="1">
        <v>9.8581219999999994E-7</v>
      </c>
      <c r="AA2014">
        <v>0.99979499999999999</v>
      </c>
      <c r="AB2014">
        <v>29</v>
      </c>
      <c r="AC2014">
        <v>-239.149</v>
      </c>
      <c r="AD2014">
        <v>-1.1595899999999999</v>
      </c>
      <c r="AE2014">
        <v>7.2201000000000004</v>
      </c>
      <c r="AF2014">
        <v>4.8471166380736497</v>
      </c>
      <c r="AG2014">
        <v>-1.1595899999999999</v>
      </c>
      <c r="AH2014">
        <v>239.203240576133</v>
      </c>
      <c r="AI2014">
        <v>90.277694634872901</v>
      </c>
      <c r="AJ2014">
        <v>88.839140627319793</v>
      </c>
      <c r="AK2014">
        <v>239.25515562009201</v>
      </c>
      <c r="AL2014">
        <v>88.339317949777595</v>
      </c>
      <c r="AM2014">
        <v>88.833570950990193</v>
      </c>
      <c r="AN2014">
        <v>0.99999994785012902</v>
      </c>
    </row>
    <row r="2015" spans="1:40" x14ac:dyDescent="0.25">
      <c r="A2015" t="str">
        <f>"20190312160334955"</f>
        <v>20190312160334955</v>
      </c>
      <c r="B2015" t="str">
        <f>"1552377814946382"</f>
        <v>1552377814946382</v>
      </c>
      <c r="C2015" t="s">
        <v>40</v>
      </c>
      <c r="D2015">
        <v>5.315124</v>
      </c>
      <c r="E2015">
        <v>0.50067700000000004</v>
      </c>
      <c r="F2015" t="s">
        <v>43</v>
      </c>
      <c r="G2015">
        <v>-531.44200000000001</v>
      </c>
      <c r="H2015">
        <v>-0.05</v>
      </c>
      <c r="I2015">
        <v>290.58600000000001</v>
      </c>
      <c r="J2015">
        <v>-309.21289999999999</v>
      </c>
      <c r="K2015">
        <v>1.1095930000000001</v>
      </c>
      <c r="L2015">
        <v>283.75220000000002</v>
      </c>
      <c r="M2015">
        <v>-0.99987139999999997</v>
      </c>
      <c r="N2015">
        <v>0</v>
      </c>
      <c r="O2015">
        <v>1.014192E-2</v>
      </c>
      <c r="P2015">
        <v>-0.99939880000000003</v>
      </c>
      <c r="Q2015">
        <v>1.6537739999999999E-2</v>
      </c>
      <c r="R2015">
        <v>3.0476679999999999E-2</v>
      </c>
      <c r="S2015">
        <v>-2.9992369999999999</v>
      </c>
      <c r="T2015">
        <v>-1.5640020000000001E-2</v>
      </c>
      <c r="U2015">
        <v>9.2193600000000001E-2</v>
      </c>
      <c r="V2015">
        <v>2.0366180000000001E-2</v>
      </c>
      <c r="W2015">
        <v>2.8943139999999999E-2</v>
      </c>
      <c r="X2015">
        <v>0.99937359999999997</v>
      </c>
      <c r="Y2015">
        <v>2.0584870000000002E-2</v>
      </c>
      <c r="Z2015" s="1">
        <v>7.8335869999999999E-7</v>
      </c>
      <c r="AA2015">
        <v>0.99978809999999996</v>
      </c>
      <c r="AB2015">
        <v>29</v>
      </c>
      <c r="AC2015">
        <v>-222.22909999999999</v>
      </c>
      <c r="AD2015">
        <v>-1.1595930000000001</v>
      </c>
      <c r="AE2015">
        <v>6.8337999999999903</v>
      </c>
      <c r="AF2015">
        <v>4.5793202282173899</v>
      </c>
      <c r="AG2015">
        <v>-1.1595930000000001</v>
      </c>
      <c r="AH2015">
        <v>222.280935604863</v>
      </c>
      <c r="AI2015">
        <v>90.298833939990502</v>
      </c>
      <c r="AJ2015">
        <v>88.819788068942998</v>
      </c>
      <c r="AK2015">
        <v>222.331125043372</v>
      </c>
      <c r="AL2015">
        <v>88.341448679808806</v>
      </c>
      <c r="AM2015">
        <v>88.832534038152602</v>
      </c>
      <c r="AN2015">
        <v>1.0000000395088999</v>
      </c>
    </row>
    <row r="2016" spans="1:40" x14ac:dyDescent="0.25">
      <c r="A2016" t="str">
        <f>"20190312160334965"</f>
        <v>20190312160334965</v>
      </c>
      <c r="B2016" t="str">
        <f>"1552377814956143"</f>
        <v>1552377814956143</v>
      </c>
      <c r="C2016" t="s">
        <v>40</v>
      </c>
      <c r="D2016">
        <v>5.2450789999999996</v>
      </c>
      <c r="E2016">
        <v>0.50077059999999995</v>
      </c>
      <c r="F2016" t="s">
        <v>59</v>
      </c>
      <c r="G2016">
        <v>-499.96570000000003</v>
      </c>
      <c r="H2016">
        <v>5.7919279999999997E-2</v>
      </c>
      <c r="I2016">
        <v>289.70699999999999</v>
      </c>
      <c r="J2016">
        <v>-309.36270000000002</v>
      </c>
      <c r="K2016">
        <v>1.10959599999999</v>
      </c>
      <c r="L2016">
        <v>283.75400000000002</v>
      </c>
      <c r="M2016">
        <v>-0.99986900000000001</v>
      </c>
      <c r="N2016">
        <v>0</v>
      </c>
      <c r="O2016">
        <v>1.037653E-2</v>
      </c>
      <c r="P2016">
        <v>-0.99939860000000003</v>
      </c>
      <c r="Q2016">
        <v>1.6588019999999998E-2</v>
      </c>
      <c r="R2016">
        <v>3.0459799999999999E-2</v>
      </c>
      <c r="S2016">
        <v>-2.9992369999999999</v>
      </c>
      <c r="T2016">
        <v>-1.6535640000000001E-2</v>
      </c>
      <c r="U2016">
        <v>9.3627929999999998E-2</v>
      </c>
      <c r="V2016">
        <v>2.0114759999999999E-2</v>
      </c>
      <c r="W2016">
        <v>2.8993660000000001E-2</v>
      </c>
      <c r="X2016">
        <v>0.99937719999999997</v>
      </c>
      <c r="Y2016">
        <v>2.0827930000000001E-2</v>
      </c>
      <c r="Z2016" s="1">
        <v>2.050037E-7</v>
      </c>
      <c r="AA2016">
        <v>0.99978310000000004</v>
      </c>
      <c r="AB2016">
        <v>29</v>
      </c>
      <c r="AC2016">
        <v>-190.60299999999901</v>
      </c>
      <c r="AD2016">
        <v>-1.0516767199999999</v>
      </c>
      <c r="AE2016">
        <v>5.9529999999999701</v>
      </c>
      <c r="AF2016">
        <v>3.97460820640344</v>
      </c>
      <c r="AG2016">
        <v>-1.0516767199999999</v>
      </c>
      <c r="AH2016">
        <v>190.64871455289801</v>
      </c>
      <c r="AI2016">
        <v>90.315989207601007</v>
      </c>
      <c r="AJ2016">
        <v>88.805681475605894</v>
      </c>
      <c r="AK2016">
        <v>190.69304102402401</v>
      </c>
      <c r="AL2016">
        <v>88.338552835947496</v>
      </c>
      <c r="AM2016">
        <v>88.846946614376904</v>
      </c>
      <c r="AN2016">
        <v>1.0000000118849399</v>
      </c>
    </row>
    <row r="2017" spans="1:40" x14ac:dyDescent="0.25">
      <c r="A2017" t="str">
        <f>"20190312160334977"</f>
        <v>20190312160334977</v>
      </c>
      <c r="B2017" t="str">
        <f>"1552377814966877"</f>
        <v>1552377814966877</v>
      </c>
      <c r="C2017" t="s">
        <v>40</v>
      </c>
      <c r="D2017">
        <v>5.2763790000000004</v>
      </c>
      <c r="E2017">
        <v>0.50086929999999996</v>
      </c>
      <c r="F2017" t="s">
        <v>59</v>
      </c>
      <c r="G2017">
        <v>-499.95780000000002</v>
      </c>
      <c r="H2017">
        <v>9.7750149999999997E-3</v>
      </c>
      <c r="I2017">
        <v>289.75240000000002</v>
      </c>
      <c r="J2017">
        <v>-309.50920000000002</v>
      </c>
      <c r="K2017">
        <v>1.1096029999999999</v>
      </c>
      <c r="L2017">
        <v>283.75580000000002</v>
      </c>
      <c r="M2017">
        <v>-0.99986660000000005</v>
      </c>
      <c r="N2017">
        <v>0</v>
      </c>
      <c r="O2017">
        <v>1.0605079999999999E-2</v>
      </c>
      <c r="P2017">
        <v>-0.99939979999999995</v>
      </c>
      <c r="Q2017">
        <v>1.6569420000000001E-2</v>
      </c>
      <c r="R2017">
        <v>3.04251E-2</v>
      </c>
      <c r="S2017">
        <v>-2.9992070000000002</v>
      </c>
      <c r="T2017">
        <v>-1.73067999999999E-2</v>
      </c>
      <c r="U2017">
        <v>9.4390870000000002E-2</v>
      </c>
      <c r="V2017">
        <v>1.9851219999999999E-2</v>
      </c>
      <c r="W2017">
        <v>2.8975069999999999E-2</v>
      </c>
      <c r="X2017">
        <v>0.99938300000000002</v>
      </c>
      <c r="Y2017">
        <v>2.0853790000000001E-2</v>
      </c>
      <c r="Z2017" s="1">
        <v>-1.0292499999999999E-6</v>
      </c>
      <c r="AA2017">
        <v>0.99978259999999997</v>
      </c>
      <c r="AB2017">
        <v>29</v>
      </c>
      <c r="AC2017">
        <v>-190.4486</v>
      </c>
      <c r="AD2017">
        <v>-1.0998279849999999</v>
      </c>
      <c r="AE2017">
        <v>5.9965999999999999</v>
      </c>
      <c r="AF2017">
        <v>3.9762517572618998</v>
      </c>
      <c r="AG2017">
        <v>-1.0998279849999999</v>
      </c>
      <c r="AH2017">
        <v>190.49514102251101</v>
      </c>
      <c r="AI2017">
        <v>90.330722760091703</v>
      </c>
      <c r="AJ2017">
        <v>88.804224797735102</v>
      </c>
      <c r="AK2017">
        <v>190.53980936491999</v>
      </c>
      <c r="AL2017">
        <v>88.339618397659393</v>
      </c>
      <c r="AM2017">
        <v>88.8620563179567</v>
      </c>
      <c r="AN2017">
        <v>1.0000000031529901</v>
      </c>
    </row>
    <row r="2018" spans="1:40" x14ac:dyDescent="0.25">
      <c r="A2018" t="str">
        <f>"20190312160334991"</f>
        <v>20190312160334991</v>
      </c>
      <c r="B2018" t="str">
        <f>"1552377814986397"</f>
        <v>1552377814986397</v>
      </c>
      <c r="C2018" t="s">
        <v>40</v>
      </c>
      <c r="D2018">
        <v>5.1960709999999999</v>
      </c>
      <c r="E2018">
        <v>0.50099970000000005</v>
      </c>
      <c r="F2018" t="s">
        <v>59</v>
      </c>
      <c r="G2018">
        <v>-496.16860000000003</v>
      </c>
      <c r="H2018" s="1">
        <v>3.3278850000000002E-6</v>
      </c>
      <c r="I2018">
        <v>289.67399999999998</v>
      </c>
      <c r="J2018">
        <v>-309.67939999999999</v>
      </c>
      <c r="K2018">
        <v>1.1096079999999999</v>
      </c>
      <c r="L2018">
        <v>283.75790000000001</v>
      </c>
      <c r="M2018">
        <v>-0.99986359999999996</v>
      </c>
      <c r="N2018">
        <v>0</v>
      </c>
      <c r="O2018">
        <v>1.087045E-2</v>
      </c>
      <c r="P2018">
        <v>-0.99940039999999997</v>
      </c>
      <c r="Q2018">
        <v>1.6710450000000002E-2</v>
      </c>
      <c r="R2018">
        <v>3.032406E-2</v>
      </c>
      <c r="S2018">
        <v>-2.9992070000000002</v>
      </c>
      <c r="T2018">
        <v>-1.7828819999999999E-2</v>
      </c>
      <c r="U2018">
        <v>9.5092769999999993E-2</v>
      </c>
      <c r="V2018">
        <v>1.948476E-2</v>
      </c>
      <c r="W2018">
        <v>2.9116630000000001E-2</v>
      </c>
      <c r="X2018">
        <v>0.99938610000000005</v>
      </c>
      <c r="Y2018">
        <v>2.0822170000000001E-2</v>
      </c>
      <c r="Z2018" s="1">
        <v>-2.7312709999999998E-6</v>
      </c>
      <c r="AA2018">
        <v>0.99978319999999998</v>
      </c>
      <c r="AB2018">
        <v>29</v>
      </c>
      <c r="AC2018">
        <v>-186.48920000000001</v>
      </c>
      <c r="AD2018">
        <v>-1.1096046721149999</v>
      </c>
      <c r="AE2018">
        <v>5.9161000000000197</v>
      </c>
      <c r="AF2018">
        <v>3.8882346178791298</v>
      </c>
      <c r="AG2018">
        <v>-1.1096046721149999</v>
      </c>
      <c r="AH2018">
        <v>186.53589808124201</v>
      </c>
      <c r="AI2018">
        <v>90.340744644493398</v>
      </c>
      <c r="AJ2018">
        <v>88.805875014440304</v>
      </c>
      <c r="AK2018">
        <v>186.579717182623</v>
      </c>
      <c r="AL2018">
        <v>88.331504187407106</v>
      </c>
      <c r="AM2018">
        <v>88.883061221741798</v>
      </c>
      <c r="AN2018">
        <v>1.0000000054440099</v>
      </c>
    </row>
    <row r="2019" spans="1:40" x14ac:dyDescent="0.25">
      <c r="A2019" t="str">
        <f>"20190312160335005"</f>
        <v>20190312160335005</v>
      </c>
      <c r="B2019" t="str">
        <f>"1552377814996157"</f>
        <v>1552377814996157</v>
      </c>
      <c r="C2019" t="s">
        <v>40</v>
      </c>
      <c r="D2019">
        <v>5.151656</v>
      </c>
      <c r="E2019">
        <v>0.50105420000000001</v>
      </c>
      <c r="F2019" t="s">
        <v>59</v>
      </c>
      <c r="G2019">
        <v>-491.39210000000003</v>
      </c>
      <c r="H2019" s="1">
        <v>4.1504920000000001E-6</v>
      </c>
      <c r="I2019">
        <v>289.56729999999999</v>
      </c>
      <c r="J2019">
        <v>-309.87740000000002</v>
      </c>
      <c r="K2019">
        <v>1.109607</v>
      </c>
      <c r="L2019">
        <v>283.7604</v>
      </c>
      <c r="M2019">
        <v>-0.99986030000000004</v>
      </c>
      <c r="N2019">
        <v>0</v>
      </c>
      <c r="O2019">
        <v>1.1178209999999999E-2</v>
      </c>
      <c r="P2019">
        <v>-0.99938539999999998</v>
      </c>
      <c r="Q2019">
        <v>1.708697E-2</v>
      </c>
      <c r="R2019">
        <v>3.0613399999999999E-2</v>
      </c>
      <c r="S2019">
        <v>-2.9992070000000002</v>
      </c>
      <c r="T2019">
        <v>-1.8314239999999999E-2</v>
      </c>
      <c r="U2019">
        <v>9.5886230000000003E-2</v>
      </c>
      <c r="V2019">
        <v>1.946691E-2</v>
      </c>
      <c r="W2019">
        <v>2.9493169999999999E-2</v>
      </c>
      <c r="X2019">
        <v>0.99937540000000002</v>
      </c>
      <c r="Y2019">
        <v>2.0778669999999999E-2</v>
      </c>
      <c r="Z2019" s="1">
        <v>-4.8170479999999901E-6</v>
      </c>
      <c r="AA2019">
        <v>0.99978409999999995</v>
      </c>
      <c r="AB2019">
        <v>29</v>
      </c>
      <c r="AC2019">
        <v>-181.5147</v>
      </c>
      <c r="AD2019">
        <v>-1.1096028495079999</v>
      </c>
      <c r="AE2019">
        <v>5.8068999999999802</v>
      </c>
      <c r="AF2019">
        <v>3.7772300117583999</v>
      </c>
      <c r="AG2019">
        <v>-1.1096028495079999</v>
      </c>
      <c r="AH2019">
        <v>181.56149547206101</v>
      </c>
      <c r="AI2019">
        <v>90.350079819500394</v>
      </c>
      <c r="AJ2019">
        <v>88.808182745465999</v>
      </c>
      <c r="AK2019">
        <v>181.604172097164</v>
      </c>
      <c r="AL2019">
        <v>88.309920753838895</v>
      </c>
      <c r="AM2019">
        <v>88.884072246407598</v>
      </c>
      <c r="AN2019">
        <v>0.99999999889337798</v>
      </c>
    </row>
    <row r="2020" spans="1:40" x14ac:dyDescent="0.25">
      <c r="A2020" t="str">
        <f>"20190312160335029"</f>
        <v>20190312160335029</v>
      </c>
      <c r="B2020" t="str">
        <f>"1552377815016654"</f>
        <v>1552377815016654</v>
      </c>
      <c r="C2020" t="s">
        <v>40</v>
      </c>
      <c r="D2020">
        <v>5.1715010000000001</v>
      </c>
      <c r="E2020">
        <v>0.50117049999999996</v>
      </c>
      <c r="F2020" t="s">
        <v>59</v>
      </c>
      <c r="G2020">
        <v>-497.52809999999999</v>
      </c>
      <c r="H2020" s="1">
        <v>3.1433620000000001E-6</v>
      </c>
      <c r="I2020">
        <v>289.83420000000001</v>
      </c>
      <c r="J2020">
        <v>-310.17439999999999</v>
      </c>
      <c r="K2020">
        <v>1.109613</v>
      </c>
      <c r="L2020">
        <v>283.76420000000002</v>
      </c>
      <c r="M2020">
        <v>-0.99985520000000006</v>
      </c>
      <c r="N2020">
        <v>0</v>
      </c>
      <c r="O2020">
        <v>1.163811E-2</v>
      </c>
      <c r="P2020">
        <v>-0.99936860000000005</v>
      </c>
      <c r="Q2020">
        <v>1.7503390000000001E-2</v>
      </c>
      <c r="R2020">
        <v>3.092394E-2</v>
      </c>
      <c r="S2020">
        <v>-2.9991759999999998</v>
      </c>
      <c r="T2020">
        <v>-1.7734529999999998E-2</v>
      </c>
      <c r="U2020">
        <v>9.7076419999999997E-2</v>
      </c>
      <c r="V2020">
        <v>1.9317870000000001E-2</v>
      </c>
      <c r="W2020">
        <v>2.9909270000000002E-2</v>
      </c>
      <c r="X2020">
        <v>0.99936590000000003</v>
      </c>
      <c r="Y2020">
        <v>2.071549E-2</v>
      </c>
      <c r="Z2020" s="1">
        <v>-7.5698550000000004E-6</v>
      </c>
      <c r="AA2020">
        <v>0.99978540000000005</v>
      </c>
      <c r="AB2020">
        <v>29</v>
      </c>
      <c r="AC2020">
        <v>-187.3537</v>
      </c>
      <c r="AD2020">
        <v>-1.1096098566379999</v>
      </c>
      <c r="AE2020">
        <v>6.0699999999999896</v>
      </c>
      <c r="AF2020">
        <v>3.8888415529257299</v>
      </c>
      <c r="AG2020">
        <v>-1.1096098566379999</v>
      </c>
      <c r="AH2020">
        <v>187.405091650196</v>
      </c>
      <c r="AI2020">
        <v>90.339166535402299</v>
      </c>
      <c r="AJ2020">
        <v>88.811226349626395</v>
      </c>
      <c r="AK2020">
        <v>187.44872018521801</v>
      </c>
      <c r="AL2020">
        <v>88.286069413239304</v>
      </c>
      <c r="AM2020">
        <v>88.892603205999094</v>
      </c>
      <c r="AN2020">
        <v>0.99999997330803903</v>
      </c>
    </row>
    <row r="2021" spans="1:40" x14ac:dyDescent="0.25">
      <c r="A2021" t="str">
        <f>"20190312160335041"</f>
        <v>20190312160335041</v>
      </c>
      <c r="B2021" t="str">
        <f>"1552377815036173"</f>
        <v>1552377815036173</v>
      </c>
      <c r="C2021" t="s">
        <v>40</v>
      </c>
      <c r="D2021">
        <v>5.1023139999999998</v>
      </c>
      <c r="E2021">
        <v>0.50136890000000001</v>
      </c>
      <c r="F2021" t="s">
        <v>59</v>
      </c>
      <c r="G2021">
        <v>-499.95780000000002</v>
      </c>
      <c r="H2021">
        <v>2.976987E-2</v>
      </c>
      <c r="I2021">
        <v>290.01909999999998</v>
      </c>
      <c r="J2021">
        <v>-310.33640000000003</v>
      </c>
      <c r="K2021">
        <v>1.109613</v>
      </c>
      <c r="L2021">
        <v>283.76639999999998</v>
      </c>
      <c r="M2021">
        <v>-0.99985219999999997</v>
      </c>
      <c r="N2021">
        <v>0</v>
      </c>
      <c r="O2021">
        <v>1.1885720000000001E-2</v>
      </c>
      <c r="P2021">
        <v>-0.99935289999999999</v>
      </c>
      <c r="Q2021">
        <v>1.7778220000000001E-2</v>
      </c>
      <c r="R2021">
        <v>3.127274E-2</v>
      </c>
      <c r="S2021">
        <v>-2.9991759999999998</v>
      </c>
      <c r="T2021">
        <v>-1.7064929999999999E-2</v>
      </c>
      <c r="U2021">
        <v>9.8846439999999994E-2</v>
      </c>
      <c r="V2021">
        <v>1.9419220000000001E-2</v>
      </c>
      <c r="W2021">
        <v>3.018332E-2</v>
      </c>
      <c r="X2021">
        <v>0.99935569999999896</v>
      </c>
      <c r="Y2021">
        <v>2.1057309999999999E-2</v>
      </c>
      <c r="Z2021" s="1">
        <v>-7.7200969999999993E-6</v>
      </c>
      <c r="AA2021">
        <v>0.99977830000000001</v>
      </c>
      <c r="AB2021">
        <v>29</v>
      </c>
      <c r="AC2021">
        <v>-189.62139999999999</v>
      </c>
      <c r="AD2021">
        <v>-1.07984313</v>
      </c>
      <c r="AE2021">
        <v>6.2526999999999999</v>
      </c>
      <c r="AF2021">
        <v>3.9981679610427201</v>
      </c>
      <c r="AG2021">
        <v>-1.07984313</v>
      </c>
      <c r="AH2021">
        <v>189.67618258271699</v>
      </c>
      <c r="AI2021">
        <v>90.326113930003501</v>
      </c>
      <c r="AJ2021">
        <v>88.792446010738004</v>
      </c>
      <c r="AK2021">
        <v>189.721389535767</v>
      </c>
      <c r="AL2021">
        <v>88.270360418326106</v>
      </c>
      <c r="AM2021">
        <v>88.886783416830397</v>
      </c>
      <c r="AN2021">
        <v>0.99999997701706</v>
      </c>
    </row>
    <row r="2022" spans="1:40" x14ac:dyDescent="0.25">
      <c r="A2022" t="str">
        <f>"20190312160335053"</f>
        <v>20190312160335053</v>
      </c>
      <c r="B2022" t="str">
        <f>"1552377815046910"</f>
        <v>1552377815046910</v>
      </c>
      <c r="C2022" t="s">
        <v>40</v>
      </c>
      <c r="D2022">
        <v>5.0696000000000003</v>
      </c>
      <c r="E2022">
        <v>0.50146670000000004</v>
      </c>
      <c r="F2022" t="s">
        <v>70</v>
      </c>
      <c r="G2022">
        <v>-469.61149999999998</v>
      </c>
      <c r="H2022" s="1">
        <v>3.379762E-6</v>
      </c>
      <c r="I2022">
        <v>289.15039999999999</v>
      </c>
      <c r="J2022">
        <v>-310.5</v>
      </c>
      <c r="K2022">
        <v>1.1096170000000001</v>
      </c>
      <c r="L2022">
        <v>283.76859999999999</v>
      </c>
      <c r="M2022">
        <v>-0.99984930000000005</v>
      </c>
      <c r="N2022">
        <v>0</v>
      </c>
      <c r="O2022">
        <v>1.213404E-2</v>
      </c>
      <c r="P2022">
        <v>-0.9993436</v>
      </c>
      <c r="Q2022">
        <v>1.808243E-2</v>
      </c>
      <c r="R2022">
        <v>3.1397029999999999E-2</v>
      </c>
      <c r="S2022">
        <v>-2.9991460000000001</v>
      </c>
      <c r="T2022">
        <v>-2.0893930000000002E-2</v>
      </c>
      <c r="U2022">
        <v>0.10137939999999999</v>
      </c>
      <c r="V2022">
        <v>1.9295389999999999E-2</v>
      </c>
      <c r="W2022">
        <v>3.048741E-2</v>
      </c>
      <c r="X2022">
        <v>0.99934889999999998</v>
      </c>
      <c r="Y2022">
        <v>2.1652689999999999E-2</v>
      </c>
      <c r="Z2022" s="1">
        <v>-9.1081530000000001E-6</v>
      </c>
      <c r="AA2022">
        <v>0.99976560000000003</v>
      </c>
      <c r="AB2022">
        <v>29</v>
      </c>
      <c r="AC2022">
        <v>-159.11149999999901</v>
      </c>
      <c r="AD2022">
        <v>-1.109613620238</v>
      </c>
      <c r="AE2022">
        <v>5.3817999999999904</v>
      </c>
      <c r="AF2022">
        <v>3.4504219923226902</v>
      </c>
      <c r="AG2022">
        <v>-1.109613620238</v>
      </c>
      <c r="AH2022">
        <v>159.15736076668401</v>
      </c>
      <c r="AI2022">
        <v>90.399354530744205</v>
      </c>
      <c r="AJ2022">
        <v>88.758061494532797</v>
      </c>
      <c r="AK2022">
        <v>159.198624807275</v>
      </c>
      <c r="AL2022">
        <v>88.252929378119603</v>
      </c>
      <c r="AM2022">
        <v>88.893872740112101</v>
      </c>
      <c r="AN2022">
        <v>1.0000000090874801</v>
      </c>
    </row>
    <row r="2023" spans="1:40" x14ac:dyDescent="0.25">
      <c r="A2023" t="str">
        <f>"20190312160335066"</f>
        <v>20190312160335066</v>
      </c>
      <c r="B2023" t="str">
        <f>"1552377815056669"</f>
        <v>1552377815056669</v>
      </c>
      <c r="C2023" t="s">
        <v>40</v>
      </c>
      <c r="D2023">
        <v>5.0402120000000004</v>
      </c>
      <c r="E2023">
        <v>0.50156659999999997</v>
      </c>
      <c r="F2023" t="s">
        <v>70</v>
      </c>
      <c r="G2023">
        <v>-460.52980000000002</v>
      </c>
      <c r="H2023" s="1">
        <v>-1.4420210000000001E-6</v>
      </c>
      <c r="I2023">
        <v>288.89800000000002</v>
      </c>
      <c r="J2023">
        <v>-310.67380000000003</v>
      </c>
      <c r="K2023">
        <v>1.109623</v>
      </c>
      <c r="L2023">
        <v>283.77100000000002</v>
      </c>
      <c r="M2023">
        <v>-0.99984589999999995</v>
      </c>
      <c r="N2023">
        <v>0</v>
      </c>
      <c r="O2023">
        <v>1.239618E-2</v>
      </c>
      <c r="P2023">
        <v>-0.99933119999999998</v>
      </c>
      <c r="Q2023">
        <v>1.8320980000000001E-2</v>
      </c>
      <c r="R2023">
        <v>3.1648179999999998E-2</v>
      </c>
      <c r="S2023">
        <v>-2.9991759999999998</v>
      </c>
      <c r="T2023">
        <v>-2.2181869999999999E-2</v>
      </c>
      <c r="U2023">
        <v>0.10253909999999999</v>
      </c>
      <c r="V2023">
        <v>1.9284519999999999E-2</v>
      </c>
      <c r="W2023">
        <v>3.072619E-2</v>
      </c>
      <c r="X2023">
        <v>0.99934179999999995</v>
      </c>
      <c r="Y2023">
        <v>2.177633E-2</v>
      </c>
      <c r="Z2023" s="1">
        <v>-1.115032E-5</v>
      </c>
      <c r="AA2023">
        <v>0.99976290000000001</v>
      </c>
      <c r="AB2023">
        <v>29</v>
      </c>
      <c r="AC2023">
        <v>-149.85599999999999</v>
      </c>
      <c r="AD2023">
        <v>-1.109624442021</v>
      </c>
      <c r="AE2023">
        <v>5.1269999999999998</v>
      </c>
      <c r="AF2023">
        <v>3.2686415191902598</v>
      </c>
      <c r="AG2023">
        <v>-1.109624442021</v>
      </c>
      <c r="AH2023">
        <v>149.89983494683</v>
      </c>
      <c r="AI2023">
        <v>90.4240199973964</v>
      </c>
      <c r="AJ2023">
        <v>88.750834583705299</v>
      </c>
      <c r="AK2023">
        <v>149.939573831828</v>
      </c>
      <c r="AL2023">
        <v>88.239241885153803</v>
      </c>
      <c r="AM2023">
        <v>88.894487866593195</v>
      </c>
      <c r="AN2023">
        <v>1.00000001234539</v>
      </c>
    </row>
    <row r="2024" spans="1:40" x14ac:dyDescent="0.25">
      <c r="A2024" t="str">
        <f>"20190312160335080"</f>
        <v>20190312160335080</v>
      </c>
      <c r="B2024" t="str">
        <f>"1552377815066429"</f>
        <v>1552377815066429</v>
      </c>
      <c r="C2024" t="s">
        <v>40</v>
      </c>
      <c r="D2024">
        <v>5.0760489999999896</v>
      </c>
      <c r="E2024">
        <v>0.50166929999999998</v>
      </c>
      <c r="F2024" t="s">
        <v>70</v>
      </c>
      <c r="G2024">
        <v>-452.91030000000001</v>
      </c>
      <c r="H2024" s="1">
        <v>-1.665519E-7</v>
      </c>
      <c r="I2024">
        <v>288.69909999999999</v>
      </c>
      <c r="J2024">
        <v>-310.84679999999997</v>
      </c>
      <c r="K2024">
        <v>1.109632</v>
      </c>
      <c r="L2024">
        <v>283.77339999999998</v>
      </c>
      <c r="M2024">
        <v>-0.99984289999999998</v>
      </c>
      <c r="N2024">
        <v>0</v>
      </c>
      <c r="O2024">
        <v>1.264756E-2</v>
      </c>
      <c r="P2024">
        <v>-0.99932670000000001</v>
      </c>
      <c r="Q2024">
        <v>1.8295720000000001E-2</v>
      </c>
      <c r="R2024">
        <v>3.1806550000000003E-2</v>
      </c>
      <c r="S2024">
        <v>-2.9991460000000001</v>
      </c>
      <c r="T2024">
        <v>-2.3397089999999999E-2</v>
      </c>
      <c r="U2024">
        <v>0.1039124</v>
      </c>
      <c r="V2024">
        <v>1.9191150000000001E-2</v>
      </c>
      <c r="W2024">
        <v>3.0700930000000001E-2</v>
      </c>
      <c r="X2024">
        <v>0.99934429999999996</v>
      </c>
      <c r="Y2024">
        <v>2.1982539999999998E-2</v>
      </c>
      <c r="Z2024" s="1">
        <v>-1.291733E-5</v>
      </c>
      <c r="AA2024">
        <v>0.99975840000000005</v>
      </c>
      <c r="AB2024">
        <v>29</v>
      </c>
      <c r="AC2024">
        <v>-142.0635</v>
      </c>
      <c r="AD2024">
        <v>-1.1096321665519</v>
      </c>
      <c r="AE2024">
        <v>4.9257</v>
      </c>
      <c r="AF2024">
        <v>3.12822014494468</v>
      </c>
      <c r="AG2024">
        <v>-1.1096321665519</v>
      </c>
      <c r="AH2024">
        <v>142.10577908531101</v>
      </c>
      <c r="AI2024">
        <v>90.4472763209249</v>
      </c>
      <c r="AJ2024">
        <v>88.738933280233297</v>
      </c>
      <c r="AK2024">
        <v>142.14453733529001</v>
      </c>
      <c r="AL2024">
        <v>88.240689729932996</v>
      </c>
      <c r="AM2024">
        <v>88.899841865473306</v>
      </c>
      <c r="AN2024">
        <v>0.99999993864183601</v>
      </c>
    </row>
    <row r="2025" spans="1:40" x14ac:dyDescent="0.25">
      <c r="A2025" t="str">
        <f>"20190312160335096"</f>
        <v>20190312160335096</v>
      </c>
      <c r="B2025" t="str">
        <f>"1552377815086925"</f>
        <v>1552377815086925</v>
      </c>
      <c r="C2025" t="s">
        <v>40</v>
      </c>
      <c r="D2025">
        <v>5.001233</v>
      </c>
      <c r="E2025">
        <v>0.50186969999999997</v>
      </c>
      <c r="F2025" t="s">
        <v>70</v>
      </c>
      <c r="G2025">
        <v>-446.97710000000001</v>
      </c>
      <c r="H2025" s="1">
        <v>2.00456E-6</v>
      </c>
      <c r="I2025">
        <v>288.53989999999999</v>
      </c>
      <c r="J2025">
        <v>-311.06540000000001</v>
      </c>
      <c r="K2025">
        <v>1.10964</v>
      </c>
      <c r="L2025">
        <v>283.77659999999997</v>
      </c>
      <c r="M2025">
        <v>-0.99983889999999997</v>
      </c>
      <c r="N2025">
        <v>0</v>
      </c>
      <c r="O2025">
        <v>1.2954429999999999E-2</v>
      </c>
      <c r="P2025">
        <v>-0.99930669999999999</v>
      </c>
      <c r="Q2025">
        <v>1.8597470000000001E-2</v>
      </c>
      <c r="R2025">
        <v>3.2256090000000001E-2</v>
      </c>
      <c r="S2025">
        <v>-2.9991150000000002</v>
      </c>
      <c r="T2025">
        <v>-2.4446490000000001E-2</v>
      </c>
      <c r="U2025">
        <v>0.10501099999999999</v>
      </c>
      <c r="V2025">
        <v>1.9333659999999999E-2</v>
      </c>
      <c r="W2025">
        <v>3.1002620000000002E-2</v>
      </c>
      <c r="X2025">
        <v>0.99933229999999995</v>
      </c>
      <c r="Y2025">
        <v>2.2041809999999998E-2</v>
      </c>
      <c r="Z2025" s="1">
        <v>-1.5755459999999999E-5</v>
      </c>
      <c r="AA2025">
        <v>0.99975709999999995</v>
      </c>
      <c r="AB2025">
        <v>29</v>
      </c>
      <c r="AC2025">
        <v>-135.9117</v>
      </c>
      <c r="AD2025">
        <v>-1.10963799544</v>
      </c>
      <c r="AE2025">
        <v>4.7633000000000099</v>
      </c>
      <c r="AF2025">
        <v>3.0019058811548001</v>
      </c>
      <c r="AG2025">
        <v>-1.10963799544</v>
      </c>
      <c r="AH2025">
        <v>135.952953030819</v>
      </c>
      <c r="AI2025">
        <v>90.467519600995601</v>
      </c>
      <c r="AJ2025">
        <v>88.7350874720224</v>
      </c>
      <c r="AK2025">
        <v>135.99061796021201</v>
      </c>
      <c r="AL2025">
        <v>88.223396040600306</v>
      </c>
      <c r="AM2025">
        <v>88.891661015491295</v>
      </c>
      <c r="AN2025">
        <v>0.99999999933957395</v>
      </c>
    </row>
    <row r="2026" spans="1:40" x14ac:dyDescent="0.25">
      <c r="A2026" t="str">
        <f>"20190312160335117"</f>
        <v>20190312160335117</v>
      </c>
      <c r="B2026" t="str">
        <f>"1552377815106448"</f>
        <v>1552377815106448</v>
      </c>
      <c r="C2026" t="s">
        <v>40</v>
      </c>
      <c r="D2026">
        <v>4.9741910000000003</v>
      </c>
      <c r="E2026">
        <v>0.50205270000000002</v>
      </c>
      <c r="F2026" t="s">
        <v>70</v>
      </c>
      <c r="G2026">
        <v>-443.2482</v>
      </c>
      <c r="H2026" s="1">
        <v>2.039732E-8</v>
      </c>
      <c r="I2026">
        <v>288.5367</v>
      </c>
      <c r="J2026">
        <v>-311.3415</v>
      </c>
      <c r="K2026">
        <v>1.1096600000000001</v>
      </c>
      <c r="L2026">
        <v>283.78059999999999</v>
      </c>
      <c r="M2026">
        <v>-0.99983409999999995</v>
      </c>
      <c r="N2026">
        <v>0</v>
      </c>
      <c r="O2026">
        <v>1.3318399999999999E-2</v>
      </c>
      <c r="P2026">
        <v>-0.99929880000000004</v>
      </c>
      <c r="Q2026">
        <v>1.869906E-2</v>
      </c>
      <c r="R2026">
        <v>3.2442020000000002E-2</v>
      </c>
      <c r="S2026">
        <v>-2.9990839999999999</v>
      </c>
      <c r="T2026">
        <v>-2.5176529999999999E-2</v>
      </c>
      <c r="U2026">
        <v>0.10800170000000001</v>
      </c>
      <c r="V2026">
        <v>1.915441E-2</v>
      </c>
      <c r="W2026">
        <v>3.11051E-2</v>
      </c>
      <c r="X2026">
        <v>0.99933249999999996</v>
      </c>
      <c r="Y2026">
        <v>2.2673909999999999E-2</v>
      </c>
      <c r="Z2026" s="1">
        <v>-1.662746E-5</v>
      </c>
      <c r="AA2026">
        <v>0.99974289999999999</v>
      </c>
      <c r="AB2026">
        <v>29</v>
      </c>
      <c r="AC2026">
        <v>-131.9067</v>
      </c>
      <c r="AD2026">
        <v>-1.10965997960267</v>
      </c>
      <c r="AE2026">
        <v>4.7561</v>
      </c>
      <c r="AF2026">
        <v>2.99854434173937</v>
      </c>
      <c r="AG2026">
        <v>-1.10965997960267</v>
      </c>
      <c r="AH2026">
        <v>131.94902157443599</v>
      </c>
      <c r="AI2026">
        <v>90.481708197564103</v>
      </c>
      <c r="AJ2026">
        <v>88.6981762511912</v>
      </c>
      <c r="AK2026">
        <v>131.98775287082699</v>
      </c>
      <c r="AL2026">
        <v>88.217521416039901</v>
      </c>
      <c r="AM2026">
        <v>88.901934556053305</v>
      </c>
      <c r="AN2026">
        <v>0.99999993211235105</v>
      </c>
    </row>
    <row r="2027" spans="1:40" x14ac:dyDescent="0.25">
      <c r="A2027" t="str">
        <f>"20190312160335130"</f>
        <v>20190312160335130</v>
      </c>
      <c r="B2027" t="str">
        <f>"1552377815126942"</f>
        <v>1552377815126942</v>
      </c>
      <c r="C2027" t="s">
        <v>40</v>
      </c>
      <c r="D2027">
        <v>4.9875829999999999</v>
      </c>
      <c r="E2027">
        <v>0.50224559999999996</v>
      </c>
      <c r="F2027" t="s">
        <v>79</v>
      </c>
      <c r="G2027">
        <v>-433.09050000000002</v>
      </c>
      <c r="H2027" s="1">
        <v>3.2708699999999999E-6</v>
      </c>
      <c r="I2027">
        <v>288.23820000000001</v>
      </c>
      <c r="J2027">
        <v>-311.51229999999998</v>
      </c>
      <c r="K2027">
        <v>1.109674</v>
      </c>
      <c r="L2027">
        <v>283.78309999999999</v>
      </c>
      <c r="M2027">
        <v>-0.99983120000000003</v>
      </c>
      <c r="N2027">
        <v>0</v>
      </c>
      <c r="O2027">
        <v>1.3530510000000001E-2</v>
      </c>
      <c r="P2027">
        <v>-0.99929630000000003</v>
      </c>
      <c r="Q2027">
        <v>1.892394E-2</v>
      </c>
      <c r="R2027">
        <v>3.2382300000000003E-2</v>
      </c>
      <c r="S2027">
        <v>-2.9990230000000002</v>
      </c>
      <c r="T2027">
        <v>-2.7333969999999999E-2</v>
      </c>
      <c r="U2027">
        <v>0.1098022</v>
      </c>
      <c r="V2027">
        <v>1.8881780000000001E-2</v>
      </c>
      <c r="W2027">
        <v>3.1330530000000002E-2</v>
      </c>
      <c r="X2027">
        <v>0.99933070000000002</v>
      </c>
      <c r="Y2027">
        <v>2.306192E-2</v>
      </c>
      <c r="Z2027" s="1">
        <v>-1.8217059999999999E-5</v>
      </c>
      <c r="AA2027">
        <v>0.99973400000000001</v>
      </c>
      <c r="AB2027">
        <v>29</v>
      </c>
      <c r="AC2027">
        <v>-121.5782</v>
      </c>
      <c r="AD2027">
        <v>-1.1096707291299901</v>
      </c>
      <c r="AE2027">
        <v>4.4551000000000096</v>
      </c>
      <c r="AF2027">
        <v>2.8093162505005198</v>
      </c>
      <c r="AG2027">
        <v>-1.1096707291299901</v>
      </c>
      <c r="AH2027">
        <v>121.617235384198</v>
      </c>
      <c r="AI2027">
        <v>90.522629299354094</v>
      </c>
      <c r="AJ2027">
        <v>88.676722557667702</v>
      </c>
      <c r="AK2027">
        <v>121.654739198347</v>
      </c>
      <c r="AL2027">
        <v>88.204599025708703</v>
      </c>
      <c r="AM2027">
        <v>88.917557929729298</v>
      </c>
      <c r="AN2027">
        <v>0.99999998584426897</v>
      </c>
    </row>
    <row r="2028" spans="1:40" x14ac:dyDescent="0.25">
      <c r="A2028" t="str">
        <f>"20190312160335140"</f>
        <v>20190312160335140</v>
      </c>
      <c r="B2028" t="str">
        <f>"1552377815136701"</f>
        <v>1552377815136701</v>
      </c>
      <c r="C2028" t="s">
        <v>40</v>
      </c>
      <c r="D2028">
        <v>4.9653179999999999</v>
      </c>
      <c r="E2028">
        <v>0.50231199999999998</v>
      </c>
      <c r="F2028" t="s">
        <v>79</v>
      </c>
      <c r="G2028">
        <v>-432.38889999999998</v>
      </c>
      <c r="H2028" s="1">
        <v>2.9570659999999999E-6</v>
      </c>
      <c r="I2028">
        <v>288.26900000000001</v>
      </c>
      <c r="J2028">
        <v>-311.65179999999998</v>
      </c>
      <c r="K2028">
        <v>1.1096900000000001</v>
      </c>
      <c r="L2028">
        <v>283.78519999999997</v>
      </c>
      <c r="M2028">
        <v>-0.99982910000000003</v>
      </c>
      <c r="N2028">
        <v>0</v>
      </c>
      <c r="O2028">
        <v>1.3692569999999999E-2</v>
      </c>
      <c r="P2028">
        <v>-0.99929520000000005</v>
      </c>
      <c r="Q2028">
        <v>1.9334830000000001E-2</v>
      </c>
      <c r="R2028">
        <v>3.2176509999999998E-2</v>
      </c>
      <c r="S2028">
        <v>-2.9990230000000002</v>
      </c>
      <c r="T2028">
        <v>-2.753162E-2</v>
      </c>
      <c r="U2028">
        <v>0.1112976</v>
      </c>
      <c r="V2028">
        <v>1.8513390000000001E-2</v>
      </c>
      <c r="W2028">
        <v>3.1742310000000003E-2</v>
      </c>
      <c r="X2028">
        <v>0.99932460000000001</v>
      </c>
      <c r="Y2028">
        <v>2.3397669999999999E-2</v>
      </c>
      <c r="Z2028" s="1">
        <v>-1.8295020000000002E-5</v>
      </c>
      <c r="AA2028">
        <v>0.99972620000000001</v>
      </c>
      <c r="AB2028">
        <v>29</v>
      </c>
      <c r="AC2028">
        <v>-120.7371</v>
      </c>
      <c r="AD2028">
        <v>-1.109687042934</v>
      </c>
      <c r="AE2028">
        <v>4.4838000000000298</v>
      </c>
      <c r="AF2028">
        <v>2.8298121354938299</v>
      </c>
      <c r="AG2028">
        <v>-1.109687042934</v>
      </c>
      <c r="AH2028">
        <v>120.77699053652201</v>
      </c>
      <c r="AI2028">
        <v>90.526268718191304</v>
      </c>
      <c r="AJ2028">
        <v>88.657802019815406</v>
      </c>
      <c r="AK2028">
        <v>120.81523366328599</v>
      </c>
      <c r="AL2028">
        <v>88.180994032013203</v>
      </c>
      <c r="AM2028">
        <v>88.938665389898901</v>
      </c>
      <c r="AN2028">
        <v>0.99999998800929402</v>
      </c>
    </row>
    <row r="2029" spans="1:40" x14ac:dyDescent="0.25">
      <c r="A2029" t="str">
        <f>"20190312160335152"</f>
        <v>20190312160335152</v>
      </c>
      <c r="B2029" t="str">
        <f>"1552377815146462"</f>
        <v>1552377815146462</v>
      </c>
      <c r="C2029" t="s">
        <v>40</v>
      </c>
      <c r="D2029">
        <v>4.9425270000000001</v>
      </c>
      <c r="E2029">
        <v>0.50237219999999905</v>
      </c>
      <c r="F2029" t="s">
        <v>79</v>
      </c>
      <c r="G2029">
        <v>-436.48950000000002</v>
      </c>
      <c r="H2029" s="1">
        <v>4.762795E-6</v>
      </c>
      <c r="I2029">
        <v>288.41419999999999</v>
      </c>
      <c r="J2029">
        <v>-311.79829999999998</v>
      </c>
      <c r="K2029">
        <v>1.1097049999999999</v>
      </c>
      <c r="L2029">
        <v>283.78739999999999</v>
      </c>
      <c r="M2029">
        <v>-0.99982680000000002</v>
      </c>
      <c r="N2029">
        <v>0</v>
      </c>
      <c r="O2029">
        <v>1.385611E-2</v>
      </c>
      <c r="P2029">
        <v>-0.99929559999999995</v>
      </c>
      <c r="Q2029">
        <v>1.9359290000000001E-2</v>
      </c>
      <c r="R2029">
        <v>3.2154149999999999E-2</v>
      </c>
      <c r="S2029">
        <v>-2.9990540000000001</v>
      </c>
      <c r="T2029">
        <v>-2.6658649999999999E-2</v>
      </c>
      <c r="U2029">
        <v>0.1112061</v>
      </c>
      <c r="V2029">
        <v>1.832655E-2</v>
      </c>
      <c r="W2029">
        <v>3.17671E-2</v>
      </c>
      <c r="X2029">
        <v>0.99932719999999997</v>
      </c>
      <c r="Y2029">
        <v>2.320332E-2</v>
      </c>
      <c r="Z2029" s="1">
        <v>-2.003121E-5</v>
      </c>
      <c r="AA2029">
        <v>0.99973080000000003</v>
      </c>
      <c r="AB2029">
        <v>29</v>
      </c>
      <c r="AC2029">
        <v>-124.69119999999999</v>
      </c>
      <c r="AD2029">
        <v>-1.109700237205</v>
      </c>
      <c r="AE2029">
        <v>4.6268000000000002</v>
      </c>
      <c r="AF2029">
        <v>2.89825816117968</v>
      </c>
      <c r="AG2029">
        <v>-1.109700237205</v>
      </c>
      <c r="AH2029">
        <v>124.733476493857</v>
      </c>
      <c r="AI2029">
        <v>90.509584991173696</v>
      </c>
      <c r="AJ2029">
        <v>88.668937238164403</v>
      </c>
      <c r="AK2029">
        <v>124.772078179491</v>
      </c>
      <c r="AL2029">
        <v>88.179572850726203</v>
      </c>
      <c r="AM2029">
        <v>88.949376862967995</v>
      </c>
      <c r="AN2029">
        <v>0.99999993186857306</v>
      </c>
    </row>
    <row r="2030" spans="1:40" x14ac:dyDescent="0.25">
      <c r="A2030" t="str">
        <f>"20190312160335163"</f>
        <v>20190312160335163</v>
      </c>
      <c r="B2030" t="str">
        <f>"1552377815156221"</f>
        <v>1552377815156221</v>
      </c>
      <c r="C2030" t="s">
        <v>40</v>
      </c>
      <c r="D2030">
        <v>4.9299520000000001</v>
      </c>
      <c r="E2030">
        <v>0.50243579999999999</v>
      </c>
      <c r="F2030" t="s">
        <v>79</v>
      </c>
      <c r="G2030">
        <v>-435.99630000000002</v>
      </c>
      <c r="H2030" s="1">
        <v>4.54494899999999E-6</v>
      </c>
      <c r="I2030">
        <v>288.40410000000003</v>
      </c>
      <c r="J2030">
        <v>-311.94659999999999</v>
      </c>
      <c r="K2030">
        <v>1.109718</v>
      </c>
      <c r="L2030">
        <v>283.78960000000001</v>
      </c>
      <c r="M2030">
        <v>-0.99982459999999995</v>
      </c>
      <c r="N2030">
        <v>0</v>
      </c>
      <c r="O2030">
        <v>1.4012429999999999E-2</v>
      </c>
      <c r="P2030">
        <v>-0.99930030000000003</v>
      </c>
      <c r="Q2030">
        <v>1.966915E-2</v>
      </c>
      <c r="R2030">
        <v>3.1814969999999998E-2</v>
      </c>
      <c r="S2030">
        <v>-2.9990540000000001</v>
      </c>
      <c r="T2030">
        <v>-2.6796339999999998E-2</v>
      </c>
      <c r="U2030">
        <v>0.1114807</v>
      </c>
      <c r="V2030">
        <v>1.783011E-2</v>
      </c>
      <c r="W2030">
        <v>3.2077840000000003E-2</v>
      </c>
      <c r="X2030">
        <v>0.9993263</v>
      </c>
      <c r="Y2030">
        <v>2.3138450000000001E-2</v>
      </c>
      <c r="Z2030" s="1">
        <v>-2.182037E-5</v>
      </c>
      <c r="AA2030">
        <v>0.99973230000000002</v>
      </c>
      <c r="AB2030">
        <v>29</v>
      </c>
      <c r="AC2030">
        <v>-124.0497</v>
      </c>
      <c r="AD2030">
        <v>-1.1097134550509999</v>
      </c>
      <c r="AE2030">
        <v>4.61450000000002</v>
      </c>
      <c r="AF2030">
        <v>2.87544512790722</v>
      </c>
      <c r="AG2030">
        <v>-1.1097134550509999</v>
      </c>
      <c r="AH2030">
        <v>124.09226753895101</v>
      </c>
      <c r="AI2030">
        <v>90.512224834667506</v>
      </c>
      <c r="AJ2030">
        <v>88.672589388170294</v>
      </c>
      <c r="AK2030">
        <v>124.130538191029</v>
      </c>
      <c r="AL2030">
        <v>88.161759763860601</v>
      </c>
      <c r="AM2030">
        <v>88.977829696786003</v>
      </c>
      <c r="AN2030">
        <v>0.99999997725668299</v>
      </c>
    </row>
    <row r="2031" spans="1:40" x14ac:dyDescent="0.25">
      <c r="A2031" t="str">
        <f>"20190312160335174"</f>
        <v>20190312160335174</v>
      </c>
      <c r="B2031" t="str">
        <f>"1552377815166957"</f>
        <v>1552377815166957</v>
      </c>
      <c r="C2031" t="s">
        <v>40</v>
      </c>
      <c r="D2031">
        <v>4.9030139999999998</v>
      </c>
      <c r="E2031">
        <v>0.5024942</v>
      </c>
      <c r="F2031" t="s">
        <v>79</v>
      </c>
      <c r="G2031">
        <v>-439.43740000000003</v>
      </c>
      <c r="H2031" s="1">
        <v>6.0620980000000003E-6</v>
      </c>
      <c r="I2031">
        <v>288.5052</v>
      </c>
      <c r="J2031">
        <v>-312.09769999999997</v>
      </c>
      <c r="K2031">
        <v>1.109729</v>
      </c>
      <c r="L2031">
        <v>283.7919</v>
      </c>
      <c r="M2031">
        <v>-0.99982269999999895</v>
      </c>
      <c r="N2031">
        <v>0</v>
      </c>
      <c r="O2031">
        <v>1.416041E-2</v>
      </c>
      <c r="P2031">
        <v>-0.9992993</v>
      </c>
      <c r="Q2031">
        <v>1.9684730000000001E-2</v>
      </c>
      <c r="R2031">
        <v>3.1841439999999999E-2</v>
      </c>
      <c r="S2031">
        <v>-2.9991150000000002</v>
      </c>
      <c r="T2031">
        <v>-2.6105050000000001E-2</v>
      </c>
      <c r="U2031">
        <v>0.1109314</v>
      </c>
      <c r="V2031">
        <v>1.7707560000000001E-2</v>
      </c>
      <c r="W2031">
        <v>3.209356E-2</v>
      </c>
      <c r="X2031">
        <v>0.99932799999999999</v>
      </c>
      <c r="Y2031">
        <v>2.280691E-2</v>
      </c>
      <c r="Z2031" s="1">
        <v>-2.3986890000000002E-5</v>
      </c>
      <c r="AA2031">
        <v>0.99973990000000001</v>
      </c>
      <c r="AB2031">
        <v>29</v>
      </c>
      <c r="AC2031">
        <v>-127.33969999999999</v>
      </c>
      <c r="AD2031">
        <v>-1.1097229379019999</v>
      </c>
      <c r="AE2031">
        <v>4.7133000000000003</v>
      </c>
      <c r="AF2031">
        <v>2.9092854413738198</v>
      </c>
      <c r="AG2031">
        <v>-1.1097229379019999</v>
      </c>
      <c r="AH2031">
        <v>127.38401689916699</v>
      </c>
      <c r="AI2031">
        <v>90.498997120326095</v>
      </c>
      <c r="AJ2031">
        <v>88.691666284592102</v>
      </c>
      <c r="AK2031">
        <v>127.422067116123</v>
      </c>
      <c r="AL2031">
        <v>88.160858657433195</v>
      </c>
      <c r="AM2031">
        <v>88.984855534019403</v>
      </c>
      <c r="AN2031">
        <v>1.0000000029293099</v>
      </c>
    </row>
    <row r="2032" spans="1:40" x14ac:dyDescent="0.25">
      <c r="A2032" t="str">
        <f>"20190312160335186"</f>
        <v>20190312160335186</v>
      </c>
      <c r="B2032" t="str">
        <f>"1552377815176718"</f>
        <v>1552377815176718</v>
      </c>
      <c r="C2032" t="s">
        <v>40</v>
      </c>
      <c r="D2032">
        <v>4.8872879999999999</v>
      </c>
      <c r="E2032">
        <v>0.50253040000000004</v>
      </c>
      <c r="F2032" t="s">
        <v>79</v>
      </c>
      <c r="G2032">
        <v>-438.4753</v>
      </c>
      <c r="H2032" s="1">
        <v>5.63672299999999E-6</v>
      </c>
      <c r="I2032">
        <v>288.49079999999998</v>
      </c>
      <c r="J2032">
        <v>-312.25720000000001</v>
      </c>
      <c r="K2032">
        <v>1.109745</v>
      </c>
      <c r="L2032">
        <v>283.7944</v>
      </c>
      <c r="M2032">
        <v>-0.9998205</v>
      </c>
      <c r="N2032">
        <v>0</v>
      </c>
      <c r="O2032">
        <v>1.431034E-2</v>
      </c>
      <c r="P2032">
        <v>-0.999305</v>
      </c>
      <c r="Q2032">
        <v>1.9846519999999999E-2</v>
      </c>
      <c r="R2032">
        <v>3.1558450000000002E-2</v>
      </c>
      <c r="S2032">
        <v>-2.9990839999999999</v>
      </c>
      <c r="T2032">
        <v>-2.6335000000000001E-2</v>
      </c>
      <c r="U2032">
        <v>0.1115112</v>
      </c>
      <c r="V2032">
        <v>1.7273670000000001E-2</v>
      </c>
      <c r="W2032">
        <v>3.2256550000000002E-2</v>
      </c>
      <c r="X2032">
        <v>0.9993303</v>
      </c>
      <c r="Y2032">
        <v>2.28504E-2</v>
      </c>
      <c r="Z2032" s="1">
        <v>-2.5323340000000001E-5</v>
      </c>
      <c r="AA2032">
        <v>0.99973889999999999</v>
      </c>
      <c r="AB2032">
        <v>29</v>
      </c>
      <c r="AC2032">
        <v>-126.21810000000001</v>
      </c>
      <c r="AD2032">
        <v>-1.1097393632770001</v>
      </c>
      <c r="AE2032">
        <v>4.6963999999999801</v>
      </c>
      <c r="AF2032">
        <v>2.8893327918067602</v>
      </c>
      <c r="AG2032">
        <v>-1.1097393632770001</v>
      </c>
      <c r="AH2032">
        <v>126.262638729188</v>
      </c>
      <c r="AI2032">
        <v>90.503435579035994</v>
      </c>
      <c r="AJ2032">
        <v>88.689100046696396</v>
      </c>
      <c r="AK2032">
        <v>126.300568899327</v>
      </c>
      <c r="AL2032">
        <v>88.151515095075098</v>
      </c>
      <c r="AM2032">
        <v>89.009726977055607</v>
      </c>
      <c r="AN2032">
        <v>0.99999995659562901</v>
      </c>
    </row>
    <row r="2033" spans="1:40" x14ac:dyDescent="0.25">
      <c r="A2033" t="str">
        <f>"20190312160335198"</f>
        <v>20190312160335198</v>
      </c>
      <c r="B2033" t="str">
        <f>"1552377815186480"</f>
        <v>1552377815186480</v>
      </c>
      <c r="C2033" t="s">
        <v>40</v>
      </c>
      <c r="D2033">
        <v>4.8941929999999996</v>
      </c>
      <c r="E2033">
        <v>0.50257499999999999</v>
      </c>
      <c r="F2033" t="s">
        <v>70</v>
      </c>
      <c r="G2033">
        <v>-440.54570000000001</v>
      </c>
      <c r="H2033" s="1">
        <v>-1.4181180000000001E-6</v>
      </c>
      <c r="I2033">
        <v>288.54480000000001</v>
      </c>
      <c r="J2033">
        <v>-312.39690000000002</v>
      </c>
      <c r="K2033">
        <v>1.109758</v>
      </c>
      <c r="L2033">
        <v>283.79649999999998</v>
      </c>
      <c r="M2033">
        <v>-0.99981869999999995</v>
      </c>
      <c r="N2033">
        <v>0</v>
      </c>
      <c r="O2033">
        <v>1.4428299999999899E-2</v>
      </c>
      <c r="P2033">
        <v>-0.99930200000000002</v>
      </c>
      <c r="Q2033">
        <v>1.9927050000000002E-2</v>
      </c>
      <c r="R2033">
        <v>3.1600669999999997E-2</v>
      </c>
      <c r="S2033">
        <v>-2.9990839999999999</v>
      </c>
      <c r="T2033">
        <v>-2.5943279999999999E-2</v>
      </c>
      <c r="U2033">
        <v>0.1110535</v>
      </c>
      <c r="V2033">
        <v>1.7197110000000002E-2</v>
      </c>
      <c r="W2033">
        <v>3.2337579999999998E-2</v>
      </c>
      <c r="X2033">
        <v>0.99932900000000002</v>
      </c>
      <c r="Y2033">
        <v>2.2580079999999999E-2</v>
      </c>
      <c r="Z2033" s="1">
        <v>-2.7135419999999999E-5</v>
      </c>
      <c r="AA2033">
        <v>0.99974499999999999</v>
      </c>
      <c r="AB2033">
        <v>29</v>
      </c>
      <c r="AC2033">
        <v>-128.14879999999999</v>
      </c>
      <c r="AD2033">
        <v>-1.1097594181179999</v>
      </c>
      <c r="AE2033">
        <v>4.7483000000000199</v>
      </c>
      <c r="AF2033">
        <v>2.89847650596551</v>
      </c>
      <c r="AG2033">
        <v>-1.1097594181179999</v>
      </c>
      <c r="AH2033">
        <v>128.194373016198</v>
      </c>
      <c r="AI2033">
        <v>90.495861838400103</v>
      </c>
      <c r="AJ2033">
        <v>88.704762334975797</v>
      </c>
      <c r="AK2033">
        <v>128.231938318961</v>
      </c>
      <c r="AL2033">
        <v>88.146869991534899</v>
      </c>
      <c r="AM2033">
        <v>89.014113894026195</v>
      </c>
      <c r="AN2033">
        <v>0.99999995495680305</v>
      </c>
    </row>
    <row r="2034" spans="1:40" x14ac:dyDescent="0.25">
      <c r="A2034" t="str">
        <f>"20190312160335209"</f>
        <v>20190312160335209</v>
      </c>
      <c r="B2034" t="str">
        <f>"1552377815206974"</f>
        <v>1552377815206974</v>
      </c>
      <c r="C2034" t="s">
        <v>40</v>
      </c>
      <c r="D2034">
        <v>4.8344620000000003</v>
      </c>
      <c r="E2034">
        <v>0.50259809999999905</v>
      </c>
      <c r="F2034" t="s">
        <v>70</v>
      </c>
      <c r="G2034">
        <v>-442.19749999999999</v>
      </c>
      <c r="H2034" s="1">
        <v>-5.4238589999999998E-7</v>
      </c>
      <c r="I2034">
        <v>288.62009999999998</v>
      </c>
      <c r="J2034">
        <v>-312.55700000000002</v>
      </c>
      <c r="K2034">
        <v>1.1097680000000001</v>
      </c>
      <c r="L2034">
        <v>283.79899999999998</v>
      </c>
      <c r="M2034">
        <v>-0.99981690000000001</v>
      </c>
      <c r="N2034">
        <v>0</v>
      </c>
      <c r="O2034">
        <v>1.4559819999999999E-2</v>
      </c>
      <c r="P2034">
        <v>-0.99930129999999995</v>
      </c>
      <c r="Q2034">
        <v>2.0106990000000002E-2</v>
      </c>
      <c r="R2034">
        <v>3.1512610000000003E-2</v>
      </c>
      <c r="S2034">
        <v>-2.9990839999999999</v>
      </c>
      <c r="T2034">
        <v>-2.5641319999999999E-2</v>
      </c>
      <c r="U2034">
        <v>0.1114502</v>
      </c>
      <c r="V2034">
        <v>1.6976580000000002E-2</v>
      </c>
      <c r="W2034">
        <v>3.251772E-2</v>
      </c>
      <c r="X2034">
        <v>0.99932690000000002</v>
      </c>
      <c r="Y2034">
        <v>2.2580639999999999E-2</v>
      </c>
      <c r="Z2034" s="1">
        <v>-2.794107E-5</v>
      </c>
      <c r="AA2034">
        <v>0.99974499999999999</v>
      </c>
      <c r="AB2034">
        <v>29</v>
      </c>
      <c r="AC2034">
        <v>-129.64049999999901</v>
      </c>
      <c r="AD2034">
        <v>-1.1097685423858901</v>
      </c>
      <c r="AE2034">
        <v>4.82109999999994</v>
      </c>
      <c r="AF2034">
        <v>2.9326864057161699</v>
      </c>
      <c r="AG2034">
        <v>-1.1097685423858901</v>
      </c>
      <c r="AH2034">
        <v>129.68746544605099</v>
      </c>
      <c r="AI2034">
        <v>90.490157249997495</v>
      </c>
      <c r="AJ2034">
        <v>88.704563159116802</v>
      </c>
      <c r="AK2034">
        <v>129.72536733265599</v>
      </c>
      <c r="AL2034">
        <v>88.1365432513374</v>
      </c>
      <c r="AM2034">
        <v>89.026752076101602</v>
      </c>
      <c r="AN2034">
        <v>0.99999992972304996</v>
      </c>
    </row>
    <row r="2035" spans="1:40" x14ac:dyDescent="0.25">
      <c r="A2035" t="str">
        <f>"20190312160335221"</f>
        <v>20190312160335221</v>
      </c>
      <c r="B2035" t="str">
        <f>"1552377815216733"</f>
        <v>1552377815216733</v>
      </c>
      <c r="C2035" t="s">
        <v>40</v>
      </c>
      <c r="D2035">
        <v>4.8461619999999996</v>
      </c>
      <c r="E2035">
        <v>0.50260669999999996</v>
      </c>
      <c r="F2035" t="s">
        <v>79</v>
      </c>
      <c r="G2035">
        <v>-430.6807</v>
      </c>
      <c r="H2035" s="1">
        <v>2.2067800000000001E-6</v>
      </c>
      <c r="I2035">
        <v>288.18599999999998</v>
      </c>
      <c r="J2035">
        <v>-312.71800000000002</v>
      </c>
      <c r="K2035">
        <v>1.1097809999999999</v>
      </c>
      <c r="L2035">
        <v>283.80149999999998</v>
      </c>
      <c r="M2035">
        <v>-0.99981500000000001</v>
      </c>
      <c r="N2035">
        <v>0</v>
      </c>
      <c r="O2035">
        <v>1.46813E-2</v>
      </c>
      <c r="P2035">
        <v>-0.99929639999999997</v>
      </c>
      <c r="Q2035">
        <v>2.010147E-2</v>
      </c>
      <c r="R2035">
        <v>3.1666699999999999E-2</v>
      </c>
      <c r="S2035">
        <v>-2.9992070000000002</v>
      </c>
      <c r="T2035">
        <v>-2.8177379999999998E-2</v>
      </c>
      <c r="U2035">
        <v>0.11138919999999999</v>
      </c>
      <c r="V2035">
        <v>1.7008229999999999E-2</v>
      </c>
      <c r="W2035">
        <v>3.2512480000000003E-2</v>
      </c>
      <c r="X2035">
        <v>0.99932659999999995</v>
      </c>
      <c r="Y2035">
        <v>2.24373E-2</v>
      </c>
      <c r="Z2035" s="1">
        <v>-3.2517000000000001E-5</v>
      </c>
      <c r="AA2035">
        <v>0.99974819999999998</v>
      </c>
      <c r="AB2035">
        <v>29</v>
      </c>
      <c r="AC2035">
        <v>-117.962699999999</v>
      </c>
      <c r="AD2035">
        <v>-1.1097787932199901</v>
      </c>
      <c r="AE2035">
        <v>4.3845000000000001</v>
      </c>
      <c r="AF2035">
        <v>2.65181347601676</v>
      </c>
      <c r="AG2035">
        <v>-1.1097787932199901</v>
      </c>
      <c r="AH2035">
        <v>118.0039297033</v>
      </c>
      <c r="AI2035">
        <v>90.538691539575296</v>
      </c>
      <c r="AJ2035">
        <v>88.712651755905995</v>
      </c>
      <c r="AK2035">
        <v>118.03893912223501</v>
      </c>
      <c r="AL2035">
        <v>88.136843766129701</v>
      </c>
      <c r="AM2035">
        <v>89.024937675106401</v>
      </c>
      <c r="AN2035">
        <v>0.99999999735552103</v>
      </c>
    </row>
    <row r="2036" spans="1:40" x14ac:dyDescent="0.25">
      <c r="A2036" t="str">
        <f>"20190312160335233"</f>
        <v>20190312160335233</v>
      </c>
      <c r="B2036" t="str">
        <f>"1552377815226494"</f>
        <v>1552377815226494</v>
      </c>
      <c r="C2036" t="s">
        <v>40</v>
      </c>
      <c r="D2036">
        <v>4.8347239999999996</v>
      </c>
      <c r="E2036">
        <v>0.50265230000000005</v>
      </c>
      <c r="F2036" t="s">
        <v>79</v>
      </c>
      <c r="G2036">
        <v>-431.19529999999997</v>
      </c>
      <c r="H2036" s="1">
        <v>2.432445E-6</v>
      </c>
      <c r="I2036">
        <v>288.21510000000001</v>
      </c>
      <c r="J2036">
        <v>-312.86689999999999</v>
      </c>
      <c r="K2036">
        <v>1.1097919999999999</v>
      </c>
      <c r="L2036">
        <v>283.80380000000002</v>
      </c>
      <c r="M2036">
        <v>-0.99981350000000002</v>
      </c>
      <c r="N2036">
        <v>0</v>
      </c>
      <c r="O2036">
        <v>1.478909E-2</v>
      </c>
      <c r="P2036">
        <v>-0.9992917</v>
      </c>
      <c r="Q2036">
        <v>2.0346570000000001E-2</v>
      </c>
      <c r="R2036">
        <v>3.166095E-2</v>
      </c>
      <c r="S2036">
        <v>-2.9991150000000002</v>
      </c>
      <c r="T2036">
        <v>-2.8092740000000001E-2</v>
      </c>
      <c r="U2036">
        <v>0.1117249</v>
      </c>
      <c r="V2036">
        <v>1.689419E-2</v>
      </c>
      <c r="W2036">
        <v>3.2757929999999998E-2</v>
      </c>
      <c r="X2036">
        <v>0.99932049999999994</v>
      </c>
      <c r="Y2036">
        <v>2.244239E-2</v>
      </c>
      <c r="Z2036" s="1">
        <v>-3.3405580000000003E-5</v>
      </c>
      <c r="AA2036">
        <v>0.99974810000000003</v>
      </c>
      <c r="AB2036">
        <v>29</v>
      </c>
      <c r="AC2036">
        <v>-118.3284</v>
      </c>
      <c r="AD2036">
        <v>-1.109789567555</v>
      </c>
      <c r="AE2036">
        <v>4.4112999999999802</v>
      </c>
      <c r="AF2036">
        <v>2.66047944748439</v>
      </c>
      <c r="AG2036">
        <v>-1.109789567555</v>
      </c>
      <c r="AH2036">
        <v>118.37030337934701</v>
      </c>
      <c r="AI2036">
        <v>90.537029476344102</v>
      </c>
      <c r="AJ2036">
        <v>88.712442402879603</v>
      </c>
      <c r="AK2036">
        <v>118.405398972738</v>
      </c>
      <c r="AL2036">
        <v>88.122772986833297</v>
      </c>
      <c r="AM2036">
        <v>89.031468297101796</v>
      </c>
      <c r="AN2036">
        <v>0.99999997867694501</v>
      </c>
    </row>
    <row r="2037" spans="1:40" x14ac:dyDescent="0.25">
      <c r="A2037" t="str">
        <f>"20190312160335245"</f>
        <v>20190312160335245</v>
      </c>
      <c r="B2037" t="str">
        <f>"1552377815236254"</f>
        <v>1552377815236254</v>
      </c>
      <c r="C2037" t="s">
        <v>40</v>
      </c>
      <c r="D2037">
        <v>4.8228910000000003</v>
      </c>
      <c r="E2037">
        <v>0.50269249999999999</v>
      </c>
      <c r="F2037" t="s">
        <v>79</v>
      </c>
      <c r="G2037">
        <v>-435.1454</v>
      </c>
      <c r="H2037" s="1">
        <v>4.1697289999999901E-6</v>
      </c>
      <c r="I2037">
        <v>288.3802</v>
      </c>
      <c r="J2037">
        <v>-313.02510000000001</v>
      </c>
      <c r="K2037">
        <v>1.1098049999999999</v>
      </c>
      <c r="L2037">
        <v>283.80630000000002</v>
      </c>
      <c r="M2037">
        <v>-0.99981189999999998</v>
      </c>
      <c r="N2037">
        <v>0</v>
      </c>
      <c r="O2037">
        <v>1.4899219999999999E-2</v>
      </c>
      <c r="P2037">
        <v>-0.99928519999999998</v>
      </c>
      <c r="Q2037">
        <v>2.061735E-2</v>
      </c>
      <c r="R2037">
        <v>3.1692520000000002E-2</v>
      </c>
      <c r="S2037">
        <v>-2.9991150000000002</v>
      </c>
      <c r="T2037">
        <v>-2.7219650000000001E-2</v>
      </c>
      <c r="U2037">
        <v>0.1122437</v>
      </c>
      <c r="V2037">
        <v>1.681502E-2</v>
      </c>
      <c r="W2037">
        <v>3.3029089999999997E-2</v>
      </c>
      <c r="X2037">
        <v>0.99931289999999995</v>
      </c>
      <c r="Y2037">
        <v>2.2505009999999999E-2</v>
      </c>
      <c r="Z2037" s="1">
        <v>-3.3082220000000001E-5</v>
      </c>
      <c r="AA2037">
        <v>0.99974669999999999</v>
      </c>
      <c r="AB2037">
        <v>29</v>
      </c>
      <c r="AC2037">
        <v>-122.1203</v>
      </c>
      <c r="AD2037">
        <v>-1.1098008302709901</v>
      </c>
      <c r="AE2037">
        <v>4.5738999999999796</v>
      </c>
      <c r="AF2037">
        <v>2.75352763700793</v>
      </c>
      <c r="AG2037">
        <v>-1.1098008302709901</v>
      </c>
      <c r="AH2037">
        <v>122.164820254376</v>
      </c>
      <c r="AI2037">
        <v>90.520354468416201</v>
      </c>
      <c r="AJ2037">
        <v>88.708803370562407</v>
      </c>
      <c r="AK2037">
        <v>122.200887394956</v>
      </c>
      <c r="AL2037">
        <v>88.107228232513606</v>
      </c>
      <c r="AM2037">
        <v>89.0359988674671</v>
      </c>
      <c r="AN2037">
        <v>0.999999968895118</v>
      </c>
    </row>
    <row r="2038" spans="1:40" x14ac:dyDescent="0.25">
      <c r="A2038" t="str">
        <f>"20190312160335257"</f>
        <v>20190312160335257</v>
      </c>
      <c r="B2038" t="str">
        <f>"1552377815246989"</f>
        <v>1552377815246989</v>
      </c>
      <c r="C2038" t="s">
        <v>40</v>
      </c>
      <c r="D2038">
        <v>4.8232989999999996</v>
      </c>
      <c r="E2038">
        <v>0.50271399999999999</v>
      </c>
      <c r="F2038" t="s">
        <v>79</v>
      </c>
      <c r="G2038">
        <v>-439.91469999999998</v>
      </c>
      <c r="H2038" s="1">
        <v>6.26816699999999E-6</v>
      </c>
      <c r="I2038">
        <v>288.5693</v>
      </c>
      <c r="J2038">
        <v>-313.18310000000002</v>
      </c>
      <c r="K2038">
        <v>1.109812</v>
      </c>
      <c r="L2038">
        <v>283.80880000000002</v>
      </c>
      <c r="M2038">
        <v>-0.99981030000000004</v>
      </c>
      <c r="N2038">
        <v>0</v>
      </c>
      <c r="O2038">
        <v>1.5004190000000001E-2</v>
      </c>
      <c r="P2038">
        <v>-0.99927540000000004</v>
      </c>
      <c r="Q2038">
        <v>2.0749920000000002E-2</v>
      </c>
      <c r="R2038">
        <v>3.1911559999999999E-2</v>
      </c>
      <c r="S2038">
        <v>-2.9991460000000001</v>
      </c>
      <c r="T2038">
        <v>-2.6231049999999999E-2</v>
      </c>
      <c r="U2038">
        <v>0.11257929999999999</v>
      </c>
      <c r="V2038">
        <v>1.6928680000000002E-2</v>
      </c>
      <c r="W2038">
        <v>3.3161589999999998E-2</v>
      </c>
      <c r="X2038">
        <v>0.99930660000000004</v>
      </c>
      <c r="Y2038">
        <v>2.2511429999999999E-2</v>
      </c>
      <c r="Z2038" s="1">
        <v>-3.2769820000000001E-5</v>
      </c>
      <c r="AA2038">
        <v>0.99974660000000004</v>
      </c>
      <c r="AB2038">
        <v>29</v>
      </c>
      <c r="AC2038">
        <v>-126.73159999999901</v>
      </c>
      <c r="AD2038">
        <v>-1.1098057318329999</v>
      </c>
      <c r="AE2038">
        <v>4.7604999999999702</v>
      </c>
      <c r="AF2038">
        <v>2.8580934958959099</v>
      </c>
      <c r="AG2038">
        <v>-1.1098057318329999</v>
      </c>
      <c r="AH2038">
        <v>126.77905602182901</v>
      </c>
      <c r="AI2038">
        <v>90.5014188571988</v>
      </c>
      <c r="AJ2038">
        <v>88.708548821088897</v>
      </c>
      <c r="AK2038">
        <v>126.816124420279</v>
      </c>
      <c r="AL2038">
        <v>88.099632394037499</v>
      </c>
      <c r="AM2038">
        <v>89.029477891282497</v>
      </c>
      <c r="AN2038">
        <v>0.999999976030715</v>
      </c>
    </row>
    <row r="2039" spans="1:40" x14ac:dyDescent="0.25">
      <c r="A2039" t="str">
        <f>"20190312160335275"</f>
        <v>20190312160335275</v>
      </c>
      <c r="B2039" t="str">
        <f>"1552377815266509"</f>
        <v>1552377815266509</v>
      </c>
      <c r="C2039" t="s">
        <v>40</v>
      </c>
      <c r="D2039">
        <v>4.8145519999999999</v>
      </c>
      <c r="E2039">
        <v>0.50276390000000004</v>
      </c>
      <c r="F2039" t="s">
        <v>70</v>
      </c>
      <c r="G2039">
        <v>-442.96280000000002</v>
      </c>
      <c r="H2039" s="1">
        <v>-1.397056E-7</v>
      </c>
      <c r="I2039">
        <v>288.72410000000002</v>
      </c>
      <c r="J2039">
        <v>-313.40910000000002</v>
      </c>
      <c r="K2039">
        <v>1.109826</v>
      </c>
      <c r="L2039">
        <v>283.81229999999999</v>
      </c>
      <c r="M2039">
        <v>-0.99980800000000003</v>
      </c>
      <c r="N2039">
        <v>0</v>
      </c>
      <c r="O2039">
        <v>1.514923E-2</v>
      </c>
      <c r="P2039">
        <v>-0.99926079999999995</v>
      </c>
      <c r="Q2039">
        <v>2.0727349999999999E-2</v>
      </c>
      <c r="R2039">
        <v>3.237396E-2</v>
      </c>
      <c r="S2039">
        <v>-2.9990540000000001</v>
      </c>
      <c r="T2039">
        <v>-2.5646450000000001E-2</v>
      </c>
      <c r="U2039">
        <v>0.1135864</v>
      </c>
      <c r="V2039">
        <v>1.724531E-2</v>
      </c>
      <c r="W2039">
        <v>3.3138710000000002E-2</v>
      </c>
      <c r="X2039">
        <v>0.99930200000000002</v>
      </c>
      <c r="Y2039">
        <v>2.2702779999999999E-2</v>
      </c>
      <c r="Z2039" s="1">
        <v>-3.2462059999999999E-5</v>
      </c>
      <c r="AA2039">
        <v>0.99974229999999997</v>
      </c>
      <c r="AB2039">
        <v>29</v>
      </c>
      <c r="AC2039">
        <v>-129.55369999999999</v>
      </c>
      <c r="AD2039">
        <v>-1.1098261397056</v>
      </c>
      <c r="AE2039">
        <v>4.9118000000000199</v>
      </c>
      <c r="AF2039">
        <v>2.9482298120938601</v>
      </c>
      <c r="AG2039">
        <v>-1.1098261397056</v>
      </c>
      <c r="AH2039">
        <v>129.60374896791501</v>
      </c>
      <c r="AI2039">
        <v>90.490497806216695</v>
      </c>
      <c r="AJ2039">
        <v>88.696858707463306</v>
      </c>
      <c r="AK2039">
        <v>129.64202836898099</v>
      </c>
      <c r="AL2039">
        <v>88.100944146857202</v>
      </c>
      <c r="AM2039">
        <v>89.011324496709804</v>
      </c>
      <c r="AN2039">
        <v>1.00000003101072</v>
      </c>
    </row>
    <row r="2040" spans="1:40" x14ac:dyDescent="0.25">
      <c r="A2040" t="str">
        <f>"20190312160335295"</f>
        <v>20190312160335295</v>
      </c>
      <c r="B2040" t="str">
        <f>"1552377815287005"</f>
        <v>1552377815287005</v>
      </c>
      <c r="C2040" t="s">
        <v>40</v>
      </c>
      <c r="D2040">
        <v>4.7794509999999999</v>
      </c>
      <c r="E2040">
        <v>0.5027914</v>
      </c>
      <c r="F2040" t="s">
        <v>79</v>
      </c>
      <c r="G2040">
        <v>-436.72239999999999</v>
      </c>
      <c r="H2040" s="1">
        <v>4.8537970000000001E-6</v>
      </c>
      <c r="I2040">
        <v>288.55430000000001</v>
      </c>
      <c r="J2040">
        <v>-313.68509999999998</v>
      </c>
      <c r="K2040">
        <v>1.109837</v>
      </c>
      <c r="L2040">
        <v>283.8168</v>
      </c>
      <c r="M2040">
        <v>-0.99980550000000001</v>
      </c>
      <c r="N2040">
        <v>0</v>
      </c>
      <c r="O2040">
        <v>1.5318399999999999E-2</v>
      </c>
      <c r="P2040">
        <v>-0.99925620000000004</v>
      </c>
      <c r="Q2040">
        <v>2.058931E-2</v>
      </c>
      <c r="R2040">
        <v>3.2606290000000003E-2</v>
      </c>
      <c r="S2040">
        <v>-2.9990230000000002</v>
      </c>
      <c r="T2040">
        <v>-2.6991250000000001E-2</v>
      </c>
      <c r="U2040">
        <v>0.1153259</v>
      </c>
      <c r="V2040">
        <v>1.730771E-2</v>
      </c>
      <c r="W2040">
        <v>3.3000979999999999E-2</v>
      </c>
      <c r="X2040">
        <v>0.99930540000000001</v>
      </c>
      <c r="Y2040">
        <v>2.3113000000000002E-2</v>
      </c>
      <c r="Z2040" s="1">
        <v>-3.384046E-5</v>
      </c>
      <c r="AA2040">
        <v>0.99973290000000004</v>
      </c>
      <c r="AB2040">
        <v>29</v>
      </c>
      <c r="AC2040">
        <v>-123.0373</v>
      </c>
      <c r="AD2040">
        <v>-1.1098321462029901</v>
      </c>
      <c r="AE2040">
        <v>4.7375000000000096</v>
      </c>
      <c r="AF2040">
        <v>2.8518323400642598</v>
      </c>
      <c r="AG2040">
        <v>-1.1098321462029901</v>
      </c>
      <c r="AH2040">
        <v>123.085437787099</v>
      </c>
      <c r="AI2040">
        <v>90.516469828240503</v>
      </c>
      <c r="AJ2040">
        <v>88.672720912519196</v>
      </c>
      <c r="AK2040">
        <v>123.123473271064</v>
      </c>
      <c r="AL2040">
        <v>88.108839663420596</v>
      </c>
      <c r="AM2040">
        <v>89.007751187177504</v>
      </c>
      <c r="AN2040">
        <v>0.99999995198778102</v>
      </c>
    </row>
    <row r="2041" spans="1:40" x14ac:dyDescent="0.25">
      <c r="A2041" t="str">
        <f>"20190312160335309"</f>
        <v>20190312160335309</v>
      </c>
      <c r="B2041" t="str">
        <f>"1552377815296766"</f>
        <v>1552377815296766</v>
      </c>
      <c r="C2041" t="s">
        <v>40</v>
      </c>
      <c r="D2041">
        <v>4.8352269999999997</v>
      </c>
      <c r="E2041">
        <v>0.50276860000000001</v>
      </c>
      <c r="F2041" t="s">
        <v>79</v>
      </c>
      <c r="G2041">
        <v>-435.83569999999997</v>
      </c>
      <c r="H2041" s="1">
        <v>4.460978E-6</v>
      </c>
      <c r="I2041">
        <v>288.55009999999999</v>
      </c>
      <c r="J2041">
        <v>-313.85939999999999</v>
      </c>
      <c r="K2041">
        <v>1.109839</v>
      </c>
      <c r="L2041">
        <v>283.81959999999998</v>
      </c>
      <c r="M2041">
        <v>-0.99980389999999997</v>
      </c>
      <c r="N2041">
        <v>0</v>
      </c>
      <c r="O2041">
        <v>1.5422140000000001E-2</v>
      </c>
      <c r="P2041">
        <v>-0.99925569999999997</v>
      </c>
      <c r="Q2041">
        <v>2.020858E-2</v>
      </c>
      <c r="R2041">
        <v>3.2862450000000001E-2</v>
      </c>
      <c r="S2041">
        <v>-2.998993</v>
      </c>
      <c r="T2041">
        <v>-2.7248140000000001E-2</v>
      </c>
      <c r="U2041">
        <v>0.11621090000000001</v>
      </c>
      <c r="V2041">
        <v>1.7459470000000001E-2</v>
      </c>
      <c r="W2041">
        <v>3.262019E-2</v>
      </c>
      <c r="X2041">
        <v>0.99931530000000002</v>
      </c>
      <c r="Y2041">
        <v>2.3304229999999999E-2</v>
      </c>
      <c r="Z2041" s="1">
        <v>-3.423616E-5</v>
      </c>
      <c r="AA2041">
        <v>0.99972839999999996</v>
      </c>
      <c r="AB2041">
        <v>29</v>
      </c>
      <c r="AC2041">
        <v>-121.976299999999</v>
      </c>
      <c r="AD2041">
        <v>-1.1098345390219999</v>
      </c>
      <c r="AE2041">
        <v>4.7305000000000001</v>
      </c>
      <c r="AF2041">
        <v>2.8484211233188699</v>
      </c>
      <c r="AG2041">
        <v>-1.1098345390219999</v>
      </c>
      <c r="AH2041">
        <v>122.02466442920399</v>
      </c>
      <c r="AI2041">
        <v>90.520958331706893</v>
      </c>
      <c r="AJ2041">
        <v>88.662787754206605</v>
      </c>
      <c r="AK2041">
        <v>122.06295082726599</v>
      </c>
      <c r="AL2041">
        <v>88.130669147574494</v>
      </c>
      <c r="AM2041">
        <v>88.999062482242095</v>
      </c>
      <c r="AN2041">
        <v>0.99999998935120304</v>
      </c>
    </row>
    <row r="2042" spans="1:40" x14ac:dyDescent="0.25">
      <c r="A2042" t="str">
        <f>"20190312160335321"</f>
        <v>20190312160335321</v>
      </c>
      <c r="B2042" t="str">
        <f>"1552377815316286"</f>
        <v>1552377815316286</v>
      </c>
      <c r="C2042" t="s">
        <v>40</v>
      </c>
      <c r="D2042">
        <v>4.8034970000000001</v>
      </c>
      <c r="E2042">
        <v>0.50286220000000004</v>
      </c>
      <c r="F2042" t="s">
        <v>79</v>
      </c>
      <c r="G2042">
        <v>-431.6782</v>
      </c>
      <c r="H2042" s="1">
        <v>2.6295060000000001E-6</v>
      </c>
      <c r="I2042">
        <v>288.41019999999997</v>
      </c>
      <c r="J2042">
        <v>-314.01670000000001</v>
      </c>
      <c r="K2042">
        <v>1.1098440000000001</v>
      </c>
      <c r="L2042">
        <v>283.82209999999998</v>
      </c>
      <c r="M2042">
        <v>-0.99980259999999999</v>
      </c>
      <c r="N2042">
        <v>0</v>
      </c>
      <c r="O2042">
        <v>1.55129E-2</v>
      </c>
      <c r="P2042">
        <v>-0.99925989999999998</v>
      </c>
      <c r="Q2042">
        <v>2.0058909999999999E-2</v>
      </c>
      <c r="R2042">
        <v>3.282769E-2</v>
      </c>
      <c r="S2042">
        <v>-2.998993</v>
      </c>
      <c r="T2042">
        <v>-2.82501E-2</v>
      </c>
      <c r="U2042">
        <v>0.11685180000000001</v>
      </c>
      <c r="V2042">
        <v>1.733347E-2</v>
      </c>
      <c r="W2042">
        <v>3.2471020000000003E-2</v>
      </c>
      <c r="X2042">
        <v>0.99932240000000006</v>
      </c>
      <c r="Y2042">
        <v>2.342677E-2</v>
      </c>
      <c r="Z2042" s="1">
        <v>-3.5772290000000002E-5</v>
      </c>
      <c r="AA2042">
        <v>0.99972559999999999</v>
      </c>
      <c r="AB2042">
        <v>29</v>
      </c>
      <c r="AC2042">
        <v>-117.6615</v>
      </c>
      <c r="AD2042">
        <v>-1.109841370494</v>
      </c>
      <c r="AE2042">
        <v>4.5880999999999901</v>
      </c>
      <c r="AF2042">
        <v>2.76189071394302</v>
      </c>
      <c r="AG2042">
        <v>-1.109841370494</v>
      </c>
      <c r="AH2042">
        <v>117.708062748665</v>
      </c>
      <c r="AI2042">
        <v>90.540063652252201</v>
      </c>
      <c r="AJ2042">
        <v>88.655863952814201</v>
      </c>
      <c r="AK2042">
        <v>117.745691319161</v>
      </c>
      <c r="AL2042">
        <v>88.1392205792216</v>
      </c>
      <c r="AM2042">
        <v>89.006291566969594</v>
      </c>
      <c r="AN2042">
        <v>1.00000003773192</v>
      </c>
    </row>
    <row r="2043" spans="1:40" x14ac:dyDescent="0.25">
      <c r="A2043" t="str">
        <f>"20190312160335332"</f>
        <v>20190312160335332</v>
      </c>
      <c r="B2043" t="str">
        <f>"1552377815327023"</f>
        <v>1552377815327023</v>
      </c>
      <c r="C2043" t="s">
        <v>40</v>
      </c>
      <c r="D2043">
        <v>4.8135810000000001</v>
      </c>
      <c r="E2043">
        <v>0.50289969999999995</v>
      </c>
      <c r="F2043" t="s">
        <v>79</v>
      </c>
      <c r="G2043">
        <v>-430.63389999999998</v>
      </c>
      <c r="H2043" s="1">
        <v>2.168827E-6</v>
      </c>
      <c r="I2043">
        <v>288.38260000000002</v>
      </c>
      <c r="J2043">
        <v>-314.173</v>
      </c>
      <c r="K2043">
        <v>1.1098479999999999</v>
      </c>
      <c r="L2043">
        <v>283.82459999999998</v>
      </c>
      <c r="M2043">
        <v>-0.9998013</v>
      </c>
      <c r="N2043">
        <v>0</v>
      </c>
      <c r="O2043">
        <v>1.56005E-2</v>
      </c>
      <c r="P2043">
        <v>-0.99925790000000003</v>
      </c>
      <c r="Q2043">
        <v>1.993203E-2</v>
      </c>
      <c r="R2043">
        <v>3.296528E-2</v>
      </c>
      <c r="S2043">
        <v>-2.9989319999999999</v>
      </c>
      <c r="T2043">
        <v>-2.854073E-2</v>
      </c>
      <c r="U2043">
        <v>0.1172791</v>
      </c>
      <c r="V2043">
        <v>1.7382930000000001E-2</v>
      </c>
      <c r="W2043">
        <v>3.2343770000000001E-2</v>
      </c>
      <c r="X2043">
        <v>0.99932560000000004</v>
      </c>
      <c r="Y2043">
        <v>2.3482179999999998E-2</v>
      </c>
      <c r="Z2043" s="1">
        <v>-3.671059E-5</v>
      </c>
      <c r="AA2043">
        <v>0.99972430000000001</v>
      </c>
      <c r="AB2043">
        <v>29</v>
      </c>
      <c r="AC2043">
        <v>-116.460899999999</v>
      </c>
      <c r="AD2043">
        <v>-1.109845831173</v>
      </c>
      <c r="AE2043">
        <v>4.5580000000000496</v>
      </c>
      <c r="AF2043">
        <v>2.74020858189904</v>
      </c>
      <c r="AG2043">
        <v>-1.109845831173</v>
      </c>
      <c r="AH2043">
        <v>116.507273031506</v>
      </c>
      <c r="AI2043">
        <v>90.545630997230205</v>
      </c>
      <c r="AJ2043">
        <v>88.652672555038194</v>
      </c>
      <c r="AK2043">
        <v>116.544777532411</v>
      </c>
      <c r="AL2043">
        <v>88.146515173406797</v>
      </c>
      <c r="AM2043">
        <v>89.0034598419833</v>
      </c>
      <c r="AN2043">
        <v>0.999999970264278</v>
      </c>
    </row>
    <row r="2044" spans="1:40" x14ac:dyDescent="0.25">
      <c r="A2044" t="str">
        <f>"20190312160335345"</f>
        <v>20190312160335345</v>
      </c>
      <c r="B2044" t="str">
        <f>"1552377815336782"</f>
        <v>1552377815336782</v>
      </c>
      <c r="C2044" t="s">
        <v>40</v>
      </c>
      <c r="D2044">
        <v>4.7824720000000003</v>
      </c>
      <c r="E2044">
        <v>0.5028842</v>
      </c>
      <c r="F2044" t="s">
        <v>79</v>
      </c>
      <c r="G2044">
        <v>-429.38279999999997</v>
      </c>
      <c r="H2044" s="1">
        <v>1.973207E-6</v>
      </c>
      <c r="I2044">
        <v>288.35719999999998</v>
      </c>
      <c r="J2044">
        <v>-314.33859999999999</v>
      </c>
      <c r="K2044">
        <v>1.1098509999999999</v>
      </c>
      <c r="L2044">
        <v>283.82729999999998</v>
      </c>
      <c r="M2044">
        <v>-0.99979980000000002</v>
      </c>
      <c r="N2044">
        <v>0</v>
      </c>
      <c r="O2044">
        <v>1.5690240000000001E-2</v>
      </c>
      <c r="P2044">
        <v>-0.99926020000000004</v>
      </c>
      <c r="Q2044">
        <v>1.999604E-2</v>
      </c>
      <c r="R2044">
        <v>3.2856410000000003E-2</v>
      </c>
      <c r="S2044">
        <v>-2.998901</v>
      </c>
      <c r="T2044">
        <v>-2.888918E-2</v>
      </c>
      <c r="U2044">
        <v>0.117981</v>
      </c>
      <c r="V2044">
        <v>1.7184080000000001E-2</v>
      </c>
      <c r="W2044">
        <v>3.2408109999999997E-2</v>
      </c>
      <c r="X2044">
        <v>0.99932699999999997</v>
      </c>
      <c r="Y2044">
        <v>2.3626459999999998E-2</v>
      </c>
      <c r="Z2044" s="1">
        <v>-3.7328250000000003E-5</v>
      </c>
      <c r="AA2044">
        <v>0.99972090000000002</v>
      </c>
      <c r="AB2044">
        <v>29</v>
      </c>
      <c r="AC2044">
        <v>-115.0442</v>
      </c>
      <c r="AD2044">
        <v>-1.1098490267929999</v>
      </c>
      <c r="AE2044">
        <v>4.5298999999999898</v>
      </c>
      <c r="AF2044">
        <v>2.7238788994393102</v>
      </c>
      <c r="AG2044">
        <v>-1.1098490267929999</v>
      </c>
      <c r="AH2044">
        <v>115.090422038516</v>
      </c>
      <c r="AI2044">
        <v>90.552347385107794</v>
      </c>
      <c r="AJ2044">
        <v>88.644217024495902</v>
      </c>
      <c r="AK2044">
        <v>115.128000617247</v>
      </c>
      <c r="AL2044">
        <v>88.142826913430994</v>
      </c>
      <c r="AM2044">
        <v>89.014858767095802</v>
      </c>
      <c r="AN2044">
        <v>1.0000000155641</v>
      </c>
    </row>
    <row r="2045" spans="1:40" x14ac:dyDescent="0.25">
      <c r="A2045" t="str">
        <f>"20190312160335358"</f>
        <v>20190312160335358</v>
      </c>
      <c r="B2045" t="str">
        <f>"1552377815346543"</f>
        <v>1552377815346543</v>
      </c>
      <c r="C2045" t="s">
        <v>40</v>
      </c>
      <c r="D2045">
        <v>4.8153100000000002</v>
      </c>
      <c r="E2045">
        <v>0.50278559999999906</v>
      </c>
      <c r="F2045" t="s">
        <v>79</v>
      </c>
      <c r="G2045">
        <v>-430.74680000000001</v>
      </c>
      <c r="H2045" s="1">
        <v>2.217279E-6</v>
      </c>
      <c r="I2045">
        <v>288.40100000000001</v>
      </c>
      <c r="J2045">
        <v>-314.49770000000001</v>
      </c>
      <c r="K2045">
        <v>1.109856</v>
      </c>
      <c r="L2045">
        <v>283.83</v>
      </c>
      <c r="M2045">
        <v>-0.99979850000000003</v>
      </c>
      <c r="N2045">
        <v>0</v>
      </c>
      <c r="O2045">
        <v>1.5770920000000001E-2</v>
      </c>
      <c r="P2045">
        <v>-0.99925200000000003</v>
      </c>
      <c r="Q2045">
        <v>2.0237100000000001E-2</v>
      </c>
      <c r="R2045">
        <v>3.295356E-2</v>
      </c>
      <c r="S2045">
        <v>-2.9989620000000001</v>
      </c>
      <c r="T2045">
        <v>-2.8592469999999998E-2</v>
      </c>
      <c r="U2045">
        <v>0.1178284</v>
      </c>
      <c r="V2045">
        <v>1.7200010000000002E-2</v>
      </c>
      <c r="W2045">
        <v>3.2649270000000001E-2</v>
      </c>
      <c r="X2045">
        <v>0.99931879999999995</v>
      </c>
      <c r="Y2045">
        <v>2.3494210000000001E-2</v>
      </c>
      <c r="Z2045" s="1">
        <v>-3.834316E-5</v>
      </c>
      <c r="AA2045">
        <v>0.99972399999999995</v>
      </c>
      <c r="AB2045">
        <v>29</v>
      </c>
      <c r="AC2045">
        <v>-116.2491</v>
      </c>
      <c r="AD2045">
        <v>-1.109853782721</v>
      </c>
      <c r="AE2045">
        <v>4.5710000000000202</v>
      </c>
      <c r="AF2045">
        <v>2.73668570309672</v>
      </c>
      <c r="AG2045">
        <v>-1.109853782721</v>
      </c>
      <c r="AH2045">
        <v>116.29615053216099</v>
      </c>
      <c r="AI2045">
        <v>90.546625225137603</v>
      </c>
      <c r="AJ2045">
        <v>88.6519621981612</v>
      </c>
      <c r="AK2045">
        <v>116.333640245011</v>
      </c>
      <c r="AL2045">
        <v>88.129002005217799</v>
      </c>
      <c r="AM2045">
        <v>89.0139376113287</v>
      </c>
      <c r="AN2045">
        <v>0.99999993960448397</v>
      </c>
    </row>
    <row r="2046" spans="1:40" x14ac:dyDescent="0.25">
      <c r="A2046" t="str">
        <f>"20190312160335370"</f>
        <v>20190312160335370</v>
      </c>
      <c r="B2046" t="str">
        <f>"1552377815367039"</f>
        <v>1552377815367039</v>
      </c>
      <c r="C2046" t="s">
        <v>40</v>
      </c>
      <c r="D2046">
        <v>4.7956859999999999</v>
      </c>
      <c r="E2046">
        <v>0.50256970000000001</v>
      </c>
      <c r="F2046" t="s">
        <v>79</v>
      </c>
      <c r="G2046">
        <v>-434.03440000000001</v>
      </c>
      <c r="H2046" s="1">
        <v>3.6658149999999999E-6</v>
      </c>
      <c r="I2046">
        <v>288.50839999999999</v>
      </c>
      <c r="J2046">
        <v>-314.66649999999998</v>
      </c>
      <c r="K2046">
        <v>1.1098629999999901</v>
      </c>
      <c r="L2046">
        <v>283.83269999999999</v>
      </c>
      <c r="M2046">
        <v>-0.99979720000000005</v>
      </c>
      <c r="N2046">
        <v>0</v>
      </c>
      <c r="O2046">
        <v>1.5853269999999999E-2</v>
      </c>
      <c r="P2046">
        <v>-0.99925319999999995</v>
      </c>
      <c r="Q2046">
        <v>2.0364899999999998E-2</v>
      </c>
      <c r="R2046">
        <v>3.2838359999999997E-2</v>
      </c>
      <c r="S2046">
        <v>-2.9989319999999999</v>
      </c>
      <c r="T2046">
        <v>-2.7843949999999999E-2</v>
      </c>
      <c r="U2046">
        <v>0.11737060000000001</v>
      </c>
      <c r="V2046">
        <v>1.700229E-2</v>
      </c>
      <c r="W2046">
        <v>3.2776989999999999E-2</v>
      </c>
      <c r="X2046">
        <v>0.99931809999999999</v>
      </c>
      <c r="Y2046">
        <v>2.3259930000000002E-2</v>
      </c>
      <c r="Z2046" s="1">
        <v>-3.9191260000000003E-5</v>
      </c>
      <c r="AA2046">
        <v>0.99972950000000005</v>
      </c>
      <c r="AB2046">
        <v>29</v>
      </c>
      <c r="AC2046">
        <v>-119.36790000000001</v>
      </c>
      <c r="AD2046">
        <v>-1.1098593341849901</v>
      </c>
      <c r="AE2046">
        <v>4.6757</v>
      </c>
      <c r="AF2046">
        <v>2.7823546481120398</v>
      </c>
      <c r="AG2046">
        <v>-1.1098593341849901</v>
      </c>
      <c r="AH2046">
        <v>119.416719796533</v>
      </c>
      <c r="AI2046">
        <v>90.532347337128201</v>
      </c>
      <c r="AJ2046">
        <v>88.665276180885698</v>
      </c>
      <c r="AK2046">
        <v>119.45428519769899</v>
      </c>
      <c r="AL2046">
        <v>88.121680452024606</v>
      </c>
      <c r="AM2046">
        <v>89.025269853595503</v>
      </c>
      <c r="AN2046">
        <v>1.0000000369631501</v>
      </c>
    </row>
    <row r="2047" spans="1:40" x14ac:dyDescent="0.25">
      <c r="A2047" t="str">
        <f>"20190312160335385"</f>
        <v>20190312160335385</v>
      </c>
      <c r="B2047" t="str">
        <f>"1552377815376798"</f>
        <v>1552377815376798</v>
      </c>
      <c r="C2047" t="s">
        <v>40</v>
      </c>
      <c r="D2047">
        <v>4.8309519999999999</v>
      </c>
      <c r="E2047">
        <v>0.50245609999999996</v>
      </c>
      <c r="F2047" t="s">
        <v>79</v>
      </c>
      <c r="G2047">
        <v>-436.23200000000003</v>
      </c>
      <c r="H2047" s="1">
        <v>4.6408659999999901E-6</v>
      </c>
      <c r="I2047">
        <v>288.5025</v>
      </c>
      <c r="J2047">
        <v>-314.86540000000002</v>
      </c>
      <c r="K2047">
        <v>1.1098709999999901</v>
      </c>
      <c r="L2047">
        <v>283.83600000000001</v>
      </c>
      <c r="M2047">
        <v>-0.99979580000000001</v>
      </c>
      <c r="N2047">
        <v>0</v>
      </c>
      <c r="O2047">
        <v>1.59428E-2</v>
      </c>
      <c r="P2047">
        <v>-0.99925410000000003</v>
      </c>
      <c r="Q2047">
        <v>2.034474E-2</v>
      </c>
      <c r="R2047">
        <v>3.2824039999999999E-2</v>
      </c>
      <c r="S2047">
        <v>-2.9990230000000002</v>
      </c>
      <c r="T2047">
        <v>-2.7380229999999998E-2</v>
      </c>
      <c r="U2047">
        <v>0.1152039</v>
      </c>
      <c r="V2047">
        <v>1.689773E-2</v>
      </c>
      <c r="W2047">
        <v>3.2757439999999999E-2</v>
      </c>
      <c r="X2047">
        <v>0.99932049999999994</v>
      </c>
      <c r="Y2047">
        <v>2.2448059999999999E-2</v>
      </c>
      <c r="Z2047" s="1">
        <v>-4.3059719999999998E-5</v>
      </c>
      <c r="AA2047">
        <v>0.99974799999999997</v>
      </c>
      <c r="AB2047">
        <v>29</v>
      </c>
      <c r="AC2047">
        <v>-121.366599999999</v>
      </c>
      <c r="AD2047">
        <v>-1.1098663591339999</v>
      </c>
      <c r="AE2047">
        <v>4.6664999999999797</v>
      </c>
      <c r="AF2047">
        <v>2.73060619229171</v>
      </c>
      <c r="AG2047">
        <v>-1.1098663591339999</v>
      </c>
      <c r="AH2047">
        <v>121.41543686659099</v>
      </c>
      <c r="AI2047">
        <v>90.523597447057497</v>
      </c>
      <c r="AJ2047">
        <v>88.7116478345513</v>
      </c>
      <c r="AK2047">
        <v>121.451209639994</v>
      </c>
      <c r="AL2047">
        <v>88.122801159017499</v>
      </c>
      <c r="AM2047">
        <v>89.031265390130997</v>
      </c>
      <c r="AN2047">
        <v>1.00000002243737</v>
      </c>
    </row>
    <row r="2048" spans="1:40" x14ac:dyDescent="0.25">
      <c r="A2048" t="str">
        <f>"20190312160335400"</f>
        <v>20190312160335400</v>
      </c>
      <c r="B2048" t="str">
        <f>"1552377815396318"</f>
        <v>1552377815396318</v>
      </c>
      <c r="C2048" t="s">
        <v>40</v>
      </c>
      <c r="D2048">
        <v>4.7909129999999998</v>
      </c>
      <c r="E2048">
        <v>0.50224599999999997</v>
      </c>
      <c r="F2048" t="s">
        <v>79</v>
      </c>
      <c r="G2048">
        <v>-436.05829999999997</v>
      </c>
      <c r="H2048" s="1">
        <v>4.5685179999999996E-6</v>
      </c>
      <c r="I2048">
        <v>288.4495</v>
      </c>
      <c r="J2048">
        <v>-315.04730000000001</v>
      </c>
      <c r="K2048">
        <v>1.10988</v>
      </c>
      <c r="L2048">
        <v>283.839</v>
      </c>
      <c r="M2048">
        <v>-0.99979470000000004</v>
      </c>
      <c r="N2048">
        <v>0</v>
      </c>
      <c r="O2048">
        <v>1.6016599999999999E-2</v>
      </c>
      <c r="P2048">
        <v>-0.99925810000000004</v>
      </c>
      <c r="Q2048">
        <v>2.043501E-2</v>
      </c>
      <c r="R2048">
        <v>3.2648410000000003E-2</v>
      </c>
      <c r="S2048">
        <v>-2.9990540000000001</v>
      </c>
      <c r="T2048">
        <v>-2.7464869999999999E-2</v>
      </c>
      <c r="U2048">
        <v>0.1141663</v>
      </c>
      <c r="V2048">
        <v>1.6647729999999999E-2</v>
      </c>
      <c r="W2048">
        <v>3.2848000000000002E-2</v>
      </c>
      <c r="X2048">
        <v>0.99932169999999998</v>
      </c>
      <c r="Y2048">
        <v>2.2028499999999999E-2</v>
      </c>
      <c r="Z2048" s="1">
        <v>-4.5788609999999998E-5</v>
      </c>
      <c r="AA2048">
        <v>0.99975729999999996</v>
      </c>
      <c r="AB2048">
        <v>29</v>
      </c>
      <c r="AC2048">
        <v>-121.010999999999</v>
      </c>
      <c r="AD2048">
        <v>-1.1098754314820001</v>
      </c>
      <c r="AE2048">
        <v>4.6105</v>
      </c>
      <c r="AF2048">
        <v>2.6713500481455998</v>
      </c>
      <c r="AG2048">
        <v>-1.1098754314820001</v>
      </c>
      <c r="AH2048">
        <v>121.059156545883</v>
      </c>
      <c r="AI2048">
        <v>90.5251475639718</v>
      </c>
      <c r="AJ2048">
        <v>88.735888698550696</v>
      </c>
      <c r="AK2048">
        <v>121.09371295882301</v>
      </c>
      <c r="AL2048">
        <v>88.117609615481797</v>
      </c>
      <c r="AM2048">
        <v>89.045596183759997</v>
      </c>
      <c r="AN2048">
        <v>0.99999999905452097</v>
      </c>
    </row>
    <row r="2049" spans="1:40" x14ac:dyDescent="0.25">
      <c r="A2049" t="str">
        <f>"20190312160335411"</f>
        <v>20190312160335411</v>
      </c>
      <c r="B2049" t="str">
        <f>"1552377815406078"</f>
        <v>1552377815406078</v>
      </c>
      <c r="C2049" t="s">
        <v>40</v>
      </c>
      <c r="D2049">
        <v>4.8736249999999997</v>
      </c>
      <c r="E2049">
        <v>0.50217219999999996</v>
      </c>
      <c r="F2049" t="s">
        <v>79</v>
      </c>
      <c r="G2049">
        <v>-435.7002</v>
      </c>
      <c r="H2049" s="1">
        <v>4.4181829999999996E-6</v>
      </c>
      <c r="I2049">
        <v>288.35199999999998</v>
      </c>
      <c r="J2049">
        <v>-315.202</v>
      </c>
      <c r="K2049">
        <v>1.109891</v>
      </c>
      <c r="L2049">
        <v>283.8415</v>
      </c>
      <c r="M2049">
        <v>-0.9997935</v>
      </c>
      <c r="N2049">
        <v>0</v>
      </c>
      <c r="O2049">
        <v>1.6076050000000001E-2</v>
      </c>
      <c r="P2049">
        <v>-0.99924849999999998</v>
      </c>
      <c r="Q2049">
        <v>2.0942619999999999E-2</v>
      </c>
      <c r="R2049">
        <v>3.2613650000000001E-2</v>
      </c>
      <c r="S2049">
        <v>-2.9991150000000002</v>
      </c>
      <c r="T2049">
        <v>-2.758861E-2</v>
      </c>
      <c r="U2049">
        <v>0.11218259999999999</v>
      </c>
      <c r="V2049">
        <v>1.655332E-2</v>
      </c>
      <c r="W2049">
        <v>3.3355080000000002E-2</v>
      </c>
      <c r="X2049">
        <v>0.99930649999999999</v>
      </c>
      <c r="Y2049">
        <v>2.1307989999999999E-2</v>
      </c>
      <c r="Z2049" s="1">
        <v>-4.9854100000000001E-5</v>
      </c>
      <c r="AA2049">
        <v>0.99977300000000002</v>
      </c>
      <c r="AB2049">
        <v>29</v>
      </c>
      <c r="AC2049">
        <v>-120.4982</v>
      </c>
      <c r="AD2049">
        <v>-1.1098865818170001</v>
      </c>
      <c r="AE2049">
        <v>4.5105000000000297</v>
      </c>
      <c r="AF2049">
        <v>2.5724143243133799</v>
      </c>
      <c r="AG2049">
        <v>-1.1098865818170001</v>
      </c>
      <c r="AH2049">
        <v>120.544929858695</v>
      </c>
      <c r="AI2049">
        <v>90.527401249434604</v>
      </c>
      <c r="AJ2049">
        <v>88.777500496103997</v>
      </c>
      <c r="AK2049">
        <v>120.57748246798801</v>
      </c>
      <c r="AL2049">
        <v>88.088540195128402</v>
      </c>
      <c r="AM2049">
        <v>89.050993224555597</v>
      </c>
      <c r="AN2049">
        <v>1.0000000273535301</v>
      </c>
    </row>
    <row r="2050" spans="1:40" x14ac:dyDescent="0.25">
      <c r="A2050" t="str">
        <f>"20190312160335430"</f>
        <v>20190312160335430</v>
      </c>
      <c r="B2050" t="str">
        <f>"1552377815426574"</f>
        <v>1552377815426574</v>
      </c>
      <c r="C2050" t="s">
        <v>40</v>
      </c>
      <c r="D2050">
        <v>4.758318</v>
      </c>
      <c r="E2050">
        <v>0.50190279999999998</v>
      </c>
      <c r="F2050" t="s">
        <v>70</v>
      </c>
      <c r="G2050">
        <v>-442.59780000000001</v>
      </c>
      <c r="H2050" s="1">
        <v>-3.2726290000000002E-7</v>
      </c>
      <c r="I2050">
        <v>288.57170000000002</v>
      </c>
      <c r="J2050">
        <v>-315.44290000000001</v>
      </c>
      <c r="K2050">
        <v>1.109904</v>
      </c>
      <c r="L2050">
        <v>283.84550000000002</v>
      </c>
      <c r="M2050">
        <v>-0.99979229999999997</v>
      </c>
      <c r="N2050">
        <v>0</v>
      </c>
      <c r="O2050">
        <v>1.615869E-2</v>
      </c>
      <c r="P2050">
        <v>-0.99923300000000004</v>
      </c>
      <c r="Q2050">
        <v>2.1646849999999999E-2</v>
      </c>
      <c r="R2050">
        <v>3.2629329999999998E-2</v>
      </c>
      <c r="S2050">
        <v>-2.9991460000000001</v>
      </c>
      <c r="T2050">
        <v>-2.6129010000000001E-2</v>
      </c>
      <c r="U2050">
        <v>0.1113586</v>
      </c>
      <c r="V2050">
        <v>1.648587E-2</v>
      </c>
      <c r="W2050">
        <v>3.4059440000000003E-2</v>
      </c>
      <c r="X2050">
        <v>0.9992839</v>
      </c>
      <c r="Y2050">
        <v>2.0950730000000001E-2</v>
      </c>
      <c r="Z2050" s="1">
        <v>-4.9491730000000001E-5</v>
      </c>
      <c r="AA2050">
        <v>0.99978049999999996</v>
      </c>
      <c r="AB2050">
        <v>29</v>
      </c>
      <c r="AC2050">
        <v>-127.1549</v>
      </c>
      <c r="AD2050">
        <v>-1.1099043272628999</v>
      </c>
      <c r="AE2050">
        <v>4.7262000000000004</v>
      </c>
      <c r="AF2050">
        <v>2.6705645600533399</v>
      </c>
      <c r="AG2050">
        <v>-1.1099043272628999</v>
      </c>
      <c r="AH2050">
        <v>127.204992635152</v>
      </c>
      <c r="AI2050">
        <v>90.499801224939205</v>
      </c>
      <c r="AJ2050">
        <v>88.7972987484887</v>
      </c>
      <c r="AK2050">
        <v>127.23786368056599</v>
      </c>
      <c r="AL2050">
        <v>88.048160479651699</v>
      </c>
      <c r="AM2050">
        <v>89.054838078690395</v>
      </c>
      <c r="AN2050">
        <v>1.00000007108098</v>
      </c>
    </row>
    <row r="2051" spans="1:40" x14ac:dyDescent="0.25">
      <c r="A2051" t="str">
        <f>"20190312160335443"</f>
        <v>20190312160335443</v>
      </c>
      <c r="B2051" t="str">
        <f>"1552377815436341"</f>
        <v>1552377815436341</v>
      </c>
      <c r="C2051" t="s">
        <v>40</v>
      </c>
      <c r="D2051">
        <v>4.7610239999999999</v>
      </c>
      <c r="E2051">
        <v>0.50178329999999904</v>
      </c>
      <c r="F2051" t="s">
        <v>70</v>
      </c>
      <c r="G2051">
        <v>-456.09440000000001</v>
      </c>
      <c r="H2051" s="1">
        <v>1.5160819999999999E-6</v>
      </c>
      <c r="I2051">
        <v>288.96899999999999</v>
      </c>
      <c r="J2051">
        <v>-315.61399999999998</v>
      </c>
      <c r="K2051">
        <v>1.109915</v>
      </c>
      <c r="L2051">
        <v>283.84829999999999</v>
      </c>
      <c r="M2051">
        <v>-0.99979150000000006</v>
      </c>
      <c r="N2051">
        <v>0</v>
      </c>
      <c r="O2051">
        <v>1.6209600000000001E-2</v>
      </c>
      <c r="P2051">
        <v>-0.99923309999999999</v>
      </c>
      <c r="Q2051">
        <v>2.199154E-2</v>
      </c>
      <c r="R2051">
        <v>3.2399789999999998E-2</v>
      </c>
      <c r="S2051">
        <v>-2.9992369999999999</v>
      </c>
      <c r="T2051">
        <v>-2.366745E-2</v>
      </c>
      <c r="U2051">
        <v>0.1092529</v>
      </c>
      <c r="V2051">
        <v>1.6205130000000002E-2</v>
      </c>
      <c r="W2051">
        <v>3.4404459999999998E-2</v>
      </c>
      <c r="X2051">
        <v>0.99927659999999996</v>
      </c>
      <c r="Y2051">
        <v>2.019775E-2</v>
      </c>
      <c r="Z2051" s="1">
        <v>-4.8200159999999997E-5</v>
      </c>
      <c r="AA2051">
        <v>0.99979600000000002</v>
      </c>
      <c r="AB2051">
        <v>29</v>
      </c>
      <c r="AC2051">
        <v>-140.48039999999901</v>
      </c>
      <c r="AD2051">
        <v>-1.109913483918</v>
      </c>
      <c r="AE2051">
        <v>5.1206999999999896</v>
      </c>
      <c r="AF2051">
        <v>2.8425432265744202</v>
      </c>
      <c r="AG2051">
        <v>-1.109913483918</v>
      </c>
      <c r="AH2051">
        <v>140.53619005489401</v>
      </c>
      <c r="AI2051">
        <v>90.452403275073493</v>
      </c>
      <c r="AJ2051">
        <v>88.841269814769205</v>
      </c>
      <c r="AK2051">
        <v>140.56931626454701</v>
      </c>
      <c r="AL2051">
        <v>88.028380554743606</v>
      </c>
      <c r="AM2051">
        <v>89.070923731008605</v>
      </c>
      <c r="AN2051">
        <v>0.99999999820688401</v>
      </c>
    </row>
    <row r="2052" spans="1:40" x14ac:dyDescent="0.25">
      <c r="A2052" t="str">
        <f>"20190312160335464"</f>
        <v>20190312160335464</v>
      </c>
      <c r="B2052" t="str">
        <f>"1552377815456831"</f>
        <v>1552377815456831</v>
      </c>
      <c r="C2052" t="s">
        <v>40</v>
      </c>
      <c r="D2052">
        <v>4.8799060000000001</v>
      </c>
      <c r="E2052">
        <v>0.50168109999999999</v>
      </c>
      <c r="F2052" t="s">
        <v>70</v>
      </c>
      <c r="G2052">
        <v>-462.43060000000003</v>
      </c>
      <c r="H2052" s="1">
        <v>-4.4000420000000001E-7</v>
      </c>
      <c r="I2052">
        <v>289.11559999999997</v>
      </c>
      <c r="J2052">
        <v>-315.8922</v>
      </c>
      <c r="K2052">
        <v>1.109928</v>
      </c>
      <c r="L2052">
        <v>283.85289999999998</v>
      </c>
      <c r="M2052">
        <v>-0.99979039999999997</v>
      </c>
      <c r="N2052">
        <v>0</v>
      </c>
      <c r="O2052">
        <v>1.628346E-2</v>
      </c>
      <c r="P2052">
        <v>-0.99920819999999999</v>
      </c>
      <c r="Q2052">
        <v>2.2498819999999999E-2</v>
      </c>
      <c r="R2052">
        <v>3.2823890000000001E-2</v>
      </c>
      <c r="S2052">
        <v>-2.999298</v>
      </c>
      <c r="T2052">
        <v>-2.2674320000000001E-2</v>
      </c>
      <c r="U2052">
        <v>0.10760500000000001</v>
      </c>
      <c r="V2052">
        <v>1.6554909999999999E-2</v>
      </c>
      <c r="W2052">
        <v>3.4911039999999997E-2</v>
      </c>
      <c r="X2052">
        <v>0.99925330000000001</v>
      </c>
      <c r="Y2052">
        <v>1.9574560000000001E-2</v>
      </c>
      <c r="Z2052" s="1">
        <v>-4.9090259999999997E-5</v>
      </c>
      <c r="AA2052">
        <v>0.99980840000000004</v>
      </c>
      <c r="AB2052">
        <v>29</v>
      </c>
      <c r="AC2052">
        <v>-146.5384</v>
      </c>
      <c r="AD2052">
        <v>-1.1099284400042</v>
      </c>
      <c r="AE2052">
        <v>5.2626999999999899</v>
      </c>
      <c r="AF2052">
        <v>2.8755014493638602</v>
      </c>
      <c r="AG2052">
        <v>-1.1099284400042</v>
      </c>
      <c r="AH2052">
        <v>146.59627043933199</v>
      </c>
      <c r="AI2052">
        <v>90.433713423008896</v>
      </c>
      <c r="AJ2052">
        <v>88.876281288941797</v>
      </c>
      <c r="AK2052">
        <v>146.62867030853499</v>
      </c>
      <c r="AL2052">
        <v>87.999338217818703</v>
      </c>
      <c r="AM2052">
        <v>89.050851565558503</v>
      </c>
      <c r="AN2052">
        <v>1.00000000165993</v>
      </c>
    </row>
    <row r="2053" spans="1:40" x14ac:dyDescent="0.25">
      <c r="A2053" t="str">
        <f>"20190312160335477"</f>
        <v>20190312160335477</v>
      </c>
      <c r="B2053" t="str">
        <f>"1552377815466589"</f>
        <v>1552377815466589</v>
      </c>
      <c r="C2053" t="s">
        <v>40</v>
      </c>
      <c r="D2053">
        <v>4.7646839999999999</v>
      </c>
      <c r="E2053">
        <v>0.50158649999999905</v>
      </c>
      <c r="F2053" t="s">
        <v>59</v>
      </c>
      <c r="G2053">
        <v>-472.44589999999999</v>
      </c>
      <c r="H2053" s="1">
        <v>5.9554260000000001E-6</v>
      </c>
      <c r="I2053">
        <v>289.48869999999999</v>
      </c>
      <c r="J2053">
        <v>-316.05540000000002</v>
      </c>
      <c r="K2053">
        <v>1.109936</v>
      </c>
      <c r="L2053">
        <v>283.85570000000001</v>
      </c>
      <c r="M2053">
        <v>-0.99978979999999995</v>
      </c>
      <c r="N2053">
        <v>0</v>
      </c>
      <c r="O2053">
        <v>1.6319179999999999E-2</v>
      </c>
      <c r="P2053">
        <v>-0.99919959999999997</v>
      </c>
      <c r="Q2053">
        <v>2.2734589999999999E-2</v>
      </c>
      <c r="R2053">
        <v>3.2918870000000003E-2</v>
      </c>
      <c r="S2053">
        <v>-2.999298</v>
      </c>
      <c r="T2053">
        <v>-2.12642E-2</v>
      </c>
      <c r="U2053">
        <v>0.1079712</v>
      </c>
      <c r="V2053">
        <v>1.6613719999999998E-2</v>
      </c>
      <c r="W2053">
        <v>3.5146940000000002E-2</v>
      </c>
      <c r="X2053">
        <v>0.99924400000000002</v>
      </c>
      <c r="Y2053">
        <v>1.9660770000000001E-2</v>
      </c>
      <c r="Z2053" s="1">
        <v>-4.5984820000000002E-5</v>
      </c>
      <c r="AA2053">
        <v>0.99980670000000005</v>
      </c>
      <c r="AB2053">
        <v>29</v>
      </c>
      <c r="AC2053">
        <v>-156.39049999999901</v>
      </c>
      <c r="AD2053">
        <v>-1.1099300445739999</v>
      </c>
      <c r="AE2053">
        <v>5.6329999999999796</v>
      </c>
      <c r="AF2053">
        <v>3.0797335213718799</v>
      </c>
      <c r="AG2053">
        <v>-1.1099300445739999</v>
      </c>
      <c r="AH2053">
        <v>156.45373347154199</v>
      </c>
      <c r="AI2053">
        <v>90.406388023737904</v>
      </c>
      <c r="AJ2053">
        <v>88.872299542551502</v>
      </c>
      <c r="AK2053">
        <v>156.48797851736401</v>
      </c>
      <c r="AL2053">
        <v>87.985813733951801</v>
      </c>
      <c r="AM2053">
        <v>89.047471547918093</v>
      </c>
      <c r="AN2053">
        <v>0.99999994730979902</v>
      </c>
    </row>
    <row r="2054" spans="1:40" x14ac:dyDescent="0.25">
      <c r="A2054" t="str">
        <f>"20190312160335490"</f>
        <v>20190312160335490</v>
      </c>
      <c r="B2054" t="str">
        <f>"1552377815476351"</f>
        <v>1552377815476351</v>
      </c>
      <c r="C2054" t="s">
        <v>40</v>
      </c>
      <c r="D2054">
        <v>4.8152790000000003</v>
      </c>
      <c r="E2054">
        <v>0.501496099999999</v>
      </c>
      <c r="F2054" t="s">
        <v>59</v>
      </c>
      <c r="G2054">
        <v>-477.29820000000001</v>
      </c>
      <c r="H2054" s="1">
        <v>3.8178930000000003E-6</v>
      </c>
      <c r="I2054">
        <v>289.63389999999998</v>
      </c>
      <c r="J2054">
        <v>-316.23050000000001</v>
      </c>
      <c r="K2054">
        <v>1.1099460000000001</v>
      </c>
      <c r="L2054">
        <v>283.85860000000002</v>
      </c>
      <c r="M2054">
        <v>-0.99978920000000004</v>
      </c>
      <c r="N2054">
        <v>0</v>
      </c>
      <c r="O2054">
        <v>1.635315E-2</v>
      </c>
      <c r="P2054">
        <v>-0.99920540000000002</v>
      </c>
      <c r="Q2054">
        <v>2.3004150000000001E-2</v>
      </c>
      <c r="R2054">
        <v>3.2557089999999997E-2</v>
      </c>
      <c r="S2054">
        <v>-2.9993289999999999</v>
      </c>
      <c r="T2054">
        <v>-2.0646210000000002E-2</v>
      </c>
      <c r="U2054">
        <v>0.10748290000000001</v>
      </c>
      <c r="V2054">
        <v>1.6217390000000002E-2</v>
      </c>
      <c r="W2054">
        <v>3.5417129999999998E-2</v>
      </c>
      <c r="X2054">
        <v>0.99924100000000005</v>
      </c>
      <c r="Y2054">
        <v>1.9463890000000001E-2</v>
      </c>
      <c r="Z2054" s="1">
        <v>-4.5559280000000001E-5</v>
      </c>
      <c r="AA2054">
        <v>0.99981059999999999</v>
      </c>
      <c r="AB2054">
        <v>29</v>
      </c>
      <c r="AC2054">
        <v>-161.0677</v>
      </c>
      <c r="AD2054">
        <v>-1.1099421821069999</v>
      </c>
      <c r="AE2054">
        <v>5.7752999999999597</v>
      </c>
      <c r="AF2054">
        <v>3.14021139892166</v>
      </c>
      <c r="AG2054">
        <v>-1.1099421821069999</v>
      </c>
      <c r="AH2054">
        <v>161.13296800385001</v>
      </c>
      <c r="AI2054">
        <v>90.394592894248305</v>
      </c>
      <c r="AJ2054">
        <v>88.883542643763505</v>
      </c>
      <c r="AK2054">
        <v>161.167385897418</v>
      </c>
      <c r="AL2054">
        <v>87.970323401215495</v>
      </c>
      <c r="AM2054">
        <v>89.070187841732803</v>
      </c>
      <c r="AN2054">
        <v>0.99999997645842398</v>
      </c>
    </row>
    <row r="2055" spans="1:40" x14ac:dyDescent="0.25">
      <c r="A2055" t="str">
        <f>"20190312160335508"</f>
        <v>20190312160335508</v>
      </c>
      <c r="B2055" t="str">
        <f>"1552377815496846"</f>
        <v>1552377815496846</v>
      </c>
      <c r="C2055" t="s">
        <v>40</v>
      </c>
      <c r="D2055">
        <v>4.817882</v>
      </c>
      <c r="E2055">
        <v>0.50132790000000005</v>
      </c>
      <c r="F2055" t="s">
        <v>59</v>
      </c>
      <c r="G2055">
        <v>-482.98840000000001</v>
      </c>
      <c r="H2055" s="1">
        <v>3.20642E-6</v>
      </c>
      <c r="I2055">
        <v>289.74270000000001</v>
      </c>
      <c r="J2055">
        <v>-316.4665</v>
      </c>
      <c r="K2055">
        <v>1.1099600000000001</v>
      </c>
      <c r="L2055">
        <v>283.86250000000001</v>
      </c>
      <c r="M2055">
        <v>-0.99978860000000003</v>
      </c>
      <c r="N2055">
        <v>0</v>
      </c>
      <c r="O2055">
        <v>1.6386700000000001E-2</v>
      </c>
      <c r="P2055">
        <v>-0.99917789999999995</v>
      </c>
      <c r="Q2055">
        <v>2.344941E-2</v>
      </c>
      <c r="R2055">
        <v>3.30721E-2</v>
      </c>
      <c r="S2055">
        <v>-2.99939</v>
      </c>
      <c r="T2055">
        <v>-1.9963979999999999E-2</v>
      </c>
      <c r="U2055">
        <v>0.105834999999999</v>
      </c>
      <c r="V2055">
        <v>1.669816E-2</v>
      </c>
      <c r="W2055">
        <v>3.5862699999999997E-2</v>
      </c>
      <c r="X2055">
        <v>0.99921720000000003</v>
      </c>
      <c r="Y2055">
        <v>1.888099E-2</v>
      </c>
      <c r="Z2055" s="1">
        <v>-4.6216050000000003E-5</v>
      </c>
      <c r="AA2055">
        <v>0.99982170000000004</v>
      </c>
      <c r="AB2055">
        <v>29</v>
      </c>
      <c r="AC2055">
        <v>-166.52189999999999</v>
      </c>
      <c r="AD2055">
        <v>-1.1099567935799901</v>
      </c>
      <c r="AE2055">
        <v>5.8802000000000003</v>
      </c>
      <c r="AF2055">
        <v>3.15031567389744</v>
      </c>
      <c r="AG2055">
        <v>-1.1099567935799901</v>
      </c>
      <c r="AH2055">
        <v>166.58850980375101</v>
      </c>
      <c r="AI2055">
        <v>90.381680169940495</v>
      </c>
      <c r="AJ2055">
        <v>88.916622277952499</v>
      </c>
      <c r="AK2055">
        <v>166.62199162044399</v>
      </c>
      <c r="AL2055">
        <v>87.944777913034898</v>
      </c>
      <c r="AM2055">
        <v>89.042605504006104</v>
      </c>
      <c r="AN2055">
        <v>0.99999998728725703</v>
      </c>
    </row>
    <row r="2056" spans="1:40" x14ac:dyDescent="0.25">
      <c r="A2056" t="str">
        <f>"20190312160335519"</f>
        <v>20190312160335519</v>
      </c>
      <c r="B2056" t="str">
        <f>"1552377815506606"</f>
        <v>1552377815506606</v>
      </c>
      <c r="C2056" t="s">
        <v>40</v>
      </c>
      <c r="D2056">
        <v>4.8274650000000001</v>
      </c>
      <c r="E2056">
        <v>0.50132790000000005</v>
      </c>
      <c r="F2056" t="s">
        <v>59</v>
      </c>
      <c r="G2056">
        <v>-489.93049999999999</v>
      </c>
      <c r="H2056" s="1">
        <v>4.5347230000000004E-6</v>
      </c>
      <c r="I2056">
        <v>289.98849999999999</v>
      </c>
      <c r="J2056">
        <v>-316.61579999999998</v>
      </c>
      <c r="K2056">
        <v>1.1099680000000001</v>
      </c>
      <c r="L2056">
        <v>283.86500000000001</v>
      </c>
      <c r="M2056">
        <v>-0.99978849999999997</v>
      </c>
      <c r="N2056">
        <v>0</v>
      </c>
      <c r="O2056">
        <v>1.6400359999999999E-2</v>
      </c>
      <c r="P2056">
        <v>-0.999166</v>
      </c>
      <c r="Q2056">
        <v>2.359058E-2</v>
      </c>
      <c r="R2056">
        <v>3.3333349999999998E-2</v>
      </c>
      <c r="S2056">
        <v>-2.9994200000000002</v>
      </c>
      <c r="T2056">
        <v>-1.9192580000000001E-2</v>
      </c>
      <c r="U2056">
        <v>0.10592650000000001</v>
      </c>
      <c r="V2056">
        <v>1.6945200000000001E-2</v>
      </c>
      <c r="W2056">
        <v>3.6003739999999999E-2</v>
      </c>
      <c r="X2056">
        <v>0.99920799999999999</v>
      </c>
      <c r="Y2056">
        <v>1.889747E-2</v>
      </c>
      <c r="Z2056" s="1">
        <v>-4.4464430000000003E-5</v>
      </c>
      <c r="AA2056">
        <v>0.99982139999999997</v>
      </c>
      <c r="AB2056">
        <v>29</v>
      </c>
      <c r="AC2056">
        <v>-173.31469999999999</v>
      </c>
      <c r="AD2056">
        <v>-1.1099634652770001</v>
      </c>
      <c r="AE2056">
        <v>6.1234999999999697</v>
      </c>
      <c r="AF2056">
        <v>3.2798995931163302</v>
      </c>
      <c r="AG2056">
        <v>-1.1099634652770001</v>
      </c>
      <c r="AH2056">
        <v>173.38471922464299</v>
      </c>
      <c r="AI2056">
        <v>90.366721924019004</v>
      </c>
      <c r="AJ2056">
        <v>88.916271321973497</v>
      </c>
      <c r="AK2056">
        <v>173.419291374528</v>
      </c>
      <c r="AL2056">
        <v>87.936691757818394</v>
      </c>
      <c r="AM2056">
        <v>89.028435135841903</v>
      </c>
      <c r="AN2056">
        <v>1.00000001818051</v>
      </c>
    </row>
    <row r="2057" spans="1:40" x14ac:dyDescent="0.25">
      <c r="A2057" t="str">
        <f>"20190312160335531"</f>
        <v>20190312160335531</v>
      </c>
      <c r="B2057" t="str">
        <f>"1552377815526127"</f>
        <v>1552377815526127</v>
      </c>
      <c r="C2057" t="s">
        <v>40</v>
      </c>
      <c r="D2057">
        <v>4.8063019999999996</v>
      </c>
      <c r="E2057">
        <v>0.50118209999999996</v>
      </c>
      <c r="F2057" t="s">
        <v>59</v>
      </c>
      <c r="G2057">
        <v>-493.97370000000001</v>
      </c>
      <c r="H2057" s="1">
        <v>3.8957830000000002E-6</v>
      </c>
      <c r="I2057">
        <v>290.17910000000001</v>
      </c>
      <c r="J2057">
        <v>-316.7568</v>
      </c>
      <c r="K2057">
        <v>1.1099749999999999</v>
      </c>
      <c r="L2057">
        <v>283.8673</v>
      </c>
      <c r="M2057">
        <v>-0.99978820000000002</v>
      </c>
      <c r="N2057">
        <v>0</v>
      </c>
      <c r="O2057">
        <v>1.641157E-2</v>
      </c>
      <c r="P2057">
        <v>-0.99915370000000003</v>
      </c>
      <c r="Q2057">
        <v>2.3746110000000001E-2</v>
      </c>
      <c r="R2057">
        <v>3.3589649999999999E-2</v>
      </c>
      <c r="S2057">
        <v>-2.99939</v>
      </c>
      <c r="T2057">
        <v>-1.877117E-2</v>
      </c>
      <c r="U2057">
        <v>0.106781</v>
      </c>
      <c r="V2057">
        <v>1.7189820000000001E-2</v>
      </c>
      <c r="W2057">
        <v>3.6159089999999998E-2</v>
      </c>
      <c r="X2057">
        <v>0.99919820000000004</v>
      </c>
      <c r="Y2057">
        <v>1.917108E-2</v>
      </c>
      <c r="Z2057" s="1">
        <v>-4.2702589999999999E-5</v>
      </c>
      <c r="AA2057">
        <v>0.99981620000000004</v>
      </c>
      <c r="AB2057">
        <v>29</v>
      </c>
      <c r="AC2057">
        <v>-177.21690000000001</v>
      </c>
      <c r="AD2057">
        <v>-1.109971104217</v>
      </c>
      <c r="AE2057">
        <v>6.3117999999999999</v>
      </c>
      <c r="AF2057">
        <v>3.4021846594365601</v>
      </c>
      <c r="AG2057">
        <v>-1.109971104217</v>
      </c>
      <c r="AH2057">
        <v>177.289677301003</v>
      </c>
      <c r="AI2057">
        <v>90.358645373454394</v>
      </c>
      <c r="AJ2057">
        <v>88.900630300265405</v>
      </c>
      <c r="AK2057">
        <v>177.32579218433801</v>
      </c>
      <c r="AL2057">
        <v>87.927785034414796</v>
      </c>
      <c r="AM2057">
        <v>89.014402759789903</v>
      </c>
      <c r="AN2057">
        <v>1.0000000062922501</v>
      </c>
    </row>
    <row r="2058" spans="1:40" x14ac:dyDescent="0.25">
      <c r="A2058" t="str">
        <f>"20190312160335541"</f>
        <v>20190312160335541</v>
      </c>
      <c r="B2058" t="str">
        <f>"1552377815536862"</f>
        <v>1552377815536862</v>
      </c>
      <c r="C2058" t="s">
        <v>40</v>
      </c>
      <c r="D2058">
        <v>4.8471900000000003</v>
      </c>
      <c r="E2058">
        <v>0.5010907</v>
      </c>
      <c r="F2058" t="s">
        <v>59</v>
      </c>
      <c r="G2058">
        <v>-492.06569999999999</v>
      </c>
      <c r="H2058" s="1">
        <v>4.1985090000000002E-6</v>
      </c>
      <c r="I2058">
        <v>290.07810000000001</v>
      </c>
      <c r="J2058">
        <v>-316.90809999999999</v>
      </c>
      <c r="K2058">
        <v>1.109977</v>
      </c>
      <c r="L2058">
        <v>283.8698</v>
      </c>
      <c r="M2058">
        <v>-0.99978809999999996</v>
      </c>
      <c r="N2058">
        <v>0</v>
      </c>
      <c r="O2058">
        <v>1.641867E-2</v>
      </c>
      <c r="P2058">
        <v>-0.99915109999999996</v>
      </c>
      <c r="Q2058">
        <v>2.3445779999999999E-2</v>
      </c>
      <c r="R2058">
        <v>3.3879270000000003E-2</v>
      </c>
      <c r="S2058">
        <v>-2.9994200000000002</v>
      </c>
      <c r="T2058">
        <v>-1.899087E-2</v>
      </c>
      <c r="U2058">
        <v>0.1062622</v>
      </c>
      <c r="V2058">
        <v>1.7471819999999999E-2</v>
      </c>
      <c r="W2058">
        <v>3.5858880000000003E-2</v>
      </c>
      <c r="X2058">
        <v>0.99920410000000004</v>
      </c>
      <c r="Y2058">
        <v>1.899091E-2</v>
      </c>
      <c r="Z2058" s="1">
        <v>-4.3817250000000001E-5</v>
      </c>
      <c r="AA2058">
        <v>0.99981960000000003</v>
      </c>
      <c r="AB2058">
        <v>29</v>
      </c>
      <c r="AC2058">
        <v>-175.1576</v>
      </c>
      <c r="AD2058">
        <v>-1.109972801491</v>
      </c>
      <c r="AE2058">
        <v>6.2083000000000004</v>
      </c>
      <c r="AF2058">
        <v>3.3312528523253899</v>
      </c>
      <c r="AG2058">
        <v>-1.109972801491</v>
      </c>
      <c r="AH2058">
        <v>175.228897873828</v>
      </c>
      <c r="AI2058">
        <v>90.362864905944605</v>
      </c>
      <c r="AJ2058">
        <v>88.910888886903294</v>
      </c>
      <c r="AK2058">
        <v>175.26407485637901</v>
      </c>
      <c r="AL2058">
        <v>87.944996905950802</v>
      </c>
      <c r="AM2058">
        <v>88.9982431617956</v>
      </c>
      <c r="AN2058">
        <v>0.99999997861288803</v>
      </c>
    </row>
    <row r="2059" spans="1:40" x14ac:dyDescent="0.25">
      <c r="A2059" t="str">
        <f>"20190312160335554"</f>
        <v>20190312160335554</v>
      </c>
      <c r="B2059" t="str">
        <f>"1552377815546622"</f>
        <v>1552377815546622</v>
      </c>
      <c r="C2059" t="s">
        <v>40</v>
      </c>
      <c r="D2059">
        <v>4.8489409999999999</v>
      </c>
      <c r="E2059">
        <v>0.50099050000000001</v>
      </c>
      <c r="F2059" t="s">
        <v>59</v>
      </c>
      <c r="G2059">
        <v>-482.05509999999998</v>
      </c>
      <c r="H2059" s="1">
        <v>3.0345520000000001E-6</v>
      </c>
      <c r="I2059">
        <v>289.71890000000002</v>
      </c>
      <c r="J2059">
        <v>-317.06810000000002</v>
      </c>
      <c r="K2059">
        <v>1.109982</v>
      </c>
      <c r="L2059">
        <v>283.87240000000003</v>
      </c>
      <c r="M2059">
        <v>-0.99978809999999996</v>
      </c>
      <c r="N2059">
        <v>0</v>
      </c>
      <c r="O2059">
        <v>1.642238E-2</v>
      </c>
      <c r="P2059">
        <v>-0.99914669999999906</v>
      </c>
      <c r="Q2059">
        <v>2.3128039999999999E-2</v>
      </c>
      <c r="R2059">
        <v>3.4224039999999997E-2</v>
      </c>
      <c r="S2059">
        <v>-2.9994200000000002</v>
      </c>
      <c r="T2059">
        <v>-2.015948E-2</v>
      </c>
      <c r="U2059">
        <v>0.1062317</v>
      </c>
      <c r="V2059">
        <v>1.7812089999999999E-2</v>
      </c>
      <c r="W2059">
        <v>3.5541499999999997E-2</v>
      </c>
      <c r="X2059">
        <v>0.99920949999999997</v>
      </c>
      <c r="Y2059">
        <v>1.8977029999999999E-2</v>
      </c>
      <c r="Z2059" s="1">
        <v>-4.6585049999999999E-5</v>
      </c>
      <c r="AA2059">
        <v>0.99981989999999998</v>
      </c>
      <c r="AB2059">
        <v>29</v>
      </c>
      <c r="AC2059">
        <v>-164.986999999999</v>
      </c>
      <c r="AD2059">
        <v>-1.1099789654479999</v>
      </c>
      <c r="AE2059">
        <v>5.84649999999999</v>
      </c>
      <c r="AF2059">
        <v>3.1358817385562898</v>
      </c>
      <c r="AG2059">
        <v>-1.1099789654479999</v>
      </c>
      <c r="AH2059">
        <v>165.05330665405799</v>
      </c>
      <c r="AI2059">
        <v>90.385237217952806</v>
      </c>
      <c r="AJ2059">
        <v>88.911556646902497</v>
      </c>
      <c r="AK2059">
        <v>165.08682517093999</v>
      </c>
      <c r="AL2059">
        <v>87.963193179141101</v>
      </c>
      <c r="AM2059">
        <v>88.978743196379597</v>
      </c>
      <c r="AN2059">
        <v>1.0000000468313299</v>
      </c>
    </row>
    <row r="2060" spans="1:40" x14ac:dyDescent="0.25">
      <c r="A2060" t="str">
        <f>"20190312160335566"</f>
        <v>20190312160335566</v>
      </c>
      <c r="B2060" t="str">
        <f>"1552377815556381"</f>
        <v>1552377815556381</v>
      </c>
      <c r="C2060" t="s">
        <v>40</v>
      </c>
      <c r="D2060">
        <v>4.8362350000000003</v>
      </c>
      <c r="E2060">
        <v>0.50092239999999999</v>
      </c>
      <c r="F2060" t="s">
        <v>59</v>
      </c>
      <c r="G2060">
        <v>-472.77780000000001</v>
      </c>
      <c r="H2060" s="1">
        <v>5.8010190000000003E-6</v>
      </c>
      <c r="I2060">
        <v>289.40629999999999</v>
      </c>
      <c r="J2060">
        <v>-317.2296</v>
      </c>
      <c r="K2060">
        <v>1.1099859999999999</v>
      </c>
      <c r="L2060">
        <v>283.87509999999997</v>
      </c>
      <c r="M2060">
        <v>-0.99978800000000001</v>
      </c>
      <c r="N2060">
        <v>0</v>
      </c>
      <c r="O2060">
        <v>1.6423480000000001E-2</v>
      </c>
      <c r="P2060">
        <v>-0.99914289999999994</v>
      </c>
      <c r="Q2060">
        <v>2.290532E-2</v>
      </c>
      <c r="R2060">
        <v>3.4481419999999999E-2</v>
      </c>
      <c r="S2060">
        <v>-2.99939</v>
      </c>
      <c r="T2060">
        <v>-2.138114E-2</v>
      </c>
      <c r="U2060">
        <v>0.1065979</v>
      </c>
      <c r="V2060">
        <v>1.8067980000000001E-2</v>
      </c>
      <c r="W2060">
        <v>3.5318960000000003E-2</v>
      </c>
      <c r="X2060">
        <v>0.99921269999999995</v>
      </c>
      <c r="Y2060">
        <v>1.9098199999999999E-2</v>
      </c>
      <c r="Z2060" s="1">
        <v>-4.8984470000000003E-5</v>
      </c>
      <c r="AA2060">
        <v>0.99981759999999997</v>
      </c>
      <c r="AB2060">
        <v>29</v>
      </c>
      <c r="AC2060">
        <v>-155.54820000000001</v>
      </c>
      <c r="AD2060">
        <v>-1.1099801989810001</v>
      </c>
      <c r="AE2060">
        <v>5.5312000000000099</v>
      </c>
      <c r="AF2060">
        <v>2.9754627753649299</v>
      </c>
      <c r="AG2060">
        <v>-1.1099801989810001</v>
      </c>
      <c r="AH2060">
        <v>155.61015196262699</v>
      </c>
      <c r="AI2060">
        <v>90.408613955065107</v>
      </c>
      <c r="AJ2060">
        <v>88.9045657739251</v>
      </c>
      <c r="AK2060">
        <v>155.64255468412699</v>
      </c>
      <c r="AL2060">
        <v>87.975951596421694</v>
      </c>
      <c r="AM2060">
        <v>88.964078225655697</v>
      </c>
      <c r="AN2060">
        <v>0.999999950339024</v>
      </c>
    </row>
    <row r="2061" spans="1:40" x14ac:dyDescent="0.25">
      <c r="A2061" t="str">
        <f>"20190312160335577"</f>
        <v>20190312160335577</v>
      </c>
      <c r="B2061" t="str">
        <f>"1552377815566142"</f>
        <v>1552377815566142</v>
      </c>
      <c r="C2061" t="s">
        <v>40</v>
      </c>
      <c r="D2061">
        <v>4.8637759999999997</v>
      </c>
      <c r="E2061">
        <v>0.50086450000000005</v>
      </c>
      <c r="F2061" t="s">
        <v>70</v>
      </c>
      <c r="G2061">
        <v>-464.61</v>
      </c>
      <c r="H2061" s="1">
        <v>7.1947919999999999E-7</v>
      </c>
      <c r="I2061">
        <v>289.12189999999998</v>
      </c>
      <c r="J2061">
        <v>-317.37520000000001</v>
      </c>
      <c r="K2061">
        <v>1.1099909999999999</v>
      </c>
      <c r="L2061">
        <v>283.8775</v>
      </c>
      <c r="M2061">
        <v>-0.99978800000000001</v>
      </c>
      <c r="N2061">
        <v>0</v>
      </c>
      <c r="O2061">
        <v>1.6421390000000001E-2</v>
      </c>
      <c r="P2061">
        <v>-0.99914709999999995</v>
      </c>
      <c r="Q2061">
        <v>2.2861510000000002E-2</v>
      </c>
      <c r="R2061">
        <v>3.4392060000000002E-2</v>
      </c>
      <c r="S2061">
        <v>-2.9994200000000002</v>
      </c>
      <c r="T2061">
        <v>-2.2589919999999999E-2</v>
      </c>
      <c r="U2061">
        <v>0.106781</v>
      </c>
      <c r="V2061">
        <v>1.798021E-2</v>
      </c>
      <c r="W2061">
        <v>3.527512E-2</v>
      </c>
      <c r="X2061">
        <v>0.99921590000000005</v>
      </c>
      <c r="Y2061">
        <v>1.916087E-2</v>
      </c>
      <c r="Z2061" s="1">
        <v>-5.150148E-5</v>
      </c>
      <c r="AA2061">
        <v>0.99981640000000005</v>
      </c>
      <c r="AB2061">
        <v>29</v>
      </c>
      <c r="AC2061">
        <v>-147.23480000000001</v>
      </c>
      <c r="AD2061">
        <v>-1.1099902805208</v>
      </c>
      <c r="AE2061">
        <v>5.2443999999999802</v>
      </c>
      <c r="AF2061">
        <v>2.8255457296086099</v>
      </c>
      <c r="AG2061">
        <v>-1.1099902805208</v>
      </c>
      <c r="AH2061">
        <v>147.292709957683</v>
      </c>
      <c r="AI2061">
        <v>90.431690452124002</v>
      </c>
      <c r="AJ2061">
        <v>88.901018311884798</v>
      </c>
      <c r="AK2061">
        <v>147.32399055744901</v>
      </c>
      <c r="AL2061">
        <v>87.978465147416401</v>
      </c>
      <c r="AM2061">
        <v>88.969112702235293</v>
      </c>
      <c r="AN2061">
        <v>1.00000001842773</v>
      </c>
    </row>
    <row r="2062" spans="1:40" x14ac:dyDescent="0.25">
      <c r="A2062" t="str">
        <f>"20190312160335590"</f>
        <v>20190312160335590</v>
      </c>
      <c r="B2062" t="str">
        <f>"1552377815586638"</f>
        <v>1552377815586638</v>
      </c>
      <c r="C2062" t="s">
        <v>40</v>
      </c>
      <c r="D2062">
        <v>4.8280099999999999</v>
      </c>
      <c r="E2062">
        <v>0.5007085</v>
      </c>
      <c r="F2062" t="s">
        <v>70</v>
      </c>
      <c r="G2062">
        <v>-461.27550000000002</v>
      </c>
      <c r="H2062" s="1">
        <v>-1.0483369999999999E-6</v>
      </c>
      <c r="I2062">
        <v>288.96960000000001</v>
      </c>
      <c r="J2062">
        <v>-317.53710000000001</v>
      </c>
      <c r="K2062">
        <v>1.1099950000000001</v>
      </c>
      <c r="L2062">
        <v>283.8802</v>
      </c>
      <c r="M2062">
        <v>-0.99978820000000002</v>
      </c>
      <c r="N2062">
        <v>0</v>
      </c>
      <c r="O2062">
        <v>1.6418350000000002E-2</v>
      </c>
      <c r="P2062">
        <v>-0.99914959999999997</v>
      </c>
      <c r="Q2062">
        <v>2.3058439999999999E-2</v>
      </c>
      <c r="R2062">
        <v>3.4189890000000001E-2</v>
      </c>
      <c r="S2062">
        <v>-2.9994510000000001</v>
      </c>
      <c r="T2062">
        <v>-2.313662E-2</v>
      </c>
      <c r="U2062">
        <v>0.1061401</v>
      </c>
      <c r="V2062">
        <v>1.77807E-2</v>
      </c>
      <c r="W2062">
        <v>3.5472410000000003E-2</v>
      </c>
      <c r="X2062">
        <v>0.9992124</v>
      </c>
      <c r="Y2062">
        <v>1.8950209999999999E-2</v>
      </c>
      <c r="Z2062" s="1">
        <v>-5.3536309999999897E-5</v>
      </c>
      <c r="AA2062">
        <v>0.99982040000000005</v>
      </c>
      <c r="AB2062">
        <v>29</v>
      </c>
      <c r="AC2062">
        <v>-143.73840000000001</v>
      </c>
      <c r="AD2062">
        <v>-1.1099960483369999</v>
      </c>
      <c r="AE2062">
        <v>5.0894000000000101</v>
      </c>
      <c r="AF2062">
        <v>2.7284223006575599</v>
      </c>
      <c r="AG2062">
        <v>-1.1099960483369999</v>
      </c>
      <c r="AH2062">
        <v>143.79402413294599</v>
      </c>
      <c r="AI2062">
        <v>90.442197658269194</v>
      </c>
      <c r="AJ2062">
        <v>88.912970642441707</v>
      </c>
      <c r="AK2062">
        <v>143.824190440358</v>
      </c>
      <c r="AL2062">
        <v>87.967154010063098</v>
      </c>
      <c r="AM2062">
        <v>88.980545521098904</v>
      </c>
      <c r="AN2062">
        <v>0.99999993273872601</v>
      </c>
    </row>
    <row r="2063" spans="1:40" x14ac:dyDescent="0.25">
      <c r="A2063" t="str">
        <f>"20190312160335601"</f>
        <v>20190312160335601</v>
      </c>
      <c r="B2063" t="str">
        <f>"1552377815596398"</f>
        <v>1552377815596398</v>
      </c>
      <c r="C2063" t="s">
        <v>40</v>
      </c>
      <c r="D2063">
        <v>4.8602349999999896</v>
      </c>
      <c r="E2063">
        <v>0.5006292</v>
      </c>
      <c r="F2063" t="s">
        <v>70</v>
      </c>
      <c r="G2063">
        <v>-460.02260000000001</v>
      </c>
      <c r="H2063" s="1">
        <v>-1.7091249999999999E-6</v>
      </c>
      <c r="I2063">
        <v>288.8338</v>
      </c>
      <c r="J2063">
        <v>-317.68889999999999</v>
      </c>
      <c r="K2063">
        <v>1.1100000000000001</v>
      </c>
      <c r="L2063">
        <v>283.88260000000002</v>
      </c>
      <c r="M2063">
        <v>-0.99978820000000002</v>
      </c>
      <c r="N2063">
        <v>0</v>
      </c>
      <c r="O2063">
        <v>1.6414439999999999E-2</v>
      </c>
      <c r="P2063">
        <v>-0.99915540000000003</v>
      </c>
      <c r="Q2063">
        <v>2.3286600000000001E-2</v>
      </c>
      <c r="R2063">
        <v>3.3857239999999997E-2</v>
      </c>
      <c r="S2063">
        <v>-2.9994809999999998</v>
      </c>
      <c r="T2063">
        <v>-2.3366689999999999E-2</v>
      </c>
      <c r="U2063">
        <v>0.1042786</v>
      </c>
      <c r="V2063">
        <v>1.745147E-2</v>
      </c>
      <c r="W2063">
        <v>3.570019E-2</v>
      </c>
      <c r="X2063">
        <v>0.99921020000000005</v>
      </c>
      <c r="Y2063">
        <v>1.8334010000000001E-2</v>
      </c>
      <c r="Z2063" s="1">
        <v>-5.6437819999999897E-5</v>
      </c>
      <c r="AA2063">
        <v>0.9998319</v>
      </c>
      <c r="AB2063">
        <v>29</v>
      </c>
      <c r="AC2063">
        <v>-142.33369999999999</v>
      </c>
      <c r="AD2063">
        <v>-1.1100017091249901</v>
      </c>
      <c r="AE2063">
        <v>4.9511999999999698</v>
      </c>
      <c r="AF2063">
        <v>2.6138660255672002</v>
      </c>
      <c r="AG2063">
        <v>-1.1100017091249901</v>
      </c>
      <c r="AH2063">
        <v>142.38714920404101</v>
      </c>
      <c r="AI2063">
        <v>90.446574093184907</v>
      </c>
      <c r="AJ2063">
        <v>88.948313296031799</v>
      </c>
      <c r="AK2063">
        <v>142.41546495324101</v>
      </c>
      <c r="AL2063">
        <v>87.954095125674996</v>
      </c>
      <c r="AM2063">
        <v>88.999415810570099</v>
      </c>
      <c r="AN2063">
        <v>1.0000000405776099</v>
      </c>
    </row>
    <row r="2064" spans="1:40" x14ac:dyDescent="0.25">
      <c r="A2064" t="str">
        <f>"20190312160335620"</f>
        <v>20190312160335620</v>
      </c>
      <c r="B2064" t="str">
        <f>"1552377815616894"</f>
        <v>1552377815616894</v>
      </c>
      <c r="C2064" t="s">
        <v>40</v>
      </c>
      <c r="D2064">
        <v>4.8547859999999998</v>
      </c>
      <c r="E2064">
        <v>0.50049299999999997</v>
      </c>
      <c r="F2064" t="s">
        <v>70</v>
      </c>
      <c r="G2064">
        <v>-461.71120000000002</v>
      </c>
      <c r="H2064" s="1">
        <v>-8.0940069999999897E-7</v>
      </c>
      <c r="I2064">
        <v>288.80739999999997</v>
      </c>
      <c r="J2064">
        <v>-317.93040000000002</v>
      </c>
      <c r="K2064">
        <v>1.1100000000000001</v>
      </c>
      <c r="L2064">
        <v>283.88659999999999</v>
      </c>
      <c r="M2064">
        <v>-0.99978820000000002</v>
      </c>
      <c r="N2064">
        <v>0</v>
      </c>
      <c r="O2064">
        <v>1.6408099999999998E-2</v>
      </c>
      <c r="P2064">
        <v>-0.9991951</v>
      </c>
      <c r="Q2064">
        <v>2.275864E-2</v>
      </c>
      <c r="R2064">
        <v>3.3035389999999998E-2</v>
      </c>
      <c r="S2064">
        <v>-2.999603</v>
      </c>
      <c r="T2064">
        <v>-2.3118380000000001E-2</v>
      </c>
      <c r="U2064">
        <v>0.1025696</v>
      </c>
      <c r="V2064">
        <v>1.6635440000000001E-2</v>
      </c>
      <c r="W2064">
        <v>3.5172660000000001E-2</v>
      </c>
      <c r="X2064">
        <v>0.99924279999999999</v>
      </c>
      <c r="Y2064">
        <v>1.7769989999999999E-2</v>
      </c>
      <c r="Z2064" s="1">
        <v>-5.7960529999999997E-5</v>
      </c>
      <c r="AA2064">
        <v>0.99984209999999996</v>
      </c>
      <c r="AB2064">
        <v>29</v>
      </c>
      <c r="AC2064">
        <v>-143.7808</v>
      </c>
      <c r="AD2064">
        <v>-1.1100008094006999</v>
      </c>
      <c r="AE2064">
        <v>4.9207999999999803</v>
      </c>
      <c r="AF2064">
        <v>2.5606332052754399</v>
      </c>
      <c r="AG2064">
        <v>-1.1100008094006999</v>
      </c>
      <c r="AH2064">
        <v>143.8336257462</v>
      </c>
      <c r="AI2064">
        <v>90.442087331322796</v>
      </c>
      <c r="AJ2064">
        <v>88.980085650679001</v>
      </c>
      <c r="AK2064">
        <v>143.86069942658699</v>
      </c>
      <c r="AL2064">
        <v>87.984339308410696</v>
      </c>
      <c r="AM2064">
        <v>89.046225341503103</v>
      </c>
      <c r="AN2064">
        <v>1.00000001361365</v>
      </c>
    </row>
    <row r="2065" spans="1:40" x14ac:dyDescent="0.25">
      <c r="A2065" t="str">
        <f>"20190312160335631"</f>
        <v>20190312160335631</v>
      </c>
      <c r="B2065" t="str">
        <f>"1552377815626654"</f>
        <v>1552377815626654</v>
      </c>
      <c r="C2065" t="s">
        <v>40</v>
      </c>
      <c r="D2065">
        <v>4.8790959999999997</v>
      </c>
      <c r="E2065">
        <v>0.50041709999999995</v>
      </c>
      <c r="F2065" t="s">
        <v>70</v>
      </c>
      <c r="G2065">
        <v>-448.25380000000001</v>
      </c>
      <c r="H2065" s="1">
        <v>2.6993409999999998E-6</v>
      </c>
      <c r="I2065">
        <v>288.18889999999999</v>
      </c>
      <c r="J2065">
        <v>-318.0772</v>
      </c>
      <c r="K2065">
        <v>1.1100000000000001</v>
      </c>
      <c r="L2065">
        <v>283.88900000000001</v>
      </c>
      <c r="M2065">
        <v>-0.99978840000000002</v>
      </c>
      <c r="N2065">
        <v>0</v>
      </c>
      <c r="O2065">
        <v>1.6404229999999999E-2</v>
      </c>
      <c r="P2065">
        <v>-0.99921119999999997</v>
      </c>
      <c r="Q2065">
        <v>2.2128510000000001E-2</v>
      </c>
      <c r="R2065">
        <v>3.2979149999999999E-2</v>
      </c>
      <c r="S2065">
        <v>-2.9997250000000002</v>
      </c>
      <c r="T2065">
        <v>-2.5549410000000002E-2</v>
      </c>
      <c r="U2065">
        <v>9.9029539999999999E-2</v>
      </c>
      <c r="V2065">
        <v>1.658275E-2</v>
      </c>
      <c r="W2065">
        <v>3.4542199999999898E-2</v>
      </c>
      <c r="X2065">
        <v>0.99926570000000003</v>
      </c>
      <c r="Y2065">
        <v>1.659389E-2</v>
      </c>
      <c r="Z2065" s="1">
        <v>-6.9028299999999998E-5</v>
      </c>
      <c r="AA2065">
        <v>0.99986229999999998</v>
      </c>
      <c r="AB2065">
        <v>29</v>
      </c>
      <c r="AC2065">
        <v>-130.17660000000001</v>
      </c>
      <c r="AD2065">
        <v>-1.109997300659</v>
      </c>
      <c r="AE2065">
        <v>4.2998999999999796</v>
      </c>
      <c r="AF2065">
        <v>2.1635527926809601</v>
      </c>
      <c r="AG2065">
        <v>-1.109997300659</v>
      </c>
      <c r="AH2065">
        <v>130.22016528670201</v>
      </c>
      <c r="AI2065">
        <v>90.488310276000504</v>
      </c>
      <c r="AJ2065">
        <v>89.048142512934405</v>
      </c>
      <c r="AK2065">
        <v>130.24286737472499</v>
      </c>
      <c r="AL2065">
        <v>88.020484033484294</v>
      </c>
      <c r="AM2065">
        <v>89.049267493584296</v>
      </c>
      <c r="AN2065">
        <v>1.00000004518744</v>
      </c>
    </row>
    <row r="2066" spans="1:40" x14ac:dyDescent="0.25">
      <c r="A2066" t="str">
        <f>"20190312160335642"</f>
        <v>20190312160335642</v>
      </c>
      <c r="B2066" t="str">
        <f>"1552377815636414"</f>
        <v>1552377815636414</v>
      </c>
      <c r="C2066" t="s">
        <v>40</v>
      </c>
      <c r="D2066">
        <v>4.8065199999999999</v>
      </c>
      <c r="E2066">
        <v>0.50036709999999995</v>
      </c>
      <c r="F2066" t="s">
        <v>79</v>
      </c>
      <c r="G2066">
        <v>-436.37720000000002</v>
      </c>
      <c r="H2066" s="1">
        <v>4.77052E-6</v>
      </c>
      <c r="I2066">
        <v>287.7559</v>
      </c>
      <c r="J2066">
        <v>-318.22309999999999</v>
      </c>
      <c r="K2066">
        <v>1.109996</v>
      </c>
      <c r="L2066">
        <v>283.89139999999998</v>
      </c>
      <c r="M2066">
        <v>-0.99978849999999997</v>
      </c>
      <c r="N2066">
        <v>0</v>
      </c>
      <c r="O2066">
        <v>1.6401260000000001E-2</v>
      </c>
      <c r="P2066">
        <v>-0.99922690000000003</v>
      </c>
      <c r="Q2066">
        <v>2.1641759999999999E-2</v>
      </c>
      <c r="R2066">
        <v>3.2824560000000003E-2</v>
      </c>
      <c r="S2066">
        <v>-2.999695</v>
      </c>
      <c r="T2066">
        <v>-2.814579E-2</v>
      </c>
      <c r="U2066">
        <v>9.8052979999999998E-2</v>
      </c>
      <c r="V2066">
        <v>1.6431040000000001E-2</v>
      </c>
      <c r="W2066">
        <v>3.4055620000000002E-2</v>
      </c>
      <c r="X2066">
        <v>0.99928490000000003</v>
      </c>
      <c r="Y2066">
        <v>1.627205E-2</v>
      </c>
      <c r="Z2066" s="1">
        <v>-7.7525659999999898E-5</v>
      </c>
      <c r="AA2066">
        <v>0.99986759999999997</v>
      </c>
      <c r="AB2066">
        <v>29</v>
      </c>
      <c r="AC2066">
        <v>-118.1541</v>
      </c>
      <c r="AD2066">
        <v>-1.1099912294800001</v>
      </c>
      <c r="AE2066">
        <v>3.86450000000002</v>
      </c>
      <c r="AF2066">
        <v>1.92578502456685</v>
      </c>
      <c r="AG2066">
        <v>-1.1099912294800001</v>
      </c>
      <c r="AH2066">
        <v>118.191172360149</v>
      </c>
      <c r="AI2066">
        <v>90.538005520902402</v>
      </c>
      <c r="AJ2066">
        <v>89.066515807370095</v>
      </c>
      <c r="AK2066">
        <v>118.212071940039</v>
      </c>
      <c r="AL2066">
        <v>88.048379411677402</v>
      </c>
      <c r="AM2066">
        <v>89.057981947484706</v>
      </c>
      <c r="AN2066">
        <v>1.0000000378485301</v>
      </c>
    </row>
    <row r="2067" spans="1:40" x14ac:dyDescent="0.25">
      <c r="A2067" t="str">
        <f>"20190312160335665"</f>
        <v>20190312160335665</v>
      </c>
      <c r="B2067" t="str">
        <f>"1552377815656910"</f>
        <v>1552377815656910</v>
      </c>
      <c r="C2067" t="s">
        <v>40</v>
      </c>
      <c r="D2067">
        <v>4.8735860000000004</v>
      </c>
      <c r="E2067">
        <v>0.50023790000000001</v>
      </c>
      <c r="F2067" t="s">
        <v>79</v>
      </c>
      <c r="G2067">
        <v>-427.37970000000001</v>
      </c>
      <c r="H2067" s="1">
        <v>2.409541E-6</v>
      </c>
      <c r="I2067">
        <v>287.43049999999999</v>
      </c>
      <c r="J2067">
        <v>-318.52510000000001</v>
      </c>
      <c r="K2067">
        <v>1.1099939999999999</v>
      </c>
      <c r="L2067">
        <v>283.89640000000003</v>
      </c>
      <c r="M2067">
        <v>-0.99978840000000002</v>
      </c>
      <c r="N2067">
        <v>0</v>
      </c>
      <c r="O2067">
        <v>1.6397399999999999E-2</v>
      </c>
      <c r="P2067">
        <v>-0.99922350000000004</v>
      </c>
      <c r="Q2067">
        <v>2.207367E-2</v>
      </c>
      <c r="R2067">
        <v>3.2635310000000001E-2</v>
      </c>
      <c r="S2067">
        <v>-2.9998170000000002</v>
      </c>
      <c r="T2067">
        <v>-3.050458E-2</v>
      </c>
      <c r="U2067">
        <v>9.7259520000000002E-2</v>
      </c>
      <c r="V2067">
        <v>1.624579E-2</v>
      </c>
      <c r="W2067">
        <v>3.448739E-2</v>
      </c>
      <c r="X2067">
        <v>0.99927310000000003</v>
      </c>
      <c r="Y2067">
        <v>1.60103999999999E-2</v>
      </c>
      <c r="Z2067" s="1">
        <v>-8.5310319999999895E-5</v>
      </c>
      <c r="AA2067">
        <v>0.99987190000000004</v>
      </c>
      <c r="AB2067">
        <v>29</v>
      </c>
      <c r="AC2067">
        <v>-108.8546</v>
      </c>
      <c r="AD2067">
        <v>-1.1099915904590001</v>
      </c>
      <c r="AE2067">
        <v>3.5340999999999601</v>
      </c>
      <c r="AF2067">
        <v>1.74837305281259</v>
      </c>
      <c r="AG2067">
        <v>-1.1099915904590001</v>
      </c>
      <c r="AH2067">
        <v>108.88660715097301</v>
      </c>
      <c r="AI2067">
        <v>90.583978472963395</v>
      </c>
      <c r="AJ2067">
        <v>89.080090822441207</v>
      </c>
      <c r="AK2067">
        <v>108.90629966403699</v>
      </c>
      <c r="AL2067">
        <v>88.023626231626196</v>
      </c>
      <c r="AM2067">
        <v>89.068589750893196</v>
      </c>
      <c r="AN2067">
        <v>1.0000000170726699</v>
      </c>
    </row>
    <row r="2068" spans="1:40" x14ac:dyDescent="0.25">
      <c r="A2068" t="str">
        <f>"20190312160335678"</f>
        <v>20190312160335678</v>
      </c>
      <c r="B2068" t="str">
        <f>"1552377815666670"</f>
        <v>1552377815666670</v>
      </c>
      <c r="C2068" t="s">
        <v>40</v>
      </c>
      <c r="D2068">
        <v>4.9574540000000002</v>
      </c>
      <c r="E2068">
        <v>0.50019579999999997</v>
      </c>
      <c r="F2068" t="s">
        <v>79</v>
      </c>
      <c r="G2068">
        <v>-429.25830000000002</v>
      </c>
      <c r="H2068" s="1">
        <v>2.077422E-6</v>
      </c>
      <c r="I2068">
        <v>287.41770000000002</v>
      </c>
      <c r="J2068">
        <v>-318.6866</v>
      </c>
      <c r="K2068">
        <v>1.1099909999999999</v>
      </c>
      <c r="L2068">
        <v>283.899</v>
      </c>
      <c r="M2068">
        <v>-0.99978860000000003</v>
      </c>
      <c r="N2068">
        <v>0</v>
      </c>
      <c r="O2068">
        <v>1.6396939999999999E-2</v>
      </c>
      <c r="P2068">
        <v>-0.99923130000000004</v>
      </c>
      <c r="Q2068">
        <v>2.2136280000000001E-2</v>
      </c>
      <c r="R2068">
        <v>3.2358989999999997E-2</v>
      </c>
      <c r="S2068">
        <v>-2.999908</v>
      </c>
      <c r="T2068">
        <v>-3.007114E-2</v>
      </c>
      <c r="U2068">
        <v>9.5397949999999995E-2</v>
      </c>
      <c r="V2068">
        <v>1.596997E-2</v>
      </c>
      <c r="W2068">
        <v>3.4549820000000002E-2</v>
      </c>
      <c r="X2068">
        <v>0.99927540000000004</v>
      </c>
      <c r="Y2068">
        <v>1.539009E-2</v>
      </c>
      <c r="Z2068" s="1">
        <v>-8.7200170000000004E-5</v>
      </c>
      <c r="AA2068">
        <v>0.99988160000000004</v>
      </c>
      <c r="AB2068">
        <v>29</v>
      </c>
      <c r="AC2068">
        <v>-110.57170000000001</v>
      </c>
      <c r="AD2068">
        <v>-1.109988922578</v>
      </c>
      <c r="AE2068">
        <v>3.5187000000000199</v>
      </c>
      <c r="AF2068">
        <v>1.70487818725504</v>
      </c>
      <c r="AG2068">
        <v>-1.109988922578</v>
      </c>
      <c r="AH2068">
        <v>110.60339823978001</v>
      </c>
      <c r="AI2068">
        <v>90.574918973962795</v>
      </c>
      <c r="AJ2068">
        <v>89.116893414927802</v>
      </c>
      <c r="AK2068">
        <v>110.62210623211401</v>
      </c>
      <c r="AL2068">
        <v>88.020047143923705</v>
      </c>
      <c r="AM2068">
        <v>89.084402567259303</v>
      </c>
      <c r="AN2068">
        <v>1.00000002752449</v>
      </c>
    </row>
    <row r="2069" spans="1:40" x14ac:dyDescent="0.25">
      <c r="A2069" t="str">
        <f>"20190312160335691"</f>
        <v>20190312160335691</v>
      </c>
      <c r="B2069" t="str">
        <f>"1552377815686190"</f>
        <v>1552377815686190</v>
      </c>
      <c r="C2069" t="s">
        <v>40</v>
      </c>
      <c r="D2069">
        <v>4.8205580000000001</v>
      </c>
      <c r="E2069">
        <v>0.50004150000000003</v>
      </c>
      <c r="F2069" t="s">
        <v>79</v>
      </c>
      <c r="G2069">
        <v>-428.55759999999998</v>
      </c>
      <c r="H2069" s="1">
        <v>2.2075029999999999E-6</v>
      </c>
      <c r="I2069">
        <v>287.35149999999999</v>
      </c>
      <c r="J2069">
        <v>-318.85599999999999</v>
      </c>
      <c r="K2069">
        <v>1.1099909999999999</v>
      </c>
      <c r="L2069">
        <v>283.90170000000001</v>
      </c>
      <c r="M2069">
        <v>-0.99978849999999997</v>
      </c>
      <c r="N2069">
        <v>0</v>
      </c>
      <c r="O2069">
        <v>1.6396959999999999E-2</v>
      </c>
      <c r="P2069">
        <v>-0.99923680000000004</v>
      </c>
      <c r="Q2069">
        <v>2.2097780000000001E-2</v>
      </c>
      <c r="R2069">
        <v>3.221599E-2</v>
      </c>
      <c r="S2069">
        <v>-2.9999690000000001</v>
      </c>
      <c r="T2069">
        <v>-3.0307649999999998E-2</v>
      </c>
      <c r="U2069">
        <v>9.42688E-2</v>
      </c>
      <c r="V2069">
        <v>1.5827009999999999E-2</v>
      </c>
      <c r="W2069">
        <v>3.4510739999999998E-2</v>
      </c>
      <c r="X2069">
        <v>0.99927900000000003</v>
      </c>
      <c r="Y2069">
        <v>1.5013469999999999E-2</v>
      </c>
      <c r="Z2069" s="1">
        <v>-8.9786949999999996E-5</v>
      </c>
      <c r="AA2069">
        <v>0.99988730000000003</v>
      </c>
      <c r="AB2069">
        <v>29</v>
      </c>
      <c r="AC2069">
        <v>-109.701599999999</v>
      </c>
      <c r="AD2069">
        <v>-1.109988792497</v>
      </c>
      <c r="AE2069">
        <v>3.4497999999999802</v>
      </c>
      <c r="AF2069">
        <v>1.6502560013501399</v>
      </c>
      <c r="AG2069">
        <v>-1.109988792497</v>
      </c>
      <c r="AH2069">
        <v>109.732196940924</v>
      </c>
      <c r="AI2069">
        <v>90.579486385003193</v>
      </c>
      <c r="AJ2069">
        <v>89.138397122482601</v>
      </c>
      <c r="AK2069">
        <v>109.750218521291</v>
      </c>
      <c r="AL2069">
        <v>88.0222875497644</v>
      </c>
      <c r="AM2069">
        <v>89.092600705493297</v>
      </c>
      <c r="AN2069">
        <v>1.0000000026309399</v>
      </c>
    </row>
    <row r="2070" spans="1:40" x14ac:dyDescent="0.25">
      <c r="A2070" t="str">
        <f>"20190312160335703"</f>
        <v>20190312160335703</v>
      </c>
      <c r="B2070" t="str">
        <f>"1552377815696926"</f>
        <v>1552377815696926</v>
      </c>
      <c r="C2070" t="s">
        <v>40</v>
      </c>
      <c r="D2070">
        <v>4.8629670000000003</v>
      </c>
      <c r="E2070">
        <v>0.49996400000000002</v>
      </c>
      <c r="F2070" t="s">
        <v>79</v>
      </c>
      <c r="G2070">
        <v>-426.58659999999998</v>
      </c>
      <c r="H2070" s="1">
        <v>2.5674589999999999E-6</v>
      </c>
      <c r="I2070">
        <v>287.23329999999999</v>
      </c>
      <c r="J2070">
        <v>-319.024</v>
      </c>
      <c r="K2070">
        <v>1.109988</v>
      </c>
      <c r="L2070">
        <v>283.90449999999998</v>
      </c>
      <c r="M2070">
        <v>-0.99978849999999997</v>
      </c>
      <c r="N2070">
        <v>0</v>
      </c>
      <c r="O2070">
        <v>1.6397149999999999E-2</v>
      </c>
      <c r="P2070">
        <v>-0.99923300000000004</v>
      </c>
      <c r="Q2070">
        <v>2.198694E-2</v>
      </c>
      <c r="R2070">
        <v>3.2406320000000002E-2</v>
      </c>
      <c r="S2070">
        <v>-2.9999690000000001</v>
      </c>
      <c r="T2070">
        <v>-3.0909780000000001E-2</v>
      </c>
      <c r="U2070">
        <v>9.2773439999999999E-2</v>
      </c>
      <c r="V2070">
        <v>1.601723E-2</v>
      </c>
      <c r="W2070">
        <v>3.4399699999999998E-2</v>
      </c>
      <c r="X2070">
        <v>0.99927980000000005</v>
      </c>
      <c r="Y2070">
        <v>1.451538E-2</v>
      </c>
      <c r="Z2070" s="1">
        <v>-9.4138870000000006E-5</v>
      </c>
      <c r="AA2070">
        <v>0.99989459999999997</v>
      </c>
      <c r="AB2070">
        <v>29</v>
      </c>
      <c r="AC2070">
        <v>-107.56259999999899</v>
      </c>
      <c r="AD2070">
        <v>-1.1099854325409999</v>
      </c>
      <c r="AE2070">
        <v>3.3288000000000002</v>
      </c>
      <c r="AF2070">
        <v>1.56432998518205</v>
      </c>
      <c r="AG2070">
        <v>-1.1099854325409999</v>
      </c>
      <c r="AH2070">
        <v>107.59127733118299</v>
      </c>
      <c r="AI2070">
        <v>90.591019138160107</v>
      </c>
      <c r="AJ2070">
        <v>89.167003189452302</v>
      </c>
      <c r="AK2070">
        <v>107.608373994399</v>
      </c>
      <c r="AL2070">
        <v>88.028653457291099</v>
      </c>
      <c r="AM2070">
        <v>89.081697541966804</v>
      </c>
      <c r="AN2070">
        <v>1.0000000048525</v>
      </c>
    </row>
    <row r="2071" spans="1:40" x14ac:dyDescent="0.25">
      <c r="A2071" t="str">
        <f>"20190312160335714"</f>
        <v>20190312160335714</v>
      </c>
      <c r="B2071" t="str">
        <f>"1552377815706685"</f>
        <v>1552377815706685</v>
      </c>
      <c r="C2071" t="s">
        <v>40</v>
      </c>
      <c r="D2071">
        <v>4.8624559999999999</v>
      </c>
      <c r="E2071">
        <v>0.49991449999999998</v>
      </c>
      <c r="F2071" t="s">
        <v>79</v>
      </c>
      <c r="G2071">
        <v>-425.01100000000002</v>
      </c>
      <c r="H2071" s="1">
        <v>2.8518010000000002E-6</v>
      </c>
      <c r="I2071">
        <v>287.17779999999999</v>
      </c>
      <c r="J2071">
        <v>-319.16340000000002</v>
      </c>
      <c r="K2071">
        <v>1.1099829999999999</v>
      </c>
      <c r="L2071">
        <v>283.90679999999998</v>
      </c>
      <c r="M2071">
        <v>-0.99978849999999997</v>
      </c>
      <c r="N2071">
        <v>0</v>
      </c>
      <c r="O2071">
        <v>1.6397459999999999E-2</v>
      </c>
      <c r="P2071">
        <v>-0.9992491</v>
      </c>
      <c r="Q2071">
        <v>2.15563E-2</v>
      </c>
      <c r="R2071">
        <v>3.2198589999999999E-2</v>
      </c>
      <c r="S2071">
        <v>-2.9999690000000001</v>
      </c>
      <c r="T2071">
        <v>-3.14182E-2</v>
      </c>
      <c r="U2071">
        <v>9.2651369999999997E-2</v>
      </c>
      <c r="V2071">
        <v>1.5808949999999999E-2</v>
      </c>
      <c r="W2071">
        <v>3.3968890000000002E-2</v>
      </c>
      <c r="X2071">
        <v>0.99929789999999996</v>
      </c>
      <c r="Y2071">
        <v>1.447443E-2</v>
      </c>
      <c r="Z2071" s="1">
        <v>-9.5904949999999994E-5</v>
      </c>
      <c r="AA2071">
        <v>0.99989519999999998</v>
      </c>
      <c r="AB2071">
        <v>29</v>
      </c>
      <c r="AC2071">
        <v>-105.84759999999901</v>
      </c>
      <c r="AD2071">
        <v>-1.1099801481989999</v>
      </c>
      <c r="AE2071">
        <v>3.2710000000000101</v>
      </c>
      <c r="AF2071">
        <v>1.53462604089479</v>
      </c>
      <c r="AG2071">
        <v>-1.1099801481989999</v>
      </c>
      <c r="AH2071">
        <v>105.875375247649</v>
      </c>
      <c r="AI2071">
        <v>90.600594509380997</v>
      </c>
      <c r="AJ2071">
        <v>89.169576134810796</v>
      </c>
      <c r="AK2071">
        <v>105.892314248227</v>
      </c>
      <c r="AL2071">
        <v>88.053351576209906</v>
      </c>
      <c r="AM2071">
        <v>89.093653093927301</v>
      </c>
      <c r="AN2071">
        <v>1.0000000506661699</v>
      </c>
    </row>
    <row r="2072" spans="1:40" x14ac:dyDescent="0.25">
      <c r="A2072" t="str">
        <f>"20190312160335725"</f>
        <v>20190312160335725</v>
      </c>
      <c r="B2072" t="str">
        <f>"1552377815716446"</f>
        <v>1552377815716446</v>
      </c>
      <c r="C2072" t="s">
        <v>40</v>
      </c>
      <c r="D2072">
        <v>4.9062020000000004</v>
      </c>
      <c r="E2072">
        <v>0.49986350000000002</v>
      </c>
      <c r="F2072" t="s">
        <v>79</v>
      </c>
      <c r="G2072">
        <v>-418.74419999999998</v>
      </c>
      <c r="H2072" s="1">
        <v>3.5530990000000001E-6</v>
      </c>
      <c r="I2072">
        <v>286.94670000000002</v>
      </c>
      <c r="J2072">
        <v>-319.31079999999997</v>
      </c>
      <c r="K2072">
        <v>1.1099810000000001</v>
      </c>
      <c r="L2072">
        <v>283.9092</v>
      </c>
      <c r="M2072">
        <v>-0.99978849999999997</v>
      </c>
      <c r="N2072">
        <v>0</v>
      </c>
      <c r="O2072">
        <v>1.6397829999999999E-2</v>
      </c>
      <c r="P2072">
        <v>-0.99925649999999999</v>
      </c>
      <c r="Q2072">
        <v>2.132624E-2</v>
      </c>
      <c r="R2072">
        <v>3.2124359999999998E-2</v>
      </c>
      <c r="S2072">
        <v>-3.0000309999999999</v>
      </c>
      <c r="T2072">
        <v>-3.3439869999999997E-2</v>
      </c>
      <c r="U2072">
        <v>9.1583250000000005E-2</v>
      </c>
      <c r="V2072">
        <v>1.5734419999999999E-2</v>
      </c>
      <c r="W2072">
        <v>3.3739180000000001E-2</v>
      </c>
      <c r="X2072">
        <v>0.99930680000000005</v>
      </c>
      <c r="Y2072">
        <v>1.41178E-2</v>
      </c>
      <c r="Z2072">
        <v>-1.040656E-4</v>
      </c>
      <c r="AA2072">
        <v>0.99990029999999996</v>
      </c>
      <c r="AB2072">
        <v>29</v>
      </c>
      <c r="AC2072">
        <v>-99.433400000000006</v>
      </c>
      <c r="AD2072">
        <v>-1.109977446901</v>
      </c>
      <c r="AE2072">
        <v>3.0375000000000201</v>
      </c>
      <c r="AF2072">
        <v>1.40629884872734</v>
      </c>
      <c r="AG2072">
        <v>-1.109977446901</v>
      </c>
      <c r="AH2072">
        <v>99.457458873508997</v>
      </c>
      <c r="AI2072">
        <v>90.639349002217898</v>
      </c>
      <c r="AJ2072">
        <v>89.189908725747301</v>
      </c>
      <c r="AK2072">
        <v>99.473593742059506</v>
      </c>
      <c r="AL2072">
        <v>88.066520424959705</v>
      </c>
      <c r="AM2072">
        <v>89.097933317146797</v>
      </c>
      <c r="AN2072">
        <v>0.99999999238302395</v>
      </c>
    </row>
    <row r="2073" spans="1:40" x14ac:dyDescent="0.25">
      <c r="A2073" t="str">
        <f>"20190312160335736"</f>
        <v>20190312160335736</v>
      </c>
      <c r="B2073" t="str">
        <f>"1552377815726207"</f>
        <v>1552377815726207</v>
      </c>
      <c r="C2073" t="s">
        <v>40</v>
      </c>
      <c r="D2073">
        <v>4.9066530000000004</v>
      </c>
      <c r="E2073">
        <v>0.49980289999999999</v>
      </c>
      <c r="F2073" t="s">
        <v>79</v>
      </c>
      <c r="G2073">
        <v>-415.67309999999998</v>
      </c>
      <c r="H2073" s="1">
        <v>3.0187710000000001E-6</v>
      </c>
      <c r="I2073">
        <v>286.82729999999998</v>
      </c>
      <c r="J2073">
        <v>-319.45920000000001</v>
      </c>
      <c r="K2073">
        <v>1.10998</v>
      </c>
      <c r="L2073">
        <v>283.9117</v>
      </c>
      <c r="M2073">
        <v>-0.99978849999999997</v>
      </c>
      <c r="N2073">
        <v>0</v>
      </c>
      <c r="O2073">
        <v>1.6398320000000001E-2</v>
      </c>
      <c r="P2073">
        <v>-0.99926190000000004</v>
      </c>
      <c r="Q2073">
        <v>2.102501E-2</v>
      </c>
      <c r="R2073">
        <v>3.215316E-2</v>
      </c>
      <c r="S2073">
        <v>-3.000092</v>
      </c>
      <c r="T2073">
        <v>-3.4557459999999998E-2</v>
      </c>
      <c r="U2073">
        <v>9.0850829999999994E-2</v>
      </c>
      <c r="V2073">
        <v>1.576251E-2</v>
      </c>
      <c r="W2073">
        <v>3.343848E-2</v>
      </c>
      <c r="X2073">
        <v>0.99931650000000005</v>
      </c>
      <c r="Y2073">
        <v>1.3872840000000001E-2</v>
      </c>
      <c r="Z2073">
        <v>-1.089576E-4</v>
      </c>
      <c r="AA2073">
        <v>0.99990369999999995</v>
      </c>
      <c r="AB2073">
        <v>29</v>
      </c>
      <c r="AC2073">
        <v>-96.213899999999896</v>
      </c>
      <c r="AD2073">
        <v>-1.1099769812289999</v>
      </c>
      <c r="AE2073">
        <v>2.91559999999998</v>
      </c>
      <c r="AF2073">
        <v>1.3371622403146901</v>
      </c>
      <c r="AG2073">
        <v>-1.1099769812289999</v>
      </c>
      <c r="AH2073">
        <v>96.235979068666694</v>
      </c>
      <c r="AI2073">
        <v>90.660751205213899</v>
      </c>
      <c r="AJ2073">
        <v>89.203948213076401</v>
      </c>
      <c r="AK2073">
        <v>96.251668655980396</v>
      </c>
      <c r="AL2073">
        <v>88.083759061279693</v>
      </c>
      <c r="AM2073">
        <v>89.096331932365302</v>
      </c>
      <c r="AN2073">
        <v>1.00000002791923</v>
      </c>
    </row>
    <row r="2074" spans="1:40" x14ac:dyDescent="0.25">
      <c r="A2074" t="str">
        <f>"20190312160335748"</f>
        <v>20190312160335748</v>
      </c>
      <c r="B2074" t="str">
        <f>"1552377815736942"</f>
        <v>1552377815736942</v>
      </c>
      <c r="C2074" t="s">
        <v>40</v>
      </c>
      <c r="D2074">
        <v>4.877135</v>
      </c>
      <c r="E2074">
        <v>0.49975170000000002</v>
      </c>
      <c r="F2074" t="s">
        <v>79</v>
      </c>
      <c r="G2074">
        <v>-410.35969999999998</v>
      </c>
      <c r="H2074" s="1">
        <v>2.0919709999999999E-6</v>
      </c>
      <c r="I2074">
        <v>286.64769999999999</v>
      </c>
      <c r="J2074">
        <v>-319.60480000000001</v>
      </c>
      <c r="K2074">
        <v>1.1099810000000001</v>
      </c>
      <c r="L2074">
        <v>283.91399999999999</v>
      </c>
      <c r="M2074">
        <v>-0.99978849999999997</v>
      </c>
      <c r="N2074">
        <v>0</v>
      </c>
      <c r="O2074">
        <v>1.6398860000000001E-2</v>
      </c>
      <c r="P2074">
        <v>-0.99926009999999998</v>
      </c>
      <c r="Q2074">
        <v>2.0794469999999999E-2</v>
      </c>
      <c r="R2074">
        <v>3.235553E-2</v>
      </c>
      <c r="S2074">
        <v>-3.000092</v>
      </c>
      <c r="T2074">
        <v>-3.6633850000000003E-2</v>
      </c>
      <c r="U2074">
        <v>9.0301510000000001E-2</v>
      </c>
      <c r="V2074">
        <v>1.5964430000000002E-2</v>
      </c>
      <c r="W2074">
        <v>3.3207809999999997E-2</v>
      </c>
      <c r="X2074">
        <v>0.99932100000000001</v>
      </c>
      <c r="Y2074">
        <v>1.3689420000000001E-2</v>
      </c>
      <c r="Z2074">
        <v>-1.1663049999999999E-4</v>
      </c>
      <c r="AA2074">
        <v>0.99990630000000003</v>
      </c>
      <c r="AB2074">
        <v>29</v>
      </c>
      <c r="AC2074">
        <v>-90.754899999999907</v>
      </c>
      <c r="AD2074">
        <v>-1.1099789080289999</v>
      </c>
      <c r="AE2074">
        <v>2.73369999999999</v>
      </c>
      <c r="AF2074">
        <v>1.2447547791112501</v>
      </c>
      <c r="AG2074">
        <v>-1.1099789080289999</v>
      </c>
      <c r="AH2074">
        <v>90.773961140669002</v>
      </c>
      <c r="AI2074">
        <v>90.700508812629707</v>
      </c>
      <c r="AJ2074">
        <v>89.214370236283202</v>
      </c>
      <c r="AK2074">
        <v>90.789280693284894</v>
      </c>
      <c r="AL2074">
        <v>88.096982848062197</v>
      </c>
      <c r="AM2074">
        <v>89.084761892980197</v>
      </c>
      <c r="AN2074">
        <v>1.0000000413556001</v>
      </c>
    </row>
    <row r="2075" spans="1:40" x14ac:dyDescent="0.25">
      <c r="A2075" t="str">
        <f>"20190312160335760"</f>
        <v>20190312160335760</v>
      </c>
      <c r="B2075" t="str">
        <f>"1552377815756464"</f>
        <v>1552377815756464</v>
      </c>
      <c r="C2075" t="s">
        <v>40</v>
      </c>
      <c r="D2075">
        <v>4.9048040000000004</v>
      </c>
      <c r="E2075">
        <v>0.49964019999999998</v>
      </c>
      <c r="F2075" t="s">
        <v>79</v>
      </c>
      <c r="G2075">
        <v>-407.17320000000001</v>
      </c>
      <c r="H2075" s="1">
        <v>4.8197120000000001E-6</v>
      </c>
      <c r="I2075">
        <v>286.55959999999999</v>
      </c>
      <c r="J2075">
        <v>-319.76130000000001</v>
      </c>
      <c r="K2075">
        <v>1.1099810000000001</v>
      </c>
      <c r="L2075">
        <v>283.91660000000002</v>
      </c>
      <c r="M2075">
        <v>-0.99978849999999997</v>
      </c>
      <c r="N2075">
        <v>0</v>
      </c>
      <c r="O2075">
        <v>1.6398869999999999E-2</v>
      </c>
      <c r="P2075">
        <v>-0.99926669999999995</v>
      </c>
      <c r="Q2075">
        <v>2.060321E-2</v>
      </c>
      <c r="R2075">
        <v>3.2279530000000001E-2</v>
      </c>
      <c r="S2075">
        <v>-3.000092</v>
      </c>
      <c r="T2075">
        <v>-3.8027760000000001E-2</v>
      </c>
      <c r="U2075">
        <v>9.0637209999999996E-2</v>
      </c>
      <c r="V2075">
        <v>1.588842E-2</v>
      </c>
      <c r="W2075">
        <v>3.3016700000000003E-2</v>
      </c>
      <c r="X2075">
        <v>0.99932849999999995</v>
      </c>
      <c r="Y2075">
        <v>1.38012E-2</v>
      </c>
      <c r="Z2075">
        <v>-1.203595E-4</v>
      </c>
      <c r="AA2075">
        <v>0.99990480000000004</v>
      </c>
      <c r="AB2075">
        <v>29</v>
      </c>
      <c r="AC2075">
        <v>-87.411900000000003</v>
      </c>
      <c r="AD2075">
        <v>-1.1099761802879999</v>
      </c>
      <c r="AE2075">
        <v>2.64299999999997</v>
      </c>
      <c r="AF2075">
        <v>1.20888299479604</v>
      </c>
      <c r="AG2075">
        <v>-1.1099761802879999</v>
      </c>
      <c r="AH2075">
        <v>87.429404742256295</v>
      </c>
      <c r="AI2075">
        <v>90.727300575950196</v>
      </c>
      <c r="AJ2075">
        <v>89.207823956160098</v>
      </c>
      <c r="AK2075">
        <v>87.444806928720396</v>
      </c>
      <c r="AL2075">
        <v>88.107938569043</v>
      </c>
      <c r="AM2075">
        <v>89.089125632680705</v>
      </c>
      <c r="AN2075">
        <v>0.99999999764061798</v>
      </c>
    </row>
    <row r="2076" spans="1:40" x14ac:dyDescent="0.25">
      <c r="A2076" t="str">
        <f>"20190312160335775"</f>
        <v>20190312160335775</v>
      </c>
      <c r="B2076" t="str">
        <f>"1552377815766222"</f>
        <v>1552377815766222</v>
      </c>
      <c r="C2076" t="s">
        <v>40</v>
      </c>
      <c r="D2076">
        <v>4.9217709999999997</v>
      </c>
      <c r="E2076">
        <v>0.49958809999999898</v>
      </c>
      <c r="F2076" t="s">
        <v>79</v>
      </c>
      <c r="G2076">
        <v>-401.05799999999999</v>
      </c>
      <c r="H2076" s="1">
        <v>7.5778629999999902E-6</v>
      </c>
      <c r="I2076">
        <v>286.33539999999999</v>
      </c>
      <c r="J2076">
        <v>-319.96449999999999</v>
      </c>
      <c r="K2076">
        <v>1.10998</v>
      </c>
      <c r="L2076">
        <v>283.91989999999998</v>
      </c>
      <c r="M2076">
        <v>-0.99978829999999996</v>
      </c>
      <c r="N2076">
        <v>0</v>
      </c>
      <c r="O2076">
        <v>1.6399529999999999E-2</v>
      </c>
      <c r="P2076">
        <v>-0.9992685</v>
      </c>
      <c r="Q2076">
        <v>2.060785E-2</v>
      </c>
      <c r="R2076">
        <v>3.2218129999999998E-2</v>
      </c>
      <c r="S2076">
        <v>-3.0001829999999998</v>
      </c>
      <c r="T2076">
        <v>-4.0962579999999998E-2</v>
      </c>
      <c r="U2076">
        <v>8.9263919999999997E-2</v>
      </c>
      <c r="V2076">
        <v>1.5826320000000001E-2</v>
      </c>
      <c r="W2076">
        <v>3.302099E-2</v>
      </c>
      <c r="X2076">
        <v>0.99932929999999998</v>
      </c>
      <c r="Y2076">
        <v>1.3342410000000001E-2</v>
      </c>
      <c r="Z2076">
        <v>-1.327849E-4</v>
      </c>
      <c r="AA2076">
        <v>0.99991099999999999</v>
      </c>
      <c r="AB2076">
        <v>29</v>
      </c>
      <c r="AC2076">
        <v>-81.093500000000006</v>
      </c>
      <c r="AD2076">
        <v>-1.109972422137</v>
      </c>
      <c r="AE2076">
        <v>2.4155000000000002</v>
      </c>
      <c r="AF2076">
        <v>1.0849740482164301</v>
      </c>
      <c r="AG2076">
        <v>-1.109972422137</v>
      </c>
      <c r="AH2076">
        <v>81.107026994814504</v>
      </c>
      <c r="AI2076">
        <v>90.783989739600401</v>
      </c>
      <c r="AJ2076">
        <v>89.233596292184501</v>
      </c>
      <c r="AK2076">
        <v>81.121877661952396</v>
      </c>
      <c r="AL2076">
        <v>88.107692553459302</v>
      </c>
      <c r="AM2076">
        <v>89.092685921375605</v>
      </c>
      <c r="AN2076">
        <v>0.999999954011905</v>
      </c>
    </row>
    <row r="2077" spans="1:40" x14ac:dyDescent="0.25">
      <c r="A2077" t="str">
        <f>"20190312160335798"</f>
        <v>20190312160335798</v>
      </c>
      <c r="B2077" t="str">
        <f>"1552377815786718"</f>
        <v>1552377815786718</v>
      </c>
      <c r="C2077" t="s">
        <v>40</v>
      </c>
      <c r="D2077">
        <v>4.9168620000000001</v>
      </c>
      <c r="E2077">
        <v>0.49951659999999998</v>
      </c>
      <c r="F2077" t="s">
        <v>70</v>
      </c>
      <c r="G2077">
        <v>-399.25319999999999</v>
      </c>
      <c r="H2077" s="1">
        <v>3.3873289999999999E-6</v>
      </c>
      <c r="I2077">
        <v>286.262</v>
      </c>
      <c r="J2077">
        <v>-320.25209999999998</v>
      </c>
      <c r="K2077">
        <v>1.10998</v>
      </c>
      <c r="L2077">
        <v>283.9246</v>
      </c>
      <c r="M2077">
        <v>-0.99978829999999996</v>
      </c>
      <c r="N2077">
        <v>0</v>
      </c>
      <c r="O2077">
        <v>1.639989E-2</v>
      </c>
      <c r="P2077">
        <v>-0.99927929999999998</v>
      </c>
      <c r="Q2077">
        <v>2.0754970000000001E-2</v>
      </c>
      <c r="R2077">
        <v>3.1786099999999998E-2</v>
      </c>
      <c r="S2077">
        <v>-3.0002140000000002</v>
      </c>
      <c r="T2077">
        <v>-4.2000530000000001E-2</v>
      </c>
      <c r="U2077">
        <v>8.8623049999999995E-2</v>
      </c>
      <c r="V2077">
        <v>1.5393860000000001E-2</v>
      </c>
      <c r="W2077">
        <v>3.3168259999999998E-2</v>
      </c>
      <c r="X2077">
        <v>0.99933119999999998</v>
      </c>
      <c r="Y2077">
        <v>1.312838E-2</v>
      </c>
      <c r="Z2077">
        <v>-1.3765110000000001E-4</v>
      </c>
      <c r="AA2077">
        <v>0.99991379999999996</v>
      </c>
      <c r="AB2077">
        <v>29</v>
      </c>
      <c r="AC2077">
        <v>-79.001099999999994</v>
      </c>
      <c r="AD2077">
        <v>-1.109976612671</v>
      </c>
      <c r="AE2077">
        <v>2.3374000000000001</v>
      </c>
      <c r="AF2077">
        <v>1.04117086515945</v>
      </c>
      <c r="AG2077">
        <v>-1.109976612671</v>
      </c>
      <c r="AH2077">
        <v>79.013225702100996</v>
      </c>
      <c r="AI2077">
        <v>90.804767455669506</v>
      </c>
      <c r="AJ2077">
        <v>89.245047352719197</v>
      </c>
      <c r="AK2077">
        <v>79.027880654249302</v>
      </c>
      <c r="AL2077">
        <v>88.099250020480099</v>
      </c>
      <c r="AM2077">
        <v>89.117476312801401</v>
      </c>
      <c r="AN2077">
        <v>0.999999975845283</v>
      </c>
    </row>
    <row r="2078" spans="1:40" x14ac:dyDescent="0.25">
      <c r="A2078" t="str">
        <f>"20190312160335810"</f>
        <v>20190312160335810</v>
      </c>
      <c r="B2078" t="str">
        <f>"1552377815796478"</f>
        <v>1552377815796478</v>
      </c>
      <c r="C2078" t="s">
        <v>40</v>
      </c>
      <c r="D2078">
        <v>4.9598620000000002</v>
      </c>
      <c r="E2078">
        <v>0.4994712</v>
      </c>
      <c r="F2078" t="s">
        <v>70</v>
      </c>
      <c r="G2078">
        <v>-397.06380000000001</v>
      </c>
      <c r="H2078" s="1">
        <v>2.222244E-6</v>
      </c>
      <c r="I2078">
        <v>286.14580000000001</v>
      </c>
      <c r="J2078">
        <v>-320.3974</v>
      </c>
      <c r="K2078">
        <v>1.109982</v>
      </c>
      <c r="L2078">
        <v>283.92700000000002</v>
      </c>
      <c r="M2078">
        <v>-0.99978849999999997</v>
      </c>
      <c r="N2078">
        <v>0</v>
      </c>
      <c r="O2078">
        <v>1.639972E-2</v>
      </c>
      <c r="P2078">
        <v>-0.99928220000000001</v>
      </c>
      <c r="Q2078">
        <v>2.0749589999999998E-2</v>
      </c>
      <c r="R2078">
        <v>3.1700300000000001E-2</v>
      </c>
      <c r="S2078">
        <v>-3.000305</v>
      </c>
      <c r="T2078">
        <v>-4.33563E-2</v>
      </c>
      <c r="U2078">
        <v>8.6761469999999993E-2</v>
      </c>
      <c r="V2078">
        <v>1.5308220000000001E-2</v>
      </c>
      <c r="W2078">
        <v>3.316301E-2</v>
      </c>
      <c r="X2078">
        <v>0.99933269999999996</v>
      </c>
      <c r="Y2078">
        <v>1.2507860000000001E-2</v>
      </c>
      <c r="Z2078">
        <v>-1.4657099999999999E-4</v>
      </c>
      <c r="AA2078">
        <v>0.99992170000000002</v>
      </c>
      <c r="AB2078">
        <v>29</v>
      </c>
      <c r="AC2078">
        <v>-76.666399999999996</v>
      </c>
      <c r="AD2078">
        <v>-1.1099797777560001</v>
      </c>
      <c r="AE2078">
        <v>2.2187999999999799</v>
      </c>
      <c r="AF2078">
        <v>0.96089599131386505</v>
      </c>
      <c r="AG2078">
        <v>-1.1099797777560001</v>
      </c>
      <c r="AH2078">
        <v>76.676419484628994</v>
      </c>
      <c r="AI2078">
        <v>90.829299580122196</v>
      </c>
      <c r="AJ2078">
        <v>89.2820165129082</v>
      </c>
      <c r="AK2078">
        <v>76.690473210144802</v>
      </c>
      <c r="AL2078">
        <v>88.099551008322607</v>
      </c>
      <c r="AM2078">
        <v>89.122386565960795</v>
      </c>
      <c r="AN2078">
        <v>0.99999998606055895</v>
      </c>
    </row>
    <row r="2079" spans="1:40" x14ac:dyDescent="0.25">
      <c r="A2079" t="str">
        <f>"20190312160335820"</f>
        <v>20190312160335820</v>
      </c>
      <c r="B2079" t="str">
        <f>"1552377815816975"</f>
        <v>1552377815816975</v>
      </c>
      <c r="C2079" t="s">
        <v>40</v>
      </c>
      <c r="D2079">
        <v>4.9392849999999999</v>
      </c>
      <c r="E2079">
        <v>0.49939050000000001</v>
      </c>
      <c r="F2079" t="s">
        <v>70</v>
      </c>
      <c r="G2079">
        <v>-395.31619999999998</v>
      </c>
      <c r="H2079" s="1">
        <v>1.292234E-6</v>
      </c>
      <c r="I2079">
        <v>286.07749999999999</v>
      </c>
      <c r="J2079">
        <v>-320.55</v>
      </c>
      <c r="K2079">
        <v>1.1099859999999999</v>
      </c>
      <c r="L2079">
        <v>283.92950000000002</v>
      </c>
      <c r="M2079">
        <v>-0.99978849999999997</v>
      </c>
      <c r="N2079">
        <v>0</v>
      </c>
      <c r="O2079">
        <v>1.639989E-2</v>
      </c>
      <c r="P2079">
        <v>-0.99928340000000004</v>
      </c>
      <c r="Q2079">
        <v>2.0540300000000001E-2</v>
      </c>
      <c r="R2079">
        <v>3.1794799999999998E-2</v>
      </c>
      <c r="S2079">
        <v>-3.0003359999999999</v>
      </c>
      <c r="T2079">
        <v>-4.4452310000000002E-2</v>
      </c>
      <c r="U2079">
        <v>8.612061E-2</v>
      </c>
      <c r="V2079">
        <v>1.5402559999999999E-2</v>
      </c>
      <c r="W2079">
        <v>3.2953799999999998E-2</v>
      </c>
      <c r="X2079">
        <v>0.99933819999999995</v>
      </c>
      <c r="Y2079">
        <v>1.2294029999999999E-2</v>
      </c>
      <c r="Z2079">
        <v>-1.518611E-4</v>
      </c>
      <c r="AA2079">
        <v>0.99992440000000005</v>
      </c>
      <c r="AB2079">
        <v>29</v>
      </c>
      <c r="AC2079">
        <v>-74.766199999999898</v>
      </c>
      <c r="AD2079">
        <v>-1.1099847077659999</v>
      </c>
      <c r="AE2079">
        <v>2.1479999999999602</v>
      </c>
      <c r="AF2079">
        <v>0.92125631390972795</v>
      </c>
      <c r="AG2079">
        <v>-1.1099847077659999</v>
      </c>
      <c r="AH2079">
        <v>74.774905783253899</v>
      </c>
      <c r="AI2079">
        <v>90.850391485185497</v>
      </c>
      <c r="AJ2079">
        <v>89.294129125399394</v>
      </c>
      <c r="AK2079">
        <v>74.788818109005405</v>
      </c>
      <c r="AL2079">
        <v>88.111544468332397</v>
      </c>
      <c r="AM2079">
        <v>89.116983808588003</v>
      </c>
      <c r="AN2079">
        <v>1.0000000148841099</v>
      </c>
    </row>
    <row r="2080" spans="1:40" x14ac:dyDescent="0.25">
      <c r="A2080" t="str">
        <f>"20190312160335832"</f>
        <v>20190312160335832</v>
      </c>
      <c r="B2080" t="str">
        <f>"1552377815826734"</f>
        <v>1552377815826734</v>
      </c>
      <c r="C2080" t="s">
        <v>40</v>
      </c>
      <c r="D2080">
        <v>4.9825569999999999</v>
      </c>
      <c r="E2080">
        <v>0.49934050000000002</v>
      </c>
      <c r="F2080" t="s">
        <v>70</v>
      </c>
      <c r="G2080">
        <v>-391.62729999999999</v>
      </c>
      <c r="H2080" s="1">
        <v>-6.7084099999999997E-7</v>
      </c>
      <c r="I2080">
        <v>285.9588</v>
      </c>
      <c r="J2080">
        <v>-320.69709999999998</v>
      </c>
      <c r="K2080">
        <v>1.1099859999999999</v>
      </c>
      <c r="L2080">
        <v>283.93189999999998</v>
      </c>
      <c r="M2080">
        <v>-0.99978849999999997</v>
      </c>
      <c r="N2080">
        <v>0</v>
      </c>
      <c r="O2080">
        <v>1.639989E-2</v>
      </c>
      <c r="P2080">
        <v>-0.99928879999999998</v>
      </c>
      <c r="Q2080">
        <v>2.0771600000000001E-2</v>
      </c>
      <c r="R2080">
        <v>3.1481960000000003E-2</v>
      </c>
      <c r="S2080">
        <v>-3.0003660000000001</v>
      </c>
      <c r="T2080">
        <v>-4.6855569999999999E-2</v>
      </c>
      <c r="U2080">
        <v>8.5662840000000004E-2</v>
      </c>
      <c r="V2080">
        <v>1.5089669999999999E-2</v>
      </c>
      <c r="W2080">
        <v>3.3185409999999999E-2</v>
      </c>
      <c r="X2080">
        <v>0.99933530000000004</v>
      </c>
      <c r="Y2080">
        <v>1.214137E-2</v>
      </c>
      <c r="Z2080">
        <v>-1.6126070000000001E-4</v>
      </c>
      <c r="AA2080">
        <v>0.99992630000000005</v>
      </c>
      <c r="AB2080">
        <v>29</v>
      </c>
      <c r="AC2080">
        <v>-70.930199999999999</v>
      </c>
      <c r="AD2080">
        <v>-1.109986670841</v>
      </c>
      <c r="AE2080">
        <v>2.0269000000000101</v>
      </c>
      <c r="AF2080">
        <v>0.86307912038185697</v>
      </c>
      <c r="AG2080">
        <v>-1.109986670841</v>
      </c>
      <c r="AH2080">
        <v>70.9365452598243</v>
      </c>
      <c r="AI2080">
        <v>90.8964019307396</v>
      </c>
      <c r="AJ2080">
        <v>89.302921351915998</v>
      </c>
      <c r="AK2080">
        <v>70.950478711398304</v>
      </c>
      <c r="AL2080">
        <v>88.098266913403293</v>
      </c>
      <c r="AM2080">
        <v>89.134916272598403</v>
      </c>
      <c r="AN2080">
        <v>1.0000000057018299</v>
      </c>
    </row>
    <row r="2081" spans="1:40" x14ac:dyDescent="0.25">
      <c r="A2081" t="str">
        <f>"20190312160335843"</f>
        <v>20190312160335843</v>
      </c>
      <c r="B2081" t="str">
        <f>"1552377815836494"</f>
        <v>1552377815836494</v>
      </c>
      <c r="C2081" t="s">
        <v>40</v>
      </c>
      <c r="D2081">
        <v>4.9607320000000001</v>
      </c>
      <c r="E2081">
        <v>0.49931999999999999</v>
      </c>
      <c r="F2081" t="s">
        <v>70</v>
      </c>
      <c r="G2081">
        <v>-392.32810000000001</v>
      </c>
      <c r="H2081" s="1">
        <v>-2.9790669999999999E-7</v>
      </c>
      <c r="I2081">
        <v>285.94560000000001</v>
      </c>
      <c r="J2081">
        <v>-320.84710000000001</v>
      </c>
      <c r="K2081">
        <v>1.1099870000000001</v>
      </c>
      <c r="L2081">
        <v>283.93439999999998</v>
      </c>
      <c r="M2081">
        <v>-0.99978829999999996</v>
      </c>
      <c r="N2081">
        <v>0</v>
      </c>
      <c r="O2081">
        <v>1.639972E-2</v>
      </c>
      <c r="P2081">
        <v>-0.99929699999999999</v>
      </c>
      <c r="Q2081">
        <v>2.0517629999999999E-2</v>
      </c>
      <c r="R2081">
        <v>3.1374689999999997E-2</v>
      </c>
      <c r="S2081">
        <v>-3.000397</v>
      </c>
      <c r="T2081">
        <v>-4.6493890000000003E-2</v>
      </c>
      <c r="U2081">
        <v>8.4350590000000003E-2</v>
      </c>
      <c r="V2081">
        <v>1.498237E-2</v>
      </c>
      <c r="W2081">
        <v>3.29314E-2</v>
      </c>
      <c r="X2081">
        <v>0.99934529999999999</v>
      </c>
      <c r="Y2081">
        <v>1.1704320000000001E-2</v>
      </c>
      <c r="Z2081">
        <v>-1.6339840000000001E-4</v>
      </c>
      <c r="AA2081">
        <v>0.99993149999999997</v>
      </c>
      <c r="AB2081">
        <v>29</v>
      </c>
      <c r="AC2081">
        <v>-71.480999999999995</v>
      </c>
      <c r="AD2081">
        <v>-1.1099872979067</v>
      </c>
      <c r="AE2081">
        <v>2.0112000000000299</v>
      </c>
      <c r="AF2081">
        <v>0.83836858806731995</v>
      </c>
      <c r="AG2081">
        <v>-1.1099872979067</v>
      </c>
      <c r="AH2081">
        <v>71.4871468953137</v>
      </c>
      <c r="AI2081">
        <v>90.8895040312687</v>
      </c>
      <c r="AJ2081">
        <v>89.328092085467105</v>
      </c>
      <c r="AK2081">
        <v>71.500679052181894</v>
      </c>
      <c r="AL2081">
        <v>88.112828541069106</v>
      </c>
      <c r="AM2081">
        <v>89.141075400216295</v>
      </c>
      <c r="AN2081">
        <v>0.99999998857443295</v>
      </c>
    </row>
    <row r="2082" spans="1:40" x14ac:dyDescent="0.25">
      <c r="A2082" t="str">
        <f>"20190312160335856"</f>
        <v>20190312160335856</v>
      </c>
      <c r="B2082" t="str">
        <f>"1552377815846255"</f>
        <v>1552377815846255</v>
      </c>
      <c r="C2082" t="s">
        <v>40</v>
      </c>
      <c r="D2082">
        <v>4.9477830000000003</v>
      </c>
      <c r="E2082">
        <v>0.4992895</v>
      </c>
      <c r="F2082" t="s">
        <v>70</v>
      </c>
      <c r="G2082">
        <v>-390.43639999999999</v>
      </c>
      <c r="H2082" s="1">
        <v>-1.304547E-6</v>
      </c>
      <c r="I2082">
        <v>285.87939999999998</v>
      </c>
      <c r="J2082">
        <v>-320.99459999999999</v>
      </c>
      <c r="K2082">
        <v>1.10999</v>
      </c>
      <c r="L2082">
        <v>283.93680000000001</v>
      </c>
      <c r="M2082">
        <v>-0.99978829999999996</v>
      </c>
      <c r="N2082">
        <v>0</v>
      </c>
      <c r="O2082">
        <v>1.639972E-2</v>
      </c>
      <c r="P2082">
        <v>-0.99929939999999995</v>
      </c>
      <c r="Q2082">
        <v>2.067979E-2</v>
      </c>
      <c r="R2082">
        <v>3.119297E-2</v>
      </c>
      <c r="S2082">
        <v>-3.0004580000000001</v>
      </c>
      <c r="T2082">
        <v>-4.7858949999999997E-2</v>
      </c>
      <c r="U2082">
        <v>8.3862300000000001E-2</v>
      </c>
      <c r="V2082">
        <v>1.480076E-2</v>
      </c>
      <c r="W2082">
        <v>3.309343E-2</v>
      </c>
      <c r="X2082">
        <v>0.99934270000000003</v>
      </c>
      <c r="Y2082">
        <v>1.15412E-2</v>
      </c>
      <c r="Z2082">
        <v>-1.6949279999999901E-4</v>
      </c>
      <c r="AA2082">
        <v>0.99993339999999997</v>
      </c>
      <c r="AB2082">
        <v>29</v>
      </c>
      <c r="AC2082">
        <v>-69.441800000000001</v>
      </c>
      <c r="AD2082">
        <v>-1.109991304547</v>
      </c>
      <c r="AE2082">
        <v>1.9425999999999699</v>
      </c>
      <c r="AF2082">
        <v>0.80321963869907398</v>
      </c>
      <c r="AG2082">
        <v>-1.109991304547</v>
      </c>
      <c r="AH2082">
        <v>69.446590284647002</v>
      </c>
      <c r="AI2082">
        <v>90.915641064084596</v>
      </c>
      <c r="AJ2082">
        <v>89.337346251603506</v>
      </c>
      <c r="AK2082">
        <v>69.460104697932806</v>
      </c>
      <c r="AL2082">
        <v>88.103539930659494</v>
      </c>
      <c r="AM2082">
        <v>89.151483184841794</v>
      </c>
      <c r="AN2082">
        <v>1.0000000348245099</v>
      </c>
    </row>
    <row r="2083" spans="1:40" x14ac:dyDescent="0.25">
      <c r="A2083" t="str">
        <f>"20190312160335868"</f>
        <v>20190312160335868</v>
      </c>
      <c r="B2083" t="str">
        <f>"1552377815856990"</f>
        <v>1552377815856990</v>
      </c>
      <c r="C2083" t="s">
        <v>40</v>
      </c>
      <c r="D2083">
        <v>4.9179620000000002</v>
      </c>
      <c r="E2083">
        <v>0.49926799999999999</v>
      </c>
      <c r="F2083" t="s">
        <v>70</v>
      </c>
      <c r="G2083">
        <v>-389.68979999999999</v>
      </c>
      <c r="H2083" s="1">
        <v>3.6196320000000001E-6</v>
      </c>
      <c r="I2083">
        <v>285.83929999999998</v>
      </c>
      <c r="J2083">
        <v>-321.17340000000002</v>
      </c>
      <c r="K2083">
        <v>1.1099909999999999</v>
      </c>
      <c r="L2083">
        <v>283.93970000000002</v>
      </c>
      <c r="M2083">
        <v>-0.99978829999999996</v>
      </c>
      <c r="N2083">
        <v>0</v>
      </c>
      <c r="O2083">
        <v>1.639989E-2</v>
      </c>
      <c r="P2083">
        <v>-0.99930580000000002</v>
      </c>
      <c r="Q2083">
        <v>2.083227E-2</v>
      </c>
      <c r="R2083">
        <v>3.0890939999999999E-2</v>
      </c>
      <c r="S2083">
        <v>-3.0005190000000002</v>
      </c>
      <c r="T2083">
        <v>-4.8482780000000003E-2</v>
      </c>
      <c r="U2083">
        <v>8.3099370000000006E-2</v>
      </c>
      <c r="V2083">
        <v>1.4498479999999999E-2</v>
      </c>
      <c r="W2083">
        <v>3.3245940000000002E-2</v>
      </c>
      <c r="X2083">
        <v>0.99934199999999995</v>
      </c>
      <c r="Y2083">
        <v>1.128645E-2</v>
      </c>
      <c r="Z2083">
        <v>-1.7375950000000001E-4</v>
      </c>
      <c r="AA2083">
        <v>0.9999363</v>
      </c>
      <c r="AB2083">
        <v>29</v>
      </c>
      <c r="AC2083">
        <v>-68.516399999999905</v>
      </c>
      <c r="AD2083">
        <v>-1.109987380368</v>
      </c>
      <c r="AE2083">
        <v>1.89959999999996</v>
      </c>
      <c r="AF2083">
        <v>0.77539296357945398</v>
      </c>
      <c r="AG2083">
        <v>-1.109987380368</v>
      </c>
      <c r="AH2083">
        <v>68.520370255069395</v>
      </c>
      <c r="AI2083">
        <v>90.928015408385207</v>
      </c>
      <c r="AJ2083">
        <v>89.351654874775704</v>
      </c>
      <c r="AK2083">
        <v>68.533746768466898</v>
      </c>
      <c r="AL2083">
        <v>88.094796808924599</v>
      </c>
      <c r="AM2083">
        <v>89.168809638843001</v>
      </c>
      <c r="AN2083">
        <v>0.99999996570639604</v>
      </c>
    </row>
    <row r="2084" spans="1:40" x14ac:dyDescent="0.25">
      <c r="A2084" t="str">
        <f>"20190312160335882"</f>
        <v>20190312160335882</v>
      </c>
      <c r="B2084" t="str">
        <f>"1552377815876510"</f>
        <v>1552377815876510</v>
      </c>
      <c r="C2084" t="s">
        <v>40</v>
      </c>
      <c r="D2084">
        <v>4.9316420000000001</v>
      </c>
      <c r="E2084">
        <v>0.49920340000000002</v>
      </c>
      <c r="F2084" t="s">
        <v>70</v>
      </c>
      <c r="G2084">
        <v>-389.75049999999999</v>
      </c>
      <c r="H2084" s="1">
        <v>3.6519250000000002E-6</v>
      </c>
      <c r="I2084">
        <v>285.81240000000003</v>
      </c>
      <c r="J2084">
        <v>-321.3458</v>
      </c>
      <c r="K2084">
        <v>1.10999</v>
      </c>
      <c r="L2084">
        <v>283.9425</v>
      </c>
      <c r="M2084">
        <v>-0.99978829999999996</v>
      </c>
      <c r="N2084">
        <v>0</v>
      </c>
      <c r="O2084">
        <v>1.6399540000000001E-2</v>
      </c>
      <c r="P2084">
        <v>-0.99930949999999996</v>
      </c>
      <c r="Q2084">
        <v>2.1013480000000001E-2</v>
      </c>
      <c r="R2084">
        <v>3.064122E-2</v>
      </c>
      <c r="S2084">
        <v>-3.0005489999999999</v>
      </c>
      <c r="T2084">
        <v>-4.8566819999999997E-2</v>
      </c>
      <c r="U2084">
        <v>8.1939699999999893E-2</v>
      </c>
      <c r="V2084">
        <v>1.424894E-2</v>
      </c>
      <c r="W2084">
        <v>3.3427039999999998E-2</v>
      </c>
      <c r="X2084">
        <v>0.99933959999999999</v>
      </c>
      <c r="Y2084">
        <v>1.0900409999999999E-2</v>
      </c>
      <c r="Z2084">
        <v>-1.7717770000000001E-4</v>
      </c>
      <c r="AA2084">
        <v>0.99994059999999996</v>
      </c>
      <c r="AB2084">
        <v>29</v>
      </c>
      <c r="AC2084">
        <v>-68.404699999999906</v>
      </c>
      <c r="AD2084">
        <v>-1.1099863480750001</v>
      </c>
      <c r="AE2084">
        <v>1.8699000000000201</v>
      </c>
      <c r="AF2084">
        <v>0.747559570047302</v>
      </c>
      <c r="AG2084">
        <v>-1.1099863480750001</v>
      </c>
      <c r="AH2084">
        <v>68.408168339574502</v>
      </c>
      <c r="AI2084">
        <v>90.929540405642399</v>
      </c>
      <c r="AJ2084">
        <v>89.373900742177199</v>
      </c>
      <c r="AK2084">
        <v>68.421257008178699</v>
      </c>
      <c r="AL2084">
        <v>88.084414872046906</v>
      </c>
      <c r="AM2084">
        <v>89.183111720880305</v>
      </c>
      <c r="AN2084">
        <v>1.00000001771122</v>
      </c>
    </row>
    <row r="2085" spans="1:40" x14ac:dyDescent="0.25">
      <c r="A2085" t="str">
        <f>"20190312160335899"</f>
        <v>20190312160335899</v>
      </c>
      <c r="B2085" t="str">
        <f>"1552377815886270"</f>
        <v>1552377815886270</v>
      </c>
      <c r="C2085" t="s">
        <v>40</v>
      </c>
      <c r="D2085">
        <v>4.9364089999999896</v>
      </c>
      <c r="E2085">
        <v>0.49919160000000001</v>
      </c>
      <c r="F2085" t="s">
        <v>70</v>
      </c>
      <c r="G2085">
        <v>-388.03710000000001</v>
      </c>
      <c r="H2085" s="1">
        <v>2.740182E-6</v>
      </c>
      <c r="I2085">
        <v>285.73110000000003</v>
      </c>
      <c r="J2085">
        <v>-321.57139999999998</v>
      </c>
      <c r="K2085">
        <v>1.1099920000000001</v>
      </c>
      <c r="L2085">
        <v>283.94619999999998</v>
      </c>
      <c r="M2085">
        <v>-0.99978829999999996</v>
      </c>
      <c r="N2085">
        <v>0</v>
      </c>
      <c r="O2085">
        <v>1.639972E-2</v>
      </c>
      <c r="P2085">
        <v>-0.99930980000000003</v>
      </c>
      <c r="Q2085">
        <v>2.1780589999999999E-2</v>
      </c>
      <c r="R2085">
        <v>3.0091199999999999E-2</v>
      </c>
      <c r="S2085">
        <v>-3.0006710000000001</v>
      </c>
      <c r="T2085">
        <v>-4.9942140000000003E-2</v>
      </c>
      <c r="U2085">
        <v>8.0474850000000001E-2</v>
      </c>
      <c r="V2085">
        <v>1.369894E-2</v>
      </c>
      <c r="W2085">
        <v>3.4193830000000001E-2</v>
      </c>
      <c r="X2085">
        <v>0.99932129999999997</v>
      </c>
      <c r="Y2085">
        <v>1.0411439999999999E-2</v>
      </c>
      <c r="Z2085">
        <v>-1.8625949999999999E-4</v>
      </c>
      <c r="AA2085">
        <v>0.9999458</v>
      </c>
      <c r="AB2085">
        <v>29</v>
      </c>
      <c r="AC2085">
        <v>-66.465699999999998</v>
      </c>
      <c r="AD2085">
        <v>-1.1099892598179999</v>
      </c>
      <c r="AE2085">
        <v>1.7849000000000499</v>
      </c>
      <c r="AF2085">
        <v>0.69436337478752197</v>
      </c>
      <c r="AG2085">
        <v>-1.1099892598179999</v>
      </c>
      <c r="AH2085">
        <v>66.467509968615303</v>
      </c>
      <c r="AI2085">
        <v>90.956682743323299</v>
      </c>
      <c r="AJ2085">
        <v>89.401472333034903</v>
      </c>
      <c r="AK2085">
        <v>66.480403865207705</v>
      </c>
      <c r="AL2085">
        <v>88.040455814121003</v>
      </c>
      <c r="AM2085">
        <v>89.214624678964</v>
      </c>
      <c r="AN2085">
        <v>0.99999996980044004</v>
      </c>
    </row>
    <row r="2086" spans="1:40" x14ac:dyDescent="0.25">
      <c r="A2086" t="str">
        <f>"20190312160335911"</f>
        <v>20190312160335911</v>
      </c>
      <c r="B2086" t="str">
        <f>"1552377815906766"</f>
        <v>1552377815906766</v>
      </c>
      <c r="C2086" t="s">
        <v>40</v>
      </c>
      <c r="D2086">
        <v>4.9368699999999999</v>
      </c>
      <c r="E2086">
        <v>0.4991141</v>
      </c>
      <c r="F2086" t="s">
        <v>70</v>
      </c>
      <c r="G2086">
        <v>-390.81009999999998</v>
      </c>
      <c r="H2086" s="1">
        <v>-1.1057090000000001E-6</v>
      </c>
      <c r="I2086">
        <v>285.7636</v>
      </c>
      <c r="J2086">
        <v>-321.72109999999998</v>
      </c>
      <c r="K2086">
        <v>1.1099920000000001</v>
      </c>
      <c r="L2086">
        <v>283.94869999999997</v>
      </c>
      <c r="M2086">
        <v>-0.99978829999999996</v>
      </c>
      <c r="N2086">
        <v>0</v>
      </c>
      <c r="O2086">
        <v>1.639972E-2</v>
      </c>
      <c r="P2086">
        <v>-0.99930540000000001</v>
      </c>
      <c r="Q2086">
        <v>2.2137549999999999E-2</v>
      </c>
      <c r="R2086">
        <v>2.9979209999999999E-2</v>
      </c>
      <c r="S2086">
        <v>-3.0007630000000001</v>
      </c>
      <c r="T2086">
        <v>-4.8106429999999999E-2</v>
      </c>
      <c r="U2086">
        <v>7.8765870000000002E-2</v>
      </c>
      <c r="V2086">
        <v>1.3587119999999999E-2</v>
      </c>
      <c r="W2086">
        <v>3.4550770000000001E-2</v>
      </c>
      <c r="X2086">
        <v>0.99931060000000005</v>
      </c>
      <c r="Y2086">
        <v>9.8415519999999999E-3</v>
      </c>
      <c r="Z2086">
        <v>-1.8397739999999999E-4</v>
      </c>
      <c r="AA2086">
        <v>0.99995149999999999</v>
      </c>
      <c r="AB2086">
        <v>29</v>
      </c>
      <c r="AC2086">
        <v>-69.088999999999999</v>
      </c>
      <c r="AD2086">
        <v>-1.109993105709</v>
      </c>
      <c r="AE2086">
        <v>1.8149000000000199</v>
      </c>
      <c r="AF2086">
        <v>0.68135239823691596</v>
      </c>
      <c r="AG2086">
        <v>-1.109993105709</v>
      </c>
      <c r="AH2086">
        <v>69.091651634794204</v>
      </c>
      <c r="AI2086">
        <v>90.920362396670996</v>
      </c>
      <c r="AJ2086">
        <v>89.434991776571806</v>
      </c>
      <c r="AK2086">
        <v>69.103926454356099</v>
      </c>
      <c r="AL2086">
        <v>88.019992666315304</v>
      </c>
      <c r="AM2086">
        <v>89.221026309905298</v>
      </c>
      <c r="AN2086">
        <v>1.00000002040492</v>
      </c>
    </row>
    <row r="2087" spans="1:40" x14ac:dyDescent="0.25">
      <c r="A2087" t="str">
        <f>"20190312160335933"</f>
        <v>20190312160335933</v>
      </c>
      <c r="B2087" t="str">
        <f>"1552377815926286"</f>
        <v>1552377815926286</v>
      </c>
      <c r="C2087" t="s">
        <v>40</v>
      </c>
      <c r="D2087">
        <v>4.9183649999999997</v>
      </c>
      <c r="E2087">
        <v>0.49908229999999998</v>
      </c>
      <c r="F2087" t="s">
        <v>70</v>
      </c>
      <c r="G2087">
        <v>-391.66730000000001</v>
      </c>
      <c r="H2087" s="1">
        <v>-6.4952619999999899E-7</v>
      </c>
      <c r="I2087">
        <v>285.76260000000002</v>
      </c>
      <c r="J2087">
        <v>-322.01029999999997</v>
      </c>
      <c r="K2087">
        <v>1.1099920000000001</v>
      </c>
      <c r="L2087">
        <v>283.95339999999999</v>
      </c>
      <c r="M2087">
        <v>-0.99978849999999997</v>
      </c>
      <c r="N2087">
        <v>0</v>
      </c>
      <c r="O2087">
        <v>1.6399360000000002E-2</v>
      </c>
      <c r="P2087">
        <v>-0.99930370000000002</v>
      </c>
      <c r="Q2087">
        <v>2.2593519999999999E-2</v>
      </c>
      <c r="R2087">
        <v>2.9698329999999998E-2</v>
      </c>
      <c r="S2087">
        <v>-3.0007929999999998</v>
      </c>
      <c r="T2087">
        <v>-4.7620299999999997E-2</v>
      </c>
      <c r="U2087">
        <v>7.7819819999999998E-2</v>
      </c>
      <c r="V2087">
        <v>1.330664E-2</v>
      </c>
      <c r="W2087">
        <v>3.5006349999999999E-2</v>
      </c>
      <c r="X2087">
        <v>0.99929849999999998</v>
      </c>
      <c r="Y2087">
        <v>9.5266280000000005E-3</v>
      </c>
      <c r="Z2087">
        <v>-1.8461009999999999E-4</v>
      </c>
      <c r="AA2087">
        <v>0.99995460000000003</v>
      </c>
      <c r="AB2087">
        <v>29</v>
      </c>
      <c r="AC2087">
        <v>-69.656999999999996</v>
      </c>
      <c r="AD2087">
        <v>-1.1099926495262</v>
      </c>
      <c r="AE2087">
        <v>1.8092000000000299</v>
      </c>
      <c r="AF2087">
        <v>0.66636936973552297</v>
      </c>
      <c r="AG2087">
        <v>-1.1099926495262</v>
      </c>
      <c r="AH2087">
        <v>69.659626583630896</v>
      </c>
      <c r="AI2087">
        <v>90.912861672943706</v>
      </c>
      <c r="AJ2087">
        <v>89.451920864362705</v>
      </c>
      <c r="AK2087">
        <v>69.671656414856599</v>
      </c>
      <c r="AL2087">
        <v>87.993874017122195</v>
      </c>
      <c r="AM2087">
        <v>89.237095568835898</v>
      </c>
      <c r="AN2087">
        <v>1.0000000016553301</v>
      </c>
    </row>
    <row r="2088" spans="1:40" x14ac:dyDescent="0.25">
      <c r="A2088" t="str">
        <f>"20190312160335946"</f>
        <v>20190312160335946</v>
      </c>
      <c r="B2088" t="str">
        <f>"1552377815937021"</f>
        <v>1552377815937021</v>
      </c>
      <c r="C2088" t="s">
        <v>40</v>
      </c>
      <c r="D2088">
        <v>4.9430779999999999</v>
      </c>
      <c r="E2088">
        <v>0.49905850000000002</v>
      </c>
      <c r="F2088" t="s">
        <v>70</v>
      </c>
      <c r="G2088">
        <v>-391.61680000000001</v>
      </c>
      <c r="H2088" s="1">
        <v>-6.7643270000000003E-7</v>
      </c>
      <c r="I2088">
        <v>285.7337</v>
      </c>
      <c r="J2088">
        <v>-322.19130000000001</v>
      </c>
      <c r="K2088">
        <v>1.109982</v>
      </c>
      <c r="L2088">
        <v>283.95639999999997</v>
      </c>
      <c r="M2088">
        <v>-0.99978829999999996</v>
      </c>
      <c r="N2088">
        <v>0</v>
      </c>
      <c r="O2088">
        <v>1.639972E-2</v>
      </c>
      <c r="P2088">
        <v>-0.99931680000000001</v>
      </c>
      <c r="Q2088">
        <v>2.2168940000000002E-2</v>
      </c>
      <c r="R2088">
        <v>2.956758E-2</v>
      </c>
      <c r="S2088">
        <v>-3.0008539999999999</v>
      </c>
      <c r="T2088">
        <v>-4.7853710000000001E-2</v>
      </c>
      <c r="U2088">
        <v>7.6751710000000001E-2</v>
      </c>
      <c r="V2088">
        <v>1.317519E-2</v>
      </c>
      <c r="W2088">
        <v>3.4581750000000001E-2</v>
      </c>
      <c r="X2088">
        <v>0.99931499999999995</v>
      </c>
      <c r="Y2088">
        <v>9.1701109999999999E-3</v>
      </c>
      <c r="Z2088">
        <v>-1.8835980000000001E-4</v>
      </c>
      <c r="AA2088">
        <v>0.99995789999999996</v>
      </c>
      <c r="AB2088">
        <v>29</v>
      </c>
      <c r="AC2088">
        <v>-69.4255</v>
      </c>
      <c r="AD2088">
        <v>-1.1099826764327001</v>
      </c>
      <c r="AE2088">
        <v>1.7773000000000201</v>
      </c>
      <c r="AF2088">
        <v>0.63825123085486701</v>
      </c>
      <c r="AG2088">
        <v>-1.1099826764327001</v>
      </c>
      <c r="AH2088">
        <v>69.427575945727597</v>
      </c>
      <c r="AI2088">
        <v>90.915907224953898</v>
      </c>
      <c r="AJ2088">
        <v>89.473291827160494</v>
      </c>
      <c r="AK2088">
        <v>69.439381678377899</v>
      </c>
      <c r="AL2088">
        <v>88.018216493979807</v>
      </c>
      <c r="AM2088">
        <v>89.244643533813004</v>
      </c>
      <c r="AN2088">
        <v>0.99999997614479796</v>
      </c>
    </row>
    <row r="2089" spans="1:40" x14ac:dyDescent="0.25">
      <c r="A2089" t="str">
        <f>"20190312160335957"</f>
        <v>20190312160335957</v>
      </c>
      <c r="B2089" t="str">
        <f>"1552377815946784"</f>
        <v>1552377815946784</v>
      </c>
      <c r="C2089" t="s">
        <v>40</v>
      </c>
      <c r="D2089">
        <v>4.9338129999999998</v>
      </c>
      <c r="E2089">
        <v>0.49902249999999998</v>
      </c>
      <c r="F2089" t="s">
        <v>70</v>
      </c>
      <c r="G2089">
        <v>-388.63959999999997</v>
      </c>
      <c r="H2089" s="1">
        <v>3.060786E-6</v>
      </c>
      <c r="I2089">
        <v>285.64100000000002</v>
      </c>
      <c r="J2089">
        <v>-322.32870000000003</v>
      </c>
      <c r="K2089">
        <v>1.1099829999999999</v>
      </c>
      <c r="L2089">
        <v>283.95859999999999</v>
      </c>
      <c r="M2089">
        <v>-0.99978849999999997</v>
      </c>
      <c r="N2089">
        <v>0</v>
      </c>
      <c r="O2089">
        <v>1.639972E-2</v>
      </c>
      <c r="P2089">
        <v>-0.99931820000000005</v>
      </c>
      <c r="Q2089">
        <v>2.2163780000000001E-2</v>
      </c>
      <c r="R2089">
        <v>2.9534089999999999E-2</v>
      </c>
      <c r="S2089">
        <v>-3.0009160000000001</v>
      </c>
      <c r="T2089">
        <v>-5.012846E-2</v>
      </c>
      <c r="U2089">
        <v>7.6080320000000007E-2</v>
      </c>
      <c r="V2089">
        <v>1.31418E-2</v>
      </c>
      <c r="W2089">
        <v>3.4576969999999999E-2</v>
      </c>
      <c r="X2089">
        <v>0.99931559999999997</v>
      </c>
      <c r="Y2089">
        <v>8.94614E-3</v>
      </c>
      <c r="Z2089">
        <v>-1.991792E-4</v>
      </c>
      <c r="AA2089">
        <v>0.99995990000000001</v>
      </c>
      <c r="AB2089">
        <v>29</v>
      </c>
      <c r="AC2089">
        <v>-66.310899999999904</v>
      </c>
      <c r="AD2089">
        <v>-1.109979939214</v>
      </c>
      <c r="AE2089">
        <v>1.6823999999999699</v>
      </c>
      <c r="AF2089">
        <v>0.59444331458009503</v>
      </c>
      <c r="AG2089">
        <v>-1.109979939214</v>
      </c>
      <c r="AH2089">
        <v>66.311005793757502</v>
      </c>
      <c r="AI2089">
        <v>90.958945980774899</v>
      </c>
      <c r="AJ2089">
        <v>89.4863872087071</v>
      </c>
      <c r="AK2089">
        <v>66.322959129546106</v>
      </c>
      <c r="AL2089">
        <v>88.018490521664205</v>
      </c>
      <c r="AM2089">
        <v>89.246558071718795</v>
      </c>
      <c r="AN2089">
        <v>0.99999997108248995</v>
      </c>
    </row>
    <row r="2090" spans="1:40" x14ac:dyDescent="0.25">
      <c r="A2090" t="str">
        <f>"20190312160335968"</f>
        <v>20190312160335968</v>
      </c>
      <c r="B2090" t="str">
        <f>"1552377815956543"</f>
        <v>1552377815956543</v>
      </c>
      <c r="C2090" t="s">
        <v>40</v>
      </c>
      <c r="D2090">
        <v>4.9548969999999999</v>
      </c>
      <c r="E2090">
        <v>0.49900070000000002</v>
      </c>
      <c r="F2090" t="s">
        <v>70</v>
      </c>
      <c r="G2090">
        <v>-387.31220000000002</v>
      </c>
      <c r="H2090" s="1">
        <v>2.3543769999999999E-6</v>
      </c>
      <c r="I2090">
        <v>285.59620000000001</v>
      </c>
      <c r="J2090">
        <v>-322.47239999999999</v>
      </c>
      <c r="K2090">
        <v>1.109982</v>
      </c>
      <c r="L2090">
        <v>283.96100000000001</v>
      </c>
      <c r="M2090">
        <v>-0.99978829999999996</v>
      </c>
      <c r="N2090">
        <v>0</v>
      </c>
      <c r="O2090">
        <v>1.6399899999999999E-2</v>
      </c>
      <c r="P2090">
        <v>-0.9993206</v>
      </c>
      <c r="Q2090">
        <v>2.1991159999999999E-2</v>
      </c>
      <c r="R2090">
        <v>2.9572290000000001E-2</v>
      </c>
      <c r="S2090">
        <v>-3.0009459999999999</v>
      </c>
      <c r="T2090">
        <v>-5.1259039999999999E-2</v>
      </c>
      <c r="U2090">
        <v>7.5622560000000005E-2</v>
      </c>
      <c r="V2090">
        <v>1.317959E-2</v>
      </c>
      <c r="W2090">
        <v>3.4403990000000002E-2</v>
      </c>
      <c r="X2090">
        <v>0.99932109999999996</v>
      </c>
      <c r="Y2090">
        <v>8.7933349999999993E-3</v>
      </c>
      <c r="Z2090">
        <v>-2.0497709999999999E-4</v>
      </c>
      <c r="AA2090">
        <v>0.99996130000000005</v>
      </c>
      <c r="AB2090">
        <v>29</v>
      </c>
      <c r="AC2090">
        <v>-64.839799999999997</v>
      </c>
      <c r="AD2090">
        <v>-1.109979645623</v>
      </c>
      <c r="AE2090">
        <v>1.63519999999999</v>
      </c>
      <c r="AF2090">
        <v>0.57136438182847804</v>
      </c>
      <c r="AG2090">
        <v>-1.109979645623</v>
      </c>
      <c r="AH2090">
        <v>64.838908521490097</v>
      </c>
      <c r="AI2090">
        <v>90.980714675641096</v>
      </c>
      <c r="AJ2090">
        <v>89.495119195158196</v>
      </c>
      <c r="AK2090">
        <v>64.850925747661293</v>
      </c>
      <c r="AL2090">
        <v>88.028407500314998</v>
      </c>
      <c r="AM2090">
        <v>89.244395915243103</v>
      </c>
      <c r="AN2090">
        <v>0.99999999851284904</v>
      </c>
    </row>
    <row r="2091" spans="1:40" x14ac:dyDescent="0.25">
      <c r="A2091" t="str">
        <f>"20190312160335979"</f>
        <v>20190312160335979</v>
      </c>
      <c r="B2091" t="str">
        <f>"1552377815966302"</f>
        <v>1552377815966302</v>
      </c>
      <c r="C2091" t="s">
        <v>40</v>
      </c>
      <c r="D2091">
        <v>4.9065329999999996</v>
      </c>
      <c r="E2091">
        <v>0.49897079999999999</v>
      </c>
      <c r="F2091" t="s">
        <v>70</v>
      </c>
      <c r="G2091">
        <v>-386.37099999999998</v>
      </c>
      <c r="H2091" s="1">
        <v>1.85355E-6</v>
      </c>
      <c r="I2091">
        <v>285.57190000000003</v>
      </c>
      <c r="J2091">
        <v>-322.6232</v>
      </c>
      <c r="K2091">
        <v>1.1099810000000001</v>
      </c>
      <c r="L2091">
        <v>283.96350000000001</v>
      </c>
      <c r="M2091">
        <v>-0.99978829999999996</v>
      </c>
      <c r="N2091">
        <v>0</v>
      </c>
      <c r="O2091">
        <v>1.6399899999999999E-2</v>
      </c>
      <c r="P2091">
        <v>-0.99931539999999996</v>
      </c>
      <c r="Q2091">
        <v>2.2164969999999999E-2</v>
      </c>
      <c r="R2091">
        <v>2.9617689999999999E-2</v>
      </c>
      <c r="S2091">
        <v>-3.0009459999999999</v>
      </c>
      <c r="T2091">
        <v>-5.2129269999999998E-2</v>
      </c>
      <c r="U2091">
        <v>7.5653079999999998E-2</v>
      </c>
      <c r="V2091">
        <v>1.322509E-2</v>
      </c>
      <c r="W2091">
        <v>3.4577459999999997E-2</v>
      </c>
      <c r="X2091">
        <v>0.99931449999999999</v>
      </c>
      <c r="Y2091">
        <v>8.8035330000000005E-3</v>
      </c>
      <c r="Z2091">
        <v>-2.083679E-4</v>
      </c>
      <c r="AA2091">
        <v>0.99996119999999999</v>
      </c>
      <c r="AB2091">
        <v>29</v>
      </c>
      <c r="AC2091">
        <v>-63.747799999999899</v>
      </c>
      <c r="AD2091">
        <v>-1.10997914645</v>
      </c>
      <c r="AE2091">
        <v>1.60840000000001</v>
      </c>
      <c r="AF2091">
        <v>0.56247497181063</v>
      </c>
      <c r="AG2091">
        <v>-1.10997914645</v>
      </c>
      <c r="AH2091">
        <v>63.746290788786801</v>
      </c>
      <c r="AI2091">
        <v>90.997520303879995</v>
      </c>
      <c r="AJ2091">
        <v>89.494455203093494</v>
      </c>
      <c r="AK2091">
        <v>63.758434901807597</v>
      </c>
      <c r="AL2091">
        <v>88.018462461146001</v>
      </c>
      <c r="AM2091">
        <v>89.241782634404601</v>
      </c>
      <c r="AN2091">
        <v>0.99999998682790403</v>
      </c>
    </row>
    <row r="2092" spans="1:40" x14ac:dyDescent="0.25">
      <c r="A2092" t="str">
        <f>"20190312160335993"</f>
        <v>20190312160335993</v>
      </c>
      <c r="B2092" t="str">
        <f>"1552377815986798"</f>
        <v>1552377815986798</v>
      </c>
      <c r="C2092" t="s">
        <v>40</v>
      </c>
      <c r="D2092">
        <v>5.0004759999999999</v>
      </c>
      <c r="E2092">
        <v>0.49900810000000001</v>
      </c>
      <c r="F2092" t="s">
        <v>70</v>
      </c>
      <c r="G2092">
        <v>-385.95100000000002</v>
      </c>
      <c r="H2092" s="1">
        <v>1.6300090000000001E-6</v>
      </c>
      <c r="I2092">
        <v>285.55930000000001</v>
      </c>
      <c r="J2092">
        <v>-322.79259999999999</v>
      </c>
      <c r="K2092">
        <v>1.1099810000000001</v>
      </c>
      <c r="L2092">
        <v>283.96629999999999</v>
      </c>
      <c r="M2092">
        <v>-0.99978849999999997</v>
      </c>
      <c r="N2092">
        <v>0</v>
      </c>
      <c r="O2092">
        <v>1.6399730000000001E-2</v>
      </c>
      <c r="P2092">
        <v>-0.99930509999999995</v>
      </c>
      <c r="Q2092">
        <v>2.2388370000000001E-2</v>
      </c>
      <c r="R2092">
        <v>2.9809140000000001E-2</v>
      </c>
      <c r="S2092">
        <v>-3.0009459999999999</v>
      </c>
      <c r="T2092">
        <v>-5.2599189999999997E-2</v>
      </c>
      <c r="U2092">
        <v>7.5622560000000005E-2</v>
      </c>
      <c r="V2092">
        <v>1.341707E-2</v>
      </c>
      <c r="W2092">
        <v>3.4800949999999997E-2</v>
      </c>
      <c r="X2092">
        <v>0.99930419999999998</v>
      </c>
      <c r="Y2092">
        <v>8.793571E-3</v>
      </c>
      <c r="Z2092">
        <v>-2.1033010000000001E-4</v>
      </c>
      <c r="AA2092">
        <v>0.99996130000000005</v>
      </c>
      <c r="AB2092">
        <v>29</v>
      </c>
      <c r="AC2092">
        <v>-63.158399999999901</v>
      </c>
      <c r="AD2092">
        <v>-1.1099793699910001</v>
      </c>
      <c r="AE2092">
        <v>1.59300000000001</v>
      </c>
      <c r="AF2092">
        <v>0.55675340744173596</v>
      </c>
      <c r="AG2092">
        <v>-1.1099793699910001</v>
      </c>
      <c r="AH2092">
        <v>63.156537248465803</v>
      </c>
      <c r="AI2092">
        <v>91.006833480574898</v>
      </c>
      <c r="AJ2092">
        <v>89.494924902877599</v>
      </c>
      <c r="AK2092">
        <v>63.168744057289501</v>
      </c>
      <c r="AL2092">
        <v>88.005649750102805</v>
      </c>
      <c r="AM2092">
        <v>89.230769473274293</v>
      </c>
      <c r="AN2092">
        <v>1.00000000401296</v>
      </c>
    </row>
    <row r="2093" spans="1:40" x14ac:dyDescent="0.25">
      <c r="A2093" t="str">
        <f>"20190312160336011"</f>
        <v>20190312160336011</v>
      </c>
      <c r="B2093" t="str">
        <f>"1552377816006319"</f>
        <v>1552377816006319</v>
      </c>
      <c r="C2093" t="s">
        <v>40</v>
      </c>
      <c r="D2093">
        <v>4.622242</v>
      </c>
      <c r="E2093">
        <v>0.49900810000000001</v>
      </c>
      <c r="F2093" t="s">
        <v>70</v>
      </c>
      <c r="G2093">
        <v>-385.87490000000003</v>
      </c>
      <c r="H2093" s="1">
        <v>1.5895490000000001E-6</v>
      </c>
      <c r="I2093">
        <v>285.57</v>
      </c>
      <c r="J2093">
        <v>-323.0215</v>
      </c>
      <c r="K2093">
        <v>1.109988</v>
      </c>
      <c r="L2093">
        <v>283.97000000000003</v>
      </c>
      <c r="M2093">
        <v>-0.99978849999999997</v>
      </c>
      <c r="N2093">
        <v>0</v>
      </c>
      <c r="O2093">
        <v>1.639937E-2</v>
      </c>
      <c r="P2093">
        <v>-0.99929789999999996</v>
      </c>
      <c r="Q2093">
        <v>2.269562E-2</v>
      </c>
      <c r="R2093">
        <v>2.9813840000000001E-2</v>
      </c>
      <c r="S2093">
        <v>-3.0010379999999999</v>
      </c>
      <c r="T2093">
        <v>-5.2805419999999999E-2</v>
      </c>
      <c r="U2093">
        <v>7.6293949999999999E-2</v>
      </c>
      <c r="V2093">
        <v>1.3422160000000001E-2</v>
      </c>
      <c r="W2093">
        <v>3.5107850000000003E-2</v>
      </c>
      <c r="X2093">
        <v>0.9992934</v>
      </c>
      <c r="Y2093">
        <v>9.0166949999999999E-3</v>
      </c>
      <c r="Z2093">
        <v>-2.0917869999999999E-4</v>
      </c>
      <c r="AA2093">
        <v>0.9999593</v>
      </c>
      <c r="AB2093">
        <v>29</v>
      </c>
      <c r="AC2093">
        <v>-62.853400000000001</v>
      </c>
      <c r="AD2093">
        <v>-1.109986410451</v>
      </c>
      <c r="AE2093">
        <v>1.5999999999999599</v>
      </c>
      <c r="AF2093">
        <v>0.56877198320382805</v>
      </c>
      <c r="AG2093">
        <v>-1.109986410451</v>
      </c>
      <c r="AH2093">
        <v>62.851598244207203</v>
      </c>
      <c r="AI2093">
        <v>91.011721654056501</v>
      </c>
      <c r="AJ2093">
        <v>89.481519237053703</v>
      </c>
      <c r="AK2093">
        <v>62.863971981187198</v>
      </c>
      <c r="AL2093">
        <v>87.988054930129493</v>
      </c>
      <c r="AM2093">
        <v>89.230469371597707</v>
      </c>
      <c r="AN2093">
        <v>1.00000000739712</v>
      </c>
    </row>
    <row r="2094" spans="1:40" x14ac:dyDescent="0.25">
      <c r="A2094" t="str">
        <f>"20190312160336335"</f>
        <v>20190312160336335</v>
      </c>
      <c r="B2094" t="str">
        <f>"1552377816326448"</f>
        <v>1552377816326448</v>
      </c>
      <c r="C2094" t="s">
        <v>40</v>
      </c>
      <c r="D2094">
        <v>8.3352909999999998</v>
      </c>
      <c r="E2094">
        <v>0.49893110000000002</v>
      </c>
      <c r="F2094" t="s">
        <v>70</v>
      </c>
      <c r="G2094">
        <v>-387.22089999999997</v>
      </c>
      <c r="H2094" s="1">
        <v>2.3058270000000001E-6</v>
      </c>
      <c r="I2094">
        <v>285.60140000000001</v>
      </c>
      <c r="J2094">
        <v>-327.2328</v>
      </c>
      <c r="K2094">
        <v>1.1099829999999999</v>
      </c>
      <c r="L2094">
        <v>284.03910000000002</v>
      </c>
      <c r="M2094">
        <v>-0.99978849999999997</v>
      </c>
      <c r="N2094">
        <v>0</v>
      </c>
      <c r="O2094">
        <v>1.6398380000000001E-2</v>
      </c>
      <c r="P2094">
        <v>-0.9993919</v>
      </c>
      <c r="Q2094">
        <v>2.214387E-2</v>
      </c>
      <c r="R2094">
        <v>2.693653E-2</v>
      </c>
      <c r="S2094">
        <v>-3.0010680000000001</v>
      </c>
      <c r="T2094">
        <v>-5.1887389999999999E-2</v>
      </c>
      <c r="U2094">
        <v>7.6263429999999993E-2</v>
      </c>
      <c r="V2094">
        <v>1.0544609999999999E-2</v>
      </c>
      <c r="W2094">
        <v>3.4553149999999998E-2</v>
      </c>
      <c r="X2094">
        <v>0.99934719999999999</v>
      </c>
      <c r="Y2094">
        <v>9.0072329999999999E-3</v>
      </c>
      <c r="Z2094">
        <v>-2.0560519999999999E-4</v>
      </c>
      <c r="AA2094">
        <v>0.99995940000000005</v>
      </c>
      <c r="AB2094">
        <v>29</v>
      </c>
      <c r="AC2094">
        <v>-59.988099999999903</v>
      </c>
      <c r="AD2094">
        <v>-1.1099806941729999</v>
      </c>
      <c r="AE2094">
        <v>1.56229999999999</v>
      </c>
      <c r="AF2094">
        <v>0.578108664425519</v>
      </c>
      <c r="AG2094">
        <v>-1.1099806941729999</v>
      </c>
      <c r="AH2094">
        <v>59.985130349340899</v>
      </c>
      <c r="AI2094">
        <v>91.060046034882603</v>
      </c>
      <c r="AJ2094">
        <v>89.447827137835603</v>
      </c>
      <c r="AK2094">
        <v>59.998184387502498</v>
      </c>
      <c r="AL2094">
        <v>88.019856116212296</v>
      </c>
      <c r="AM2094">
        <v>89.395466130447403</v>
      </c>
      <c r="AN2094">
        <v>0.99999996756140597</v>
      </c>
    </row>
    <row r="2095" spans="1:40" x14ac:dyDescent="0.25">
      <c r="A2095" t="str">
        <f>"20190312160336346"</f>
        <v>20190312160336346</v>
      </c>
      <c r="B2095" t="str">
        <f>"1552377816336207"</f>
        <v>1552377816336207</v>
      </c>
      <c r="C2095" t="s">
        <v>40</v>
      </c>
      <c r="D2095">
        <v>5.0466709999999999</v>
      </c>
      <c r="E2095">
        <v>0.49878919999999999</v>
      </c>
      <c r="F2095" t="s">
        <v>70</v>
      </c>
      <c r="G2095">
        <v>-390.82139999999998</v>
      </c>
      <c r="H2095" s="1">
        <v>-1.0996959999999999E-6</v>
      </c>
      <c r="I2095">
        <v>285.4674</v>
      </c>
      <c r="J2095">
        <v>-327.38830000000002</v>
      </c>
      <c r="K2095">
        <v>1.109988</v>
      </c>
      <c r="L2095">
        <v>284.04169999999999</v>
      </c>
      <c r="M2095">
        <v>-0.99978860000000003</v>
      </c>
      <c r="N2095">
        <v>0</v>
      </c>
      <c r="O2095">
        <v>1.6398200000000002E-2</v>
      </c>
      <c r="P2095">
        <v>-0.99937929999999997</v>
      </c>
      <c r="Q2095">
        <v>2.2632340000000001E-2</v>
      </c>
      <c r="R2095">
        <v>2.699812E-2</v>
      </c>
      <c r="S2095">
        <v>-3.00116</v>
      </c>
      <c r="T2095">
        <v>-5.2387360000000001E-2</v>
      </c>
      <c r="U2095">
        <v>6.7413329999999994E-2</v>
      </c>
      <c r="V2095">
        <v>1.060665E-2</v>
      </c>
      <c r="W2095">
        <v>3.5041139999999998E-2</v>
      </c>
      <c r="X2095">
        <v>0.99932960000000004</v>
      </c>
      <c r="Y2095">
        <v>6.0599919999999897E-3</v>
      </c>
      <c r="Z2095">
        <v>-2.3330350000000001E-4</v>
      </c>
      <c r="AA2095">
        <v>0.99998160000000003</v>
      </c>
      <c r="AB2095">
        <v>29</v>
      </c>
      <c r="AC2095">
        <v>-63.433099999999897</v>
      </c>
      <c r="AD2095">
        <v>-1.109989099696</v>
      </c>
      <c r="AE2095">
        <v>1.4257</v>
      </c>
      <c r="AF2095">
        <v>0.38512171830170899</v>
      </c>
      <c r="AG2095">
        <v>-1.109989099696</v>
      </c>
      <c r="AH2095">
        <v>63.428538186782497</v>
      </c>
      <c r="AI2095">
        <v>91.002546009705995</v>
      </c>
      <c r="AJ2095">
        <v>89.652119084972398</v>
      </c>
      <c r="AK2095">
        <v>63.439418747742899</v>
      </c>
      <c r="AL2095">
        <v>87.991879502034706</v>
      </c>
      <c r="AM2095">
        <v>89.391898867841206</v>
      </c>
      <c r="AN2095">
        <v>1.0000000159764399</v>
      </c>
    </row>
    <row r="2096" spans="1:40" x14ac:dyDescent="0.25">
      <c r="A2096" t="str">
        <f>"20190312160336360"</f>
        <v>20190312160336360</v>
      </c>
      <c r="B2096" t="str">
        <f>"1552377816356703"</f>
        <v>1552377816356703</v>
      </c>
      <c r="C2096" t="s">
        <v>40</v>
      </c>
      <c r="D2096">
        <v>4.9117709999999999</v>
      </c>
      <c r="E2096">
        <v>0.4984884</v>
      </c>
      <c r="F2096" t="s">
        <v>70</v>
      </c>
      <c r="G2096">
        <v>-394.4803</v>
      </c>
      <c r="H2096" s="1">
        <v>8.4739799999999998E-7</v>
      </c>
      <c r="I2096">
        <v>285.52409999999998</v>
      </c>
      <c r="J2096">
        <v>-327.55840000000001</v>
      </c>
      <c r="K2096">
        <v>1.1099909999999999</v>
      </c>
      <c r="L2096">
        <v>284.0444</v>
      </c>
      <c r="M2096">
        <v>-0.99978849999999997</v>
      </c>
      <c r="N2096">
        <v>0</v>
      </c>
      <c r="O2096">
        <v>1.6398200000000002E-2</v>
      </c>
      <c r="P2096">
        <v>-0.99938229999999995</v>
      </c>
      <c r="Q2096">
        <v>2.2650190000000001E-2</v>
      </c>
      <c r="R2096">
        <v>2.6871780000000001E-2</v>
      </c>
      <c r="S2096">
        <v>-3.0012210000000001</v>
      </c>
      <c r="T2096">
        <v>-4.9652929999999998E-2</v>
      </c>
      <c r="U2096">
        <v>6.6314699999999893E-2</v>
      </c>
      <c r="V2096">
        <v>1.048019E-2</v>
      </c>
      <c r="W2096">
        <v>3.5058760000000001E-2</v>
      </c>
      <c r="X2096">
        <v>0.9993303</v>
      </c>
      <c r="Y2096">
        <v>5.6935479999999997E-3</v>
      </c>
      <c r="Z2096">
        <v>-2.2415489999999999E-4</v>
      </c>
      <c r="AA2096">
        <v>0.99998379999999998</v>
      </c>
      <c r="AB2096">
        <v>29</v>
      </c>
      <c r="AC2096">
        <v>-66.921899999999994</v>
      </c>
      <c r="AD2096">
        <v>-1.109990152602</v>
      </c>
      <c r="AE2096">
        <v>1.47969999999997</v>
      </c>
      <c r="AF2096">
        <v>0.38191275419252801</v>
      </c>
      <c r="AG2096">
        <v>-1.109990152602</v>
      </c>
      <c r="AH2096">
        <v>66.918765784054997</v>
      </c>
      <c r="AI2096">
        <v>90.950269826988404</v>
      </c>
      <c r="AJ2096">
        <v>89.673010236632393</v>
      </c>
      <c r="AK2096">
        <v>66.929060575746107</v>
      </c>
      <c r="AL2096">
        <v>87.990869297146304</v>
      </c>
      <c r="AM2096">
        <v>89.399148966698206</v>
      </c>
      <c r="AN2096">
        <v>0.99999999976663101</v>
      </c>
    </row>
    <row r="2097" spans="1:40" x14ac:dyDescent="0.25">
      <c r="A2097" t="str">
        <f>"20190312160336380"</f>
        <v>20190312160336380</v>
      </c>
      <c r="B2097" t="str">
        <f>"1552377816376223"</f>
        <v>1552377816376223</v>
      </c>
      <c r="C2097" t="s">
        <v>40</v>
      </c>
      <c r="D2097">
        <v>4.9015599999999999</v>
      </c>
      <c r="E2097">
        <v>0.49825330000000001</v>
      </c>
      <c r="F2097" t="s">
        <v>70</v>
      </c>
      <c r="G2097">
        <v>-395.34719999999999</v>
      </c>
      <c r="H2097" s="1">
        <v>1.3087209999999901E-6</v>
      </c>
      <c r="I2097">
        <v>285.47890000000001</v>
      </c>
      <c r="J2097">
        <v>-327.81970000000001</v>
      </c>
      <c r="K2097">
        <v>1.1099920000000001</v>
      </c>
      <c r="L2097">
        <v>284.0487</v>
      </c>
      <c r="M2097">
        <v>-0.99978860000000003</v>
      </c>
      <c r="N2097">
        <v>0</v>
      </c>
      <c r="O2097">
        <v>1.6398079999999999E-2</v>
      </c>
      <c r="P2097">
        <v>-0.99937779999999998</v>
      </c>
      <c r="Q2097">
        <v>2.2668689999999998E-2</v>
      </c>
      <c r="R2097">
        <v>2.7020929999999999E-2</v>
      </c>
      <c r="S2097">
        <v>-3.0012509999999999</v>
      </c>
      <c r="T2097">
        <v>-4.9143199999999998E-2</v>
      </c>
      <c r="U2097">
        <v>6.3507079999999994E-2</v>
      </c>
      <c r="V2097">
        <v>1.062953E-2</v>
      </c>
      <c r="W2097">
        <v>3.5076870000000003E-2</v>
      </c>
      <c r="X2097">
        <v>0.99932810000000005</v>
      </c>
      <c r="Y2097">
        <v>4.7585070000000004E-3</v>
      </c>
      <c r="Z2097">
        <v>-2.2950649999999999E-4</v>
      </c>
      <c r="AA2097">
        <v>0.99998869999999895</v>
      </c>
      <c r="AB2097">
        <v>29</v>
      </c>
      <c r="AC2097">
        <v>-67.527499999999904</v>
      </c>
      <c r="AD2097">
        <v>-1.1099906912790001</v>
      </c>
      <c r="AE2097">
        <v>1.4302000000000099</v>
      </c>
      <c r="AF2097">
        <v>0.32251402429288101</v>
      </c>
      <c r="AG2097">
        <v>-1.1099906912790001</v>
      </c>
      <c r="AH2097">
        <v>67.523636989002696</v>
      </c>
      <c r="AI2097">
        <v>90.941763978637098</v>
      </c>
      <c r="AJ2097">
        <v>89.7263395052085</v>
      </c>
      <c r="AK2097">
        <v>67.533529797080803</v>
      </c>
      <c r="AL2097">
        <v>87.989831057752895</v>
      </c>
      <c r="AM2097">
        <v>89.390586294385798</v>
      </c>
      <c r="AN2097">
        <v>1.0000000125833099</v>
      </c>
    </row>
    <row r="2098" spans="1:40" x14ac:dyDescent="0.25">
      <c r="A2098" t="str">
        <f>"20190312160336393"</f>
        <v>20190312160336393</v>
      </c>
      <c r="B2098" t="str">
        <f>"1552377816386959"</f>
        <v>1552377816386959</v>
      </c>
      <c r="C2098" t="s">
        <v>40</v>
      </c>
      <c r="D2098">
        <v>4.8592750000000002</v>
      </c>
      <c r="E2098">
        <v>0.49815769999999998</v>
      </c>
      <c r="F2098" t="s">
        <v>70</v>
      </c>
      <c r="G2098">
        <v>-394.25330000000002</v>
      </c>
      <c r="H2098" s="1">
        <v>7.2660189999999997E-7</v>
      </c>
      <c r="I2098">
        <v>285.42399999999998</v>
      </c>
      <c r="J2098">
        <v>-327.98910000000001</v>
      </c>
      <c r="K2098">
        <v>1.1099920000000001</v>
      </c>
      <c r="L2098">
        <v>284.05149999999998</v>
      </c>
      <c r="M2098">
        <v>-0.99978849999999997</v>
      </c>
      <c r="N2098">
        <v>0</v>
      </c>
      <c r="O2098">
        <v>1.6398079999999999E-2</v>
      </c>
      <c r="P2098">
        <v>-0.99937960000000003</v>
      </c>
      <c r="Q2098">
        <v>2.263654E-2</v>
      </c>
      <c r="R2098">
        <v>2.697892E-2</v>
      </c>
      <c r="S2098">
        <v>-3.0012819999999998</v>
      </c>
      <c r="T2098">
        <v>-5.0146219999999998E-2</v>
      </c>
      <c r="U2098">
        <v>6.2133790000000001E-2</v>
      </c>
      <c r="V2098">
        <v>1.058747E-2</v>
      </c>
      <c r="W2098">
        <v>3.5044939999999997E-2</v>
      </c>
      <c r="X2098">
        <v>0.99932960000000004</v>
      </c>
      <c r="Y2098">
        <v>4.3010569999999996E-3</v>
      </c>
      <c r="Z2098">
        <v>-2.3801019999999999E-4</v>
      </c>
      <c r="AA2098">
        <v>0.99999070000000001</v>
      </c>
      <c r="AB2098">
        <v>29</v>
      </c>
      <c r="AC2098">
        <v>-66.264200000000002</v>
      </c>
      <c r="AD2098">
        <v>-1.1099912733981001</v>
      </c>
      <c r="AE2098">
        <v>1.37250000000005</v>
      </c>
      <c r="AF2098">
        <v>0.285545977234686</v>
      </c>
      <c r="AG2098">
        <v>-1.1099912733981001</v>
      </c>
      <c r="AH2098">
        <v>66.259212917514901</v>
      </c>
      <c r="AI2098">
        <v>90.959734861678896</v>
      </c>
      <c r="AJ2098">
        <v>89.753083724509594</v>
      </c>
      <c r="AK2098">
        <v>66.269124889202502</v>
      </c>
      <c r="AL2098">
        <v>87.991661503450501</v>
      </c>
      <c r="AM2098">
        <v>89.392998414468906</v>
      </c>
      <c r="AN2098">
        <v>0.99999994588838004</v>
      </c>
    </row>
    <row r="2099" spans="1:40" x14ac:dyDescent="0.25">
      <c r="A2099" t="str">
        <f>"20190312160336413"</f>
        <v>20190312160336413</v>
      </c>
      <c r="B2099" t="str">
        <f>"1552377816406479"</f>
        <v>1552377816406479</v>
      </c>
      <c r="C2099" t="s">
        <v>40</v>
      </c>
      <c r="D2099">
        <v>4.9080309999999896</v>
      </c>
      <c r="E2099">
        <v>0.49809209999999898</v>
      </c>
      <c r="F2099" t="s">
        <v>70</v>
      </c>
      <c r="G2099">
        <v>-393.20569999999998</v>
      </c>
      <c r="H2099" s="1">
        <v>1.6910090000000001E-7</v>
      </c>
      <c r="I2099">
        <v>285.38229999999999</v>
      </c>
      <c r="J2099">
        <v>-328.24959999999999</v>
      </c>
      <c r="K2099">
        <v>1.109988</v>
      </c>
      <c r="L2099">
        <v>284.05579999999998</v>
      </c>
      <c r="M2099">
        <v>-0.99978860000000003</v>
      </c>
      <c r="N2099">
        <v>0</v>
      </c>
      <c r="O2099">
        <v>1.63979E-2</v>
      </c>
      <c r="P2099">
        <v>-0.99937169999999997</v>
      </c>
      <c r="Q2099">
        <v>2.2592810000000001E-2</v>
      </c>
      <c r="R2099">
        <v>2.7312409999999999E-2</v>
      </c>
      <c r="S2099">
        <v>-3.001404</v>
      </c>
      <c r="T2099">
        <v>-5.1084160000000003E-2</v>
      </c>
      <c r="U2099">
        <v>6.1248780000000003E-2</v>
      </c>
      <c r="V2099">
        <v>1.092135E-2</v>
      </c>
      <c r="W2099">
        <v>3.5000629999999998E-2</v>
      </c>
      <c r="X2099">
        <v>0.99932759999999998</v>
      </c>
      <c r="Y2099">
        <v>4.0057629999999999E-3</v>
      </c>
      <c r="Z2099">
        <v>-2.4496179999999998E-4</v>
      </c>
      <c r="AA2099">
        <v>0.99999199999999999</v>
      </c>
      <c r="AB2099">
        <v>29</v>
      </c>
      <c r="AC2099">
        <v>-64.956099999999907</v>
      </c>
      <c r="AD2099">
        <v>-1.1099878308991</v>
      </c>
      <c r="AE2099">
        <v>1.32650000000001</v>
      </c>
      <c r="AF2099">
        <v>0.26101984472133399</v>
      </c>
      <c r="AG2099">
        <v>-1.1099878308991</v>
      </c>
      <c r="AH2099">
        <v>64.950160358473994</v>
      </c>
      <c r="AI2099">
        <v>90.979072474159494</v>
      </c>
      <c r="AJ2099">
        <v>89.769742601438296</v>
      </c>
      <c r="AK2099">
        <v>64.960168833952196</v>
      </c>
      <c r="AL2099">
        <v>87.994201918635</v>
      </c>
      <c r="AM2099">
        <v>89.373856630171602</v>
      </c>
      <c r="AN2099">
        <v>0.99999998605398899</v>
      </c>
    </row>
    <row r="2100" spans="1:40" x14ac:dyDescent="0.25">
      <c r="A2100" t="str">
        <f>"20190312160336425"</f>
        <v>20190312160336425</v>
      </c>
      <c r="B2100" t="str">
        <f>"1552377816416238"</f>
        <v>1552377816416238</v>
      </c>
      <c r="C2100" t="s">
        <v>40</v>
      </c>
      <c r="D2100">
        <v>4.8904139999999998</v>
      </c>
      <c r="E2100">
        <v>0.49804870000000001</v>
      </c>
      <c r="F2100" t="s">
        <v>70</v>
      </c>
      <c r="G2100">
        <v>-391.55709999999999</v>
      </c>
      <c r="H2100" s="1">
        <v>-7.0819009999999898E-7</v>
      </c>
      <c r="I2100">
        <v>285.35599999999999</v>
      </c>
      <c r="J2100">
        <v>-328.4058</v>
      </c>
      <c r="K2100">
        <v>1.10999</v>
      </c>
      <c r="L2100">
        <v>284.05829999999997</v>
      </c>
      <c r="M2100">
        <v>-0.99978869999999997</v>
      </c>
      <c r="N2100">
        <v>0</v>
      </c>
      <c r="O2100">
        <v>1.6397729999999999E-2</v>
      </c>
      <c r="P2100">
        <v>-0.99936550000000002</v>
      </c>
      <c r="Q2100">
        <v>2.254486E-2</v>
      </c>
      <c r="R2100">
        <v>2.7581189999999998E-2</v>
      </c>
      <c r="S2100">
        <v>-3.001404</v>
      </c>
      <c r="T2100">
        <v>-5.2624459999999998E-2</v>
      </c>
      <c r="U2100">
        <v>6.1645510000000001E-2</v>
      </c>
      <c r="V2100">
        <v>1.119033E-2</v>
      </c>
      <c r="W2100">
        <v>3.4952980000000002E-2</v>
      </c>
      <c r="X2100">
        <v>0.9993263</v>
      </c>
      <c r="Y2100">
        <v>4.1381569999999999E-3</v>
      </c>
      <c r="Z2100">
        <v>-2.5118280000000002E-4</v>
      </c>
      <c r="AA2100">
        <v>0.99999139999999997</v>
      </c>
      <c r="AB2100">
        <v>29</v>
      </c>
      <c r="AC2100">
        <v>-63.1512999999999</v>
      </c>
      <c r="AD2100">
        <v>-1.1099907081900999</v>
      </c>
      <c r="AE2100">
        <v>1.2977000000000201</v>
      </c>
      <c r="AF2100">
        <v>0.26182709917260499</v>
      </c>
      <c r="AG2100">
        <v>-1.1099907081900999</v>
      </c>
      <c r="AH2100">
        <v>63.144589204218398</v>
      </c>
      <c r="AI2100">
        <v>91.007064701085895</v>
      </c>
      <c r="AJ2100">
        <v>89.762426172067094</v>
      </c>
      <c r="AK2100">
        <v>63.154887210505102</v>
      </c>
      <c r="AL2100">
        <v>87.996933750189797</v>
      </c>
      <c r="AM2100">
        <v>89.358435894692306</v>
      </c>
      <c r="AN2100">
        <v>0.99999999408403895</v>
      </c>
    </row>
    <row r="2101" spans="1:40" x14ac:dyDescent="0.25">
      <c r="A2101" t="str">
        <f>"20190312160336446"</f>
        <v>20190312160336446</v>
      </c>
      <c r="B2101" t="str">
        <f>"1552377816436735"</f>
        <v>1552377816436735</v>
      </c>
      <c r="C2101" t="s">
        <v>40</v>
      </c>
      <c r="D2101">
        <v>4.9867610000000004</v>
      </c>
      <c r="E2101">
        <v>0.4979731</v>
      </c>
      <c r="F2101" t="s">
        <v>70</v>
      </c>
      <c r="G2101">
        <v>-390.37920000000003</v>
      </c>
      <c r="H2101" s="1">
        <v>-1.3349769999999999E-6</v>
      </c>
      <c r="I2101">
        <v>285.33870000000002</v>
      </c>
      <c r="J2101">
        <v>-328.67599999999999</v>
      </c>
      <c r="K2101">
        <v>1.1099939999999999</v>
      </c>
      <c r="L2101">
        <v>284.06270000000001</v>
      </c>
      <c r="M2101">
        <v>-0.99978860000000003</v>
      </c>
      <c r="N2101">
        <v>0</v>
      </c>
      <c r="O2101">
        <v>1.6397729999999999E-2</v>
      </c>
      <c r="P2101">
        <v>-0.99935010000000002</v>
      </c>
      <c r="Q2101">
        <v>2.287111E-2</v>
      </c>
      <c r="R2101">
        <v>2.7863740000000001E-2</v>
      </c>
      <c r="S2101">
        <v>-3.001404</v>
      </c>
      <c r="T2101">
        <v>-5.3757430000000002E-2</v>
      </c>
      <c r="U2101">
        <v>6.2011719999999999E-2</v>
      </c>
      <c r="V2101">
        <v>1.147306E-2</v>
      </c>
      <c r="W2101">
        <v>3.5278450000000003E-2</v>
      </c>
      <c r="X2101">
        <v>0.99931170000000002</v>
      </c>
      <c r="Y2101">
        <v>4.2601770000000004E-3</v>
      </c>
      <c r="Z2101">
        <v>-2.5549680000000002E-4</v>
      </c>
      <c r="AA2101">
        <v>0.99999090000000002</v>
      </c>
      <c r="AB2101">
        <v>29</v>
      </c>
      <c r="AC2101">
        <v>-61.703200000000002</v>
      </c>
      <c r="AD2101">
        <v>-1.109995334977</v>
      </c>
      <c r="AE2101">
        <v>1.27600000000001</v>
      </c>
      <c r="AF2101">
        <v>0.26387279187927998</v>
      </c>
      <c r="AG2101">
        <v>-1.109995334977</v>
      </c>
      <c r="AH2101">
        <v>61.695870633608202</v>
      </c>
      <c r="AI2101">
        <v>91.030710890850003</v>
      </c>
      <c r="AJ2101">
        <v>89.754947860188096</v>
      </c>
      <c r="AK2101">
        <v>61.706419210102297</v>
      </c>
      <c r="AL2101">
        <v>87.978274271105207</v>
      </c>
      <c r="AM2101">
        <v>89.342218213074304</v>
      </c>
      <c r="AN2101">
        <v>1.00000003694852</v>
      </c>
    </row>
    <row r="2102" spans="1:40" x14ac:dyDescent="0.25">
      <c r="A2102" t="str">
        <f>"20190312160336457"</f>
        <v>20190312160336457</v>
      </c>
      <c r="B2102" t="str">
        <f>"1552377816446495"</f>
        <v>1552377816446495</v>
      </c>
      <c r="C2102" t="s">
        <v>40</v>
      </c>
      <c r="D2102">
        <v>5.009449</v>
      </c>
      <c r="E2102">
        <v>0.49795830000000002</v>
      </c>
      <c r="F2102" t="s">
        <v>70</v>
      </c>
      <c r="G2102">
        <v>-390.06979999999999</v>
      </c>
      <c r="H2102" s="1">
        <v>-1.4996269999999999E-6</v>
      </c>
      <c r="I2102">
        <v>285.33179999999999</v>
      </c>
      <c r="J2102">
        <v>-328.81439999999998</v>
      </c>
      <c r="K2102">
        <v>1.109993</v>
      </c>
      <c r="L2102">
        <v>284.065</v>
      </c>
      <c r="M2102">
        <v>-0.99978849999999997</v>
      </c>
      <c r="N2102">
        <v>0</v>
      </c>
      <c r="O2102">
        <v>1.6397729999999999E-2</v>
      </c>
      <c r="P2102">
        <v>-0.99934449999999997</v>
      </c>
      <c r="Q2102">
        <v>2.303154E-2</v>
      </c>
      <c r="R2102">
        <v>2.7935209999999999E-2</v>
      </c>
      <c r="S2102">
        <v>-3.001465</v>
      </c>
      <c r="T2102">
        <v>-5.4266210000000002E-2</v>
      </c>
      <c r="U2102">
        <v>6.2042239999999999E-2</v>
      </c>
      <c r="V2102">
        <v>1.1544789999999999E-2</v>
      </c>
      <c r="W2102">
        <v>3.5438570000000003E-2</v>
      </c>
      <c r="X2102">
        <v>0.9993052</v>
      </c>
      <c r="Y2102">
        <v>4.2699510000000001E-3</v>
      </c>
      <c r="Z2102">
        <v>-2.5782099999999998E-4</v>
      </c>
      <c r="AA2102">
        <v>0.99999079999999996</v>
      </c>
      <c r="AB2102">
        <v>29</v>
      </c>
      <c r="AC2102">
        <v>-61.255400000000002</v>
      </c>
      <c r="AD2102">
        <v>-1.1099944996269999</v>
      </c>
      <c r="AE2102">
        <v>1.2667999999999799</v>
      </c>
      <c r="AF2102">
        <v>0.26201675381999501</v>
      </c>
      <c r="AG2102">
        <v>-1.1099944996269999</v>
      </c>
      <c r="AH2102">
        <v>61.2478342123635</v>
      </c>
      <c r="AI2102">
        <v>91.038248254303994</v>
      </c>
      <c r="AJ2102">
        <v>89.754891535867202</v>
      </c>
      <c r="AK2102">
        <v>61.258451957861702</v>
      </c>
      <c r="AL2102">
        <v>87.969094313936694</v>
      </c>
      <c r="AM2102">
        <v>89.3381017965729</v>
      </c>
      <c r="AN2102">
        <v>1.0000000285834101</v>
      </c>
    </row>
    <row r="2103" spans="1:40" x14ac:dyDescent="0.25">
      <c r="A2103" t="str">
        <f>"20190312160336468"</f>
        <v>20190312160336468</v>
      </c>
      <c r="B2103" t="str">
        <f>"1552377816456254"</f>
        <v>1552377816456254</v>
      </c>
      <c r="C2103" t="s">
        <v>40</v>
      </c>
      <c r="D2103">
        <v>5.0199699999999998</v>
      </c>
      <c r="E2103">
        <v>0.49795699999999998</v>
      </c>
      <c r="F2103" t="s">
        <v>70</v>
      </c>
      <c r="G2103">
        <v>-389.88749999999999</v>
      </c>
      <c r="H2103" s="1">
        <v>3.7248459999999999E-6</v>
      </c>
      <c r="I2103">
        <v>285.33240000000001</v>
      </c>
      <c r="J2103">
        <v>-328.96120000000002</v>
      </c>
      <c r="K2103">
        <v>1.10999</v>
      </c>
      <c r="L2103">
        <v>284.06740000000002</v>
      </c>
      <c r="M2103">
        <v>-0.99978860000000003</v>
      </c>
      <c r="N2103">
        <v>0</v>
      </c>
      <c r="O2103">
        <v>1.639755E-2</v>
      </c>
      <c r="P2103">
        <v>-0.99933329999999998</v>
      </c>
      <c r="Q2103">
        <v>2.3378980000000001E-2</v>
      </c>
      <c r="R2103">
        <v>2.80462E-2</v>
      </c>
      <c r="S2103">
        <v>-3.0014949999999998</v>
      </c>
      <c r="T2103">
        <v>-5.4551479999999999E-2</v>
      </c>
      <c r="U2103">
        <v>6.2286380000000002E-2</v>
      </c>
      <c r="V2103">
        <v>1.165603E-2</v>
      </c>
      <c r="W2103">
        <v>3.578597E-2</v>
      </c>
      <c r="X2103">
        <v>0.9992915</v>
      </c>
      <c r="Y2103">
        <v>4.3512309999999997E-3</v>
      </c>
      <c r="Z2103">
        <v>-2.584315E-4</v>
      </c>
      <c r="AA2103">
        <v>0.9999905</v>
      </c>
      <c r="AB2103">
        <v>29</v>
      </c>
      <c r="AC2103">
        <v>-60.926299999999898</v>
      </c>
      <c r="AD2103">
        <v>-1.1099862751539999</v>
      </c>
      <c r="AE2103">
        <v>1.2649999999999799</v>
      </c>
      <c r="AF2103">
        <v>0.26562284648912998</v>
      </c>
      <c r="AG2103">
        <v>-1.1099862751539999</v>
      </c>
      <c r="AH2103">
        <v>60.918640725839801</v>
      </c>
      <c r="AI2103">
        <v>91.043849421158498</v>
      </c>
      <c r="AJ2103">
        <v>89.750175456691807</v>
      </c>
      <c r="AK2103">
        <v>60.929331302022</v>
      </c>
      <c r="AL2103">
        <v>87.949177068800097</v>
      </c>
      <c r="AM2103">
        <v>89.331715480954003</v>
      </c>
      <c r="AN2103">
        <v>1.0000000003282199</v>
      </c>
    </row>
    <row r="2104" spans="1:40" x14ac:dyDescent="0.25">
      <c r="A2104" t="str">
        <f>"20190312160336480"</f>
        <v>20190312160336480</v>
      </c>
      <c r="B2104" t="str">
        <f>"1552377816466521"</f>
        <v>1552377816466521</v>
      </c>
      <c r="C2104" t="s">
        <v>40</v>
      </c>
      <c r="D2104">
        <v>5.0842609999999997</v>
      </c>
      <c r="E2104">
        <v>0.49791259999999998</v>
      </c>
      <c r="F2104" t="s">
        <v>70</v>
      </c>
      <c r="G2104">
        <v>-390.29899999999998</v>
      </c>
      <c r="H2104" s="1">
        <v>-1.3776810000000001E-6</v>
      </c>
      <c r="I2104">
        <v>285.35090000000002</v>
      </c>
      <c r="J2104">
        <v>-329.11450000000002</v>
      </c>
      <c r="K2104">
        <v>1.1099889999999999</v>
      </c>
      <c r="L2104">
        <v>284.06990000000002</v>
      </c>
      <c r="M2104">
        <v>-0.99978849999999997</v>
      </c>
      <c r="N2104">
        <v>0</v>
      </c>
      <c r="O2104">
        <v>1.639755E-2</v>
      </c>
      <c r="P2104">
        <v>-0.9993339</v>
      </c>
      <c r="Q2104">
        <v>2.3468429999999998E-2</v>
      </c>
      <c r="R2104">
        <v>2.7945020000000001E-2</v>
      </c>
      <c r="S2104">
        <v>-3.0014949999999998</v>
      </c>
      <c r="T2104">
        <v>-5.4316160000000002E-2</v>
      </c>
      <c r="U2104">
        <v>6.2805180000000002E-2</v>
      </c>
      <c r="V2104">
        <v>1.1554740000000001E-2</v>
      </c>
      <c r="W2104">
        <v>3.5875070000000002E-2</v>
      </c>
      <c r="X2104">
        <v>0.99928950000000005</v>
      </c>
      <c r="Y2104">
        <v>4.523956E-3</v>
      </c>
      <c r="Z2104">
        <v>-2.557538E-4</v>
      </c>
      <c r="AA2104">
        <v>0.99998969999999998</v>
      </c>
      <c r="AB2104">
        <v>29</v>
      </c>
      <c r="AC2104">
        <v>-61.1845</v>
      </c>
      <c r="AD2104">
        <v>-1.1099903776809901</v>
      </c>
      <c r="AE2104">
        <v>1.2809999999999999</v>
      </c>
      <c r="AF2104">
        <v>0.27738329471219603</v>
      </c>
      <c r="AG2104">
        <v>-1.1099903776809901</v>
      </c>
      <c r="AH2104">
        <v>61.177153561794803</v>
      </c>
      <c r="AI2104">
        <v>91.039442493207602</v>
      </c>
      <c r="AJ2104">
        <v>89.740217021199896</v>
      </c>
      <c r="AK2104">
        <v>61.187851229260801</v>
      </c>
      <c r="AL2104">
        <v>87.9440687725495</v>
      </c>
      <c r="AM2104">
        <v>89.337520976163304</v>
      </c>
      <c r="AN2104">
        <v>1.0000000187371101</v>
      </c>
    </row>
    <row r="2105" spans="1:40" x14ac:dyDescent="0.25">
      <c r="A2105" t="str">
        <f>"20190312160336492"</f>
        <v>20190312160336492</v>
      </c>
      <c r="B2105" t="str">
        <f>"1552377816476281"</f>
        <v>1552377816476281</v>
      </c>
      <c r="C2105" t="s">
        <v>40</v>
      </c>
      <c r="D2105">
        <v>5.1651280000000002</v>
      </c>
      <c r="E2105">
        <v>0.49787330000000002</v>
      </c>
      <c r="F2105" t="s">
        <v>70</v>
      </c>
      <c r="G2105">
        <v>-389.18450000000001</v>
      </c>
      <c r="H2105" s="1">
        <v>3.3507299999999999E-6</v>
      </c>
      <c r="I2105">
        <v>285.3116</v>
      </c>
      <c r="J2105">
        <v>-329.27350000000001</v>
      </c>
      <c r="K2105">
        <v>1.109988</v>
      </c>
      <c r="L2105">
        <v>284.07249999999999</v>
      </c>
      <c r="M2105">
        <v>-0.99978860000000003</v>
      </c>
      <c r="N2105">
        <v>0</v>
      </c>
      <c r="O2105">
        <v>1.6397370000000001E-2</v>
      </c>
      <c r="P2105">
        <v>-0.99934040000000002</v>
      </c>
      <c r="Q2105">
        <v>2.344108E-2</v>
      </c>
      <c r="R2105">
        <v>2.774014E-2</v>
      </c>
      <c r="S2105">
        <v>-3.0015260000000001</v>
      </c>
      <c r="T2105">
        <v>-5.5462839999999999E-2</v>
      </c>
      <c r="U2105">
        <v>6.2042239999999999E-2</v>
      </c>
      <c r="V2105">
        <v>1.1349919999999999E-2</v>
      </c>
      <c r="W2105">
        <v>3.5847440000000001E-2</v>
      </c>
      <c r="X2105">
        <v>0.99929279999999998</v>
      </c>
      <c r="Y2105">
        <v>4.2699770000000003E-3</v>
      </c>
      <c r="Z2105">
        <v>-2.6349300000000001E-4</v>
      </c>
      <c r="AA2105">
        <v>0.99999079999999996</v>
      </c>
      <c r="AB2105">
        <v>29</v>
      </c>
      <c r="AC2105">
        <v>-59.911000000000001</v>
      </c>
      <c r="AD2105">
        <v>-1.1099846492700001</v>
      </c>
      <c r="AE2105">
        <v>1.2391000000000001</v>
      </c>
      <c r="AF2105">
        <v>0.25638698505070401</v>
      </c>
      <c r="AG2105">
        <v>-1.1099846492700001</v>
      </c>
      <c r="AH2105">
        <v>59.902710216718098</v>
      </c>
      <c r="AI2105">
        <v>91.061547564288404</v>
      </c>
      <c r="AJ2105">
        <v>89.754772323113201</v>
      </c>
      <c r="AK2105">
        <v>59.913541804134901</v>
      </c>
      <c r="AL2105">
        <v>87.945652793986497</v>
      </c>
      <c r="AM2105">
        <v>89.349265248084095</v>
      </c>
      <c r="AN2105">
        <v>0.99999997988519895</v>
      </c>
    </row>
    <row r="2106" spans="1:40" x14ac:dyDescent="0.25">
      <c r="A2106" t="str">
        <f>"20190312160336504"</f>
        <v>20190312160336504</v>
      </c>
      <c r="B2106" t="str">
        <f>"1552377816496777"</f>
        <v>1552377816496777</v>
      </c>
      <c r="C2106" t="s">
        <v>40</v>
      </c>
      <c r="D2106">
        <v>5.5525549999999999</v>
      </c>
      <c r="E2106">
        <v>0.49781300000000001</v>
      </c>
      <c r="F2106" t="s">
        <v>70</v>
      </c>
      <c r="G2106">
        <v>-387.58569999999997</v>
      </c>
      <c r="H2106" s="1">
        <v>2.4999220000000002E-6</v>
      </c>
      <c r="I2106">
        <v>285.25889999999998</v>
      </c>
      <c r="J2106">
        <v>-329.43389999999999</v>
      </c>
      <c r="K2106">
        <v>1.1099870000000001</v>
      </c>
      <c r="L2106">
        <v>284.07510000000002</v>
      </c>
      <c r="M2106">
        <v>-0.99978860000000003</v>
      </c>
      <c r="N2106">
        <v>0</v>
      </c>
      <c r="O2106">
        <v>1.6397249999999999E-2</v>
      </c>
      <c r="P2106">
        <v>-0.99935249999999998</v>
      </c>
      <c r="Q2106">
        <v>2.310562E-2</v>
      </c>
      <c r="R2106">
        <v>2.759143E-2</v>
      </c>
      <c r="S2106">
        <v>-3.0015869999999998</v>
      </c>
      <c r="T2106">
        <v>-5.7135940000000003E-2</v>
      </c>
      <c r="U2106">
        <v>6.1065670000000002E-2</v>
      </c>
      <c r="V2106">
        <v>1.120142E-2</v>
      </c>
      <c r="W2106">
        <v>3.5512439999999999E-2</v>
      </c>
      <c r="X2106">
        <v>0.99930640000000004</v>
      </c>
      <c r="Y2106">
        <v>3.9446539999999997E-3</v>
      </c>
      <c r="Z2106">
        <v>-2.7452919999999999E-4</v>
      </c>
      <c r="AA2106">
        <v>0.9999922</v>
      </c>
      <c r="AB2106">
        <v>29</v>
      </c>
      <c r="AC2106">
        <v>-58.151799999999902</v>
      </c>
      <c r="AD2106">
        <v>-1.109984500078</v>
      </c>
      <c r="AE2106">
        <v>1.18379999999996</v>
      </c>
      <c r="AF2106">
        <v>0.22995409566035299</v>
      </c>
      <c r="AG2106">
        <v>-1.109984500078</v>
      </c>
      <c r="AH2106">
        <v>58.1422184051847</v>
      </c>
      <c r="AI2106">
        <v>91.093683852173498</v>
      </c>
      <c r="AJ2106">
        <v>89.773394775302407</v>
      </c>
      <c r="AK2106">
        <v>58.153267367816298</v>
      </c>
      <c r="AL2106">
        <v>87.964859035064507</v>
      </c>
      <c r="AM2106">
        <v>89.357787348355004</v>
      </c>
      <c r="AN2106">
        <v>0.999999943142863</v>
      </c>
    </row>
    <row r="2107" spans="1:40" x14ac:dyDescent="0.25">
      <c r="A2107" t="str">
        <f>"20190312160336517"</f>
        <v>20190312160336517</v>
      </c>
      <c r="B2107" t="str">
        <f>"1552377816506537"</f>
        <v>1552377816506537</v>
      </c>
      <c r="C2107" t="s">
        <v>40</v>
      </c>
      <c r="D2107">
        <v>5.0954759999999997</v>
      </c>
      <c r="E2107">
        <v>0.49777109999999902</v>
      </c>
      <c r="F2107" t="s">
        <v>70</v>
      </c>
      <c r="G2107">
        <v>-384.75670000000002</v>
      </c>
      <c r="H2107" s="1">
        <v>9.944777999999999E-7</v>
      </c>
      <c r="I2107">
        <v>285.18200000000002</v>
      </c>
      <c r="J2107">
        <v>-329.5908</v>
      </c>
      <c r="K2107">
        <v>1.1099939999999999</v>
      </c>
      <c r="L2107">
        <v>284.07769999999999</v>
      </c>
      <c r="M2107">
        <v>-0.99978860000000003</v>
      </c>
      <c r="N2107">
        <v>0</v>
      </c>
      <c r="O2107">
        <v>1.6397249999999999E-2</v>
      </c>
      <c r="P2107">
        <v>-0.9993552</v>
      </c>
      <c r="Q2107">
        <v>2.288666E-2</v>
      </c>
      <c r="R2107">
        <v>2.7671830000000001E-2</v>
      </c>
      <c r="S2107">
        <v>-3.001709</v>
      </c>
      <c r="T2107">
        <v>-6.0225729999999998E-2</v>
      </c>
      <c r="U2107">
        <v>6.0058590000000002E-2</v>
      </c>
      <c r="V2107">
        <v>1.128174E-2</v>
      </c>
      <c r="W2107">
        <v>3.5293230000000002E-2</v>
      </c>
      <c r="X2107">
        <v>0.99931329999999996</v>
      </c>
      <c r="Y2107">
        <v>3.6087799999999998E-3</v>
      </c>
      <c r="Z2107">
        <v>-2.9273050000000001E-4</v>
      </c>
      <c r="AA2107">
        <v>0.99999340000000003</v>
      </c>
      <c r="AB2107">
        <v>29</v>
      </c>
      <c r="AC2107">
        <v>-55.165900000000001</v>
      </c>
      <c r="AD2107">
        <v>-1.1099930055222</v>
      </c>
      <c r="AE2107">
        <v>1.10430000000002</v>
      </c>
      <c r="AF2107">
        <v>0.19943214018653599</v>
      </c>
      <c r="AG2107">
        <v>-1.1099930055222</v>
      </c>
      <c r="AH2107">
        <v>55.154270498447097</v>
      </c>
      <c r="AI2107">
        <v>91.1529282170074</v>
      </c>
      <c r="AJ2107">
        <v>89.792825287522206</v>
      </c>
      <c r="AK2107">
        <v>55.165799295095098</v>
      </c>
      <c r="AL2107">
        <v>87.977426797914404</v>
      </c>
      <c r="AM2107">
        <v>89.353187205619804</v>
      </c>
      <c r="AN2107">
        <v>0.99999998064907403</v>
      </c>
    </row>
    <row r="2108" spans="1:40" x14ac:dyDescent="0.25">
      <c r="A2108" t="str">
        <f>"20190312160336535"</f>
        <v>20190312160336535</v>
      </c>
      <c r="B2108" t="str">
        <f>"1552377816527033"</f>
        <v>1552377816527033</v>
      </c>
      <c r="C2108" t="s">
        <v>40</v>
      </c>
      <c r="D2108">
        <v>5.0967289999999998</v>
      </c>
      <c r="E2108">
        <v>0.49772549999999999</v>
      </c>
      <c r="F2108" t="s">
        <v>70</v>
      </c>
      <c r="G2108">
        <v>-383.79250000000002</v>
      </c>
      <c r="H2108" s="1">
        <v>4.8140169999999998E-7</v>
      </c>
      <c r="I2108">
        <v>285.1567</v>
      </c>
      <c r="J2108">
        <v>-329.8356</v>
      </c>
      <c r="K2108">
        <v>1.1100000000000001</v>
      </c>
      <c r="L2108">
        <v>284.08170000000001</v>
      </c>
      <c r="M2108">
        <v>-0.99978860000000003</v>
      </c>
      <c r="N2108">
        <v>0</v>
      </c>
      <c r="O2108">
        <v>1.6397249999999999E-2</v>
      </c>
      <c r="P2108">
        <v>-0.99935739999999995</v>
      </c>
      <c r="Q2108">
        <v>2.2477859999999999E-2</v>
      </c>
      <c r="R2108">
        <v>2.7927489999999999E-2</v>
      </c>
      <c r="S2108">
        <v>-3.0016780000000001</v>
      </c>
      <c r="T2108">
        <v>-6.147122E-2</v>
      </c>
      <c r="U2108">
        <v>5.9753420000000002E-2</v>
      </c>
      <c r="V2108">
        <v>1.1537209999999999E-2</v>
      </c>
      <c r="W2108">
        <v>3.4884829999999999E-2</v>
      </c>
      <c r="X2108">
        <v>0.99932469999999995</v>
      </c>
      <c r="Y2108">
        <v>3.5074849999999999E-3</v>
      </c>
      <c r="Z2108">
        <v>-2.9982339999999998E-4</v>
      </c>
      <c r="AA2108">
        <v>0.99999380000000004</v>
      </c>
      <c r="AB2108">
        <v>29</v>
      </c>
      <c r="AC2108">
        <v>-53.956899999999997</v>
      </c>
      <c r="AD2108">
        <v>-1.1099995185983</v>
      </c>
      <c r="AE2108">
        <v>1.07499999999998</v>
      </c>
      <c r="AF2108">
        <v>0.18996222822084699</v>
      </c>
      <c r="AG2108">
        <v>-1.1099995185983</v>
      </c>
      <c r="AH2108">
        <v>53.944452559009797</v>
      </c>
      <c r="AI2108">
        <v>91.178785156247102</v>
      </c>
      <c r="AJ2108">
        <v>89.7982371043055</v>
      </c>
      <c r="AK2108">
        <v>53.956205819819303</v>
      </c>
      <c r="AL2108">
        <v>88.000840766771802</v>
      </c>
      <c r="AM2108">
        <v>89.3385492486955</v>
      </c>
      <c r="AN2108">
        <v>0.99999995730439994</v>
      </c>
    </row>
    <row r="2109" spans="1:40" x14ac:dyDescent="0.25">
      <c r="A2109" t="str">
        <f>"20190312160336557"</f>
        <v>20190312160336557</v>
      </c>
      <c r="B2109" t="str">
        <f>"1552377816546553"</f>
        <v>1552377816546553</v>
      </c>
      <c r="C2109" t="s">
        <v>40</v>
      </c>
      <c r="D2109">
        <v>5.1193879999999998</v>
      </c>
      <c r="E2109">
        <v>0.49770530000000002</v>
      </c>
      <c r="F2109" t="s">
        <v>70</v>
      </c>
      <c r="G2109">
        <v>-381.5779</v>
      </c>
      <c r="H2109" s="1">
        <v>-6.9714299999999998E-7</v>
      </c>
      <c r="I2109">
        <v>285.11279999999999</v>
      </c>
      <c r="J2109">
        <v>-330.11619999999999</v>
      </c>
      <c r="K2109">
        <v>1.1100019999999999</v>
      </c>
      <c r="L2109">
        <v>284.08629999999999</v>
      </c>
      <c r="M2109">
        <v>-0.99978849999999997</v>
      </c>
      <c r="N2109">
        <v>0</v>
      </c>
      <c r="O2109">
        <v>1.639707E-2</v>
      </c>
      <c r="P2109">
        <v>-0.99935260000000004</v>
      </c>
      <c r="Q2109">
        <v>2.2658620000000001E-2</v>
      </c>
      <c r="R2109">
        <v>2.7944980000000001E-2</v>
      </c>
      <c r="S2109">
        <v>-3.0016780000000001</v>
      </c>
      <c r="T2109">
        <v>-6.4393519999999996E-2</v>
      </c>
      <c r="U2109">
        <v>5.9814449999999998E-2</v>
      </c>
      <c r="V2109">
        <v>1.155484E-2</v>
      </c>
      <c r="W2109">
        <v>3.5065440000000003E-2</v>
      </c>
      <c r="X2109">
        <v>0.99931820000000005</v>
      </c>
      <c r="Y2109">
        <v>3.528247E-3</v>
      </c>
      <c r="Z2109">
        <v>-3.138471E-4</v>
      </c>
      <c r="AA2109">
        <v>0.99999369999999999</v>
      </c>
      <c r="AB2109">
        <v>29</v>
      </c>
      <c r="AC2109">
        <v>-51.4617</v>
      </c>
      <c r="AD2109">
        <v>-1.1100026971429999</v>
      </c>
      <c r="AE2109">
        <v>1.02649999999999</v>
      </c>
      <c r="AF2109">
        <v>0.182391035153217</v>
      </c>
      <c r="AG2109">
        <v>-1.1100026971429999</v>
      </c>
      <c r="AH2109">
        <v>51.447687106532101</v>
      </c>
      <c r="AI2109">
        <v>91.235977910137194</v>
      </c>
      <c r="AJ2109">
        <v>89.796877306970998</v>
      </c>
      <c r="AK2109">
        <v>51.459983298568901</v>
      </c>
      <c r="AL2109">
        <v>87.990486290409194</v>
      </c>
      <c r="AM2109">
        <v>89.337534267867099</v>
      </c>
      <c r="AN2109">
        <v>0.99999998213052899</v>
      </c>
    </row>
    <row r="2110" spans="1:40" x14ac:dyDescent="0.25">
      <c r="A2110" t="str">
        <f>"20190312160336569"</f>
        <v>20190312160336569</v>
      </c>
      <c r="B2110" t="str">
        <f>"1552377816556313"</f>
        <v>1552377816556313</v>
      </c>
      <c r="C2110" t="s">
        <v>40</v>
      </c>
      <c r="D2110">
        <v>5.1348330000000004</v>
      </c>
      <c r="E2110">
        <v>0.49769649999999999</v>
      </c>
      <c r="F2110" t="s">
        <v>70</v>
      </c>
      <c r="G2110">
        <v>-380.13869999999997</v>
      </c>
      <c r="H2110" s="1">
        <v>-1.463E-6</v>
      </c>
      <c r="I2110">
        <v>285.08260000000001</v>
      </c>
      <c r="J2110">
        <v>-330.2647</v>
      </c>
      <c r="K2110">
        <v>1.1100000000000001</v>
      </c>
      <c r="L2110">
        <v>284.08870000000002</v>
      </c>
      <c r="M2110">
        <v>-0.99978860000000003</v>
      </c>
      <c r="N2110">
        <v>0</v>
      </c>
      <c r="O2110">
        <v>1.6396899999999999E-2</v>
      </c>
      <c r="P2110">
        <v>-0.99935249999999998</v>
      </c>
      <c r="Q2110">
        <v>2.2768549999999999E-2</v>
      </c>
      <c r="R2110">
        <v>2.7859910000000002E-2</v>
      </c>
      <c r="S2110">
        <v>-3.0018009999999999</v>
      </c>
      <c r="T2110">
        <v>-6.6610219999999998E-2</v>
      </c>
      <c r="U2110">
        <v>5.9783940000000001E-2</v>
      </c>
      <c r="V2110">
        <v>1.1469989999999999E-2</v>
      </c>
      <c r="W2110">
        <v>3.5175049999999999E-2</v>
      </c>
      <c r="X2110">
        <v>0.99931530000000002</v>
      </c>
      <c r="Y2110">
        <v>3.5176629999999999E-3</v>
      </c>
      <c r="Z2110">
        <v>-3.247487E-4</v>
      </c>
      <c r="AA2110">
        <v>0.99999369999999999</v>
      </c>
      <c r="AB2110">
        <v>29</v>
      </c>
      <c r="AC2110">
        <v>-49.873999999999903</v>
      </c>
      <c r="AD2110">
        <v>-1.1100014629999999</v>
      </c>
      <c r="AE2110">
        <v>0.99389999999999601</v>
      </c>
      <c r="AF2110">
        <v>0.17583737281483799</v>
      </c>
      <c r="AG2110">
        <v>-1.1100014629999999</v>
      </c>
      <c r="AH2110">
        <v>49.858905091352597</v>
      </c>
      <c r="AI2110">
        <v>91.275348898949304</v>
      </c>
      <c r="AJ2110">
        <v>89.797935844033105</v>
      </c>
      <c r="AK2110">
        <v>49.871569445306697</v>
      </c>
      <c r="AL2110">
        <v>87.984202172167002</v>
      </c>
      <c r="AM2110">
        <v>89.342396577873998</v>
      </c>
      <c r="AN2110">
        <v>0.99999995681359499</v>
      </c>
    </row>
    <row r="2111" spans="1:40" x14ac:dyDescent="0.25">
      <c r="A2111" t="str">
        <f>"20190312160336580"</f>
        <v>20190312160336580</v>
      </c>
      <c r="B2111" t="str">
        <f>"1552377816576342"</f>
        <v>1552377816576342</v>
      </c>
      <c r="C2111" t="s">
        <v>40</v>
      </c>
      <c r="D2111">
        <v>5.1663269999999999</v>
      </c>
      <c r="E2111">
        <v>0.49767109999999898</v>
      </c>
      <c r="F2111" t="s">
        <v>70</v>
      </c>
      <c r="G2111">
        <v>-379.70049999999998</v>
      </c>
      <c r="H2111" s="1">
        <v>3.625352E-6</v>
      </c>
      <c r="I2111">
        <v>285.0693</v>
      </c>
      <c r="J2111">
        <v>-330.41899999999998</v>
      </c>
      <c r="K2111">
        <v>1.1099939999999999</v>
      </c>
      <c r="L2111">
        <v>284.09129999999999</v>
      </c>
      <c r="M2111">
        <v>-0.99978860000000003</v>
      </c>
      <c r="N2111">
        <v>0</v>
      </c>
      <c r="O2111">
        <v>1.639672E-2</v>
      </c>
      <c r="P2111">
        <v>-0.99935200000000002</v>
      </c>
      <c r="Q2111">
        <v>2.273524E-2</v>
      </c>
      <c r="R2111">
        <v>2.7904200000000001E-2</v>
      </c>
      <c r="S2111">
        <v>-3.0018310000000001</v>
      </c>
      <c r="T2111">
        <v>-6.7400929999999998E-2</v>
      </c>
      <c r="U2111">
        <v>5.9539790000000002E-2</v>
      </c>
      <c r="V2111">
        <v>1.1514399999999999E-2</v>
      </c>
      <c r="W2111">
        <v>3.514217E-2</v>
      </c>
      <c r="X2111">
        <v>0.99931599999999998</v>
      </c>
      <c r="Y2111">
        <v>3.4364389999999999E-3</v>
      </c>
      <c r="Z2111">
        <v>-3.2950740000000002E-4</v>
      </c>
      <c r="AA2111">
        <v>0.99999400000000005</v>
      </c>
      <c r="AB2111">
        <v>29</v>
      </c>
      <c r="AC2111">
        <v>-49.281499999999902</v>
      </c>
      <c r="AD2111">
        <v>-1.109990374648</v>
      </c>
      <c r="AE2111">
        <v>0.97800000000000797</v>
      </c>
      <c r="AF2111">
        <v>0.16966531876768901</v>
      </c>
      <c r="AG2111">
        <v>-1.109990374648</v>
      </c>
      <c r="AH2111">
        <v>49.2659279399711</v>
      </c>
      <c r="AI2111">
        <v>91.290681642106705</v>
      </c>
      <c r="AJ2111">
        <v>89.802681717966294</v>
      </c>
      <c r="AK2111">
        <v>49.2787227993851</v>
      </c>
      <c r="AL2111">
        <v>87.986087331463807</v>
      </c>
      <c r="AM2111">
        <v>89.339851127970405</v>
      </c>
      <c r="AN2111">
        <v>1.00000001068783</v>
      </c>
    </row>
    <row r="2112" spans="1:40" x14ac:dyDescent="0.25">
      <c r="A2112" t="str">
        <f>"20190312160336591"</f>
        <v>20190312160336591</v>
      </c>
      <c r="B2112" t="str">
        <f>"1552377816587077"</f>
        <v>1552377816587077</v>
      </c>
      <c r="C2112" t="s">
        <v>40</v>
      </c>
      <c r="D2112">
        <v>5.2251320000000003</v>
      </c>
      <c r="E2112">
        <v>0.49764439999999999</v>
      </c>
      <c r="F2112" t="s">
        <v>70</v>
      </c>
      <c r="G2112">
        <v>-377.94450000000001</v>
      </c>
      <c r="H2112" s="1">
        <v>2.6908569999999998E-6</v>
      </c>
      <c r="I2112">
        <v>285.03199999999998</v>
      </c>
      <c r="J2112">
        <v>-330.56029999999998</v>
      </c>
      <c r="K2112">
        <v>1.1099939999999999</v>
      </c>
      <c r="L2112">
        <v>284.09359999999998</v>
      </c>
      <c r="M2112">
        <v>-0.99978860000000003</v>
      </c>
      <c r="N2112">
        <v>0</v>
      </c>
      <c r="O2112">
        <v>1.639672E-2</v>
      </c>
      <c r="P2112">
        <v>-0.99935479999999999</v>
      </c>
      <c r="Q2112">
        <v>2.2762149999999998E-2</v>
      </c>
      <c r="R2112">
        <v>2.778858E-2</v>
      </c>
      <c r="S2112">
        <v>-3.0019230000000001</v>
      </c>
      <c r="T2112">
        <v>-7.0111989999999999E-2</v>
      </c>
      <c r="U2112">
        <v>5.941772E-2</v>
      </c>
      <c r="V2112">
        <v>1.139889E-2</v>
      </c>
      <c r="W2112">
        <v>3.5168850000000001E-2</v>
      </c>
      <c r="X2112">
        <v>0.99931639999999999</v>
      </c>
      <c r="Y2112">
        <v>3.3954660000000002E-3</v>
      </c>
      <c r="Z2112">
        <v>-3.432256E-4</v>
      </c>
      <c r="AA2112">
        <v>0.99999420000000006</v>
      </c>
      <c r="AB2112">
        <v>29</v>
      </c>
      <c r="AC2112">
        <v>-47.3842</v>
      </c>
      <c r="AD2112">
        <v>-1.109991309143</v>
      </c>
      <c r="AE2112">
        <v>0.93840000000000101</v>
      </c>
      <c r="AF2112">
        <v>0.161180160310614</v>
      </c>
      <c r="AG2112">
        <v>-1.109991309143</v>
      </c>
      <c r="AH2112">
        <v>47.367234347884398</v>
      </c>
      <c r="AI2112">
        <v>91.342400768372002</v>
      </c>
      <c r="AJ2112">
        <v>89.805035961863695</v>
      </c>
      <c r="AK2112">
        <v>47.380512339123698</v>
      </c>
      <c r="AL2112">
        <v>87.984557763438403</v>
      </c>
      <c r="AM2112">
        <v>89.3464732846479</v>
      </c>
      <c r="AN2112">
        <v>1.00000002500625</v>
      </c>
    </row>
    <row r="2113" spans="1:40" x14ac:dyDescent="0.25">
      <c r="A2113" t="str">
        <f>"20190312160336615"</f>
        <v>20190312160336615</v>
      </c>
      <c r="B2113" t="str">
        <f>"1552377816606598"</f>
        <v>1552377816606598</v>
      </c>
      <c r="C2113" t="s">
        <v>40</v>
      </c>
      <c r="D2113">
        <v>5.2010709999999998</v>
      </c>
      <c r="E2113">
        <v>0.49763259999999998</v>
      </c>
      <c r="F2113" t="s">
        <v>70</v>
      </c>
      <c r="G2113">
        <v>-377.05560000000003</v>
      </c>
      <c r="H2113" s="1">
        <v>2.217863E-6</v>
      </c>
      <c r="I2113">
        <v>285.00490000000002</v>
      </c>
      <c r="J2113">
        <v>-330.86090000000002</v>
      </c>
      <c r="K2113">
        <v>1.1099889999999999</v>
      </c>
      <c r="L2113">
        <v>284.0985</v>
      </c>
      <c r="M2113">
        <v>-0.99978860000000003</v>
      </c>
      <c r="N2113">
        <v>0</v>
      </c>
      <c r="O2113">
        <v>1.6396540000000001E-2</v>
      </c>
      <c r="P2113">
        <v>-0.99936029999999998</v>
      </c>
      <c r="Q2113">
        <v>2.2636529999999998E-2</v>
      </c>
      <c r="R2113">
        <v>2.7688689999999998E-2</v>
      </c>
      <c r="S2113">
        <v>-3.0019230000000001</v>
      </c>
      <c r="T2113">
        <v>-7.1665530000000005E-2</v>
      </c>
      <c r="U2113">
        <v>5.8837889999999997E-2</v>
      </c>
      <c r="V2113">
        <v>1.129898E-2</v>
      </c>
      <c r="W2113">
        <v>3.5043049999999999E-2</v>
      </c>
      <c r="X2113">
        <v>0.99932189999999999</v>
      </c>
      <c r="Y2113">
        <v>3.2027800000000001E-3</v>
      </c>
      <c r="Z2113">
        <v>-3.5312469999999998E-4</v>
      </c>
      <c r="AA2113">
        <v>0.99999479999999996</v>
      </c>
      <c r="AB2113">
        <v>29</v>
      </c>
      <c r="AC2113">
        <v>-46.194699999999997</v>
      </c>
      <c r="AD2113">
        <v>-1.109986782137</v>
      </c>
      <c r="AE2113">
        <v>0.90640000000001897</v>
      </c>
      <c r="AF2113">
        <v>0.148700769175973</v>
      </c>
      <c r="AG2113">
        <v>-1.109986782137</v>
      </c>
      <c r="AH2113">
        <v>46.176701348452298</v>
      </c>
      <c r="AI2113">
        <v>91.376992758740201</v>
      </c>
      <c r="AJ2113">
        <v>89.8154935977485</v>
      </c>
      <c r="AK2113">
        <v>46.190279605122903</v>
      </c>
      <c r="AL2113">
        <v>87.991769909607896</v>
      </c>
      <c r="AM2113">
        <v>89.352204448159895</v>
      </c>
      <c r="AN2113">
        <v>0.99999997106097605</v>
      </c>
    </row>
    <row r="2114" spans="1:40" x14ac:dyDescent="0.25">
      <c r="A2114" t="str">
        <f>"20190312160336626"</f>
        <v>20190312160336626</v>
      </c>
      <c r="B2114" t="str">
        <f>"1552377816616357"</f>
        <v>1552377816616357</v>
      </c>
      <c r="C2114" t="s">
        <v>40</v>
      </c>
      <c r="D2114">
        <v>5.2190029999999998</v>
      </c>
      <c r="E2114">
        <v>0.49762319999999999</v>
      </c>
      <c r="F2114" t="s">
        <v>70</v>
      </c>
      <c r="G2114">
        <v>-375.37549999999999</v>
      </c>
      <c r="H2114" s="1">
        <v>1.3237999999999999E-6</v>
      </c>
      <c r="I2114">
        <v>284.95830000000001</v>
      </c>
      <c r="J2114">
        <v>-331.00790000000001</v>
      </c>
      <c r="K2114">
        <v>1.109988</v>
      </c>
      <c r="L2114">
        <v>284.10090000000002</v>
      </c>
      <c r="M2114">
        <v>-0.99978860000000003</v>
      </c>
      <c r="N2114">
        <v>0</v>
      </c>
      <c r="O2114">
        <v>1.6396419999999998E-2</v>
      </c>
      <c r="P2114">
        <v>-0.99935669999999999</v>
      </c>
      <c r="Q2114">
        <v>2.280165E-2</v>
      </c>
      <c r="R2114">
        <v>2.768872E-2</v>
      </c>
      <c r="S2114">
        <v>-3.0020449999999999</v>
      </c>
      <c r="T2114">
        <v>-7.4857000000000007E-2</v>
      </c>
      <c r="U2114">
        <v>5.7983399999999997E-2</v>
      </c>
      <c r="V2114">
        <v>1.129924E-2</v>
      </c>
      <c r="W2114">
        <v>3.5208400000000001E-2</v>
      </c>
      <c r="X2114">
        <v>0.99931610000000004</v>
      </c>
      <c r="Y2114">
        <v>2.9180040000000001E-3</v>
      </c>
      <c r="Z2114">
        <v>-3.7237849999999999E-4</v>
      </c>
      <c r="AA2114">
        <v>0.99999559999999998</v>
      </c>
      <c r="AB2114">
        <v>29</v>
      </c>
      <c r="AC2114">
        <v>-44.367599999999896</v>
      </c>
      <c r="AD2114">
        <v>-1.1099866761999999</v>
      </c>
      <c r="AE2114">
        <v>0.85739999999998395</v>
      </c>
      <c r="AF2114">
        <v>0.12967779301819701</v>
      </c>
      <c r="AG2114">
        <v>-1.1099866761999999</v>
      </c>
      <c r="AH2114">
        <v>44.347947167909702</v>
      </c>
      <c r="AI2114">
        <v>91.433753057376194</v>
      </c>
      <c r="AJ2114">
        <v>89.832461939396197</v>
      </c>
      <c r="AK2114">
        <v>44.362025480798899</v>
      </c>
      <c r="AL2114">
        <v>87.982290232394305</v>
      </c>
      <c r="AM2114">
        <v>89.352185783502605</v>
      </c>
      <c r="AN2114">
        <v>0.99999998598717299</v>
      </c>
    </row>
    <row r="2115" spans="1:40" x14ac:dyDescent="0.25">
      <c r="A2115" t="str">
        <f>"20190312160336636"</f>
        <v>20190312160336636</v>
      </c>
      <c r="B2115" t="str">
        <f>"1552377816627094"</f>
        <v>1552377816627094</v>
      </c>
      <c r="C2115" t="s">
        <v>40</v>
      </c>
      <c r="D2115">
        <v>5.6355060000000003</v>
      </c>
      <c r="E2115">
        <v>0.49762200000000001</v>
      </c>
      <c r="F2115" t="s">
        <v>70</v>
      </c>
      <c r="G2115">
        <v>-374.9579</v>
      </c>
      <c r="H2115" s="1">
        <v>1.1015820000000001E-6</v>
      </c>
      <c r="I2115">
        <v>284.95030000000003</v>
      </c>
      <c r="J2115">
        <v>-331.14449999999999</v>
      </c>
      <c r="K2115">
        <v>1.10999</v>
      </c>
      <c r="L2115">
        <v>284.10320000000002</v>
      </c>
      <c r="M2115">
        <v>-0.99978849999999997</v>
      </c>
      <c r="N2115">
        <v>0</v>
      </c>
      <c r="O2115">
        <v>1.6396419999999998E-2</v>
      </c>
      <c r="P2115">
        <v>-0.9993687</v>
      </c>
      <c r="Q2115">
        <v>2.2416970000000001E-2</v>
      </c>
      <c r="R2115">
        <v>2.7558119999999998E-2</v>
      </c>
      <c r="S2115">
        <v>-3.0020449999999999</v>
      </c>
      <c r="T2115">
        <v>-7.5818540000000004E-2</v>
      </c>
      <c r="U2115">
        <v>5.8013919999999997E-2</v>
      </c>
      <c r="V2115">
        <v>1.1168340000000001E-2</v>
      </c>
      <c r="W2115">
        <v>3.482383E-2</v>
      </c>
      <c r="X2115">
        <v>0.99933110000000003</v>
      </c>
      <c r="Y2115">
        <v>2.9282700000000002E-3</v>
      </c>
      <c r="Z2115">
        <v>-3.7703049999999999E-4</v>
      </c>
      <c r="AA2115">
        <v>0.99999559999999998</v>
      </c>
      <c r="AB2115">
        <v>29</v>
      </c>
      <c r="AC2115">
        <v>-43.813400000000001</v>
      </c>
      <c r="AD2115">
        <v>-1.109988898418</v>
      </c>
      <c r="AE2115">
        <v>0.84710000000001096</v>
      </c>
      <c r="AF2115">
        <v>0.12846541334891801</v>
      </c>
      <c r="AG2115">
        <v>-1.109988898418</v>
      </c>
      <c r="AH2115">
        <v>43.793302151719701</v>
      </c>
      <c r="AI2115">
        <v>91.451906774722403</v>
      </c>
      <c r="AJ2115">
        <v>89.831926241593607</v>
      </c>
      <c r="AK2115">
        <v>43.807555193925801</v>
      </c>
      <c r="AL2115">
        <v>88.004338097823194</v>
      </c>
      <c r="AM2115">
        <v>89.359699595769101</v>
      </c>
      <c r="AN2115">
        <v>1.00000003919071</v>
      </c>
    </row>
    <row r="2116" spans="1:40" x14ac:dyDescent="0.25">
      <c r="A2116" t="str">
        <f>"20190312160336658"</f>
        <v>20190312160336658</v>
      </c>
      <c r="B2116" t="str">
        <f>"1552377816646613"</f>
        <v>1552377816646613</v>
      </c>
      <c r="C2116" t="s">
        <v>40</v>
      </c>
      <c r="D2116">
        <v>5.2162100000000002</v>
      </c>
      <c r="E2116">
        <v>0.4976138</v>
      </c>
      <c r="F2116" t="s">
        <v>70</v>
      </c>
      <c r="G2116">
        <v>-374.13420000000002</v>
      </c>
      <c r="H2116" s="1">
        <v>6.6323499999999997E-7</v>
      </c>
      <c r="I2116">
        <v>284.92869999999999</v>
      </c>
      <c r="J2116">
        <v>-331.41699999999997</v>
      </c>
      <c r="K2116">
        <v>1.1099889999999999</v>
      </c>
      <c r="L2116">
        <v>284.10770000000002</v>
      </c>
      <c r="M2116">
        <v>-0.99978860000000003</v>
      </c>
      <c r="N2116">
        <v>0</v>
      </c>
      <c r="O2116">
        <v>1.639606E-2</v>
      </c>
      <c r="P2116">
        <v>-0.99937370000000003</v>
      </c>
      <c r="Q2116">
        <v>2.2370359999999999E-2</v>
      </c>
      <c r="R2116">
        <v>2.7421399999999999E-2</v>
      </c>
      <c r="S2116">
        <v>-3.0020449999999999</v>
      </c>
      <c r="T2116">
        <v>-7.7512380000000006E-2</v>
      </c>
      <c r="U2116">
        <v>5.7647709999999998E-2</v>
      </c>
      <c r="V2116">
        <v>1.103206E-2</v>
      </c>
      <c r="W2116">
        <v>3.4777130000000003E-2</v>
      </c>
      <c r="X2116">
        <v>0.99933419999999895</v>
      </c>
      <c r="Y2116">
        <v>2.8069219999999999E-3</v>
      </c>
      <c r="Z2116">
        <v>-3.8700840000000002E-4</v>
      </c>
      <c r="AA2116">
        <v>0.999996</v>
      </c>
      <c r="AB2116">
        <v>29</v>
      </c>
      <c r="AC2116">
        <v>-42.717199999999998</v>
      </c>
      <c r="AD2116">
        <v>-1.1099883367650001</v>
      </c>
      <c r="AE2116">
        <v>0.82099999999996898</v>
      </c>
      <c r="AF2116">
        <v>0.12036069888961901</v>
      </c>
      <c r="AG2116">
        <v>-1.1099883367650001</v>
      </c>
      <c r="AH2116">
        <v>42.696101396316699</v>
      </c>
      <c r="AI2116">
        <v>91.489200896197701</v>
      </c>
      <c r="AJ2116">
        <v>89.838483103311901</v>
      </c>
      <c r="AK2116">
        <v>42.7106969651649</v>
      </c>
      <c r="AL2116">
        <v>88.007015352612697</v>
      </c>
      <c r="AM2116">
        <v>89.367514088989594</v>
      </c>
      <c r="AN2116">
        <v>0.99999999920425997</v>
      </c>
    </row>
    <row r="2117" spans="1:40" x14ac:dyDescent="0.25">
      <c r="A2117" t="str">
        <f>"20190312160336669"</f>
        <v>20190312160336669</v>
      </c>
      <c r="B2117" t="str">
        <f>"1552377816666640"</f>
        <v>1552377816666640</v>
      </c>
      <c r="C2117" t="s">
        <v>40</v>
      </c>
      <c r="D2117">
        <v>5.2025800000000002</v>
      </c>
      <c r="E2117">
        <v>0.49767820000000002</v>
      </c>
      <c r="F2117" t="s">
        <v>70</v>
      </c>
      <c r="G2117">
        <v>-373.68360000000001</v>
      </c>
      <c r="H2117" s="1">
        <v>4.2343960000000002E-7</v>
      </c>
      <c r="I2117">
        <v>284.91160000000002</v>
      </c>
      <c r="J2117">
        <v>-331.56229999999999</v>
      </c>
      <c r="K2117">
        <v>1.10999</v>
      </c>
      <c r="L2117">
        <v>284.11</v>
      </c>
      <c r="M2117">
        <v>-0.99978860000000003</v>
      </c>
      <c r="N2117">
        <v>0</v>
      </c>
      <c r="O2117">
        <v>1.639606E-2</v>
      </c>
      <c r="P2117">
        <v>-0.99938329999999997</v>
      </c>
      <c r="Q2117">
        <v>2.231899E-2</v>
      </c>
      <c r="R2117">
        <v>2.7115509999999999E-2</v>
      </c>
      <c r="S2117">
        <v>-3.002014</v>
      </c>
      <c r="T2117">
        <v>-7.8837630000000006E-2</v>
      </c>
      <c r="U2117">
        <v>5.7098389999999999E-2</v>
      </c>
      <c r="V2117">
        <v>1.072621E-2</v>
      </c>
      <c r="W2117">
        <v>3.4726140000000003E-2</v>
      </c>
      <c r="X2117">
        <v>0.99933930000000004</v>
      </c>
      <c r="Y2117">
        <v>2.6244200000000001E-3</v>
      </c>
      <c r="Z2117">
        <v>-3.960236E-4</v>
      </c>
      <c r="AA2117">
        <v>0.99999649999999995</v>
      </c>
      <c r="AB2117">
        <v>29</v>
      </c>
      <c r="AC2117">
        <v>-42.121299999999998</v>
      </c>
      <c r="AD2117">
        <v>-1.10998957656039</v>
      </c>
      <c r="AE2117">
        <v>0.80160000000000697</v>
      </c>
      <c r="AF2117">
        <v>0.110738835084086</v>
      </c>
      <c r="AG2117">
        <v>-1.10998957656039</v>
      </c>
      <c r="AH2117">
        <v>42.099556089651799</v>
      </c>
      <c r="AI2117">
        <v>91.510295438516295</v>
      </c>
      <c r="AJ2117">
        <v>89.849289307668002</v>
      </c>
      <c r="AK2117">
        <v>42.114332036676203</v>
      </c>
      <c r="AL2117">
        <v>88.0099386246536</v>
      </c>
      <c r="AM2117">
        <v>89.385050738347104</v>
      </c>
      <c r="AN2117">
        <v>0.99999999645237603</v>
      </c>
    </row>
    <row r="2118" spans="1:40" x14ac:dyDescent="0.25">
      <c r="A2118" t="str">
        <f>"20190312160336680"</f>
        <v>20190312160336680</v>
      </c>
      <c r="B2118" t="str">
        <f>"1552377816676400"</f>
        <v>1552377816676400</v>
      </c>
      <c r="C2118" t="s">
        <v>40</v>
      </c>
      <c r="D2118">
        <v>5.1732750000000003</v>
      </c>
      <c r="E2118">
        <v>0.49772109999999897</v>
      </c>
      <c r="F2118" t="s">
        <v>70</v>
      </c>
      <c r="G2118">
        <v>-372.87479999999999</v>
      </c>
      <c r="H2118" s="1">
        <v>-6.9618119999999903E-9</v>
      </c>
      <c r="I2118">
        <v>284.88819999999998</v>
      </c>
      <c r="J2118">
        <v>-331.71260000000001</v>
      </c>
      <c r="K2118">
        <v>1.1099870000000001</v>
      </c>
      <c r="L2118">
        <v>284.11250000000001</v>
      </c>
      <c r="M2118">
        <v>-0.99978849999999997</v>
      </c>
      <c r="N2118">
        <v>0</v>
      </c>
      <c r="O2118">
        <v>1.639606E-2</v>
      </c>
      <c r="P2118">
        <v>-0.9993824</v>
      </c>
      <c r="Q2118">
        <v>2.2313929999999999E-2</v>
      </c>
      <c r="R2118">
        <v>2.7145820000000001E-2</v>
      </c>
      <c r="S2118">
        <v>-3.0021059999999999</v>
      </c>
      <c r="T2118">
        <v>-8.0661060000000007E-2</v>
      </c>
      <c r="U2118">
        <v>5.654907E-2</v>
      </c>
      <c r="V2118">
        <v>1.0756470000000001E-2</v>
      </c>
      <c r="W2118">
        <v>3.4720899999999999E-2</v>
      </c>
      <c r="X2118">
        <v>0.99933919999999998</v>
      </c>
      <c r="Y2118">
        <v>2.4412150000000001E-3</v>
      </c>
      <c r="Z2118">
        <v>-4.0762900000000001E-4</v>
      </c>
      <c r="AA2118">
        <v>0.99999700000000002</v>
      </c>
      <c r="AB2118">
        <v>29</v>
      </c>
      <c r="AC2118">
        <v>-41.162199999999899</v>
      </c>
      <c r="AD2118">
        <v>-1.1099870069618101</v>
      </c>
      <c r="AE2118">
        <v>0.77569999999997197</v>
      </c>
      <c r="AF2118">
        <v>0.100572686878446</v>
      </c>
      <c r="AG2118">
        <v>-1.1099870069618101</v>
      </c>
      <c r="AH2118">
        <v>41.139480385507703</v>
      </c>
      <c r="AI2118">
        <v>91.545521589202806</v>
      </c>
      <c r="AJ2118">
        <v>89.859930680724602</v>
      </c>
      <c r="AK2118">
        <v>41.154574866113499</v>
      </c>
      <c r="AL2118">
        <v>88.010239121588398</v>
      </c>
      <c r="AM2118">
        <v>89.383315960505399</v>
      </c>
      <c r="AN2118">
        <v>1.00000003960015</v>
      </c>
    </row>
    <row r="2119" spans="1:40" x14ac:dyDescent="0.25">
      <c r="A2119" t="str">
        <f>"20190312160336692"</f>
        <v>20190312160336692</v>
      </c>
      <c r="B2119" t="str">
        <f>"1552377816687136"</f>
        <v>1552377816687136</v>
      </c>
      <c r="C2119" t="s">
        <v>40</v>
      </c>
      <c r="D2119">
        <v>5.1566530000000004</v>
      </c>
      <c r="E2119">
        <v>0.49776559999999997</v>
      </c>
      <c r="F2119" t="s">
        <v>70</v>
      </c>
      <c r="G2119">
        <v>-372.81799999999998</v>
      </c>
      <c r="H2119" s="1">
        <v>-3.7187449999999999E-8</v>
      </c>
      <c r="I2119">
        <v>284.89429999999999</v>
      </c>
      <c r="J2119">
        <v>-331.86630000000002</v>
      </c>
      <c r="K2119">
        <v>1.1099859999999999</v>
      </c>
      <c r="L2119">
        <v>284.11500000000001</v>
      </c>
      <c r="M2119">
        <v>-0.99978849999999997</v>
      </c>
      <c r="N2119">
        <v>0</v>
      </c>
      <c r="O2119">
        <v>1.639606E-2</v>
      </c>
      <c r="P2119">
        <v>-0.99937410000000004</v>
      </c>
      <c r="Q2119">
        <v>2.2362750000000001E-2</v>
      </c>
      <c r="R2119">
        <v>2.741064E-2</v>
      </c>
      <c r="S2119">
        <v>-3.0021059999999999</v>
      </c>
      <c r="T2119">
        <v>-8.1067200000000006E-2</v>
      </c>
      <c r="U2119">
        <v>5.7098389999999999E-2</v>
      </c>
      <c r="V2119">
        <v>1.1021339999999999E-2</v>
      </c>
      <c r="W2119">
        <v>3.4769029999999999E-2</v>
      </c>
      <c r="X2119">
        <v>0.99933459999999996</v>
      </c>
      <c r="Y2119">
        <v>2.6241099999999998E-3</v>
      </c>
      <c r="Z2119">
        <v>-4.072112E-4</v>
      </c>
      <c r="AA2119">
        <v>0.99999649999999995</v>
      </c>
      <c r="AB2119">
        <v>29</v>
      </c>
      <c r="AC2119">
        <v>-40.951700000000002</v>
      </c>
      <c r="AD2119">
        <v>-1.1099860371874499</v>
      </c>
      <c r="AE2119">
        <v>0.77929999999997701</v>
      </c>
      <c r="AF2119">
        <v>0.107617912613483</v>
      </c>
      <c r="AG2119">
        <v>-1.1099860371874499</v>
      </c>
      <c r="AH2119">
        <v>40.928914395644703</v>
      </c>
      <c r="AI2119">
        <v>91.553466826116804</v>
      </c>
      <c r="AJ2119">
        <v>89.849347629326303</v>
      </c>
      <c r="AK2119">
        <v>40.944104389080003</v>
      </c>
      <c r="AL2119">
        <v>88.007479728998504</v>
      </c>
      <c r="AM2119">
        <v>89.368128887035297</v>
      </c>
      <c r="AN2119">
        <v>0.99999999906984804</v>
      </c>
    </row>
    <row r="2120" spans="1:40" x14ac:dyDescent="0.25">
      <c r="A2120" t="str">
        <f>"20190312160336715"</f>
        <v>20190312160336715</v>
      </c>
      <c r="B2120" t="str">
        <f>"1552377816706656"</f>
        <v>1552377816706656</v>
      </c>
      <c r="C2120" t="s">
        <v>40</v>
      </c>
      <c r="D2120">
        <v>5.1603089999999998</v>
      </c>
      <c r="E2120">
        <v>0.49786659999999999</v>
      </c>
      <c r="F2120" t="s">
        <v>70</v>
      </c>
      <c r="G2120">
        <v>-372.87740000000002</v>
      </c>
      <c r="H2120" s="1">
        <v>-5.5945010000000004E-9</v>
      </c>
      <c r="I2120">
        <v>284.90879999999999</v>
      </c>
      <c r="J2120">
        <v>-332.15429999999998</v>
      </c>
      <c r="K2120">
        <v>1.1099939999999999</v>
      </c>
      <c r="L2120">
        <v>284.1198</v>
      </c>
      <c r="M2120">
        <v>-0.99978849999999997</v>
      </c>
      <c r="N2120">
        <v>0</v>
      </c>
      <c r="O2120">
        <v>1.6395880000000002E-2</v>
      </c>
      <c r="P2120">
        <v>-0.99935759999999996</v>
      </c>
      <c r="Q2120">
        <v>2.2375349999999999E-2</v>
      </c>
      <c r="R2120">
        <v>2.7992159999999999E-2</v>
      </c>
      <c r="S2120">
        <v>-3.0021059999999999</v>
      </c>
      <c r="T2120">
        <v>-8.1253649999999997E-2</v>
      </c>
      <c r="U2120">
        <v>5.8105469999999999E-2</v>
      </c>
      <c r="V2120">
        <v>1.160314E-2</v>
      </c>
      <c r="W2120">
        <v>3.4781890000000003E-2</v>
      </c>
      <c r="X2120">
        <v>0.99932750000000004</v>
      </c>
      <c r="Y2120">
        <v>2.9595200000000002E-3</v>
      </c>
      <c r="Z2120">
        <v>-4.0360310000000003E-4</v>
      </c>
      <c r="AA2120">
        <v>0.99999550000000004</v>
      </c>
      <c r="AB2120">
        <v>29</v>
      </c>
      <c r="AC2120">
        <v>-40.723100000000002</v>
      </c>
      <c r="AD2120">
        <v>-1.1099940055944999</v>
      </c>
      <c r="AE2120">
        <v>0.78899999999998705</v>
      </c>
      <c r="AF2120">
        <v>0.12106149369760701</v>
      </c>
      <c r="AG2120">
        <v>-1.1099940055944999</v>
      </c>
      <c r="AH2120">
        <v>40.700335474417798</v>
      </c>
      <c r="AI2120">
        <v>91.562196706919806</v>
      </c>
      <c r="AJ2120">
        <v>89.829576535093693</v>
      </c>
      <c r="AK2120">
        <v>40.715648715301903</v>
      </c>
      <c r="AL2120">
        <v>88.006742326578006</v>
      </c>
      <c r="AM2120">
        <v>89.3347715556569</v>
      </c>
      <c r="AN2120">
        <v>0.99999993249303798</v>
      </c>
    </row>
    <row r="2121" spans="1:40" x14ac:dyDescent="0.25">
      <c r="A2121" t="str">
        <f>"20190312160336728"</f>
        <v>20190312160336728</v>
      </c>
      <c r="B2121" t="str">
        <f>"1552377816716416"</f>
        <v>1552377816716416</v>
      </c>
      <c r="C2121" t="s">
        <v>40</v>
      </c>
      <c r="D2121">
        <v>5.1857430000000004</v>
      </c>
      <c r="E2121">
        <v>0.49791400000000002</v>
      </c>
      <c r="F2121" t="s">
        <v>70</v>
      </c>
      <c r="G2121">
        <v>-372.87810000000002</v>
      </c>
      <c r="H2121" s="1">
        <v>-5.2284010000000002E-9</v>
      </c>
      <c r="I2121">
        <v>284.94310000000002</v>
      </c>
      <c r="J2121">
        <v>-332.32060000000001</v>
      </c>
      <c r="K2121">
        <v>1.109996</v>
      </c>
      <c r="L2121">
        <v>284.1225</v>
      </c>
      <c r="M2121">
        <v>-0.99978860000000003</v>
      </c>
      <c r="N2121">
        <v>0</v>
      </c>
      <c r="O2121">
        <v>1.6395699999999999E-2</v>
      </c>
      <c r="P2121">
        <v>-0.99935030000000002</v>
      </c>
      <c r="Q2121">
        <v>2.2365300000000001E-2</v>
      </c>
      <c r="R2121">
        <v>2.826588E-2</v>
      </c>
      <c r="S2121">
        <v>-3.0021059999999999</v>
      </c>
      <c r="T2121">
        <v>-8.1827399999999995E-2</v>
      </c>
      <c r="U2121">
        <v>6.0699459999999997E-2</v>
      </c>
      <c r="V2121">
        <v>1.18771E-2</v>
      </c>
      <c r="W2121">
        <v>3.4771410000000003E-2</v>
      </c>
      <c r="X2121">
        <v>0.99932469999999995</v>
      </c>
      <c r="Y2121">
        <v>3.8231659999999998E-3</v>
      </c>
      <c r="Z2121">
        <v>-3.9467620000000001E-4</v>
      </c>
      <c r="AA2121">
        <v>0.99999260000000001</v>
      </c>
      <c r="AB2121">
        <v>29</v>
      </c>
      <c r="AC2121">
        <v>-40.557499999999997</v>
      </c>
      <c r="AD2121">
        <v>-1.1099960052283999</v>
      </c>
      <c r="AE2121">
        <v>0.82060000000001299</v>
      </c>
      <c r="AF2121">
        <v>0.155353571894987</v>
      </c>
      <c r="AG2121">
        <v>-1.1099960052283999</v>
      </c>
      <c r="AH2121">
        <v>40.535153118608399</v>
      </c>
      <c r="AI2121">
        <v>91.568557792150401</v>
      </c>
      <c r="AJ2121">
        <v>89.780411328538094</v>
      </c>
      <c r="AK2121">
        <v>40.550645669495204</v>
      </c>
      <c r="AL2121">
        <v>88.0073432569706</v>
      </c>
      <c r="AM2121">
        <v>89.3190645006691</v>
      </c>
      <c r="AN2121">
        <v>0.99999998624394304</v>
      </c>
    </row>
    <row r="2122" spans="1:40" x14ac:dyDescent="0.25">
      <c r="A2122" t="str">
        <f>"20190312160336739"</f>
        <v>20190312160336739</v>
      </c>
      <c r="B2122" t="str">
        <f>"1552377816736912"</f>
        <v>1552377816736912</v>
      </c>
      <c r="C2122" t="s">
        <v>40</v>
      </c>
      <c r="D2122">
        <v>5.2277899999999997</v>
      </c>
      <c r="E2122">
        <v>0.49800480000000003</v>
      </c>
      <c r="F2122" t="s">
        <v>70</v>
      </c>
      <c r="G2122">
        <v>-372.86419999999998</v>
      </c>
      <c r="H2122" s="1">
        <v>-1.262546E-8</v>
      </c>
      <c r="I2122">
        <v>284.95620000000002</v>
      </c>
      <c r="J2122">
        <v>-332.48140000000001</v>
      </c>
      <c r="K2122">
        <v>1.109996</v>
      </c>
      <c r="L2122">
        <v>284.12509999999997</v>
      </c>
      <c r="M2122">
        <v>-0.99978849999999997</v>
      </c>
      <c r="N2122">
        <v>0</v>
      </c>
      <c r="O2122">
        <v>1.6395699999999999E-2</v>
      </c>
      <c r="P2122">
        <v>-0.9993514</v>
      </c>
      <c r="Q2122">
        <v>2.2503849999999999E-2</v>
      </c>
      <c r="R2122">
        <v>2.8115870000000001E-2</v>
      </c>
      <c r="S2122">
        <v>-3.0020449999999999</v>
      </c>
      <c r="T2122">
        <v>-8.2189440000000002E-2</v>
      </c>
      <c r="U2122">
        <v>6.1737060000000003E-2</v>
      </c>
      <c r="V2122">
        <v>1.17272E-2</v>
      </c>
      <c r="W2122">
        <v>3.4910089999999998E-2</v>
      </c>
      <c r="X2122">
        <v>0.99932160000000003</v>
      </c>
      <c r="Y2122">
        <v>4.168972E-3</v>
      </c>
      <c r="Z2122">
        <v>-3.9169589999999999E-4</v>
      </c>
      <c r="AA2122">
        <v>0.99999119999999997</v>
      </c>
      <c r="AB2122">
        <v>29</v>
      </c>
      <c r="AC2122">
        <v>-40.382799999999897</v>
      </c>
      <c r="AD2122">
        <v>-1.10999601262546</v>
      </c>
      <c r="AE2122">
        <v>0.83110000000004902</v>
      </c>
      <c r="AF2122">
        <v>0.16870555290119399</v>
      </c>
      <c r="AG2122">
        <v>-1.10999601262546</v>
      </c>
      <c r="AH2122">
        <v>40.360517933174897</v>
      </c>
      <c r="AI2122">
        <v>91.575339162610902</v>
      </c>
      <c r="AJ2122">
        <v>89.760507041003606</v>
      </c>
      <c r="AK2122">
        <v>40.376131074506901</v>
      </c>
      <c r="AL2122">
        <v>87.999392580446496</v>
      </c>
      <c r="AM2122">
        <v>89.3276556577663</v>
      </c>
      <c r="AN2122">
        <v>0.99999995091510196</v>
      </c>
    </row>
    <row r="2123" spans="1:40" x14ac:dyDescent="0.25">
      <c r="A2123" t="str">
        <f>"20190312160336752"</f>
        <v>20190312160336752</v>
      </c>
      <c r="B2123" t="str">
        <f>"1552377816746672"</f>
        <v>1552377816746672</v>
      </c>
      <c r="C2123" t="s">
        <v>40</v>
      </c>
      <c r="D2123">
        <v>5.1549519999999998</v>
      </c>
      <c r="E2123">
        <v>0.49806460000000002</v>
      </c>
      <c r="F2123" t="s">
        <v>70</v>
      </c>
      <c r="G2123">
        <v>-373.0462</v>
      </c>
      <c r="H2123" s="1">
        <v>8.4234239999999996E-8</v>
      </c>
      <c r="I2123">
        <v>284.96429999999998</v>
      </c>
      <c r="J2123">
        <v>-332.62729999999999</v>
      </c>
      <c r="K2123">
        <v>1.1099920000000001</v>
      </c>
      <c r="L2123">
        <v>284.1275</v>
      </c>
      <c r="M2123">
        <v>-0.99978860000000003</v>
      </c>
      <c r="N2123">
        <v>0</v>
      </c>
      <c r="O2123">
        <v>1.6395590000000002E-2</v>
      </c>
      <c r="P2123">
        <v>-0.99935410000000002</v>
      </c>
      <c r="Q2123">
        <v>2.2421650000000001E-2</v>
      </c>
      <c r="R2123">
        <v>2.808219E-2</v>
      </c>
      <c r="S2123">
        <v>-3.002014</v>
      </c>
      <c r="T2123">
        <v>-8.214581E-2</v>
      </c>
      <c r="U2123">
        <v>6.2103270000000002E-2</v>
      </c>
      <c r="V2123">
        <v>1.1693449999999999E-2</v>
      </c>
      <c r="W2123">
        <v>3.482764E-2</v>
      </c>
      <c r="X2123">
        <v>0.99932489999999996</v>
      </c>
      <c r="Y2123">
        <v>4.291184E-3</v>
      </c>
      <c r="Z2123">
        <v>-3.8981649999999998E-4</v>
      </c>
      <c r="AA2123">
        <v>0.99999070000000001</v>
      </c>
      <c r="AB2123">
        <v>29</v>
      </c>
      <c r="AC2123">
        <v>-40.418900000000001</v>
      </c>
      <c r="AD2123">
        <v>-1.1099919157657501</v>
      </c>
      <c r="AE2123">
        <v>0.836799999999982</v>
      </c>
      <c r="AF2123">
        <v>0.173813747494316</v>
      </c>
      <c r="AG2123">
        <v>-1.1099919157657501</v>
      </c>
      <c r="AH2123">
        <v>40.396734023180599</v>
      </c>
      <c r="AI2123">
        <v>91.573920940529803</v>
      </c>
      <c r="AJ2123">
        <v>89.753476786213</v>
      </c>
      <c r="AK2123">
        <v>40.412354707582701</v>
      </c>
      <c r="AL2123">
        <v>88.004119547273007</v>
      </c>
      <c r="AM2123">
        <v>89.329592651023404</v>
      </c>
      <c r="AN2123">
        <v>0.99999997852043998</v>
      </c>
    </row>
    <row r="2124" spans="1:40" x14ac:dyDescent="0.25">
      <c r="A2124" t="str">
        <f>"20190312160336762"</f>
        <v>20190312160336762</v>
      </c>
      <c r="B2124" t="str">
        <f>"1552377816756432"</f>
        <v>1552377816756432</v>
      </c>
      <c r="C2124" t="s">
        <v>40</v>
      </c>
      <c r="D2124">
        <v>5.1959359999999997</v>
      </c>
      <c r="E2124">
        <v>0.49812210000000001</v>
      </c>
      <c r="F2124" t="s">
        <v>70</v>
      </c>
      <c r="G2124">
        <v>-372.83150000000001</v>
      </c>
      <c r="H2124" s="1">
        <v>-2.9981580000000002E-8</v>
      </c>
      <c r="I2124">
        <v>284.9658</v>
      </c>
      <c r="J2124">
        <v>-332.77699999999999</v>
      </c>
      <c r="K2124">
        <v>1.1099909999999999</v>
      </c>
      <c r="L2124">
        <v>284.13</v>
      </c>
      <c r="M2124">
        <v>-0.99978860000000003</v>
      </c>
      <c r="N2124">
        <v>0</v>
      </c>
      <c r="O2124">
        <v>1.6395409999999999E-2</v>
      </c>
      <c r="P2124">
        <v>-0.99936519999999995</v>
      </c>
      <c r="Q2124">
        <v>2.2206199999999999E-2</v>
      </c>
      <c r="R2124">
        <v>2.7861670000000002E-2</v>
      </c>
      <c r="S2124">
        <v>-3.0020449999999999</v>
      </c>
      <c r="T2124">
        <v>-8.2882880000000006E-2</v>
      </c>
      <c r="U2124">
        <v>6.2591549999999996E-2</v>
      </c>
      <c r="V2124">
        <v>1.147311E-2</v>
      </c>
      <c r="W2124">
        <v>3.4612240000000002E-2</v>
      </c>
      <c r="X2124">
        <v>0.99933490000000003</v>
      </c>
      <c r="Y2124">
        <v>4.4537480000000004E-3</v>
      </c>
      <c r="Z2124">
        <v>-3.9105960000000001E-4</v>
      </c>
      <c r="AA2124">
        <v>0.99999000000000005</v>
      </c>
      <c r="AB2124">
        <v>29</v>
      </c>
      <c r="AC2124">
        <v>-40.054499999999997</v>
      </c>
      <c r="AD2124">
        <v>-1.1099910299815801</v>
      </c>
      <c r="AE2124">
        <v>0.83580000000000598</v>
      </c>
      <c r="AF2124">
        <v>0.17878989210554899</v>
      </c>
      <c r="AG2124">
        <v>-1.1099910299815801</v>
      </c>
      <c r="AH2124">
        <v>40.032090131596902</v>
      </c>
      <c r="AI2124">
        <v>91.588247740774406</v>
      </c>
      <c r="AJ2124">
        <v>89.744109335936699</v>
      </c>
      <c r="AK2124">
        <v>40.047874927597</v>
      </c>
      <c r="AL2124">
        <v>88.016468429206398</v>
      </c>
      <c r="AM2124">
        <v>89.342230616108694</v>
      </c>
      <c r="AN2124">
        <v>0.99999994088444799</v>
      </c>
    </row>
    <row r="2125" spans="1:40" x14ac:dyDescent="0.25">
      <c r="A2125" t="str">
        <f>"20190312160336774"</f>
        <v>20190312160336774</v>
      </c>
      <c r="B2125" t="str">
        <f>"1552377816766700"</f>
        <v>1552377816766700</v>
      </c>
      <c r="C2125" t="s">
        <v>40</v>
      </c>
      <c r="D2125">
        <v>5.1516520000000003</v>
      </c>
      <c r="E2125">
        <v>0.4981873</v>
      </c>
      <c r="F2125" t="s">
        <v>70</v>
      </c>
      <c r="G2125">
        <v>-372.71249999999998</v>
      </c>
      <c r="H2125" s="1">
        <v>-9.3344109999999994E-8</v>
      </c>
      <c r="I2125">
        <v>284.95819999999998</v>
      </c>
      <c r="J2125">
        <v>-332.9255</v>
      </c>
      <c r="K2125">
        <v>1.1099920000000001</v>
      </c>
      <c r="L2125">
        <v>284.13240000000002</v>
      </c>
      <c r="M2125">
        <v>-0.99978860000000003</v>
      </c>
      <c r="N2125">
        <v>0</v>
      </c>
      <c r="O2125">
        <v>1.6395710000000001E-2</v>
      </c>
      <c r="P2125">
        <v>-0.99936939999999996</v>
      </c>
      <c r="Q2125">
        <v>2.1922049999999998E-2</v>
      </c>
      <c r="R2125">
        <v>2.7932180000000001E-2</v>
      </c>
      <c r="S2125">
        <v>-3.002014</v>
      </c>
      <c r="T2125">
        <v>-8.3439830000000006E-2</v>
      </c>
      <c r="U2125">
        <v>6.2255860000000003E-2</v>
      </c>
      <c r="V2125">
        <v>1.1543039999999999E-2</v>
      </c>
      <c r="W2125">
        <v>3.4327740000000002E-2</v>
      </c>
      <c r="X2125">
        <v>0.99934400000000001</v>
      </c>
      <c r="Y2125">
        <v>4.3419909999999999E-3</v>
      </c>
      <c r="Z2125">
        <v>-3.952521E-4</v>
      </c>
      <c r="AA2125">
        <v>0.9999905</v>
      </c>
      <c r="AB2125">
        <v>29</v>
      </c>
      <c r="AC2125">
        <v>-39.7869999999999</v>
      </c>
      <c r="AD2125">
        <v>-1.1099920933441101</v>
      </c>
      <c r="AE2125">
        <v>0.82579999999995801</v>
      </c>
      <c r="AF2125">
        <v>0.17316792960684299</v>
      </c>
      <c r="AG2125">
        <v>-1.1099920933441101</v>
      </c>
      <c r="AH2125">
        <v>39.764255748758202</v>
      </c>
      <c r="AI2125">
        <v>91.598942253544394</v>
      </c>
      <c r="AJ2125">
        <v>89.750486244350697</v>
      </c>
      <c r="AK2125">
        <v>39.780121981107399</v>
      </c>
      <c r="AL2125">
        <v>88.032778953318697</v>
      </c>
      <c r="AM2125">
        <v>89.338227812841694</v>
      </c>
      <c r="AN2125">
        <v>1.00000003292097</v>
      </c>
    </row>
    <row r="2126" spans="1:40" x14ac:dyDescent="0.25">
      <c r="A2126" t="str">
        <f>"20190312160336785"</f>
        <v>20190312160336785</v>
      </c>
      <c r="B2126" t="str">
        <f>"1552377816776461"</f>
        <v>1552377816776461</v>
      </c>
      <c r="C2126" t="s">
        <v>40</v>
      </c>
      <c r="D2126">
        <v>5.1289429999999996</v>
      </c>
      <c r="E2126">
        <v>0.49824930000000001</v>
      </c>
      <c r="F2126" t="s">
        <v>70</v>
      </c>
      <c r="G2126">
        <v>-372.36200000000002</v>
      </c>
      <c r="H2126" s="1">
        <v>-2.798596E-7</v>
      </c>
      <c r="I2126">
        <v>284.95949999999999</v>
      </c>
      <c r="J2126">
        <v>-333.07319999999999</v>
      </c>
      <c r="K2126">
        <v>1.10999</v>
      </c>
      <c r="L2126">
        <v>284.13479999999998</v>
      </c>
      <c r="M2126">
        <v>-0.99978860000000003</v>
      </c>
      <c r="N2126">
        <v>0</v>
      </c>
      <c r="O2126">
        <v>1.6396250000000001E-2</v>
      </c>
      <c r="P2126">
        <v>-0.99938340000000003</v>
      </c>
      <c r="Q2126">
        <v>2.176469E-2</v>
      </c>
      <c r="R2126">
        <v>2.7556239999999999E-2</v>
      </c>
      <c r="S2126">
        <v>-3.0019529999999999</v>
      </c>
      <c r="T2126">
        <v>-8.4493879999999993E-2</v>
      </c>
      <c r="U2126">
        <v>6.2957760000000001E-2</v>
      </c>
      <c r="V2126">
        <v>1.11666E-2</v>
      </c>
      <c r="W2126">
        <v>3.417096E-2</v>
      </c>
      <c r="X2126">
        <v>0.99935359999999995</v>
      </c>
      <c r="Y2126">
        <v>4.5756130000000001E-3</v>
      </c>
      <c r="Z2126">
        <v>-3.9697849999999999E-4</v>
      </c>
      <c r="AA2126">
        <v>0.99998940000000003</v>
      </c>
      <c r="AB2126">
        <v>29</v>
      </c>
      <c r="AC2126">
        <v>-39.288799999999902</v>
      </c>
      <c r="AD2126">
        <v>-1.1099902798596</v>
      </c>
      <c r="AE2126">
        <v>0.82470000000000698</v>
      </c>
      <c r="AF2126">
        <v>0.18020677748778399</v>
      </c>
      <c r="AG2126">
        <v>-1.1099902798596</v>
      </c>
      <c r="AH2126">
        <v>39.265713415552199</v>
      </c>
      <c r="AI2126">
        <v>91.619228354077407</v>
      </c>
      <c r="AJ2126">
        <v>89.737047556229598</v>
      </c>
      <c r="AK2126">
        <v>39.281812622845102</v>
      </c>
      <c r="AL2126">
        <v>88.041766960010506</v>
      </c>
      <c r="AM2126">
        <v>89.359813757331494</v>
      </c>
      <c r="AN2126">
        <v>0.99999998264792</v>
      </c>
    </row>
    <row r="2127" spans="1:40" x14ac:dyDescent="0.25">
      <c r="A2127" t="str">
        <f>"20190312160336796"</f>
        <v>20190312160336796</v>
      </c>
      <c r="B2127" t="str">
        <f>"1552377816786220"</f>
        <v>1552377816786220</v>
      </c>
      <c r="C2127" t="s">
        <v>40</v>
      </c>
      <c r="D2127">
        <v>5.1853680000000004</v>
      </c>
      <c r="E2127">
        <v>0.49831500000000001</v>
      </c>
      <c r="F2127" t="s">
        <v>70</v>
      </c>
      <c r="G2127">
        <v>-372.13529999999997</v>
      </c>
      <c r="H2127" s="1">
        <v>-4.0046119999999999E-7</v>
      </c>
      <c r="I2127">
        <v>284.94409999999999</v>
      </c>
      <c r="J2127">
        <v>-333.20760000000001</v>
      </c>
      <c r="K2127">
        <v>1.109988</v>
      </c>
      <c r="L2127">
        <v>284.13709999999998</v>
      </c>
      <c r="M2127">
        <v>-0.99978860000000003</v>
      </c>
      <c r="N2127">
        <v>0</v>
      </c>
      <c r="O2127">
        <v>1.639997E-2</v>
      </c>
      <c r="P2127">
        <v>-0.99939480000000003</v>
      </c>
      <c r="Q2127">
        <v>2.1580519999999999E-2</v>
      </c>
      <c r="R2127">
        <v>2.728798E-2</v>
      </c>
      <c r="S2127">
        <v>-3.0019840000000002</v>
      </c>
      <c r="T2127">
        <v>-8.5304260000000007E-2</v>
      </c>
      <c r="U2127">
        <v>6.2194819999999998E-2</v>
      </c>
      <c r="V2127">
        <v>1.0894549999999999E-2</v>
      </c>
      <c r="W2127">
        <v>3.3986530000000001E-2</v>
      </c>
      <c r="X2127">
        <v>0.99936290000000005</v>
      </c>
      <c r="Y2127">
        <v>4.3178380000000001E-3</v>
      </c>
      <c r="Z2127">
        <v>-4.0454880000000002E-4</v>
      </c>
      <c r="AA2127">
        <v>0.99999059999999995</v>
      </c>
      <c r="AB2127">
        <v>29</v>
      </c>
      <c r="AC2127">
        <v>-38.927699999999902</v>
      </c>
      <c r="AD2127">
        <v>-1.1099884004612</v>
      </c>
      <c r="AE2127">
        <v>0.80700000000001604</v>
      </c>
      <c r="AF2127">
        <v>0.16829246834043701</v>
      </c>
      <c r="AG2127">
        <v>-1.1099884004612</v>
      </c>
      <c r="AH2127">
        <v>38.904082126721697</v>
      </c>
      <c r="AI2127">
        <v>91.634270853037705</v>
      </c>
      <c r="AJ2127">
        <v>89.752149710581804</v>
      </c>
      <c r="AK2127">
        <v>38.920277526332796</v>
      </c>
      <c r="AL2127">
        <v>88.052340177887899</v>
      </c>
      <c r="AM2127">
        <v>89.375415068131204</v>
      </c>
      <c r="AN2127">
        <v>0.99999999066877598</v>
      </c>
    </row>
    <row r="2128" spans="1:40" x14ac:dyDescent="0.25">
      <c r="A2128" t="str">
        <f>"20190312160336807"</f>
        <v>20190312160336807</v>
      </c>
      <c r="B2128" t="str">
        <f>"1552377816796956"</f>
        <v>1552377816796956</v>
      </c>
      <c r="C2128" t="s">
        <v>40</v>
      </c>
      <c r="D2128">
        <v>5.120139</v>
      </c>
      <c r="E2128">
        <v>0.49837409999999999</v>
      </c>
      <c r="F2128" t="s">
        <v>70</v>
      </c>
      <c r="G2128">
        <v>-371.9914</v>
      </c>
      <c r="H2128" s="1">
        <v>-4.7707769999999995E-7</v>
      </c>
      <c r="I2128">
        <v>284.93509999999998</v>
      </c>
      <c r="J2128">
        <v>-333.35140000000001</v>
      </c>
      <c r="K2128">
        <v>1.109988</v>
      </c>
      <c r="L2128">
        <v>284.13940000000002</v>
      </c>
      <c r="M2128">
        <v>-0.99978840000000002</v>
      </c>
      <c r="N2128">
        <v>0</v>
      </c>
      <c r="O2128">
        <v>1.6404829999999999E-2</v>
      </c>
      <c r="P2128">
        <v>-0.99941179999999996</v>
      </c>
      <c r="Q2128">
        <v>2.1324510000000001E-2</v>
      </c>
      <c r="R2128">
        <v>2.6856729999999999E-2</v>
      </c>
      <c r="S2128">
        <v>-3.0019840000000002</v>
      </c>
      <c r="T2128">
        <v>-8.5916400000000004E-2</v>
      </c>
      <c r="U2128">
        <v>6.1767580000000002E-2</v>
      </c>
      <c r="V2128">
        <v>1.045831E-2</v>
      </c>
      <c r="W2128">
        <v>3.3730610000000001E-2</v>
      </c>
      <c r="X2128">
        <v>0.99937619999999905</v>
      </c>
      <c r="Y2128">
        <v>4.1708489999999999E-3</v>
      </c>
      <c r="Z2128">
        <v>-4.0969299999999998E-4</v>
      </c>
      <c r="AA2128">
        <v>0.99999119999999997</v>
      </c>
      <c r="AB2128">
        <v>29</v>
      </c>
      <c r="AC2128">
        <v>-38.639999999999901</v>
      </c>
      <c r="AD2128">
        <v>-1.1099884770777</v>
      </c>
      <c r="AE2128">
        <v>0.795699999999953</v>
      </c>
      <c r="AF2128">
        <v>0.16152821241353299</v>
      </c>
      <c r="AG2128">
        <v>-1.1099884770777</v>
      </c>
      <c r="AH2128">
        <v>38.616001136749297</v>
      </c>
      <c r="AI2128">
        <v>91.646457179652401</v>
      </c>
      <c r="AJ2128">
        <v>89.760336891590995</v>
      </c>
      <c r="AK2128">
        <v>38.632288433071999</v>
      </c>
      <c r="AL2128">
        <v>88.067011666261095</v>
      </c>
      <c r="AM2128">
        <v>89.400430837464498</v>
      </c>
      <c r="AN2128">
        <v>0.99999995971273303</v>
      </c>
    </row>
    <row r="2129" spans="1:40" x14ac:dyDescent="0.25">
      <c r="A2129" t="str">
        <f>"20190312160336818"</f>
        <v>20190312160336818</v>
      </c>
      <c r="B2129" t="str">
        <f>"1552377816806715"</f>
        <v>1552377816806715</v>
      </c>
      <c r="C2129" t="s">
        <v>40</v>
      </c>
      <c r="D2129">
        <v>5.1003679999999996</v>
      </c>
      <c r="E2129">
        <v>0.49843929999999997</v>
      </c>
      <c r="F2129" t="s">
        <v>70</v>
      </c>
      <c r="G2129">
        <v>-371.65839999999997</v>
      </c>
      <c r="H2129" s="1">
        <v>-6.5425479999999997E-7</v>
      </c>
      <c r="I2129">
        <v>284.91980000000001</v>
      </c>
      <c r="J2129">
        <v>-333.49489999999997</v>
      </c>
      <c r="K2129">
        <v>1.109982</v>
      </c>
      <c r="L2129">
        <v>284.14179999999999</v>
      </c>
      <c r="M2129">
        <v>-0.99978829999999996</v>
      </c>
      <c r="N2129">
        <v>0</v>
      </c>
      <c r="O2129">
        <v>1.6414910000000001E-2</v>
      </c>
      <c r="P2129">
        <v>-0.99942200000000003</v>
      </c>
      <c r="Q2129">
        <v>2.1212399999999999E-2</v>
      </c>
      <c r="R2129">
        <v>2.6565700000000001E-2</v>
      </c>
      <c r="S2129">
        <v>-3.0019840000000002</v>
      </c>
      <c r="T2129">
        <v>-8.698583E-2</v>
      </c>
      <c r="U2129">
        <v>6.115723E-2</v>
      </c>
      <c r="V2129">
        <v>1.0157380000000001E-2</v>
      </c>
      <c r="W2129">
        <v>3.3618139999999998E-2</v>
      </c>
      <c r="X2129">
        <v>0.99938320000000003</v>
      </c>
      <c r="Y2129">
        <v>3.9577570000000001E-3</v>
      </c>
      <c r="Z2129">
        <v>-4.1816979999999998E-4</v>
      </c>
      <c r="AA2129">
        <v>0.99999210000000005</v>
      </c>
      <c r="AB2129">
        <v>29</v>
      </c>
      <c r="AC2129">
        <v>-38.163499999999999</v>
      </c>
      <c r="AD2129">
        <v>-1.1099826542547999</v>
      </c>
      <c r="AE2129">
        <v>0.77800000000002001</v>
      </c>
      <c r="AF2129">
        <v>0.151268620507196</v>
      </c>
      <c r="AG2129">
        <v>-1.1099826542547999</v>
      </c>
      <c r="AH2129">
        <v>38.1388795453489</v>
      </c>
      <c r="AI2129">
        <v>91.667035720812393</v>
      </c>
      <c r="AJ2129">
        <v>89.772751371202702</v>
      </c>
      <c r="AK2129">
        <v>38.155328286661799</v>
      </c>
      <c r="AL2129">
        <v>88.073459584605402</v>
      </c>
      <c r="AM2129">
        <v>89.417685861779702</v>
      </c>
      <c r="AN2129">
        <v>1.0000000660738699</v>
      </c>
    </row>
    <row r="2130" spans="1:40" x14ac:dyDescent="0.25">
      <c r="A2130" t="str">
        <f>"20190312160336830"</f>
        <v>20190312160336830</v>
      </c>
      <c r="B2130" t="str">
        <f>"1552377816826236"</f>
        <v>1552377816826236</v>
      </c>
      <c r="C2130" t="s">
        <v>40</v>
      </c>
      <c r="D2130">
        <v>5.1091179999999996</v>
      </c>
      <c r="E2130">
        <v>0.49858530000000001</v>
      </c>
      <c r="F2130" t="s">
        <v>70</v>
      </c>
      <c r="G2130">
        <v>-371.5761</v>
      </c>
      <c r="H2130" s="1">
        <v>-6.9804469999999997E-7</v>
      </c>
      <c r="I2130">
        <v>284.91059999999999</v>
      </c>
      <c r="J2130">
        <v>-333.63650000000001</v>
      </c>
      <c r="K2130">
        <v>1.109977</v>
      </c>
      <c r="L2130">
        <v>284.14409999999998</v>
      </c>
      <c r="M2130">
        <v>-0.99978809999999996</v>
      </c>
      <c r="N2130">
        <v>0</v>
      </c>
      <c r="O2130">
        <v>1.642673E-2</v>
      </c>
      <c r="P2130">
        <v>-0.9994326</v>
      </c>
      <c r="Q2130">
        <v>2.096984E-2</v>
      </c>
      <c r="R2130">
        <v>2.6361860000000001E-2</v>
      </c>
      <c r="S2130">
        <v>-3.0019840000000002</v>
      </c>
      <c r="T2130">
        <v>-8.7501170000000003E-2</v>
      </c>
      <c r="U2130">
        <v>6.0607910000000001E-2</v>
      </c>
      <c r="V2130">
        <v>9.942032E-3</v>
      </c>
      <c r="W2130">
        <v>3.337557E-2</v>
      </c>
      <c r="X2130">
        <v>0.99939339999999999</v>
      </c>
      <c r="Y2130">
        <v>3.7631829999999998E-3</v>
      </c>
      <c r="Z2130">
        <v>-4.2382619999999999E-4</v>
      </c>
      <c r="AA2130">
        <v>0.99999280000000002</v>
      </c>
      <c r="AB2130">
        <v>29</v>
      </c>
      <c r="AC2130">
        <v>-37.939599999999899</v>
      </c>
      <c r="AD2130">
        <v>-1.10997769804469</v>
      </c>
      <c r="AE2130">
        <v>0.76650000000000695</v>
      </c>
      <c r="AF2130">
        <v>0.143002676616137</v>
      </c>
      <c r="AG2130">
        <v>-1.10997769804469</v>
      </c>
      <c r="AH2130">
        <v>37.914632774843398</v>
      </c>
      <c r="AI2130">
        <v>91.676883598651699</v>
      </c>
      <c r="AJ2130">
        <v>89.783898448243903</v>
      </c>
      <c r="AK2130">
        <v>37.931146551441202</v>
      </c>
      <c r="AL2130">
        <v>88.087365441494697</v>
      </c>
      <c r="AM2130">
        <v>89.4300365768609</v>
      </c>
      <c r="AN2130">
        <v>0.99999997031833598</v>
      </c>
    </row>
    <row r="2131" spans="1:40" x14ac:dyDescent="0.25">
      <c r="A2131" t="str">
        <f>"20190312160336840"</f>
        <v>20190312160336840</v>
      </c>
      <c r="B2131" t="str">
        <f>"1552377816836972"</f>
        <v>1552377816836972</v>
      </c>
      <c r="C2131" t="s">
        <v>40</v>
      </c>
      <c r="D2131">
        <v>5.0828150000000001</v>
      </c>
      <c r="E2131">
        <v>0.49862499999999998</v>
      </c>
      <c r="F2131" t="s">
        <v>70</v>
      </c>
      <c r="G2131">
        <v>-371.16300000000001</v>
      </c>
      <c r="H2131" s="1">
        <v>-9.1788299999999999E-7</v>
      </c>
      <c r="I2131">
        <v>284.90780000000001</v>
      </c>
      <c r="J2131">
        <v>-333.78460000000001</v>
      </c>
      <c r="K2131">
        <v>1.1099669999999999</v>
      </c>
      <c r="L2131">
        <v>284.1465</v>
      </c>
      <c r="M2131">
        <v>-0.9997878</v>
      </c>
      <c r="N2131">
        <v>0</v>
      </c>
      <c r="O2131">
        <v>1.64447E-2</v>
      </c>
      <c r="P2131">
        <v>-0.99943280000000001</v>
      </c>
      <c r="Q2131">
        <v>2.1011849999999999E-2</v>
      </c>
      <c r="R2131">
        <v>2.6315580000000002E-2</v>
      </c>
      <c r="S2131">
        <v>-3.0019529999999999</v>
      </c>
      <c r="T2131">
        <v>-8.8793159999999996E-2</v>
      </c>
      <c r="U2131">
        <v>6.1096190000000002E-2</v>
      </c>
      <c r="V2131">
        <v>9.8781270000000004E-3</v>
      </c>
      <c r="W2131">
        <v>3.3417019999999999E-2</v>
      </c>
      <c r="X2131">
        <v>0.99939270000000002</v>
      </c>
      <c r="Y2131">
        <v>3.9081050000000003E-3</v>
      </c>
      <c r="Z2131">
        <v>-4.284736E-4</v>
      </c>
      <c r="AA2131">
        <v>0.99999229999999995</v>
      </c>
      <c r="AB2131">
        <v>29</v>
      </c>
      <c r="AC2131">
        <v>-37.378399999999999</v>
      </c>
      <c r="AD2131">
        <v>-1.109967917883</v>
      </c>
      <c r="AE2131">
        <v>0.76130000000000497</v>
      </c>
      <c r="AF2131">
        <v>0.14634415562495701</v>
      </c>
      <c r="AG2131">
        <v>-1.109967917883</v>
      </c>
      <c r="AH2131">
        <v>37.352940234785798</v>
      </c>
      <c r="AI2131">
        <v>91.702068964967793</v>
      </c>
      <c r="AJ2131">
        <v>89.775523438868007</v>
      </c>
      <c r="AK2131">
        <v>37.369714871458399</v>
      </c>
      <c r="AL2131">
        <v>88.084989304334499</v>
      </c>
      <c r="AM2131">
        <v>89.433699529217094</v>
      </c>
      <c r="AN2131">
        <v>1.0000000217159899</v>
      </c>
    </row>
    <row r="2132" spans="1:40" x14ac:dyDescent="0.25">
      <c r="A2132" t="str">
        <f>"20190312160336852"</f>
        <v>20190312160336852</v>
      </c>
      <c r="B2132" t="str">
        <f>"1552377816846732"</f>
        <v>1552377816846732</v>
      </c>
      <c r="C2132" t="s">
        <v>40</v>
      </c>
      <c r="D2132">
        <v>5.0636760000000001</v>
      </c>
      <c r="E2132">
        <v>0.49866349999999998</v>
      </c>
      <c r="F2132" t="s">
        <v>70</v>
      </c>
      <c r="G2132">
        <v>-371.26909999999998</v>
      </c>
      <c r="H2132" s="1">
        <v>-8.6144090000000005E-7</v>
      </c>
      <c r="I2132">
        <v>284.91129999999998</v>
      </c>
      <c r="J2132">
        <v>-333.92899999999997</v>
      </c>
      <c r="K2132">
        <v>1.1099600000000001</v>
      </c>
      <c r="L2132">
        <v>284.149</v>
      </c>
      <c r="M2132">
        <v>-0.99978739999999999</v>
      </c>
      <c r="N2132">
        <v>0</v>
      </c>
      <c r="O2132">
        <v>1.6466189999999999E-2</v>
      </c>
      <c r="P2132">
        <v>-0.99943179999999998</v>
      </c>
      <c r="Q2132">
        <v>2.0955129999999999E-2</v>
      </c>
      <c r="R2132">
        <v>2.6395829999999999E-2</v>
      </c>
      <c r="S2132">
        <v>-3.0019529999999999</v>
      </c>
      <c r="T2132">
        <v>-8.8891979999999995E-2</v>
      </c>
      <c r="U2132">
        <v>6.1248780000000003E-2</v>
      </c>
      <c r="V2132">
        <v>9.9375520000000005E-3</v>
      </c>
      <c r="W2132">
        <v>3.3359840000000002E-2</v>
      </c>
      <c r="X2132">
        <v>0.999394</v>
      </c>
      <c r="Y2132">
        <v>3.9374249999999996E-3</v>
      </c>
      <c r="Z2132">
        <v>-4.2915219999999999E-4</v>
      </c>
      <c r="AA2132">
        <v>0.99999210000000005</v>
      </c>
      <c r="AB2132">
        <v>29</v>
      </c>
      <c r="AC2132">
        <v>-37.3400999999999</v>
      </c>
      <c r="AD2132">
        <v>-1.1099608614409</v>
      </c>
      <c r="AE2132">
        <v>0.76229999999998199</v>
      </c>
      <c r="AF2132">
        <v>0.147170109843758</v>
      </c>
      <c r="AG2132">
        <v>-1.1099608614409</v>
      </c>
      <c r="AH2132">
        <v>37.314631777837597</v>
      </c>
      <c r="AI2132">
        <v>91.703804336385105</v>
      </c>
      <c r="AJ2132">
        <v>89.774024771490502</v>
      </c>
      <c r="AK2132">
        <v>37.331426665354897</v>
      </c>
      <c r="AL2132">
        <v>88.088267264104104</v>
      </c>
      <c r="AM2132">
        <v>89.430293734357406</v>
      </c>
      <c r="AN2132">
        <v>1.00000000055028</v>
      </c>
    </row>
    <row r="2133" spans="1:40" x14ac:dyDescent="0.25">
      <c r="A2133" t="str">
        <f>"20190312160336863"</f>
        <v>20190312160336863</v>
      </c>
      <c r="B2133" t="str">
        <f>"1552377816856492"</f>
        <v>1552377816856492</v>
      </c>
      <c r="C2133" t="s">
        <v>40</v>
      </c>
      <c r="D2133">
        <v>5.0559099999999999</v>
      </c>
      <c r="E2133">
        <v>0.49870500000000001</v>
      </c>
      <c r="F2133" t="s">
        <v>70</v>
      </c>
      <c r="G2133">
        <v>-371.20069999999998</v>
      </c>
      <c r="H2133" s="1">
        <v>-8.9784619999999904E-7</v>
      </c>
      <c r="I2133">
        <v>284.91699999999997</v>
      </c>
      <c r="J2133">
        <v>-334.08109999999999</v>
      </c>
      <c r="K2133">
        <v>1.1099509999999999</v>
      </c>
      <c r="L2133">
        <v>284.1515</v>
      </c>
      <c r="M2133">
        <v>-0.99978699999999998</v>
      </c>
      <c r="N2133">
        <v>0</v>
      </c>
      <c r="O2133">
        <v>1.6493000000000001E-2</v>
      </c>
      <c r="P2133">
        <v>-0.99941869999999999</v>
      </c>
      <c r="Q2133">
        <v>2.110532E-2</v>
      </c>
      <c r="R2133">
        <v>2.6774119999999998E-2</v>
      </c>
      <c r="S2133">
        <v>-3.0019529999999999</v>
      </c>
      <c r="T2133">
        <v>-8.9398859999999997E-2</v>
      </c>
      <c r="U2133">
        <v>6.1859129999999998E-2</v>
      </c>
      <c r="V2133">
        <v>1.028973E-2</v>
      </c>
      <c r="W2133">
        <v>3.3509959999999998E-2</v>
      </c>
      <c r="X2133">
        <v>0.99938539999999998</v>
      </c>
      <c r="Y2133">
        <v>4.1138370000000004E-3</v>
      </c>
      <c r="Z2133">
        <v>-4.2976929999999998E-4</v>
      </c>
      <c r="AA2133">
        <v>0.99999139999999997</v>
      </c>
      <c r="AB2133">
        <v>29</v>
      </c>
      <c r="AC2133">
        <v>-37.119599999999899</v>
      </c>
      <c r="AD2133">
        <v>-1.1099518978462</v>
      </c>
      <c r="AE2133">
        <v>0.76550000000003104</v>
      </c>
      <c r="AF2133">
        <v>0.15299842996013899</v>
      </c>
      <c r="AG2133">
        <v>-1.1099518978462</v>
      </c>
      <c r="AH2133">
        <v>37.094023761475803</v>
      </c>
      <c r="AI2133">
        <v>91.713916206975497</v>
      </c>
      <c r="AJ2133">
        <v>89.763678519901106</v>
      </c>
      <c r="AK2133">
        <v>37.110941790151699</v>
      </c>
      <c r="AL2133">
        <v>88.079661183690206</v>
      </c>
      <c r="AM2133">
        <v>89.410100177699206</v>
      </c>
      <c r="AN2133">
        <v>0.99999998684791702</v>
      </c>
    </row>
    <row r="2134" spans="1:40" x14ac:dyDescent="0.25">
      <c r="A2134" t="str">
        <f>"20190312160336874"</f>
        <v>20190312160336874</v>
      </c>
      <c r="B2134" t="str">
        <f>"1552377816866757"</f>
        <v>1552377816866757</v>
      </c>
      <c r="C2134" t="s">
        <v>40</v>
      </c>
      <c r="D2134">
        <v>5.0740559999999997</v>
      </c>
      <c r="E2134">
        <v>0.49874819999999997</v>
      </c>
      <c r="F2134" t="s">
        <v>70</v>
      </c>
      <c r="G2134">
        <v>-371.459</v>
      </c>
      <c r="H2134" s="1">
        <v>-7.6039069999999999E-7</v>
      </c>
      <c r="I2134">
        <v>284.94</v>
      </c>
      <c r="J2134">
        <v>-334.21269999999998</v>
      </c>
      <c r="K2134">
        <v>1.109945</v>
      </c>
      <c r="L2134">
        <v>284.15370000000001</v>
      </c>
      <c r="M2134">
        <v>-0.99978659999999997</v>
      </c>
      <c r="N2134">
        <v>0</v>
      </c>
      <c r="O2134">
        <v>1.652141E-2</v>
      </c>
      <c r="P2134">
        <v>-0.99940039999999997</v>
      </c>
      <c r="Q2134">
        <v>2.1377110000000001E-2</v>
      </c>
      <c r="R2134">
        <v>2.7239369999999999E-2</v>
      </c>
      <c r="S2134">
        <v>-3.001862</v>
      </c>
      <c r="T2134">
        <v>-8.9141609999999996E-2</v>
      </c>
      <c r="U2134">
        <v>6.3323969999999993E-2</v>
      </c>
      <c r="V2134">
        <v>1.07274E-2</v>
      </c>
      <c r="W2134">
        <v>3.3781119999999998E-2</v>
      </c>
      <c r="X2134">
        <v>0.99937169999999997</v>
      </c>
      <c r="Y2134">
        <v>4.5735940000000003E-3</v>
      </c>
      <c r="Z2134">
        <v>-4.2256249999999998E-4</v>
      </c>
      <c r="AA2134">
        <v>0.99998940000000003</v>
      </c>
      <c r="AB2134">
        <v>29</v>
      </c>
      <c r="AC2134">
        <v>-37.246299999999998</v>
      </c>
      <c r="AD2134">
        <v>-1.1099457603906999</v>
      </c>
      <c r="AE2134">
        <v>0.78629999999998201</v>
      </c>
      <c r="AF2134">
        <v>0.17063248126078701</v>
      </c>
      <c r="AG2134">
        <v>-1.1099457603906999</v>
      </c>
      <c r="AH2134">
        <v>37.2211678160524</v>
      </c>
      <c r="AI2134">
        <v>91.708052246403795</v>
      </c>
      <c r="AJ2134">
        <v>89.737341595875606</v>
      </c>
      <c r="AK2134">
        <v>37.238104525142099</v>
      </c>
      <c r="AL2134">
        <v>88.064116118930798</v>
      </c>
      <c r="AM2134">
        <v>89.385002456714503</v>
      </c>
      <c r="AN2134">
        <v>1.0000000179700499</v>
      </c>
    </row>
    <row r="2135" spans="1:40" x14ac:dyDescent="0.25">
      <c r="A2135" t="str">
        <f>"20190312160336886"</f>
        <v>20190312160336886</v>
      </c>
      <c r="B2135" t="str">
        <f>"1552377816876517"</f>
        <v>1552377816876517</v>
      </c>
      <c r="C2135" t="s">
        <v>40</v>
      </c>
      <c r="D2135">
        <v>5.0166810000000002</v>
      </c>
      <c r="E2135">
        <v>0.4987955</v>
      </c>
      <c r="F2135" t="s">
        <v>70</v>
      </c>
      <c r="G2135">
        <v>-371.80790000000002</v>
      </c>
      <c r="H2135" s="1">
        <v>-5.7470319999999899E-7</v>
      </c>
      <c r="I2135">
        <v>284.96769999999998</v>
      </c>
      <c r="J2135">
        <v>-334.36180000000002</v>
      </c>
      <c r="K2135">
        <v>1.1099380000000001</v>
      </c>
      <c r="L2135">
        <v>284.15620000000001</v>
      </c>
      <c r="M2135">
        <v>-0.99978590000000001</v>
      </c>
      <c r="N2135">
        <v>0</v>
      </c>
      <c r="O2135">
        <v>1.6556080000000001E-2</v>
      </c>
      <c r="P2135">
        <v>-0.99938130000000003</v>
      </c>
      <c r="Q2135">
        <v>2.1558500000000001E-2</v>
      </c>
      <c r="R2135">
        <v>2.7783220000000001E-2</v>
      </c>
      <c r="S2135">
        <v>-3.0019529999999999</v>
      </c>
      <c r="T2135">
        <v>-8.8628410000000005E-2</v>
      </c>
      <c r="U2135">
        <v>6.5002439999999995E-2</v>
      </c>
      <c r="V2135">
        <v>1.123731E-2</v>
      </c>
      <c r="W2135">
        <v>3.3962220000000001E-2</v>
      </c>
      <c r="X2135">
        <v>0.99936000000000003</v>
      </c>
      <c r="Y2135">
        <v>5.0968519999999998E-3</v>
      </c>
      <c r="Z2135">
        <v>-4.1341670000000002E-4</v>
      </c>
      <c r="AA2135">
        <v>0.99998690000000001</v>
      </c>
      <c r="AB2135">
        <v>29</v>
      </c>
      <c r="AC2135">
        <v>-37.446100000000001</v>
      </c>
      <c r="AD2135">
        <v>-1.10993857470319</v>
      </c>
      <c r="AE2135">
        <v>0.81149999999996603</v>
      </c>
      <c r="AF2135">
        <v>0.191212454349418</v>
      </c>
      <c r="AG2135">
        <v>-1.10993857470319</v>
      </c>
      <c r="AH2135">
        <v>37.421540452242901</v>
      </c>
      <c r="AI2135">
        <v>91.698896584608306</v>
      </c>
      <c r="AJ2135">
        <v>89.707238901799499</v>
      </c>
      <c r="AK2135">
        <v>37.438485755451701</v>
      </c>
      <c r="AL2135">
        <v>88.0537339769933</v>
      </c>
      <c r="AM2135">
        <v>89.355764386988298</v>
      </c>
      <c r="AN2135">
        <v>1.00000005956168</v>
      </c>
    </row>
    <row r="2136" spans="1:40" x14ac:dyDescent="0.25">
      <c r="A2136" t="str">
        <f>"20190312160336897"</f>
        <v>20190312160336897</v>
      </c>
      <c r="B2136" t="str">
        <f>"1552377816886277"</f>
        <v>1552377816886277</v>
      </c>
      <c r="C2136" t="s">
        <v>40</v>
      </c>
      <c r="D2136">
        <v>5.0934970000000002</v>
      </c>
      <c r="E2136">
        <v>0.49884240000000002</v>
      </c>
      <c r="F2136" t="s">
        <v>70</v>
      </c>
      <c r="G2136">
        <v>-372.12779999999998</v>
      </c>
      <c r="H2136" s="1">
        <v>-4.0448980000000001E-7</v>
      </c>
      <c r="I2136">
        <v>284.9966</v>
      </c>
      <c r="J2136">
        <v>-334.51679999999999</v>
      </c>
      <c r="K2136">
        <v>1.1099319999999999</v>
      </c>
      <c r="L2136">
        <v>284.15879999999999</v>
      </c>
      <c r="M2136">
        <v>-0.99978540000000005</v>
      </c>
      <c r="N2136">
        <v>0</v>
      </c>
      <c r="O2136">
        <v>1.6598499999999999E-2</v>
      </c>
      <c r="P2136">
        <v>-0.99936480000000005</v>
      </c>
      <c r="Q2136">
        <v>2.1734099999999999E-2</v>
      </c>
      <c r="R2136">
        <v>2.825246E-2</v>
      </c>
      <c r="S2136">
        <v>-3.001862</v>
      </c>
      <c r="T2136">
        <v>-8.8224289999999997E-2</v>
      </c>
      <c r="U2136">
        <v>6.6802979999999998E-2</v>
      </c>
      <c r="V2136">
        <v>1.166525E-2</v>
      </c>
      <c r="W2136">
        <v>3.413712E-2</v>
      </c>
      <c r="X2136">
        <v>0.99934909999999999</v>
      </c>
      <c r="Y2136">
        <v>5.6543289999999996E-3</v>
      </c>
      <c r="Z2136">
        <v>-4.0459840000000002E-4</v>
      </c>
      <c r="AA2136">
        <v>0.99998390000000004</v>
      </c>
      <c r="AB2136">
        <v>29</v>
      </c>
      <c r="AC2136">
        <v>-37.610999999999898</v>
      </c>
      <c r="AD2136">
        <v>-1.1099324044898</v>
      </c>
      <c r="AE2136">
        <v>0.83780000000001498</v>
      </c>
      <c r="AF2136">
        <v>0.213164864150068</v>
      </c>
      <c r="AG2136">
        <v>-1.1099324044898</v>
      </c>
      <c r="AH2136">
        <v>37.587007117463202</v>
      </c>
      <c r="AI2136">
        <v>91.691407490398106</v>
      </c>
      <c r="AJ2136">
        <v>89.675065479927298</v>
      </c>
      <c r="AK2136">
        <v>37.603995708569002</v>
      </c>
      <c r="AL2136">
        <v>88.043707058758599</v>
      </c>
      <c r="AM2136">
        <v>89.331225456520102</v>
      </c>
      <c r="AN2136">
        <v>1.00000002234513</v>
      </c>
    </row>
    <row r="2137" spans="1:40" x14ac:dyDescent="0.25">
      <c r="A2137" t="str">
        <f>"20190312160336911"</f>
        <v>20190312160336911</v>
      </c>
      <c r="B2137" t="str">
        <f>"1552377816906773"</f>
        <v>1552377816906773</v>
      </c>
      <c r="C2137" t="s">
        <v>40</v>
      </c>
      <c r="D2137">
        <v>5.0541049999999998</v>
      </c>
      <c r="E2137">
        <v>0.49892360000000002</v>
      </c>
      <c r="F2137" t="s">
        <v>70</v>
      </c>
      <c r="G2137">
        <v>-372.61689999999999</v>
      </c>
      <c r="H2137" s="1">
        <v>-1.4421909999999999E-7</v>
      </c>
      <c r="I2137">
        <v>285.0299</v>
      </c>
      <c r="J2137">
        <v>-334.68259999999998</v>
      </c>
      <c r="K2137">
        <v>1.109923</v>
      </c>
      <c r="L2137">
        <v>284.16160000000002</v>
      </c>
      <c r="M2137">
        <v>-0.99978449999999996</v>
      </c>
      <c r="N2137">
        <v>0</v>
      </c>
      <c r="O2137">
        <v>1.6646580000000001E-2</v>
      </c>
      <c r="P2137">
        <v>-0.99935070000000004</v>
      </c>
      <c r="Q2137">
        <v>2.1712970000000002E-2</v>
      </c>
      <c r="R2137">
        <v>2.8755510000000001E-2</v>
      </c>
      <c r="S2137">
        <v>-3.001862</v>
      </c>
      <c r="T2137">
        <v>-8.7450390000000003E-2</v>
      </c>
      <c r="U2137">
        <v>6.8634029999999999E-2</v>
      </c>
      <c r="V2137">
        <v>1.2120789999999999E-2</v>
      </c>
      <c r="W2137">
        <v>3.4116149999999998E-2</v>
      </c>
      <c r="X2137">
        <v>0.99934429999999996</v>
      </c>
      <c r="Y2137">
        <v>6.2155910000000003E-3</v>
      </c>
      <c r="Z2137">
        <v>-3.9427499999999997E-4</v>
      </c>
      <c r="AA2137">
        <v>0.9999806</v>
      </c>
      <c r="AB2137">
        <v>29</v>
      </c>
      <c r="AC2137">
        <v>-37.9343</v>
      </c>
      <c r="AD2137">
        <v>-1.1099231442191</v>
      </c>
      <c r="AE2137">
        <v>0.86829999999997598</v>
      </c>
      <c r="AF2137">
        <v>0.236452406837491</v>
      </c>
      <c r="AG2137">
        <v>-1.1099231442191</v>
      </c>
      <c r="AH2137">
        <v>37.911059752400298</v>
      </c>
      <c r="AI2137">
        <v>91.676938496510303</v>
      </c>
      <c r="AJ2137">
        <v>89.642649153339207</v>
      </c>
      <c r="AK2137">
        <v>37.928040954903501</v>
      </c>
      <c r="AL2137">
        <v>88.044909066161793</v>
      </c>
      <c r="AM2137">
        <v>89.305108298808307</v>
      </c>
      <c r="AN2137">
        <v>0.99999992759176504</v>
      </c>
    </row>
    <row r="2138" spans="1:40" x14ac:dyDescent="0.25">
      <c r="A2138" t="str">
        <f>"20190312160336924"</f>
        <v>20190312160336924</v>
      </c>
      <c r="B2138" t="str">
        <f>"1552377816916533"</f>
        <v>1552377816916533</v>
      </c>
      <c r="C2138" t="s">
        <v>40</v>
      </c>
      <c r="D2138">
        <v>4.9958710000000002</v>
      </c>
      <c r="E2138">
        <v>0.49896180000000001</v>
      </c>
      <c r="F2138" t="s">
        <v>70</v>
      </c>
      <c r="G2138">
        <v>-372.7722</v>
      </c>
      <c r="H2138" s="1">
        <v>-6.1592169999999995E-8</v>
      </c>
      <c r="I2138">
        <v>285.05959999999999</v>
      </c>
      <c r="J2138">
        <v>-334.85410000000002</v>
      </c>
      <c r="K2138">
        <v>1.109918</v>
      </c>
      <c r="L2138">
        <v>284.16449999999998</v>
      </c>
      <c r="M2138">
        <v>-0.99978350000000005</v>
      </c>
      <c r="N2138">
        <v>0</v>
      </c>
      <c r="O2138">
        <v>1.6700670000000001E-2</v>
      </c>
      <c r="P2138">
        <v>-0.9993417</v>
      </c>
      <c r="Q2138">
        <v>2.1539139999999998E-2</v>
      </c>
      <c r="R2138">
        <v>2.9198559999999998E-2</v>
      </c>
      <c r="S2138">
        <v>-3.00177</v>
      </c>
      <c r="T2138">
        <v>-8.7471010000000002E-2</v>
      </c>
      <c r="U2138">
        <v>7.0770260000000001E-2</v>
      </c>
      <c r="V2138">
        <v>1.2510439999999999E-2</v>
      </c>
      <c r="W2138">
        <v>3.3941249999999999E-2</v>
      </c>
      <c r="X2138">
        <v>0.9993455</v>
      </c>
      <c r="Y2138">
        <v>6.8731929999999997E-3</v>
      </c>
      <c r="Z2138">
        <v>-3.8637349999999998E-4</v>
      </c>
      <c r="AA2138">
        <v>0.99997630000000004</v>
      </c>
      <c r="AB2138">
        <v>29</v>
      </c>
      <c r="AC2138">
        <v>-37.918099999999903</v>
      </c>
      <c r="AD2138">
        <v>-1.10991806159216</v>
      </c>
      <c r="AE2138">
        <v>0.895100000000013</v>
      </c>
      <c r="AF2138">
        <v>0.26144480440351597</v>
      </c>
      <c r="AG2138">
        <v>-1.10991806159216</v>
      </c>
      <c r="AH2138">
        <v>37.895309515080498</v>
      </c>
      <c r="AI2138">
        <v>91.677620106808007</v>
      </c>
      <c r="AJ2138">
        <v>89.604715032057399</v>
      </c>
      <c r="AK2138">
        <v>37.912461734012297</v>
      </c>
      <c r="AL2138">
        <v>88.054935995955404</v>
      </c>
      <c r="AM2138">
        <v>89.282772603777403</v>
      </c>
      <c r="AN2138">
        <v>0.99999997396540197</v>
      </c>
    </row>
    <row r="2139" spans="1:40" x14ac:dyDescent="0.25">
      <c r="A2139" t="str">
        <f>"20190312160336938"</f>
        <v>20190312160336938</v>
      </c>
      <c r="B2139" t="str">
        <f>"1552377816926293"</f>
        <v>1552377816926293</v>
      </c>
      <c r="C2139" t="s">
        <v>40</v>
      </c>
      <c r="D2139">
        <v>5.0042689999999999</v>
      </c>
      <c r="E2139">
        <v>0.49900339999999999</v>
      </c>
      <c r="F2139" t="s">
        <v>70</v>
      </c>
      <c r="G2139">
        <v>-372.75170000000003</v>
      </c>
      <c r="H2139" s="1">
        <v>-7.2464449999999997E-8</v>
      </c>
      <c r="I2139">
        <v>285.0788</v>
      </c>
      <c r="J2139">
        <v>-335.02839999999998</v>
      </c>
      <c r="K2139">
        <v>1.1099190000000001</v>
      </c>
      <c r="L2139">
        <v>284.16739999999999</v>
      </c>
      <c r="M2139">
        <v>-0.99978259999999997</v>
      </c>
      <c r="N2139">
        <v>0</v>
      </c>
      <c r="O2139">
        <v>1.6758200000000001E-2</v>
      </c>
      <c r="P2139">
        <v>-0.99932030000000005</v>
      </c>
      <c r="Q2139">
        <v>2.1496990000000001E-2</v>
      </c>
      <c r="R2139">
        <v>2.9949340000000001E-2</v>
      </c>
      <c r="S2139">
        <v>-3.00177</v>
      </c>
      <c r="T2139">
        <v>-8.7913749999999999E-2</v>
      </c>
      <c r="U2139">
        <v>7.2418209999999997E-2</v>
      </c>
      <c r="V2139">
        <v>1.3204250000000001E-2</v>
      </c>
      <c r="W2139">
        <v>3.3898829999999998E-2</v>
      </c>
      <c r="X2139">
        <v>0.99933799999999995</v>
      </c>
      <c r="Y2139">
        <v>7.364181E-3</v>
      </c>
      <c r="Z2139">
        <v>-3.8282179999999999E-4</v>
      </c>
      <c r="AA2139">
        <v>0.9999728</v>
      </c>
      <c r="AB2139">
        <v>29</v>
      </c>
      <c r="AC2139">
        <v>-37.723300000000002</v>
      </c>
      <c r="AD2139">
        <v>-1.1099190724644501</v>
      </c>
      <c r="AE2139">
        <v>0.91140000000001398</v>
      </c>
      <c r="AF2139">
        <v>0.27880751080897997</v>
      </c>
      <c r="AG2139">
        <v>-1.1099190724644501</v>
      </c>
      <c r="AH2139">
        <v>37.700658248442103</v>
      </c>
      <c r="AI2139">
        <v>91.686272353371805</v>
      </c>
      <c r="AJ2139">
        <v>89.5762884999763</v>
      </c>
      <c r="AK2139">
        <v>37.718023362065701</v>
      </c>
      <c r="AL2139">
        <v>88.057367856380495</v>
      </c>
      <c r="AM2139">
        <v>89.242995088369398</v>
      </c>
      <c r="AN2139">
        <v>0.99999996056871399</v>
      </c>
    </row>
    <row r="2140" spans="1:40" x14ac:dyDescent="0.25">
      <c r="A2140" t="str">
        <f>"20190312160336948"</f>
        <v>20190312160336948</v>
      </c>
      <c r="B2140" t="str">
        <f>"1552377816937029"</f>
        <v>1552377816937029</v>
      </c>
      <c r="C2140" t="s">
        <v>40</v>
      </c>
      <c r="D2140">
        <v>4.9732010000000004</v>
      </c>
      <c r="E2140">
        <v>0.49904779999999999</v>
      </c>
      <c r="F2140" t="s">
        <v>70</v>
      </c>
      <c r="G2140">
        <v>-372.91219999999998</v>
      </c>
      <c r="H2140" s="1">
        <v>1.2950209999999999E-8</v>
      </c>
      <c r="I2140">
        <v>285.11259999999999</v>
      </c>
      <c r="J2140">
        <v>-335.17059999999998</v>
      </c>
      <c r="K2140">
        <v>1.109915</v>
      </c>
      <c r="L2140">
        <v>284.16989999999998</v>
      </c>
      <c r="M2140">
        <v>-0.99978180000000005</v>
      </c>
      <c r="N2140">
        <v>0</v>
      </c>
      <c r="O2140">
        <v>1.6806109999999999E-2</v>
      </c>
      <c r="P2140">
        <v>-0.99931130000000001</v>
      </c>
      <c r="Q2140">
        <v>2.148185E-2</v>
      </c>
      <c r="R2140">
        <v>3.0260140000000001E-2</v>
      </c>
      <c r="S2140">
        <v>-3.0016780000000001</v>
      </c>
      <c r="T2140">
        <v>-8.7943080000000007E-2</v>
      </c>
      <c r="U2140">
        <v>7.4890139999999994E-2</v>
      </c>
      <c r="V2140">
        <v>1.346755E-2</v>
      </c>
      <c r="W2140">
        <v>3.3883580000000003E-2</v>
      </c>
      <c r="X2140">
        <v>0.99933510000000003</v>
      </c>
      <c r="Y2140">
        <v>8.1396839999999995E-3</v>
      </c>
      <c r="Z2140">
        <v>-3.730033E-4</v>
      </c>
      <c r="AA2140">
        <v>0.99996680000000004</v>
      </c>
      <c r="AB2140">
        <v>29</v>
      </c>
      <c r="AC2140">
        <v>-37.741599999999998</v>
      </c>
      <c r="AD2140">
        <v>-1.10991498704979</v>
      </c>
      <c r="AE2140">
        <v>0.94270000000000198</v>
      </c>
      <c r="AF2140">
        <v>0.30796236788939402</v>
      </c>
      <c r="AG2140">
        <v>-1.10991498704979</v>
      </c>
      <c r="AH2140">
        <v>37.719511940691</v>
      </c>
      <c r="AI2140">
        <v>91.685413694165106</v>
      </c>
      <c r="AJ2140">
        <v>89.532216856262096</v>
      </c>
      <c r="AK2140">
        <v>37.737094921872902</v>
      </c>
      <c r="AL2140">
        <v>88.058242306598899</v>
      </c>
      <c r="AM2140">
        <v>89.227899563715098</v>
      </c>
      <c r="AN2140">
        <v>1.0000000569943099</v>
      </c>
    </row>
    <row r="2141" spans="1:40" x14ac:dyDescent="0.25">
      <c r="A2141" t="str">
        <f>"20190312160336960"</f>
        <v>20190312160336960</v>
      </c>
      <c r="B2141" t="str">
        <f>"1552377816956549"</f>
        <v>1552377816956549</v>
      </c>
      <c r="C2141" t="s">
        <v>40</v>
      </c>
      <c r="D2141">
        <v>4.973166</v>
      </c>
      <c r="E2141">
        <v>0.49912279999999998</v>
      </c>
      <c r="F2141" t="s">
        <v>70</v>
      </c>
      <c r="G2141">
        <v>-373.05959999999999</v>
      </c>
      <c r="H2141" s="1">
        <v>9.1359449999999996E-8</v>
      </c>
      <c r="I2141">
        <v>285.13290000000001</v>
      </c>
      <c r="J2141">
        <v>-335.31729999999999</v>
      </c>
      <c r="K2141">
        <v>1.109912</v>
      </c>
      <c r="L2141">
        <v>284.17239999999998</v>
      </c>
      <c r="M2141">
        <v>-0.99978100000000003</v>
      </c>
      <c r="N2141">
        <v>0</v>
      </c>
      <c r="O2141">
        <v>1.6856260000000001E-2</v>
      </c>
      <c r="P2141">
        <v>-0.99930410000000003</v>
      </c>
      <c r="Q2141">
        <v>2.166011E-2</v>
      </c>
      <c r="R2141">
        <v>3.0370790000000002E-2</v>
      </c>
      <c r="S2141">
        <v>-3.0016479999999999</v>
      </c>
      <c r="T2141">
        <v>-8.7929839999999995E-2</v>
      </c>
      <c r="U2141">
        <v>7.6293949999999999E-2</v>
      </c>
      <c r="V2141">
        <v>1.3528220000000001E-2</v>
      </c>
      <c r="W2141">
        <v>3.406182E-2</v>
      </c>
      <c r="X2141">
        <v>0.99932810000000005</v>
      </c>
      <c r="Y2141">
        <v>8.5569779999999998E-3</v>
      </c>
      <c r="Z2141">
        <v>-3.6830720000000002E-4</v>
      </c>
      <c r="AA2141">
        <v>0.9999633</v>
      </c>
      <c r="AB2141">
        <v>29</v>
      </c>
      <c r="AC2141">
        <v>-37.7423</v>
      </c>
      <c r="AD2141">
        <v>-1.10991190864055</v>
      </c>
      <c r="AE2141">
        <v>0.960500000000024</v>
      </c>
      <c r="AF2141">
        <v>0.32384067840281899</v>
      </c>
      <c r="AG2141">
        <v>-1.10991190864055</v>
      </c>
      <c r="AH2141">
        <v>37.720528604551603</v>
      </c>
      <c r="AI2141">
        <v>91.685357687836401</v>
      </c>
      <c r="AJ2141">
        <v>89.5081127188637</v>
      </c>
      <c r="AK2141">
        <v>37.738243936843801</v>
      </c>
      <c r="AL2141">
        <v>88.048023772533796</v>
      </c>
      <c r="AM2141">
        <v>89.2244163183952</v>
      </c>
      <c r="AN2141">
        <v>0.99999993588384295</v>
      </c>
    </row>
    <row r="2142" spans="1:40" x14ac:dyDescent="0.25">
      <c r="A2142" t="str">
        <f>"20190312160336971"</f>
        <v>20190312160336971</v>
      </c>
      <c r="B2142" t="str">
        <f>"1552377816966816"</f>
        <v>1552377816966816</v>
      </c>
      <c r="C2142" t="s">
        <v>40</v>
      </c>
      <c r="D2142">
        <v>4.9719680000000004</v>
      </c>
      <c r="E2142">
        <v>0.4991543</v>
      </c>
      <c r="F2142" t="s">
        <v>70</v>
      </c>
      <c r="G2142">
        <v>-373.4248</v>
      </c>
      <c r="H2142" s="1">
        <v>2.8571799999999999E-7</v>
      </c>
      <c r="I2142">
        <v>285.15109999999999</v>
      </c>
      <c r="J2142">
        <v>-335.45499999999998</v>
      </c>
      <c r="K2142">
        <v>1.10991</v>
      </c>
      <c r="L2142">
        <v>284.1748</v>
      </c>
      <c r="M2142">
        <v>-0.99978009999999995</v>
      </c>
      <c r="N2142">
        <v>0</v>
      </c>
      <c r="O2142">
        <v>1.6903250000000002E-2</v>
      </c>
      <c r="P2142">
        <v>-0.99931210000000004</v>
      </c>
      <c r="Q2142">
        <v>2.1410479999999999E-2</v>
      </c>
      <c r="R2142">
        <v>3.0282710000000001E-2</v>
      </c>
      <c r="S2142">
        <v>-3.0016479999999999</v>
      </c>
      <c r="T2142">
        <v>-8.7425470000000005E-2</v>
      </c>
      <c r="U2142">
        <v>7.7087399999999903E-2</v>
      </c>
      <c r="V2142">
        <v>1.3393220000000001E-2</v>
      </c>
      <c r="W2142">
        <v>3.3812099999999998E-2</v>
      </c>
      <c r="X2142">
        <v>0.99933839999999996</v>
      </c>
      <c r="Y2142">
        <v>8.7740219999999994E-3</v>
      </c>
      <c r="Z2142">
        <v>-3.6440220000000001E-4</v>
      </c>
      <c r="AA2142">
        <v>0.9999614</v>
      </c>
      <c r="AB2142">
        <v>29</v>
      </c>
      <c r="AC2142">
        <v>-37.969799999999999</v>
      </c>
      <c r="AD2142">
        <v>-1.109909714282</v>
      </c>
      <c r="AE2142">
        <v>0.97629999999997996</v>
      </c>
      <c r="AF2142">
        <v>0.334012820438294</v>
      </c>
      <c r="AG2142">
        <v>-1.109909714282</v>
      </c>
      <c r="AH2142">
        <v>37.948473779847099</v>
      </c>
      <c r="AI2142">
        <v>91.675233571485904</v>
      </c>
      <c r="AJ2142">
        <v>89.495710134509494</v>
      </c>
      <c r="AK2142">
        <v>37.966170815053403</v>
      </c>
      <c r="AL2142">
        <v>88.062339924324306</v>
      </c>
      <c r="AM2142">
        <v>89.232162958229395</v>
      </c>
      <c r="AN2142">
        <v>0.99999993708146695</v>
      </c>
    </row>
    <row r="2143" spans="1:40" x14ac:dyDescent="0.25">
      <c r="A2143" t="str">
        <f>"20190312160336982"</f>
        <v>20190312160336982</v>
      </c>
      <c r="B2143" t="str">
        <f>"1552377816976576"</f>
        <v>1552377816976576</v>
      </c>
      <c r="C2143" t="s">
        <v>40</v>
      </c>
      <c r="D2143">
        <v>4.910107</v>
      </c>
      <c r="E2143">
        <v>0.49918980000000002</v>
      </c>
      <c r="F2143" t="s">
        <v>70</v>
      </c>
      <c r="G2143">
        <v>-373.35680000000002</v>
      </c>
      <c r="H2143" s="1">
        <v>2.4955239999999998E-7</v>
      </c>
      <c r="I2143">
        <v>285.14859999999999</v>
      </c>
      <c r="J2143">
        <v>-335.61</v>
      </c>
      <c r="K2143">
        <v>1.1099079999999999</v>
      </c>
      <c r="L2143">
        <v>284.17750000000001</v>
      </c>
      <c r="M2143">
        <v>-0.99977919999999998</v>
      </c>
      <c r="N2143">
        <v>0</v>
      </c>
      <c r="O2143">
        <v>1.6955599999999901E-2</v>
      </c>
      <c r="P2143">
        <v>-0.99931590000000003</v>
      </c>
      <c r="Q2143">
        <v>2.1391839999999999E-2</v>
      </c>
      <c r="R2143">
        <v>3.0171429999999999E-2</v>
      </c>
      <c r="S2143">
        <v>-3.001617</v>
      </c>
      <c r="T2143">
        <v>-8.7898850000000001E-2</v>
      </c>
      <c r="U2143">
        <v>7.7117920000000006E-2</v>
      </c>
      <c r="V2143">
        <v>1.3229670000000001E-2</v>
      </c>
      <c r="W2143">
        <v>3.3793040000000003E-2</v>
      </c>
      <c r="X2143">
        <v>0.99934129999999999</v>
      </c>
      <c r="Y2143">
        <v>8.7321640000000006E-3</v>
      </c>
      <c r="Z2143">
        <v>-3.68523E-4</v>
      </c>
      <c r="AA2143">
        <v>0.99996180000000001</v>
      </c>
      <c r="AB2143">
        <v>29</v>
      </c>
      <c r="AC2143">
        <v>-37.7468</v>
      </c>
      <c r="AD2143">
        <v>-1.10990775044759</v>
      </c>
      <c r="AE2143">
        <v>0.97109999999997798</v>
      </c>
      <c r="AF2143">
        <v>0.33060577685709702</v>
      </c>
      <c r="AG2143">
        <v>-1.10990775044759</v>
      </c>
      <c r="AH2143">
        <v>37.725244125521399</v>
      </c>
      <c r="AI2143">
        <v>91.685138232069505</v>
      </c>
      <c r="AJ2143">
        <v>89.497900378389204</v>
      </c>
      <c r="AK2143">
        <v>37.743015774105601</v>
      </c>
      <c r="AL2143">
        <v>88.063432755019306</v>
      </c>
      <c r="AM2143">
        <v>89.241540424009202</v>
      </c>
      <c r="AN2143">
        <v>1.0000000138032199</v>
      </c>
    </row>
    <row r="2144" spans="1:40" x14ac:dyDescent="0.25">
      <c r="A2144" t="str">
        <f>"20190312160336996"</f>
        <v>20190312160336996</v>
      </c>
      <c r="B2144" t="str">
        <f>"1552377816986337"</f>
        <v>1552377816986337</v>
      </c>
      <c r="C2144" t="s">
        <v>40</v>
      </c>
      <c r="D2144">
        <v>4.9026990000000001</v>
      </c>
      <c r="E2144">
        <v>0.49921510000000002</v>
      </c>
      <c r="F2144" t="s">
        <v>70</v>
      </c>
      <c r="G2144">
        <v>-373.41489999999999</v>
      </c>
      <c r="H2144" s="1">
        <v>2.8046699999999999E-7</v>
      </c>
      <c r="I2144">
        <v>285.14960000000002</v>
      </c>
      <c r="J2144">
        <v>-335.78070000000002</v>
      </c>
      <c r="K2144">
        <v>1.1099079999999999</v>
      </c>
      <c r="L2144">
        <v>284.18040000000002</v>
      </c>
      <c r="M2144">
        <v>-0.99977839999999996</v>
      </c>
      <c r="N2144">
        <v>0</v>
      </c>
      <c r="O2144">
        <v>1.701277E-2</v>
      </c>
      <c r="P2144">
        <v>-0.99931809999999999</v>
      </c>
      <c r="Q2144">
        <v>2.1446650000000001E-2</v>
      </c>
      <c r="R2144">
        <v>3.0059860000000001E-2</v>
      </c>
      <c r="S2144">
        <v>-3.0015869999999998</v>
      </c>
      <c r="T2144">
        <v>-8.812296E-2</v>
      </c>
      <c r="U2144">
        <v>7.7178960000000005E-2</v>
      </c>
      <c r="V2144">
        <v>1.306087E-2</v>
      </c>
      <c r="W2144">
        <v>3.3847849999999999E-2</v>
      </c>
      <c r="X2144">
        <v>0.9993417</v>
      </c>
      <c r="Y2144">
        <v>8.6956310000000005E-3</v>
      </c>
      <c r="Z2144">
        <v>-3.7167930000000002E-4</v>
      </c>
      <c r="AA2144">
        <v>0.99996220000000002</v>
      </c>
      <c r="AB2144">
        <v>29</v>
      </c>
      <c r="AC2144">
        <v>-37.6341999999999</v>
      </c>
      <c r="AD2144">
        <v>-1.1099077195329901</v>
      </c>
      <c r="AE2144">
        <v>0.96919999999999995</v>
      </c>
      <c r="AF2144">
        <v>0.32846300405066498</v>
      </c>
      <c r="AG2144">
        <v>-1.1099077195329901</v>
      </c>
      <c r="AH2144">
        <v>37.612549616044802</v>
      </c>
      <c r="AI2144">
        <v>91.690184716282701</v>
      </c>
      <c r="AJ2144">
        <v>89.499659936169195</v>
      </c>
      <c r="AK2144">
        <v>37.6303557212836</v>
      </c>
      <c r="AL2144">
        <v>88.060290642797298</v>
      </c>
      <c r="AM2144">
        <v>89.251216951839794</v>
      </c>
      <c r="AN2144">
        <v>1.0000000483168301</v>
      </c>
    </row>
    <row r="2145" spans="1:40" x14ac:dyDescent="0.25">
      <c r="A2145" t="str">
        <f>"20190312160337008"</f>
        <v>20190312160337008</v>
      </c>
      <c r="B2145" t="str">
        <f>"1552377816997072"</f>
        <v>1552377816997072</v>
      </c>
      <c r="C2145" t="s">
        <v>40</v>
      </c>
      <c r="D2145">
        <v>4.9180780000000004</v>
      </c>
      <c r="E2145">
        <v>0.49925310000000001</v>
      </c>
      <c r="F2145" t="s">
        <v>70</v>
      </c>
      <c r="G2145">
        <v>-373.54969999999997</v>
      </c>
      <c r="H2145" s="1">
        <v>3.5216520000000001E-7</v>
      </c>
      <c r="I2145">
        <v>285.14850000000001</v>
      </c>
      <c r="J2145">
        <v>-335.93720000000002</v>
      </c>
      <c r="K2145">
        <v>1.1099079999999999</v>
      </c>
      <c r="L2145">
        <v>284.18310000000002</v>
      </c>
      <c r="M2145">
        <v>-0.99977740000000004</v>
      </c>
      <c r="N2145">
        <v>0</v>
      </c>
      <c r="O2145">
        <v>1.7065210000000001E-2</v>
      </c>
      <c r="P2145">
        <v>-0.99931210000000004</v>
      </c>
      <c r="Q2145">
        <v>2.177258E-2</v>
      </c>
      <c r="R2145">
        <v>3.0023080000000001E-2</v>
      </c>
      <c r="S2145">
        <v>-3.001617</v>
      </c>
      <c r="T2145">
        <v>-8.8207720000000003E-2</v>
      </c>
      <c r="U2145">
        <v>7.6934810000000006E-2</v>
      </c>
      <c r="V2145">
        <v>1.297181E-2</v>
      </c>
      <c r="W2145">
        <v>3.4173330000000002E-2</v>
      </c>
      <c r="X2145">
        <v>0.99933170000000004</v>
      </c>
      <c r="Y2145">
        <v>8.5617160000000005E-3</v>
      </c>
      <c r="Z2145">
        <v>-3.7554059999999999E-4</v>
      </c>
      <c r="AA2145">
        <v>0.9999633</v>
      </c>
      <c r="AB2145">
        <v>29</v>
      </c>
      <c r="AC2145">
        <v>-37.612499999999898</v>
      </c>
      <c r="AD2145">
        <v>-1.1099076478348</v>
      </c>
      <c r="AE2145">
        <v>0.96539999999998805</v>
      </c>
      <c r="AF2145">
        <v>0.32306364517434799</v>
      </c>
      <c r="AG2145">
        <v>-1.1099076478348</v>
      </c>
      <c r="AH2145">
        <v>37.590786179679498</v>
      </c>
      <c r="AI2145">
        <v>91.691164611780195</v>
      </c>
      <c r="AJ2145">
        <v>89.507599346569904</v>
      </c>
      <c r="AK2145">
        <v>37.608555817951</v>
      </c>
      <c r="AL2145">
        <v>88.041631056025807</v>
      </c>
      <c r="AM2145">
        <v>89.256314768306794</v>
      </c>
      <c r="AN2145">
        <v>0.999999965481427</v>
      </c>
    </row>
    <row r="2146" spans="1:40" x14ac:dyDescent="0.25">
      <c r="A2146" t="str">
        <f>"20190312160337026"</f>
        <v>20190312160337026</v>
      </c>
      <c r="B2146" t="str">
        <f>"1552377817016591"</f>
        <v>1552377817016591</v>
      </c>
      <c r="C2146" t="s">
        <v>40</v>
      </c>
      <c r="D2146">
        <v>4.8788410000000004</v>
      </c>
      <c r="E2146">
        <v>0.49931049999999899</v>
      </c>
      <c r="F2146" t="s">
        <v>70</v>
      </c>
      <c r="G2146">
        <v>-374.09519999999998</v>
      </c>
      <c r="H2146" s="1">
        <v>6.4246630000000003E-7</v>
      </c>
      <c r="I2146">
        <v>285.16000000000003</v>
      </c>
      <c r="J2146">
        <v>-336.17329999999998</v>
      </c>
      <c r="K2146">
        <v>1.109909</v>
      </c>
      <c r="L2146">
        <v>284.18729999999999</v>
      </c>
      <c r="M2146">
        <v>-0.99977609999999995</v>
      </c>
      <c r="N2146">
        <v>0</v>
      </c>
      <c r="O2146">
        <v>1.714191E-2</v>
      </c>
      <c r="P2146">
        <v>-0.99931099999999995</v>
      </c>
      <c r="Q2146">
        <v>2.213528E-2</v>
      </c>
      <c r="R2146">
        <v>2.978983E-2</v>
      </c>
      <c r="S2146">
        <v>-3.0016479999999999</v>
      </c>
      <c r="T2146">
        <v>-8.7309479999999995E-2</v>
      </c>
      <c r="U2146">
        <v>7.6843259999999997E-2</v>
      </c>
      <c r="V2146">
        <v>1.2661840000000001E-2</v>
      </c>
      <c r="W2146">
        <v>3.4535999999999997E-2</v>
      </c>
      <c r="X2146">
        <v>0.99932319999999997</v>
      </c>
      <c r="Y2146">
        <v>8.4542679999999992E-3</v>
      </c>
      <c r="Z2146">
        <v>-3.7550650000000001E-4</v>
      </c>
      <c r="AA2146">
        <v>0.99996419999999997</v>
      </c>
      <c r="AB2146">
        <v>29</v>
      </c>
      <c r="AC2146">
        <v>-37.921900000000001</v>
      </c>
      <c r="AD2146">
        <v>-1.1099083575337001</v>
      </c>
      <c r="AE2146">
        <v>0.97270000000003098</v>
      </c>
      <c r="AF2146">
        <v>0.322177424257794</v>
      </c>
      <c r="AG2146">
        <v>-1.1099083575337001</v>
      </c>
      <c r="AH2146">
        <v>37.900556904068999</v>
      </c>
      <c r="AI2146">
        <v>91.677352642775801</v>
      </c>
      <c r="AJ2146">
        <v>89.512963302790098</v>
      </c>
      <c r="AK2146">
        <v>37.918173854939297</v>
      </c>
      <c r="AL2146">
        <v>88.020839306303401</v>
      </c>
      <c r="AM2146">
        <v>89.274077521235796</v>
      </c>
      <c r="AN2146">
        <v>0.99999995777321105</v>
      </c>
    </row>
    <row r="2147" spans="1:40" x14ac:dyDescent="0.25">
      <c r="A2147" t="str">
        <f>"20190312160337038"</f>
        <v>20190312160337038</v>
      </c>
      <c r="B2147" t="str">
        <f>"1552377817026352"</f>
        <v>1552377817026352</v>
      </c>
      <c r="C2147" t="s">
        <v>40</v>
      </c>
      <c r="D2147">
        <v>4.869116</v>
      </c>
      <c r="E2147">
        <v>0.4992992</v>
      </c>
      <c r="F2147" t="s">
        <v>70</v>
      </c>
      <c r="G2147">
        <v>-375.1044</v>
      </c>
      <c r="H2147" s="1">
        <v>1.179542E-6</v>
      </c>
      <c r="I2147">
        <v>285.18389999999999</v>
      </c>
      <c r="J2147">
        <v>-336.31630000000001</v>
      </c>
      <c r="K2147">
        <v>1.109912</v>
      </c>
      <c r="L2147">
        <v>284.18979999999999</v>
      </c>
      <c r="M2147">
        <v>-0.99977539999999998</v>
      </c>
      <c r="N2147">
        <v>0</v>
      </c>
      <c r="O2147">
        <v>1.7187029999999999E-2</v>
      </c>
      <c r="P2147">
        <v>-0.99931959999999997</v>
      </c>
      <c r="Q2147">
        <v>2.1860040000000001E-2</v>
      </c>
      <c r="R2147">
        <v>2.9711600000000001E-2</v>
      </c>
      <c r="S2147">
        <v>-3.0016479999999999</v>
      </c>
      <c r="T2147">
        <v>-8.5575579999999998E-2</v>
      </c>
      <c r="U2147">
        <v>7.6843259999999997E-2</v>
      </c>
      <c r="V2147">
        <v>1.253845E-2</v>
      </c>
      <c r="W2147">
        <v>3.4260550000000001E-2</v>
      </c>
      <c r="X2147">
        <v>0.99933430000000001</v>
      </c>
      <c r="Y2147">
        <v>8.4090380000000006E-3</v>
      </c>
      <c r="Z2147">
        <v>-3.699822E-4</v>
      </c>
      <c r="AA2147">
        <v>0.99996459999999998</v>
      </c>
      <c r="AB2147">
        <v>29</v>
      </c>
      <c r="AC2147">
        <v>-38.788099999999901</v>
      </c>
      <c r="AD2147">
        <v>-1.1099108204579999</v>
      </c>
      <c r="AE2147">
        <v>0.99410000000000298</v>
      </c>
      <c r="AF2147">
        <v>0.326982087984242</v>
      </c>
      <c r="AG2147">
        <v>-1.1099108204579999</v>
      </c>
      <c r="AH2147">
        <v>38.767734468839798</v>
      </c>
      <c r="AI2147">
        <v>91.6398579916561</v>
      </c>
      <c r="AJ2147">
        <v>89.516756662765701</v>
      </c>
      <c r="AK2147">
        <v>38.784997810515598</v>
      </c>
      <c r="AL2147">
        <v>88.0366308981841</v>
      </c>
      <c r="AM2147">
        <v>89.281158894675698</v>
      </c>
      <c r="AN2147">
        <v>1.0000000205855899</v>
      </c>
    </row>
    <row r="2148" spans="1:40" x14ac:dyDescent="0.25">
      <c r="A2148" t="str">
        <f>"20190312160337048"</f>
        <v>20190312160337048</v>
      </c>
      <c r="B2148" t="str">
        <f>"1552377817037088"</f>
        <v>1552377817037088</v>
      </c>
      <c r="C2148" t="s">
        <v>40</v>
      </c>
      <c r="D2148">
        <v>4.9552759999999996</v>
      </c>
      <c r="E2148">
        <v>0.4991737</v>
      </c>
      <c r="F2148" t="s">
        <v>70</v>
      </c>
      <c r="G2148">
        <v>-375.1078</v>
      </c>
      <c r="H2148" s="1">
        <v>1.1813180000000001E-6</v>
      </c>
      <c r="I2148">
        <v>285.17809999999997</v>
      </c>
      <c r="J2148">
        <v>-336.4588</v>
      </c>
      <c r="K2148">
        <v>1.109912</v>
      </c>
      <c r="L2148">
        <v>284.19229999999999</v>
      </c>
      <c r="M2148">
        <v>-0.99977459999999996</v>
      </c>
      <c r="N2148">
        <v>0</v>
      </c>
      <c r="O2148">
        <v>1.7232319999999999E-2</v>
      </c>
      <c r="P2148">
        <v>-0.99931479999999995</v>
      </c>
      <c r="Q2148">
        <v>2.1783199999999999E-2</v>
      </c>
      <c r="R2148">
        <v>2.9928929999999999E-2</v>
      </c>
      <c r="S2148">
        <v>-3.0016479999999999</v>
      </c>
      <c r="T2148">
        <v>-8.588374E-2</v>
      </c>
      <c r="U2148">
        <v>7.6477050000000005E-2</v>
      </c>
      <c r="V2148">
        <v>1.27104E-2</v>
      </c>
      <c r="W2148">
        <v>3.4184300000000001E-2</v>
      </c>
      <c r="X2148">
        <v>0.99933470000000002</v>
      </c>
      <c r="Y2148">
        <v>8.2419329999999999E-3</v>
      </c>
      <c r="Z2148">
        <v>-3.7499959999999998E-4</v>
      </c>
      <c r="AA2148">
        <v>0.99996600000000002</v>
      </c>
      <c r="AB2148">
        <v>29</v>
      </c>
      <c r="AC2148">
        <v>-38.649000000000001</v>
      </c>
      <c r="AD2148">
        <v>-1.1099108186819999</v>
      </c>
      <c r="AE2148">
        <v>0.98579999999998302</v>
      </c>
      <c r="AF2148">
        <v>0.31932726167835401</v>
      </c>
      <c r="AG2148">
        <v>-1.1099108186819999</v>
      </c>
      <c r="AH2148">
        <v>38.628412745520002</v>
      </c>
      <c r="AI2148">
        <v>91.645771548473107</v>
      </c>
      <c r="AJ2148">
        <v>89.526367087717702</v>
      </c>
      <c r="AK2148">
        <v>38.645674313740798</v>
      </c>
      <c r="AL2148">
        <v>88.041002185502506</v>
      </c>
      <c r="AM2148">
        <v>89.271302187266897</v>
      </c>
      <c r="AN2148">
        <v>0.99999998162936898</v>
      </c>
    </row>
    <row r="2149" spans="1:40" x14ac:dyDescent="0.25">
      <c r="A2149" t="str">
        <f>"20190312160337060"</f>
        <v>20190312160337060</v>
      </c>
      <c r="B2149" t="str">
        <f>"1552377817056609"</f>
        <v>1552377817056609</v>
      </c>
      <c r="C2149" t="s">
        <v>40</v>
      </c>
      <c r="D2149">
        <v>4.8322609999999999</v>
      </c>
      <c r="E2149">
        <v>0.49879410000000002</v>
      </c>
      <c r="F2149" t="s">
        <v>70</v>
      </c>
      <c r="G2149">
        <v>-375.37360000000001</v>
      </c>
      <c r="H2149" s="1">
        <v>1.3227860000000001E-6</v>
      </c>
      <c r="I2149">
        <v>285.18060000000003</v>
      </c>
      <c r="J2149">
        <v>-336.60820000000001</v>
      </c>
      <c r="K2149">
        <v>1.1099110000000001</v>
      </c>
      <c r="L2149">
        <v>284.19490000000002</v>
      </c>
      <c r="M2149">
        <v>-0.99977369999999999</v>
      </c>
      <c r="N2149">
        <v>0</v>
      </c>
      <c r="O2149">
        <v>1.7279449999999998E-2</v>
      </c>
      <c r="P2149">
        <v>-0.99930730000000001</v>
      </c>
      <c r="Q2149">
        <v>2.1836930000000001E-2</v>
      </c>
      <c r="R2149">
        <v>3.0132619999999999E-2</v>
      </c>
      <c r="S2149">
        <v>-3.0016479999999999</v>
      </c>
      <c r="T2149">
        <v>-8.5611699999999999E-2</v>
      </c>
      <c r="U2149">
        <v>7.6232910000000001E-2</v>
      </c>
      <c r="V2149">
        <v>1.286701E-2</v>
      </c>
      <c r="W2149">
        <v>3.4237199999999898E-2</v>
      </c>
      <c r="X2149">
        <v>0.99933090000000002</v>
      </c>
      <c r="Y2149">
        <v>8.11355699999999E-3</v>
      </c>
      <c r="Z2149">
        <v>-3.7698659999999999E-4</v>
      </c>
      <c r="AA2149">
        <v>0.99996700000000005</v>
      </c>
      <c r="AB2149">
        <v>29</v>
      </c>
      <c r="AC2149">
        <v>-38.7654</v>
      </c>
      <c r="AD2149">
        <v>-1.109909677214</v>
      </c>
      <c r="AE2149">
        <v>0.98570000000000801</v>
      </c>
      <c r="AF2149">
        <v>0.31539806304495199</v>
      </c>
      <c r="AG2149">
        <v>-1.109909677214</v>
      </c>
      <c r="AH2149">
        <v>38.7449040656101</v>
      </c>
      <c r="AI2149">
        <v>91.640826054948704</v>
      </c>
      <c r="AJ2149">
        <v>89.533601149139997</v>
      </c>
      <c r="AK2149">
        <v>38.762081555085203</v>
      </c>
      <c r="AL2149">
        <v>88.037969493162606</v>
      </c>
      <c r="AM2149">
        <v>89.262321787000005</v>
      </c>
      <c r="AN2149">
        <v>0.99999999675249496</v>
      </c>
    </row>
    <row r="2150" spans="1:40" x14ac:dyDescent="0.25">
      <c r="A2150" t="str">
        <f>"20190312160337083"</f>
        <v>20190312160337083</v>
      </c>
      <c r="B2150" t="str">
        <f>"1552377817076635"</f>
        <v>1552377817076635</v>
      </c>
      <c r="C2150" t="s">
        <v>40</v>
      </c>
      <c r="D2150">
        <v>4.8138550000000002</v>
      </c>
      <c r="E2150">
        <v>0.49841289999999999</v>
      </c>
      <c r="F2150" t="s">
        <v>70</v>
      </c>
      <c r="G2150">
        <v>-376.2851</v>
      </c>
      <c r="H2150" s="1">
        <v>1.8078179999999999E-6</v>
      </c>
      <c r="I2150">
        <v>285.17149999999998</v>
      </c>
      <c r="J2150">
        <v>-336.9058</v>
      </c>
      <c r="K2150">
        <v>1.1099030000000001</v>
      </c>
      <c r="L2150">
        <v>284.2002</v>
      </c>
      <c r="M2150">
        <v>-0.9997722</v>
      </c>
      <c r="N2150">
        <v>0</v>
      </c>
      <c r="O2150">
        <v>1.7371999999999999E-2</v>
      </c>
      <c r="P2150">
        <v>-0.9992993</v>
      </c>
      <c r="Q2150">
        <v>2.1729709999999999E-2</v>
      </c>
      <c r="R2150">
        <v>3.0481769999999998E-2</v>
      </c>
      <c r="S2150">
        <v>-3.001709</v>
      </c>
      <c r="T2150">
        <v>-8.3969000000000002E-2</v>
      </c>
      <c r="U2150">
        <v>7.388306E-2</v>
      </c>
      <c r="V2150">
        <v>1.3123650000000001E-2</v>
      </c>
      <c r="W2150">
        <v>3.4129970000000003E-2</v>
      </c>
      <c r="X2150">
        <v>0.99933119999999998</v>
      </c>
      <c r="Y2150">
        <v>7.2383780000000002E-3</v>
      </c>
      <c r="Z2150">
        <v>-3.845772E-4</v>
      </c>
      <c r="AA2150">
        <v>0.99997369999999997</v>
      </c>
      <c r="AB2150">
        <v>29</v>
      </c>
      <c r="AC2150">
        <v>-39.379300000000001</v>
      </c>
      <c r="AD2150">
        <v>-1.1099011921819999</v>
      </c>
      <c r="AE2150">
        <v>0.97129999999998495</v>
      </c>
      <c r="AF2150">
        <v>0.28677593135648599</v>
      </c>
      <c r="AG2150">
        <v>-1.1099011921819999</v>
      </c>
      <c r="AH2150">
        <v>39.358983997535098</v>
      </c>
      <c r="AI2150">
        <v>91.615237806009304</v>
      </c>
      <c r="AJ2150">
        <v>89.582541059031698</v>
      </c>
      <c r="AK2150">
        <v>39.3756745010093</v>
      </c>
      <c r="AL2150">
        <v>88.044116852512005</v>
      </c>
      <c r="AM2150">
        <v>89.247610266601797</v>
      </c>
      <c r="AN2150">
        <v>0.99999996616748099</v>
      </c>
    </row>
    <row r="2151" spans="1:40" x14ac:dyDescent="0.25">
      <c r="A2151" t="str">
        <f>"20190312160337096"</f>
        <v>20190312160337096</v>
      </c>
      <c r="B2151" t="str">
        <f>"1552377817086394"</f>
        <v>1552377817086394</v>
      </c>
      <c r="C2151" t="s">
        <v>40</v>
      </c>
      <c r="D2151">
        <v>4.7942049999999998</v>
      </c>
      <c r="E2151">
        <v>0.49822739999999999</v>
      </c>
      <c r="F2151" t="s">
        <v>70</v>
      </c>
      <c r="G2151">
        <v>-377.07389999999998</v>
      </c>
      <c r="H2151" s="1">
        <v>2.2275930000000001E-6</v>
      </c>
      <c r="I2151">
        <v>285.1635</v>
      </c>
      <c r="J2151">
        <v>-337.06240000000003</v>
      </c>
      <c r="K2151">
        <v>1.1099030000000001</v>
      </c>
      <c r="L2151">
        <v>284.2029</v>
      </c>
      <c r="M2151">
        <v>-0.99977130000000003</v>
      </c>
      <c r="N2151">
        <v>0</v>
      </c>
      <c r="O2151">
        <v>1.7420990000000001E-2</v>
      </c>
      <c r="P2151">
        <v>-0.99929610000000002</v>
      </c>
      <c r="Q2151">
        <v>2.1625160000000001E-2</v>
      </c>
      <c r="R2151">
        <v>3.0655229999999999E-2</v>
      </c>
      <c r="S2151">
        <v>-3.001709</v>
      </c>
      <c r="T2151">
        <v>-8.2941409999999993E-2</v>
      </c>
      <c r="U2151">
        <v>7.1990970000000001E-2</v>
      </c>
      <c r="V2151">
        <v>1.3248040000000001E-2</v>
      </c>
      <c r="W2151">
        <v>3.4025600000000003E-2</v>
      </c>
      <c r="X2151">
        <v>0.99933309999999997</v>
      </c>
      <c r="Y2151">
        <v>6.5596109999999999E-3</v>
      </c>
      <c r="Z2151">
        <v>-3.906038E-4</v>
      </c>
      <c r="AA2151">
        <v>0.99997840000000005</v>
      </c>
      <c r="AB2151">
        <v>29</v>
      </c>
      <c r="AC2151">
        <v>-40.011499999999899</v>
      </c>
      <c r="AD2151">
        <v>-1.109900772407</v>
      </c>
      <c r="AE2151">
        <v>0.96059999999999901</v>
      </c>
      <c r="AF2151">
        <v>0.26315825111621599</v>
      </c>
      <c r="AG2151">
        <v>-1.109900772407</v>
      </c>
      <c r="AH2151">
        <v>39.9914079781529</v>
      </c>
      <c r="AI2151">
        <v>91.589714827465698</v>
      </c>
      <c r="AJ2151">
        <v>89.622978027760496</v>
      </c>
      <c r="AK2151">
        <v>40.007672315004697</v>
      </c>
      <c r="AL2151">
        <v>88.050100253820005</v>
      </c>
      <c r="AM2151">
        <v>89.240481160161295</v>
      </c>
      <c r="AN2151">
        <v>0.99999994838740403</v>
      </c>
    </row>
    <row r="2152" spans="1:40" x14ac:dyDescent="0.25">
      <c r="A2152" t="str">
        <f>"20190312160337108"</f>
        <v>20190312160337108</v>
      </c>
      <c r="B2152" t="str">
        <f>"1552377817097131"</f>
        <v>1552377817097131</v>
      </c>
      <c r="C2152" t="s">
        <v>40</v>
      </c>
      <c r="D2152">
        <v>4.6794750000000001</v>
      </c>
      <c r="E2152">
        <v>0.49803989999999998</v>
      </c>
      <c r="F2152" t="s">
        <v>70</v>
      </c>
      <c r="G2152">
        <v>-377.37560000000002</v>
      </c>
      <c r="H2152" s="1">
        <v>2.388128E-6</v>
      </c>
      <c r="I2152">
        <v>285.15379999999999</v>
      </c>
      <c r="J2152">
        <v>-337.22250000000003</v>
      </c>
      <c r="K2152">
        <v>1.109909</v>
      </c>
      <c r="L2152">
        <v>284.20580000000001</v>
      </c>
      <c r="M2152">
        <v>-0.99977050000000001</v>
      </c>
      <c r="N2152">
        <v>0</v>
      </c>
      <c r="O2152">
        <v>1.747075E-2</v>
      </c>
      <c r="P2152">
        <v>-0.99929100000000004</v>
      </c>
      <c r="Q2152">
        <v>2.16306E-2</v>
      </c>
      <c r="R2152">
        <v>3.0824669999999998E-2</v>
      </c>
      <c r="S2152">
        <v>-3.00177</v>
      </c>
      <c r="T2152">
        <v>-8.2644579999999995E-2</v>
      </c>
      <c r="U2152">
        <v>7.0800779999999994E-2</v>
      </c>
      <c r="V2152">
        <v>1.336794E-2</v>
      </c>
      <c r="W2152">
        <v>3.4030850000000001E-2</v>
      </c>
      <c r="X2152">
        <v>0.99933139999999998</v>
      </c>
      <c r="Y2152">
        <v>6.1132490000000003E-3</v>
      </c>
      <c r="Z2152">
        <v>-3.9671260000000001E-4</v>
      </c>
      <c r="AA2152">
        <v>0.99998120000000001</v>
      </c>
      <c r="AB2152">
        <v>29</v>
      </c>
      <c r="AC2152">
        <v>-40.153100000000002</v>
      </c>
      <c r="AD2152">
        <v>-1.109906611872</v>
      </c>
      <c r="AE2152">
        <v>0.94799999999997897</v>
      </c>
      <c r="AF2152">
        <v>0.24610865312932401</v>
      </c>
      <c r="AG2152">
        <v>-1.109906611872</v>
      </c>
      <c r="AH2152">
        <v>40.132886864636198</v>
      </c>
      <c r="AI2152">
        <v>91.584126367866602</v>
      </c>
      <c r="AJ2152">
        <v>89.648646995701199</v>
      </c>
      <c r="AK2152">
        <v>40.148985918026803</v>
      </c>
      <c r="AL2152">
        <v>88.049799423781906</v>
      </c>
      <c r="AM2152">
        <v>89.233606726994694</v>
      </c>
      <c r="AN2152">
        <v>1.0000000237987601</v>
      </c>
    </row>
    <row r="2153" spans="1:40" x14ac:dyDescent="0.25">
      <c r="A2153" t="str">
        <f>"20190312160337128"</f>
        <v>20190312160337128</v>
      </c>
      <c r="B2153" t="str">
        <f>"1552377817116651"</f>
        <v>1552377817116651</v>
      </c>
      <c r="C2153" t="s">
        <v>40</v>
      </c>
      <c r="D2153">
        <v>4.8143019999999996</v>
      </c>
      <c r="E2153">
        <v>0.49768760000000001</v>
      </c>
      <c r="F2153" t="s">
        <v>70</v>
      </c>
      <c r="G2153">
        <v>-377.86540000000002</v>
      </c>
      <c r="H2153" s="1">
        <v>2.6487609999999999E-6</v>
      </c>
      <c r="I2153">
        <v>285.15370000000001</v>
      </c>
      <c r="J2153">
        <v>-337.48009999999999</v>
      </c>
      <c r="K2153">
        <v>1.109909</v>
      </c>
      <c r="L2153">
        <v>284.21039999999999</v>
      </c>
      <c r="M2153">
        <v>-0.99976900000000002</v>
      </c>
      <c r="N2153">
        <v>0</v>
      </c>
      <c r="O2153">
        <v>1.75520999999999E-2</v>
      </c>
      <c r="P2153">
        <v>-0.99929140000000005</v>
      </c>
      <c r="Q2153">
        <v>2.1527080000000001E-2</v>
      </c>
      <c r="R2153">
        <v>3.0875530000000002E-2</v>
      </c>
      <c r="S2153">
        <v>-3.0017399999999999</v>
      </c>
      <c r="T2153">
        <v>-8.1973790000000005E-2</v>
      </c>
      <c r="U2153">
        <v>7.0007319999999998E-2</v>
      </c>
      <c r="V2153">
        <v>1.333706E-2</v>
      </c>
      <c r="W2153">
        <v>3.3926949999999997E-2</v>
      </c>
      <c r="X2153">
        <v>0.99933530000000004</v>
      </c>
      <c r="Y2153">
        <v>5.7680300000000004E-3</v>
      </c>
      <c r="Z2153">
        <v>-4.0043210000000002E-4</v>
      </c>
      <c r="AA2153">
        <v>0.99998330000000002</v>
      </c>
      <c r="AB2153">
        <v>29</v>
      </c>
      <c r="AC2153">
        <v>-40.385300000000001</v>
      </c>
      <c r="AD2153">
        <v>-1.1099063512389999</v>
      </c>
      <c r="AE2153">
        <v>0.94330000000002101</v>
      </c>
      <c r="AF2153">
        <v>0.23407659227420199</v>
      </c>
      <c r="AG2153">
        <v>-1.1099063512389999</v>
      </c>
      <c r="AH2153">
        <v>40.365164213352202</v>
      </c>
      <c r="AI2153">
        <v>91.575018035003893</v>
      </c>
      <c r="AJ2153">
        <v>89.667746911256302</v>
      </c>
      <c r="AK2153">
        <v>40.3810991174146</v>
      </c>
      <c r="AL2153">
        <v>88.055755806523607</v>
      </c>
      <c r="AM2153">
        <v>89.235379872043296</v>
      </c>
      <c r="AN2153">
        <v>0.99999997846591704</v>
      </c>
    </row>
    <row r="2154" spans="1:40" x14ac:dyDescent="0.25">
      <c r="A2154" t="str">
        <f>"20190312160337141"</f>
        <v>20190312160337141</v>
      </c>
      <c r="B2154" t="str">
        <f>"1552377817137147"</f>
        <v>1552377817137147</v>
      </c>
      <c r="C2154" t="s">
        <v>40</v>
      </c>
      <c r="D2154">
        <v>4.7842070000000003</v>
      </c>
      <c r="E2154">
        <v>0.49733620000000001</v>
      </c>
      <c r="F2154" t="s">
        <v>70</v>
      </c>
      <c r="G2154">
        <v>-378.49360000000001</v>
      </c>
      <c r="H2154" s="1">
        <v>2.983076E-6</v>
      </c>
      <c r="I2154">
        <v>285.13139999999999</v>
      </c>
      <c r="J2154">
        <v>-337.6456</v>
      </c>
      <c r="K2154">
        <v>1.1099060000000001</v>
      </c>
      <c r="L2154">
        <v>284.2133</v>
      </c>
      <c r="M2154">
        <v>-0.99976810000000005</v>
      </c>
      <c r="N2154">
        <v>0</v>
      </c>
      <c r="O2154">
        <v>1.7603779999999999E-2</v>
      </c>
      <c r="P2154">
        <v>-0.99929089999999998</v>
      </c>
      <c r="Q2154">
        <v>2.1556519999999999E-2</v>
      </c>
      <c r="R2154">
        <v>3.086761E-2</v>
      </c>
      <c r="S2154">
        <v>-3.0018009999999999</v>
      </c>
      <c r="T2154">
        <v>-8.1234689999999998E-2</v>
      </c>
      <c r="U2154">
        <v>6.7413329999999994E-2</v>
      </c>
      <c r="V2154">
        <v>1.327747E-2</v>
      </c>
      <c r="W2154">
        <v>3.3956500000000001E-2</v>
      </c>
      <c r="X2154">
        <v>0.99933510000000003</v>
      </c>
      <c r="Y2154">
        <v>4.8524670000000001E-3</v>
      </c>
      <c r="Z2154">
        <v>-4.1060229999999998E-4</v>
      </c>
      <c r="AA2154">
        <v>0.99998810000000005</v>
      </c>
      <c r="AB2154">
        <v>29</v>
      </c>
      <c r="AC2154">
        <v>-40.847999999999999</v>
      </c>
      <c r="AD2154">
        <v>-1.1099030169239901</v>
      </c>
      <c r="AE2154">
        <v>0.91809999999998104</v>
      </c>
      <c r="AF2154">
        <v>0.198676575177262</v>
      </c>
      <c r="AG2154">
        <v>-1.1099030169239901</v>
      </c>
      <c r="AH2154">
        <v>40.827704983625601</v>
      </c>
      <c r="AI2154">
        <v>91.557186414295202</v>
      </c>
      <c r="AJ2154">
        <v>89.721188359746193</v>
      </c>
      <c r="AK2154">
        <v>40.843271799875097</v>
      </c>
      <c r="AL2154">
        <v>88.054061759826396</v>
      </c>
      <c r="AM2154">
        <v>89.238795640476894</v>
      </c>
      <c r="AN2154">
        <v>0.99999998859692996</v>
      </c>
    </row>
    <row r="2155" spans="1:40" x14ac:dyDescent="0.25">
      <c r="A2155" t="str">
        <f>"20190312160337152"</f>
        <v>20190312160337152</v>
      </c>
      <c r="B2155" t="str">
        <f>"1552377817146908"</f>
        <v>1552377817146908</v>
      </c>
      <c r="C2155" t="s">
        <v>40</v>
      </c>
      <c r="D2155">
        <v>4.7194450000000003</v>
      </c>
      <c r="E2155">
        <v>0.49715900000000002</v>
      </c>
      <c r="F2155" t="s">
        <v>70</v>
      </c>
      <c r="G2155">
        <v>-379.3587</v>
      </c>
      <c r="H2155" s="1">
        <v>3.4434680000000001E-6</v>
      </c>
      <c r="I2155">
        <v>285.11189999999999</v>
      </c>
      <c r="J2155">
        <v>-337.78879999999998</v>
      </c>
      <c r="K2155">
        <v>1.1099060000000001</v>
      </c>
      <c r="L2155">
        <v>284.21589999999998</v>
      </c>
      <c r="M2155">
        <v>-0.99976719999999997</v>
      </c>
      <c r="N2155">
        <v>0</v>
      </c>
      <c r="O2155">
        <v>1.764889E-2</v>
      </c>
      <c r="P2155">
        <v>-0.99928620000000001</v>
      </c>
      <c r="Q2155">
        <v>2.1538970000000001E-2</v>
      </c>
      <c r="R2155">
        <v>3.1035179999999999E-2</v>
      </c>
      <c r="S2155">
        <v>-3.0018310000000001</v>
      </c>
      <c r="T2155">
        <v>-7.9872609999999997E-2</v>
      </c>
      <c r="U2155">
        <v>6.4666749999999995E-2</v>
      </c>
      <c r="V2155">
        <v>1.340016E-2</v>
      </c>
      <c r="W2155">
        <v>3.3938870000000003E-2</v>
      </c>
      <c r="X2155">
        <v>0.9993341</v>
      </c>
      <c r="Y2155">
        <v>3.8927900000000001E-3</v>
      </c>
      <c r="Z2155">
        <v>-4.176847E-4</v>
      </c>
      <c r="AA2155">
        <v>0.99999229999999995</v>
      </c>
      <c r="AB2155">
        <v>29</v>
      </c>
      <c r="AC2155">
        <v>-41.569899999999997</v>
      </c>
      <c r="AD2155">
        <v>-1.109902556532</v>
      </c>
      <c r="AE2155">
        <v>0.89600000000001501</v>
      </c>
      <c r="AF2155">
        <v>0.16202585910424</v>
      </c>
      <c r="AG2155">
        <v>-1.109902556532</v>
      </c>
      <c r="AH2155">
        <v>41.549633127927301</v>
      </c>
      <c r="AI2155">
        <v>91.530148999369302</v>
      </c>
      <c r="AJ2155">
        <v>89.776572014150801</v>
      </c>
      <c r="AK2155">
        <v>41.564770529011298</v>
      </c>
      <c r="AL2155">
        <v>88.055072542302199</v>
      </c>
      <c r="AM2155">
        <v>89.231761828549296</v>
      </c>
      <c r="AN2155">
        <v>1.0000000273038501</v>
      </c>
    </row>
    <row r="2156" spans="1:40" x14ac:dyDescent="0.25">
      <c r="A2156" t="str">
        <f>"20190312160337163"</f>
        <v>20190312160337163</v>
      </c>
      <c r="B2156" t="str">
        <f>"1552377817156668"</f>
        <v>1552377817156668</v>
      </c>
      <c r="C2156" t="s">
        <v>40</v>
      </c>
      <c r="D2156">
        <v>4.7397689999999999</v>
      </c>
      <c r="E2156">
        <v>0.49698009999999898</v>
      </c>
      <c r="F2156" t="s">
        <v>70</v>
      </c>
      <c r="G2156">
        <v>-379.81740000000002</v>
      </c>
      <c r="H2156" s="1">
        <v>3.6875490000000001E-6</v>
      </c>
      <c r="I2156">
        <v>285.10759999999999</v>
      </c>
      <c r="J2156">
        <v>-337.9391</v>
      </c>
      <c r="K2156">
        <v>1.109907</v>
      </c>
      <c r="L2156">
        <v>284.21870000000001</v>
      </c>
      <c r="M2156">
        <v>-0.9997665</v>
      </c>
      <c r="N2156">
        <v>0</v>
      </c>
      <c r="O2156">
        <v>1.769598E-2</v>
      </c>
      <c r="P2156">
        <v>-0.99928099999999997</v>
      </c>
      <c r="Q2156">
        <v>2.174187E-2</v>
      </c>
      <c r="R2156">
        <v>3.10683E-2</v>
      </c>
      <c r="S2156">
        <v>-3.0019230000000001</v>
      </c>
      <c r="T2156">
        <v>-7.9275609999999996E-2</v>
      </c>
      <c r="U2156">
        <v>6.3690189999999994E-2</v>
      </c>
      <c r="V2156">
        <v>1.338635E-2</v>
      </c>
      <c r="W2156">
        <v>3.4141409999999997E-2</v>
      </c>
      <c r="X2156">
        <v>0.99932739999999998</v>
      </c>
      <c r="Y2156">
        <v>3.5199509999999999E-3</v>
      </c>
      <c r="Z2156">
        <v>-4.2071749999999998E-4</v>
      </c>
      <c r="AA2156">
        <v>0.99999369999999999</v>
      </c>
      <c r="AB2156">
        <v>29</v>
      </c>
      <c r="AC2156">
        <v>-41.878300000000003</v>
      </c>
      <c r="AD2156">
        <v>-1.109903312451</v>
      </c>
      <c r="AE2156">
        <v>0.88889999999997804</v>
      </c>
      <c r="AF2156">
        <v>0.14752266025459301</v>
      </c>
      <c r="AG2156">
        <v>-1.109903312451</v>
      </c>
      <c r="AH2156">
        <v>41.858084197891401</v>
      </c>
      <c r="AI2156">
        <v>91.518881823463701</v>
      </c>
      <c r="AJ2156">
        <v>89.798070289614898</v>
      </c>
      <c r="AK2156">
        <v>41.873056504344703</v>
      </c>
      <c r="AL2156">
        <v>88.043461153640095</v>
      </c>
      <c r="AM2156">
        <v>89.232548323581696</v>
      </c>
      <c r="AN2156">
        <v>1.0000000413169301</v>
      </c>
    </row>
    <row r="2157" spans="1:40" x14ac:dyDescent="0.25">
      <c r="A2157" t="str">
        <f>"20190312160337184"</f>
        <v>20190312160337184</v>
      </c>
      <c r="B2157" t="str">
        <f>"1552377817176697"</f>
        <v>1552377817176697</v>
      </c>
      <c r="C2157" t="s">
        <v>40</v>
      </c>
      <c r="D2157">
        <v>4.8230550000000001</v>
      </c>
      <c r="E2157">
        <v>0.4966431</v>
      </c>
      <c r="F2157" t="s">
        <v>70</v>
      </c>
      <c r="G2157">
        <v>-380.62920000000003</v>
      </c>
      <c r="H2157" s="1">
        <v>-1.2019469999999999E-6</v>
      </c>
      <c r="I2157">
        <v>285.10700000000003</v>
      </c>
      <c r="J2157">
        <v>-338.19920000000002</v>
      </c>
      <c r="K2157">
        <v>1.1099139999999901</v>
      </c>
      <c r="L2157">
        <v>284.22329999999999</v>
      </c>
      <c r="M2157">
        <v>-0.99976500000000001</v>
      </c>
      <c r="N2157">
        <v>0</v>
      </c>
      <c r="O2157">
        <v>1.7778530000000001E-2</v>
      </c>
      <c r="P2157">
        <v>-0.99927370000000004</v>
      </c>
      <c r="Q2157">
        <v>2.1765130000000001E-2</v>
      </c>
      <c r="R2157">
        <v>3.127949E-2</v>
      </c>
      <c r="S2157">
        <v>-3.0019230000000001</v>
      </c>
      <c r="T2157">
        <v>-7.804751E-2</v>
      </c>
      <c r="U2157">
        <v>6.2469480000000001E-2</v>
      </c>
      <c r="V2157">
        <v>1.3514979999999999E-2</v>
      </c>
      <c r="W2157">
        <v>3.4164279999999998E-2</v>
      </c>
      <c r="X2157">
        <v>0.99932489999999996</v>
      </c>
      <c r="Y2157">
        <v>3.0309690000000001E-3</v>
      </c>
      <c r="Z2157">
        <v>-4.2270440000000001E-4</v>
      </c>
      <c r="AA2157">
        <v>0.99999530000000003</v>
      </c>
      <c r="AB2157">
        <v>29</v>
      </c>
      <c r="AC2157">
        <v>-42.43</v>
      </c>
      <c r="AD2157">
        <v>-1.10991520194699</v>
      </c>
      <c r="AE2157">
        <v>0.88370000000003202</v>
      </c>
      <c r="AF2157">
        <v>0.12907095744399499</v>
      </c>
      <c r="AG2157">
        <v>-1.10991520194699</v>
      </c>
      <c r="AH2157">
        <v>42.409997269311297</v>
      </c>
      <c r="AI2157">
        <v>91.499142973798598</v>
      </c>
      <c r="AJ2157">
        <v>89.825626060759205</v>
      </c>
      <c r="AK2157">
        <v>42.424714960156898</v>
      </c>
      <c r="AL2157">
        <v>88.042150059641699</v>
      </c>
      <c r="AM2157">
        <v>89.225172804796301</v>
      </c>
      <c r="AN2157">
        <v>1.00000005423616</v>
      </c>
    </row>
    <row r="2158" spans="1:40" x14ac:dyDescent="0.25">
      <c r="A2158" t="str">
        <f>"20190312160337196"</f>
        <v>20190312160337196</v>
      </c>
      <c r="B2158" t="str">
        <f>"1552377817186457"</f>
        <v>1552377817186457</v>
      </c>
      <c r="C2158" t="s">
        <v>40</v>
      </c>
      <c r="D2158">
        <v>4.7745699999999998</v>
      </c>
      <c r="E2158">
        <v>0.49647750000000002</v>
      </c>
      <c r="F2158" t="s">
        <v>70</v>
      </c>
      <c r="G2158">
        <v>-381.23680000000002</v>
      </c>
      <c r="H2158" s="1">
        <v>-8.7859530000000004E-7</v>
      </c>
      <c r="I2158">
        <v>285.08960000000002</v>
      </c>
      <c r="J2158">
        <v>-338.35050000000001</v>
      </c>
      <c r="K2158">
        <v>1.1099139999999901</v>
      </c>
      <c r="L2158">
        <v>284.22609999999997</v>
      </c>
      <c r="M2158">
        <v>-0.99976430000000005</v>
      </c>
      <c r="N2158">
        <v>0</v>
      </c>
      <c r="O2158">
        <v>1.7826149999999999E-2</v>
      </c>
      <c r="P2158">
        <v>-0.99927750000000004</v>
      </c>
      <c r="Q2158">
        <v>2.184908E-2</v>
      </c>
      <c r="R2158">
        <v>3.1101960000000001E-2</v>
      </c>
      <c r="S2158">
        <v>-3.0019840000000002</v>
      </c>
      <c r="T2158">
        <v>-7.7419279999999993E-2</v>
      </c>
      <c r="U2158">
        <v>6.0424800000000001E-2</v>
      </c>
      <c r="V2158">
        <v>1.328989E-2</v>
      </c>
      <c r="W2158">
        <v>3.424816E-2</v>
      </c>
      <c r="X2158">
        <v>0.99932500000000002</v>
      </c>
      <c r="Y2158">
        <v>2.3022720000000002E-3</v>
      </c>
      <c r="Z2158">
        <v>-4.2991969999999998E-4</v>
      </c>
      <c r="AA2158">
        <v>0.99999729999999998</v>
      </c>
      <c r="AB2158">
        <v>29</v>
      </c>
      <c r="AC2158">
        <v>-42.886299999999999</v>
      </c>
      <c r="AD2158">
        <v>-1.1099148785952999</v>
      </c>
      <c r="AE2158">
        <v>0.86350000000004401</v>
      </c>
      <c r="AF2158">
        <v>9.8740334563308205E-2</v>
      </c>
      <c r="AG2158">
        <v>-1.1099148785952999</v>
      </c>
      <c r="AH2158">
        <v>42.866178513904302</v>
      </c>
      <c r="AI2158">
        <v>91.483198781716197</v>
      </c>
      <c r="AJ2158">
        <v>89.868021955106201</v>
      </c>
      <c r="AK2158">
        <v>42.880659056004603</v>
      </c>
      <c r="AL2158">
        <v>88.037341182329499</v>
      </c>
      <c r="AM2158">
        <v>89.238075979580898</v>
      </c>
      <c r="AN2158">
        <v>1.0000000066322901</v>
      </c>
    </row>
    <row r="2159" spans="1:40" x14ac:dyDescent="0.25">
      <c r="A2159" t="str">
        <f>"20190312160337207"</f>
        <v>20190312160337207</v>
      </c>
      <c r="B2159" t="str">
        <f>"1552377817196218"</f>
        <v>1552377817196218</v>
      </c>
      <c r="C2159" t="s">
        <v>40</v>
      </c>
      <c r="D2159">
        <v>4.7606900000000003</v>
      </c>
      <c r="E2159">
        <v>0.49631809999999998</v>
      </c>
      <c r="F2159" t="s">
        <v>70</v>
      </c>
      <c r="G2159">
        <v>-381.7998</v>
      </c>
      <c r="H2159" s="1">
        <v>-5.790376E-7</v>
      </c>
      <c r="I2159">
        <v>285.07369999999997</v>
      </c>
      <c r="J2159">
        <v>-338.50330000000002</v>
      </c>
      <c r="K2159">
        <v>1.1099159999999999</v>
      </c>
      <c r="L2159">
        <v>284.22890000000001</v>
      </c>
      <c r="M2159">
        <v>-0.99976330000000002</v>
      </c>
      <c r="N2159">
        <v>0</v>
      </c>
      <c r="O2159">
        <v>1.7874250000000001E-2</v>
      </c>
      <c r="P2159">
        <v>-0.99927160000000004</v>
      </c>
      <c r="Q2159">
        <v>2.180342E-2</v>
      </c>
      <c r="R2159">
        <v>3.1320229999999998E-2</v>
      </c>
      <c r="S2159">
        <v>-3.0019840000000002</v>
      </c>
      <c r="T2159">
        <v>-7.6685790000000004E-2</v>
      </c>
      <c r="U2159">
        <v>5.8563230000000001E-2</v>
      </c>
      <c r="V2159">
        <v>1.346018E-2</v>
      </c>
      <c r="W2159">
        <v>3.4202410000000003E-2</v>
      </c>
      <c r="X2159">
        <v>0.99932430000000005</v>
      </c>
      <c r="Y2159">
        <v>1.6344210000000001E-3</v>
      </c>
      <c r="Z2159">
        <v>-4.3560730000000001E-4</v>
      </c>
      <c r="AA2159">
        <v>0.99999859999999896</v>
      </c>
      <c r="AB2159">
        <v>29</v>
      </c>
      <c r="AC2159">
        <v>-43.296499999999902</v>
      </c>
      <c r="AD2159">
        <v>-1.1099165790376</v>
      </c>
      <c r="AE2159">
        <v>0.84479999999996302</v>
      </c>
      <c r="AF2159">
        <v>7.0666588698104105E-2</v>
      </c>
      <c r="AG2159">
        <v>-1.1099165790376</v>
      </c>
      <c r="AH2159">
        <v>43.276254477103301</v>
      </c>
      <c r="AI2159">
        <v>91.469154703681696</v>
      </c>
      <c r="AJ2159">
        <v>89.906440755207996</v>
      </c>
      <c r="AK2159">
        <v>43.290542964326399</v>
      </c>
      <c r="AL2159">
        <v>88.039964024940005</v>
      </c>
      <c r="AM2159">
        <v>89.228313699129302</v>
      </c>
      <c r="AN2159">
        <v>1.0000000189329601</v>
      </c>
    </row>
    <row r="2160" spans="1:40" x14ac:dyDescent="0.25">
      <c r="A2160" t="str">
        <f>"20190312160337227"</f>
        <v>20190312160337227</v>
      </c>
      <c r="B2160" t="str">
        <f>"1552377817216713"</f>
        <v>1552377817216713</v>
      </c>
      <c r="C2160" t="s">
        <v>40</v>
      </c>
      <c r="D2160">
        <v>4.8159130000000001</v>
      </c>
      <c r="E2160">
        <v>0.49599009999999999</v>
      </c>
      <c r="F2160" t="s">
        <v>70</v>
      </c>
      <c r="G2160">
        <v>-382.17829999999998</v>
      </c>
      <c r="H2160" s="1">
        <v>-3.7762690000000001E-7</v>
      </c>
      <c r="I2160">
        <v>285.07330000000002</v>
      </c>
      <c r="J2160">
        <v>-338.75819999999999</v>
      </c>
      <c r="K2160">
        <v>1.109915</v>
      </c>
      <c r="L2160">
        <v>284.23360000000002</v>
      </c>
      <c r="M2160">
        <v>-0.99976180000000003</v>
      </c>
      <c r="N2160">
        <v>0</v>
      </c>
      <c r="O2160">
        <v>1.7954769999999998E-2</v>
      </c>
      <c r="P2160">
        <v>-0.99926769999999998</v>
      </c>
      <c r="Q2160">
        <v>2.173425E-2</v>
      </c>
      <c r="R2160">
        <v>3.1493699999999999E-2</v>
      </c>
      <c r="S2160">
        <v>-3.0020449999999999</v>
      </c>
      <c r="T2160">
        <v>-7.6291199999999906E-2</v>
      </c>
      <c r="U2160">
        <v>5.8044430000000001E-2</v>
      </c>
      <c r="V2160">
        <v>1.355315E-2</v>
      </c>
      <c r="W2160">
        <v>3.4132830000000003E-2</v>
      </c>
      <c r="X2160">
        <v>0.99932540000000003</v>
      </c>
      <c r="Y2160">
        <v>1.3807839999999999E-3</v>
      </c>
      <c r="Z2160">
        <v>-4.3862630000000001E-4</v>
      </c>
      <c r="AA2160">
        <v>0.99999890000000002</v>
      </c>
      <c r="AB2160">
        <v>29</v>
      </c>
      <c r="AC2160">
        <v>-43.420099999999898</v>
      </c>
      <c r="AD2160">
        <v>-1.1099153776269</v>
      </c>
      <c r="AE2160">
        <v>0.83969999999999301</v>
      </c>
      <c r="AF2160">
        <v>5.9867582099947199E-2</v>
      </c>
      <c r="AG2160">
        <v>-1.1099153776269</v>
      </c>
      <c r="AH2160">
        <v>43.399829303555897</v>
      </c>
      <c r="AI2160">
        <v>91.464972294681104</v>
      </c>
      <c r="AJ2160">
        <v>89.920963799551302</v>
      </c>
      <c r="AK2160">
        <v>43.414060854182601</v>
      </c>
      <c r="AL2160">
        <v>88.043952950443398</v>
      </c>
      <c r="AM2160">
        <v>89.222985137517199</v>
      </c>
      <c r="AN2160">
        <v>0.99999999652194504</v>
      </c>
    </row>
    <row r="2161" spans="1:40" x14ac:dyDescent="0.25">
      <c r="A2161" t="str">
        <f>"20190312160337240"</f>
        <v>20190312160337240</v>
      </c>
      <c r="B2161" t="str">
        <f>"1552377817236233"</f>
        <v>1552377817236233</v>
      </c>
      <c r="C2161" t="s">
        <v>40</v>
      </c>
      <c r="D2161">
        <v>4.7669040000000003</v>
      </c>
      <c r="E2161">
        <v>0.49567410000000001</v>
      </c>
      <c r="F2161" t="s">
        <v>70</v>
      </c>
      <c r="G2161">
        <v>-382.98360000000002</v>
      </c>
      <c r="H2161" s="1">
        <v>5.0962430000000001E-8</v>
      </c>
      <c r="I2161">
        <v>285.05619999999999</v>
      </c>
      <c r="J2161">
        <v>-338.91989999999998</v>
      </c>
      <c r="K2161">
        <v>1.109918</v>
      </c>
      <c r="L2161">
        <v>284.23649999999998</v>
      </c>
      <c r="M2161">
        <v>-0.99976100000000001</v>
      </c>
      <c r="N2161">
        <v>0</v>
      </c>
      <c r="O2161">
        <v>1.8006210000000002E-2</v>
      </c>
      <c r="P2161">
        <v>-0.99926170000000003</v>
      </c>
      <c r="Q2161">
        <v>2.1698019999999998E-2</v>
      </c>
      <c r="R2161">
        <v>3.1705629999999999E-2</v>
      </c>
      <c r="S2161">
        <v>-3.0021360000000001</v>
      </c>
      <c r="T2161">
        <v>-7.5343850000000004E-2</v>
      </c>
      <c r="U2161">
        <v>5.5847170000000002E-2</v>
      </c>
      <c r="V2161">
        <v>1.3713619999999999E-2</v>
      </c>
      <c r="W2161">
        <v>3.4096130000000002E-2</v>
      </c>
      <c r="X2161">
        <v>0.9993244</v>
      </c>
      <c r="Y2161">
        <v>5.9724349999999997E-4</v>
      </c>
      <c r="Z2161">
        <v>-4.4429209999999997E-4</v>
      </c>
      <c r="AA2161">
        <v>0.99999970000000005</v>
      </c>
      <c r="AB2161">
        <v>29</v>
      </c>
      <c r="AC2161">
        <v>-44.063699999999997</v>
      </c>
      <c r="AD2161">
        <v>-1.1099179490375699</v>
      </c>
      <c r="AE2161">
        <v>0.81970000000001098</v>
      </c>
      <c r="AF2161">
        <v>2.606932633385E-2</v>
      </c>
      <c r="AG2161">
        <v>-1.1099179490375699</v>
      </c>
      <c r="AH2161">
        <v>44.043380803055797</v>
      </c>
      <c r="AI2161">
        <v>91.443580052760794</v>
      </c>
      <c r="AJ2161">
        <v>89.9660865680152</v>
      </c>
      <c r="AK2161">
        <v>44.057371574191201</v>
      </c>
      <c r="AL2161">
        <v>88.046056805944801</v>
      </c>
      <c r="AM2161">
        <v>89.213785602594498</v>
      </c>
      <c r="AN2161">
        <v>0.99999993294491796</v>
      </c>
    </row>
    <row r="2162" spans="1:40" x14ac:dyDescent="0.25">
      <c r="A2162" t="str">
        <f>"20190312160337252"</f>
        <v>20190312160337252</v>
      </c>
      <c r="B2162" t="str">
        <f>"1552377817246969"</f>
        <v>1552377817246969</v>
      </c>
      <c r="C2162" t="s">
        <v>40</v>
      </c>
      <c r="D2162">
        <v>4.6339920000000001</v>
      </c>
      <c r="E2162">
        <v>0.4955156</v>
      </c>
      <c r="F2162" t="s">
        <v>70</v>
      </c>
      <c r="G2162">
        <v>-383.76889999999997</v>
      </c>
      <c r="H2162" s="1">
        <v>4.6882840000000002E-7</v>
      </c>
      <c r="I2162">
        <v>285.04480000000001</v>
      </c>
      <c r="J2162">
        <v>-339.07510000000002</v>
      </c>
      <c r="K2162">
        <v>1.109918</v>
      </c>
      <c r="L2162">
        <v>284.23930000000001</v>
      </c>
      <c r="M2162">
        <v>-0.99975999999999998</v>
      </c>
      <c r="N2162">
        <v>0</v>
      </c>
      <c r="O2162">
        <v>1.8055499999999999E-2</v>
      </c>
      <c r="P2162">
        <v>-0.99926289999999995</v>
      </c>
      <c r="Q2162">
        <v>2.1490410000000001E-2</v>
      </c>
      <c r="R2162">
        <v>3.1813279999999999E-2</v>
      </c>
      <c r="S2162">
        <v>-3.0021360000000001</v>
      </c>
      <c r="T2162">
        <v>-7.4296470000000003E-2</v>
      </c>
      <c r="U2162">
        <v>5.4107669999999997E-2</v>
      </c>
      <c r="V2162">
        <v>1.377199E-2</v>
      </c>
      <c r="W2162">
        <v>3.3888830000000002E-2</v>
      </c>
      <c r="X2162">
        <v>0.99933070000000002</v>
      </c>
      <c r="Y2162" s="1">
        <v>-3.1236860000000003E-5</v>
      </c>
      <c r="Z2162">
        <v>-4.4711510000000002E-4</v>
      </c>
      <c r="AA2162">
        <v>0.99999990000000005</v>
      </c>
      <c r="AB2162">
        <v>29</v>
      </c>
      <c r="AC2162">
        <v>-44.693799999999896</v>
      </c>
      <c r="AD2162">
        <v>-1.1099175311716001</v>
      </c>
      <c r="AE2162">
        <v>0.805499999999994</v>
      </c>
      <c r="AF2162">
        <v>-1.6613296176561901E-3</v>
      </c>
      <c r="AG2162">
        <v>-1.1099175311716001</v>
      </c>
      <c r="AH2162">
        <v>44.673515965318998</v>
      </c>
      <c r="AI2162">
        <v>91.423226011756796</v>
      </c>
      <c r="AJ2162">
        <v>90.002130729434896</v>
      </c>
      <c r="AK2162">
        <v>44.687301869654497</v>
      </c>
      <c r="AL2162">
        <v>88.057941189565398</v>
      </c>
      <c r="AM2162">
        <v>89.210444596696306</v>
      </c>
      <c r="AN2162">
        <v>0.99999998423490899</v>
      </c>
    </row>
    <row r="2163" spans="1:40" x14ac:dyDescent="0.25">
      <c r="A2163" t="str">
        <f>"20190312160337264"</f>
        <v>20190312160337264</v>
      </c>
      <c r="B2163" t="str">
        <f>"1552377817256731"</f>
        <v>1552377817256731</v>
      </c>
      <c r="C2163" t="s">
        <v>40</v>
      </c>
      <c r="D2163">
        <v>4.6469959999999997</v>
      </c>
      <c r="E2163">
        <v>0.49535200000000001</v>
      </c>
      <c r="F2163" t="s">
        <v>70</v>
      </c>
      <c r="G2163">
        <v>-383.95749999999998</v>
      </c>
      <c r="H2163" s="1">
        <v>5.6921049999999996E-7</v>
      </c>
      <c r="I2163">
        <v>285.03140000000002</v>
      </c>
      <c r="J2163">
        <v>-339.23140000000001</v>
      </c>
      <c r="K2163">
        <v>1.1099159999999999</v>
      </c>
      <c r="L2163">
        <v>284.24220000000003</v>
      </c>
      <c r="M2163">
        <v>-0.99975930000000002</v>
      </c>
      <c r="N2163">
        <v>0</v>
      </c>
      <c r="O2163">
        <v>1.8104439999999999E-2</v>
      </c>
      <c r="P2163">
        <v>-0.99924550000000001</v>
      </c>
      <c r="Q2163">
        <v>2.160109E-2</v>
      </c>
      <c r="R2163">
        <v>3.2283310000000003E-2</v>
      </c>
      <c r="S2163">
        <v>-3.002167</v>
      </c>
      <c r="T2163">
        <v>-7.4242000000000002E-2</v>
      </c>
      <c r="U2163">
        <v>5.2978520000000001E-2</v>
      </c>
      <c r="V2163">
        <v>1.4193259999999999E-2</v>
      </c>
      <c r="W2163">
        <v>3.399891E-2</v>
      </c>
      <c r="X2163">
        <v>0.99932109999999996</v>
      </c>
      <c r="Y2163">
        <v>-4.5622049999999997E-4</v>
      </c>
      <c r="Z2163">
        <v>-4.5324789999999997E-4</v>
      </c>
      <c r="AA2163">
        <v>0.99999979999999999</v>
      </c>
      <c r="AB2163">
        <v>29</v>
      </c>
      <c r="AC2163">
        <v>-44.726099999999903</v>
      </c>
      <c r="AD2163">
        <v>-1.1099154307894901</v>
      </c>
      <c r="AE2163">
        <v>0.78919999999999302</v>
      </c>
      <c r="AF2163">
        <v>-2.07197905420657E-2</v>
      </c>
      <c r="AG2163">
        <v>-1.1099154307894901</v>
      </c>
      <c r="AH2163">
        <v>44.705535198316497</v>
      </c>
      <c r="AI2163">
        <v>91.422204238212402</v>
      </c>
      <c r="AJ2163">
        <v>90.026555021882302</v>
      </c>
      <c r="AK2163">
        <v>44.719315948940299</v>
      </c>
      <c r="AL2163">
        <v>88.051630498665503</v>
      </c>
      <c r="AM2163">
        <v>89.186288350174195</v>
      </c>
      <c r="AN2163">
        <v>1.00000001770791</v>
      </c>
    </row>
    <row r="2164" spans="1:40" x14ac:dyDescent="0.25">
      <c r="A2164" t="str">
        <f>"20190312160337274"</f>
        <v>20190312160337274</v>
      </c>
      <c r="B2164" t="str">
        <f>"1552377817266995"</f>
        <v>1552377817266995</v>
      </c>
      <c r="C2164" t="s">
        <v>40</v>
      </c>
      <c r="D2164">
        <v>4.7646600000000001</v>
      </c>
      <c r="E2164">
        <v>0.49519619999999998</v>
      </c>
      <c r="F2164" t="s">
        <v>70</v>
      </c>
      <c r="G2164">
        <v>-384.68490000000003</v>
      </c>
      <c r="H2164" s="1">
        <v>9.5628150000000008E-7</v>
      </c>
      <c r="I2164">
        <v>285.05130000000003</v>
      </c>
      <c r="J2164">
        <v>-339.36579999999998</v>
      </c>
      <c r="K2164">
        <v>1.109912</v>
      </c>
      <c r="L2164">
        <v>284.24470000000002</v>
      </c>
      <c r="M2164">
        <v>-0.99975840000000005</v>
      </c>
      <c r="N2164">
        <v>0</v>
      </c>
      <c r="O2164">
        <v>1.8146880000000001E-2</v>
      </c>
      <c r="P2164">
        <v>-0.99923810000000002</v>
      </c>
      <c r="Q2164">
        <v>2.138191E-2</v>
      </c>
      <c r="R2164">
        <v>3.265038E-2</v>
      </c>
      <c r="S2164">
        <v>-3.0021360000000001</v>
      </c>
      <c r="T2164">
        <v>-7.3308230000000002E-2</v>
      </c>
      <c r="U2164">
        <v>5.3436280000000003E-2</v>
      </c>
      <c r="V2164">
        <v>1.451786E-2</v>
      </c>
      <c r="W2164">
        <v>3.3779700000000003E-2</v>
      </c>
      <c r="X2164">
        <v>0.99932379999999998</v>
      </c>
      <c r="Y2164">
        <v>-3.4621890000000001E-4</v>
      </c>
      <c r="Z2164">
        <v>-4.4724599999999999E-4</v>
      </c>
      <c r="AA2164">
        <v>0.99999979999999999</v>
      </c>
      <c r="AB2164">
        <v>29</v>
      </c>
      <c r="AC2164">
        <v>-45.319099999999999</v>
      </c>
      <c r="AD2164">
        <v>-1.1099110437185</v>
      </c>
      <c r="AE2164">
        <v>0.80660000000000298</v>
      </c>
      <c r="AF2164">
        <v>-1.5986788394543702E-2</v>
      </c>
      <c r="AG2164">
        <v>-1.1099110437185</v>
      </c>
      <c r="AH2164">
        <v>45.299112375333898</v>
      </c>
      <c r="AI2164">
        <v>91.403570398813201</v>
      </c>
      <c r="AJ2164">
        <v>90.020220605149106</v>
      </c>
      <c r="AK2164">
        <v>45.312710579874803</v>
      </c>
      <c r="AL2164">
        <v>88.064197387609298</v>
      </c>
      <c r="AM2164">
        <v>89.167683593652299</v>
      </c>
      <c r="AN2164">
        <v>0.99999994681875304</v>
      </c>
    </row>
    <row r="2165" spans="1:40" x14ac:dyDescent="0.25">
      <c r="A2165" t="str">
        <f>"20190312160337285"</f>
        <v>20190312160337285</v>
      </c>
      <c r="B2165" t="str">
        <f>"1552377817276755"</f>
        <v>1552377817276755</v>
      </c>
      <c r="C2165" t="s">
        <v>40</v>
      </c>
      <c r="D2165">
        <v>4.7074480000000003</v>
      </c>
      <c r="E2165">
        <v>0.49503829999999999</v>
      </c>
      <c r="F2165" t="s">
        <v>70</v>
      </c>
      <c r="G2165">
        <v>-384.798</v>
      </c>
      <c r="H2165" s="1">
        <v>1.016465E-6</v>
      </c>
      <c r="I2165">
        <v>285.04880000000003</v>
      </c>
      <c r="J2165">
        <v>-339.51350000000002</v>
      </c>
      <c r="K2165">
        <v>1.109912</v>
      </c>
      <c r="L2165">
        <v>284.24740000000003</v>
      </c>
      <c r="M2165">
        <v>-0.99975749999999997</v>
      </c>
      <c r="N2165">
        <v>0</v>
      </c>
      <c r="O2165">
        <v>1.819349E-2</v>
      </c>
      <c r="P2165">
        <v>-0.99923740000000005</v>
      </c>
      <c r="Q2165">
        <v>2.1197270000000001E-2</v>
      </c>
      <c r="R2165">
        <v>3.2796400000000003E-2</v>
      </c>
      <c r="S2165">
        <v>-3.0021360000000001</v>
      </c>
      <c r="T2165">
        <v>-7.3342439999999995E-2</v>
      </c>
      <c r="U2165">
        <v>5.3131100000000001E-2</v>
      </c>
      <c r="V2165">
        <v>1.4617379999999999E-2</v>
      </c>
      <c r="W2165">
        <v>3.3595260000000002E-2</v>
      </c>
      <c r="X2165">
        <v>0.99932860000000001</v>
      </c>
      <c r="Y2165">
        <v>-4.9440140000000003E-4</v>
      </c>
      <c r="Z2165">
        <v>-4.5040310000000002E-4</v>
      </c>
      <c r="AA2165">
        <v>0.99999979999999999</v>
      </c>
      <c r="AB2165">
        <v>29</v>
      </c>
      <c r="AC2165">
        <v>-45.284499999999902</v>
      </c>
      <c r="AD2165">
        <v>-1.1099109835349901</v>
      </c>
      <c r="AE2165">
        <v>0.801400000000001</v>
      </c>
      <c r="AF2165">
        <v>-2.2665571509914301E-2</v>
      </c>
      <c r="AG2165">
        <v>-1.1099109835349901</v>
      </c>
      <c r="AH2165">
        <v>45.264401921811398</v>
      </c>
      <c r="AI2165">
        <v>91.404646113860196</v>
      </c>
      <c r="AJ2165">
        <v>90.028690127872906</v>
      </c>
      <c r="AK2165">
        <v>45.2780134000906</v>
      </c>
      <c r="AL2165">
        <v>88.074771087162603</v>
      </c>
      <c r="AM2165">
        <v>89.161982896226704</v>
      </c>
      <c r="AN2165">
        <v>0.99999998003524504</v>
      </c>
    </row>
    <row r="2166" spans="1:40" x14ac:dyDescent="0.25">
      <c r="A2166" t="str">
        <f>"20190312160337299"</f>
        <v>20190312160337299</v>
      </c>
      <c r="B2166" t="str">
        <f>"1552377817286515"</f>
        <v>1552377817286515</v>
      </c>
      <c r="C2166" t="s">
        <v>40</v>
      </c>
      <c r="D2166">
        <v>4.6633990000000001</v>
      </c>
      <c r="E2166">
        <v>0.49489050000000001</v>
      </c>
      <c r="F2166" t="s">
        <v>70</v>
      </c>
      <c r="G2166">
        <v>-385.04259999999999</v>
      </c>
      <c r="H2166" s="1">
        <v>1.1466439999999999E-6</v>
      </c>
      <c r="I2166">
        <v>285.0403</v>
      </c>
      <c r="J2166">
        <v>-339.67829999999998</v>
      </c>
      <c r="K2166">
        <v>1.109912</v>
      </c>
      <c r="L2166">
        <v>284.25049999999999</v>
      </c>
      <c r="M2166">
        <v>-0.99975650000000005</v>
      </c>
      <c r="N2166">
        <v>0</v>
      </c>
      <c r="O2166">
        <v>1.8245580000000001E-2</v>
      </c>
      <c r="P2166">
        <v>-0.99922929999999999</v>
      </c>
      <c r="Q2166">
        <v>2.1101620000000001E-2</v>
      </c>
      <c r="R2166">
        <v>3.310271E-2</v>
      </c>
      <c r="S2166">
        <v>-3.0021360000000001</v>
      </c>
      <c r="T2166">
        <v>-7.318616E-2</v>
      </c>
      <c r="U2166">
        <v>5.2276610000000001E-2</v>
      </c>
      <c r="V2166">
        <v>1.487172E-2</v>
      </c>
      <c r="W2166">
        <v>3.3499470000000003E-2</v>
      </c>
      <c r="X2166">
        <v>0.99932810000000005</v>
      </c>
      <c r="Y2166">
        <v>-8.3094979999999896E-4</v>
      </c>
      <c r="Z2166">
        <v>-4.548156E-4</v>
      </c>
      <c r="AA2166">
        <v>0.99999950000000004</v>
      </c>
      <c r="AB2166">
        <v>29</v>
      </c>
      <c r="AC2166">
        <v>-45.3643</v>
      </c>
      <c r="AD2166">
        <v>-1.109910853356</v>
      </c>
      <c r="AE2166">
        <v>0.78980000000001305</v>
      </c>
      <c r="AF2166">
        <v>-3.8070432501903603E-2</v>
      </c>
      <c r="AG2166">
        <v>-1.109910853356</v>
      </c>
      <c r="AH2166">
        <v>45.344023364052497</v>
      </c>
      <c r="AI2166">
        <v>91.402180140635494</v>
      </c>
      <c r="AJ2166">
        <v>90.048105007721603</v>
      </c>
      <c r="AK2166">
        <v>45.357621259276499</v>
      </c>
      <c r="AL2166">
        <v>88.080262611960507</v>
      </c>
      <c r="AM2166">
        <v>89.147403244408807</v>
      </c>
      <c r="AN2166">
        <v>1.00000001699782</v>
      </c>
    </row>
    <row r="2167" spans="1:40" x14ac:dyDescent="0.25">
      <c r="A2167" t="str">
        <f>"20190312160337318"</f>
        <v>20190312160337318</v>
      </c>
      <c r="B2167" t="str">
        <f>"1552377817307012"</f>
        <v>1552377817307012</v>
      </c>
      <c r="C2167" t="s">
        <v>40</v>
      </c>
      <c r="D2167">
        <v>4.7133770000000004</v>
      </c>
      <c r="E2167">
        <v>0.49477169999999998</v>
      </c>
      <c r="F2167" t="s">
        <v>70</v>
      </c>
      <c r="G2167">
        <v>-385.39429999999999</v>
      </c>
      <c r="H2167" s="1">
        <v>1.3338189999999999E-6</v>
      </c>
      <c r="I2167">
        <v>285.04379999999998</v>
      </c>
      <c r="J2167">
        <v>-339.91750000000002</v>
      </c>
      <c r="K2167">
        <v>1.109912</v>
      </c>
      <c r="L2167">
        <v>284.255</v>
      </c>
      <c r="M2167">
        <v>-0.99975530000000001</v>
      </c>
      <c r="N2167">
        <v>0</v>
      </c>
      <c r="O2167">
        <v>1.8320909999999999E-2</v>
      </c>
      <c r="P2167">
        <v>-0.99921919999999997</v>
      </c>
      <c r="Q2167">
        <v>2.170702E-2</v>
      </c>
      <c r="R2167">
        <v>3.3016690000000001E-2</v>
      </c>
      <c r="S2167">
        <v>-3.002167</v>
      </c>
      <c r="T2167">
        <v>-7.2887660000000007E-2</v>
      </c>
      <c r="U2167">
        <v>5.2093510000000003E-2</v>
      </c>
      <c r="V2167">
        <v>1.4710549999999999E-2</v>
      </c>
      <c r="W2167">
        <v>3.4104710000000003E-2</v>
      </c>
      <c r="X2167">
        <v>0.99931000000000003</v>
      </c>
      <c r="Y2167">
        <v>-9.674366E-4</v>
      </c>
      <c r="Z2167">
        <v>-4.564417E-4</v>
      </c>
      <c r="AA2167">
        <v>0.99999939999999998</v>
      </c>
      <c r="AB2167">
        <v>29</v>
      </c>
      <c r="AC2167">
        <v>-45.476799999999898</v>
      </c>
      <c r="AD2167">
        <v>-1.1099106661810001</v>
      </c>
      <c r="AE2167">
        <v>0.78879999999997996</v>
      </c>
      <c r="AF2167">
        <v>-4.4546278129346403E-2</v>
      </c>
      <c r="AG2167">
        <v>-1.1099106661810001</v>
      </c>
      <c r="AH2167">
        <v>45.456550186962197</v>
      </c>
      <c r="AI2167">
        <v>91.398710036692194</v>
      </c>
      <c r="AJ2167">
        <v>90.056148407705606</v>
      </c>
      <c r="AK2167">
        <v>45.470120309469301</v>
      </c>
      <c r="AL2167">
        <v>88.045565060609903</v>
      </c>
      <c r="AM2167">
        <v>89.156626516887997</v>
      </c>
      <c r="AN2167">
        <v>1.0000000038127399</v>
      </c>
    </row>
    <row r="2168" spans="1:40" x14ac:dyDescent="0.25">
      <c r="A2168" t="str">
        <f>"20190312160337570"</f>
        <v>20190312160337570</v>
      </c>
      <c r="B2168" t="str">
        <f>"1552377817566627"</f>
        <v>1552377817566627</v>
      </c>
      <c r="C2168" t="s">
        <v>40</v>
      </c>
      <c r="D2168">
        <v>5.4688829999999999</v>
      </c>
      <c r="E2168">
        <v>0.4824541</v>
      </c>
      <c r="F2168" t="s">
        <v>70</v>
      </c>
      <c r="G2168">
        <v>-387.23829999999998</v>
      </c>
      <c r="H2168" s="1">
        <v>2.315066E-6</v>
      </c>
      <c r="I2168">
        <v>285.06119999999999</v>
      </c>
      <c r="J2168">
        <v>-343.14980000000003</v>
      </c>
      <c r="K2168">
        <v>1.109899</v>
      </c>
      <c r="L2168">
        <v>284.31689999999998</v>
      </c>
      <c r="M2168">
        <v>-0.99973599999999996</v>
      </c>
      <c r="N2168">
        <v>0</v>
      </c>
      <c r="O2168">
        <v>1.9340889999999999E-2</v>
      </c>
      <c r="P2168">
        <v>-0.99926579999999998</v>
      </c>
      <c r="Q2168">
        <v>1.894829E-2</v>
      </c>
      <c r="R2168">
        <v>3.3299049999999997E-2</v>
      </c>
      <c r="S2168">
        <v>-3.0022280000000001</v>
      </c>
      <c r="T2168">
        <v>-7.0417279999999999E-2</v>
      </c>
      <c r="U2168">
        <v>5.1147459999999999E-2</v>
      </c>
      <c r="V2168">
        <v>1.3971519999999999E-2</v>
      </c>
      <c r="W2168">
        <v>3.1345779999999997E-2</v>
      </c>
      <c r="X2168">
        <v>0.99941089999999999</v>
      </c>
      <c r="Y2168">
        <v>-2.3027809999999998E-3</v>
      </c>
      <c r="Z2168">
        <v>-4.8054089999999999E-4</v>
      </c>
      <c r="AA2168">
        <v>0.99999729999999998</v>
      </c>
      <c r="AB2168">
        <v>29</v>
      </c>
      <c r="AC2168">
        <v>-44.088499999999897</v>
      </c>
      <c r="AD2168">
        <v>-1.109896684934</v>
      </c>
      <c r="AE2168">
        <v>0.74430000000000895</v>
      </c>
      <c r="AF2168">
        <v>-0.108546908658366</v>
      </c>
      <c r="AG2168">
        <v>-1.109896684934</v>
      </c>
      <c r="AH2168">
        <v>44.066729291355998</v>
      </c>
      <c r="AI2168">
        <v>91.442783751299501</v>
      </c>
      <c r="AJ2168">
        <v>90.1411329423984</v>
      </c>
      <c r="AK2168">
        <v>44.080838053742397</v>
      </c>
      <c r="AL2168">
        <v>88.203724778771004</v>
      </c>
      <c r="AM2168">
        <v>89.199071186122794</v>
      </c>
      <c r="AN2168">
        <v>0.99999995416686305</v>
      </c>
    </row>
    <row r="2169" spans="1:40" x14ac:dyDescent="0.25">
      <c r="A2169" t="str">
        <f>"20190312160337581"</f>
        <v>20190312160337581</v>
      </c>
      <c r="B2169" t="str">
        <f>"1552377817576387"</f>
        <v>1552377817576387</v>
      </c>
      <c r="C2169" t="s">
        <v>40</v>
      </c>
      <c r="D2169">
        <v>4.7570370000000004</v>
      </c>
      <c r="E2169">
        <v>0.54336079999999998</v>
      </c>
      <c r="F2169" t="s">
        <v>45</v>
      </c>
      <c r="G2169">
        <v>0</v>
      </c>
      <c r="H2169">
        <v>0</v>
      </c>
      <c r="I2169">
        <v>0</v>
      </c>
      <c r="J2169">
        <v>-343.29849999999999</v>
      </c>
      <c r="K2169">
        <v>1.1099060000000001</v>
      </c>
      <c r="L2169">
        <v>284.31990000000002</v>
      </c>
      <c r="M2169">
        <v>-0.99973509999999999</v>
      </c>
      <c r="N2169">
        <v>0</v>
      </c>
      <c r="O2169">
        <v>1.9387919999999999E-2</v>
      </c>
      <c r="P2169">
        <v>-0.99926789999999999</v>
      </c>
      <c r="Q2169">
        <v>1.915265E-2</v>
      </c>
      <c r="R2169">
        <v>3.3127219999999999E-2</v>
      </c>
      <c r="S2169">
        <v>-2.995117</v>
      </c>
      <c r="T2169">
        <v>0.41420050000000003</v>
      </c>
      <c r="U2169">
        <v>-2.319336E-2</v>
      </c>
      <c r="V2169">
        <v>1.375268E-2</v>
      </c>
      <c r="W2169">
        <v>3.1550250000000002E-2</v>
      </c>
      <c r="X2169">
        <v>0.9994075</v>
      </c>
      <c r="Y2169">
        <v>-2.669233E-2</v>
      </c>
      <c r="Z2169">
        <v>4.5054830000000002E-3</v>
      </c>
      <c r="AA2169">
        <v>0.99963360000000001</v>
      </c>
      <c r="AB2169">
        <v>29</v>
      </c>
      <c r="AC2169">
        <v>-2.995117</v>
      </c>
      <c r="AD2169">
        <v>0.41420050000000003</v>
      </c>
      <c r="AE2169">
        <v>-2.319336E-2</v>
      </c>
      <c r="AF2169">
        <v>-7.9737691206165806E-2</v>
      </c>
      <c r="AG2169">
        <v>0.41420050000000003</v>
      </c>
      <c r="AH2169">
        <v>2.9379208756453199</v>
      </c>
      <c r="AI2169">
        <v>81.978004736417105</v>
      </c>
      <c r="AJ2169">
        <v>91.554674911808107</v>
      </c>
      <c r="AK2169">
        <v>2.9680463650609901</v>
      </c>
      <c r="AL2169">
        <v>88.192003710278399</v>
      </c>
      <c r="AM2169">
        <v>89.211612090358599</v>
      </c>
      <c r="AN2169">
        <v>0.99999995276924603</v>
      </c>
    </row>
    <row r="2170" spans="1:40" x14ac:dyDescent="0.25">
      <c r="A2170" t="str">
        <f>"20190312160337595"</f>
        <v>20190312160337595</v>
      </c>
      <c r="B2170" t="str">
        <f>"1552377817587122"</f>
        <v>1552377817587122</v>
      </c>
      <c r="C2170" t="s">
        <v>40</v>
      </c>
      <c r="D2170">
        <v>4.7350649999999996</v>
      </c>
      <c r="E2170">
        <v>0.54336079999999998</v>
      </c>
      <c r="F2170" t="s">
        <v>77</v>
      </c>
      <c r="G2170">
        <v>-511.83879999999999</v>
      </c>
      <c r="H2170">
        <v>56.129379999999998</v>
      </c>
      <c r="I2170">
        <v>312.04739999999998</v>
      </c>
      <c r="J2170">
        <v>-343.48939999999999</v>
      </c>
      <c r="K2170">
        <v>1.1099079999999999</v>
      </c>
      <c r="L2170">
        <v>284.3236</v>
      </c>
      <c r="M2170">
        <v>-0.99973400000000001</v>
      </c>
      <c r="N2170">
        <v>0</v>
      </c>
      <c r="O2170">
        <v>1.944835E-2</v>
      </c>
      <c r="P2170">
        <v>-0.99926380000000004</v>
      </c>
      <c r="Q2170">
        <v>1.9857820000000002E-2</v>
      </c>
      <c r="R2170">
        <v>3.28308E-2</v>
      </c>
      <c r="S2170">
        <v>-2.967438</v>
      </c>
      <c r="T2170">
        <v>0.9687114</v>
      </c>
      <c r="U2170">
        <v>0.4881897</v>
      </c>
      <c r="V2170">
        <v>1.3396E-2</v>
      </c>
      <c r="W2170">
        <v>3.225513E-2</v>
      </c>
      <c r="X2170">
        <v>0.99938990000000005</v>
      </c>
      <c r="Y2170">
        <v>0.13715959999999999</v>
      </c>
      <c r="Z2170">
        <v>-1.553826E-2</v>
      </c>
      <c r="AA2170">
        <v>0.9904271</v>
      </c>
      <c r="AB2170">
        <v>29</v>
      </c>
      <c r="AC2170">
        <v>-168.3494</v>
      </c>
      <c r="AD2170">
        <v>55.019472</v>
      </c>
      <c r="AE2170">
        <v>27.723799999999901</v>
      </c>
      <c r="AF2170">
        <v>22.141687136384199</v>
      </c>
      <c r="AG2170">
        <v>55.019472</v>
      </c>
      <c r="AH2170">
        <v>152.95146068109</v>
      </c>
      <c r="AI2170">
        <v>70.403886200657794</v>
      </c>
      <c r="AJ2170">
        <v>81.762921930487593</v>
      </c>
      <c r="AK2170">
        <v>164.047389290057</v>
      </c>
      <c r="AL2170">
        <v>88.151596594757095</v>
      </c>
      <c r="AM2170">
        <v>89.232043170360896</v>
      </c>
      <c r="AN2170">
        <v>1.0000000092246599</v>
      </c>
    </row>
    <row r="2171" spans="1:40" x14ac:dyDescent="0.25">
      <c r="A2171" t="str">
        <f>"20190312160337606"</f>
        <v>20190312160337606</v>
      </c>
      <c r="B2171" t="str">
        <f>"1552377817596883"</f>
        <v>1552377817596883</v>
      </c>
      <c r="C2171" t="s">
        <v>40</v>
      </c>
      <c r="D2171">
        <v>4.7390980000000003</v>
      </c>
      <c r="E2171">
        <v>0.52432489999999998</v>
      </c>
      <c r="F2171" t="s">
        <v>77</v>
      </c>
      <c r="G2171">
        <v>-511.83879999999999</v>
      </c>
      <c r="H2171">
        <v>56.203710000000001</v>
      </c>
      <c r="I2171">
        <v>311.93970000000002</v>
      </c>
      <c r="J2171">
        <v>-343.62959999999998</v>
      </c>
      <c r="K2171">
        <v>1.1099139999999901</v>
      </c>
      <c r="L2171">
        <v>284.32639999999998</v>
      </c>
      <c r="M2171">
        <v>-0.99973310000000004</v>
      </c>
      <c r="N2171">
        <v>0</v>
      </c>
      <c r="O2171">
        <v>1.9492639999999999E-2</v>
      </c>
      <c r="P2171">
        <v>-0.9992683</v>
      </c>
      <c r="Q2171">
        <v>1.997357E-2</v>
      </c>
      <c r="R2171">
        <v>3.2624229999999997E-2</v>
      </c>
      <c r="S2171">
        <v>-2.9669189999999999</v>
      </c>
      <c r="T2171">
        <v>0.97095019999999999</v>
      </c>
      <c r="U2171">
        <v>0.48669430000000002</v>
      </c>
      <c r="V2171">
        <v>1.314536E-2</v>
      </c>
      <c r="W2171">
        <v>3.2370459999999997E-2</v>
      </c>
      <c r="X2171">
        <v>0.99938950000000004</v>
      </c>
      <c r="Y2171">
        <v>0.13665579999999999</v>
      </c>
      <c r="Z2171">
        <v>-1.5481689999999999E-2</v>
      </c>
      <c r="AA2171">
        <v>0.99049759999999998</v>
      </c>
      <c r="AB2171">
        <v>29</v>
      </c>
      <c r="AC2171">
        <v>-168.20920000000001</v>
      </c>
      <c r="AD2171">
        <v>55.093795999999998</v>
      </c>
      <c r="AE2171">
        <v>27.613299999999999</v>
      </c>
      <c r="AF2171">
        <v>22.0278881090825</v>
      </c>
      <c r="AG2171">
        <v>55.093795999999998</v>
      </c>
      <c r="AH2171">
        <v>152.75815350242601</v>
      </c>
      <c r="AI2171">
        <v>70.355063044977996</v>
      </c>
      <c r="AJ2171">
        <v>81.794450954417997</v>
      </c>
      <c r="AK2171">
        <v>163.87680639342099</v>
      </c>
      <c r="AL2171">
        <v>88.144985221466101</v>
      </c>
      <c r="AM2171">
        <v>89.246409716387504</v>
      </c>
      <c r="AN2171">
        <v>1.00000000994019</v>
      </c>
    </row>
    <row r="2172" spans="1:40" x14ac:dyDescent="0.25">
      <c r="A2172" t="str">
        <f>"20190312160337619"</f>
        <v>20190312160337619</v>
      </c>
      <c r="B2172" t="str">
        <f>"1552377817606643"</f>
        <v>1552377817606643</v>
      </c>
      <c r="C2172" t="s">
        <v>40</v>
      </c>
      <c r="D2172">
        <v>4.7333160000000003</v>
      </c>
      <c r="E2172">
        <v>0.51937339999999999</v>
      </c>
      <c r="F2172" t="s">
        <v>77</v>
      </c>
      <c r="G2172">
        <v>-511.82569999999998</v>
      </c>
      <c r="H2172">
        <v>16.70025</v>
      </c>
      <c r="I2172">
        <v>301.3383</v>
      </c>
      <c r="J2172">
        <v>-343.77460000000002</v>
      </c>
      <c r="K2172">
        <v>1.109915</v>
      </c>
      <c r="L2172">
        <v>284.32929999999999</v>
      </c>
      <c r="M2172">
        <v>-0.99973210000000001</v>
      </c>
      <c r="N2172">
        <v>0</v>
      </c>
      <c r="O2172">
        <v>1.9538360000000001E-2</v>
      </c>
      <c r="P2172">
        <v>-0.99926199999999998</v>
      </c>
      <c r="Q2172">
        <v>2.0244209999999999E-2</v>
      </c>
      <c r="R2172">
        <v>3.2646260000000003E-2</v>
      </c>
      <c r="S2172">
        <v>-2.9867859999999999</v>
      </c>
      <c r="T2172">
        <v>0.27685070000000001</v>
      </c>
      <c r="U2172">
        <v>0.30209350000000001</v>
      </c>
      <c r="V2172">
        <v>1.312171E-2</v>
      </c>
      <c r="W2172">
        <v>3.2640679999999998E-2</v>
      </c>
      <c r="X2172">
        <v>0.99938099999999996</v>
      </c>
      <c r="Y2172">
        <v>8.0909739999999994E-2</v>
      </c>
      <c r="Z2172">
        <v>-1.930143E-3</v>
      </c>
      <c r="AA2172">
        <v>0.99671949999999998</v>
      </c>
      <c r="AB2172">
        <v>29</v>
      </c>
      <c r="AC2172">
        <v>-168.051099999999</v>
      </c>
      <c r="AD2172">
        <v>15.590335</v>
      </c>
      <c r="AE2172">
        <v>17.009</v>
      </c>
      <c r="AF2172">
        <v>13.6061426468059</v>
      </c>
      <c r="AG2172">
        <v>15.590335</v>
      </c>
      <c r="AH2172">
        <v>166.92925537866401</v>
      </c>
      <c r="AI2172">
        <v>84.681881099806105</v>
      </c>
      <c r="AJ2172">
        <v>85.340211659075294</v>
      </c>
      <c r="AK2172">
        <v>168.206902249618</v>
      </c>
      <c r="AL2172">
        <v>88.1294945294092</v>
      </c>
      <c r="AM2172">
        <v>89.247758957994094</v>
      </c>
      <c r="AN2172">
        <v>0.99999998821259295</v>
      </c>
    </row>
    <row r="2173" spans="1:40" x14ac:dyDescent="0.25">
      <c r="A2173" t="str">
        <f>"20190312160337642"</f>
        <v>20190312160337642</v>
      </c>
      <c r="B2173" t="str">
        <f>"1552377817636899"</f>
        <v>1552377817636899</v>
      </c>
      <c r="C2173" t="s">
        <v>40</v>
      </c>
      <c r="D2173">
        <v>4.671786</v>
      </c>
      <c r="E2173">
        <v>0.52254520000000004</v>
      </c>
      <c r="F2173" t="s">
        <v>77</v>
      </c>
      <c r="G2173">
        <v>-511.82459999999998</v>
      </c>
      <c r="H2173">
        <v>13.29397</v>
      </c>
      <c r="I2173">
        <v>298.93920000000003</v>
      </c>
      <c r="J2173">
        <v>-344.07799999999997</v>
      </c>
      <c r="K2173">
        <v>1.109918</v>
      </c>
      <c r="L2173">
        <v>284.33530000000002</v>
      </c>
      <c r="M2173">
        <v>-0.99973040000000002</v>
      </c>
      <c r="N2173">
        <v>0</v>
      </c>
      <c r="O2173">
        <v>1.9634019999999999E-2</v>
      </c>
      <c r="P2173">
        <v>-0.99925010000000003</v>
      </c>
      <c r="Q2173">
        <v>2.0571679999999998E-2</v>
      </c>
      <c r="R2173">
        <v>3.2809140000000001E-2</v>
      </c>
      <c r="S2173">
        <v>-2.9893489999999998</v>
      </c>
      <c r="T2173">
        <v>0.21673680000000001</v>
      </c>
      <c r="U2173">
        <v>0.2598877</v>
      </c>
      <c r="V2173">
        <v>1.3189050000000001E-2</v>
      </c>
      <c r="W2173">
        <v>3.2968089999999999E-2</v>
      </c>
      <c r="X2173">
        <v>0.99936939999999996</v>
      </c>
      <c r="Y2173">
        <v>6.6909620000000003E-2</v>
      </c>
      <c r="Z2173">
        <v>-9.9912010000000008E-4</v>
      </c>
      <c r="AA2173">
        <v>0.99775860000000005</v>
      </c>
      <c r="AB2173">
        <v>29</v>
      </c>
      <c r="AC2173">
        <v>-167.74659999999901</v>
      </c>
      <c r="AD2173">
        <v>12.184051999999999</v>
      </c>
      <c r="AE2173">
        <v>14.603899999999999</v>
      </c>
      <c r="AF2173">
        <v>11.248395096261101</v>
      </c>
      <c r="AG2173">
        <v>12.184051999999999</v>
      </c>
      <c r="AH2173">
        <v>167.12594876239999</v>
      </c>
      <c r="AI2173">
        <v>85.839698032422206</v>
      </c>
      <c r="AJ2173">
        <v>86.149520500943098</v>
      </c>
      <c r="AK2173">
        <v>167.94659944492099</v>
      </c>
      <c r="AL2173">
        <v>88.110725279656506</v>
      </c>
      <c r="AM2173">
        <v>89.243890164007993</v>
      </c>
      <c r="AN2173">
        <v>1.00000002182725</v>
      </c>
    </row>
    <row r="2174" spans="1:40" x14ac:dyDescent="0.25">
      <c r="A2174" t="str">
        <f>"20190312160337653"</f>
        <v>20190312160337653</v>
      </c>
      <c r="B2174" t="str">
        <f>"1552377817646659"</f>
        <v>1552377817646659</v>
      </c>
      <c r="C2174" t="s">
        <v>40</v>
      </c>
      <c r="D2174">
        <v>4.7019710000000003</v>
      </c>
      <c r="E2174">
        <v>0.52314280000000002</v>
      </c>
      <c r="F2174" t="s">
        <v>77</v>
      </c>
      <c r="G2174">
        <v>-511.82380000000001</v>
      </c>
      <c r="H2174">
        <v>10.89442</v>
      </c>
      <c r="I2174">
        <v>300.2543</v>
      </c>
      <c r="J2174">
        <v>-344.221</v>
      </c>
      <c r="K2174">
        <v>1.1099190000000001</v>
      </c>
      <c r="L2174">
        <v>284.33819999999997</v>
      </c>
      <c r="M2174">
        <v>-0.99972950000000005</v>
      </c>
      <c r="N2174">
        <v>0</v>
      </c>
      <c r="O2174">
        <v>1.9679260000000001E-2</v>
      </c>
      <c r="P2174">
        <v>-0.99923850000000003</v>
      </c>
      <c r="Q2174">
        <v>2.0640390000000002E-2</v>
      </c>
      <c r="R2174">
        <v>3.3116109999999997E-2</v>
      </c>
      <c r="S2174">
        <v>-2.9893800000000001</v>
      </c>
      <c r="T2174">
        <v>0.17436989999999999</v>
      </c>
      <c r="U2174">
        <v>0.28369139999999998</v>
      </c>
      <c r="V2174">
        <v>1.3451060000000001E-2</v>
      </c>
      <c r="W2174">
        <v>3.3036250000000003E-2</v>
      </c>
      <c r="X2174">
        <v>0.99936369999999997</v>
      </c>
      <c r="Y2174">
        <v>7.4771489999999996E-2</v>
      </c>
      <c r="Z2174">
        <v>-1.0298659999999999E-3</v>
      </c>
      <c r="AA2174">
        <v>0.99720019999999998</v>
      </c>
      <c r="AB2174">
        <v>29</v>
      </c>
      <c r="AC2174">
        <v>-167.6028</v>
      </c>
      <c r="AD2174">
        <v>9.7845009999999899</v>
      </c>
      <c r="AE2174">
        <v>15.9161</v>
      </c>
      <c r="AF2174">
        <v>12.5720008410142</v>
      </c>
      <c r="AG2174">
        <v>9.7845009999999899</v>
      </c>
      <c r="AH2174">
        <v>167.31843421256099</v>
      </c>
      <c r="AI2174">
        <v>86.662636887801099</v>
      </c>
      <c r="AJ2174">
        <v>85.702974514522793</v>
      </c>
      <c r="AK2174">
        <v>168.07513228407299</v>
      </c>
      <c r="AL2174">
        <v>88.106817952452005</v>
      </c>
      <c r="AM2174">
        <v>89.228866894689801</v>
      </c>
      <c r="AN2174">
        <v>1.00000006485343</v>
      </c>
    </row>
    <row r="2175" spans="1:40" x14ac:dyDescent="0.25">
      <c r="A2175" t="str">
        <f>"20190312160337664"</f>
        <v>20190312160337664</v>
      </c>
      <c r="B2175" t="str">
        <f>"1552377817656419"</f>
        <v>1552377817656419</v>
      </c>
      <c r="C2175" t="s">
        <v>40</v>
      </c>
      <c r="D2175">
        <v>4.6559749999999998</v>
      </c>
      <c r="E2175">
        <v>0.52367580000000002</v>
      </c>
      <c r="F2175" t="s">
        <v>77</v>
      </c>
      <c r="G2175">
        <v>-511.82350000000002</v>
      </c>
      <c r="H2175">
        <v>10.197609999999999</v>
      </c>
      <c r="I2175">
        <v>300.5172</v>
      </c>
      <c r="J2175">
        <v>-344.3639</v>
      </c>
      <c r="K2175">
        <v>1.10992</v>
      </c>
      <c r="L2175">
        <v>284.34109999999998</v>
      </c>
      <c r="M2175">
        <v>-0.99972859999999997</v>
      </c>
      <c r="N2175">
        <v>0</v>
      </c>
      <c r="O2175">
        <v>1.972461E-2</v>
      </c>
      <c r="P2175">
        <v>-0.99923709999999999</v>
      </c>
      <c r="Q2175">
        <v>2.0764149999999999E-2</v>
      </c>
      <c r="R2175">
        <v>3.3079499999999998E-2</v>
      </c>
      <c r="S2175">
        <v>-2.9894099999999999</v>
      </c>
      <c r="T2175">
        <v>0.162092299999999</v>
      </c>
      <c r="U2175">
        <v>0.2885742</v>
      </c>
      <c r="V2175">
        <v>1.336917E-2</v>
      </c>
      <c r="W2175">
        <v>3.3159679999999997E-2</v>
      </c>
      <c r="X2175">
        <v>0.99936060000000004</v>
      </c>
      <c r="Y2175">
        <v>7.6349589999999995E-2</v>
      </c>
      <c r="Z2175">
        <v>-9.9758430000000003E-4</v>
      </c>
      <c r="AA2175">
        <v>0.99708059999999998</v>
      </c>
      <c r="AB2175">
        <v>29</v>
      </c>
      <c r="AC2175">
        <v>-167.45959999999999</v>
      </c>
      <c r="AD2175">
        <v>9.0876900000000003</v>
      </c>
      <c r="AE2175">
        <v>16.176100000000002</v>
      </c>
      <c r="AF2175">
        <v>12.832181807204</v>
      </c>
      <c r="AG2175">
        <v>9.0876900000000003</v>
      </c>
      <c r="AH2175">
        <v>167.25808452140399</v>
      </c>
      <c r="AI2175">
        <v>86.899081908428101</v>
      </c>
      <c r="AJ2175">
        <v>85.612813621425701</v>
      </c>
      <c r="AK2175">
        <v>167.99558874338999</v>
      </c>
      <c r="AL2175">
        <v>88.099741847238803</v>
      </c>
      <c r="AM2175">
        <v>89.233558611043804</v>
      </c>
      <c r="AN2175">
        <v>0.99999995395827401</v>
      </c>
    </row>
    <row r="2176" spans="1:40" x14ac:dyDescent="0.25">
      <c r="A2176" t="str">
        <f>"20190312160337675"</f>
        <v>20190312160337675</v>
      </c>
      <c r="B2176" t="str">
        <f>"1552377817667156"</f>
        <v>1552377817667156</v>
      </c>
      <c r="C2176" t="s">
        <v>40</v>
      </c>
      <c r="D2176">
        <v>4.6499860000000002</v>
      </c>
      <c r="E2176">
        <v>0.52404740000000005</v>
      </c>
      <c r="F2176" t="s">
        <v>77</v>
      </c>
      <c r="G2176">
        <v>-511.82339999999999</v>
      </c>
      <c r="H2176">
        <v>9.8684530000000006</v>
      </c>
      <c r="I2176">
        <v>300.73230000000001</v>
      </c>
      <c r="J2176">
        <v>-344.50450000000001</v>
      </c>
      <c r="K2176">
        <v>1.10992</v>
      </c>
      <c r="L2176">
        <v>284.34390000000002</v>
      </c>
      <c r="M2176">
        <v>-0.99972780000000006</v>
      </c>
      <c r="N2176">
        <v>0</v>
      </c>
      <c r="O2176">
        <v>1.9769200000000001E-2</v>
      </c>
      <c r="P2176">
        <v>-0.9992335</v>
      </c>
      <c r="Q2176">
        <v>2.0512349999999999E-2</v>
      </c>
      <c r="R2176">
        <v>3.3342950000000003E-2</v>
      </c>
      <c r="S2176">
        <v>-2.9893489999999998</v>
      </c>
      <c r="T2176">
        <v>0.1563514</v>
      </c>
      <c r="U2176">
        <v>0.29260249999999999</v>
      </c>
      <c r="V2176">
        <v>1.358796E-2</v>
      </c>
      <c r="W2176">
        <v>3.290804E-2</v>
      </c>
      <c r="X2176">
        <v>0.99936599999999998</v>
      </c>
      <c r="Y2176">
        <v>7.7642119999999995E-2</v>
      </c>
      <c r="Z2176">
        <v>-9.9363679999999897E-4</v>
      </c>
      <c r="AA2176">
        <v>0.9969808</v>
      </c>
      <c r="AB2176">
        <v>29</v>
      </c>
      <c r="AC2176">
        <v>-167.31890000000001</v>
      </c>
      <c r="AD2176">
        <v>8.7585329999999999</v>
      </c>
      <c r="AE2176">
        <v>16.388399999999901</v>
      </c>
      <c r="AF2176">
        <v>13.0417852889911</v>
      </c>
      <c r="AG2176">
        <v>8.7585329999999999</v>
      </c>
      <c r="AH2176">
        <v>167.15652648533899</v>
      </c>
      <c r="AI2176">
        <v>87.009675991469393</v>
      </c>
      <c r="AJ2176">
        <v>85.538741134750097</v>
      </c>
      <c r="AK2176">
        <v>167.89313389915699</v>
      </c>
      <c r="AL2176">
        <v>88.114167693073099</v>
      </c>
      <c r="AM2176">
        <v>89.221021337018101</v>
      </c>
      <c r="AN2176">
        <v>0.99999998685480096</v>
      </c>
    </row>
    <row r="2177" spans="1:40" x14ac:dyDescent="0.25">
      <c r="A2177" t="str">
        <f>"20190312160337687"</f>
        <v>20190312160337687</v>
      </c>
      <c r="B2177" t="str">
        <f>"1552377817676916"</f>
        <v>1552377817676916</v>
      </c>
      <c r="C2177" t="s">
        <v>40</v>
      </c>
      <c r="D2177">
        <v>4.7088210000000004</v>
      </c>
      <c r="E2177">
        <v>0.52396149999999997</v>
      </c>
      <c r="F2177" t="s">
        <v>77</v>
      </c>
      <c r="G2177">
        <v>-511.82330000000002</v>
      </c>
      <c r="H2177">
        <v>9.5819109999999998</v>
      </c>
      <c r="I2177">
        <v>300.9248</v>
      </c>
      <c r="J2177">
        <v>-344.65969999999999</v>
      </c>
      <c r="K2177">
        <v>1.10992</v>
      </c>
      <c r="L2177">
        <v>284.34699999999998</v>
      </c>
      <c r="M2177">
        <v>-0.99972680000000003</v>
      </c>
      <c r="N2177">
        <v>0</v>
      </c>
      <c r="O2177">
        <v>1.981842E-2</v>
      </c>
      <c r="P2177">
        <v>-0.9992337</v>
      </c>
      <c r="Q2177">
        <v>2.040548E-2</v>
      </c>
      <c r="R2177">
        <v>3.340953E-2</v>
      </c>
      <c r="S2177">
        <v>-2.9893190000000001</v>
      </c>
      <c r="T2177">
        <v>0.15136189999999999</v>
      </c>
      <c r="U2177">
        <v>0.2962341</v>
      </c>
      <c r="V2177">
        <v>1.360542E-2</v>
      </c>
      <c r="W2177">
        <v>3.2801289999999997E-2</v>
      </c>
      <c r="X2177">
        <v>0.99936930000000002</v>
      </c>
      <c r="Y2177">
        <v>7.8797010000000001E-2</v>
      </c>
      <c r="Z2177">
        <v>-9.8858980000000006E-4</v>
      </c>
      <c r="AA2177">
        <v>0.99689019999999995</v>
      </c>
      <c r="AB2177">
        <v>29</v>
      </c>
      <c r="AC2177">
        <v>-167.1636</v>
      </c>
      <c r="AD2177">
        <v>8.4719909999999992</v>
      </c>
      <c r="AE2177">
        <v>16.5778</v>
      </c>
      <c r="AF2177">
        <v>13.227725589597201</v>
      </c>
      <c r="AG2177">
        <v>8.4719909999999992</v>
      </c>
      <c r="AH2177">
        <v>167.034476866799</v>
      </c>
      <c r="AI2177">
        <v>87.105491881663994</v>
      </c>
      <c r="AJ2177">
        <v>85.472105690348499</v>
      </c>
      <c r="AK2177">
        <v>167.771463061937</v>
      </c>
      <c r="AL2177">
        <v>88.120287374157101</v>
      </c>
      <c r="AM2177">
        <v>89.220023078559294</v>
      </c>
      <c r="AN2177">
        <v>1.00000001493076</v>
      </c>
    </row>
    <row r="2178" spans="1:40" x14ac:dyDescent="0.25">
      <c r="A2178" t="str">
        <f>"20190312160337702"</f>
        <v>20190312160337702</v>
      </c>
      <c r="B2178" t="str">
        <f>"1552377817696436"</f>
        <v>1552377817696436</v>
      </c>
      <c r="C2178" t="s">
        <v>40</v>
      </c>
      <c r="D2178">
        <v>4.7260390000000001</v>
      </c>
      <c r="E2178">
        <v>0.52420820000000001</v>
      </c>
      <c r="F2178" t="s">
        <v>77</v>
      </c>
      <c r="G2178">
        <v>-511.82319999999999</v>
      </c>
      <c r="H2178">
        <v>9.0890979999999999</v>
      </c>
      <c r="I2178">
        <v>300.85680000000002</v>
      </c>
      <c r="J2178">
        <v>-344.84280000000001</v>
      </c>
      <c r="K2178">
        <v>1.1099190000000001</v>
      </c>
      <c r="L2178">
        <v>284.35070000000002</v>
      </c>
      <c r="M2178">
        <v>-0.99972570000000005</v>
      </c>
      <c r="N2178">
        <v>0</v>
      </c>
      <c r="O2178">
        <v>1.9876000000000001E-2</v>
      </c>
      <c r="P2178">
        <v>-0.99922630000000001</v>
      </c>
      <c r="Q2178">
        <v>2.048492E-2</v>
      </c>
      <c r="R2178">
        <v>3.3580110000000003E-2</v>
      </c>
      <c r="S2178">
        <v>-2.9895019999999999</v>
      </c>
      <c r="T2178">
        <v>0.14269860000000001</v>
      </c>
      <c r="U2178">
        <v>0.29525759999999901</v>
      </c>
      <c r="V2178">
        <v>1.371845E-2</v>
      </c>
      <c r="W2178">
        <v>3.2880399999999997E-2</v>
      </c>
      <c r="X2178">
        <v>0.99936519999999995</v>
      </c>
      <c r="Y2178">
        <v>7.8419920000000004E-2</v>
      </c>
      <c r="Z2178">
        <v>-9.203185E-4</v>
      </c>
      <c r="AA2178">
        <v>0.99692000000000003</v>
      </c>
      <c r="AB2178">
        <v>29</v>
      </c>
      <c r="AC2178">
        <v>-166.98039999999901</v>
      </c>
      <c r="AD2178">
        <v>7.9791789999999896</v>
      </c>
      <c r="AE2178">
        <v>16.5061</v>
      </c>
      <c r="AF2178">
        <v>13.1539363496228</v>
      </c>
      <c r="AG2178">
        <v>7.9791789999999896</v>
      </c>
      <c r="AH2178">
        <v>166.89809856008301</v>
      </c>
      <c r="AI2178">
        <v>87.271297073551494</v>
      </c>
      <c r="AJ2178">
        <v>85.493595635116705</v>
      </c>
      <c r="AK2178">
        <v>167.60569394258499</v>
      </c>
      <c r="AL2178">
        <v>88.115752343361805</v>
      </c>
      <c r="AM2178">
        <v>89.213540834240703</v>
      </c>
      <c r="AN2178">
        <v>1.0000000597727901</v>
      </c>
    </row>
    <row r="2179" spans="1:40" x14ac:dyDescent="0.25">
      <c r="A2179" t="str">
        <f>"20190312160337716"</f>
        <v>20190312160337716</v>
      </c>
      <c r="B2179" t="str">
        <f>"1552377817707173"</f>
        <v>1552377817707173</v>
      </c>
      <c r="C2179" t="s">
        <v>40</v>
      </c>
      <c r="D2179">
        <v>4.6673479999999996</v>
      </c>
      <c r="E2179">
        <v>0.52438629999999997</v>
      </c>
      <c r="F2179" t="s">
        <v>77</v>
      </c>
      <c r="G2179">
        <v>-511.82310000000001</v>
      </c>
      <c r="H2179">
        <v>8.8571779999999993</v>
      </c>
      <c r="I2179">
        <v>300.97219999999999</v>
      </c>
      <c r="J2179">
        <v>-345.02550000000002</v>
      </c>
      <c r="K2179">
        <v>1.1099190000000001</v>
      </c>
      <c r="L2179">
        <v>284.3544</v>
      </c>
      <c r="M2179">
        <v>-0.99972450000000002</v>
      </c>
      <c r="N2179">
        <v>0</v>
      </c>
      <c r="O2179">
        <v>1.9933579999999999E-2</v>
      </c>
      <c r="P2179">
        <v>-0.99922080000000002</v>
      </c>
      <c r="Q2179">
        <v>2.0518339999999999E-2</v>
      </c>
      <c r="R2179">
        <v>3.3723889999999999E-2</v>
      </c>
      <c r="S2179">
        <v>-2.989471</v>
      </c>
      <c r="T2179">
        <v>0.13870170000000001</v>
      </c>
      <c r="U2179">
        <v>0.29757689999999998</v>
      </c>
      <c r="V2179">
        <v>1.3804820000000001E-2</v>
      </c>
      <c r="W2179">
        <v>3.2913289999999998E-2</v>
      </c>
      <c r="X2179">
        <v>0.99936290000000005</v>
      </c>
      <c r="Y2179">
        <v>7.9132330000000001E-2</v>
      </c>
      <c r="Z2179">
        <v>-9.0836050000000005E-4</v>
      </c>
      <c r="AA2179">
        <v>0.99686370000000002</v>
      </c>
      <c r="AB2179">
        <v>29</v>
      </c>
      <c r="AC2179">
        <v>-166.79759999999999</v>
      </c>
      <c r="AD2179">
        <v>7.7472589999999997</v>
      </c>
      <c r="AE2179">
        <v>16.6177999999999</v>
      </c>
      <c r="AF2179">
        <v>13.2610417298947</v>
      </c>
      <c r="AG2179">
        <v>7.7472589999999997</v>
      </c>
      <c r="AH2179">
        <v>166.739554123799</v>
      </c>
      <c r="AI2179">
        <v>87.3481276472113</v>
      </c>
      <c r="AJ2179">
        <v>85.452753848992799</v>
      </c>
      <c r="AK2179">
        <v>167.44537664318599</v>
      </c>
      <c r="AL2179">
        <v>88.113866812005597</v>
      </c>
      <c r="AM2179">
        <v>89.208588172000304</v>
      </c>
      <c r="AN2179">
        <v>1.0000000318051301</v>
      </c>
    </row>
    <row r="2180" spans="1:40" x14ac:dyDescent="0.25">
      <c r="A2180" t="str">
        <f>"20190312160337732"</f>
        <v>20190312160337732</v>
      </c>
      <c r="B2180" t="str">
        <f>"1552377817726691"</f>
        <v>1552377817726691</v>
      </c>
      <c r="C2180" t="s">
        <v>40</v>
      </c>
      <c r="D2180">
        <v>4.6891040000000004</v>
      </c>
      <c r="E2180">
        <v>0.52478480000000005</v>
      </c>
      <c r="F2180" t="s">
        <v>77</v>
      </c>
      <c r="G2180">
        <v>-511.82310000000001</v>
      </c>
      <c r="H2180">
        <v>8.7667769999999994</v>
      </c>
      <c r="I2180">
        <v>301.05509999999998</v>
      </c>
      <c r="J2180">
        <v>-345.2226</v>
      </c>
      <c r="K2180">
        <v>1.109918</v>
      </c>
      <c r="L2180">
        <v>284.35840000000002</v>
      </c>
      <c r="M2180">
        <v>-0.99972309999999998</v>
      </c>
      <c r="N2180">
        <v>0</v>
      </c>
      <c r="O2180">
        <v>1.9995990000000002E-2</v>
      </c>
      <c r="P2180">
        <v>-0.99920520000000002</v>
      </c>
      <c r="Q2180">
        <v>2.076884E-2</v>
      </c>
      <c r="R2180">
        <v>3.4024739999999998E-2</v>
      </c>
      <c r="S2180">
        <v>-2.9894099999999999</v>
      </c>
      <c r="T2180">
        <v>0.13723050000000001</v>
      </c>
      <c r="U2180">
        <v>0.29931639999999998</v>
      </c>
      <c r="V2180">
        <v>1.4043460000000001E-2</v>
      </c>
      <c r="W2180">
        <v>3.3163970000000001E-2</v>
      </c>
      <c r="X2180">
        <v>0.99935130000000005</v>
      </c>
      <c r="Y2180">
        <v>7.9647319999999994E-2</v>
      </c>
      <c r="Z2180">
        <v>-9.0765959999999999E-4</v>
      </c>
      <c r="AA2180">
        <v>0.99682269999999995</v>
      </c>
      <c r="AB2180">
        <v>29</v>
      </c>
      <c r="AC2180">
        <v>-166.60050000000001</v>
      </c>
      <c r="AD2180">
        <v>7.6568589999999999</v>
      </c>
      <c r="AE2180">
        <v>16.6966999999999</v>
      </c>
      <c r="AF2180">
        <v>13.333878241154601</v>
      </c>
      <c r="AG2180">
        <v>7.6568589999999999</v>
      </c>
      <c r="AH2180">
        <v>166.55277210555701</v>
      </c>
      <c r="AI2180">
        <v>87.376202173971095</v>
      </c>
      <c r="AJ2180">
        <v>85.422777959528403</v>
      </c>
      <c r="AK2180">
        <v>167.26101068312801</v>
      </c>
      <c r="AL2180">
        <v>88.099496084718496</v>
      </c>
      <c r="AM2180">
        <v>89.194899702206499</v>
      </c>
      <c r="AN2180">
        <v>1.0000000442433099</v>
      </c>
    </row>
    <row r="2181" spans="1:40" x14ac:dyDescent="0.25">
      <c r="A2181" t="str">
        <f>"20190312160337754"</f>
        <v>20190312160337754</v>
      </c>
      <c r="B2181" t="str">
        <f>"1552377817746212"</f>
        <v>1552377817746212</v>
      </c>
      <c r="C2181" t="s">
        <v>40</v>
      </c>
      <c r="D2181">
        <v>4.7078949999999997</v>
      </c>
      <c r="E2181">
        <v>0.52517009999999997</v>
      </c>
      <c r="F2181" t="s">
        <v>77</v>
      </c>
      <c r="G2181">
        <v>-511.82299999999998</v>
      </c>
      <c r="H2181">
        <v>8.6841639999999902</v>
      </c>
      <c r="I2181">
        <v>301.27</v>
      </c>
      <c r="J2181">
        <v>-345.50510000000003</v>
      </c>
      <c r="K2181">
        <v>1.109915</v>
      </c>
      <c r="L2181">
        <v>284.36410000000001</v>
      </c>
      <c r="M2181">
        <v>-0.99972150000000004</v>
      </c>
      <c r="N2181">
        <v>0</v>
      </c>
      <c r="O2181">
        <v>2.0085269999999999E-2</v>
      </c>
      <c r="P2181">
        <v>-0.9991968</v>
      </c>
      <c r="Q2181">
        <v>2.0815699999999999E-2</v>
      </c>
      <c r="R2181">
        <v>3.4248260000000003E-2</v>
      </c>
      <c r="S2181">
        <v>-2.9892270000000001</v>
      </c>
      <c r="T2181">
        <v>0.1359023</v>
      </c>
      <c r="U2181">
        <v>0.30343629999999999</v>
      </c>
      <c r="V2181">
        <v>1.41779E-2</v>
      </c>
      <c r="W2181">
        <v>3.3210679999999999E-2</v>
      </c>
      <c r="X2181">
        <v>0.99934780000000001</v>
      </c>
      <c r="Y2181">
        <v>8.0924300000000005E-2</v>
      </c>
      <c r="Z2181">
        <v>-9.2377430000000003E-4</v>
      </c>
      <c r="AA2181">
        <v>0.99671980000000004</v>
      </c>
      <c r="AB2181">
        <v>29</v>
      </c>
      <c r="AC2181">
        <v>-166.31790000000001</v>
      </c>
      <c r="AD2181">
        <v>7.5742489999999902</v>
      </c>
      <c r="AE2181">
        <v>16.9058999999999</v>
      </c>
      <c r="AF2181">
        <v>13.5339109185726</v>
      </c>
      <c r="AG2181">
        <v>7.5742489999999902</v>
      </c>
      <c r="AH2181">
        <v>166.28259200834199</v>
      </c>
      <c r="AI2181">
        <v>87.400537508147295</v>
      </c>
      <c r="AJ2181">
        <v>85.346894411984394</v>
      </c>
      <c r="AK2181">
        <v>167.00430053647901</v>
      </c>
      <c r="AL2181">
        <v>88.0968182277756</v>
      </c>
      <c r="AM2181">
        <v>89.187190547649394</v>
      </c>
      <c r="AN2181">
        <v>0.99999999373965598</v>
      </c>
    </row>
    <row r="2182" spans="1:40" x14ac:dyDescent="0.25">
      <c r="A2182" t="str">
        <f>"20190312160337766"</f>
        <v>20190312160337766</v>
      </c>
      <c r="B2182" t="str">
        <f>"1552377817756947"</f>
        <v>1552377817756947</v>
      </c>
      <c r="C2182" t="s">
        <v>40</v>
      </c>
      <c r="D2182">
        <v>4.7413280000000002</v>
      </c>
      <c r="E2182">
        <v>0.52533660000000004</v>
      </c>
      <c r="F2182" t="s">
        <v>77</v>
      </c>
      <c r="G2182">
        <v>-511.82299999999998</v>
      </c>
      <c r="H2182">
        <v>8.5844559999999994</v>
      </c>
      <c r="I2182">
        <v>301.45170000000002</v>
      </c>
      <c r="J2182">
        <v>-345.6694</v>
      </c>
      <c r="K2182">
        <v>1.1099129999999999</v>
      </c>
      <c r="L2182">
        <v>284.36750000000001</v>
      </c>
      <c r="M2182">
        <v>-0.99972039999999995</v>
      </c>
      <c r="N2182">
        <v>0</v>
      </c>
      <c r="O2182">
        <v>2.013701E-2</v>
      </c>
      <c r="P2182">
        <v>-0.99919429999999998</v>
      </c>
      <c r="Q2182">
        <v>2.0697489999999999E-2</v>
      </c>
      <c r="R2182">
        <v>3.4387550000000003E-2</v>
      </c>
      <c r="S2182">
        <v>-2.9890750000000001</v>
      </c>
      <c r="T2182">
        <v>0.13433429999999999</v>
      </c>
      <c r="U2182">
        <v>0.30709839999999999</v>
      </c>
      <c r="V2182">
        <v>1.4265369999999999E-2</v>
      </c>
      <c r="W2182">
        <v>3.3092480000000001E-2</v>
      </c>
      <c r="X2182">
        <v>0.99935050000000003</v>
      </c>
      <c r="Y2182">
        <v>8.2086629999999994E-2</v>
      </c>
      <c r="Z2182">
        <v>-9.3684010000000002E-4</v>
      </c>
      <c r="AA2182">
        <v>0.99662479999999998</v>
      </c>
      <c r="AB2182">
        <v>29</v>
      </c>
      <c r="AC2182">
        <v>-166.15360000000001</v>
      </c>
      <c r="AD2182">
        <v>7.4745429999999997</v>
      </c>
      <c r="AE2182">
        <v>17.084199999999999</v>
      </c>
      <c r="AF2182">
        <v>13.7071922937062</v>
      </c>
      <c r="AG2182">
        <v>7.4745429999999997</v>
      </c>
      <c r="AH2182">
        <v>166.13126954718899</v>
      </c>
      <c r="AI2182">
        <v>87.432610014973093</v>
      </c>
      <c r="AJ2182">
        <v>85.283312020919496</v>
      </c>
      <c r="AK2182">
        <v>166.86328126641899</v>
      </c>
      <c r="AL2182">
        <v>88.103594358482297</v>
      </c>
      <c r="AM2182">
        <v>89.182178839751103</v>
      </c>
      <c r="AN2182">
        <v>1.0000000174320101</v>
      </c>
    </row>
    <row r="2183" spans="1:40" x14ac:dyDescent="0.25">
      <c r="A2183" t="str">
        <f>"20190312160337786"</f>
        <v>20190312160337786</v>
      </c>
      <c r="B2183" t="str">
        <f>"1552377817776468"</f>
        <v>1552377817776468</v>
      </c>
      <c r="C2183" t="s">
        <v>40</v>
      </c>
      <c r="D2183">
        <v>4.7674050000000001</v>
      </c>
      <c r="E2183">
        <v>0.5256324</v>
      </c>
      <c r="F2183" t="s">
        <v>77</v>
      </c>
      <c r="G2183">
        <v>-511.82299999999998</v>
      </c>
      <c r="H2183">
        <v>8.4564240000000002</v>
      </c>
      <c r="I2183">
        <v>301.53339999999997</v>
      </c>
      <c r="J2183">
        <v>-345.9194</v>
      </c>
      <c r="K2183">
        <v>1.1099129999999999</v>
      </c>
      <c r="L2183">
        <v>284.37270000000001</v>
      </c>
      <c r="M2183">
        <v>-0.99971869999999996</v>
      </c>
      <c r="N2183">
        <v>0</v>
      </c>
      <c r="O2183">
        <v>2.0216100000000001E-2</v>
      </c>
      <c r="P2183">
        <v>-0.99920180000000003</v>
      </c>
      <c r="Q2183">
        <v>1.988564E-2</v>
      </c>
      <c r="R2183">
        <v>3.4647020000000001E-2</v>
      </c>
      <c r="S2183">
        <v>-2.9890439999999998</v>
      </c>
      <c r="T2183">
        <v>0.13216259999999999</v>
      </c>
      <c r="U2183">
        <v>0.30880740000000001</v>
      </c>
      <c r="V2183">
        <v>1.4445370000000001E-2</v>
      </c>
      <c r="W2183">
        <v>3.2280389999999999E-2</v>
      </c>
      <c r="X2183">
        <v>0.9993744</v>
      </c>
      <c r="Y2183">
        <v>8.2574259999999997E-2</v>
      </c>
      <c r="Z2183">
        <v>-9.2895499999999997E-4</v>
      </c>
      <c r="AA2183">
        <v>0.99658449999999998</v>
      </c>
      <c r="AB2183">
        <v>29</v>
      </c>
      <c r="AC2183">
        <v>-165.90360000000001</v>
      </c>
      <c r="AD2183">
        <v>7.3465109999999996</v>
      </c>
      <c r="AE2183">
        <v>17.160699999999899</v>
      </c>
      <c r="AF2183">
        <v>13.7762829820668</v>
      </c>
      <c r="AG2183">
        <v>7.3465109999999996</v>
      </c>
      <c r="AH2183">
        <v>165.89478297480099</v>
      </c>
      <c r="AI2183">
        <v>87.473047897856901</v>
      </c>
      <c r="AJ2183">
        <v>85.252919153991201</v>
      </c>
      <c r="AK2183">
        <v>166.62783745500499</v>
      </c>
      <c r="AL2183">
        <v>88.150148424619303</v>
      </c>
      <c r="AM2183">
        <v>89.171880827842102</v>
      </c>
      <c r="AN2183">
        <v>0.99999994183417196</v>
      </c>
    </row>
    <row r="2184" spans="1:40" x14ac:dyDescent="0.25">
      <c r="A2184" t="str">
        <f>"20190312160337800"</f>
        <v>20190312160337800</v>
      </c>
      <c r="B2184" t="str">
        <f>"1552377817796964"</f>
        <v>1552377817796964</v>
      </c>
      <c r="C2184" t="s">
        <v>40</v>
      </c>
      <c r="D2184">
        <v>4.8732519999999999</v>
      </c>
      <c r="E2184">
        <v>0.52529879999999995</v>
      </c>
      <c r="F2184" t="s">
        <v>77</v>
      </c>
      <c r="G2184">
        <v>-511.82279999999997</v>
      </c>
      <c r="H2184">
        <v>8.1522779999999901</v>
      </c>
      <c r="I2184">
        <v>301.67020000000002</v>
      </c>
      <c r="J2184">
        <v>-346.07619999999997</v>
      </c>
      <c r="K2184">
        <v>1.109912</v>
      </c>
      <c r="L2184">
        <v>284.3759</v>
      </c>
      <c r="M2184">
        <v>-0.99971779999999999</v>
      </c>
      <c r="N2184">
        <v>0</v>
      </c>
      <c r="O2184">
        <v>2.0265809999999999E-2</v>
      </c>
      <c r="P2184">
        <v>-0.99920120000000001</v>
      </c>
      <c r="Q2184">
        <v>1.9824439999999999E-2</v>
      </c>
      <c r="R2184">
        <v>3.4702780000000003E-2</v>
      </c>
      <c r="S2184">
        <v>-2.9890439999999998</v>
      </c>
      <c r="T2184">
        <v>0.1268821</v>
      </c>
      <c r="U2184">
        <v>0.31164550000000002</v>
      </c>
      <c r="V2184">
        <v>1.445139E-2</v>
      </c>
      <c r="W2184">
        <v>3.2218910000000003E-2</v>
      </c>
      <c r="X2184">
        <v>0.99937640000000005</v>
      </c>
      <c r="Y2184">
        <v>8.346481E-2</v>
      </c>
      <c r="Z2184">
        <v>-9.085718E-4</v>
      </c>
      <c r="AA2184">
        <v>0.99651029999999996</v>
      </c>
      <c r="AB2184">
        <v>29</v>
      </c>
      <c r="AC2184">
        <v>-165.7466</v>
      </c>
      <c r="AD2184">
        <v>7.0423660000000003</v>
      </c>
      <c r="AE2184">
        <v>17.2943</v>
      </c>
      <c r="AF2184">
        <v>13.9066653133653</v>
      </c>
      <c r="AG2184">
        <v>7.0423660000000003</v>
      </c>
      <c r="AH2184">
        <v>165.76702965996699</v>
      </c>
      <c r="AI2184">
        <v>87.575842199599606</v>
      </c>
      <c r="AJ2184">
        <v>85.204524044718397</v>
      </c>
      <c r="AK2184">
        <v>166.49834347916001</v>
      </c>
      <c r="AL2184">
        <v>88.153672992850503</v>
      </c>
      <c r="AM2184">
        <v>89.171537421187693</v>
      </c>
      <c r="AN2184">
        <v>1.00000004485573</v>
      </c>
    </row>
    <row r="2185" spans="1:40" x14ac:dyDescent="0.25">
      <c r="A2185" t="str">
        <f>"20190312160337813"</f>
        <v>20190312160337813</v>
      </c>
      <c r="B2185" t="str">
        <f>"1552377817806724"</f>
        <v>1552377817806724</v>
      </c>
      <c r="C2185" t="s">
        <v>40</v>
      </c>
      <c r="D2185">
        <v>4.839607</v>
      </c>
      <c r="E2185">
        <v>0.50600029999999996</v>
      </c>
      <c r="F2185" t="s">
        <v>77</v>
      </c>
      <c r="G2185">
        <v>-511.82279999999997</v>
      </c>
      <c r="H2185">
        <v>7.8128469999999997</v>
      </c>
      <c r="I2185">
        <v>301.4984</v>
      </c>
      <c r="J2185">
        <v>-346.26069999999999</v>
      </c>
      <c r="K2185">
        <v>1.10991</v>
      </c>
      <c r="L2185">
        <v>284.37970000000001</v>
      </c>
      <c r="M2185">
        <v>-0.99971659999999996</v>
      </c>
      <c r="N2185">
        <v>0</v>
      </c>
      <c r="O2185">
        <v>2.0324100000000001E-2</v>
      </c>
      <c r="P2185">
        <v>-0.99920089999999995</v>
      </c>
      <c r="Q2185">
        <v>1.9725340000000001E-2</v>
      </c>
      <c r="R2185">
        <v>3.4771940000000001E-2</v>
      </c>
      <c r="S2185">
        <v>-2.989258</v>
      </c>
      <c r="T2185">
        <v>0.1208897</v>
      </c>
      <c r="U2185">
        <v>0.30880740000000001</v>
      </c>
      <c r="V2185">
        <v>1.446243E-2</v>
      </c>
      <c r="W2185">
        <v>3.2119769999999999E-2</v>
      </c>
      <c r="X2185">
        <v>0.99937940000000003</v>
      </c>
      <c r="Y2185">
        <v>8.2469310000000004E-2</v>
      </c>
      <c r="Z2185">
        <v>-8.4325920000000003E-4</v>
      </c>
      <c r="AA2185">
        <v>0.99659319999999896</v>
      </c>
      <c r="AB2185">
        <v>29</v>
      </c>
      <c r="AC2185">
        <v>-165.56209999999999</v>
      </c>
      <c r="AD2185">
        <v>6.7029369999999897</v>
      </c>
      <c r="AE2185">
        <v>17.118699999999901</v>
      </c>
      <c r="AF2185">
        <v>13.727740996092001</v>
      </c>
      <c r="AG2185">
        <v>6.7029369999999897</v>
      </c>
      <c r="AH2185">
        <v>165.60726846466301</v>
      </c>
      <c r="AI2185">
        <v>87.690138067076802</v>
      </c>
      <c r="AJ2185">
        <v>85.261394644117004</v>
      </c>
      <c r="AK2185">
        <v>166.31039536243301</v>
      </c>
      <c r="AL2185">
        <v>88.159356179583398</v>
      </c>
      <c r="AM2185">
        <v>89.170907101987098</v>
      </c>
      <c r="AN2185">
        <v>1.0000000133253499</v>
      </c>
    </row>
    <row r="2186" spans="1:40" x14ac:dyDescent="0.25">
      <c r="A2186" t="str">
        <f>"20190312160337824"</f>
        <v>20190312160337824</v>
      </c>
      <c r="B2186" t="str">
        <f>"1552377817816484"</f>
        <v>1552377817816484</v>
      </c>
      <c r="C2186" t="s">
        <v>40</v>
      </c>
      <c r="D2186">
        <v>4.8834179999999998</v>
      </c>
      <c r="E2186">
        <v>0.50627879999999903</v>
      </c>
      <c r="F2186" t="s">
        <v>70</v>
      </c>
      <c r="G2186">
        <v>-392.69240000000002</v>
      </c>
      <c r="H2186" s="1">
        <v>-1.040219E-7</v>
      </c>
      <c r="I2186">
        <v>286.64019999999999</v>
      </c>
      <c r="J2186">
        <v>-346.41250000000002</v>
      </c>
      <c r="K2186">
        <v>1.1099079999999999</v>
      </c>
      <c r="L2186">
        <v>284.38279999999997</v>
      </c>
      <c r="M2186">
        <v>-0.99971560000000004</v>
      </c>
      <c r="N2186">
        <v>0</v>
      </c>
      <c r="O2186">
        <v>2.0371960000000001E-2</v>
      </c>
      <c r="P2186">
        <v>-0.99918689999999999</v>
      </c>
      <c r="Q2186">
        <v>2.0091680000000001E-2</v>
      </c>
      <c r="R2186">
        <v>3.4954150000000003E-2</v>
      </c>
      <c r="S2186">
        <v>-2.9987490000000001</v>
      </c>
      <c r="T2186">
        <v>-7.1682449999999995E-2</v>
      </c>
      <c r="U2186">
        <v>0.14599609999999999</v>
      </c>
      <c r="V2186">
        <v>1.4596919999999999E-2</v>
      </c>
      <c r="W2186">
        <v>3.248579E-2</v>
      </c>
      <c r="X2186">
        <v>0.99936559999999997</v>
      </c>
      <c r="Y2186">
        <v>2.8266309999999999E-2</v>
      </c>
      <c r="Z2186">
        <v>-1.4897559999999999E-4</v>
      </c>
      <c r="AA2186">
        <v>0.99960039999999994</v>
      </c>
      <c r="AB2186">
        <v>29</v>
      </c>
      <c r="AC2186">
        <v>-46.279899999999998</v>
      </c>
      <c r="AD2186">
        <v>-1.1099081040219001</v>
      </c>
      <c r="AE2186">
        <v>2.2574000000000098</v>
      </c>
      <c r="AF2186">
        <v>1.3132931519991899</v>
      </c>
      <c r="AG2186">
        <v>-1.1099081040219001</v>
      </c>
      <c r="AH2186">
        <v>46.289724419316499</v>
      </c>
      <c r="AI2186">
        <v>91.372989459196106</v>
      </c>
      <c r="AJ2186">
        <v>88.374888240337299</v>
      </c>
      <c r="AK2186">
        <v>46.321649600577999</v>
      </c>
      <c r="AL2186">
        <v>88.138373802784201</v>
      </c>
      <c r="AM2186">
        <v>89.163186683378896</v>
      </c>
      <c r="AN2186">
        <v>0.99999999954438501</v>
      </c>
    </row>
    <row r="2187" spans="1:40" x14ac:dyDescent="0.25">
      <c r="A2187" t="str">
        <f>"20190312160337836"</f>
        <v>20190312160337836</v>
      </c>
      <c r="B2187" t="str">
        <f>"1552377817826244"</f>
        <v>1552377817826244</v>
      </c>
      <c r="C2187" t="s">
        <v>40</v>
      </c>
      <c r="D2187">
        <v>4.8132270000000004</v>
      </c>
      <c r="E2187">
        <v>0.5060808</v>
      </c>
      <c r="F2187" t="s">
        <v>70</v>
      </c>
      <c r="G2187">
        <v>-387.0532</v>
      </c>
      <c r="H2187" s="1">
        <v>2.2165720000000002E-6</v>
      </c>
      <c r="I2187">
        <v>286.39109999999999</v>
      </c>
      <c r="J2187">
        <v>-346.5564</v>
      </c>
      <c r="K2187">
        <v>1.10991</v>
      </c>
      <c r="L2187">
        <v>284.38580000000002</v>
      </c>
      <c r="M2187">
        <v>-0.99971469999999996</v>
      </c>
      <c r="N2187">
        <v>0</v>
      </c>
      <c r="O2187">
        <v>2.04172E-2</v>
      </c>
      <c r="P2187">
        <v>-0.99918669999999998</v>
      </c>
      <c r="Q2187">
        <v>1.9976540000000001E-2</v>
      </c>
      <c r="R2187">
        <v>3.5031880000000001E-2</v>
      </c>
      <c r="S2187">
        <v>-2.9988709999999998</v>
      </c>
      <c r="T2187">
        <v>-8.1899879999999994E-2</v>
      </c>
      <c r="U2187">
        <v>0.1481934</v>
      </c>
      <c r="V2187">
        <v>1.462949E-2</v>
      </c>
      <c r="W2187">
        <v>3.2370459999999997E-2</v>
      </c>
      <c r="X2187">
        <v>0.99936879999999995</v>
      </c>
      <c r="Y2187">
        <v>2.8948809999999998E-2</v>
      </c>
      <c r="Z2187">
        <v>-1.6211369999999999E-4</v>
      </c>
      <c r="AA2187">
        <v>0.99958089999999999</v>
      </c>
      <c r="AB2187">
        <v>29</v>
      </c>
      <c r="AC2187">
        <v>-40.4968</v>
      </c>
      <c r="AD2187">
        <v>-1.109907783428</v>
      </c>
      <c r="AE2187">
        <v>2.0052999999999699</v>
      </c>
      <c r="AF2187">
        <v>1.17710509775496</v>
      </c>
      <c r="AG2187">
        <v>-1.109907783428</v>
      </c>
      <c r="AH2187">
        <v>40.498956009260098</v>
      </c>
      <c r="AI2187">
        <v>91.569183506365704</v>
      </c>
      <c r="AJ2187">
        <v>88.335162707849193</v>
      </c>
      <c r="AK2187">
        <v>40.531258425304998</v>
      </c>
      <c r="AL2187">
        <v>88.144985079685398</v>
      </c>
      <c r="AM2187">
        <v>89.161322459485007</v>
      </c>
      <c r="AN2187">
        <v>0.99999993353585304</v>
      </c>
    </row>
    <row r="2188" spans="1:40" x14ac:dyDescent="0.25">
      <c r="A2188" t="str">
        <f>"20190312160337846"</f>
        <v>20190312160337846</v>
      </c>
      <c r="B2188" t="str">
        <f>"1552377817836980"</f>
        <v>1552377817836980</v>
      </c>
      <c r="C2188" t="s">
        <v>40</v>
      </c>
      <c r="D2188">
        <v>4.8674759999999999</v>
      </c>
      <c r="E2188">
        <v>0.50639860000000003</v>
      </c>
      <c r="F2188" t="s">
        <v>70</v>
      </c>
      <c r="G2188">
        <v>-383.14949999999999</v>
      </c>
      <c r="H2188" s="1">
        <v>1.3921429999999999E-7</v>
      </c>
      <c r="I2188">
        <v>286.17500000000001</v>
      </c>
      <c r="J2188">
        <v>-346.69650000000001</v>
      </c>
      <c r="K2188">
        <v>1.1099129999999999</v>
      </c>
      <c r="L2188">
        <v>284.38869999999997</v>
      </c>
      <c r="M2188">
        <v>-0.99971370000000004</v>
      </c>
      <c r="N2188">
        <v>0</v>
      </c>
      <c r="O2188">
        <v>2.0461549999999998E-2</v>
      </c>
      <c r="P2188">
        <v>-0.99917719999999999</v>
      </c>
      <c r="Q2188">
        <v>2.0121719999999999E-2</v>
      </c>
      <c r="R2188">
        <v>3.5215169999999997E-2</v>
      </c>
      <c r="S2188">
        <v>-2.9991150000000002</v>
      </c>
      <c r="T2188">
        <v>-9.0966580000000005E-2</v>
      </c>
      <c r="U2188">
        <v>0.14663699999999999</v>
      </c>
      <c r="V2188">
        <v>1.476855E-2</v>
      </c>
      <c r="W2188">
        <v>3.2515820000000001E-2</v>
      </c>
      <c r="X2188">
        <v>0.99936210000000003</v>
      </c>
      <c r="Y2188">
        <v>2.838251E-2</v>
      </c>
      <c r="Z2188">
        <v>-1.8996559999999999E-4</v>
      </c>
      <c r="AA2188">
        <v>0.99959710000000002</v>
      </c>
      <c r="AB2188">
        <v>29</v>
      </c>
      <c r="AC2188">
        <v>-36.452999999999903</v>
      </c>
      <c r="AD2188">
        <v>-1.1099128607856901</v>
      </c>
      <c r="AE2188">
        <v>1.78630000000003</v>
      </c>
      <c r="AF2188">
        <v>1.03902276389452</v>
      </c>
      <c r="AG2188">
        <v>-1.1099128607856901</v>
      </c>
      <c r="AH2188">
        <v>36.4482113282955</v>
      </c>
      <c r="AI2188">
        <v>91.743511538223501</v>
      </c>
      <c r="AJ2188">
        <v>88.3671214862851</v>
      </c>
      <c r="AK2188">
        <v>36.479906577382003</v>
      </c>
      <c r="AL2188">
        <v>88.136652297759795</v>
      </c>
      <c r="AM2188">
        <v>89.153345925134701</v>
      </c>
      <c r="AN2188">
        <v>0.99999999776789195</v>
      </c>
    </row>
    <row r="2189" spans="1:40" x14ac:dyDescent="0.25">
      <c r="A2189" t="str">
        <f>"20190312160337858"</f>
        <v>20190312160337858</v>
      </c>
      <c r="B2189" t="str">
        <f>"1552377817846740"</f>
        <v>1552377817846740</v>
      </c>
      <c r="C2189" t="s">
        <v>40</v>
      </c>
      <c r="D2189">
        <v>4.8767969999999998</v>
      </c>
      <c r="E2189">
        <v>0.50664070000000005</v>
      </c>
      <c r="F2189" t="s">
        <v>70</v>
      </c>
      <c r="G2189">
        <v>-382.10649999999998</v>
      </c>
      <c r="H2189" s="1">
        <v>-4.158264E-7</v>
      </c>
      <c r="I2189">
        <v>286.15179999999998</v>
      </c>
      <c r="J2189">
        <v>-346.83420000000001</v>
      </c>
      <c r="K2189">
        <v>1.1099129999999999</v>
      </c>
      <c r="L2189">
        <v>284.39159999999998</v>
      </c>
      <c r="M2189">
        <v>-0.99971299999999996</v>
      </c>
      <c r="N2189">
        <v>0</v>
      </c>
      <c r="O2189">
        <v>2.050511E-2</v>
      </c>
      <c r="P2189">
        <v>-0.99917109999999998</v>
      </c>
      <c r="Q2189">
        <v>2.0329199999999999E-2</v>
      </c>
      <c r="R2189">
        <v>3.5280529999999997E-2</v>
      </c>
      <c r="S2189">
        <v>-2.9990839999999999</v>
      </c>
      <c r="T2189">
        <v>-9.4005229999999995E-2</v>
      </c>
      <c r="U2189">
        <v>0.1493225</v>
      </c>
      <c r="V2189">
        <v>1.4790670000000001E-2</v>
      </c>
      <c r="W2189">
        <v>3.2722660000000001E-2</v>
      </c>
      <c r="X2189">
        <v>0.99935499999999999</v>
      </c>
      <c r="Y2189">
        <v>2.9231719999999999E-2</v>
      </c>
      <c r="Z2189">
        <v>-1.843708E-4</v>
      </c>
      <c r="AA2189">
        <v>0.99957260000000003</v>
      </c>
      <c r="AB2189">
        <v>29</v>
      </c>
      <c r="AC2189">
        <v>-35.272299999999902</v>
      </c>
      <c r="AD2189">
        <v>-1.1099134158263999</v>
      </c>
      <c r="AE2189">
        <v>1.76019999999999</v>
      </c>
      <c r="AF2189">
        <v>1.03548919938044</v>
      </c>
      <c r="AG2189">
        <v>-1.1099134158263999</v>
      </c>
      <c r="AH2189">
        <v>35.266145853731899</v>
      </c>
      <c r="AI2189">
        <v>91.801869761876802</v>
      </c>
      <c r="AJ2189">
        <v>88.318157022156001</v>
      </c>
      <c r="AK2189">
        <v>35.298798691306203</v>
      </c>
      <c r="AL2189">
        <v>88.124794888352099</v>
      </c>
      <c r="AM2189">
        <v>89.152071987573294</v>
      </c>
      <c r="AN2189">
        <v>0.99999997621076098</v>
      </c>
    </row>
    <row r="2190" spans="1:40" x14ac:dyDescent="0.25">
      <c r="A2190" t="str">
        <f>"20190312160337870"</f>
        <v>20190312160337870</v>
      </c>
      <c r="B2190" t="str">
        <f>"1552377817866260"</f>
        <v>1552377817866260</v>
      </c>
      <c r="C2190" t="s">
        <v>40</v>
      </c>
      <c r="D2190">
        <v>4.9094629999999997</v>
      </c>
      <c r="E2190">
        <v>0.50691249999999999</v>
      </c>
      <c r="F2190" t="s">
        <v>70</v>
      </c>
      <c r="G2190">
        <v>-381.2491</v>
      </c>
      <c r="H2190" s="1">
        <v>-8.7205480000000002E-7</v>
      </c>
      <c r="I2190">
        <v>286.1275</v>
      </c>
      <c r="J2190">
        <v>-346.99040000000002</v>
      </c>
      <c r="K2190">
        <v>1.109915</v>
      </c>
      <c r="L2190">
        <v>284.39490000000001</v>
      </c>
      <c r="M2190">
        <v>-0.99971180000000004</v>
      </c>
      <c r="N2190">
        <v>0</v>
      </c>
      <c r="O2190">
        <v>2.0554820000000001E-2</v>
      </c>
      <c r="P2190">
        <v>-0.99917719999999999</v>
      </c>
      <c r="Q2190">
        <v>2.0001229999999998E-2</v>
      </c>
      <c r="R2190">
        <v>3.5285360000000002E-2</v>
      </c>
      <c r="S2190">
        <v>-2.9991150000000002</v>
      </c>
      <c r="T2190">
        <v>-9.6724149999999995E-2</v>
      </c>
      <c r="U2190">
        <v>0.15127560000000001</v>
      </c>
      <c r="V2190">
        <v>1.474542E-2</v>
      </c>
      <c r="W2190">
        <v>3.2394770000000003E-2</v>
      </c>
      <c r="X2190">
        <v>0.99936639999999999</v>
      </c>
      <c r="Y2190">
        <v>2.9830289999999999E-2</v>
      </c>
      <c r="Z2190">
        <v>-1.8165210000000001E-4</v>
      </c>
      <c r="AA2190">
        <v>0.99955490000000002</v>
      </c>
      <c r="AB2190">
        <v>29</v>
      </c>
      <c r="AC2190">
        <v>-34.258699999999898</v>
      </c>
      <c r="AD2190">
        <v>-1.1099158720547999</v>
      </c>
      <c r="AE2190">
        <v>1.7325999999999899</v>
      </c>
      <c r="AF2190">
        <v>1.02692317251563</v>
      </c>
      <c r="AG2190">
        <v>-1.1099158720547999</v>
      </c>
      <c r="AH2190">
        <v>34.251217418497298</v>
      </c>
      <c r="AI2190">
        <v>91.855195828396205</v>
      </c>
      <c r="AJ2190">
        <v>88.282667094396899</v>
      </c>
      <c r="AK2190">
        <v>34.284579319199203</v>
      </c>
      <c r="AL2190">
        <v>88.143591658156296</v>
      </c>
      <c r="AM2190">
        <v>89.154675370032393</v>
      </c>
      <c r="AN2190">
        <v>1.0000000249916401</v>
      </c>
    </row>
    <row r="2191" spans="1:40" x14ac:dyDescent="0.25">
      <c r="A2191" t="str">
        <f>"20190312160337881"</f>
        <v>20190312160337881</v>
      </c>
      <c r="B2191" t="str">
        <f>"1552377817876996"</f>
        <v>1552377817876996</v>
      </c>
      <c r="C2191" t="s">
        <v>40</v>
      </c>
      <c r="D2191">
        <v>4.9572940000000001</v>
      </c>
      <c r="E2191">
        <v>0.5069688</v>
      </c>
      <c r="F2191" t="s">
        <v>70</v>
      </c>
      <c r="G2191">
        <v>-378.78930000000003</v>
      </c>
      <c r="H2191" s="1">
        <v>3.1404649999999999E-6</v>
      </c>
      <c r="I2191">
        <v>286.01819999999998</v>
      </c>
      <c r="J2191">
        <v>-347.1431</v>
      </c>
      <c r="K2191">
        <v>1.109912</v>
      </c>
      <c r="L2191">
        <v>284.39800000000002</v>
      </c>
      <c r="M2191">
        <v>-0.99971100000000002</v>
      </c>
      <c r="N2191">
        <v>0</v>
      </c>
      <c r="O2191">
        <v>2.0602570000000001E-2</v>
      </c>
      <c r="P2191">
        <v>-0.99917849999999997</v>
      </c>
      <c r="Q2191">
        <v>2.0108259999999999E-2</v>
      </c>
      <c r="R2191">
        <v>3.518839E-2</v>
      </c>
      <c r="S2191">
        <v>-2.9991460000000001</v>
      </c>
      <c r="T2191">
        <v>-0.104682399999999</v>
      </c>
      <c r="U2191">
        <v>0.15310670000000001</v>
      </c>
      <c r="V2191">
        <v>1.4600709999999999E-2</v>
      </c>
      <c r="W2191">
        <v>3.2502000000000003E-2</v>
      </c>
      <c r="X2191">
        <v>0.99936499999999995</v>
      </c>
      <c r="Y2191">
        <v>3.0389599999999999E-2</v>
      </c>
      <c r="Z2191">
        <v>-1.884957E-4</v>
      </c>
      <c r="AA2191">
        <v>0.99953809999999998</v>
      </c>
      <c r="AB2191">
        <v>29</v>
      </c>
      <c r="AC2191">
        <v>-31.6462</v>
      </c>
      <c r="AD2191">
        <v>-1.109908859535</v>
      </c>
      <c r="AE2191">
        <v>1.6202000000000101</v>
      </c>
      <c r="AF2191">
        <v>0.96662705500639401</v>
      </c>
      <c r="AG2191">
        <v>-1.109908859535</v>
      </c>
      <c r="AH2191">
        <v>31.6340542130161</v>
      </c>
      <c r="AI2191">
        <v>92.008512285125207</v>
      </c>
      <c r="AJ2191">
        <v>88.249784152814797</v>
      </c>
      <c r="AK2191">
        <v>31.668275158145001</v>
      </c>
      <c r="AL2191">
        <v>88.137444514764894</v>
      </c>
      <c r="AM2191">
        <v>89.162968938419198</v>
      </c>
      <c r="AN2191">
        <v>0.99999998198075102</v>
      </c>
    </row>
    <row r="2192" spans="1:40" x14ac:dyDescent="0.25">
      <c r="A2192" t="str">
        <f>"20190312160337893"</f>
        <v>20190312160337893</v>
      </c>
      <c r="B2192" t="str">
        <f>"1552377817886755"</f>
        <v>1552377817886755</v>
      </c>
      <c r="C2192" t="s">
        <v>40</v>
      </c>
      <c r="D2192">
        <v>4.912833</v>
      </c>
      <c r="E2192">
        <v>0.50713819999999998</v>
      </c>
      <c r="F2192" t="s">
        <v>70</v>
      </c>
      <c r="G2192">
        <v>-378.2174</v>
      </c>
      <c r="H2192" s="1">
        <v>2.8361210000000002E-6</v>
      </c>
      <c r="I2192">
        <v>285.98649999999998</v>
      </c>
      <c r="J2192">
        <v>-347.2894</v>
      </c>
      <c r="K2192">
        <v>1.109912</v>
      </c>
      <c r="L2192">
        <v>284.40109999999999</v>
      </c>
      <c r="M2192">
        <v>-0.99970999999999999</v>
      </c>
      <c r="N2192">
        <v>0</v>
      </c>
      <c r="O2192">
        <v>2.0648759999999999E-2</v>
      </c>
      <c r="P2192">
        <v>-0.99917829999999996</v>
      </c>
      <c r="Q2192">
        <v>2.0279220000000001E-2</v>
      </c>
      <c r="R2192">
        <v>3.5096839999999997E-2</v>
      </c>
      <c r="S2192">
        <v>-2.9992679999999998</v>
      </c>
      <c r="T2192">
        <v>-0.1071275</v>
      </c>
      <c r="U2192">
        <v>0.15332029999999999</v>
      </c>
      <c r="V2192">
        <v>1.4463E-2</v>
      </c>
      <c r="W2192">
        <v>3.2672609999999998E-2</v>
      </c>
      <c r="X2192">
        <v>0.99936150000000001</v>
      </c>
      <c r="Y2192">
        <v>3.0412080000000001E-2</v>
      </c>
      <c r="Z2192">
        <v>-1.9413389999999999E-4</v>
      </c>
      <c r="AA2192">
        <v>0.99953740000000002</v>
      </c>
      <c r="AB2192">
        <v>29</v>
      </c>
      <c r="AC2192">
        <v>-30.928000000000001</v>
      </c>
      <c r="AD2192">
        <v>-1.109909163879</v>
      </c>
      <c r="AE2192">
        <v>1.5853999999999899</v>
      </c>
      <c r="AF2192">
        <v>0.94517397520375501</v>
      </c>
      <c r="AG2192">
        <v>-1.109909163879</v>
      </c>
      <c r="AH2192">
        <v>30.914434583010301</v>
      </c>
      <c r="AI2192">
        <v>92.055225843279999</v>
      </c>
      <c r="AJ2192">
        <v>88.248791671961499</v>
      </c>
      <c r="AK2192">
        <v>30.948788631910801</v>
      </c>
      <c r="AL2192">
        <v>88.127664200994502</v>
      </c>
      <c r="AM2192">
        <v>89.170859581198002</v>
      </c>
      <c r="AN2192">
        <v>1.00000004274773</v>
      </c>
    </row>
    <row r="2193" spans="1:40" x14ac:dyDescent="0.25">
      <c r="A2193" t="str">
        <f>"20190312160337904"</f>
        <v>20190312160337904</v>
      </c>
      <c r="B2193" t="str">
        <f>"1552377817896516"</f>
        <v>1552377817896516</v>
      </c>
      <c r="C2193" t="s">
        <v>40</v>
      </c>
      <c r="D2193">
        <v>5.0254830000000004</v>
      </c>
      <c r="E2193">
        <v>0.50716159999999999</v>
      </c>
      <c r="F2193" t="s">
        <v>70</v>
      </c>
      <c r="G2193">
        <v>-377.84190000000001</v>
      </c>
      <c r="H2193" s="1">
        <v>2.6362650000000002E-6</v>
      </c>
      <c r="I2193">
        <v>285.97379999999998</v>
      </c>
      <c r="J2193">
        <v>-347.4341</v>
      </c>
      <c r="K2193">
        <v>1.109912</v>
      </c>
      <c r="L2193">
        <v>284.4042</v>
      </c>
      <c r="M2193">
        <v>-0.99970910000000002</v>
      </c>
      <c r="N2193">
        <v>0</v>
      </c>
      <c r="O2193">
        <v>2.0694299999999999E-2</v>
      </c>
      <c r="P2193">
        <v>-0.99918180000000001</v>
      </c>
      <c r="Q2193">
        <v>2.055015E-2</v>
      </c>
      <c r="R2193">
        <v>3.4839460000000003E-2</v>
      </c>
      <c r="S2193">
        <v>-2.9992679999999998</v>
      </c>
      <c r="T2193">
        <v>-0.10895730000000001</v>
      </c>
      <c r="U2193">
        <v>0.15438840000000001</v>
      </c>
      <c r="V2193">
        <v>1.416014E-2</v>
      </c>
      <c r="W2193">
        <v>3.2943310000000003E-2</v>
      </c>
      <c r="X2193">
        <v>0.99935689999999999</v>
      </c>
      <c r="Y2193">
        <v>3.0721200000000001E-2</v>
      </c>
      <c r="Z2193">
        <v>-1.9348799999999999E-4</v>
      </c>
      <c r="AA2193">
        <v>0.99952799999999997</v>
      </c>
      <c r="AB2193">
        <v>29</v>
      </c>
      <c r="AC2193">
        <v>-30.407800000000002</v>
      </c>
      <c r="AD2193">
        <v>-1.1099093637349999</v>
      </c>
      <c r="AE2193">
        <v>1.5695999999999799</v>
      </c>
      <c r="AF2193">
        <v>0.93870007802554201</v>
      </c>
      <c r="AG2193">
        <v>-1.1099093637349999</v>
      </c>
      <c r="AH2193">
        <v>30.393385655635299</v>
      </c>
      <c r="AI2193">
        <v>92.090409031876206</v>
      </c>
      <c r="AJ2193">
        <v>88.230981503671998</v>
      </c>
      <c r="AK2193">
        <v>30.428127583608699</v>
      </c>
      <c r="AL2193">
        <v>88.112145785112403</v>
      </c>
      <c r="AM2193">
        <v>89.188215971206105</v>
      </c>
      <c r="AN2193">
        <v>0.99999999240809201</v>
      </c>
    </row>
    <row r="2194" spans="1:40" x14ac:dyDescent="0.25">
      <c r="A2194" t="str">
        <f>"20190312160337920"</f>
        <v>20190312160337920</v>
      </c>
      <c r="B2194" t="str">
        <f>"1552377817917012"</f>
        <v>1552377817917012</v>
      </c>
      <c r="C2194" t="s">
        <v>40</v>
      </c>
      <c r="D2194">
        <v>4.9539809999999997</v>
      </c>
      <c r="E2194">
        <v>0.50711729999999999</v>
      </c>
      <c r="F2194" t="s">
        <v>70</v>
      </c>
      <c r="G2194">
        <v>-378.46820000000002</v>
      </c>
      <c r="H2194" s="1">
        <v>2.9695870000000002E-6</v>
      </c>
      <c r="I2194">
        <v>285.99720000000002</v>
      </c>
      <c r="J2194">
        <v>-347.63760000000002</v>
      </c>
      <c r="K2194">
        <v>1.109915</v>
      </c>
      <c r="L2194">
        <v>284.40839999999997</v>
      </c>
      <c r="M2194">
        <v>-0.99970760000000003</v>
      </c>
      <c r="N2194">
        <v>0</v>
      </c>
      <c r="O2194">
        <v>2.075902E-2</v>
      </c>
      <c r="P2194">
        <v>-0.9991833</v>
      </c>
      <c r="Q2194">
        <v>2.0808799999999999E-2</v>
      </c>
      <c r="R2194">
        <v>3.4638699999999897E-2</v>
      </c>
      <c r="S2194">
        <v>-2.9993289999999999</v>
      </c>
      <c r="T2194">
        <v>-0.10726819999999999</v>
      </c>
      <c r="U2194">
        <v>0.15396119999999999</v>
      </c>
      <c r="V2194">
        <v>1.3894750000000001E-2</v>
      </c>
      <c r="W2194">
        <v>3.3202089999999997E-2</v>
      </c>
      <c r="X2194">
        <v>0.99935209999999997</v>
      </c>
      <c r="Y2194">
        <v>3.0513809999999999E-2</v>
      </c>
      <c r="Z2194">
        <v>-1.9650439999999999E-4</v>
      </c>
      <c r="AA2194">
        <v>0.99953429999999999</v>
      </c>
      <c r="AB2194">
        <v>29</v>
      </c>
      <c r="AC2194">
        <v>-30.8306</v>
      </c>
      <c r="AD2194">
        <v>-1.1099120304129999</v>
      </c>
      <c r="AE2194">
        <v>1.58880000000004</v>
      </c>
      <c r="AF2194">
        <v>0.94717101129666104</v>
      </c>
      <c r="AG2194">
        <v>-1.1099120304129999</v>
      </c>
      <c r="AH2194">
        <v>30.817105773812902</v>
      </c>
      <c r="AI2194">
        <v>92.061706353327693</v>
      </c>
      <c r="AJ2194">
        <v>88.239554906816807</v>
      </c>
      <c r="AK2194">
        <v>30.851629550386299</v>
      </c>
      <c r="AL2194">
        <v>88.097310741621499</v>
      </c>
      <c r="AM2194">
        <v>89.203424660400103</v>
      </c>
      <c r="AN2194">
        <v>1.0000000313161601</v>
      </c>
    </row>
    <row r="2195" spans="1:40" x14ac:dyDescent="0.25">
      <c r="A2195" t="str">
        <f>"20190312160337934"</f>
        <v>20190312160337934</v>
      </c>
      <c r="B2195" t="str">
        <f>"1552377817926771"</f>
        <v>1552377817926771</v>
      </c>
      <c r="C2195" t="s">
        <v>40</v>
      </c>
      <c r="D2195">
        <v>4.8995930000000003</v>
      </c>
      <c r="E2195">
        <v>0.50703379999999998</v>
      </c>
      <c r="F2195" t="s">
        <v>70</v>
      </c>
      <c r="G2195">
        <v>-379.6601</v>
      </c>
      <c r="H2195" s="1">
        <v>3.6038300000000001E-6</v>
      </c>
      <c r="I2195">
        <v>286.0421</v>
      </c>
      <c r="J2195">
        <v>-347.80189999999999</v>
      </c>
      <c r="K2195">
        <v>1.1099159999999999</v>
      </c>
      <c r="L2195">
        <v>284.4119</v>
      </c>
      <c r="M2195">
        <v>-0.99970669999999995</v>
      </c>
      <c r="N2195">
        <v>0</v>
      </c>
      <c r="O2195">
        <v>2.0810760000000001E-2</v>
      </c>
      <c r="P2195">
        <v>-0.99918470000000004</v>
      </c>
      <c r="Q2195">
        <v>2.0852530000000001E-2</v>
      </c>
      <c r="R2195">
        <v>3.457532E-2</v>
      </c>
      <c r="S2195">
        <v>-2.9993590000000001</v>
      </c>
      <c r="T2195">
        <v>-0.103959</v>
      </c>
      <c r="U2195">
        <v>0.15301509999999999</v>
      </c>
      <c r="V2195">
        <v>1.3779639999999999E-2</v>
      </c>
      <c r="W2195">
        <v>3.3245469999999999E-2</v>
      </c>
      <c r="X2195">
        <v>0.99935220000000002</v>
      </c>
      <c r="Y2195">
        <v>3.0147730000000001E-2</v>
      </c>
      <c r="Z2195">
        <v>-1.9857499999999999E-4</v>
      </c>
      <c r="AA2195">
        <v>0.99954549999999998</v>
      </c>
      <c r="AB2195">
        <v>29</v>
      </c>
      <c r="AC2195">
        <v>-31.8582</v>
      </c>
      <c r="AD2195">
        <v>-1.1099123961699999</v>
      </c>
      <c r="AE2195">
        <v>1.6302000000000001</v>
      </c>
      <c r="AF2195">
        <v>0.96563368507050296</v>
      </c>
      <c r="AG2195">
        <v>-1.1099123961699999</v>
      </c>
      <c r="AH2195">
        <v>31.846674341618701</v>
      </c>
      <c r="AI2195">
        <v>91.995134201525502</v>
      </c>
      <c r="AJ2195">
        <v>88.263247585265105</v>
      </c>
      <c r="AK2195">
        <v>31.880637078986201</v>
      </c>
      <c r="AL2195">
        <v>88.094823779505305</v>
      </c>
      <c r="AM2195">
        <v>89.210023067480606</v>
      </c>
      <c r="AN2195">
        <v>0.99999997969944499</v>
      </c>
    </row>
    <row r="2196" spans="1:40" x14ac:dyDescent="0.25">
      <c r="A2196" t="str">
        <f>"20190312160337955"</f>
        <v>20190312160337955</v>
      </c>
      <c r="B2196" t="str">
        <f>"1552377817946291"</f>
        <v>1552377817946291</v>
      </c>
      <c r="C2196" t="s">
        <v>40</v>
      </c>
      <c r="D2196">
        <v>4.9439769999999896</v>
      </c>
      <c r="E2196">
        <v>0.50701799999999997</v>
      </c>
      <c r="F2196" t="s">
        <v>70</v>
      </c>
      <c r="G2196">
        <v>-379.79059999999998</v>
      </c>
      <c r="H2196" s="1">
        <v>3.673289E-6</v>
      </c>
      <c r="I2196">
        <v>286.03410000000002</v>
      </c>
      <c r="J2196">
        <v>-348.06569999999999</v>
      </c>
      <c r="K2196">
        <v>1.1099190000000001</v>
      </c>
      <c r="L2196">
        <v>284.41750000000002</v>
      </c>
      <c r="M2196">
        <v>-0.99970479999999995</v>
      </c>
      <c r="N2196">
        <v>0</v>
      </c>
      <c r="O2196">
        <v>2.0893970000000001E-2</v>
      </c>
      <c r="P2196">
        <v>-0.99919749999999996</v>
      </c>
      <c r="Q2196">
        <v>2.08232E-2</v>
      </c>
      <c r="R2196">
        <v>3.4215959999999997E-2</v>
      </c>
      <c r="S2196">
        <v>-2.9993590000000001</v>
      </c>
      <c r="T2196">
        <v>-0.1040688</v>
      </c>
      <c r="U2196">
        <v>0.1520996</v>
      </c>
      <c r="V2196">
        <v>1.3336850000000001E-2</v>
      </c>
      <c r="W2196">
        <v>3.3216389999999998E-2</v>
      </c>
      <c r="X2196">
        <v>0.9993592</v>
      </c>
      <c r="Y2196">
        <v>2.9760490000000001E-2</v>
      </c>
      <c r="Z2196">
        <v>-2.083818E-4</v>
      </c>
      <c r="AA2196">
        <v>0.99955700000000003</v>
      </c>
      <c r="AB2196">
        <v>29</v>
      </c>
      <c r="AC2196">
        <v>-31.724899999999899</v>
      </c>
      <c r="AD2196">
        <v>-1.109915326711</v>
      </c>
      <c r="AE2196">
        <v>1.6166</v>
      </c>
      <c r="AF2196">
        <v>0.95217452653091705</v>
      </c>
      <c r="AG2196">
        <v>-1.109915326711</v>
      </c>
      <c r="AH2196">
        <v>31.7130370618335</v>
      </c>
      <c r="AI2196">
        <v>92.003557954830399</v>
      </c>
      <c r="AJ2196">
        <v>88.280227880868395</v>
      </c>
      <c r="AK2196">
        <v>31.7467363369318</v>
      </c>
      <c r="AL2196">
        <v>88.096490910435193</v>
      </c>
      <c r="AM2196">
        <v>89.235410193695998</v>
      </c>
      <c r="AN2196">
        <v>1.00000000537859</v>
      </c>
    </row>
    <row r="2197" spans="1:40" x14ac:dyDescent="0.25">
      <c r="A2197" t="str">
        <f>"20190312160337967"</f>
        <v>20190312160337967</v>
      </c>
      <c r="B2197" t="str">
        <f>"1552377817957027"</f>
        <v>1552377817957027</v>
      </c>
      <c r="C2197" t="s">
        <v>40</v>
      </c>
      <c r="D2197">
        <v>4.9442339999999998</v>
      </c>
      <c r="E2197">
        <v>0.50700519999999905</v>
      </c>
      <c r="F2197" t="s">
        <v>70</v>
      </c>
      <c r="G2197">
        <v>-379.81229999999999</v>
      </c>
      <c r="H2197" s="1">
        <v>3.6848010000000001E-6</v>
      </c>
      <c r="I2197">
        <v>286.0154</v>
      </c>
      <c r="J2197">
        <v>-348.23399999999998</v>
      </c>
      <c r="K2197">
        <v>1.10992</v>
      </c>
      <c r="L2197">
        <v>284.42110000000002</v>
      </c>
      <c r="M2197">
        <v>-0.99970380000000003</v>
      </c>
      <c r="N2197">
        <v>0</v>
      </c>
      <c r="O2197">
        <v>2.094683E-2</v>
      </c>
      <c r="P2197">
        <v>-0.99920560000000003</v>
      </c>
      <c r="Q2197">
        <v>2.0760569999999999E-2</v>
      </c>
      <c r="R2197">
        <v>3.4019210000000001E-2</v>
      </c>
      <c r="S2197">
        <v>-2.9994200000000002</v>
      </c>
      <c r="T2197">
        <v>-0.104865</v>
      </c>
      <c r="U2197">
        <v>0.15097049999999901</v>
      </c>
      <c r="V2197">
        <v>1.3087110000000001E-2</v>
      </c>
      <c r="W2197">
        <v>3.3153479999999999E-2</v>
      </c>
      <c r="X2197">
        <v>0.99936460000000005</v>
      </c>
      <c r="Y2197">
        <v>2.933148E-2</v>
      </c>
      <c r="Z2197">
        <v>-2.193118E-4</v>
      </c>
      <c r="AA2197">
        <v>0.99956970000000001</v>
      </c>
      <c r="AB2197">
        <v>29</v>
      </c>
      <c r="AC2197">
        <v>-31.578299999999899</v>
      </c>
      <c r="AD2197">
        <v>-1.1099163151989999</v>
      </c>
      <c r="AE2197">
        <v>1.5942999999999701</v>
      </c>
      <c r="AF2197">
        <v>0.93128649947698905</v>
      </c>
      <c r="AG2197">
        <v>-1.1099163151989999</v>
      </c>
      <c r="AH2197">
        <v>31.565871554187101</v>
      </c>
      <c r="AI2197">
        <v>92.0129242162255</v>
      </c>
      <c r="AJ2197">
        <v>88.310095372139003</v>
      </c>
      <c r="AK2197">
        <v>31.599105299775299</v>
      </c>
      <c r="AL2197">
        <v>88.100097391976306</v>
      </c>
      <c r="AM2197">
        <v>89.249729968200498</v>
      </c>
      <c r="AN2197">
        <v>1.00000001470871</v>
      </c>
    </row>
    <row r="2198" spans="1:40" x14ac:dyDescent="0.25">
      <c r="A2198" t="str">
        <f>"20190312160337980"</f>
        <v>20190312160337980</v>
      </c>
      <c r="B2198" t="str">
        <f>"1552377817976548"</f>
        <v>1552377817976548</v>
      </c>
      <c r="C2198" t="s">
        <v>40</v>
      </c>
      <c r="D2198">
        <v>4.9491430000000003</v>
      </c>
      <c r="E2198">
        <v>0.50699700000000003</v>
      </c>
      <c r="F2198" t="s">
        <v>70</v>
      </c>
      <c r="G2198">
        <v>-379.72969999999998</v>
      </c>
      <c r="H2198" s="1">
        <v>3.6408689999999999E-6</v>
      </c>
      <c r="I2198">
        <v>285.99990000000003</v>
      </c>
      <c r="J2198">
        <v>-348.4008</v>
      </c>
      <c r="K2198">
        <v>1.1099220000000001</v>
      </c>
      <c r="L2198">
        <v>284.42469999999997</v>
      </c>
      <c r="M2198">
        <v>-0.9997028</v>
      </c>
      <c r="N2198">
        <v>0</v>
      </c>
      <c r="O2198">
        <v>2.099941E-2</v>
      </c>
      <c r="P2198">
        <v>-0.99920509999999996</v>
      </c>
      <c r="Q2198">
        <v>2.100459E-2</v>
      </c>
      <c r="R2198">
        <v>3.3886029999999998E-2</v>
      </c>
      <c r="S2198">
        <v>-2.9994809999999998</v>
      </c>
      <c r="T2198">
        <v>-0.1057025</v>
      </c>
      <c r="U2198">
        <v>0.1503601</v>
      </c>
      <c r="V2198">
        <v>1.290141E-2</v>
      </c>
      <c r="W2198">
        <v>3.339748E-2</v>
      </c>
      <c r="X2198">
        <v>0.99935890000000005</v>
      </c>
      <c r="Y2198">
        <v>2.9075130000000001E-2</v>
      </c>
      <c r="Z2198">
        <v>-2.2742269999999999E-4</v>
      </c>
      <c r="AA2198">
        <v>0.99957720000000005</v>
      </c>
      <c r="AB2198">
        <v>29</v>
      </c>
      <c r="AC2198">
        <v>-31.328899999999901</v>
      </c>
      <c r="AD2198">
        <v>-1.10991835913099</v>
      </c>
      <c r="AE2198">
        <v>1.5752000000000499</v>
      </c>
      <c r="AF2198">
        <v>0.91576721884966095</v>
      </c>
      <c r="AG2198">
        <v>-1.10991835913099</v>
      </c>
      <c r="AH2198">
        <v>31.315864707867501</v>
      </c>
      <c r="AI2198">
        <v>92.029000006986195</v>
      </c>
      <c r="AJ2198">
        <v>88.324981654230797</v>
      </c>
      <c r="AK2198">
        <v>31.348906372703301</v>
      </c>
      <c r="AL2198">
        <v>88.086109494491595</v>
      </c>
      <c r="AM2198">
        <v>89.260370541501999</v>
      </c>
      <c r="AN2198">
        <v>1.00000002452977</v>
      </c>
    </row>
    <row r="2199" spans="1:40" x14ac:dyDescent="0.25">
      <c r="A2199" t="str">
        <f>"20190312160337994"</f>
        <v>20190312160337994</v>
      </c>
      <c r="B2199" t="str">
        <f>"1552377817986308"</f>
        <v>1552377817986308</v>
      </c>
      <c r="C2199" t="s">
        <v>40</v>
      </c>
      <c r="D2199">
        <v>4.9384449999999998</v>
      </c>
      <c r="E2199">
        <v>0.50708980000000003</v>
      </c>
      <c r="F2199" t="s">
        <v>70</v>
      </c>
      <c r="G2199">
        <v>-380.44400000000002</v>
      </c>
      <c r="H2199" s="1">
        <v>-1.300498E-6</v>
      </c>
      <c r="I2199">
        <v>286.02569999999997</v>
      </c>
      <c r="J2199">
        <v>-348.56880000000001</v>
      </c>
      <c r="K2199">
        <v>1.1099220000000001</v>
      </c>
      <c r="L2199">
        <v>284.4282</v>
      </c>
      <c r="M2199">
        <v>-0.99970159999999997</v>
      </c>
      <c r="N2199">
        <v>0</v>
      </c>
      <c r="O2199">
        <v>2.1052270000000001E-2</v>
      </c>
      <c r="P2199">
        <v>-0.99920739999999997</v>
      </c>
      <c r="Q2199">
        <v>2.0982819999999999E-2</v>
      </c>
      <c r="R2199">
        <v>3.3832170000000002E-2</v>
      </c>
      <c r="S2199">
        <v>-2.9994510000000001</v>
      </c>
      <c r="T2199">
        <v>-0.103896</v>
      </c>
      <c r="U2199">
        <v>0.149871799999999</v>
      </c>
      <c r="V2199">
        <v>1.2794679999999999E-2</v>
      </c>
      <c r="W2199">
        <v>3.3375559999999999E-2</v>
      </c>
      <c r="X2199">
        <v>0.99936100000000005</v>
      </c>
      <c r="Y2199">
        <v>2.8860779999999999E-2</v>
      </c>
      <c r="Z2199">
        <v>-2.2907949999999999E-4</v>
      </c>
      <c r="AA2199">
        <v>0.99958340000000001</v>
      </c>
      <c r="AB2199">
        <v>29</v>
      </c>
      <c r="AC2199">
        <v>-31.8752</v>
      </c>
      <c r="AD2199">
        <v>-1.10992330049799</v>
      </c>
      <c r="AE2199">
        <v>1.59749999999996</v>
      </c>
      <c r="AF2199">
        <v>0.92493040819069505</v>
      </c>
      <c r="AG2199">
        <v>-1.10992330049799</v>
      </c>
      <c r="AH2199">
        <v>31.863230976579501</v>
      </c>
      <c r="AI2199">
        <v>91.994194307804307</v>
      </c>
      <c r="AJ2199">
        <v>88.337276866567805</v>
      </c>
      <c r="AK2199">
        <v>31.895970188408398</v>
      </c>
      <c r="AL2199">
        <v>88.087366109985595</v>
      </c>
      <c r="AM2199">
        <v>89.266490172966797</v>
      </c>
      <c r="AN2199">
        <v>1.0000000200813</v>
      </c>
    </row>
    <row r="2200" spans="1:40" x14ac:dyDescent="0.25">
      <c r="A2200" t="str">
        <f>"20190312160338005"</f>
        <v>20190312160338005</v>
      </c>
      <c r="B2200" t="str">
        <f>"1552377817997043"</f>
        <v>1552377817997043</v>
      </c>
      <c r="C2200" t="s">
        <v>40</v>
      </c>
      <c r="D2200">
        <v>4.9262160000000002</v>
      </c>
      <c r="E2200">
        <v>0.50708980000000003</v>
      </c>
      <c r="F2200" t="s">
        <v>70</v>
      </c>
      <c r="G2200">
        <v>-380.70389999999998</v>
      </c>
      <c r="H2200" s="1">
        <v>-1.162183E-6</v>
      </c>
      <c r="I2200">
        <v>286.04109999999997</v>
      </c>
      <c r="J2200">
        <v>-348.7253</v>
      </c>
      <c r="K2200">
        <v>1.1099220000000001</v>
      </c>
      <c r="L2200">
        <v>284.4316</v>
      </c>
      <c r="M2200">
        <v>-0.99970040000000004</v>
      </c>
      <c r="N2200">
        <v>0</v>
      </c>
      <c r="O2200">
        <v>2.110163E-2</v>
      </c>
      <c r="P2200">
        <v>-0.9992067</v>
      </c>
      <c r="Q2200">
        <v>2.1231980000000001E-2</v>
      </c>
      <c r="R2200">
        <v>3.3692359999999998E-2</v>
      </c>
      <c r="S2200">
        <v>-2.9994510000000001</v>
      </c>
      <c r="T2200">
        <v>-0.1035986</v>
      </c>
      <c r="U2200">
        <v>0.15054319999999999</v>
      </c>
      <c r="V2200">
        <v>1.260558E-2</v>
      </c>
      <c r="W2200">
        <v>3.3624809999999998E-2</v>
      </c>
      <c r="X2200">
        <v>0.99935499999999999</v>
      </c>
      <c r="Y2200">
        <v>2.9034569999999999E-2</v>
      </c>
      <c r="Z2200">
        <v>-2.271265E-4</v>
      </c>
      <c r="AA2200">
        <v>0.99957839999999998</v>
      </c>
      <c r="AB2200">
        <v>29</v>
      </c>
      <c r="AC2200">
        <v>-31.978599999999901</v>
      </c>
      <c r="AD2200">
        <v>-1.1099231621829999</v>
      </c>
      <c r="AE2200">
        <v>1.60949999999996</v>
      </c>
      <c r="AF2200">
        <v>0.933167757242643</v>
      </c>
      <c r="AG2200">
        <v>-1.1099231621829999</v>
      </c>
      <c r="AH2200">
        <v>31.967031784859699</v>
      </c>
      <c r="AI2200">
        <v>91.987714433165493</v>
      </c>
      <c r="AJ2200">
        <v>88.327921245545198</v>
      </c>
      <c r="AK2200">
        <v>31.9999039470955</v>
      </c>
      <c r="AL2200">
        <v>88.073077024758305</v>
      </c>
      <c r="AM2200">
        <v>89.277325643613395</v>
      </c>
      <c r="AN2200">
        <v>0.99999997225983595</v>
      </c>
    </row>
    <row r="2201" spans="1:40" x14ac:dyDescent="0.25">
      <c r="A2201" t="str">
        <f>"20190312160338021"</f>
        <v>20190312160338021</v>
      </c>
      <c r="B2201" t="str">
        <f>"1552377818016564"</f>
        <v>1552377818016564</v>
      </c>
      <c r="C2201" t="s">
        <v>40</v>
      </c>
      <c r="D2201">
        <v>4.8415140000000001</v>
      </c>
      <c r="E2201">
        <v>0.50790999999999997</v>
      </c>
      <c r="F2201" t="s">
        <v>70</v>
      </c>
      <c r="G2201">
        <v>-381.10390000000001</v>
      </c>
      <c r="H2201" s="1">
        <v>-9.4934269999999995E-7</v>
      </c>
      <c r="I2201">
        <v>286.04939999999999</v>
      </c>
      <c r="J2201">
        <v>-348.91309999999999</v>
      </c>
      <c r="K2201">
        <v>1.1099250000000001</v>
      </c>
      <c r="L2201">
        <v>284.43560000000002</v>
      </c>
      <c r="M2201">
        <v>-0.99969929999999996</v>
      </c>
      <c r="N2201">
        <v>0</v>
      </c>
      <c r="O2201">
        <v>2.1161349999999999E-2</v>
      </c>
      <c r="P2201">
        <v>-0.99922520000000004</v>
      </c>
      <c r="Q2201">
        <v>2.125088E-2</v>
      </c>
      <c r="R2201">
        <v>3.3129640000000002E-2</v>
      </c>
      <c r="S2201">
        <v>-2.9995419999999999</v>
      </c>
      <c r="T2201">
        <v>-0.10282280000000001</v>
      </c>
      <c r="U2201">
        <v>0.149871799999999</v>
      </c>
      <c r="V2201">
        <v>1.198283E-2</v>
      </c>
      <c r="W2201">
        <v>3.3643399999999997E-2</v>
      </c>
      <c r="X2201">
        <v>0.99936210000000003</v>
      </c>
      <c r="Y2201">
        <v>2.8750419999999999E-2</v>
      </c>
      <c r="Z2201">
        <v>-2.323316E-4</v>
      </c>
      <c r="AA2201">
        <v>0.99958659999999999</v>
      </c>
      <c r="AB2201">
        <v>29</v>
      </c>
      <c r="AC2201">
        <v>-32.190800000000003</v>
      </c>
      <c r="AD2201">
        <v>-1.1099259493426901</v>
      </c>
      <c r="AE2201">
        <v>1.6137999999999599</v>
      </c>
      <c r="AF2201">
        <v>0.93108136142987996</v>
      </c>
      <c r="AG2201">
        <v>-1.1099259493426901</v>
      </c>
      <c r="AH2201">
        <v>32.179582768453301</v>
      </c>
      <c r="AI2201">
        <v>91.974615424514695</v>
      </c>
      <c r="AJ2201">
        <v>88.342671085014601</v>
      </c>
      <c r="AK2201">
        <v>32.212177747962997</v>
      </c>
      <c r="AL2201">
        <v>88.072011417589195</v>
      </c>
      <c r="AM2201">
        <v>89.313029095672306</v>
      </c>
      <c r="AN2201">
        <v>1.00000003674738</v>
      </c>
    </row>
    <row r="2202" spans="1:40" x14ac:dyDescent="0.25">
      <c r="A2202" t="str">
        <f>"20190312160338033"</f>
        <v>20190312160338033</v>
      </c>
      <c r="B2202" t="str">
        <f>"1552377818026324"</f>
        <v>1552377818026324</v>
      </c>
      <c r="C2202" t="s">
        <v>40</v>
      </c>
      <c r="D2202">
        <v>3.9011640000000001</v>
      </c>
      <c r="E2202">
        <v>0.50790999999999997</v>
      </c>
      <c r="F2202" t="s">
        <v>70</v>
      </c>
      <c r="G2202">
        <v>-382.59070000000003</v>
      </c>
      <c r="H2202" s="1">
        <v>-1.5817250000000001E-7</v>
      </c>
      <c r="I2202">
        <v>286.17700000000002</v>
      </c>
      <c r="J2202">
        <v>-349.06290000000001</v>
      </c>
      <c r="K2202">
        <v>1.109926</v>
      </c>
      <c r="L2202">
        <v>284.43880000000001</v>
      </c>
      <c r="M2202">
        <v>-0.99969819999999998</v>
      </c>
      <c r="N2202">
        <v>0</v>
      </c>
      <c r="O2202">
        <v>2.120903E-2</v>
      </c>
      <c r="P2202">
        <v>-0.99923010000000001</v>
      </c>
      <c r="Q2202">
        <v>2.1203980000000001E-2</v>
      </c>
      <c r="R2202">
        <v>3.3013180000000003E-2</v>
      </c>
      <c r="S2202">
        <v>-2.9993289999999999</v>
      </c>
      <c r="T2202">
        <v>-9.8850129999999994E-2</v>
      </c>
      <c r="U2202">
        <v>0.15509029999999999</v>
      </c>
      <c r="V2202">
        <v>1.18187E-2</v>
      </c>
      <c r="W2202">
        <v>3.3596210000000001E-2</v>
      </c>
      <c r="X2202">
        <v>0.99936559999999997</v>
      </c>
      <c r="Y2202">
        <v>3.0440390000000001E-2</v>
      </c>
      <c r="Z2202">
        <v>-1.971101E-4</v>
      </c>
      <c r="AA2202">
        <v>0.9995366</v>
      </c>
      <c r="AB2202">
        <v>29</v>
      </c>
      <c r="AC2202">
        <v>-33.527799999999999</v>
      </c>
      <c r="AD2202">
        <v>-1.1099261581725</v>
      </c>
      <c r="AE2202">
        <v>1.7382</v>
      </c>
      <c r="AF2202">
        <v>1.0255412935533099</v>
      </c>
      <c r="AG2202">
        <v>-1.1099261581725</v>
      </c>
      <c r="AH2202">
        <v>33.520488339955101</v>
      </c>
      <c r="AI2202">
        <v>91.895591387706304</v>
      </c>
      <c r="AJ2202">
        <v>88.247613094085096</v>
      </c>
      <c r="AK2202">
        <v>33.554534858502201</v>
      </c>
      <c r="AL2202">
        <v>88.074716653729197</v>
      </c>
      <c r="AM2202">
        <v>89.322440093079294</v>
      </c>
      <c r="AN2202">
        <v>0.99999999472970702</v>
      </c>
    </row>
    <row r="2203" spans="1:40" x14ac:dyDescent="0.25">
      <c r="A2203" t="str">
        <f>"20190312160338098"</f>
        <v>20190312160338098</v>
      </c>
      <c r="B2203" t="str">
        <f>"1552377818086836"</f>
        <v>1552377818086836</v>
      </c>
      <c r="C2203" t="s">
        <v>40</v>
      </c>
      <c r="D2203">
        <v>4.6413149999999996</v>
      </c>
      <c r="E2203">
        <v>0.50625690000000001</v>
      </c>
      <c r="F2203" t="s">
        <v>70</v>
      </c>
      <c r="G2203">
        <v>-382.69310000000002</v>
      </c>
      <c r="H2203" s="1">
        <v>-1.0364440000000001E-7</v>
      </c>
      <c r="I2203">
        <v>286.17469999999997</v>
      </c>
      <c r="J2203">
        <v>-349.90609999999998</v>
      </c>
      <c r="K2203">
        <v>1.1099250000000001</v>
      </c>
      <c r="L2203">
        <v>284.45710000000003</v>
      </c>
      <c r="M2203">
        <v>-0.99969240000000004</v>
      </c>
      <c r="N2203">
        <v>0</v>
      </c>
      <c r="O2203">
        <v>2.1475210000000002E-2</v>
      </c>
      <c r="P2203">
        <v>-0.99921910000000003</v>
      </c>
      <c r="Q2203">
        <v>2.1402649999999999E-2</v>
      </c>
      <c r="R2203">
        <v>3.3212110000000003E-2</v>
      </c>
      <c r="S2203">
        <v>-2.999298</v>
      </c>
      <c r="T2203">
        <v>-9.8988290000000007E-2</v>
      </c>
      <c r="U2203">
        <v>0.1548157</v>
      </c>
      <c r="V2203">
        <v>1.175149E-2</v>
      </c>
      <c r="W2203">
        <v>3.3794949999999997E-2</v>
      </c>
      <c r="X2203">
        <v>0.99935969999999996</v>
      </c>
      <c r="Y2203">
        <v>3.0083809999999999E-2</v>
      </c>
      <c r="Z2203">
        <v>-2.1204040000000001E-4</v>
      </c>
      <c r="AA2203">
        <v>0.99954739999999997</v>
      </c>
      <c r="AB2203">
        <v>29</v>
      </c>
      <c r="AC2203">
        <v>-32.786999999999999</v>
      </c>
      <c r="AD2203">
        <v>-1.1099251036444</v>
      </c>
      <c r="AE2203">
        <v>1.7175999999999401</v>
      </c>
      <c r="AF2203">
        <v>1.0118854776766899</v>
      </c>
      <c r="AG2203">
        <v>-1.1099251036444</v>
      </c>
      <c r="AH2203">
        <v>32.7788644774649</v>
      </c>
      <c r="AI2203">
        <v>91.938428673337199</v>
      </c>
      <c r="AJ2203">
        <v>88.231837431082496</v>
      </c>
      <c r="AK2203">
        <v>32.813256503852898</v>
      </c>
      <c r="AL2203">
        <v>88.063323236751003</v>
      </c>
      <c r="AM2203">
        <v>89.326288874113004</v>
      </c>
      <c r="AN2203">
        <v>1.0000000030734</v>
      </c>
    </row>
    <row r="2204" spans="1:40" x14ac:dyDescent="0.25">
      <c r="A2204" t="str">
        <f>"20190312160338121"</f>
        <v>20190312160338121</v>
      </c>
      <c r="B2204" t="str">
        <f>"1552377818117092"</f>
        <v>1552377818117092</v>
      </c>
      <c r="C2204" t="s">
        <v>40</v>
      </c>
      <c r="D2204">
        <v>5.0037289999999999</v>
      </c>
      <c r="E2204">
        <v>0.49793910000000002</v>
      </c>
      <c r="F2204" t="s">
        <v>49</v>
      </c>
      <c r="G2204">
        <v>-350.63869999999997</v>
      </c>
      <c r="H2204">
        <v>0.80691230000000003</v>
      </c>
      <c r="I2204">
        <v>284.47919999999999</v>
      </c>
      <c r="J2204">
        <v>-350.19940000000003</v>
      </c>
      <c r="K2204">
        <v>1.1099319999999999</v>
      </c>
      <c r="L2204">
        <v>284.46350000000001</v>
      </c>
      <c r="M2204">
        <v>-0.99969050000000004</v>
      </c>
      <c r="N2204">
        <v>0</v>
      </c>
      <c r="O2204">
        <v>2.156742E-2</v>
      </c>
      <c r="P2204">
        <v>-0.99921099999999996</v>
      </c>
      <c r="Q2204">
        <v>2.1659520000000002E-2</v>
      </c>
      <c r="R2204">
        <v>3.3294820000000003E-2</v>
      </c>
      <c r="S2204">
        <v>-3.0261840000000002</v>
      </c>
      <c r="T2204">
        <v>-1.251593</v>
      </c>
      <c r="U2204">
        <v>9.0393070000000006E-2</v>
      </c>
      <c r="V2204">
        <v>1.174245E-2</v>
      </c>
      <c r="W2204">
        <v>3.4051339999999999E-2</v>
      </c>
      <c r="X2204">
        <v>0.99935110000000005</v>
      </c>
      <c r="Y2204">
        <v>9.2974879999999996E-3</v>
      </c>
      <c r="Z2204">
        <v>-6.7194189999999999E-3</v>
      </c>
      <c r="AA2204">
        <v>0.9999342</v>
      </c>
      <c r="AB2204">
        <v>29</v>
      </c>
      <c r="AC2204">
        <v>-0.43929999999994601</v>
      </c>
      <c r="AD2204">
        <v>-0.303019699999999</v>
      </c>
      <c r="AE2204">
        <v>1.5699999999981101E-2</v>
      </c>
      <c r="AF2204">
        <v>4.21712607792433E-3</v>
      </c>
      <c r="AG2204">
        <v>-0.303019699999999</v>
      </c>
      <c r="AH2204">
        <v>0.297952936724318</v>
      </c>
      <c r="AI2204">
        <v>135.480176973212</v>
      </c>
      <c r="AJ2204">
        <v>89.189108870600705</v>
      </c>
      <c r="AK2204">
        <v>0.424987853053581</v>
      </c>
      <c r="AL2204">
        <v>88.048624705989795</v>
      </c>
      <c r="AM2204">
        <v>89.326801295532405</v>
      </c>
      <c r="AN2204">
        <v>0.99999999997950395</v>
      </c>
    </row>
    <row r="2205" spans="1:40" x14ac:dyDescent="0.25">
      <c r="A2205" t="str">
        <f>"20190312160338134"</f>
        <v>20190312160338134</v>
      </c>
      <c r="B2205" t="str">
        <f>"1552377818126851"</f>
        <v>1552377818126851</v>
      </c>
      <c r="C2205" t="s">
        <v>40</v>
      </c>
      <c r="D2205">
        <v>4.925052</v>
      </c>
      <c r="E2205">
        <v>0.49691879999999999</v>
      </c>
      <c r="F2205" t="s">
        <v>49</v>
      </c>
      <c r="G2205">
        <v>-350.99979999999999</v>
      </c>
      <c r="H2205">
        <v>1.0378499999999999</v>
      </c>
      <c r="I2205">
        <v>284.48180000000002</v>
      </c>
      <c r="J2205">
        <v>-350.36630000000002</v>
      </c>
      <c r="K2205">
        <v>1.1099330000000001</v>
      </c>
      <c r="L2205">
        <v>284.46719999999999</v>
      </c>
      <c r="M2205">
        <v>-0.99968950000000001</v>
      </c>
      <c r="N2205">
        <v>0</v>
      </c>
      <c r="O2205">
        <v>2.1620110000000001E-2</v>
      </c>
      <c r="P2205">
        <v>-0.99920030000000004</v>
      </c>
      <c r="Q2205">
        <v>2.1919589999999999E-2</v>
      </c>
      <c r="R2205">
        <v>3.3448800000000001E-2</v>
      </c>
      <c r="S2205">
        <v>-3.0059200000000001</v>
      </c>
      <c r="T2205">
        <v>-0.27072780000000002</v>
      </c>
      <c r="U2205">
        <v>6.8420410000000001E-2</v>
      </c>
      <c r="V2205">
        <v>1.1843960000000001E-2</v>
      </c>
      <c r="W2205">
        <v>3.4311540000000001E-2</v>
      </c>
      <c r="X2205">
        <v>0.99934100000000003</v>
      </c>
      <c r="Y2205">
        <v>1.2170320000000001E-3</v>
      </c>
      <c r="Z2205">
        <v>-1.888257E-3</v>
      </c>
      <c r="AA2205">
        <v>0.99999749999999998</v>
      </c>
      <c r="AB2205">
        <v>28</v>
      </c>
      <c r="AC2205">
        <v>-0.63349999999996898</v>
      </c>
      <c r="AD2205">
        <v>-7.2083000000000105E-2</v>
      </c>
      <c r="AE2205">
        <v>1.46000000000299E-2</v>
      </c>
      <c r="AF2205">
        <v>8.8770886626652798E-4</v>
      </c>
      <c r="AG2205">
        <v>-7.2083000000000105E-2</v>
      </c>
      <c r="AH2205">
        <v>0.62557252979204903</v>
      </c>
      <c r="AI2205">
        <v>96.573039820298106</v>
      </c>
      <c r="AJ2205">
        <v>89.918695379173897</v>
      </c>
      <c r="AK2205">
        <v>0.62971242400516103</v>
      </c>
      <c r="AL2205">
        <v>88.033707622793102</v>
      </c>
      <c r="AM2205">
        <v>89.320975372849801</v>
      </c>
      <c r="AN2205">
        <v>0.99999999772332604</v>
      </c>
    </row>
    <row r="2206" spans="1:40" x14ac:dyDescent="0.25">
      <c r="A2206" t="str">
        <f>"20190312160338148"</f>
        <v>20190312160338148</v>
      </c>
      <c r="B2206" t="str">
        <f>"1552377818136612"</f>
        <v>1552377818136612</v>
      </c>
      <c r="C2206" t="s">
        <v>40</v>
      </c>
      <c r="D2206">
        <v>5.0256239999999996</v>
      </c>
      <c r="E2206">
        <v>0.49509059999999999</v>
      </c>
      <c r="F2206" t="s">
        <v>49</v>
      </c>
      <c r="G2206">
        <v>-351.25439999999998</v>
      </c>
      <c r="H2206">
        <v>1.037515</v>
      </c>
      <c r="I2206">
        <v>284.48570000000001</v>
      </c>
      <c r="J2206">
        <v>-350.52730000000003</v>
      </c>
      <c r="K2206">
        <v>1.109931</v>
      </c>
      <c r="L2206">
        <v>284.47070000000002</v>
      </c>
      <c r="M2206">
        <v>-0.99968829999999997</v>
      </c>
      <c r="N2206">
        <v>0</v>
      </c>
      <c r="O2206">
        <v>2.1671300000000001E-2</v>
      </c>
      <c r="P2206">
        <v>-0.99920560000000003</v>
      </c>
      <c r="Q2206">
        <v>2.181812E-2</v>
      </c>
      <c r="R2206">
        <v>3.3350390000000001E-2</v>
      </c>
      <c r="S2206">
        <v>-3.0057680000000002</v>
      </c>
      <c r="T2206">
        <v>-0.2451807</v>
      </c>
      <c r="U2206">
        <v>6.1706539999999997E-2</v>
      </c>
      <c r="V2206">
        <v>1.1694070000000001E-2</v>
      </c>
      <c r="W2206">
        <v>3.4210030000000002E-2</v>
      </c>
      <c r="X2206">
        <v>0.99934630000000002</v>
      </c>
      <c r="Y2206">
        <v>-1.0726689999999901E-3</v>
      </c>
      <c r="Z2206">
        <v>-1.808219E-3</v>
      </c>
      <c r="AA2206">
        <v>0.99999780000000005</v>
      </c>
      <c r="AB2206">
        <v>28</v>
      </c>
      <c r="AC2206">
        <v>-0.72709999999995001</v>
      </c>
      <c r="AD2206">
        <v>-7.2415999999999994E-2</v>
      </c>
      <c r="AE2206">
        <v>1.49999999999863E-2</v>
      </c>
      <c r="AF2206">
        <v>-7.5445578558551397E-4</v>
      </c>
      <c r="AG2206">
        <v>-7.2415999999999994E-2</v>
      </c>
      <c r="AH2206">
        <v>0.72011432150201804</v>
      </c>
      <c r="AI2206">
        <v>95.742458899807403</v>
      </c>
      <c r="AJ2206">
        <v>90.060028130584897</v>
      </c>
      <c r="AK2206">
        <v>0.72374669760341204</v>
      </c>
      <c r="AL2206">
        <v>88.039527241049598</v>
      </c>
      <c r="AM2206">
        <v>89.329571464061402</v>
      </c>
      <c r="AN2206">
        <v>1.0000000523747199</v>
      </c>
    </row>
    <row r="2207" spans="1:40" x14ac:dyDescent="0.25">
      <c r="A2207" t="str">
        <f>"20190312160338165"</f>
        <v>20190312160338165</v>
      </c>
      <c r="B2207" t="str">
        <f>"1552377818157108"</f>
        <v>1552377818157108</v>
      </c>
      <c r="C2207" t="s">
        <v>40</v>
      </c>
      <c r="D2207">
        <v>4.8555089999999996</v>
      </c>
      <c r="E2207">
        <v>0.49676550000000003</v>
      </c>
      <c r="F2207" t="s">
        <v>49</v>
      </c>
      <c r="G2207">
        <v>-351.51029999999997</v>
      </c>
      <c r="H2207">
        <v>1.0377000000000001</v>
      </c>
      <c r="I2207">
        <v>284.48649999999998</v>
      </c>
      <c r="J2207">
        <v>-350.76679999999999</v>
      </c>
      <c r="K2207">
        <v>1.1099319999999999</v>
      </c>
      <c r="L2207">
        <v>284.476</v>
      </c>
      <c r="M2207">
        <v>-0.99968670000000004</v>
      </c>
      <c r="N2207">
        <v>0</v>
      </c>
      <c r="O2207">
        <v>2.1746990000000001E-2</v>
      </c>
      <c r="P2207">
        <v>-0.99918680000000004</v>
      </c>
      <c r="Q2207">
        <v>2.183628E-2</v>
      </c>
      <c r="R2207">
        <v>3.3900060000000003E-2</v>
      </c>
      <c r="S2207">
        <v>-3.0056150000000001</v>
      </c>
      <c r="T2207">
        <v>-0.22086320000000001</v>
      </c>
      <c r="U2207">
        <v>4.7973630000000003E-2</v>
      </c>
      <c r="V2207">
        <v>1.2168490000000001E-2</v>
      </c>
      <c r="W2207">
        <v>3.4228139999999997E-2</v>
      </c>
      <c r="X2207">
        <v>0.99933989999999995</v>
      </c>
      <c r="Y2207">
        <v>-5.7163469999999897E-3</v>
      </c>
      <c r="Z2207">
        <v>-1.8054849999999999E-3</v>
      </c>
      <c r="AA2207">
        <v>0.99998209999999998</v>
      </c>
      <c r="AB2207">
        <v>28</v>
      </c>
      <c r="AC2207">
        <v>-0.74349999999998295</v>
      </c>
      <c r="AD2207">
        <v>-7.2231999999999796E-2</v>
      </c>
      <c r="AE2207">
        <v>1.0499999999979E-2</v>
      </c>
      <c r="AF2207">
        <v>-5.6195831343968704E-3</v>
      </c>
      <c r="AG2207">
        <v>-7.2231999999999796E-2</v>
      </c>
      <c r="AH2207">
        <v>0.73660156364738805</v>
      </c>
      <c r="AI2207">
        <v>95.600422447362803</v>
      </c>
      <c r="AJ2207">
        <v>90.437104895867904</v>
      </c>
      <c r="AK2207">
        <v>0.74015600052041797</v>
      </c>
      <c r="AL2207">
        <v>88.038488779562599</v>
      </c>
      <c r="AM2207">
        <v>89.302370829469595</v>
      </c>
      <c r="AN2207">
        <v>0.99999993672437204</v>
      </c>
    </row>
    <row r="2208" spans="1:40" x14ac:dyDescent="0.25">
      <c r="A2208" t="str">
        <f>"20190312160338178"</f>
        <v>20190312160338178</v>
      </c>
      <c r="B2208" t="str">
        <f>"1552377818166868"</f>
        <v>1552377818166868</v>
      </c>
      <c r="C2208" t="s">
        <v>40</v>
      </c>
      <c r="D2208">
        <v>4.863251</v>
      </c>
      <c r="E2208">
        <v>0.49602889999999999</v>
      </c>
      <c r="F2208" t="s">
        <v>70</v>
      </c>
      <c r="G2208">
        <v>-368.45870000000002</v>
      </c>
      <c r="H2208" s="1">
        <v>2.964533E-6</v>
      </c>
      <c r="I2208">
        <v>284.85500000000002</v>
      </c>
      <c r="J2208">
        <v>-350.91820000000001</v>
      </c>
      <c r="K2208">
        <v>1.109934</v>
      </c>
      <c r="L2208">
        <v>284.4794</v>
      </c>
      <c r="M2208">
        <v>-0.99968570000000001</v>
      </c>
      <c r="N2208">
        <v>0</v>
      </c>
      <c r="O2208">
        <v>2.1794859999999999E-2</v>
      </c>
      <c r="P2208">
        <v>-0.99918790000000002</v>
      </c>
      <c r="Q2208">
        <v>2.1826390000000001E-2</v>
      </c>
      <c r="R2208">
        <v>3.3880340000000002E-2</v>
      </c>
      <c r="S2208">
        <v>-3.0043639999999998</v>
      </c>
      <c r="T2208">
        <v>-0.1884825</v>
      </c>
      <c r="U2208">
        <v>6.4361570000000007E-2</v>
      </c>
      <c r="V2208">
        <v>1.2100909999999999E-2</v>
      </c>
      <c r="W2208">
        <v>3.4218140000000001E-2</v>
      </c>
      <c r="X2208">
        <v>0.99934109999999998</v>
      </c>
      <c r="Y2208">
        <v>-3.3535489999999998E-4</v>
      </c>
      <c r="Z2208">
        <v>-1.3762799999999999E-3</v>
      </c>
      <c r="AA2208">
        <v>0.99999899999999997</v>
      </c>
      <c r="AB2208">
        <v>28</v>
      </c>
      <c r="AC2208">
        <v>-17.540500000000002</v>
      </c>
      <c r="AD2208">
        <v>-1.109931035467</v>
      </c>
      <c r="AE2208">
        <v>0.37560000000001897</v>
      </c>
      <c r="AF2208">
        <v>-6.7841634334894702E-3</v>
      </c>
      <c r="AG2208">
        <v>-1.109931035467</v>
      </c>
      <c r="AH2208">
        <v>17.474581227494198</v>
      </c>
      <c r="AI2208">
        <v>93.634367147707707</v>
      </c>
      <c r="AJ2208">
        <v>90.022243961539104</v>
      </c>
      <c r="AK2208">
        <v>17.509796743670702</v>
      </c>
      <c r="AL2208">
        <v>88.039062145634503</v>
      </c>
      <c r="AM2208">
        <v>89.306245697639795</v>
      </c>
      <c r="AN2208">
        <v>0.99999997363854798</v>
      </c>
    </row>
    <row r="2209" spans="1:40" x14ac:dyDescent="0.25">
      <c r="A2209" t="str">
        <f>"20190312160338190"</f>
        <v>20190312160338190</v>
      </c>
      <c r="B2209" t="str">
        <f>"1552377818186388"</f>
        <v>1552377818186388</v>
      </c>
      <c r="C2209" t="s">
        <v>40</v>
      </c>
      <c r="D2209">
        <v>4.8532190000000002</v>
      </c>
      <c r="E2209">
        <v>0.49507960000000001</v>
      </c>
      <c r="F2209" t="s">
        <v>70</v>
      </c>
      <c r="G2209">
        <v>-369.50130000000001</v>
      </c>
      <c r="H2209" s="1">
        <v>3.519325E-6</v>
      </c>
      <c r="I2209">
        <v>284.84410000000003</v>
      </c>
      <c r="J2209">
        <v>-351.07190000000003</v>
      </c>
      <c r="K2209">
        <v>1.109934</v>
      </c>
      <c r="L2209">
        <v>284.4828</v>
      </c>
      <c r="M2209">
        <v>-0.99968449999999998</v>
      </c>
      <c r="N2209">
        <v>0</v>
      </c>
      <c r="O2209">
        <v>2.184355E-2</v>
      </c>
      <c r="P2209">
        <v>-0.9991778</v>
      </c>
      <c r="Q2209">
        <v>2.1953110000000001E-2</v>
      </c>
      <c r="R2209">
        <v>3.4090339999999997E-2</v>
      </c>
      <c r="S2209">
        <v>-3.0043329999999999</v>
      </c>
      <c r="T2209">
        <v>-0.1794432</v>
      </c>
      <c r="U2209">
        <v>5.8959959999999999E-2</v>
      </c>
      <c r="V2209">
        <v>1.226241E-2</v>
      </c>
      <c r="W2209">
        <v>3.4344890000000003E-2</v>
      </c>
      <c r="X2209">
        <v>0.99933479999999997</v>
      </c>
      <c r="Y2209">
        <v>-2.1817189999999999E-3</v>
      </c>
      <c r="Z2209">
        <v>-1.368431E-3</v>
      </c>
      <c r="AA2209">
        <v>0.99999669999999896</v>
      </c>
      <c r="AB2209">
        <v>28</v>
      </c>
      <c r="AC2209">
        <v>-18.429399999999902</v>
      </c>
      <c r="AD2209">
        <v>-1.1099304806750001</v>
      </c>
      <c r="AE2209">
        <v>0.36130000000002799</v>
      </c>
      <c r="AF2209">
        <v>-4.1231196451976801E-2</v>
      </c>
      <c r="AG2209">
        <v>-1.1099304806750001</v>
      </c>
      <c r="AH2209">
        <v>18.3663024727955</v>
      </c>
      <c r="AI2209">
        <v>93.458340247895507</v>
      </c>
      <c r="AJ2209">
        <v>90.128625213262097</v>
      </c>
      <c r="AK2209">
        <v>18.399856309376599</v>
      </c>
      <c r="AL2209">
        <v>88.031795667110799</v>
      </c>
      <c r="AM2209">
        <v>89.2969832724215</v>
      </c>
      <c r="AN2209">
        <v>0.99999999032957998</v>
      </c>
    </row>
    <row r="2210" spans="1:40" x14ac:dyDescent="0.25">
      <c r="A2210" t="str">
        <f>"20190312160338202"</f>
        <v>20190312160338202</v>
      </c>
      <c r="B2210" t="str">
        <f>"1552377818197126"</f>
        <v>1552377818197126</v>
      </c>
      <c r="C2210" t="s">
        <v>40</v>
      </c>
      <c r="D2210">
        <v>5.1035810000000001</v>
      </c>
      <c r="E2210">
        <v>0.49450870000000002</v>
      </c>
      <c r="F2210" t="s">
        <v>70</v>
      </c>
      <c r="G2210">
        <v>-370.96499999999997</v>
      </c>
      <c r="H2210" s="1">
        <v>-1.0232560000000001E-6</v>
      </c>
      <c r="I2210">
        <v>284.8297</v>
      </c>
      <c r="J2210">
        <v>-351.2199</v>
      </c>
      <c r="K2210">
        <v>1.1099330000000001</v>
      </c>
      <c r="L2210">
        <v>284.48599999999999</v>
      </c>
      <c r="M2210">
        <v>-0.99968360000000001</v>
      </c>
      <c r="N2210">
        <v>0</v>
      </c>
      <c r="O2210">
        <v>2.1890219999999998E-2</v>
      </c>
      <c r="P2210">
        <v>-0.99916150000000004</v>
      </c>
      <c r="Q2210">
        <v>2.2415620000000001E-2</v>
      </c>
      <c r="R2210">
        <v>3.4264620000000003E-2</v>
      </c>
      <c r="S2210">
        <v>-3.0043639999999998</v>
      </c>
      <c r="T2210">
        <v>-0.167628</v>
      </c>
      <c r="U2210">
        <v>5.2398680000000003E-2</v>
      </c>
      <c r="V2210">
        <v>1.239035E-2</v>
      </c>
      <c r="W2210">
        <v>3.4807629999999999E-2</v>
      </c>
      <c r="X2210">
        <v>0.99931720000000002</v>
      </c>
      <c r="Y2210">
        <v>-4.413653E-3</v>
      </c>
      <c r="Z2210">
        <v>-1.343307E-3</v>
      </c>
      <c r="AA2210">
        <v>0.99998929999999997</v>
      </c>
      <c r="AB2210">
        <v>28</v>
      </c>
      <c r="AC2210">
        <v>-19.745099999999901</v>
      </c>
      <c r="AD2210">
        <v>-1.109934023256</v>
      </c>
      <c r="AE2210">
        <v>0.343700000000012</v>
      </c>
      <c r="AF2210">
        <v>-8.8361004946397606E-2</v>
      </c>
      <c r="AG2210">
        <v>-1.109934023256</v>
      </c>
      <c r="AH2210">
        <v>19.685705856131701</v>
      </c>
      <c r="AI2210">
        <v>93.227043820454497</v>
      </c>
      <c r="AJ2210">
        <v>90.257175368472105</v>
      </c>
      <c r="AK2210">
        <v>19.717169580274799</v>
      </c>
      <c r="AL2210">
        <v>88.005266732455596</v>
      </c>
      <c r="AM2210">
        <v>89.289636577359204</v>
      </c>
      <c r="AN2210">
        <v>0.99999997904758897</v>
      </c>
    </row>
    <row r="2211" spans="1:40" x14ac:dyDescent="0.25">
      <c r="A2211" t="str">
        <f>"20190312160338212"</f>
        <v>20190312160338212</v>
      </c>
      <c r="B2211" t="str">
        <f>"1552377818206885"</f>
        <v>1552377818206885</v>
      </c>
      <c r="C2211" t="s">
        <v>40</v>
      </c>
      <c r="D2211">
        <v>5.0349050000000002</v>
      </c>
      <c r="E2211">
        <v>0.49410759999999998</v>
      </c>
      <c r="F2211" t="s">
        <v>70</v>
      </c>
      <c r="G2211">
        <v>-372.38839999999999</v>
      </c>
      <c r="H2211" s="1">
        <v>-2.6579289999999998E-7</v>
      </c>
      <c r="I2211">
        <v>284.82960000000003</v>
      </c>
      <c r="J2211">
        <v>-351.36079999999998</v>
      </c>
      <c r="K2211">
        <v>1.109936</v>
      </c>
      <c r="L2211">
        <v>284.48919999999998</v>
      </c>
      <c r="M2211">
        <v>-0.99968250000000003</v>
      </c>
      <c r="N2211">
        <v>0</v>
      </c>
      <c r="O2211">
        <v>2.193492E-2</v>
      </c>
      <c r="P2211">
        <v>-0.99916490000000002</v>
      </c>
      <c r="Q2211">
        <v>2.2410059999999999E-2</v>
      </c>
      <c r="R2211">
        <v>3.4162599999999897E-2</v>
      </c>
      <c r="S2211">
        <v>-3.0043639999999998</v>
      </c>
      <c r="T2211">
        <v>-0.15752859999999999</v>
      </c>
      <c r="U2211">
        <v>4.8767089999999999E-2</v>
      </c>
      <c r="V2211">
        <v>1.2243499999999999E-2</v>
      </c>
      <c r="W2211">
        <v>3.4801430000000001E-2</v>
      </c>
      <c r="X2211">
        <v>0.99931930000000002</v>
      </c>
      <c r="Y2211">
        <v>-5.6697759999999996E-3</v>
      </c>
      <c r="Z2211">
        <v>-1.297753E-3</v>
      </c>
      <c r="AA2211">
        <v>0.99998310000000001</v>
      </c>
      <c r="AB2211">
        <v>28</v>
      </c>
      <c r="AC2211">
        <v>-21.0276</v>
      </c>
      <c r="AD2211">
        <v>-1.1099362657928999</v>
      </c>
      <c r="AE2211">
        <v>0.340400000000045</v>
      </c>
      <c r="AF2211">
        <v>-0.120620113061433</v>
      </c>
      <c r="AG2211">
        <v>-1.1099362657928999</v>
      </c>
      <c r="AH2211">
        <v>20.971590889395099</v>
      </c>
      <c r="AI2211">
        <v>93.029542946476397</v>
      </c>
      <c r="AJ2211">
        <v>90.329538528252499</v>
      </c>
      <c r="AK2211">
        <v>21.001288821354699</v>
      </c>
      <c r="AL2211">
        <v>88.005622329371903</v>
      </c>
      <c r="AM2211">
        <v>89.298056407566705</v>
      </c>
      <c r="AN2211">
        <v>1.00000005308739</v>
      </c>
    </row>
    <row r="2212" spans="1:40" x14ac:dyDescent="0.25">
      <c r="A2212" t="str">
        <f>"20190312160338223"</f>
        <v>20190312160338223</v>
      </c>
      <c r="B2212" t="str">
        <f>"1552377818216644"</f>
        <v>1552377818216644</v>
      </c>
      <c r="C2212" t="s">
        <v>40</v>
      </c>
      <c r="D2212">
        <v>4.8139539999999998</v>
      </c>
      <c r="E2212">
        <v>0.49406090000000003</v>
      </c>
      <c r="F2212" t="s">
        <v>70</v>
      </c>
      <c r="G2212">
        <v>-373.07170000000002</v>
      </c>
      <c r="H2212" s="1">
        <v>9.7845659999999999E-8</v>
      </c>
      <c r="I2212">
        <v>284.8193</v>
      </c>
      <c r="J2212">
        <v>-351.50240000000002</v>
      </c>
      <c r="K2212">
        <v>1.109937</v>
      </c>
      <c r="L2212">
        <v>284.4923</v>
      </c>
      <c r="M2212">
        <v>-0.99968170000000001</v>
      </c>
      <c r="N2212">
        <v>0</v>
      </c>
      <c r="O2212">
        <v>2.1979269999999999E-2</v>
      </c>
      <c r="P2212">
        <v>-0.99917080000000003</v>
      </c>
      <c r="Q2212">
        <v>2.2474580000000001E-2</v>
      </c>
      <c r="R2212">
        <v>3.3953089999999998E-2</v>
      </c>
      <c r="S2212">
        <v>-3.0044249999999999</v>
      </c>
      <c r="T2212">
        <v>-0.15359639999999999</v>
      </c>
      <c r="U2212">
        <v>4.5684809999999999E-2</v>
      </c>
      <c r="V2212">
        <v>1.1989619999999999E-2</v>
      </c>
      <c r="W2212">
        <v>3.4866250000000001E-2</v>
      </c>
      <c r="X2212">
        <v>0.99932010000000004</v>
      </c>
      <c r="Y2212">
        <v>-6.7405090000000004E-3</v>
      </c>
      <c r="Z2212">
        <v>-1.2950049999999999E-3</v>
      </c>
      <c r="AA2212">
        <v>0.99997650000000005</v>
      </c>
      <c r="AB2212">
        <v>28</v>
      </c>
      <c r="AC2212">
        <v>-21.569299999999998</v>
      </c>
      <c r="AD2212">
        <v>-1.1099369021543399</v>
      </c>
      <c r="AE2212">
        <v>0.32699999999999801</v>
      </c>
      <c r="AF2212">
        <v>-0.14680418941593101</v>
      </c>
      <c r="AG2212">
        <v>-1.1099369021543399</v>
      </c>
      <c r="AH2212">
        <v>21.514318727975301</v>
      </c>
      <c r="AI2212">
        <v>92.953237478030601</v>
      </c>
      <c r="AJ2212">
        <v>90.390954974358294</v>
      </c>
      <c r="AK2212">
        <v>21.5434310574175</v>
      </c>
      <c r="AL2212">
        <v>88.001906124350796</v>
      </c>
      <c r="AM2212">
        <v>89.312610979000297</v>
      </c>
      <c r="AN2212">
        <v>1.0000000343204001</v>
      </c>
    </row>
    <row r="2213" spans="1:40" x14ac:dyDescent="0.25">
      <c r="A2213" t="str">
        <f>"20190312160338235"</f>
        <v>20190312160338235</v>
      </c>
      <c r="B2213" t="str">
        <f>"1552377818226404"</f>
        <v>1552377818226404</v>
      </c>
      <c r="C2213" t="s">
        <v>40</v>
      </c>
      <c r="D2213">
        <v>4.8381970000000001</v>
      </c>
      <c r="E2213">
        <v>0.49379849999999997</v>
      </c>
      <c r="F2213" t="s">
        <v>70</v>
      </c>
      <c r="G2213">
        <v>-373.64490000000001</v>
      </c>
      <c r="H2213" s="1">
        <v>4.0282450000000002E-7</v>
      </c>
      <c r="I2213">
        <v>284.82429999999999</v>
      </c>
      <c r="J2213">
        <v>-351.6413</v>
      </c>
      <c r="K2213">
        <v>1.109937</v>
      </c>
      <c r="L2213">
        <v>284.49540000000002</v>
      </c>
      <c r="M2213">
        <v>-0.99968060000000003</v>
      </c>
      <c r="N2213">
        <v>0</v>
      </c>
      <c r="O2213">
        <v>2.202308E-2</v>
      </c>
      <c r="P2213">
        <v>-0.99917500000000004</v>
      </c>
      <c r="Q2213">
        <v>2.2502790000000002E-2</v>
      </c>
      <c r="R2213">
        <v>3.3813759999999998E-2</v>
      </c>
      <c r="S2213">
        <v>-3.0043329999999999</v>
      </c>
      <c r="T2213">
        <v>-0.1505985</v>
      </c>
      <c r="U2213">
        <v>4.5043949999999999E-2</v>
      </c>
      <c r="V2213">
        <v>1.1806499999999999E-2</v>
      </c>
      <c r="W2213">
        <v>3.4894349999999998E-2</v>
      </c>
      <c r="X2213">
        <v>0.99932129999999997</v>
      </c>
      <c r="Y2213">
        <v>-6.9981990000000001E-3</v>
      </c>
      <c r="Z2213">
        <v>-1.27845E-3</v>
      </c>
      <c r="AA2213">
        <v>0.99997469999999999</v>
      </c>
      <c r="AB2213">
        <v>28</v>
      </c>
      <c r="AC2213">
        <v>-22.003599999999999</v>
      </c>
      <c r="AD2213">
        <v>-1.1099365971755</v>
      </c>
      <c r="AE2213">
        <v>0.32889999999997599</v>
      </c>
      <c r="AF2213">
        <v>-0.155408711379036</v>
      </c>
      <c r="AG2213">
        <v>-1.1099365971755</v>
      </c>
      <c r="AH2213">
        <v>21.949667154903601</v>
      </c>
      <c r="AI2213">
        <v>92.894757818447502</v>
      </c>
      <c r="AJ2213">
        <v>90.405660569427496</v>
      </c>
      <c r="AK2213">
        <v>21.978261972421201</v>
      </c>
      <c r="AL2213">
        <v>88.000295133806105</v>
      </c>
      <c r="AM2213">
        <v>89.323109445116501</v>
      </c>
      <c r="AN2213">
        <v>1.00000003486893</v>
      </c>
    </row>
    <row r="2214" spans="1:40" x14ac:dyDescent="0.25">
      <c r="A2214" t="str">
        <f>"20190312160338245"</f>
        <v>20190312160338245</v>
      </c>
      <c r="B2214" t="str">
        <f>"1552377818237140"</f>
        <v>1552377818237140</v>
      </c>
      <c r="C2214" t="s">
        <v>40</v>
      </c>
      <c r="D2214">
        <v>4.7964359999999999</v>
      </c>
      <c r="E2214">
        <v>0.49386099999999999</v>
      </c>
      <c r="F2214" t="s">
        <v>70</v>
      </c>
      <c r="G2214">
        <v>-374.17989999999998</v>
      </c>
      <c r="H2214" s="1">
        <v>6.8755839999999996E-7</v>
      </c>
      <c r="I2214">
        <v>284.81549999999999</v>
      </c>
      <c r="J2214">
        <v>-351.78530000000001</v>
      </c>
      <c r="K2214">
        <v>1.109928</v>
      </c>
      <c r="L2214">
        <v>284.49869999999999</v>
      </c>
      <c r="M2214">
        <v>-0.99967969999999895</v>
      </c>
      <c r="N2214">
        <v>0</v>
      </c>
      <c r="O2214">
        <v>2.206843E-2</v>
      </c>
      <c r="P2214">
        <v>-0.99919519999999995</v>
      </c>
      <c r="Q2214">
        <v>2.2183700000000001E-2</v>
      </c>
      <c r="R2214">
        <v>3.3424189999999999E-2</v>
      </c>
      <c r="S2214">
        <v>-3.0043639999999998</v>
      </c>
      <c r="T2214">
        <v>-0.14795259999999999</v>
      </c>
      <c r="U2214">
        <v>4.2663569999999998E-2</v>
      </c>
      <c r="V2214">
        <v>1.137112E-2</v>
      </c>
      <c r="W2214">
        <v>3.4575549999999997E-2</v>
      </c>
      <c r="X2214">
        <v>0.99933740000000004</v>
      </c>
      <c r="Y2214">
        <v>-7.8360310000000002E-3</v>
      </c>
      <c r="Z2214">
        <v>-1.2788610000000001E-3</v>
      </c>
      <c r="AA2214">
        <v>0.99996850000000004</v>
      </c>
      <c r="AB2214">
        <v>28</v>
      </c>
      <c r="AC2214">
        <v>-22.394599999999901</v>
      </c>
      <c r="AD2214">
        <v>-1.1099273124416</v>
      </c>
      <c r="AE2214">
        <v>0.31680000000000003</v>
      </c>
      <c r="AF2214">
        <v>-0.177093828140994</v>
      </c>
      <c r="AG2214">
        <v>-1.1099273124416</v>
      </c>
      <c r="AH2214">
        <v>22.341268516431501</v>
      </c>
      <c r="AI2214">
        <v>92.844060298796194</v>
      </c>
      <c r="AJ2214">
        <v>90.454160264566298</v>
      </c>
      <c r="AK2214">
        <v>22.369523459076301</v>
      </c>
      <c r="AL2214">
        <v>88.018571997648806</v>
      </c>
      <c r="AM2214">
        <v>89.348078968758898</v>
      </c>
      <c r="AN2214">
        <v>1.0000000050333</v>
      </c>
    </row>
    <row r="2215" spans="1:40" x14ac:dyDescent="0.25">
      <c r="A2215" t="str">
        <f>"20190312160338258"</f>
        <v>20190312160338258</v>
      </c>
      <c r="B2215" t="str">
        <f>"1552377818246899"</f>
        <v>1552377818246899</v>
      </c>
      <c r="C2215" t="s">
        <v>40</v>
      </c>
      <c r="D2215">
        <v>4.878501</v>
      </c>
      <c r="E2215">
        <v>0.49389060000000001</v>
      </c>
      <c r="F2215" t="s">
        <v>70</v>
      </c>
      <c r="G2215">
        <v>-374.80220000000003</v>
      </c>
      <c r="H2215" s="1">
        <v>1.0186779999999999E-6</v>
      </c>
      <c r="I2215">
        <v>284.82040000000001</v>
      </c>
      <c r="J2215">
        <v>-351.93650000000002</v>
      </c>
      <c r="K2215">
        <v>1.109928</v>
      </c>
      <c r="L2215">
        <v>284.50200000000001</v>
      </c>
      <c r="M2215">
        <v>-0.99967850000000003</v>
      </c>
      <c r="N2215">
        <v>0</v>
      </c>
      <c r="O2215">
        <v>2.2116469999999999E-2</v>
      </c>
      <c r="P2215">
        <v>-0.99920560000000003</v>
      </c>
      <c r="Q2215">
        <v>2.2076040000000002E-2</v>
      </c>
      <c r="R2215">
        <v>3.3174599999999999E-2</v>
      </c>
      <c r="S2215">
        <v>-3.0042110000000002</v>
      </c>
      <c r="T2215">
        <v>-0.14487</v>
      </c>
      <c r="U2215">
        <v>4.1992189999999999E-2</v>
      </c>
      <c r="V2215">
        <v>1.107327E-2</v>
      </c>
      <c r="W2215">
        <v>3.4467850000000001E-2</v>
      </c>
      <c r="X2215">
        <v>0.99934449999999997</v>
      </c>
      <c r="Y2215">
        <v>-8.1079159999999997E-3</v>
      </c>
      <c r="Z2215">
        <v>-1.26118E-3</v>
      </c>
      <c r="AA2215">
        <v>0.99996629999999997</v>
      </c>
      <c r="AB2215">
        <v>28</v>
      </c>
      <c r="AC2215">
        <v>-22.8657</v>
      </c>
      <c r="AD2215">
        <v>-1.1099269813220001</v>
      </c>
      <c r="AE2215">
        <v>0.31839999999999602</v>
      </c>
      <c r="AF2215">
        <v>-0.18698484728310399</v>
      </c>
      <c r="AG2215">
        <v>-1.1099269813220001</v>
      </c>
      <c r="AH2215">
        <v>22.813405164147301</v>
      </c>
      <c r="AI2215">
        <v>92.785287614032399</v>
      </c>
      <c r="AJ2215">
        <v>90.469601210744401</v>
      </c>
      <c r="AK2215">
        <v>22.8411548836857</v>
      </c>
      <c r="AL2215">
        <v>88.024746502127797</v>
      </c>
      <c r="AM2215">
        <v>89.365158188484799</v>
      </c>
      <c r="AN2215">
        <v>1.0000000398361799</v>
      </c>
    </row>
    <row r="2216" spans="1:40" x14ac:dyDescent="0.25">
      <c r="A2216" t="str">
        <f>"20190312160338271"</f>
        <v>20190312160338271</v>
      </c>
      <c r="B2216" t="str">
        <f>"1552377818266420"</f>
        <v>1552377818266420</v>
      </c>
      <c r="C2216" t="s">
        <v>40</v>
      </c>
      <c r="D2216">
        <v>4.8516560000000002</v>
      </c>
      <c r="E2216">
        <v>0.4940486</v>
      </c>
      <c r="F2216" t="s">
        <v>70</v>
      </c>
      <c r="G2216">
        <v>-375.54579999999999</v>
      </c>
      <c r="H2216" s="1">
        <v>1.414423E-6</v>
      </c>
      <c r="I2216">
        <v>284.82819999999998</v>
      </c>
      <c r="J2216">
        <v>-352.09530000000001</v>
      </c>
      <c r="K2216">
        <v>1.1099289999999999</v>
      </c>
      <c r="L2216">
        <v>284.50560000000002</v>
      </c>
      <c r="M2216">
        <v>-0.9996775</v>
      </c>
      <c r="N2216">
        <v>0</v>
      </c>
      <c r="O2216">
        <v>2.2166660000000001E-2</v>
      </c>
      <c r="P2216">
        <v>-0.99922710000000003</v>
      </c>
      <c r="Q2216">
        <v>2.1845170000000001E-2</v>
      </c>
      <c r="R2216">
        <v>3.2683099999999903E-2</v>
      </c>
      <c r="S2216">
        <v>-3.0041199999999999</v>
      </c>
      <c r="T2216">
        <v>-0.1412301</v>
      </c>
      <c r="U2216">
        <v>4.1503909999999998E-2</v>
      </c>
      <c r="V2216">
        <v>1.0531220000000001E-2</v>
      </c>
      <c r="W2216">
        <v>3.4237190000000001E-2</v>
      </c>
      <c r="X2216">
        <v>0.99935819999999997</v>
      </c>
      <c r="Y2216">
        <v>-8.3216319999999903E-3</v>
      </c>
      <c r="Z2216">
        <v>-1.2369449999999999E-3</v>
      </c>
      <c r="AA2216">
        <v>0.99996459999999998</v>
      </c>
      <c r="AB2216">
        <v>28</v>
      </c>
      <c r="AC2216">
        <v>-23.450499999999899</v>
      </c>
      <c r="AD2216">
        <v>-1.1099275855769899</v>
      </c>
      <c r="AE2216">
        <v>0.32259999999996503</v>
      </c>
      <c r="AF2216">
        <v>-0.19689744415515201</v>
      </c>
      <c r="AG2216">
        <v>-1.1099275855769899</v>
      </c>
      <c r="AH2216">
        <v>23.399479204382398</v>
      </c>
      <c r="AI2216">
        <v>92.7156283565227</v>
      </c>
      <c r="AJ2216">
        <v>90.482110144322206</v>
      </c>
      <c r="AK2216">
        <v>23.426615950347301</v>
      </c>
      <c r="AL2216">
        <v>88.037969978303394</v>
      </c>
      <c r="AM2216">
        <v>89.396240381934106</v>
      </c>
      <c r="AN2216">
        <v>0.99999995184051105</v>
      </c>
    </row>
    <row r="2217" spans="1:40" x14ac:dyDescent="0.25">
      <c r="A2217" t="str">
        <f>"20190312160338283"</f>
        <v>20190312160338283</v>
      </c>
      <c r="B2217" t="str">
        <f>"1552377818277156"</f>
        <v>1552377818277156</v>
      </c>
      <c r="C2217" t="s">
        <v>40</v>
      </c>
      <c r="D2217">
        <v>4.761679</v>
      </c>
      <c r="E2217">
        <v>0.49420740000000002</v>
      </c>
      <c r="F2217" t="s">
        <v>70</v>
      </c>
      <c r="G2217">
        <v>-375.8109</v>
      </c>
      <c r="H2217" s="1">
        <v>1.5554510000000001E-6</v>
      </c>
      <c r="I2217">
        <v>284.83179999999999</v>
      </c>
      <c r="J2217">
        <v>-352.2543</v>
      </c>
      <c r="K2217">
        <v>1.1099349999999999</v>
      </c>
      <c r="L2217">
        <v>284.50920000000002</v>
      </c>
      <c r="M2217">
        <v>-0.99967629999999996</v>
      </c>
      <c r="N2217">
        <v>0</v>
      </c>
      <c r="O2217">
        <v>2.2216960000000001E-2</v>
      </c>
      <c r="P2217">
        <v>-0.99922619999999895</v>
      </c>
      <c r="Q2217">
        <v>2.1825549999999999E-2</v>
      </c>
      <c r="R2217">
        <v>3.2727729999999997E-2</v>
      </c>
      <c r="S2217">
        <v>-3.0040279999999999</v>
      </c>
      <c r="T2217">
        <v>-0.14059340000000001</v>
      </c>
      <c r="U2217">
        <v>4.1320799999999998E-2</v>
      </c>
      <c r="V2217">
        <v>1.05256E-2</v>
      </c>
      <c r="W2217">
        <v>3.4217659999999997E-2</v>
      </c>
      <c r="X2217">
        <v>0.999359</v>
      </c>
      <c r="Y2217">
        <v>-8.4325919999999992E-3</v>
      </c>
      <c r="Z2217">
        <v>-1.2363599999999999E-3</v>
      </c>
      <c r="AA2217">
        <v>0.99996370000000001</v>
      </c>
      <c r="AB2217">
        <v>28</v>
      </c>
      <c r="AC2217">
        <v>-23.5566</v>
      </c>
      <c r="AD2217">
        <v>-1.1099334445489999</v>
      </c>
      <c r="AE2217">
        <v>0.32259999999996503</v>
      </c>
      <c r="AF2217">
        <v>-0.20043101416748699</v>
      </c>
      <c r="AG2217">
        <v>-1.1099334445489999</v>
      </c>
      <c r="AH2217">
        <v>23.505777514773701</v>
      </c>
      <c r="AI2217">
        <v>92.703377627484898</v>
      </c>
      <c r="AJ2217">
        <v>90.488542566977401</v>
      </c>
      <c r="AK2217">
        <v>23.5328217903593</v>
      </c>
      <c r="AL2217">
        <v>88.039089761920906</v>
      </c>
      <c r="AM2217">
        <v>89.396563038274607</v>
      </c>
      <c r="AN2217">
        <v>1.00000002369611</v>
      </c>
    </row>
    <row r="2218" spans="1:40" x14ac:dyDescent="0.25">
      <c r="A2218" t="str">
        <f>"20190312160338294"</f>
        <v>20190312160338294</v>
      </c>
      <c r="B2218" t="str">
        <f>"1552377818286915"</f>
        <v>1552377818286915</v>
      </c>
      <c r="C2218" t="s">
        <v>40</v>
      </c>
      <c r="D2218">
        <v>4.7079940000000002</v>
      </c>
      <c r="E2218">
        <v>0.4943323</v>
      </c>
      <c r="F2218" t="s">
        <v>70</v>
      </c>
      <c r="G2218">
        <v>-376.54419999999999</v>
      </c>
      <c r="H2218" s="1">
        <v>1.945713E-6</v>
      </c>
      <c r="I2218">
        <v>284.85669999999999</v>
      </c>
      <c r="J2218">
        <v>-352.39839999999998</v>
      </c>
      <c r="K2218">
        <v>1.1099349999999999</v>
      </c>
      <c r="L2218">
        <v>284.51249999999999</v>
      </c>
      <c r="M2218">
        <v>-0.99967530000000004</v>
      </c>
      <c r="N2218">
        <v>0</v>
      </c>
      <c r="O2218">
        <v>2.2262790000000001E-2</v>
      </c>
      <c r="P2218">
        <v>-0.9992337</v>
      </c>
      <c r="Q2218">
        <v>2.2139530000000001E-2</v>
      </c>
      <c r="R2218">
        <v>3.228379E-2</v>
      </c>
      <c r="S2218">
        <v>-3.0039370000000001</v>
      </c>
      <c r="T2218">
        <v>-0.13726559999999999</v>
      </c>
      <c r="U2218">
        <v>4.296875E-2</v>
      </c>
      <c r="V2218">
        <v>1.0035779999999999E-2</v>
      </c>
      <c r="W2218">
        <v>3.453171E-2</v>
      </c>
      <c r="X2218">
        <v>0.99935320000000005</v>
      </c>
      <c r="Y2218">
        <v>-7.9315949999999996E-3</v>
      </c>
      <c r="Z2218">
        <v>-1.1978100000000001E-3</v>
      </c>
      <c r="AA2218">
        <v>0.99996779999999996</v>
      </c>
      <c r="AB2218">
        <v>28</v>
      </c>
      <c r="AC2218">
        <v>-24.145800000000001</v>
      </c>
      <c r="AD2218">
        <v>-1.1099330542870001</v>
      </c>
      <c r="AE2218">
        <v>0.34420000000000001</v>
      </c>
      <c r="AF2218">
        <v>-0.1930716147374</v>
      </c>
      <c r="AG2218">
        <v>-1.1099330542870001</v>
      </c>
      <c r="AH2218">
        <v>24.0965710812678</v>
      </c>
      <c r="AI2218">
        <v>92.637201929784496</v>
      </c>
      <c r="AJ2218">
        <v>90.459067471215107</v>
      </c>
      <c r="AK2218">
        <v>24.122892983802998</v>
      </c>
      <c r="AL2218">
        <v>88.021085309991406</v>
      </c>
      <c r="AM2218">
        <v>89.424639346766298</v>
      </c>
      <c r="AN2218">
        <v>0.99999998711298599</v>
      </c>
    </row>
    <row r="2219" spans="1:40" x14ac:dyDescent="0.25">
      <c r="A2219" t="str">
        <f>"20190312160338306"</f>
        <v>20190312160338306</v>
      </c>
      <c r="B2219" t="str">
        <f>"1552377818296676"</f>
        <v>1552377818296676</v>
      </c>
      <c r="C2219" t="s">
        <v>40</v>
      </c>
      <c r="D2219">
        <v>4.883419</v>
      </c>
      <c r="E2219">
        <v>0.49442390000000003</v>
      </c>
      <c r="F2219" t="s">
        <v>70</v>
      </c>
      <c r="G2219">
        <v>-377.76299999999998</v>
      </c>
      <c r="H2219" s="1">
        <v>2.5943019999999999E-6</v>
      </c>
      <c r="I2219">
        <v>284.87549999999999</v>
      </c>
      <c r="J2219">
        <v>-352.5566</v>
      </c>
      <c r="K2219">
        <v>1.1099349999999999</v>
      </c>
      <c r="L2219">
        <v>284.51609999999999</v>
      </c>
      <c r="M2219">
        <v>-0.99967419999999996</v>
      </c>
      <c r="N2219">
        <v>0</v>
      </c>
      <c r="O2219">
        <v>2.2312800000000001E-2</v>
      </c>
      <c r="P2219">
        <v>-0.99924599999999997</v>
      </c>
      <c r="Q2219">
        <v>2.221337E-2</v>
      </c>
      <c r="R2219">
        <v>3.1843160000000002E-2</v>
      </c>
      <c r="S2219">
        <v>-3.0038149999999999</v>
      </c>
      <c r="T2219">
        <v>-0.13144420000000001</v>
      </c>
      <c r="U2219">
        <v>4.2999269999999999E-2</v>
      </c>
      <c r="V2219">
        <v>9.5448830000000005E-3</v>
      </c>
      <c r="W2219">
        <v>3.4605089999999998E-2</v>
      </c>
      <c r="X2219">
        <v>0.99935549999999995</v>
      </c>
      <c r="Y2219">
        <v>-7.9733990000000008E-3</v>
      </c>
      <c r="Z2219">
        <v>-1.1502089999999999E-3</v>
      </c>
      <c r="AA2219">
        <v>0.99996759999999996</v>
      </c>
      <c r="AB2219">
        <v>28</v>
      </c>
      <c r="AC2219">
        <v>-25.206399999999999</v>
      </c>
      <c r="AD2219">
        <v>-1.109932405698</v>
      </c>
      <c r="AE2219">
        <v>0.359399999999993</v>
      </c>
      <c r="AF2219">
        <v>-0.20276498530506201</v>
      </c>
      <c r="AG2219">
        <v>-1.109932405698</v>
      </c>
      <c r="AH2219">
        <v>25.159370063790199</v>
      </c>
      <c r="AI2219">
        <v>92.525944519948695</v>
      </c>
      <c r="AJ2219">
        <v>90.461749493194901</v>
      </c>
      <c r="AK2219">
        <v>25.1846573451224</v>
      </c>
      <c r="AL2219">
        <v>88.016878489059806</v>
      </c>
      <c r="AM2219">
        <v>89.452782434793207</v>
      </c>
      <c r="AN2219">
        <v>1.00000001621282</v>
      </c>
    </row>
    <row r="2220" spans="1:40" x14ac:dyDescent="0.25">
      <c r="A2220" t="str">
        <f>"20190312160338318"</f>
        <v>20190312160338318</v>
      </c>
      <c r="B2220" t="str">
        <f>"1552377818306437"</f>
        <v>1552377818306437</v>
      </c>
      <c r="C2220" t="s">
        <v>40</v>
      </c>
      <c r="D2220">
        <v>4.8103020000000001</v>
      </c>
      <c r="E2220">
        <v>0.49468489999999998</v>
      </c>
      <c r="F2220" t="s">
        <v>70</v>
      </c>
      <c r="G2220">
        <v>-378.7448</v>
      </c>
      <c r="H2220" s="1">
        <v>3.116754E-6</v>
      </c>
      <c r="I2220">
        <v>284.88589999999999</v>
      </c>
      <c r="J2220">
        <v>-352.69659999999999</v>
      </c>
      <c r="K2220">
        <v>1.1099380000000001</v>
      </c>
      <c r="L2220">
        <v>284.51920000000001</v>
      </c>
      <c r="M2220">
        <v>-0.99967320000000004</v>
      </c>
      <c r="N2220">
        <v>0</v>
      </c>
      <c r="O2220">
        <v>2.235732E-2</v>
      </c>
      <c r="P2220">
        <v>-0.99925280000000005</v>
      </c>
      <c r="Q2220">
        <v>2.2171059999999999E-2</v>
      </c>
      <c r="R2220">
        <v>3.1662089999999997E-2</v>
      </c>
      <c r="S2220">
        <v>-3.0037539999999998</v>
      </c>
      <c r="T2220">
        <v>-0.1273079</v>
      </c>
      <c r="U2220">
        <v>4.2419430000000001E-2</v>
      </c>
      <c r="V2220">
        <v>9.3192290000000001E-3</v>
      </c>
      <c r="W2220">
        <v>3.4563160000000002E-2</v>
      </c>
      <c r="X2220">
        <v>0.99935909999999994</v>
      </c>
      <c r="Y2220">
        <v>-8.2121729999999997E-3</v>
      </c>
      <c r="Z2220">
        <v>-1.121014E-3</v>
      </c>
      <c r="AA2220">
        <v>0.99996569999999996</v>
      </c>
      <c r="AB2220">
        <v>28</v>
      </c>
      <c r="AC2220">
        <v>-26.048200000000001</v>
      </c>
      <c r="AD2220">
        <v>-1.1099348832460001</v>
      </c>
      <c r="AE2220">
        <v>0.36669999999997999</v>
      </c>
      <c r="AF2220">
        <v>-0.21541331510314199</v>
      </c>
      <c r="AG2220">
        <v>-1.1099348832460001</v>
      </c>
      <c r="AH2220">
        <v>26.002683925436401</v>
      </c>
      <c r="AI2220">
        <v>92.444125557613702</v>
      </c>
      <c r="AJ2220">
        <v>90.474642983266094</v>
      </c>
      <c r="AK2220">
        <v>26.027253594405899</v>
      </c>
      <c r="AL2220">
        <v>88.019282377093205</v>
      </c>
      <c r="AM2220">
        <v>89.465720566894205</v>
      </c>
      <c r="AN2220">
        <v>1.00000003540557</v>
      </c>
    </row>
    <row r="2221" spans="1:40" x14ac:dyDescent="0.25">
      <c r="A2221" t="str">
        <f>"20190312160338331"</f>
        <v>20190312160338331</v>
      </c>
      <c r="B2221" t="str">
        <f>"1552377818326932"</f>
        <v>1552377818326932</v>
      </c>
      <c r="C2221" t="s">
        <v>40</v>
      </c>
      <c r="D2221">
        <v>4.8509019999999996</v>
      </c>
      <c r="E2221">
        <v>0.4949192</v>
      </c>
      <c r="F2221" t="s">
        <v>70</v>
      </c>
      <c r="G2221">
        <v>-379.21429999999998</v>
      </c>
      <c r="H2221" s="1">
        <v>3.3665930000000001E-6</v>
      </c>
      <c r="I2221">
        <v>284.90989999999999</v>
      </c>
      <c r="J2221">
        <v>-352.86810000000003</v>
      </c>
      <c r="K2221">
        <v>1.1099380000000001</v>
      </c>
      <c r="L2221">
        <v>284.5231</v>
      </c>
      <c r="M2221">
        <v>-0.99967200000000001</v>
      </c>
      <c r="N2221">
        <v>0</v>
      </c>
      <c r="O2221">
        <v>2.241168E-2</v>
      </c>
      <c r="P2221">
        <v>-0.99926420000000005</v>
      </c>
      <c r="Q2221">
        <v>2.1933640000000001E-2</v>
      </c>
      <c r="R2221">
        <v>3.1471609999999997E-2</v>
      </c>
      <c r="S2221">
        <v>-3.0036320000000001</v>
      </c>
      <c r="T2221">
        <v>-0.125721</v>
      </c>
      <c r="U2221">
        <v>4.4250490000000003E-2</v>
      </c>
      <c r="V2221">
        <v>9.0742589999999995E-3</v>
      </c>
      <c r="W2221">
        <v>3.4325840000000003E-2</v>
      </c>
      <c r="X2221">
        <v>0.99936950000000002</v>
      </c>
      <c r="Y2221">
        <v>-7.657624E-3</v>
      </c>
      <c r="Z2221">
        <v>-1.097766E-3</v>
      </c>
      <c r="AA2221">
        <v>0.99997009999999997</v>
      </c>
      <c r="AB2221">
        <v>28</v>
      </c>
      <c r="AC2221">
        <v>-26.3461999999999</v>
      </c>
      <c r="AD2221">
        <v>-1.1099346334069999</v>
      </c>
      <c r="AE2221">
        <v>0.38679999999999298</v>
      </c>
      <c r="AF2221">
        <v>-0.20344412511903201</v>
      </c>
      <c r="AG2221">
        <v>-1.1099346334069999</v>
      </c>
      <c r="AH2221">
        <v>26.301580029619998</v>
      </c>
      <c r="AI2221">
        <v>92.416393240286894</v>
      </c>
      <c r="AJ2221">
        <v>90.443177073693903</v>
      </c>
      <c r="AK2221">
        <v>26.325775514825501</v>
      </c>
      <c r="AL2221">
        <v>88.032887817656004</v>
      </c>
      <c r="AM2221">
        <v>89.479769539449904</v>
      </c>
      <c r="AN2221">
        <v>1.0000000014991699</v>
      </c>
    </row>
    <row r="2222" spans="1:40" x14ac:dyDescent="0.25">
      <c r="A2222" t="str">
        <f>"20190312160338346"</f>
        <v>20190312160338346</v>
      </c>
      <c r="B2222" t="str">
        <f>"1552377818336691"</f>
        <v>1552377818336691</v>
      </c>
      <c r="C2222" t="s">
        <v>40</v>
      </c>
      <c r="D2222">
        <v>4.7952389999999996</v>
      </c>
      <c r="E2222">
        <v>0.49501260000000002</v>
      </c>
      <c r="F2222" t="s">
        <v>70</v>
      </c>
      <c r="G2222">
        <v>-380.44639999999998</v>
      </c>
      <c r="H2222" s="1">
        <v>-1.2992369999999999E-6</v>
      </c>
      <c r="I2222">
        <v>284.94369999999998</v>
      </c>
      <c r="J2222">
        <v>-353.06130000000002</v>
      </c>
      <c r="K2222">
        <v>1.109936</v>
      </c>
      <c r="L2222">
        <v>284.52749999999997</v>
      </c>
      <c r="M2222">
        <v>-0.99967059999999996</v>
      </c>
      <c r="N2222">
        <v>0</v>
      </c>
      <c r="O2222">
        <v>2.247248E-2</v>
      </c>
      <c r="P2222">
        <v>-0.99928139999999999</v>
      </c>
      <c r="Q2222">
        <v>2.1659640000000001E-2</v>
      </c>
      <c r="R2222">
        <v>3.1108400000000001E-2</v>
      </c>
      <c r="S2222">
        <v>-3.0034179999999999</v>
      </c>
      <c r="T2222">
        <v>-0.1208779</v>
      </c>
      <c r="U2222">
        <v>4.5806880000000001E-2</v>
      </c>
      <c r="V2222">
        <v>8.6497929999999994E-3</v>
      </c>
      <c r="W2222">
        <v>3.4051339999999999E-2</v>
      </c>
      <c r="X2222">
        <v>0.99938269999999996</v>
      </c>
      <c r="Y2222">
        <v>-7.2016199999999997E-3</v>
      </c>
      <c r="Z2222">
        <v>-1.0488540000000001E-3</v>
      </c>
      <c r="AA2222">
        <v>0.99997349999999996</v>
      </c>
      <c r="AB2222">
        <v>28</v>
      </c>
      <c r="AC2222">
        <v>-27.385099999999898</v>
      </c>
      <c r="AD2222">
        <v>-1.109937299237</v>
      </c>
      <c r="AE2222">
        <v>0.41620000000000301</v>
      </c>
      <c r="AF2222">
        <v>-0.199036638435406</v>
      </c>
      <c r="AG2222">
        <v>-1.109937299237</v>
      </c>
      <c r="AH2222">
        <v>27.342630523573799</v>
      </c>
      <c r="AI2222">
        <v>92.3245072828784</v>
      </c>
      <c r="AJ2222">
        <v>90.417068793705695</v>
      </c>
      <c r="AK2222">
        <v>27.36587327933</v>
      </c>
      <c r="AL2222">
        <v>88.048624797520304</v>
      </c>
      <c r="AM2222">
        <v>89.504109629031205</v>
      </c>
      <c r="AN2222">
        <v>1.0000000468670101</v>
      </c>
    </row>
    <row r="2223" spans="1:40" x14ac:dyDescent="0.25">
      <c r="A2223" t="str">
        <f>"20190312160338361"</f>
        <v>20190312160338361</v>
      </c>
      <c r="B2223" t="str">
        <f>"1552377818357188"</f>
        <v>1552377818357188</v>
      </c>
      <c r="C2223" t="s">
        <v>40</v>
      </c>
      <c r="D2223">
        <v>4.770105</v>
      </c>
      <c r="E2223">
        <v>0.49528519999999998</v>
      </c>
      <c r="F2223" t="s">
        <v>70</v>
      </c>
      <c r="G2223">
        <v>-380.96870000000001</v>
      </c>
      <c r="H2223" s="1">
        <v>-1.021322E-6</v>
      </c>
      <c r="I2223">
        <v>284.95089999999999</v>
      </c>
      <c r="J2223">
        <v>-353.233</v>
      </c>
      <c r="K2223">
        <v>1.1099349999999999</v>
      </c>
      <c r="L2223">
        <v>284.53140000000002</v>
      </c>
      <c r="M2223">
        <v>-0.99966940000000004</v>
      </c>
      <c r="N2223">
        <v>0</v>
      </c>
      <c r="O2223">
        <v>2.2526480000000002E-2</v>
      </c>
      <c r="P2223">
        <v>-0.99928680000000003</v>
      </c>
      <c r="Q2223">
        <v>2.176664E-2</v>
      </c>
      <c r="R2223">
        <v>3.0854650000000001E-2</v>
      </c>
      <c r="S2223">
        <v>-3.0033259999999999</v>
      </c>
      <c r="T2223">
        <v>-0.11944879999999999</v>
      </c>
      <c r="U2223">
        <v>4.5562739999999997E-2</v>
      </c>
      <c r="V2223">
        <v>8.3419299999999991E-3</v>
      </c>
      <c r="W2223">
        <v>3.4158569999999999E-2</v>
      </c>
      <c r="X2223">
        <v>0.99938159999999998</v>
      </c>
      <c r="Y2223">
        <v>-7.3368569999999996E-3</v>
      </c>
      <c r="Z2223">
        <v>-1.0413309999999999E-3</v>
      </c>
      <c r="AA2223">
        <v>0.99997250000000004</v>
      </c>
      <c r="AB2223">
        <v>28</v>
      </c>
      <c r="AC2223">
        <v>-27.735700000000001</v>
      </c>
      <c r="AD2223">
        <v>-1.109936021322</v>
      </c>
      <c r="AE2223">
        <v>0.41949999999997001</v>
      </c>
      <c r="AF2223">
        <v>-0.205113754066929</v>
      </c>
      <c r="AG2223">
        <v>-1.109936021322</v>
      </c>
      <c r="AH2223">
        <v>27.693770996365298</v>
      </c>
      <c r="AI2223">
        <v>92.295060858262701</v>
      </c>
      <c r="AJ2223">
        <v>90.424353098900696</v>
      </c>
      <c r="AK2223">
        <v>27.716763548846401</v>
      </c>
      <c r="AL2223">
        <v>88.042477281955499</v>
      </c>
      <c r="AM2223">
        <v>89.521757973064595</v>
      </c>
      <c r="AN2223">
        <v>0.999999989059564</v>
      </c>
    </row>
    <row r="2224" spans="1:40" x14ac:dyDescent="0.25">
      <c r="A2224" t="str">
        <f>"20190312160338379"</f>
        <v>20190312160338379</v>
      </c>
      <c r="B2224" t="str">
        <f>"1552377818366949"</f>
        <v>1552377818366949</v>
      </c>
      <c r="C2224" t="s">
        <v>40</v>
      </c>
      <c r="D2224">
        <v>4.7298349999999996</v>
      </c>
      <c r="E2224">
        <v>0.49536819999999998</v>
      </c>
      <c r="F2224" t="s">
        <v>70</v>
      </c>
      <c r="G2224">
        <v>-382.14710000000002</v>
      </c>
      <c r="H2224" s="1">
        <v>-3.9421370000000001E-7</v>
      </c>
      <c r="I2224">
        <v>284.98360000000002</v>
      </c>
      <c r="J2224">
        <v>-353.4708</v>
      </c>
      <c r="K2224">
        <v>1.1099349999999999</v>
      </c>
      <c r="L2224">
        <v>284.5369</v>
      </c>
      <c r="M2224">
        <v>-0.99966759999999999</v>
      </c>
      <c r="N2224">
        <v>0</v>
      </c>
      <c r="O2224">
        <v>2.2601530000000002E-2</v>
      </c>
      <c r="P2224">
        <v>-0.99930160000000001</v>
      </c>
      <c r="Q2224">
        <v>2.1869380000000001E-2</v>
      </c>
      <c r="R2224">
        <v>3.0302430000000002E-2</v>
      </c>
      <c r="S2224">
        <v>-3.0032040000000002</v>
      </c>
      <c r="T2224">
        <v>-0.115284999999999</v>
      </c>
      <c r="U2224">
        <v>4.6966550000000003E-2</v>
      </c>
      <c r="V2224">
        <v>7.7145759999999999E-3</v>
      </c>
      <c r="W2224">
        <v>3.4261489999999999E-2</v>
      </c>
      <c r="X2224">
        <v>0.99938320000000003</v>
      </c>
      <c r="Y2224">
        <v>-6.9458389999999997E-3</v>
      </c>
      <c r="Z2224">
        <v>-1.0004720000000001E-3</v>
      </c>
      <c r="AA2224">
        <v>0.99997539999999996</v>
      </c>
      <c r="AB2224">
        <v>28</v>
      </c>
      <c r="AC2224">
        <v>-28.676300000000001</v>
      </c>
      <c r="AD2224">
        <v>-1.1099353942137</v>
      </c>
      <c r="AE2224">
        <v>0.44670000000002102</v>
      </c>
      <c r="AF2224">
        <v>-0.20129076060103501</v>
      </c>
      <c r="AG2224">
        <v>-1.1099353942137</v>
      </c>
      <c r="AH2224">
        <v>28.6361801915515</v>
      </c>
      <c r="AI2224">
        <v>92.219612618761104</v>
      </c>
      <c r="AJ2224">
        <v>90.402739506959406</v>
      </c>
      <c r="AK2224">
        <v>28.6583895310368</v>
      </c>
      <c r="AL2224">
        <v>88.036577110310006</v>
      </c>
      <c r="AM2224">
        <v>89.557723337482301</v>
      </c>
      <c r="AN2224">
        <v>1.00000007241105</v>
      </c>
    </row>
    <row r="2225" spans="1:40" x14ac:dyDescent="0.25">
      <c r="A2225" t="str">
        <f>"20190312160338392"</f>
        <v>20190312160338392</v>
      </c>
      <c r="B2225" t="str">
        <f>"1552377818386469"</f>
        <v>1552377818386469</v>
      </c>
      <c r="C2225" t="s">
        <v>40</v>
      </c>
      <c r="D2225">
        <v>4.7146109999999997</v>
      </c>
      <c r="E2225">
        <v>0.49565189999999998</v>
      </c>
      <c r="F2225" t="s">
        <v>70</v>
      </c>
      <c r="G2225">
        <v>-383.0052</v>
      </c>
      <c r="H2225" s="1">
        <v>6.2433030000000004E-8</v>
      </c>
      <c r="I2225">
        <v>284.99149999999997</v>
      </c>
      <c r="J2225">
        <v>-353.63099999999997</v>
      </c>
      <c r="K2225">
        <v>1.109936</v>
      </c>
      <c r="L2225">
        <v>284.54050000000001</v>
      </c>
      <c r="M2225">
        <v>-0.99966650000000001</v>
      </c>
      <c r="N2225">
        <v>0</v>
      </c>
      <c r="O2225">
        <v>2.2652189999999999E-2</v>
      </c>
      <c r="P2225">
        <v>-0.99931170000000002</v>
      </c>
      <c r="Q2225">
        <v>2.170045E-2</v>
      </c>
      <c r="R2225">
        <v>3.0080619999999999E-2</v>
      </c>
      <c r="S2225">
        <v>-3.003174</v>
      </c>
      <c r="T2225">
        <v>-0.11286259999999999</v>
      </c>
      <c r="U2225">
        <v>4.6234129999999998E-2</v>
      </c>
      <c r="V2225">
        <v>7.4416959999999898E-3</v>
      </c>
      <c r="W2225">
        <v>3.4092329999999997E-2</v>
      </c>
      <c r="X2225">
        <v>0.99939100000000003</v>
      </c>
      <c r="Y2225">
        <v>-7.2408350000000002E-3</v>
      </c>
      <c r="Z2225">
        <v>-9.8692039999999999E-4</v>
      </c>
      <c r="AA2225">
        <v>0.99997329999999995</v>
      </c>
      <c r="AB2225">
        <v>28</v>
      </c>
      <c r="AC2225">
        <v>-29.374199999999998</v>
      </c>
      <c r="AD2225">
        <v>-1.10993593756697</v>
      </c>
      <c r="AE2225">
        <v>0.45099999999996498</v>
      </c>
      <c r="AF2225">
        <v>-0.21425103156243699</v>
      </c>
      <c r="AG2225">
        <v>-1.10993593756697</v>
      </c>
      <c r="AH2225">
        <v>29.335004230804898</v>
      </c>
      <c r="AI2225">
        <v>92.166784403511997</v>
      </c>
      <c r="AJ2225">
        <v>90.418457809085496</v>
      </c>
      <c r="AK2225">
        <v>29.356776636943099</v>
      </c>
      <c r="AL2225">
        <v>88.046274823483202</v>
      </c>
      <c r="AM2225">
        <v>89.573370289388805</v>
      </c>
      <c r="AN2225">
        <v>1.0000000183425899</v>
      </c>
    </row>
    <row r="2226" spans="1:40" x14ac:dyDescent="0.25">
      <c r="A2226" t="str">
        <f>"20190312160338404"</f>
        <v>20190312160338404</v>
      </c>
      <c r="B2226" t="str">
        <f>"1552377818397204"</f>
        <v>1552377818397204</v>
      </c>
      <c r="C2226" t="s">
        <v>40</v>
      </c>
      <c r="D2226">
        <v>4.8453309999999998</v>
      </c>
      <c r="E2226">
        <v>0.49578290000000003</v>
      </c>
      <c r="F2226" t="s">
        <v>70</v>
      </c>
      <c r="G2226">
        <v>-383.44560000000001</v>
      </c>
      <c r="H2226" s="1">
        <v>2.9676179999999998E-7</v>
      </c>
      <c r="I2226">
        <v>285.01620000000003</v>
      </c>
      <c r="J2226">
        <v>-353.79770000000002</v>
      </c>
      <c r="K2226">
        <v>1.109936</v>
      </c>
      <c r="L2226">
        <v>284.5444</v>
      </c>
      <c r="M2226">
        <v>-0.99966529999999998</v>
      </c>
      <c r="N2226">
        <v>0</v>
      </c>
      <c r="O2226">
        <v>2.270517E-2</v>
      </c>
      <c r="P2226">
        <v>-0.99931650000000005</v>
      </c>
      <c r="Q2226">
        <v>2.1827079999999999E-2</v>
      </c>
      <c r="R2226">
        <v>2.9837760000000001E-2</v>
      </c>
      <c r="S2226">
        <v>-3.003082</v>
      </c>
      <c r="T2226">
        <v>-0.1117988</v>
      </c>
      <c r="U2226">
        <v>4.79126E-2</v>
      </c>
      <c r="V2226">
        <v>7.1461679999999996E-3</v>
      </c>
      <c r="W2226">
        <v>3.4218609999999997E-2</v>
      </c>
      <c r="X2226">
        <v>0.99938879999999997</v>
      </c>
      <c r="Y2226">
        <v>-6.7353090000000001E-3</v>
      </c>
      <c r="Z2226">
        <v>-9.7021379999999999E-4</v>
      </c>
      <c r="AA2226">
        <v>0.99997689999999995</v>
      </c>
      <c r="AB2226">
        <v>28</v>
      </c>
      <c r="AC2226">
        <v>-29.6479</v>
      </c>
      <c r="AD2226">
        <v>-1.1099357032382</v>
      </c>
      <c r="AE2226">
        <v>0.47180000000002997</v>
      </c>
      <c r="AF2226">
        <v>-0.201252023134566</v>
      </c>
      <c r="AG2226">
        <v>-1.1099357032382</v>
      </c>
      <c r="AH2226">
        <v>29.6094802675136</v>
      </c>
      <c r="AI2226">
        <v>92.146724682389404</v>
      </c>
      <c r="AJ2226">
        <v>90.389426422838596</v>
      </c>
      <c r="AK2226">
        <v>29.630959845310699</v>
      </c>
      <c r="AL2226">
        <v>88.039035207974607</v>
      </c>
      <c r="AM2226">
        <v>89.590311310306703</v>
      </c>
      <c r="AN2226">
        <v>0.99999997727642698</v>
      </c>
    </row>
    <row r="2227" spans="1:40" x14ac:dyDescent="0.25">
      <c r="A2227" t="str">
        <f>"20190312160338417"</f>
        <v>20190312160338417</v>
      </c>
      <c r="B2227" t="str">
        <f>"1552377818406965"</f>
        <v>1552377818406965</v>
      </c>
      <c r="C2227" t="s">
        <v>40</v>
      </c>
      <c r="D2227">
        <v>4.7424179999999998</v>
      </c>
      <c r="E2227">
        <v>0.49580829999999998</v>
      </c>
      <c r="F2227" t="s">
        <v>70</v>
      </c>
      <c r="G2227">
        <v>-383.69099999999997</v>
      </c>
      <c r="H2227" s="1">
        <v>4.273902E-7</v>
      </c>
      <c r="I2227">
        <v>285.02440000000001</v>
      </c>
      <c r="J2227">
        <v>-353.95670000000001</v>
      </c>
      <c r="K2227">
        <v>1.1099300000000001</v>
      </c>
      <c r="L2227">
        <v>284.548</v>
      </c>
      <c r="M2227">
        <v>-0.9996642</v>
      </c>
      <c r="N2227">
        <v>0</v>
      </c>
      <c r="O2227">
        <v>2.2755359999999999E-2</v>
      </c>
      <c r="P2227">
        <v>-0.99931999999999999</v>
      </c>
      <c r="Q2227">
        <v>2.1801299999999999E-2</v>
      </c>
      <c r="R2227">
        <v>2.974042E-2</v>
      </c>
      <c r="S2227">
        <v>-3.0030209999999999</v>
      </c>
      <c r="T2227">
        <v>-0.1115019</v>
      </c>
      <c r="U2227">
        <v>4.821777E-2</v>
      </c>
      <c r="V2227">
        <v>6.9984419999999997E-3</v>
      </c>
      <c r="W2227">
        <v>3.4193349999999997E-2</v>
      </c>
      <c r="X2227">
        <v>0.99939069999999997</v>
      </c>
      <c r="Y2227">
        <v>-6.6836999999999999E-3</v>
      </c>
      <c r="Z2227">
        <v>-9.6856269999999998E-4</v>
      </c>
      <c r="AA2227">
        <v>0.99997720000000001</v>
      </c>
      <c r="AB2227">
        <v>28</v>
      </c>
      <c r="AC2227">
        <v>-29.734299999999902</v>
      </c>
      <c r="AD2227">
        <v>-1.1099295726098</v>
      </c>
      <c r="AE2227">
        <v>0.47640000000001198</v>
      </c>
      <c r="AF2227">
        <v>-0.20011131132958301</v>
      </c>
      <c r="AG2227">
        <v>-1.1099295726098</v>
      </c>
      <c r="AH2227">
        <v>29.696073149479901</v>
      </c>
      <c r="AI2227">
        <v>92.140459758102807</v>
      </c>
      <c r="AJ2227">
        <v>90.386090105973807</v>
      </c>
      <c r="AK2227">
        <v>29.717482206478</v>
      </c>
      <c r="AL2227">
        <v>88.040483327306902</v>
      </c>
      <c r="AM2227">
        <v>89.598780901672598</v>
      </c>
      <c r="AN2227">
        <v>0.99999996731056895</v>
      </c>
    </row>
    <row r="2228" spans="1:40" x14ac:dyDescent="0.25">
      <c r="A2228" t="str">
        <f>"20190312160338430"</f>
        <v>20190312160338430</v>
      </c>
      <c r="B2228" t="str">
        <f>"1552377818426484"</f>
        <v>1552377818426484</v>
      </c>
      <c r="C2228" t="s">
        <v>40</v>
      </c>
      <c r="D2228">
        <v>4.8387169999999999</v>
      </c>
      <c r="E2228">
        <v>0.49618200000000001</v>
      </c>
      <c r="F2228" t="s">
        <v>70</v>
      </c>
      <c r="G2228">
        <v>-384.1157</v>
      </c>
      <c r="H2228" s="1">
        <v>6.5335950000000001E-7</v>
      </c>
      <c r="I2228">
        <v>285.03140000000002</v>
      </c>
      <c r="J2228">
        <v>-354.12360000000001</v>
      </c>
      <c r="K2228">
        <v>1.1099289999999999</v>
      </c>
      <c r="L2228">
        <v>284.55189999999999</v>
      </c>
      <c r="M2228">
        <v>-0.99966310000000003</v>
      </c>
      <c r="N2228">
        <v>0</v>
      </c>
      <c r="O2228">
        <v>2.280799E-2</v>
      </c>
      <c r="P2228">
        <v>-0.99931990000000004</v>
      </c>
      <c r="Q2228">
        <v>2.1831030000000001E-2</v>
      </c>
      <c r="R2228">
        <v>2.972122E-2</v>
      </c>
      <c r="S2228">
        <v>-3.0029910000000002</v>
      </c>
      <c r="T2228">
        <v>-0.1105179</v>
      </c>
      <c r="U2228">
        <v>4.8126219999999997E-2</v>
      </c>
      <c r="V2228">
        <v>6.9265809999999898E-3</v>
      </c>
      <c r="W2228">
        <v>3.4222420000000003E-2</v>
      </c>
      <c r="X2228">
        <v>0.99939020000000001</v>
      </c>
      <c r="Y2228">
        <v>-6.766925E-3</v>
      </c>
      <c r="Z2228">
        <v>-9.6349700000000001E-4</v>
      </c>
      <c r="AA2228">
        <v>0.99997659999999999</v>
      </c>
      <c r="AB2228">
        <v>28</v>
      </c>
      <c r="AC2228">
        <v>-29.992099999999901</v>
      </c>
      <c r="AD2228">
        <v>-1.1099283466404899</v>
      </c>
      <c r="AE2228">
        <v>0.47950000000003001</v>
      </c>
      <c r="AF2228">
        <v>-0.20445683157839101</v>
      </c>
      <c r="AG2228">
        <v>-1.1099283466404899</v>
      </c>
      <c r="AH2228">
        <v>29.9542208924323</v>
      </c>
      <c r="AI2228">
        <v>92.122026458643901</v>
      </c>
      <c r="AJ2228">
        <v>90.391074488804904</v>
      </c>
      <c r="AK2228">
        <v>29.9754748553427</v>
      </c>
      <c r="AL2228">
        <v>88.038816752570398</v>
      </c>
      <c r="AM2228">
        <v>89.602900345288006</v>
      </c>
      <c r="AN2228">
        <v>0.99999996170552197</v>
      </c>
    </row>
    <row r="2229" spans="1:40" x14ac:dyDescent="0.25">
      <c r="A2229" t="str">
        <f>"20190312160338445"</f>
        <v>20190312160338445</v>
      </c>
      <c r="B2229" t="str">
        <f>"1552377818437220"</f>
        <v>1552377818437220</v>
      </c>
      <c r="C2229" t="s">
        <v>40</v>
      </c>
      <c r="D2229">
        <v>4.8177490000000001</v>
      </c>
      <c r="E2229">
        <v>0.49634030000000001</v>
      </c>
      <c r="F2229" t="s">
        <v>70</v>
      </c>
      <c r="G2229">
        <v>-384.21190000000001</v>
      </c>
      <c r="H2229" s="1">
        <v>7.0456440000000003E-7</v>
      </c>
      <c r="I2229">
        <v>285.06349999999998</v>
      </c>
      <c r="J2229">
        <v>-354.31110000000001</v>
      </c>
      <c r="K2229">
        <v>1.1099289999999999</v>
      </c>
      <c r="L2229">
        <v>284.55619999999999</v>
      </c>
      <c r="M2229">
        <v>-0.99966180000000004</v>
      </c>
      <c r="N2229">
        <v>0</v>
      </c>
      <c r="O2229">
        <v>2.2867169999999999E-2</v>
      </c>
      <c r="P2229">
        <v>-0.99932460000000001</v>
      </c>
      <c r="Q2229">
        <v>2.1788600000000002E-2</v>
      </c>
      <c r="R2229">
        <v>2.9596239999999999E-2</v>
      </c>
      <c r="S2229">
        <v>-3.0029300000000001</v>
      </c>
      <c r="T2229">
        <v>-0.1107752</v>
      </c>
      <c r="U2229">
        <v>5.1055910000000003E-2</v>
      </c>
      <c r="V2229">
        <v>6.742306E-3</v>
      </c>
      <c r="W2229">
        <v>3.4180479999999999E-2</v>
      </c>
      <c r="X2229">
        <v>0.99939290000000003</v>
      </c>
      <c r="Y2229">
        <v>-5.8509670000000003E-3</v>
      </c>
      <c r="Z2229">
        <v>-9.5104300000000005E-4</v>
      </c>
      <c r="AA2229">
        <v>0.99998240000000005</v>
      </c>
      <c r="AB2229">
        <v>28</v>
      </c>
      <c r="AC2229">
        <v>-29.9008</v>
      </c>
      <c r="AD2229">
        <v>-1.1099282954356</v>
      </c>
      <c r="AE2229">
        <v>0.50729999999998598</v>
      </c>
      <c r="AF2229">
        <v>-0.17638881198789</v>
      </c>
      <c r="AG2229">
        <v>-1.1099282954356</v>
      </c>
      <c r="AH2229">
        <v>29.8634438909036</v>
      </c>
      <c r="AI2229">
        <v>92.128483280299704</v>
      </c>
      <c r="AJ2229">
        <v>90.338414316627706</v>
      </c>
      <c r="AK2229">
        <v>29.884583565095099</v>
      </c>
      <c r="AL2229">
        <v>88.041221153201803</v>
      </c>
      <c r="AM2229">
        <v>89.613465517533896</v>
      </c>
      <c r="AN2229">
        <v>0.99999996623681797</v>
      </c>
    </row>
    <row r="2230" spans="1:40" x14ac:dyDescent="0.25">
      <c r="A2230" t="str">
        <f>"20190312160338456"</f>
        <v>20190312160338456</v>
      </c>
      <c r="B2230" t="str">
        <f>"1552377818446981"</f>
        <v>1552377818446981</v>
      </c>
      <c r="C2230" t="s">
        <v>40</v>
      </c>
      <c r="D2230">
        <v>4.8310820000000003</v>
      </c>
      <c r="E2230">
        <v>0.49649979999999999</v>
      </c>
      <c r="F2230" t="s">
        <v>70</v>
      </c>
      <c r="G2230">
        <v>-384.05029999999999</v>
      </c>
      <c r="H2230" s="1">
        <v>6.1859590000000005E-7</v>
      </c>
      <c r="I2230">
        <v>285.07</v>
      </c>
      <c r="J2230">
        <v>-354.45150000000001</v>
      </c>
      <c r="K2230">
        <v>1.109931</v>
      </c>
      <c r="L2230">
        <v>284.55950000000001</v>
      </c>
      <c r="M2230">
        <v>-0.99966069999999996</v>
      </c>
      <c r="N2230">
        <v>0</v>
      </c>
      <c r="O2230">
        <v>2.291145E-2</v>
      </c>
      <c r="P2230">
        <v>-0.99932520000000002</v>
      </c>
      <c r="Q2230">
        <v>2.1653800000000001E-2</v>
      </c>
      <c r="R2230">
        <v>2.9671139999999999E-2</v>
      </c>
      <c r="S2230">
        <v>-3.0029300000000001</v>
      </c>
      <c r="T2230">
        <v>-0.11207549999999999</v>
      </c>
      <c r="U2230">
        <v>5.1879880000000003E-2</v>
      </c>
      <c r="V2230">
        <v>6.7727719999999998E-3</v>
      </c>
      <c r="W2230">
        <v>3.4045140000000002E-2</v>
      </c>
      <c r="X2230">
        <v>0.99939730000000004</v>
      </c>
      <c r="Y2230">
        <v>-5.6206290000000002E-3</v>
      </c>
      <c r="Z2230">
        <v>-9.5955089999999997E-4</v>
      </c>
      <c r="AA2230">
        <v>0.99998370000000003</v>
      </c>
      <c r="AB2230">
        <v>28</v>
      </c>
      <c r="AC2230">
        <v>-29.598799999999901</v>
      </c>
      <c r="AD2230">
        <v>-1.1099303814040999</v>
      </c>
      <c r="AE2230">
        <v>0.51049999999997897</v>
      </c>
      <c r="AF2230">
        <v>-0.167601915506921</v>
      </c>
      <c r="AG2230">
        <v>-1.1099303814040999</v>
      </c>
      <c r="AH2230">
        <v>29.561170074228698</v>
      </c>
      <c r="AI2230">
        <v>92.150234459107097</v>
      </c>
      <c r="AJ2230">
        <v>90.3248443643988</v>
      </c>
      <c r="AK2230">
        <v>29.5824747445361</v>
      </c>
      <c r="AL2230">
        <v>88.048980053480506</v>
      </c>
      <c r="AM2230">
        <v>89.611720673200793</v>
      </c>
      <c r="AN2230">
        <v>0.999999952622735</v>
      </c>
    </row>
    <row r="2231" spans="1:40" x14ac:dyDescent="0.25">
      <c r="A2231" t="str">
        <f>"20190312160338468"</f>
        <v>20190312160338468</v>
      </c>
      <c r="B2231" t="str">
        <f>"1552377818456740"</f>
        <v>1552377818456740</v>
      </c>
      <c r="C2231" t="s">
        <v>40</v>
      </c>
      <c r="D2231">
        <v>4.8470940000000002</v>
      </c>
      <c r="E2231">
        <v>0.49668430000000002</v>
      </c>
      <c r="F2231" t="s">
        <v>70</v>
      </c>
      <c r="G2231">
        <v>-383.97019999999998</v>
      </c>
      <c r="H2231" s="1">
        <v>5.7595799999999998E-7</v>
      </c>
      <c r="I2231">
        <v>285.08479999999997</v>
      </c>
      <c r="J2231">
        <v>-354.60250000000002</v>
      </c>
      <c r="K2231">
        <v>1.1099319999999999</v>
      </c>
      <c r="L2231">
        <v>284.56299999999999</v>
      </c>
      <c r="M2231">
        <v>-0.99965950000000003</v>
      </c>
      <c r="N2231">
        <v>0</v>
      </c>
      <c r="O2231">
        <v>2.295877E-2</v>
      </c>
      <c r="P2231">
        <v>-0.99932270000000001</v>
      </c>
      <c r="Q2231">
        <v>2.1902700000000001E-2</v>
      </c>
      <c r="R2231">
        <v>2.9571050000000002E-2</v>
      </c>
      <c r="S2231">
        <v>-3.002869</v>
      </c>
      <c r="T2231">
        <v>-0.1129106</v>
      </c>
      <c r="U2231">
        <v>5.3436280000000003E-2</v>
      </c>
      <c r="V2231">
        <v>6.6255079999999996E-3</v>
      </c>
      <c r="W2231">
        <v>3.4293900000000002E-2</v>
      </c>
      <c r="X2231">
        <v>0.99938979999999999</v>
      </c>
      <c r="Y2231">
        <v>-5.1494770000000004E-3</v>
      </c>
      <c r="Z2231">
        <v>-9.5963400000000001E-4</v>
      </c>
      <c r="AA2231">
        <v>0.99998629999999999</v>
      </c>
      <c r="AB2231">
        <v>28</v>
      </c>
      <c r="AC2231">
        <v>-29.3676999999999</v>
      </c>
      <c r="AD2231">
        <v>-1.109931424042</v>
      </c>
      <c r="AE2231">
        <v>0.52179999999998405</v>
      </c>
      <c r="AF2231">
        <v>-0.15241803265413201</v>
      </c>
      <c r="AG2231">
        <v>-1.109931424042</v>
      </c>
      <c r="AH2231">
        <v>29.3300565839698</v>
      </c>
      <c r="AI2231">
        <v>92.167169272856</v>
      </c>
      <c r="AJ2231">
        <v>90.297743420910294</v>
      </c>
      <c r="AK2231">
        <v>29.351446271719301</v>
      </c>
      <c r="AL2231">
        <v>88.034718862253698</v>
      </c>
      <c r="AM2231">
        <v>89.620160137502694</v>
      </c>
      <c r="AN2231">
        <v>0.99999997063875301</v>
      </c>
    </row>
    <row r="2232" spans="1:40" x14ac:dyDescent="0.25">
      <c r="A2232" t="str">
        <f>"20190312160338479"</f>
        <v>20190312160338479</v>
      </c>
      <c r="B2232" t="str">
        <f>"1552377818477236"</f>
        <v>1552377818477236</v>
      </c>
      <c r="C2232" t="s">
        <v>40</v>
      </c>
      <c r="D2232">
        <v>4.7643820000000003</v>
      </c>
      <c r="E2232">
        <v>0.49704530000000002</v>
      </c>
      <c r="F2232" t="s">
        <v>70</v>
      </c>
      <c r="G2232">
        <v>-383.93310000000002</v>
      </c>
      <c r="H2232" s="1">
        <v>5.5622349999999998E-7</v>
      </c>
      <c r="I2232">
        <v>285.09589999999997</v>
      </c>
      <c r="J2232">
        <v>-354.75199999999899</v>
      </c>
      <c r="K2232">
        <v>1.1099410000000001</v>
      </c>
      <c r="L2232">
        <v>284.56650000000002</v>
      </c>
      <c r="M2232">
        <v>-0.99965850000000001</v>
      </c>
      <c r="N2232">
        <v>0</v>
      </c>
      <c r="O2232">
        <v>2.3004779999999999E-2</v>
      </c>
      <c r="P2232">
        <v>-0.99932049999999994</v>
      </c>
      <c r="Q2232">
        <v>2.2156869999999999E-2</v>
      </c>
      <c r="R2232">
        <v>2.9461290000000001E-2</v>
      </c>
      <c r="S2232">
        <v>-3.0028990000000002</v>
      </c>
      <c r="T2232">
        <v>-0.1136361</v>
      </c>
      <c r="U2232">
        <v>5.4565429999999998E-2</v>
      </c>
      <c r="V2232">
        <v>6.4699719999999896E-3</v>
      </c>
      <c r="W2232">
        <v>3.4548389999999998E-2</v>
      </c>
      <c r="X2232">
        <v>0.99938210000000005</v>
      </c>
      <c r="Y2232">
        <v>-4.8197300000000004E-3</v>
      </c>
      <c r="Z2232">
        <v>-9.6128429999999996E-4</v>
      </c>
      <c r="AA2232">
        <v>0.99998790000000004</v>
      </c>
      <c r="AB2232">
        <v>28</v>
      </c>
      <c r="AC2232">
        <v>-29.181100000000001</v>
      </c>
      <c r="AD2232">
        <v>-1.1099404437764999</v>
      </c>
      <c r="AE2232">
        <v>0.52939999999995202</v>
      </c>
      <c r="AF2232">
        <v>-0.14189127882973299</v>
      </c>
      <c r="AG2232">
        <v>-1.1099404437764999</v>
      </c>
      <c r="AH2232">
        <v>29.143406250618099</v>
      </c>
      <c r="AI2232">
        <v>92.181056952687896</v>
      </c>
      <c r="AJ2232">
        <v>90.278955284782896</v>
      </c>
      <c r="AK2232">
        <v>29.164880058253399</v>
      </c>
      <c r="AL2232">
        <v>88.020129104577407</v>
      </c>
      <c r="AM2232">
        <v>89.6290738944558</v>
      </c>
      <c r="AN2232">
        <v>1.00000001679484</v>
      </c>
    </row>
    <row r="2233" spans="1:40" x14ac:dyDescent="0.25">
      <c r="A2233" t="str">
        <f>"20190312160338491"</f>
        <v>20190312160338491</v>
      </c>
      <c r="B2233" t="str">
        <f>"1552377818486996"</f>
        <v>1552377818486996</v>
      </c>
      <c r="C2233" t="s">
        <v>40</v>
      </c>
      <c r="D2233">
        <v>4.9733320000000001</v>
      </c>
      <c r="E2233">
        <v>0.49732029999999999</v>
      </c>
      <c r="F2233" t="s">
        <v>70</v>
      </c>
      <c r="G2233">
        <v>-382.80500000000001</v>
      </c>
      <c r="H2233" s="1">
        <v>-4.4091650000000003E-8</v>
      </c>
      <c r="I2233">
        <v>285.09879999999998</v>
      </c>
      <c r="J2233">
        <v>-354.8954</v>
      </c>
      <c r="K2233">
        <v>1.109942</v>
      </c>
      <c r="L2233">
        <v>284.56990000000002</v>
      </c>
      <c r="M2233">
        <v>-0.99965760000000004</v>
      </c>
      <c r="N2233">
        <v>0</v>
      </c>
      <c r="O2233">
        <v>2.3048760000000001E-2</v>
      </c>
      <c r="P2233">
        <v>-0.99931369999999997</v>
      </c>
      <c r="Q2233">
        <v>2.2570960000000001E-2</v>
      </c>
      <c r="R2233">
        <v>2.937538E-2</v>
      </c>
      <c r="S2233">
        <v>-3.0029910000000002</v>
      </c>
      <c r="T2233">
        <v>-0.1188157</v>
      </c>
      <c r="U2233">
        <v>5.6976319999999997E-2</v>
      </c>
      <c r="V2233">
        <v>6.3401769999999998E-3</v>
      </c>
      <c r="W2233">
        <v>3.496204E-2</v>
      </c>
      <c r="X2233">
        <v>0.99936849999999999</v>
      </c>
      <c r="Y2233">
        <v>-4.060442E-3</v>
      </c>
      <c r="Z2233">
        <v>-9.9175169999999994E-4</v>
      </c>
      <c r="AA2233">
        <v>0.99999119999999997</v>
      </c>
      <c r="AB2233">
        <v>28</v>
      </c>
      <c r="AC2233">
        <v>-27.909600000000001</v>
      </c>
      <c r="AD2233">
        <v>-1.1099420440916401</v>
      </c>
      <c r="AE2233">
        <v>0.52889999999996395</v>
      </c>
      <c r="AF2233">
        <v>-0.114390703551769</v>
      </c>
      <c r="AG2233">
        <v>-1.1099420440916401</v>
      </c>
      <c r="AH2233">
        <v>27.8703123498099</v>
      </c>
      <c r="AI2233">
        <v>92.280594109128103</v>
      </c>
      <c r="AJ2233">
        <v>90.235163052483699</v>
      </c>
      <c r="AK2233">
        <v>27.8926400157867</v>
      </c>
      <c r="AL2233">
        <v>87.996414285561599</v>
      </c>
      <c r="AM2233">
        <v>89.636509946095899</v>
      </c>
      <c r="AN2233">
        <v>0.99999997043880096</v>
      </c>
    </row>
    <row r="2234" spans="1:40" x14ac:dyDescent="0.25">
      <c r="A2234" t="str">
        <f>"20190312160338502"</f>
        <v>20190312160338502</v>
      </c>
      <c r="B2234" t="str">
        <f>"1552377818496756"</f>
        <v>1552377818496756</v>
      </c>
      <c r="C2234" t="s">
        <v>40</v>
      </c>
      <c r="D2234">
        <v>4.8785259999999999</v>
      </c>
      <c r="E2234">
        <v>0.49741020000000002</v>
      </c>
      <c r="F2234" t="s">
        <v>70</v>
      </c>
      <c r="G2234">
        <v>-383.14109999999999</v>
      </c>
      <c r="H2234" s="1">
        <v>1.3473310000000001E-7</v>
      </c>
      <c r="I2234">
        <v>285.12360000000001</v>
      </c>
      <c r="J2234">
        <v>-355.04349999999999</v>
      </c>
      <c r="K2234">
        <v>1.109944</v>
      </c>
      <c r="L2234">
        <v>284.57330000000002</v>
      </c>
      <c r="M2234">
        <v>-0.99965660000000001</v>
      </c>
      <c r="N2234">
        <v>0</v>
      </c>
      <c r="O2234">
        <v>2.3094050000000001E-2</v>
      </c>
      <c r="P2234">
        <v>-0.99931309999999995</v>
      </c>
      <c r="Q2234">
        <v>2.302162E-2</v>
      </c>
      <c r="R2234">
        <v>2.9048129999999998E-2</v>
      </c>
      <c r="S2234">
        <v>-3.0029910000000002</v>
      </c>
      <c r="T2234">
        <v>-0.1180056</v>
      </c>
      <c r="U2234">
        <v>5.8868410000000003E-2</v>
      </c>
      <c r="V2234">
        <v>5.9678219999999898E-3</v>
      </c>
      <c r="W2234">
        <v>3.5412359999999997E-2</v>
      </c>
      <c r="X2234">
        <v>0.99935499999999999</v>
      </c>
      <c r="Y2234">
        <v>-3.476617E-3</v>
      </c>
      <c r="Z2234">
        <v>-9.7530049999999997E-4</v>
      </c>
      <c r="AA2234">
        <v>0.99999349999999998</v>
      </c>
      <c r="AB2234">
        <v>28</v>
      </c>
      <c r="AC2234">
        <v>-28.0976</v>
      </c>
      <c r="AD2234">
        <v>-1.10994386526689</v>
      </c>
      <c r="AE2234">
        <v>0.55029999999999202</v>
      </c>
      <c r="AF2234">
        <v>-9.8630073550909497E-2</v>
      </c>
      <c r="AG2234">
        <v>-1.10994386526689</v>
      </c>
      <c r="AH2234">
        <v>28.059045431046599</v>
      </c>
      <c r="AI2234">
        <v>92.265279015525195</v>
      </c>
      <c r="AJ2234">
        <v>90.201398999367697</v>
      </c>
      <c r="AK2234">
        <v>28.081163326632101</v>
      </c>
      <c r="AL2234">
        <v>87.970596988600505</v>
      </c>
      <c r="AM2234">
        <v>89.657852365724693</v>
      </c>
      <c r="AN2234">
        <v>1.00000003308259</v>
      </c>
    </row>
    <row r="2235" spans="1:40" x14ac:dyDescent="0.25">
      <c r="A2235" t="str">
        <f>"20190312160338514"</f>
        <v>20190312160338514</v>
      </c>
      <c r="B2235" t="str">
        <f>"1552377818506516"</f>
        <v>1552377818506516</v>
      </c>
      <c r="C2235" t="s">
        <v>40</v>
      </c>
      <c r="D2235">
        <v>4.8556619999999997</v>
      </c>
      <c r="E2235">
        <v>0.49748379999999998</v>
      </c>
      <c r="F2235" t="s">
        <v>70</v>
      </c>
      <c r="G2235">
        <v>-383.6755</v>
      </c>
      <c r="H2235" s="1">
        <v>4.1912969999999999E-7</v>
      </c>
      <c r="I2235">
        <v>285.13400000000001</v>
      </c>
      <c r="J2235">
        <v>-355.18619999999999</v>
      </c>
      <c r="K2235">
        <v>1.109945</v>
      </c>
      <c r="L2235">
        <v>284.57670000000002</v>
      </c>
      <c r="M2235">
        <v>-0.99965550000000003</v>
      </c>
      <c r="N2235">
        <v>0</v>
      </c>
      <c r="O2235">
        <v>2.3137069999999999E-2</v>
      </c>
      <c r="P2235">
        <v>-0.99931409999999998</v>
      </c>
      <c r="Q2235">
        <v>2.315296E-2</v>
      </c>
      <c r="R2235">
        <v>2.8905699999999999E-2</v>
      </c>
      <c r="S2235">
        <v>-3.0029910000000002</v>
      </c>
      <c r="T2235">
        <v>-0.1164135</v>
      </c>
      <c r="U2235">
        <v>5.8807369999999998E-2</v>
      </c>
      <c r="V2235">
        <v>5.7823340000000001E-3</v>
      </c>
      <c r="W2235">
        <v>3.5543409999999998E-2</v>
      </c>
      <c r="X2235">
        <v>0.9993514</v>
      </c>
      <c r="Y2235">
        <v>-3.540447E-3</v>
      </c>
      <c r="Z2235">
        <v>-9.6505569999999995E-4</v>
      </c>
      <c r="AA2235">
        <v>0.99999329999999997</v>
      </c>
      <c r="AB2235">
        <v>28</v>
      </c>
      <c r="AC2235">
        <v>-28.4893</v>
      </c>
      <c r="AD2235">
        <v>-1.1099445808702999</v>
      </c>
      <c r="AE2235">
        <v>0.55729999999999702</v>
      </c>
      <c r="AF2235">
        <v>-0.10190413478667899</v>
      </c>
      <c r="AG2235">
        <v>-1.1099445808702999</v>
      </c>
      <c r="AH2235">
        <v>28.451398136344601</v>
      </c>
      <c r="AI2235">
        <v>92.234072972731695</v>
      </c>
      <c r="AJ2235">
        <v>90.2052149368279</v>
      </c>
      <c r="AK2235">
        <v>28.4732228126372</v>
      </c>
      <c r="AL2235">
        <v>87.963083569462498</v>
      </c>
      <c r="AM2235">
        <v>89.668485342796799</v>
      </c>
      <c r="AN2235">
        <v>0.99999999503143699</v>
      </c>
    </row>
    <row r="2236" spans="1:40" x14ac:dyDescent="0.25">
      <c r="A2236" t="str">
        <f>"20190312160338525"</f>
        <v>20190312160338525</v>
      </c>
      <c r="B2236" t="str">
        <f>"1552377818517251"</f>
        <v>1552377818517251</v>
      </c>
      <c r="C2236" t="s">
        <v>40</v>
      </c>
      <c r="D2236">
        <v>4.832249</v>
      </c>
      <c r="E2236">
        <v>0.49755870000000002</v>
      </c>
      <c r="F2236" t="s">
        <v>70</v>
      </c>
      <c r="G2236">
        <v>-383.97640000000001</v>
      </c>
      <c r="H2236" s="1">
        <v>5.7925769999999903E-7</v>
      </c>
      <c r="I2236">
        <v>285.14019999999999</v>
      </c>
      <c r="J2236">
        <v>-355.3306</v>
      </c>
      <c r="K2236">
        <v>1.1099479999999999</v>
      </c>
      <c r="L2236">
        <v>284.58</v>
      </c>
      <c r="M2236">
        <v>-0.99965440000000005</v>
      </c>
      <c r="N2236">
        <v>0</v>
      </c>
      <c r="O2236">
        <v>2.3180329999999999E-2</v>
      </c>
      <c r="P2236">
        <v>-0.99931519999999996</v>
      </c>
      <c r="Q2236">
        <v>2.309522E-2</v>
      </c>
      <c r="R2236">
        <v>2.8904510000000001E-2</v>
      </c>
      <c r="S2236">
        <v>-3.0030209999999999</v>
      </c>
      <c r="T2236">
        <v>-0.115775</v>
      </c>
      <c r="U2236">
        <v>5.877686E-2</v>
      </c>
      <c r="V2236">
        <v>5.7376700000000003E-3</v>
      </c>
      <c r="W2236">
        <v>3.5485750000000003E-2</v>
      </c>
      <c r="X2236">
        <v>0.99935370000000001</v>
      </c>
      <c r="Y2236">
        <v>-3.5942320000000002E-3</v>
      </c>
      <c r="Z2236">
        <v>-9.6245990000000002E-4</v>
      </c>
      <c r="AA2236">
        <v>0.99999309999999997</v>
      </c>
      <c r="AB2236">
        <v>28</v>
      </c>
      <c r="AC2236">
        <v>-28.645800000000001</v>
      </c>
      <c r="AD2236">
        <v>-1.1099474207422999</v>
      </c>
      <c r="AE2236">
        <v>0.56020000000000802</v>
      </c>
      <c r="AF2236">
        <v>-0.10386482110414801</v>
      </c>
      <c r="AG2236">
        <v>-1.1099474207422999</v>
      </c>
      <c r="AH2236">
        <v>28.608153784399601</v>
      </c>
      <c r="AI2236">
        <v>92.221849172896896</v>
      </c>
      <c r="AJ2236">
        <v>90.2080172592362</v>
      </c>
      <c r="AK2236">
        <v>28.629866121407801</v>
      </c>
      <c r="AL2236">
        <v>87.966389316263403</v>
      </c>
      <c r="AM2236">
        <v>89.671046734376105</v>
      </c>
      <c r="AN2236">
        <v>0.99999998850688998</v>
      </c>
    </row>
    <row r="2237" spans="1:40" x14ac:dyDescent="0.25">
      <c r="A2237" t="str">
        <f>"20190312160338537"</f>
        <v>20190312160338537</v>
      </c>
      <c r="B2237" t="str">
        <f>"1552377818527013"</f>
        <v>1552377818527013</v>
      </c>
      <c r="C2237" t="s">
        <v>40</v>
      </c>
      <c r="D2237">
        <v>4.8391760000000001</v>
      </c>
      <c r="E2237">
        <v>0.49763550000000001</v>
      </c>
      <c r="F2237" t="s">
        <v>70</v>
      </c>
      <c r="G2237">
        <v>-384.0573</v>
      </c>
      <c r="H2237" s="1">
        <v>6.2228269999999998E-7</v>
      </c>
      <c r="I2237">
        <v>285.14729999999997</v>
      </c>
      <c r="J2237">
        <v>-355.48259999999999</v>
      </c>
      <c r="K2237">
        <v>1.10995</v>
      </c>
      <c r="L2237">
        <v>284.58359999999999</v>
      </c>
      <c r="M2237">
        <v>-0.99965349999999997</v>
      </c>
      <c r="N2237">
        <v>0</v>
      </c>
      <c r="O2237">
        <v>2.3223819999999999E-2</v>
      </c>
      <c r="P2237">
        <v>-0.99931990000000004</v>
      </c>
      <c r="Q2237">
        <v>2.3235080000000002E-2</v>
      </c>
      <c r="R2237">
        <v>2.8641750000000001E-2</v>
      </c>
      <c r="S2237">
        <v>-3.0030209999999999</v>
      </c>
      <c r="T2237">
        <v>-0.11603139999999899</v>
      </c>
      <c r="U2237">
        <v>5.9295649999999998E-2</v>
      </c>
      <c r="V2237">
        <v>5.4314400000000001E-3</v>
      </c>
      <c r="W2237">
        <v>3.5625370000000003E-2</v>
      </c>
      <c r="X2237">
        <v>0.99935039999999997</v>
      </c>
      <c r="Y2237">
        <v>-3.4650169999999999E-3</v>
      </c>
      <c r="Z2237">
        <v>-9.6377180000000004E-4</v>
      </c>
      <c r="AA2237">
        <v>0.99999349999999998</v>
      </c>
      <c r="AB2237">
        <v>28</v>
      </c>
      <c r="AC2237">
        <v>-28.5747</v>
      </c>
      <c r="AD2237">
        <v>-1.1099493777173</v>
      </c>
      <c r="AE2237">
        <v>0.56369999999998299</v>
      </c>
      <c r="AF2237">
        <v>-9.9965923526167497E-2</v>
      </c>
      <c r="AG2237">
        <v>-1.1099493777173</v>
      </c>
      <c r="AH2237">
        <v>28.537043165111299</v>
      </c>
      <c r="AI2237">
        <v>92.2273850997191</v>
      </c>
      <c r="AJ2237">
        <v>90.200707622439495</v>
      </c>
      <c r="AK2237">
        <v>28.558795727663099</v>
      </c>
      <c r="AL2237">
        <v>87.958384528703803</v>
      </c>
      <c r="AM2237">
        <v>89.688602191405806</v>
      </c>
      <c r="AN2237">
        <v>0.99999994475413301</v>
      </c>
    </row>
    <row r="2238" spans="1:40" x14ac:dyDescent="0.25">
      <c r="A2238" t="str">
        <f>"20190312160338558"</f>
        <v>20190312160338558</v>
      </c>
      <c r="B2238" t="str">
        <f>"1552377818546532"</f>
        <v>1552377818546532</v>
      </c>
      <c r="C2238" t="s">
        <v>40</v>
      </c>
      <c r="D2238">
        <v>4.8510549999999997</v>
      </c>
      <c r="E2238">
        <v>0.49779030000000002</v>
      </c>
      <c r="F2238" t="s">
        <v>70</v>
      </c>
      <c r="G2238">
        <v>-384.3365</v>
      </c>
      <c r="H2238" s="1">
        <v>7.7091300000000004E-7</v>
      </c>
      <c r="I2238">
        <v>285.15219999999999</v>
      </c>
      <c r="J2238">
        <v>-355.73849999999999</v>
      </c>
      <c r="K2238">
        <v>1.1099540000000001</v>
      </c>
      <c r="L2238">
        <v>284.58969999999999</v>
      </c>
      <c r="M2238">
        <v>-0.99965179999999998</v>
      </c>
      <c r="N2238">
        <v>0</v>
      </c>
      <c r="O2238">
        <v>2.329442E-2</v>
      </c>
      <c r="P2238">
        <v>-0.99930660000000004</v>
      </c>
      <c r="Q2238">
        <v>2.3561229999999999E-2</v>
      </c>
      <c r="R2238">
        <v>2.883109E-2</v>
      </c>
      <c r="S2238">
        <v>-3.0029910000000002</v>
      </c>
      <c r="T2238">
        <v>-0.1155186</v>
      </c>
      <c r="U2238">
        <v>5.9173580000000003E-2</v>
      </c>
      <c r="V2238">
        <v>5.5501079999999998E-3</v>
      </c>
      <c r="W2238">
        <v>3.5951320000000002E-2</v>
      </c>
      <c r="X2238">
        <v>0.99933819999999995</v>
      </c>
      <c r="Y2238">
        <v>-3.57611E-3</v>
      </c>
      <c r="Z2238">
        <v>-9.6437550000000002E-4</v>
      </c>
      <c r="AA2238">
        <v>0.99999309999999997</v>
      </c>
      <c r="AB2238">
        <v>28</v>
      </c>
      <c r="AC2238">
        <v>-28.597999999999999</v>
      </c>
      <c r="AD2238">
        <v>-1.109953229087</v>
      </c>
      <c r="AE2238">
        <v>0.5625</v>
      </c>
      <c r="AF2238">
        <v>-0.10372148150586299</v>
      </c>
      <c r="AG2238">
        <v>-1.109953229087</v>
      </c>
      <c r="AH2238">
        <v>28.560336378700701</v>
      </c>
      <c r="AI2238">
        <v>92.225577012836197</v>
      </c>
      <c r="AJ2238">
        <v>90.208077976745699</v>
      </c>
      <c r="AK2238">
        <v>28.582084745186499</v>
      </c>
      <c r="AL2238">
        <v>87.939697254088401</v>
      </c>
      <c r="AM2238">
        <v>89.681794917068999</v>
      </c>
      <c r="AN2238">
        <v>1.00000006954389</v>
      </c>
    </row>
    <row r="2239" spans="1:40" x14ac:dyDescent="0.25">
      <c r="A2239" t="str">
        <f>"20190312160338579"</f>
        <v>20190312160338579</v>
      </c>
      <c r="B2239" t="str">
        <f>"1552377818567028"</f>
        <v>1552377818567028</v>
      </c>
      <c r="C2239" t="s">
        <v>40</v>
      </c>
      <c r="D2239">
        <v>4.8222849999999999</v>
      </c>
      <c r="E2239">
        <v>0.49816510000000003</v>
      </c>
      <c r="F2239" t="s">
        <v>70</v>
      </c>
      <c r="G2239">
        <v>-384.1003</v>
      </c>
      <c r="H2239" s="1">
        <v>6.4521119999999995E-7</v>
      </c>
      <c r="I2239">
        <v>285.16379999999998</v>
      </c>
      <c r="J2239">
        <v>-356.0154</v>
      </c>
      <c r="K2239">
        <v>1.109958</v>
      </c>
      <c r="L2239">
        <v>284.59620000000001</v>
      </c>
      <c r="M2239">
        <v>-0.99965020000000004</v>
      </c>
      <c r="N2239">
        <v>0</v>
      </c>
      <c r="O2239">
        <v>2.3365159999999999E-2</v>
      </c>
      <c r="P2239">
        <v>-0.99929760000000001</v>
      </c>
      <c r="Q2239">
        <v>2.387676E-2</v>
      </c>
      <c r="R2239">
        <v>2.888779E-2</v>
      </c>
      <c r="S2239">
        <v>-3.0031129999999999</v>
      </c>
      <c r="T2239">
        <v>-0.1175281</v>
      </c>
      <c r="U2239">
        <v>6.0791020000000001E-2</v>
      </c>
      <c r="V2239">
        <v>5.5360929999999997E-3</v>
      </c>
      <c r="W2239">
        <v>3.6266310000000003E-2</v>
      </c>
      <c r="X2239">
        <v>0.99932679999999996</v>
      </c>
      <c r="Y2239">
        <v>-3.1089199999999998E-3</v>
      </c>
      <c r="Z2239">
        <v>-9.7472089999999997E-4</v>
      </c>
      <c r="AA2239">
        <v>0.99999470000000001</v>
      </c>
      <c r="AB2239">
        <v>28</v>
      </c>
      <c r="AC2239">
        <v>-28.084900000000001</v>
      </c>
      <c r="AD2239">
        <v>-1.1099573547888</v>
      </c>
      <c r="AE2239">
        <v>0.56759999999997002</v>
      </c>
      <c r="AF2239">
        <v>-8.8675097927547797E-2</v>
      </c>
      <c r="AG2239">
        <v>-1.1099573547888</v>
      </c>
      <c r="AH2239">
        <v>28.046705020012901</v>
      </c>
      <c r="AI2239">
        <v>92.266304873015699</v>
      </c>
      <c r="AJ2239">
        <v>90.181151116546104</v>
      </c>
      <c r="AK2239">
        <v>28.068799957997101</v>
      </c>
      <c r="AL2239">
        <v>87.921637680569503</v>
      </c>
      <c r="AM2239">
        <v>89.682594803733707</v>
      </c>
      <c r="AN2239">
        <v>0.99999997338248003</v>
      </c>
    </row>
    <row r="2240" spans="1:40" x14ac:dyDescent="0.25">
      <c r="A2240" t="str">
        <f>"20190312160338591"</f>
        <v>20190312160338591</v>
      </c>
      <c r="B2240" t="str">
        <f>"1552377818586548"</f>
        <v>1552377818586548</v>
      </c>
      <c r="C2240" t="s">
        <v>40</v>
      </c>
      <c r="D2240">
        <v>4.7886170000000003</v>
      </c>
      <c r="E2240">
        <v>0.49825589999999997</v>
      </c>
      <c r="F2240" t="s">
        <v>70</v>
      </c>
      <c r="G2240">
        <v>-383.50439999999998</v>
      </c>
      <c r="H2240" s="1">
        <v>3.2807749999999999E-7</v>
      </c>
      <c r="I2240">
        <v>285.18060000000003</v>
      </c>
      <c r="J2240">
        <v>-356.16120000000001</v>
      </c>
      <c r="K2240">
        <v>1.1099589999999999</v>
      </c>
      <c r="L2240">
        <v>284.59969999999998</v>
      </c>
      <c r="M2240">
        <v>-0.99964929999999996</v>
      </c>
      <c r="N2240">
        <v>0</v>
      </c>
      <c r="O2240">
        <v>2.3399449999999999E-2</v>
      </c>
      <c r="P2240">
        <v>-0.99928700000000004</v>
      </c>
      <c r="Q2240">
        <v>2.4192269999999998E-2</v>
      </c>
      <c r="R2240">
        <v>2.8986379999999999E-2</v>
      </c>
      <c r="S2240">
        <v>-3.003174</v>
      </c>
      <c r="T2240">
        <v>-0.1212631</v>
      </c>
      <c r="U2240">
        <v>6.3842769999999993E-2</v>
      </c>
      <c r="V2240">
        <v>5.6003340000000002E-3</v>
      </c>
      <c r="W2240">
        <v>3.6581759999999998E-2</v>
      </c>
      <c r="X2240">
        <v>0.99931499999999995</v>
      </c>
      <c r="Y2240">
        <v>-2.1273590000000001E-3</v>
      </c>
      <c r="Z2240">
        <v>-9.8721529999999994E-4</v>
      </c>
      <c r="AA2240">
        <v>0.99999729999999998</v>
      </c>
      <c r="AB2240">
        <v>28</v>
      </c>
      <c r="AC2240">
        <v>-27.3431999999999</v>
      </c>
      <c r="AD2240">
        <v>-1.1099586719225001</v>
      </c>
      <c r="AE2240">
        <v>0.58090000000004205</v>
      </c>
      <c r="AF2240">
        <v>-5.9026885037297402E-2</v>
      </c>
      <c r="AG2240">
        <v>-1.1099586719225001</v>
      </c>
      <c r="AH2240">
        <v>27.304333076208898</v>
      </c>
      <c r="AI2240">
        <v>92.327865031427393</v>
      </c>
      <c r="AJ2240">
        <v>90.123862615963006</v>
      </c>
      <c r="AK2240">
        <v>27.326948186050501</v>
      </c>
      <c r="AL2240">
        <v>87.903551841759395</v>
      </c>
      <c r="AM2240">
        <v>89.678907909009993</v>
      </c>
      <c r="AN2240">
        <v>1.0000000290652999</v>
      </c>
    </row>
    <row r="2241" spans="1:40" x14ac:dyDescent="0.25">
      <c r="A2241" t="str">
        <f>"20190312160338602"</f>
        <v>20190312160338602</v>
      </c>
      <c r="B2241" t="str">
        <f>"1552377818596308"</f>
        <v>1552377818596308</v>
      </c>
      <c r="C2241" t="s">
        <v>40</v>
      </c>
      <c r="D2241">
        <v>4.7677379999999996</v>
      </c>
      <c r="E2241">
        <v>0.49830930000000001</v>
      </c>
      <c r="F2241" t="s">
        <v>70</v>
      </c>
      <c r="G2241">
        <v>-383.74549999999999</v>
      </c>
      <c r="H2241" s="1">
        <v>4.5638130000000002E-7</v>
      </c>
      <c r="I2241">
        <v>285.19670000000002</v>
      </c>
      <c r="J2241">
        <v>-356.30220000000003</v>
      </c>
      <c r="K2241">
        <v>1.109964</v>
      </c>
      <c r="L2241">
        <v>284.60300000000001</v>
      </c>
      <c r="M2241">
        <v>-0.99964869999999995</v>
      </c>
      <c r="N2241">
        <v>0</v>
      </c>
      <c r="O2241">
        <v>2.342872E-2</v>
      </c>
      <c r="P2241">
        <v>-0.99928419999999896</v>
      </c>
      <c r="Q2241">
        <v>2.4067140000000001E-2</v>
      </c>
      <c r="R2241">
        <v>2.9191419999999999E-2</v>
      </c>
      <c r="S2241">
        <v>-3.003174</v>
      </c>
      <c r="T2241">
        <v>-0.1208442</v>
      </c>
      <c r="U2241">
        <v>6.5002439999999995E-2</v>
      </c>
      <c r="V2241">
        <v>5.7757969999999896E-3</v>
      </c>
      <c r="W2241">
        <v>3.645644E-2</v>
      </c>
      <c r="X2241">
        <v>0.9993185</v>
      </c>
      <c r="Y2241">
        <v>-1.7710740000000001E-3</v>
      </c>
      <c r="Z2241">
        <v>-9.7781480000000008E-4</v>
      </c>
      <c r="AA2241">
        <v>0.99999800000000005</v>
      </c>
      <c r="AB2241">
        <v>28</v>
      </c>
      <c r="AC2241">
        <v>-27.443299999999901</v>
      </c>
      <c r="AD2241">
        <v>-1.1099635436187001</v>
      </c>
      <c r="AE2241">
        <v>0.593700000000012</v>
      </c>
      <c r="AF2241">
        <v>-4.9392995442884599E-2</v>
      </c>
      <c r="AG2241">
        <v>-1.1099635436187001</v>
      </c>
      <c r="AH2241">
        <v>27.4048672139076</v>
      </c>
      <c r="AI2241">
        <v>92.319346473427998</v>
      </c>
      <c r="AJ2241">
        <v>90.103266587278995</v>
      </c>
      <c r="AK2241">
        <v>27.427380584883899</v>
      </c>
      <c r="AL2241">
        <v>87.910736772289098</v>
      </c>
      <c r="AM2241">
        <v>89.668849214171601</v>
      </c>
      <c r="AN2241">
        <v>0.99999994814535298</v>
      </c>
    </row>
    <row r="2242" spans="1:40" x14ac:dyDescent="0.25">
      <c r="A2242" t="str">
        <f>"20190312160338613"</f>
        <v>20190312160338613</v>
      </c>
      <c r="B2242" t="str">
        <f>"1552377818607044"</f>
        <v>1552377818607044</v>
      </c>
      <c r="C2242" t="s">
        <v>40</v>
      </c>
      <c r="D2242">
        <v>4.8199670000000001</v>
      </c>
      <c r="E2242">
        <v>0.49835429999999997</v>
      </c>
      <c r="F2242" t="s">
        <v>70</v>
      </c>
      <c r="G2242">
        <v>-383.83690000000001</v>
      </c>
      <c r="H2242" s="1">
        <v>5.0504119999999999E-7</v>
      </c>
      <c r="I2242">
        <v>285.20659999999998</v>
      </c>
      <c r="J2242">
        <v>-356.44779999999997</v>
      </c>
      <c r="K2242">
        <v>1.109969</v>
      </c>
      <c r="L2242">
        <v>284.60649999999998</v>
      </c>
      <c r="M2242">
        <v>-0.99964799999999998</v>
      </c>
      <c r="N2242">
        <v>0</v>
      </c>
      <c r="O2242">
        <v>2.34551E-2</v>
      </c>
      <c r="P2242">
        <v>-0.99928070000000002</v>
      </c>
      <c r="Q2242">
        <v>2.4081499999999999E-2</v>
      </c>
      <c r="R2242">
        <v>2.929381E-2</v>
      </c>
      <c r="S2242">
        <v>-3.0031430000000001</v>
      </c>
      <c r="T2242">
        <v>-0.1210609</v>
      </c>
      <c r="U2242">
        <v>6.5826419999999997E-2</v>
      </c>
      <c r="V2242">
        <v>5.8512669999999899E-3</v>
      </c>
      <c r="W2242">
        <v>3.647073E-2</v>
      </c>
      <c r="X2242">
        <v>0.99931760000000003</v>
      </c>
      <c r="Y2242">
        <v>-1.52312E-3</v>
      </c>
      <c r="Z2242">
        <v>-9.7564129999999996E-4</v>
      </c>
      <c r="AA2242">
        <v>0.99999839999999995</v>
      </c>
      <c r="AB2242">
        <v>28</v>
      </c>
      <c r="AC2242">
        <v>-27.389099999999999</v>
      </c>
      <c r="AD2242">
        <v>-1.1099684949588</v>
      </c>
      <c r="AE2242">
        <v>0.60009999999999697</v>
      </c>
      <c r="AF2242">
        <v>-4.2458884887557599E-2</v>
      </c>
      <c r="AG2242">
        <v>-1.1099684949588</v>
      </c>
      <c r="AH2242">
        <v>27.350742404050202</v>
      </c>
      <c r="AI2242">
        <v>92.323942565550993</v>
      </c>
      <c r="AJ2242">
        <v>90.088945042761694</v>
      </c>
      <c r="AK2242">
        <v>27.3732888573773</v>
      </c>
      <c r="AL2242">
        <v>87.909917597057898</v>
      </c>
      <c r="AM2242">
        <v>89.664521997109205</v>
      </c>
      <c r="AN2242">
        <v>1.0000000085709899</v>
      </c>
    </row>
    <row r="2243" spans="1:40" x14ac:dyDescent="0.25">
      <c r="A2243" t="str">
        <f>"20190312160338635"</f>
        <v>20190312160338635</v>
      </c>
      <c r="B2243" t="str">
        <f>"1552377818626564"</f>
        <v>1552377818626564</v>
      </c>
      <c r="C2243" t="s">
        <v>40</v>
      </c>
      <c r="D2243">
        <v>4.796449</v>
      </c>
      <c r="E2243">
        <v>0.49837540000000002</v>
      </c>
      <c r="F2243" t="s">
        <v>70</v>
      </c>
      <c r="G2243">
        <v>-384.0086</v>
      </c>
      <c r="H2243" s="1">
        <v>5.9640420000000001E-7</v>
      </c>
      <c r="I2243">
        <v>285.21789999999999</v>
      </c>
      <c r="J2243">
        <v>-356.71809999999999</v>
      </c>
      <c r="K2243">
        <v>1.10998</v>
      </c>
      <c r="L2243">
        <v>284.61290000000002</v>
      </c>
      <c r="M2243">
        <v>-0.99964719999999996</v>
      </c>
      <c r="N2243">
        <v>0</v>
      </c>
      <c r="O2243">
        <v>2.349128E-2</v>
      </c>
      <c r="P2243">
        <v>-0.99927330000000003</v>
      </c>
      <c r="Q2243">
        <v>2.4059549999999999E-2</v>
      </c>
      <c r="R2243">
        <v>2.956276E-2</v>
      </c>
      <c r="S2243">
        <v>-3.003082</v>
      </c>
      <c r="T2243">
        <v>-0.1209441</v>
      </c>
      <c r="U2243">
        <v>6.6619869999999998E-2</v>
      </c>
      <c r="V2243">
        <v>6.0832389999999998E-3</v>
      </c>
      <c r="W2243">
        <v>3.6449290000000002E-2</v>
      </c>
      <c r="X2243">
        <v>0.99931700000000001</v>
      </c>
      <c r="Y2243">
        <v>-1.294974E-3</v>
      </c>
      <c r="Z2243">
        <v>-9.715813E-4</v>
      </c>
      <c r="AA2243">
        <v>0.99999870000000002</v>
      </c>
      <c r="AB2243">
        <v>28</v>
      </c>
      <c r="AC2243">
        <v>-27.290500000000002</v>
      </c>
      <c r="AD2243">
        <v>-1.1099794035957999</v>
      </c>
      <c r="AE2243">
        <v>0.60499999999996101</v>
      </c>
      <c r="AF2243">
        <v>-3.6245080053415001E-2</v>
      </c>
      <c r="AG2243">
        <v>-1.1099794035957999</v>
      </c>
      <c r="AH2243">
        <v>27.252120853247501</v>
      </c>
      <c r="AI2243">
        <v>92.3323669558484</v>
      </c>
      <c r="AJ2243">
        <v>90.076202835804494</v>
      </c>
      <c r="AK2243">
        <v>27.274740310078901</v>
      </c>
      <c r="AL2243">
        <v>87.911146842014801</v>
      </c>
      <c r="AM2243">
        <v>89.651222169437403</v>
      </c>
      <c r="AN2243">
        <v>1.0000000115136101</v>
      </c>
    </row>
    <row r="2244" spans="1:40" x14ac:dyDescent="0.25">
      <c r="A2244" t="str">
        <f>"20190312160338646"</f>
        <v>20190312160338646</v>
      </c>
      <c r="B2244" t="str">
        <f>"1552377818637301"</f>
        <v>1552377818637301</v>
      </c>
      <c r="C2244" t="s">
        <v>40</v>
      </c>
      <c r="D2244">
        <v>4.8207529999999998</v>
      </c>
      <c r="E2244">
        <v>0.49846210000000002</v>
      </c>
      <c r="F2244" t="s">
        <v>70</v>
      </c>
      <c r="G2244">
        <v>-384.32220000000001</v>
      </c>
      <c r="H2244" s="1">
        <v>7.6325969999999999E-7</v>
      </c>
      <c r="I2244">
        <v>285.2321</v>
      </c>
      <c r="J2244">
        <v>-356.86770000000001</v>
      </c>
      <c r="K2244">
        <v>1.1099829999999999</v>
      </c>
      <c r="L2244">
        <v>284.61649999999997</v>
      </c>
      <c r="M2244">
        <v>-0.99964699999999995</v>
      </c>
      <c r="N2244">
        <v>0</v>
      </c>
      <c r="O2244">
        <v>2.3504810000000001E-2</v>
      </c>
      <c r="P2244">
        <v>-0.99925269999999999</v>
      </c>
      <c r="Q2244">
        <v>2.4215609999999999E-2</v>
      </c>
      <c r="R2244">
        <v>3.0130750000000001E-2</v>
      </c>
      <c r="S2244">
        <v>-3.003082</v>
      </c>
      <c r="T2244">
        <v>-0.12075610000000001</v>
      </c>
      <c r="U2244">
        <v>6.7352289999999995E-2</v>
      </c>
      <c r="V2244">
        <v>6.6373409999999997E-3</v>
      </c>
      <c r="W2244">
        <v>3.6604640000000001E-2</v>
      </c>
      <c r="X2244">
        <v>0.99930779999999997</v>
      </c>
      <c r="Y2244">
        <v>-1.0649780000000001E-3</v>
      </c>
      <c r="Z2244">
        <v>-9.6599100000000003E-4</v>
      </c>
      <c r="AA2244">
        <v>0.99999899999999997</v>
      </c>
      <c r="AB2244">
        <v>28</v>
      </c>
      <c r="AC2244">
        <v>-27.454499999999999</v>
      </c>
      <c r="AD2244">
        <v>-1.1099822367402901</v>
      </c>
      <c r="AE2244">
        <v>0.61560000000002801</v>
      </c>
      <c r="AF2244">
        <v>-2.9883586407162401E-2</v>
      </c>
      <c r="AG2244">
        <v>-1.1099822367402901</v>
      </c>
      <c r="AH2244">
        <v>27.416592512090201</v>
      </c>
      <c r="AI2244">
        <v>92.318397024425096</v>
      </c>
      <c r="AJ2244">
        <v>90.062451331215698</v>
      </c>
      <c r="AK2244">
        <v>27.439068835669602</v>
      </c>
      <c r="AL2244">
        <v>87.902240009513406</v>
      </c>
      <c r="AM2244">
        <v>89.619450549265494</v>
      </c>
      <c r="AN2244">
        <v>1.0000000165529499</v>
      </c>
    </row>
    <row r="2245" spans="1:40" x14ac:dyDescent="0.25">
      <c r="A2245" t="str">
        <f>"20190312160338658"</f>
        <v>20190312160338658</v>
      </c>
      <c r="B2245" t="str">
        <f>"1552377818647060"</f>
        <v>1552377818647060</v>
      </c>
      <c r="C2245" t="s">
        <v>40</v>
      </c>
      <c r="D2245">
        <v>4.6761089999999896</v>
      </c>
      <c r="E2245">
        <v>0.4984016</v>
      </c>
      <c r="F2245" t="s">
        <v>70</v>
      </c>
      <c r="G2245">
        <v>-384.53879999999998</v>
      </c>
      <c r="H2245" s="1">
        <v>8.7852109999999897E-7</v>
      </c>
      <c r="I2245">
        <v>285.25700000000001</v>
      </c>
      <c r="J2245">
        <v>-357.01280000000003</v>
      </c>
      <c r="K2245">
        <v>1.1099889999999999</v>
      </c>
      <c r="L2245">
        <v>284.61989999999997</v>
      </c>
      <c r="M2245">
        <v>-0.99964679999999995</v>
      </c>
      <c r="N2245">
        <v>0</v>
      </c>
      <c r="O2245">
        <v>2.3509829999999999E-2</v>
      </c>
      <c r="P2245">
        <v>-0.99924590000000002</v>
      </c>
      <c r="Q2245">
        <v>2.449995E-2</v>
      </c>
      <c r="R2245">
        <v>3.0127310000000001E-2</v>
      </c>
      <c r="S2245">
        <v>-3.003082</v>
      </c>
      <c r="T2245">
        <v>-0.1204641</v>
      </c>
      <c r="U2245">
        <v>6.9519040000000004E-2</v>
      </c>
      <c r="V2245">
        <v>6.6283030000000003E-3</v>
      </c>
      <c r="W2245">
        <v>3.688864E-2</v>
      </c>
      <c r="X2245">
        <v>0.9992974</v>
      </c>
      <c r="Y2245">
        <v>-3.4953080000000002E-4</v>
      </c>
      <c r="Z2245">
        <v>-9.4950579999999996E-4</v>
      </c>
      <c r="AA2245">
        <v>0.99999950000000004</v>
      </c>
      <c r="AB2245">
        <v>28</v>
      </c>
      <c r="AC2245">
        <v>-27.5259999999999</v>
      </c>
      <c r="AD2245">
        <v>-1.10998812147889</v>
      </c>
      <c r="AE2245">
        <v>0.63710000000003197</v>
      </c>
      <c r="AF2245">
        <v>-1.0240748221607201E-2</v>
      </c>
      <c r="AG2245">
        <v>-1.10998812147889</v>
      </c>
      <c r="AH2245">
        <v>27.488694303970298</v>
      </c>
      <c r="AI2245">
        <v>92.312336024995304</v>
      </c>
      <c r="AJ2245">
        <v>90.021345198084703</v>
      </c>
      <c r="AK2245">
        <v>27.511097634225301</v>
      </c>
      <c r="AL2245">
        <v>87.885956975827597</v>
      </c>
      <c r="AM2245">
        <v>89.619964769400795</v>
      </c>
      <c r="AN2245">
        <v>0.99999999990423405</v>
      </c>
    </row>
    <row r="2246" spans="1:40" x14ac:dyDescent="0.25">
      <c r="A2246" t="str">
        <f>"20190312160338680"</f>
        <v>20190312160338680</v>
      </c>
      <c r="B2246" t="str">
        <f>"1552377818677316"</f>
        <v>1552377818677316</v>
      </c>
      <c r="C2246" t="s">
        <v>40</v>
      </c>
      <c r="D2246">
        <v>4.7853570000000003</v>
      </c>
      <c r="E2246">
        <v>0.49826599999999999</v>
      </c>
      <c r="F2246" t="s">
        <v>70</v>
      </c>
      <c r="G2246">
        <v>-384.62189999999998</v>
      </c>
      <c r="H2246" s="1">
        <v>9.2278700000000004E-7</v>
      </c>
      <c r="I2246">
        <v>285.25599999999997</v>
      </c>
      <c r="J2246">
        <v>-357.28640000000001</v>
      </c>
      <c r="K2246">
        <v>1.1100000000000001</v>
      </c>
      <c r="L2246">
        <v>284.62630000000001</v>
      </c>
      <c r="M2246">
        <v>-0.99964679999999995</v>
      </c>
      <c r="N2246">
        <v>0</v>
      </c>
      <c r="O2246">
        <v>2.3512680000000001E-2</v>
      </c>
      <c r="P2246">
        <v>-0.99923399999999996</v>
      </c>
      <c r="Q2246">
        <v>2.4394450000000002E-2</v>
      </c>
      <c r="R2246">
        <v>3.0606479999999998E-2</v>
      </c>
      <c r="S2246">
        <v>-3.0031430000000001</v>
      </c>
      <c r="T2246">
        <v>-0.1207372</v>
      </c>
      <c r="U2246">
        <v>6.9183350000000005E-2</v>
      </c>
      <c r="V2246">
        <v>7.1037030000000003E-3</v>
      </c>
      <c r="W2246">
        <v>3.6783330000000003E-2</v>
      </c>
      <c r="X2246">
        <v>0.99929800000000002</v>
      </c>
      <c r="Y2246">
        <v>-4.6438369999999998E-4</v>
      </c>
      <c r="Z2246">
        <v>-9.5406060000000005E-4</v>
      </c>
      <c r="AA2246">
        <v>0.99999950000000004</v>
      </c>
      <c r="AB2246">
        <v>28</v>
      </c>
      <c r="AC2246">
        <v>-27.3354999999999</v>
      </c>
      <c r="AD2246">
        <v>-1.109999077213</v>
      </c>
      <c r="AE2246">
        <v>0.62969999999995696</v>
      </c>
      <c r="AF2246">
        <v>-1.32324837031051E-2</v>
      </c>
      <c r="AG2246">
        <v>-1.109999077213</v>
      </c>
      <c r="AH2246">
        <v>27.297761621117299</v>
      </c>
      <c r="AI2246">
        <v>92.328514636232498</v>
      </c>
      <c r="AJ2246">
        <v>90.027773903948699</v>
      </c>
      <c r="AK2246">
        <v>27.3203232516268</v>
      </c>
      <c r="AL2246">
        <v>87.891994859422098</v>
      </c>
      <c r="AM2246">
        <v>89.592708736430396</v>
      </c>
      <c r="AN2246">
        <v>0.9999999843831</v>
      </c>
    </row>
    <row r="2247" spans="1:40" x14ac:dyDescent="0.25">
      <c r="A2247" t="str">
        <f>"20190312160338690"</f>
        <v>20190312160338690</v>
      </c>
      <c r="B2247" t="str">
        <f>"1552377818687077"</f>
        <v>1552377818687077</v>
      </c>
      <c r="C2247" t="s">
        <v>40</v>
      </c>
      <c r="D2247">
        <v>4.9668479999999997</v>
      </c>
      <c r="E2247">
        <v>0.49829449999999997</v>
      </c>
      <c r="F2247" t="s">
        <v>70</v>
      </c>
      <c r="G2247">
        <v>-386.61739999999998</v>
      </c>
      <c r="H2247" s="1">
        <v>1.984639E-6</v>
      </c>
      <c r="I2247">
        <v>285.30689999999998</v>
      </c>
      <c r="J2247">
        <v>-357.42540000000002</v>
      </c>
      <c r="K2247">
        <v>1.110007</v>
      </c>
      <c r="L2247">
        <v>284.62959999999998</v>
      </c>
      <c r="M2247">
        <v>-0.99964679999999995</v>
      </c>
      <c r="N2247">
        <v>0</v>
      </c>
      <c r="O2247">
        <v>2.35111E-2</v>
      </c>
      <c r="P2247">
        <v>-0.99922840000000002</v>
      </c>
      <c r="Q2247">
        <v>2.4308610000000001E-2</v>
      </c>
      <c r="R2247">
        <v>3.0853849999999999E-2</v>
      </c>
      <c r="S2247">
        <v>-3.0029599999999999</v>
      </c>
      <c r="T2247">
        <v>-0.11364389999999901</v>
      </c>
      <c r="U2247">
        <v>6.9671629999999998E-2</v>
      </c>
      <c r="V2247">
        <v>7.3521619999999998E-3</v>
      </c>
      <c r="W2247">
        <v>3.6697550000000002E-2</v>
      </c>
      <c r="X2247">
        <v>0.9992993</v>
      </c>
      <c r="Y2247">
        <v>-3.012151E-4</v>
      </c>
      <c r="Z2247">
        <v>-8.9495860000000005E-4</v>
      </c>
      <c r="AA2247">
        <v>0.99999959999999999</v>
      </c>
      <c r="AB2247">
        <v>28</v>
      </c>
      <c r="AC2247">
        <v>-29.191999999999901</v>
      </c>
      <c r="AD2247">
        <v>-1.1100050153609999</v>
      </c>
      <c r="AE2247">
        <v>0.67730000000000201</v>
      </c>
      <c r="AF2247">
        <v>-9.2625804695641804E-3</v>
      </c>
      <c r="AG2247">
        <v>-1.1100050153609999</v>
      </c>
      <c r="AH2247">
        <v>29.157719773817501</v>
      </c>
      <c r="AI2247">
        <v>92.180139709433504</v>
      </c>
      <c r="AJ2247">
        <v>90.018201243258005</v>
      </c>
      <c r="AK2247">
        <v>29.178841980757099</v>
      </c>
      <c r="AL2247">
        <v>87.896912892778303</v>
      </c>
      <c r="AM2247">
        <v>89.578464377577902</v>
      </c>
      <c r="AN2247">
        <v>0.99999992772127999</v>
      </c>
    </row>
    <row r="2248" spans="1:40" x14ac:dyDescent="0.25">
      <c r="A2248" t="str">
        <f>"20190312160338702"</f>
        <v>20190312160338702</v>
      </c>
      <c r="B2248" t="str">
        <f>"1552377818696836"</f>
        <v>1552377818696836</v>
      </c>
      <c r="C2248" t="s">
        <v>40</v>
      </c>
      <c r="D2248">
        <v>4.7177860000000003</v>
      </c>
      <c r="E2248">
        <v>0.49830839999999998</v>
      </c>
      <c r="F2248" t="s">
        <v>70</v>
      </c>
      <c r="G2248">
        <v>-387.35199999999998</v>
      </c>
      <c r="H2248" s="1">
        <v>2.375592E-6</v>
      </c>
      <c r="I2248">
        <v>285.33370000000002</v>
      </c>
      <c r="J2248">
        <v>-357.5745</v>
      </c>
      <c r="K2248">
        <v>1.1100110000000001</v>
      </c>
      <c r="L2248">
        <v>284.63310000000001</v>
      </c>
      <c r="M2248">
        <v>-0.99964699999999995</v>
      </c>
      <c r="N2248">
        <v>0</v>
      </c>
      <c r="O2248">
        <v>2.3506869999999999E-2</v>
      </c>
      <c r="P2248">
        <v>-0.99921579999999999</v>
      </c>
      <c r="Q2248">
        <v>2.4428129999999999E-2</v>
      </c>
      <c r="R2248">
        <v>3.1165660000000001E-2</v>
      </c>
      <c r="S2248">
        <v>-3.0028380000000001</v>
      </c>
      <c r="T2248">
        <v>-0.1113778</v>
      </c>
      <c r="U2248">
        <v>7.064819E-2</v>
      </c>
      <c r="V2248">
        <v>7.6679030000000002E-3</v>
      </c>
      <c r="W2248">
        <v>3.6816689999999999E-2</v>
      </c>
      <c r="X2248">
        <v>0.99929259999999998</v>
      </c>
      <c r="Y2248" s="1">
        <v>2.8098939999999999E-5</v>
      </c>
      <c r="Z2248">
        <v>-8.708953E-4</v>
      </c>
      <c r="AA2248">
        <v>0.99999959999999999</v>
      </c>
      <c r="AB2248">
        <v>28</v>
      </c>
      <c r="AC2248">
        <v>-29.7774999999999</v>
      </c>
      <c r="AD2248">
        <v>-1.1100086244079901</v>
      </c>
      <c r="AE2248">
        <v>0.70060000000000799</v>
      </c>
      <c r="AF2248">
        <v>3.76372963444726E-4</v>
      </c>
      <c r="AG2248">
        <v>-1.1100086244079901</v>
      </c>
      <c r="AH2248">
        <v>29.744431951926199</v>
      </c>
      <c r="AI2248">
        <v>92.1371835428004</v>
      </c>
      <c r="AJ2248">
        <v>89.999275004398697</v>
      </c>
      <c r="AK2248">
        <v>29.765136509525501</v>
      </c>
      <c r="AL2248">
        <v>87.890082173516205</v>
      </c>
      <c r="AM2248">
        <v>89.5603591408873</v>
      </c>
      <c r="AN2248">
        <v>0.99999998290686598</v>
      </c>
    </row>
    <row r="2249" spans="1:40" x14ac:dyDescent="0.25">
      <c r="A2249" t="str">
        <f>"20190312160338724"</f>
        <v>20190312160338724</v>
      </c>
      <c r="B2249" t="str">
        <f>"1552377818716356"</f>
        <v>1552377818716356</v>
      </c>
      <c r="C2249" t="s">
        <v>40</v>
      </c>
      <c r="D2249">
        <v>4.730181</v>
      </c>
      <c r="E2249">
        <v>0.49828709999999998</v>
      </c>
      <c r="F2249" t="s">
        <v>70</v>
      </c>
      <c r="G2249">
        <v>-388.24869999999999</v>
      </c>
      <c r="H2249" s="1">
        <v>2.8527560000000001E-6</v>
      </c>
      <c r="I2249">
        <v>285.36669999999998</v>
      </c>
      <c r="J2249">
        <v>-357.84930000000003</v>
      </c>
      <c r="K2249">
        <v>1.1100209999999999</v>
      </c>
      <c r="L2249">
        <v>284.63959999999997</v>
      </c>
      <c r="M2249">
        <v>-0.99964719999999996</v>
      </c>
      <c r="N2249">
        <v>0</v>
      </c>
      <c r="O2249">
        <v>2.349762E-2</v>
      </c>
      <c r="P2249">
        <v>-0.99920169999999997</v>
      </c>
      <c r="Q2249">
        <v>2.4183469999999999E-2</v>
      </c>
      <c r="R2249">
        <v>3.1807290000000002E-2</v>
      </c>
      <c r="S2249">
        <v>-3.0027469999999998</v>
      </c>
      <c r="T2249">
        <v>-0.10866049999999999</v>
      </c>
      <c r="U2249">
        <v>7.1807860000000001E-2</v>
      </c>
      <c r="V2249">
        <v>8.3187620000000004E-3</v>
      </c>
      <c r="W2249">
        <v>3.6572229999999997E-2</v>
      </c>
      <c r="X2249">
        <v>0.99929639999999997</v>
      </c>
      <c r="Y2249">
        <v>4.2301110000000003E-4</v>
      </c>
      <c r="Z2249">
        <v>-8.422061E-4</v>
      </c>
      <c r="AA2249">
        <v>0.99999959999999999</v>
      </c>
      <c r="AB2249">
        <v>28</v>
      </c>
      <c r="AC2249">
        <v>-30.399399999999901</v>
      </c>
      <c r="AD2249">
        <v>-1.1100181472439901</v>
      </c>
      <c r="AE2249">
        <v>0.72710000000000696</v>
      </c>
      <c r="AF2249">
        <v>1.25142147066302E-2</v>
      </c>
      <c r="AG2249">
        <v>-1.1100181472439901</v>
      </c>
      <c r="AH2249">
        <v>30.367625433982901</v>
      </c>
      <c r="AI2249">
        <v>92.093382225382101</v>
      </c>
      <c r="AJ2249">
        <v>89.976388945932499</v>
      </c>
      <c r="AK2249">
        <v>30.387908308922199</v>
      </c>
      <c r="AL2249">
        <v>87.904098201268596</v>
      </c>
      <c r="AM2249">
        <v>89.523045471000103</v>
      </c>
      <c r="AN2249">
        <v>1.00000001243067</v>
      </c>
    </row>
    <row r="2250" spans="1:40" x14ac:dyDescent="0.25">
      <c r="A2250" t="str">
        <f>"20190312160338735"</f>
        <v>20190312160338735</v>
      </c>
      <c r="B2250" t="str">
        <f>"1552377818727093"</f>
        <v>1552377818727093</v>
      </c>
      <c r="C2250" t="s">
        <v>40</v>
      </c>
      <c r="D2250">
        <v>4.7544559999999896</v>
      </c>
      <c r="E2250">
        <v>0.49823669999999998</v>
      </c>
      <c r="F2250" t="s">
        <v>70</v>
      </c>
      <c r="G2250">
        <v>-389.67009999999999</v>
      </c>
      <c r="H2250" s="1">
        <v>3.609164E-6</v>
      </c>
      <c r="I2250">
        <v>285.42230000000001</v>
      </c>
      <c r="J2250">
        <v>-357.99239999999998</v>
      </c>
      <c r="K2250">
        <v>1.1100209999999999</v>
      </c>
      <c r="L2250">
        <v>284.64299999999997</v>
      </c>
      <c r="M2250">
        <v>-0.99964710000000001</v>
      </c>
      <c r="N2250">
        <v>0</v>
      </c>
      <c r="O2250">
        <v>2.3492599999999999E-2</v>
      </c>
      <c r="P2250">
        <v>-0.99919530000000001</v>
      </c>
      <c r="Q2250">
        <v>2.4335679999999998E-2</v>
      </c>
      <c r="R2250">
        <v>3.1885719999999999E-2</v>
      </c>
      <c r="S2250">
        <v>-3.0025940000000002</v>
      </c>
      <c r="T2250">
        <v>-0.1047406</v>
      </c>
      <c r="U2250">
        <v>7.3852539999999994E-2</v>
      </c>
      <c r="V2250">
        <v>8.4020889999999997E-3</v>
      </c>
      <c r="W2250">
        <v>3.6724239999999998E-2</v>
      </c>
      <c r="X2250">
        <v>0.99929009999999996</v>
      </c>
      <c r="Y2250">
        <v>1.108326E-3</v>
      </c>
      <c r="Z2250">
        <v>-7.9975339999999997E-4</v>
      </c>
      <c r="AA2250">
        <v>0.99999899999999997</v>
      </c>
      <c r="AB2250">
        <v>28</v>
      </c>
      <c r="AC2250">
        <v>-31.677700000000002</v>
      </c>
      <c r="AD2250">
        <v>-1.11001739083599</v>
      </c>
      <c r="AE2250">
        <v>0.77930000000003397</v>
      </c>
      <c r="AF2250">
        <v>3.4793432582722703E-2</v>
      </c>
      <c r="AG2250">
        <v>-1.11001739083599</v>
      </c>
      <c r="AH2250">
        <v>31.648428500364499</v>
      </c>
      <c r="AI2250">
        <v>92.008732085889093</v>
      </c>
      <c r="AJ2250">
        <v>89.937010583681698</v>
      </c>
      <c r="AK2250">
        <v>31.6679076627047</v>
      </c>
      <c r="AL2250">
        <v>87.895382756214602</v>
      </c>
      <c r="AM2250">
        <v>89.518265121496299</v>
      </c>
      <c r="AN2250">
        <v>0.99999998443057503</v>
      </c>
    </row>
    <row r="2251" spans="1:40" x14ac:dyDescent="0.25">
      <c r="A2251" t="str">
        <f>"20190312160338748"</f>
        <v>20190312160338748</v>
      </c>
      <c r="B2251" t="str">
        <f>"1552377818736853"</f>
        <v>1552377818736853</v>
      </c>
      <c r="C2251" t="s">
        <v>40</v>
      </c>
      <c r="D2251">
        <v>4.6759380000000004</v>
      </c>
      <c r="E2251">
        <v>0.49822880000000003</v>
      </c>
      <c r="F2251" t="s">
        <v>70</v>
      </c>
      <c r="G2251">
        <v>-390.6078</v>
      </c>
      <c r="H2251" s="1">
        <v>-1.2133159999999999E-6</v>
      </c>
      <c r="I2251">
        <v>285.44549999999998</v>
      </c>
      <c r="J2251">
        <v>-358.1542</v>
      </c>
      <c r="K2251">
        <v>1.1100190000000001</v>
      </c>
      <c r="L2251">
        <v>284.64679999999998</v>
      </c>
      <c r="M2251">
        <v>-0.99964750000000002</v>
      </c>
      <c r="N2251">
        <v>0</v>
      </c>
      <c r="O2251">
        <v>2.348627E-2</v>
      </c>
      <c r="P2251">
        <v>-0.99918960000000001</v>
      </c>
      <c r="Q2251">
        <v>2.4400600000000001E-2</v>
      </c>
      <c r="R2251">
        <v>3.2022050000000003E-2</v>
      </c>
      <c r="S2251">
        <v>-3.0025330000000001</v>
      </c>
      <c r="T2251">
        <v>-0.10218720000000001</v>
      </c>
      <c r="U2251">
        <v>7.388306E-2</v>
      </c>
      <c r="V2251">
        <v>8.544945E-3</v>
      </c>
      <c r="W2251">
        <v>3.6789049999999997E-2</v>
      </c>
      <c r="X2251">
        <v>0.99928649999999997</v>
      </c>
      <c r="Y2251">
        <v>1.124653E-3</v>
      </c>
      <c r="Z2251">
        <v>-7.7979009999999997E-4</v>
      </c>
      <c r="AA2251">
        <v>0.99999899999999997</v>
      </c>
      <c r="AB2251">
        <v>28</v>
      </c>
      <c r="AC2251">
        <v>-32.453599999999902</v>
      </c>
      <c r="AD2251">
        <v>-1.110020213316</v>
      </c>
      <c r="AE2251">
        <v>0.79869999999999597</v>
      </c>
      <c r="AF2251">
        <v>3.6164938527979897E-2</v>
      </c>
      <c r="AG2251">
        <v>-1.110020213316</v>
      </c>
      <c r="AH2251">
        <v>32.425496017589097</v>
      </c>
      <c r="AI2251">
        <v>91.960636387740493</v>
      </c>
      <c r="AJ2251">
        <v>89.936096660366005</v>
      </c>
      <c r="AK2251">
        <v>32.4445102407701</v>
      </c>
      <c r="AL2251">
        <v>87.891666895672998</v>
      </c>
      <c r="AM2251">
        <v>89.510073084937702</v>
      </c>
      <c r="AN2251">
        <v>0.99999997968360199</v>
      </c>
    </row>
    <row r="2252" spans="1:40" x14ac:dyDescent="0.25">
      <c r="A2252" t="str">
        <f>"20190312160338770"</f>
        <v>20190312160338770</v>
      </c>
      <c r="B2252" t="str">
        <f>"1552377818767109"</f>
        <v>1552377818767109</v>
      </c>
      <c r="C2252" t="s">
        <v>40</v>
      </c>
      <c r="D2252">
        <v>4.6477219999999999</v>
      </c>
      <c r="E2252">
        <v>0.4981584</v>
      </c>
      <c r="F2252" t="s">
        <v>70</v>
      </c>
      <c r="G2252">
        <v>-391.5009</v>
      </c>
      <c r="H2252" s="1">
        <v>-7.3808289999999999E-7</v>
      </c>
      <c r="I2252">
        <v>285.46969999999999</v>
      </c>
      <c r="J2252">
        <v>-358.42660000000001</v>
      </c>
      <c r="K2252">
        <v>1.1100209999999999</v>
      </c>
      <c r="L2252">
        <v>284.65309999999999</v>
      </c>
      <c r="M2252">
        <v>-0.99964779999999998</v>
      </c>
      <c r="N2252">
        <v>0</v>
      </c>
      <c r="O2252">
        <v>2.3471390000000002E-2</v>
      </c>
      <c r="P2252">
        <v>-0.99919060000000004</v>
      </c>
      <c r="Q2252">
        <v>2.4574470000000001E-2</v>
      </c>
      <c r="R2252">
        <v>3.1848929999999998E-2</v>
      </c>
      <c r="S2252">
        <v>-3.0025019999999998</v>
      </c>
      <c r="T2252">
        <v>-9.9945069999999997E-2</v>
      </c>
      <c r="U2252">
        <v>7.4096679999999998E-2</v>
      </c>
      <c r="V2252">
        <v>8.3862950000000002E-3</v>
      </c>
      <c r="W2252">
        <v>3.6962500000000002E-2</v>
      </c>
      <c r="X2252">
        <v>0.99928150000000004</v>
      </c>
      <c r="Y2252">
        <v>1.210278E-3</v>
      </c>
      <c r="Z2252">
        <v>-7.6077779999999997E-4</v>
      </c>
      <c r="AA2252">
        <v>0.99999899999999997</v>
      </c>
      <c r="AB2252">
        <v>28</v>
      </c>
      <c r="AC2252">
        <v>-33.074299999999901</v>
      </c>
      <c r="AD2252">
        <v>-1.1100217380828901</v>
      </c>
      <c r="AE2252">
        <v>0.816599999999994</v>
      </c>
      <c r="AF2252">
        <v>3.9970673519753898E-2</v>
      </c>
      <c r="AG2252">
        <v>-1.1100217380828901</v>
      </c>
      <c r="AH2252">
        <v>33.047154441405297</v>
      </c>
      <c r="AI2252">
        <v>91.923784767231695</v>
      </c>
      <c r="AJ2252">
        <v>89.930700545359002</v>
      </c>
      <c r="AK2252">
        <v>33.065815619576803</v>
      </c>
      <c r="AL2252">
        <v>87.881722298650999</v>
      </c>
      <c r="AM2252">
        <v>89.519166492097199</v>
      </c>
      <c r="AN2252">
        <v>1.0000000362961601</v>
      </c>
    </row>
    <row r="2253" spans="1:40" x14ac:dyDescent="0.25">
      <c r="A2253" t="str">
        <f>"20190312160338783"</f>
        <v>20190312160338783</v>
      </c>
      <c r="B2253" t="str">
        <f>"1552377818776868"</f>
        <v>1552377818776868</v>
      </c>
      <c r="C2253" t="s">
        <v>40</v>
      </c>
      <c r="D2253">
        <v>4.6643869999999996</v>
      </c>
      <c r="E2253">
        <v>0.49813560000000001</v>
      </c>
      <c r="F2253" t="s">
        <v>70</v>
      </c>
      <c r="G2253">
        <v>-394.09399999999999</v>
      </c>
      <c r="H2253" s="1">
        <v>6.4182369999999898E-7</v>
      </c>
      <c r="I2253">
        <v>285.5258</v>
      </c>
      <c r="J2253">
        <v>-358.59870000000001</v>
      </c>
      <c r="K2253">
        <v>1.1100289999999999</v>
      </c>
      <c r="L2253">
        <v>284.65719999999999</v>
      </c>
      <c r="M2253">
        <v>-0.99964799999999998</v>
      </c>
      <c r="N2253">
        <v>0</v>
      </c>
      <c r="O2253">
        <v>2.34602E-2</v>
      </c>
      <c r="P2253">
        <v>-0.99919860000000005</v>
      </c>
      <c r="Q2253">
        <v>2.4522450000000001E-2</v>
      </c>
      <c r="R2253">
        <v>3.1636610000000003E-2</v>
      </c>
      <c r="S2253">
        <v>-3.00238</v>
      </c>
      <c r="T2253">
        <v>-9.3438389999999996E-2</v>
      </c>
      <c r="U2253">
        <v>7.3455809999999996E-2</v>
      </c>
      <c r="V2253">
        <v>8.1848240000000003E-3</v>
      </c>
      <c r="W2253">
        <v>3.691055E-2</v>
      </c>
      <c r="X2253">
        <v>0.99928499999999998</v>
      </c>
      <c r="Y2253">
        <v>1.007684E-3</v>
      </c>
      <c r="Z2253">
        <v>-7.1410880000000003E-4</v>
      </c>
      <c r="AA2253">
        <v>0.99999919999999998</v>
      </c>
      <c r="AB2253">
        <v>28</v>
      </c>
      <c r="AC2253">
        <v>-35.495299999999901</v>
      </c>
      <c r="AD2253">
        <v>-1.1100283581763</v>
      </c>
      <c r="AE2253">
        <v>0.86860000000001403</v>
      </c>
      <c r="AF2253">
        <v>3.5535413922919097E-2</v>
      </c>
      <c r="AG2253">
        <v>-1.1100283581763</v>
      </c>
      <c r="AH2253">
        <v>35.471239160328899</v>
      </c>
      <c r="AI2253">
        <v>91.792414382750493</v>
      </c>
      <c r="AJ2253">
        <v>89.942600579847294</v>
      </c>
      <c r="AK2253">
        <v>35.488621180469302</v>
      </c>
      <c r="AL2253">
        <v>87.884700654946798</v>
      </c>
      <c r="AM2253">
        <v>89.530719079448005</v>
      </c>
      <c r="AN2253">
        <v>0.99999994563510497</v>
      </c>
    </row>
    <row r="2254" spans="1:40" x14ac:dyDescent="0.25">
      <c r="A2254" t="str">
        <f>"20190312160338796"</f>
        <v>20190312160338796</v>
      </c>
      <c r="B2254" t="str">
        <f>"1552377818786629"</f>
        <v>1552377818786629</v>
      </c>
      <c r="C2254" t="s">
        <v>40</v>
      </c>
      <c r="D2254">
        <v>4.804773</v>
      </c>
      <c r="E2254">
        <v>0.49813410000000002</v>
      </c>
      <c r="F2254" t="s">
        <v>70</v>
      </c>
      <c r="G2254">
        <v>-394.98790000000002</v>
      </c>
      <c r="H2254" s="1">
        <v>1.1175479999999999E-6</v>
      </c>
      <c r="I2254">
        <v>285.53899999999999</v>
      </c>
      <c r="J2254">
        <v>-358.76670000000001</v>
      </c>
      <c r="K2254">
        <v>1.1100319999999999</v>
      </c>
      <c r="L2254">
        <v>284.66109999999998</v>
      </c>
      <c r="M2254">
        <v>-0.99964830000000005</v>
      </c>
      <c r="N2254">
        <v>0</v>
      </c>
      <c r="O2254">
        <v>2.3447340000000001E-2</v>
      </c>
      <c r="P2254">
        <v>-0.99921099999999996</v>
      </c>
      <c r="Q2254">
        <v>2.4091660000000001E-2</v>
      </c>
      <c r="R2254">
        <v>3.1579339999999997E-2</v>
      </c>
      <c r="S2254">
        <v>-3.0023499999999999</v>
      </c>
      <c r="T2254">
        <v>-9.1584559999999995E-2</v>
      </c>
      <c r="U2254">
        <v>7.2753910000000005E-2</v>
      </c>
      <c r="V2254">
        <v>8.1401169999999901E-3</v>
      </c>
      <c r="W2254">
        <v>3.6479789999999998E-2</v>
      </c>
      <c r="X2254">
        <v>0.99930129999999995</v>
      </c>
      <c r="Y2254">
        <v>7.8682229999999995E-4</v>
      </c>
      <c r="Z2254">
        <v>-7.0293220000000004E-4</v>
      </c>
      <c r="AA2254">
        <v>0.99999950000000004</v>
      </c>
      <c r="AB2254">
        <v>28</v>
      </c>
      <c r="AC2254">
        <v>-36.221200000000003</v>
      </c>
      <c r="AD2254">
        <v>-1.110030882452</v>
      </c>
      <c r="AE2254">
        <v>0.877900000000011</v>
      </c>
      <c r="AF2254">
        <v>2.82760827786839E-2</v>
      </c>
      <c r="AG2254">
        <v>-1.110030882452</v>
      </c>
      <c r="AH2254">
        <v>36.197850301738001</v>
      </c>
      <c r="AI2254">
        <v>91.756461775542206</v>
      </c>
      <c r="AJ2254">
        <v>89.955243201976103</v>
      </c>
      <c r="AK2254">
        <v>36.214877254574397</v>
      </c>
      <c r="AL2254">
        <v>87.909398264186606</v>
      </c>
      <c r="AM2254">
        <v>89.533289876123703</v>
      </c>
      <c r="AN2254">
        <v>1.0000000623824501</v>
      </c>
    </row>
    <row r="2255" spans="1:40" x14ac:dyDescent="0.25">
      <c r="A2255" t="str">
        <f>"20190312160338813"</f>
        <v>20190312160338813</v>
      </c>
      <c r="B2255" t="str">
        <f>"1552377818807124"</f>
        <v>1552377818807124</v>
      </c>
      <c r="C2255" t="s">
        <v>40</v>
      </c>
      <c r="D2255">
        <v>4.696345</v>
      </c>
      <c r="E2255">
        <v>0.49808989999999997</v>
      </c>
      <c r="F2255" t="s">
        <v>70</v>
      </c>
      <c r="G2255">
        <v>-395.38569999999999</v>
      </c>
      <c r="H2255" s="1">
        <v>1.3292220000000001E-6</v>
      </c>
      <c r="I2255">
        <v>285.54629999999997</v>
      </c>
      <c r="J2255">
        <v>-358.98829999999998</v>
      </c>
      <c r="K2255">
        <v>1.110033</v>
      </c>
      <c r="L2255">
        <v>284.66629999999998</v>
      </c>
      <c r="M2255">
        <v>-0.99964869999999995</v>
      </c>
      <c r="N2255">
        <v>0</v>
      </c>
      <c r="O2255">
        <v>2.3427969999999999E-2</v>
      </c>
      <c r="P2255">
        <v>-0.99922699999999998</v>
      </c>
      <c r="Q2255">
        <v>2.3455210000000001E-2</v>
      </c>
      <c r="R2255">
        <v>3.1549099999999997E-2</v>
      </c>
      <c r="S2255">
        <v>-3.0022890000000002</v>
      </c>
      <c r="T2255">
        <v>-9.1008190000000003E-2</v>
      </c>
      <c r="U2255">
        <v>7.2570800000000005E-2</v>
      </c>
      <c r="V2255">
        <v>8.1283150000000005E-3</v>
      </c>
      <c r="W2255">
        <v>3.5843149999999997E-2</v>
      </c>
      <c r="X2255">
        <v>0.9993244</v>
      </c>
      <c r="Y2255">
        <v>7.4561549999999999E-4</v>
      </c>
      <c r="Z2255">
        <v>-6.9856289999999902E-4</v>
      </c>
      <c r="AA2255">
        <v>0.99999950000000004</v>
      </c>
      <c r="AB2255">
        <v>28</v>
      </c>
      <c r="AC2255">
        <v>-36.397399999999998</v>
      </c>
      <c r="AD2255">
        <v>-1.110031670778</v>
      </c>
      <c r="AE2255">
        <v>0.87999999999999501</v>
      </c>
      <c r="AF2255">
        <v>2.6950680424677499E-2</v>
      </c>
      <c r="AG2255">
        <v>-1.110031670778</v>
      </c>
      <c r="AH2255">
        <v>36.374214653596503</v>
      </c>
      <c r="AI2255">
        <v>91.747951968944406</v>
      </c>
      <c r="AJ2255">
        <v>89.957547950506196</v>
      </c>
      <c r="AK2255">
        <v>36.3911581062656</v>
      </c>
      <c r="AL2255">
        <v>87.945898851203594</v>
      </c>
      <c r="AM2255">
        <v>89.533977281052302</v>
      </c>
      <c r="AN2255">
        <v>1.00000002867101</v>
      </c>
    </row>
    <row r="2256" spans="1:40" x14ac:dyDescent="0.25">
      <c r="A2256" t="str">
        <f>"20190312160338824"</f>
        <v>20190312160338824</v>
      </c>
      <c r="B2256" t="str">
        <f>"1552377818816885"</f>
        <v>1552377818816885</v>
      </c>
      <c r="C2256" t="s">
        <v>40</v>
      </c>
      <c r="D2256">
        <v>4.6754989999999896</v>
      </c>
      <c r="E2256">
        <v>0.49809769999999998</v>
      </c>
      <c r="F2256" t="s">
        <v>70</v>
      </c>
      <c r="G2256">
        <v>-396.21620000000001</v>
      </c>
      <c r="H2256" s="1">
        <v>1.7711719999999999E-6</v>
      </c>
      <c r="I2256">
        <v>285.56169999999997</v>
      </c>
      <c r="J2256">
        <v>-359.1309</v>
      </c>
      <c r="K2256">
        <v>1.1100319999999999</v>
      </c>
      <c r="L2256">
        <v>284.6696</v>
      </c>
      <c r="M2256">
        <v>-0.99964920000000002</v>
      </c>
      <c r="N2256">
        <v>0</v>
      </c>
      <c r="O2256">
        <v>2.3414109999999998E-2</v>
      </c>
      <c r="P2256">
        <v>-0.99923550000000005</v>
      </c>
      <c r="Q2256">
        <v>2.3289629999999999E-2</v>
      </c>
      <c r="R2256">
        <v>3.1409260000000001E-2</v>
      </c>
      <c r="S2256">
        <v>-3.0021059999999999</v>
      </c>
      <c r="T2256">
        <v>-8.9514369999999996E-2</v>
      </c>
      <c r="U2256">
        <v>7.2204589999999999E-2</v>
      </c>
      <c r="V2256">
        <v>8.0019919999999994E-3</v>
      </c>
      <c r="W2256">
        <v>3.5677790000000001E-2</v>
      </c>
      <c r="X2256">
        <v>0.99933130000000003</v>
      </c>
      <c r="Y2256">
        <v>6.3874739999999998E-4</v>
      </c>
      <c r="Z2256">
        <v>-6.8832439999999995E-4</v>
      </c>
      <c r="AA2256">
        <v>0.99999959999999999</v>
      </c>
      <c r="AB2256">
        <v>28</v>
      </c>
      <c r="AC2256">
        <v>-37.085299999999997</v>
      </c>
      <c r="AD2256">
        <v>-1.110030228828</v>
      </c>
      <c r="AE2256">
        <v>0.89209999999997003</v>
      </c>
      <c r="AF2256">
        <v>2.3448560506125399E-2</v>
      </c>
      <c r="AG2256">
        <v>-1.110030228828</v>
      </c>
      <c r="AH2256">
        <v>37.062835028230502</v>
      </c>
      <c r="AI2256">
        <v>91.715492846044597</v>
      </c>
      <c r="AJ2256">
        <v>89.963750658243498</v>
      </c>
      <c r="AK2256">
        <v>37.079461394061902</v>
      </c>
      <c r="AL2256">
        <v>87.955379269581499</v>
      </c>
      <c r="AM2256">
        <v>89.5412226447948</v>
      </c>
      <c r="AN2256">
        <v>0.99999999186747102</v>
      </c>
    </row>
    <row r="2257" spans="1:40" x14ac:dyDescent="0.25">
      <c r="A2257" t="str">
        <f>"20190312160338837"</f>
        <v>20190312160338837</v>
      </c>
      <c r="B2257" t="str">
        <f>"1552377818826644"</f>
        <v>1552377818826644</v>
      </c>
      <c r="C2257" t="s">
        <v>40</v>
      </c>
      <c r="D2257">
        <v>4.6501510000000001</v>
      </c>
      <c r="E2257">
        <v>0.4981121</v>
      </c>
      <c r="F2257" t="s">
        <v>70</v>
      </c>
      <c r="G2257">
        <v>-396.79419999999999</v>
      </c>
      <c r="H2257" s="1">
        <v>2.0787309999999999E-6</v>
      </c>
      <c r="I2257">
        <v>285.57159999999999</v>
      </c>
      <c r="J2257">
        <v>-359.274</v>
      </c>
      <c r="K2257">
        <v>1.110028</v>
      </c>
      <c r="L2257">
        <v>284.673</v>
      </c>
      <c r="M2257">
        <v>-0.99964949999999997</v>
      </c>
      <c r="N2257">
        <v>0</v>
      </c>
      <c r="O2257">
        <v>2.3398410000000001E-2</v>
      </c>
      <c r="P2257">
        <v>-0.99924120000000005</v>
      </c>
      <c r="Q2257">
        <v>2.3108879999999998E-2</v>
      </c>
      <c r="R2257">
        <v>3.1357589999999998E-2</v>
      </c>
      <c r="S2257">
        <v>-3.0021059999999999</v>
      </c>
      <c r="T2257">
        <v>-8.84794E-2</v>
      </c>
      <c r="U2257">
        <v>7.1899409999999997E-2</v>
      </c>
      <c r="V2257">
        <v>7.9657579999999999E-3</v>
      </c>
      <c r="W2257">
        <v>3.5497180000000003E-2</v>
      </c>
      <c r="X2257">
        <v>0.99933799999999995</v>
      </c>
      <c r="Y2257">
        <v>5.5265809999999996E-4</v>
      </c>
      <c r="Z2257">
        <v>-6.8117600000000003E-4</v>
      </c>
      <c r="AA2257">
        <v>0.99999959999999999</v>
      </c>
      <c r="AB2257">
        <v>28</v>
      </c>
      <c r="AC2257">
        <v>-37.520199999999903</v>
      </c>
      <c r="AD2257">
        <v>-1.110025921269</v>
      </c>
      <c r="AE2257">
        <v>0.89859999999998696</v>
      </c>
      <c r="AF2257">
        <v>2.0355774110605001E-2</v>
      </c>
      <c r="AG2257">
        <v>-1.110025921269</v>
      </c>
      <c r="AH2257">
        <v>37.4981518250557</v>
      </c>
      <c r="AI2257">
        <v>91.695582862368994</v>
      </c>
      <c r="AJ2257">
        <v>89.968897138287304</v>
      </c>
      <c r="AK2257">
        <v>37.514583326999102</v>
      </c>
      <c r="AL2257">
        <v>87.965733976333397</v>
      </c>
      <c r="AM2257">
        <v>89.543303018454395</v>
      </c>
      <c r="AN2257">
        <v>0.99999997066623303</v>
      </c>
    </row>
    <row r="2258" spans="1:40" x14ac:dyDescent="0.25">
      <c r="A2258" t="str">
        <f>"20190312160338849"</f>
        <v>20190312160338849</v>
      </c>
      <c r="B2258" t="str">
        <f>"1552377818836404"</f>
        <v>1552377818836404</v>
      </c>
      <c r="C2258" t="s">
        <v>40</v>
      </c>
      <c r="D2258">
        <v>4.6795369999999998</v>
      </c>
      <c r="E2258">
        <v>0.498114</v>
      </c>
      <c r="F2258" t="s">
        <v>70</v>
      </c>
      <c r="G2258">
        <v>-397.36270000000002</v>
      </c>
      <c r="H2258" s="1">
        <v>2.3812819999999999E-6</v>
      </c>
      <c r="I2258">
        <v>285.584</v>
      </c>
      <c r="J2258">
        <v>-359.4212</v>
      </c>
      <c r="K2258">
        <v>1.1100289999999999</v>
      </c>
      <c r="L2258">
        <v>284.6764</v>
      </c>
      <c r="M2258">
        <v>-0.99964989999999998</v>
      </c>
      <c r="N2258">
        <v>0</v>
      </c>
      <c r="O2258">
        <v>2.3381699999999998E-2</v>
      </c>
      <c r="P2258">
        <v>-0.99926060000000005</v>
      </c>
      <c r="Q2258">
        <v>2.269179E-2</v>
      </c>
      <c r="R2258">
        <v>3.1040499999999999E-2</v>
      </c>
      <c r="S2258">
        <v>-3.002014</v>
      </c>
      <c r="T2258">
        <v>-8.7488289999999996E-2</v>
      </c>
      <c r="U2258">
        <v>7.1807860000000001E-2</v>
      </c>
      <c r="V2258">
        <v>7.664929E-3</v>
      </c>
      <c r="W2258">
        <v>3.5080210000000001E-2</v>
      </c>
      <c r="X2258">
        <v>0.99935510000000005</v>
      </c>
      <c r="Y2258">
        <v>5.3940209999999995E-4</v>
      </c>
      <c r="Z2258">
        <v>-6.7327640000000002E-4</v>
      </c>
      <c r="AA2258">
        <v>0.99999959999999999</v>
      </c>
      <c r="AB2258">
        <v>28</v>
      </c>
      <c r="AC2258">
        <v>-37.941499999999998</v>
      </c>
      <c r="AD2258">
        <v>-1.1100266187179999</v>
      </c>
      <c r="AE2258">
        <v>0.90760000000000196</v>
      </c>
      <c r="AF2258">
        <v>2.01298039278026E-2</v>
      </c>
      <c r="AG2258">
        <v>-1.1100266187179999</v>
      </c>
      <c r="AH2258">
        <v>37.919910273136601</v>
      </c>
      <c r="AI2258">
        <v>91.676735888947604</v>
      </c>
      <c r="AJ2258">
        <v>89.969584508748994</v>
      </c>
      <c r="AK2258">
        <v>37.9361589967409</v>
      </c>
      <c r="AL2258">
        <v>87.989639534796098</v>
      </c>
      <c r="AM2258">
        <v>89.560557132668507</v>
      </c>
      <c r="AN2258">
        <v>0.99999999408311402</v>
      </c>
    </row>
    <row r="2259" spans="1:40" x14ac:dyDescent="0.25">
      <c r="A2259" t="str">
        <f>"20190312160338869"</f>
        <v>20190312160338869</v>
      </c>
      <c r="B2259" t="str">
        <f>"1552377818856900"</f>
        <v>1552377818856900</v>
      </c>
      <c r="C2259" t="s">
        <v>40</v>
      </c>
      <c r="D2259">
        <v>4.6435779999999998</v>
      </c>
      <c r="E2259">
        <v>0.49810569999999998</v>
      </c>
      <c r="F2259" t="s">
        <v>70</v>
      </c>
      <c r="G2259">
        <v>-397.57769999999999</v>
      </c>
      <c r="H2259" s="1">
        <v>2.4956989999999999E-6</v>
      </c>
      <c r="I2259">
        <v>285.57900000000001</v>
      </c>
      <c r="J2259">
        <v>-359.68520000000001</v>
      </c>
      <c r="K2259">
        <v>1.110034</v>
      </c>
      <c r="L2259">
        <v>284.6825</v>
      </c>
      <c r="M2259">
        <v>-0.99965059999999994</v>
      </c>
      <c r="N2259">
        <v>0</v>
      </c>
      <c r="O2259">
        <v>2.334872E-2</v>
      </c>
      <c r="P2259">
        <v>-0.9992645</v>
      </c>
      <c r="Q2259">
        <v>2.2535469999999998E-2</v>
      </c>
      <c r="R2259">
        <v>3.102628E-2</v>
      </c>
      <c r="S2259">
        <v>-3.002014</v>
      </c>
      <c r="T2259">
        <v>-8.7332839999999995E-2</v>
      </c>
      <c r="U2259">
        <v>7.1014399999999894E-2</v>
      </c>
      <c r="V2259">
        <v>7.6834729999999997E-3</v>
      </c>
      <c r="W2259">
        <v>3.4923900000000001E-2</v>
      </c>
      <c r="X2259">
        <v>0.99936040000000004</v>
      </c>
      <c r="Y2259">
        <v>3.0828259999999999E-4</v>
      </c>
      <c r="Z2259">
        <v>-6.7448509999999998E-4</v>
      </c>
      <c r="AA2259">
        <v>0.99999970000000005</v>
      </c>
      <c r="AB2259">
        <v>28</v>
      </c>
      <c r="AC2259">
        <v>-37.892499999999899</v>
      </c>
      <c r="AD2259">
        <v>-1.1100315043009901</v>
      </c>
      <c r="AE2259">
        <v>0.89650000000000296</v>
      </c>
      <c r="AF2259">
        <v>1.1436460193957301E-2</v>
      </c>
      <c r="AG2259">
        <v>-1.1100315043009901</v>
      </c>
      <c r="AH2259">
        <v>37.870621391738098</v>
      </c>
      <c r="AI2259">
        <v>91.678924469517</v>
      </c>
      <c r="AJ2259">
        <v>89.982697382359106</v>
      </c>
      <c r="AK2259">
        <v>37.886887775713802</v>
      </c>
      <c r="AL2259">
        <v>87.9986008647342</v>
      </c>
      <c r="AM2259">
        <v>89.5594963528645</v>
      </c>
      <c r="AN2259">
        <v>0.99999996181835504</v>
      </c>
    </row>
    <row r="2260" spans="1:40" x14ac:dyDescent="0.25">
      <c r="A2260" t="str">
        <f>"20190312160338880"</f>
        <v>20190312160338880</v>
      </c>
      <c r="B2260" t="str">
        <f>"1552377818876421"</f>
        <v>1552377818876421</v>
      </c>
      <c r="C2260" t="s">
        <v>40</v>
      </c>
      <c r="D2260">
        <v>5.0201960000000003</v>
      </c>
      <c r="E2260">
        <v>0.49810739999999998</v>
      </c>
      <c r="F2260" t="s">
        <v>70</v>
      </c>
      <c r="G2260">
        <v>-398.90050000000002</v>
      </c>
      <c r="H2260" s="1">
        <v>3.1996050000000002E-6</v>
      </c>
      <c r="I2260">
        <v>285.61180000000002</v>
      </c>
      <c r="J2260">
        <v>-359.82960000000003</v>
      </c>
      <c r="K2260">
        <v>1.110034</v>
      </c>
      <c r="L2260">
        <v>284.6859</v>
      </c>
      <c r="M2260">
        <v>-0.99965110000000001</v>
      </c>
      <c r="N2260">
        <v>0</v>
      </c>
      <c r="O2260">
        <v>2.333006E-2</v>
      </c>
      <c r="P2260">
        <v>-0.99926510000000002</v>
      </c>
      <c r="Q2260">
        <v>2.2395499999999999E-2</v>
      </c>
      <c r="R2260">
        <v>3.111181E-2</v>
      </c>
      <c r="S2260">
        <v>-3.0019529999999999</v>
      </c>
      <c r="T2260">
        <v>-8.4973569999999998E-2</v>
      </c>
      <c r="U2260">
        <v>7.1136469999999993E-2</v>
      </c>
      <c r="V2260">
        <v>7.78757199999999E-3</v>
      </c>
      <c r="W2260">
        <v>3.4783799999999997E-2</v>
      </c>
      <c r="X2260">
        <v>0.99936449999999999</v>
      </c>
      <c r="Y2260">
        <v>3.6752040000000001E-4</v>
      </c>
      <c r="Z2260">
        <v>-6.5491839999999905E-4</v>
      </c>
      <c r="AA2260">
        <v>0.99999970000000005</v>
      </c>
      <c r="AB2260">
        <v>28</v>
      </c>
      <c r="AC2260">
        <v>-39.070900000000002</v>
      </c>
      <c r="AD2260">
        <v>-1.1100308003949999</v>
      </c>
      <c r="AE2260">
        <v>0.92590000000001205</v>
      </c>
      <c r="AF2260">
        <v>1.40402634678762E-2</v>
      </c>
      <c r="AG2260">
        <v>-1.1100308003949999</v>
      </c>
      <c r="AH2260">
        <v>39.050364435587198</v>
      </c>
      <c r="AI2260">
        <v>91.628229470997496</v>
      </c>
      <c r="AJ2260">
        <v>89.979399736291199</v>
      </c>
      <c r="AK2260">
        <v>39.066140429520303</v>
      </c>
      <c r="AL2260">
        <v>88.006632922980899</v>
      </c>
      <c r="AM2260">
        <v>89.553530291414404</v>
      </c>
      <c r="AN2260">
        <v>0.99999998144017199</v>
      </c>
    </row>
    <row r="2261" spans="1:40" x14ac:dyDescent="0.25">
      <c r="A2261" t="str">
        <f>"20190312160338892"</f>
        <v>20190312160338892</v>
      </c>
      <c r="B2261" t="str">
        <f>"1552377818887157"</f>
        <v>1552377818887157</v>
      </c>
      <c r="C2261" t="s">
        <v>40</v>
      </c>
      <c r="D2261">
        <v>5.5771189999999997</v>
      </c>
      <c r="E2261">
        <v>0.49810739999999998</v>
      </c>
      <c r="F2261" t="s">
        <v>70</v>
      </c>
      <c r="G2261">
        <v>-399.7038</v>
      </c>
      <c r="H2261" s="1">
        <v>3.6270799999999998E-6</v>
      </c>
      <c r="I2261">
        <v>285.63369999999998</v>
      </c>
      <c r="J2261">
        <v>-359.97149999999999</v>
      </c>
      <c r="K2261">
        <v>1.110033</v>
      </c>
      <c r="L2261">
        <v>284.68920000000003</v>
      </c>
      <c r="M2261">
        <v>-0.99965159999999997</v>
      </c>
      <c r="N2261">
        <v>0</v>
      </c>
      <c r="O2261">
        <v>2.331188E-2</v>
      </c>
      <c r="P2261">
        <v>-0.99927250000000001</v>
      </c>
      <c r="Q2261">
        <v>2.2074409999999999E-2</v>
      </c>
      <c r="R2261">
        <v>3.1108239999999999E-2</v>
      </c>
      <c r="S2261">
        <v>-3.0018310000000001</v>
      </c>
      <c r="T2261">
        <v>-8.356595E-2</v>
      </c>
      <c r="U2261">
        <v>7.13501E-2</v>
      </c>
      <c r="V2261">
        <v>7.80213E-3</v>
      </c>
      <c r="W2261">
        <v>3.446308E-2</v>
      </c>
      <c r="X2261">
        <v>0.99937549999999997</v>
      </c>
      <c r="Y2261">
        <v>4.5745280000000001E-4</v>
      </c>
      <c r="Z2261">
        <v>-6.4234199999999996E-4</v>
      </c>
      <c r="AA2261">
        <v>0.99999970000000005</v>
      </c>
      <c r="AB2261">
        <v>28</v>
      </c>
      <c r="AC2261">
        <v>-39.732300000000002</v>
      </c>
      <c r="AD2261">
        <v>-1.1100293729199999</v>
      </c>
      <c r="AE2261">
        <v>0.94449999999994805</v>
      </c>
      <c r="AF2261">
        <v>1.7923719029737401E-2</v>
      </c>
      <c r="AG2261">
        <v>-1.1100293729199999</v>
      </c>
      <c r="AH2261">
        <v>39.712541752061298</v>
      </c>
      <c r="AI2261">
        <v>91.601092080453498</v>
      </c>
      <c r="AJ2261">
        <v>89.974140325989097</v>
      </c>
      <c r="AK2261">
        <v>39.728056318899696</v>
      </c>
      <c r="AL2261">
        <v>88.025019854260194</v>
      </c>
      <c r="AM2261">
        <v>89.552700623036998</v>
      </c>
      <c r="AN2261">
        <v>0.99999998355793596</v>
      </c>
    </row>
    <row r="2262" spans="1:40" x14ac:dyDescent="0.25">
      <c r="A2262" t="str">
        <f>"20190312160338902"</f>
        <v>20190312160338902</v>
      </c>
      <c r="B2262" t="str">
        <f>"1552377818896916"</f>
        <v>1552377818896916</v>
      </c>
      <c r="C2262" t="s">
        <v>40</v>
      </c>
      <c r="D2262">
        <v>5.1393139999999997</v>
      </c>
      <c r="E2262">
        <v>0.53941859999999997</v>
      </c>
      <c r="F2262" t="s">
        <v>70</v>
      </c>
      <c r="G2262">
        <v>-399.39800000000002</v>
      </c>
      <c r="H2262" s="1">
        <v>3.4643780000000001E-6</v>
      </c>
      <c r="I2262">
        <v>285.62670000000003</v>
      </c>
      <c r="J2262">
        <v>-360.11709999999999</v>
      </c>
      <c r="K2262">
        <v>1.1100319999999999</v>
      </c>
      <c r="L2262">
        <v>284.69260000000003</v>
      </c>
      <c r="M2262">
        <v>-0.99965190000000004</v>
      </c>
      <c r="N2262">
        <v>0</v>
      </c>
      <c r="O2262">
        <v>2.3293580000000001E-2</v>
      </c>
      <c r="P2262">
        <v>-0.99926729999999997</v>
      </c>
      <c r="Q2262">
        <v>2.21563E-2</v>
      </c>
      <c r="R2262">
        <v>3.1209270000000001E-2</v>
      </c>
      <c r="S2262">
        <v>-3.00177</v>
      </c>
      <c r="T2262">
        <v>-8.4512950000000003E-2</v>
      </c>
      <c r="U2262">
        <v>7.1380620000000006E-2</v>
      </c>
      <c r="V2262">
        <v>7.921427E-3</v>
      </c>
      <c r="W2262">
        <v>3.4545050000000001E-2</v>
      </c>
      <c r="X2262">
        <v>0.99937180000000003</v>
      </c>
      <c r="Y2262">
        <v>4.8658570000000001E-4</v>
      </c>
      <c r="Z2262">
        <v>-6.4870659999999997E-4</v>
      </c>
      <c r="AA2262">
        <v>0.99999959999999999</v>
      </c>
      <c r="AB2262">
        <v>28</v>
      </c>
      <c r="AC2262">
        <v>-39.280900000000003</v>
      </c>
      <c r="AD2262">
        <v>-1.1100285356220001</v>
      </c>
      <c r="AE2262">
        <v>0.93410000000000004</v>
      </c>
      <c r="AF2262">
        <v>1.8768515501631802E-2</v>
      </c>
      <c r="AG2262">
        <v>-1.1100285356220001</v>
      </c>
      <c r="AH2262">
        <v>39.260666266800698</v>
      </c>
      <c r="AI2262">
        <v>91.6195090483195</v>
      </c>
      <c r="AJ2262">
        <v>89.972609821831696</v>
      </c>
      <c r="AK2262">
        <v>39.276359700463303</v>
      </c>
      <c r="AL2262">
        <v>88.020320656618495</v>
      </c>
      <c r="AM2262">
        <v>89.545859879113806</v>
      </c>
      <c r="AN2262">
        <v>1.0000000520602199</v>
      </c>
    </row>
    <row r="2263" spans="1:40" x14ac:dyDescent="0.25">
      <c r="A2263" t="str">
        <f>"20190312160338914"</f>
        <v>20190312160338914</v>
      </c>
      <c r="B2263" t="str">
        <f>"1552377818906678"</f>
        <v>1552377818906678</v>
      </c>
      <c r="C2263" t="s">
        <v>40</v>
      </c>
      <c r="D2263">
        <v>4.8624159999999996</v>
      </c>
      <c r="E2263">
        <v>0.54354069999999899</v>
      </c>
      <c r="F2263" t="s">
        <v>49</v>
      </c>
      <c r="G2263">
        <v>-360.87610000000001</v>
      </c>
      <c r="H2263">
        <v>1.01373</v>
      </c>
      <c r="I2263">
        <v>284.79079999999999</v>
      </c>
      <c r="J2263">
        <v>-360.25699999999898</v>
      </c>
      <c r="K2263">
        <v>1.1100319999999999</v>
      </c>
      <c r="L2263">
        <v>284.69580000000002</v>
      </c>
      <c r="M2263">
        <v>-0.9996524</v>
      </c>
      <c r="N2263">
        <v>0</v>
      </c>
      <c r="O2263">
        <v>2.327659E-2</v>
      </c>
      <c r="P2263">
        <v>-0.99926300000000001</v>
      </c>
      <c r="Q2263">
        <v>2.2213130000000001E-2</v>
      </c>
      <c r="R2263">
        <v>3.1308959999999997E-2</v>
      </c>
      <c r="S2263">
        <v>-2.998535</v>
      </c>
      <c r="T2263">
        <v>-0.38047720000000002</v>
      </c>
      <c r="U2263">
        <v>0.38742070000000001</v>
      </c>
      <c r="V2263">
        <v>8.0381369999999903E-3</v>
      </c>
      <c r="W2263">
        <v>3.4601760000000002E-2</v>
      </c>
      <c r="X2263">
        <v>0.99936879999999995</v>
      </c>
      <c r="Y2263">
        <v>0.10437780000000001</v>
      </c>
      <c r="Z2263">
        <v>3.6400920000000002E-3</v>
      </c>
      <c r="AA2263">
        <v>0.99453100000000005</v>
      </c>
      <c r="AB2263">
        <v>28</v>
      </c>
      <c r="AC2263">
        <v>-0.61910000000005905</v>
      </c>
      <c r="AD2263">
        <v>-9.6301999999999804E-2</v>
      </c>
      <c r="AE2263">
        <v>9.49999999999704E-2</v>
      </c>
      <c r="AF2263">
        <v>7.8702123292638898E-2</v>
      </c>
      <c r="AG2263">
        <v>-9.6301999999999804E-2</v>
      </c>
      <c r="AH2263">
        <v>0.60679915018221597</v>
      </c>
      <c r="AI2263">
        <v>98.944220059366302</v>
      </c>
      <c r="AJ2263">
        <v>82.609966192497495</v>
      </c>
      <c r="AK2263">
        <v>0.61941368089236604</v>
      </c>
      <c r="AL2263">
        <v>88.017069258907199</v>
      </c>
      <c r="AM2263">
        <v>89.539167728563498</v>
      </c>
      <c r="AN2263">
        <v>0.99999994592748198</v>
      </c>
    </row>
    <row r="2264" spans="1:40" x14ac:dyDescent="0.25">
      <c r="A2264" t="str">
        <f>"20190312160338926"</f>
        <v>20190312160338926</v>
      </c>
      <c r="B2264" t="str">
        <f>"1552377818916437"</f>
        <v>1552377818916437</v>
      </c>
      <c r="C2264" t="s">
        <v>40</v>
      </c>
      <c r="D2264">
        <v>4.9019529999999998</v>
      </c>
      <c r="E2264">
        <v>0.54354069999999899</v>
      </c>
      <c r="F2264" t="s">
        <v>49</v>
      </c>
      <c r="G2264">
        <v>-361.11610000000002</v>
      </c>
      <c r="H2264">
        <v>0.98855579999999998</v>
      </c>
      <c r="I2264">
        <v>284.81580000000002</v>
      </c>
      <c r="J2264">
        <v>-360.40649999999999</v>
      </c>
      <c r="K2264">
        <v>1.110033</v>
      </c>
      <c r="L2264">
        <v>284.69929999999999</v>
      </c>
      <c r="M2264">
        <v>-0.99965269999999995</v>
      </c>
      <c r="N2264">
        <v>0</v>
      </c>
      <c r="O2264">
        <v>2.3258709999999998E-2</v>
      </c>
      <c r="P2264">
        <v>-0.99926360000000003</v>
      </c>
      <c r="Q2264">
        <v>2.227355E-2</v>
      </c>
      <c r="R2264">
        <v>3.1245269999999999E-2</v>
      </c>
      <c r="S2264">
        <v>-2.9985050000000002</v>
      </c>
      <c r="T2264">
        <v>-0.42402430000000002</v>
      </c>
      <c r="U2264">
        <v>0.41888429999999999</v>
      </c>
      <c r="V2264">
        <v>7.9923849999999994E-3</v>
      </c>
      <c r="W2264">
        <v>3.4662279999999997E-2</v>
      </c>
      <c r="X2264">
        <v>0.99936709999999995</v>
      </c>
      <c r="Y2264">
        <v>0.1143913</v>
      </c>
      <c r="Z2264">
        <v>4.7538750000000003E-3</v>
      </c>
      <c r="AA2264">
        <v>0.99342439999999999</v>
      </c>
      <c r="AB2264">
        <v>28</v>
      </c>
      <c r="AC2264">
        <v>-0.70960000000002299</v>
      </c>
      <c r="AD2264">
        <v>-0.12147719999999899</v>
      </c>
      <c r="AE2264">
        <v>0.11650000000003</v>
      </c>
      <c r="AF2264">
        <v>9.7189321215412405E-2</v>
      </c>
      <c r="AG2264">
        <v>-0.12147719999999899</v>
      </c>
      <c r="AH2264">
        <v>0.69235984799864503</v>
      </c>
      <c r="AI2264">
        <v>99.856757962286196</v>
      </c>
      <c r="AJ2264">
        <v>82.009373998621896</v>
      </c>
      <c r="AK2264">
        <v>0.70962288111282001</v>
      </c>
      <c r="AL2264">
        <v>88.013599697018904</v>
      </c>
      <c r="AM2264">
        <v>89.5417898326033</v>
      </c>
      <c r="AN2264">
        <v>0.99999997621759795</v>
      </c>
    </row>
    <row r="2265" spans="1:40" x14ac:dyDescent="0.25">
      <c r="A2265" t="str">
        <f>"20190312160338938"</f>
        <v>20190312160338938</v>
      </c>
      <c r="B2265" t="str">
        <f>"1552377818927173"</f>
        <v>1552377818927173</v>
      </c>
      <c r="C2265" t="s">
        <v>40</v>
      </c>
      <c r="D2265">
        <v>5.0195829999999999</v>
      </c>
      <c r="E2265">
        <v>0.5807369</v>
      </c>
      <c r="F2265" t="s">
        <v>49</v>
      </c>
      <c r="G2265">
        <v>-361.12599999999998</v>
      </c>
      <c r="H2265">
        <v>1.0083549999999999</v>
      </c>
      <c r="I2265">
        <v>284.79969999999997</v>
      </c>
      <c r="J2265">
        <v>-360.55540000000002</v>
      </c>
      <c r="K2265">
        <v>1.110036</v>
      </c>
      <c r="L2265">
        <v>284.70269999999999</v>
      </c>
      <c r="M2265">
        <v>-0.99965309999999996</v>
      </c>
      <c r="N2265">
        <v>0</v>
      </c>
      <c r="O2265">
        <v>2.3241080000000001E-2</v>
      </c>
      <c r="P2265">
        <v>-0.99926459999999995</v>
      </c>
      <c r="Q2265">
        <v>2.2112099999999999E-2</v>
      </c>
      <c r="R2265">
        <v>3.133151E-2</v>
      </c>
      <c r="S2265">
        <v>-2.9985659999999998</v>
      </c>
      <c r="T2265">
        <v>-0.42378169999999998</v>
      </c>
      <c r="U2265">
        <v>0.41854859999999999</v>
      </c>
      <c r="V2265">
        <v>8.0963890000000007E-3</v>
      </c>
      <c r="W2265">
        <v>3.450073E-2</v>
      </c>
      <c r="X2265">
        <v>0.99937189999999998</v>
      </c>
      <c r="Y2265">
        <v>0.1142987</v>
      </c>
      <c r="Z2265">
        <v>4.7471099999999997E-3</v>
      </c>
      <c r="AA2265">
        <v>0.99343510000000002</v>
      </c>
      <c r="AB2265">
        <v>28</v>
      </c>
      <c r="AC2265">
        <v>-0.57059999999995603</v>
      </c>
      <c r="AD2265">
        <v>-0.10168099999999999</v>
      </c>
      <c r="AE2265">
        <v>9.6999999999980005E-2</v>
      </c>
      <c r="AF2265">
        <v>8.1205151814398899E-2</v>
      </c>
      <c r="AG2265">
        <v>-0.10168099999999999</v>
      </c>
      <c r="AH2265">
        <v>0.55555413351763505</v>
      </c>
      <c r="AI2265">
        <v>100.26511048798901</v>
      </c>
      <c r="AJ2265">
        <v>81.683987834399204</v>
      </c>
      <c r="AK2265">
        <v>0.57059065687297195</v>
      </c>
      <c r="AL2265">
        <v>88.022861462936106</v>
      </c>
      <c r="AM2265">
        <v>89.535829684180996</v>
      </c>
      <c r="AN2265">
        <v>1.0000000231974899</v>
      </c>
    </row>
    <row r="2266" spans="1:40" x14ac:dyDescent="0.25">
      <c r="A2266" t="str">
        <f>"20190312160338952"</f>
        <v>20190312160338952</v>
      </c>
      <c r="B2266" t="str">
        <f>"1552377818946692"</f>
        <v>1552377818946692</v>
      </c>
      <c r="C2266" t="s">
        <v>40</v>
      </c>
      <c r="D2266">
        <v>4.7270529999999997</v>
      </c>
      <c r="E2266">
        <v>0.57858909999999997</v>
      </c>
      <c r="F2266" t="s">
        <v>49</v>
      </c>
      <c r="G2266">
        <v>-361.34120000000001</v>
      </c>
      <c r="H2266">
        <v>0.9286702</v>
      </c>
      <c r="I2266">
        <v>284.8877</v>
      </c>
      <c r="J2266">
        <v>-360.72739999999999</v>
      </c>
      <c r="K2266">
        <v>1.1100350000000001</v>
      </c>
      <c r="L2266">
        <v>284.70670000000001</v>
      </c>
      <c r="M2266">
        <v>-0.99965360000000003</v>
      </c>
      <c r="N2266">
        <v>0</v>
      </c>
      <c r="O2266">
        <v>2.322076E-2</v>
      </c>
      <c r="P2266">
        <v>-0.99926579999999998</v>
      </c>
      <c r="Q2266">
        <v>2.2174269999999999E-2</v>
      </c>
      <c r="R2266">
        <v>3.124737E-2</v>
      </c>
      <c r="S2266">
        <v>-2.9954830000000001</v>
      </c>
      <c r="T2266">
        <v>-0.69147799999999904</v>
      </c>
      <c r="U2266">
        <v>0.7036133</v>
      </c>
      <c r="V2266">
        <v>8.0325009999999992E-3</v>
      </c>
      <c r="W2266">
        <v>3.4563160000000002E-2</v>
      </c>
      <c r="X2266">
        <v>0.99937019999999999</v>
      </c>
      <c r="Y2266">
        <v>0.2015574</v>
      </c>
      <c r="Z2266">
        <v>1.7446119999999999E-2</v>
      </c>
      <c r="AA2266">
        <v>0.97932129999999995</v>
      </c>
      <c r="AB2266">
        <v>28</v>
      </c>
      <c r="AC2266">
        <v>-0.61380000000002599</v>
      </c>
      <c r="AD2266">
        <v>-0.18136479999999999</v>
      </c>
      <c r="AE2266">
        <v>0.18099999999998301</v>
      </c>
      <c r="AF2266">
        <v>0.15430310231344399</v>
      </c>
      <c r="AG2266">
        <v>-0.18136479999999999</v>
      </c>
      <c r="AH2266">
        <v>0.57190094647887102</v>
      </c>
      <c r="AI2266">
        <v>107.023421869854</v>
      </c>
      <c r="AJ2266">
        <v>74.900711217720698</v>
      </c>
      <c r="AK2266">
        <v>0.61949441534691996</v>
      </c>
      <c r="AL2266">
        <v>88.019282237335901</v>
      </c>
      <c r="AM2266">
        <v>89.539491475735502</v>
      </c>
      <c r="AN2266">
        <v>0.99999996487476905</v>
      </c>
    </row>
    <row r="2267" spans="1:40" x14ac:dyDescent="0.25">
      <c r="A2267" t="str">
        <f>"20190312160338965"</f>
        <v>20190312160338965</v>
      </c>
      <c r="B2267" t="str">
        <f>"1552377818956452"</f>
        <v>1552377818956452</v>
      </c>
      <c r="C2267" t="s">
        <v>40</v>
      </c>
      <c r="D2267">
        <v>5.0471870000000001</v>
      </c>
      <c r="E2267">
        <v>0.5736156</v>
      </c>
      <c r="F2267" t="s">
        <v>49</v>
      </c>
      <c r="G2267">
        <v>-361.5883</v>
      </c>
      <c r="H2267">
        <v>0.91554089999999999</v>
      </c>
      <c r="I2267">
        <v>284.90410000000003</v>
      </c>
      <c r="J2267">
        <v>-360.89870000000002</v>
      </c>
      <c r="K2267">
        <v>1.1100350000000001</v>
      </c>
      <c r="L2267">
        <v>284.71069999999997</v>
      </c>
      <c r="M2267">
        <v>-0.99965409999999999</v>
      </c>
      <c r="N2267">
        <v>0</v>
      </c>
      <c r="O2267">
        <v>2.320092E-2</v>
      </c>
      <c r="P2267">
        <v>-0.99926440000000005</v>
      </c>
      <c r="Q2267">
        <v>2.1894250000000001E-2</v>
      </c>
      <c r="R2267">
        <v>3.1488420000000003E-2</v>
      </c>
      <c r="S2267">
        <v>-2.9957579999999999</v>
      </c>
      <c r="T2267">
        <v>-0.67678000000000005</v>
      </c>
      <c r="U2267">
        <v>0.68673709999999999</v>
      </c>
      <c r="V2267">
        <v>8.2933019999999903E-3</v>
      </c>
      <c r="W2267">
        <v>3.4282939999999998E-2</v>
      </c>
      <c r="X2267">
        <v>0.99937770000000004</v>
      </c>
      <c r="Y2267">
        <v>0.1966156</v>
      </c>
      <c r="Z2267">
        <v>1.6552850000000001E-2</v>
      </c>
      <c r="AA2267">
        <v>0.98034089999999996</v>
      </c>
      <c r="AB2267">
        <v>28</v>
      </c>
      <c r="AC2267">
        <v>-0.689599999999984</v>
      </c>
      <c r="AD2267">
        <v>-0.1944941</v>
      </c>
      <c r="AE2267">
        <v>0.193400000000053</v>
      </c>
      <c r="AF2267">
        <v>0.16516700426648501</v>
      </c>
      <c r="AG2267">
        <v>-0.1944941</v>
      </c>
      <c r="AH2267">
        <v>0.64624406409212298</v>
      </c>
      <c r="AI2267">
        <v>106.256049098418</v>
      </c>
      <c r="AJ2267">
        <v>75.663254349717903</v>
      </c>
      <c r="AK2267">
        <v>0.69479456287990604</v>
      </c>
      <c r="AL2267">
        <v>88.035347139254398</v>
      </c>
      <c r="AM2267">
        <v>89.524543827828097</v>
      </c>
      <c r="AN2267">
        <v>0.99999994304519602</v>
      </c>
    </row>
    <row r="2268" spans="1:40" x14ac:dyDescent="0.25">
      <c r="A2268" t="str">
        <f>"20190312160338982"</f>
        <v>20190312160338982</v>
      </c>
      <c r="B2268" t="str">
        <f>"1552377818976478"</f>
        <v>1552377818976478</v>
      </c>
      <c r="C2268" t="s">
        <v>40</v>
      </c>
      <c r="D2268">
        <v>4.7031429999999999</v>
      </c>
      <c r="E2268">
        <v>0.56774749999999996</v>
      </c>
      <c r="F2268" t="s">
        <v>49</v>
      </c>
      <c r="G2268">
        <v>-361.6062</v>
      </c>
      <c r="H2268">
        <v>0.9576057</v>
      </c>
      <c r="I2268">
        <v>284.86399999999998</v>
      </c>
      <c r="J2268">
        <v>-361.1069</v>
      </c>
      <c r="K2268">
        <v>1.110036</v>
      </c>
      <c r="L2268">
        <v>284.71550000000002</v>
      </c>
      <c r="M2268">
        <v>-0.99965470000000001</v>
      </c>
      <c r="N2268">
        <v>0</v>
      </c>
      <c r="O2268">
        <v>2.317696E-2</v>
      </c>
      <c r="P2268">
        <v>-0.99924990000000002</v>
      </c>
      <c r="Q2268">
        <v>2.1903470000000001E-2</v>
      </c>
      <c r="R2268">
        <v>3.1939120000000001E-2</v>
      </c>
      <c r="S2268">
        <v>-2.995911</v>
      </c>
      <c r="T2268">
        <v>-0.64549290000000004</v>
      </c>
      <c r="U2268">
        <v>0.64886469999999996</v>
      </c>
      <c r="V2268">
        <v>8.7681689999999993E-3</v>
      </c>
      <c r="W2268">
        <v>3.4292000000000003E-2</v>
      </c>
      <c r="X2268">
        <v>0.99937339999999997</v>
      </c>
      <c r="Y2268">
        <v>0.18541189999999999</v>
      </c>
      <c r="Z2268">
        <v>1.464941E-2</v>
      </c>
      <c r="AA2268">
        <v>0.98255170000000003</v>
      </c>
      <c r="AB2268">
        <v>28</v>
      </c>
      <c r="AC2268">
        <v>-0.49930000000000502</v>
      </c>
      <c r="AD2268">
        <v>-0.15243029999999999</v>
      </c>
      <c r="AE2268">
        <v>0.14850000000001201</v>
      </c>
      <c r="AF2268">
        <v>0.126090285332883</v>
      </c>
      <c r="AG2268">
        <v>-0.15243029999999999</v>
      </c>
      <c r="AH2268">
        <v>0.46296574398953699</v>
      </c>
      <c r="AI2268">
        <v>107.62381277484</v>
      </c>
      <c r="AJ2268">
        <v>74.764822554273096</v>
      </c>
      <c r="AK2268">
        <v>0.50345907134662204</v>
      </c>
      <c r="AL2268">
        <v>88.034827860457398</v>
      </c>
      <c r="AM2268">
        <v>89.497318832209899</v>
      </c>
      <c r="AN2268">
        <v>1.0000000073395801</v>
      </c>
    </row>
    <row r="2269" spans="1:40" x14ac:dyDescent="0.25">
      <c r="A2269" t="str">
        <f>"20190312160339004"</f>
        <v>20190312160339004</v>
      </c>
      <c r="B2269" t="str">
        <f>"1552377818996975"</f>
        <v>1552377818996975</v>
      </c>
      <c r="C2269" t="s">
        <v>40</v>
      </c>
      <c r="D2269">
        <v>5.017614</v>
      </c>
      <c r="E2269">
        <v>0.56478090000000003</v>
      </c>
      <c r="F2269" t="s">
        <v>49</v>
      </c>
      <c r="G2269">
        <v>-361.85849999999999</v>
      </c>
      <c r="H2269">
        <v>0.95728389999999997</v>
      </c>
      <c r="I2269">
        <v>284.86750000000001</v>
      </c>
      <c r="J2269">
        <v>-361.38670000000002</v>
      </c>
      <c r="K2269">
        <v>1.110039</v>
      </c>
      <c r="L2269">
        <v>284.72190000000001</v>
      </c>
      <c r="M2269">
        <v>-0.99965539999999997</v>
      </c>
      <c r="N2269">
        <v>0</v>
      </c>
      <c r="O2269">
        <v>2.314532E-2</v>
      </c>
      <c r="P2269">
        <v>-0.99923779999999995</v>
      </c>
      <c r="Q2269">
        <v>2.2177559999999999E-2</v>
      </c>
      <c r="R2269">
        <v>3.2131130000000001E-2</v>
      </c>
      <c r="S2269">
        <v>-2.9962460000000002</v>
      </c>
      <c r="T2269">
        <v>-0.60897860000000004</v>
      </c>
      <c r="U2269">
        <v>0.60467530000000003</v>
      </c>
      <c r="V2269">
        <v>8.9923160000000002E-3</v>
      </c>
      <c r="W2269">
        <v>3.4566020000000003E-2</v>
      </c>
      <c r="X2269">
        <v>0.99936190000000003</v>
      </c>
      <c r="Y2269">
        <v>0.1721549</v>
      </c>
      <c r="Z2269">
        <v>1.254129E-2</v>
      </c>
      <c r="AA2269">
        <v>0.98499009999999998</v>
      </c>
      <c r="AB2269">
        <v>28</v>
      </c>
      <c r="AC2269">
        <v>-0.47179999999997302</v>
      </c>
      <c r="AD2269">
        <v>-0.1527551</v>
      </c>
      <c r="AE2269">
        <v>0.14560000000000101</v>
      </c>
      <c r="AF2269">
        <v>0.12287915418303</v>
      </c>
      <c r="AG2269">
        <v>-0.1527551</v>
      </c>
      <c r="AH2269">
        <v>0.433547972071471</v>
      </c>
      <c r="AI2269">
        <v>108.725875936783</v>
      </c>
      <c r="AJ2269">
        <v>74.175844018190105</v>
      </c>
      <c r="AK2269">
        <v>0.47581220160482701</v>
      </c>
      <c r="AL2269">
        <v>88.019118222802703</v>
      </c>
      <c r="AM2269">
        <v>89.484463185418804</v>
      </c>
      <c r="AN2269">
        <v>0.99999993932864495</v>
      </c>
    </row>
    <row r="2270" spans="1:40" x14ac:dyDescent="0.25">
      <c r="A2270" t="str">
        <f>"20190312160339026"</f>
        <v>20190312160339026</v>
      </c>
      <c r="B2270" t="str">
        <f>"1552377819016494"</f>
        <v>1552377819016494</v>
      </c>
      <c r="C2270" t="s">
        <v>40</v>
      </c>
      <c r="D2270">
        <v>4.6888290000000001</v>
      </c>
      <c r="E2270">
        <v>0.56299319999999997</v>
      </c>
      <c r="F2270" t="s">
        <v>49</v>
      </c>
      <c r="G2270">
        <v>-362.11559999999997</v>
      </c>
      <c r="H2270">
        <v>0.96740389999999998</v>
      </c>
      <c r="I2270">
        <v>284.86360000000002</v>
      </c>
      <c r="J2270">
        <v>-361.65890000000002</v>
      </c>
      <c r="K2270">
        <v>1.1100410000000001</v>
      </c>
      <c r="L2270">
        <v>284.72820000000002</v>
      </c>
      <c r="M2270">
        <v>-0.99965599999999999</v>
      </c>
      <c r="N2270">
        <v>0</v>
      </c>
      <c r="O2270">
        <v>2.3114160000000002E-2</v>
      </c>
      <c r="P2270">
        <v>-0.99924080000000004</v>
      </c>
      <c r="Q2270">
        <v>2.2451539999999999E-2</v>
      </c>
      <c r="R2270">
        <v>3.1842780000000001E-2</v>
      </c>
      <c r="S2270">
        <v>-2.9965519999999999</v>
      </c>
      <c r="T2270">
        <v>-0.58635959999999998</v>
      </c>
      <c r="U2270">
        <v>0.58285520000000002</v>
      </c>
      <c r="V2270">
        <v>8.7351330000000008E-3</v>
      </c>
      <c r="W2270">
        <v>3.4840030000000001E-2</v>
      </c>
      <c r="X2270">
        <v>0.99935469999999904</v>
      </c>
      <c r="Y2270">
        <v>0.16558719999999999</v>
      </c>
      <c r="Z2270">
        <v>1.1466209999999999E-2</v>
      </c>
      <c r="AA2270">
        <v>0.98612849999999996</v>
      </c>
      <c r="AB2270">
        <v>28</v>
      </c>
      <c r="AC2270">
        <v>-0.45669999999995498</v>
      </c>
      <c r="AD2270">
        <v>-0.14263709999999899</v>
      </c>
      <c r="AE2270">
        <v>0.13540000000000399</v>
      </c>
      <c r="AF2270">
        <v>0.114536997970848</v>
      </c>
      <c r="AG2270">
        <v>-0.14263709999999899</v>
      </c>
      <c r="AH2270">
        <v>0.42188062163472501</v>
      </c>
      <c r="AI2270">
        <v>108.070836536429</v>
      </c>
      <c r="AJ2270">
        <v>74.810805264579997</v>
      </c>
      <c r="AK2270">
        <v>0.45983401908893801</v>
      </c>
      <c r="AL2270">
        <v>88.003409211089107</v>
      </c>
      <c r="AM2270">
        <v>89.499203326840501</v>
      </c>
      <c r="AN2270">
        <v>0.99999997332550805</v>
      </c>
    </row>
    <row r="2271" spans="1:40" x14ac:dyDescent="0.25">
      <c r="A2271" t="str">
        <f>"20190312160339037"</f>
        <v>20190312160339037</v>
      </c>
      <c r="B2271" t="str">
        <f>"1552377819027231"</f>
        <v>1552377819027231</v>
      </c>
      <c r="C2271" t="s">
        <v>40</v>
      </c>
      <c r="D2271">
        <v>5.054138</v>
      </c>
      <c r="E2271">
        <v>0.56219129999999995</v>
      </c>
      <c r="F2271" t="s">
        <v>49</v>
      </c>
      <c r="G2271">
        <v>-362.37099999999998</v>
      </c>
      <c r="H2271">
        <v>0.9738057</v>
      </c>
      <c r="I2271">
        <v>284.86340000000001</v>
      </c>
      <c r="J2271">
        <v>-361.80869999999999</v>
      </c>
      <c r="K2271">
        <v>1.110034</v>
      </c>
      <c r="L2271">
        <v>284.73160000000001</v>
      </c>
      <c r="M2271">
        <v>-0.9996564</v>
      </c>
      <c r="N2271">
        <v>0</v>
      </c>
      <c r="O2271">
        <v>2.3096999999999999E-2</v>
      </c>
      <c r="P2271">
        <v>-0.99923589999999995</v>
      </c>
      <c r="Q2271">
        <v>2.2576539999999999E-2</v>
      </c>
      <c r="R2271">
        <v>3.1905910000000003E-2</v>
      </c>
      <c r="S2271">
        <v>-2.9970400000000001</v>
      </c>
      <c r="T2271">
        <v>-0.57341330000000001</v>
      </c>
      <c r="U2271">
        <v>0.56854249999999995</v>
      </c>
      <c r="V2271">
        <v>8.8153859999999997E-3</v>
      </c>
      <c r="W2271">
        <v>3.4964420000000003E-2</v>
      </c>
      <c r="X2271">
        <v>0.99934970000000001</v>
      </c>
      <c r="Y2271">
        <v>0.16121729999999901</v>
      </c>
      <c r="Z2271">
        <v>1.0813039999999999E-2</v>
      </c>
      <c r="AA2271">
        <v>0.98685970000000001</v>
      </c>
      <c r="AB2271">
        <v>28</v>
      </c>
      <c r="AC2271">
        <v>-0.56229999999999303</v>
      </c>
      <c r="AD2271">
        <v>-0.1362283</v>
      </c>
      <c r="AE2271">
        <v>0.131799999999998</v>
      </c>
      <c r="AF2271">
        <v>0.112516230867614</v>
      </c>
      <c r="AG2271">
        <v>-0.1362283</v>
      </c>
      <c r="AH2271">
        <v>0.53540556861196698</v>
      </c>
      <c r="AI2271">
        <v>103.98233099448601</v>
      </c>
      <c r="AJ2271">
        <v>78.131912834021705</v>
      </c>
      <c r="AK2271">
        <v>0.563805972680538</v>
      </c>
      <c r="AL2271">
        <v>87.996277942122504</v>
      </c>
      <c r="AM2271">
        <v>89.494600025782901</v>
      </c>
      <c r="AN2271">
        <v>1.00000002229317</v>
      </c>
    </row>
    <row r="2272" spans="1:40" x14ac:dyDescent="0.25">
      <c r="A2272" t="str">
        <f>"20190312160339049"</f>
        <v>20190312160339049</v>
      </c>
      <c r="B2272" t="str">
        <f>"1552377819036990"</f>
        <v>1552377819036990</v>
      </c>
      <c r="C2272" t="s">
        <v>40</v>
      </c>
      <c r="D2272">
        <v>4.7095440000000002</v>
      </c>
      <c r="E2272">
        <v>0.56221969999999899</v>
      </c>
      <c r="F2272" t="s">
        <v>49</v>
      </c>
      <c r="G2272">
        <v>-362.61520000000002</v>
      </c>
      <c r="H2272">
        <v>0.95677460000000003</v>
      </c>
      <c r="I2272">
        <v>284.88290000000001</v>
      </c>
      <c r="J2272">
        <v>-361.95679999999999</v>
      </c>
      <c r="K2272">
        <v>1.110034</v>
      </c>
      <c r="L2272">
        <v>284.73500000000001</v>
      </c>
      <c r="M2272">
        <v>-0.99965689999999996</v>
      </c>
      <c r="N2272">
        <v>0</v>
      </c>
      <c r="O2272">
        <v>2.3080010000000001E-2</v>
      </c>
      <c r="P2272">
        <v>-0.99923260000000003</v>
      </c>
      <c r="Q2272">
        <v>2.257673E-2</v>
      </c>
      <c r="R2272">
        <v>3.2009349999999999E-2</v>
      </c>
      <c r="S2272">
        <v>-2.9971920000000001</v>
      </c>
      <c r="T2272">
        <v>-0.569469</v>
      </c>
      <c r="U2272">
        <v>0.56216429999999995</v>
      </c>
      <c r="V2272">
        <v>8.9357969999999901E-3</v>
      </c>
      <c r="W2272">
        <v>3.4964420000000003E-2</v>
      </c>
      <c r="X2272">
        <v>0.99934860000000003</v>
      </c>
      <c r="Y2272">
        <v>0.15926199999999999</v>
      </c>
      <c r="Z2272">
        <v>1.056205E-2</v>
      </c>
      <c r="AA2272">
        <v>0.9871799</v>
      </c>
      <c r="AB2272">
        <v>28</v>
      </c>
      <c r="AC2272">
        <v>-0.65840000000002796</v>
      </c>
      <c r="AD2272">
        <v>-0.15325939999999999</v>
      </c>
      <c r="AE2272">
        <v>0.14789999999999201</v>
      </c>
      <c r="AF2272">
        <v>0.12615621563816801</v>
      </c>
      <c r="AG2272">
        <v>-0.15325939999999999</v>
      </c>
      <c r="AH2272">
        <v>0.62918407703041401</v>
      </c>
      <c r="AI2272">
        <v>103.432373196641</v>
      </c>
      <c r="AJ2272">
        <v>78.662103199263697</v>
      </c>
      <c r="AK2272">
        <v>0.65975483114647804</v>
      </c>
      <c r="AL2272">
        <v>87.996277880853299</v>
      </c>
      <c r="AM2272">
        <v>89.487696474945693</v>
      </c>
      <c r="AN2272">
        <v>0.99999999172795995</v>
      </c>
    </row>
    <row r="2273" spans="1:40" x14ac:dyDescent="0.25">
      <c r="A2273" t="str">
        <f>"20190312160339060"</f>
        <v>20190312160339060</v>
      </c>
      <c r="B2273" t="str">
        <f>"1552377819046750"</f>
        <v>1552377819046750</v>
      </c>
      <c r="C2273" t="s">
        <v>40</v>
      </c>
      <c r="D2273">
        <v>5.1248040000000001</v>
      </c>
      <c r="E2273">
        <v>0.56175569999999997</v>
      </c>
      <c r="F2273" t="s">
        <v>49</v>
      </c>
      <c r="G2273">
        <v>-362.85890000000001</v>
      </c>
      <c r="H2273">
        <v>0.93818250000000003</v>
      </c>
      <c r="I2273">
        <v>284.90469999999999</v>
      </c>
      <c r="J2273">
        <v>-362.10320000000002</v>
      </c>
      <c r="K2273">
        <v>1.110033</v>
      </c>
      <c r="L2273">
        <v>284.73840000000001</v>
      </c>
      <c r="M2273">
        <v>-0.99965729999999997</v>
      </c>
      <c r="N2273">
        <v>0</v>
      </c>
      <c r="O2273">
        <v>2.3063030000000002E-2</v>
      </c>
      <c r="P2273">
        <v>-0.99923130000000004</v>
      </c>
      <c r="Q2273">
        <v>2.2542449999999999E-2</v>
      </c>
      <c r="R2273">
        <v>3.2078959999999997E-2</v>
      </c>
      <c r="S2273">
        <v>-2.9971920000000001</v>
      </c>
      <c r="T2273">
        <v>-0.57105879999999998</v>
      </c>
      <c r="U2273">
        <v>0.56262209999999901</v>
      </c>
      <c r="V2273">
        <v>9.022548E-3</v>
      </c>
      <c r="W2273">
        <v>3.4930580000000003E-2</v>
      </c>
      <c r="X2273">
        <v>0.99934900000000004</v>
      </c>
      <c r="Y2273">
        <v>0.15940860000000001</v>
      </c>
      <c r="Z2273">
        <v>1.0607780000000001E-2</v>
      </c>
      <c r="AA2273">
        <v>0.98715569999999997</v>
      </c>
      <c r="AB2273">
        <v>28</v>
      </c>
      <c r="AC2273">
        <v>-0.75569999999999005</v>
      </c>
      <c r="AD2273">
        <v>-0.17185049999999999</v>
      </c>
      <c r="AE2273">
        <v>0.16629999999997799</v>
      </c>
      <c r="AF2273">
        <v>0.14182996731382899</v>
      </c>
      <c r="AG2273">
        <v>-0.17185049999999999</v>
      </c>
      <c r="AH2273">
        <v>0.72364123592766605</v>
      </c>
      <c r="AI2273">
        <v>103.118425147173</v>
      </c>
      <c r="AJ2273">
        <v>78.910887720004595</v>
      </c>
      <c r="AK2273">
        <v>0.75716905134415802</v>
      </c>
      <c r="AL2273">
        <v>87.998217947269893</v>
      </c>
      <c r="AM2273">
        <v>89.482723377440706</v>
      </c>
      <c r="AN2273">
        <v>0.99999998779627397</v>
      </c>
    </row>
    <row r="2274" spans="1:40" x14ac:dyDescent="0.25">
      <c r="A2274" t="str">
        <f>"20190312160339072"</f>
        <v>20190312160339072</v>
      </c>
      <c r="B2274" t="str">
        <f>"1552377819067246"</f>
        <v>1552377819067246</v>
      </c>
      <c r="C2274" t="s">
        <v>40</v>
      </c>
      <c r="D2274">
        <v>4.6521850000000002</v>
      </c>
      <c r="E2274">
        <v>0.56300090000000003</v>
      </c>
      <c r="F2274" t="s">
        <v>49</v>
      </c>
      <c r="G2274">
        <v>-362.87130000000002</v>
      </c>
      <c r="H2274">
        <v>0.96487239999999996</v>
      </c>
      <c r="I2274">
        <v>284.88200000000001</v>
      </c>
      <c r="J2274">
        <v>-362.2518</v>
      </c>
      <c r="K2274">
        <v>1.1100319999999999</v>
      </c>
      <c r="L2274">
        <v>284.74180000000001</v>
      </c>
      <c r="M2274">
        <v>-0.99965760000000004</v>
      </c>
      <c r="N2274">
        <v>0</v>
      </c>
      <c r="O2274">
        <v>2.304604E-2</v>
      </c>
      <c r="P2274">
        <v>-0.99922420000000001</v>
      </c>
      <c r="Q2274">
        <v>2.238422E-2</v>
      </c>
      <c r="R2274">
        <v>3.2399079999999997E-2</v>
      </c>
      <c r="S2274">
        <v>-2.997131</v>
      </c>
      <c r="T2274">
        <v>-0.56649300000000002</v>
      </c>
      <c r="U2274">
        <v>0.55911250000000001</v>
      </c>
      <c r="V2274">
        <v>9.3595980000000002E-3</v>
      </c>
      <c r="W2274">
        <v>3.477189E-2</v>
      </c>
      <c r="X2274">
        <v>0.9993514</v>
      </c>
      <c r="Y2274">
        <v>0.15836629999999999</v>
      </c>
      <c r="Z2274">
        <v>1.043203E-2</v>
      </c>
      <c r="AA2274">
        <v>0.98732529999999996</v>
      </c>
      <c r="AB2274">
        <v>28</v>
      </c>
      <c r="AC2274">
        <v>-0.61950000000001604</v>
      </c>
      <c r="AD2274">
        <v>-0.145159599999999</v>
      </c>
      <c r="AE2274">
        <v>0.140199999999993</v>
      </c>
      <c r="AF2274">
        <v>0.119636096210736</v>
      </c>
      <c r="AG2274">
        <v>-0.145159599999999</v>
      </c>
      <c r="AH2274">
        <v>0.59166435827323205</v>
      </c>
      <c r="AI2274">
        <v>103.521429473696</v>
      </c>
      <c r="AJ2274">
        <v>78.568770942338404</v>
      </c>
      <c r="AK2274">
        <v>0.62084685538350004</v>
      </c>
      <c r="AL2274">
        <v>88.007315673170993</v>
      </c>
      <c r="AM2274">
        <v>89.463402178143895</v>
      </c>
      <c r="AN2274">
        <v>0.99999995354542504</v>
      </c>
    </row>
    <row r="2275" spans="1:40" x14ac:dyDescent="0.25">
      <c r="A2275" t="str">
        <f>"20190312160339084"</f>
        <v>20190312160339084</v>
      </c>
      <c r="B2275" t="str">
        <f>"1552377819076537"</f>
        <v>1552377819076537</v>
      </c>
      <c r="C2275" t="s">
        <v>40</v>
      </c>
      <c r="D2275">
        <v>4.6504089999999998</v>
      </c>
      <c r="E2275">
        <v>0.56346779999999996</v>
      </c>
      <c r="F2275" t="s">
        <v>49</v>
      </c>
      <c r="G2275">
        <v>-363.11399999999998</v>
      </c>
      <c r="H2275">
        <v>0.94454749999999998</v>
      </c>
      <c r="I2275">
        <v>284.90589999999997</v>
      </c>
      <c r="J2275">
        <v>-362.4083</v>
      </c>
      <c r="K2275">
        <v>1.110031</v>
      </c>
      <c r="L2275">
        <v>284.74540000000002</v>
      </c>
      <c r="M2275">
        <v>-0.99965809999999999</v>
      </c>
      <c r="N2275">
        <v>0</v>
      </c>
      <c r="O2275">
        <v>2.3027860000000001E-2</v>
      </c>
      <c r="P2275">
        <v>-0.99921879999999996</v>
      </c>
      <c r="Q2275">
        <v>2.2385120000000001E-2</v>
      </c>
      <c r="R2275">
        <v>3.2578469999999998E-2</v>
      </c>
      <c r="S2275">
        <v>-2.9967959999999998</v>
      </c>
      <c r="T2275">
        <v>-0.57523380000000002</v>
      </c>
      <c r="U2275">
        <v>0.5693665</v>
      </c>
      <c r="V2275">
        <v>9.5575130000000001E-3</v>
      </c>
      <c r="W2275">
        <v>3.4772839999999999E-2</v>
      </c>
      <c r="X2275">
        <v>0.9993495</v>
      </c>
      <c r="Y2275">
        <v>0.16153979999999901</v>
      </c>
      <c r="Z2275">
        <v>1.0890789999999999E-2</v>
      </c>
      <c r="AA2275">
        <v>0.98680610000000002</v>
      </c>
      <c r="AB2275">
        <v>28</v>
      </c>
      <c r="AC2275">
        <v>-0.70570000000003497</v>
      </c>
      <c r="AD2275">
        <v>-0.16548350000000001</v>
      </c>
      <c r="AE2275">
        <v>0.16049999999995601</v>
      </c>
      <c r="AF2275">
        <v>0.137040440855351</v>
      </c>
      <c r="AG2275">
        <v>-0.16548350000000001</v>
      </c>
      <c r="AH2275">
        <v>0.673971359623594</v>
      </c>
      <c r="AI2275">
        <v>103.528848583182</v>
      </c>
      <c r="AJ2275">
        <v>78.5065783173402</v>
      </c>
      <c r="AK2275">
        <v>0.707391168162958</v>
      </c>
      <c r="AL2275">
        <v>88.007261221716703</v>
      </c>
      <c r="AM2275">
        <v>89.452055098955</v>
      </c>
      <c r="AN2275">
        <v>0.99999995980332901</v>
      </c>
    </row>
    <row r="2276" spans="1:40" x14ac:dyDescent="0.25">
      <c r="A2276" t="str">
        <f>"20190312160339096"</f>
        <v>20190312160339096</v>
      </c>
      <c r="B2276" t="str">
        <f>"1552377819087273"</f>
        <v>1552377819087273</v>
      </c>
      <c r="C2276" t="s">
        <v>40</v>
      </c>
      <c r="D2276">
        <v>4.6336810000000002</v>
      </c>
      <c r="E2276">
        <v>0.56381709999999996</v>
      </c>
      <c r="F2276" t="s">
        <v>49</v>
      </c>
      <c r="G2276">
        <v>-363.12650000000002</v>
      </c>
      <c r="H2276">
        <v>0.97129650000000001</v>
      </c>
      <c r="I2276">
        <v>284.88299999999998</v>
      </c>
      <c r="J2276">
        <v>-362.54570000000001</v>
      </c>
      <c r="K2276">
        <v>1.110031</v>
      </c>
      <c r="L2276">
        <v>284.74849999999998</v>
      </c>
      <c r="M2276">
        <v>-0.99965839999999995</v>
      </c>
      <c r="N2276">
        <v>0</v>
      </c>
      <c r="O2276">
        <v>2.301189E-2</v>
      </c>
      <c r="P2276">
        <v>-0.99921079999999995</v>
      </c>
      <c r="Q2276">
        <v>2.2325910000000001E-2</v>
      </c>
      <c r="R2276">
        <v>3.2856730000000001E-2</v>
      </c>
      <c r="S2276">
        <v>-2.9966430000000002</v>
      </c>
      <c r="T2276">
        <v>-0.57898349999999998</v>
      </c>
      <c r="U2276">
        <v>0.57315059999999995</v>
      </c>
      <c r="V2276">
        <v>9.8518110000000002E-3</v>
      </c>
      <c r="W2276">
        <v>3.4713750000000002E-2</v>
      </c>
      <c r="X2276">
        <v>0.99934880000000004</v>
      </c>
      <c r="Y2276">
        <v>0.16271469999999999</v>
      </c>
      <c r="Z2276">
        <v>1.107434E-2</v>
      </c>
      <c r="AA2276">
        <v>0.98661100000000002</v>
      </c>
      <c r="AB2276">
        <v>28</v>
      </c>
      <c r="AC2276">
        <v>-0.58080000000000997</v>
      </c>
      <c r="AD2276">
        <v>-0.13873449999999901</v>
      </c>
      <c r="AE2276">
        <v>0.13450000000000201</v>
      </c>
      <c r="AF2276">
        <v>0.11487702555605001</v>
      </c>
      <c r="AG2276">
        <v>-0.13873449999999901</v>
      </c>
      <c r="AH2276">
        <v>0.55375368058168595</v>
      </c>
      <c r="AI2276">
        <v>103.78314456605</v>
      </c>
      <c r="AJ2276">
        <v>78.280143799353397</v>
      </c>
      <c r="AK2276">
        <v>0.58231188485949603</v>
      </c>
      <c r="AL2276">
        <v>88.010649080748394</v>
      </c>
      <c r="AM2276">
        <v>89.435183285289099</v>
      </c>
      <c r="AN2276">
        <v>1.0000000633402299</v>
      </c>
    </row>
    <row r="2277" spans="1:40" x14ac:dyDescent="0.25">
      <c r="A2277" t="str">
        <f>"20190312160339114"</f>
        <v>20190312160339114</v>
      </c>
      <c r="B2277" t="str">
        <f>"1552377819106792"</f>
        <v>1552377819106792</v>
      </c>
      <c r="C2277" t="s">
        <v>40</v>
      </c>
      <c r="D2277">
        <v>4.7988189999999999</v>
      </c>
      <c r="E2277">
        <v>0.56389100000000003</v>
      </c>
      <c r="F2277" t="s">
        <v>49</v>
      </c>
      <c r="G2277">
        <v>-363.36869999999999</v>
      </c>
      <c r="H2277">
        <v>0.95011380000000001</v>
      </c>
      <c r="I2277">
        <v>284.90699999999998</v>
      </c>
      <c r="J2277">
        <v>-362.78359999999998</v>
      </c>
      <c r="K2277">
        <v>1.110033</v>
      </c>
      <c r="L2277">
        <v>284.75400000000002</v>
      </c>
      <c r="M2277">
        <v>-0.99965910000000002</v>
      </c>
      <c r="N2277">
        <v>0</v>
      </c>
      <c r="O2277">
        <v>2.2984060000000001E-2</v>
      </c>
      <c r="P2277">
        <v>-0.99918510000000005</v>
      </c>
      <c r="Q2277">
        <v>2.2423930000000002E-2</v>
      </c>
      <c r="R2277">
        <v>3.3561970000000003E-2</v>
      </c>
      <c r="S2277">
        <v>-2.996429</v>
      </c>
      <c r="T2277">
        <v>-0.58220859999999997</v>
      </c>
      <c r="U2277">
        <v>0.576690699999999</v>
      </c>
      <c r="V2277">
        <v>1.058512E-2</v>
      </c>
      <c r="W2277">
        <v>3.4810960000000002E-2</v>
      </c>
      <c r="X2277">
        <v>0.9993379</v>
      </c>
      <c r="Y2277">
        <v>0.16383139999999999</v>
      </c>
      <c r="Z2277">
        <v>1.124635E-2</v>
      </c>
      <c r="AA2277">
        <v>0.98642430000000003</v>
      </c>
      <c r="AB2277">
        <v>28</v>
      </c>
      <c r="AC2277">
        <v>-0.58510000000001094</v>
      </c>
      <c r="AD2277">
        <v>-0.15991919999999901</v>
      </c>
      <c r="AE2277">
        <v>0.152999999999963</v>
      </c>
      <c r="AF2277">
        <v>0.130393180238488</v>
      </c>
      <c r="AG2277">
        <v>-0.15991919999999901</v>
      </c>
      <c r="AH2277">
        <v>0.55000465388224595</v>
      </c>
      <c r="AI2277">
        <v>105.797145823858</v>
      </c>
      <c r="AJ2277">
        <v>76.662752711032795</v>
      </c>
      <c r="AK2277">
        <v>0.58743650829130101</v>
      </c>
      <c r="AL2277">
        <v>88.0050759495184</v>
      </c>
      <c r="AM2277">
        <v>89.393138174714295</v>
      </c>
      <c r="AN2277">
        <v>1.0000000430389699</v>
      </c>
    </row>
    <row r="2278" spans="1:40" x14ac:dyDescent="0.25">
      <c r="A2278" t="str">
        <f>"20190312160339126"</f>
        <v>20190312160339126</v>
      </c>
      <c r="B2278" t="str">
        <f>"1552377819116553"</f>
        <v>1552377819116553</v>
      </c>
      <c r="C2278" t="s">
        <v>40</v>
      </c>
      <c r="D2278">
        <v>4.9832799999999997</v>
      </c>
      <c r="E2278">
        <v>0.56362049999999997</v>
      </c>
      <c r="F2278" t="s">
        <v>49</v>
      </c>
      <c r="G2278">
        <v>-363.61970000000002</v>
      </c>
      <c r="H2278">
        <v>0.94771870000000002</v>
      </c>
      <c r="I2278">
        <v>284.91570000000002</v>
      </c>
      <c r="J2278">
        <v>-362.92759999999998</v>
      </c>
      <c r="K2278">
        <v>1.1100350000000001</v>
      </c>
      <c r="L2278">
        <v>284.75729999999999</v>
      </c>
      <c r="M2278">
        <v>-0.99965950000000003</v>
      </c>
      <c r="N2278">
        <v>0</v>
      </c>
      <c r="O2278">
        <v>2.296755E-2</v>
      </c>
      <c r="P2278">
        <v>-0.99918260000000003</v>
      </c>
      <c r="Q2278">
        <v>2.232408E-2</v>
      </c>
      <c r="R2278">
        <v>3.3701740000000001E-2</v>
      </c>
      <c r="S2278">
        <v>-2.9960330000000002</v>
      </c>
      <c r="T2278">
        <v>-0.58171329999999999</v>
      </c>
      <c r="U2278">
        <v>0.57931519999999903</v>
      </c>
      <c r="V2278">
        <v>1.074145E-2</v>
      </c>
      <c r="W2278">
        <v>3.4710890000000001E-2</v>
      </c>
      <c r="X2278">
        <v>0.99933959999999999</v>
      </c>
      <c r="Y2278">
        <v>0.16469329999999999</v>
      </c>
      <c r="Z2278">
        <v>1.1322810000000001E-2</v>
      </c>
      <c r="AA2278">
        <v>0.98627980000000004</v>
      </c>
      <c r="AB2278">
        <v>28</v>
      </c>
      <c r="AC2278">
        <v>-0.69210000000003802</v>
      </c>
      <c r="AD2278">
        <v>-0.1623163</v>
      </c>
      <c r="AE2278">
        <v>0.15840000000002799</v>
      </c>
      <c r="AF2278">
        <v>0.13538519797744</v>
      </c>
      <c r="AG2278">
        <v>-0.1623163</v>
      </c>
      <c r="AH2278">
        <v>0.66100794946472796</v>
      </c>
      <c r="AI2278">
        <v>103.526327297724</v>
      </c>
      <c r="AJ2278">
        <v>78.424975265304596</v>
      </c>
      <c r="AK2278">
        <v>0.693979280910205</v>
      </c>
      <c r="AL2278">
        <v>88.010812780893204</v>
      </c>
      <c r="AM2278">
        <v>89.384177259018003</v>
      </c>
      <c r="AN2278">
        <v>0.99999993038042401</v>
      </c>
    </row>
    <row r="2279" spans="1:40" x14ac:dyDescent="0.25">
      <c r="A2279" t="str">
        <f>"20190312160339139"</f>
        <v>20190312160339139</v>
      </c>
      <c r="B2279" t="str">
        <f>"1552377819126313"</f>
        <v>1552377819126313</v>
      </c>
      <c r="C2279" t="s">
        <v>40</v>
      </c>
      <c r="D2279">
        <v>5.0492739999999996</v>
      </c>
      <c r="E2279">
        <v>0.56338750000000004</v>
      </c>
      <c r="F2279" t="s">
        <v>49</v>
      </c>
      <c r="G2279">
        <v>-363.63189999999997</v>
      </c>
      <c r="H2279">
        <v>0.97370590000000001</v>
      </c>
      <c r="I2279">
        <v>284.8931</v>
      </c>
      <c r="J2279">
        <v>-363.07499999999999</v>
      </c>
      <c r="K2279">
        <v>1.1100380000000001</v>
      </c>
      <c r="L2279">
        <v>284.76069999999999</v>
      </c>
      <c r="M2279">
        <v>-0.99965979999999999</v>
      </c>
      <c r="N2279">
        <v>0</v>
      </c>
      <c r="O2279">
        <v>2.2950740000000001E-2</v>
      </c>
      <c r="P2279">
        <v>-0.99917659999999997</v>
      </c>
      <c r="Q2279">
        <v>2.2707270000000002E-2</v>
      </c>
      <c r="R2279">
        <v>3.3624210000000002E-2</v>
      </c>
      <c r="S2279">
        <v>-2.9959410000000002</v>
      </c>
      <c r="T2279">
        <v>-0.58000989999999997</v>
      </c>
      <c r="U2279">
        <v>0.57781979999999999</v>
      </c>
      <c r="V2279">
        <v>1.068086E-2</v>
      </c>
      <c r="W2279">
        <v>3.5094510000000002E-2</v>
      </c>
      <c r="X2279">
        <v>0.99932690000000002</v>
      </c>
      <c r="Y2279">
        <v>0.16426270000000001</v>
      </c>
      <c r="Z2279">
        <v>1.1253330000000001E-2</v>
      </c>
      <c r="AA2279">
        <v>0.98635240000000002</v>
      </c>
      <c r="AB2279">
        <v>28</v>
      </c>
      <c r="AC2279">
        <v>-0.55689999999998396</v>
      </c>
      <c r="AD2279">
        <v>-0.13633209999999901</v>
      </c>
      <c r="AE2279">
        <v>0.132400000000018</v>
      </c>
      <c r="AF2279">
        <v>0.113163823002413</v>
      </c>
      <c r="AG2279">
        <v>-0.13633209999999901</v>
      </c>
      <c r="AH2279">
        <v>0.52974330311241002</v>
      </c>
      <c r="AI2279">
        <v>104.12662087852399</v>
      </c>
      <c r="AJ2279">
        <v>77.941709897001601</v>
      </c>
      <c r="AK2279">
        <v>0.55858791565820498</v>
      </c>
      <c r="AL2279">
        <v>87.988819670451903</v>
      </c>
      <c r="AM2279">
        <v>89.387642923912196</v>
      </c>
      <c r="AN2279">
        <v>0.99999997923304396</v>
      </c>
    </row>
    <row r="2280" spans="1:40" x14ac:dyDescent="0.25">
      <c r="A2280" t="str">
        <f>"20190312160339151"</f>
        <v>20190312160339151</v>
      </c>
      <c r="B2280" t="str">
        <f>"1552377819146808"</f>
        <v>1552377819146808</v>
      </c>
      <c r="C2280" t="s">
        <v>40</v>
      </c>
      <c r="D2280">
        <v>4.6677759999999999</v>
      </c>
      <c r="E2280">
        <v>0.56338920000000003</v>
      </c>
      <c r="F2280" t="s">
        <v>49</v>
      </c>
      <c r="G2280">
        <v>-363.87549999999999</v>
      </c>
      <c r="H2280">
        <v>0.95592940000000004</v>
      </c>
      <c r="I2280">
        <v>284.91489999999999</v>
      </c>
      <c r="J2280">
        <v>-363.24439999999998</v>
      </c>
      <c r="K2280">
        <v>1.110039</v>
      </c>
      <c r="L2280">
        <v>284.7645</v>
      </c>
      <c r="M2280">
        <v>-0.99966029999999995</v>
      </c>
      <c r="N2280">
        <v>0</v>
      </c>
      <c r="O2280">
        <v>2.2931070000000001E-2</v>
      </c>
      <c r="P2280">
        <v>-0.99916539999999998</v>
      </c>
      <c r="Q2280">
        <v>2.3120479999999999E-2</v>
      </c>
      <c r="R2280">
        <v>3.3678479999999997E-2</v>
      </c>
      <c r="S2280">
        <v>-2.9961850000000001</v>
      </c>
      <c r="T2280">
        <v>-0.57689820000000003</v>
      </c>
      <c r="U2280">
        <v>0.57626339999999998</v>
      </c>
      <c r="V2280">
        <v>1.07551E-2</v>
      </c>
      <c r="W2280">
        <v>3.5506719999999999E-2</v>
      </c>
      <c r="X2280">
        <v>0.99931159999999997</v>
      </c>
      <c r="Y2280">
        <v>0.1638076</v>
      </c>
      <c r="Z2280">
        <v>1.115436E-2</v>
      </c>
      <c r="AA2280">
        <v>0.98642920000000001</v>
      </c>
      <c r="AB2280">
        <v>28</v>
      </c>
      <c r="AC2280">
        <v>-0.63110000000000299</v>
      </c>
      <c r="AD2280">
        <v>-0.15410959999999899</v>
      </c>
      <c r="AE2280">
        <v>0.15039999999998999</v>
      </c>
      <c r="AF2280">
        <v>0.12862959104968799</v>
      </c>
      <c r="AG2280">
        <v>-0.15410959999999899</v>
      </c>
      <c r="AH2280">
        <v>0.60049982047705497</v>
      </c>
      <c r="AI2280">
        <v>104.08708639849399</v>
      </c>
      <c r="AJ2280">
        <v>77.909707703593995</v>
      </c>
      <c r="AK2280">
        <v>0.63316299236353502</v>
      </c>
      <c r="AL2280">
        <v>87.965187164045204</v>
      </c>
      <c r="AM2280">
        <v>89.383377469809005</v>
      </c>
      <c r="AN2280">
        <v>1.0000000366178601</v>
      </c>
    </row>
    <row r="2281" spans="1:40" x14ac:dyDescent="0.25">
      <c r="A2281" t="str">
        <f>"20190312160339172"</f>
        <v>20190312160339172</v>
      </c>
      <c r="B2281" t="str">
        <f>"1552377819167305"</f>
        <v>1552377819167305</v>
      </c>
      <c r="C2281" t="s">
        <v>40</v>
      </c>
      <c r="D2281">
        <v>5.015644</v>
      </c>
      <c r="E2281">
        <v>0.56350259999999996</v>
      </c>
      <c r="F2281" t="s">
        <v>49</v>
      </c>
      <c r="G2281">
        <v>-364.12090000000001</v>
      </c>
      <c r="H2281">
        <v>0.94160690000000002</v>
      </c>
      <c r="I2281">
        <v>284.93329999999997</v>
      </c>
      <c r="J2281">
        <v>-363.50869999999998</v>
      </c>
      <c r="K2281">
        <v>1.110033</v>
      </c>
      <c r="L2281">
        <v>284.77050000000003</v>
      </c>
      <c r="M2281">
        <v>-0.99966100000000002</v>
      </c>
      <c r="N2281">
        <v>0</v>
      </c>
      <c r="O2281">
        <v>2.290056E-2</v>
      </c>
      <c r="P2281">
        <v>-0.9991736</v>
      </c>
      <c r="Q2281">
        <v>2.2706879999999999E-2</v>
      </c>
      <c r="R2281">
        <v>3.3714790000000001E-2</v>
      </c>
      <c r="S2281">
        <v>-2.9963679999999999</v>
      </c>
      <c r="T2281">
        <v>-0.57583339999999905</v>
      </c>
      <c r="U2281">
        <v>0.57675169999999998</v>
      </c>
      <c r="V2281">
        <v>1.082178E-2</v>
      </c>
      <c r="W2281">
        <v>3.5093079999999999E-2</v>
      </c>
      <c r="X2281">
        <v>0.99932549999999998</v>
      </c>
      <c r="Y2281">
        <v>0.16398740000000001</v>
      </c>
      <c r="Z2281">
        <v>1.1156030000000001E-2</v>
      </c>
      <c r="AA2281">
        <v>0.98639940000000004</v>
      </c>
      <c r="AB2281">
        <v>28</v>
      </c>
      <c r="AC2281">
        <v>-0.61220000000002905</v>
      </c>
      <c r="AD2281">
        <v>-0.1684261</v>
      </c>
      <c r="AE2281">
        <v>0.16279999999994699</v>
      </c>
      <c r="AF2281">
        <v>0.13891650244098799</v>
      </c>
      <c r="AG2281">
        <v>-0.1684261</v>
      </c>
      <c r="AH2281">
        <v>0.57511320969037905</v>
      </c>
      <c r="AI2281">
        <v>105.890090644922</v>
      </c>
      <c r="AJ2281">
        <v>76.420521670291194</v>
      </c>
      <c r="AK2281">
        <v>0.61515880045075999</v>
      </c>
      <c r="AL2281">
        <v>87.988901786373702</v>
      </c>
      <c r="AM2281">
        <v>89.379563430270395</v>
      </c>
      <c r="AN2281">
        <v>1.00000004506825</v>
      </c>
    </row>
    <row r="2282" spans="1:40" x14ac:dyDescent="0.25">
      <c r="A2282" t="str">
        <f>"20190312160339195"</f>
        <v>20190312160339195</v>
      </c>
      <c r="B2282" t="str">
        <f>"1552377819186355"</f>
        <v>1552377819186355</v>
      </c>
      <c r="C2282" t="s">
        <v>40</v>
      </c>
      <c r="D2282">
        <v>4.6565519999999996</v>
      </c>
      <c r="E2282">
        <v>0.56315199999999999</v>
      </c>
      <c r="F2282" t="s">
        <v>49</v>
      </c>
      <c r="G2282">
        <v>-364.37360000000001</v>
      </c>
      <c r="H2282">
        <v>0.94327689999999997</v>
      </c>
      <c r="I2282">
        <v>284.93770000000001</v>
      </c>
      <c r="J2282">
        <v>-363.79070000000002</v>
      </c>
      <c r="K2282">
        <v>1.1100350000000001</v>
      </c>
      <c r="L2282">
        <v>284.77690000000001</v>
      </c>
      <c r="M2282">
        <v>-0.99966180000000004</v>
      </c>
      <c r="N2282">
        <v>0</v>
      </c>
      <c r="O2282">
        <v>2.2867720000000001E-2</v>
      </c>
      <c r="P2282">
        <v>-0.99918240000000003</v>
      </c>
      <c r="Q2282">
        <v>2.1958709999999999E-2</v>
      </c>
      <c r="R2282">
        <v>3.3951830000000002E-2</v>
      </c>
      <c r="S2282">
        <v>-2.9961549999999999</v>
      </c>
      <c r="T2282">
        <v>-0.57786649999999995</v>
      </c>
      <c r="U2282">
        <v>0.57778929999999995</v>
      </c>
      <c r="V2282">
        <v>1.1091470000000001E-2</v>
      </c>
      <c r="W2282">
        <v>3.434537E-2</v>
      </c>
      <c r="X2282">
        <v>0.99934849999999997</v>
      </c>
      <c r="Y2282">
        <v>0.16433780000000001</v>
      </c>
      <c r="Z2282">
        <v>1.1234539999999999E-2</v>
      </c>
      <c r="AA2282">
        <v>0.9863402</v>
      </c>
      <c r="AB2282">
        <v>28</v>
      </c>
      <c r="AC2282">
        <v>-0.58289999999999498</v>
      </c>
      <c r="AD2282">
        <v>-0.16675809999999999</v>
      </c>
      <c r="AE2282">
        <v>0.160799999999994</v>
      </c>
      <c r="AF2282">
        <v>0.13700712161672801</v>
      </c>
      <c r="AG2282">
        <v>-0.16675809999999999</v>
      </c>
      <c r="AH2282">
        <v>0.54497627244284796</v>
      </c>
      <c r="AI2282">
        <v>106.52864132898</v>
      </c>
      <c r="AJ2282">
        <v>75.888277245579303</v>
      </c>
      <c r="AK2282">
        <v>0.58615557048876699</v>
      </c>
      <c r="AL2282">
        <v>88.031768216773401</v>
      </c>
      <c r="AM2282">
        <v>89.364117394604705</v>
      </c>
      <c r="AN2282">
        <v>1.0000000247997201</v>
      </c>
    </row>
    <row r="2283" spans="1:40" x14ac:dyDescent="0.25">
      <c r="A2283" t="str">
        <f>"20190312160339215"</f>
        <v>20190312160339215</v>
      </c>
      <c r="B2283" t="str">
        <f>"1552377819206869"</f>
        <v>1552377819206869</v>
      </c>
      <c r="C2283" t="s">
        <v>40</v>
      </c>
      <c r="D2283">
        <v>4.80952</v>
      </c>
      <c r="E2283">
        <v>0.56331739999999997</v>
      </c>
      <c r="F2283" t="s">
        <v>49</v>
      </c>
      <c r="G2283">
        <v>-364.6277</v>
      </c>
      <c r="H2283">
        <v>0.9482564</v>
      </c>
      <c r="I2283">
        <v>284.93759999999997</v>
      </c>
      <c r="J2283">
        <v>-364.05259999999998</v>
      </c>
      <c r="K2283">
        <v>1.110034</v>
      </c>
      <c r="L2283">
        <v>284.78289999999998</v>
      </c>
      <c r="M2283">
        <v>-0.99966239999999995</v>
      </c>
      <c r="N2283">
        <v>0</v>
      </c>
      <c r="O2283">
        <v>2.283756E-2</v>
      </c>
      <c r="P2283">
        <v>-0.99918309999999999</v>
      </c>
      <c r="Q2283">
        <v>2.1854479999999999E-2</v>
      </c>
      <c r="R2283">
        <v>3.399568E-2</v>
      </c>
      <c r="S2283">
        <v>-2.9956670000000001</v>
      </c>
      <c r="T2283">
        <v>-0.57903059999999995</v>
      </c>
      <c r="U2283">
        <v>0.57443239999999995</v>
      </c>
      <c r="V2283">
        <v>1.116544E-2</v>
      </c>
      <c r="W2283">
        <v>3.4240529999999998E-2</v>
      </c>
      <c r="X2283">
        <v>0.99935130000000005</v>
      </c>
      <c r="Y2283">
        <v>0.16333729999999999</v>
      </c>
      <c r="Z2283">
        <v>1.117043E-2</v>
      </c>
      <c r="AA2283">
        <v>0.98650709999999997</v>
      </c>
      <c r="AB2283">
        <v>28</v>
      </c>
      <c r="AC2283">
        <v>-0.57510000000002004</v>
      </c>
      <c r="AD2283">
        <v>-0.16177759999999899</v>
      </c>
      <c r="AE2283">
        <v>0.15469999999999101</v>
      </c>
      <c r="AF2283">
        <v>0.13179903251365299</v>
      </c>
      <c r="AG2283">
        <v>-0.16177759999999899</v>
      </c>
      <c r="AH2283">
        <v>0.53872927285899097</v>
      </c>
      <c r="AI2283">
        <v>106.261562011801</v>
      </c>
      <c r="AJ2283">
        <v>76.252727601716401</v>
      </c>
      <c r="AK2283">
        <v>0.57773021927926904</v>
      </c>
      <c r="AL2283">
        <v>88.037778692531901</v>
      </c>
      <c r="AM2283">
        <v>89.359878782015102</v>
      </c>
      <c r="AN2283">
        <v>1.00000005087838</v>
      </c>
    </row>
    <row r="2284" spans="1:40" x14ac:dyDescent="0.25">
      <c r="A2284" t="str">
        <f>"20190312160339238"</f>
        <v>20190312160339238</v>
      </c>
      <c r="B2284" t="str">
        <f>"1552377819226371"</f>
        <v>1552377819226371</v>
      </c>
      <c r="C2284" t="s">
        <v>40</v>
      </c>
      <c r="D2284">
        <v>4.7299170000000004</v>
      </c>
      <c r="E2284">
        <v>0.56341219999999903</v>
      </c>
      <c r="F2284" t="s">
        <v>49</v>
      </c>
      <c r="G2284">
        <v>-364.87990000000002</v>
      </c>
      <c r="H2284">
        <v>0.94903800000000005</v>
      </c>
      <c r="I2284">
        <v>284.94229999999999</v>
      </c>
      <c r="J2284">
        <v>-364.32909999999998</v>
      </c>
      <c r="K2284">
        <v>1.110031</v>
      </c>
      <c r="L2284">
        <v>284.78919999999999</v>
      </c>
      <c r="M2284">
        <v>-0.99966319999999997</v>
      </c>
      <c r="N2284">
        <v>0</v>
      </c>
      <c r="O2284">
        <v>2.2805260000000001E-2</v>
      </c>
      <c r="P2284">
        <v>-0.99917429999999996</v>
      </c>
      <c r="Q2284">
        <v>2.23988E-2</v>
      </c>
      <c r="R2284">
        <v>3.3899279999999997E-2</v>
      </c>
      <c r="S2284">
        <v>-2.9956360000000002</v>
      </c>
      <c r="T2284">
        <v>-0.58304940000000005</v>
      </c>
      <c r="U2284">
        <v>0.57559199999999999</v>
      </c>
      <c r="V2284">
        <v>1.1101430000000001E-2</v>
      </c>
      <c r="W2284">
        <v>3.4784750000000003E-2</v>
      </c>
      <c r="X2284">
        <v>0.99933309999999997</v>
      </c>
      <c r="Y2284">
        <v>0.16369779999999901</v>
      </c>
      <c r="Z2284">
        <v>1.1286910000000001E-2</v>
      </c>
      <c r="AA2284">
        <v>0.98644600000000005</v>
      </c>
      <c r="AB2284">
        <v>28</v>
      </c>
      <c r="AC2284">
        <v>-0.55080000000003704</v>
      </c>
      <c r="AD2284">
        <v>-0.160993</v>
      </c>
      <c r="AE2284">
        <v>0.15309999999999399</v>
      </c>
      <c r="AF2284">
        <v>0.13017448246682201</v>
      </c>
      <c r="AG2284">
        <v>-0.160993</v>
      </c>
      <c r="AH2284">
        <v>0.51343046169608497</v>
      </c>
      <c r="AI2284">
        <v>106.90646151292501</v>
      </c>
      <c r="AJ2284">
        <v>75.773091017715899</v>
      </c>
      <c r="AK2284">
        <v>0.55360182526068302</v>
      </c>
      <c r="AL2284">
        <v>88.006578361767595</v>
      </c>
      <c r="AM2284">
        <v>89.363536619886005</v>
      </c>
      <c r="AN2284">
        <v>0.99999993266810605</v>
      </c>
    </row>
    <row r="2285" spans="1:40" x14ac:dyDescent="0.25">
      <c r="A2285" t="str">
        <f>"20190312160339248"</f>
        <v>20190312160339248</v>
      </c>
      <c r="B2285" t="str">
        <f>"1552377819237107"</f>
        <v>1552377819237107</v>
      </c>
      <c r="C2285" t="s">
        <v>40</v>
      </c>
      <c r="D2285">
        <v>4.6792740000000004</v>
      </c>
      <c r="E2285">
        <v>0.56349649999999996</v>
      </c>
      <c r="F2285" t="s">
        <v>49</v>
      </c>
      <c r="G2285">
        <v>-365.13330000000002</v>
      </c>
      <c r="H2285">
        <v>0.95261169999999995</v>
      </c>
      <c r="I2285">
        <v>284.94409999999999</v>
      </c>
      <c r="J2285">
        <v>-364.47160000000002</v>
      </c>
      <c r="K2285">
        <v>1.1100300000000001</v>
      </c>
      <c r="L2285">
        <v>284.79239999999999</v>
      </c>
      <c r="M2285">
        <v>-0.99966350000000004</v>
      </c>
      <c r="N2285">
        <v>0</v>
      </c>
      <c r="O2285">
        <v>2.2788929999999999E-2</v>
      </c>
      <c r="P2285">
        <v>-0.9991738</v>
      </c>
      <c r="Q2285">
        <v>2.2549309999999999E-2</v>
      </c>
      <c r="R2285">
        <v>3.3812620000000002E-2</v>
      </c>
      <c r="S2285">
        <v>-2.9960330000000002</v>
      </c>
      <c r="T2285">
        <v>-0.58650789999999997</v>
      </c>
      <c r="U2285">
        <v>0.57632450000000002</v>
      </c>
      <c r="V2285">
        <v>1.103107E-2</v>
      </c>
      <c r="W2285">
        <v>3.4935340000000002E-2</v>
      </c>
      <c r="X2285">
        <v>0.99932869999999996</v>
      </c>
      <c r="Y2285">
        <v>0.16388920000000001</v>
      </c>
      <c r="Z2285">
        <v>1.1372480000000001E-2</v>
      </c>
      <c r="AA2285">
        <v>0.98641319999999999</v>
      </c>
      <c r="AB2285">
        <v>28</v>
      </c>
      <c r="AC2285">
        <v>-0.66169999999999596</v>
      </c>
      <c r="AD2285">
        <v>-0.15741829999999901</v>
      </c>
      <c r="AE2285">
        <v>0.151700000000005</v>
      </c>
      <c r="AF2285">
        <v>0.12961080583242399</v>
      </c>
      <c r="AG2285">
        <v>-0.15741829999999901</v>
      </c>
      <c r="AH2285">
        <v>0.63105359897394797</v>
      </c>
      <c r="AI2285">
        <v>103.73129534314999</v>
      </c>
      <c r="AJ2285">
        <v>78.393543890720295</v>
      </c>
      <c r="AK2285">
        <v>0.66318031254055798</v>
      </c>
      <c r="AL2285">
        <v>87.997945090388299</v>
      </c>
      <c r="AM2285">
        <v>89.367567362272496</v>
      </c>
      <c r="AN2285">
        <v>1.0000000065649699</v>
      </c>
    </row>
    <row r="2286" spans="1:40" x14ac:dyDescent="0.25">
      <c r="A2286" t="str">
        <f>"20190312160339260"</f>
        <v>20190312160339260</v>
      </c>
      <c r="B2286" t="str">
        <f>"1552377819246867"</f>
        <v>1552377819246867</v>
      </c>
      <c r="C2286" t="s">
        <v>40</v>
      </c>
      <c r="D2286">
        <v>4.7435019999999897</v>
      </c>
      <c r="E2286">
        <v>0.56378530000000004</v>
      </c>
      <c r="F2286" t="s">
        <v>49</v>
      </c>
      <c r="G2286">
        <v>-365.37599999999998</v>
      </c>
      <c r="H2286">
        <v>0.93259179999999997</v>
      </c>
      <c r="I2286">
        <v>284.96660000000003</v>
      </c>
      <c r="J2286">
        <v>-364.62090000000001</v>
      </c>
      <c r="K2286">
        <v>1.1100289999999999</v>
      </c>
      <c r="L2286">
        <v>284.79579999999999</v>
      </c>
      <c r="M2286">
        <v>-0.999664</v>
      </c>
      <c r="N2286">
        <v>0</v>
      </c>
      <c r="O2286">
        <v>2.2771590000000001E-2</v>
      </c>
      <c r="P2286">
        <v>-0.99917009999999995</v>
      </c>
      <c r="Q2286">
        <v>2.260825E-2</v>
      </c>
      <c r="R2286">
        <v>3.3887E-2</v>
      </c>
      <c r="S2286">
        <v>-2.9962460000000002</v>
      </c>
      <c r="T2286">
        <v>-0.58793329999999999</v>
      </c>
      <c r="U2286">
        <v>0.576690699999999</v>
      </c>
      <c r="V2286">
        <v>1.1123009999999999E-2</v>
      </c>
      <c r="W2286">
        <v>3.4993950000000003E-2</v>
      </c>
      <c r="X2286">
        <v>0.99932560000000004</v>
      </c>
      <c r="Y2286">
        <v>0.16399530000000001</v>
      </c>
      <c r="Z2286">
        <v>1.141226E-2</v>
      </c>
      <c r="AA2286">
        <v>0.98639509999999997</v>
      </c>
      <c r="AB2286">
        <v>28</v>
      </c>
      <c r="AC2286">
        <v>-0.75509999999997002</v>
      </c>
      <c r="AD2286">
        <v>-0.17743719999999999</v>
      </c>
      <c r="AE2286">
        <v>0.170800000000042</v>
      </c>
      <c r="AF2286">
        <v>0.14589561808665999</v>
      </c>
      <c r="AG2286">
        <v>-0.17743719999999999</v>
      </c>
      <c r="AH2286">
        <v>0.72092352966400697</v>
      </c>
      <c r="AI2286">
        <v>103.562596782387</v>
      </c>
      <c r="AJ2286">
        <v>78.559381579052697</v>
      </c>
      <c r="AK2286">
        <v>0.75663744748983897</v>
      </c>
      <c r="AL2286">
        <v>87.994584869587399</v>
      </c>
      <c r="AM2286">
        <v>89.362294719208705</v>
      </c>
      <c r="AN2286">
        <v>0.99999997635171101</v>
      </c>
    </row>
    <row r="2287" spans="1:40" x14ac:dyDescent="0.25">
      <c r="A2287" t="str">
        <f>"20190312160339272"</f>
        <v>20190312160339272</v>
      </c>
      <c r="B2287" t="str">
        <f>"1552377819267364"</f>
        <v>1552377819267364</v>
      </c>
      <c r="C2287" t="s">
        <v>40</v>
      </c>
      <c r="D2287">
        <v>4.8041419999999997</v>
      </c>
      <c r="E2287">
        <v>0.56447769999999897</v>
      </c>
      <c r="F2287" t="s">
        <v>49</v>
      </c>
      <c r="G2287">
        <v>-365.38799999999998</v>
      </c>
      <c r="H2287">
        <v>0.95896230000000005</v>
      </c>
      <c r="I2287">
        <v>284.94420000000002</v>
      </c>
      <c r="J2287">
        <v>-364.75599999999997</v>
      </c>
      <c r="K2287">
        <v>1.110028</v>
      </c>
      <c r="L2287">
        <v>284.7989</v>
      </c>
      <c r="M2287">
        <v>-0.9996642</v>
      </c>
      <c r="N2287">
        <v>0</v>
      </c>
      <c r="O2287">
        <v>2.2756269999999999E-2</v>
      </c>
      <c r="P2287">
        <v>-0.99917310000000004</v>
      </c>
      <c r="Q2287">
        <v>2.2610789999999999E-2</v>
      </c>
      <c r="R2287">
        <v>3.3790250000000001E-2</v>
      </c>
      <c r="S2287">
        <v>-2.9962460000000002</v>
      </c>
      <c r="T2287">
        <v>-0.59015479999999998</v>
      </c>
      <c r="U2287">
        <v>0.57922359999999995</v>
      </c>
      <c r="V2287">
        <v>1.104139E-2</v>
      </c>
      <c r="W2287">
        <v>3.4996340000000001E-2</v>
      </c>
      <c r="X2287">
        <v>0.99932650000000001</v>
      </c>
      <c r="Y2287">
        <v>0.1647805</v>
      </c>
      <c r="Z2287">
        <v>1.1532590000000001E-2</v>
      </c>
      <c r="AA2287">
        <v>0.98626290000000005</v>
      </c>
      <c r="AB2287">
        <v>28</v>
      </c>
      <c r="AC2287">
        <v>-0.63200000000006096</v>
      </c>
      <c r="AD2287">
        <v>-0.1510657</v>
      </c>
      <c r="AE2287">
        <v>0.14530000000002</v>
      </c>
      <c r="AF2287">
        <v>0.12414256933559201</v>
      </c>
      <c r="AG2287">
        <v>-0.1510657</v>
      </c>
      <c r="AH2287">
        <v>0.60245042971455498</v>
      </c>
      <c r="AI2287">
        <v>103.798302332421</v>
      </c>
      <c r="AJ2287">
        <v>78.356452759761694</v>
      </c>
      <c r="AK2287">
        <v>0.63338672507480298</v>
      </c>
      <c r="AL2287">
        <v>87.994448006248902</v>
      </c>
      <c r="AM2287">
        <v>89.366974351303</v>
      </c>
      <c r="AN2287">
        <v>1.0000000548543799</v>
      </c>
    </row>
    <row r="2288" spans="1:40" x14ac:dyDescent="0.25">
      <c r="A2288" t="str">
        <f>"20190312160339283"</f>
        <v>20190312160339283</v>
      </c>
      <c r="B2288" t="str">
        <f>"1552377819276655"</f>
        <v>1552377819276655</v>
      </c>
      <c r="C2288" t="s">
        <v>40</v>
      </c>
      <c r="D2288">
        <v>4.9514839999999998</v>
      </c>
      <c r="E2288">
        <v>0.56500329999999999</v>
      </c>
      <c r="F2288" t="s">
        <v>49</v>
      </c>
      <c r="G2288">
        <v>-365.62920000000003</v>
      </c>
      <c r="H2288">
        <v>0.93628060000000002</v>
      </c>
      <c r="I2288">
        <v>284.9692</v>
      </c>
      <c r="J2288">
        <v>-364.90449999999998</v>
      </c>
      <c r="K2288">
        <v>1.110028</v>
      </c>
      <c r="L2288">
        <v>284.80220000000003</v>
      </c>
      <c r="M2288">
        <v>-0.99966469999999996</v>
      </c>
      <c r="N2288">
        <v>0</v>
      </c>
      <c r="O2288">
        <v>2.2739280000000001E-2</v>
      </c>
      <c r="P2288">
        <v>-0.99917270000000002</v>
      </c>
      <c r="Q2288">
        <v>2.2581460000000001E-2</v>
      </c>
      <c r="R2288">
        <v>3.3826830000000002E-2</v>
      </c>
      <c r="S2288">
        <v>-2.9962460000000002</v>
      </c>
      <c r="T2288">
        <v>-0.59624960000000005</v>
      </c>
      <c r="U2288">
        <v>0.58386229999999995</v>
      </c>
      <c r="V2288">
        <v>1.109514E-2</v>
      </c>
      <c r="W2288">
        <v>3.4966799999999999E-2</v>
      </c>
      <c r="X2288">
        <v>0.99932690000000002</v>
      </c>
      <c r="Y2288">
        <v>0.16618859999999999</v>
      </c>
      <c r="Z2288">
        <v>1.178863E-2</v>
      </c>
      <c r="AA2288">
        <v>0.98602350000000005</v>
      </c>
      <c r="AB2288">
        <v>28</v>
      </c>
      <c r="AC2288">
        <v>-0.72470000000004098</v>
      </c>
      <c r="AD2288">
        <v>-0.1737474</v>
      </c>
      <c r="AE2288">
        <v>0.166999999999973</v>
      </c>
      <c r="AF2288">
        <v>0.14268818605364</v>
      </c>
      <c r="AG2288">
        <v>-0.1737474</v>
      </c>
      <c r="AH2288">
        <v>0.69061518296033997</v>
      </c>
      <c r="AI2288">
        <v>103.840855314178</v>
      </c>
      <c r="AJ2288">
        <v>78.326361403480902</v>
      </c>
      <c r="AK2288">
        <v>0.72629016817067105</v>
      </c>
      <c r="AL2288">
        <v>87.9961414824173</v>
      </c>
      <c r="AM2288">
        <v>89.363893260201095</v>
      </c>
      <c r="AN2288">
        <v>1.0000000161487299</v>
      </c>
    </row>
    <row r="2289" spans="1:40" x14ac:dyDescent="0.25">
      <c r="A2289" t="str">
        <f>"20190312160339294"</f>
        <v>20190312160339294</v>
      </c>
      <c r="B2289" t="str">
        <f>"1552377819286414"</f>
        <v>1552377819286414</v>
      </c>
      <c r="C2289" t="s">
        <v>40</v>
      </c>
      <c r="D2289">
        <v>4.7038120000000001</v>
      </c>
      <c r="E2289">
        <v>0.56500450000000002</v>
      </c>
      <c r="F2289" t="s">
        <v>49</v>
      </c>
      <c r="G2289">
        <v>-365.64139999999998</v>
      </c>
      <c r="H2289">
        <v>0.96261249999999998</v>
      </c>
      <c r="I2289">
        <v>284.947</v>
      </c>
      <c r="J2289">
        <v>-365.04230000000001</v>
      </c>
      <c r="K2289">
        <v>1.1100270000000001</v>
      </c>
      <c r="L2289">
        <v>284.80529999999999</v>
      </c>
      <c r="M2289">
        <v>-0.99966509999999997</v>
      </c>
      <c r="N2289">
        <v>0</v>
      </c>
      <c r="O2289">
        <v>2.2723429999999999E-2</v>
      </c>
      <c r="P2289">
        <v>-0.99916990000000006</v>
      </c>
      <c r="Q2289">
        <v>2.2437450000000001E-2</v>
      </c>
      <c r="R2289">
        <v>3.4007130000000003E-2</v>
      </c>
      <c r="S2289">
        <v>-2.9961850000000001</v>
      </c>
      <c r="T2289">
        <v>-0.59940649999999995</v>
      </c>
      <c r="U2289">
        <v>0.587677</v>
      </c>
      <c r="V2289">
        <v>1.129133E-2</v>
      </c>
      <c r="W2289">
        <v>3.4822869999999999E-2</v>
      </c>
      <c r="X2289">
        <v>0.99932969999999999</v>
      </c>
      <c r="Y2289">
        <v>0.1673665</v>
      </c>
      <c r="Z2289">
        <v>1.1967429999999999E-2</v>
      </c>
      <c r="AA2289">
        <v>0.98582210000000003</v>
      </c>
      <c r="AB2289">
        <v>28</v>
      </c>
      <c r="AC2289">
        <v>-0.59909999999996399</v>
      </c>
      <c r="AD2289">
        <v>-0.1474145</v>
      </c>
      <c r="AE2289">
        <v>0.14170000000001401</v>
      </c>
      <c r="AF2289">
        <v>0.12110486069071701</v>
      </c>
      <c r="AG2289">
        <v>-0.1474145</v>
      </c>
      <c r="AH2289">
        <v>0.56951089851617398</v>
      </c>
      <c r="AI2289">
        <v>104.207759664574</v>
      </c>
      <c r="AJ2289">
        <v>77.995034970670801</v>
      </c>
      <c r="AK2289">
        <v>0.600616421372134</v>
      </c>
      <c r="AL2289">
        <v>88.004393032663401</v>
      </c>
      <c r="AM2289">
        <v>89.352648054609205</v>
      </c>
      <c r="AN2289">
        <v>0.99999998785514699</v>
      </c>
    </row>
    <row r="2290" spans="1:40" x14ac:dyDescent="0.25">
      <c r="A2290" t="str">
        <f>"20190312160339305"</f>
        <v>20190312160339305</v>
      </c>
      <c r="B2290" t="str">
        <f>"1552377819297150"</f>
        <v>1552377819297150</v>
      </c>
      <c r="C2290" t="s">
        <v>40</v>
      </c>
      <c r="D2290">
        <v>4.9644180000000002</v>
      </c>
      <c r="E2290">
        <v>0.56479939999999995</v>
      </c>
      <c r="F2290" t="s">
        <v>49</v>
      </c>
      <c r="G2290">
        <v>-365.88319999999999</v>
      </c>
      <c r="H2290">
        <v>0.94158269999999999</v>
      </c>
      <c r="I2290">
        <v>284.97070000000002</v>
      </c>
      <c r="J2290">
        <v>-365.1884</v>
      </c>
      <c r="K2290">
        <v>1.110031</v>
      </c>
      <c r="L2290">
        <v>284.80860000000001</v>
      </c>
      <c r="M2290">
        <v>-0.99966549999999998</v>
      </c>
      <c r="N2290">
        <v>0</v>
      </c>
      <c r="O2290">
        <v>2.2706090000000002E-2</v>
      </c>
      <c r="P2290">
        <v>-0.99916579999999999</v>
      </c>
      <c r="Q2290">
        <v>2.245685E-2</v>
      </c>
      <c r="R2290">
        <v>3.4107909999999998E-2</v>
      </c>
      <c r="S2290">
        <v>-2.995911</v>
      </c>
      <c r="T2290">
        <v>-0.60020879999999999</v>
      </c>
      <c r="U2290">
        <v>0.58819580000000005</v>
      </c>
      <c r="V2290">
        <v>1.1409269999999999E-2</v>
      </c>
      <c r="W2290">
        <v>3.4841940000000002E-2</v>
      </c>
      <c r="X2290">
        <v>0.99932770000000004</v>
      </c>
      <c r="Y2290">
        <v>0.16755339999999999</v>
      </c>
      <c r="Z2290">
        <v>1.2005790000000001E-2</v>
      </c>
      <c r="AA2290">
        <v>0.9857899</v>
      </c>
      <c r="AB2290">
        <v>28</v>
      </c>
      <c r="AC2290">
        <v>-0.69479999999998598</v>
      </c>
      <c r="AD2290">
        <v>-0.1684483</v>
      </c>
      <c r="AE2290">
        <v>0.16210000000000899</v>
      </c>
      <c r="AF2290">
        <v>0.13855711977185101</v>
      </c>
      <c r="AG2290">
        <v>-0.1684483</v>
      </c>
      <c r="AH2290">
        <v>0.66143118630907505</v>
      </c>
      <c r="AI2290">
        <v>103.996444038752</v>
      </c>
      <c r="AJ2290">
        <v>78.168716531216205</v>
      </c>
      <c r="AK2290">
        <v>0.69646544740898098</v>
      </c>
      <c r="AL2290">
        <v>88.003299747179895</v>
      </c>
      <c r="AM2290">
        <v>89.345885621022205</v>
      </c>
      <c r="AN2290">
        <v>0.99999999210609303</v>
      </c>
    </row>
    <row r="2291" spans="1:40" x14ac:dyDescent="0.25">
      <c r="A2291" t="str">
        <f>"20190312160339316"</f>
        <v>20190312160339316</v>
      </c>
      <c r="B2291" t="str">
        <f>"1552377819306910"</f>
        <v>1552377819306910</v>
      </c>
      <c r="C2291" t="s">
        <v>40</v>
      </c>
      <c r="D2291">
        <v>4.7520480000000003</v>
      </c>
      <c r="E2291">
        <v>0.56461070000000002</v>
      </c>
      <c r="F2291" t="s">
        <v>49</v>
      </c>
      <c r="G2291">
        <v>-365.89589999999998</v>
      </c>
      <c r="H2291">
        <v>0.9687711</v>
      </c>
      <c r="I2291">
        <v>284.94760000000002</v>
      </c>
      <c r="J2291">
        <v>-365.3254</v>
      </c>
      <c r="K2291">
        <v>1.1100300000000001</v>
      </c>
      <c r="L2291">
        <v>284.81169999999997</v>
      </c>
      <c r="M2291">
        <v>-0.99966569999999999</v>
      </c>
      <c r="N2291">
        <v>0</v>
      </c>
      <c r="O2291">
        <v>2.2690410000000001E-2</v>
      </c>
      <c r="P2291">
        <v>-0.99916859999999996</v>
      </c>
      <c r="Q2291">
        <v>2.2423289999999999E-2</v>
      </c>
      <c r="R2291">
        <v>3.4048139999999998E-2</v>
      </c>
      <c r="S2291">
        <v>-2.995911</v>
      </c>
      <c r="T2291">
        <v>-0.59833590000000003</v>
      </c>
      <c r="U2291">
        <v>0.58709719999999999</v>
      </c>
      <c r="V2291">
        <v>1.136531E-2</v>
      </c>
      <c r="W2291">
        <v>3.4808579999999999E-2</v>
      </c>
      <c r="X2291">
        <v>0.99932940000000003</v>
      </c>
      <c r="Y2291">
        <v>0.16724320000000001</v>
      </c>
      <c r="Z2291">
        <v>1.1942110000000001E-2</v>
      </c>
      <c r="AA2291">
        <v>0.98584340000000004</v>
      </c>
      <c r="AB2291">
        <v>28</v>
      </c>
      <c r="AC2291">
        <v>-0.57049999999998102</v>
      </c>
      <c r="AD2291">
        <v>-0.14125889999999899</v>
      </c>
      <c r="AE2291">
        <v>0.13590000000004901</v>
      </c>
      <c r="AF2291">
        <v>0.11617886284097299</v>
      </c>
      <c r="AG2291">
        <v>-0.14125889999999899</v>
      </c>
      <c r="AH2291">
        <v>0.54199254938844599</v>
      </c>
      <c r="AI2291">
        <v>104.29693879851099</v>
      </c>
      <c r="AJ2291">
        <v>77.901442435785398</v>
      </c>
      <c r="AK2291">
        <v>0.57202056658202305</v>
      </c>
      <c r="AL2291">
        <v>88.005212367363399</v>
      </c>
      <c r="AM2291">
        <v>89.348406819102706</v>
      </c>
      <c r="AN2291">
        <v>1.0000000286086801</v>
      </c>
    </row>
    <row r="2292" spans="1:40" x14ac:dyDescent="0.25">
      <c r="A2292" t="str">
        <f>"20190312160339330"</f>
        <v>20190312160339330</v>
      </c>
      <c r="B2292" t="str">
        <f>"1552377819316671"</f>
        <v>1552377819316671</v>
      </c>
      <c r="C2292" t="s">
        <v>40</v>
      </c>
      <c r="D2292">
        <v>4.7728510000000002</v>
      </c>
      <c r="E2292">
        <v>0.56475679999999995</v>
      </c>
      <c r="F2292" t="s">
        <v>49</v>
      </c>
      <c r="G2292">
        <v>-366.13780000000003</v>
      </c>
      <c r="H2292">
        <v>0.94825009999999998</v>
      </c>
      <c r="I2292">
        <v>284.97050000000002</v>
      </c>
      <c r="J2292">
        <v>-365.48500000000001</v>
      </c>
      <c r="K2292">
        <v>1.1100300000000001</v>
      </c>
      <c r="L2292">
        <v>284.81529999999998</v>
      </c>
      <c r="M2292">
        <v>-0.99966619999999995</v>
      </c>
      <c r="N2292">
        <v>0</v>
      </c>
      <c r="O2292">
        <v>2.2671759999999999E-2</v>
      </c>
      <c r="P2292">
        <v>-0.99917650000000002</v>
      </c>
      <c r="Q2292">
        <v>2.2287939999999999E-2</v>
      </c>
      <c r="R2292">
        <v>3.3908779999999999E-2</v>
      </c>
      <c r="S2292">
        <v>-2.9959720000000001</v>
      </c>
      <c r="T2292">
        <v>-0.59670190000000001</v>
      </c>
      <c r="U2292">
        <v>0.58551030000000004</v>
      </c>
      <c r="V2292">
        <v>1.124446E-2</v>
      </c>
      <c r="W2292">
        <v>3.4672769999999999E-2</v>
      </c>
      <c r="X2292">
        <v>0.99933550000000004</v>
      </c>
      <c r="Y2292">
        <v>0.16677790000000001</v>
      </c>
      <c r="Z2292">
        <v>1.186862E-2</v>
      </c>
      <c r="AA2292">
        <v>0.98592310000000005</v>
      </c>
      <c r="AB2292">
        <v>28</v>
      </c>
      <c r="AC2292">
        <v>-0.65280000000001304</v>
      </c>
      <c r="AD2292">
        <v>-0.16177989999999901</v>
      </c>
      <c r="AE2292">
        <v>0.155200000000036</v>
      </c>
      <c r="AF2292">
        <v>0.132647849741867</v>
      </c>
      <c r="AG2292">
        <v>-0.16177989999999901</v>
      </c>
      <c r="AH2292">
        <v>0.62010367838580804</v>
      </c>
      <c r="AI2292">
        <v>104.31200884113601</v>
      </c>
      <c r="AJ2292">
        <v>77.925696220103902</v>
      </c>
      <c r="AK2292">
        <v>0.65444385552372697</v>
      </c>
      <c r="AL2292">
        <v>88.012998429984194</v>
      </c>
      <c r="AM2292">
        <v>89.355338708685906</v>
      </c>
      <c r="AN2292">
        <v>1.0000000402102001</v>
      </c>
    </row>
    <row r="2293" spans="1:40" x14ac:dyDescent="0.25">
      <c r="A2293" t="str">
        <f>"20190312160339343"</f>
        <v>20190312160339343</v>
      </c>
      <c r="B2293" t="str">
        <f>"1552377819337166"</f>
        <v>1552377819337166</v>
      </c>
      <c r="C2293" t="s">
        <v>40</v>
      </c>
      <c r="D2293">
        <v>4.751449</v>
      </c>
      <c r="E2293">
        <v>0.56506540000000005</v>
      </c>
      <c r="F2293" t="s">
        <v>49</v>
      </c>
      <c r="G2293">
        <v>-366.38170000000002</v>
      </c>
      <c r="H2293">
        <v>0.93095419999999995</v>
      </c>
      <c r="I2293">
        <v>284.99119999999999</v>
      </c>
      <c r="J2293">
        <v>-365.65370000000001</v>
      </c>
      <c r="K2293">
        <v>1.110034</v>
      </c>
      <c r="L2293">
        <v>284.81920000000002</v>
      </c>
      <c r="M2293">
        <v>-0.99966670000000002</v>
      </c>
      <c r="N2293">
        <v>0</v>
      </c>
      <c r="O2293">
        <v>2.2652269999999999E-2</v>
      </c>
      <c r="P2293">
        <v>-0.99918030000000002</v>
      </c>
      <c r="Q2293">
        <v>2.2475330000000002E-2</v>
      </c>
      <c r="R2293">
        <v>3.3674299999999997E-2</v>
      </c>
      <c r="S2293">
        <v>-2.9959410000000002</v>
      </c>
      <c r="T2293">
        <v>-0.59840819999999995</v>
      </c>
      <c r="U2293">
        <v>0.58648679999999997</v>
      </c>
      <c r="V2293">
        <v>1.102943E-2</v>
      </c>
      <c r="W2293">
        <v>3.4860049999999997E-2</v>
      </c>
      <c r="X2293">
        <v>0.99933139999999998</v>
      </c>
      <c r="Y2293">
        <v>0.16708700000000001</v>
      </c>
      <c r="Z2293">
        <v>1.193579E-2</v>
      </c>
      <c r="AA2293">
        <v>0.98586989999999997</v>
      </c>
      <c r="AB2293">
        <v>28</v>
      </c>
      <c r="AC2293">
        <v>-0.72800000000000797</v>
      </c>
      <c r="AD2293">
        <v>-0.17907979999999901</v>
      </c>
      <c r="AE2293">
        <v>0.17199999999996801</v>
      </c>
      <c r="AF2293">
        <v>0.14703686620508299</v>
      </c>
      <c r="AG2293">
        <v>-0.17907979999999901</v>
      </c>
      <c r="AH2293">
        <v>0.69204751004126497</v>
      </c>
      <c r="AI2293">
        <v>104.20425964197</v>
      </c>
      <c r="AJ2293">
        <v>78.004940835468503</v>
      </c>
      <c r="AK2293">
        <v>0.72980762598493398</v>
      </c>
      <c r="AL2293">
        <v>88.002261624012206</v>
      </c>
      <c r="AM2293">
        <v>89.367663087335799</v>
      </c>
      <c r="AN2293">
        <v>1.0000000592190399</v>
      </c>
    </row>
    <row r="2294" spans="1:40" x14ac:dyDescent="0.25">
      <c r="A2294" t="str">
        <f>"20190312160339362"</f>
        <v>20190312160339362</v>
      </c>
      <c r="B2294" t="str">
        <f>"1552377819356687"</f>
        <v>1552377819356687</v>
      </c>
      <c r="C2294" t="s">
        <v>40</v>
      </c>
      <c r="D2294">
        <v>4.7469970000000004</v>
      </c>
      <c r="E2294">
        <v>0.56517229999999996</v>
      </c>
      <c r="F2294" t="s">
        <v>49</v>
      </c>
      <c r="G2294">
        <v>-366.39530000000002</v>
      </c>
      <c r="H2294">
        <v>0.96121049999999997</v>
      </c>
      <c r="I2294">
        <v>284.96510000000001</v>
      </c>
      <c r="J2294">
        <v>-365.89069999999998</v>
      </c>
      <c r="K2294">
        <v>1.110039</v>
      </c>
      <c r="L2294">
        <v>284.8245</v>
      </c>
      <c r="M2294">
        <v>-0.99966730000000004</v>
      </c>
      <c r="N2294">
        <v>0</v>
      </c>
      <c r="O2294">
        <v>2.2624789999999999E-2</v>
      </c>
      <c r="P2294">
        <v>-0.9991719</v>
      </c>
      <c r="Q2294">
        <v>2.2813110000000001E-2</v>
      </c>
      <c r="R2294">
        <v>3.3691529999999997E-2</v>
      </c>
      <c r="S2294">
        <v>-2.996124</v>
      </c>
      <c r="T2294">
        <v>-0.60129580000000005</v>
      </c>
      <c r="U2294">
        <v>0.58819580000000005</v>
      </c>
      <c r="V2294">
        <v>1.1074199999999999E-2</v>
      </c>
      <c r="W2294">
        <v>3.5197440000000003E-2</v>
      </c>
      <c r="X2294">
        <v>0.99931899999999996</v>
      </c>
      <c r="Y2294">
        <v>0.16760810000000001</v>
      </c>
      <c r="Z2294">
        <v>1.204766E-2</v>
      </c>
      <c r="AA2294">
        <v>0.98578010000000005</v>
      </c>
      <c r="AB2294">
        <v>28</v>
      </c>
      <c r="AC2294">
        <v>-0.50460000000003902</v>
      </c>
      <c r="AD2294">
        <v>-0.1488285</v>
      </c>
      <c r="AE2294">
        <v>0.140600000000006</v>
      </c>
      <c r="AF2294">
        <v>0.119500089785092</v>
      </c>
      <c r="AG2294">
        <v>-0.1488285</v>
      </c>
      <c r="AH2294">
        <v>0.469733187712428</v>
      </c>
      <c r="AI2294">
        <v>107.06940738583801</v>
      </c>
      <c r="AJ2294">
        <v>75.726735142272204</v>
      </c>
      <c r="AK2294">
        <v>0.50703004004632202</v>
      </c>
      <c r="AL2294">
        <v>87.982918572988595</v>
      </c>
      <c r="AM2294">
        <v>89.365088675472606</v>
      </c>
      <c r="AN2294">
        <v>0.99999998072459595</v>
      </c>
    </row>
    <row r="2295" spans="1:40" x14ac:dyDescent="0.25">
      <c r="A2295" t="str">
        <f>"20190312160339384"</f>
        <v>20190312160339384</v>
      </c>
      <c r="B2295" t="str">
        <f>"1552377819376713"</f>
        <v>1552377819376713</v>
      </c>
      <c r="C2295" t="s">
        <v>40</v>
      </c>
      <c r="D2295">
        <v>4.7612709999999998</v>
      </c>
      <c r="E2295">
        <v>0.56514069999999905</v>
      </c>
      <c r="F2295" t="s">
        <v>49</v>
      </c>
      <c r="G2295">
        <v>-366.6454</v>
      </c>
      <c r="H2295">
        <v>0.95830930000000003</v>
      </c>
      <c r="I2295">
        <v>284.97300000000001</v>
      </c>
      <c r="J2295">
        <v>-366.17</v>
      </c>
      <c r="K2295">
        <v>1.110039</v>
      </c>
      <c r="L2295">
        <v>284.83069999999998</v>
      </c>
      <c r="M2295">
        <v>-0.999668</v>
      </c>
      <c r="N2295">
        <v>0</v>
      </c>
      <c r="O2295">
        <v>2.2592609999999999E-2</v>
      </c>
      <c r="P2295">
        <v>-0.99916700000000003</v>
      </c>
      <c r="Q2295">
        <v>2.330931E-2</v>
      </c>
      <c r="R2295">
        <v>3.349423E-2</v>
      </c>
      <c r="S2295">
        <v>-2.9963679999999999</v>
      </c>
      <c r="T2295">
        <v>-0.60235430000000001</v>
      </c>
      <c r="U2295">
        <v>0.5892944</v>
      </c>
      <c r="V2295">
        <v>1.090927E-2</v>
      </c>
      <c r="W2295">
        <v>3.5693040000000002E-2</v>
      </c>
      <c r="X2295">
        <v>0.99930330000000001</v>
      </c>
      <c r="Y2295">
        <v>0.167956299999999</v>
      </c>
      <c r="Z2295">
        <v>1.210779E-2</v>
      </c>
      <c r="AA2295">
        <v>0.98572009999999999</v>
      </c>
      <c r="AB2295">
        <v>28</v>
      </c>
      <c r="AC2295">
        <v>-0.47539999999997901</v>
      </c>
      <c r="AD2295">
        <v>-0.151729699999999</v>
      </c>
      <c r="AE2295">
        <v>0.14230000000003401</v>
      </c>
      <c r="AF2295">
        <v>0.120277762343242</v>
      </c>
      <c r="AG2295">
        <v>-0.151729699999999</v>
      </c>
      <c r="AH2295">
        <v>0.43758477069977803</v>
      </c>
      <c r="AI2295">
        <v>108.487015497196</v>
      </c>
      <c r="AJ2295">
        <v>74.630815399826901</v>
      </c>
      <c r="AK2295">
        <v>0.47850713006679901</v>
      </c>
      <c r="AL2295">
        <v>87.954505061471394</v>
      </c>
      <c r="AM2295">
        <v>89.374533938427604</v>
      </c>
      <c r="AN2295">
        <v>1.00000004533363</v>
      </c>
    </row>
    <row r="2296" spans="1:40" x14ac:dyDescent="0.25">
      <c r="A2296" t="str">
        <f>"20190312160339406"</f>
        <v>20190312160339406</v>
      </c>
      <c r="B2296" t="str">
        <f>"1552377819397210"</f>
        <v>1552377819397210</v>
      </c>
      <c r="C2296" t="s">
        <v>40</v>
      </c>
      <c r="D2296">
        <v>4.8651790000000004</v>
      </c>
      <c r="E2296">
        <v>0.52600409999999997</v>
      </c>
      <c r="F2296" t="s">
        <v>49</v>
      </c>
      <c r="G2296">
        <v>-366.89929999999998</v>
      </c>
      <c r="H2296">
        <v>0.96355970000000002</v>
      </c>
      <c r="I2296">
        <v>284.97399999999999</v>
      </c>
      <c r="J2296">
        <v>-366.45150000000001</v>
      </c>
      <c r="K2296">
        <v>1.1100460000000001</v>
      </c>
      <c r="L2296">
        <v>284.83710000000002</v>
      </c>
      <c r="M2296">
        <v>-0.99966880000000002</v>
      </c>
      <c r="N2296">
        <v>0</v>
      </c>
      <c r="O2296">
        <v>2.2560130000000001E-2</v>
      </c>
      <c r="P2296">
        <v>-0.99916819999999895</v>
      </c>
      <c r="Q2296">
        <v>2.362817E-2</v>
      </c>
      <c r="R2296">
        <v>3.3240810000000003E-2</v>
      </c>
      <c r="S2296">
        <v>-2.9967959999999998</v>
      </c>
      <c r="T2296">
        <v>-0.60205019999999998</v>
      </c>
      <c r="U2296">
        <v>0.58801269999999894</v>
      </c>
      <c r="V2296">
        <v>1.068851E-2</v>
      </c>
      <c r="W2296">
        <v>3.6011840000000003E-2</v>
      </c>
      <c r="X2296">
        <v>0.99929420000000002</v>
      </c>
      <c r="Y2296">
        <v>0.16756589999999999</v>
      </c>
      <c r="Z2296">
        <v>1.2068529999999999E-2</v>
      </c>
      <c r="AA2296">
        <v>0.98578699999999997</v>
      </c>
      <c r="AB2296">
        <v>28</v>
      </c>
      <c r="AC2296">
        <v>-0.447799999999972</v>
      </c>
      <c r="AD2296">
        <v>-0.14648629999999899</v>
      </c>
      <c r="AE2296">
        <v>0.13689999999996799</v>
      </c>
      <c r="AF2296">
        <v>0.11546237102876999</v>
      </c>
      <c r="AG2296">
        <v>-0.14648629999999899</v>
      </c>
      <c r="AH2296">
        <v>0.410592600758443</v>
      </c>
      <c r="AI2296">
        <v>108.954865504257</v>
      </c>
      <c r="AJ2296">
        <v>74.293534420492094</v>
      </c>
      <c r="AK2296">
        <v>0.45097237056039002</v>
      </c>
      <c r="AL2296">
        <v>87.936227318177799</v>
      </c>
      <c r="AM2296">
        <v>89.387184315065198</v>
      </c>
      <c r="AN2296">
        <v>0.99999999750992197</v>
      </c>
    </row>
    <row r="2297" spans="1:40" x14ac:dyDescent="0.25">
      <c r="A2297" t="str">
        <f>"20190312160339428"</f>
        <v>20190312160339428</v>
      </c>
      <c r="B2297" t="str">
        <f>"1552377819416728"</f>
        <v>1552377819416728</v>
      </c>
      <c r="C2297" t="s">
        <v>40</v>
      </c>
      <c r="D2297">
        <v>4.774457</v>
      </c>
      <c r="E2297">
        <v>0.51169979999999904</v>
      </c>
      <c r="F2297" t="s">
        <v>49</v>
      </c>
      <c r="G2297">
        <v>-367.1748</v>
      </c>
      <c r="H2297">
        <v>1.0111619999999999</v>
      </c>
      <c r="I2297">
        <v>284.90570000000002</v>
      </c>
      <c r="J2297">
        <v>-366.72059999999999</v>
      </c>
      <c r="K2297">
        <v>1.11005</v>
      </c>
      <c r="L2297">
        <v>284.84309999999999</v>
      </c>
      <c r="M2297">
        <v>-0.99966940000000004</v>
      </c>
      <c r="N2297">
        <v>0</v>
      </c>
      <c r="O2297">
        <v>2.2529609999999999E-2</v>
      </c>
      <c r="P2297">
        <v>-0.99916020000000005</v>
      </c>
      <c r="Q2297">
        <v>2.4088040000000002E-2</v>
      </c>
      <c r="R2297">
        <v>3.3145309999999997E-2</v>
      </c>
      <c r="S2297">
        <v>-3.002777</v>
      </c>
      <c r="T2297">
        <v>-0.41061760000000003</v>
      </c>
      <c r="U2297">
        <v>0.28424070000000001</v>
      </c>
      <c r="V2297">
        <v>1.0623570000000001E-2</v>
      </c>
      <c r="W2297">
        <v>3.6471209999999997E-2</v>
      </c>
      <c r="X2297">
        <v>0.99927820000000001</v>
      </c>
      <c r="Y2297">
        <v>7.1333090000000002E-2</v>
      </c>
      <c r="Z2297">
        <v>1.7849389999999999E-3</v>
      </c>
      <c r="AA2297">
        <v>0.99745090000000003</v>
      </c>
      <c r="AB2297">
        <v>28</v>
      </c>
      <c r="AC2297">
        <v>-0.45420000000001398</v>
      </c>
      <c r="AD2297">
        <v>-9.8887999999999796E-2</v>
      </c>
      <c r="AE2297">
        <v>6.26000000000317E-2</v>
      </c>
      <c r="AF2297">
        <v>5.0023388211696398E-2</v>
      </c>
      <c r="AG2297">
        <v>-9.8887999999999796E-2</v>
      </c>
      <c r="AH2297">
        <v>0.43524829763552902</v>
      </c>
      <c r="AI2297">
        <v>102.71927247135</v>
      </c>
      <c r="AJ2297">
        <v>83.443722831972295</v>
      </c>
      <c r="AK2297">
        <v>0.44913500921972699</v>
      </c>
      <c r="AL2297">
        <v>87.909889986078099</v>
      </c>
      <c r="AM2297">
        <v>89.3908975558371</v>
      </c>
      <c r="AN2297">
        <v>0.99999996519682299</v>
      </c>
    </row>
    <row r="2298" spans="1:40" x14ac:dyDescent="0.25">
      <c r="A2298" t="str">
        <f>"20190312160339440"</f>
        <v>20190312160339440</v>
      </c>
      <c r="B2298" t="str">
        <f>"1552377819437225"</f>
        <v>1552377819437225</v>
      </c>
      <c r="C2298" t="s">
        <v>40</v>
      </c>
      <c r="D2298">
        <v>4.7724840000000004</v>
      </c>
      <c r="E2298">
        <v>0.50462980000000002</v>
      </c>
      <c r="F2298" t="s">
        <v>49</v>
      </c>
      <c r="G2298">
        <v>-367.67739999999998</v>
      </c>
      <c r="H2298">
        <v>1.010251</v>
      </c>
      <c r="I2298">
        <v>284.89890000000003</v>
      </c>
      <c r="J2298">
        <v>-366.88069999999999</v>
      </c>
      <c r="K2298">
        <v>1.1100460000000001</v>
      </c>
      <c r="L2298">
        <v>284.8467</v>
      </c>
      <c r="M2298">
        <v>-0.99966980000000005</v>
      </c>
      <c r="N2298">
        <v>0</v>
      </c>
      <c r="O2298">
        <v>2.2510780000000001E-2</v>
      </c>
      <c r="P2298">
        <v>-0.99915949999999998</v>
      </c>
      <c r="Q2298">
        <v>2.4209399999999999E-2</v>
      </c>
      <c r="R2298">
        <v>3.3080390000000001E-2</v>
      </c>
      <c r="S2298">
        <v>-3.0043030000000002</v>
      </c>
      <c r="T2298">
        <v>-0.31342409999999998</v>
      </c>
      <c r="U2298">
        <v>0.17452999999999999</v>
      </c>
      <c r="V2298">
        <v>1.057752E-2</v>
      </c>
      <c r="W2298">
        <v>3.6592720000000002E-2</v>
      </c>
      <c r="X2298">
        <v>0.99927429999999995</v>
      </c>
      <c r="Y2298">
        <v>3.543636E-2</v>
      </c>
      <c r="Z2298">
        <v>-4.9786890000000003E-4</v>
      </c>
      <c r="AA2298">
        <v>0.99937180000000003</v>
      </c>
      <c r="AB2298">
        <v>28</v>
      </c>
      <c r="AC2298">
        <v>-0.79669999999998697</v>
      </c>
      <c r="AD2298">
        <v>-9.9794999999999801E-2</v>
      </c>
      <c r="AE2298">
        <v>5.2200000000027502E-2</v>
      </c>
      <c r="AF2298">
        <v>3.3724178355368298E-2</v>
      </c>
      <c r="AG2298">
        <v>-9.9794999999999801E-2</v>
      </c>
      <c r="AH2298">
        <v>0.78540280272750096</v>
      </c>
      <c r="AI2298">
        <v>97.234728027276702</v>
      </c>
      <c r="AJ2298">
        <v>87.541303808160606</v>
      </c>
      <c r="AK2298">
        <v>0.79243543886108403</v>
      </c>
      <c r="AL2298">
        <v>87.902923437905102</v>
      </c>
      <c r="AM2298">
        <v>89.393535268464305</v>
      </c>
      <c r="AN2298">
        <v>1.0000000188634099</v>
      </c>
    </row>
    <row r="2299" spans="1:40" x14ac:dyDescent="0.25">
      <c r="A2299" t="str">
        <f>"20190312160339451"</f>
        <v>20190312160339451</v>
      </c>
      <c r="B2299" t="str">
        <f>"1552377819446985"</f>
        <v>1552377819446985</v>
      </c>
      <c r="C2299" t="s">
        <v>40</v>
      </c>
      <c r="D2299">
        <v>4.809018</v>
      </c>
      <c r="E2299">
        <v>0.5020713</v>
      </c>
      <c r="F2299" t="s">
        <v>49</v>
      </c>
      <c r="G2299">
        <v>-367.69709999999998</v>
      </c>
      <c r="H2299">
        <v>1.043485</v>
      </c>
      <c r="I2299">
        <v>284.87970000000001</v>
      </c>
      <c r="J2299">
        <v>-367.01870000000002</v>
      </c>
      <c r="K2299">
        <v>1.110047</v>
      </c>
      <c r="L2299">
        <v>284.84980000000002</v>
      </c>
      <c r="M2299">
        <v>-0.99967010000000001</v>
      </c>
      <c r="N2299">
        <v>0</v>
      </c>
      <c r="O2299">
        <v>2.2494630000000002E-2</v>
      </c>
      <c r="P2299">
        <v>-0.99915799999999999</v>
      </c>
      <c r="Q2299">
        <v>2.435008E-2</v>
      </c>
      <c r="R2299">
        <v>3.3026050000000001E-2</v>
      </c>
      <c r="S2299">
        <v>-3.0044249999999999</v>
      </c>
      <c r="T2299">
        <v>-0.24509</v>
      </c>
      <c r="U2299">
        <v>0.1208801</v>
      </c>
      <c r="V2299">
        <v>1.053951E-2</v>
      </c>
      <c r="W2299">
        <v>3.6732819999999999E-2</v>
      </c>
      <c r="X2299">
        <v>0.99926950000000003</v>
      </c>
      <c r="Y2299">
        <v>1.7728959999999998E-2</v>
      </c>
      <c r="Z2299">
        <v>-1.109425E-3</v>
      </c>
      <c r="AA2299">
        <v>0.99984220000000001</v>
      </c>
      <c r="AB2299">
        <v>28</v>
      </c>
      <c r="AC2299">
        <v>-0.67839999999995304</v>
      </c>
      <c r="AD2299">
        <v>-6.6561999999999996E-2</v>
      </c>
      <c r="AE2299">
        <v>2.98999999999978E-2</v>
      </c>
      <c r="AF2299">
        <v>1.44916656977329E-2</v>
      </c>
      <c r="AG2299">
        <v>-6.6561999999999996E-2</v>
      </c>
      <c r="AH2299">
        <v>0.67244007287405905</v>
      </c>
      <c r="AI2299">
        <v>95.651747976133393</v>
      </c>
      <c r="AJ2299">
        <v>88.765417456979506</v>
      </c>
      <c r="AK2299">
        <v>0.67588176467897398</v>
      </c>
      <c r="AL2299">
        <v>87.8948907697512</v>
      </c>
      <c r="AM2299">
        <v>89.395711516864097</v>
      </c>
      <c r="AN2299">
        <v>0.99999995748322001</v>
      </c>
    </row>
    <row r="2300" spans="1:40" x14ac:dyDescent="0.25">
      <c r="A2300" t="str">
        <f>"20190312160339462"</f>
        <v>20190312160339462</v>
      </c>
      <c r="B2300" t="str">
        <f>"1552377819456745"</f>
        <v>1552377819456745</v>
      </c>
      <c r="C2300" t="s">
        <v>40</v>
      </c>
      <c r="D2300">
        <v>4.7964500000000001</v>
      </c>
      <c r="E2300">
        <v>0.50019639999999999</v>
      </c>
      <c r="F2300" t="s">
        <v>49</v>
      </c>
      <c r="G2300">
        <v>-367.94630000000001</v>
      </c>
      <c r="H2300">
        <v>1.040627</v>
      </c>
      <c r="I2300">
        <v>284.88119999999998</v>
      </c>
      <c r="J2300">
        <v>-367.16399999999999</v>
      </c>
      <c r="K2300">
        <v>1.110047</v>
      </c>
      <c r="L2300">
        <v>284.85300000000001</v>
      </c>
      <c r="M2300">
        <v>-0.99967070000000002</v>
      </c>
      <c r="N2300">
        <v>0</v>
      </c>
      <c r="O2300">
        <v>2.2477649999999998E-2</v>
      </c>
      <c r="P2300">
        <v>-0.99914599999999998</v>
      </c>
      <c r="Q2300">
        <v>2.4742900000000002E-2</v>
      </c>
      <c r="R2300">
        <v>3.3096470000000003E-2</v>
      </c>
      <c r="S2300">
        <v>-3.0046080000000002</v>
      </c>
      <c r="T2300">
        <v>-0.22489899999999999</v>
      </c>
      <c r="U2300">
        <v>0.10122680000000001</v>
      </c>
      <c r="V2300">
        <v>1.0627060000000001E-2</v>
      </c>
      <c r="W2300">
        <v>3.7125459999999999E-2</v>
      </c>
      <c r="X2300">
        <v>0.99925410000000003</v>
      </c>
      <c r="Y2300">
        <v>1.122771E-2</v>
      </c>
      <c r="Z2300">
        <v>-1.260022E-3</v>
      </c>
      <c r="AA2300">
        <v>0.99993620000000005</v>
      </c>
      <c r="AB2300">
        <v>28</v>
      </c>
      <c r="AC2300">
        <v>-0.78230000000001998</v>
      </c>
      <c r="AD2300">
        <v>-6.9419999999999996E-2</v>
      </c>
      <c r="AE2300">
        <v>2.8199999999969801E-2</v>
      </c>
      <c r="AF2300">
        <v>1.05244934490329E-2</v>
      </c>
      <c r="AG2300">
        <v>-6.9419999999999996E-2</v>
      </c>
      <c r="AH2300">
        <v>0.77662861695317897</v>
      </c>
      <c r="AI2300">
        <v>95.107419322411801</v>
      </c>
      <c r="AJ2300">
        <v>89.2236029755488</v>
      </c>
      <c r="AK2300">
        <v>0.77979606951623304</v>
      </c>
      <c r="AL2300">
        <v>87.872378878509096</v>
      </c>
      <c r="AM2300">
        <v>89.390682777706999</v>
      </c>
      <c r="AN2300">
        <v>0.99999999527563199</v>
      </c>
    </row>
    <row r="2301" spans="1:40" x14ac:dyDescent="0.25">
      <c r="A2301" t="str">
        <f>"20190312160339473"</f>
        <v>20190312160339473</v>
      </c>
      <c r="B2301" t="str">
        <f>"1552377819466505"</f>
        <v>1552377819466505</v>
      </c>
      <c r="C2301" t="s">
        <v>40</v>
      </c>
      <c r="D2301">
        <v>4.8439699999999997</v>
      </c>
      <c r="E2301">
        <v>0.49874309999999999</v>
      </c>
      <c r="F2301" t="s">
        <v>70</v>
      </c>
      <c r="G2301">
        <v>-383.08819999999997</v>
      </c>
      <c r="H2301" s="1">
        <v>1.06576399999999E-7</v>
      </c>
      <c r="I2301">
        <v>285.31479999999999</v>
      </c>
      <c r="J2301">
        <v>-367.30029999999999</v>
      </c>
      <c r="K2301">
        <v>1.110055</v>
      </c>
      <c r="L2301">
        <v>284.85610000000003</v>
      </c>
      <c r="M2301">
        <v>-0.99967099999999998</v>
      </c>
      <c r="N2301">
        <v>0</v>
      </c>
      <c r="O2301">
        <v>2.246047E-2</v>
      </c>
      <c r="P2301">
        <v>-0.99914069999999999</v>
      </c>
      <c r="Q2301">
        <v>2.490479E-2</v>
      </c>
      <c r="R2301">
        <v>3.3135310000000001E-2</v>
      </c>
      <c r="S2301">
        <v>-3.0048520000000001</v>
      </c>
      <c r="T2301">
        <v>-0.20946339999999999</v>
      </c>
      <c r="U2301">
        <v>8.7127689999999994E-2</v>
      </c>
      <c r="V2301">
        <v>1.068327E-2</v>
      </c>
      <c r="W2301">
        <v>3.7287000000000001E-2</v>
      </c>
      <c r="X2301">
        <v>0.99924749999999996</v>
      </c>
      <c r="Y2301">
        <v>6.5619540000000001E-3</v>
      </c>
      <c r="Z2301">
        <v>-1.3349659999999999E-3</v>
      </c>
      <c r="AA2301">
        <v>0.99997760000000002</v>
      </c>
      <c r="AB2301">
        <v>28</v>
      </c>
      <c r="AC2301">
        <v>-15.787899999999899</v>
      </c>
      <c r="AD2301">
        <v>-1.1100548934236001</v>
      </c>
      <c r="AE2301">
        <v>0.45869999999996403</v>
      </c>
      <c r="AF2301">
        <v>0.103442464746844</v>
      </c>
      <c r="AG2301">
        <v>-1.1100548934236001</v>
      </c>
      <c r="AH2301">
        <v>15.716589572776501</v>
      </c>
      <c r="AI2301">
        <v>94.039976081317405</v>
      </c>
      <c r="AJ2301">
        <v>89.622899672640699</v>
      </c>
      <c r="AK2301">
        <v>15.7560816832433</v>
      </c>
      <c r="AL2301">
        <v>87.8631169356063</v>
      </c>
      <c r="AM2301">
        <v>89.387456098826803</v>
      </c>
      <c r="AN2301">
        <v>1.00000000944157</v>
      </c>
    </row>
    <row r="2302" spans="1:40" x14ac:dyDescent="0.25">
      <c r="A2302" t="str">
        <f>"20190312160339495"</f>
        <v>20190312160339495</v>
      </c>
      <c r="B2302" t="str">
        <f>"1552377819486535"</f>
        <v>1552377819486535</v>
      </c>
      <c r="C2302" t="s">
        <v>40</v>
      </c>
      <c r="D2302">
        <v>4.8277669999999997</v>
      </c>
      <c r="E2302">
        <v>0.49688480000000002</v>
      </c>
      <c r="F2302" t="s">
        <v>70</v>
      </c>
      <c r="G2302">
        <v>-384.9665</v>
      </c>
      <c r="H2302" s="1">
        <v>1.1061150000000001E-6</v>
      </c>
      <c r="I2302">
        <v>285.3082</v>
      </c>
      <c r="J2302">
        <v>-367.56599999999997</v>
      </c>
      <c r="K2302">
        <v>1.1100589999999999</v>
      </c>
      <c r="L2302">
        <v>284.86200000000002</v>
      </c>
      <c r="M2302">
        <v>-0.99967189999999995</v>
      </c>
      <c r="N2302">
        <v>0</v>
      </c>
      <c r="O2302">
        <v>2.2420720000000002E-2</v>
      </c>
      <c r="P2302">
        <v>-0.99913660000000004</v>
      </c>
      <c r="Q2302">
        <v>2.5150769999999999E-2</v>
      </c>
      <c r="R2302">
        <v>3.3066560000000002E-2</v>
      </c>
      <c r="S2302">
        <v>-3.0047299999999999</v>
      </c>
      <c r="T2302">
        <v>-0.1888022</v>
      </c>
      <c r="U2302">
        <v>7.6904299999999995E-2</v>
      </c>
      <c r="V2302">
        <v>1.065376E-2</v>
      </c>
      <c r="W2302">
        <v>3.7532389999999999E-2</v>
      </c>
      <c r="X2302">
        <v>0.99923859999999998</v>
      </c>
      <c r="Y2302">
        <v>3.2023640000000001E-3</v>
      </c>
      <c r="Z2302">
        <v>-1.3066130000000001E-3</v>
      </c>
      <c r="AA2302">
        <v>0.99999400000000005</v>
      </c>
      <c r="AB2302">
        <v>28</v>
      </c>
      <c r="AC2302">
        <v>-17.400500000000001</v>
      </c>
      <c r="AD2302">
        <v>-1.1100578938850001</v>
      </c>
      <c r="AE2302">
        <v>0.446199999999976</v>
      </c>
      <c r="AF2302">
        <v>5.5699618622874703E-2</v>
      </c>
      <c r="AG2302">
        <v>-1.1100578938850001</v>
      </c>
      <c r="AH2302">
        <v>17.335624845159199</v>
      </c>
      <c r="AI2302">
        <v>93.663818943204703</v>
      </c>
      <c r="AJ2302">
        <v>89.815908447822693</v>
      </c>
      <c r="AK2302">
        <v>17.371218142300499</v>
      </c>
      <c r="AL2302">
        <v>87.849047215255098</v>
      </c>
      <c r="AM2302">
        <v>89.389142537395799</v>
      </c>
      <c r="AN2302">
        <v>0.99999998131560397</v>
      </c>
    </row>
    <row r="2303" spans="1:40" x14ac:dyDescent="0.25">
      <c r="A2303" t="str">
        <f>"20190312160339516"</f>
        <v>20190312160339516</v>
      </c>
      <c r="B2303" t="str">
        <f>"1552377819507027"</f>
        <v>1552377819507027</v>
      </c>
      <c r="C2303" t="s">
        <v>40</v>
      </c>
      <c r="D2303">
        <v>5.1771830000000003</v>
      </c>
      <c r="E2303">
        <v>0.49587120000000001</v>
      </c>
      <c r="F2303" t="s">
        <v>70</v>
      </c>
      <c r="G2303">
        <v>-389.06119999999999</v>
      </c>
      <c r="H2303" s="1">
        <v>3.2851550000000001E-6</v>
      </c>
      <c r="I2303">
        <v>285.3159</v>
      </c>
      <c r="J2303">
        <v>-367.8415</v>
      </c>
      <c r="K2303">
        <v>1.1100680000000001</v>
      </c>
      <c r="L2303">
        <v>284.8682</v>
      </c>
      <c r="M2303">
        <v>-0.99967320000000004</v>
      </c>
      <c r="N2303">
        <v>0</v>
      </c>
      <c r="O2303">
        <v>2.2368760000000001E-2</v>
      </c>
      <c r="P2303">
        <v>-0.9991236</v>
      </c>
      <c r="Q2303">
        <v>2.4998840000000001E-2</v>
      </c>
      <c r="R2303">
        <v>3.3570589999999997E-2</v>
      </c>
      <c r="S2303">
        <v>-3.0043950000000001</v>
      </c>
      <c r="T2303">
        <v>-0.15515279999999901</v>
      </c>
      <c r="U2303">
        <v>6.3446039999999995E-2</v>
      </c>
      <c r="V2303">
        <v>1.1209169999999999E-2</v>
      </c>
      <c r="W2303">
        <v>3.737944E-2</v>
      </c>
      <c r="X2303">
        <v>0.99923830000000002</v>
      </c>
      <c r="Y2303">
        <v>-1.226305E-3</v>
      </c>
      <c r="Z2303">
        <v>-1.1858560000000001E-3</v>
      </c>
      <c r="AA2303">
        <v>0.99999859999999896</v>
      </c>
      <c r="AB2303">
        <v>28</v>
      </c>
      <c r="AC2303">
        <v>-21.2196999999999</v>
      </c>
      <c r="AD2303">
        <v>-1.110064714845</v>
      </c>
      <c r="AE2303">
        <v>0.44769999999999699</v>
      </c>
      <c r="AF2303">
        <v>-2.7032814224259599E-2</v>
      </c>
      <c r="AG2303">
        <v>-1.110064714845</v>
      </c>
      <c r="AH2303">
        <v>21.166505631306102</v>
      </c>
      <c r="AI2303">
        <v>93.002090090164899</v>
      </c>
      <c r="AJ2303">
        <v>90.073175296303802</v>
      </c>
      <c r="AK2303">
        <v>21.195611222238899</v>
      </c>
      <c r="AL2303">
        <v>87.857816850368806</v>
      </c>
      <c r="AM2303">
        <v>89.357299259099406</v>
      </c>
      <c r="AN2303">
        <v>1.0000000241068401</v>
      </c>
    </row>
    <row r="2304" spans="1:40" x14ac:dyDescent="0.25">
      <c r="A2304" t="str">
        <f>"20190312160339528"</f>
        <v>20190312160339528</v>
      </c>
      <c r="B2304" t="str">
        <f>"1552377819516787"</f>
        <v>1552377819516787</v>
      </c>
      <c r="C2304" t="s">
        <v>40</v>
      </c>
      <c r="D2304">
        <v>4.8807499999999999</v>
      </c>
      <c r="E2304">
        <v>0.4954056</v>
      </c>
      <c r="F2304" t="s">
        <v>70</v>
      </c>
      <c r="G2304">
        <v>-392.84089999999998</v>
      </c>
      <c r="H2304" s="1">
        <v>-2.5008759999999999E-8</v>
      </c>
      <c r="I2304">
        <v>285.34969999999998</v>
      </c>
      <c r="J2304">
        <v>-367.98559999999998</v>
      </c>
      <c r="K2304">
        <v>1.110074</v>
      </c>
      <c r="L2304">
        <v>284.87130000000002</v>
      </c>
      <c r="M2304">
        <v>-0.99967379999999995</v>
      </c>
      <c r="N2304">
        <v>0</v>
      </c>
      <c r="O2304">
        <v>2.2338529999999999E-2</v>
      </c>
      <c r="P2304">
        <v>-0.99912449999999997</v>
      </c>
      <c r="Q2304">
        <v>2.4805500000000001E-2</v>
      </c>
      <c r="R2304">
        <v>3.3695599999999999E-2</v>
      </c>
      <c r="S2304">
        <v>-3.0040279999999999</v>
      </c>
      <c r="T2304">
        <v>-0.13339010000000001</v>
      </c>
      <c r="U2304">
        <v>5.7861330000000002E-2</v>
      </c>
      <c r="V2304">
        <v>1.136419E-2</v>
      </c>
      <c r="W2304">
        <v>3.7186459999999998E-2</v>
      </c>
      <c r="X2304">
        <v>0.99924369999999996</v>
      </c>
      <c r="Y2304">
        <v>-3.0582169999999998E-3</v>
      </c>
      <c r="Z2304">
        <v>-1.059153E-3</v>
      </c>
      <c r="AA2304">
        <v>0.99999479999999996</v>
      </c>
      <c r="AB2304">
        <v>28</v>
      </c>
      <c r="AC2304">
        <v>-24.8553</v>
      </c>
      <c r="AD2304">
        <v>-1.11007402500876</v>
      </c>
      <c r="AE2304">
        <v>0.47839999999996502</v>
      </c>
      <c r="AF2304">
        <v>-7.6839608815530105E-2</v>
      </c>
      <c r="AG2304">
        <v>-1.11007402500876</v>
      </c>
      <c r="AH2304">
        <v>24.810314854072399</v>
      </c>
      <c r="AI2304">
        <v>92.561832114885107</v>
      </c>
      <c r="AJ2304">
        <v>90.177449227634497</v>
      </c>
      <c r="AK2304">
        <v>24.835255018314001</v>
      </c>
      <c r="AL2304">
        <v>87.8688813772294</v>
      </c>
      <c r="AM2304">
        <v>89.348415151657704</v>
      </c>
      <c r="AN2304">
        <v>0.99999997480568803</v>
      </c>
    </row>
    <row r="2305" spans="1:40" x14ac:dyDescent="0.25">
      <c r="A2305" t="str">
        <f>"20190312160339540"</f>
        <v>20190312160339540</v>
      </c>
      <c r="B2305" t="str">
        <f>"1552377819537283"</f>
        <v>1552377819537283</v>
      </c>
      <c r="C2305" t="s">
        <v>40</v>
      </c>
      <c r="D2305">
        <v>4.8795390000000003</v>
      </c>
      <c r="E2305">
        <v>0.494952</v>
      </c>
      <c r="F2305" t="s">
        <v>70</v>
      </c>
      <c r="G2305">
        <v>-394.67529999999999</v>
      </c>
      <c r="H2305" s="1">
        <v>9.5117409999999996E-7</v>
      </c>
      <c r="I2305">
        <v>285.3578</v>
      </c>
      <c r="J2305">
        <v>-368.13200000000001</v>
      </c>
      <c r="K2305">
        <v>1.110074</v>
      </c>
      <c r="L2305">
        <v>284.87459999999999</v>
      </c>
      <c r="M2305">
        <v>-0.99967470000000003</v>
      </c>
      <c r="N2305">
        <v>0</v>
      </c>
      <c r="O2305">
        <v>2.2301129999999999E-2</v>
      </c>
      <c r="P2305">
        <v>-0.99911220000000001</v>
      </c>
      <c r="Q2305">
        <v>2.4885150000000002E-2</v>
      </c>
      <c r="R2305">
        <v>3.399916E-2</v>
      </c>
      <c r="S2305">
        <v>-3.003876</v>
      </c>
      <c r="T2305">
        <v>-0.12493650000000001</v>
      </c>
      <c r="U2305">
        <v>5.4748539999999998E-2</v>
      </c>
      <c r="V2305">
        <v>1.170496E-2</v>
      </c>
      <c r="W2305">
        <v>3.7265560000000003E-2</v>
      </c>
      <c r="X2305">
        <v>0.99923680000000004</v>
      </c>
      <c r="Y2305">
        <v>-4.0579489999999999E-3</v>
      </c>
      <c r="Z2305">
        <v>-1.0113769999999999E-3</v>
      </c>
      <c r="AA2305">
        <v>0.99999119999999997</v>
      </c>
      <c r="AB2305">
        <v>28</v>
      </c>
      <c r="AC2305">
        <v>-26.543299999999999</v>
      </c>
      <c r="AD2305">
        <v>-1.1100730488258901</v>
      </c>
      <c r="AE2305">
        <v>0.48320000000001001</v>
      </c>
      <c r="AF2305">
        <v>-0.108721017695368</v>
      </c>
      <c r="AG2305">
        <v>-1.1100730488258901</v>
      </c>
      <c r="AH2305">
        <v>26.501138863771299</v>
      </c>
      <c r="AI2305">
        <v>92.398568875355295</v>
      </c>
      <c r="AJ2305">
        <v>90.235054823245505</v>
      </c>
      <c r="AK2305">
        <v>26.524600722919601</v>
      </c>
      <c r="AL2305">
        <v>87.864346095695296</v>
      </c>
      <c r="AM2305">
        <v>89.328873660760607</v>
      </c>
      <c r="AN2305">
        <v>0.99999995526247598</v>
      </c>
    </row>
    <row r="2306" spans="1:40" x14ac:dyDescent="0.25">
      <c r="A2306" t="str">
        <f>"20190312160339551"</f>
        <v>20190312160339551</v>
      </c>
      <c r="B2306" t="str">
        <f>"1552377819547044"</f>
        <v>1552377819547044</v>
      </c>
      <c r="C2306" t="s">
        <v>40</v>
      </c>
      <c r="D2306">
        <v>4.7989259999999998</v>
      </c>
      <c r="E2306">
        <v>0.49444080000000001</v>
      </c>
      <c r="F2306" t="s">
        <v>70</v>
      </c>
      <c r="G2306">
        <v>-397.38589999999999</v>
      </c>
      <c r="H2306" s="1">
        <v>2.3936039999999999E-6</v>
      </c>
      <c r="I2306">
        <v>285.38580000000002</v>
      </c>
      <c r="J2306">
        <v>-368.27080000000001</v>
      </c>
      <c r="K2306">
        <v>1.110079</v>
      </c>
      <c r="L2306">
        <v>284.87759999999997</v>
      </c>
      <c r="M2306">
        <v>-0.99967550000000005</v>
      </c>
      <c r="N2306">
        <v>0</v>
      </c>
      <c r="O2306">
        <v>2.2262540000000001E-2</v>
      </c>
      <c r="P2306">
        <v>-0.99911130000000004</v>
      </c>
      <c r="Q2306">
        <v>2.4792189999999999E-2</v>
      </c>
      <c r="R2306">
        <v>3.4093270000000002E-2</v>
      </c>
      <c r="S2306">
        <v>-3.0037229999999999</v>
      </c>
      <c r="T2306">
        <v>-0.1139795</v>
      </c>
      <c r="U2306">
        <v>5.2490229999999999E-2</v>
      </c>
      <c r="V2306">
        <v>1.183707E-2</v>
      </c>
      <c r="W2306">
        <v>3.717264E-2</v>
      </c>
      <c r="X2306">
        <v>0.99923870000000004</v>
      </c>
      <c r="Y2306">
        <v>-4.7733360000000004E-3</v>
      </c>
      <c r="Z2306">
        <v>-9.3490429999999996E-4</v>
      </c>
      <c r="AA2306">
        <v>0.99998819999999999</v>
      </c>
      <c r="AB2306">
        <v>28</v>
      </c>
      <c r="AC2306">
        <v>-29.115099999999899</v>
      </c>
      <c r="AD2306">
        <v>-1.1100766063959999</v>
      </c>
      <c r="AE2306">
        <v>0.50820000000004395</v>
      </c>
      <c r="AF2306">
        <v>-0.13994835207738501</v>
      </c>
      <c r="AG2306">
        <v>-1.1100766063959999</v>
      </c>
      <c r="AH2306">
        <v>29.076941921776601</v>
      </c>
      <c r="AI2306">
        <v>92.186306102591701</v>
      </c>
      <c r="AJ2306">
        <v>90.275764488220602</v>
      </c>
      <c r="AK2306">
        <v>29.098460562986599</v>
      </c>
      <c r="AL2306">
        <v>87.869673700933006</v>
      </c>
      <c r="AM2306">
        <v>89.321300875439306</v>
      </c>
      <c r="AN2306">
        <v>0.99999995048422097</v>
      </c>
    </row>
    <row r="2307" spans="1:40" x14ac:dyDescent="0.25">
      <c r="A2307" t="str">
        <f>"20190312160339563"</f>
        <v>20190312160339563</v>
      </c>
      <c r="B2307" t="str">
        <f>"1552377819556803"</f>
        <v>1552377819556803</v>
      </c>
      <c r="C2307" t="s">
        <v>40</v>
      </c>
      <c r="D2307">
        <v>4.8087070000000001</v>
      </c>
      <c r="E2307">
        <v>0.49398710000000001</v>
      </c>
      <c r="F2307" t="s">
        <v>70</v>
      </c>
      <c r="G2307">
        <v>-397.74950000000001</v>
      </c>
      <c r="H2307" s="1">
        <v>2.5871129999999999E-6</v>
      </c>
      <c r="I2307">
        <v>285.3562</v>
      </c>
      <c r="J2307">
        <v>-368.43099999999998</v>
      </c>
      <c r="K2307">
        <v>1.110085</v>
      </c>
      <c r="L2307">
        <v>284.88119999999998</v>
      </c>
      <c r="M2307">
        <v>-0.99967669999999997</v>
      </c>
      <c r="N2307">
        <v>0</v>
      </c>
      <c r="O2307">
        <v>2.2210870000000001E-2</v>
      </c>
      <c r="P2307">
        <v>-0.99911090000000002</v>
      </c>
      <c r="Q2307">
        <v>2.4928490000000001E-2</v>
      </c>
      <c r="R2307">
        <v>3.4002640000000001E-2</v>
      </c>
      <c r="S2307">
        <v>-3.0038450000000001</v>
      </c>
      <c r="T2307">
        <v>-0.1131153</v>
      </c>
      <c r="U2307">
        <v>4.8767089999999999E-2</v>
      </c>
      <c r="V2307">
        <v>1.1797220000000001E-2</v>
      </c>
      <c r="W2307">
        <v>3.7307970000000003E-2</v>
      </c>
      <c r="X2307">
        <v>0.99923419999999996</v>
      </c>
      <c r="Y2307">
        <v>-5.9609390000000002E-3</v>
      </c>
      <c r="Z2307">
        <v>-9.4820240000000001E-4</v>
      </c>
      <c r="AA2307">
        <v>0.99998180000000003</v>
      </c>
      <c r="AB2307">
        <v>28</v>
      </c>
      <c r="AC2307">
        <v>-29.3185</v>
      </c>
      <c r="AD2307">
        <v>-1.1100824128869999</v>
      </c>
      <c r="AE2307">
        <v>0.47500000000002202</v>
      </c>
      <c r="AF2307">
        <v>-0.176104070673158</v>
      </c>
      <c r="AG2307">
        <v>-1.1100824128869999</v>
      </c>
      <c r="AH2307">
        <v>29.279852748462901</v>
      </c>
      <c r="AI2307">
        <v>92.171166681302694</v>
      </c>
      <c r="AJ2307">
        <v>90.344602086193802</v>
      </c>
      <c r="AK2307">
        <v>29.3014175865056</v>
      </c>
      <c r="AL2307">
        <v>87.861914634989702</v>
      </c>
      <c r="AM2307">
        <v>89.323582486363193</v>
      </c>
      <c r="AN2307">
        <v>1.0000000227374399</v>
      </c>
    </row>
    <row r="2308" spans="1:40" x14ac:dyDescent="0.25">
      <c r="A2308" t="str">
        <f>"20190312160339576"</f>
        <v>20190312160339576</v>
      </c>
      <c r="B2308" t="str">
        <f>"1552377819566564"</f>
        <v>1552377819566564</v>
      </c>
      <c r="C2308" t="s">
        <v>40</v>
      </c>
      <c r="D2308">
        <v>4.8693900000000001</v>
      </c>
      <c r="E2308">
        <v>0.49371799999999999</v>
      </c>
      <c r="F2308" t="s">
        <v>70</v>
      </c>
      <c r="G2308">
        <v>-398.23309999999998</v>
      </c>
      <c r="H2308" s="1">
        <v>2.844475E-6</v>
      </c>
      <c r="I2308">
        <v>285.32619999999997</v>
      </c>
      <c r="J2308">
        <v>-368.58710000000002</v>
      </c>
      <c r="K2308">
        <v>1.1100909999999999</v>
      </c>
      <c r="L2308">
        <v>284.8845</v>
      </c>
      <c r="M2308">
        <v>-0.99967779999999995</v>
      </c>
      <c r="N2308">
        <v>0</v>
      </c>
      <c r="O2308">
        <v>2.215257E-2</v>
      </c>
      <c r="P2308">
        <v>-0.99912049999999997</v>
      </c>
      <c r="Q2308">
        <v>2.4804699999999999E-2</v>
      </c>
      <c r="R2308">
        <v>3.3806429999999998E-2</v>
      </c>
      <c r="S2308">
        <v>-3.0039669999999998</v>
      </c>
      <c r="T2308">
        <v>-0.1118932</v>
      </c>
      <c r="U2308">
        <v>4.4860839999999999E-2</v>
      </c>
      <c r="V2308">
        <v>1.1658450000000001E-2</v>
      </c>
      <c r="W2308">
        <v>3.7184549999999997E-2</v>
      </c>
      <c r="X2308">
        <v>0.99924040000000003</v>
      </c>
      <c r="Y2308">
        <v>-7.2029169999999997E-3</v>
      </c>
      <c r="Z2308">
        <v>-9.5889089999999998E-4</v>
      </c>
      <c r="AA2308">
        <v>0.99997360000000002</v>
      </c>
      <c r="AB2308">
        <v>28</v>
      </c>
      <c r="AC2308">
        <v>-29.645999999999901</v>
      </c>
      <c r="AD2308">
        <v>-1.110088155525</v>
      </c>
      <c r="AE2308">
        <v>0.44169999999996801</v>
      </c>
      <c r="AF2308">
        <v>-0.214892692397227</v>
      </c>
      <c r="AG2308">
        <v>-1.110088155525</v>
      </c>
      <c r="AH2308">
        <v>29.607006218549898</v>
      </c>
      <c r="AI2308">
        <v>92.147191553715203</v>
      </c>
      <c r="AJ2308">
        <v>90.415855221150693</v>
      </c>
      <c r="AK2308">
        <v>29.628589095796201</v>
      </c>
      <c r="AL2308">
        <v>87.868990927987895</v>
      </c>
      <c r="AM2308">
        <v>89.331542566448306</v>
      </c>
      <c r="AN2308">
        <v>0.99999999360363201</v>
      </c>
    </row>
    <row r="2309" spans="1:40" x14ac:dyDescent="0.25">
      <c r="A2309" t="str">
        <f>"20190312160339596"</f>
        <v>20190312160339596</v>
      </c>
      <c r="B2309" t="str">
        <f>"1552377819586590"</f>
        <v>1552377819586590</v>
      </c>
      <c r="C2309" t="s">
        <v>40</v>
      </c>
      <c r="D2309">
        <v>4.8650960000000003</v>
      </c>
      <c r="E2309">
        <v>0.49313020000000002</v>
      </c>
      <c r="F2309" t="s">
        <v>70</v>
      </c>
      <c r="G2309">
        <v>-399.44850000000002</v>
      </c>
      <c r="H2309" s="1">
        <v>3.4912469999999999E-6</v>
      </c>
      <c r="I2309">
        <v>285.31970000000001</v>
      </c>
      <c r="J2309">
        <v>-368.83499999999998</v>
      </c>
      <c r="K2309">
        <v>1.1101030000000001</v>
      </c>
      <c r="L2309">
        <v>284.89</v>
      </c>
      <c r="M2309">
        <v>-0.99968029999999997</v>
      </c>
      <c r="N2309">
        <v>0</v>
      </c>
      <c r="O2309">
        <v>2.204716E-2</v>
      </c>
      <c r="P2309">
        <v>-0.99912080000000003</v>
      </c>
      <c r="Q2309">
        <v>2.4958109999999999E-2</v>
      </c>
      <c r="R2309">
        <v>3.3691400000000003E-2</v>
      </c>
      <c r="S2309">
        <v>-3.0039060000000002</v>
      </c>
      <c r="T2309">
        <v>-0.1080508</v>
      </c>
      <c r="U2309">
        <v>4.2358399999999997E-2</v>
      </c>
      <c r="V2309">
        <v>1.164756E-2</v>
      </c>
      <c r="W2309">
        <v>3.7337509999999997E-2</v>
      </c>
      <c r="X2309">
        <v>0.99923490000000004</v>
      </c>
      <c r="Y2309">
        <v>-7.9310019999999995E-3</v>
      </c>
      <c r="Z2309">
        <v>-9.3531110000000001E-4</v>
      </c>
      <c r="AA2309">
        <v>0.99996810000000003</v>
      </c>
      <c r="AB2309">
        <v>28</v>
      </c>
      <c r="AC2309">
        <v>-30.613499999999998</v>
      </c>
      <c r="AD2309">
        <v>-1.1100995087529999</v>
      </c>
      <c r="AE2309">
        <v>0.42970000000002501</v>
      </c>
      <c r="AF2309">
        <v>-0.24507471931692101</v>
      </c>
      <c r="AG2309">
        <v>-1.1100995087529999</v>
      </c>
      <c r="AH2309">
        <v>30.575336018006901</v>
      </c>
      <c r="AI2309">
        <v>92.079259267217907</v>
      </c>
      <c r="AJ2309">
        <v>90.459240950646802</v>
      </c>
      <c r="AK2309">
        <v>30.596463115062999</v>
      </c>
      <c r="AL2309">
        <v>87.860221039552798</v>
      </c>
      <c r="AM2309">
        <v>89.332163231329503</v>
      </c>
      <c r="AN2309">
        <v>1.0000000703424701</v>
      </c>
    </row>
    <row r="2310" spans="1:40" x14ac:dyDescent="0.25">
      <c r="A2310" t="str">
        <f>"20190312160339610"</f>
        <v>20190312160339610</v>
      </c>
      <c r="B2310" t="str">
        <f>"1552377819607086"</f>
        <v>1552377819607086</v>
      </c>
      <c r="C2310" t="s">
        <v>40</v>
      </c>
      <c r="D2310">
        <v>4.881392</v>
      </c>
      <c r="E2310">
        <v>0.4927318</v>
      </c>
      <c r="F2310" t="s">
        <v>79</v>
      </c>
      <c r="G2310">
        <v>-400.91160000000002</v>
      </c>
      <c r="H2310" s="1">
        <v>7.8582450000000002E-6</v>
      </c>
      <c r="I2310">
        <v>285.29270000000002</v>
      </c>
      <c r="J2310">
        <v>-369.01139999999998</v>
      </c>
      <c r="K2310">
        <v>1.11012</v>
      </c>
      <c r="L2310">
        <v>284.8938</v>
      </c>
      <c r="M2310">
        <v>-0.99968210000000002</v>
      </c>
      <c r="N2310">
        <v>0</v>
      </c>
      <c r="O2310">
        <v>2.1963670000000001E-2</v>
      </c>
      <c r="P2310">
        <v>-0.99912809999999996</v>
      </c>
      <c r="Q2310">
        <v>2.492109E-2</v>
      </c>
      <c r="R2310">
        <v>3.3495619999999997E-2</v>
      </c>
      <c r="S2310">
        <v>-3.0039370000000001</v>
      </c>
      <c r="T2310">
        <v>-0.1039591</v>
      </c>
      <c r="U2310">
        <v>3.771973E-2</v>
      </c>
      <c r="V2310">
        <v>1.153407E-2</v>
      </c>
      <c r="W2310">
        <v>3.7300340000000001E-2</v>
      </c>
      <c r="X2310">
        <v>0.9992375</v>
      </c>
      <c r="Y2310">
        <v>-9.3921160000000007E-3</v>
      </c>
      <c r="Z2310">
        <v>-9.2230369999999999E-4</v>
      </c>
      <c r="AA2310">
        <v>0.9999555</v>
      </c>
      <c r="AB2310">
        <v>28</v>
      </c>
      <c r="AC2310">
        <v>-31.900200000000002</v>
      </c>
      <c r="AD2310">
        <v>-1.1101121417549999</v>
      </c>
      <c r="AE2310">
        <v>0.39890000000002601</v>
      </c>
      <c r="AF2310">
        <v>-0.30153031819269699</v>
      </c>
      <c r="AG2310">
        <v>-1.1101121417549999</v>
      </c>
      <c r="AH2310">
        <v>31.862685574491099</v>
      </c>
      <c r="AI2310">
        <v>91.995317653032501</v>
      </c>
      <c r="AJ2310">
        <v>90.542198455822799</v>
      </c>
      <c r="AK2310">
        <v>31.883444003415701</v>
      </c>
      <c r="AL2310">
        <v>87.862351984444302</v>
      </c>
      <c r="AM2310">
        <v>89.338671553346202</v>
      </c>
      <c r="AN2310">
        <v>0.99999996577056405</v>
      </c>
    </row>
    <row r="2311" spans="1:40" x14ac:dyDescent="0.25">
      <c r="A2311" t="str">
        <f>"20190312160339628"</f>
        <v>20190312160339628</v>
      </c>
      <c r="B2311" t="str">
        <f>"1552377819616847"</f>
        <v>1552377819616847</v>
      </c>
      <c r="C2311" t="s">
        <v>40</v>
      </c>
      <c r="D2311">
        <v>4.8442850000000002</v>
      </c>
      <c r="E2311">
        <v>0.49256430000000001</v>
      </c>
      <c r="F2311" t="s">
        <v>79</v>
      </c>
      <c r="G2311">
        <v>-403.38679999999999</v>
      </c>
      <c r="H2311" s="1">
        <v>6.7619649999999999E-6</v>
      </c>
      <c r="I2311">
        <v>285.28590000000003</v>
      </c>
      <c r="J2311">
        <v>-369.24090000000001</v>
      </c>
      <c r="K2311">
        <v>1.110134</v>
      </c>
      <c r="L2311">
        <v>284.89870000000002</v>
      </c>
      <c r="M2311">
        <v>-0.99968480000000004</v>
      </c>
      <c r="N2311">
        <v>0</v>
      </c>
      <c r="O2311">
        <v>2.1843620000000001E-2</v>
      </c>
      <c r="P2311">
        <v>-0.99915639999999994</v>
      </c>
      <c r="Q2311">
        <v>2.434739E-2</v>
      </c>
      <c r="R2311">
        <v>3.307351E-2</v>
      </c>
      <c r="S2311">
        <v>-3.0038149999999999</v>
      </c>
      <c r="T2311">
        <v>-9.7004649999999998E-2</v>
      </c>
      <c r="U2311">
        <v>3.4271240000000001E-2</v>
      </c>
      <c r="V2311">
        <v>1.123044E-2</v>
      </c>
      <c r="W2311">
        <v>3.6726149999999999E-2</v>
      </c>
      <c r="X2311">
        <v>0.99926230000000005</v>
      </c>
      <c r="Y2311">
        <v>-1.042128E-2</v>
      </c>
      <c r="Z2311">
        <v>-8.7341929999999995E-4</v>
      </c>
      <c r="AA2311">
        <v>0.99994530000000004</v>
      </c>
      <c r="AB2311">
        <v>28</v>
      </c>
      <c r="AC2311">
        <v>-34.145899999999898</v>
      </c>
      <c r="AD2311">
        <v>-1.110127238035</v>
      </c>
      <c r="AE2311">
        <v>0.38720000000000698</v>
      </c>
      <c r="AF2311">
        <v>-0.35844077107245298</v>
      </c>
      <c r="AG2311">
        <v>-1.110127238035</v>
      </c>
      <c r="AH2311">
        <v>34.110160769465303</v>
      </c>
      <c r="AI2311">
        <v>91.863950607435399</v>
      </c>
      <c r="AJ2311">
        <v>90.602060706748205</v>
      </c>
      <c r="AK2311">
        <v>34.130102988267801</v>
      </c>
      <c r="AL2311">
        <v>87.895273361334105</v>
      </c>
      <c r="AM2311">
        <v>89.356095266827793</v>
      </c>
      <c r="AN2311">
        <v>1.0000000385388499</v>
      </c>
    </row>
    <row r="2312" spans="1:40" x14ac:dyDescent="0.25">
      <c r="A2312" t="str">
        <f>"20190312160339640"</f>
        <v>20190312160339640</v>
      </c>
      <c r="B2312" t="str">
        <f>"1552377819636367"</f>
        <v>1552377819636367</v>
      </c>
      <c r="C2312" t="s">
        <v>40</v>
      </c>
      <c r="D2312">
        <v>4.8913520000000004</v>
      </c>
      <c r="E2312">
        <v>0.49234660000000002</v>
      </c>
      <c r="F2312" t="s">
        <v>79</v>
      </c>
      <c r="G2312">
        <v>-404.05770000000001</v>
      </c>
      <c r="H2312" s="1">
        <v>6.4686869999999999E-6</v>
      </c>
      <c r="I2312">
        <v>285.26549999999997</v>
      </c>
      <c r="J2312">
        <v>-369.38420000000002</v>
      </c>
      <c r="K2312">
        <v>1.110134</v>
      </c>
      <c r="L2312">
        <v>284.90170000000001</v>
      </c>
      <c r="M2312">
        <v>-0.99968650000000003</v>
      </c>
      <c r="N2312">
        <v>0</v>
      </c>
      <c r="O2312">
        <v>2.176312E-2</v>
      </c>
      <c r="P2312">
        <v>-0.99916490000000002</v>
      </c>
      <c r="Q2312">
        <v>2.4193429999999998E-2</v>
      </c>
      <c r="R2312">
        <v>3.2932349999999999E-2</v>
      </c>
      <c r="S2312">
        <v>-3.003784</v>
      </c>
      <c r="T2312">
        <v>-9.577513E-2</v>
      </c>
      <c r="U2312">
        <v>3.1646729999999998E-2</v>
      </c>
      <c r="V2312">
        <v>1.1169200000000001E-2</v>
      </c>
      <c r="W2312">
        <v>3.6572710000000001E-2</v>
      </c>
      <c r="X2312">
        <v>0.99926859999999995</v>
      </c>
      <c r="Y2312">
        <v>-1.121428E-2</v>
      </c>
      <c r="Z2312">
        <v>-8.7244239999999999E-4</v>
      </c>
      <c r="AA2312">
        <v>0.99993679999999996</v>
      </c>
      <c r="AB2312">
        <v>28</v>
      </c>
      <c r="AC2312">
        <v>-34.673499999999898</v>
      </c>
      <c r="AD2312">
        <v>-1.1101275313129999</v>
      </c>
      <c r="AE2312">
        <v>0.36379999999996898</v>
      </c>
      <c r="AF2312">
        <v>-0.39054726238630899</v>
      </c>
      <c r="AG2312">
        <v>-1.1101275313129999</v>
      </c>
      <c r="AH2312">
        <v>34.637702629861302</v>
      </c>
      <c r="AI2312">
        <v>91.8355668560731</v>
      </c>
      <c r="AJ2312">
        <v>90.645994392122901</v>
      </c>
      <c r="AK2312">
        <v>34.657688234714001</v>
      </c>
      <c r="AL2312">
        <v>87.9040707062872</v>
      </c>
      <c r="AM2312">
        <v>89.359610246760596</v>
      </c>
      <c r="AN2312">
        <v>1.0000000245456699</v>
      </c>
    </row>
    <row r="2313" spans="1:40" x14ac:dyDescent="0.25">
      <c r="A2313" t="str">
        <f>"20190312160339651"</f>
        <v>20190312160339651</v>
      </c>
      <c r="B2313" t="str">
        <f>"1552377819647105"</f>
        <v>1552377819647105</v>
      </c>
      <c r="C2313" t="s">
        <v>40</v>
      </c>
      <c r="D2313">
        <v>4.8860150000000004</v>
      </c>
      <c r="E2313">
        <v>0.49222280000000002</v>
      </c>
      <c r="F2313" t="s">
        <v>79</v>
      </c>
      <c r="G2313">
        <v>-404.5401</v>
      </c>
      <c r="H2313" s="1">
        <v>6.2581309999999899E-6</v>
      </c>
      <c r="I2313">
        <v>285.24919999999997</v>
      </c>
      <c r="J2313">
        <v>-369.52730000000003</v>
      </c>
      <c r="K2313">
        <v>1.1101399999999999</v>
      </c>
      <c r="L2313">
        <v>284.90469999999999</v>
      </c>
      <c r="M2313">
        <v>-0.99968840000000003</v>
      </c>
      <c r="N2313">
        <v>0</v>
      </c>
      <c r="O2313">
        <v>2.1680660000000001E-2</v>
      </c>
      <c r="P2313">
        <v>-0.99917199999999995</v>
      </c>
      <c r="Q2313">
        <v>2.413744E-2</v>
      </c>
      <c r="R2313">
        <v>3.2759660000000003E-2</v>
      </c>
      <c r="S2313">
        <v>-3.0038149999999999</v>
      </c>
      <c r="T2313">
        <v>-9.4852210000000006E-2</v>
      </c>
      <c r="U2313">
        <v>2.9693600000000001E-2</v>
      </c>
      <c r="V2313">
        <v>1.1078279999999999E-2</v>
      </c>
      <c r="W2313">
        <v>3.6516479999999997E-2</v>
      </c>
      <c r="X2313">
        <v>0.99927160000000004</v>
      </c>
      <c r="Y2313">
        <v>-1.17821E-2</v>
      </c>
      <c r="Z2313">
        <v>-8.7039449999999998E-4</v>
      </c>
      <c r="AA2313">
        <v>0.99993019999999999</v>
      </c>
      <c r="AB2313">
        <v>28</v>
      </c>
      <c r="AC2313">
        <v>-35.012799999999899</v>
      </c>
      <c r="AD2313">
        <v>-1.1101337418689901</v>
      </c>
      <c r="AE2313">
        <v>0.34449999999998199</v>
      </c>
      <c r="AF2313">
        <v>-0.41432321821114898</v>
      </c>
      <c r="AG2313">
        <v>-1.1101337418689901</v>
      </c>
      <c r="AH2313">
        <v>34.976879477350003</v>
      </c>
      <c r="AI2313">
        <v>91.817777232434807</v>
      </c>
      <c r="AJ2313">
        <v>90.678672936613594</v>
      </c>
      <c r="AK2313">
        <v>34.9969449899138</v>
      </c>
      <c r="AL2313">
        <v>87.907294458041605</v>
      </c>
      <c r="AM2313">
        <v>89.364824652762593</v>
      </c>
      <c r="AN2313">
        <v>0.999999956082953</v>
      </c>
    </row>
    <row r="2314" spans="1:40" x14ac:dyDescent="0.25">
      <c r="A2314" t="str">
        <f>"20190312160339662"</f>
        <v>20190312160339662</v>
      </c>
      <c r="B2314" t="str">
        <f>"1552377819656862"</f>
        <v>1552377819656862</v>
      </c>
      <c r="C2314" t="s">
        <v>40</v>
      </c>
      <c r="D2314">
        <v>4.9065690000000002</v>
      </c>
      <c r="E2314">
        <v>0.49217159999999899</v>
      </c>
      <c r="F2314" t="s">
        <v>79</v>
      </c>
      <c r="G2314">
        <v>-404.0539</v>
      </c>
      <c r="H2314" s="1">
        <v>6.4779390000000003E-6</v>
      </c>
      <c r="I2314">
        <v>285.22879999999998</v>
      </c>
      <c r="J2314">
        <v>-369.67720000000003</v>
      </c>
      <c r="K2314">
        <v>1.110144</v>
      </c>
      <c r="L2314">
        <v>284.90789999999998</v>
      </c>
      <c r="M2314">
        <v>-0.99969030000000003</v>
      </c>
      <c r="N2314">
        <v>0</v>
      </c>
      <c r="O2314">
        <v>2.159107E-2</v>
      </c>
      <c r="P2314">
        <v>-0.99917849999999997</v>
      </c>
      <c r="Q2314">
        <v>2.427648E-2</v>
      </c>
      <c r="R2314">
        <v>3.2451180000000003E-2</v>
      </c>
      <c r="S2314">
        <v>-3.0039370000000001</v>
      </c>
      <c r="T2314">
        <v>-9.6585270000000001E-2</v>
      </c>
      <c r="U2314">
        <v>2.8198239999999999E-2</v>
      </c>
      <c r="V2314">
        <v>1.085882E-2</v>
      </c>
      <c r="W2314">
        <v>3.6655630000000002E-2</v>
      </c>
      <c r="X2314">
        <v>0.99926890000000002</v>
      </c>
      <c r="Y2314">
        <v>-1.218983E-2</v>
      </c>
      <c r="Z2314">
        <v>-8.8993039999999996E-4</v>
      </c>
      <c r="AA2314">
        <v>0.99992530000000002</v>
      </c>
      <c r="AB2314">
        <v>28</v>
      </c>
      <c r="AC2314">
        <v>-34.3766999999999</v>
      </c>
      <c r="AD2314">
        <v>-1.1101375220609999</v>
      </c>
      <c r="AE2314">
        <v>0.32089999999999402</v>
      </c>
      <c r="AF2314">
        <v>-0.42102236088042599</v>
      </c>
      <c r="AG2314">
        <v>-1.1101375220609999</v>
      </c>
      <c r="AH2314">
        <v>34.339805753935103</v>
      </c>
      <c r="AI2314">
        <v>91.851474515119904</v>
      </c>
      <c r="AJ2314">
        <v>90.702438328669899</v>
      </c>
      <c r="AK2314">
        <v>34.360324858246699</v>
      </c>
      <c r="AL2314">
        <v>87.899316378787404</v>
      </c>
      <c r="AM2314">
        <v>89.377404752147498</v>
      </c>
      <c r="AN2314">
        <v>0.99999994184484797</v>
      </c>
    </row>
    <row r="2315" spans="1:40" x14ac:dyDescent="0.25">
      <c r="A2315" t="str">
        <f>"20190312160339685"</f>
        <v>20190312160339685</v>
      </c>
      <c r="B2315" t="str">
        <f>"1552377819676382"</f>
        <v>1552377819676382</v>
      </c>
      <c r="C2315" t="s">
        <v>40</v>
      </c>
      <c r="D2315">
        <v>4.9178089999999903</v>
      </c>
      <c r="E2315">
        <v>0.49199199999999998</v>
      </c>
      <c r="F2315" t="s">
        <v>79</v>
      </c>
      <c r="G2315">
        <v>-405.13279999999997</v>
      </c>
      <c r="H2315" s="1">
        <v>6.0000839999999999E-6</v>
      </c>
      <c r="I2315">
        <v>285.226</v>
      </c>
      <c r="J2315">
        <v>-369.94560000000001</v>
      </c>
      <c r="K2315">
        <v>1.1101510000000001</v>
      </c>
      <c r="L2315">
        <v>284.9135</v>
      </c>
      <c r="M2315">
        <v>-0.99969390000000002</v>
      </c>
      <c r="N2315">
        <v>0</v>
      </c>
      <c r="O2315">
        <v>2.1425420000000001E-2</v>
      </c>
      <c r="P2315">
        <v>-0.99918459999999998</v>
      </c>
      <c r="Q2315">
        <v>2.4272249999999999E-2</v>
      </c>
      <c r="R2315">
        <v>3.2268709999999999E-2</v>
      </c>
      <c r="S2315">
        <v>-3.003876</v>
      </c>
      <c r="T2315">
        <v>-9.4053269999999994E-2</v>
      </c>
      <c r="U2315">
        <v>2.6947019999999999E-2</v>
      </c>
      <c r="V2315">
        <v>1.084157E-2</v>
      </c>
      <c r="W2315">
        <v>3.6651330000000003E-2</v>
      </c>
      <c r="X2315">
        <v>0.99926930000000003</v>
      </c>
      <c r="Y2315">
        <v>-1.2441270000000001E-2</v>
      </c>
      <c r="Z2315">
        <v>-8.6538279999999999E-4</v>
      </c>
      <c r="AA2315">
        <v>0.99992219999999998</v>
      </c>
      <c r="AB2315">
        <v>28</v>
      </c>
      <c r="AC2315">
        <v>-35.187199999999898</v>
      </c>
      <c r="AD2315">
        <v>-1.110144999916</v>
      </c>
      <c r="AE2315">
        <v>0.3125</v>
      </c>
      <c r="AF2315">
        <v>-0.441090966348679</v>
      </c>
      <c r="AG2315">
        <v>-1.110144999916</v>
      </c>
      <c r="AH2315">
        <v>35.150831711833497</v>
      </c>
      <c r="AI2315">
        <v>91.808790357269004</v>
      </c>
      <c r="AJ2315">
        <v>90.718939584787194</v>
      </c>
      <c r="AK2315">
        <v>35.171123854592302</v>
      </c>
      <c r="AL2315">
        <v>87.899563031750603</v>
      </c>
      <c r="AM2315">
        <v>89.378393959664507</v>
      </c>
      <c r="AN2315">
        <v>0.99999999677666196</v>
      </c>
    </row>
    <row r="2316" spans="1:40" x14ac:dyDescent="0.25">
      <c r="A2316" t="str">
        <f>"20190312160339696"</f>
        <v>20190312160339696</v>
      </c>
      <c r="B2316" t="str">
        <f>"1552377819687118"</f>
        <v>1552377819687118</v>
      </c>
      <c r="C2316" t="s">
        <v>40</v>
      </c>
      <c r="D2316">
        <v>4.9125350000000001</v>
      </c>
      <c r="E2316">
        <v>0.49197059999999998</v>
      </c>
      <c r="F2316" t="s">
        <v>79</v>
      </c>
      <c r="G2316">
        <v>-405.84309999999999</v>
      </c>
      <c r="H2316" s="1">
        <v>5.6881819999999999E-6</v>
      </c>
      <c r="I2316">
        <v>285.21109999999999</v>
      </c>
      <c r="J2316">
        <v>-370.09370000000001</v>
      </c>
      <c r="K2316">
        <v>1.1101529999999999</v>
      </c>
      <c r="L2316">
        <v>284.91660000000002</v>
      </c>
      <c r="M2316">
        <v>-0.99969569999999996</v>
      </c>
      <c r="N2316">
        <v>0</v>
      </c>
      <c r="O2316">
        <v>2.133349E-2</v>
      </c>
      <c r="P2316">
        <v>-0.9991835</v>
      </c>
      <c r="Q2316">
        <v>2.4270960000000001E-2</v>
      </c>
      <c r="R2316">
        <v>3.2299290000000001E-2</v>
      </c>
      <c r="S2316">
        <v>-3.0039370000000001</v>
      </c>
      <c r="T2316">
        <v>-9.2897889999999997E-2</v>
      </c>
      <c r="U2316">
        <v>2.4902339999999999E-2</v>
      </c>
      <c r="V2316">
        <v>1.0963809999999999E-2</v>
      </c>
      <c r="W2316">
        <v>3.6649910000000001E-2</v>
      </c>
      <c r="X2316">
        <v>0.99926800000000005</v>
      </c>
      <c r="Y2316">
        <v>-1.303023E-2</v>
      </c>
      <c r="Z2316">
        <v>-8.6100649999999897E-4</v>
      </c>
      <c r="AA2316">
        <v>0.99991470000000005</v>
      </c>
      <c r="AB2316">
        <v>28</v>
      </c>
      <c r="AC2316">
        <v>-35.749399999999902</v>
      </c>
      <c r="AD2316">
        <v>-1.1101473118179901</v>
      </c>
      <c r="AE2316">
        <v>0.29449999999997001</v>
      </c>
      <c r="AF2316">
        <v>-0.46783388656657898</v>
      </c>
      <c r="AG2316">
        <v>-1.1101473118179901</v>
      </c>
      <c r="AH2316">
        <v>35.713109197038897</v>
      </c>
      <c r="AI2316">
        <v>91.780321843440802</v>
      </c>
      <c r="AJ2316">
        <v>90.750519198561193</v>
      </c>
      <c r="AK2316">
        <v>35.733422227922503</v>
      </c>
      <c r="AL2316">
        <v>87.899644407901803</v>
      </c>
      <c r="AM2316">
        <v>89.371385018673806</v>
      </c>
      <c r="AN2316">
        <v>0.99999997842836097</v>
      </c>
    </row>
    <row r="2317" spans="1:40" x14ac:dyDescent="0.25">
      <c r="A2317" t="str">
        <f>"20190312160339708"</f>
        <v>20190312160339708</v>
      </c>
      <c r="B2317" t="str">
        <f>"1552377819696879"</f>
        <v>1552377819696879</v>
      </c>
      <c r="C2317" t="s">
        <v>40</v>
      </c>
      <c r="D2317">
        <v>4.9146989999999997</v>
      </c>
      <c r="E2317">
        <v>0.49198059999999899</v>
      </c>
      <c r="F2317" t="s">
        <v>79</v>
      </c>
      <c r="G2317">
        <v>-406.43979999999999</v>
      </c>
      <c r="H2317" s="1">
        <v>5.4221159999999997E-6</v>
      </c>
      <c r="I2317">
        <v>285.2183</v>
      </c>
      <c r="J2317">
        <v>-370.24299999999999</v>
      </c>
      <c r="K2317">
        <v>1.1101540000000001</v>
      </c>
      <c r="L2317">
        <v>284.9196</v>
      </c>
      <c r="M2317">
        <v>-0.99969770000000002</v>
      </c>
      <c r="N2317">
        <v>0</v>
      </c>
      <c r="O2317">
        <v>2.12409E-2</v>
      </c>
      <c r="P2317">
        <v>-0.9991814</v>
      </c>
      <c r="Q2317">
        <v>2.4240520000000002E-2</v>
      </c>
      <c r="R2317">
        <v>3.2389469999999997E-2</v>
      </c>
      <c r="S2317">
        <v>-3.003876</v>
      </c>
      <c r="T2317">
        <v>-9.1749789999999998E-2</v>
      </c>
      <c r="U2317">
        <v>2.4932860000000001E-2</v>
      </c>
      <c r="V2317">
        <v>1.11466E-2</v>
      </c>
      <c r="W2317">
        <v>3.6619400000000003E-2</v>
      </c>
      <c r="X2317">
        <v>0.99926709999999996</v>
      </c>
      <c r="Y2317">
        <v>-1.292779E-2</v>
      </c>
      <c r="Z2317">
        <v>-8.4599679999999996E-4</v>
      </c>
      <c r="AA2317">
        <v>0.99991609999999997</v>
      </c>
      <c r="AB2317">
        <v>28</v>
      </c>
      <c r="AC2317">
        <v>-36.196799999999897</v>
      </c>
      <c r="AD2317">
        <v>-1.1101485778839999</v>
      </c>
      <c r="AE2317">
        <v>0.29869999999999602</v>
      </c>
      <c r="AF2317">
        <v>-0.46983704629027401</v>
      </c>
      <c r="AG2317">
        <v>-1.1101485778839999</v>
      </c>
      <c r="AH2317">
        <v>36.160965398656899</v>
      </c>
      <c r="AI2317">
        <v>91.758290807566794</v>
      </c>
      <c r="AJ2317">
        <v>90.744398409741095</v>
      </c>
      <c r="AK2317">
        <v>36.181052987411903</v>
      </c>
      <c r="AL2317">
        <v>87.901393684215194</v>
      </c>
      <c r="AM2317">
        <v>89.360904958339006</v>
      </c>
      <c r="AN2317">
        <v>0.99999998214516395</v>
      </c>
    </row>
    <row r="2318" spans="1:40" x14ac:dyDescent="0.25">
      <c r="A2318" t="str">
        <f>"20190312160339720"</f>
        <v>20190312160339720</v>
      </c>
      <c r="B2318" t="str">
        <f>"1552377819716399"</f>
        <v>1552377819716399</v>
      </c>
      <c r="C2318" t="s">
        <v>40</v>
      </c>
      <c r="D2318">
        <v>4.8948400000000003</v>
      </c>
      <c r="E2318">
        <v>0.49149939999999998</v>
      </c>
      <c r="F2318" t="s">
        <v>79</v>
      </c>
      <c r="G2318">
        <v>-407.15550000000002</v>
      </c>
      <c r="H2318" s="1">
        <v>5.1022710000000001E-6</v>
      </c>
      <c r="I2318">
        <v>285.23009999999999</v>
      </c>
      <c r="J2318">
        <v>-370.39139999999998</v>
      </c>
      <c r="K2318">
        <v>1.1101540000000001</v>
      </c>
      <c r="L2318">
        <v>284.92270000000002</v>
      </c>
      <c r="M2318">
        <v>-0.99969969999999997</v>
      </c>
      <c r="N2318">
        <v>0</v>
      </c>
      <c r="O2318">
        <v>2.1149169999999998E-2</v>
      </c>
      <c r="P2318">
        <v>-0.99918169999999995</v>
      </c>
      <c r="Q2318">
        <v>2.418089E-2</v>
      </c>
      <c r="R2318">
        <v>3.242333E-2</v>
      </c>
      <c r="S2318">
        <v>-3.0038450000000001</v>
      </c>
      <c r="T2318">
        <v>-9.0341089999999999E-2</v>
      </c>
      <c r="U2318">
        <v>2.5268550000000001E-2</v>
      </c>
      <c r="V2318">
        <v>1.1271979999999999E-2</v>
      </c>
      <c r="W2318">
        <v>3.6559359999999999E-2</v>
      </c>
      <c r="X2318">
        <v>0.99926789999999999</v>
      </c>
      <c r="Y2318">
        <v>-1.2724839999999999E-2</v>
      </c>
      <c r="Z2318">
        <v>-8.2721270000000004E-4</v>
      </c>
      <c r="AA2318">
        <v>0.99991870000000005</v>
      </c>
      <c r="AB2318">
        <v>28</v>
      </c>
      <c r="AC2318">
        <v>-36.764099999999999</v>
      </c>
      <c r="AD2318">
        <v>-1.1101488977289999</v>
      </c>
      <c r="AE2318">
        <v>0.30739999999997197</v>
      </c>
      <c r="AF2318">
        <v>-0.46983016548412398</v>
      </c>
      <c r="AG2318">
        <v>-1.1101488977289999</v>
      </c>
      <c r="AH2318">
        <v>36.728889297297997</v>
      </c>
      <c r="AI2318">
        <v>91.731124726569703</v>
      </c>
      <c r="AJ2318">
        <v>90.732878612739697</v>
      </c>
      <c r="AK2318">
        <v>36.7486663699882</v>
      </c>
      <c r="AL2318">
        <v>87.904836044712496</v>
      </c>
      <c r="AM2318">
        <v>89.353717366544601</v>
      </c>
      <c r="AN2318">
        <v>0.99999999015357</v>
      </c>
    </row>
    <row r="2319" spans="1:40" x14ac:dyDescent="0.25">
      <c r="A2319" t="str">
        <f>"20190312160339740"</f>
        <v>20190312160339740</v>
      </c>
      <c r="B2319" t="str">
        <f>"1552377819727135"</f>
        <v>1552377819727135</v>
      </c>
      <c r="C2319" t="s">
        <v>40</v>
      </c>
      <c r="D2319">
        <v>4.838902</v>
      </c>
      <c r="E2319">
        <v>0.49149939999999998</v>
      </c>
      <c r="F2319" t="s">
        <v>79</v>
      </c>
      <c r="G2319">
        <v>-407.20010000000002</v>
      </c>
      <c r="H2319" s="1">
        <v>5.0914449999999998E-6</v>
      </c>
      <c r="I2319">
        <v>285.18669999999997</v>
      </c>
      <c r="J2319">
        <v>-370.6429</v>
      </c>
      <c r="K2319">
        <v>1.1101589999999999</v>
      </c>
      <c r="L2319">
        <v>284.92790000000002</v>
      </c>
      <c r="M2319">
        <v>-0.99970289999999995</v>
      </c>
      <c r="N2319">
        <v>0</v>
      </c>
      <c r="O2319">
        <v>2.0995880000000001E-2</v>
      </c>
      <c r="P2319">
        <v>-0.99919009999999997</v>
      </c>
      <c r="Q2319">
        <v>2.416507E-2</v>
      </c>
      <c r="R2319">
        <v>3.2174889999999998E-2</v>
      </c>
      <c r="S2319">
        <v>-3.0039370000000001</v>
      </c>
      <c r="T2319">
        <v>-9.0598579999999998E-2</v>
      </c>
      <c r="U2319">
        <v>2.1545410000000001E-2</v>
      </c>
      <c r="V2319">
        <v>1.1176820000000001E-2</v>
      </c>
      <c r="W2319">
        <v>3.6543159999999998E-2</v>
      </c>
      <c r="X2319">
        <v>0.99926950000000003</v>
      </c>
      <c r="Y2319">
        <v>-1.3810499999999899E-2</v>
      </c>
      <c r="Z2319">
        <v>-8.4129639999999998E-4</v>
      </c>
      <c r="AA2319">
        <v>0.99990429999999997</v>
      </c>
      <c r="AB2319">
        <v>28</v>
      </c>
      <c r="AC2319">
        <v>-36.557200000000002</v>
      </c>
      <c r="AD2319">
        <v>-1.1101539085550001</v>
      </c>
      <c r="AE2319">
        <v>0.25879999999995101</v>
      </c>
      <c r="AF2319">
        <v>-0.508397660167756</v>
      </c>
      <c r="AG2319">
        <v>-1.1101539085550001</v>
      </c>
      <c r="AH2319">
        <v>36.520896798640301</v>
      </c>
      <c r="AI2319">
        <v>91.740959339781995</v>
      </c>
      <c r="AJ2319">
        <v>90.797547744057994</v>
      </c>
      <c r="AK2319">
        <v>36.541302834716703</v>
      </c>
      <c r="AL2319">
        <v>87.905764728327696</v>
      </c>
      <c r="AM2319">
        <v>89.359173965095295</v>
      </c>
      <c r="AN2319">
        <v>0.99999992873917098</v>
      </c>
    </row>
    <row r="2320" spans="1:40" x14ac:dyDescent="0.25">
      <c r="A2320" t="str">
        <f>"20190312160339752"</f>
        <v>20190312160339752</v>
      </c>
      <c r="B2320" t="str">
        <f>"1552377819746654"</f>
        <v>1552377819746654</v>
      </c>
      <c r="C2320" t="s">
        <v>40</v>
      </c>
      <c r="D2320">
        <v>4.858053</v>
      </c>
      <c r="E2320">
        <v>0.46535280000000001</v>
      </c>
      <c r="F2320" t="s">
        <v>79</v>
      </c>
      <c r="G2320">
        <v>-407.41879999999998</v>
      </c>
      <c r="H2320" s="1">
        <v>4.9953780000000003E-6</v>
      </c>
      <c r="I2320">
        <v>285.1823</v>
      </c>
      <c r="J2320">
        <v>-370.79629999999997</v>
      </c>
      <c r="K2320">
        <v>1.110158</v>
      </c>
      <c r="L2320">
        <v>284.93090000000001</v>
      </c>
      <c r="M2320">
        <v>-0.99970490000000001</v>
      </c>
      <c r="N2320">
        <v>0</v>
      </c>
      <c r="O2320">
        <v>2.090351E-2</v>
      </c>
      <c r="P2320">
        <v>-0.99920220000000004</v>
      </c>
      <c r="Q2320">
        <v>2.3917830000000001E-2</v>
      </c>
      <c r="R2320">
        <v>3.1985260000000001E-2</v>
      </c>
      <c r="S2320">
        <v>-3.0039669999999998</v>
      </c>
      <c r="T2320">
        <v>-9.06806E-2</v>
      </c>
      <c r="U2320">
        <v>2.0782470000000001E-2</v>
      </c>
      <c r="V2320">
        <v>1.1079479999999999E-2</v>
      </c>
      <c r="W2320">
        <v>3.6295849999999998E-2</v>
      </c>
      <c r="X2320">
        <v>0.99927969999999999</v>
      </c>
      <c r="Y2320">
        <v>-1.397206E-2</v>
      </c>
      <c r="Z2320">
        <v>-8.4170060000000001E-4</v>
      </c>
      <c r="AA2320">
        <v>0.99990199999999996</v>
      </c>
      <c r="AB2320">
        <v>28</v>
      </c>
      <c r="AC2320">
        <v>-36.622500000000002</v>
      </c>
      <c r="AD2320">
        <v>-1.1101530046220001</v>
      </c>
      <c r="AE2320">
        <v>0.25139999999998902</v>
      </c>
      <c r="AF2320">
        <v>-0.51378027306508101</v>
      </c>
      <c r="AG2320">
        <v>-1.1101530046220001</v>
      </c>
      <c r="AH2320">
        <v>36.586134693541801</v>
      </c>
      <c r="AI2320">
        <v>91.737852501959907</v>
      </c>
      <c r="AJ2320">
        <v>90.804553600202894</v>
      </c>
      <c r="AK2320">
        <v>36.606579486161301</v>
      </c>
      <c r="AL2320">
        <v>87.919944168506404</v>
      </c>
      <c r="AM2320">
        <v>89.3647610049306</v>
      </c>
      <c r="AN2320">
        <v>1.00000003121819</v>
      </c>
    </row>
    <row r="2321" spans="1:40" x14ac:dyDescent="0.25">
      <c r="A2321" t="str">
        <f>"20190312160339764"</f>
        <v>20190312160339764</v>
      </c>
      <c r="B2321" t="str">
        <f>"1552377819756415"</f>
        <v>1552377819756415</v>
      </c>
      <c r="C2321" t="s">
        <v>40</v>
      </c>
      <c r="D2321">
        <v>4.8318059999999896</v>
      </c>
      <c r="E2321">
        <v>0.46540049999999999</v>
      </c>
      <c r="F2321" t="s">
        <v>76</v>
      </c>
      <c r="G2321">
        <v>-511.959</v>
      </c>
      <c r="H2321">
        <v>1.261088</v>
      </c>
      <c r="I2321">
        <v>276.30560000000003</v>
      </c>
      <c r="J2321">
        <v>-370.93939999999998</v>
      </c>
      <c r="K2321">
        <v>1.1101570000000001</v>
      </c>
      <c r="L2321">
        <v>284.93380000000002</v>
      </c>
      <c r="M2321">
        <v>-0.99970669999999995</v>
      </c>
      <c r="N2321">
        <v>0</v>
      </c>
      <c r="O2321">
        <v>2.0818110000000001E-2</v>
      </c>
      <c r="P2321">
        <v>-0.99921559999999998</v>
      </c>
      <c r="Q2321">
        <v>2.3726259999999999E-2</v>
      </c>
      <c r="R2321">
        <v>3.1708390000000003E-2</v>
      </c>
      <c r="S2321">
        <v>-3.0082089999999999</v>
      </c>
      <c r="T2321">
        <v>3.218055E-3</v>
      </c>
      <c r="U2321">
        <v>-0.18380740000000001</v>
      </c>
      <c r="V2321">
        <v>1.0887910000000001E-2</v>
      </c>
      <c r="W2321">
        <v>3.6104289999999997E-2</v>
      </c>
      <c r="X2321">
        <v>0.99928870000000003</v>
      </c>
      <c r="Y2321">
        <v>-8.1755850000000005E-2</v>
      </c>
      <c r="Z2321" s="1">
        <v>6.5942319999999995E-5</v>
      </c>
      <c r="AA2321">
        <v>0.99665239999999999</v>
      </c>
      <c r="AB2321">
        <v>28</v>
      </c>
      <c r="AC2321">
        <v>-141.0196</v>
      </c>
      <c r="AD2321">
        <v>0.15093099999999901</v>
      </c>
      <c r="AE2321">
        <v>-8.6281999999999908</v>
      </c>
      <c r="AF2321">
        <v>-11.5623029449679</v>
      </c>
      <c r="AG2321">
        <v>0.15093099999999901</v>
      </c>
      <c r="AH2321">
        <v>140.80923623737601</v>
      </c>
      <c r="AI2321">
        <v>89.938791666655405</v>
      </c>
      <c r="AJ2321">
        <v>94.694210762770197</v>
      </c>
      <c r="AK2321">
        <v>141.283228443121</v>
      </c>
      <c r="AL2321">
        <v>87.930926852924202</v>
      </c>
      <c r="AM2321">
        <v>89.375749364174993</v>
      </c>
      <c r="AN2321">
        <v>0.99999998614413099</v>
      </c>
    </row>
    <row r="2322" spans="1:40" x14ac:dyDescent="0.25">
      <c r="A2322" t="str">
        <f>"20190312160339786"</f>
        <v>20190312160339786</v>
      </c>
      <c r="B2322" t="str">
        <f>"1552377819776911"</f>
        <v>1552377819776911</v>
      </c>
      <c r="C2322" t="s">
        <v>40</v>
      </c>
      <c r="D2322">
        <v>4.8059599999999998</v>
      </c>
      <c r="E2322">
        <v>0.46540290000000001</v>
      </c>
      <c r="F2322" t="s">
        <v>76</v>
      </c>
      <c r="G2322">
        <v>-511.959</v>
      </c>
      <c r="H2322">
        <v>1.0529649999999999</v>
      </c>
      <c r="I2322">
        <v>276.28449999999998</v>
      </c>
      <c r="J2322">
        <v>-371.2131</v>
      </c>
      <c r="K2322">
        <v>1.1101540000000001</v>
      </c>
      <c r="L2322">
        <v>284.93939999999998</v>
      </c>
      <c r="M2322">
        <v>-0.99970999999999999</v>
      </c>
      <c r="N2322">
        <v>0</v>
      </c>
      <c r="O2322">
        <v>2.0656669999999999E-2</v>
      </c>
      <c r="P2322">
        <v>-0.9992259</v>
      </c>
      <c r="Q2322">
        <v>2.384375E-2</v>
      </c>
      <c r="R2322">
        <v>3.129026E-2</v>
      </c>
      <c r="S2322">
        <v>-3.0082399999999998</v>
      </c>
      <c r="T2322">
        <v>-1.218319E-3</v>
      </c>
      <c r="U2322">
        <v>-0.18450929999999999</v>
      </c>
      <c r="V2322">
        <v>1.0631120000000001E-2</v>
      </c>
      <c r="W2322">
        <v>3.6220559999999999E-2</v>
      </c>
      <c r="X2322">
        <v>0.99928720000000004</v>
      </c>
      <c r="Y2322">
        <v>-8.1826010000000005E-2</v>
      </c>
      <c r="Z2322" s="1">
        <v>-2.4913459999999998E-5</v>
      </c>
      <c r="AA2322">
        <v>0.99664660000000005</v>
      </c>
      <c r="AB2322">
        <v>28</v>
      </c>
      <c r="AC2322">
        <v>-140.74590000000001</v>
      </c>
      <c r="AD2322">
        <v>-5.7189000000000101E-2</v>
      </c>
      <c r="AE2322">
        <v>-8.6548999999999907</v>
      </c>
      <c r="AF2322">
        <v>-11.560615468252699</v>
      </c>
      <c r="AG2322">
        <v>-5.7189000000000101E-2</v>
      </c>
      <c r="AH2322">
        <v>140.53704596885899</v>
      </c>
      <c r="AI2322">
        <v>90.023236989309098</v>
      </c>
      <c r="AJ2322">
        <v>94.702578354082803</v>
      </c>
      <c r="AK2322">
        <v>141.011745575465</v>
      </c>
      <c r="AL2322">
        <v>87.924260593477797</v>
      </c>
      <c r="AM2322">
        <v>89.390470198510798</v>
      </c>
      <c r="AN2322">
        <v>0.99999992888150102</v>
      </c>
    </row>
    <row r="2323" spans="1:40" x14ac:dyDescent="0.25">
      <c r="A2323" t="str">
        <f>"20190312160339809"</f>
        <v>20190312160339809</v>
      </c>
      <c r="B2323" t="str">
        <f>"1552377819796431"</f>
        <v>1552377819796431</v>
      </c>
      <c r="C2323" t="s">
        <v>40</v>
      </c>
      <c r="D2323">
        <v>4.8266349999999996</v>
      </c>
      <c r="E2323">
        <v>0.4657867</v>
      </c>
      <c r="F2323" t="s">
        <v>76</v>
      </c>
      <c r="G2323">
        <v>-511.95890000000003</v>
      </c>
      <c r="H2323">
        <v>0.68903990000000004</v>
      </c>
      <c r="I2323">
        <v>276.23430000000002</v>
      </c>
      <c r="J2323">
        <v>-371.48970000000003</v>
      </c>
      <c r="K2323">
        <v>1.11015</v>
      </c>
      <c r="L2323">
        <v>284.94490000000002</v>
      </c>
      <c r="M2323">
        <v>-0.99971339999999997</v>
      </c>
      <c r="N2323">
        <v>0</v>
      </c>
      <c r="O2323">
        <v>2.0494169999999999E-2</v>
      </c>
      <c r="P2323">
        <v>-0.99923709999999999</v>
      </c>
      <c r="Q2323">
        <v>2.3771960000000002E-2</v>
      </c>
      <c r="R2323">
        <v>3.0993420000000001E-2</v>
      </c>
      <c r="S2323">
        <v>-3.008362</v>
      </c>
      <c r="T2323">
        <v>-8.9993480000000008E-3</v>
      </c>
      <c r="U2323">
        <v>-0.1860657</v>
      </c>
      <c r="V2323">
        <v>1.04969E-2</v>
      </c>
      <c r="W2323">
        <v>3.6147169999999999E-2</v>
      </c>
      <c r="X2323">
        <v>0.99929140000000005</v>
      </c>
      <c r="Y2323">
        <v>-8.2174769999999994E-2</v>
      </c>
      <c r="Z2323">
        <v>-1.840527E-4</v>
      </c>
      <c r="AA2323">
        <v>0.99661789999999995</v>
      </c>
      <c r="AB2323">
        <v>28</v>
      </c>
      <c r="AC2323">
        <v>-140.4692</v>
      </c>
      <c r="AD2323">
        <v>-0.42111009999999899</v>
      </c>
      <c r="AE2323">
        <v>-8.7105999999999995</v>
      </c>
      <c r="AF2323">
        <v>-11.5876865825811</v>
      </c>
      <c r="AG2323">
        <v>-0.42111009999999899</v>
      </c>
      <c r="AH2323">
        <v>140.25990716521201</v>
      </c>
      <c r="AI2323">
        <v>90.171437715616605</v>
      </c>
      <c r="AJ2323">
        <v>94.7228120398334</v>
      </c>
      <c r="AK2323">
        <v>140.73838627768299</v>
      </c>
      <c r="AL2323">
        <v>87.928468542557397</v>
      </c>
      <c r="AM2323">
        <v>89.398167592891895</v>
      </c>
      <c r="AN2323">
        <v>1.00000005246128</v>
      </c>
    </row>
    <row r="2324" spans="1:40" x14ac:dyDescent="0.25">
      <c r="A2324" t="str">
        <f>"20190312160339822"</f>
        <v>20190312160339822</v>
      </c>
      <c r="B2324" t="str">
        <f>"1552377819816926"</f>
        <v>1552377819816926</v>
      </c>
      <c r="C2324" t="s">
        <v>40</v>
      </c>
      <c r="D2324">
        <v>4.8191829999999998</v>
      </c>
      <c r="E2324">
        <v>0.46600239999999998</v>
      </c>
      <c r="F2324" t="s">
        <v>76</v>
      </c>
      <c r="G2324">
        <v>-511.9588</v>
      </c>
      <c r="H2324">
        <v>0.54895319999999903</v>
      </c>
      <c r="I2324">
        <v>276.35199999999998</v>
      </c>
      <c r="J2324">
        <v>-371.67869999999999</v>
      </c>
      <c r="K2324">
        <v>1.110147</v>
      </c>
      <c r="L2324">
        <v>284.9486</v>
      </c>
      <c r="M2324">
        <v>-0.99971560000000004</v>
      </c>
      <c r="N2324">
        <v>0</v>
      </c>
      <c r="O2324">
        <v>2.0383450000000001E-2</v>
      </c>
      <c r="P2324">
        <v>-0.99924860000000004</v>
      </c>
      <c r="Q2324">
        <v>2.377802E-2</v>
      </c>
      <c r="R2324">
        <v>3.0607539999999999E-2</v>
      </c>
      <c r="S2324">
        <v>-3.0082399999999998</v>
      </c>
      <c r="T2324">
        <v>-1.201665E-2</v>
      </c>
      <c r="U2324">
        <v>-0.18402099999999999</v>
      </c>
      <c r="V2324">
        <v>1.0221650000000001E-2</v>
      </c>
      <c r="W2324">
        <v>3.6152410000000003E-2</v>
      </c>
      <c r="X2324">
        <v>0.99929400000000002</v>
      </c>
      <c r="Y2324">
        <v>-8.1391669999999999E-2</v>
      </c>
      <c r="Z2324">
        <v>-2.4377200000000001E-4</v>
      </c>
      <c r="AA2324">
        <v>0.99668219999999996</v>
      </c>
      <c r="AB2324">
        <v>28</v>
      </c>
      <c r="AC2324">
        <v>-140.2801</v>
      </c>
      <c r="AD2324">
        <v>-0.56119379999999996</v>
      </c>
      <c r="AE2324">
        <v>-8.5965999999999596</v>
      </c>
      <c r="AF2324">
        <v>-11.454242539120701</v>
      </c>
      <c r="AG2324">
        <v>-0.56119379999999996</v>
      </c>
      <c r="AH2324">
        <v>140.07347519615101</v>
      </c>
      <c r="AI2324">
        <v>90.228786339232798</v>
      </c>
      <c r="AJ2324">
        <v>94.674852127099697</v>
      </c>
      <c r="AK2324">
        <v>140.54213981633001</v>
      </c>
      <c r="AL2324">
        <v>87.928167984074904</v>
      </c>
      <c r="AM2324">
        <v>89.413949267982801</v>
      </c>
      <c r="AN2324">
        <v>0.99999998865676498</v>
      </c>
    </row>
    <row r="2325" spans="1:40" x14ac:dyDescent="0.25">
      <c r="A2325" t="str">
        <f>"20190312160339834"</f>
        <v>20190312160339834</v>
      </c>
      <c r="B2325" t="str">
        <f>"1552377819826687"</f>
        <v>1552377819826687</v>
      </c>
      <c r="C2325" t="s">
        <v>40</v>
      </c>
      <c r="D2325">
        <v>4.7841459999999998</v>
      </c>
      <c r="E2325">
        <v>0.4660839</v>
      </c>
      <c r="F2325" t="s">
        <v>76</v>
      </c>
      <c r="G2325">
        <v>-511.9588</v>
      </c>
      <c r="H2325">
        <v>0.46198420000000001</v>
      </c>
      <c r="I2325">
        <v>276.38</v>
      </c>
      <c r="J2325">
        <v>-371.8141</v>
      </c>
      <c r="K2325">
        <v>1.1101479999999999</v>
      </c>
      <c r="L2325">
        <v>284.95119999999997</v>
      </c>
      <c r="M2325">
        <v>-0.99971719999999997</v>
      </c>
      <c r="N2325">
        <v>0</v>
      </c>
      <c r="O2325">
        <v>2.0304200000000001E-2</v>
      </c>
      <c r="P2325">
        <v>-0.9992666</v>
      </c>
      <c r="Q2325">
        <v>2.3553020000000001E-2</v>
      </c>
      <c r="R2325">
        <v>3.0198570000000001E-2</v>
      </c>
      <c r="S2325">
        <v>-3.0082089999999999</v>
      </c>
      <c r="T2325">
        <v>-1.3897659999999999E-2</v>
      </c>
      <c r="U2325">
        <v>-0.1837463</v>
      </c>
      <c r="V2325">
        <v>9.8919290000000007E-3</v>
      </c>
      <c r="W2325">
        <v>3.5927019999999997E-2</v>
      </c>
      <c r="X2325">
        <v>0.99930549999999996</v>
      </c>
      <c r="Y2325">
        <v>-8.1222329999999995E-2</v>
      </c>
      <c r="Z2325">
        <v>-2.8117689999999999E-4</v>
      </c>
      <c r="AA2325">
        <v>0.99669600000000003</v>
      </c>
      <c r="AB2325">
        <v>28</v>
      </c>
      <c r="AC2325">
        <v>-140.1447</v>
      </c>
      <c r="AD2325">
        <v>-0.64816379999999896</v>
      </c>
      <c r="AE2325">
        <v>-8.5711999999999708</v>
      </c>
      <c r="AF2325">
        <v>-11.414933599411899</v>
      </c>
      <c r="AG2325">
        <v>-0.64816379999999896</v>
      </c>
      <c r="AH2325">
        <v>139.93877765896599</v>
      </c>
      <c r="AI2325">
        <v>90.264500301616707</v>
      </c>
      <c r="AJ2325">
        <v>94.6633442209382</v>
      </c>
      <c r="AK2325">
        <v>140.40506514394801</v>
      </c>
      <c r="AL2325">
        <v>87.941090384063003</v>
      </c>
      <c r="AM2325">
        <v>89.432858848202201</v>
      </c>
      <c r="AN2325">
        <v>1.0000000416778301</v>
      </c>
    </row>
    <row r="2326" spans="1:40" x14ac:dyDescent="0.25">
      <c r="A2326" t="str">
        <f>"20190312160339845"</f>
        <v>20190312160339845</v>
      </c>
      <c r="B2326" t="str">
        <f>"1552377819836447"</f>
        <v>1552377819836447</v>
      </c>
      <c r="C2326" t="s">
        <v>40</v>
      </c>
      <c r="D2326">
        <v>4.7900470000000004</v>
      </c>
      <c r="E2326">
        <v>0.46606710000000001</v>
      </c>
      <c r="F2326" t="s">
        <v>76</v>
      </c>
      <c r="G2326">
        <v>-511.95870000000002</v>
      </c>
      <c r="H2326">
        <v>0.38716669999999997</v>
      </c>
      <c r="I2326">
        <v>276.3723</v>
      </c>
      <c r="J2326">
        <v>-371.95859999999999</v>
      </c>
      <c r="K2326">
        <v>1.1101460000000001</v>
      </c>
      <c r="L2326">
        <v>284.95409999999998</v>
      </c>
      <c r="M2326">
        <v>-0.99971900000000002</v>
      </c>
      <c r="N2326">
        <v>0</v>
      </c>
      <c r="O2326">
        <v>2.0219750000000002E-2</v>
      </c>
      <c r="P2326">
        <v>-0.99927299999999997</v>
      </c>
      <c r="Q2326">
        <v>2.3762370000000001E-2</v>
      </c>
      <c r="R2326">
        <v>2.9819120000000001E-2</v>
      </c>
      <c r="S2326">
        <v>-3.0081479999999998</v>
      </c>
      <c r="T2326">
        <v>-1.5516759999999999E-2</v>
      </c>
      <c r="U2326">
        <v>-0.1841431</v>
      </c>
      <c r="V2326">
        <v>9.5968709999999999E-3</v>
      </c>
      <c r="W2326">
        <v>3.613574E-2</v>
      </c>
      <c r="X2326">
        <v>0.99930079999999999</v>
      </c>
      <c r="Y2326">
        <v>-8.127007E-2</v>
      </c>
      <c r="Z2326">
        <v>-3.1362700000000002E-4</v>
      </c>
      <c r="AA2326">
        <v>0.99669209999999997</v>
      </c>
      <c r="AB2326">
        <v>28</v>
      </c>
      <c r="AC2326">
        <v>-140.0001</v>
      </c>
      <c r="AD2326">
        <v>-0.72297929999999899</v>
      </c>
      <c r="AE2326">
        <v>-8.5817999999999799</v>
      </c>
      <c r="AF2326">
        <v>-11.410725820142201</v>
      </c>
      <c r="AG2326">
        <v>-0.72297929999999899</v>
      </c>
      <c r="AH2326">
        <v>139.79422474133699</v>
      </c>
      <c r="AI2326">
        <v>90.295333993400504</v>
      </c>
      <c r="AJ2326">
        <v>94.666431834814901</v>
      </c>
      <c r="AK2326">
        <v>140.26101608730099</v>
      </c>
      <c r="AL2326">
        <v>87.929123732544696</v>
      </c>
      <c r="AM2326">
        <v>89.449771979127604</v>
      </c>
      <c r="AN2326">
        <v>0.99999999025948905</v>
      </c>
    </row>
    <row r="2327" spans="1:40" x14ac:dyDescent="0.25">
      <c r="A2327" t="str">
        <f>"20190312160339857"</f>
        <v>20190312160339857</v>
      </c>
      <c r="B2327" t="str">
        <f>"1552377819847183"</f>
        <v>1552377819847183</v>
      </c>
      <c r="C2327" t="s">
        <v>40</v>
      </c>
      <c r="D2327">
        <v>4.814368</v>
      </c>
      <c r="E2327">
        <v>0.46609129999999899</v>
      </c>
      <c r="F2327" t="s">
        <v>76</v>
      </c>
      <c r="G2327">
        <v>-511.95870000000002</v>
      </c>
      <c r="H2327">
        <v>0.38743620000000001</v>
      </c>
      <c r="I2327">
        <v>276.32709999999997</v>
      </c>
      <c r="J2327">
        <v>-372.1062</v>
      </c>
      <c r="K2327">
        <v>1.1101449999999999</v>
      </c>
      <c r="L2327">
        <v>284.95699999999999</v>
      </c>
      <c r="M2327">
        <v>-0.99972079999999997</v>
      </c>
      <c r="N2327">
        <v>0</v>
      </c>
      <c r="O2327">
        <v>2.0133160000000001E-2</v>
      </c>
      <c r="P2327">
        <v>-0.99927969999999999</v>
      </c>
      <c r="Q2327">
        <v>2.3994749999999999E-2</v>
      </c>
      <c r="R2327">
        <v>2.9405560000000001E-2</v>
      </c>
      <c r="S2327">
        <v>-3.0081180000000001</v>
      </c>
      <c r="T2327">
        <v>-1.5526770000000001E-2</v>
      </c>
      <c r="U2327">
        <v>-0.1853638</v>
      </c>
      <c r="V2327">
        <v>9.2696989999999993E-3</v>
      </c>
      <c r="W2327">
        <v>3.6366849999999999E-2</v>
      </c>
      <c r="X2327">
        <v>0.9992955</v>
      </c>
      <c r="Y2327">
        <v>-8.1587279999999998E-2</v>
      </c>
      <c r="Z2327">
        <v>-3.1419990000000001E-4</v>
      </c>
      <c r="AA2327">
        <v>0.9966661</v>
      </c>
      <c r="AB2327">
        <v>28</v>
      </c>
      <c r="AC2327">
        <v>-139.85249999999999</v>
      </c>
      <c r="AD2327">
        <v>-0.72270880000000004</v>
      </c>
      <c r="AE2327">
        <v>-8.6299000000000099</v>
      </c>
      <c r="AF2327">
        <v>-11.4437342256906</v>
      </c>
      <c r="AG2327">
        <v>-0.72270880000000004</v>
      </c>
      <c r="AH2327">
        <v>139.64667308209101</v>
      </c>
      <c r="AI2327">
        <v>90.295527681098903</v>
      </c>
      <c r="AJ2327">
        <v>94.684793581348202</v>
      </c>
      <c r="AK2327">
        <v>140.11664663391801</v>
      </c>
      <c r="AL2327">
        <v>87.915873385925494</v>
      </c>
      <c r="AM2327">
        <v>89.468526179726297</v>
      </c>
      <c r="AN2327">
        <v>0.99999998570936099</v>
      </c>
    </row>
    <row r="2328" spans="1:40" x14ac:dyDescent="0.25">
      <c r="A2328" t="str">
        <f>"20190312160339874"</f>
        <v>20190312160339874</v>
      </c>
      <c r="B2328" t="str">
        <f>"1552377819866702"</f>
        <v>1552377819866702</v>
      </c>
      <c r="C2328" t="s">
        <v>40</v>
      </c>
      <c r="D2328">
        <v>4.8061569999999998</v>
      </c>
      <c r="E2328">
        <v>0.46625149999999999</v>
      </c>
      <c r="F2328" t="s">
        <v>76</v>
      </c>
      <c r="G2328">
        <v>-511.9588</v>
      </c>
      <c r="H2328">
        <v>0.4285949</v>
      </c>
      <c r="I2328">
        <v>276.28910000000002</v>
      </c>
      <c r="J2328">
        <v>-372.31979999999999</v>
      </c>
      <c r="K2328">
        <v>1.1101479999999999</v>
      </c>
      <c r="L2328">
        <v>284.96120000000002</v>
      </c>
      <c r="M2328">
        <v>-0.99972329999999998</v>
      </c>
      <c r="N2328">
        <v>0</v>
      </c>
      <c r="O2328">
        <v>2.0008189999999999E-2</v>
      </c>
      <c r="P2328">
        <v>-0.99929230000000002</v>
      </c>
      <c r="Q2328">
        <v>2.404508E-2</v>
      </c>
      <c r="R2328">
        <v>2.8926339999999998E-2</v>
      </c>
      <c r="S2328">
        <v>-3.0079959999999999</v>
      </c>
      <c r="T2328">
        <v>-1.465726E-2</v>
      </c>
      <c r="U2328">
        <v>-0.18643190000000001</v>
      </c>
      <c r="V2328">
        <v>8.9150970000000003E-3</v>
      </c>
      <c r="W2328">
        <v>3.6416410000000003E-2</v>
      </c>
      <c r="X2328">
        <v>0.99929699999999999</v>
      </c>
      <c r="Y2328">
        <v>-8.1817890000000004E-2</v>
      </c>
      <c r="Z2328">
        <v>-2.9656639999999998E-4</v>
      </c>
      <c r="AA2328">
        <v>0.99664719999999996</v>
      </c>
      <c r="AB2328">
        <v>28</v>
      </c>
      <c r="AC2328">
        <v>-139.63900000000001</v>
      </c>
      <c r="AD2328">
        <v>-0.68155309999999902</v>
      </c>
      <c r="AE2328">
        <v>-8.6721000000000004</v>
      </c>
      <c r="AF2328">
        <v>-11.464229060546</v>
      </c>
      <c r="AG2328">
        <v>-0.68155309999999902</v>
      </c>
      <c r="AH2328">
        <v>139.43420704859301</v>
      </c>
      <c r="AI2328">
        <v>90.279117182470898</v>
      </c>
      <c r="AJ2328">
        <v>94.700265507334294</v>
      </c>
      <c r="AK2328">
        <v>139.906365680232</v>
      </c>
      <c r="AL2328">
        <v>87.913032088429702</v>
      </c>
      <c r="AM2328">
        <v>89.488856785218601</v>
      </c>
      <c r="AN2328">
        <v>1.0000000640404001</v>
      </c>
    </row>
    <row r="2329" spans="1:40" x14ac:dyDescent="0.25">
      <c r="A2329" t="str">
        <f>"20190312160339886"</f>
        <v>20190312160339886</v>
      </c>
      <c r="B2329" t="str">
        <f>"1552377819876463"</f>
        <v>1552377819876463</v>
      </c>
      <c r="C2329" t="s">
        <v>40</v>
      </c>
      <c r="D2329">
        <v>5.0270729999999997</v>
      </c>
      <c r="E2329">
        <v>0.46627000000000002</v>
      </c>
      <c r="F2329" t="s">
        <v>76</v>
      </c>
      <c r="G2329">
        <v>-511.95870000000002</v>
      </c>
      <c r="H2329">
        <v>0.33399299999999998</v>
      </c>
      <c r="I2329">
        <v>276.29770000000002</v>
      </c>
      <c r="J2329">
        <v>-372.46620000000001</v>
      </c>
      <c r="K2329">
        <v>1.1101490000000001</v>
      </c>
      <c r="L2329">
        <v>284.96390000000002</v>
      </c>
      <c r="M2329">
        <v>-0.99972490000000003</v>
      </c>
      <c r="N2329">
        <v>0</v>
      </c>
      <c r="O2329">
        <v>1.9922599999999999E-2</v>
      </c>
      <c r="P2329">
        <v>-0.99929500000000004</v>
      </c>
      <c r="Q2329">
        <v>2.3937739999999999E-2</v>
      </c>
      <c r="R2329">
        <v>2.8920310000000001E-2</v>
      </c>
      <c r="S2329">
        <v>-3.0079039999999999</v>
      </c>
      <c r="T2329">
        <v>-1.6717079999999999E-2</v>
      </c>
      <c r="U2329">
        <v>-0.186615</v>
      </c>
      <c r="V2329">
        <v>8.9948389999999993E-3</v>
      </c>
      <c r="W2329">
        <v>3.6308710000000001E-2</v>
      </c>
      <c r="X2329">
        <v>0.99930010000000002</v>
      </c>
      <c r="Y2329">
        <v>-8.1794510000000001E-2</v>
      </c>
      <c r="Z2329">
        <v>-3.3771229999999999E-4</v>
      </c>
      <c r="AA2329">
        <v>0.99664909999999995</v>
      </c>
      <c r="AB2329">
        <v>28</v>
      </c>
      <c r="AC2329">
        <v>-139.49250000000001</v>
      </c>
      <c r="AD2329">
        <v>-0.77615599999999996</v>
      </c>
      <c r="AE2329">
        <v>-8.6661999999999999</v>
      </c>
      <c r="AF2329">
        <v>-11.443392993896699</v>
      </c>
      <c r="AG2329">
        <v>-0.77615599999999996</v>
      </c>
      <c r="AH2329">
        <v>139.28784783655399</v>
      </c>
      <c r="AI2329">
        <v>90.318194895594104</v>
      </c>
      <c r="AJ2329">
        <v>94.696668924793798</v>
      </c>
      <c r="AK2329">
        <v>139.75928669068199</v>
      </c>
      <c r="AL2329">
        <v>87.919206709941804</v>
      </c>
      <c r="AM2329">
        <v>89.484286657867898</v>
      </c>
      <c r="AN2329">
        <v>0.99999995970525402</v>
      </c>
    </row>
    <row r="2330" spans="1:40" x14ac:dyDescent="0.25">
      <c r="A2330" t="str">
        <f>"20190312160339897"</f>
        <v>20190312160339897</v>
      </c>
      <c r="B2330" t="str">
        <f>"1552377819887199"</f>
        <v>1552377819887199</v>
      </c>
      <c r="C2330" t="s">
        <v>40</v>
      </c>
      <c r="D2330">
        <v>4.8422470000000004</v>
      </c>
      <c r="E2330">
        <v>0.46632439999999997</v>
      </c>
      <c r="F2330" t="s">
        <v>76</v>
      </c>
      <c r="G2330">
        <v>-511.95870000000002</v>
      </c>
      <c r="H2330">
        <v>0.34436919999999999</v>
      </c>
      <c r="I2330">
        <v>276.3152</v>
      </c>
      <c r="J2330">
        <v>-372.61</v>
      </c>
      <c r="K2330">
        <v>1.1101479999999999</v>
      </c>
      <c r="L2330">
        <v>284.9667</v>
      </c>
      <c r="M2330">
        <v>-0.99972669999999997</v>
      </c>
      <c r="N2330">
        <v>0</v>
      </c>
      <c r="O2330">
        <v>1.983797E-2</v>
      </c>
      <c r="P2330">
        <v>-0.99929889999999999</v>
      </c>
      <c r="Q2330">
        <v>2.3695009999999999E-2</v>
      </c>
      <c r="R2330">
        <v>2.899262E-2</v>
      </c>
      <c r="S2330">
        <v>-3.0078740000000002</v>
      </c>
      <c r="T2330">
        <v>-1.6510730000000001E-2</v>
      </c>
      <c r="U2330">
        <v>-0.18649289999999999</v>
      </c>
      <c r="V2330">
        <v>9.1517649999999992E-3</v>
      </c>
      <c r="W2330">
        <v>3.606521E-2</v>
      </c>
      <c r="X2330">
        <v>0.99930750000000002</v>
      </c>
      <c r="Y2330">
        <v>-8.1670510000000002E-2</v>
      </c>
      <c r="Z2330">
        <v>-3.3274329999999998E-4</v>
      </c>
      <c r="AA2330">
        <v>0.99665930000000003</v>
      </c>
      <c r="AB2330">
        <v>28</v>
      </c>
      <c r="AC2330">
        <v>-139.34870000000001</v>
      </c>
      <c r="AD2330">
        <v>-0.76577879999999898</v>
      </c>
      <c r="AE2330">
        <v>-8.6514999999999898</v>
      </c>
      <c r="AF2330">
        <v>-11.414060621578599</v>
      </c>
      <c r="AG2330">
        <v>-0.76577879999999898</v>
      </c>
      <c r="AH2330">
        <v>139.14544578479101</v>
      </c>
      <c r="AI2330">
        <v>90.314265247156797</v>
      </c>
      <c r="AJ2330">
        <v>94.689456754531506</v>
      </c>
      <c r="AK2330">
        <v>139.61490708263199</v>
      </c>
      <c r="AL2330">
        <v>87.933167391370006</v>
      </c>
      <c r="AM2330">
        <v>89.475293790065905</v>
      </c>
      <c r="AN2330">
        <v>0.999999966865604</v>
      </c>
    </row>
    <row r="2331" spans="1:40" x14ac:dyDescent="0.25">
      <c r="A2331" t="str">
        <f>"20190312160339910"</f>
        <v>20190312160339910</v>
      </c>
      <c r="B2331" t="str">
        <f>"1552377819906719"</f>
        <v>1552377819906719</v>
      </c>
      <c r="C2331" t="s">
        <v>40</v>
      </c>
      <c r="D2331">
        <v>4.792395</v>
      </c>
      <c r="E2331">
        <v>0.46645370000000003</v>
      </c>
      <c r="F2331" t="s">
        <v>76</v>
      </c>
      <c r="G2331">
        <v>-511.95870000000002</v>
      </c>
      <c r="H2331">
        <v>0.27656550000000002</v>
      </c>
      <c r="I2331">
        <v>276.34679999999997</v>
      </c>
      <c r="J2331">
        <v>-372.76190000000003</v>
      </c>
      <c r="K2331">
        <v>1.110152</v>
      </c>
      <c r="L2331">
        <v>284.96960000000001</v>
      </c>
      <c r="M2331">
        <v>-0.99972850000000002</v>
      </c>
      <c r="N2331">
        <v>0</v>
      </c>
      <c r="O2331">
        <v>1.9748519999999999E-2</v>
      </c>
      <c r="P2331">
        <v>-0.99930110000000005</v>
      </c>
      <c r="Q2331">
        <v>2.3536540000000002E-2</v>
      </c>
      <c r="R2331">
        <v>2.9043309999999999E-2</v>
      </c>
      <c r="S2331">
        <v>-3.0079349999999998</v>
      </c>
      <c r="T2331">
        <v>-1.799166E-2</v>
      </c>
      <c r="U2331">
        <v>-0.1860657</v>
      </c>
      <c r="V2331">
        <v>9.2919000000000005E-3</v>
      </c>
      <c r="W2331">
        <v>3.5906050000000002E-2</v>
      </c>
      <c r="X2331">
        <v>0.99931199999999998</v>
      </c>
      <c r="Y2331">
        <v>-8.1438789999999997E-2</v>
      </c>
      <c r="Z2331">
        <v>-3.6135559999999999E-4</v>
      </c>
      <c r="AA2331">
        <v>0.99667830000000002</v>
      </c>
      <c r="AB2331">
        <v>28</v>
      </c>
      <c r="AC2331">
        <v>-139.1968</v>
      </c>
      <c r="AD2331">
        <v>-0.83358650000000001</v>
      </c>
      <c r="AE2331">
        <v>-8.6228000000000407</v>
      </c>
      <c r="AF2331">
        <v>-11.3698529197972</v>
      </c>
      <c r="AG2331">
        <v>-0.83358650000000001</v>
      </c>
      <c r="AH2331">
        <v>138.99438332618399</v>
      </c>
      <c r="AI2331">
        <v>90.342470137838106</v>
      </c>
      <c r="AJ2331">
        <v>94.676429053484895</v>
      </c>
      <c r="AK2331">
        <v>139.46113085048799</v>
      </c>
      <c r="AL2331">
        <v>87.942292625274604</v>
      </c>
      <c r="AM2331">
        <v>89.467262165003206</v>
      </c>
      <c r="AN2331">
        <v>1.0000000285881001</v>
      </c>
    </row>
    <row r="2332" spans="1:40" x14ac:dyDescent="0.25">
      <c r="A2332" t="str">
        <f>"20190312160339922"</f>
        <v>20190312160339922</v>
      </c>
      <c r="B2332" t="str">
        <f>"1552377819916478"</f>
        <v>1552377819916478</v>
      </c>
      <c r="C2332" t="s">
        <v>40</v>
      </c>
      <c r="D2332">
        <v>4.8408730000000002</v>
      </c>
      <c r="E2332">
        <v>0.4665531</v>
      </c>
      <c r="F2332" t="s">
        <v>76</v>
      </c>
      <c r="G2332">
        <v>-511.95870000000002</v>
      </c>
      <c r="H2332">
        <v>0.32098009999999999</v>
      </c>
      <c r="I2332">
        <v>276.4212</v>
      </c>
      <c r="J2332">
        <v>-372.91370000000001</v>
      </c>
      <c r="K2332">
        <v>1.1101529999999999</v>
      </c>
      <c r="L2332">
        <v>284.97250000000003</v>
      </c>
      <c r="M2332">
        <v>-0.99973020000000001</v>
      </c>
      <c r="N2332">
        <v>0</v>
      </c>
      <c r="O2332">
        <v>1.965942E-2</v>
      </c>
      <c r="P2332">
        <v>-0.99929800000000002</v>
      </c>
      <c r="Q2332">
        <v>2.3462150000000001E-2</v>
      </c>
      <c r="R2332">
        <v>2.9211440000000002E-2</v>
      </c>
      <c r="S2332">
        <v>-3.0079039999999999</v>
      </c>
      <c r="T2332">
        <v>-1.7051460000000001E-2</v>
      </c>
      <c r="U2332">
        <v>-0.1847229</v>
      </c>
      <c r="V2332">
        <v>9.5490990000000001E-3</v>
      </c>
      <c r="W2332">
        <v>3.583124E-2</v>
      </c>
      <c r="X2332">
        <v>0.99931219999999998</v>
      </c>
      <c r="Y2332">
        <v>-8.0907530000000005E-2</v>
      </c>
      <c r="Z2332">
        <v>-3.4047119999999997E-4</v>
      </c>
      <c r="AA2332">
        <v>0.99672159999999999</v>
      </c>
      <c r="AB2332">
        <v>28</v>
      </c>
      <c r="AC2332">
        <v>-139.04499999999999</v>
      </c>
      <c r="AD2332">
        <v>-0.78917289999999995</v>
      </c>
      <c r="AE2332">
        <v>-8.5513000000000208</v>
      </c>
      <c r="AF2332">
        <v>-11.283038227484299</v>
      </c>
      <c r="AG2332">
        <v>-0.78917289999999995</v>
      </c>
      <c r="AH2332">
        <v>138.84554107810601</v>
      </c>
      <c r="AI2332">
        <v>90.324585375386604</v>
      </c>
      <c r="AJ2332">
        <v>94.645831923114102</v>
      </c>
      <c r="AK2332">
        <v>139.30547018254899</v>
      </c>
      <c r="AL2332">
        <v>87.946581558028001</v>
      </c>
      <c r="AM2332">
        <v>89.452517022201505</v>
      </c>
      <c r="AN2332">
        <v>0.99999996806024405</v>
      </c>
    </row>
    <row r="2333" spans="1:40" x14ac:dyDescent="0.25">
      <c r="A2333" t="str">
        <f>"20190312160339935"</f>
        <v>20190312160339935</v>
      </c>
      <c r="B2333" t="str">
        <f>"1552377819927215"</f>
        <v>1552377819927215</v>
      </c>
      <c r="C2333" t="s">
        <v>40</v>
      </c>
      <c r="D2333">
        <v>4.845078</v>
      </c>
      <c r="E2333">
        <v>0.46667160000000002</v>
      </c>
      <c r="F2333" t="s">
        <v>76</v>
      </c>
      <c r="G2333">
        <v>-511.95870000000002</v>
      </c>
      <c r="H2333">
        <v>0.27641969999999999</v>
      </c>
      <c r="I2333">
        <v>276.49130000000002</v>
      </c>
      <c r="J2333">
        <v>-373.06889999999999</v>
      </c>
      <c r="K2333">
        <v>1.1101529999999999</v>
      </c>
      <c r="L2333">
        <v>284.97550000000001</v>
      </c>
      <c r="M2333">
        <v>-0.99973210000000001</v>
      </c>
      <c r="N2333">
        <v>0</v>
      </c>
      <c r="O2333">
        <v>1.956811E-2</v>
      </c>
      <c r="P2333">
        <v>-0.99930180000000002</v>
      </c>
      <c r="Q2333">
        <v>2.3363410000000001E-2</v>
      </c>
      <c r="R2333">
        <v>2.9162670000000002E-2</v>
      </c>
      <c r="S2333">
        <v>-3.0079349999999998</v>
      </c>
      <c r="T2333">
        <v>-1.803422E-2</v>
      </c>
      <c r="U2333">
        <v>-0.18347169999999999</v>
      </c>
      <c r="V2333">
        <v>9.5917429999999998E-3</v>
      </c>
      <c r="W2333">
        <v>3.5732119999999999E-2</v>
      </c>
      <c r="X2333">
        <v>0.99931539999999996</v>
      </c>
      <c r="Y2333">
        <v>-8.0402609999999999E-2</v>
      </c>
      <c r="Z2333">
        <v>-3.5803540000000001E-4</v>
      </c>
      <c r="AA2333">
        <v>0.99676240000000005</v>
      </c>
      <c r="AB2333">
        <v>28</v>
      </c>
      <c r="AC2333">
        <v>-138.88980000000001</v>
      </c>
      <c r="AD2333">
        <v>-0.83373330000000001</v>
      </c>
      <c r="AE2333">
        <v>-8.48419999999998</v>
      </c>
      <c r="AF2333">
        <v>-11.2001917336912</v>
      </c>
      <c r="AG2333">
        <v>-0.83373330000000001</v>
      </c>
      <c r="AH2333">
        <v>138.69219066420999</v>
      </c>
      <c r="AI2333">
        <v>90.3433057274097</v>
      </c>
      <c r="AJ2333">
        <v>94.616944528144003</v>
      </c>
      <c r="AK2333">
        <v>139.14619347048099</v>
      </c>
      <c r="AL2333">
        <v>87.952264476336197</v>
      </c>
      <c r="AM2333">
        <v>89.450074004406503</v>
      </c>
      <c r="AN2333">
        <v>1.00000002730531</v>
      </c>
    </row>
    <row r="2334" spans="1:40" x14ac:dyDescent="0.25">
      <c r="A2334" t="str">
        <f>"20190312160339945"</f>
        <v>20190312160339945</v>
      </c>
      <c r="B2334" t="str">
        <f>"1552377819936975"</f>
        <v>1552377819936975</v>
      </c>
      <c r="C2334" t="s">
        <v>40</v>
      </c>
      <c r="D2334">
        <v>4.8559700000000001</v>
      </c>
      <c r="E2334">
        <v>0.46672540000000001</v>
      </c>
      <c r="F2334" t="s">
        <v>76</v>
      </c>
      <c r="G2334">
        <v>-511.95870000000002</v>
      </c>
      <c r="H2334">
        <v>0.22992870000000001</v>
      </c>
      <c r="I2334">
        <v>276.54160000000002</v>
      </c>
      <c r="J2334">
        <v>-373.21879999999999</v>
      </c>
      <c r="K2334">
        <v>1.110155</v>
      </c>
      <c r="L2334">
        <v>284.97840000000002</v>
      </c>
      <c r="M2334">
        <v>-0.99973389999999995</v>
      </c>
      <c r="N2334">
        <v>0</v>
      </c>
      <c r="O2334">
        <v>1.9479779999999999E-2</v>
      </c>
      <c r="P2334">
        <v>-0.99930439999999998</v>
      </c>
      <c r="Q2334">
        <v>2.3308349999999999E-2</v>
      </c>
      <c r="R2334">
        <v>2.911443E-2</v>
      </c>
      <c r="S2334">
        <v>-3.0078740000000002</v>
      </c>
      <c r="T2334">
        <v>-1.9060850000000001E-2</v>
      </c>
      <c r="U2334">
        <v>-0.1826477</v>
      </c>
      <c r="V2334">
        <v>9.6316370000000002E-3</v>
      </c>
      <c r="W2334">
        <v>3.5676359999999997E-2</v>
      </c>
      <c r="X2334">
        <v>0.99931700000000001</v>
      </c>
      <c r="Y2334">
        <v>-8.0043520000000007E-2</v>
      </c>
      <c r="Z2334">
        <v>-3.767315E-4</v>
      </c>
      <c r="AA2334">
        <v>0.99679130000000005</v>
      </c>
      <c r="AB2334">
        <v>28</v>
      </c>
      <c r="AC2334">
        <v>-138.73990000000001</v>
      </c>
      <c r="AD2334">
        <v>-0.88022630000000002</v>
      </c>
      <c r="AE2334">
        <v>-8.4367999999999999</v>
      </c>
      <c r="AF2334">
        <v>-11.1375812792128</v>
      </c>
      <c r="AG2334">
        <v>-0.88022630000000002</v>
      </c>
      <c r="AH2334">
        <v>138.54365458595299</v>
      </c>
      <c r="AI2334">
        <v>90.3628488099002</v>
      </c>
      <c r="AJ2334">
        <v>94.596147198671702</v>
      </c>
      <c r="AK2334">
        <v>138.99339819258401</v>
      </c>
      <c r="AL2334">
        <v>87.955461309811795</v>
      </c>
      <c r="AM2334">
        <v>89.447787776350694</v>
      </c>
      <c r="AN2334">
        <v>1.0000000187915701</v>
      </c>
    </row>
    <row r="2335" spans="1:40" x14ac:dyDescent="0.25">
      <c r="A2335" t="str">
        <f>"20190312160339958"</f>
        <v>20190312160339958</v>
      </c>
      <c r="B2335" t="str">
        <f>"1552377819946735"</f>
        <v>1552377819946735</v>
      </c>
      <c r="C2335" t="s">
        <v>40</v>
      </c>
      <c r="D2335">
        <v>4.8265830000000003</v>
      </c>
      <c r="E2335">
        <v>0.46679110000000001</v>
      </c>
      <c r="F2335" t="s">
        <v>76</v>
      </c>
      <c r="G2335">
        <v>-511.95870000000002</v>
      </c>
      <c r="H2335">
        <v>0.18686030000000001</v>
      </c>
      <c r="I2335">
        <v>276.56049999999999</v>
      </c>
      <c r="J2335">
        <v>-373.36309999999997</v>
      </c>
      <c r="K2335">
        <v>1.1101540000000001</v>
      </c>
      <c r="L2335">
        <v>284.98099999999999</v>
      </c>
      <c r="M2335">
        <v>-0.9997355</v>
      </c>
      <c r="N2335">
        <v>0</v>
      </c>
      <c r="O2335">
        <v>1.9394850000000002E-2</v>
      </c>
      <c r="P2335">
        <v>-0.99929369999999995</v>
      </c>
      <c r="Q2335">
        <v>2.351702E-2</v>
      </c>
      <c r="R2335">
        <v>2.9315109999999998E-2</v>
      </c>
      <c r="S2335">
        <v>-3.0078429999999998</v>
      </c>
      <c r="T2335">
        <v>-2.0015000000000002E-2</v>
      </c>
      <c r="U2335">
        <v>-0.18249509999999999</v>
      </c>
      <c r="V2335">
        <v>9.9173630000000002E-3</v>
      </c>
      <c r="W2335">
        <v>3.588413E-2</v>
      </c>
      <c r="X2335">
        <v>0.99930669999999999</v>
      </c>
      <c r="Y2335">
        <v>-7.9908859999999998E-2</v>
      </c>
      <c r="Z2335">
        <v>-3.9458180000000002E-4</v>
      </c>
      <c r="AA2335">
        <v>0.99680210000000002</v>
      </c>
      <c r="AB2335">
        <v>28</v>
      </c>
      <c r="AC2335">
        <v>-138.59559999999999</v>
      </c>
      <c r="AD2335">
        <v>-0.92329369999999999</v>
      </c>
      <c r="AE2335">
        <v>-8.4205000000000005</v>
      </c>
      <c r="AF2335">
        <v>-11.106671008480699</v>
      </c>
      <c r="AG2335">
        <v>-0.92329369999999999</v>
      </c>
      <c r="AH2335">
        <v>138.400080163556</v>
      </c>
      <c r="AI2335">
        <v>90.381000712102306</v>
      </c>
      <c r="AJ2335">
        <v>94.588180393644194</v>
      </c>
      <c r="AK2335">
        <v>138.84809253794501</v>
      </c>
      <c r="AL2335">
        <v>87.943549202626699</v>
      </c>
      <c r="AM2335">
        <v>89.431401400567296</v>
      </c>
      <c r="AN2335">
        <v>0.99999995276980902</v>
      </c>
    </row>
    <row r="2336" spans="1:40" x14ac:dyDescent="0.25">
      <c r="A2336" t="str">
        <f>"20190312160339976"</f>
        <v>20190312160339976</v>
      </c>
      <c r="B2336" t="str">
        <f>"1552377819967230"</f>
        <v>1552377819967230</v>
      </c>
      <c r="C2336" t="s">
        <v>40</v>
      </c>
      <c r="D2336">
        <v>4.8179379999999998</v>
      </c>
      <c r="E2336">
        <v>0.46686719999999998</v>
      </c>
      <c r="F2336" t="s">
        <v>76</v>
      </c>
      <c r="G2336">
        <v>-511.95870000000002</v>
      </c>
      <c r="H2336">
        <v>0.18107970000000001</v>
      </c>
      <c r="I2336">
        <v>276.6216</v>
      </c>
      <c r="J2336">
        <v>-373.58109999999999</v>
      </c>
      <c r="K2336">
        <v>1.1101559999999999</v>
      </c>
      <c r="L2336">
        <v>284.98509999999999</v>
      </c>
      <c r="M2336">
        <v>-0.99973789999999996</v>
      </c>
      <c r="N2336">
        <v>0</v>
      </c>
      <c r="O2336">
        <v>1.926665E-2</v>
      </c>
      <c r="P2336">
        <v>-0.99929290000000004</v>
      </c>
      <c r="Q2336">
        <v>2.3299500000000001E-2</v>
      </c>
      <c r="R2336">
        <v>2.9510419999999999E-2</v>
      </c>
      <c r="S2336">
        <v>-3.007965</v>
      </c>
      <c r="T2336">
        <v>-2.016211E-2</v>
      </c>
      <c r="U2336">
        <v>-0.181427</v>
      </c>
      <c r="V2336">
        <v>1.0240900000000001E-2</v>
      </c>
      <c r="W2336">
        <v>3.5666360000000001E-2</v>
      </c>
      <c r="X2336">
        <v>0.99931130000000001</v>
      </c>
      <c r="Y2336">
        <v>-7.9425899999999994E-2</v>
      </c>
      <c r="Z2336">
        <v>-3.9499400000000002E-4</v>
      </c>
      <c r="AA2336">
        <v>0.99684070000000002</v>
      </c>
      <c r="AB2336">
        <v>28</v>
      </c>
      <c r="AC2336">
        <v>-138.3776</v>
      </c>
      <c r="AD2336">
        <v>-0.92907629999999997</v>
      </c>
      <c r="AE2336">
        <v>-8.3634999999999806</v>
      </c>
      <c r="AF2336">
        <v>-11.0277286991985</v>
      </c>
      <c r="AG2336">
        <v>-0.92907629999999997</v>
      </c>
      <c r="AH2336">
        <v>138.18455508668799</v>
      </c>
      <c r="AI2336">
        <v>90.3839984215263</v>
      </c>
      <c r="AJ2336">
        <v>94.562782496181399</v>
      </c>
      <c r="AK2336">
        <v>138.627000427551</v>
      </c>
      <c r="AL2336">
        <v>87.956034634510999</v>
      </c>
      <c r="AM2336">
        <v>89.412855824745506</v>
      </c>
      <c r="AN2336">
        <v>1.0000000197880701</v>
      </c>
    </row>
    <row r="2337" spans="1:40" x14ac:dyDescent="0.25">
      <c r="A2337" t="str">
        <f>"20190312160339989"</f>
        <v>20190312160339989</v>
      </c>
      <c r="B2337" t="str">
        <f>"1552377819976990"</f>
        <v>1552377819976990</v>
      </c>
      <c r="C2337" t="s">
        <v>40</v>
      </c>
      <c r="D2337">
        <v>4.863639</v>
      </c>
      <c r="E2337">
        <v>0.46698260000000003</v>
      </c>
      <c r="F2337" t="s">
        <v>76</v>
      </c>
      <c r="G2337">
        <v>-511.95859999999999</v>
      </c>
      <c r="H2337">
        <v>0.1244556</v>
      </c>
      <c r="I2337">
        <v>276.69619999999998</v>
      </c>
      <c r="J2337">
        <v>-373.76</v>
      </c>
      <c r="K2337">
        <v>1.1101540000000001</v>
      </c>
      <c r="L2337">
        <v>284.98840000000001</v>
      </c>
      <c r="M2337">
        <v>-0.99974010000000002</v>
      </c>
      <c r="N2337">
        <v>0</v>
      </c>
      <c r="O2337">
        <v>1.916116E-2</v>
      </c>
      <c r="P2337">
        <v>-0.99929849999999998</v>
      </c>
      <c r="Q2337">
        <v>2.3244649999999999E-2</v>
      </c>
      <c r="R2337">
        <v>2.936884E-2</v>
      </c>
      <c r="S2337">
        <v>-3.0079349999999998</v>
      </c>
      <c r="T2337">
        <v>-2.1424530000000001E-2</v>
      </c>
      <c r="U2337">
        <v>-0.1801758</v>
      </c>
      <c r="V2337">
        <v>1.0204799999999899E-2</v>
      </c>
      <c r="W2337">
        <v>3.5611080000000003E-2</v>
      </c>
      <c r="X2337">
        <v>0.99931360000000002</v>
      </c>
      <c r="Y2337">
        <v>-7.8907889999999994E-2</v>
      </c>
      <c r="Z2337">
        <v>-4.1714079999999998E-4</v>
      </c>
      <c r="AA2337">
        <v>0.99688180000000004</v>
      </c>
      <c r="AB2337">
        <v>28</v>
      </c>
      <c r="AC2337">
        <v>-138.1986</v>
      </c>
      <c r="AD2337">
        <v>-0.98569839999999997</v>
      </c>
      <c r="AE2337">
        <v>-8.2922000000000295</v>
      </c>
      <c r="AF2337">
        <v>-10.938370455992599</v>
      </c>
      <c r="AG2337">
        <v>-0.98569839999999997</v>
      </c>
      <c r="AH2337">
        <v>138.007328137445</v>
      </c>
      <c r="AI2337">
        <v>90.407940980939202</v>
      </c>
      <c r="AJ2337">
        <v>94.531752254399294</v>
      </c>
      <c r="AK2337">
        <v>138.44364257417101</v>
      </c>
      <c r="AL2337">
        <v>87.959203875321506</v>
      </c>
      <c r="AM2337">
        <v>89.414926757777593</v>
      </c>
      <c r="AN2337">
        <v>0.999999979053383</v>
      </c>
    </row>
    <row r="2338" spans="1:40" x14ac:dyDescent="0.25">
      <c r="A2338" t="str">
        <f>"20190312160340009"</f>
        <v>20190312160340009</v>
      </c>
      <c r="B2338" t="str">
        <f>"1552377819996510"</f>
        <v>1552377819996510</v>
      </c>
      <c r="C2338" t="s">
        <v>40</v>
      </c>
      <c r="D2338">
        <v>4.8809079999999998</v>
      </c>
      <c r="E2338">
        <v>0.46712870000000001</v>
      </c>
      <c r="F2338" t="s">
        <v>76</v>
      </c>
      <c r="G2338">
        <v>-511.95859999999999</v>
      </c>
      <c r="H2338">
        <v>8.0345929999999996E-2</v>
      </c>
      <c r="I2338">
        <v>276.73829999999998</v>
      </c>
      <c r="J2338">
        <v>-374.00220000000002</v>
      </c>
      <c r="K2338">
        <v>1.1101540000000001</v>
      </c>
      <c r="L2338">
        <v>284.99290000000002</v>
      </c>
      <c r="M2338">
        <v>-0.99974269999999998</v>
      </c>
      <c r="N2338">
        <v>0</v>
      </c>
      <c r="O2338">
        <v>1.9018239999999999E-2</v>
      </c>
      <c r="P2338">
        <v>-0.9992991</v>
      </c>
      <c r="Q2338">
        <v>2.324354E-2</v>
      </c>
      <c r="R2338">
        <v>2.9345260000000001E-2</v>
      </c>
      <c r="S2338">
        <v>-3.0079039999999999</v>
      </c>
      <c r="T2338">
        <v>-2.2412060000000001E-2</v>
      </c>
      <c r="U2338">
        <v>-0.17956539999999999</v>
      </c>
      <c r="V2338">
        <v>1.0324150000000001E-2</v>
      </c>
      <c r="W2338">
        <v>3.5609170000000002E-2</v>
      </c>
      <c r="X2338">
        <v>0.99931250000000005</v>
      </c>
      <c r="Y2338">
        <v>-7.8564170000000003E-2</v>
      </c>
      <c r="Z2338">
        <v>-4.3403119999999999E-4</v>
      </c>
      <c r="AA2338">
        <v>0.99690900000000005</v>
      </c>
      <c r="AB2338">
        <v>28</v>
      </c>
      <c r="AC2338">
        <v>-137.95639999999901</v>
      </c>
      <c r="AD2338">
        <v>-1.0298080700000001</v>
      </c>
      <c r="AE2338">
        <v>-8.2546000000000301</v>
      </c>
      <c r="AF2338">
        <v>-10.876391374517601</v>
      </c>
      <c r="AG2338">
        <v>-1.0298080700000001</v>
      </c>
      <c r="AH2338">
        <v>137.76679570964001</v>
      </c>
      <c r="AI2338">
        <v>90.426950081321493</v>
      </c>
      <c r="AJ2338">
        <v>94.514015487649303</v>
      </c>
      <c r="AK2338">
        <v>138.199299542706</v>
      </c>
      <c r="AL2338">
        <v>87.959313497727507</v>
      </c>
      <c r="AM2338">
        <v>89.408083879876401</v>
      </c>
      <c r="AN2338">
        <v>1.00000003685878</v>
      </c>
    </row>
    <row r="2339" spans="1:40" x14ac:dyDescent="0.25">
      <c r="A2339" t="str">
        <f>"20190312160340022"</f>
        <v>20190312160340022</v>
      </c>
      <c r="B2339" t="str">
        <f>"1552377820017008"</f>
        <v>1552377820017008</v>
      </c>
      <c r="C2339" t="s">
        <v>40</v>
      </c>
      <c r="D2339">
        <v>4.8570679999999999</v>
      </c>
      <c r="E2339">
        <v>0.46724719999999997</v>
      </c>
      <c r="F2339" t="s">
        <v>76</v>
      </c>
      <c r="G2339">
        <v>-511.95859999999999</v>
      </c>
      <c r="H2339">
        <v>3.2959879999999997E-2</v>
      </c>
      <c r="I2339">
        <v>276.8048</v>
      </c>
      <c r="J2339">
        <v>-374.16649999999998</v>
      </c>
      <c r="K2339">
        <v>1.1101529999999999</v>
      </c>
      <c r="L2339">
        <v>284.99590000000001</v>
      </c>
      <c r="M2339">
        <v>-0.99974450000000004</v>
      </c>
      <c r="N2339">
        <v>0</v>
      </c>
      <c r="O2339">
        <v>1.8921859999999999E-2</v>
      </c>
      <c r="P2339">
        <v>-0.99930169999999996</v>
      </c>
      <c r="Q2339">
        <v>2.3479659999999999E-2</v>
      </c>
      <c r="R2339">
        <v>2.906955E-2</v>
      </c>
      <c r="S2339">
        <v>-3.0079039999999999</v>
      </c>
      <c r="T2339">
        <v>-2.348459E-2</v>
      </c>
      <c r="U2339">
        <v>-0.17852779999999999</v>
      </c>
      <c r="V2339">
        <v>1.014464E-2</v>
      </c>
      <c r="W2339">
        <v>3.5845059999999998E-2</v>
      </c>
      <c r="X2339">
        <v>0.99930580000000002</v>
      </c>
      <c r="Y2339">
        <v>-7.8125139999999996E-2</v>
      </c>
      <c r="Z2339">
        <v>-4.523412E-4</v>
      </c>
      <c r="AA2339">
        <v>0.99694349999999998</v>
      </c>
      <c r="AB2339">
        <v>28</v>
      </c>
      <c r="AC2339">
        <v>-137.7921</v>
      </c>
      <c r="AD2339">
        <v>-1.07719312</v>
      </c>
      <c r="AE2339">
        <v>-8.1911000000000005</v>
      </c>
      <c r="AF2339">
        <v>-10.79645797115</v>
      </c>
      <c r="AG2339">
        <v>-1.07719312</v>
      </c>
      <c r="AH2339">
        <v>137.604044122381</v>
      </c>
      <c r="AI2339">
        <v>90.447140000716203</v>
      </c>
      <c r="AJ2339">
        <v>94.486254695534399</v>
      </c>
      <c r="AK2339">
        <v>138.03114434277001</v>
      </c>
      <c r="AL2339">
        <v>87.945789147190993</v>
      </c>
      <c r="AM2339">
        <v>89.418371142409399</v>
      </c>
      <c r="AN2339">
        <v>0.99999993198038395</v>
      </c>
    </row>
    <row r="2340" spans="1:40" x14ac:dyDescent="0.25">
      <c r="A2340" t="str">
        <f>"20190312160340043"</f>
        <v>20190312160340043</v>
      </c>
      <c r="B2340" t="str">
        <f>"1552377820036527"</f>
        <v>1552377820036527</v>
      </c>
      <c r="C2340" t="s">
        <v>40</v>
      </c>
      <c r="D2340">
        <v>4.8784830000000001</v>
      </c>
      <c r="E2340">
        <v>0.46727089999999999</v>
      </c>
      <c r="F2340" t="s">
        <v>76</v>
      </c>
      <c r="G2340">
        <v>-511.95859999999999</v>
      </c>
      <c r="H2340">
        <v>4.0843780000000003E-2</v>
      </c>
      <c r="I2340">
        <v>276.82159999999999</v>
      </c>
      <c r="J2340">
        <v>-374.41809999999998</v>
      </c>
      <c r="K2340">
        <v>1.1101490000000001</v>
      </c>
      <c r="L2340">
        <v>285.00049999999999</v>
      </c>
      <c r="M2340">
        <v>-0.99974719999999995</v>
      </c>
      <c r="N2340">
        <v>0</v>
      </c>
      <c r="O2340">
        <v>1.877411E-2</v>
      </c>
      <c r="P2340">
        <v>-0.99932750000000004</v>
      </c>
      <c r="Q2340">
        <v>2.3044950000000002E-2</v>
      </c>
      <c r="R2340">
        <v>2.8522659999999998E-2</v>
      </c>
      <c r="S2340">
        <v>-3.0078429999999998</v>
      </c>
      <c r="T2340">
        <v>-2.3339990000000001E-2</v>
      </c>
      <c r="U2340">
        <v>-0.17843629999999999</v>
      </c>
      <c r="V2340">
        <v>9.7452589999999992E-3</v>
      </c>
      <c r="W2340">
        <v>3.5410459999999998E-2</v>
      </c>
      <c r="X2340">
        <v>0.99932529999999997</v>
      </c>
      <c r="Y2340">
        <v>-7.7948809999999993E-2</v>
      </c>
      <c r="Z2340">
        <v>-4.4773639999999998E-4</v>
      </c>
      <c r="AA2340">
        <v>0.99695719999999999</v>
      </c>
      <c r="AB2340">
        <v>28</v>
      </c>
      <c r="AC2340">
        <v>-137.54050000000001</v>
      </c>
      <c r="AD2340">
        <v>-1.0693052199999999</v>
      </c>
      <c r="AE2340">
        <v>-8.1788999999999898</v>
      </c>
      <c r="AF2340">
        <v>-10.759208360067699</v>
      </c>
      <c r="AG2340">
        <v>-1.0693052199999999</v>
      </c>
      <c r="AH2340">
        <v>137.35441878659199</v>
      </c>
      <c r="AI2340">
        <v>90.444676982586898</v>
      </c>
      <c r="AJ2340">
        <v>94.478931405063605</v>
      </c>
      <c r="AK2340">
        <v>137.77931752767299</v>
      </c>
      <c r="AL2340">
        <v>87.970705776589298</v>
      </c>
      <c r="AM2340">
        <v>89.441278518420603</v>
      </c>
      <c r="AN2340">
        <v>0.99999996298523797</v>
      </c>
    </row>
    <row r="2341" spans="1:40" x14ac:dyDescent="0.25">
      <c r="A2341" t="str">
        <f>"20190312160340064"</f>
        <v>20190312160340064</v>
      </c>
      <c r="B2341" t="str">
        <f>"1552377820057023"</f>
        <v>1552377820057023</v>
      </c>
      <c r="C2341" t="s">
        <v>40</v>
      </c>
      <c r="D2341">
        <v>4.8077860000000001</v>
      </c>
      <c r="E2341">
        <v>0.46731</v>
      </c>
      <c r="F2341" t="s">
        <v>59</v>
      </c>
      <c r="G2341">
        <v>-499.95909999999998</v>
      </c>
      <c r="H2341">
        <v>5.1357229999999997E-2</v>
      </c>
      <c r="I2341">
        <v>277.49040000000002</v>
      </c>
      <c r="J2341">
        <v>-374.69760000000002</v>
      </c>
      <c r="K2341">
        <v>1.11015</v>
      </c>
      <c r="L2341">
        <v>285.00560000000002</v>
      </c>
      <c r="M2341">
        <v>-0.99975029999999998</v>
      </c>
      <c r="N2341">
        <v>0</v>
      </c>
      <c r="O2341">
        <v>1.8609779999999999E-2</v>
      </c>
      <c r="P2341">
        <v>-0.99933890000000003</v>
      </c>
      <c r="Q2341">
        <v>2.2896840000000002E-2</v>
      </c>
      <c r="R2341">
        <v>2.824366E-2</v>
      </c>
      <c r="S2341">
        <v>-3.0077820000000002</v>
      </c>
      <c r="T2341">
        <v>-2.536714E-2</v>
      </c>
      <c r="U2341">
        <v>-0.1799316</v>
      </c>
      <c r="V2341">
        <v>9.6305980000000006E-3</v>
      </c>
      <c r="W2341">
        <v>3.5262729999999999E-2</v>
      </c>
      <c r="X2341">
        <v>0.99933170000000004</v>
      </c>
      <c r="Y2341">
        <v>-7.8279509999999997E-2</v>
      </c>
      <c r="Z2341">
        <v>-4.8663359999999998E-4</v>
      </c>
      <c r="AA2341">
        <v>0.99693129999999996</v>
      </c>
      <c r="AB2341">
        <v>28</v>
      </c>
      <c r="AC2341">
        <v>-125.261499999999</v>
      </c>
      <c r="AD2341">
        <v>-1.0587927699999999</v>
      </c>
      <c r="AE2341">
        <v>-7.5151999999999903</v>
      </c>
      <c r="AF2341">
        <v>-9.8444648244549509</v>
      </c>
      <c r="AG2341">
        <v>-1.0587927699999999</v>
      </c>
      <c r="AH2341">
        <v>125.091031975728</v>
      </c>
      <c r="AI2341">
        <v>90.483455356441596</v>
      </c>
      <c r="AJ2341">
        <v>94.499812042240407</v>
      </c>
      <c r="AK2341">
        <v>125.482272893673</v>
      </c>
      <c r="AL2341">
        <v>87.979175502554398</v>
      </c>
      <c r="AM2341">
        <v>89.447855463389004</v>
      </c>
      <c r="AN2341">
        <v>1.0000000275848899</v>
      </c>
    </row>
    <row r="2342" spans="1:40" x14ac:dyDescent="0.25">
      <c r="A2342" t="str">
        <f>"20190312160340077"</f>
        <v>20190312160340077</v>
      </c>
      <c r="B2342" t="str">
        <f>"1552377820066783"</f>
        <v>1552377820066783</v>
      </c>
      <c r="C2342" t="s">
        <v>40</v>
      </c>
      <c r="D2342">
        <v>4.8373790000000003</v>
      </c>
      <c r="E2342">
        <v>0.4673098</v>
      </c>
      <c r="F2342" t="s">
        <v>59</v>
      </c>
      <c r="G2342">
        <v>-499.97969999999998</v>
      </c>
      <c r="H2342">
        <v>7.1916289999999994E-2</v>
      </c>
      <c r="I2342">
        <v>277.47890000000001</v>
      </c>
      <c r="J2342">
        <v>-374.85320000000002</v>
      </c>
      <c r="K2342">
        <v>1.1101449999999999</v>
      </c>
      <c r="L2342">
        <v>285.00830000000002</v>
      </c>
      <c r="M2342">
        <v>-0.99975210000000003</v>
      </c>
      <c r="N2342">
        <v>0</v>
      </c>
      <c r="O2342">
        <v>1.851794E-2</v>
      </c>
      <c r="P2342">
        <v>-0.99934719999999999</v>
      </c>
      <c r="Q2342">
        <v>2.2692540000000001E-2</v>
      </c>
      <c r="R2342">
        <v>2.8119849999999998E-2</v>
      </c>
      <c r="S2342">
        <v>-3.0076900000000002</v>
      </c>
      <c r="T2342">
        <v>-2.492523E-2</v>
      </c>
      <c r="U2342">
        <v>-0.18069460000000001</v>
      </c>
      <c r="V2342">
        <v>9.5984929999999996E-3</v>
      </c>
      <c r="W2342">
        <v>3.505925E-2</v>
      </c>
      <c r="X2342">
        <v>0.99933919999999998</v>
      </c>
      <c r="Y2342">
        <v>-7.8441819999999995E-2</v>
      </c>
      <c r="Z2342">
        <v>-4.780788E-4</v>
      </c>
      <c r="AA2342">
        <v>0.99691859999999999</v>
      </c>
      <c r="AB2342">
        <v>28</v>
      </c>
      <c r="AC2342">
        <v>-125.126499999999</v>
      </c>
      <c r="AD2342">
        <v>-1.0382287100000001</v>
      </c>
      <c r="AE2342">
        <v>-7.5294000000000096</v>
      </c>
      <c r="AF2342">
        <v>-9.8446954803309197</v>
      </c>
      <c r="AG2342">
        <v>-1.0382287100000001</v>
      </c>
      <c r="AH2342">
        <v>124.957029500597</v>
      </c>
      <c r="AI2342">
        <v>90.474571190981393</v>
      </c>
      <c r="AJ2342">
        <v>94.504722847648594</v>
      </c>
      <c r="AK2342">
        <v>125.348534772321</v>
      </c>
      <c r="AL2342">
        <v>87.990841324741297</v>
      </c>
      <c r="AM2342">
        <v>89.4497001339262</v>
      </c>
      <c r="AN2342">
        <v>1.00000005936753</v>
      </c>
    </row>
    <row r="2343" spans="1:40" x14ac:dyDescent="0.25">
      <c r="A2343" t="str">
        <f>"20190312160340090"</f>
        <v>20190312160340090</v>
      </c>
      <c r="B2343" t="str">
        <f>"1552377820076543"</f>
        <v>1552377820076543</v>
      </c>
      <c r="C2343" t="s">
        <v>40</v>
      </c>
      <c r="D2343">
        <v>4.8034919999999897</v>
      </c>
      <c r="E2343">
        <v>0.46732879999999899</v>
      </c>
      <c r="F2343" t="s">
        <v>59</v>
      </c>
      <c r="G2343">
        <v>-499.96809999999999</v>
      </c>
      <c r="H2343">
        <v>6.0327680000000002E-2</v>
      </c>
      <c r="I2343">
        <v>277.48520000000002</v>
      </c>
      <c r="J2343">
        <v>-375.0086</v>
      </c>
      <c r="K2343">
        <v>1.110147</v>
      </c>
      <c r="L2343">
        <v>285.0111</v>
      </c>
      <c r="M2343">
        <v>-0.99975369999999997</v>
      </c>
      <c r="N2343">
        <v>0</v>
      </c>
      <c r="O2343">
        <v>1.8426390000000001E-2</v>
      </c>
      <c r="P2343">
        <v>-0.99934750000000006</v>
      </c>
      <c r="Q2343">
        <v>2.2830199999999998E-2</v>
      </c>
      <c r="R2343">
        <v>2.798995E-2</v>
      </c>
      <c r="S2343">
        <v>-3.0076290000000001</v>
      </c>
      <c r="T2343">
        <v>-2.523649E-2</v>
      </c>
      <c r="U2343">
        <v>-0.18084720000000001</v>
      </c>
      <c r="V2343">
        <v>9.5600049999999999E-3</v>
      </c>
      <c r="W2343">
        <v>3.5197440000000003E-2</v>
      </c>
      <c r="X2343">
        <v>0.99933459999999996</v>
      </c>
      <c r="Y2343">
        <v>-7.8402059999999996E-2</v>
      </c>
      <c r="Z2343">
        <v>-4.8312339999999999E-4</v>
      </c>
      <c r="AA2343">
        <v>0.99692170000000002</v>
      </c>
      <c r="AB2343">
        <v>28</v>
      </c>
      <c r="AC2343">
        <v>-124.95950000000001</v>
      </c>
      <c r="AD2343">
        <v>-1.0498193199999999</v>
      </c>
      <c r="AE2343">
        <v>-7.5258999999999698</v>
      </c>
      <c r="AF2343">
        <v>-9.8266596367515309</v>
      </c>
      <c r="AG2343">
        <v>-1.0498193199999999</v>
      </c>
      <c r="AH2343">
        <v>124.790819224559</v>
      </c>
      <c r="AI2343">
        <v>90.480509579330402</v>
      </c>
      <c r="AJ2343">
        <v>94.502468239325395</v>
      </c>
      <c r="AK2343">
        <v>125.181523888143</v>
      </c>
      <c r="AL2343">
        <v>87.982918507190604</v>
      </c>
      <c r="AM2343">
        <v>89.451904066556395</v>
      </c>
      <c r="AN2343">
        <v>0.99999994811765502</v>
      </c>
    </row>
    <row r="2344" spans="1:40" x14ac:dyDescent="0.25">
      <c r="A2344" t="str">
        <f>"20190312160340100"</f>
        <v>20190312160340100</v>
      </c>
      <c r="B2344" t="str">
        <f>"1552377820097038"</f>
        <v>1552377820097038</v>
      </c>
      <c r="C2344" t="s">
        <v>40</v>
      </c>
      <c r="D2344">
        <v>4.8752579999999996</v>
      </c>
      <c r="E2344">
        <v>0.46737649999999997</v>
      </c>
      <c r="F2344" t="s">
        <v>59</v>
      </c>
      <c r="G2344">
        <v>-501.81020000000001</v>
      </c>
      <c r="H2344">
        <v>8.0000520000000006E-2</v>
      </c>
      <c r="I2344">
        <v>277.37619999999998</v>
      </c>
      <c r="J2344">
        <v>-375.15359999999998</v>
      </c>
      <c r="K2344">
        <v>1.110147</v>
      </c>
      <c r="L2344">
        <v>285.01369999999997</v>
      </c>
      <c r="M2344">
        <v>-0.99975530000000001</v>
      </c>
      <c r="N2344">
        <v>0</v>
      </c>
      <c r="O2344">
        <v>1.8341030000000001E-2</v>
      </c>
      <c r="P2344">
        <v>-0.99935750000000001</v>
      </c>
      <c r="Q2344">
        <v>2.298832E-2</v>
      </c>
      <c r="R2344">
        <v>2.74994E-2</v>
      </c>
      <c r="S2344">
        <v>-3.007568</v>
      </c>
      <c r="T2344">
        <v>-2.4433730000000001E-2</v>
      </c>
      <c r="U2344">
        <v>-0.18109130000000001</v>
      </c>
      <c r="V2344">
        <v>9.1547850000000004E-3</v>
      </c>
      <c r="W2344">
        <v>3.535613E-2</v>
      </c>
      <c r="X2344">
        <v>0.99933280000000002</v>
      </c>
      <c r="Y2344">
        <v>-7.8398999999999996E-2</v>
      </c>
      <c r="Z2344">
        <v>-4.6705910000000001E-4</v>
      </c>
      <c r="AA2344">
        <v>0.99692199999999997</v>
      </c>
      <c r="AB2344">
        <v>28</v>
      </c>
      <c r="AC2344">
        <v>-126.6566</v>
      </c>
      <c r="AD2344">
        <v>-1.03014648</v>
      </c>
      <c r="AE2344">
        <v>-7.6374999999999797</v>
      </c>
      <c r="AF2344">
        <v>-9.9587488591197992</v>
      </c>
      <c r="AG2344">
        <v>-1.03014648</v>
      </c>
      <c r="AH2344">
        <v>126.486864366425</v>
      </c>
      <c r="AI2344">
        <v>90.465183941790102</v>
      </c>
      <c r="AJ2344">
        <v>94.501808291423899</v>
      </c>
      <c r="AK2344">
        <v>126.882483967882</v>
      </c>
      <c r="AL2344">
        <v>87.973820591867906</v>
      </c>
      <c r="AM2344">
        <v>89.475133938999406</v>
      </c>
      <c r="AN2344">
        <v>0.99999995558640498</v>
      </c>
    </row>
    <row r="2345" spans="1:40" x14ac:dyDescent="0.25">
      <c r="A2345" t="str">
        <f>"20190312160340114"</f>
        <v>20190312160340114</v>
      </c>
      <c r="B2345" t="str">
        <f>"1552377820106799"</f>
        <v>1552377820106799</v>
      </c>
      <c r="C2345" t="s">
        <v>40</v>
      </c>
      <c r="D2345">
        <v>4.8849499999999999</v>
      </c>
      <c r="E2345">
        <v>0.46737879999999998</v>
      </c>
      <c r="F2345" t="s">
        <v>76</v>
      </c>
      <c r="G2345">
        <v>-511.95859999999999</v>
      </c>
      <c r="H2345">
        <v>3.5234689999999999E-2</v>
      </c>
      <c r="I2345">
        <v>276.72890000000001</v>
      </c>
      <c r="J2345">
        <v>-375.31939999999997</v>
      </c>
      <c r="K2345">
        <v>1.1101510000000001</v>
      </c>
      <c r="L2345">
        <v>285.01659999999998</v>
      </c>
      <c r="M2345">
        <v>-0.99975709999999995</v>
      </c>
      <c r="N2345">
        <v>0</v>
      </c>
      <c r="O2345">
        <v>1.8243639999999998E-2</v>
      </c>
      <c r="P2345">
        <v>-0.99935850000000004</v>
      </c>
      <c r="Q2345">
        <v>2.3093809999999999E-2</v>
      </c>
      <c r="R2345">
        <v>2.737649E-2</v>
      </c>
      <c r="S2345">
        <v>-3.0074459999999998</v>
      </c>
      <c r="T2345">
        <v>-2.3628469999999999E-2</v>
      </c>
      <c r="U2345">
        <v>-0.18212890000000001</v>
      </c>
      <c r="V2345">
        <v>9.1293190000000003E-3</v>
      </c>
      <c r="W2345">
        <v>3.5462880000000002E-2</v>
      </c>
      <c r="X2345">
        <v>0.99932929999999998</v>
      </c>
      <c r="Y2345">
        <v>-7.8647209999999995E-2</v>
      </c>
      <c r="Z2345">
        <v>-4.518899E-4</v>
      </c>
      <c r="AA2345">
        <v>0.99690239999999997</v>
      </c>
      <c r="AB2345">
        <v>28</v>
      </c>
      <c r="AC2345">
        <v>-136.63919999999999</v>
      </c>
      <c r="AD2345">
        <v>-1.0749163100000001</v>
      </c>
      <c r="AE2345">
        <v>-8.2876999999999708</v>
      </c>
      <c r="AF2345">
        <v>-10.7786428473597</v>
      </c>
      <c r="AG2345">
        <v>-1.0749163100000001</v>
      </c>
      <c r="AH2345">
        <v>136.45683247777899</v>
      </c>
      <c r="AI2345">
        <v>90.449927386615499</v>
      </c>
      <c r="AJ2345">
        <v>94.516381566794095</v>
      </c>
      <c r="AK2345">
        <v>136.886090296177</v>
      </c>
      <c r="AL2345">
        <v>87.967700529725207</v>
      </c>
      <c r="AM2345">
        <v>89.476592052248094</v>
      </c>
      <c r="AN2345">
        <v>1.0000000050808899</v>
      </c>
    </row>
    <row r="2346" spans="1:40" x14ac:dyDescent="0.25">
      <c r="A2346" t="str">
        <f>"20190312160340127"</f>
        <v>20190312160340127</v>
      </c>
      <c r="B2346" t="str">
        <f>"1552377820116559"</f>
        <v>1552377820116559</v>
      </c>
      <c r="C2346" t="s">
        <v>40</v>
      </c>
      <c r="D2346">
        <v>4.993906</v>
      </c>
      <c r="E2346">
        <v>0.46737879999999998</v>
      </c>
      <c r="F2346" t="s">
        <v>76</v>
      </c>
      <c r="G2346">
        <v>-511.95859999999999</v>
      </c>
      <c r="H2346">
        <v>5.5107179999999999E-2</v>
      </c>
      <c r="I2346">
        <v>276.72539999999998</v>
      </c>
      <c r="J2346">
        <v>-375.47879999999998</v>
      </c>
      <c r="K2346">
        <v>1.1101490000000001</v>
      </c>
      <c r="L2346">
        <v>285.01940000000002</v>
      </c>
      <c r="M2346">
        <v>-0.99975879999999995</v>
      </c>
      <c r="N2346">
        <v>0</v>
      </c>
      <c r="O2346">
        <v>1.8149930000000002E-2</v>
      </c>
      <c r="P2346">
        <v>-0.99936619999999998</v>
      </c>
      <c r="Q2346">
        <v>2.2905660000000001E-2</v>
      </c>
      <c r="R2346">
        <v>2.7255970000000001E-2</v>
      </c>
      <c r="S2346">
        <v>-3.0075069999999999</v>
      </c>
      <c r="T2346">
        <v>-2.3220299999999999E-2</v>
      </c>
      <c r="U2346">
        <v>-0.18249509999999999</v>
      </c>
      <c r="V2346">
        <v>9.1023110000000001E-3</v>
      </c>
      <c r="W2346">
        <v>3.527512E-2</v>
      </c>
      <c r="X2346">
        <v>0.99933620000000001</v>
      </c>
      <c r="Y2346">
        <v>-7.867362E-2</v>
      </c>
      <c r="Z2346">
        <v>-4.4345229999999999E-4</v>
      </c>
      <c r="AA2346">
        <v>0.99690029999999996</v>
      </c>
      <c r="AB2346">
        <v>28</v>
      </c>
      <c r="AC2346">
        <v>-136.47980000000001</v>
      </c>
      <c r="AD2346">
        <v>-1.05504182</v>
      </c>
      <c r="AE2346">
        <v>-8.2940000000000396</v>
      </c>
      <c r="AF2346">
        <v>-10.769280620980799</v>
      </c>
      <c r="AG2346">
        <v>-1.05504182</v>
      </c>
      <c r="AH2346">
        <v>136.298653006065</v>
      </c>
      <c r="AI2346">
        <v>90.442120544966201</v>
      </c>
      <c r="AJ2346">
        <v>94.517690112306198</v>
      </c>
      <c r="AK2346">
        <v>136.72751489588001</v>
      </c>
      <c r="AL2346">
        <v>87.978465137235304</v>
      </c>
      <c r="AM2346">
        <v>89.478144009414294</v>
      </c>
      <c r="AN2346">
        <v>1.0000000133934901</v>
      </c>
    </row>
    <row r="2347" spans="1:40" x14ac:dyDescent="0.25">
      <c r="A2347" t="str">
        <f>"20190312160340142"</f>
        <v>20190312160340142</v>
      </c>
      <c r="B2347" t="str">
        <f>"1552377820137055"</f>
        <v>1552377820137055</v>
      </c>
      <c r="C2347" t="s">
        <v>40</v>
      </c>
      <c r="D2347">
        <v>4.8300489999999998</v>
      </c>
      <c r="E2347">
        <v>0.45334229999999998</v>
      </c>
      <c r="F2347" t="s">
        <v>76</v>
      </c>
      <c r="G2347">
        <v>-511.95859999999999</v>
      </c>
      <c r="H2347">
        <v>2.851981E-2</v>
      </c>
      <c r="I2347">
        <v>276.72390000000001</v>
      </c>
      <c r="J2347">
        <v>-375.67169999999999</v>
      </c>
      <c r="K2347">
        <v>1.110142</v>
      </c>
      <c r="L2347">
        <v>285.02280000000002</v>
      </c>
      <c r="M2347">
        <v>-0.99976089999999995</v>
      </c>
      <c r="N2347">
        <v>0</v>
      </c>
      <c r="O2347">
        <v>1.803621E-2</v>
      </c>
      <c r="P2347">
        <v>-0.99938640000000001</v>
      </c>
      <c r="Q2347">
        <v>2.2360709999999999E-2</v>
      </c>
      <c r="R2347">
        <v>2.696517E-2</v>
      </c>
      <c r="S2347">
        <v>-3.0074770000000002</v>
      </c>
      <c r="T2347">
        <v>-2.383304E-2</v>
      </c>
      <c r="U2347">
        <v>-0.1828003</v>
      </c>
      <c r="V2347">
        <v>8.9250340000000001E-3</v>
      </c>
      <c r="W2347">
        <v>3.4731379999999999E-2</v>
      </c>
      <c r="X2347">
        <v>0.99935680000000005</v>
      </c>
      <c r="Y2347">
        <v>-7.8661449999999994E-2</v>
      </c>
      <c r="Z2347">
        <v>-4.5420829999999999E-4</v>
      </c>
      <c r="AA2347">
        <v>0.99690129999999999</v>
      </c>
      <c r="AB2347">
        <v>28</v>
      </c>
      <c r="AC2347">
        <v>-136.2869</v>
      </c>
      <c r="AD2347">
        <v>-1.08162219</v>
      </c>
      <c r="AE2347">
        <v>-8.2988999999999997</v>
      </c>
      <c r="AF2347">
        <v>-10.7551619427667</v>
      </c>
      <c r="AG2347">
        <v>-1.08162219</v>
      </c>
      <c r="AH2347">
        <v>136.10649415626199</v>
      </c>
      <c r="AI2347">
        <v>90.453898340340203</v>
      </c>
      <c r="AJ2347">
        <v>94.518135341941104</v>
      </c>
      <c r="AK2347">
        <v>136.53505471667501</v>
      </c>
      <c r="AL2347">
        <v>88.009638159581897</v>
      </c>
      <c r="AM2347">
        <v>89.488317700417198</v>
      </c>
      <c r="AN2347">
        <v>0.99999996934742197</v>
      </c>
    </row>
    <row r="2348" spans="1:40" x14ac:dyDescent="0.25">
      <c r="A2348" t="str">
        <f>"20190312160340154"</f>
        <v>20190312160340154</v>
      </c>
      <c r="B2348" t="str">
        <f>"1552377820146815"</f>
        <v>1552377820146815</v>
      </c>
      <c r="C2348" t="s">
        <v>40</v>
      </c>
      <c r="D2348">
        <v>4.7471059999999996</v>
      </c>
      <c r="E2348">
        <v>0.453013</v>
      </c>
      <c r="F2348" t="s">
        <v>76</v>
      </c>
      <c r="G2348">
        <v>-512.82550000000003</v>
      </c>
      <c r="H2348">
        <v>1.0344949999999999</v>
      </c>
      <c r="I2348">
        <v>271.59199999999998</v>
      </c>
      <c r="J2348">
        <v>-375.8134</v>
      </c>
      <c r="K2348">
        <v>1.1101399999999999</v>
      </c>
      <c r="L2348">
        <v>285.02519999999998</v>
      </c>
      <c r="M2348">
        <v>-0.99976229999999999</v>
      </c>
      <c r="N2348">
        <v>0</v>
      </c>
      <c r="O2348">
        <v>1.7952639999999999E-2</v>
      </c>
      <c r="P2348">
        <v>-0.99938629999999995</v>
      </c>
      <c r="Q2348">
        <v>2.2029650000000001E-2</v>
      </c>
      <c r="R2348">
        <v>2.7235200000000001E-2</v>
      </c>
      <c r="S2348">
        <v>-3.0098569999999998</v>
      </c>
      <c r="T2348">
        <v>-1.65832E-3</v>
      </c>
      <c r="U2348">
        <v>-0.29473880000000002</v>
      </c>
      <c r="V2348">
        <v>9.2785850000000007E-3</v>
      </c>
      <c r="W2348">
        <v>3.4401130000000002E-2</v>
      </c>
      <c r="X2348">
        <v>0.99936499999999995</v>
      </c>
      <c r="Y2348">
        <v>-0.1153112</v>
      </c>
      <c r="Z2348" s="1">
        <v>-4.1560470000000001E-5</v>
      </c>
      <c r="AA2348">
        <v>0.99332940000000003</v>
      </c>
      <c r="AB2348">
        <v>28</v>
      </c>
      <c r="AC2348">
        <v>-137.0121</v>
      </c>
      <c r="AD2348">
        <v>-7.5644999999999699E-2</v>
      </c>
      <c r="AE2348">
        <v>-13.433199999999999</v>
      </c>
      <c r="AF2348">
        <v>-15.8909471091113</v>
      </c>
      <c r="AG2348">
        <v>-7.5644999999999699E-2</v>
      </c>
      <c r="AH2348">
        <v>136.748794379689</v>
      </c>
      <c r="AI2348">
        <v>90.031482313699001</v>
      </c>
      <c r="AJ2348">
        <v>96.628349409625599</v>
      </c>
      <c r="AK2348">
        <v>137.66902587905901</v>
      </c>
      <c r="AL2348">
        <v>88.028571400273805</v>
      </c>
      <c r="AM2348">
        <v>89.468053728577104</v>
      </c>
      <c r="AN2348">
        <v>0.99999996655493795</v>
      </c>
    </row>
    <row r="2349" spans="1:40" x14ac:dyDescent="0.25">
      <c r="A2349" t="str">
        <f>"20190312160340165"</f>
        <v>20190312160340165</v>
      </c>
      <c r="B2349" t="str">
        <f>"1552377820156575"</f>
        <v>1552377820156575</v>
      </c>
      <c r="C2349" t="s">
        <v>40</v>
      </c>
      <c r="D2349">
        <v>4.8385400000000001</v>
      </c>
      <c r="E2349">
        <v>0.45263920000000002</v>
      </c>
      <c r="F2349" t="s">
        <v>76</v>
      </c>
      <c r="G2349">
        <v>-512.82550000000003</v>
      </c>
      <c r="H2349">
        <v>0.99809979999999998</v>
      </c>
      <c r="I2349">
        <v>271.5256</v>
      </c>
      <c r="J2349">
        <v>-375.9572</v>
      </c>
      <c r="K2349">
        <v>1.1101399999999999</v>
      </c>
      <c r="L2349">
        <v>285.02769999999998</v>
      </c>
      <c r="M2349">
        <v>-0.99976379999999998</v>
      </c>
      <c r="N2349">
        <v>0</v>
      </c>
      <c r="O2349">
        <v>1.7868120000000001E-2</v>
      </c>
      <c r="P2349">
        <v>-0.99939619999999996</v>
      </c>
      <c r="Q2349">
        <v>2.1816990000000001E-2</v>
      </c>
      <c r="R2349">
        <v>2.704324E-2</v>
      </c>
      <c r="S2349">
        <v>-3.009979</v>
      </c>
      <c r="T2349">
        <v>-2.4596449999999999E-3</v>
      </c>
      <c r="U2349">
        <v>-0.29656979999999999</v>
      </c>
      <c r="V2349">
        <v>9.1711829999999994E-3</v>
      </c>
      <c r="W2349">
        <v>3.4189539999999997E-2</v>
      </c>
      <c r="X2349">
        <v>0.99937330000000002</v>
      </c>
      <c r="Y2349">
        <v>-0.1158217</v>
      </c>
      <c r="Z2349" s="1">
        <v>-6.1778000000000004E-5</v>
      </c>
      <c r="AA2349">
        <v>0.99326999999999999</v>
      </c>
      <c r="AB2349">
        <v>28</v>
      </c>
      <c r="AC2349">
        <v>-136.8683</v>
      </c>
      <c r="AD2349">
        <v>-0.11204019999999899</v>
      </c>
      <c r="AE2349">
        <v>-13.502099999999899</v>
      </c>
      <c r="AF2349">
        <v>-15.9456999178063</v>
      </c>
      <c r="AG2349">
        <v>-0.11204019999999899</v>
      </c>
      <c r="AH2349">
        <v>136.605079691215</v>
      </c>
      <c r="AI2349">
        <v>90.046675694861605</v>
      </c>
      <c r="AJ2349">
        <v>96.657917701144697</v>
      </c>
      <c r="AK2349">
        <v>137.53263502281399</v>
      </c>
      <c r="AL2349">
        <v>88.040701843456702</v>
      </c>
      <c r="AM2349">
        <v>89.474215161871697</v>
      </c>
      <c r="AN2349">
        <v>1.0000000139979599</v>
      </c>
    </row>
    <row r="2350" spans="1:40" x14ac:dyDescent="0.25">
      <c r="A2350" t="str">
        <f>"20190312160340178"</f>
        <v>20190312160340178</v>
      </c>
      <c r="B2350" t="str">
        <f>"1552377820167311"</f>
        <v>1552377820167311</v>
      </c>
      <c r="C2350" t="s">
        <v>40</v>
      </c>
      <c r="D2350">
        <v>4.8369679999999997</v>
      </c>
      <c r="E2350">
        <v>0.45239030000000002</v>
      </c>
      <c r="F2350" t="s">
        <v>44</v>
      </c>
      <c r="G2350">
        <v>-455.22590000000002</v>
      </c>
      <c r="H2350">
        <v>1.0243279999999999</v>
      </c>
      <c r="I2350">
        <v>277.12520000000001</v>
      </c>
      <c r="J2350">
        <v>-376.09660000000002</v>
      </c>
      <c r="K2350">
        <v>1.110141</v>
      </c>
      <c r="L2350">
        <v>285.03019999999998</v>
      </c>
      <c r="M2350">
        <v>-0.99976520000000002</v>
      </c>
      <c r="N2350">
        <v>0</v>
      </c>
      <c r="O2350">
        <v>1.778623E-2</v>
      </c>
      <c r="P2350">
        <v>-0.99940059999999997</v>
      </c>
      <c r="Q2350">
        <v>2.1780290000000001E-2</v>
      </c>
      <c r="R2350">
        <v>2.6910940000000001E-2</v>
      </c>
      <c r="S2350">
        <v>-3.0100099999999999</v>
      </c>
      <c r="T2350">
        <v>-3.2559630000000002E-3</v>
      </c>
      <c r="U2350">
        <v>-0.30007929999999999</v>
      </c>
      <c r="V2350">
        <v>9.1207059999999993E-3</v>
      </c>
      <c r="W2350">
        <v>3.4153320000000001E-2</v>
      </c>
      <c r="X2350">
        <v>0.99937500000000001</v>
      </c>
      <c r="Y2350">
        <v>-0.1168862</v>
      </c>
      <c r="Z2350" s="1">
        <v>-8.2259210000000001E-5</v>
      </c>
      <c r="AA2350">
        <v>0.99314530000000001</v>
      </c>
      <c r="AB2350">
        <v>28</v>
      </c>
      <c r="AC2350">
        <v>-79.129300000000001</v>
      </c>
      <c r="AD2350">
        <v>-8.5812999999999903E-2</v>
      </c>
      <c r="AE2350">
        <v>-7.9049999999999701</v>
      </c>
      <c r="AF2350">
        <v>-9.3112582398414698</v>
      </c>
      <c r="AG2350">
        <v>-8.5812999999999903E-2</v>
      </c>
      <c r="AH2350">
        <v>78.976077933541106</v>
      </c>
      <c r="AI2350">
        <v>90.061827594649699</v>
      </c>
      <c r="AJ2350">
        <v>96.7241157248246</v>
      </c>
      <c r="AK2350">
        <v>79.523127325607305</v>
      </c>
      <c r="AL2350">
        <v>88.042778308437903</v>
      </c>
      <c r="AM2350">
        <v>89.477109741626705</v>
      </c>
      <c r="AN2350">
        <v>1.00000001358498</v>
      </c>
    </row>
    <row r="2351" spans="1:40" x14ac:dyDescent="0.25">
      <c r="A2351" t="str">
        <f>"20190312160340191"</f>
        <v>20190312160340191</v>
      </c>
      <c r="B2351" t="str">
        <f>"1552377820186831"</f>
        <v>1552377820186831</v>
      </c>
      <c r="C2351" t="s">
        <v>40</v>
      </c>
      <c r="D2351">
        <v>4.8314120000000003</v>
      </c>
      <c r="E2351">
        <v>0.45246629999999899</v>
      </c>
      <c r="F2351" t="s">
        <v>44</v>
      </c>
      <c r="G2351">
        <v>-455.22370000000001</v>
      </c>
      <c r="H2351">
        <v>1.01441</v>
      </c>
      <c r="I2351">
        <v>277.07830000000001</v>
      </c>
      <c r="J2351">
        <v>-376.27280000000002</v>
      </c>
      <c r="K2351">
        <v>1.110142</v>
      </c>
      <c r="L2351">
        <v>285.03309999999999</v>
      </c>
      <c r="M2351">
        <v>-0.99976710000000002</v>
      </c>
      <c r="N2351">
        <v>0</v>
      </c>
      <c r="O2351">
        <v>1.7682509999999999E-2</v>
      </c>
      <c r="P2351">
        <v>-0.99939560000000005</v>
      </c>
      <c r="Q2351">
        <v>2.2177430000000001E-2</v>
      </c>
      <c r="R2351">
        <v>2.6773870000000002E-2</v>
      </c>
      <c r="S2351">
        <v>-3.0100099999999999</v>
      </c>
      <c r="T2351">
        <v>-3.639102E-3</v>
      </c>
      <c r="U2351">
        <v>-0.30249019999999999</v>
      </c>
      <c r="V2351">
        <v>9.0874100000000006E-3</v>
      </c>
      <c r="W2351">
        <v>3.4551239999999997E-2</v>
      </c>
      <c r="X2351">
        <v>0.99936159999999996</v>
      </c>
      <c r="Y2351">
        <v>-0.1175706</v>
      </c>
      <c r="Z2351" s="1">
        <v>-9.2222840000000004E-5</v>
      </c>
      <c r="AA2351">
        <v>0.99306450000000002</v>
      </c>
      <c r="AB2351">
        <v>28</v>
      </c>
      <c r="AC2351">
        <v>-78.950899999999905</v>
      </c>
      <c r="AD2351">
        <v>-9.5731999999999901E-2</v>
      </c>
      <c r="AE2351">
        <v>-7.9547999999999703</v>
      </c>
      <c r="AF2351">
        <v>-9.3496994264808304</v>
      </c>
      <c r="AG2351">
        <v>-9.5731999999999901E-2</v>
      </c>
      <c r="AH2351">
        <v>78.797768022278504</v>
      </c>
      <c r="AI2351">
        <v>90.069124145115197</v>
      </c>
      <c r="AJ2351">
        <v>96.766756832482898</v>
      </c>
      <c r="AK2351">
        <v>79.350578380212099</v>
      </c>
      <c r="AL2351">
        <v>88.019965657776496</v>
      </c>
      <c r="AM2351">
        <v>89.479011511342406</v>
      </c>
      <c r="AN2351">
        <v>0.99999998838030202</v>
      </c>
    </row>
    <row r="2352" spans="1:40" x14ac:dyDescent="0.25">
      <c r="A2352" t="str">
        <f>"20190312160340210"</f>
        <v>20190312160340210</v>
      </c>
      <c r="B2352" t="str">
        <f>"1552377820206351"</f>
        <v>1552377820206351</v>
      </c>
      <c r="C2352" t="s">
        <v>40</v>
      </c>
      <c r="D2352">
        <v>4.863855</v>
      </c>
      <c r="E2352">
        <v>0.4525882</v>
      </c>
      <c r="F2352" t="s">
        <v>44</v>
      </c>
      <c r="G2352">
        <v>-455.18729999999999</v>
      </c>
      <c r="H2352">
        <v>0.85180679999999998</v>
      </c>
      <c r="I2352">
        <v>277.09500000000003</v>
      </c>
      <c r="J2352">
        <v>-376.50569999999999</v>
      </c>
      <c r="K2352">
        <v>1.1101490000000001</v>
      </c>
      <c r="L2352">
        <v>285.03710000000001</v>
      </c>
      <c r="M2352">
        <v>-0.99976949999999998</v>
      </c>
      <c r="N2352">
        <v>0</v>
      </c>
      <c r="O2352">
        <v>1.7545479999999999E-2</v>
      </c>
      <c r="P2352">
        <v>-0.999394</v>
      </c>
      <c r="Q2352">
        <v>2.2644350000000001E-2</v>
      </c>
      <c r="R2352">
        <v>2.6447370000000001E-2</v>
      </c>
      <c r="S2352">
        <v>-3.010132</v>
      </c>
      <c r="T2352">
        <v>-9.8514559999999998E-3</v>
      </c>
      <c r="U2352">
        <v>-0.30279539999999999</v>
      </c>
      <c r="V2352">
        <v>8.8980589999999998E-3</v>
      </c>
      <c r="W2352">
        <v>3.5019219999999997E-2</v>
      </c>
      <c r="X2352">
        <v>0.99934699999999999</v>
      </c>
      <c r="Y2352">
        <v>-0.1175296</v>
      </c>
      <c r="Z2352">
        <v>-2.4913110000000002E-4</v>
      </c>
      <c r="AA2352">
        <v>0.99306939999999999</v>
      </c>
      <c r="AB2352">
        <v>28</v>
      </c>
      <c r="AC2352">
        <v>-78.681600000000003</v>
      </c>
      <c r="AD2352">
        <v>-0.25834220000000002</v>
      </c>
      <c r="AE2352">
        <v>-7.9420999999999804</v>
      </c>
      <c r="AF2352">
        <v>-9.3213899094851698</v>
      </c>
      <c r="AG2352">
        <v>-0.25834220000000002</v>
      </c>
      <c r="AH2352">
        <v>78.529289706946003</v>
      </c>
      <c r="AI2352">
        <v>90.187174469941894</v>
      </c>
      <c r="AJ2352">
        <v>96.769308535537604</v>
      </c>
      <c r="AK2352">
        <v>79.080998934095504</v>
      </c>
      <c r="AL2352">
        <v>87.993136112147297</v>
      </c>
      <c r="AM2352">
        <v>89.489859123507003</v>
      </c>
      <c r="AN2352">
        <v>0.99999997381618699</v>
      </c>
    </row>
    <row r="2353" spans="1:40" x14ac:dyDescent="0.25">
      <c r="A2353" t="str">
        <f>"20190312160340232"</f>
        <v>20190312160340232</v>
      </c>
      <c r="B2353" t="str">
        <f>"1552377820226847"</f>
        <v>1552377820226847</v>
      </c>
      <c r="C2353" t="s">
        <v>40</v>
      </c>
      <c r="D2353">
        <v>4.8817979999999999</v>
      </c>
      <c r="E2353">
        <v>0.45252300000000001</v>
      </c>
      <c r="F2353" t="s">
        <v>44</v>
      </c>
      <c r="G2353">
        <v>-455.18990000000002</v>
      </c>
      <c r="H2353">
        <v>0.86368419999999901</v>
      </c>
      <c r="I2353">
        <v>277.1275</v>
      </c>
      <c r="J2353">
        <v>-376.79160000000002</v>
      </c>
      <c r="K2353">
        <v>1.1101510000000001</v>
      </c>
      <c r="L2353">
        <v>285.0419</v>
      </c>
      <c r="M2353">
        <v>-0.99977249999999995</v>
      </c>
      <c r="N2353">
        <v>0</v>
      </c>
      <c r="O2353">
        <v>1.7377509999999999E-2</v>
      </c>
      <c r="P2353">
        <v>-0.99939449999999996</v>
      </c>
      <c r="Q2353">
        <v>2.2860720000000001E-2</v>
      </c>
      <c r="R2353">
        <v>2.6242049999999999E-2</v>
      </c>
      <c r="S2353">
        <v>-3.0100709999999999</v>
      </c>
      <c r="T2353">
        <v>-9.4259979999999997E-3</v>
      </c>
      <c r="U2353">
        <v>-0.30258180000000001</v>
      </c>
      <c r="V2353">
        <v>8.8606180000000007E-3</v>
      </c>
      <c r="W2353">
        <v>3.523652E-2</v>
      </c>
      <c r="X2353">
        <v>0.99933970000000005</v>
      </c>
      <c r="Y2353">
        <v>-0.117295</v>
      </c>
      <c r="Z2353">
        <v>-2.3748629999999999E-4</v>
      </c>
      <c r="AA2353">
        <v>0.99309709999999995</v>
      </c>
      <c r="AB2353">
        <v>28</v>
      </c>
      <c r="AC2353">
        <v>-78.398300000000006</v>
      </c>
      <c r="AD2353">
        <v>-0.24646680000000001</v>
      </c>
      <c r="AE2353">
        <v>-7.9143999999999997</v>
      </c>
      <c r="AF2353">
        <v>-9.2755854463752705</v>
      </c>
      <c r="AG2353">
        <v>-0.24646680000000001</v>
      </c>
      <c r="AH2353">
        <v>78.248151383230194</v>
      </c>
      <c r="AI2353">
        <v>90.179215458946899</v>
      </c>
      <c r="AJ2353">
        <v>96.760330675050298</v>
      </c>
      <c r="AK2353">
        <v>78.7963858698444</v>
      </c>
      <c r="AL2353">
        <v>87.980678061485406</v>
      </c>
      <c r="AM2353">
        <v>89.492001856458103</v>
      </c>
      <c r="AN2353">
        <v>0.99999997944457097</v>
      </c>
    </row>
    <row r="2354" spans="1:40" x14ac:dyDescent="0.25">
      <c r="A2354" t="str">
        <f>"20190312160340243"</f>
        <v>20190312160340243</v>
      </c>
      <c r="B2354" t="str">
        <f>"1552377820236607"</f>
        <v>1552377820236607</v>
      </c>
      <c r="C2354" t="s">
        <v>40</v>
      </c>
      <c r="D2354">
        <v>4.8740040000000002</v>
      </c>
      <c r="E2354">
        <v>0.45251940000000002</v>
      </c>
      <c r="F2354" t="s">
        <v>44</v>
      </c>
      <c r="G2354">
        <v>-455.20859999999999</v>
      </c>
      <c r="H2354">
        <v>0.94687940000000004</v>
      </c>
      <c r="I2354">
        <v>277.13029999999998</v>
      </c>
      <c r="J2354">
        <v>-376.93299999999999</v>
      </c>
      <c r="K2354">
        <v>1.11015</v>
      </c>
      <c r="L2354">
        <v>285.04430000000002</v>
      </c>
      <c r="M2354">
        <v>-0.99977380000000005</v>
      </c>
      <c r="N2354">
        <v>0</v>
      </c>
      <c r="O2354">
        <v>1.7294299999999999E-2</v>
      </c>
      <c r="P2354">
        <v>-0.99939840000000002</v>
      </c>
      <c r="Q2354">
        <v>2.275932E-2</v>
      </c>
      <c r="R2354">
        <v>2.6169810000000002E-2</v>
      </c>
      <c r="S2354">
        <v>-3.0099490000000002</v>
      </c>
      <c r="T2354">
        <v>-6.2644479999999997E-3</v>
      </c>
      <c r="U2354">
        <v>-0.30368040000000002</v>
      </c>
      <c r="V2354">
        <v>8.8713630000000002E-3</v>
      </c>
      <c r="W2354">
        <v>3.5135970000000002E-2</v>
      </c>
      <c r="X2354">
        <v>0.99934319999999999</v>
      </c>
      <c r="Y2354">
        <v>-0.1175756</v>
      </c>
      <c r="Z2354">
        <v>-1.5795380000000001E-4</v>
      </c>
      <c r="AA2354">
        <v>0.9930639</v>
      </c>
      <c r="AB2354">
        <v>28</v>
      </c>
      <c r="AC2354">
        <v>-78.275599999999898</v>
      </c>
      <c r="AD2354">
        <v>-0.16327059999999899</v>
      </c>
      <c r="AE2354">
        <v>-7.9140000000000397</v>
      </c>
      <c r="AF2354">
        <v>-9.2666017651749808</v>
      </c>
      <c r="AG2354">
        <v>-0.16327059999999899</v>
      </c>
      <c r="AH2354">
        <v>78.126677446646895</v>
      </c>
      <c r="AI2354">
        <v>90.118904155987494</v>
      </c>
      <c r="AJ2354">
        <v>96.764247476157905</v>
      </c>
      <c r="AK2354">
        <v>78.674483121375303</v>
      </c>
      <c r="AL2354">
        <v>87.9864428326309</v>
      </c>
      <c r="AM2354">
        <v>89.491387636240702</v>
      </c>
      <c r="AN2354">
        <v>1.00000003442777</v>
      </c>
    </row>
    <row r="2355" spans="1:40" x14ac:dyDescent="0.25">
      <c r="A2355" t="str">
        <f>"20190312160340255"</f>
        <v>20190312160340255</v>
      </c>
      <c r="B2355" t="str">
        <f>"1552377820247343"</f>
        <v>1552377820247343</v>
      </c>
      <c r="C2355" t="s">
        <v>40</v>
      </c>
      <c r="D2355">
        <v>4.882047</v>
      </c>
      <c r="E2355">
        <v>0.45259559999999999</v>
      </c>
      <c r="F2355" t="s">
        <v>44</v>
      </c>
      <c r="G2355">
        <v>-455.2045</v>
      </c>
      <c r="H2355">
        <v>0.92879100000000003</v>
      </c>
      <c r="I2355">
        <v>277.14319999999998</v>
      </c>
      <c r="J2355">
        <v>-377.072</v>
      </c>
      <c r="K2355">
        <v>1.1101510000000001</v>
      </c>
      <c r="L2355">
        <v>285.04660000000001</v>
      </c>
      <c r="M2355">
        <v>-0.99977519999999998</v>
      </c>
      <c r="N2355">
        <v>0</v>
      </c>
      <c r="O2355">
        <v>1.7212410000000001E-2</v>
      </c>
      <c r="P2355">
        <v>-0.99938939999999998</v>
      </c>
      <c r="Q2355">
        <v>2.2964749999999999E-2</v>
      </c>
      <c r="R2355">
        <v>2.633069E-2</v>
      </c>
      <c r="S2355">
        <v>-3.0099179999999999</v>
      </c>
      <c r="T2355">
        <v>-6.9715979999999999E-3</v>
      </c>
      <c r="U2355">
        <v>-0.30383300000000002</v>
      </c>
      <c r="V2355">
        <v>9.1141659999999999E-3</v>
      </c>
      <c r="W2355">
        <v>3.5341839999999999E-2</v>
      </c>
      <c r="X2355">
        <v>0.99933369999999999</v>
      </c>
      <c r="Y2355">
        <v>-0.117545</v>
      </c>
      <c r="Z2355">
        <v>-1.7556080000000001E-4</v>
      </c>
      <c r="AA2355">
        <v>0.99306760000000005</v>
      </c>
      <c r="AB2355">
        <v>28</v>
      </c>
      <c r="AC2355">
        <v>-78.132499999999993</v>
      </c>
      <c r="AD2355">
        <v>-0.18135999999999999</v>
      </c>
      <c r="AE2355">
        <v>-7.9034000000000297</v>
      </c>
      <c r="AF2355">
        <v>-9.2471313642236908</v>
      </c>
      <c r="AG2355">
        <v>-0.18135999999999999</v>
      </c>
      <c r="AH2355">
        <v>77.984460419816003</v>
      </c>
      <c r="AI2355">
        <v>90.132319357220993</v>
      </c>
      <c r="AJ2355">
        <v>96.762362247838894</v>
      </c>
      <c r="AK2355">
        <v>78.531002775252105</v>
      </c>
      <c r="AL2355">
        <v>87.974639907680498</v>
      </c>
      <c r="AM2355">
        <v>89.477463066088205</v>
      </c>
      <c r="AN2355">
        <v>0.99999997881607505</v>
      </c>
    </row>
    <row r="2356" spans="1:40" x14ac:dyDescent="0.25">
      <c r="A2356" t="str">
        <f>"20190312160340267"</f>
        <v>20190312160340267</v>
      </c>
      <c r="B2356" t="str">
        <f>"1552377820257103"</f>
        <v>1552377820257103</v>
      </c>
      <c r="C2356" t="s">
        <v>40</v>
      </c>
      <c r="D2356">
        <v>4.928083</v>
      </c>
      <c r="E2356">
        <v>0.45260450000000002</v>
      </c>
      <c r="F2356" t="s">
        <v>44</v>
      </c>
      <c r="G2356">
        <v>-455.43279999999999</v>
      </c>
      <c r="H2356">
        <v>0.94607140000000001</v>
      </c>
      <c r="I2356">
        <v>277.15809999999999</v>
      </c>
      <c r="J2356">
        <v>-377.22160000000002</v>
      </c>
      <c r="K2356">
        <v>1.1101540000000001</v>
      </c>
      <c r="L2356">
        <v>285.04899999999998</v>
      </c>
      <c r="M2356">
        <v>-0.99977680000000002</v>
      </c>
      <c r="N2356">
        <v>0</v>
      </c>
      <c r="O2356">
        <v>1.7124380000000002E-2</v>
      </c>
      <c r="P2356">
        <v>-0.99939549999999999</v>
      </c>
      <c r="Q2356">
        <v>2.2823449999999999E-2</v>
      </c>
      <c r="R2356">
        <v>2.6230259999999998E-2</v>
      </c>
      <c r="S2356">
        <v>-3.0099490000000002</v>
      </c>
      <c r="T2356">
        <v>-6.2999730000000004E-3</v>
      </c>
      <c r="U2356">
        <v>-0.30300899999999997</v>
      </c>
      <c r="V2356">
        <v>9.1018799999999997E-3</v>
      </c>
      <c r="W2356">
        <v>3.5200780000000001E-2</v>
      </c>
      <c r="X2356">
        <v>0.99933879999999997</v>
      </c>
      <c r="Y2356">
        <v>-0.1171875</v>
      </c>
      <c r="Z2356">
        <v>-1.5809129999999901E-4</v>
      </c>
      <c r="AA2356">
        <v>0.99310980000000004</v>
      </c>
      <c r="AB2356">
        <v>28</v>
      </c>
      <c r="AC2356">
        <v>-78.211199999999906</v>
      </c>
      <c r="AD2356">
        <v>-0.1640826</v>
      </c>
      <c r="AE2356">
        <v>-7.8909000000000402</v>
      </c>
      <c r="AF2356">
        <v>-9.2291233950217695</v>
      </c>
      <c r="AG2356">
        <v>-0.1640826</v>
      </c>
      <c r="AH2356">
        <v>78.064252662547901</v>
      </c>
      <c r="AI2356">
        <v>90.119596440724493</v>
      </c>
      <c r="AJ2356">
        <v>96.742479582921902</v>
      </c>
      <c r="AK2356">
        <v>78.608086005844697</v>
      </c>
      <c r="AL2356">
        <v>87.982727101423805</v>
      </c>
      <c r="AM2356">
        <v>89.478170075832494</v>
      </c>
      <c r="AN2356">
        <v>0.99999998815879099</v>
      </c>
    </row>
    <row r="2357" spans="1:40" x14ac:dyDescent="0.25">
      <c r="A2357" t="str">
        <f>"20190312160340279"</f>
        <v>20190312160340279</v>
      </c>
      <c r="B2357" t="str">
        <f>"1552377820266863"</f>
        <v>1552377820266863</v>
      </c>
      <c r="C2357" t="s">
        <v>40</v>
      </c>
      <c r="D2357">
        <v>4.9258769999999998</v>
      </c>
      <c r="E2357">
        <v>0.4526097</v>
      </c>
      <c r="F2357" t="s">
        <v>44</v>
      </c>
      <c r="G2357">
        <v>-455.45190000000002</v>
      </c>
      <c r="H2357">
        <v>0.88668849999999999</v>
      </c>
      <c r="I2357">
        <v>277.17140000000001</v>
      </c>
      <c r="J2357">
        <v>-377.3689</v>
      </c>
      <c r="K2357">
        <v>1.1101589999999999</v>
      </c>
      <c r="L2357">
        <v>285.05149999999998</v>
      </c>
      <c r="M2357">
        <v>-0.99977830000000001</v>
      </c>
      <c r="N2357">
        <v>0</v>
      </c>
      <c r="O2357">
        <v>1.7037589999999998E-2</v>
      </c>
      <c r="P2357">
        <v>-0.99939739999999999</v>
      </c>
      <c r="Q2357">
        <v>2.2987919999999998E-2</v>
      </c>
      <c r="R2357">
        <v>2.6015630000000001E-2</v>
      </c>
      <c r="S2357">
        <v>-3.009979</v>
      </c>
      <c r="T2357">
        <v>-8.5954669999999903E-3</v>
      </c>
      <c r="U2357">
        <v>-0.3031006</v>
      </c>
      <c r="V2357">
        <v>8.9741019999999994E-3</v>
      </c>
      <c r="W2357">
        <v>3.536566E-2</v>
      </c>
      <c r="X2357">
        <v>0.99933419999999895</v>
      </c>
      <c r="Y2357">
        <v>-0.1171299</v>
      </c>
      <c r="Z2357">
        <v>-2.153623E-4</v>
      </c>
      <c r="AA2357">
        <v>0.99311660000000002</v>
      </c>
      <c r="AB2357">
        <v>28</v>
      </c>
      <c r="AC2357">
        <v>-78.082999999999998</v>
      </c>
      <c r="AD2357">
        <v>-0.22347049999999999</v>
      </c>
      <c r="AE2357">
        <v>-7.8800999999999704</v>
      </c>
      <c r="AF2357">
        <v>-9.2093293253914101</v>
      </c>
      <c r="AG2357">
        <v>-0.22347049999999999</v>
      </c>
      <c r="AH2357">
        <v>77.936764376464097</v>
      </c>
      <c r="AI2357">
        <v>90.163150453487106</v>
      </c>
      <c r="AJ2357">
        <v>96.739056139311401</v>
      </c>
      <c r="AK2357">
        <v>78.4793025399714</v>
      </c>
      <c r="AL2357">
        <v>87.973274420609201</v>
      </c>
      <c r="AM2357">
        <v>89.485493092539201</v>
      </c>
      <c r="AN2357">
        <v>1.0000000538517799</v>
      </c>
    </row>
    <row r="2358" spans="1:40" x14ac:dyDescent="0.25">
      <c r="A2358" t="str">
        <f>"20190312160340291"</f>
        <v>20190312160340291</v>
      </c>
      <c r="B2358" t="str">
        <f>"1552377820287360"</f>
        <v>1552377820287360</v>
      </c>
      <c r="C2358" t="s">
        <v>40</v>
      </c>
      <c r="D2358">
        <v>4.9114110000000002</v>
      </c>
      <c r="E2358">
        <v>0.45250249999999997</v>
      </c>
      <c r="F2358" t="s">
        <v>44</v>
      </c>
      <c r="G2358">
        <v>-455.40199999999999</v>
      </c>
      <c r="H2358">
        <v>0.85495270000000001</v>
      </c>
      <c r="I2358">
        <v>277.17849999999999</v>
      </c>
      <c r="J2358">
        <v>-377.51240000000001</v>
      </c>
      <c r="K2358">
        <v>1.11016</v>
      </c>
      <c r="L2358">
        <v>285.05380000000002</v>
      </c>
      <c r="M2358">
        <v>-0.9997798</v>
      </c>
      <c r="N2358">
        <v>0</v>
      </c>
      <c r="O2358">
        <v>1.6953010000000001E-2</v>
      </c>
      <c r="P2358">
        <v>-0.99938649999999996</v>
      </c>
      <c r="Q2358">
        <v>2.3660980000000002E-2</v>
      </c>
      <c r="R2358">
        <v>2.5828940000000002E-2</v>
      </c>
      <c r="S2358">
        <v>-3.0099179999999999</v>
      </c>
      <c r="T2358">
        <v>-9.8413230000000008E-3</v>
      </c>
      <c r="U2358">
        <v>-0.30368040000000002</v>
      </c>
      <c r="V2358">
        <v>8.8718219999999997E-3</v>
      </c>
      <c r="W2358">
        <v>3.6038529999999999E-2</v>
      </c>
      <c r="X2358">
        <v>0.99931099999999995</v>
      </c>
      <c r="Y2358">
        <v>-0.1172372</v>
      </c>
      <c r="Z2358">
        <v>-2.4647900000000002E-4</v>
      </c>
      <c r="AA2358">
        <v>0.99310390000000004</v>
      </c>
      <c r="AB2358">
        <v>28</v>
      </c>
      <c r="AC2358">
        <v>-77.889599999999902</v>
      </c>
      <c r="AD2358">
        <v>-0.25520729999999903</v>
      </c>
      <c r="AE2358">
        <v>-7.8753000000000304</v>
      </c>
      <c r="AF2358">
        <v>-9.1946344954801091</v>
      </c>
      <c r="AG2358">
        <v>-0.25520729999999903</v>
      </c>
      <c r="AH2358">
        <v>77.744058134940303</v>
      </c>
      <c r="AI2358">
        <v>90.186780149289007</v>
      </c>
      <c r="AJ2358">
        <v>96.744926052426706</v>
      </c>
      <c r="AK2358">
        <v>78.286301544781196</v>
      </c>
      <c r="AL2358">
        <v>87.934697063926194</v>
      </c>
      <c r="AM2358">
        <v>89.491344933670604</v>
      </c>
      <c r="AN2358">
        <v>0.99999997979557997</v>
      </c>
    </row>
    <row r="2359" spans="1:40" x14ac:dyDescent="0.25">
      <c r="A2359" t="str">
        <f>"20190312160340302"</f>
        <v>20190312160340302</v>
      </c>
      <c r="B2359" t="str">
        <f>"1552377820297119"</f>
        <v>1552377820297119</v>
      </c>
      <c r="C2359" t="s">
        <v>40</v>
      </c>
      <c r="D2359">
        <v>4.9177299999999997</v>
      </c>
      <c r="E2359">
        <v>0.4524861</v>
      </c>
      <c r="F2359" t="s">
        <v>44</v>
      </c>
      <c r="G2359">
        <v>-455.18560000000002</v>
      </c>
      <c r="H2359">
        <v>0.84434149999999997</v>
      </c>
      <c r="I2359">
        <v>277.16930000000002</v>
      </c>
      <c r="J2359">
        <v>-377.66750000000002</v>
      </c>
      <c r="K2359">
        <v>1.110163</v>
      </c>
      <c r="L2359">
        <v>285.05630000000002</v>
      </c>
      <c r="M2359">
        <v>-0.99978120000000004</v>
      </c>
      <c r="N2359">
        <v>0</v>
      </c>
      <c r="O2359">
        <v>1.686176E-2</v>
      </c>
      <c r="P2359">
        <v>-0.99939880000000003</v>
      </c>
      <c r="Q2359">
        <v>2.3626620000000001E-2</v>
      </c>
      <c r="R2359">
        <v>2.5374959999999998E-2</v>
      </c>
      <c r="S2359">
        <v>-3.0100099999999999</v>
      </c>
      <c r="T2359">
        <v>-1.029849E-2</v>
      </c>
      <c r="U2359">
        <v>-0.30554199999999998</v>
      </c>
      <c r="V2359">
        <v>8.5090459999999993E-3</v>
      </c>
      <c r="W2359">
        <v>3.6005170000000003E-2</v>
      </c>
      <c r="X2359">
        <v>0.99931539999999996</v>
      </c>
      <c r="Y2359">
        <v>-0.11775140000000001</v>
      </c>
      <c r="Z2359">
        <v>-2.5847899999999999E-4</v>
      </c>
      <c r="AA2359">
        <v>0.99304309999999996</v>
      </c>
      <c r="AB2359">
        <v>28</v>
      </c>
      <c r="AC2359">
        <v>-77.518100000000004</v>
      </c>
      <c r="AD2359">
        <v>-0.26582149999999899</v>
      </c>
      <c r="AE2359">
        <v>-7.8869999999999996</v>
      </c>
      <c r="AF2359">
        <v>-9.1929632975519109</v>
      </c>
      <c r="AG2359">
        <v>-0.26582149999999899</v>
      </c>
      <c r="AH2359">
        <v>77.373178186935604</v>
      </c>
      <c r="AI2359">
        <v>90.195468450005507</v>
      </c>
      <c r="AJ2359">
        <v>96.775736815831493</v>
      </c>
      <c r="AK2359">
        <v>77.9178409480607</v>
      </c>
      <c r="AL2359">
        <v>87.936609780416006</v>
      </c>
      <c r="AM2359">
        <v>89.512145373264801</v>
      </c>
      <c r="AN2359">
        <v>1.0000000224038501</v>
      </c>
    </row>
    <row r="2360" spans="1:40" x14ac:dyDescent="0.25">
      <c r="A2360" t="str">
        <f>"20190312160340314"</f>
        <v>20190312160340314</v>
      </c>
      <c r="B2360" t="str">
        <f>"1552377820306880"</f>
        <v>1552377820306880</v>
      </c>
      <c r="C2360" t="s">
        <v>40</v>
      </c>
      <c r="D2360">
        <v>4.9634589999999896</v>
      </c>
      <c r="E2360">
        <v>0.45242520000000003</v>
      </c>
      <c r="F2360" t="s">
        <v>44</v>
      </c>
      <c r="G2360">
        <v>-455.1748</v>
      </c>
      <c r="H2360">
        <v>0.79608639999999997</v>
      </c>
      <c r="I2360">
        <v>277.15460000000002</v>
      </c>
      <c r="J2360">
        <v>-377.80540000000002</v>
      </c>
      <c r="K2360">
        <v>1.110163</v>
      </c>
      <c r="L2360">
        <v>285.05860000000001</v>
      </c>
      <c r="M2360">
        <v>-0.99978259999999997</v>
      </c>
      <c r="N2360">
        <v>0</v>
      </c>
      <c r="O2360">
        <v>1.678052E-2</v>
      </c>
      <c r="P2360">
        <v>-0.9994054</v>
      </c>
      <c r="Q2360">
        <v>2.355693E-2</v>
      </c>
      <c r="R2360">
        <v>2.5183790000000001E-2</v>
      </c>
      <c r="S2360">
        <v>-3.0099179999999999</v>
      </c>
      <c r="T2360">
        <v>-1.219428E-2</v>
      </c>
      <c r="U2360">
        <v>-0.30685420000000002</v>
      </c>
      <c r="V2360">
        <v>8.3988569999999992E-3</v>
      </c>
      <c r="W2360">
        <v>3.5935599999999998E-2</v>
      </c>
      <c r="X2360">
        <v>0.99931879999999995</v>
      </c>
      <c r="Y2360">
        <v>-0.1181019</v>
      </c>
      <c r="Z2360">
        <v>-3.0644279999999998E-4</v>
      </c>
      <c r="AA2360">
        <v>0.99300149999999998</v>
      </c>
      <c r="AB2360">
        <v>28</v>
      </c>
      <c r="AC2360">
        <v>-77.369399999999899</v>
      </c>
      <c r="AD2360">
        <v>-0.31407659999999898</v>
      </c>
      <c r="AE2360">
        <v>-7.9039999999999901</v>
      </c>
      <c r="AF2360">
        <v>-9.2011350675198198</v>
      </c>
      <c r="AG2360">
        <v>-0.31407659999999898</v>
      </c>
      <c r="AH2360">
        <v>77.224601665752402</v>
      </c>
      <c r="AI2360">
        <v>90.231387125277706</v>
      </c>
      <c r="AJ2360">
        <v>96.794629613569001</v>
      </c>
      <c r="AK2360">
        <v>77.771451272787303</v>
      </c>
      <c r="AL2360">
        <v>87.940598354119501</v>
      </c>
      <c r="AM2360">
        <v>89.518464249156295</v>
      </c>
      <c r="AN2360">
        <v>0.99999998608985297</v>
      </c>
    </row>
    <row r="2361" spans="1:40" x14ac:dyDescent="0.25">
      <c r="A2361" t="str">
        <f>"20190312160340326"</f>
        <v>20190312160340326</v>
      </c>
      <c r="B2361" t="str">
        <f>"1552377820316639"</f>
        <v>1552377820316639</v>
      </c>
      <c r="C2361" t="s">
        <v>40</v>
      </c>
      <c r="D2361">
        <v>4.9343599999999999</v>
      </c>
      <c r="E2361">
        <v>0.45232489999999997</v>
      </c>
      <c r="F2361" t="s">
        <v>44</v>
      </c>
      <c r="G2361">
        <v>-455.16739999999999</v>
      </c>
      <c r="H2361">
        <v>0.76323989999999997</v>
      </c>
      <c r="I2361">
        <v>277.13780000000003</v>
      </c>
      <c r="J2361">
        <v>-377.9563</v>
      </c>
      <c r="K2361">
        <v>1.110163</v>
      </c>
      <c r="L2361">
        <v>285.06099999999998</v>
      </c>
      <c r="M2361">
        <v>-0.99978409999999995</v>
      </c>
      <c r="N2361">
        <v>0</v>
      </c>
      <c r="O2361">
        <v>1.6691770000000002E-2</v>
      </c>
      <c r="P2361">
        <v>-0.99939699999999998</v>
      </c>
      <c r="Q2361">
        <v>2.3941230000000001E-2</v>
      </c>
      <c r="R2361">
        <v>2.5143680000000002E-2</v>
      </c>
      <c r="S2361">
        <v>-3.0098569999999998</v>
      </c>
      <c r="T2361">
        <v>-1.3494849999999999E-2</v>
      </c>
      <c r="U2361">
        <v>-0.30816650000000001</v>
      </c>
      <c r="V2361">
        <v>8.4474979999999995E-3</v>
      </c>
      <c r="W2361">
        <v>3.631968E-2</v>
      </c>
      <c r="X2361">
        <v>0.99930450000000004</v>
      </c>
      <c r="Y2361">
        <v>-0.11844399999999999</v>
      </c>
      <c r="Z2361">
        <v>-3.394933E-4</v>
      </c>
      <c r="AA2361">
        <v>0.99296070000000003</v>
      </c>
      <c r="AB2361">
        <v>28</v>
      </c>
      <c r="AC2361">
        <v>-77.211099999999902</v>
      </c>
      <c r="AD2361">
        <v>-0.34692309999999899</v>
      </c>
      <c r="AE2361">
        <v>-7.9231999999999498</v>
      </c>
      <c r="AF2361">
        <v>-9.2108005918322799</v>
      </c>
      <c r="AG2361">
        <v>-0.34692309999999899</v>
      </c>
      <c r="AH2361">
        <v>77.066539495725095</v>
      </c>
      <c r="AI2361">
        <v>90.256098609200194</v>
      </c>
      <c r="AJ2361">
        <v>96.815519420841198</v>
      </c>
      <c r="AK2361">
        <v>77.615789070433195</v>
      </c>
      <c r="AL2361">
        <v>87.918577805860096</v>
      </c>
      <c r="AM2361">
        <v>89.515668693192694</v>
      </c>
      <c r="AN2361">
        <v>0.99999998154900505</v>
      </c>
    </row>
    <row r="2362" spans="1:40" x14ac:dyDescent="0.25">
      <c r="A2362" t="str">
        <f>"20190312160340340"</f>
        <v>20190312160340340</v>
      </c>
      <c r="B2362" t="str">
        <f>"1552377820327376"</f>
        <v>1552377820327376</v>
      </c>
      <c r="C2362" t="s">
        <v>40</v>
      </c>
      <c r="D2362">
        <v>5.0725689999999997</v>
      </c>
      <c r="E2362">
        <v>0.45229970000000003</v>
      </c>
      <c r="F2362" t="s">
        <v>44</v>
      </c>
      <c r="G2362">
        <v>-455.1705</v>
      </c>
      <c r="H2362">
        <v>0.77684589999999998</v>
      </c>
      <c r="I2362">
        <v>277.13279999999997</v>
      </c>
      <c r="J2362">
        <v>-378.11900000000003</v>
      </c>
      <c r="K2362">
        <v>1.1101639999999999</v>
      </c>
      <c r="L2362">
        <v>285.06360000000001</v>
      </c>
      <c r="M2362">
        <v>-0.9997857</v>
      </c>
      <c r="N2362">
        <v>0</v>
      </c>
      <c r="O2362">
        <v>1.6595809999999999E-2</v>
      </c>
      <c r="P2362">
        <v>-0.99939389999999995</v>
      </c>
      <c r="Q2362">
        <v>2.4196160000000001E-2</v>
      </c>
      <c r="R2362">
        <v>2.5030719999999999E-2</v>
      </c>
      <c r="S2362">
        <v>-3.0098880000000001</v>
      </c>
      <c r="T2362">
        <v>-1.299047E-2</v>
      </c>
      <c r="U2362">
        <v>-0.30905149999999998</v>
      </c>
      <c r="V2362">
        <v>8.4307080000000003E-3</v>
      </c>
      <c r="W2362">
        <v>3.6575089999999998E-2</v>
      </c>
      <c r="X2362">
        <v>0.99929539999999994</v>
      </c>
      <c r="Y2362">
        <v>-0.1186367</v>
      </c>
      <c r="Z2362">
        <v>-3.2679809999999998E-4</v>
      </c>
      <c r="AA2362">
        <v>0.99293770000000003</v>
      </c>
      <c r="AB2362">
        <v>28</v>
      </c>
      <c r="AC2362">
        <v>-77.051499999999905</v>
      </c>
      <c r="AD2362">
        <v>-0.33331809999999901</v>
      </c>
      <c r="AE2362">
        <v>-7.9308000000000298</v>
      </c>
      <c r="AF2362">
        <v>-9.2083670624995495</v>
      </c>
      <c r="AG2362">
        <v>-0.33331809999999901</v>
      </c>
      <c r="AH2362">
        <v>76.907834589152401</v>
      </c>
      <c r="AI2362">
        <v>90.246557020744206</v>
      </c>
      <c r="AJ2362">
        <v>96.827663706092693</v>
      </c>
      <c r="AK2362">
        <v>77.457860453965097</v>
      </c>
      <c r="AL2362">
        <v>87.903934315434498</v>
      </c>
      <c r="AM2362">
        <v>89.516626888666593</v>
      </c>
      <c r="AN2362">
        <v>1.00000005525352</v>
      </c>
    </row>
    <row r="2363" spans="1:40" x14ac:dyDescent="0.25">
      <c r="A2363" t="str">
        <f>"20190312160340355"</f>
        <v>20190312160340355</v>
      </c>
      <c r="B2363" t="str">
        <f>"1552377820346896"</f>
        <v>1552377820346896</v>
      </c>
      <c r="C2363" t="s">
        <v>40</v>
      </c>
      <c r="D2363">
        <v>4.9534890000000003</v>
      </c>
      <c r="E2363">
        <v>0.45225880000000002</v>
      </c>
      <c r="F2363" t="s">
        <v>44</v>
      </c>
      <c r="G2363">
        <v>-455.17619999999999</v>
      </c>
      <c r="H2363">
        <v>0.80228719999999998</v>
      </c>
      <c r="I2363">
        <v>277.1413</v>
      </c>
      <c r="J2363">
        <v>-378.31760000000003</v>
      </c>
      <c r="K2363">
        <v>1.110161</v>
      </c>
      <c r="L2363">
        <v>285.0668</v>
      </c>
      <c r="M2363">
        <v>-0.9997876</v>
      </c>
      <c r="N2363">
        <v>0</v>
      </c>
      <c r="O2363">
        <v>1.6478929999999999E-2</v>
      </c>
      <c r="P2363">
        <v>-0.9993976</v>
      </c>
      <c r="Q2363">
        <v>2.4433659999999999E-2</v>
      </c>
      <c r="R2363">
        <v>2.4646270000000001E-2</v>
      </c>
      <c r="S2363">
        <v>-3.0098569999999998</v>
      </c>
      <c r="T2363">
        <v>-1.202309E-2</v>
      </c>
      <c r="U2363">
        <v>-0.30944820000000001</v>
      </c>
      <c r="V2363">
        <v>8.1629549999999995E-3</v>
      </c>
      <c r="W2363">
        <v>3.6812400000000002E-2</v>
      </c>
      <c r="X2363">
        <v>0.99928890000000004</v>
      </c>
      <c r="Y2363">
        <v>-0.1186513</v>
      </c>
      <c r="Z2363">
        <v>-3.0202629999999999E-4</v>
      </c>
      <c r="AA2363">
        <v>0.99293600000000004</v>
      </c>
      <c r="AB2363">
        <v>28</v>
      </c>
      <c r="AC2363">
        <v>-76.858599999999896</v>
      </c>
      <c r="AD2363">
        <v>-0.30787379999999998</v>
      </c>
      <c r="AE2363">
        <v>-7.9254999999999898</v>
      </c>
      <c r="AF2363">
        <v>-9.1909222509888604</v>
      </c>
      <c r="AG2363">
        <v>-0.30787379999999998</v>
      </c>
      <c r="AH2363">
        <v>76.716330232535697</v>
      </c>
      <c r="AI2363">
        <v>90.228302510972597</v>
      </c>
      <c r="AJ2363">
        <v>96.831701880558896</v>
      </c>
      <c r="AK2363">
        <v>77.265536705881502</v>
      </c>
      <c r="AL2363">
        <v>87.890328272624402</v>
      </c>
      <c r="AM2363">
        <v>89.531974720020202</v>
      </c>
      <c r="AN2363">
        <v>1.00000004614565</v>
      </c>
    </row>
    <row r="2364" spans="1:40" x14ac:dyDescent="0.25">
      <c r="A2364" t="str">
        <f>"20190312160340369"</f>
        <v>20190312160340369</v>
      </c>
      <c r="B2364" t="str">
        <f>"1552377820356656"</f>
        <v>1552377820356656</v>
      </c>
      <c r="C2364" t="s">
        <v>40</v>
      </c>
      <c r="D2364">
        <v>4.9456020000000001</v>
      </c>
      <c r="E2364">
        <v>0.45225880000000002</v>
      </c>
      <c r="F2364" t="s">
        <v>44</v>
      </c>
      <c r="G2364">
        <v>-455.1628</v>
      </c>
      <c r="H2364">
        <v>0.74245319999999904</v>
      </c>
      <c r="I2364">
        <v>277.12240000000003</v>
      </c>
      <c r="J2364">
        <v>-378.48239999999998</v>
      </c>
      <c r="K2364">
        <v>1.11016</v>
      </c>
      <c r="L2364">
        <v>285.06939999999997</v>
      </c>
      <c r="M2364">
        <v>-0.99978920000000004</v>
      </c>
      <c r="N2364">
        <v>0</v>
      </c>
      <c r="O2364">
        <v>1.638214E-2</v>
      </c>
      <c r="P2364">
        <v>-0.99940229999999997</v>
      </c>
      <c r="Q2364">
        <v>2.463344E-2</v>
      </c>
      <c r="R2364">
        <v>2.425621E-2</v>
      </c>
      <c r="S2364">
        <v>-3.0097960000000001</v>
      </c>
      <c r="T2364">
        <v>-1.439941E-2</v>
      </c>
      <c r="U2364">
        <v>-0.31115720000000002</v>
      </c>
      <c r="V2364">
        <v>7.8696549999999997E-3</v>
      </c>
      <c r="W2364">
        <v>3.7012539999999997E-2</v>
      </c>
      <c r="X2364">
        <v>0.99928380000000006</v>
      </c>
      <c r="Y2364">
        <v>-0.1191146</v>
      </c>
      <c r="Z2364">
        <v>-3.6236029999999999E-4</v>
      </c>
      <c r="AA2364">
        <v>0.99288050000000005</v>
      </c>
      <c r="AB2364">
        <v>28</v>
      </c>
      <c r="AC2364">
        <v>-76.680400000000006</v>
      </c>
      <c r="AD2364">
        <v>-0.3677068</v>
      </c>
      <c r="AE2364">
        <v>-7.9469999999999397</v>
      </c>
      <c r="AF2364">
        <v>-9.2020092980587105</v>
      </c>
      <c r="AG2364">
        <v>-0.3677068</v>
      </c>
      <c r="AH2364">
        <v>76.538168064599503</v>
      </c>
      <c r="AI2364">
        <v>90.273291803564703</v>
      </c>
      <c r="AJ2364">
        <v>96.855635141175</v>
      </c>
      <c r="AK2364">
        <v>77.090228655110394</v>
      </c>
      <c r="AL2364">
        <v>87.878853148567998</v>
      </c>
      <c r="AM2364">
        <v>89.5487881456054</v>
      </c>
      <c r="AN2364">
        <v>0.99999998626475495</v>
      </c>
    </row>
    <row r="2365" spans="1:40" x14ac:dyDescent="0.25">
      <c r="A2365" t="str">
        <f>"20190312160340383"</f>
        <v>20190312160340383</v>
      </c>
      <c r="B2365" t="str">
        <f>"1552377820377153"</f>
        <v>1552377820377153</v>
      </c>
      <c r="C2365" t="s">
        <v>40</v>
      </c>
      <c r="D2365">
        <v>4.9102969999999999</v>
      </c>
      <c r="E2365">
        <v>0.43115300000000001</v>
      </c>
      <c r="F2365" t="s">
        <v>44</v>
      </c>
      <c r="G2365">
        <v>-455.166</v>
      </c>
      <c r="H2365">
        <v>0.75671509999999997</v>
      </c>
      <c r="I2365">
        <v>277.10809999999998</v>
      </c>
      <c r="J2365">
        <v>-378.654</v>
      </c>
      <c r="K2365">
        <v>1.110161</v>
      </c>
      <c r="L2365">
        <v>285.07209999999998</v>
      </c>
      <c r="M2365">
        <v>-0.99979079999999998</v>
      </c>
      <c r="N2365">
        <v>0</v>
      </c>
      <c r="O2365">
        <v>1.6281469999999999E-2</v>
      </c>
      <c r="P2365">
        <v>-0.99940410000000002</v>
      </c>
      <c r="Q2365">
        <v>2.4665139999999999E-2</v>
      </c>
      <c r="R2365">
        <v>2.414991E-2</v>
      </c>
      <c r="S2365">
        <v>-3.0097049999999999</v>
      </c>
      <c r="T2365">
        <v>-1.386952E-2</v>
      </c>
      <c r="U2365">
        <v>-0.31246950000000001</v>
      </c>
      <c r="V2365">
        <v>7.8639599999999997E-3</v>
      </c>
      <c r="W2365">
        <v>3.7043979999999997E-2</v>
      </c>
      <c r="X2365">
        <v>0.99928269999999997</v>
      </c>
      <c r="Y2365">
        <v>-0.1194461</v>
      </c>
      <c r="Z2365">
        <v>-3.4932769999999999E-4</v>
      </c>
      <c r="AA2365">
        <v>0.99284059999999996</v>
      </c>
      <c r="AB2365">
        <v>28</v>
      </c>
      <c r="AC2365">
        <v>-76.512</v>
      </c>
      <c r="AD2365">
        <v>-0.35344589999999998</v>
      </c>
      <c r="AE2365">
        <v>-7.9639999999999898</v>
      </c>
      <c r="AF2365">
        <v>-9.2085731033582796</v>
      </c>
      <c r="AG2365">
        <v>-0.35344589999999998</v>
      </c>
      <c r="AH2365">
        <v>76.370568816155895</v>
      </c>
      <c r="AI2365">
        <v>90.2632583406278</v>
      </c>
      <c r="AJ2365">
        <v>96.8753904082307</v>
      </c>
      <c r="AK2365">
        <v>76.924550852815003</v>
      </c>
      <c r="AL2365">
        <v>87.877050575844095</v>
      </c>
      <c r="AM2365">
        <v>89.549114162387795</v>
      </c>
      <c r="AN2365">
        <v>1.0000000064201999</v>
      </c>
    </row>
    <row r="2366" spans="1:40" x14ac:dyDescent="0.25">
      <c r="A2366" t="str">
        <f>"20190312160340397"</f>
        <v>20190312160340397</v>
      </c>
      <c r="B2366" t="str">
        <f>"1552377820386911"</f>
        <v>1552377820386911</v>
      </c>
      <c r="C2366" t="s">
        <v>40</v>
      </c>
      <c r="D2366">
        <v>4.9234439999999999</v>
      </c>
      <c r="E2366">
        <v>0.4279037</v>
      </c>
      <c r="F2366" t="s">
        <v>76</v>
      </c>
      <c r="G2366">
        <v>-512.82569999999998</v>
      </c>
      <c r="H2366">
        <v>1.810055</v>
      </c>
      <c r="I2366">
        <v>263.709</v>
      </c>
      <c r="J2366">
        <v>-378.83670000000001</v>
      </c>
      <c r="K2366">
        <v>1.11016</v>
      </c>
      <c r="L2366">
        <v>285.07490000000001</v>
      </c>
      <c r="M2366">
        <v>-0.99979260000000003</v>
      </c>
      <c r="N2366">
        <v>0</v>
      </c>
      <c r="O2366">
        <v>1.6174299999999999E-2</v>
      </c>
      <c r="P2366">
        <v>-0.99941120000000006</v>
      </c>
      <c r="Q2366">
        <v>2.4523219999999998E-2</v>
      </c>
      <c r="R2366">
        <v>2.400534E-2</v>
      </c>
      <c r="S2366">
        <v>-3.0129999999999999</v>
      </c>
      <c r="T2366">
        <v>1.5718699999999999E-2</v>
      </c>
      <c r="U2366">
        <v>-0.4797363</v>
      </c>
      <c r="V2366">
        <v>7.8265390000000004E-3</v>
      </c>
      <c r="W2366">
        <v>3.6902459999999998E-2</v>
      </c>
      <c r="X2366">
        <v>0.99928819999999996</v>
      </c>
      <c r="Y2366">
        <v>-0.1731927</v>
      </c>
      <c r="Z2366">
        <v>5.3282150000000001E-4</v>
      </c>
      <c r="AA2366">
        <v>0.98488779999999998</v>
      </c>
      <c r="AB2366">
        <v>28</v>
      </c>
      <c r="AC2366">
        <v>-133.98899999999901</v>
      </c>
      <c r="AD2366">
        <v>0.69989499999999905</v>
      </c>
      <c r="AE2366">
        <v>-21.3659</v>
      </c>
      <c r="AF2366">
        <v>-23.529822800091601</v>
      </c>
      <c r="AG2366">
        <v>0.69989499999999905</v>
      </c>
      <c r="AH2366">
        <v>133.62230942430901</v>
      </c>
      <c r="AI2366">
        <v>89.704442764472205</v>
      </c>
      <c r="AJ2366">
        <v>99.986943328583806</v>
      </c>
      <c r="AK2366">
        <v>135.68000585900799</v>
      </c>
      <c r="AL2366">
        <v>87.885164559056705</v>
      </c>
      <c r="AM2366">
        <v>89.551262104284703</v>
      </c>
      <c r="AN2366">
        <v>0.99999997646300398</v>
      </c>
    </row>
    <row r="2367" spans="1:40" x14ac:dyDescent="0.25">
      <c r="A2367" t="str">
        <f>"20190312160340412"</f>
        <v>20190312160340412</v>
      </c>
      <c r="B2367" t="str">
        <f>"1552377820406431"</f>
        <v>1552377820406431</v>
      </c>
      <c r="C2367" t="s">
        <v>40</v>
      </c>
      <c r="D2367">
        <v>4.9229029999999998</v>
      </c>
      <c r="E2367">
        <v>0.4243577</v>
      </c>
      <c r="F2367" t="s">
        <v>76</v>
      </c>
      <c r="G2367">
        <v>-512.82579999999996</v>
      </c>
      <c r="H2367">
        <v>1.9293309999999999</v>
      </c>
      <c r="I2367">
        <v>262.57029999999997</v>
      </c>
      <c r="J2367">
        <v>-379.0179</v>
      </c>
      <c r="K2367">
        <v>1.11016</v>
      </c>
      <c r="L2367">
        <v>285.07780000000002</v>
      </c>
      <c r="M2367">
        <v>-0.99979419999999997</v>
      </c>
      <c r="N2367">
        <v>0</v>
      </c>
      <c r="O2367">
        <v>1.6067970000000001E-2</v>
      </c>
      <c r="P2367">
        <v>-0.99941769999999996</v>
      </c>
      <c r="Q2367">
        <v>2.4173099999999999E-2</v>
      </c>
      <c r="R2367">
        <v>2.408269E-2</v>
      </c>
      <c r="S2367">
        <v>-3.013458</v>
      </c>
      <c r="T2367">
        <v>1.8425110000000001E-2</v>
      </c>
      <c r="U2367">
        <v>-0.50613399999999997</v>
      </c>
      <c r="V2367">
        <v>8.0100759999999997E-3</v>
      </c>
      <c r="W2367">
        <v>3.6552210000000002E-2</v>
      </c>
      <c r="X2367">
        <v>0.99929959999999995</v>
      </c>
      <c r="Y2367">
        <v>-0.18146010000000001</v>
      </c>
      <c r="Z2367">
        <v>6.484819E-4</v>
      </c>
      <c r="AA2367">
        <v>0.98339810000000005</v>
      </c>
      <c r="AB2367">
        <v>28</v>
      </c>
      <c r="AC2367">
        <v>-133.80789999999899</v>
      </c>
      <c r="AD2367">
        <v>0.81917099999999998</v>
      </c>
      <c r="AE2367">
        <v>-22.5075</v>
      </c>
      <c r="AF2367">
        <v>-24.6538815284907</v>
      </c>
      <c r="AG2367">
        <v>0.81917099999999998</v>
      </c>
      <c r="AH2367">
        <v>133.424082441493</v>
      </c>
      <c r="AI2367">
        <v>89.654086593782196</v>
      </c>
      <c r="AJ2367">
        <v>100.468938194305</v>
      </c>
      <c r="AK2367">
        <v>135.68518965201201</v>
      </c>
      <c r="AL2367">
        <v>87.905245916083999</v>
      </c>
      <c r="AM2367">
        <v>89.540744618010706</v>
      </c>
      <c r="AN2367">
        <v>0.99999995796678398</v>
      </c>
    </row>
    <row r="2368" spans="1:40" x14ac:dyDescent="0.25">
      <c r="A2368" t="str">
        <f>"20190312160340433"</f>
        <v>20190312160340433</v>
      </c>
      <c r="B2368" t="str">
        <f>"1552377820426927"</f>
        <v>1552377820426927</v>
      </c>
      <c r="C2368" t="s">
        <v>40</v>
      </c>
      <c r="D2368">
        <v>4.9069229999999999</v>
      </c>
      <c r="E2368">
        <v>0.4226338</v>
      </c>
      <c r="F2368" t="s">
        <v>76</v>
      </c>
      <c r="G2368">
        <v>-512.82579999999996</v>
      </c>
      <c r="H2368">
        <v>1.912056</v>
      </c>
      <c r="I2368">
        <v>261.363</v>
      </c>
      <c r="J2368">
        <v>-379.29039999999998</v>
      </c>
      <c r="K2368">
        <v>1.110161</v>
      </c>
      <c r="L2368">
        <v>285.08190000000002</v>
      </c>
      <c r="M2368">
        <v>-0.99979689999999999</v>
      </c>
      <c r="N2368">
        <v>0</v>
      </c>
      <c r="O2368">
        <v>1.590693E-2</v>
      </c>
      <c r="P2368">
        <v>-0.99941210000000003</v>
      </c>
      <c r="Q2368">
        <v>2.418209E-2</v>
      </c>
      <c r="R2368">
        <v>2.4303000000000002E-2</v>
      </c>
      <c r="S2368">
        <v>-3.014221</v>
      </c>
      <c r="T2368">
        <v>1.806557E-2</v>
      </c>
      <c r="U2368">
        <v>-0.53421019999999997</v>
      </c>
      <c r="V2368">
        <v>8.3914829999999999E-3</v>
      </c>
      <c r="W2368">
        <v>3.656127E-2</v>
      </c>
      <c r="X2368">
        <v>0.99929619999999997</v>
      </c>
      <c r="Y2368">
        <v>-0.19014880000000001</v>
      </c>
      <c r="Z2368">
        <v>6.6004929999999903E-4</v>
      </c>
      <c r="AA2368">
        <v>0.98175509999999999</v>
      </c>
      <c r="AB2368">
        <v>28</v>
      </c>
      <c r="AC2368">
        <v>-133.53539999999899</v>
      </c>
      <c r="AD2368">
        <v>0.80189500000000002</v>
      </c>
      <c r="AE2368">
        <v>-23.718900000000001</v>
      </c>
      <c r="AF2368">
        <v>-25.839296159359701</v>
      </c>
      <c r="AG2368">
        <v>0.80189500000000002</v>
      </c>
      <c r="AH2368">
        <v>133.13652406688499</v>
      </c>
      <c r="AI2368">
        <v>89.661227028928295</v>
      </c>
      <c r="AJ2368">
        <v>100.98348525331301</v>
      </c>
      <c r="AK2368">
        <v>135.62317759960601</v>
      </c>
      <c r="AL2368">
        <v>87.904726597851905</v>
      </c>
      <c r="AM2368">
        <v>89.518876126100807</v>
      </c>
      <c r="AN2368">
        <v>1.0000000193926899</v>
      </c>
    </row>
    <row r="2369" spans="1:40" x14ac:dyDescent="0.25">
      <c r="A2369" t="str">
        <f>"20190312160340455"</f>
        <v>20190312160340455</v>
      </c>
      <c r="B2369" t="str">
        <f>"1552377820446451"</f>
        <v>1552377820446451</v>
      </c>
      <c r="C2369" t="s">
        <v>40</v>
      </c>
      <c r="D2369">
        <v>4.936833</v>
      </c>
      <c r="E2369">
        <v>0.42165269999999999</v>
      </c>
      <c r="F2369" t="s">
        <v>76</v>
      </c>
      <c r="G2369">
        <v>-512.82569999999998</v>
      </c>
      <c r="H2369">
        <v>1.755433</v>
      </c>
      <c r="I2369">
        <v>260.84050000000002</v>
      </c>
      <c r="J2369">
        <v>-379.55919999999998</v>
      </c>
      <c r="K2369">
        <v>1.1101639999999999</v>
      </c>
      <c r="L2369">
        <v>285.08609999999999</v>
      </c>
      <c r="M2369">
        <v>-0.9997994</v>
      </c>
      <c r="N2369">
        <v>0</v>
      </c>
      <c r="O2369">
        <v>1.5748390000000001E-2</v>
      </c>
      <c r="P2369">
        <v>-0.99939999999999996</v>
      </c>
      <c r="Q2369">
        <v>2.445932E-2</v>
      </c>
      <c r="R2369">
        <v>2.45306E-2</v>
      </c>
      <c r="S2369">
        <v>-3.0146790000000001</v>
      </c>
      <c r="T2369">
        <v>1.456928E-2</v>
      </c>
      <c r="U2369">
        <v>-0.54727169999999903</v>
      </c>
      <c r="V2369">
        <v>8.7776909999999903E-3</v>
      </c>
      <c r="W2369">
        <v>3.6839080000000003E-2</v>
      </c>
      <c r="X2369">
        <v>0.99928269999999997</v>
      </c>
      <c r="Y2369">
        <v>-0.19408819999999999</v>
      </c>
      <c r="Z2369">
        <v>5.4071010000000005E-4</v>
      </c>
      <c r="AA2369">
        <v>0.98098390000000002</v>
      </c>
      <c r="AB2369">
        <v>28</v>
      </c>
      <c r="AC2369">
        <v>-133.26650000000001</v>
      </c>
      <c r="AD2369">
        <v>0.64526899999999998</v>
      </c>
      <c r="AE2369">
        <v>-24.2455999999999</v>
      </c>
      <c r="AF2369">
        <v>-26.340888537092201</v>
      </c>
      <c r="AG2369">
        <v>0.64526899999999998</v>
      </c>
      <c r="AH2369">
        <v>132.865097060392</v>
      </c>
      <c r="AI2369">
        <v>89.727053269239804</v>
      </c>
      <c r="AJ2369">
        <v>101.213647875441</v>
      </c>
      <c r="AK2369">
        <v>135.45254814093801</v>
      </c>
      <c r="AL2369">
        <v>87.888798570937396</v>
      </c>
      <c r="AM2369">
        <v>89.496727288687694</v>
      </c>
      <c r="AN2369">
        <v>1.00000004009691</v>
      </c>
    </row>
    <row r="2370" spans="1:40" x14ac:dyDescent="0.25">
      <c r="A2370" t="str">
        <f>"20190312160340467"</f>
        <v>20190312160340467</v>
      </c>
      <c r="B2370" t="str">
        <f>"1552377820457182"</f>
        <v>1552377820457182</v>
      </c>
      <c r="C2370" t="s">
        <v>40</v>
      </c>
      <c r="D2370">
        <v>4.8956860000000004</v>
      </c>
      <c r="E2370">
        <v>0.42128939999999998</v>
      </c>
      <c r="F2370" t="s">
        <v>76</v>
      </c>
      <c r="G2370">
        <v>-512.82569999999998</v>
      </c>
      <c r="H2370">
        <v>1.6933400000000001</v>
      </c>
      <c r="I2370">
        <v>260.56389999999999</v>
      </c>
      <c r="J2370">
        <v>-379.71280000000002</v>
      </c>
      <c r="K2370">
        <v>1.110166</v>
      </c>
      <c r="L2370">
        <v>285.08839999999998</v>
      </c>
      <c r="M2370">
        <v>-0.99980069999999999</v>
      </c>
      <c r="N2370">
        <v>0</v>
      </c>
      <c r="O2370">
        <v>1.5658269999999998E-2</v>
      </c>
      <c r="P2370">
        <v>-0.99939800000000001</v>
      </c>
      <c r="Q2370">
        <v>2.4425019999999999E-2</v>
      </c>
      <c r="R2370">
        <v>2.4640740000000001E-2</v>
      </c>
      <c r="S2370">
        <v>-3.0151370000000002</v>
      </c>
      <c r="T2370">
        <v>1.3195989999999999E-2</v>
      </c>
      <c r="U2370">
        <v>-0.55480959999999901</v>
      </c>
      <c r="V2370">
        <v>8.9779679999999994E-3</v>
      </c>
      <c r="W2370">
        <v>3.6804770000000001E-2</v>
      </c>
      <c r="X2370">
        <v>0.99928209999999995</v>
      </c>
      <c r="Y2370">
        <v>-0.19634660000000001</v>
      </c>
      <c r="Z2370">
        <v>4.9407119999999997E-4</v>
      </c>
      <c r="AA2370">
        <v>0.98053440000000003</v>
      </c>
      <c r="AB2370">
        <v>28</v>
      </c>
      <c r="AC2370">
        <v>-133.112899999999</v>
      </c>
      <c r="AD2370">
        <v>0.58317399999999997</v>
      </c>
      <c r="AE2370">
        <v>-24.5244999999999</v>
      </c>
      <c r="AF2370">
        <v>-26.605476580894599</v>
      </c>
      <c r="AG2370">
        <v>0.58317399999999997</v>
      </c>
      <c r="AH2370">
        <v>132.710073836443</v>
      </c>
      <c r="AI2370">
        <v>89.753136117204505</v>
      </c>
      <c r="AJ2370">
        <v>101.336275030168</v>
      </c>
      <c r="AK2370">
        <v>135.35196774958601</v>
      </c>
      <c r="AL2370">
        <v>87.890765543927003</v>
      </c>
      <c r="AM2370">
        <v>89.485244622180801</v>
      </c>
      <c r="AN2370">
        <v>0.99999995519228402</v>
      </c>
    </row>
    <row r="2371" spans="1:40" x14ac:dyDescent="0.25">
      <c r="A2371" t="str">
        <f>"20190312160340480"</f>
        <v>20190312160340480</v>
      </c>
      <c r="B2371" t="str">
        <f>"1552377820476703"</f>
        <v>1552377820476703</v>
      </c>
      <c r="C2371" t="s">
        <v>40</v>
      </c>
      <c r="D2371">
        <v>4.9558790000000004</v>
      </c>
      <c r="E2371">
        <v>0.42042099999999999</v>
      </c>
      <c r="F2371" t="s">
        <v>76</v>
      </c>
      <c r="G2371">
        <v>-512.82569999999998</v>
      </c>
      <c r="H2371">
        <v>1.736024</v>
      </c>
      <c r="I2371">
        <v>260.48849999999999</v>
      </c>
      <c r="J2371">
        <v>-379.87479999999999</v>
      </c>
      <c r="K2371">
        <v>1.1101650000000001</v>
      </c>
      <c r="L2371">
        <v>285.0908</v>
      </c>
      <c r="M2371">
        <v>-0.99980239999999998</v>
      </c>
      <c r="N2371">
        <v>0</v>
      </c>
      <c r="O2371">
        <v>1.5562899999999999E-2</v>
      </c>
      <c r="P2371">
        <v>-0.99939659999999997</v>
      </c>
      <c r="Q2371">
        <v>2.4324100000000001E-2</v>
      </c>
      <c r="R2371">
        <v>2.4801980000000001E-2</v>
      </c>
      <c r="S2371">
        <v>-3.0151979999999998</v>
      </c>
      <c r="T2371">
        <v>1.417828E-2</v>
      </c>
      <c r="U2371">
        <v>-0.55722050000000001</v>
      </c>
      <c r="V2371">
        <v>9.2346809999999998E-3</v>
      </c>
      <c r="W2371">
        <v>3.6704229999999997E-2</v>
      </c>
      <c r="X2371">
        <v>0.99928349999999999</v>
      </c>
      <c r="Y2371">
        <v>-0.1970075</v>
      </c>
      <c r="Z2371">
        <v>5.3189559999999999E-4</v>
      </c>
      <c r="AA2371">
        <v>0.98040190000000005</v>
      </c>
      <c r="AB2371">
        <v>28</v>
      </c>
      <c r="AC2371">
        <v>-132.95089999999999</v>
      </c>
      <c r="AD2371">
        <v>0.62585900000000005</v>
      </c>
      <c r="AE2371">
        <v>-24.6023</v>
      </c>
      <c r="AF2371">
        <v>-26.668008401655399</v>
      </c>
      <c r="AG2371">
        <v>0.62585900000000005</v>
      </c>
      <c r="AH2371">
        <v>132.54904349028999</v>
      </c>
      <c r="AI2371">
        <v>89.734782113563398</v>
      </c>
      <c r="AJ2371">
        <v>101.375670778849</v>
      </c>
      <c r="AK2371">
        <v>135.206594890151</v>
      </c>
      <c r="AL2371">
        <v>87.896530043873796</v>
      </c>
      <c r="AM2371">
        <v>89.470527447937599</v>
      </c>
      <c r="AN2371">
        <v>0.99999999660265704</v>
      </c>
    </row>
    <row r="2372" spans="1:40" x14ac:dyDescent="0.25">
      <c r="A2372" t="str">
        <f>"20190312160340500"</f>
        <v>20190312160340500</v>
      </c>
      <c r="B2372" t="str">
        <f>"1552377820497199"</f>
        <v>1552377820497199</v>
      </c>
      <c r="C2372" t="s">
        <v>40</v>
      </c>
      <c r="D2372">
        <v>4.9520839999999904</v>
      </c>
      <c r="E2372">
        <v>0.4200585</v>
      </c>
      <c r="F2372" t="s">
        <v>76</v>
      </c>
      <c r="G2372">
        <v>-512.82569999999998</v>
      </c>
      <c r="H2372">
        <v>1.5961749999999999</v>
      </c>
      <c r="I2372">
        <v>260.23840000000001</v>
      </c>
      <c r="J2372">
        <v>-380.11630000000002</v>
      </c>
      <c r="K2372">
        <v>1.1101650000000001</v>
      </c>
      <c r="L2372">
        <v>285.09429999999998</v>
      </c>
      <c r="M2372">
        <v>-0.99980460000000004</v>
      </c>
      <c r="N2372">
        <v>0</v>
      </c>
      <c r="O2372">
        <v>1.542104E-2</v>
      </c>
      <c r="P2372">
        <v>-0.99939849999999997</v>
      </c>
      <c r="Q2372">
        <v>2.4151700000000002E-2</v>
      </c>
      <c r="R2372">
        <v>2.489247E-2</v>
      </c>
      <c r="S2372">
        <v>-3.015533</v>
      </c>
      <c r="T2372">
        <v>1.1025190000000001E-2</v>
      </c>
      <c r="U2372">
        <v>-0.56369019999999903</v>
      </c>
      <c r="V2372">
        <v>9.4669469999999999E-3</v>
      </c>
      <c r="W2372">
        <v>3.6532200000000001E-2</v>
      </c>
      <c r="X2372">
        <v>0.99928760000000005</v>
      </c>
      <c r="Y2372">
        <v>-0.19888249999999999</v>
      </c>
      <c r="Z2372">
        <v>4.163673E-4</v>
      </c>
      <c r="AA2372">
        <v>0.98002330000000004</v>
      </c>
      <c r="AB2372">
        <v>28</v>
      </c>
      <c r="AC2372">
        <v>-132.70939999999899</v>
      </c>
      <c r="AD2372">
        <v>0.486009999999999</v>
      </c>
      <c r="AE2372">
        <v>-24.855899999999899</v>
      </c>
      <c r="AF2372">
        <v>-26.899268853917</v>
      </c>
      <c r="AG2372">
        <v>0.486009999999999</v>
      </c>
      <c r="AH2372">
        <v>132.308569435377</v>
      </c>
      <c r="AI2372">
        <v>89.793755197838095</v>
      </c>
      <c r="AJ2372">
        <v>101.49201000769401</v>
      </c>
      <c r="AK2372">
        <v>135.016163538412</v>
      </c>
      <c r="AL2372">
        <v>87.906393187992805</v>
      </c>
      <c r="AM2372">
        <v>89.457213437452694</v>
      </c>
      <c r="AN2372">
        <v>0.99999996611804898</v>
      </c>
    </row>
    <row r="2373" spans="1:40" x14ac:dyDescent="0.25">
      <c r="A2373" t="str">
        <f>"20190312160340511"</f>
        <v>20190312160340511</v>
      </c>
      <c r="B2373" t="str">
        <f>"1552377820506959"</f>
        <v>1552377820506959</v>
      </c>
      <c r="C2373" t="s">
        <v>40</v>
      </c>
      <c r="D2373">
        <v>4.9744900000000003</v>
      </c>
      <c r="E2373">
        <v>0.41997440000000003</v>
      </c>
      <c r="F2373" t="s">
        <v>76</v>
      </c>
      <c r="G2373">
        <v>-512.82560000000001</v>
      </c>
      <c r="H2373">
        <v>1.3371649999999999</v>
      </c>
      <c r="I2373">
        <v>260.15350000000001</v>
      </c>
      <c r="J2373">
        <v>-380.25510000000003</v>
      </c>
      <c r="K2373">
        <v>1.110161</v>
      </c>
      <c r="L2373">
        <v>285.09640000000002</v>
      </c>
      <c r="M2373">
        <v>-0.99980570000000002</v>
      </c>
      <c r="N2373">
        <v>0</v>
      </c>
      <c r="O2373">
        <v>1.5339449999999999E-2</v>
      </c>
      <c r="P2373">
        <v>-0.99939579999999995</v>
      </c>
      <c r="Q2373">
        <v>2.4102930000000002E-2</v>
      </c>
      <c r="R2373">
        <v>2.5045040000000001E-2</v>
      </c>
      <c r="S2373">
        <v>-3.0157780000000001</v>
      </c>
      <c r="T2373">
        <v>5.1602130000000003E-3</v>
      </c>
      <c r="U2373">
        <v>-0.56677250000000001</v>
      </c>
      <c r="V2373">
        <v>9.7011990000000006E-3</v>
      </c>
      <c r="W2373">
        <v>3.6483120000000001E-2</v>
      </c>
      <c r="X2373">
        <v>0.99928720000000004</v>
      </c>
      <c r="Y2373">
        <v>-0.19975689999999999</v>
      </c>
      <c r="Z2373">
        <v>1.9544580000000001E-4</v>
      </c>
      <c r="AA2373">
        <v>0.97984550000000004</v>
      </c>
      <c r="AB2373">
        <v>28</v>
      </c>
      <c r="AC2373">
        <v>-132.57049999999899</v>
      </c>
      <c r="AD2373">
        <v>0.22700400000000001</v>
      </c>
      <c r="AE2373">
        <v>-24.942900000000002</v>
      </c>
      <c r="AF2373">
        <v>-26.973602886187798</v>
      </c>
      <c r="AG2373">
        <v>0.22700400000000001</v>
      </c>
      <c r="AH2373">
        <v>132.17188587897101</v>
      </c>
      <c r="AI2373">
        <v>89.903582461124998</v>
      </c>
      <c r="AJ2373">
        <v>101.534516041053</v>
      </c>
      <c r="AK2373">
        <v>134.89638319940801</v>
      </c>
      <c r="AL2373">
        <v>87.909207252872307</v>
      </c>
      <c r="AM2373">
        <v>89.443783230902994</v>
      </c>
      <c r="AN2373">
        <v>1.0000000196954</v>
      </c>
    </row>
    <row r="2374" spans="1:40" x14ac:dyDescent="0.25">
      <c r="A2374" t="str">
        <f>"20190312160340522"</f>
        <v>20190312160340522</v>
      </c>
      <c r="B2374" t="str">
        <f>"1552377820516719"</f>
        <v>1552377820516719</v>
      </c>
      <c r="C2374" t="s">
        <v>40</v>
      </c>
      <c r="D2374">
        <v>4.9877779999999996</v>
      </c>
      <c r="E2374">
        <v>0.4200527</v>
      </c>
      <c r="F2374" t="s">
        <v>76</v>
      </c>
      <c r="G2374">
        <v>-512.82560000000001</v>
      </c>
      <c r="H2374">
        <v>1.187872</v>
      </c>
      <c r="I2374">
        <v>260.17270000000002</v>
      </c>
      <c r="J2374">
        <v>-380.39890000000003</v>
      </c>
      <c r="K2374">
        <v>1.110163</v>
      </c>
      <c r="L2374">
        <v>285.0985</v>
      </c>
      <c r="M2374">
        <v>-0.99980709999999995</v>
      </c>
      <c r="N2374">
        <v>0</v>
      </c>
      <c r="O2374">
        <v>1.525463E-2</v>
      </c>
      <c r="P2374">
        <v>-0.99940479999999998</v>
      </c>
      <c r="Q2374">
        <v>2.394804E-2</v>
      </c>
      <c r="R2374">
        <v>2.4829940000000002E-2</v>
      </c>
      <c r="S2374">
        <v>-3.0159910000000001</v>
      </c>
      <c r="T2374">
        <v>1.769662E-3</v>
      </c>
      <c r="U2374">
        <v>-0.56701659999999998</v>
      </c>
      <c r="V2374">
        <v>9.5706209999999996E-3</v>
      </c>
      <c r="W2374">
        <v>3.6328249999999999E-2</v>
      </c>
      <c r="X2374">
        <v>0.99929409999999996</v>
      </c>
      <c r="Y2374">
        <v>-0.1997381</v>
      </c>
      <c r="Z2374" s="1">
        <v>6.6966909999999897E-5</v>
      </c>
      <c r="AA2374">
        <v>0.97984930000000003</v>
      </c>
      <c r="AB2374">
        <v>28</v>
      </c>
      <c r="AC2374">
        <v>-132.42669999999899</v>
      </c>
      <c r="AD2374">
        <v>7.7709E-2</v>
      </c>
      <c r="AE2374">
        <v>-24.925799999999899</v>
      </c>
      <c r="AF2374">
        <v>-26.9431651908173</v>
      </c>
      <c r="AG2374">
        <v>7.7709E-2</v>
      </c>
      <c r="AH2374">
        <v>132.03098178328801</v>
      </c>
      <c r="AI2374">
        <v>89.966958593062202</v>
      </c>
      <c r="AJ2374">
        <v>101.533815297323</v>
      </c>
      <c r="AK2374">
        <v>134.752069890771</v>
      </c>
      <c r="AL2374">
        <v>87.918086533547907</v>
      </c>
      <c r="AM2374">
        <v>89.451273228447107</v>
      </c>
      <c r="AN2374">
        <v>1.0000000184145901</v>
      </c>
    </row>
    <row r="2375" spans="1:40" x14ac:dyDescent="0.25">
      <c r="A2375" t="str">
        <f>"20190312160340534"</f>
        <v>20190312160340534</v>
      </c>
      <c r="B2375" t="str">
        <f>"1552377820526479"</f>
        <v>1552377820526479</v>
      </c>
      <c r="C2375" t="s">
        <v>40</v>
      </c>
      <c r="D2375">
        <v>5.008623</v>
      </c>
      <c r="E2375">
        <v>0.42006510000000002</v>
      </c>
      <c r="F2375" t="s">
        <v>76</v>
      </c>
      <c r="G2375">
        <v>-512.82550000000003</v>
      </c>
      <c r="H2375">
        <v>1.0639510000000001</v>
      </c>
      <c r="I2375">
        <v>260.19299999999998</v>
      </c>
      <c r="J2375">
        <v>-380.53879999999998</v>
      </c>
      <c r="K2375">
        <v>1.110163</v>
      </c>
      <c r="L2375">
        <v>285.10050000000001</v>
      </c>
      <c r="M2375">
        <v>-0.99980829999999998</v>
      </c>
      <c r="N2375">
        <v>0</v>
      </c>
      <c r="O2375">
        <v>1.5172150000000001E-2</v>
      </c>
      <c r="P2375">
        <v>-0.99940229999999997</v>
      </c>
      <c r="Q2375">
        <v>2.38769E-2</v>
      </c>
      <c r="R2375">
        <v>2.5000459999999999E-2</v>
      </c>
      <c r="S2375">
        <v>-3.0158999999999998</v>
      </c>
      <c r="T2375">
        <v>-1.050711E-3</v>
      </c>
      <c r="U2375">
        <v>-0.56719969999999997</v>
      </c>
      <c r="V2375">
        <v>9.8238070000000004E-3</v>
      </c>
      <c r="W2375">
        <v>3.6256770000000001E-2</v>
      </c>
      <c r="X2375">
        <v>0.99929420000000002</v>
      </c>
      <c r="Y2375">
        <v>-0.19972010000000001</v>
      </c>
      <c r="Z2375" s="1">
        <v>-3.9729979999999999E-5</v>
      </c>
      <c r="AA2375">
        <v>0.97985299999999997</v>
      </c>
      <c r="AB2375">
        <v>28</v>
      </c>
      <c r="AC2375">
        <v>-132.2867</v>
      </c>
      <c r="AD2375">
        <v>-4.6211999999999899E-2</v>
      </c>
      <c r="AE2375">
        <v>-24.907499999999999</v>
      </c>
      <c r="AF2375">
        <v>-26.9118568277847</v>
      </c>
      <c r="AG2375">
        <v>-4.6211999999999899E-2</v>
      </c>
      <c r="AH2375">
        <v>131.89352616456799</v>
      </c>
      <c r="AI2375">
        <v>90.019669643215707</v>
      </c>
      <c r="AJ2375">
        <v>101.53245647996</v>
      </c>
      <c r="AK2375">
        <v>134.611115505339</v>
      </c>
      <c r="AL2375">
        <v>87.922184654452096</v>
      </c>
      <c r="AM2375">
        <v>89.4367579151847</v>
      </c>
      <c r="AN2375">
        <v>0.99999997935422202</v>
      </c>
    </row>
    <row r="2376" spans="1:40" x14ac:dyDescent="0.25">
      <c r="A2376" t="str">
        <f>"20190312160340546"</f>
        <v>20190312160340546</v>
      </c>
      <c r="B2376" t="str">
        <f>"1552377820537215"</f>
        <v>1552377820537215</v>
      </c>
      <c r="C2376" t="s">
        <v>40</v>
      </c>
      <c r="D2376">
        <v>4.9849119999999996</v>
      </c>
      <c r="E2376">
        <v>0.42002889999999998</v>
      </c>
      <c r="F2376" t="s">
        <v>76</v>
      </c>
      <c r="G2376">
        <v>-512.82539999999995</v>
      </c>
      <c r="H2376">
        <v>0.88979490000000006</v>
      </c>
      <c r="I2376">
        <v>260.24270000000001</v>
      </c>
      <c r="J2376">
        <v>-380.68759999999997</v>
      </c>
      <c r="K2376">
        <v>1.110158</v>
      </c>
      <c r="L2376">
        <v>285.10270000000003</v>
      </c>
      <c r="M2376">
        <v>-0.99980970000000002</v>
      </c>
      <c r="N2376">
        <v>0</v>
      </c>
      <c r="O2376">
        <v>1.5084470000000001E-2</v>
      </c>
      <c r="P2376">
        <v>-0.99940150000000005</v>
      </c>
      <c r="Q2376">
        <v>2.384841E-2</v>
      </c>
      <c r="R2376">
        <v>2.506854E-2</v>
      </c>
      <c r="S2376">
        <v>-3.0160520000000002</v>
      </c>
      <c r="T2376">
        <v>-5.0225259999999898E-3</v>
      </c>
      <c r="U2376">
        <v>-0.56674190000000002</v>
      </c>
      <c r="V2376">
        <v>9.9796920000000001E-3</v>
      </c>
      <c r="W2376">
        <v>3.622819E-2</v>
      </c>
      <c r="X2376">
        <v>0.99929369999999995</v>
      </c>
      <c r="Y2376">
        <v>-0.1994812</v>
      </c>
      <c r="Z2376">
        <v>-1.8956520000000001E-4</v>
      </c>
      <c r="AA2376">
        <v>0.97990160000000004</v>
      </c>
      <c r="AB2376">
        <v>28</v>
      </c>
      <c r="AC2376">
        <v>-132.137799999999</v>
      </c>
      <c r="AD2376">
        <v>-0.22036309999999901</v>
      </c>
      <c r="AE2376">
        <v>-24.86</v>
      </c>
      <c r="AF2376">
        <v>-26.850480148292199</v>
      </c>
      <c r="AG2376">
        <v>-0.22036309999999901</v>
      </c>
      <c r="AH2376">
        <v>131.747380942642</v>
      </c>
      <c r="AI2376">
        <v>90.093903563639103</v>
      </c>
      <c r="AJ2376">
        <v>101.51928058415901</v>
      </c>
      <c r="AK2376">
        <v>134.45582631234399</v>
      </c>
      <c r="AL2376">
        <v>87.923823261153302</v>
      </c>
      <c r="AM2376">
        <v>89.427820645460002</v>
      </c>
      <c r="AN2376">
        <v>0.99999998743138996</v>
      </c>
    </row>
    <row r="2377" spans="1:40" x14ac:dyDescent="0.25">
      <c r="A2377" t="str">
        <f>"20190312160340557"</f>
        <v>20190312160340557</v>
      </c>
      <c r="B2377" t="str">
        <f>"1552377820546976"</f>
        <v>1552377820546976</v>
      </c>
      <c r="C2377" t="s">
        <v>40</v>
      </c>
      <c r="D2377">
        <v>5.006176</v>
      </c>
      <c r="E2377">
        <v>0.42010459999999999</v>
      </c>
      <c r="F2377" t="s">
        <v>76</v>
      </c>
      <c r="G2377">
        <v>-512.82539999999995</v>
      </c>
      <c r="H2377">
        <v>0.76119799999999904</v>
      </c>
      <c r="I2377">
        <v>260.26499999999999</v>
      </c>
      <c r="J2377">
        <v>-380.8331</v>
      </c>
      <c r="K2377">
        <v>1.1101589999999999</v>
      </c>
      <c r="L2377">
        <v>285.10480000000001</v>
      </c>
      <c r="M2377">
        <v>-0.99981089999999995</v>
      </c>
      <c r="N2377">
        <v>0</v>
      </c>
      <c r="O2377">
        <v>1.4999E-2</v>
      </c>
      <c r="P2377">
        <v>-0.99940949999999995</v>
      </c>
      <c r="Q2377">
        <v>2.3927710000000001E-2</v>
      </c>
      <c r="R2377">
        <v>2.466366E-2</v>
      </c>
      <c r="S2377">
        <v>-3.016235</v>
      </c>
      <c r="T2377">
        <v>-7.963777E-3</v>
      </c>
      <c r="U2377">
        <v>-0.5669556</v>
      </c>
      <c r="V2377">
        <v>9.6599839999999999E-3</v>
      </c>
      <c r="W2377">
        <v>3.6306810000000002E-2</v>
      </c>
      <c r="X2377">
        <v>0.99929400000000002</v>
      </c>
      <c r="Y2377">
        <v>-0.1994533</v>
      </c>
      <c r="Z2377">
        <v>-3.0029630000000002E-4</v>
      </c>
      <c r="AA2377">
        <v>0.97990730000000004</v>
      </c>
      <c r="AB2377">
        <v>28</v>
      </c>
      <c r="AC2377">
        <v>-131.99229999999901</v>
      </c>
      <c r="AD2377">
        <v>-0.34896100000000002</v>
      </c>
      <c r="AE2377">
        <v>-24.8398</v>
      </c>
      <c r="AF2377">
        <v>-26.8167284494893</v>
      </c>
      <c r="AG2377">
        <v>-0.34896100000000002</v>
      </c>
      <c r="AH2377">
        <v>131.603960630003</v>
      </c>
      <c r="AI2377">
        <v>90.148865978342997</v>
      </c>
      <c r="AJ2377">
        <v>101.517390259599</v>
      </c>
      <c r="AK2377">
        <v>134.30882752826199</v>
      </c>
      <c r="AL2377">
        <v>87.919315725734705</v>
      </c>
      <c r="AM2377">
        <v>89.446149907773403</v>
      </c>
      <c r="AN2377">
        <v>0.999999999089628</v>
      </c>
    </row>
    <row r="2378" spans="1:40" x14ac:dyDescent="0.25">
      <c r="A2378" t="str">
        <f>"20190312160340570"</f>
        <v>20190312160340570</v>
      </c>
      <c r="B2378" t="str">
        <f>"1552377820566495"</f>
        <v>1552377820566495</v>
      </c>
      <c r="C2378" t="s">
        <v>40</v>
      </c>
      <c r="D2378">
        <v>4.998024</v>
      </c>
      <c r="E2378">
        <v>0.42008909999999999</v>
      </c>
      <c r="F2378" t="s">
        <v>76</v>
      </c>
      <c r="G2378">
        <v>-512.82539999999995</v>
      </c>
      <c r="H2378">
        <v>0.63187369999999898</v>
      </c>
      <c r="I2378">
        <v>260.262</v>
      </c>
      <c r="J2378">
        <v>-380.9862</v>
      </c>
      <c r="K2378">
        <v>1.1101589999999999</v>
      </c>
      <c r="L2378">
        <v>285.10700000000003</v>
      </c>
      <c r="M2378">
        <v>-0.99981229999999999</v>
      </c>
      <c r="N2378">
        <v>0</v>
      </c>
      <c r="O2378">
        <v>1.49093E-2</v>
      </c>
      <c r="P2378">
        <v>-0.9994094</v>
      </c>
      <c r="Q2378">
        <v>2.3956330000000001E-2</v>
      </c>
      <c r="R2378">
        <v>2.4635230000000001E-2</v>
      </c>
      <c r="S2378">
        <v>-3.016022</v>
      </c>
      <c r="T2378">
        <v>-1.092708E-2</v>
      </c>
      <c r="U2378">
        <v>-0.56765750000000004</v>
      </c>
      <c r="V2378">
        <v>9.7212489999999995E-3</v>
      </c>
      <c r="W2378">
        <v>3.633492E-2</v>
      </c>
      <c r="X2378">
        <v>0.99929239999999997</v>
      </c>
      <c r="Y2378">
        <v>-0.19959759999999999</v>
      </c>
      <c r="Z2378">
        <v>-4.1199189999999999E-4</v>
      </c>
      <c r="AA2378">
        <v>0.97987789999999997</v>
      </c>
      <c r="AB2378">
        <v>28</v>
      </c>
      <c r="AC2378">
        <v>-131.83919999999901</v>
      </c>
      <c r="AD2378">
        <v>-0.47828530000000002</v>
      </c>
      <c r="AE2378">
        <v>-24.844999999999999</v>
      </c>
      <c r="AF2378">
        <v>-26.807677996527101</v>
      </c>
      <c r="AG2378">
        <v>-0.47828530000000002</v>
      </c>
      <c r="AH2378">
        <v>131.45242324559899</v>
      </c>
      <c r="AI2378">
        <v>90.204263600268803</v>
      </c>
      <c r="AJ2378">
        <v>101.526524809291</v>
      </c>
      <c r="AK2378">
        <v>134.15893534734701</v>
      </c>
      <c r="AL2378">
        <v>87.917704110900402</v>
      </c>
      <c r="AM2378">
        <v>89.442636639823704</v>
      </c>
      <c r="AN2378">
        <v>1.0000000148956401</v>
      </c>
    </row>
    <row r="2379" spans="1:40" x14ac:dyDescent="0.25">
      <c r="A2379" t="str">
        <f>"20190312160340581"</f>
        <v>20190312160340581</v>
      </c>
      <c r="B2379" t="str">
        <f>"1552377820577232"</f>
        <v>1552377820577232</v>
      </c>
      <c r="C2379" t="s">
        <v>40</v>
      </c>
      <c r="D2379">
        <v>5.0376139999999996</v>
      </c>
      <c r="E2379">
        <v>0.42003289999999999</v>
      </c>
      <c r="F2379" t="s">
        <v>76</v>
      </c>
      <c r="G2379">
        <v>-512.82529999999997</v>
      </c>
      <c r="H2379">
        <v>0.43559120000000001</v>
      </c>
      <c r="I2379">
        <v>260.27019999999999</v>
      </c>
      <c r="J2379">
        <v>-381.12990000000002</v>
      </c>
      <c r="K2379">
        <v>1.110158</v>
      </c>
      <c r="L2379">
        <v>285.10899999999998</v>
      </c>
      <c r="M2379">
        <v>-0.99981350000000002</v>
      </c>
      <c r="N2379">
        <v>0</v>
      </c>
      <c r="O2379">
        <v>1.482467E-2</v>
      </c>
      <c r="P2379">
        <v>-0.99941579999999997</v>
      </c>
      <c r="Q2379">
        <v>2.4036020000000002E-2</v>
      </c>
      <c r="R2379">
        <v>2.429835E-2</v>
      </c>
      <c r="S2379">
        <v>-3.0161739999999999</v>
      </c>
      <c r="T2379">
        <v>-1.543081E-2</v>
      </c>
      <c r="U2379">
        <v>-0.56820680000000001</v>
      </c>
      <c r="V2379">
        <v>9.4689779999999994E-3</v>
      </c>
      <c r="W2379">
        <v>3.6414500000000002E-2</v>
      </c>
      <c r="X2379">
        <v>0.99929190000000001</v>
      </c>
      <c r="Y2379">
        <v>-0.19967660000000001</v>
      </c>
      <c r="Z2379">
        <v>-5.8152970000000003E-4</v>
      </c>
      <c r="AA2379">
        <v>0.97986169999999995</v>
      </c>
      <c r="AB2379">
        <v>28</v>
      </c>
      <c r="AC2379">
        <v>-131.69539999999901</v>
      </c>
      <c r="AD2379">
        <v>-0.67456680000000002</v>
      </c>
      <c r="AE2379">
        <v>-24.838799999999999</v>
      </c>
      <c r="AF2379">
        <v>-26.787881734239502</v>
      </c>
      <c r="AG2379">
        <v>-0.67456680000000002</v>
      </c>
      <c r="AH2379">
        <v>131.30934358468801</v>
      </c>
      <c r="AI2379">
        <v>90.288399148291006</v>
      </c>
      <c r="AJ2379">
        <v>101.53045531199599</v>
      </c>
      <c r="AK2379">
        <v>134.01563103167101</v>
      </c>
      <c r="AL2379">
        <v>87.913141440119503</v>
      </c>
      <c r="AM2379">
        <v>89.457099333215197</v>
      </c>
      <c r="AN2379">
        <v>0.99999998938011203</v>
      </c>
    </row>
    <row r="2380" spans="1:40" x14ac:dyDescent="0.25">
      <c r="A2380" t="str">
        <f>"20190312160340594"</f>
        <v>20190312160340594</v>
      </c>
      <c r="B2380" t="str">
        <f>"1552377820586991"</f>
        <v>1552377820586991</v>
      </c>
      <c r="C2380" t="s">
        <v>40</v>
      </c>
      <c r="D2380">
        <v>5.0952710000000003</v>
      </c>
      <c r="E2380">
        <v>0.41997830000000003</v>
      </c>
      <c r="F2380" t="s">
        <v>76</v>
      </c>
      <c r="G2380">
        <v>-512.82529999999997</v>
      </c>
      <c r="H2380">
        <v>0.39945069999999999</v>
      </c>
      <c r="I2380">
        <v>260.24450000000002</v>
      </c>
      <c r="J2380">
        <v>-381.2878</v>
      </c>
      <c r="K2380">
        <v>1.110158</v>
      </c>
      <c r="L2380">
        <v>285.11130000000003</v>
      </c>
      <c r="M2380">
        <v>-0.99981489999999995</v>
      </c>
      <c r="N2380">
        <v>0</v>
      </c>
      <c r="O2380">
        <v>1.473181E-2</v>
      </c>
      <c r="P2380">
        <v>-0.99941650000000004</v>
      </c>
      <c r="Q2380">
        <v>2.3992400000000001E-2</v>
      </c>
      <c r="R2380">
        <v>2.43184E-2</v>
      </c>
      <c r="S2380">
        <v>-3.0159910000000001</v>
      </c>
      <c r="T2380">
        <v>-1.627433E-2</v>
      </c>
      <c r="U2380">
        <v>-0.56942749999999998</v>
      </c>
      <c r="V2380">
        <v>9.5819270000000005E-3</v>
      </c>
      <c r="W2380">
        <v>3.6370189999999997E-2</v>
      </c>
      <c r="X2380">
        <v>0.99929239999999997</v>
      </c>
      <c r="Y2380">
        <v>-0.19997909999999999</v>
      </c>
      <c r="Z2380">
        <v>-6.1364440000000002E-4</v>
      </c>
      <c r="AA2380">
        <v>0.9798</v>
      </c>
      <c r="AB2380">
        <v>28</v>
      </c>
      <c r="AC2380">
        <v>-131.537499999999</v>
      </c>
      <c r="AD2380">
        <v>-0.71070729999999904</v>
      </c>
      <c r="AE2380">
        <v>-24.866800000000001</v>
      </c>
      <c r="AF2380">
        <v>-26.8012794984962</v>
      </c>
      <c r="AG2380">
        <v>-0.71070729999999904</v>
      </c>
      <c r="AH2380">
        <v>131.153165797512</v>
      </c>
      <c r="AI2380">
        <v>90.3041913436344</v>
      </c>
      <c r="AJ2380">
        <v>101.549435930729</v>
      </c>
      <c r="AK2380">
        <v>133.865479442359</v>
      </c>
      <c r="AL2380">
        <v>87.915681821818296</v>
      </c>
      <c r="AM2380">
        <v>89.450624109752994</v>
      </c>
      <c r="AN2380">
        <v>0.99999995237171302</v>
      </c>
    </row>
    <row r="2381" spans="1:40" x14ac:dyDescent="0.25">
      <c r="A2381" t="str">
        <f>"20190312160340613"</f>
        <v>20190312160340613</v>
      </c>
      <c r="B2381" t="str">
        <f>"1552377820606511"</f>
        <v>1552377820606511</v>
      </c>
      <c r="C2381" t="s">
        <v>40</v>
      </c>
      <c r="D2381">
        <v>5.0362049999999998</v>
      </c>
      <c r="E2381">
        <v>0.41980000000000001</v>
      </c>
      <c r="F2381" t="s">
        <v>76</v>
      </c>
      <c r="G2381">
        <v>-512.82529999999997</v>
      </c>
      <c r="H2381">
        <v>0.34660069999999998</v>
      </c>
      <c r="I2381">
        <v>260.25709999999998</v>
      </c>
      <c r="J2381">
        <v>-381.51650000000001</v>
      </c>
      <c r="K2381">
        <v>1.1101620000000001</v>
      </c>
      <c r="L2381">
        <v>285.11439999999999</v>
      </c>
      <c r="M2381">
        <v>-0.99981690000000001</v>
      </c>
      <c r="N2381">
        <v>0</v>
      </c>
      <c r="O2381">
        <v>1.4597229999999999E-2</v>
      </c>
      <c r="P2381">
        <v>-0.99943689999999996</v>
      </c>
      <c r="Q2381">
        <v>2.3700599999999999E-2</v>
      </c>
      <c r="R2381">
        <v>2.375468E-2</v>
      </c>
      <c r="S2381">
        <v>-3.0160520000000002</v>
      </c>
      <c r="T2381">
        <v>-1.7506000000000001E-2</v>
      </c>
      <c r="U2381">
        <v>-0.56988530000000004</v>
      </c>
      <c r="V2381">
        <v>9.1525200000000008E-3</v>
      </c>
      <c r="W2381">
        <v>3.6077600000000001E-2</v>
      </c>
      <c r="X2381">
        <v>0.9993071</v>
      </c>
      <c r="Y2381">
        <v>-0.19998669999999999</v>
      </c>
      <c r="Z2381">
        <v>-6.5931009999999903E-4</v>
      </c>
      <c r="AA2381">
        <v>0.97979839999999996</v>
      </c>
      <c r="AB2381">
        <v>28</v>
      </c>
      <c r="AC2381">
        <v>-131.308799999999</v>
      </c>
      <c r="AD2381">
        <v>-0.7635613</v>
      </c>
      <c r="AE2381">
        <v>-24.857299999999999</v>
      </c>
      <c r="AF2381">
        <v>-26.770668740399302</v>
      </c>
      <c r="AG2381">
        <v>-0.7635613</v>
      </c>
      <c r="AH2381">
        <v>130.92765796919701</v>
      </c>
      <c r="AI2381">
        <v>90.327368318006094</v>
      </c>
      <c r="AJ2381">
        <v>101.555935131448</v>
      </c>
      <c r="AK2381">
        <v>133.63870454313101</v>
      </c>
      <c r="AL2381">
        <v>87.932457146275397</v>
      </c>
      <c r="AM2381">
        <v>89.475250295372305</v>
      </c>
      <c r="AN2381">
        <v>1.0000000209772599</v>
      </c>
    </row>
    <row r="2382" spans="1:40" x14ac:dyDescent="0.25">
      <c r="A2382" t="str">
        <f>"20190312160340647"</f>
        <v>20190312160340647</v>
      </c>
      <c r="B2382" t="str">
        <f>"1552377820636768"</f>
        <v>1552377820636768</v>
      </c>
      <c r="C2382" t="s">
        <v>40</v>
      </c>
      <c r="D2382">
        <v>5.337491</v>
      </c>
      <c r="E2382">
        <v>0.4197439</v>
      </c>
      <c r="F2382" t="s">
        <v>76</v>
      </c>
      <c r="G2382">
        <v>-512.8252</v>
      </c>
      <c r="H2382">
        <v>0.18632460000000001</v>
      </c>
      <c r="I2382">
        <v>260.16059999999999</v>
      </c>
      <c r="J2382">
        <v>-381.94369999999998</v>
      </c>
      <c r="K2382">
        <v>1.1101620000000001</v>
      </c>
      <c r="L2382">
        <v>285.12040000000002</v>
      </c>
      <c r="M2382">
        <v>-0.9998205</v>
      </c>
      <c r="N2382">
        <v>0</v>
      </c>
      <c r="O2382">
        <v>1.4346930000000001E-2</v>
      </c>
      <c r="P2382">
        <v>-0.99946060000000003</v>
      </c>
      <c r="Q2382">
        <v>2.3390589999999999E-2</v>
      </c>
      <c r="R2382">
        <v>2.3062099999999999E-2</v>
      </c>
      <c r="S2382">
        <v>-3.0158079999999998</v>
      </c>
      <c r="T2382">
        <v>-2.1216269999999999E-2</v>
      </c>
      <c r="U2382">
        <v>-0.57312010000000002</v>
      </c>
      <c r="V2382">
        <v>8.7102369999999991E-3</v>
      </c>
      <c r="W2382">
        <v>3.5765480000000002E-2</v>
      </c>
      <c r="X2382">
        <v>0.99932220000000005</v>
      </c>
      <c r="Y2382">
        <v>-0.20076869999999999</v>
      </c>
      <c r="Z2382">
        <v>-8.0000739999999996E-4</v>
      </c>
      <c r="AA2382">
        <v>0.97963829999999996</v>
      </c>
      <c r="AB2382">
        <v>28</v>
      </c>
      <c r="AC2382">
        <v>-130.88149999999999</v>
      </c>
      <c r="AD2382">
        <v>-0.92383740000000003</v>
      </c>
      <c r="AE2382">
        <v>-24.959800000000001</v>
      </c>
      <c r="AF2382">
        <v>-26.833832150248199</v>
      </c>
      <c r="AG2382">
        <v>-0.92383740000000003</v>
      </c>
      <c r="AH2382">
        <v>130.50362938410501</v>
      </c>
      <c r="AI2382">
        <v>90.397280015943707</v>
      </c>
      <c r="AJ2382">
        <v>101.61907625431201</v>
      </c>
      <c r="AK2382">
        <v>133.23702678247199</v>
      </c>
      <c r="AL2382">
        <v>87.9503517052718</v>
      </c>
      <c r="AM2382">
        <v>89.500614335216099</v>
      </c>
      <c r="AN2382">
        <v>0.99999994860053198</v>
      </c>
    </row>
    <row r="2383" spans="1:40" x14ac:dyDescent="0.25">
      <c r="A2383" t="str">
        <f>"20190312160340660"</f>
        <v>20190312160340660</v>
      </c>
      <c r="B2383" t="str">
        <f>"1552377820657263"</f>
        <v>1552377820657263</v>
      </c>
      <c r="C2383" t="s">
        <v>40</v>
      </c>
      <c r="D2383">
        <v>5.2304120000000003</v>
      </c>
      <c r="E2383">
        <v>0.47373280000000001</v>
      </c>
      <c r="F2383" t="s">
        <v>76</v>
      </c>
      <c r="G2383">
        <v>-512.8252</v>
      </c>
      <c r="H2383">
        <v>0.15712429999999999</v>
      </c>
      <c r="I2383">
        <v>260.12790000000001</v>
      </c>
      <c r="J2383">
        <v>-382.10719999999998</v>
      </c>
      <c r="K2383">
        <v>1.1101620000000001</v>
      </c>
      <c r="L2383">
        <v>285.12259999999998</v>
      </c>
      <c r="M2383">
        <v>-0.99982170000000004</v>
      </c>
      <c r="N2383">
        <v>0</v>
      </c>
      <c r="O2383">
        <v>1.425271E-2</v>
      </c>
      <c r="P2383">
        <v>-0.99946299999999999</v>
      </c>
      <c r="Q2383">
        <v>2.3470189999999998E-2</v>
      </c>
      <c r="R2383">
        <v>2.2867140000000001E-2</v>
      </c>
      <c r="S2383">
        <v>-3.0154109999999998</v>
      </c>
      <c r="T2383">
        <v>-2.1955490000000001E-2</v>
      </c>
      <c r="U2383">
        <v>-0.57580569999999998</v>
      </c>
      <c r="V2383">
        <v>8.609429E-3</v>
      </c>
      <c r="W2383">
        <v>3.5845059999999998E-2</v>
      </c>
      <c r="X2383">
        <v>0.99932030000000005</v>
      </c>
      <c r="Y2383">
        <v>-0.20154150000000001</v>
      </c>
      <c r="Z2383">
        <v>-8.3002719999999996E-4</v>
      </c>
      <c r="AA2383">
        <v>0.97947960000000001</v>
      </c>
      <c r="AB2383">
        <v>28</v>
      </c>
      <c r="AC2383">
        <v>-130.71799999999999</v>
      </c>
      <c r="AD2383">
        <v>-0.95303769999999999</v>
      </c>
      <c r="AE2383">
        <v>-24.994699999999899</v>
      </c>
      <c r="AF2383">
        <v>-26.854012366860101</v>
      </c>
      <c r="AG2383">
        <v>-0.95303769999999999</v>
      </c>
      <c r="AH2383">
        <v>130.34176671312099</v>
      </c>
      <c r="AI2383">
        <v>90.410312368773006</v>
      </c>
      <c r="AJ2383">
        <v>101.64162204135999</v>
      </c>
      <c r="AK2383">
        <v>133.082765266411</v>
      </c>
      <c r="AL2383">
        <v>87.945789341012201</v>
      </c>
      <c r="AM2383">
        <v>89.506392753253195</v>
      </c>
      <c r="AN2383">
        <v>1.0000000262930899</v>
      </c>
    </row>
    <row r="2384" spans="1:40" x14ac:dyDescent="0.25">
      <c r="A2384" t="str">
        <f>"20190312160340678"</f>
        <v>20190312160340678</v>
      </c>
      <c r="B2384" t="str">
        <f>"1552377820667023"</f>
        <v>1552377820667023</v>
      </c>
      <c r="C2384" t="s">
        <v>40</v>
      </c>
      <c r="D2384">
        <v>5.1046969999999998</v>
      </c>
      <c r="E2384">
        <v>0.49136800000000003</v>
      </c>
      <c r="F2384" t="s">
        <v>70</v>
      </c>
      <c r="G2384">
        <v>-449.7706</v>
      </c>
      <c r="H2384" s="1">
        <v>3.7849649999999999E-6</v>
      </c>
      <c r="I2384">
        <v>281.81790000000001</v>
      </c>
      <c r="J2384">
        <v>-382.33359999999999</v>
      </c>
      <c r="K2384">
        <v>1.110161</v>
      </c>
      <c r="L2384">
        <v>285.12569999999999</v>
      </c>
      <c r="M2384">
        <v>-0.99982369999999998</v>
      </c>
      <c r="N2384">
        <v>0</v>
      </c>
      <c r="O2384">
        <v>1.4122320000000001E-2</v>
      </c>
      <c r="P2384">
        <v>-0.99946619999999997</v>
      </c>
      <c r="Q2384">
        <v>2.382621E-2</v>
      </c>
      <c r="R2384">
        <v>2.2360700000000001E-2</v>
      </c>
      <c r="S2384">
        <v>-3.0061339999999999</v>
      </c>
      <c r="T2384">
        <v>-4.932189E-2</v>
      </c>
      <c r="U2384">
        <v>-0.14682010000000001</v>
      </c>
      <c r="V2384">
        <v>8.233321E-3</v>
      </c>
      <c r="W2384">
        <v>3.6200070000000001E-2</v>
      </c>
      <c r="X2384">
        <v>0.9993107</v>
      </c>
      <c r="Y2384">
        <v>-6.2873390000000001E-2</v>
      </c>
      <c r="Z2384">
        <v>-7.4702690000000001E-4</v>
      </c>
      <c r="AA2384">
        <v>0.99802120000000005</v>
      </c>
      <c r="AB2384">
        <v>28</v>
      </c>
      <c r="AC2384">
        <v>-67.436999999999998</v>
      </c>
      <c r="AD2384">
        <v>-1.1101572150350001</v>
      </c>
      <c r="AE2384">
        <v>-3.3077999999999799</v>
      </c>
      <c r="AF2384">
        <v>-4.2587585370816399</v>
      </c>
      <c r="AG2384">
        <v>-1.1101572150350001</v>
      </c>
      <c r="AH2384">
        <v>67.3653441073522</v>
      </c>
      <c r="AI2384">
        <v>90.942248177513605</v>
      </c>
      <c r="AJ2384">
        <v>93.617358454953305</v>
      </c>
      <c r="AK2384">
        <v>67.508955406088404</v>
      </c>
      <c r="AL2384">
        <v>87.925435613950597</v>
      </c>
      <c r="AM2384">
        <v>89.527950745294504</v>
      </c>
      <c r="AN2384">
        <v>1.00000005388859</v>
      </c>
    </row>
    <row r="2385" spans="1:40" x14ac:dyDescent="0.25">
      <c r="A2385" t="str">
        <f>"20190312160340693"</f>
        <v>20190312160340693</v>
      </c>
      <c r="B2385" t="str">
        <f>"1552377820686544"</f>
        <v>1552377820686544</v>
      </c>
      <c r="C2385" t="s">
        <v>40</v>
      </c>
      <c r="D2385">
        <v>5.0565720000000001</v>
      </c>
      <c r="E2385">
        <v>0.50569249999999999</v>
      </c>
      <c r="F2385" t="s">
        <v>79</v>
      </c>
      <c r="G2385">
        <v>-430.7047</v>
      </c>
      <c r="H2385" s="1">
        <v>2.4969709999999998E-6</v>
      </c>
      <c r="I2385">
        <v>284.98860000000002</v>
      </c>
      <c r="J2385">
        <v>-382.5095</v>
      </c>
      <c r="K2385">
        <v>1.11016</v>
      </c>
      <c r="L2385">
        <v>285.12810000000002</v>
      </c>
      <c r="M2385">
        <v>-0.99982510000000002</v>
      </c>
      <c r="N2385">
        <v>0</v>
      </c>
      <c r="O2385">
        <v>1.402172E-2</v>
      </c>
      <c r="P2385">
        <v>-0.99946699999999999</v>
      </c>
      <c r="Q2385">
        <v>2.380989E-2</v>
      </c>
      <c r="R2385">
        <v>2.2341219999999998E-2</v>
      </c>
      <c r="S2385">
        <v>-3.0034480000000001</v>
      </c>
      <c r="T2385">
        <v>-6.8931580000000006E-2</v>
      </c>
      <c r="U2385">
        <v>-8.5144039999999997E-3</v>
      </c>
      <c r="V2385">
        <v>8.3143929999999998E-3</v>
      </c>
      <c r="W2385">
        <v>3.618292E-2</v>
      </c>
      <c r="X2385">
        <v>0.99931060000000005</v>
      </c>
      <c r="Y2385">
        <v>-1.6849200000000002E-2</v>
      </c>
      <c r="Z2385">
        <v>-5.1511069999999996E-4</v>
      </c>
      <c r="AA2385">
        <v>0.99985789999999997</v>
      </c>
      <c r="AB2385">
        <v>28</v>
      </c>
      <c r="AC2385">
        <v>-48.1952</v>
      </c>
      <c r="AD2385">
        <v>-1.1101575030290001</v>
      </c>
      <c r="AE2385">
        <v>-0.13949999999999799</v>
      </c>
      <c r="AF2385">
        <v>-0.81488527202172301</v>
      </c>
      <c r="AG2385">
        <v>-1.1101575030290001</v>
      </c>
      <c r="AH2385">
        <v>48.162950348841797</v>
      </c>
      <c r="AI2385">
        <v>91.320246792291798</v>
      </c>
      <c r="AJ2385">
        <v>90.969314216169806</v>
      </c>
      <c r="AK2385">
        <v>48.1826345688267</v>
      </c>
      <c r="AL2385">
        <v>87.926418777294302</v>
      </c>
      <c r="AM2385">
        <v>89.523302728719102</v>
      </c>
      <c r="AN2385">
        <v>1.00000000405152</v>
      </c>
    </row>
    <row r="2386" spans="1:40" x14ac:dyDescent="0.25">
      <c r="A2386" t="str">
        <f>"20190312160340705"</f>
        <v>20190312160340705</v>
      </c>
      <c r="B2386" t="str">
        <f>"1552377820697279"</f>
        <v>1552377820697279</v>
      </c>
      <c r="C2386" t="s">
        <v>40</v>
      </c>
      <c r="D2386">
        <v>5.1014339999999896</v>
      </c>
      <c r="E2386">
        <v>0.5087931</v>
      </c>
      <c r="F2386" t="s">
        <v>79</v>
      </c>
      <c r="G2386">
        <v>-431.39280000000002</v>
      </c>
      <c r="H2386" s="1">
        <v>2.6389210000000002E-6</v>
      </c>
      <c r="I2386">
        <v>286.85509999999999</v>
      </c>
      <c r="J2386">
        <v>-382.66329999999999</v>
      </c>
      <c r="K2386">
        <v>1.11016</v>
      </c>
      <c r="L2386">
        <v>285.13010000000003</v>
      </c>
      <c r="M2386">
        <v>-0.9998264</v>
      </c>
      <c r="N2386">
        <v>0</v>
      </c>
      <c r="O2386">
        <v>1.393406E-2</v>
      </c>
      <c r="P2386">
        <v>-0.99947109999999995</v>
      </c>
      <c r="Q2386">
        <v>2.3820669999999999E-2</v>
      </c>
      <c r="R2386">
        <v>2.213907E-2</v>
      </c>
      <c r="S2386">
        <v>-3.0008539999999999</v>
      </c>
      <c r="T2386">
        <v>-6.8150520000000006E-2</v>
      </c>
      <c r="U2386">
        <v>0.1060181</v>
      </c>
      <c r="V2386">
        <v>8.1998829999999998E-3</v>
      </c>
      <c r="W2386">
        <v>3.6193400000000001E-2</v>
      </c>
      <c r="X2386">
        <v>0.99931110000000001</v>
      </c>
      <c r="Y2386">
        <v>2.137549E-2</v>
      </c>
      <c r="Z2386" s="1">
        <v>-7.3689589999999898E-5</v>
      </c>
      <c r="AA2386">
        <v>0.99977150000000004</v>
      </c>
      <c r="AB2386">
        <v>28</v>
      </c>
      <c r="AC2386">
        <v>-48.729500000000002</v>
      </c>
      <c r="AD2386">
        <v>-1.1101573610789901</v>
      </c>
      <c r="AE2386">
        <v>1.7249999999999599</v>
      </c>
      <c r="AF2386">
        <v>1.04523895240656</v>
      </c>
      <c r="AG2386">
        <v>-1.1101573610789901</v>
      </c>
      <c r="AH2386">
        <v>48.723549617474298</v>
      </c>
      <c r="AI2386">
        <v>91.304948109702806</v>
      </c>
      <c r="AJ2386">
        <v>88.771054312874597</v>
      </c>
      <c r="AK2386">
        <v>48.747402609374703</v>
      </c>
      <c r="AL2386">
        <v>87.925817785727602</v>
      </c>
      <c r="AM2386">
        <v>89.529867981650995</v>
      </c>
      <c r="AN2386">
        <v>0.99999993743398896</v>
      </c>
    </row>
    <row r="2387" spans="1:40" x14ac:dyDescent="0.25">
      <c r="A2387" t="str">
        <f>"20190312160340717"</f>
        <v>20190312160340717</v>
      </c>
      <c r="B2387" t="str">
        <f>"1552377820707039"</f>
        <v>1552377820707039</v>
      </c>
      <c r="C2387" t="s">
        <v>40</v>
      </c>
      <c r="D2387">
        <v>5.137219</v>
      </c>
      <c r="E2387">
        <v>0.51186339999999997</v>
      </c>
      <c r="F2387" t="s">
        <v>79</v>
      </c>
      <c r="G2387">
        <v>-436.53820000000002</v>
      </c>
      <c r="H2387" s="1">
        <v>4.8669220000000001E-6</v>
      </c>
      <c r="I2387">
        <v>287.47019999999998</v>
      </c>
      <c r="J2387">
        <v>-382.81490000000002</v>
      </c>
      <c r="K2387">
        <v>1.1101589999999999</v>
      </c>
      <c r="L2387">
        <v>285.13209999999998</v>
      </c>
      <c r="M2387">
        <v>-0.99982760000000004</v>
      </c>
      <c r="N2387">
        <v>0</v>
      </c>
      <c r="O2387">
        <v>1.3847999999999999E-2</v>
      </c>
      <c r="P2387">
        <v>-0.99947439999999999</v>
      </c>
      <c r="Q2387">
        <v>2.3685049999999999E-2</v>
      </c>
      <c r="R2387">
        <v>2.2140239999999999E-2</v>
      </c>
      <c r="S2387">
        <v>-3.0001530000000001</v>
      </c>
      <c r="T2387">
        <v>-6.1821580000000001E-2</v>
      </c>
      <c r="U2387">
        <v>0.13031010000000001</v>
      </c>
      <c r="V2387">
        <v>8.287137E-3</v>
      </c>
      <c r="W2387">
        <v>3.6057110000000003E-2</v>
      </c>
      <c r="X2387">
        <v>0.99931539999999996</v>
      </c>
      <c r="Y2387">
        <v>2.9550070000000001E-2</v>
      </c>
      <c r="Z2387" s="1">
        <v>1.909802E-5</v>
      </c>
      <c r="AA2387">
        <v>0.99956330000000004</v>
      </c>
      <c r="AB2387">
        <v>28</v>
      </c>
      <c r="AC2387">
        <v>-53.723300000000002</v>
      </c>
      <c r="AD2387">
        <v>-1.110154133078</v>
      </c>
      <c r="AE2387">
        <v>2.3380999999999901</v>
      </c>
      <c r="AF2387">
        <v>1.59317956812289</v>
      </c>
      <c r="AG2387">
        <v>-1.110154133078</v>
      </c>
      <c r="AH2387">
        <v>53.727629241317203</v>
      </c>
      <c r="AI2387">
        <v>91.183193136814495</v>
      </c>
      <c r="AJ2387">
        <v>88.301512165205395</v>
      </c>
      <c r="AK2387">
        <v>53.7627083323368</v>
      </c>
      <c r="AL2387">
        <v>87.933631920281499</v>
      </c>
      <c r="AM2387">
        <v>89.524867634118806</v>
      </c>
      <c r="AN2387">
        <v>1.00000003024918</v>
      </c>
    </row>
    <row r="2388" spans="1:40" x14ac:dyDescent="0.25">
      <c r="A2388" t="str">
        <f>"20190312160340730"</f>
        <v>20190312160340730</v>
      </c>
      <c r="B2388" t="str">
        <f>"1552377820726559"</f>
        <v>1552377820726559</v>
      </c>
      <c r="C2388" t="s">
        <v>40</v>
      </c>
      <c r="D2388">
        <v>5.0765500000000001</v>
      </c>
      <c r="E2388">
        <v>0.51438739999999905</v>
      </c>
      <c r="F2388" t="s">
        <v>79</v>
      </c>
      <c r="G2388">
        <v>-429.68549999999999</v>
      </c>
      <c r="H2388" s="1">
        <v>1.9906519999999998E-6</v>
      </c>
      <c r="I2388">
        <v>287.54340000000002</v>
      </c>
      <c r="J2388">
        <v>-382.97160000000002</v>
      </c>
      <c r="K2388">
        <v>1.1101570000000001</v>
      </c>
      <c r="L2388">
        <v>285.13420000000002</v>
      </c>
      <c r="M2388">
        <v>-0.99982890000000002</v>
      </c>
      <c r="N2388">
        <v>0</v>
      </c>
      <c r="O2388">
        <v>1.3758960000000001E-2</v>
      </c>
      <c r="P2388">
        <v>-0.99947200000000003</v>
      </c>
      <c r="Q2388">
        <v>2.365066E-2</v>
      </c>
      <c r="R2388">
        <v>2.2294049999999999E-2</v>
      </c>
      <c r="S2388">
        <v>-2.9998469999999999</v>
      </c>
      <c r="T2388">
        <v>-7.1053030000000003E-2</v>
      </c>
      <c r="U2388">
        <v>0.154327399999999</v>
      </c>
      <c r="V2388">
        <v>8.5301249999999995E-3</v>
      </c>
      <c r="W2388">
        <v>3.6022810000000002E-2</v>
      </c>
      <c r="X2388">
        <v>0.99931449999999999</v>
      </c>
      <c r="Y2388">
        <v>3.7623770000000001E-2</v>
      </c>
      <c r="Z2388">
        <v>1.1959689999999999E-4</v>
      </c>
      <c r="AA2388">
        <v>0.99929199999999996</v>
      </c>
      <c r="AB2388">
        <v>28</v>
      </c>
      <c r="AC2388">
        <v>-46.713899999999903</v>
      </c>
      <c r="AD2388">
        <v>-1.1101550093479999</v>
      </c>
      <c r="AE2388">
        <v>2.40919999999999</v>
      </c>
      <c r="AF2388">
        <v>1.76519380918576</v>
      </c>
      <c r="AG2388">
        <v>-1.1101550093479999</v>
      </c>
      <c r="AH2388">
        <v>46.716313868205397</v>
      </c>
      <c r="AI2388">
        <v>91.360336232256998</v>
      </c>
      <c r="AJ2388">
        <v>87.836086470111098</v>
      </c>
      <c r="AK2388">
        <v>46.762830696627503</v>
      </c>
      <c r="AL2388">
        <v>87.935598252265706</v>
      </c>
      <c r="AM2388">
        <v>89.510936455543003</v>
      </c>
      <c r="AN2388">
        <v>0.99999993789152897</v>
      </c>
    </row>
    <row r="2389" spans="1:40" x14ac:dyDescent="0.25">
      <c r="A2389" t="str">
        <f>"20190312160340743"</f>
        <v>20190312160340743</v>
      </c>
      <c r="B2389" t="str">
        <f>"1552377820737296"</f>
        <v>1552377820737296</v>
      </c>
      <c r="C2389" t="s">
        <v>40</v>
      </c>
      <c r="D2389">
        <v>5.0976710000000001</v>
      </c>
      <c r="E2389">
        <v>0.51556840000000004</v>
      </c>
      <c r="F2389" t="s">
        <v>79</v>
      </c>
      <c r="G2389">
        <v>-428.274</v>
      </c>
      <c r="H2389" s="1">
        <v>2.2205320000000002E-6</v>
      </c>
      <c r="I2389">
        <v>287.77800000000002</v>
      </c>
      <c r="J2389">
        <v>-383.13490000000002</v>
      </c>
      <c r="K2389">
        <v>1.1101559999999999</v>
      </c>
      <c r="L2389">
        <v>285.13630000000001</v>
      </c>
      <c r="M2389">
        <v>-0.99983</v>
      </c>
      <c r="N2389">
        <v>0</v>
      </c>
      <c r="O2389">
        <v>1.366641E-2</v>
      </c>
      <c r="P2389">
        <v>-0.99947439999999999</v>
      </c>
      <c r="Q2389">
        <v>2.3590549999999998E-2</v>
      </c>
      <c r="R2389">
        <v>2.2240409999999999E-2</v>
      </c>
      <c r="S2389">
        <v>-2.9994809999999998</v>
      </c>
      <c r="T2389">
        <v>-7.3503730000000003E-2</v>
      </c>
      <c r="U2389">
        <v>0.17504879999999901</v>
      </c>
      <c r="V2389">
        <v>8.5691389999999999E-3</v>
      </c>
      <c r="W2389">
        <v>3.5961800000000002E-2</v>
      </c>
      <c r="X2389">
        <v>0.99931650000000005</v>
      </c>
      <c r="Y2389">
        <v>4.4601639999999998E-2</v>
      </c>
      <c r="Z2389">
        <v>2.113944E-4</v>
      </c>
      <c r="AA2389">
        <v>0.99900480000000003</v>
      </c>
      <c r="AB2389">
        <v>28</v>
      </c>
      <c r="AC2389">
        <v>-45.1390999999999</v>
      </c>
      <c r="AD2389">
        <v>-1.1101537794680001</v>
      </c>
      <c r="AE2389">
        <v>2.6417000000000099</v>
      </c>
      <c r="AF2389">
        <v>2.0232968977069898</v>
      </c>
      <c r="AG2389">
        <v>-1.1101537794680001</v>
      </c>
      <c r="AH2389">
        <v>45.1437763318999</v>
      </c>
      <c r="AI2389">
        <v>91.407293841096404</v>
      </c>
      <c r="AJ2389">
        <v>87.433780382591195</v>
      </c>
      <c r="AK2389">
        <v>45.202729046540398</v>
      </c>
      <c r="AL2389">
        <v>87.939096415398495</v>
      </c>
      <c r="AM2389">
        <v>89.508700731569903</v>
      </c>
      <c r="AN2389">
        <v>1.00000007418734</v>
      </c>
    </row>
    <row r="2390" spans="1:40" x14ac:dyDescent="0.25">
      <c r="A2390" t="str">
        <f>"20190312160340756"</f>
        <v>20190312160340756</v>
      </c>
      <c r="B2390" t="str">
        <f>"1552377820747055"</f>
        <v>1552377820747055</v>
      </c>
      <c r="C2390" t="s">
        <v>40</v>
      </c>
      <c r="D2390">
        <v>5.1134009999999996</v>
      </c>
      <c r="E2390">
        <v>0.51657019999999998</v>
      </c>
      <c r="F2390" t="s">
        <v>79</v>
      </c>
      <c r="G2390">
        <v>-425.94540000000001</v>
      </c>
      <c r="H2390" s="1">
        <v>2.6346749999999999E-6</v>
      </c>
      <c r="I2390">
        <v>287.76560000000001</v>
      </c>
      <c r="J2390">
        <v>-383.29880000000003</v>
      </c>
      <c r="K2390">
        <v>1.110158</v>
      </c>
      <c r="L2390">
        <v>285.13850000000002</v>
      </c>
      <c r="M2390">
        <v>-0.99983129999999998</v>
      </c>
      <c r="N2390">
        <v>0</v>
      </c>
      <c r="O2390">
        <v>1.3573429999999999E-2</v>
      </c>
      <c r="P2390">
        <v>-0.99947549999999996</v>
      </c>
      <c r="Q2390">
        <v>2.3587509999999999E-2</v>
      </c>
      <c r="R2390">
        <v>2.2193750000000002E-2</v>
      </c>
      <c r="S2390">
        <v>-2.999298</v>
      </c>
      <c r="T2390">
        <v>-7.7777269999999996E-2</v>
      </c>
      <c r="U2390">
        <v>0.18420410000000001</v>
      </c>
      <c r="V2390">
        <v>8.6152780000000005E-3</v>
      </c>
      <c r="W2390">
        <v>3.5958950000000003E-2</v>
      </c>
      <c r="X2390">
        <v>0.99931619999999999</v>
      </c>
      <c r="Y2390">
        <v>4.7734209999999999E-2</v>
      </c>
      <c r="Z2390">
        <v>2.6665549999999998E-4</v>
      </c>
      <c r="AA2390">
        <v>0.99886010000000003</v>
      </c>
      <c r="AB2390">
        <v>28</v>
      </c>
      <c r="AC2390">
        <v>-42.6465999999999</v>
      </c>
      <c r="AD2390">
        <v>-1.110155365325</v>
      </c>
      <c r="AE2390">
        <v>2.62709999999998</v>
      </c>
      <c r="AF2390">
        <v>2.04657138479612</v>
      </c>
      <c r="AG2390">
        <v>-1.110155365325</v>
      </c>
      <c r="AH2390">
        <v>42.649540389202301</v>
      </c>
      <c r="AI2390">
        <v>91.489343150226901</v>
      </c>
      <c r="AJ2390">
        <v>87.252724797394194</v>
      </c>
      <c r="AK2390">
        <v>42.713044784684101</v>
      </c>
      <c r="AL2390">
        <v>87.939259801989095</v>
      </c>
      <c r="AM2390">
        <v>89.506055400756793</v>
      </c>
      <c r="AN2390">
        <v>1.00000006834127</v>
      </c>
    </row>
    <row r="2391" spans="1:40" x14ac:dyDescent="0.25">
      <c r="A2391" t="str">
        <f>"20190312160340769"</f>
        <v>20190312160340769</v>
      </c>
      <c r="B2391" t="str">
        <f>"1552377820756816"</f>
        <v>1552377820756816</v>
      </c>
      <c r="C2391" t="s">
        <v>40</v>
      </c>
      <c r="D2391">
        <v>5.1180219999999998</v>
      </c>
      <c r="E2391">
        <v>0.51724110000000001</v>
      </c>
      <c r="F2391" t="s">
        <v>79</v>
      </c>
      <c r="G2391">
        <v>-426.07029999999997</v>
      </c>
      <c r="H2391" s="1">
        <v>2.602896E-6</v>
      </c>
      <c r="I2391">
        <v>287.87560000000002</v>
      </c>
      <c r="J2391">
        <v>-383.45420000000001</v>
      </c>
      <c r="K2391">
        <v>1.110158</v>
      </c>
      <c r="L2391">
        <v>285.14049999999997</v>
      </c>
      <c r="M2391">
        <v>-0.99983250000000001</v>
      </c>
      <c r="N2391">
        <v>0</v>
      </c>
      <c r="O2391">
        <v>1.348558E-2</v>
      </c>
      <c r="P2391">
        <v>-0.99947390000000003</v>
      </c>
      <c r="Q2391">
        <v>2.3745189999999999E-2</v>
      </c>
      <c r="R2391">
        <v>2.2098509999999998E-2</v>
      </c>
      <c r="S2391">
        <v>-2.9991460000000001</v>
      </c>
      <c r="T2391">
        <v>-7.7844259999999998E-2</v>
      </c>
      <c r="U2391">
        <v>0.19192500000000001</v>
      </c>
      <c r="V2391">
        <v>8.6080900000000005E-3</v>
      </c>
      <c r="W2391">
        <v>3.6115729999999999E-2</v>
      </c>
      <c r="X2391">
        <v>0.99931060000000005</v>
      </c>
      <c r="Y2391">
        <v>5.0385350000000002E-2</v>
      </c>
      <c r="Z2391">
        <v>3.0352059999999998E-4</v>
      </c>
      <c r="AA2391">
        <v>0.9987298</v>
      </c>
      <c r="AB2391">
        <v>28</v>
      </c>
      <c r="AC2391">
        <v>-42.616099999999904</v>
      </c>
      <c r="AD2391">
        <v>-1.1101553971039999</v>
      </c>
      <c r="AE2391">
        <v>2.7351000000000401</v>
      </c>
      <c r="AF2391">
        <v>2.1586455502986301</v>
      </c>
      <c r="AG2391">
        <v>-1.1101553971039999</v>
      </c>
      <c r="AH2391">
        <v>42.620307449645701</v>
      </c>
      <c r="AI2391">
        <v>91.490169141939006</v>
      </c>
      <c r="AJ2391">
        <v>87.100544514726494</v>
      </c>
      <c r="AK2391">
        <v>42.689375759313599</v>
      </c>
      <c r="AL2391">
        <v>87.930271114821693</v>
      </c>
      <c r="AM2391">
        <v>89.506464728475194</v>
      </c>
      <c r="AN2391">
        <v>1.00000006021961</v>
      </c>
    </row>
    <row r="2392" spans="1:40" x14ac:dyDescent="0.25">
      <c r="A2392" t="str">
        <f>"20190312160340782"</f>
        <v>20190312160340782</v>
      </c>
      <c r="B2392" t="str">
        <f>"1552377820777312"</f>
        <v>1552377820777312</v>
      </c>
      <c r="C2392" t="s">
        <v>40</v>
      </c>
      <c r="D2392">
        <v>5.1265530000000004</v>
      </c>
      <c r="E2392">
        <v>0.51824420000000004</v>
      </c>
      <c r="F2392" t="s">
        <v>79</v>
      </c>
      <c r="G2392">
        <v>-423.7953</v>
      </c>
      <c r="H2392" s="1">
        <v>3.0143480000000001E-6</v>
      </c>
      <c r="I2392">
        <v>287.78519999999997</v>
      </c>
      <c r="J2392">
        <v>-383.6112</v>
      </c>
      <c r="K2392">
        <v>1.1101540000000001</v>
      </c>
      <c r="L2392">
        <v>285.14249999999998</v>
      </c>
      <c r="M2392">
        <v>-0.99983379999999999</v>
      </c>
      <c r="N2392">
        <v>0</v>
      </c>
      <c r="O2392">
        <v>1.3396480000000001E-2</v>
      </c>
      <c r="P2392">
        <v>-0.99947200000000003</v>
      </c>
      <c r="Q2392">
        <v>2.3802429999999999E-2</v>
      </c>
      <c r="R2392">
        <v>2.2126449999999999E-2</v>
      </c>
      <c r="S2392">
        <v>-2.9992070000000002</v>
      </c>
      <c r="T2392">
        <v>-8.2535860000000003E-2</v>
      </c>
      <c r="U2392">
        <v>0.19662479999999999</v>
      </c>
      <c r="V2392">
        <v>8.7250250000000008E-3</v>
      </c>
      <c r="W2392">
        <v>3.6172900000000001E-2</v>
      </c>
      <c r="X2392">
        <v>0.99930750000000002</v>
      </c>
      <c r="Y2392">
        <v>5.2029260000000001E-2</v>
      </c>
      <c r="Z2392">
        <v>3.4682460000000001E-4</v>
      </c>
      <c r="AA2392">
        <v>0.99864549999999996</v>
      </c>
      <c r="AB2392">
        <v>28</v>
      </c>
      <c r="AC2392">
        <v>-40.184100000000001</v>
      </c>
      <c r="AD2392">
        <v>-1.110150985652</v>
      </c>
      <c r="AE2392">
        <v>2.6426999999999898</v>
      </c>
      <c r="AF2392">
        <v>2.10249838257959</v>
      </c>
      <c r="AG2392">
        <v>-1.110150985652</v>
      </c>
      <c r="AH2392">
        <v>40.185360432981</v>
      </c>
      <c r="AI2392">
        <v>91.580276442758404</v>
      </c>
      <c r="AJ2392">
        <v>87.005015167976396</v>
      </c>
      <c r="AK2392">
        <v>40.255634733392199</v>
      </c>
      <c r="AL2392">
        <v>87.926993336102399</v>
      </c>
      <c r="AM2392">
        <v>89.499759176910004</v>
      </c>
      <c r="AN2392">
        <v>1.0000000421559501</v>
      </c>
    </row>
    <row r="2393" spans="1:40" x14ac:dyDescent="0.25">
      <c r="A2393" t="str">
        <f>"20190312160340794"</f>
        <v>20190312160340794</v>
      </c>
      <c r="B2393" t="str">
        <f>"1552377820787072"</f>
        <v>1552377820787072</v>
      </c>
      <c r="C2393" t="s">
        <v>40</v>
      </c>
      <c r="D2393">
        <v>5.1014379999999999</v>
      </c>
      <c r="E2393">
        <v>0.51877879999999998</v>
      </c>
      <c r="F2393" t="s">
        <v>79</v>
      </c>
      <c r="G2393">
        <v>-421.22399999999999</v>
      </c>
      <c r="H2393" s="1">
        <v>3.477149E-6</v>
      </c>
      <c r="I2393">
        <v>287.70870000000002</v>
      </c>
      <c r="J2393">
        <v>-383.7715</v>
      </c>
      <c r="K2393">
        <v>1.110152</v>
      </c>
      <c r="L2393">
        <v>285.14449999999999</v>
      </c>
      <c r="M2393">
        <v>-0.99983500000000003</v>
      </c>
      <c r="N2393">
        <v>0</v>
      </c>
      <c r="O2393">
        <v>1.330571E-2</v>
      </c>
      <c r="P2393">
        <v>-0.99947039999999998</v>
      </c>
      <c r="Q2393">
        <v>2.4053250000000002E-2</v>
      </c>
      <c r="R2393">
        <v>2.1922790000000001E-2</v>
      </c>
      <c r="S2393">
        <v>-2.9991460000000001</v>
      </c>
      <c r="T2393">
        <v>-8.8520650000000006E-2</v>
      </c>
      <c r="U2393">
        <v>0.20462040000000001</v>
      </c>
      <c r="V2393">
        <v>8.6119490000000007E-3</v>
      </c>
      <c r="W2393">
        <v>3.6423089999999998E-2</v>
      </c>
      <c r="X2393">
        <v>0.9992993</v>
      </c>
      <c r="Y2393">
        <v>5.4768129999999998E-2</v>
      </c>
      <c r="Z2393">
        <v>4.149774E-4</v>
      </c>
      <c r="AA2393">
        <v>0.99849900000000003</v>
      </c>
      <c r="AB2393">
        <v>28</v>
      </c>
      <c r="AC2393">
        <v>-37.452499999999901</v>
      </c>
      <c r="AD2393">
        <v>-1.110148522851</v>
      </c>
      <c r="AE2393">
        <v>2.56420000000002</v>
      </c>
      <c r="AF2393">
        <v>2.06379792474912</v>
      </c>
      <c r="AG2393">
        <v>-1.110148522851</v>
      </c>
      <c r="AH2393">
        <v>37.4505538826334</v>
      </c>
      <c r="AI2393">
        <v>91.695353485798293</v>
      </c>
      <c r="AJ2393">
        <v>86.845776140191902</v>
      </c>
      <c r="AK2393">
        <v>37.523801482965602</v>
      </c>
      <c r="AL2393">
        <v>87.912648858465303</v>
      </c>
      <c r="AM2393">
        <v>89.506237904866794</v>
      </c>
      <c r="AN2393">
        <v>0.99999994906560696</v>
      </c>
    </row>
    <row r="2394" spans="1:40" x14ac:dyDescent="0.25">
      <c r="A2394" t="str">
        <f>"20190312160340814"</f>
        <v>20190312160340814</v>
      </c>
      <c r="B2394" t="str">
        <f>"1552377820806591"</f>
        <v>1552377820806591</v>
      </c>
      <c r="C2394" t="s">
        <v>40</v>
      </c>
      <c r="D2394">
        <v>5.1279469999999998</v>
      </c>
      <c r="E2394">
        <v>0.51934629999999904</v>
      </c>
      <c r="F2394" t="s">
        <v>79</v>
      </c>
      <c r="G2394">
        <v>-421.25560000000002</v>
      </c>
      <c r="H2394" s="1">
        <v>3.468334E-6</v>
      </c>
      <c r="I2394">
        <v>287.74540000000002</v>
      </c>
      <c r="J2394">
        <v>-384.01440000000002</v>
      </c>
      <c r="K2394">
        <v>1.1101559999999999</v>
      </c>
      <c r="L2394">
        <v>285.14760000000001</v>
      </c>
      <c r="M2394">
        <v>-0.99983670000000002</v>
      </c>
      <c r="N2394">
        <v>0</v>
      </c>
      <c r="O2394">
        <v>1.316809E-2</v>
      </c>
      <c r="P2394">
        <v>-0.99947319999999995</v>
      </c>
      <c r="Q2394">
        <v>2.4133660000000001E-2</v>
      </c>
      <c r="R2394">
        <v>2.1700580000000001E-2</v>
      </c>
      <c r="S2394">
        <v>-2.9991460000000001</v>
      </c>
      <c r="T2394">
        <v>-8.8824390000000003E-2</v>
      </c>
      <c r="U2394">
        <v>0.20809939999999999</v>
      </c>
      <c r="V2394">
        <v>8.5273889999999998E-3</v>
      </c>
      <c r="W2394">
        <v>3.6502659999999999E-2</v>
      </c>
      <c r="X2394">
        <v>0.9992972</v>
      </c>
      <c r="Y2394">
        <v>5.6057580000000003E-2</v>
      </c>
      <c r="Z2394">
        <v>4.3952150000000002E-4</v>
      </c>
      <c r="AA2394">
        <v>0.99842750000000002</v>
      </c>
      <c r="AB2394">
        <v>28</v>
      </c>
      <c r="AC2394">
        <v>-37.2411999999999</v>
      </c>
      <c r="AD2394">
        <v>-1.1101525316659999</v>
      </c>
      <c r="AE2394">
        <v>2.5977999999999999</v>
      </c>
      <c r="AF2394">
        <v>2.1052799496324299</v>
      </c>
      <c r="AG2394">
        <v>-1.1101525316659999</v>
      </c>
      <c r="AH2394">
        <v>37.239249819097601</v>
      </c>
      <c r="AI2394">
        <v>91.704838533900798</v>
      </c>
      <c r="AJ2394">
        <v>86.764290511189699</v>
      </c>
      <c r="AK2394">
        <v>37.315229724591603</v>
      </c>
      <c r="AL2394">
        <v>87.908086962928806</v>
      </c>
      <c r="AM2394">
        <v>89.511084849280607</v>
      </c>
      <c r="AN2394">
        <v>1.0000000272390299</v>
      </c>
    </row>
    <row r="2395" spans="1:40" x14ac:dyDescent="0.25">
      <c r="A2395" t="str">
        <f>"20190312160340835"</f>
        <v>20190312160340835</v>
      </c>
      <c r="B2395" t="str">
        <f>"1552377820827087"</f>
        <v>1552377820827087</v>
      </c>
      <c r="C2395" t="s">
        <v>40</v>
      </c>
      <c r="D2395">
        <v>5.1022049999999997</v>
      </c>
      <c r="E2395">
        <v>0.51976449999999996</v>
      </c>
      <c r="F2395" t="s">
        <v>79</v>
      </c>
      <c r="G2395">
        <v>-422.62830000000002</v>
      </c>
      <c r="H2395" s="1">
        <v>3.2131249999999998E-6</v>
      </c>
      <c r="I2395">
        <v>287.8793</v>
      </c>
      <c r="J2395">
        <v>-384.27800000000002</v>
      </c>
      <c r="K2395">
        <v>1.1101510000000001</v>
      </c>
      <c r="L2395">
        <v>285.15089999999998</v>
      </c>
      <c r="M2395">
        <v>-0.99983889999999997</v>
      </c>
      <c r="N2395">
        <v>0</v>
      </c>
      <c r="O2395">
        <v>1.3017890000000001E-2</v>
      </c>
      <c r="P2395">
        <v>-0.99948349999999997</v>
      </c>
      <c r="Q2395">
        <v>2.3618589999999998E-2</v>
      </c>
      <c r="R2395">
        <v>2.1794850000000001E-2</v>
      </c>
      <c r="S2395">
        <v>-2.9990230000000002</v>
      </c>
      <c r="T2395">
        <v>-8.6222049999999995E-2</v>
      </c>
      <c r="U2395">
        <v>0.21215819999999999</v>
      </c>
      <c r="V2395">
        <v>8.7716830000000006E-3</v>
      </c>
      <c r="W2395">
        <v>3.5987539999999998E-2</v>
      </c>
      <c r="X2395">
        <v>0.99931369999999997</v>
      </c>
      <c r="Y2395">
        <v>5.755536E-2</v>
      </c>
      <c r="Z2395">
        <v>4.524582E-4</v>
      </c>
      <c r="AA2395">
        <v>0.99834219999999896</v>
      </c>
      <c r="AB2395">
        <v>28</v>
      </c>
      <c r="AC2395">
        <v>-38.350299999999997</v>
      </c>
      <c r="AD2395">
        <v>-1.110147786875</v>
      </c>
      <c r="AE2395">
        <v>2.7284000000000201</v>
      </c>
      <c r="AF2395">
        <v>2.2270338891409298</v>
      </c>
      <c r="AG2395">
        <v>-1.110147786875</v>
      </c>
      <c r="AH2395">
        <v>38.350596079402301</v>
      </c>
      <c r="AI2395">
        <v>91.655310354995095</v>
      </c>
      <c r="AJ2395">
        <v>86.676544408696202</v>
      </c>
      <c r="AK2395">
        <v>38.431241558106699</v>
      </c>
      <c r="AL2395">
        <v>87.937620427648795</v>
      </c>
      <c r="AM2395">
        <v>89.4970873429493</v>
      </c>
      <c r="AN2395">
        <v>0.99999995823279597</v>
      </c>
    </row>
    <row r="2396" spans="1:40" x14ac:dyDescent="0.25">
      <c r="A2396" t="str">
        <f>"20190312160340857"</f>
        <v>20190312160340857</v>
      </c>
      <c r="B2396" t="str">
        <f>"1552377820846607"</f>
        <v>1552377820846607</v>
      </c>
      <c r="C2396" t="s">
        <v>40</v>
      </c>
      <c r="D2396">
        <v>5.1541980000000001</v>
      </c>
      <c r="E2396">
        <v>0.52003670000000002</v>
      </c>
      <c r="F2396" t="s">
        <v>79</v>
      </c>
      <c r="G2396">
        <v>-420.85550000000001</v>
      </c>
      <c r="H2396" s="1">
        <v>3.5363229999999999E-6</v>
      </c>
      <c r="I2396">
        <v>287.77940000000001</v>
      </c>
      <c r="J2396">
        <v>-384.54759999999999</v>
      </c>
      <c r="K2396">
        <v>1.110152</v>
      </c>
      <c r="L2396">
        <v>285.1542</v>
      </c>
      <c r="M2396">
        <v>-0.99984090000000003</v>
      </c>
      <c r="N2396">
        <v>0</v>
      </c>
      <c r="O2396">
        <v>1.286412E-2</v>
      </c>
      <c r="P2396">
        <v>-0.99948079999999995</v>
      </c>
      <c r="Q2396">
        <v>2.3462509999999999E-2</v>
      </c>
      <c r="R2396">
        <v>2.209293E-2</v>
      </c>
      <c r="S2396">
        <v>-2.9990230000000002</v>
      </c>
      <c r="T2396">
        <v>-9.102201E-2</v>
      </c>
      <c r="U2396">
        <v>0.21551509999999999</v>
      </c>
      <c r="V2396">
        <v>9.2235990000000007E-3</v>
      </c>
      <c r="W2396">
        <v>3.583124E-2</v>
      </c>
      <c r="X2396">
        <v>0.99931530000000002</v>
      </c>
      <c r="Y2396">
        <v>5.8817950000000001E-2</v>
      </c>
      <c r="Z2396">
        <v>5.0140709999999997E-4</v>
      </c>
      <c r="AA2396">
        <v>0.99826859999999995</v>
      </c>
      <c r="AB2396">
        <v>28</v>
      </c>
      <c r="AC2396">
        <v>-36.307899999999997</v>
      </c>
      <c r="AD2396">
        <v>-1.110148463677</v>
      </c>
      <c r="AE2396">
        <v>2.6252</v>
      </c>
      <c r="AF2396">
        <v>2.1558728775942102</v>
      </c>
      <c r="AG2396">
        <v>-1.110148463677</v>
      </c>
      <c r="AH2396">
        <v>36.304904140910097</v>
      </c>
      <c r="AI2396">
        <v>91.748393550805602</v>
      </c>
      <c r="AJ2396">
        <v>86.601629030273699</v>
      </c>
      <c r="AK2396">
        <v>36.3857978084365</v>
      </c>
      <c r="AL2396">
        <v>87.946581645574</v>
      </c>
      <c r="AM2396">
        <v>89.471179628429994</v>
      </c>
      <c r="AN2396">
        <v>1.0000000106762701</v>
      </c>
    </row>
    <row r="2397" spans="1:40" x14ac:dyDescent="0.25">
      <c r="A2397" t="str">
        <f>"20190312160340871"</f>
        <v>20190312160340871</v>
      </c>
      <c r="B2397" t="str">
        <f>"1552377820867104"</f>
        <v>1552377820867104</v>
      </c>
      <c r="C2397" t="s">
        <v>40</v>
      </c>
      <c r="D2397">
        <v>5.1701560000000004</v>
      </c>
      <c r="E2397">
        <v>0.52047349999999903</v>
      </c>
      <c r="F2397" t="s">
        <v>79</v>
      </c>
      <c r="G2397">
        <v>-421.80579999999998</v>
      </c>
      <c r="H2397" s="1">
        <v>3.3598250000000001E-6</v>
      </c>
      <c r="I2397">
        <v>287.87009999999998</v>
      </c>
      <c r="J2397">
        <v>-384.70699999999999</v>
      </c>
      <c r="K2397">
        <v>1.110152</v>
      </c>
      <c r="L2397">
        <v>285.15620000000001</v>
      </c>
      <c r="M2397">
        <v>-0.99984200000000001</v>
      </c>
      <c r="N2397">
        <v>0</v>
      </c>
      <c r="O2397">
        <v>1.27727E-2</v>
      </c>
      <c r="P2397">
        <v>-0.99948419999999905</v>
      </c>
      <c r="Q2397">
        <v>2.3456109999999999E-2</v>
      </c>
      <c r="R2397">
        <v>2.1944990000000001E-2</v>
      </c>
      <c r="S2397">
        <v>-2.9987789999999999</v>
      </c>
      <c r="T2397">
        <v>-8.9351890000000003E-2</v>
      </c>
      <c r="U2397">
        <v>0.2185974</v>
      </c>
      <c r="V2397">
        <v>9.1671570000000004E-3</v>
      </c>
      <c r="W2397">
        <v>3.5824090000000003E-2</v>
      </c>
      <c r="X2397">
        <v>0.99931599999999998</v>
      </c>
      <c r="Y2397">
        <v>5.9935950000000002E-2</v>
      </c>
      <c r="Z2397">
        <v>5.1158309999999995E-4</v>
      </c>
      <c r="AA2397">
        <v>0.99820209999999998</v>
      </c>
      <c r="AB2397">
        <v>28</v>
      </c>
      <c r="AC2397">
        <v>-37.098799999999898</v>
      </c>
      <c r="AD2397">
        <v>-1.110148640175</v>
      </c>
      <c r="AE2397">
        <v>2.7138999999999598</v>
      </c>
      <c r="AF2397">
        <v>2.2377973498508501</v>
      </c>
      <c r="AG2397">
        <v>-1.110148640175</v>
      </c>
      <c r="AH2397">
        <v>37.097397575605598</v>
      </c>
      <c r="AI2397">
        <v>91.710970354055604</v>
      </c>
      <c r="AJ2397">
        <v>86.547974414001004</v>
      </c>
      <c r="AK2397">
        <v>37.1814076369471</v>
      </c>
      <c r="AL2397">
        <v>87.946991418192397</v>
      </c>
      <c r="AM2397">
        <v>89.474415826736603</v>
      </c>
      <c r="AN2397">
        <v>0.99999993502389295</v>
      </c>
    </row>
    <row r="2398" spans="1:40" x14ac:dyDescent="0.25">
      <c r="A2398" t="str">
        <f>"20190312160340881"</f>
        <v>20190312160340881</v>
      </c>
      <c r="B2398" t="str">
        <f>"1552377820876863"</f>
        <v>1552377820876863</v>
      </c>
      <c r="C2398" t="s">
        <v>40</v>
      </c>
      <c r="D2398">
        <v>5.1636649999999999</v>
      </c>
      <c r="E2398">
        <v>0.52091489999999996</v>
      </c>
      <c r="F2398" t="s">
        <v>79</v>
      </c>
      <c r="G2398">
        <v>-421.63869999999997</v>
      </c>
      <c r="H2398" s="1">
        <v>3.3880910000000002E-6</v>
      </c>
      <c r="I2398">
        <v>287.88589999999999</v>
      </c>
      <c r="J2398">
        <v>-384.851</v>
      </c>
      <c r="K2398">
        <v>1.110152</v>
      </c>
      <c r="L2398">
        <v>285.15789999999998</v>
      </c>
      <c r="M2398">
        <v>-0.99984309999999998</v>
      </c>
      <c r="N2398">
        <v>0</v>
      </c>
      <c r="O2398">
        <v>1.269063E-2</v>
      </c>
      <c r="P2398">
        <v>-0.99948040000000005</v>
      </c>
      <c r="Q2398">
        <v>2.359547E-2</v>
      </c>
      <c r="R2398">
        <v>2.197116E-2</v>
      </c>
      <c r="S2398">
        <v>-2.9988100000000002</v>
      </c>
      <c r="T2398">
        <v>-9.0142730000000004E-2</v>
      </c>
      <c r="U2398">
        <v>0.22164919999999999</v>
      </c>
      <c r="V2398">
        <v>9.2754050000000005E-3</v>
      </c>
      <c r="W2398">
        <v>3.5963710000000003E-2</v>
      </c>
      <c r="X2398">
        <v>0.99931009999999998</v>
      </c>
      <c r="Y2398">
        <v>6.1026599999999903E-2</v>
      </c>
      <c r="Z2398">
        <v>5.3491400000000005E-4</v>
      </c>
      <c r="AA2398">
        <v>0.99813600000000002</v>
      </c>
      <c r="AB2398">
        <v>28</v>
      </c>
      <c r="AC2398">
        <v>-36.787699999999901</v>
      </c>
      <c r="AD2398">
        <v>-1.110148611909</v>
      </c>
      <c r="AE2398">
        <v>2.7280000000000002</v>
      </c>
      <c r="AF2398">
        <v>2.2588397505112501</v>
      </c>
      <c r="AG2398">
        <v>-1.110148611909</v>
      </c>
      <c r="AH2398">
        <v>36.786043316957397</v>
      </c>
      <c r="AI2398">
        <v>91.725329917860705</v>
      </c>
      <c r="AJ2398">
        <v>86.486175852520404</v>
      </c>
      <c r="AK2398">
        <v>36.872045913890901</v>
      </c>
      <c r="AL2398">
        <v>87.938986857220598</v>
      </c>
      <c r="AM2398">
        <v>89.468206816898601</v>
      </c>
      <c r="AN2398">
        <v>1.00000004876844</v>
      </c>
    </row>
    <row r="2399" spans="1:40" x14ac:dyDescent="0.25">
      <c r="A2399" t="str">
        <f>"20190312160340893"</f>
        <v>20190312160340893</v>
      </c>
      <c r="B2399" t="str">
        <f>"1552377820886971"</f>
        <v>1552377820886971</v>
      </c>
      <c r="C2399" t="s">
        <v>40</v>
      </c>
      <c r="D2399">
        <v>5.1942190000000004</v>
      </c>
      <c r="E2399">
        <v>0.52091489999999996</v>
      </c>
      <c r="F2399" t="s">
        <v>79</v>
      </c>
      <c r="G2399">
        <v>-423.47300000000001</v>
      </c>
      <c r="H2399" s="1">
        <v>3.0470919999999998E-6</v>
      </c>
      <c r="I2399">
        <v>288.06459999999998</v>
      </c>
      <c r="J2399">
        <v>-384.98829999999998</v>
      </c>
      <c r="K2399">
        <v>1.110152</v>
      </c>
      <c r="L2399">
        <v>285.15949999999998</v>
      </c>
      <c r="M2399">
        <v>-0.99984390000000001</v>
      </c>
      <c r="N2399">
        <v>0</v>
      </c>
      <c r="O2399">
        <v>1.2612730000000001E-2</v>
      </c>
      <c r="P2399">
        <v>-0.9994828</v>
      </c>
      <c r="Q2399">
        <v>2.3781130000000001E-2</v>
      </c>
      <c r="R2399">
        <v>2.1640489999999998E-2</v>
      </c>
      <c r="S2399">
        <v>-2.9986570000000001</v>
      </c>
      <c r="T2399">
        <v>-8.6193199999999998E-2</v>
      </c>
      <c r="U2399">
        <v>0.2256775</v>
      </c>
      <c r="V2399">
        <v>9.0224280000000007E-3</v>
      </c>
      <c r="W2399">
        <v>3.614908E-2</v>
      </c>
      <c r="X2399">
        <v>0.99930569999999996</v>
      </c>
      <c r="Y2399">
        <v>6.2442730000000002E-2</v>
      </c>
      <c r="Z2399">
        <v>5.340427E-4</v>
      </c>
      <c r="AA2399">
        <v>0.99804839999999995</v>
      </c>
      <c r="AB2399">
        <v>28</v>
      </c>
      <c r="AC2399">
        <v>-38.484699999999997</v>
      </c>
      <c r="AD2399">
        <v>-1.110148952908</v>
      </c>
      <c r="AE2399">
        <v>2.9051</v>
      </c>
      <c r="AF2399">
        <v>2.4174343927136102</v>
      </c>
      <c r="AG2399">
        <v>-1.110148952908</v>
      </c>
      <c r="AH2399">
        <v>38.486438461505699</v>
      </c>
      <c r="AI2399">
        <v>91.649001973737597</v>
      </c>
      <c r="AJ2399">
        <v>86.4058233304048</v>
      </c>
      <c r="AK2399">
        <v>38.578262858661603</v>
      </c>
      <c r="AL2399">
        <v>87.928358971103805</v>
      </c>
      <c r="AM2399">
        <v>89.482707844728793</v>
      </c>
      <c r="AN2399">
        <v>1.00000002112217</v>
      </c>
    </row>
    <row r="2400" spans="1:40" x14ac:dyDescent="0.25">
      <c r="A2400" t="str">
        <f>"20190312160340916"</f>
        <v>20190312160340916</v>
      </c>
      <c r="B2400" t="str">
        <f>"1552377820906491"</f>
        <v>1552377820906491</v>
      </c>
      <c r="C2400" t="s">
        <v>40</v>
      </c>
      <c r="D2400">
        <v>5.114026</v>
      </c>
      <c r="E2400">
        <v>0.55436980000000002</v>
      </c>
      <c r="F2400" t="s">
        <v>79</v>
      </c>
      <c r="G2400">
        <v>-423.90210000000002</v>
      </c>
      <c r="H2400" s="1">
        <v>2.9699639999999998E-6</v>
      </c>
      <c r="I2400">
        <v>288.07619999999997</v>
      </c>
      <c r="J2400">
        <v>-385.28050000000002</v>
      </c>
      <c r="K2400">
        <v>1.1101510000000001</v>
      </c>
      <c r="L2400">
        <v>285.16309999999999</v>
      </c>
      <c r="M2400">
        <v>-0.99984600000000001</v>
      </c>
      <c r="N2400">
        <v>0</v>
      </c>
      <c r="O2400">
        <v>1.2447389999999999E-2</v>
      </c>
      <c r="P2400">
        <v>-0.99949319999999997</v>
      </c>
      <c r="Q2400">
        <v>2.396734E-2</v>
      </c>
      <c r="R2400">
        <v>2.095561E-2</v>
      </c>
      <c r="S2400">
        <v>-2.9987490000000001</v>
      </c>
      <c r="T2400">
        <v>-8.5549710000000001E-2</v>
      </c>
      <c r="U2400">
        <v>0.22476199999999999</v>
      </c>
      <c r="V2400">
        <v>8.5028759999999995E-3</v>
      </c>
      <c r="W2400">
        <v>3.633397E-2</v>
      </c>
      <c r="X2400">
        <v>0.99930350000000001</v>
      </c>
      <c r="Y2400">
        <v>6.2302789999999997E-2</v>
      </c>
      <c r="Z2400">
        <v>5.3276210000000003E-4</v>
      </c>
      <c r="AA2400">
        <v>0.99805710000000003</v>
      </c>
      <c r="AB2400">
        <v>28</v>
      </c>
      <c r="AC2400">
        <v>-38.621600000000001</v>
      </c>
      <c r="AD2400">
        <v>-1.110148030036</v>
      </c>
      <c r="AE2400">
        <v>2.91309999999998</v>
      </c>
      <c r="AF2400">
        <v>2.4301029077942098</v>
      </c>
      <c r="AG2400">
        <v>-1.110148030036</v>
      </c>
      <c r="AH2400">
        <v>38.623139630745101</v>
      </c>
      <c r="AI2400">
        <v>91.643156535021106</v>
      </c>
      <c r="AJ2400">
        <v>86.399791761210906</v>
      </c>
      <c r="AK2400">
        <v>38.7154328882824</v>
      </c>
      <c r="AL2400">
        <v>87.917758485776901</v>
      </c>
      <c r="AM2400">
        <v>89.512493299754595</v>
      </c>
      <c r="AN2400">
        <v>0.99999997069423996</v>
      </c>
    </row>
    <row r="2401" spans="1:40" x14ac:dyDescent="0.25">
      <c r="A2401" t="str">
        <f>"20190312160340927"</f>
        <v>20190312160340927</v>
      </c>
      <c r="B2401" t="str">
        <f>"1552377820917227"</f>
        <v>1552377820917227</v>
      </c>
      <c r="C2401" t="s">
        <v>40</v>
      </c>
      <c r="D2401">
        <v>4.9627489999999996</v>
      </c>
      <c r="E2401">
        <v>0.55670819999999999</v>
      </c>
      <c r="F2401" t="s">
        <v>77</v>
      </c>
      <c r="G2401">
        <v>-511.82080000000002</v>
      </c>
      <c r="H2401">
        <v>2.0452119999999998</v>
      </c>
      <c r="I2401">
        <v>306.09190000000001</v>
      </c>
      <c r="J2401">
        <v>-385.41890000000001</v>
      </c>
      <c r="K2401">
        <v>1.11015</v>
      </c>
      <c r="L2401">
        <v>285.16469999999998</v>
      </c>
      <c r="M2401">
        <v>-0.99984709999999999</v>
      </c>
      <c r="N2401">
        <v>0</v>
      </c>
      <c r="O2401">
        <v>1.236932E-2</v>
      </c>
      <c r="P2401">
        <v>-0.99950609999999995</v>
      </c>
      <c r="Q2401">
        <v>2.3517409999999999E-2</v>
      </c>
      <c r="R2401">
        <v>2.0853030000000002E-2</v>
      </c>
      <c r="S2401">
        <v>-2.990631</v>
      </c>
      <c r="T2401">
        <v>2.2101160000000002E-2</v>
      </c>
      <c r="U2401">
        <v>0.49462889999999998</v>
      </c>
      <c r="V2401">
        <v>8.4781790000000006E-3</v>
      </c>
      <c r="W2401">
        <v>3.588413E-2</v>
      </c>
      <c r="X2401">
        <v>0.99931999999999999</v>
      </c>
      <c r="Y2401">
        <v>0.15095539999999999</v>
      </c>
      <c r="Z2401">
        <v>-4.6324469999999999E-4</v>
      </c>
      <c r="AA2401">
        <v>0.98854050000000004</v>
      </c>
      <c r="AB2401">
        <v>28</v>
      </c>
      <c r="AC2401">
        <v>-126.4019</v>
      </c>
      <c r="AD2401">
        <v>0.93506199999999895</v>
      </c>
      <c r="AE2401">
        <v>20.927199999999999</v>
      </c>
      <c r="AF2401">
        <v>19.3609425341552</v>
      </c>
      <c r="AG2401">
        <v>0.93506199999999895</v>
      </c>
      <c r="AH2401">
        <v>126.644357890325</v>
      </c>
      <c r="AI2401">
        <v>89.581829989137006</v>
      </c>
      <c r="AJ2401">
        <v>81.308119759105907</v>
      </c>
      <c r="AK2401">
        <v>128.119139172129</v>
      </c>
      <c r="AL2401">
        <v>87.943549312864207</v>
      </c>
      <c r="AM2401">
        <v>89.513917243235198</v>
      </c>
      <c r="AN2401">
        <v>1.0000000063525001</v>
      </c>
    </row>
    <row r="2402" spans="1:40" x14ac:dyDescent="0.25">
      <c r="A2402" t="str">
        <f>"20190312160340939"</f>
        <v>20190312160340939</v>
      </c>
      <c r="B2402" t="str">
        <f>"1552377820936747"</f>
        <v>1552377820936747</v>
      </c>
      <c r="C2402" t="s">
        <v>40</v>
      </c>
      <c r="D2402">
        <v>4.9901910000000003</v>
      </c>
      <c r="E2402">
        <v>0.55954859999999995</v>
      </c>
      <c r="F2402" t="s">
        <v>77</v>
      </c>
      <c r="G2402">
        <v>-511.82069999999999</v>
      </c>
      <c r="H2402">
        <v>1.7170759999999901</v>
      </c>
      <c r="I2402">
        <v>306.83580000000001</v>
      </c>
      <c r="J2402">
        <v>-385.57130000000001</v>
      </c>
      <c r="K2402">
        <v>1.1101559999999999</v>
      </c>
      <c r="L2402">
        <v>285.16649999999998</v>
      </c>
      <c r="M2402">
        <v>-0.99984810000000002</v>
      </c>
      <c r="N2402">
        <v>0</v>
      </c>
      <c r="O2402">
        <v>1.228488E-2</v>
      </c>
      <c r="P2402">
        <v>-0.99952010000000002</v>
      </c>
      <c r="Q2402">
        <v>2.3197309999999999E-2</v>
      </c>
      <c r="R2402">
        <v>2.0538830000000001E-2</v>
      </c>
      <c r="S2402">
        <v>-2.9904169999999999</v>
      </c>
      <c r="T2402">
        <v>1.436079E-2</v>
      </c>
      <c r="U2402">
        <v>0.51269529999999996</v>
      </c>
      <c r="V2402">
        <v>8.2485159999999991E-3</v>
      </c>
      <c r="W2402">
        <v>3.5563909999999997E-2</v>
      </c>
      <c r="X2402">
        <v>0.99933340000000004</v>
      </c>
      <c r="Y2402">
        <v>0.1568571</v>
      </c>
      <c r="Z2402">
        <v>-3.1534930000000003E-4</v>
      </c>
      <c r="AA2402">
        <v>0.98762119999999998</v>
      </c>
      <c r="AB2402">
        <v>28</v>
      </c>
      <c r="AC2402">
        <v>-126.249399999999</v>
      </c>
      <c r="AD2402">
        <v>0.60691999999999902</v>
      </c>
      <c r="AE2402">
        <v>21.6693</v>
      </c>
      <c r="AF2402">
        <v>20.116135675335101</v>
      </c>
      <c r="AG2402">
        <v>0.60691999999999902</v>
      </c>
      <c r="AH2402">
        <v>126.503256754026</v>
      </c>
      <c r="AI2402">
        <v>89.728527062015004</v>
      </c>
      <c r="AJ2402">
        <v>80.964661836271901</v>
      </c>
      <c r="AK2402">
        <v>128.09411085514401</v>
      </c>
      <c r="AL2402">
        <v>87.961908348550494</v>
      </c>
      <c r="AM2402">
        <v>89.527090336609902</v>
      </c>
      <c r="AN2402">
        <v>1.0000000370331199</v>
      </c>
    </row>
    <row r="2403" spans="1:40" x14ac:dyDescent="0.25">
      <c r="A2403" t="str">
        <f>"20190312160340952"</f>
        <v>20190312160340952</v>
      </c>
      <c r="B2403" t="str">
        <f>"1552377820946506"</f>
        <v>1552377820946506</v>
      </c>
      <c r="C2403" t="s">
        <v>40</v>
      </c>
      <c r="D2403">
        <v>5.0407590000000004</v>
      </c>
      <c r="E2403">
        <v>0.55963109999999905</v>
      </c>
      <c r="F2403" t="s">
        <v>77</v>
      </c>
      <c r="G2403">
        <v>-511.82100000000003</v>
      </c>
      <c r="H2403">
        <v>2.708704</v>
      </c>
      <c r="I2403">
        <v>307.77910000000003</v>
      </c>
      <c r="J2403">
        <v>-385.71769999999998</v>
      </c>
      <c r="K2403">
        <v>1.1101559999999999</v>
      </c>
      <c r="L2403">
        <v>285.16820000000001</v>
      </c>
      <c r="M2403">
        <v>-0.99984910000000005</v>
      </c>
      <c r="N2403">
        <v>0</v>
      </c>
      <c r="O2403">
        <v>1.220449E-2</v>
      </c>
      <c r="P2403">
        <v>-0.99952540000000001</v>
      </c>
      <c r="Q2403">
        <v>2.3200889999999998E-2</v>
      </c>
      <c r="R2403">
        <v>2.0279080000000001E-2</v>
      </c>
      <c r="S2403">
        <v>-2.989563</v>
      </c>
      <c r="T2403">
        <v>3.7855270000000003E-2</v>
      </c>
      <c r="U2403">
        <v>0.53546139999999998</v>
      </c>
      <c r="V2403">
        <v>8.0692100000000003E-3</v>
      </c>
      <c r="W2403">
        <v>3.5567710000000002E-2</v>
      </c>
      <c r="X2403">
        <v>0.99933470000000002</v>
      </c>
      <c r="Y2403">
        <v>0.16426550000000001</v>
      </c>
      <c r="Z2403">
        <v>-8.7847320000000002E-4</v>
      </c>
      <c r="AA2403">
        <v>0.98641579999999995</v>
      </c>
      <c r="AB2403">
        <v>28</v>
      </c>
      <c r="AC2403">
        <v>-126.1033</v>
      </c>
      <c r="AD2403">
        <v>1.5985479999999901</v>
      </c>
      <c r="AE2403">
        <v>22.610900000000001</v>
      </c>
      <c r="AF2403">
        <v>21.066791807640001</v>
      </c>
      <c r="AG2403">
        <v>1.5985479999999901</v>
      </c>
      <c r="AH2403">
        <v>126.35021105833199</v>
      </c>
      <c r="AI2403">
        <v>89.285017370219904</v>
      </c>
      <c r="AJ2403">
        <v>80.5339613709952</v>
      </c>
      <c r="AK2403">
        <v>128.10441408187199</v>
      </c>
      <c r="AL2403">
        <v>87.961690428343601</v>
      </c>
      <c r="AM2403">
        <v>89.537370583086101</v>
      </c>
      <c r="AN2403">
        <v>1.0000000083843701</v>
      </c>
    </row>
    <row r="2404" spans="1:40" x14ac:dyDescent="0.25">
      <c r="A2404" t="str">
        <f>"20190312160340964"</f>
        <v>20190312160340964</v>
      </c>
      <c r="B2404" t="str">
        <f>"1552377820957243"</f>
        <v>1552377820957243</v>
      </c>
      <c r="C2404" t="s">
        <v>40</v>
      </c>
      <c r="D2404">
        <v>5.0133780000000003</v>
      </c>
      <c r="E2404">
        <v>0.55963109999999905</v>
      </c>
      <c r="F2404" t="s">
        <v>77</v>
      </c>
      <c r="G2404">
        <v>-511.82100000000003</v>
      </c>
      <c r="H2404">
        <v>2.5147590000000002</v>
      </c>
      <c r="I2404">
        <v>307.74520000000001</v>
      </c>
      <c r="J2404">
        <v>-385.86779999999999</v>
      </c>
      <c r="K2404">
        <v>1.1101570000000001</v>
      </c>
      <c r="L2404">
        <v>285.16989999999998</v>
      </c>
      <c r="M2404">
        <v>-0.99985009999999996</v>
      </c>
      <c r="N2404">
        <v>0</v>
      </c>
      <c r="O2404">
        <v>1.212309E-2</v>
      </c>
      <c r="P2404">
        <v>-0.99952620000000003</v>
      </c>
      <c r="Q2404">
        <v>2.3245120000000001E-2</v>
      </c>
      <c r="R2404">
        <v>2.0182720000000001E-2</v>
      </c>
      <c r="S2404">
        <v>-2.9897770000000001</v>
      </c>
      <c r="T2404">
        <v>3.3303739999999998E-2</v>
      </c>
      <c r="U2404">
        <v>0.53527829999999998</v>
      </c>
      <c r="V2404">
        <v>8.0542029999999994E-3</v>
      </c>
      <c r="W2404">
        <v>3.5611549999999999E-2</v>
      </c>
      <c r="X2404">
        <v>0.99933329999999998</v>
      </c>
      <c r="Y2404">
        <v>0.1642776</v>
      </c>
      <c r="Z2404">
        <v>-7.7377279999999999E-4</v>
      </c>
      <c r="AA2404">
        <v>0.98641380000000001</v>
      </c>
      <c r="AB2404">
        <v>28</v>
      </c>
      <c r="AC2404">
        <v>-125.953199999999</v>
      </c>
      <c r="AD2404">
        <v>1.4046019999999999</v>
      </c>
      <c r="AE2404">
        <v>22.575299999999999</v>
      </c>
      <c r="AF2404">
        <v>21.044046465456699</v>
      </c>
      <c r="AG2404">
        <v>1.4046019999999999</v>
      </c>
      <c r="AH2404">
        <v>126.20243962844999</v>
      </c>
      <c r="AI2404">
        <v>89.371022146798197</v>
      </c>
      <c r="AJ2404">
        <v>80.533125162897704</v>
      </c>
      <c r="AK2404">
        <v>127.95264970523699</v>
      </c>
      <c r="AL2404">
        <v>87.959177071173102</v>
      </c>
      <c r="AM2404">
        <v>89.538230290410297</v>
      </c>
      <c r="AN2404">
        <v>1.0000000485841201</v>
      </c>
    </row>
    <row r="2405" spans="1:40" x14ac:dyDescent="0.25">
      <c r="A2405" t="str">
        <f>"20190312160340974"</f>
        <v>20190312160340974</v>
      </c>
      <c r="B2405" t="str">
        <f>"1552377820967002"</f>
        <v>1552377820967002</v>
      </c>
      <c r="C2405" t="s">
        <v>40</v>
      </c>
      <c r="D2405">
        <v>4.3945980000000002</v>
      </c>
      <c r="E2405">
        <v>0.55990660000000003</v>
      </c>
      <c r="F2405" t="s">
        <v>77</v>
      </c>
      <c r="G2405">
        <v>-511.82100000000003</v>
      </c>
      <c r="H2405">
        <v>2.5258590000000001</v>
      </c>
      <c r="I2405">
        <v>307.70319999999998</v>
      </c>
      <c r="J2405">
        <v>-386.00369999999998</v>
      </c>
      <c r="K2405">
        <v>1.110155</v>
      </c>
      <c r="L2405">
        <v>285.17149999999998</v>
      </c>
      <c r="M2405">
        <v>-0.99985089999999999</v>
      </c>
      <c r="N2405">
        <v>0</v>
      </c>
      <c r="O2405">
        <v>1.2050389999999999E-2</v>
      </c>
      <c r="P2405">
        <v>-0.99952980000000002</v>
      </c>
      <c r="Q2405">
        <v>2.3240690000000001E-2</v>
      </c>
      <c r="R2405">
        <v>2.0013570000000001E-2</v>
      </c>
      <c r="S2405">
        <v>-2.9898069999999999</v>
      </c>
      <c r="T2405">
        <v>3.3607239999999997E-2</v>
      </c>
      <c r="U2405">
        <v>0.53488159999999996</v>
      </c>
      <c r="V2405">
        <v>7.9580080000000008E-3</v>
      </c>
      <c r="W2405">
        <v>3.5606789999999999E-2</v>
      </c>
      <c r="X2405">
        <v>0.99933419999999895</v>
      </c>
      <c r="Y2405">
        <v>0.16422059999999999</v>
      </c>
      <c r="Z2405">
        <v>-7.8131759999999903E-4</v>
      </c>
      <c r="AA2405">
        <v>0.9864233</v>
      </c>
      <c r="AB2405">
        <v>28</v>
      </c>
      <c r="AC2405">
        <v>-125.8173</v>
      </c>
      <c r="AD2405">
        <v>1.4157040000000001</v>
      </c>
      <c r="AE2405">
        <v>22.531700000000001</v>
      </c>
      <c r="AF2405">
        <v>21.011222704224799</v>
      </c>
      <c r="AG2405">
        <v>1.4157040000000001</v>
      </c>
      <c r="AH2405">
        <v>126.064234842804</v>
      </c>
      <c r="AI2405">
        <v>89.365348170137295</v>
      </c>
      <c r="AJ2405">
        <v>80.537449213507202</v>
      </c>
      <c r="AK2405">
        <v>127.811059786873</v>
      </c>
      <c r="AL2405">
        <v>87.959449889986303</v>
      </c>
      <c r="AM2405">
        <v>89.543745591851604</v>
      </c>
      <c r="AN2405">
        <v>1.00000000833753</v>
      </c>
    </row>
    <row r="2406" spans="1:40" x14ac:dyDescent="0.25">
      <c r="A2406" t="str">
        <f>"20190312160341251"</f>
        <v>20190312160341251</v>
      </c>
      <c r="B2406" t="str">
        <f>"1552377821246653"</f>
        <v>1552377821246653</v>
      </c>
      <c r="C2406" t="s">
        <v>40</v>
      </c>
      <c r="D2406">
        <v>4.9967959999999998</v>
      </c>
      <c r="E2406">
        <v>0.55990660000000003</v>
      </c>
      <c r="F2406" t="s">
        <v>77</v>
      </c>
      <c r="G2406">
        <v>-511.82080000000002</v>
      </c>
      <c r="H2406">
        <v>2.037766</v>
      </c>
      <c r="I2406">
        <v>307.73050000000001</v>
      </c>
      <c r="J2406">
        <v>-389.4151</v>
      </c>
      <c r="K2406">
        <v>1.1101460000000001</v>
      </c>
      <c r="L2406">
        <v>285.2081</v>
      </c>
      <c r="M2406">
        <v>-0.99986900000000001</v>
      </c>
      <c r="N2406">
        <v>0</v>
      </c>
      <c r="O2406">
        <v>1.0450020000000001E-2</v>
      </c>
      <c r="P2406">
        <v>-0.99956509999999998</v>
      </c>
      <c r="Q2406">
        <v>2.364376E-2</v>
      </c>
      <c r="R2406">
        <v>1.7631810000000001E-2</v>
      </c>
      <c r="S2406">
        <v>-2.9901430000000002</v>
      </c>
      <c r="T2406">
        <v>2.2047520000000001E-2</v>
      </c>
      <c r="U2406">
        <v>0.53613279999999996</v>
      </c>
      <c r="V2406">
        <v>7.1775140000000003E-3</v>
      </c>
      <c r="W2406">
        <v>3.600565E-2</v>
      </c>
      <c r="X2406">
        <v>0.99932580000000004</v>
      </c>
      <c r="Y2406">
        <v>0.1661851</v>
      </c>
      <c r="Z2406">
        <v>-5.3139140000000001E-4</v>
      </c>
      <c r="AA2406">
        <v>0.98609440000000004</v>
      </c>
      <c r="AB2406">
        <v>28</v>
      </c>
      <c r="AC2406">
        <v>-122.4057</v>
      </c>
      <c r="AD2406">
        <v>0.92762</v>
      </c>
      <c r="AE2406">
        <v>22.522400000000001</v>
      </c>
      <c r="AF2406">
        <v>21.240750379686499</v>
      </c>
      <c r="AG2406">
        <v>0.92762</v>
      </c>
      <c r="AH2406">
        <v>122.627580923766</v>
      </c>
      <c r="AI2406">
        <v>89.5729513956679</v>
      </c>
      <c r="AJ2406">
        <v>80.173102804378601</v>
      </c>
      <c r="AK2406">
        <v>124.457034991082</v>
      </c>
      <c r="AL2406">
        <v>87.936582191730096</v>
      </c>
      <c r="AM2406">
        <v>89.588488370508202</v>
      </c>
      <c r="AN2406">
        <v>0.99999998904239096</v>
      </c>
    </row>
    <row r="2407" spans="1:40" x14ac:dyDescent="0.25">
      <c r="A2407" t="str">
        <f>"20190312160341271"</f>
        <v>20190312160341271</v>
      </c>
      <c r="B2407" t="str">
        <f>"1552377821267149"</f>
        <v>1552377821267149</v>
      </c>
      <c r="C2407" t="s">
        <v>40</v>
      </c>
      <c r="D2407">
        <v>4.9170290000000003</v>
      </c>
      <c r="E2407">
        <v>0.3928818</v>
      </c>
      <c r="F2407" t="s">
        <v>77</v>
      </c>
      <c r="G2407">
        <v>-511.82080000000002</v>
      </c>
      <c r="H2407">
        <v>2.0877129999999999</v>
      </c>
      <c r="I2407">
        <v>306.8639</v>
      </c>
      <c r="J2407">
        <v>-389.6542</v>
      </c>
      <c r="K2407">
        <v>1.1101460000000001</v>
      </c>
      <c r="L2407">
        <v>285.21039999999999</v>
      </c>
      <c r="M2407">
        <v>-0.99987009999999998</v>
      </c>
      <c r="N2407">
        <v>0</v>
      </c>
      <c r="O2407">
        <v>1.033999E-2</v>
      </c>
      <c r="P2407">
        <v>-0.99956429999999996</v>
      </c>
      <c r="Q2407">
        <v>2.3762060000000002E-2</v>
      </c>
      <c r="R2407">
        <v>1.7510439999999999E-2</v>
      </c>
      <c r="S2407">
        <v>-2.991425</v>
      </c>
      <c r="T2407">
        <v>2.389252E-2</v>
      </c>
      <c r="U2407">
        <v>0.52923580000000003</v>
      </c>
      <c r="V2407">
        <v>7.166108E-3</v>
      </c>
      <c r="W2407">
        <v>3.6123820000000001E-2</v>
      </c>
      <c r="X2407">
        <v>0.99932160000000003</v>
      </c>
      <c r="Y2407">
        <v>0.16401550000000001</v>
      </c>
      <c r="Z2407">
        <v>-5.6800510000000004E-4</v>
      </c>
      <c r="AA2407">
        <v>0.98645760000000005</v>
      </c>
      <c r="AB2407">
        <v>28</v>
      </c>
      <c r="AC2407">
        <v>-122.1666</v>
      </c>
      <c r="AD2407">
        <v>0.97756699999999996</v>
      </c>
      <c r="AE2407">
        <v>21.653500000000001</v>
      </c>
      <c r="AF2407">
        <v>20.387778580460999</v>
      </c>
      <c r="AG2407">
        <v>0.97756699999999996</v>
      </c>
      <c r="AH2407">
        <v>122.37638500073901</v>
      </c>
      <c r="AI2407">
        <v>89.548541626347699</v>
      </c>
      <c r="AJ2407">
        <v>80.541452243076094</v>
      </c>
      <c r="AK2407">
        <v>124.06690436427699</v>
      </c>
      <c r="AL2407">
        <v>87.929807106312495</v>
      </c>
      <c r="AM2407">
        <v>89.589140566672398</v>
      </c>
      <c r="AN2407">
        <v>0.99999997185090905</v>
      </c>
    </row>
    <row r="2408" spans="1:40" x14ac:dyDescent="0.25">
      <c r="A2408" t="str">
        <f>"20190312160341281"</f>
        <v>20190312160341281</v>
      </c>
      <c r="B2408" t="str">
        <f>"1552377821276909"</f>
        <v>1552377821276909</v>
      </c>
      <c r="C2408" t="s">
        <v>40</v>
      </c>
      <c r="D2408">
        <v>5.1395369999999998</v>
      </c>
      <c r="E2408">
        <v>0.39712429999999999</v>
      </c>
      <c r="F2408" t="s">
        <v>80</v>
      </c>
      <c r="G2408">
        <v>-446.22640000000001</v>
      </c>
      <c r="H2408">
        <v>0.80241969999999996</v>
      </c>
      <c r="I2408">
        <v>270.08659999999998</v>
      </c>
      <c r="J2408">
        <v>-389.7978</v>
      </c>
      <c r="K2408">
        <v>1.1101449999999999</v>
      </c>
      <c r="L2408">
        <v>285.21190000000001</v>
      </c>
      <c r="M2408">
        <v>-0.99987079999999995</v>
      </c>
      <c r="N2408">
        <v>0</v>
      </c>
      <c r="O2408">
        <v>1.0273890000000001E-2</v>
      </c>
      <c r="P2408">
        <v>-0.99955819999999995</v>
      </c>
      <c r="Q2408">
        <v>2.4012519999999999E-2</v>
      </c>
      <c r="R2408">
        <v>1.7520560000000001E-2</v>
      </c>
      <c r="S2408">
        <v>-3.0158390000000002</v>
      </c>
      <c r="T2408">
        <v>-1.6404149999999999E-2</v>
      </c>
      <c r="U2408">
        <v>-0.80624390000000001</v>
      </c>
      <c r="V2408">
        <v>7.2422290000000002E-3</v>
      </c>
      <c r="W2408">
        <v>3.6374469999999999E-2</v>
      </c>
      <c r="X2408">
        <v>0.99931199999999998</v>
      </c>
      <c r="Y2408">
        <v>-0.26817550000000001</v>
      </c>
      <c r="Z2408">
        <v>-7.7169779999999996E-4</v>
      </c>
      <c r="AA2408">
        <v>0.96336980000000005</v>
      </c>
      <c r="AB2408">
        <v>28</v>
      </c>
      <c r="AC2408">
        <v>-56.428600000000003</v>
      </c>
      <c r="AD2408">
        <v>-0.30772529999999998</v>
      </c>
      <c r="AE2408">
        <v>-15.125299999999999</v>
      </c>
      <c r="AF2408">
        <v>-15.7038514196423</v>
      </c>
      <c r="AG2408">
        <v>-0.30772529999999998</v>
      </c>
      <c r="AH2408">
        <v>56.268652612276902</v>
      </c>
      <c r="AI2408">
        <v>90.301806207585798</v>
      </c>
      <c r="AJ2408">
        <v>105.593728808094</v>
      </c>
      <c r="AK2408">
        <v>58.419747612186399</v>
      </c>
      <c r="AL2408">
        <v>87.9154365592006</v>
      </c>
      <c r="AM2408">
        <v>89.584772431907595</v>
      </c>
      <c r="AN2408">
        <v>1.00000001264633</v>
      </c>
    </row>
    <row r="2409" spans="1:40" x14ac:dyDescent="0.25">
      <c r="A2409" t="str">
        <f>"20190312160341294"</f>
        <v>20190312160341294</v>
      </c>
      <c r="B2409" t="str">
        <f>"1552377821287176"</f>
        <v>1552377821287176</v>
      </c>
      <c r="C2409" t="s">
        <v>40</v>
      </c>
      <c r="D2409">
        <v>4.9361509999999997</v>
      </c>
      <c r="E2409">
        <v>0.3959493</v>
      </c>
      <c r="F2409" t="s">
        <v>80</v>
      </c>
      <c r="G2409">
        <v>-448.28190000000001</v>
      </c>
      <c r="H2409">
        <v>0.57926460000000002</v>
      </c>
      <c r="I2409">
        <v>270.21780000000001</v>
      </c>
      <c r="J2409">
        <v>-389.93200000000002</v>
      </c>
      <c r="K2409">
        <v>1.110147</v>
      </c>
      <c r="L2409">
        <v>285.21319999999997</v>
      </c>
      <c r="M2409">
        <v>-0.99987159999999997</v>
      </c>
      <c r="N2409">
        <v>0</v>
      </c>
      <c r="O2409">
        <v>1.0212199999999999E-2</v>
      </c>
      <c r="P2409">
        <v>-0.99956120000000004</v>
      </c>
      <c r="Q2409">
        <v>2.3889649999999998E-2</v>
      </c>
      <c r="R2409">
        <v>1.7530609999999999E-2</v>
      </c>
      <c r="S2409">
        <v>-3.0154719999999999</v>
      </c>
      <c r="T2409">
        <v>-2.7371409999999999E-2</v>
      </c>
      <c r="U2409">
        <v>-0.77310179999999995</v>
      </c>
      <c r="V2409">
        <v>7.3140710000000001E-3</v>
      </c>
      <c r="W2409">
        <v>3.6251539999999999E-2</v>
      </c>
      <c r="X2409">
        <v>0.99931590000000003</v>
      </c>
      <c r="Y2409">
        <v>-0.2582161</v>
      </c>
      <c r="Z2409">
        <v>-1.2444940000000001E-3</v>
      </c>
      <c r="AA2409">
        <v>0.96608640000000001</v>
      </c>
      <c r="AB2409">
        <v>28</v>
      </c>
      <c r="AC2409">
        <v>-58.349899999999998</v>
      </c>
      <c r="AD2409">
        <v>-0.53088239999999998</v>
      </c>
      <c r="AE2409">
        <v>-14.995399999999901</v>
      </c>
      <c r="AF2409">
        <v>-15.5893337098813</v>
      </c>
      <c r="AG2409">
        <v>-0.53088239999999998</v>
      </c>
      <c r="AH2409">
        <v>58.189190740665701</v>
      </c>
      <c r="AI2409">
        <v>90.504911986058204</v>
      </c>
      <c r="AJ2409">
        <v>104.997783222983</v>
      </c>
      <c r="AK2409">
        <v>60.2435978398888</v>
      </c>
      <c r="AL2409">
        <v>87.922484486759302</v>
      </c>
      <c r="AM2409">
        <v>89.580655209587107</v>
      </c>
      <c r="AN2409">
        <v>0.99999996888988596</v>
      </c>
    </row>
    <row r="2410" spans="1:40" x14ac:dyDescent="0.25">
      <c r="A2410" t="str">
        <f>"20190312160341305"</f>
        <v>20190312160341305</v>
      </c>
      <c r="B2410" t="str">
        <f>"1552377821296937"</f>
        <v>1552377821296937</v>
      </c>
      <c r="C2410" t="s">
        <v>40</v>
      </c>
      <c r="D2410">
        <v>5.0237499999999997</v>
      </c>
      <c r="E2410">
        <v>0.3975342</v>
      </c>
      <c r="F2410" t="s">
        <v>80</v>
      </c>
      <c r="G2410">
        <v>-448.27190000000002</v>
      </c>
      <c r="H2410">
        <v>0.76309110000000002</v>
      </c>
      <c r="I2410">
        <v>270.08659999999998</v>
      </c>
      <c r="J2410">
        <v>-390.08629999999999</v>
      </c>
      <c r="K2410">
        <v>1.110147</v>
      </c>
      <c r="L2410">
        <v>285.21469999999999</v>
      </c>
      <c r="M2410">
        <v>-0.99987219999999999</v>
      </c>
      <c r="N2410">
        <v>0</v>
      </c>
      <c r="O2410">
        <v>1.0141270000000001E-2</v>
      </c>
      <c r="P2410">
        <v>-0.99955459999999996</v>
      </c>
      <c r="Q2410">
        <v>2.4034460000000001E-2</v>
      </c>
      <c r="R2410">
        <v>1.7696610000000002E-2</v>
      </c>
      <c r="S2410">
        <v>-3.0154719999999999</v>
      </c>
      <c r="T2410">
        <v>-1.7938019999999999E-2</v>
      </c>
      <c r="U2410">
        <v>-0.78186040000000001</v>
      </c>
      <c r="V2410">
        <v>7.5509740000000002E-3</v>
      </c>
      <c r="W2410">
        <v>3.6396390000000001E-2</v>
      </c>
      <c r="X2410">
        <v>0.99930890000000006</v>
      </c>
      <c r="Y2410">
        <v>-0.2607836</v>
      </c>
      <c r="Z2410">
        <v>-8.2240250000000003E-4</v>
      </c>
      <c r="AA2410">
        <v>0.9653969</v>
      </c>
      <c r="AB2410">
        <v>28</v>
      </c>
      <c r="AC2410">
        <v>-58.185600000000001</v>
      </c>
      <c r="AD2410">
        <v>-0.34705589999999997</v>
      </c>
      <c r="AE2410">
        <v>-15.1281</v>
      </c>
      <c r="AF2410">
        <v>-15.7169191283245</v>
      </c>
      <c r="AG2410">
        <v>-0.34705589999999997</v>
      </c>
      <c r="AH2410">
        <v>58.027243830197598</v>
      </c>
      <c r="AI2410">
        <v>90.330759400492795</v>
      </c>
      <c r="AJ2410">
        <v>105.15517862234501</v>
      </c>
      <c r="AK2410">
        <v>60.119073688915201</v>
      </c>
      <c r="AL2410">
        <v>87.914179768842303</v>
      </c>
      <c r="AM2410">
        <v>89.567070094445796</v>
      </c>
      <c r="AN2410">
        <v>0.99999999601629497</v>
      </c>
    </row>
    <row r="2411" spans="1:40" x14ac:dyDescent="0.25">
      <c r="A2411" t="str">
        <f>"20190312160341317"</f>
        <v>20190312160341317</v>
      </c>
      <c r="B2411" t="str">
        <f>"1552377821306696"</f>
        <v>1552377821306696</v>
      </c>
      <c r="C2411" t="s">
        <v>40</v>
      </c>
      <c r="D2411">
        <v>5.0610939999999998</v>
      </c>
      <c r="E2411">
        <v>0.3988971</v>
      </c>
      <c r="F2411" t="s">
        <v>80</v>
      </c>
      <c r="G2411">
        <v>-448.44920000000002</v>
      </c>
      <c r="H2411">
        <v>0.68807410000000002</v>
      </c>
      <c r="I2411">
        <v>270.33199999999999</v>
      </c>
      <c r="J2411">
        <v>-390.23050000000001</v>
      </c>
      <c r="K2411">
        <v>1.1101460000000001</v>
      </c>
      <c r="L2411">
        <v>285.21600000000001</v>
      </c>
      <c r="M2411">
        <v>-0.99987289999999995</v>
      </c>
      <c r="N2411">
        <v>0</v>
      </c>
      <c r="O2411">
        <v>1.0074700000000001E-2</v>
      </c>
      <c r="P2411">
        <v>-0.99955760000000005</v>
      </c>
      <c r="Q2411">
        <v>2.4002519999999999E-2</v>
      </c>
      <c r="R2411">
        <v>1.757819E-2</v>
      </c>
      <c r="S2411">
        <v>-3.0154719999999999</v>
      </c>
      <c r="T2411">
        <v>-2.180588E-2</v>
      </c>
      <c r="U2411">
        <v>-0.76895139999999995</v>
      </c>
      <c r="V2411">
        <v>7.499215E-3</v>
      </c>
      <c r="W2411">
        <v>3.6364470000000003E-2</v>
      </c>
      <c r="X2411">
        <v>0.99931040000000004</v>
      </c>
      <c r="Y2411">
        <v>-0.25683869999999998</v>
      </c>
      <c r="Z2411">
        <v>-9.8573949999999997E-4</v>
      </c>
      <c r="AA2411">
        <v>0.96645380000000003</v>
      </c>
      <c r="AB2411">
        <v>28</v>
      </c>
      <c r="AC2411">
        <v>-58.218699999999998</v>
      </c>
      <c r="AD2411">
        <v>-0.422071899999999</v>
      </c>
      <c r="AE2411">
        <v>-14.884</v>
      </c>
      <c r="AF2411">
        <v>-15.4690620655022</v>
      </c>
      <c r="AG2411">
        <v>-0.422071899999999</v>
      </c>
      <c r="AH2411">
        <v>58.062917094221497</v>
      </c>
      <c r="AI2411">
        <v>90.402450608039203</v>
      </c>
      <c r="AJ2411">
        <v>104.91816613088599</v>
      </c>
      <c r="AK2411">
        <v>60.089702673299797</v>
      </c>
      <c r="AL2411">
        <v>87.916009753651295</v>
      </c>
      <c r="AM2411">
        <v>89.570038194715096</v>
      </c>
      <c r="AN2411">
        <v>0.99999994422607696</v>
      </c>
    </row>
    <row r="2412" spans="1:40" x14ac:dyDescent="0.25">
      <c r="A2412" t="str">
        <f>"20190312160341330"</f>
        <v>20190312160341330</v>
      </c>
      <c r="B2412" t="str">
        <f>"1552377821327193"</f>
        <v>1552377821327193</v>
      </c>
      <c r="C2412" t="s">
        <v>40</v>
      </c>
      <c r="D2412">
        <v>5.0516399999999999</v>
      </c>
      <c r="E2412">
        <v>0.40186250000000001</v>
      </c>
      <c r="F2412" t="s">
        <v>80</v>
      </c>
      <c r="G2412">
        <v>-450.37349999999998</v>
      </c>
      <c r="H2412">
        <v>0.56078339999999904</v>
      </c>
      <c r="I2412">
        <v>270.08670000000001</v>
      </c>
      <c r="J2412">
        <v>-390.38260000000002</v>
      </c>
      <c r="K2412">
        <v>1.110147</v>
      </c>
      <c r="L2412">
        <v>285.21749999999997</v>
      </c>
      <c r="M2412">
        <v>-0.99987360000000003</v>
      </c>
      <c r="N2412">
        <v>0</v>
      </c>
      <c r="O2412">
        <v>1.0004549999999999E-2</v>
      </c>
      <c r="P2412">
        <v>-0.99956299999999998</v>
      </c>
      <c r="Q2412">
        <v>2.3818929999999999E-2</v>
      </c>
      <c r="R2412">
        <v>1.7515960000000001E-2</v>
      </c>
      <c r="S2412">
        <v>-3.0152890000000001</v>
      </c>
      <c r="T2412">
        <v>-2.7541880000000001E-2</v>
      </c>
      <c r="U2412">
        <v>-0.75851440000000003</v>
      </c>
      <c r="V2412">
        <v>7.5070090000000003E-3</v>
      </c>
      <c r="W2412">
        <v>3.618101E-2</v>
      </c>
      <c r="X2412">
        <v>0.99931700000000001</v>
      </c>
      <c r="Y2412">
        <v>-0.25363609999999998</v>
      </c>
      <c r="Z2412">
        <v>-1.2305879999999999E-3</v>
      </c>
      <c r="AA2412">
        <v>0.96729889999999996</v>
      </c>
      <c r="AB2412">
        <v>28</v>
      </c>
      <c r="AC2412">
        <v>-59.990899999999897</v>
      </c>
      <c r="AD2412">
        <v>-0.54936359999999995</v>
      </c>
      <c r="AE2412">
        <v>-15.130799999999899</v>
      </c>
      <c r="AF2412">
        <v>-15.7290302933551</v>
      </c>
      <c r="AG2412">
        <v>-0.54936359999999995</v>
      </c>
      <c r="AH2412">
        <v>59.831791450098102</v>
      </c>
      <c r="AI2412">
        <v>90.508777536180901</v>
      </c>
      <c r="AJ2412">
        <v>104.729072989786</v>
      </c>
      <c r="AK2412">
        <v>61.867175969671599</v>
      </c>
      <c r="AL2412">
        <v>87.926528158492502</v>
      </c>
      <c r="AM2412">
        <v>89.569594190969397</v>
      </c>
      <c r="AN2412">
        <v>0.99999994357887101</v>
      </c>
    </row>
    <row r="2413" spans="1:40" x14ac:dyDescent="0.25">
      <c r="A2413" t="str">
        <f>"20190312160341343"</f>
        <v>20190312160341343</v>
      </c>
      <c r="B2413" t="str">
        <f>"1552377821336953"</f>
        <v>1552377821336953</v>
      </c>
      <c r="C2413" t="s">
        <v>40</v>
      </c>
      <c r="D2413">
        <v>5.115202</v>
      </c>
      <c r="E2413">
        <v>0.40283619999999998</v>
      </c>
      <c r="F2413" t="s">
        <v>80</v>
      </c>
      <c r="G2413">
        <v>-452.39580000000001</v>
      </c>
      <c r="H2413">
        <v>0.40828989999999998</v>
      </c>
      <c r="I2413">
        <v>270.08670000000001</v>
      </c>
      <c r="J2413">
        <v>-390.5505</v>
      </c>
      <c r="K2413">
        <v>1.1101430000000001</v>
      </c>
      <c r="L2413">
        <v>285.21910000000003</v>
      </c>
      <c r="M2413">
        <v>-0.99987429999999999</v>
      </c>
      <c r="N2413">
        <v>0</v>
      </c>
      <c r="O2413">
        <v>9.9272479999999996E-3</v>
      </c>
      <c r="P2413">
        <v>-0.99956290000000003</v>
      </c>
      <c r="Q2413">
        <v>2.3797579999999999E-2</v>
      </c>
      <c r="R2413">
        <v>1.7551810000000001E-2</v>
      </c>
      <c r="S2413">
        <v>-3.0150760000000001</v>
      </c>
      <c r="T2413">
        <v>-3.412366E-2</v>
      </c>
      <c r="U2413">
        <v>-0.73565669999999905</v>
      </c>
      <c r="V2413">
        <v>7.6202509999999998E-3</v>
      </c>
      <c r="W2413">
        <v>3.615956E-2</v>
      </c>
      <c r="X2413">
        <v>0.99931700000000001</v>
      </c>
      <c r="Y2413">
        <v>-0.24665690000000001</v>
      </c>
      <c r="Z2413">
        <v>-1.4863379999999901E-3</v>
      </c>
      <c r="AA2413">
        <v>0.96910169999999995</v>
      </c>
      <c r="AB2413">
        <v>28</v>
      </c>
      <c r="AC2413">
        <v>-61.845300000000002</v>
      </c>
      <c r="AD2413">
        <v>-0.70185310000000001</v>
      </c>
      <c r="AE2413">
        <v>-15.132400000000001</v>
      </c>
      <c r="AF2413">
        <v>-15.7437416819749</v>
      </c>
      <c r="AG2413">
        <v>-0.70185310000000001</v>
      </c>
      <c r="AH2413">
        <v>61.684521913499403</v>
      </c>
      <c r="AI2413">
        <v>90.6316423325855</v>
      </c>
      <c r="AJ2413">
        <v>104.317925617369</v>
      </c>
      <c r="AK2413">
        <v>63.665832623313101</v>
      </c>
      <c r="AL2413">
        <v>87.927758124999102</v>
      </c>
      <c r="AM2413">
        <v>89.563101839708295</v>
      </c>
      <c r="AN2413">
        <v>1.0000000242468401</v>
      </c>
    </row>
    <row r="2414" spans="1:40" x14ac:dyDescent="0.25">
      <c r="A2414" t="str">
        <f>"20190312160341361"</f>
        <v>20190312160341361</v>
      </c>
      <c r="B2414" t="str">
        <f>"1552377821346713"</f>
        <v>1552377821346713</v>
      </c>
      <c r="C2414" t="s">
        <v>40</v>
      </c>
      <c r="D2414">
        <v>5.1366040000000002</v>
      </c>
      <c r="E2414">
        <v>0.40378510000000001</v>
      </c>
      <c r="F2414" t="s">
        <v>80</v>
      </c>
      <c r="G2414">
        <v>-453.26100000000002</v>
      </c>
      <c r="H2414">
        <v>0.4688234</v>
      </c>
      <c r="I2414">
        <v>270.08670000000001</v>
      </c>
      <c r="J2414">
        <v>-390.7559</v>
      </c>
      <c r="K2414">
        <v>1.110144</v>
      </c>
      <c r="L2414">
        <v>285.221</v>
      </c>
      <c r="M2414">
        <v>-0.99987519999999996</v>
      </c>
      <c r="N2414">
        <v>0</v>
      </c>
      <c r="O2414">
        <v>9.8326609999999995E-3</v>
      </c>
      <c r="P2414">
        <v>-0.99956389999999995</v>
      </c>
      <c r="Q2414">
        <v>2.3724680000000001E-2</v>
      </c>
      <c r="R2414">
        <v>1.7584579999999999E-2</v>
      </c>
      <c r="S2414">
        <v>-3.0147710000000001</v>
      </c>
      <c r="T2414">
        <v>-3.08305E-2</v>
      </c>
      <c r="U2414">
        <v>-0.72747799999999996</v>
      </c>
      <c r="V2414">
        <v>7.7475139999999996E-3</v>
      </c>
      <c r="W2414">
        <v>3.6086649999999998E-2</v>
      </c>
      <c r="X2414">
        <v>0.9993187</v>
      </c>
      <c r="Y2414">
        <v>-0.24410709999999999</v>
      </c>
      <c r="Z2414">
        <v>-1.329652E-3</v>
      </c>
      <c r="AA2414">
        <v>0.96974740000000004</v>
      </c>
      <c r="AB2414">
        <v>28</v>
      </c>
      <c r="AC2414">
        <v>-62.505099999999899</v>
      </c>
      <c r="AD2414">
        <v>-0.64132060000000002</v>
      </c>
      <c r="AE2414">
        <v>-15.1342999999999</v>
      </c>
      <c r="AF2414">
        <v>-15.746640817848</v>
      </c>
      <c r="AG2414">
        <v>-0.64132060000000002</v>
      </c>
      <c r="AH2414">
        <v>62.347056096615397</v>
      </c>
      <c r="AI2414">
        <v>90.571399400849302</v>
      </c>
      <c r="AJ2414">
        <v>104.17444102635901</v>
      </c>
      <c r="AK2414">
        <v>64.308035213904702</v>
      </c>
      <c r="AL2414">
        <v>87.931938377297499</v>
      </c>
      <c r="AM2414">
        <v>89.555806410326795</v>
      </c>
      <c r="AN2414">
        <v>1.00000006722554</v>
      </c>
    </row>
    <row r="2415" spans="1:40" x14ac:dyDescent="0.25">
      <c r="A2415" t="str">
        <f>"20190312160341374"</f>
        <v>20190312160341374</v>
      </c>
      <c r="B2415" t="str">
        <f>"1552377821367210"</f>
        <v>1552377821367210</v>
      </c>
      <c r="C2415" t="s">
        <v>40</v>
      </c>
      <c r="D2415">
        <v>5.1443669999999999</v>
      </c>
      <c r="E2415">
        <v>0.40514909999999998</v>
      </c>
      <c r="F2415" t="s">
        <v>80</v>
      </c>
      <c r="G2415">
        <v>-454.14789999999999</v>
      </c>
      <c r="H2415">
        <v>0.47538849999999999</v>
      </c>
      <c r="I2415">
        <v>270.08670000000001</v>
      </c>
      <c r="J2415">
        <v>-390.9171</v>
      </c>
      <c r="K2415">
        <v>1.110144</v>
      </c>
      <c r="L2415">
        <v>285.22250000000003</v>
      </c>
      <c r="M2415">
        <v>-0.99987610000000005</v>
      </c>
      <c r="N2415">
        <v>0</v>
      </c>
      <c r="O2415">
        <v>9.7581579999999994E-3</v>
      </c>
      <c r="P2415">
        <v>-0.99956880000000004</v>
      </c>
      <c r="Q2415">
        <v>2.3535919999999998E-2</v>
      </c>
      <c r="R2415">
        <v>1.7566379999999999E-2</v>
      </c>
      <c r="S2415">
        <v>-3.0146790000000001</v>
      </c>
      <c r="T2415">
        <v>-3.0185940000000001E-2</v>
      </c>
      <c r="U2415">
        <v>-0.71972659999999999</v>
      </c>
      <c r="V2415">
        <v>7.80378199999999E-3</v>
      </c>
      <c r="W2415">
        <v>3.5897949999999998E-2</v>
      </c>
      <c r="X2415">
        <v>0.99932500000000002</v>
      </c>
      <c r="Y2415">
        <v>-0.2416838</v>
      </c>
      <c r="Z2415">
        <v>-1.2895789999999999E-3</v>
      </c>
      <c r="AA2415">
        <v>0.97035419999999994</v>
      </c>
      <c r="AB2415">
        <v>28</v>
      </c>
      <c r="AC2415">
        <v>-63.230799999999903</v>
      </c>
      <c r="AD2415">
        <v>-0.63475550000000003</v>
      </c>
      <c r="AE2415">
        <v>-15.1358</v>
      </c>
      <c r="AF2415">
        <v>-15.750641195006001</v>
      </c>
      <c r="AG2415">
        <v>-0.63475550000000003</v>
      </c>
      <c r="AH2415">
        <v>63.074068350886897</v>
      </c>
      <c r="AI2415">
        <v>90.559408340885895</v>
      </c>
      <c r="AJ2415">
        <v>104.020959379544</v>
      </c>
      <c r="AK2415">
        <v>65.014027032102504</v>
      </c>
      <c r="AL2415">
        <v>87.942756979585795</v>
      </c>
      <c r="AM2415">
        <v>89.552583309292203</v>
      </c>
      <c r="AN2415">
        <v>1.0000000087263501</v>
      </c>
    </row>
    <row r="2416" spans="1:40" x14ac:dyDescent="0.25">
      <c r="A2416" t="str">
        <f>"20190312160341386"</f>
        <v>20190312160341386</v>
      </c>
      <c r="B2416" t="str">
        <f>"1552377821376969"</f>
        <v>1552377821376969</v>
      </c>
      <c r="C2416" t="s">
        <v>40</v>
      </c>
      <c r="D2416">
        <v>5.1462130000000004</v>
      </c>
      <c r="E2416">
        <v>0.40569430000000001</v>
      </c>
      <c r="F2416" t="s">
        <v>80</v>
      </c>
      <c r="G2416">
        <v>-455.28320000000002</v>
      </c>
      <c r="H2416">
        <v>0.46698190000000001</v>
      </c>
      <c r="I2416">
        <v>270.08670000000001</v>
      </c>
      <c r="J2416">
        <v>-391.08640000000003</v>
      </c>
      <c r="K2416">
        <v>1.110144</v>
      </c>
      <c r="L2416">
        <v>285.22410000000002</v>
      </c>
      <c r="M2416">
        <v>-0.99987680000000001</v>
      </c>
      <c r="N2416">
        <v>0</v>
      </c>
      <c r="O2416">
        <v>9.6803180000000003E-3</v>
      </c>
      <c r="P2416">
        <v>-0.99956780000000001</v>
      </c>
      <c r="Q2416">
        <v>2.3592789999999999E-2</v>
      </c>
      <c r="R2416">
        <v>1.7543070000000001E-2</v>
      </c>
      <c r="S2416">
        <v>-3.0144959999999998</v>
      </c>
      <c r="T2416">
        <v>-3.012109E-2</v>
      </c>
      <c r="U2416">
        <v>-0.70886229999999995</v>
      </c>
      <c r="V2416">
        <v>7.8583430000000003E-3</v>
      </c>
      <c r="W2416">
        <v>3.5954649999999998E-2</v>
      </c>
      <c r="X2416">
        <v>0.9993225</v>
      </c>
      <c r="Y2416">
        <v>-0.2383091</v>
      </c>
      <c r="Z2416">
        <v>-1.27001E-3</v>
      </c>
      <c r="AA2416">
        <v>0.97118850000000001</v>
      </c>
      <c r="AB2416">
        <v>28</v>
      </c>
      <c r="AC2416">
        <v>-64.196799999999996</v>
      </c>
      <c r="AD2416">
        <v>-0.64316209999999996</v>
      </c>
      <c r="AE2416">
        <v>-15.1374</v>
      </c>
      <c r="AF2416">
        <v>-15.7566852734516</v>
      </c>
      <c r="AG2416">
        <v>-0.64316209999999996</v>
      </c>
      <c r="AH2416">
        <v>64.041156151363097</v>
      </c>
      <c r="AI2416">
        <v>90.5587370942864</v>
      </c>
      <c r="AJ2416">
        <v>103.822499896764</v>
      </c>
      <c r="AK2416">
        <v>65.954199786645603</v>
      </c>
      <c r="AL2416">
        <v>87.939506140232396</v>
      </c>
      <c r="AM2416">
        <v>89.549454147722699</v>
      </c>
      <c r="AN2416">
        <v>0.99999997470878799</v>
      </c>
    </row>
    <row r="2417" spans="1:40" x14ac:dyDescent="0.25">
      <c r="A2417" t="str">
        <f>"20190312160341405"</f>
        <v>20190312160341405</v>
      </c>
      <c r="B2417" t="str">
        <f>"1552377821396488"</f>
        <v>1552377821396488</v>
      </c>
      <c r="C2417" t="s">
        <v>40</v>
      </c>
      <c r="D2417">
        <v>5.1795609999999996</v>
      </c>
      <c r="E2417">
        <v>0.4066863</v>
      </c>
      <c r="F2417" t="s">
        <v>80</v>
      </c>
      <c r="G2417">
        <v>-455.83139999999997</v>
      </c>
      <c r="H2417">
        <v>0.44168089999999999</v>
      </c>
      <c r="I2417">
        <v>270.08670000000001</v>
      </c>
      <c r="J2417">
        <v>-391.3066</v>
      </c>
      <c r="K2417">
        <v>1.110139</v>
      </c>
      <c r="L2417">
        <v>285.22609999999997</v>
      </c>
      <c r="M2417">
        <v>-0.99987769999999998</v>
      </c>
      <c r="N2417">
        <v>0</v>
      </c>
      <c r="O2417">
        <v>9.5791720000000004E-3</v>
      </c>
      <c r="P2417">
        <v>-0.99956599999999995</v>
      </c>
      <c r="Q2417">
        <v>2.3803939999999999E-2</v>
      </c>
      <c r="R2417">
        <v>1.7362570000000001E-2</v>
      </c>
      <c r="S2417">
        <v>-3.0144350000000002</v>
      </c>
      <c r="T2417">
        <v>-3.1122090000000002E-2</v>
      </c>
      <c r="U2417">
        <v>-0.70477290000000004</v>
      </c>
      <c r="V2417">
        <v>7.7790219999999896E-3</v>
      </c>
      <c r="W2417">
        <v>3.6165759999999998E-2</v>
      </c>
      <c r="X2417">
        <v>0.99931550000000002</v>
      </c>
      <c r="Y2417">
        <v>-0.23696539999999999</v>
      </c>
      <c r="Z2417">
        <v>-1.3045649999999999E-3</v>
      </c>
      <c r="AA2417">
        <v>0.97151719999999997</v>
      </c>
      <c r="AB2417">
        <v>28</v>
      </c>
      <c r="AC2417">
        <v>-64.5247999999999</v>
      </c>
      <c r="AD2417">
        <v>-0.66845809999999894</v>
      </c>
      <c r="AE2417">
        <v>-15.139399999999901</v>
      </c>
      <c r="AF2417">
        <v>-15.755243991110699</v>
      </c>
      <c r="AG2417">
        <v>-0.66845809999999894</v>
      </c>
      <c r="AH2417">
        <v>64.370257091769503</v>
      </c>
      <c r="AI2417">
        <v>90.577913590934102</v>
      </c>
      <c r="AJ2417">
        <v>103.753310733848</v>
      </c>
      <c r="AK2417">
        <v>66.273709323617894</v>
      </c>
      <c r="AL2417">
        <v>87.927402550253305</v>
      </c>
      <c r="AM2417">
        <v>89.553998585030499</v>
      </c>
      <c r="AN2417">
        <v>0.99999997195995105</v>
      </c>
    </row>
    <row r="2418" spans="1:40" x14ac:dyDescent="0.25">
      <c r="A2418" t="str">
        <f>"20190312160341428"</f>
        <v>20190312160341428</v>
      </c>
      <c r="B2418" t="str">
        <f>"1552377821416984"</f>
        <v>1552377821416984</v>
      </c>
      <c r="C2418" t="s">
        <v>40</v>
      </c>
      <c r="D2418">
        <v>5.2126049999999999</v>
      </c>
      <c r="E2418">
        <v>0.40738059999999998</v>
      </c>
      <c r="F2418" t="s">
        <v>80</v>
      </c>
      <c r="G2418">
        <v>-456.08100000000002</v>
      </c>
      <c r="H2418">
        <v>0.430892</v>
      </c>
      <c r="I2418">
        <v>270.24310000000003</v>
      </c>
      <c r="J2418">
        <v>-391.5847</v>
      </c>
      <c r="K2418">
        <v>1.1101379999999901</v>
      </c>
      <c r="L2418">
        <v>285.22859999999997</v>
      </c>
      <c r="M2418">
        <v>-0.99987899999999996</v>
      </c>
      <c r="N2418">
        <v>0</v>
      </c>
      <c r="O2418">
        <v>9.4517980000000008E-3</v>
      </c>
      <c r="P2418">
        <v>-0.99956909999999999</v>
      </c>
      <c r="Q2418">
        <v>2.3730970000000001E-2</v>
      </c>
      <c r="R2418">
        <v>1.7288399999999999E-2</v>
      </c>
      <c r="S2418">
        <v>-3.01416</v>
      </c>
      <c r="T2418">
        <v>-3.1607150000000001E-2</v>
      </c>
      <c r="U2418">
        <v>-0.69720459999999995</v>
      </c>
      <c r="V2418">
        <v>7.8321499999999995E-3</v>
      </c>
      <c r="W2418">
        <v>3.6092369999999999E-2</v>
      </c>
      <c r="X2418">
        <v>0.99931780000000003</v>
      </c>
      <c r="Y2418">
        <v>-0.234546</v>
      </c>
      <c r="Z2418">
        <v>-1.3115469999999999E-3</v>
      </c>
      <c r="AA2418">
        <v>0.97210410000000003</v>
      </c>
      <c r="AB2418">
        <v>28</v>
      </c>
      <c r="AC2418">
        <v>-64.496299999999906</v>
      </c>
      <c r="AD2418">
        <v>-0.67924599999999902</v>
      </c>
      <c r="AE2418">
        <v>-14.985499999999901</v>
      </c>
      <c r="AF2418">
        <v>-15.5928421646208</v>
      </c>
      <c r="AG2418">
        <v>-0.67924599999999902</v>
      </c>
      <c r="AH2418">
        <v>64.344996639574205</v>
      </c>
      <c r="AI2418">
        <v>90.587798095999801</v>
      </c>
      <c r="AJ2418">
        <v>103.621994973605</v>
      </c>
      <c r="AK2418">
        <v>66.210850277323104</v>
      </c>
      <c r="AL2418">
        <v>87.931610362184102</v>
      </c>
      <c r="AM2418">
        <v>89.550953709109606</v>
      </c>
      <c r="AN2418">
        <v>1.0000000335713299</v>
      </c>
    </row>
    <row r="2419" spans="1:40" x14ac:dyDescent="0.25">
      <c r="A2419" t="str">
        <f>"20190312160341442"</f>
        <v>20190312160341442</v>
      </c>
      <c r="B2419" t="str">
        <f>"1552377821436503"</f>
        <v>1552377821436503</v>
      </c>
      <c r="C2419" t="s">
        <v>40</v>
      </c>
      <c r="D2419">
        <v>5.2122549999999999</v>
      </c>
      <c r="E2419">
        <v>0.40801320000000002</v>
      </c>
      <c r="F2419" t="s">
        <v>80</v>
      </c>
      <c r="G2419">
        <v>-456.4547</v>
      </c>
      <c r="H2419">
        <v>0.3778782</v>
      </c>
      <c r="I2419">
        <v>270.33210000000003</v>
      </c>
      <c r="J2419">
        <v>-391.76670000000001</v>
      </c>
      <c r="K2419">
        <v>1.1101399999999999</v>
      </c>
      <c r="L2419">
        <v>285.23020000000002</v>
      </c>
      <c r="M2419">
        <v>-0.99987979999999999</v>
      </c>
      <c r="N2419">
        <v>0</v>
      </c>
      <c r="O2419">
        <v>9.3687709999999997E-3</v>
      </c>
      <c r="P2419">
        <v>-0.9995733</v>
      </c>
      <c r="Q2419">
        <v>2.362585E-2</v>
      </c>
      <c r="R2419">
        <v>1.7184209999999998E-2</v>
      </c>
      <c r="S2419">
        <v>-3.0140690000000001</v>
      </c>
      <c r="T2419">
        <v>-3.4021139999999998E-2</v>
      </c>
      <c r="U2419">
        <v>-0.6921387</v>
      </c>
      <c r="V2419">
        <v>7.8108269999999898E-3</v>
      </c>
      <c r="W2419">
        <v>3.5987529999999997E-2</v>
      </c>
      <c r="X2419">
        <v>0.99932169999999998</v>
      </c>
      <c r="Y2419">
        <v>-0.23291799999999999</v>
      </c>
      <c r="Z2419">
        <v>-1.4020199999999999E-3</v>
      </c>
      <c r="AA2419">
        <v>0.97249540000000001</v>
      </c>
      <c r="AB2419">
        <v>28</v>
      </c>
      <c r="AC2419">
        <v>-64.687999999999903</v>
      </c>
      <c r="AD2419">
        <v>-0.73226179999999896</v>
      </c>
      <c r="AE2419">
        <v>-14.898099999999999</v>
      </c>
      <c r="AF2419">
        <v>-15.501653031544899</v>
      </c>
      <c r="AG2419">
        <v>-0.73226179999999896</v>
      </c>
      <c r="AH2419">
        <v>64.537719683351099</v>
      </c>
      <c r="AI2419">
        <v>90.632088379228506</v>
      </c>
      <c r="AJ2419">
        <v>103.506309963429</v>
      </c>
      <c r="AK2419">
        <v>66.377365991586004</v>
      </c>
      <c r="AL2419">
        <v>87.937621057675798</v>
      </c>
      <c r="AM2419">
        <v>89.5521779337802</v>
      </c>
      <c r="AN2419">
        <v>0.999999985712407</v>
      </c>
    </row>
    <row r="2420" spans="1:40" x14ac:dyDescent="0.25">
      <c r="A2420" t="str">
        <f>"20190312160341457"</f>
        <v>20190312160341457</v>
      </c>
      <c r="B2420" t="str">
        <f>"1552377821447240"</f>
        <v>1552377821447240</v>
      </c>
      <c r="C2420" t="s">
        <v>40</v>
      </c>
      <c r="D2420">
        <v>5.2187270000000003</v>
      </c>
      <c r="E2420">
        <v>0.40824460000000001</v>
      </c>
      <c r="F2420" t="s">
        <v>75</v>
      </c>
      <c r="G2420">
        <v>-469.39769999999999</v>
      </c>
      <c r="H2420">
        <v>0.21309800000000001</v>
      </c>
      <c r="I2420">
        <v>267.52820000000003</v>
      </c>
      <c r="J2420">
        <v>-391.9479</v>
      </c>
      <c r="K2420">
        <v>1.1101399999999999</v>
      </c>
      <c r="L2420">
        <v>285.23180000000002</v>
      </c>
      <c r="M2420">
        <v>-0.9998804</v>
      </c>
      <c r="N2420">
        <v>0</v>
      </c>
      <c r="O2420">
        <v>9.2856889999999997E-3</v>
      </c>
      <c r="P2420">
        <v>-0.99957189999999996</v>
      </c>
      <c r="Q2420">
        <v>2.3716640000000001E-2</v>
      </c>
      <c r="R2420">
        <v>1.7129450000000001E-2</v>
      </c>
      <c r="S2420">
        <v>-3.013916</v>
      </c>
      <c r="T2420">
        <v>-3.4824130000000002E-2</v>
      </c>
      <c r="U2420">
        <v>-0.68725590000000003</v>
      </c>
      <c r="V2420">
        <v>7.8390690000000006E-3</v>
      </c>
      <c r="W2420">
        <v>3.6078079999999998E-2</v>
      </c>
      <c r="X2420">
        <v>0.99931820000000005</v>
      </c>
      <c r="Y2420">
        <v>-0.23135</v>
      </c>
      <c r="Z2420">
        <v>-1.4255439999999999E-3</v>
      </c>
      <c r="AA2420">
        <v>0.9728696</v>
      </c>
      <c r="AB2420">
        <v>28</v>
      </c>
      <c r="AC2420">
        <v>-77.449799999999897</v>
      </c>
      <c r="AD2420">
        <v>-0.89704199999999901</v>
      </c>
      <c r="AE2420">
        <v>-17.703599999999899</v>
      </c>
      <c r="AF2420">
        <v>-18.419718118068001</v>
      </c>
      <c r="AG2420">
        <v>-0.89704199999999901</v>
      </c>
      <c r="AH2420">
        <v>77.272206494053705</v>
      </c>
      <c r="AI2420">
        <v>90.646982655943901</v>
      </c>
      <c r="AJ2420">
        <v>103.407635094714</v>
      </c>
      <c r="AK2420">
        <v>79.442335038432205</v>
      </c>
      <c r="AL2420">
        <v>87.932429524778598</v>
      </c>
      <c r="AM2420">
        <v>89.550557213262707</v>
      </c>
      <c r="AN2420">
        <v>0.99999997185525602</v>
      </c>
    </row>
    <row r="2421" spans="1:40" x14ac:dyDescent="0.25">
      <c r="A2421" t="str">
        <f>"20190312160341471"</f>
        <v>20190312160341471</v>
      </c>
      <c r="B2421" t="str">
        <f>"1552377821466759"</f>
        <v>1552377821466759</v>
      </c>
      <c r="C2421" t="s">
        <v>40</v>
      </c>
      <c r="D2421">
        <v>5.2257499999999997</v>
      </c>
      <c r="E2421">
        <v>0.40864460000000002</v>
      </c>
      <c r="F2421" t="s">
        <v>75</v>
      </c>
      <c r="G2421">
        <v>-469.75349999999997</v>
      </c>
      <c r="H2421">
        <v>0.2174664</v>
      </c>
      <c r="I2421">
        <v>267.52820000000003</v>
      </c>
      <c r="J2421">
        <v>-392.11869999999999</v>
      </c>
      <c r="K2421">
        <v>1.110141</v>
      </c>
      <c r="L2421">
        <v>285.23329999999999</v>
      </c>
      <c r="M2421">
        <v>-0.99988120000000003</v>
      </c>
      <c r="N2421">
        <v>0</v>
      </c>
      <c r="O2421">
        <v>9.2068410000000003E-3</v>
      </c>
      <c r="P2421">
        <v>-0.99957149999999995</v>
      </c>
      <c r="Q2421">
        <v>2.3839260000000001E-2</v>
      </c>
      <c r="R2421">
        <v>1.6990769999999999E-2</v>
      </c>
      <c r="S2421">
        <v>-3.013855</v>
      </c>
      <c r="T2421">
        <v>-3.4576059999999999E-2</v>
      </c>
      <c r="U2421">
        <v>-0.6857605</v>
      </c>
      <c r="V2421">
        <v>7.7794029999999998E-3</v>
      </c>
      <c r="W2421">
        <v>3.6200540000000003E-2</v>
      </c>
      <c r="X2421">
        <v>0.99931420000000004</v>
      </c>
      <c r="Y2421">
        <v>-0.23081889999999999</v>
      </c>
      <c r="Z2421">
        <v>-1.4115929999999901E-3</v>
      </c>
      <c r="AA2421">
        <v>0.97299570000000002</v>
      </c>
      <c r="AB2421">
        <v>28</v>
      </c>
      <c r="AC2421">
        <v>-77.634799999999899</v>
      </c>
      <c r="AD2421">
        <v>-0.89267459999999998</v>
      </c>
      <c r="AE2421">
        <v>-17.705099999999899</v>
      </c>
      <c r="AF2421">
        <v>-18.416860791535498</v>
      </c>
      <c r="AG2421">
        <v>-0.89267459999999998</v>
      </c>
      <c r="AH2421">
        <v>77.458753799324597</v>
      </c>
      <c r="AI2421">
        <v>90.642370947271502</v>
      </c>
      <c r="AJ2421">
        <v>103.374506383517</v>
      </c>
      <c r="AK2421">
        <v>79.623088168574995</v>
      </c>
      <c r="AL2421">
        <v>87.925408418993996</v>
      </c>
      <c r="AM2421">
        <v>89.553976161504806</v>
      </c>
      <c r="AN2421">
        <v>0.99999993426448097</v>
      </c>
    </row>
    <row r="2422" spans="1:40" x14ac:dyDescent="0.25">
      <c r="A2422" t="str">
        <f>"20190312160341483"</f>
        <v>20190312160341483</v>
      </c>
      <c r="B2422" t="str">
        <f>"1552377821476520"</f>
        <v>1552377821476520</v>
      </c>
      <c r="C2422" t="s">
        <v>40</v>
      </c>
      <c r="D2422">
        <v>5.2124689999999996</v>
      </c>
      <c r="E2422">
        <v>0.40881000000000001</v>
      </c>
      <c r="F2422" t="s">
        <v>75</v>
      </c>
      <c r="G2422">
        <v>-470.24700000000001</v>
      </c>
      <c r="H2422">
        <v>0.21712400000000001</v>
      </c>
      <c r="I2422">
        <v>267.52820000000003</v>
      </c>
      <c r="J2422">
        <v>-392.27120000000002</v>
      </c>
      <c r="K2422">
        <v>1.1101430000000001</v>
      </c>
      <c r="L2422">
        <v>285.2346</v>
      </c>
      <c r="M2422">
        <v>-0.99988200000000005</v>
      </c>
      <c r="N2422">
        <v>0</v>
      </c>
      <c r="O2422">
        <v>9.1362140000000001E-3</v>
      </c>
      <c r="P2422">
        <v>-0.99957119999999999</v>
      </c>
      <c r="Q2422">
        <v>2.4067149999999999E-2</v>
      </c>
      <c r="R2422">
        <v>1.6690030000000002E-2</v>
      </c>
      <c r="S2422">
        <v>-3.0137019999999999</v>
      </c>
      <c r="T2422">
        <v>-3.4444809999999999E-2</v>
      </c>
      <c r="U2422">
        <v>-0.68295289999999997</v>
      </c>
      <c r="V2422">
        <v>7.549203E-3</v>
      </c>
      <c r="W2422">
        <v>3.642832E-2</v>
      </c>
      <c r="X2422">
        <v>0.99930779999999997</v>
      </c>
      <c r="Y2422">
        <v>-0.22989879999999999</v>
      </c>
      <c r="Z2422">
        <v>-1.4004589999999999E-3</v>
      </c>
      <c r="AA2422">
        <v>0.97321349999999995</v>
      </c>
      <c r="AB2422">
        <v>28</v>
      </c>
      <c r="AC2422">
        <v>-77.975799999999893</v>
      </c>
      <c r="AD2422">
        <v>-0.89301900000000001</v>
      </c>
      <c r="AE2422">
        <v>-17.706399999999899</v>
      </c>
      <c r="AF2422">
        <v>-18.415821838876798</v>
      </c>
      <c r="AG2422">
        <v>-0.89301900000000001</v>
      </c>
      <c r="AH2422">
        <v>77.801059279982496</v>
      </c>
      <c r="AI2422">
        <v>90.639943870805098</v>
      </c>
      <c r="AJ2422">
        <v>103.317038402576</v>
      </c>
      <c r="AK2422">
        <v>79.955892853641302</v>
      </c>
      <c r="AL2422">
        <v>87.912349205092099</v>
      </c>
      <c r="AM2422">
        <v>89.567171153227505</v>
      </c>
      <c r="AN2422">
        <v>1.0000000460523899</v>
      </c>
    </row>
    <row r="2423" spans="1:40" x14ac:dyDescent="0.25">
      <c r="A2423" t="str">
        <f>"20190312160341505"</f>
        <v>20190312160341505</v>
      </c>
      <c r="B2423" t="str">
        <f>"1552377821497025"</f>
        <v>1552377821497025</v>
      </c>
      <c r="C2423" t="s">
        <v>40</v>
      </c>
      <c r="D2423">
        <v>5.2283429999999997</v>
      </c>
      <c r="E2423">
        <v>0.40918090000000001</v>
      </c>
      <c r="F2423" t="s">
        <v>41</v>
      </c>
      <c r="G2423">
        <v>-488.12369999999999</v>
      </c>
      <c r="H2423" s="1">
        <v>-2.0010739999999999E-6</v>
      </c>
      <c r="I2423">
        <v>263.5215</v>
      </c>
      <c r="J2423">
        <v>-392.54340000000002</v>
      </c>
      <c r="K2423">
        <v>1.1101460000000001</v>
      </c>
      <c r="L2423">
        <v>285.23700000000002</v>
      </c>
      <c r="M2423">
        <v>-0.99988290000000002</v>
      </c>
      <c r="N2423">
        <v>0</v>
      </c>
      <c r="O2423">
        <v>9.0106950000000009E-3</v>
      </c>
      <c r="P2423">
        <v>-0.99957600000000002</v>
      </c>
      <c r="Q2423">
        <v>2.428978E-2</v>
      </c>
      <c r="R2423">
        <v>1.6058469999999998E-2</v>
      </c>
      <c r="S2423">
        <v>-3.01355</v>
      </c>
      <c r="T2423">
        <v>-3.4902330000000002E-2</v>
      </c>
      <c r="U2423">
        <v>-0.68264769999999997</v>
      </c>
      <c r="V2423">
        <v>7.0430099999999997E-3</v>
      </c>
      <c r="W2423">
        <v>3.665086E-2</v>
      </c>
      <c r="X2423">
        <v>0.99930330000000001</v>
      </c>
      <c r="Y2423">
        <v>-0.22969310000000001</v>
      </c>
      <c r="Z2423">
        <v>-1.4165320000000001E-3</v>
      </c>
      <c r="AA2423">
        <v>0.97326210000000002</v>
      </c>
      <c r="AB2423">
        <v>28</v>
      </c>
      <c r="AC2423">
        <v>-95.580299999999895</v>
      </c>
      <c r="AD2423">
        <v>-1.1101480010739999</v>
      </c>
      <c r="AE2423">
        <v>-21.715499999999999</v>
      </c>
      <c r="AF2423">
        <v>-22.5730333777197</v>
      </c>
      <c r="AG2423">
        <v>-1.1101480010739999</v>
      </c>
      <c r="AH2423">
        <v>95.368498307958703</v>
      </c>
      <c r="AI2423">
        <v>90.648997779615499</v>
      </c>
      <c r="AJ2423">
        <v>103.31642880094</v>
      </c>
      <c r="AK2423">
        <v>98.009819579321103</v>
      </c>
      <c r="AL2423">
        <v>87.899589959294104</v>
      </c>
      <c r="AM2423">
        <v>89.596190599341099</v>
      </c>
      <c r="AN2423">
        <v>0.99999998745974406</v>
      </c>
    </row>
    <row r="2424" spans="1:40" x14ac:dyDescent="0.25">
      <c r="A2424" t="str">
        <f>"20190312160341517"</f>
        <v>20190312160341517</v>
      </c>
      <c r="B2424" t="str">
        <f>"1552377821506776"</f>
        <v>1552377821506776</v>
      </c>
      <c r="C2424" t="s">
        <v>40</v>
      </c>
      <c r="D2424">
        <v>5.2219059999999997</v>
      </c>
      <c r="E2424">
        <v>0.40935870000000002</v>
      </c>
      <c r="F2424" t="s">
        <v>41</v>
      </c>
      <c r="G2424">
        <v>-479.09550000000002</v>
      </c>
      <c r="H2424">
        <v>7.9985710000000002E-2</v>
      </c>
      <c r="I2424">
        <v>265.66300000000001</v>
      </c>
      <c r="J2424">
        <v>-392.69229999999999</v>
      </c>
      <c r="K2424">
        <v>1.110147</v>
      </c>
      <c r="L2424">
        <v>285.23829999999998</v>
      </c>
      <c r="M2424">
        <v>-0.99988359999999998</v>
      </c>
      <c r="N2424">
        <v>0</v>
      </c>
      <c r="O2424">
        <v>8.9420330000000003E-3</v>
      </c>
      <c r="P2424">
        <v>-0.99958349999999996</v>
      </c>
      <c r="Q2424">
        <v>2.417099E-2</v>
      </c>
      <c r="R2424">
        <v>1.5768560000000001E-2</v>
      </c>
      <c r="S2424">
        <v>-3.0131230000000002</v>
      </c>
      <c r="T2424">
        <v>-3.58628E-2</v>
      </c>
      <c r="U2424">
        <v>-0.681427</v>
      </c>
      <c r="V2424">
        <v>6.8217759999999999E-3</v>
      </c>
      <c r="W2424">
        <v>3.6531729999999998E-2</v>
      </c>
      <c r="X2424">
        <v>0.99930920000000001</v>
      </c>
      <c r="Y2424">
        <v>-0.22928009999999999</v>
      </c>
      <c r="Z2424">
        <v>-1.452542E-3</v>
      </c>
      <c r="AA2424">
        <v>0.97335939999999999</v>
      </c>
      <c r="AB2424">
        <v>28</v>
      </c>
      <c r="AC2424">
        <v>-86.403199999999998</v>
      </c>
      <c r="AD2424">
        <v>-1.0301612899999999</v>
      </c>
      <c r="AE2424">
        <v>-19.575299999999899</v>
      </c>
      <c r="AF2424">
        <v>-20.344445760168298</v>
      </c>
      <c r="AG2424">
        <v>-1.0301612899999999</v>
      </c>
      <c r="AH2424">
        <v>86.2130316881873</v>
      </c>
      <c r="AI2424">
        <v>90.666297196578597</v>
      </c>
      <c r="AJ2424">
        <v>103.277684449213</v>
      </c>
      <c r="AK2424">
        <v>88.5869320974614</v>
      </c>
      <c r="AL2424">
        <v>87.906420186201203</v>
      </c>
      <c r="AM2424">
        <v>89.608876909887599</v>
      </c>
      <c r="AN2424">
        <v>0.99999999056461297</v>
      </c>
    </row>
    <row r="2425" spans="1:40" x14ac:dyDescent="0.25">
      <c r="A2425" t="str">
        <f>"20190312160341530"</f>
        <v>20190312160341530</v>
      </c>
      <c r="B2425" t="str">
        <f>"1552377821527273"</f>
        <v>1552377821527273</v>
      </c>
      <c r="C2425" t="s">
        <v>40</v>
      </c>
      <c r="D2425">
        <v>5.2289510000000003</v>
      </c>
      <c r="E2425">
        <v>0.40963349999999998</v>
      </c>
      <c r="F2425" t="s">
        <v>41</v>
      </c>
      <c r="G2425">
        <v>-476.97129999999999</v>
      </c>
      <c r="H2425">
        <v>7.998595E-2</v>
      </c>
      <c r="I2425">
        <v>266.19380000000001</v>
      </c>
      <c r="J2425">
        <v>-392.84190000000001</v>
      </c>
      <c r="K2425">
        <v>1.1101460000000001</v>
      </c>
      <c r="L2425">
        <v>285.23950000000002</v>
      </c>
      <c r="M2425">
        <v>-0.99988429999999995</v>
      </c>
      <c r="N2425">
        <v>0</v>
      </c>
      <c r="O2425">
        <v>8.8732519999999999E-3</v>
      </c>
      <c r="P2425">
        <v>-0.99958570000000002</v>
      </c>
      <c r="Q2425">
        <v>2.4178419999999999E-2</v>
      </c>
      <c r="R2425">
        <v>1.5626210000000001E-2</v>
      </c>
      <c r="S2425">
        <v>-3.0128780000000002</v>
      </c>
      <c r="T2425">
        <v>-3.682709E-2</v>
      </c>
      <c r="U2425">
        <v>-0.68081669999999905</v>
      </c>
      <c r="V2425">
        <v>6.7481829999999996E-3</v>
      </c>
      <c r="W2425">
        <v>3.6538870000000001E-2</v>
      </c>
      <c r="X2425">
        <v>0.99930940000000001</v>
      </c>
      <c r="Y2425">
        <v>-0.22904169999999999</v>
      </c>
      <c r="Z2425">
        <v>-1.489476E-3</v>
      </c>
      <c r="AA2425">
        <v>0.97341549999999999</v>
      </c>
      <c r="AB2425">
        <v>28</v>
      </c>
      <c r="AC2425">
        <v>-84.129399999999904</v>
      </c>
      <c r="AD2425">
        <v>-1.0301600500000001</v>
      </c>
      <c r="AE2425">
        <v>-19.0457</v>
      </c>
      <c r="AF2425">
        <v>-19.788686004816601</v>
      </c>
      <c r="AG2425">
        <v>-1.0301600500000001</v>
      </c>
      <c r="AH2425">
        <v>83.945104286047197</v>
      </c>
      <c r="AI2425">
        <v>90.684333371028004</v>
      </c>
      <c r="AJ2425">
        <v>103.264379941863</v>
      </c>
      <c r="AK2425">
        <v>86.252152768039295</v>
      </c>
      <c r="AL2425">
        <v>87.906010740153903</v>
      </c>
      <c r="AM2425">
        <v>89.613096275930602</v>
      </c>
      <c r="AN2425">
        <v>0.99999995196151803</v>
      </c>
    </row>
    <row r="2426" spans="1:40" x14ac:dyDescent="0.25">
      <c r="A2426" t="str">
        <f>"20190312160341541"</f>
        <v>20190312160341541</v>
      </c>
      <c r="B2426" t="str">
        <f>"1552377821537031"</f>
        <v>1552377821537031</v>
      </c>
      <c r="C2426" t="s">
        <v>40</v>
      </c>
      <c r="D2426">
        <v>5.2177730000000002</v>
      </c>
      <c r="E2426">
        <v>0.40972439999999999</v>
      </c>
      <c r="F2426" t="s">
        <v>41</v>
      </c>
      <c r="G2426">
        <v>-474.9742</v>
      </c>
      <c r="H2426">
        <v>7.9986189999999999E-2</v>
      </c>
      <c r="I2426">
        <v>266.71749999999997</v>
      </c>
      <c r="J2426">
        <v>-392.98759999999999</v>
      </c>
      <c r="K2426">
        <v>1.110142</v>
      </c>
      <c r="L2426">
        <v>285.2407</v>
      </c>
      <c r="M2426">
        <v>-0.99988489999999997</v>
      </c>
      <c r="N2426">
        <v>0</v>
      </c>
      <c r="O2426">
        <v>8.8062590000000003E-3</v>
      </c>
      <c r="P2426">
        <v>-0.99959489999999995</v>
      </c>
      <c r="Q2426">
        <v>2.405185E-2</v>
      </c>
      <c r="R2426">
        <v>1.522548E-2</v>
      </c>
      <c r="S2426">
        <v>-3.0127259999999998</v>
      </c>
      <c r="T2426">
        <v>-3.7787679999999997E-2</v>
      </c>
      <c r="U2426">
        <v>-0.67941280000000004</v>
      </c>
      <c r="V2426">
        <v>6.4143819999999997E-3</v>
      </c>
      <c r="W2426">
        <v>3.6412119999999999E-2</v>
      </c>
      <c r="X2426">
        <v>0.99931630000000005</v>
      </c>
      <c r="Y2426">
        <v>-0.2285546</v>
      </c>
      <c r="Z2426">
        <v>-1.5246299999999999E-3</v>
      </c>
      <c r="AA2426">
        <v>0.97352989999999995</v>
      </c>
      <c r="AB2426">
        <v>28</v>
      </c>
      <c r="AC2426">
        <v>-81.986599999999996</v>
      </c>
      <c r="AD2426">
        <v>-1.0301558099999999</v>
      </c>
      <c r="AE2426">
        <v>-18.523199999999999</v>
      </c>
      <c r="AF2426">
        <v>-19.241641690660199</v>
      </c>
      <c r="AG2426">
        <v>-1.0301558099999999</v>
      </c>
      <c r="AH2426">
        <v>81.807999480399403</v>
      </c>
      <c r="AI2426">
        <v>90.702288675497101</v>
      </c>
      <c r="AJ2426">
        <v>103.235675754997</v>
      </c>
      <c r="AK2426">
        <v>84.046717811760303</v>
      </c>
      <c r="AL2426">
        <v>87.913277973342502</v>
      </c>
      <c r="AM2426">
        <v>89.632236590556502</v>
      </c>
      <c r="AN2426">
        <v>1.00000002711251</v>
      </c>
    </row>
    <row r="2427" spans="1:40" x14ac:dyDescent="0.25">
      <c r="A2427" t="str">
        <f>"20190312160341553"</f>
        <v>20190312160341553</v>
      </c>
      <c r="B2427" t="str">
        <f>"1552377821546792"</f>
        <v>1552377821546792</v>
      </c>
      <c r="C2427" t="s">
        <v>40</v>
      </c>
      <c r="D2427">
        <v>5.2123850000000003</v>
      </c>
      <c r="E2427">
        <v>0.40976940000000001</v>
      </c>
      <c r="F2427" t="s">
        <v>41</v>
      </c>
      <c r="G2427">
        <v>-480.93799999999999</v>
      </c>
      <c r="H2427" s="1">
        <v>-4.3669550000000001E-6</v>
      </c>
      <c r="I2427">
        <v>265.39519999999999</v>
      </c>
      <c r="J2427">
        <v>-393.13630000000001</v>
      </c>
      <c r="K2427">
        <v>1.110141</v>
      </c>
      <c r="L2427">
        <v>285.24189999999999</v>
      </c>
      <c r="M2427">
        <v>-0.99988540000000004</v>
      </c>
      <c r="N2427">
        <v>0</v>
      </c>
      <c r="O2427">
        <v>8.7379550000000004E-3</v>
      </c>
      <c r="P2427">
        <v>-0.9995908</v>
      </c>
      <c r="Q2427">
        <v>2.4203019999999999E-2</v>
      </c>
      <c r="R2427">
        <v>1.524706E-2</v>
      </c>
      <c r="S2427">
        <v>-3.0124819999999999</v>
      </c>
      <c r="T2427">
        <v>-3.8024780000000001E-2</v>
      </c>
      <c r="U2427">
        <v>-0.67974849999999998</v>
      </c>
      <c r="V2427">
        <v>6.5042750000000003E-3</v>
      </c>
      <c r="W2427">
        <v>3.6563180000000001E-2</v>
      </c>
      <c r="X2427">
        <v>0.99931020000000004</v>
      </c>
      <c r="Y2427">
        <v>-0.22860800000000001</v>
      </c>
      <c r="Z2427">
        <v>-1.53378E-3</v>
      </c>
      <c r="AA2427">
        <v>0.97351739999999998</v>
      </c>
      <c r="AB2427">
        <v>28</v>
      </c>
      <c r="AC2427">
        <v>-87.801699999999997</v>
      </c>
      <c r="AD2427">
        <v>-1.1101453669550001</v>
      </c>
      <c r="AE2427">
        <v>-19.846699999999998</v>
      </c>
      <c r="AF2427">
        <v>-20.610073472069299</v>
      </c>
      <c r="AG2427">
        <v>-1.1101453669550001</v>
      </c>
      <c r="AH2427">
        <v>87.611589484513303</v>
      </c>
      <c r="AI2427">
        <v>90.706679974406399</v>
      </c>
      <c r="AJ2427">
        <v>103.237782084963</v>
      </c>
      <c r="AK2427">
        <v>90.009989241543295</v>
      </c>
      <c r="AL2427">
        <v>87.904617098881303</v>
      </c>
      <c r="AM2427">
        <v>89.627080516278298</v>
      </c>
      <c r="AN2427">
        <v>1.0000000237745099</v>
      </c>
    </row>
    <row r="2428" spans="1:40" x14ac:dyDescent="0.25">
      <c r="A2428" t="str">
        <f>"20190312160341567"</f>
        <v>20190312160341567</v>
      </c>
      <c r="B2428" t="str">
        <f>"1552377821556552"</f>
        <v>1552377821556552</v>
      </c>
      <c r="C2428" t="s">
        <v>40</v>
      </c>
      <c r="D2428">
        <v>5.2513909999999999</v>
      </c>
      <c r="E2428">
        <v>0.40986070000000002</v>
      </c>
      <c r="F2428" t="s">
        <v>41</v>
      </c>
      <c r="G2428">
        <v>-475.85379999999998</v>
      </c>
      <c r="H2428">
        <v>7.9986109999999999E-2</v>
      </c>
      <c r="I2428">
        <v>266.58679999999998</v>
      </c>
      <c r="J2428">
        <v>-393.30110000000002</v>
      </c>
      <c r="K2428">
        <v>1.110142</v>
      </c>
      <c r="L2428">
        <v>285.24329999999998</v>
      </c>
      <c r="M2428">
        <v>-0.9998861</v>
      </c>
      <c r="N2428">
        <v>0</v>
      </c>
      <c r="O2428">
        <v>8.6620829999999992E-3</v>
      </c>
      <c r="P2428">
        <v>-0.99958659999999999</v>
      </c>
      <c r="Q2428">
        <v>2.444081E-2</v>
      </c>
      <c r="R2428">
        <v>1.5146639999999999E-2</v>
      </c>
      <c r="S2428">
        <v>-3.012543</v>
      </c>
      <c r="T2428">
        <v>-3.7517910000000002E-2</v>
      </c>
      <c r="U2428">
        <v>-0.67941280000000004</v>
      </c>
      <c r="V2428">
        <v>6.4796560000000003E-3</v>
      </c>
      <c r="W2428">
        <v>3.6800960000000001E-2</v>
      </c>
      <c r="X2428">
        <v>0.99930160000000001</v>
      </c>
      <c r="Y2428">
        <v>-0.2284272</v>
      </c>
      <c r="Z2428">
        <v>-1.5112789999999999E-3</v>
      </c>
      <c r="AA2428">
        <v>0.97355979999999998</v>
      </c>
      <c r="AB2428">
        <v>28</v>
      </c>
      <c r="AC2428">
        <v>-82.552699999999902</v>
      </c>
      <c r="AD2428">
        <v>-1.0301558900000001</v>
      </c>
      <c r="AE2428">
        <v>-18.656499999999902</v>
      </c>
      <c r="AF2428">
        <v>-19.368063492508899</v>
      </c>
      <c r="AG2428">
        <v>-1.0301558900000001</v>
      </c>
      <c r="AH2428">
        <v>82.375781728312205</v>
      </c>
      <c r="AI2428">
        <v>90.697462062075303</v>
      </c>
      <c r="AJ2428">
        <v>103.230980797596</v>
      </c>
      <c r="AK2428">
        <v>84.628319846007201</v>
      </c>
      <c r="AL2428">
        <v>87.890984066887697</v>
      </c>
      <c r="AM2428">
        <v>89.628488798071302</v>
      </c>
      <c r="AN2428">
        <v>0.99999999218067903</v>
      </c>
    </row>
    <row r="2429" spans="1:40" x14ac:dyDescent="0.25">
      <c r="A2429" t="str">
        <f>"20190312160341579"</f>
        <v>20190312160341579</v>
      </c>
      <c r="B2429" t="str">
        <f>"1552377821577048"</f>
        <v>1552377821577048</v>
      </c>
      <c r="C2429" t="s">
        <v>40</v>
      </c>
      <c r="D2429">
        <v>5.2564279999999997</v>
      </c>
      <c r="E2429">
        <v>0.409744</v>
      </c>
      <c r="F2429" t="s">
        <v>41</v>
      </c>
      <c r="G2429">
        <v>-477.1103</v>
      </c>
      <c r="H2429">
        <v>7.9985990000000007E-2</v>
      </c>
      <c r="I2429">
        <v>266.35539999999997</v>
      </c>
      <c r="J2429">
        <v>-393.4554</v>
      </c>
      <c r="K2429">
        <v>1.1101430000000001</v>
      </c>
      <c r="L2429">
        <v>285.24450000000002</v>
      </c>
      <c r="M2429">
        <v>-0.99988679999999996</v>
      </c>
      <c r="N2429">
        <v>0</v>
      </c>
      <c r="O2429">
        <v>8.5912769999999996E-3</v>
      </c>
      <c r="P2429">
        <v>-0.99958709999999995</v>
      </c>
      <c r="Q2429">
        <v>2.4362680000000001E-2</v>
      </c>
      <c r="R2429">
        <v>1.524175E-2</v>
      </c>
      <c r="S2429">
        <v>-3.0123899999999999</v>
      </c>
      <c r="T2429">
        <v>-3.7027360000000002E-2</v>
      </c>
      <c r="U2429">
        <v>-0.678894</v>
      </c>
      <c r="V2429">
        <v>6.6456500000000003E-3</v>
      </c>
      <c r="W2429">
        <v>3.6722810000000002E-2</v>
      </c>
      <c r="X2429">
        <v>0.99930339999999995</v>
      </c>
      <c r="Y2429">
        <v>-0.22820969999999999</v>
      </c>
      <c r="Z2429">
        <v>-1.4894419999999999E-3</v>
      </c>
      <c r="AA2429">
        <v>0.97361089999999995</v>
      </c>
      <c r="AB2429">
        <v>28</v>
      </c>
      <c r="AC2429">
        <v>-83.654899999999998</v>
      </c>
      <c r="AD2429">
        <v>-1.0301570099999999</v>
      </c>
      <c r="AE2429">
        <v>-18.889099999999999</v>
      </c>
      <c r="AF2429">
        <v>-19.604331378191201</v>
      </c>
      <c r="AG2429">
        <v>-1.0301570099999999</v>
      </c>
      <c r="AH2429">
        <v>83.477473586458999</v>
      </c>
      <c r="AI2429">
        <v>90.688300748835502</v>
      </c>
      <c r="AJ2429">
        <v>103.216176525433</v>
      </c>
      <c r="AK2429">
        <v>85.754764466058404</v>
      </c>
      <c r="AL2429">
        <v>87.895464792730394</v>
      </c>
      <c r="AM2429">
        <v>89.618972492278203</v>
      </c>
      <c r="AN2429">
        <v>1.00000000734488</v>
      </c>
    </row>
    <row r="2430" spans="1:40" x14ac:dyDescent="0.25">
      <c r="A2430" t="str">
        <f>"20190312160341592"</f>
        <v>20190312160341592</v>
      </c>
      <c r="B2430" t="str">
        <f>"1552377821586808"</f>
        <v>1552377821586808</v>
      </c>
      <c r="C2430" t="s">
        <v>40</v>
      </c>
      <c r="D2430">
        <v>5.222639</v>
      </c>
      <c r="E2430">
        <v>0.39852179999999998</v>
      </c>
      <c r="F2430" t="s">
        <v>43</v>
      </c>
      <c r="G2430">
        <v>-483.65519999999998</v>
      </c>
      <c r="H2430">
        <v>-0.05</v>
      </c>
      <c r="I2430">
        <v>264.89280000000002</v>
      </c>
      <c r="J2430">
        <v>-393.61149999999998</v>
      </c>
      <c r="K2430">
        <v>1.110142</v>
      </c>
      <c r="L2430">
        <v>285.24579999999997</v>
      </c>
      <c r="M2430">
        <v>-0.99988739999999998</v>
      </c>
      <c r="N2430">
        <v>0</v>
      </c>
      <c r="O2430">
        <v>8.5192810000000001E-3</v>
      </c>
      <c r="P2430">
        <v>-0.99958910000000001</v>
      </c>
      <c r="Q2430">
        <v>2.4464619999999999E-2</v>
      </c>
      <c r="R2430">
        <v>1.495028E-2</v>
      </c>
      <c r="S2430">
        <v>-3.012543</v>
      </c>
      <c r="T2430">
        <v>-3.8747070000000002E-2</v>
      </c>
      <c r="U2430">
        <v>-0.67971800000000004</v>
      </c>
      <c r="V2430">
        <v>6.4262549999999996E-3</v>
      </c>
      <c r="W2430">
        <v>3.6824299999999997E-2</v>
      </c>
      <c r="X2430">
        <v>0.99930110000000005</v>
      </c>
      <c r="Y2430">
        <v>-0.22838079999999999</v>
      </c>
      <c r="Z2430">
        <v>-1.558661E-3</v>
      </c>
      <c r="AA2430">
        <v>0.97357059999999995</v>
      </c>
      <c r="AB2430">
        <v>27</v>
      </c>
      <c r="AC2430">
        <v>-90.043700000000001</v>
      </c>
      <c r="AD2430">
        <v>-1.160142</v>
      </c>
      <c r="AE2430">
        <v>-20.352999999999899</v>
      </c>
      <c r="AF2430">
        <v>-21.116092461094802</v>
      </c>
      <c r="AG2430">
        <v>-1.160142</v>
      </c>
      <c r="AH2430">
        <v>89.852834883007901</v>
      </c>
      <c r="AI2430">
        <v>90.720121645979603</v>
      </c>
      <c r="AJ2430">
        <v>103.224959851199</v>
      </c>
      <c r="AK2430">
        <v>92.308001965153295</v>
      </c>
      <c r="AL2430">
        <v>87.889645907927303</v>
      </c>
      <c r="AM2430">
        <v>89.631550276330302</v>
      </c>
      <c r="AN2430">
        <v>1.0000000071425099</v>
      </c>
    </row>
    <row r="2431" spans="1:40" x14ac:dyDescent="0.25">
      <c r="A2431" t="str">
        <f>"20190312160341605"</f>
        <v>20190312160341605</v>
      </c>
      <c r="B2431" t="str">
        <f>"1552377821596568"</f>
        <v>1552377821596568</v>
      </c>
      <c r="C2431" t="s">
        <v>40</v>
      </c>
      <c r="D2431">
        <v>5.2393619999999999</v>
      </c>
      <c r="E2431">
        <v>0.39782630000000002</v>
      </c>
      <c r="F2431" t="s">
        <v>79</v>
      </c>
      <c r="G2431">
        <v>-424.32589999999999</v>
      </c>
      <c r="H2431" s="1">
        <v>4.2341949999999997E-6</v>
      </c>
      <c r="I2431">
        <v>277.37150000000003</v>
      </c>
      <c r="J2431">
        <v>-393.77260000000001</v>
      </c>
      <c r="K2431">
        <v>1.1101479999999999</v>
      </c>
      <c r="L2431">
        <v>285.24709999999999</v>
      </c>
      <c r="M2431">
        <v>-0.99988790000000005</v>
      </c>
      <c r="N2431">
        <v>0</v>
      </c>
      <c r="O2431">
        <v>8.4447229999999995E-3</v>
      </c>
      <c r="P2431">
        <v>-0.99958389999999997</v>
      </c>
      <c r="Q2431">
        <v>2.4739560000000001E-2</v>
      </c>
      <c r="R2431">
        <v>1.4846150000000001E-2</v>
      </c>
      <c r="S2431">
        <v>-3.0154420000000002</v>
      </c>
      <c r="T2431">
        <v>-0.10898969999999999</v>
      </c>
      <c r="U2431">
        <v>-0.77307130000000002</v>
      </c>
      <c r="V2431">
        <v>6.3965690000000004E-3</v>
      </c>
      <c r="W2431">
        <v>3.7098779999999998E-2</v>
      </c>
      <c r="X2431">
        <v>0.99929109999999999</v>
      </c>
      <c r="Y2431">
        <v>-0.2563492</v>
      </c>
      <c r="Z2431">
        <v>-4.8579599999999997E-3</v>
      </c>
      <c r="AA2431">
        <v>0.96657199999999999</v>
      </c>
      <c r="AB2431">
        <v>27</v>
      </c>
      <c r="AC2431">
        <v>-30.553299999999901</v>
      </c>
      <c r="AD2431">
        <v>-1.110143765805</v>
      </c>
      <c r="AE2431">
        <v>-7.8755999999999604</v>
      </c>
      <c r="AF2431">
        <v>-8.1232967475822004</v>
      </c>
      <c r="AG2431">
        <v>-1.110143765805</v>
      </c>
      <c r="AH2431">
        <v>30.4480048169013</v>
      </c>
      <c r="AI2431">
        <v>92.017588511165499</v>
      </c>
      <c r="AJ2431">
        <v>104.938143504632</v>
      </c>
      <c r="AK2431">
        <v>31.532544562088201</v>
      </c>
      <c r="AL2431">
        <v>87.873908527944195</v>
      </c>
      <c r="AM2431">
        <v>89.633248608379603</v>
      </c>
      <c r="AN2431">
        <v>0.99999996905583399</v>
      </c>
    </row>
    <row r="2432" spans="1:40" x14ac:dyDescent="0.25">
      <c r="A2432" t="str">
        <f>"20190312160341619"</f>
        <v>20190312160341619</v>
      </c>
      <c r="B2432" t="str">
        <f>"1552377821607305"</f>
        <v>1552377821607305</v>
      </c>
      <c r="C2432" t="s">
        <v>40</v>
      </c>
      <c r="D2432">
        <v>5.2027780000000003</v>
      </c>
      <c r="E2432">
        <v>0.39754679999999998</v>
      </c>
      <c r="F2432" t="s">
        <v>79</v>
      </c>
      <c r="G2432">
        <v>-424.43119999999999</v>
      </c>
      <c r="H2432" s="1">
        <v>4.2265390000000001E-6</v>
      </c>
      <c r="I2432">
        <v>277.3272</v>
      </c>
      <c r="J2432">
        <v>-393.93110000000001</v>
      </c>
      <c r="K2432">
        <v>1.1101490000000001</v>
      </c>
      <c r="L2432">
        <v>285.24829999999997</v>
      </c>
      <c r="M2432">
        <v>-0.99988869999999996</v>
      </c>
      <c r="N2432">
        <v>0</v>
      </c>
      <c r="O2432">
        <v>8.3717119999999999E-3</v>
      </c>
      <c r="P2432">
        <v>-0.99958729999999996</v>
      </c>
      <c r="Q2432">
        <v>2.4658860000000001E-2</v>
      </c>
      <c r="R2432">
        <v>1.4749699999999999E-2</v>
      </c>
      <c r="S2432">
        <v>-3.015533</v>
      </c>
      <c r="T2432">
        <v>-0.1091924</v>
      </c>
      <c r="U2432">
        <v>-0.77899169999999995</v>
      </c>
      <c r="V2432">
        <v>6.3731489999999998E-3</v>
      </c>
      <c r="W2432">
        <v>3.7018250000000003E-2</v>
      </c>
      <c r="X2432">
        <v>0.99929429999999997</v>
      </c>
      <c r="Y2432">
        <v>-0.25804949999999999</v>
      </c>
      <c r="Z2432">
        <v>-4.8933509999999998E-3</v>
      </c>
      <c r="AA2432">
        <v>0.96611930000000001</v>
      </c>
      <c r="AB2432">
        <v>27</v>
      </c>
      <c r="AC2432">
        <v>-30.5000999999999</v>
      </c>
      <c r="AD2432">
        <v>-1.1101447734609999</v>
      </c>
      <c r="AE2432">
        <v>-7.9210999999999601</v>
      </c>
      <c r="AF2432">
        <v>-8.1660449464825309</v>
      </c>
      <c r="AG2432">
        <v>-1.1101447734609999</v>
      </c>
      <c r="AH2432">
        <v>30.394989281840601</v>
      </c>
      <c r="AI2432">
        <v>92.020162465349699</v>
      </c>
      <c r="AJ2432">
        <v>105.038214879216</v>
      </c>
      <c r="AK2432">
        <v>31.492413132835999</v>
      </c>
      <c r="AL2432">
        <v>87.878525864364207</v>
      </c>
      <c r="AM2432">
        <v>89.6345925427444</v>
      </c>
      <c r="AN2432">
        <v>1.0000000329368599</v>
      </c>
    </row>
    <row r="2433" spans="1:40" x14ac:dyDescent="0.25">
      <c r="A2433" t="str">
        <f>"20190312160341642"</f>
        <v>20190312160341642</v>
      </c>
      <c r="B2433" t="str">
        <f>"1552377821636583"</f>
        <v>1552377821636583</v>
      </c>
      <c r="C2433" t="s">
        <v>40</v>
      </c>
      <c r="D2433">
        <v>5.2037430000000002</v>
      </c>
      <c r="E2433">
        <v>0.39753040000000001</v>
      </c>
      <c r="F2433" t="s">
        <v>79</v>
      </c>
      <c r="G2433">
        <v>-423.60070000000002</v>
      </c>
      <c r="H2433" s="1">
        <v>4.329246E-6</v>
      </c>
      <c r="I2433">
        <v>277.55759999999998</v>
      </c>
      <c r="J2433">
        <v>-394.19260000000003</v>
      </c>
      <c r="K2433">
        <v>1.1101479999999999</v>
      </c>
      <c r="L2433">
        <v>285.25029999999998</v>
      </c>
      <c r="M2433">
        <v>-0.99988960000000005</v>
      </c>
      <c r="N2433">
        <v>0</v>
      </c>
      <c r="O2433">
        <v>8.2511979999999995E-3</v>
      </c>
      <c r="P2433">
        <v>-0.99958349999999996</v>
      </c>
      <c r="Q2433">
        <v>2.4857319999999999E-2</v>
      </c>
      <c r="R2433">
        <v>1.467647E-2</v>
      </c>
      <c r="S2433">
        <v>-3.0155639999999999</v>
      </c>
      <c r="T2433">
        <v>-0.11283310000000001</v>
      </c>
      <c r="U2433">
        <v>-0.78167719999999996</v>
      </c>
      <c r="V2433">
        <v>6.4204229999999998E-3</v>
      </c>
      <c r="W2433">
        <v>3.7215999999999999E-2</v>
      </c>
      <c r="X2433">
        <v>0.99928660000000002</v>
      </c>
      <c r="Y2433">
        <v>-0.2587255</v>
      </c>
      <c r="Z2433">
        <v>-5.0638000000000002E-3</v>
      </c>
      <c r="AA2433">
        <v>0.96593759999999995</v>
      </c>
      <c r="AB2433">
        <v>27</v>
      </c>
      <c r="AC2433">
        <v>-29.408099999999902</v>
      </c>
      <c r="AD2433">
        <v>-1.110143670754</v>
      </c>
      <c r="AE2433">
        <v>-7.6927000000000003</v>
      </c>
      <c r="AF2433">
        <v>-7.9245391869222397</v>
      </c>
      <c r="AG2433">
        <v>-1.110143670754</v>
      </c>
      <c r="AH2433">
        <v>29.304534498235199</v>
      </c>
      <c r="AI2433">
        <v>92.094343555097097</v>
      </c>
      <c r="AJ2433">
        <v>105.132014588869</v>
      </c>
      <c r="AK2433">
        <v>30.377400850847</v>
      </c>
      <c r="AL2433">
        <v>87.867187700084898</v>
      </c>
      <c r="AM2433">
        <v>89.631879303865105</v>
      </c>
      <c r="AN2433">
        <v>0.99999998071352902</v>
      </c>
    </row>
    <row r="2434" spans="1:40" x14ac:dyDescent="0.25">
      <c r="A2434" t="str">
        <f>"20190312160341662"</f>
        <v>20190312160341662</v>
      </c>
      <c r="B2434" t="str">
        <f>"1552377821657080"</f>
        <v>1552377821657080</v>
      </c>
      <c r="C2434" t="s">
        <v>40</v>
      </c>
      <c r="D2434">
        <v>5.2100900000000001</v>
      </c>
      <c r="E2434">
        <v>0.39724229999999999</v>
      </c>
      <c r="F2434" t="s">
        <v>79</v>
      </c>
      <c r="G2434">
        <v>-423.38670000000002</v>
      </c>
      <c r="H2434" s="1">
        <v>4.3334559999999997E-6</v>
      </c>
      <c r="I2434">
        <v>277.67989999999998</v>
      </c>
      <c r="J2434">
        <v>-394.47030000000001</v>
      </c>
      <c r="K2434">
        <v>1.1101479999999999</v>
      </c>
      <c r="L2434">
        <v>285.2525</v>
      </c>
      <c r="M2434">
        <v>-0.99989059999999996</v>
      </c>
      <c r="N2434">
        <v>0</v>
      </c>
      <c r="O2434">
        <v>8.12359E-3</v>
      </c>
      <c r="P2434">
        <v>-0.99957779999999996</v>
      </c>
      <c r="Q2434">
        <v>2.507639E-2</v>
      </c>
      <c r="R2434">
        <v>1.468088E-2</v>
      </c>
      <c r="S2434">
        <v>-3.0155639999999999</v>
      </c>
      <c r="T2434">
        <v>-0.1146711</v>
      </c>
      <c r="U2434">
        <v>-0.78198239999999997</v>
      </c>
      <c r="V2434">
        <v>6.5522039999999998E-3</v>
      </c>
      <c r="W2434">
        <v>3.7434719999999998E-2</v>
      </c>
      <c r="X2434">
        <v>0.99927759999999999</v>
      </c>
      <c r="Y2434">
        <v>-0.25868819999999998</v>
      </c>
      <c r="Z2434">
        <v>-5.1406899999999998E-3</v>
      </c>
      <c r="AA2434">
        <v>0.96594720000000001</v>
      </c>
      <c r="AB2434">
        <v>27</v>
      </c>
      <c r="AC2434">
        <v>-28.916399999999999</v>
      </c>
      <c r="AD2434">
        <v>-1.1101436665440001</v>
      </c>
      <c r="AE2434">
        <v>-7.57260000000002</v>
      </c>
      <c r="AF2434">
        <v>-7.7965191805562704</v>
      </c>
      <c r="AG2434">
        <v>-1.1101436665440001</v>
      </c>
      <c r="AH2434">
        <v>28.814180550137301</v>
      </c>
      <c r="AI2434">
        <v>92.129866827820294</v>
      </c>
      <c r="AJ2434">
        <v>105.140503799679</v>
      </c>
      <c r="AK2434">
        <v>29.8709747257946</v>
      </c>
      <c r="AL2434">
        <v>87.854647282032801</v>
      </c>
      <c r="AM2434">
        <v>89.624320353287501</v>
      </c>
      <c r="AN2434">
        <v>1.0000000057502401</v>
      </c>
    </row>
    <row r="2435" spans="1:40" x14ac:dyDescent="0.25">
      <c r="A2435" t="str">
        <f>"20190312160341675"</f>
        <v>20190312160341675</v>
      </c>
      <c r="B2435" t="str">
        <f>"1552377821666840"</f>
        <v>1552377821666840</v>
      </c>
      <c r="C2435" t="s">
        <v>40</v>
      </c>
      <c r="D2435">
        <v>5.1761379999999999</v>
      </c>
      <c r="E2435">
        <v>0.39704220000000001</v>
      </c>
      <c r="F2435" t="s">
        <v>79</v>
      </c>
      <c r="G2435">
        <v>-423.41800000000001</v>
      </c>
      <c r="H2435" s="1">
        <v>4.310749E-6</v>
      </c>
      <c r="I2435">
        <v>277.72449999999998</v>
      </c>
      <c r="J2435">
        <v>-394.6277</v>
      </c>
      <c r="K2435">
        <v>1.110155</v>
      </c>
      <c r="L2435">
        <v>285.25369999999998</v>
      </c>
      <c r="M2435">
        <v>-0.99989119999999998</v>
      </c>
      <c r="N2435">
        <v>0</v>
      </c>
      <c r="O2435">
        <v>8.0515889999999996E-3</v>
      </c>
      <c r="P2435">
        <v>-0.99957560000000001</v>
      </c>
      <c r="Q2435">
        <v>2.5226040000000002E-2</v>
      </c>
      <c r="R2435">
        <v>1.4576789999999999E-2</v>
      </c>
      <c r="S2435">
        <v>-3.0156559999999999</v>
      </c>
      <c r="T2435">
        <v>-0.1156504</v>
      </c>
      <c r="U2435">
        <v>-0.78424069999999901</v>
      </c>
      <c r="V2435">
        <v>6.5201199999999999E-3</v>
      </c>
      <c r="W2435">
        <v>3.7584340000000001E-2</v>
      </c>
      <c r="X2435">
        <v>0.99927220000000005</v>
      </c>
      <c r="Y2435">
        <v>-0.25928570000000001</v>
      </c>
      <c r="Z2435">
        <v>-5.192482E-3</v>
      </c>
      <c r="AA2435">
        <v>0.9657867</v>
      </c>
      <c r="AB2435">
        <v>27</v>
      </c>
      <c r="AC2435">
        <v>-28.790299999999998</v>
      </c>
      <c r="AD2435">
        <v>-1.110150689251</v>
      </c>
      <c r="AE2435">
        <v>-7.5292000000000003</v>
      </c>
      <c r="AF2435">
        <v>-7.7499957266083603</v>
      </c>
      <c r="AG2435">
        <v>-1.110150689251</v>
      </c>
      <c r="AH2435">
        <v>28.688814193193799</v>
      </c>
      <c r="AI2435">
        <v>92.139415493366201</v>
      </c>
      <c r="AJ2435">
        <v>105.11705023560501</v>
      </c>
      <c r="AK2435">
        <v>29.737903895985902</v>
      </c>
      <c r="AL2435">
        <v>87.846068664262404</v>
      </c>
      <c r="AM2435">
        <v>89.626157861158603</v>
      </c>
      <c r="AN2435">
        <v>1.00000001213544</v>
      </c>
    </row>
    <row r="2436" spans="1:40" x14ac:dyDescent="0.25">
      <c r="A2436" t="str">
        <f>"20190312160341695"</f>
        <v>20190312160341695</v>
      </c>
      <c r="B2436" t="str">
        <f>"1552377821687336"</f>
        <v>1552377821687336</v>
      </c>
      <c r="C2436" t="s">
        <v>40</v>
      </c>
      <c r="D2436">
        <v>5.1909260000000002</v>
      </c>
      <c r="E2436">
        <v>0.39688180000000001</v>
      </c>
      <c r="F2436" t="s">
        <v>79</v>
      </c>
      <c r="G2436">
        <v>-423.70389999999998</v>
      </c>
      <c r="H2436" s="1">
        <v>4.2661240000000004E-6</v>
      </c>
      <c r="I2436">
        <v>277.67129999999997</v>
      </c>
      <c r="J2436">
        <v>-394.87329999999997</v>
      </c>
      <c r="K2436">
        <v>1.1101559999999999</v>
      </c>
      <c r="L2436">
        <v>285.25560000000002</v>
      </c>
      <c r="M2436">
        <v>-0.99989209999999995</v>
      </c>
      <c r="N2436">
        <v>0</v>
      </c>
      <c r="O2436">
        <v>7.9390569999999994E-3</v>
      </c>
      <c r="P2436">
        <v>-0.99957260000000003</v>
      </c>
      <c r="Q2436">
        <v>2.548249E-2</v>
      </c>
      <c r="R2436">
        <v>1.4336049999999999E-2</v>
      </c>
      <c r="S2436">
        <v>-3.0156559999999999</v>
      </c>
      <c r="T2436">
        <v>-0.11513950000000001</v>
      </c>
      <c r="U2436">
        <v>-0.78640750000000004</v>
      </c>
      <c r="V2436">
        <v>6.3918669999999999E-3</v>
      </c>
      <c r="W2436">
        <v>3.7840220000000001E-2</v>
      </c>
      <c r="X2436">
        <v>0.99926329999999997</v>
      </c>
      <c r="Y2436">
        <v>-0.25982820000000001</v>
      </c>
      <c r="Z2436">
        <v>-5.1750549999999996E-3</v>
      </c>
      <c r="AA2436">
        <v>0.96564099999999997</v>
      </c>
      <c r="AB2436">
        <v>27</v>
      </c>
      <c r="AC2436">
        <v>-28.8306</v>
      </c>
      <c r="AD2436">
        <v>-1.1101517338760001</v>
      </c>
      <c r="AE2436">
        <v>-7.5843000000000398</v>
      </c>
      <c r="AF2436">
        <v>-7.8021466034623996</v>
      </c>
      <c r="AG2436">
        <v>-1.1101517338760001</v>
      </c>
      <c r="AH2436">
        <v>28.729633747303598</v>
      </c>
      <c r="AI2436">
        <v>92.135609782228201</v>
      </c>
      <c r="AJ2436">
        <v>105.193458453348</v>
      </c>
      <c r="AK2436">
        <v>29.790901022767901</v>
      </c>
      <c r="AL2436">
        <v>87.831397228273204</v>
      </c>
      <c r="AM2436">
        <v>89.633507997786097</v>
      </c>
      <c r="AN2436">
        <v>0.99999994047013996</v>
      </c>
    </row>
    <row r="2437" spans="1:40" x14ac:dyDescent="0.25">
      <c r="A2437" t="str">
        <f>"20190312160341706"</f>
        <v>20190312160341706</v>
      </c>
      <c r="B2437" t="str">
        <f>"1552377821697096"</f>
        <v>1552377821697096</v>
      </c>
      <c r="C2437" t="s">
        <v>40</v>
      </c>
      <c r="D2437">
        <v>5.1768080000000003</v>
      </c>
      <c r="E2437">
        <v>0.39675389999999999</v>
      </c>
      <c r="F2437" t="s">
        <v>79</v>
      </c>
      <c r="G2437">
        <v>-424.00189999999998</v>
      </c>
      <c r="H2437" s="1">
        <v>4.2148020000000003E-6</v>
      </c>
      <c r="I2437">
        <v>277.64150000000001</v>
      </c>
      <c r="J2437">
        <v>-395.01870000000002</v>
      </c>
      <c r="K2437">
        <v>1.1101559999999999</v>
      </c>
      <c r="L2437">
        <v>285.25659999999999</v>
      </c>
      <c r="M2437">
        <v>-0.99989269999999997</v>
      </c>
      <c r="N2437">
        <v>0</v>
      </c>
      <c r="O2437">
        <v>7.8724199999999998E-3</v>
      </c>
      <c r="P2437">
        <v>-0.99957079999999998</v>
      </c>
      <c r="Q2437">
        <v>2.5580559999999999E-2</v>
      </c>
      <c r="R2437">
        <v>1.4293999999999999E-2</v>
      </c>
      <c r="S2437">
        <v>-3.0155029999999998</v>
      </c>
      <c r="T2437">
        <v>-0.11492719999999999</v>
      </c>
      <c r="U2437">
        <v>-0.78823849999999995</v>
      </c>
      <c r="V2437">
        <v>6.4166479999999996E-3</v>
      </c>
      <c r="W2437">
        <v>3.7938380000000001E-2</v>
      </c>
      <c r="X2437">
        <v>0.99925949999999997</v>
      </c>
      <c r="Y2437">
        <v>-0.26032509999999998</v>
      </c>
      <c r="Z2437">
        <v>-5.1721930000000003E-3</v>
      </c>
      <c r="AA2437">
        <v>0.96550709999999995</v>
      </c>
      <c r="AB2437">
        <v>27</v>
      </c>
      <c r="AC2437">
        <v>-28.983199999999901</v>
      </c>
      <c r="AD2437">
        <v>-1.1101517851979901</v>
      </c>
      <c r="AE2437">
        <v>-7.6150999999999804</v>
      </c>
      <c r="AF2437">
        <v>-7.8323002716980001</v>
      </c>
      <c r="AG2437">
        <v>-1.1101517851979901</v>
      </c>
      <c r="AH2437">
        <v>28.8827092505766</v>
      </c>
      <c r="AI2437">
        <v>92.124513823078004</v>
      </c>
      <c r="AJ2437">
        <v>105.172363120843</v>
      </c>
      <c r="AK2437">
        <v>29.9464231284066</v>
      </c>
      <c r="AL2437">
        <v>87.825769208449202</v>
      </c>
      <c r="AM2437">
        <v>89.632085763596294</v>
      </c>
      <c r="AN2437">
        <v>1.00000002119441</v>
      </c>
    </row>
    <row r="2438" spans="1:40" x14ac:dyDescent="0.25">
      <c r="A2438" t="str">
        <f>"20190312160341719"</f>
        <v>20190312160341719</v>
      </c>
      <c r="B2438" t="str">
        <f>"1552377821706857"</f>
        <v>1552377821706857</v>
      </c>
      <c r="C2438" t="s">
        <v>40</v>
      </c>
      <c r="D2438">
        <v>5.1751069999999997</v>
      </c>
      <c r="E2438">
        <v>0.39665089999999997</v>
      </c>
      <c r="F2438" t="s">
        <v>79</v>
      </c>
      <c r="G2438">
        <v>-423.9932</v>
      </c>
      <c r="H2438" s="1">
        <v>4.207946E-6</v>
      </c>
      <c r="I2438">
        <v>277.67320000000001</v>
      </c>
      <c r="J2438">
        <v>-395.16390000000001</v>
      </c>
      <c r="K2438">
        <v>1.1101570000000001</v>
      </c>
      <c r="L2438">
        <v>285.2577</v>
      </c>
      <c r="M2438">
        <v>-0.99989320000000004</v>
      </c>
      <c r="N2438">
        <v>0</v>
      </c>
      <c r="O2438">
        <v>7.8060830000000001E-3</v>
      </c>
      <c r="P2438">
        <v>-0.99956210000000001</v>
      </c>
      <c r="Q2438">
        <v>2.586869E-2</v>
      </c>
      <c r="R2438">
        <v>1.4366240000000001E-2</v>
      </c>
      <c r="S2438">
        <v>-3.015533</v>
      </c>
      <c r="T2438">
        <v>-0.1155397</v>
      </c>
      <c r="U2438">
        <v>-0.78924559999999999</v>
      </c>
      <c r="V2438">
        <v>6.5549170000000004E-3</v>
      </c>
      <c r="W2438">
        <v>3.8226179999999998E-2</v>
      </c>
      <c r="X2438">
        <v>0.99924760000000001</v>
      </c>
      <c r="Y2438">
        <v>-0.26055840000000002</v>
      </c>
      <c r="Z2438">
        <v>-5.2013670000000001E-3</v>
      </c>
      <c r="AA2438">
        <v>0.96544410000000003</v>
      </c>
      <c r="AB2438">
        <v>27</v>
      </c>
      <c r="AC2438">
        <v>-28.8292999999999</v>
      </c>
      <c r="AD2438">
        <v>-1.110152792054</v>
      </c>
      <c r="AE2438">
        <v>-7.5844999999999896</v>
      </c>
      <c r="AF2438">
        <v>-7.7985145056700302</v>
      </c>
      <c r="AG2438">
        <v>-1.110152792054</v>
      </c>
      <c r="AH2438">
        <v>28.729368075280899</v>
      </c>
      <c r="AI2438">
        <v>92.135698403011205</v>
      </c>
      <c r="AJ2438">
        <v>105.186846187</v>
      </c>
      <c r="AK2438">
        <v>29.789693817188201</v>
      </c>
      <c r="AL2438">
        <v>87.809267438103006</v>
      </c>
      <c r="AM2438">
        <v>89.624153520932595</v>
      </c>
      <c r="AN2438">
        <v>0.99999998694001402</v>
      </c>
    </row>
    <row r="2439" spans="1:40" x14ac:dyDescent="0.25">
      <c r="A2439" t="str">
        <f>"20190312160341740"</f>
        <v>20190312160341740</v>
      </c>
      <c r="B2439" t="str">
        <f>"1552377821737113"</f>
        <v>1552377821737113</v>
      </c>
      <c r="C2439" t="s">
        <v>40</v>
      </c>
      <c r="D2439">
        <v>4.9013849999999897</v>
      </c>
      <c r="E2439">
        <v>0.3765732</v>
      </c>
      <c r="F2439" t="s">
        <v>79</v>
      </c>
      <c r="G2439">
        <v>-424.45030000000003</v>
      </c>
      <c r="H2439" s="1">
        <v>4.1502370000000001E-6</v>
      </c>
      <c r="I2439">
        <v>277.5849</v>
      </c>
      <c r="J2439">
        <v>-395.4178</v>
      </c>
      <c r="K2439">
        <v>1.1101529999999999</v>
      </c>
      <c r="L2439">
        <v>285.2595</v>
      </c>
      <c r="M2439">
        <v>-0.99989399999999995</v>
      </c>
      <c r="N2439">
        <v>0</v>
      </c>
      <c r="O2439">
        <v>7.6892080000000003E-3</v>
      </c>
      <c r="P2439">
        <v>-0.99954609999999999</v>
      </c>
      <c r="Q2439">
        <v>2.6363129999999999E-2</v>
      </c>
      <c r="R2439">
        <v>1.4584E-2</v>
      </c>
      <c r="S2439">
        <v>-3.015625</v>
      </c>
      <c r="T2439">
        <v>-0.11431239999999999</v>
      </c>
      <c r="U2439">
        <v>-0.79006960000000004</v>
      </c>
      <c r="V2439">
        <v>6.8895500000000004E-3</v>
      </c>
      <c r="W2439">
        <v>3.8720289999999997E-2</v>
      </c>
      <c r="X2439">
        <v>0.99922630000000001</v>
      </c>
      <c r="Y2439">
        <v>-0.26068920000000001</v>
      </c>
      <c r="Z2439">
        <v>-5.143908E-3</v>
      </c>
      <c r="AA2439">
        <v>0.96540910000000002</v>
      </c>
      <c r="AB2439">
        <v>27</v>
      </c>
      <c r="AC2439">
        <v>-29.032499999999999</v>
      </c>
      <c r="AD2439">
        <v>-1.1101488497630001</v>
      </c>
      <c r="AE2439">
        <v>-7.6745999999999901</v>
      </c>
      <c r="AF2439">
        <v>-7.8868484740410203</v>
      </c>
      <c r="AG2439">
        <v>-1.1101488497630001</v>
      </c>
      <c r="AH2439">
        <v>28.933083924001899</v>
      </c>
      <c r="AI2439">
        <v>92.120054720126006</v>
      </c>
      <c r="AJ2439">
        <v>105.247759335105</v>
      </c>
      <c r="AK2439">
        <v>30.009301136055399</v>
      </c>
      <c r="AL2439">
        <v>87.7809359902907</v>
      </c>
      <c r="AM2439">
        <v>89.604958473720799</v>
      </c>
      <c r="AN2439">
        <v>0.99999996268428704</v>
      </c>
    </row>
    <row r="2440" spans="1:40" x14ac:dyDescent="0.25">
      <c r="A2440" t="str">
        <f>"20190312160341752"</f>
        <v>20190312160341752</v>
      </c>
      <c r="B2440" t="str">
        <f>"1552377821746873"</f>
        <v>1552377821746873</v>
      </c>
      <c r="C2440" t="s">
        <v>40</v>
      </c>
      <c r="D2440">
        <v>3.7319619999999998</v>
      </c>
      <c r="E2440">
        <v>0.3765732</v>
      </c>
      <c r="F2440" t="s">
        <v>79</v>
      </c>
      <c r="G2440">
        <v>-431.47199999999998</v>
      </c>
      <c r="H2440">
        <v>8.0001569999999994E-2</v>
      </c>
      <c r="I2440">
        <v>273.92619999999999</v>
      </c>
      <c r="J2440">
        <v>-395.56950000000001</v>
      </c>
      <c r="K2440">
        <v>1.110152</v>
      </c>
      <c r="L2440">
        <v>285.26060000000001</v>
      </c>
      <c r="M2440">
        <v>-0.99989459999999997</v>
      </c>
      <c r="N2440">
        <v>0</v>
      </c>
      <c r="O2440">
        <v>7.6190009999999898E-3</v>
      </c>
      <c r="P2440">
        <v>-0.99954310000000002</v>
      </c>
      <c r="Q2440">
        <v>2.641779E-2</v>
      </c>
      <c r="R2440">
        <v>1.46886E-2</v>
      </c>
      <c r="S2440">
        <v>-3.017487</v>
      </c>
      <c r="T2440">
        <v>-8.6216570000000006E-2</v>
      </c>
      <c r="U2440">
        <v>-0.94851680000000005</v>
      </c>
      <c r="V2440">
        <v>7.0643829999999996E-3</v>
      </c>
      <c r="W2440">
        <v>3.8774610000000001E-2</v>
      </c>
      <c r="X2440">
        <v>0.99922299999999997</v>
      </c>
      <c r="Y2440">
        <v>-0.30701709999999999</v>
      </c>
      <c r="Z2440">
        <v>-4.4945779999999999E-3</v>
      </c>
      <c r="AA2440">
        <v>0.95169340000000002</v>
      </c>
      <c r="AB2440">
        <v>27</v>
      </c>
      <c r="AC2440">
        <v>-35.902499999999897</v>
      </c>
      <c r="AD2440">
        <v>-1.03015043</v>
      </c>
      <c r="AE2440">
        <v>-11.3344</v>
      </c>
      <c r="AF2440">
        <v>-11.5989492469173</v>
      </c>
      <c r="AG2440">
        <v>-1.03015043</v>
      </c>
      <c r="AH2440">
        <v>35.788300703931597</v>
      </c>
      <c r="AI2440">
        <v>91.568500547911597</v>
      </c>
      <c r="AJ2440">
        <v>107.95745288953999</v>
      </c>
      <c r="AK2440">
        <v>37.635080720200698</v>
      </c>
      <c r="AL2440">
        <v>87.777821404747499</v>
      </c>
      <c r="AM2440">
        <v>89.594932675438102</v>
      </c>
      <c r="AN2440">
        <v>0.99999998980841098</v>
      </c>
    </row>
    <row r="2441" spans="1:40" x14ac:dyDescent="0.25">
      <c r="A2441" t="str">
        <f>"20190312160341764"</f>
        <v>20190312160341764</v>
      </c>
      <c r="B2441" t="str">
        <f>"1552377821756632"</f>
        <v>1552377821756632</v>
      </c>
      <c r="C2441" t="s">
        <v>40</v>
      </c>
      <c r="D2441">
        <v>4.5669750000000002</v>
      </c>
      <c r="E2441">
        <v>0.3765732</v>
      </c>
      <c r="F2441" t="s">
        <v>79</v>
      </c>
      <c r="G2441">
        <v>-431.75639999999999</v>
      </c>
      <c r="H2441">
        <v>8.0001569999999994E-2</v>
      </c>
      <c r="I2441">
        <v>273.88959999999997</v>
      </c>
      <c r="J2441">
        <v>-395.7242</v>
      </c>
      <c r="K2441">
        <v>1.1101529999999999</v>
      </c>
      <c r="L2441">
        <v>285.26170000000002</v>
      </c>
      <c r="M2441">
        <v>-0.99989519999999998</v>
      </c>
      <c r="N2441">
        <v>0</v>
      </c>
      <c r="O2441">
        <v>7.547659E-3</v>
      </c>
      <c r="P2441">
        <v>-0.99954869999999996</v>
      </c>
      <c r="Q2441">
        <v>2.612712E-2</v>
      </c>
      <c r="R2441">
        <v>1.483314E-2</v>
      </c>
      <c r="S2441">
        <v>-3.0175779999999999</v>
      </c>
      <c r="T2441">
        <v>-8.5902930000000002E-2</v>
      </c>
      <c r="U2441">
        <v>-0.94821169999999999</v>
      </c>
      <c r="V2441">
        <v>7.2804059999999997E-3</v>
      </c>
      <c r="W2441">
        <v>3.8483950000000003E-2</v>
      </c>
      <c r="X2441">
        <v>0.99923269999999997</v>
      </c>
      <c r="Y2441">
        <v>-0.30685420000000002</v>
      </c>
      <c r="Z2441">
        <v>-4.4739239999999998E-3</v>
      </c>
      <c r="AA2441">
        <v>0.95174599999999998</v>
      </c>
      <c r="AB2441">
        <v>27</v>
      </c>
      <c r="AC2441">
        <v>-36.032199999999897</v>
      </c>
      <c r="AD2441">
        <v>-1.0301514300000001</v>
      </c>
      <c r="AE2441">
        <v>-11.3721</v>
      </c>
      <c r="AF2441">
        <v>-11.6351068078597</v>
      </c>
      <c r="AG2441">
        <v>-1.0301514300000001</v>
      </c>
      <c r="AH2441">
        <v>35.9186347880024</v>
      </c>
      <c r="AI2441">
        <v>91.562891022623205</v>
      </c>
      <c r="AJ2441">
        <v>107.948670653383</v>
      </c>
      <c r="AK2441">
        <v>37.770163455205399</v>
      </c>
      <c r="AL2441">
        <v>87.794487466323602</v>
      </c>
      <c r="AM2441">
        <v>89.582550535183501</v>
      </c>
      <c r="AN2441">
        <v>1.0000000037342001</v>
      </c>
    </row>
    <row r="2442" spans="1:40" x14ac:dyDescent="0.25">
      <c r="A2442" t="str">
        <f>"20190312160341847"</f>
        <v>20190312160341847</v>
      </c>
      <c r="B2442" t="str">
        <f>"1552377821836665"</f>
        <v>1552377821836665</v>
      </c>
      <c r="C2442" t="s">
        <v>40</v>
      </c>
      <c r="D2442">
        <v>4.815849</v>
      </c>
      <c r="E2442">
        <v>0.3765732</v>
      </c>
      <c r="F2442" t="s">
        <v>79</v>
      </c>
      <c r="G2442">
        <v>-431.53910000000002</v>
      </c>
      <c r="H2442">
        <v>8.0001539999999996E-2</v>
      </c>
      <c r="I2442">
        <v>274.01659999999998</v>
      </c>
      <c r="J2442">
        <v>-396.73480000000001</v>
      </c>
      <c r="K2442">
        <v>1.110158</v>
      </c>
      <c r="L2442">
        <v>285.26859999999999</v>
      </c>
      <c r="M2442">
        <v>-0.99989859999999997</v>
      </c>
      <c r="N2442">
        <v>0</v>
      </c>
      <c r="O2442">
        <v>7.0822319999999999E-3</v>
      </c>
      <c r="P2442">
        <v>-0.99953689999999995</v>
      </c>
      <c r="Q2442">
        <v>2.6559099999999999E-2</v>
      </c>
      <c r="R2442">
        <v>1.4868839999999999E-2</v>
      </c>
      <c r="S2442">
        <v>-3.0177610000000001</v>
      </c>
      <c r="T2442">
        <v>-8.6800459999999996E-2</v>
      </c>
      <c r="U2442">
        <v>-0.94750979999999996</v>
      </c>
      <c r="V2442">
        <v>7.78144199999999E-3</v>
      </c>
      <c r="W2442">
        <v>3.8915169999999999E-2</v>
      </c>
      <c r="X2442">
        <v>0.99921219999999999</v>
      </c>
      <c r="Y2442">
        <v>-0.30619109999999899</v>
      </c>
      <c r="Z2442">
        <v>-4.4981530000000004E-3</v>
      </c>
      <c r="AA2442">
        <v>0.95195940000000001</v>
      </c>
      <c r="AB2442">
        <v>27</v>
      </c>
      <c r="AC2442">
        <v>-34.804299999999998</v>
      </c>
      <c r="AD2442">
        <v>-1.0301564599999999</v>
      </c>
      <c r="AE2442">
        <v>-11.252000000000001</v>
      </c>
      <c r="AF2442">
        <v>-11.4891158566678</v>
      </c>
      <c r="AG2442">
        <v>-1.0301564599999999</v>
      </c>
      <c r="AH2442">
        <v>34.696211568216498</v>
      </c>
      <c r="AI2442">
        <v>91.614491516876399</v>
      </c>
      <c r="AJ2442">
        <v>108.321493387274</v>
      </c>
      <c r="AK2442">
        <v>36.563480450942599</v>
      </c>
      <c r="AL2442">
        <v>87.769761807204603</v>
      </c>
      <c r="AM2442">
        <v>89.553813721929998</v>
      </c>
      <c r="AN2442">
        <v>0.99999998096228304</v>
      </c>
    </row>
    <row r="2443" spans="1:40" x14ac:dyDescent="0.25">
      <c r="A2443" t="str">
        <f>"20190312160341864"</f>
        <v>20190312160341864</v>
      </c>
      <c r="B2443" t="str">
        <f>"1552377821857161"</f>
        <v>1552377821857161</v>
      </c>
      <c r="C2443" t="s">
        <v>40</v>
      </c>
      <c r="D2443">
        <v>5.6045829999999999</v>
      </c>
      <c r="E2443">
        <v>0.49255320000000002</v>
      </c>
      <c r="F2443" t="s">
        <v>79</v>
      </c>
      <c r="G2443">
        <v>-433.34480000000002</v>
      </c>
      <c r="H2443">
        <v>8.0001530000000001E-2</v>
      </c>
      <c r="I2443">
        <v>273.77300000000002</v>
      </c>
      <c r="J2443">
        <v>-396.94389999999999</v>
      </c>
      <c r="K2443">
        <v>1.110161</v>
      </c>
      <c r="L2443">
        <v>285.27</v>
      </c>
      <c r="M2443">
        <v>-0.99989910000000004</v>
      </c>
      <c r="N2443">
        <v>0</v>
      </c>
      <c r="O2443">
        <v>6.9859759999999996E-3</v>
      </c>
      <c r="P2443">
        <v>-0.99952039999999998</v>
      </c>
      <c r="Q2443">
        <v>2.7070460000000001E-2</v>
      </c>
      <c r="R2443">
        <v>1.5041189999999999E-2</v>
      </c>
      <c r="S2443">
        <v>-3.0177309999999999</v>
      </c>
      <c r="T2443">
        <v>-8.4914799999999999E-2</v>
      </c>
      <c r="U2443">
        <v>-0.94757080000000005</v>
      </c>
      <c r="V2443">
        <v>8.0499170000000002E-3</v>
      </c>
      <c r="W2443">
        <v>3.9426429999999998E-2</v>
      </c>
      <c r="X2443">
        <v>0.99919000000000002</v>
      </c>
      <c r="Y2443">
        <v>-0.30612489999999998</v>
      </c>
      <c r="Z2443">
        <v>-4.3969459999999997E-3</v>
      </c>
      <c r="AA2443">
        <v>0.95198119999999997</v>
      </c>
      <c r="AB2443">
        <v>27</v>
      </c>
      <c r="AC2443">
        <v>-36.4009</v>
      </c>
      <c r="AD2443">
        <v>-1.0301594700000001</v>
      </c>
      <c r="AE2443">
        <v>-11.497</v>
      </c>
      <c r="AF2443">
        <v>-11.7424830651518</v>
      </c>
      <c r="AG2443">
        <v>-1.0301594700000001</v>
      </c>
      <c r="AH2443">
        <v>36.293256681044099</v>
      </c>
      <c r="AI2443">
        <v>91.546953129813801</v>
      </c>
      <c r="AJ2443">
        <v>107.928701592556</v>
      </c>
      <c r="AK2443">
        <v>38.1595023236043</v>
      </c>
      <c r="AL2443">
        <v>87.740446198018503</v>
      </c>
      <c r="AM2443">
        <v>89.538409820861105</v>
      </c>
      <c r="AN2443">
        <v>0.99999995032312405</v>
      </c>
    </row>
    <row r="2444" spans="1:40" x14ac:dyDescent="0.25">
      <c r="A2444" t="str">
        <f>"20190312160341884"</f>
        <v>20190312160341884</v>
      </c>
      <c r="B2444" t="str">
        <f>"1552377821876681"</f>
        <v>1552377821876681</v>
      </c>
      <c r="C2444" t="s">
        <v>40</v>
      </c>
      <c r="D2444">
        <v>5.209454</v>
      </c>
      <c r="E2444">
        <v>0.49255320000000002</v>
      </c>
      <c r="F2444" t="s">
        <v>49</v>
      </c>
      <c r="G2444">
        <v>-397.66269999999997</v>
      </c>
      <c r="H2444">
        <v>0.93651099999999998</v>
      </c>
      <c r="I2444">
        <v>285.2586</v>
      </c>
      <c r="J2444">
        <v>-397.19839999999999</v>
      </c>
      <c r="K2444">
        <v>1.1101540000000001</v>
      </c>
      <c r="L2444">
        <v>285.27159999999998</v>
      </c>
      <c r="M2444">
        <v>-0.99990000000000001</v>
      </c>
      <c r="N2444">
        <v>0</v>
      </c>
      <c r="O2444">
        <v>6.8683859999999998E-3</v>
      </c>
      <c r="P2444">
        <v>-0.99951509999999999</v>
      </c>
      <c r="Q2444">
        <v>2.7220129999999999E-2</v>
      </c>
      <c r="R2444">
        <v>1.5128519999999999E-2</v>
      </c>
      <c r="S2444">
        <v>-3.0219420000000001</v>
      </c>
      <c r="T2444">
        <v>-0.73022869999999995</v>
      </c>
      <c r="U2444">
        <v>-4.9804689999999999E-2</v>
      </c>
      <c r="V2444">
        <v>8.2549709999999998E-3</v>
      </c>
      <c r="W2444">
        <v>3.9576029999999998E-2</v>
      </c>
      <c r="X2444">
        <v>0.99918249999999997</v>
      </c>
      <c r="Y2444">
        <v>-2.250127E-2</v>
      </c>
      <c r="Z2444">
        <v>-4.3160639999999997E-3</v>
      </c>
      <c r="AA2444">
        <v>0.99973749999999995</v>
      </c>
      <c r="AB2444">
        <v>27</v>
      </c>
      <c r="AC2444">
        <v>-0.46429999999998001</v>
      </c>
      <c r="AD2444">
        <v>-0.17364299999999999</v>
      </c>
      <c r="AE2444">
        <v>-1.2999999999976799E-2</v>
      </c>
      <c r="AF2444">
        <v>-1.4203829044276599E-2</v>
      </c>
      <c r="AG2444">
        <v>-0.17364299999999999</v>
      </c>
      <c r="AH2444">
        <v>0.40727920017163</v>
      </c>
      <c r="AI2444">
        <v>113.078357597506</v>
      </c>
      <c r="AJ2444">
        <v>91.997376145678601</v>
      </c>
      <c r="AK2444">
        <v>0.44297854022623001</v>
      </c>
      <c r="AL2444">
        <v>87.7318682517502</v>
      </c>
      <c r="AM2444">
        <v>89.526648797791395</v>
      </c>
      <c r="AN2444">
        <v>1.0000000375015099</v>
      </c>
    </row>
    <row r="2445" spans="1:40" x14ac:dyDescent="0.25">
      <c r="A2445" t="str">
        <f>"20190312160341897"</f>
        <v>20190312160341897</v>
      </c>
      <c r="B2445" t="str">
        <f>"1552377821887417"</f>
        <v>1552377821887417</v>
      </c>
      <c r="C2445" t="s">
        <v>40</v>
      </c>
      <c r="D2445">
        <v>5.005344</v>
      </c>
      <c r="E2445">
        <v>0.48749189999999998</v>
      </c>
      <c r="F2445" t="s">
        <v>49</v>
      </c>
      <c r="G2445">
        <v>-397.90859999999998</v>
      </c>
      <c r="H2445">
        <v>0.93864740000000002</v>
      </c>
      <c r="I2445">
        <v>285.26010000000002</v>
      </c>
      <c r="J2445">
        <v>-397.34800000000001</v>
      </c>
      <c r="K2445">
        <v>1.1101510000000001</v>
      </c>
      <c r="L2445">
        <v>285.27260000000001</v>
      </c>
      <c r="M2445">
        <v>-0.99990049999999997</v>
      </c>
      <c r="N2445">
        <v>0</v>
      </c>
      <c r="O2445">
        <v>6.7993669999999997E-3</v>
      </c>
      <c r="P2445">
        <v>-0.99951559999999995</v>
      </c>
      <c r="Q2445">
        <v>2.7297140000000001E-2</v>
      </c>
      <c r="R2445">
        <v>1.4955370000000001E-2</v>
      </c>
      <c r="S2445">
        <v>-3.0220639999999999</v>
      </c>
      <c r="T2445">
        <v>-0.72981809999999903</v>
      </c>
      <c r="U2445">
        <v>-4.9041750000000002E-2</v>
      </c>
      <c r="V2445">
        <v>8.1507330000000003E-3</v>
      </c>
      <c r="W2445">
        <v>3.9652739999999999E-2</v>
      </c>
      <c r="X2445">
        <v>0.99918030000000002</v>
      </c>
      <c r="Y2445">
        <v>-2.219117E-2</v>
      </c>
      <c r="Z2445">
        <v>-4.2602009999999999E-3</v>
      </c>
      <c r="AA2445">
        <v>0.99974470000000004</v>
      </c>
      <c r="AB2445">
        <v>27</v>
      </c>
      <c r="AC2445">
        <v>-0.56059999999996502</v>
      </c>
      <c r="AD2445">
        <v>-0.17150360000000001</v>
      </c>
      <c r="AE2445">
        <v>-1.24999999999886E-2</v>
      </c>
      <c r="AF2445">
        <v>-1.4916363715627001E-2</v>
      </c>
      <c r="AG2445">
        <v>-0.17150360000000001</v>
      </c>
      <c r="AH2445">
        <v>0.51255468773752799</v>
      </c>
      <c r="AI2445">
        <v>108.493226138399</v>
      </c>
      <c r="AJ2445">
        <v>91.666950973101294</v>
      </c>
      <c r="AK2445">
        <v>0.54069241777666099</v>
      </c>
      <c r="AL2445">
        <v>87.727469607136598</v>
      </c>
      <c r="AM2445">
        <v>89.532624649835597</v>
      </c>
      <c r="AN2445">
        <v>1.0000000230730099</v>
      </c>
    </row>
    <row r="2446" spans="1:40" x14ac:dyDescent="0.25">
      <c r="A2446" t="str">
        <f>"20190312160341908"</f>
        <v>20190312160341908</v>
      </c>
      <c r="B2446" t="str">
        <f>"1552377821897177"</f>
        <v>1552377821897177</v>
      </c>
      <c r="C2446" t="s">
        <v>40</v>
      </c>
      <c r="D2446">
        <v>5.042681</v>
      </c>
      <c r="E2446">
        <v>0.4901237</v>
      </c>
      <c r="F2446" t="s">
        <v>79</v>
      </c>
      <c r="G2446">
        <v>-433.07589999999999</v>
      </c>
      <c r="H2446" s="1">
        <v>3.5886779999999999E-6</v>
      </c>
      <c r="I2446">
        <v>284.52870000000001</v>
      </c>
      <c r="J2446">
        <v>-397.49509999999998</v>
      </c>
      <c r="K2446">
        <v>1.1101529999999999</v>
      </c>
      <c r="L2446">
        <v>285.27339999999998</v>
      </c>
      <c r="M2446">
        <v>-0.99990089999999998</v>
      </c>
      <c r="N2446">
        <v>0</v>
      </c>
      <c r="O2446">
        <v>6.7316590000000001E-3</v>
      </c>
      <c r="P2446">
        <v>-0.99951710000000005</v>
      </c>
      <c r="Q2446">
        <v>2.7147029999999999E-2</v>
      </c>
      <c r="R2446">
        <v>1.511825E-2</v>
      </c>
      <c r="S2446">
        <v>-3.0049130000000002</v>
      </c>
      <c r="T2446">
        <v>-9.3369480000000005E-2</v>
      </c>
      <c r="U2446">
        <v>-6.2561039999999998E-2</v>
      </c>
      <c r="V2446">
        <v>8.3812850000000005E-3</v>
      </c>
      <c r="W2446">
        <v>3.9502660000000002E-2</v>
      </c>
      <c r="X2446">
        <v>0.99918430000000003</v>
      </c>
      <c r="Y2446">
        <v>-2.7528790000000001E-2</v>
      </c>
      <c r="Z2446">
        <v>-6.3665480000000001E-4</v>
      </c>
      <c r="AA2446">
        <v>0.99962079999999998</v>
      </c>
      <c r="AB2446">
        <v>27</v>
      </c>
      <c r="AC2446">
        <v>-35.580800000000004</v>
      </c>
      <c r="AD2446">
        <v>-1.1101494113220001</v>
      </c>
      <c r="AE2446">
        <v>-0.74469999999996594</v>
      </c>
      <c r="AF2446">
        <v>-0.98326246992751898</v>
      </c>
      <c r="AG2446">
        <v>-1.1101494113220001</v>
      </c>
      <c r="AH2446">
        <v>35.540397173578803</v>
      </c>
      <c r="AI2446">
        <v>91.788440784873799</v>
      </c>
      <c r="AJ2446">
        <v>91.584743761137702</v>
      </c>
      <c r="AK2446">
        <v>35.571323675904402</v>
      </c>
      <c r="AL2446">
        <v>87.736075215536005</v>
      </c>
      <c r="AM2446">
        <v>89.519406985092601</v>
      </c>
      <c r="AN2446">
        <v>0.99999998572590798</v>
      </c>
    </row>
    <row r="2447" spans="1:40" x14ac:dyDescent="0.25">
      <c r="A2447" t="str">
        <f>"20190312160341921"</f>
        <v>20190312160341921</v>
      </c>
      <c r="B2447" t="str">
        <f>"1552377821916696"</f>
        <v>1552377821916696</v>
      </c>
      <c r="C2447" t="s">
        <v>40</v>
      </c>
      <c r="D2447">
        <v>4.9986069999999998</v>
      </c>
      <c r="E2447">
        <v>0.48909390000000003</v>
      </c>
      <c r="F2447" t="s">
        <v>79</v>
      </c>
      <c r="G2447">
        <v>-433.32089999999999</v>
      </c>
      <c r="H2447" s="1">
        <v>3.674956E-6</v>
      </c>
      <c r="I2447">
        <v>284.78469999999999</v>
      </c>
      <c r="J2447">
        <v>-397.64479999999998</v>
      </c>
      <c r="K2447">
        <v>1.110152</v>
      </c>
      <c r="L2447">
        <v>285.27440000000001</v>
      </c>
      <c r="M2447">
        <v>-0.99990140000000005</v>
      </c>
      <c r="N2447">
        <v>0</v>
      </c>
      <c r="O2447">
        <v>6.6631140000000004E-3</v>
      </c>
      <c r="P2447">
        <v>-0.99951290000000004</v>
      </c>
      <c r="Q2447">
        <v>2.7212750000000001E-2</v>
      </c>
      <c r="R2447">
        <v>1.5278419999999999E-2</v>
      </c>
      <c r="S2447">
        <v>-3.004578</v>
      </c>
      <c r="T2447">
        <v>-9.3104000000000006E-2</v>
      </c>
      <c r="U2447">
        <v>-4.0985109999999998E-2</v>
      </c>
      <c r="V2447">
        <v>8.6100359999999997E-3</v>
      </c>
      <c r="W2447">
        <v>3.9568409999999998E-2</v>
      </c>
      <c r="X2447">
        <v>0.99917979999999995</v>
      </c>
      <c r="Y2447">
        <v>-2.0289390000000001E-2</v>
      </c>
      <c r="Z2447">
        <v>-5.2069789999999996E-4</v>
      </c>
      <c r="AA2447">
        <v>0.99979399999999996</v>
      </c>
      <c r="AB2447">
        <v>27</v>
      </c>
      <c r="AC2447">
        <v>-35.676099999999998</v>
      </c>
      <c r="AD2447">
        <v>-1.1101483250440001</v>
      </c>
      <c r="AE2447">
        <v>-0.489700000000027</v>
      </c>
      <c r="AF2447">
        <v>-0.72671766773103996</v>
      </c>
      <c r="AG2447">
        <v>-1.1101483250440001</v>
      </c>
      <c r="AH2447">
        <v>35.637543614803498</v>
      </c>
      <c r="AI2447">
        <v>91.783878371630905</v>
      </c>
      <c r="AJ2447">
        <v>91.168208609541495</v>
      </c>
      <c r="AK2447">
        <v>35.662235807212198</v>
      </c>
      <c r="AL2447">
        <v>87.732305175925305</v>
      </c>
      <c r="AM2447">
        <v>89.506288543438203</v>
      </c>
      <c r="AN2447">
        <v>1.00000003225894</v>
      </c>
    </row>
    <row r="2448" spans="1:40" x14ac:dyDescent="0.25">
      <c r="A2448" t="str">
        <f>"20190312160341933"</f>
        <v>20190312160341933</v>
      </c>
      <c r="B2448" t="str">
        <f>"1552377821926457"</f>
        <v>1552377821926457</v>
      </c>
      <c r="C2448" t="s">
        <v>40</v>
      </c>
      <c r="D2448">
        <v>5.0423549999999997</v>
      </c>
      <c r="E2448">
        <v>0.48821379999999998</v>
      </c>
      <c r="F2448" t="s">
        <v>79</v>
      </c>
      <c r="G2448">
        <v>-429.37689999999998</v>
      </c>
      <c r="H2448" s="1">
        <v>2.2891810000000001E-6</v>
      </c>
      <c r="I2448">
        <v>284.75490000000002</v>
      </c>
      <c r="J2448">
        <v>-397.78719999999998</v>
      </c>
      <c r="K2448">
        <v>1.1101510000000001</v>
      </c>
      <c r="L2448">
        <v>285.27530000000002</v>
      </c>
      <c r="M2448">
        <v>-0.99990179999999995</v>
      </c>
      <c r="N2448">
        <v>0</v>
      </c>
      <c r="O2448">
        <v>6.5979069999999897E-3</v>
      </c>
      <c r="P2448">
        <v>-0.99951250000000003</v>
      </c>
      <c r="Q2448">
        <v>2.7345560000000001E-2</v>
      </c>
      <c r="R2448">
        <v>1.507439E-2</v>
      </c>
      <c r="S2448">
        <v>-3.0050349999999999</v>
      </c>
      <c r="T2448">
        <v>-0.1051315</v>
      </c>
      <c r="U2448">
        <v>-4.9194340000000003E-2</v>
      </c>
      <c r="V2448">
        <v>8.4712750000000003E-3</v>
      </c>
      <c r="W2448">
        <v>3.9700869999999999E-2</v>
      </c>
      <c r="X2448">
        <v>0.9991757</v>
      </c>
      <c r="Y2448">
        <v>-2.2947539999999999E-2</v>
      </c>
      <c r="Z2448">
        <v>-6.3202349999999996E-4</v>
      </c>
      <c r="AA2448">
        <v>0.99973650000000003</v>
      </c>
      <c r="AB2448">
        <v>27</v>
      </c>
      <c r="AC2448">
        <v>-31.589700000000001</v>
      </c>
      <c r="AD2448">
        <v>-1.110148710819</v>
      </c>
      <c r="AE2448">
        <v>-0.52039999999999498</v>
      </c>
      <c r="AF2448">
        <v>-0.72793174457100995</v>
      </c>
      <c r="AG2448">
        <v>-1.110148710819</v>
      </c>
      <c r="AH2448">
        <v>31.5466285799648</v>
      </c>
      <c r="AI2448">
        <v>92.014912387806405</v>
      </c>
      <c r="AJ2448">
        <v>91.321853353762606</v>
      </c>
      <c r="AK2448">
        <v>31.574548128946201</v>
      </c>
      <c r="AL2448">
        <v>87.724709736824494</v>
      </c>
      <c r="AM2448">
        <v>89.514242914917503</v>
      </c>
      <c r="AN2448">
        <v>1.0000000005246801</v>
      </c>
    </row>
    <row r="2449" spans="1:40" x14ac:dyDescent="0.25">
      <c r="A2449" t="str">
        <f>"20190312160341944"</f>
        <v>20190312160341944</v>
      </c>
      <c r="B2449" t="str">
        <f>"1552377821937192"</f>
        <v>1552377821937192</v>
      </c>
      <c r="C2449" t="s">
        <v>40</v>
      </c>
      <c r="D2449">
        <v>4.9913280000000002</v>
      </c>
      <c r="E2449">
        <v>0.4879329</v>
      </c>
      <c r="F2449" t="s">
        <v>79</v>
      </c>
      <c r="G2449">
        <v>-428.51900000000001</v>
      </c>
      <c r="H2449" s="1">
        <v>2.4469039999999999E-6</v>
      </c>
      <c r="I2449">
        <v>284.69139999999999</v>
      </c>
      <c r="J2449">
        <v>-397.93200000000002</v>
      </c>
      <c r="K2449">
        <v>1.1101559999999999</v>
      </c>
      <c r="L2449">
        <v>285.27620000000002</v>
      </c>
      <c r="M2449">
        <v>-0.99990230000000002</v>
      </c>
      <c r="N2449">
        <v>0</v>
      </c>
      <c r="O2449">
        <v>6.5315080000000001E-3</v>
      </c>
      <c r="P2449">
        <v>-0.99950709999999998</v>
      </c>
      <c r="Q2449">
        <v>2.749368E-2</v>
      </c>
      <c r="R2449">
        <v>1.516463E-2</v>
      </c>
      <c r="S2449">
        <v>-3.00528</v>
      </c>
      <c r="T2449">
        <v>-0.1085619</v>
      </c>
      <c r="U2449">
        <v>-5.7098389999999999E-2</v>
      </c>
      <c r="V2449">
        <v>8.6278129999999998E-3</v>
      </c>
      <c r="W2449">
        <v>3.9849049999999997E-2</v>
      </c>
      <c r="X2449">
        <v>0.99916850000000001</v>
      </c>
      <c r="Y2449">
        <v>-2.5505469999999999E-2</v>
      </c>
      <c r="Z2449">
        <v>-6.9634919999999895E-4</v>
      </c>
      <c r="AA2449">
        <v>0.99967439999999996</v>
      </c>
      <c r="AB2449">
        <v>27</v>
      </c>
      <c r="AC2449">
        <v>-30.587</v>
      </c>
      <c r="AD2449">
        <v>-1.1101535530959901</v>
      </c>
      <c r="AE2449">
        <v>-0.58480000000002896</v>
      </c>
      <c r="AF2449">
        <v>-0.78355020538401299</v>
      </c>
      <c r="AG2449">
        <v>-1.1101535530959901</v>
      </c>
      <c r="AH2449">
        <v>30.542308156841599</v>
      </c>
      <c r="AI2449">
        <v>92.080989722666601</v>
      </c>
      <c r="AJ2449">
        <v>91.469577031496797</v>
      </c>
      <c r="AK2449">
        <v>30.572520003808702</v>
      </c>
      <c r="AL2449">
        <v>87.716213011528893</v>
      </c>
      <c r="AM2449">
        <v>89.505263641280393</v>
      </c>
      <c r="AN2449">
        <v>1.00000003866765</v>
      </c>
    </row>
    <row r="2450" spans="1:40" x14ac:dyDescent="0.25">
      <c r="A2450" t="str">
        <f>"20190312160341956"</f>
        <v>20190312160341956</v>
      </c>
      <c r="B2450" t="str">
        <f>"1552377821946952"</f>
        <v>1552377821946952</v>
      </c>
      <c r="C2450" t="s">
        <v>40</v>
      </c>
      <c r="D2450">
        <v>4.9502739999999896</v>
      </c>
      <c r="E2450">
        <v>0.48876449999999999</v>
      </c>
      <c r="F2450" t="s">
        <v>79</v>
      </c>
      <c r="G2450">
        <v>-426.78949999999998</v>
      </c>
      <c r="H2450" s="1">
        <v>2.7523709999999999E-6</v>
      </c>
      <c r="I2450">
        <v>284.70659999999998</v>
      </c>
      <c r="J2450">
        <v>-398.07209999999998</v>
      </c>
      <c r="K2450">
        <v>1.1101570000000001</v>
      </c>
      <c r="L2450">
        <v>285.27699999999999</v>
      </c>
      <c r="M2450">
        <v>-0.99990270000000003</v>
      </c>
      <c r="N2450">
        <v>0</v>
      </c>
      <c r="O2450">
        <v>6.4674930000000004E-3</v>
      </c>
      <c r="P2450">
        <v>-0.9995079</v>
      </c>
      <c r="Q2450">
        <v>2.752812E-2</v>
      </c>
      <c r="R2450">
        <v>1.504781E-2</v>
      </c>
      <c r="S2450">
        <v>-3.0055239999999999</v>
      </c>
      <c r="T2450">
        <v>-0.1156232</v>
      </c>
      <c r="U2450">
        <v>-5.9326169999999998E-2</v>
      </c>
      <c r="V2450">
        <v>8.5749639999999992E-3</v>
      </c>
      <c r="W2450">
        <v>3.9883830000000002E-2</v>
      </c>
      <c r="X2450">
        <v>0.99916749999999999</v>
      </c>
      <c r="Y2450">
        <v>-2.617738E-2</v>
      </c>
      <c r="Z2450">
        <v>-7.5200119999999896E-4</v>
      </c>
      <c r="AA2450">
        <v>0.99965700000000002</v>
      </c>
      <c r="AB2450">
        <v>27</v>
      </c>
      <c r="AC2450">
        <v>-28.717400000000001</v>
      </c>
      <c r="AD2450">
        <v>-1.1101542476290001</v>
      </c>
      <c r="AE2450">
        <v>-0.57040000000000601</v>
      </c>
      <c r="AF2450">
        <v>-0.75500398208014896</v>
      </c>
      <c r="AG2450">
        <v>-1.1101542476290001</v>
      </c>
      <c r="AH2450">
        <v>28.670281045848402</v>
      </c>
      <c r="AI2450">
        <v>92.2166989213286</v>
      </c>
      <c r="AJ2450">
        <v>91.508480022186504</v>
      </c>
      <c r="AK2450">
        <v>28.701698359407601</v>
      </c>
      <c r="AL2450">
        <v>87.714218525276394</v>
      </c>
      <c r="AM2450">
        <v>89.508293469169303</v>
      </c>
      <c r="AN2450">
        <v>0.99999997147965902</v>
      </c>
    </row>
    <row r="2451" spans="1:40" x14ac:dyDescent="0.25">
      <c r="A2451" t="str">
        <f>"20190312160341968"</f>
        <v>20190312160341968</v>
      </c>
      <c r="B2451" t="str">
        <f>"1552377821956712"</f>
        <v>1552377821956712</v>
      </c>
      <c r="C2451" t="s">
        <v>40</v>
      </c>
      <c r="D2451">
        <v>5.0197180000000001</v>
      </c>
      <c r="E2451">
        <v>0.48941449999999997</v>
      </c>
      <c r="F2451" t="s">
        <v>79</v>
      </c>
      <c r="G2451">
        <v>-423.77289999999999</v>
      </c>
      <c r="H2451" s="1">
        <v>3.277801E-6</v>
      </c>
      <c r="I2451">
        <v>284.81700000000001</v>
      </c>
      <c r="J2451">
        <v>-398.22190000000001</v>
      </c>
      <c r="K2451">
        <v>1.1101559999999999</v>
      </c>
      <c r="L2451">
        <v>285.27789999999999</v>
      </c>
      <c r="M2451">
        <v>-0.99990310000000004</v>
      </c>
      <c r="N2451">
        <v>0</v>
      </c>
      <c r="O2451">
        <v>6.3989490000000001E-3</v>
      </c>
      <c r="P2451">
        <v>-0.9995039</v>
      </c>
      <c r="Q2451">
        <v>2.7704019999999999E-2</v>
      </c>
      <c r="R2451">
        <v>1.499853E-2</v>
      </c>
      <c r="S2451">
        <v>-3.0058590000000001</v>
      </c>
      <c r="T2451">
        <v>-0.1298388</v>
      </c>
      <c r="U2451">
        <v>-5.3802490000000001E-2</v>
      </c>
      <c r="V2451">
        <v>8.5943340000000003E-3</v>
      </c>
      <c r="W2451">
        <v>4.0059160000000003E-2</v>
      </c>
      <c r="X2451">
        <v>0.9991603</v>
      </c>
      <c r="Y2451">
        <v>-2.4265800000000001E-2</v>
      </c>
      <c r="Z2451">
        <v>-8.0007399999999904E-4</v>
      </c>
      <c r="AA2451">
        <v>0.99970519999999996</v>
      </c>
      <c r="AB2451">
        <v>27</v>
      </c>
      <c r="AC2451">
        <v>-25.550999999999899</v>
      </c>
      <c r="AD2451">
        <v>-1.110152722199</v>
      </c>
      <c r="AE2451">
        <v>-0.46089999999998099</v>
      </c>
      <c r="AF2451">
        <v>-0.62322647752389204</v>
      </c>
      <c r="AG2451">
        <v>-1.110152722199</v>
      </c>
      <c r="AH2451">
        <v>25.4994058821473</v>
      </c>
      <c r="AI2451">
        <v>92.492135331862997</v>
      </c>
      <c r="AJ2451">
        <v>91.400077296007595</v>
      </c>
      <c r="AK2451">
        <v>25.531168219479898</v>
      </c>
      <c r="AL2451">
        <v>87.704164776462605</v>
      </c>
      <c r="AM2451">
        <v>89.507179256123194</v>
      </c>
      <c r="AN2451">
        <v>0.99999995198644798</v>
      </c>
    </row>
    <row r="2452" spans="1:40" x14ac:dyDescent="0.25">
      <c r="A2452" t="str">
        <f>"20190312160341986"</f>
        <v>20190312160341986</v>
      </c>
      <c r="B2452" t="str">
        <f>"1552377821977209"</f>
        <v>1552377821977209</v>
      </c>
      <c r="C2452" t="s">
        <v>40</v>
      </c>
      <c r="D2452">
        <v>5.0379430000000003</v>
      </c>
      <c r="E2452">
        <v>0.49010310000000001</v>
      </c>
      <c r="F2452" t="s">
        <v>79</v>
      </c>
      <c r="G2452">
        <v>-420.60930000000002</v>
      </c>
      <c r="H2452" s="1">
        <v>3.8309419999999999E-6</v>
      </c>
      <c r="I2452">
        <v>284.90890000000002</v>
      </c>
      <c r="J2452">
        <v>-398.44400000000002</v>
      </c>
      <c r="K2452">
        <v>1.1101529999999999</v>
      </c>
      <c r="L2452">
        <v>285.2792</v>
      </c>
      <c r="M2452">
        <v>-0.99990380000000001</v>
      </c>
      <c r="N2452">
        <v>0</v>
      </c>
      <c r="O2452">
        <v>6.2967930000000002E-3</v>
      </c>
      <c r="P2452">
        <v>-0.99950479999999997</v>
      </c>
      <c r="Q2452">
        <v>2.769665E-2</v>
      </c>
      <c r="R2452">
        <v>1.4937300000000001E-2</v>
      </c>
      <c r="S2452">
        <v>-3.0064090000000001</v>
      </c>
      <c r="T2452">
        <v>-0.14908250000000001</v>
      </c>
      <c r="U2452">
        <v>-4.9560550000000002E-2</v>
      </c>
      <c r="V2452">
        <v>8.6350030000000005E-3</v>
      </c>
      <c r="W2452">
        <v>4.0052499999999998E-2</v>
      </c>
      <c r="X2452">
        <v>0.9991603</v>
      </c>
      <c r="Y2452">
        <v>-2.274315E-2</v>
      </c>
      <c r="Z2452">
        <v>-8.7557229999999904E-4</v>
      </c>
      <c r="AA2452">
        <v>0.99974099999999999</v>
      </c>
      <c r="AB2452">
        <v>27</v>
      </c>
      <c r="AC2452">
        <v>-22.165299999999998</v>
      </c>
      <c r="AD2452">
        <v>-1.1101491690580001</v>
      </c>
      <c r="AE2452">
        <v>-0.37029999999998597</v>
      </c>
      <c r="AF2452">
        <v>-0.50859815740807401</v>
      </c>
      <c r="AG2452">
        <v>-1.1101491690580001</v>
      </c>
      <c r="AH2452">
        <v>22.107088296159599</v>
      </c>
      <c r="AI2452">
        <v>92.874041636993397</v>
      </c>
      <c r="AJ2452">
        <v>91.317920657458004</v>
      </c>
      <c r="AK2452">
        <v>22.140787163004799</v>
      </c>
      <c r="AL2452">
        <v>87.704546864818397</v>
      </c>
      <c r="AM2452">
        <v>89.504847309135698</v>
      </c>
      <c r="AN2452">
        <v>1.00000003556457</v>
      </c>
    </row>
    <row r="2453" spans="1:40" x14ac:dyDescent="0.25">
      <c r="A2453" t="str">
        <f>"20190312160342008"</f>
        <v>20190312160342008</v>
      </c>
      <c r="B2453" t="str">
        <f>"1552377821996728"</f>
        <v>1552377821996728</v>
      </c>
      <c r="C2453" t="s">
        <v>40</v>
      </c>
      <c r="D2453">
        <v>5.0694269999999904</v>
      </c>
      <c r="E2453">
        <v>0.49059839999999999</v>
      </c>
      <c r="F2453" t="s">
        <v>79</v>
      </c>
      <c r="G2453">
        <v>-418.94589999999999</v>
      </c>
      <c r="H2453" s="1">
        <v>3.7614129999999998E-6</v>
      </c>
      <c r="I2453">
        <v>284.97309999999999</v>
      </c>
      <c r="J2453">
        <v>-398.69909999999999</v>
      </c>
      <c r="K2453">
        <v>1.1101540000000001</v>
      </c>
      <c r="L2453">
        <v>285.28070000000002</v>
      </c>
      <c r="M2453">
        <v>-0.99990460000000003</v>
      </c>
      <c r="N2453">
        <v>0</v>
      </c>
      <c r="O2453">
        <v>6.1791420000000003E-3</v>
      </c>
      <c r="P2453">
        <v>-0.99952200000000002</v>
      </c>
      <c r="Q2453">
        <v>2.726754E-2</v>
      </c>
      <c r="R2453">
        <v>1.458487E-2</v>
      </c>
      <c r="S2453">
        <v>-3.0066830000000002</v>
      </c>
      <c r="T2453">
        <v>-0.16280810000000001</v>
      </c>
      <c r="U2453">
        <v>-4.4891359999999998E-2</v>
      </c>
      <c r="V2453">
        <v>8.4002839999999992E-3</v>
      </c>
      <c r="W2453">
        <v>3.9622730000000002E-2</v>
      </c>
      <c r="X2453">
        <v>0.99917940000000005</v>
      </c>
      <c r="Y2453">
        <v>-2.1067590000000001E-2</v>
      </c>
      <c r="Z2453">
        <v>-9.0429919999999997E-4</v>
      </c>
      <c r="AA2453">
        <v>0.99977760000000004</v>
      </c>
      <c r="AB2453">
        <v>27</v>
      </c>
      <c r="AC2453">
        <v>-20.2468</v>
      </c>
      <c r="AD2453">
        <v>-1.1101502385869999</v>
      </c>
      <c r="AE2453">
        <v>-0.30760000000003601</v>
      </c>
      <c r="AF2453">
        <v>-0.43141480830333101</v>
      </c>
      <c r="AG2453">
        <v>-1.1101502385869999</v>
      </c>
      <c r="AH2453">
        <v>20.183845294918399</v>
      </c>
      <c r="AI2453">
        <v>93.147488308467203</v>
      </c>
      <c r="AJ2453">
        <v>91.224468586311502</v>
      </c>
      <c r="AK2453">
        <v>20.2189555412305</v>
      </c>
      <c r="AL2453">
        <v>87.729190352103103</v>
      </c>
      <c r="AM2453">
        <v>89.518315248664507</v>
      </c>
      <c r="AN2453">
        <v>0.99999999944414597</v>
      </c>
    </row>
    <row r="2454" spans="1:40" x14ac:dyDescent="0.25">
      <c r="A2454" t="str">
        <f>"20190312160342019"</f>
        <v>20190312160342019</v>
      </c>
      <c r="B2454" t="str">
        <f>"1552377822006488"</f>
        <v>1552377822006488</v>
      </c>
      <c r="C2454" t="s">
        <v>40</v>
      </c>
      <c r="D2454">
        <v>5.3332959999999998</v>
      </c>
      <c r="E2454">
        <v>0.49051790000000001</v>
      </c>
      <c r="F2454" t="s">
        <v>79</v>
      </c>
      <c r="G2454">
        <v>-420.17329999999998</v>
      </c>
      <c r="H2454" s="1">
        <v>3.9017780000000003E-6</v>
      </c>
      <c r="I2454">
        <v>284.98329999999999</v>
      </c>
      <c r="J2454">
        <v>-398.85129999999998</v>
      </c>
      <c r="K2454">
        <v>1.1101529999999999</v>
      </c>
      <c r="L2454">
        <v>285.28160000000003</v>
      </c>
      <c r="M2454">
        <v>-0.99990500000000004</v>
      </c>
      <c r="N2454">
        <v>0</v>
      </c>
      <c r="O2454">
        <v>6.1087559999999999E-3</v>
      </c>
      <c r="P2454">
        <v>-0.99952220000000003</v>
      </c>
      <c r="Q2454">
        <v>2.724758E-2</v>
      </c>
      <c r="R2454">
        <v>1.4598969999999999E-2</v>
      </c>
      <c r="S2454">
        <v>-3.0062869999999999</v>
      </c>
      <c r="T2454">
        <v>-0.1554161</v>
      </c>
      <c r="U2454">
        <v>-4.162598E-2</v>
      </c>
      <c r="V2454">
        <v>8.4848459999999903E-3</v>
      </c>
      <c r="W2454">
        <v>3.9603190000000003E-2</v>
      </c>
      <c r="X2454">
        <v>0.9991795</v>
      </c>
      <c r="Y2454">
        <v>-1.991861E-2</v>
      </c>
      <c r="Z2454">
        <v>-8.3010289999999997E-4</v>
      </c>
      <c r="AA2454">
        <v>0.9998013</v>
      </c>
      <c r="AB2454">
        <v>27</v>
      </c>
      <c r="AC2454">
        <v>-21.321999999999999</v>
      </c>
      <c r="AD2454">
        <v>-1.1101490982219999</v>
      </c>
      <c r="AE2454">
        <v>-0.29830000000003998</v>
      </c>
      <c r="AF2454">
        <v>-0.42739688734626602</v>
      </c>
      <c r="AG2454">
        <v>-1.1101490982219999</v>
      </c>
      <c r="AH2454">
        <v>21.2621523259944</v>
      </c>
      <c r="AI2454">
        <v>92.988236524214201</v>
      </c>
      <c r="AJ2454">
        <v>91.151564527218795</v>
      </c>
      <c r="AK2454">
        <v>21.295403744784601</v>
      </c>
      <c r="AL2454">
        <v>87.730310881452397</v>
      </c>
      <c r="AM2454">
        <v>89.513466618708094</v>
      </c>
      <c r="AN2454">
        <v>1.0000000392450299</v>
      </c>
    </row>
    <row r="2455" spans="1:40" x14ac:dyDescent="0.25">
      <c r="A2455" t="str">
        <f>"20190312160342031"</f>
        <v>20190312160342031</v>
      </c>
      <c r="B2455" t="str">
        <f>"1552377822026985"</f>
        <v>1552377822026985</v>
      </c>
      <c r="C2455" t="s">
        <v>40</v>
      </c>
      <c r="D2455">
        <v>5.0728519999999904</v>
      </c>
      <c r="E2455">
        <v>0.49043799999999999</v>
      </c>
      <c r="F2455" t="s">
        <v>79</v>
      </c>
      <c r="G2455">
        <v>-420.99759999999998</v>
      </c>
      <c r="H2455" s="1">
        <v>3.7565139999999999E-6</v>
      </c>
      <c r="I2455">
        <v>284.97239999999999</v>
      </c>
      <c r="J2455">
        <v>-398.99079999999998</v>
      </c>
      <c r="K2455">
        <v>1.1101529999999999</v>
      </c>
      <c r="L2455">
        <v>285.28230000000002</v>
      </c>
      <c r="M2455">
        <v>-0.9999053</v>
      </c>
      <c r="N2455">
        <v>0</v>
      </c>
      <c r="O2455">
        <v>6.044209E-3</v>
      </c>
      <c r="P2455">
        <v>-0.99952019999999997</v>
      </c>
      <c r="Q2455">
        <v>2.7222570000000001E-2</v>
      </c>
      <c r="R2455">
        <v>1.4783370000000001E-2</v>
      </c>
      <c r="S2455">
        <v>-3.0061650000000002</v>
      </c>
      <c r="T2455">
        <v>-0.1506932</v>
      </c>
      <c r="U2455">
        <v>-4.196167E-2</v>
      </c>
      <c r="V2455">
        <v>8.7337939999999996E-3</v>
      </c>
      <c r="W2455">
        <v>3.9577939999999999E-2</v>
      </c>
      <c r="X2455">
        <v>0.99917829999999996</v>
      </c>
      <c r="Y2455">
        <v>-1.9968349999999999E-2</v>
      </c>
      <c r="Z2455">
        <v>-8.0295360000000001E-4</v>
      </c>
      <c r="AA2455">
        <v>0.99980029999999998</v>
      </c>
      <c r="AB2455">
        <v>27</v>
      </c>
      <c r="AC2455">
        <v>-22.006799999999998</v>
      </c>
      <c r="AD2455">
        <v>-1.1101492434860001</v>
      </c>
      <c r="AE2455">
        <v>-0.30990000000002699</v>
      </c>
      <c r="AF2455">
        <v>-0.44179416162986801</v>
      </c>
      <c r="AG2455">
        <v>-1.1101492434860001</v>
      </c>
      <c r="AH2455">
        <v>21.9486813858829</v>
      </c>
      <c r="AI2455">
        <v>92.894928335653901</v>
      </c>
      <c r="AJ2455">
        <v>91.153122717995402</v>
      </c>
      <c r="AK2455">
        <v>21.981178949343601</v>
      </c>
      <c r="AL2455">
        <v>87.731758609231306</v>
      </c>
      <c r="AM2455">
        <v>89.499191694436107</v>
      </c>
      <c r="AN2455">
        <v>0.99999998384158295</v>
      </c>
    </row>
    <row r="2456" spans="1:40" x14ac:dyDescent="0.25">
      <c r="A2456" t="str">
        <f>"20190312160342044"</f>
        <v>20190312160342044</v>
      </c>
      <c r="B2456" t="str">
        <f>"1552377822036745"</f>
        <v>1552377822036745</v>
      </c>
      <c r="C2456" t="s">
        <v>40</v>
      </c>
      <c r="D2456">
        <v>5.0266679999999999</v>
      </c>
      <c r="E2456">
        <v>0.49070399999999997</v>
      </c>
      <c r="F2456" t="s">
        <v>79</v>
      </c>
      <c r="G2456">
        <v>-422.024</v>
      </c>
      <c r="H2456" s="1">
        <v>3.5753880000000002E-6</v>
      </c>
      <c r="I2456">
        <v>284.96179999999998</v>
      </c>
      <c r="J2456">
        <v>-399.14830000000001</v>
      </c>
      <c r="K2456">
        <v>1.1101510000000001</v>
      </c>
      <c r="L2456">
        <v>285.28320000000002</v>
      </c>
      <c r="M2456">
        <v>-0.99990590000000001</v>
      </c>
      <c r="N2456">
        <v>0</v>
      </c>
      <c r="O2456">
        <v>5.9714349999999998E-3</v>
      </c>
      <c r="P2456">
        <v>-0.99953000000000003</v>
      </c>
      <c r="Q2456">
        <v>2.7080190000000001E-2</v>
      </c>
      <c r="R2456">
        <v>1.4393400000000001E-2</v>
      </c>
      <c r="S2456">
        <v>-3.0060120000000001</v>
      </c>
      <c r="T2456">
        <v>-0.14488329999999999</v>
      </c>
      <c r="U2456">
        <v>-4.1839599999999998E-2</v>
      </c>
      <c r="V2456">
        <v>8.4165430000000003E-3</v>
      </c>
      <c r="W2456">
        <v>3.9435949999999997E-2</v>
      </c>
      <c r="X2456">
        <v>0.99918660000000004</v>
      </c>
      <c r="Y2456">
        <v>-1.9858379999999998E-2</v>
      </c>
      <c r="Z2456">
        <v>-7.6591799999999998E-4</v>
      </c>
      <c r="AA2456">
        <v>0.99980250000000004</v>
      </c>
      <c r="AB2456">
        <v>27</v>
      </c>
      <c r="AC2456">
        <v>-22.875699999999899</v>
      </c>
      <c r="AD2456">
        <v>-1.110147424612</v>
      </c>
      <c r="AE2456">
        <v>-0.32140000000003899</v>
      </c>
      <c r="AF2456">
        <v>-0.45692953349186</v>
      </c>
      <c r="AG2456">
        <v>-1.110147424612</v>
      </c>
      <c r="AH2456">
        <v>22.819640396036899</v>
      </c>
      <c r="AI2456">
        <v>92.784616028182697</v>
      </c>
      <c r="AJ2456">
        <v>91.147109914599696</v>
      </c>
      <c r="AK2456">
        <v>22.851196898792601</v>
      </c>
      <c r="AL2456">
        <v>87.739900310082206</v>
      </c>
      <c r="AM2456">
        <v>89.517386455037595</v>
      </c>
      <c r="AN2456">
        <v>0.99999994698401495</v>
      </c>
    </row>
    <row r="2457" spans="1:40" x14ac:dyDescent="0.25">
      <c r="A2457" t="str">
        <f>"20190312160342065"</f>
        <v>20190312160342065</v>
      </c>
      <c r="B2457" t="str">
        <f>"1552377822057241"</f>
        <v>1552377822057241</v>
      </c>
      <c r="C2457" t="s">
        <v>40</v>
      </c>
      <c r="D2457">
        <v>5.0320049999999998</v>
      </c>
      <c r="E2457">
        <v>0.49106709999999898</v>
      </c>
      <c r="F2457" t="s">
        <v>79</v>
      </c>
      <c r="G2457">
        <v>-421.44979999999998</v>
      </c>
      <c r="H2457" s="1">
        <v>3.6758949999999999E-6</v>
      </c>
      <c r="I2457">
        <v>284.97710000000001</v>
      </c>
      <c r="J2457">
        <v>-399.39400000000001</v>
      </c>
      <c r="K2457">
        <v>1.1101479999999999</v>
      </c>
      <c r="L2457">
        <v>285.28449999999998</v>
      </c>
      <c r="M2457">
        <v>-0.99990650000000003</v>
      </c>
      <c r="N2457">
        <v>0</v>
      </c>
      <c r="O2457">
        <v>5.8581309999999999E-3</v>
      </c>
      <c r="P2457">
        <v>-0.99953689999999995</v>
      </c>
      <c r="Q2457">
        <v>2.7022109999999998E-2</v>
      </c>
      <c r="R2457">
        <v>1.400911E-2</v>
      </c>
      <c r="S2457">
        <v>-3.0060730000000002</v>
      </c>
      <c r="T2457">
        <v>-0.14963979999999999</v>
      </c>
      <c r="U2457">
        <v>-4.1259770000000001E-2</v>
      </c>
      <c r="V2457">
        <v>8.1454409999999998E-3</v>
      </c>
      <c r="W2457">
        <v>3.9377349999999998E-2</v>
      </c>
      <c r="X2457">
        <v>0.99919119999999995</v>
      </c>
      <c r="Y2457">
        <v>-1.955051E-2</v>
      </c>
      <c r="Z2457">
        <v>-7.7772300000000002E-4</v>
      </c>
      <c r="AA2457">
        <v>0.99980849999999999</v>
      </c>
      <c r="AB2457">
        <v>27</v>
      </c>
      <c r="AC2457">
        <v>-22.055799999999898</v>
      </c>
      <c r="AD2457">
        <v>-1.110144324105</v>
      </c>
      <c r="AE2457">
        <v>-0.30739999999997197</v>
      </c>
      <c r="AF2457">
        <v>-0.43550723066641001</v>
      </c>
      <c r="AG2457">
        <v>-1.110144324105</v>
      </c>
      <c r="AH2457">
        <v>21.997900684156502</v>
      </c>
      <c r="AI2457">
        <v>92.888468305893994</v>
      </c>
      <c r="AJ2457">
        <v>91.134174907580302</v>
      </c>
      <c r="AK2457">
        <v>22.030200214213099</v>
      </c>
      <c r="AL2457">
        <v>87.743260547845594</v>
      </c>
      <c r="AM2457">
        <v>89.532933182645806</v>
      </c>
      <c r="AN2457">
        <v>0.99999998902977305</v>
      </c>
    </row>
    <row r="2458" spans="1:40" x14ac:dyDescent="0.25">
      <c r="A2458" t="str">
        <f>"20190312160342086"</f>
        <v>20190312160342086</v>
      </c>
      <c r="B2458" t="str">
        <f>"1552377822076760"</f>
        <v>1552377822076760</v>
      </c>
      <c r="C2458" t="s">
        <v>40</v>
      </c>
      <c r="D2458">
        <v>5.3621189999999999</v>
      </c>
      <c r="E2458">
        <v>0.49127779999999999</v>
      </c>
      <c r="F2458" t="s">
        <v>79</v>
      </c>
      <c r="G2458">
        <v>-421.82069999999999</v>
      </c>
      <c r="H2458" s="1">
        <v>3.6088979999999998E-6</v>
      </c>
      <c r="I2458">
        <v>284.99079999999998</v>
      </c>
      <c r="J2458">
        <v>-399.66309999999999</v>
      </c>
      <c r="K2458">
        <v>1.110147</v>
      </c>
      <c r="L2458">
        <v>285.28590000000003</v>
      </c>
      <c r="M2458">
        <v>-0.9999072</v>
      </c>
      <c r="N2458">
        <v>0</v>
      </c>
      <c r="O2458">
        <v>5.7345759999999999E-3</v>
      </c>
      <c r="P2458">
        <v>-0.9995465</v>
      </c>
      <c r="Q2458">
        <v>2.6861590000000001E-2</v>
      </c>
      <c r="R2458">
        <v>1.3614940000000001E-2</v>
      </c>
      <c r="S2458">
        <v>-3.0059809999999998</v>
      </c>
      <c r="T2458">
        <v>-0.14879919999999999</v>
      </c>
      <c r="U2458">
        <v>-3.9367680000000002E-2</v>
      </c>
      <c r="V2458">
        <v>7.8747379999999992E-3</v>
      </c>
      <c r="W2458">
        <v>3.921678E-2</v>
      </c>
      <c r="X2458">
        <v>0.99919970000000002</v>
      </c>
      <c r="Y2458">
        <v>-1.8799590000000001E-2</v>
      </c>
      <c r="Z2458">
        <v>-7.4870000000000004E-4</v>
      </c>
      <c r="AA2458">
        <v>0.99982300000000002</v>
      </c>
      <c r="AB2458">
        <v>27</v>
      </c>
      <c r="AC2458">
        <v>-22.157599999999999</v>
      </c>
      <c r="AD2458">
        <v>-1.110143391102</v>
      </c>
      <c r="AE2458">
        <v>-0.29510000000004699</v>
      </c>
      <c r="AF2458">
        <v>-0.421112391472374</v>
      </c>
      <c r="AG2458">
        <v>-1.110143391102</v>
      </c>
      <c r="AH2458">
        <v>22.100076872465099</v>
      </c>
      <c r="AI2458">
        <v>92.875175386132995</v>
      </c>
      <c r="AJ2458">
        <v>91.091627116910601</v>
      </c>
      <c r="AK2458">
        <v>22.131948666213901</v>
      </c>
      <c r="AL2458">
        <v>87.752467676543304</v>
      </c>
      <c r="AM2458">
        <v>89.548458720247197</v>
      </c>
      <c r="AN2458">
        <v>1.0000000039061101</v>
      </c>
    </row>
    <row r="2459" spans="1:40" x14ac:dyDescent="0.25">
      <c r="A2459" t="str">
        <f>"20190312160342100"</f>
        <v>20190312160342100</v>
      </c>
      <c r="B2459" t="str">
        <f>"1552377822087497"</f>
        <v>1552377822087497</v>
      </c>
      <c r="C2459" t="s">
        <v>40</v>
      </c>
      <c r="D2459">
        <v>5.1662549999999996</v>
      </c>
      <c r="E2459">
        <v>0.49127779999999999</v>
      </c>
      <c r="F2459" t="s">
        <v>79</v>
      </c>
      <c r="G2459">
        <v>-420.16289999999998</v>
      </c>
      <c r="H2459" s="1">
        <v>3.9007529999999998E-6</v>
      </c>
      <c r="I2459">
        <v>285.01609999999999</v>
      </c>
      <c r="J2459">
        <v>-399.8304</v>
      </c>
      <c r="K2459">
        <v>1.110147</v>
      </c>
      <c r="L2459">
        <v>285.28680000000003</v>
      </c>
      <c r="M2459">
        <v>-0.99990769999999995</v>
      </c>
      <c r="N2459">
        <v>0</v>
      </c>
      <c r="O2459">
        <v>5.657451E-3</v>
      </c>
      <c r="P2459">
        <v>-0.9995465</v>
      </c>
      <c r="Q2459">
        <v>2.6984939999999999E-2</v>
      </c>
      <c r="R2459">
        <v>1.337764E-2</v>
      </c>
      <c r="S2459">
        <v>-3.006256</v>
      </c>
      <c r="T2459">
        <v>-0.16280039999999901</v>
      </c>
      <c r="U2459">
        <v>-3.95813E-2</v>
      </c>
      <c r="V2459">
        <v>7.7145039999999996E-3</v>
      </c>
      <c r="W2459">
        <v>3.9339699999999998E-2</v>
      </c>
      <c r="X2459">
        <v>0.99919610000000003</v>
      </c>
      <c r="Y2459">
        <v>-1.8786540000000001E-2</v>
      </c>
      <c r="Z2459">
        <v>-8.1444769999999996E-4</v>
      </c>
      <c r="AA2459">
        <v>0.99982320000000002</v>
      </c>
      <c r="AB2459">
        <v>27</v>
      </c>
      <c r="AC2459">
        <v>-20.3324999999999</v>
      </c>
      <c r="AD2459">
        <v>-1.1101430992470001</v>
      </c>
      <c r="AE2459">
        <v>-0.27070000000003303</v>
      </c>
      <c r="AF2459">
        <v>-0.38458827412573698</v>
      </c>
      <c r="AG2459">
        <v>-1.1101430992470001</v>
      </c>
      <c r="AH2459">
        <v>20.270226133161898</v>
      </c>
      <c r="AI2459">
        <v>93.134233539018396</v>
      </c>
      <c r="AJ2459">
        <v>91.086946012231394</v>
      </c>
      <c r="AK2459">
        <v>20.304245697166898</v>
      </c>
      <c r="AL2459">
        <v>87.745419399719594</v>
      </c>
      <c r="AM2459">
        <v>89.557644652602306</v>
      </c>
      <c r="AN2459">
        <v>0.99999998591163197</v>
      </c>
    </row>
    <row r="2460" spans="1:40" x14ac:dyDescent="0.25">
      <c r="A2460" t="str">
        <f>"20190312160342119"</f>
        <v>20190312160342119</v>
      </c>
      <c r="B2460" t="str">
        <f>"1552377822116776"</f>
        <v>1552377822116776</v>
      </c>
      <c r="C2460" t="s">
        <v>40</v>
      </c>
      <c r="D2460">
        <v>4.9459730000000004</v>
      </c>
      <c r="E2460">
        <v>0.53823569999999998</v>
      </c>
      <c r="F2460" t="s">
        <v>79</v>
      </c>
      <c r="G2460">
        <v>-420.37990000000002</v>
      </c>
      <c r="H2460" s="1">
        <v>3.8627240000000001E-6</v>
      </c>
      <c r="I2460">
        <v>285.01080000000002</v>
      </c>
      <c r="J2460">
        <v>-400.06729999999999</v>
      </c>
      <c r="K2460">
        <v>1.1101490000000001</v>
      </c>
      <c r="L2460">
        <v>285.28800000000001</v>
      </c>
      <c r="M2460">
        <v>-0.99990820000000002</v>
      </c>
      <c r="N2460">
        <v>0</v>
      </c>
      <c r="O2460">
        <v>5.5484999999999996E-3</v>
      </c>
      <c r="P2460">
        <v>-0.99954929999999997</v>
      </c>
      <c r="Q2460">
        <v>2.6892470000000002E-2</v>
      </c>
      <c r="R2460">
        <v>1.3335299999999901E-2</v>
      </c>
      <c r="S2460">
        <v>-3.006256</v>
      </c>
      <c r="T2460">
        <v>-0.16240679999999999</v>
      </c>
      <c r="U2460">
        <v>-4.0374760000000003E-2</v>
      </c>
      <c r="V2460">
        <v>7.7810090000000002E-3</v>
      </c>
      <c r="W2460">
        <v>3.9247749999999998E-2</v>
      </c>
      <c r="X2460">
        <v>0.99919919999999995</v>
      </c>
      <c r="Y2460">
        <v>-1.8941550000000001E-2</v>
      </c>
      <c r="Z2460">
        <v>-8.1078230000000001E-4</v>
      </c>
      <c r="AA2460">
        <v>0.9998203</v>
      </c>
      <c r="AB2460">
        <v>27</v>
      </c>
      <c r="AC2460">
        <v>-20.3126</v>
      </c>
      <c r="AD2460">
        <v>-1.1101451372759901</v>
      </c>
      <c r="AE2460">
        <v>-0.27719999999999301</v>
      </c>
      <c r="AF2460">
        <v>-0.38874784980975302</v>
      </c>
      <c r="AG2460">
        <v>-1.1101451372759901</v>
      </c>
      <c r="AH2460">
        <v>20.250273750333498</v>
      </c>
      <c r="AI2460">
        <v>93.137307861943</v>
      </c>
      <c r="AJ2460">
        <v>91.099781454569495</v>
      </c>
      <c r="AK2460">
        <v>20.284406180117699</v>
      </c>
      <c r="AL2460">
        <v>87.750691817961595</v>
      </c>
      <c r="AM2460">
        <v>89.553832744544295</v>
      </c>
      <c r="AN2460">
        <v>0.99999998563088</v>
      </c>
    </row>
    <row r="2461" spans="1:40" x14ac:dyDescent="0.25">
      <c r="A2461" t="str">
        <f>"20190312160342132"</f>
        <v>20190312160342132</v>
      </c>
      <c r="B2461" t="str">
        <f>"1552377822126537"</f>
        <v>1552377822126537</v>
      </c>
      <c r="C2461" t="s">
        <v>40</v>
      </c>
      <c r="D2461">
        <v>4.8138930000000002</v>
      </c>
      <c r="E2461">
        <v>0.53484069999999995</v>
      </c>
      <c r="F2461" t="s">
        <v>77</v>
      </c>
      <c r="G2461">
        <v>-511.8211</v>
      </c>
      <c r="H2461">
        <v>2.8233269999999999</v>
      </c>
      <c r="I2461">
        <v>298.10980000000001</v>
      </c>
      <c r="J2461">
        <v>-400.22039999999998</v>
      </c>
      <c r="K2461">
        <v>1.1101479999999999</v>
      </c>
      <c r="L2461">
        <v>285.28879999999998</v>
      </c>
      <c r="M2461">
        <v>-0.99990860000000004</v>
      </c>
      <c r="N2461">
        <v>0</v>
      </c>
      <c r="O2461">
        <v>5.4780509999999899E-3</v>
      </c>
      <c r="P2461">
        <v>-0.99955020000000006</v>
      </c>
      <c r="Q2461">
        <v>2.6909079999999998E-2</v>
      </c>
      <c r="R2461">
        <v>1.3245639999999999E-2</v>
      </c>
      <c r="S2461">
        <v>-2.9955750000000001</v>
      </c>
      <c r="T2461">
        <v>4.5924189999999997E-2</v>
      </c>
      <c r="U2461">
        <v>0.34368900000000002</v>
      </c>
      <c r="V2461">
        <v>7.7618499999999998E-3</v>
      </c>
      <c r="W2461">
        <v>3.9263949999999999E-2</v>
      </c>
      <c r="X2461">
        <v>0.9991987</v>
      </c>
      <c r="Y2461">
        <v>0.108528</v>
      </c>
      <c r="Z2461">
        <v>-7.4543359999999998E-4</v>
      </c>
      <c r="AA2461">
        <v>0.99409309999999995</v>
      </c>
      <c r="AB2461">
        <v>27</v>
      </c>
      <c r="AC2461">
        <v>-111.6007</v>
      </c>
      <c r="AD2461">
        <v>1.713179</v>
      </c>
      <c r="AE2461">
        <v>12.821</v>
      </c>
      <c r="AF2461">
        <v>12.206567526727801</v>
      </c>
      <c r="AG2461">
        <v>1.713179</v>
      </c>
      <c r="AH2461">
        <v>111.64329838094299</v>
      </c>
      <c r="AI2461">
        <v>89.126066076635794</v>
      </c>
      <c r="AJ2461">
        <v>83.760326312407201</v>
      </c>
      <c r="AK2461">
        <v>112.321686892811</v>
      </c>
      <c r="AL2461">
        <v>87.749762882061205</v>
      </c>
      <c r="AM2461">
        <v>89.554931064993596</v>
      </c>
      <c r="AN2461">
        <v>0.99999997308335697</v>
      </c>
    </row>
    <row r="2462" spans="1:40" x14ac:dyDescent="0.25">
      <c r="A2462" t="str">
        <f>"20190312160342144"</f>
        <v>20190312160342144</v>
      </c>
      <c r="B2462" t="str">
        <f>"1552377822137273"</f>
        <v>1552377822137273</v>
      </c>
      <c r="C2462" t="s">
        <v>40</v>
      </c>
      <c r="D2462">
        <v>4.9530310000000002</v>
      </c>
      <c r="E2462">
        <v>0.53690159999999998</v>
      </c>
      <c r="F2462" t="s">
        <v>77</v>
      </c>
      <c r="G2462">
        <v>-510.95460000000003</v>
      </c>
      <c r="H2462">
        <v>2.9976729999999998</v>
      </c>
      <c r="I2462">
        <v>296.98759999999999</v>
      </c>
      <c r="J2462">
        <v>-400.37110000000001</v>
      </c>
      <c r="K2462">
        <v>1.11015</v>
      </c>
      <c r="L2462">
        <v>285.28960000000001</v>
      </c>
      <c r="M2462">
        <v>-0.9999091</v>
      </c>
      <c r="N2462">
        <v>0</v>
      </c>
      <c r="O2462">
        <v>5.408497E-3</v>
      </c>
      <c r="P2462">
        <v>-0.99955700000000003</v>
      </c>
      <c r="Q2462">
        <v>2.67091E-2</v>
      </c>
      <c r="R2462">
        <v>1.3147580000000001E-2</v>
      </c>
      <c r="S2462">
        <v>-2.9957889999999998</v>
      </c>
      <c r="T2462">
        <v>5.1067109999999999E-2</v>
      </c>
      <c r="U2462">
        <v>0.3164978</v>
      </c>
      <c r="V2462">
        <v>7.7333590000000004E-3</v>
      </c>
      <c r="W2462">
        <v>3.9063830000000001E-2</v>
      </c>
      <c r="X2462">
        <v>0.99920679999999995</v>
      </c>
      <c r="Y2462">
        <v>9.966883E-2</v>
      </c>
      <c r="Z2462">
        <v>-7.5514149999999895E-4</v>
      </c>
      <c r="AA2462">
        <v>0.99502040000000003</v>
      </c>
      <c r="AB2462">
        <v>27</v>
      </c>
      <c r="AC2462">
        <v>-110.5835</v>
      </c>
      <c r="AD2462">
        <v>1.8875230000000001</v>
      </c>
      <c r="AE2462">
        <v>11.697999999999899</v>
      </c>
      <c r="AF2462">
        <v>11.096495624933899</v>
      </c>
      <c r="AG2462">
        <v>1.8875230000000001</v>
      </c>
      <c r="AH2462">
        <v>110.613286061111</v>
      </c>
      <c r="AI2462">
        <v>89.027271852201395</v>
      </c>
      <c r="AJ2462">
        <v>84.271371875513907</v>
      </c>
      <c r="AK2462">
        <v>111.184504367591</v>
      </c>
      <c r="AL2462">
        <v>87.761237796403293</v>
      </c>
      <c r="AM2462">
        <v>89.556568284467502</v>
      </c>
      <c r="AN2462">
        <v>1.0000000084109599</v>
      </c>
    </row>
    <row r="2463" spans="1:40" x14ac:dyDescent="0.25">
      <c r="A2463" t="str">
        <f>"20190312160342155"</f>
        <v>20190312160342155</v>
      </c>
      <c r="B2463" t="str">
        <f>"1552377822147032"</f>
        <v>1552377822147032</v>
      </c>
      <c r="C2463" t="s">
        <v>40</v>
      </c>
      <c r="D2463">
        <v>4.9594379999999996</v>
      </c>
      <c r="E2463">
        <v>0.53817079999999995</v>
      </c>
      <c r="F2463" t="s">
        <v>44</v>
      </c>
      <c r="G2463">
        <v>-476.33940000000001</v>
      </c>
      <c r="H2463">
        <v>2.3152879999999998</v>
      </c>
      <c r="I2463">
        <v>293.72050000000002</v>
      </c>
      <c r="J2463">
        <v>-400.5145</v>
      </c>
      <c r="K2463">
        <v>1.1101479999999999</v>
      </c>
      <c r="L2463">
        <v>285.2903</v>
      </c>
      <c r="M2463">
        <v>-0.99990950000000001</v>
      </c>
      <c r="N2463">
        <v>0</v>
      </c>
      <c r="O2463">
        <v>5.3423990000000003E-3</v>
      </c>
      <c r="P2463">
        <v>-0.9995579</v>
      </c>
      <c r="Q2463">
        <v>2.664093E-2</v>
      </c>
      <c r="R2463">
        <v>1.3220849999999999E-2</v>
      </c>
      <c r="S2463">
        <v>-2.9956670000000001</v>
      </c>
      <c r="T2463">
        <v>4.7522309999999998E-2</v>
      </c>
      <c r="U2463">
        <v>0.33245849999999999</v>
      </c>
      <c r="V2463">
        <v>7.8727710000000006E-3</v>
      </c>
      <c r="W2463">
        <v>3.899569E-2</v>
      </c>
      <c r="X2463">
        <v>0.9992084</v>
      </c>
      <c r="Y2463">
        <v>0.1049785</v>
      </c>
      <c r="Z2463">
        <v>-7.4558719999999999E-4</v>
      </c>
      <c r="AA2463">
        <v>0.99447419999999997</v>
      </c>
      <c r="AB2463">
        <v>27</v>
      </c>
      <c r="AC2463">
        <v>-75.8249</v>
      </c>
      <c r="AD2463">
        <v>1.2051400000000001</v>
      </c>
      <c r="AE2463">
        <v>8.4302000000000099</v>
      </c>
      <c r="AF2463">
        <v>8.0229599876815492</v>
      </c>
      <c r="AG2463">
        <v>1.2051400000000001</v>
      </c>
      <c r="AH2463">
        <v>75.849932149555002</v>
      </c>
      <c r="AI2463">
        <v>89.094782770502903</v>
      </c>
      <c r="AJ2463">
        <v>83.962040324242196</v>
      </c>
      <c r="AK2463">
        <v>76.282582916912602</v>
      </c>
      <c r="AL2463">
        <v>87.765144968378294</v>
      </c>
      <c r="AM2463">
        <v>89.548575434685503</v>
      </c>
      <c r="AN2463">
        <v>1.00000003549617</v>
      </c>
    </row>
    <row r="2464" spans="1:40" x14ac:dyDescent="0.25">
      <c r="A2464" t="str">
        <f>"20190312160342175"</f>
        <v>20190312160342175</v>
      </c>
      <c r="B2464" t="str">
        <f>"1552377822166552"</f>
        <v>1552377822166552</v>
      </c>
      <c r="C2464" t="s">
        <v>40</v>
      </c>
      <c r="D2464">
        <v>4.9270769999999997</v>
      </c>
      <c r="E2464">
        <v>0.53888899999999995</v>
      </c>
      <c r="F2464" t="s">
        <v>77</v>
      </c>
      <c r="G2464">
        <v>-511.8211</v>
      </c>
      <c r="H2464">
        <v>2.7728130000000002</v>
      </c>
      <c r="I2464">
        <v>298.0231</v>
      </c>
      <c r="J2464">
        <v>-400.74849999999998</v>
      </c>
      <c r="K2464">
        <v>1.110152</v>
      </c>
      <c r="L2464">
        <v>285.29140000000001</v>
      </c>
      <c r="M2464">
        <v>-0.99990999999999997</v>
      </c>
      <c r="N2464">
        <v>0</v>
      </c>
      <c r="O2464">
        <v>5.2346399999999996E-3</v>
      </c>
      <c r="P2464">
        <v>-0.99956179999999994</v>
      </c>
      <c r="Q2464">
        <v>2.6300690000000002E-2</v>
      </c>
      <c r="R2464">
        <v>1.3589749999999999E-2</v>
      </c>
      <c r="S2464">
        <v>-2.9956049999999999</v>
      </c>
      <c r="T2464">
        <v>4.4749740000000003E-2</v>
      </c>
      <c r="U2464">
        <v>0.34268189999999998</v>
      </c>
      <c r="V2464">
        <v>8.3493560000000005E-3</v>
      </c>
      <c r="W2464">
        <v>3.8655969999999998E-2</v>
      </c>
      <c r="X2464">
        <v>0.99921769999999999</v>
      </c>
      <c r="Y2464">
        <v>0.1084396</v>
      </c>
      <c r="Z2464">
        <v>-7.293442E-4</v>
      </c>
      <c r="AA2464">
        <v>0.99410279999999995</v>
      </c>
      <c r="AB2464">
        <v>27</v>
      </c>
      <c r="AC2464">
        <v>-111.07259999999999</v>
      </c>
      <c r="AD2464">
        <v>1.6626609999999999</v>
      </c>
      <c r="AE2464">
        <v>12.731699999999901</v>
      </c>
      <c r="AF2464">
        <v>12.1473694753131</v>
      </c>
      <c r="AG2464">
        <v>1.6626609999999999</v>
      </c>
      <c r="AH2464">
        <v>111.113154131116</v>
      </c>
      <c r="AI2464">
        <v>89.147785492763902</v>
      </c>
      <c r="AJ2464">
        <v>83.760955368563003</v>
      </c>
      <c r="AK2464">
        <v>111.787548715122</v>
      </c>
      <c r="AL2464">
        <v>87.784624107371201</v>
      </c>
      <c r="AM2464">
        <v>89.521253749604099</v>
      </c>
      <c r="AN2464">
        <v>1.0000000038777701</v>
      </c>
    </row>
    <row r="2465" spans="1:40" x14ac:dyDescent="0.25">
      <c r="A2465" t="str">
        <f>"20190312160342188"</f>
        <v>20190312160342188</v>
      </c>
      <c r="B2465" t="str">
        <f>"1552377822177289"</f>
        <v>1552377822177289</v>
      </c>
      <c r="C2465" t="s">
        <v>40</v>
      </c>
      <c r="D2465">
        <v>4.8895309999999998</v>
      </c>
      <c r="E2465">
        <v>0.53947959999999995</v>
      </c>
      <c r="F2465" t="s">
        <v>77</v>
      </c>
      <c r="G2465">
        <v>-511.82060000000001</v>
      </c>
      <c r="H2465">
        <v>1.5414479999999999</v>
      </c>
      <c r="I2465">
        <v>298.19260000000003</v>
      </c>
      <c r="J2465">
        <v>-400.89920000000001</v>
      </c>
      <c r="K2465">
        <v>1.11015</v>
      </c>
      <c r="L2465">
        <v>285.2921</v>
      </c>
      <c r="M2465">
        <v>-0.99991039999999998</v>
      </c>
      <c r="N2465">
        <v>0</v>
      </c>
      <c r="O2465">
        <v>5.165383E-3</v>
      </c>
      <c r="P2465">
        <v>-0.99956080000000003</v>
      </c>
      <c r="Q2465">
        <v>2.6166990000000001E-2</v>
      </c>
      <c r="R2465">
        <v>1.3927520000000001E-2</v>
      </c>
      <c r="S2465">
        <v>-2.9962770000000001</v>
      </c>
      <c r="T2465">
        <v>1.163697E-2</v>
      </c>
      <c r="U2465">
        <v>0.34802250000000001</v>
      </c>
      <c r="V2465">
        <v>8.7563109999999993E-3</v>
      </c>
      <c r="W2465">
        <v>3.8521590000000001E-2</v>
      </c>
      <c r="X2465">
        <v>0.99921939999999998</v>
      </c>
      <c r="Y2465">
        <v>0.1102424</v>
      </c>
      <c r="Z2465">
        <v>-1.9336820000000001E-4</v>
      </c>
      <c r="AA2465">
        <v>0.99390469999999997</v>
      </c>
      <c r="AB2465">
        <v>27</v>
      </c>
      <c r="AC2465">
        <v>-110.92140000000001</v>
      </c>
      <c r="AD2465">
        <v>0.43129800000000001</v>
      </c>
      <c r="AE2465">
        <v>12.900499999999999</v>
      </c>
      <c r="AF2465">
        <v>12.3271487754551</v>
      </c>
      <c r="AG2465">
        <v>0.43129800000000001</v>
      </c>
      <c r="AH2465">
        <v>110.98490552175301</v>
      </c>
      <c r="AI2465">
        <v>89.778705041915799</v>
      </c>
      <c r="AJ2465">
        <v>83.662106821815001</v>
      </c>
      <c r="AK2465">
        <v>111.668231241341</v>
      </c>
      <c r="AL2465">
        <v>87.792329239328595</v>
      </c>
      <c r="AM2465">
        <v>89.497921254647096</v>
      </c>
      <c r="AN2465">
        <v>0.99999999760740799</v>
      </c>
    </row>
    <row r="2466" spans="1:40" x14ac:dyDescent="0.25">
      <c r="A2466" t="str">
        <f>"20190312160342200"</f>
        <v>20190312160342200</v>
      </c>
      <c r="B2466" t="str">
        <f>"1552377822196809"</f>
        <v>1552377822196809</v>
      </c>
      <c r="C2466" t="s">
        <v>40</v>
      </c>
      <c r="D2466">
        <v>4.8300320000000001</v>
      </c>
      <c r="E2466">
        <v>0.53945080000000001</v>
      </c>
      <c r="F2466" t="s">
        <v>77</v>
      </c>
      <c r="G2466">
        <v>-511.82049999999998</v>
      </c>
      <c r="H2466">
        <v>1.0856509999999999</v>
      </c>
      <c r="I2466">
        <v>298.36939999999998</v>
      </c>
      <c r="J2466">
        <v>-401.05860000000001</v>
      </c>
      <c r="K2466">
        <v>1.11015</v>
      </c>
      <c r="L2466">
        <v>285.2928</v>
      </c>
      <c r="M2466">
        <v>-0.99991070000000004</v>
      </c>
      <c r="N2466">
        <v>0</v>
      </c>
      <c r="O2466">
        <v>5.0920729999999999E-3</v>
      </c>
      <c r="P2466">
        <v>-0.99956319999999999</v>
      </c>
      <c r="Q2466">
        <v>2.6008590000000002E-2</v>
      </c>
      <c r="R2466">
        <v>1.4041110000000001E-2</v>
      </c>
      <c r="S2466">
        <v>-2.996429</v>
      </c>
      <c r="T2466">
        <v>-6.5946579999999998E-4</v>
      </c>
      <c r="U2466">
        <v>0.35327150000000002</v>
      </c>
      <c r="V2466">
        <v>8.9432780000000007E-3</v>
      </c>
      <c r="W2466">
        <v>3.8363399999999999E-2</v>
      </c>
      <c r="X2466">
        <v>0.9992238</v>
      </c>
      <c r="Y2466">
        <v>0.1120276</v>
      </c>
      <c r="Z2466" s="1">
        <v>1.116838E-5</v>
      </c>
      <c r="AA2466">
        <v>0.99370510000000001</v>
      </c>
      <c r="AB2466">
        <v>27</v>
      </c>
      <c r="AC2466">
        <v>-110.761899999999</v>
      </c>
      <c r="AD2466">
        <v>-2.4499E-2</v>
      </c>
      <c r="AE2466">
        <v>13.0765999999999</v>
      </c>
      <c r="AF2466">
        <v>12.5123790994966</v>
      </c>
      <c r="AG2466">
        <v>-2.4499E-2</v>
      </c>
      <c r="AH2466">
        <v>110.827050524854</v>
      </c>
      <c r="AI2466">
        <v>90.012585626794703</v>
      </c>
      <c r="AJ2466">
        <v>83.558579798485894</v>
      </c>
      <c r="AK2466">
        <v>111.531140758844</v>
      </c>
      <c r="AL2466">
        <v>87.801399497334103</v>
      </c>
      <c r="AM2466">
        <v>89.487203564855307</v>
      </c>
      <c r="AN2466">
        <v>0.99999996758369203</v>
      </c>
    </row>
    <row r="2467" spans="1:40" x14ac:dyDescent="0.25">
      <c r="A2467" t="str">
        <f>"20190312160342212"</f>
        <v>20190312160342212</v>
      </c>
      <c r="B2467" t="str">
        <f>"1552377822206569"</f>
        <v>1552377822206569</v>
      </c>
      <c r="C2467" t="s">
        <v>40</v>
      </c>
      <c r="D2467">
        <v>4.9031250000000002</v>
      </c>
      <c r="E2467">
        <v>0.53957069999999996</v>
      </c>
      <c r="F2467" t="s">
        <v>77</v>
      </c>
      <c r="G2467">
        <v>-511.82040000000001</v>
      </c>
      <c r="H2467">
        <v>0.90097709999999998</v>
      </c>
      <c r="I2467">
        <v>298.34769999999997</v>
      </c>
      <c r="J2467">
        <v>-401.20639999999997</v>
      </c>
      <c r="K2467">
        <v>1.11015</v>
      </c>
      <c r="L2467">
        <v>285.29349999999999</v>
      </c>
      <c r="M2467">
        <v>-0.99991099999999999</v>
      </c>
      <c r="N2467">
        <v>0</v>
      </c>
      <c r="O2467">
        <v>5.0241269999999998E-3</v>
      </c>
      <c r="P2467">
        <v>-0.99956080000000003</v>
      </c>
      <c r="Q2467">
        <v>2.599752E-2</v>
      </c>
      <c r="R2467">
        <v>1.4215510000000001E-2</v>
      </c>
      <c r="S2467">
        <v>-2.9964900000000001</v>
      </c>
      <c r="T2467">
        <v>-5.6564809999999997E-3</v>
      </c>
      <c r="U2467">
        <v>0.35317989999999999</v>
      </c>
      <c r="V2467">
        <v>9.1855370000000006E-3</v>
      </c>
      <c r="W2467">
        <v>3.8352440000000002E-2</v>
      </c>
      <c r="X2467">
        <v>0.99922200000000005</v>
      </c>
      <c r="Y2467">
        <v>0.1120626</v>
      </c>
      <c r="Z2467" s="1">
        <v>9.5954189999999996E-5</v>
      </c>
      <c r="AA2467">
        <v>0.99370119999999895</v>
      </c>
      <c r="AB2467">
        <v>27</v>
      </c>
      <c r="AC2467">
        <v>-110.614</v>
      </c>
      <c r="AD2467">
        <v>-0.209172899999999</v>
      </c>
      <c r="AE2467">
        <v>13.0541999999999</v>
      </c>
      <c r="AF2467">
        <v>12.4982099052711</v>
      </c>
      <c r="AG2467">
        <v>-0.209172899999999</v>
      </c>
      <c r="AH2467">
        <v>110.67780435418101</v>
      </c>
      <c r="AI2467">
        <v>90.107600793314504</v>
      </c>
      <c r="AJ2467">
        <v>83.5572095186035</v>
      </c>
      <c r="AK2467">
        <v>111.38144091724</v>
      </c>
      <c r="AL2467">
        <v>87.802027870846402</v>
      </c>
      <c r="AM2467">
        <v>89.473312558633197</v>
      </c>
      <c r="AN2467">
        <v>0.99999994451396401</v>
      </c>
    </row>
    <row r="2468" spans="1:40" x14ac:dyDescent="0.25">
      <c r="A2468" t="str">
        <f>"20190312160342231"</f>
        <v>20190312160342231</v>
      </c>
      <c r="B2468" t="str">
        <f>"1552377822227066"</f>
        <v>1552377822227066</v>
      </c>
      <c r="C2468" t="s">
        <v>40</v>
      </c>
      <c r="D2468">
        <v>4.9228870000000002</v>
      </c>
      <c r="E2468">
        <v>0.53965540000000001</v>
      </c>
      <c r="F2468" t="s">
        <v>77</v>
      </c>
      <c r="G2468">
        <v>-511.82029999999997</v>
      </c>
      <c r="H2468">
        <v>0.58119609999999899</v>
      </c>
      <c r="I2468">
        <v>298.3698</v>
      </c>
      <c r="J2468">
        <v>-401.43720000000002</v>
      </c>
      <c r="K2468">
        <v>1.1101510000000001</v>
      </c>
      <c r="L2468">
        <v>285.2946</v>
      </c>
      <c r="M2468">
        <v>-0.99991160000000001</v>
      </c>
      <c r="N2468">
        <v>0</v>
      </c>
      <c r="O2468">
        <v>4.9175E-3</v>
      </c>
      <c r="P2468">
        <v>-0.99955919999999998</v>
      </c>
      <c r="Q2468">
        <v>2.5787049999999999E-2</v>
      </c>
      <c r="R2468">
        <v>1.47174E-2</v>
      </c>
      <c r="S2468">
        <v>-2.9966430000000002</v>
      </c>
      <c r="T2468">
        <v>-1.432753E-2</v>
      </c>
      <c r="U2468">
        <v>0.35424800000000001</v>
      </c>
      <c r="V2468">
        <v>9.7941999999999994E-3</v>
      </c>
      <c r="W2468">
        <v>3.814232E-2</v>
      </c>
      <c r="X2468">
        <v>0.99922429999999995</v>
      </c>
      <c r="Y2468">
        <v>0.112511</v>
      </c>
      <c r="Z2468">
        <v>2.4460390000000001E-4</v>
      </c>
      <c r="AA2468">
        <v>0.99365040000000004</v>
      </c>
      <c r="AB2468">
        <v>27</v>
      </c>
      <c r="AC2468">
        <v>-110.383099999999</v>
      </c>
      <c r="AD2468">
        <v>-0.52895490000000001</v>
      </c>
      <c r="AE2468">
        <v>13.075199999999899</v>
      </c>
      <c r="AF2468">
        <v>12.531907775192201</v>
      </c>
      <c r="AG2468">
        <v>-0.52895490000000001</v>
      </c>
      <c r="AH2468">
        <v>110.443566316011</v>
      </c>
      <c r="AI2468">
        <v>90.272658857571201</v>
      </c>
      <c r="AJ2468">
        <v>83.526400252561004</v>
      </c>
      <c r="AK2468">
        <v>111.153541762605</v>
      </c>
      <c r="AL2468">
        <v>87.814075758773001</v>
      </c>
      <c r="AM2468">
        <v>89.438416025984793</v>
      </c>
      <c r="AN2468">
        <v>0.999999982319555</v>
      </c>
    </row>
    <row r="2469" spans="1:40" x14ac:dyDescent="0.25">
      <c r="A2469" t="str">
        <f>"20190312160342245"</f>
        <v>20190312160342245</v>
      </c>
      <c r="B2469" t="str">
        <f>"1552377822236826"</f>
        <v>1552377822236826</v>
      </c>
      <c r="C2469" t="s">
        <v>40</v>
      </c>
      <c r="D2469">
        <v>4.8708869999999997</v>
      </c>
      <c r="E2469">
        <v>0.53975890000000004</v>
      </c>
      <c r="F2469" t="s">
        <v>77</v>
      </c>
      <c r="G2469">
        <v>-511.82029999999997</v>
      </c>
      <c r="H2469">
        <v>0.40867759999999997</v>
      </c>
      <c r="I2469">
        <v>298.41680000000002</v>
      </c>
      <c r="J2469">
        <v>-401.60480000000001</v>
      </c>
      <c r="K2469">
        <v>1.110144</v>
      </c>
      <c r="L2469">
        <v>285.2953</v>
      </c>
      <c r="M2469">
        <v>-0.99991180000000002</v>
      </c>
      <c r="N2469">
        <v>0</v>
      </c>
      <c r="O2469">
        <v>4.8403159999999999E-3</v>
      </c>
      <c r="P2469">
        <v>-0.99956769999999995</v>
      </c>
      <c r="Q2469">
        <v>2.5407659999999999E-2</v>
      </c>
      <c r="R2469">
        <v>1.4794389999999999E-2</v>
      </c>
      <c r="S2469">
        <v>-2.9965820000000001</v>
      </c>
      <c r="T2469">
        <v>-1.9040580000000001E-2</v>
      </c>
      <c r="U2469">
        <v>0.35623169999999998</v>
      </c>
      <c r="V2469">
        <v>9.9483269999999999E-3</v>
      </c>
      <c r="W2469">
        <v>3.7762539999999997E-2</v>
      </c>
      <c r="X2469">
        <v>0.99923720000000005</v>
      </c>
      <c r="Y2469">
        <v>0.1132378</v>
      </c>
      <c r="Z2469">
        <v>3.2784870000000002E-4</v>
      </c>
      <c r="AA2469">
        <v>0.99356789999999995</v>
      </c>
      <c r="AB2469">
        <v>27</v>
      </c>
      <c r="AC2469">
        <v>-110.215499999999</v>
      </c>
      <c r="AD2469">
        <v>-0.70146640000000005</v>
      </c>
      <c r="AE2469">
        <v>13.121499999999999</v>
      </c>
      <c r="AF2469">
        <v>12.587324864861699</v>
      </c>
      <c r="AG2469">
        <v>-0.70146640000000005</v>
      </c>
      <c r="AH2469">
        <v>110.273321360979</v>
      </c>
      <c r="AI2469">
        <v>90.362111429695204</v>
      </c>
      <c r="AJ2469">
        <v>83.488066186371</v>
      </c>
      <c r="AK2469">
        <v>110.991613225259</v>
      </c>
      <c r="AL2469">
        <v>87.8358512341634</v>
      </c>
      <c r="AM2469">
        <v>89.429586569975797</v>
      </c>
      <c r="AN2469">
        <v>0.999999980250595</v>
      </c>
    </row>
    <row r="2470" spans="1:40" x14ac:dyDescent="0.25">
      <c r="A2470" t="str">
        <f>"20190312160342259"</f>
        <v>20190312160342259</v>
      </c>
      <c r="B2470" t="str">
        <f>"1552377822246584"</f>
        <v>1552377822246584</v>
      </c>
      <c r="C2470" t="s">
        <v>40</v>
      </c>
      <c r="D2470">
        <v>4.8233259999999998</v>
      </c>
      <c r="E2470">
        <v>0.53985799999999995</v>
      </c>
      <c r="F2470" t="s">
        <v>77</v>
      </c>
      <c r="G2470">
        <v>-511.82029999999997</v>
      </c>
      <c r="H2470">
        <v>0.2650883</v>
      </c>
      <c r="I2470">
        <v>298.43340000000001</v>
      </c>
      <c r="J2470">
        <v>-401.7672</v>
      </c>
      <c r="K2470">
        <v>1.110142</v>
      </c>
      <c r="L2470">
        <v>285.29599999999999</v>
      </c>
      <c r="M2470">
        <v>-0.99991240000000003</v>
      </c>
      <c r="N2470">
        <v>0</v>
      </c>
      <c r="O2470">
        <v>4.765455E-3</v>
      </c>
      <c r="P2470">
        <v>-0.99957189999999996</v>
      </c>
      <c r="Q2470">
        <v>2.51772E-2</v>
      </c>
      <c r="R2470">
        <v>1.491669E-2</v>
      </c>
      <c r="S2470">
        <v>-2.996613</v>
      </c>
      <c r="T2470">
        <v>-2.2973540000000001E-2</v>
      </c>
      <c r="U2470">
        <v>0.35720829999999998</v>
      </c>
      <c r="V2470">
        <v>1.0145629999999999E-2</v>
      </c>
      <c r="W2470">
        <v>3.75324E-2</v>
      </c>
      <c r="X2470">
        <v>0.99924389999999996</v>
      </c>
      <c r="Y2470">
        <v>0.1136292</v>
      </c>
      <c r="Z2470">
        <v>3.9762149999999997E-4</v>
      </c>
      <c r="AA2470">
        <v>0.99352309999999999</v>
      </c>
      <c r="AB2470">
        <v>27</v>
      </c>
      <c r="AC2470">
        <v>-110.05309999999901</v>
      </c>
      <c r="AD2470">
        <v>-0.84505370000000002</v>
      </c>
      <c r="AE2470">
        <v>13.1374</v>
      </c>
      <c r="AF2470">
        <v>12.612024550249799</v>
      </c>
      <c r="AG2470">
        <v>-0.84505370000000002</v>
      </c>
      <c r="AH2470">
        <v>110.108059778258</v>
      </c>
      <c r="AI2470">
        <v>90.4368667433382</v>
      </c>
      <c r="AJ2470">
        <v>83.465689943781697</v>
      </c>
      <c r="AK2470">
        <v>110.83123254364899</v>
      </c>
      <c r="AL2470">
        <v>87.849046667624194</v>
      </c>
      <c r="AM2470">
        <v>89.418278354924695</v>
      </c>
      <c r="AN2470">
        <v>0.99999999327253297</v>
      </c>
    </row>
    <row r="2471" spans="1:40" x14ac:dyDescent="0.25">
      <c r="A2471" t="str">
        <f>"20190312160342276"</f>
        <v>20190312160342276</v>
      </c>
      <c r="B2471" t="str">
        <f>"1552377822267081"</f>
        <v>1552377822267081</v>
      </c>
      <c r="C2471" t="s">
        <v>40</v>
      </c>
      <c r="D2471">
        <v>4.9227349999999896</v>
      </c>
      <c r="E2471">
        <v>0.53989730000000002</v>
      </c>
      <c r="F2471" t="s">
        <v>77</v>
      </c>
      <c r="G2471">
        <v>-511.8202</v>
      </c>
      <c r="H2471">
        <v>5.7949540000000001E-2</v>
      </c>
      <c r="I2471">
        <v>298.44729999999998</v>
      </c>
      <c r="J2471">
        <v>-401.98230000000001</v>
      </c>
      <c r="K2471">
        <v>1.1101399999999999</v>
      </c>
      <c r="L2471">
        <v>285.29689999999999</v>
      </c>
      <c r="M2471">
        <v>-0.99991289999999999</v>
      </c>
      <c r="N2471">
        <v>0</v>
      </c>
      <c r="O2471">
        <v>4.6664580000000001E-3</v>
      </c>
      <c r="P2471">
        <v>-0.99957879999999999</v>
      </c>
      <c r="Q2471">
        <v>2.465529E-2</v>
      </c>
      <c r="R2471">
        <v>1.531861E-2</v>
      </c>
      <c r="S2471">
        <v>-2.996613</v>
      </c>
      <c r="T2471">
        <v>-2.8647539999999999E-2</v>
      </c>
      <c r="U2471">
        <v>0.3580933</v>
      </c>
      <c r="V2471">
        <v>1.0646600000000001E-2</v>
      </c>
      <c r="W2471">
        <v>3.7010630000000003E-2</v>
      </c>
      <c r="X2471">
        <v>0.99925819999999999</v>
      </c>
      <c r="Y2471">
        <v>0.11401509999999999</v>
      </c>
      <c r="Z2471">
        <v>4.9859449999999897E-4</v>
      </c>
      <c r="AA2471">
        <v>0.99347890000000005</v>
      </c>
      <c r="AB2471">
        <v>27</v>
      </c>
      <c r="AC2471">
        <v>-109.8379</v>
      </c>
      <c r="AD2471">
        <v>-1.0521904599999901</v>
      </c>
      <c r="AE2471">
        <v>13.1503999999999</v>
      </c>
      <c r="AF2471">
        <v>12.636520562092</v>
      </c>
      <c r="AG2471">
        <v>-1.0521904599999901</v>
      </c>
      <c r="AH2471">
        <v>109.888132824103</v>
      </c>
      <c r="AI2471">
        <v>90.545004924860507</v>
      </c>
      <c r="AJ2471">
        <v>83.440119927977193</v>
      </c>
      <c r="AK2471">
        <v>110.617315517273</v>
      </c>
      <c r="AL2471">
        <v>87.878962780091598</v>
      </c>
      <c r="AM2471">
        <v>89.389565013873593</v>
      </c>
      <c r="AN2471">
        <v>1.00000004354589</v>
      </c>
    </row>
    <row r="2472" spans="1:40" x14ac:dyDescent="0.25">
      <c r="A2472" t="str">
        <f>"20190312160342290"</f>
        <v>20190312160342290</v>
      </c>
      <c r="B2472" t="str">
        <f>"1552377822286600"</f>
        <v>1552377822286600</v>
      </c>
      <c r="C2472" t="s">
        <v>40</v>
      </c>
      <c r="D2472">
        <v>4.8087839999999904</v>
      </c>
      <c r="E2472">
        <v>0.54006639999999995</v>
      </c>
      <c r="F2472" t="s">
        <v>77</v>
      </c>
      <c r="G2472">
        <v>-511.82029999999997</v>
      </c>
      <c r="H2472">
        <v>0.38500139999999999</v>
      </c>
      <c r="I2472">
        <v>298.4923</v>
      </c>
      <c r="J2472">
        <v>-402.14960000000002</v>
      </c>
      <c r="K2472">
        <v>1.1101399999999999</v>
      </c>
      <c r="L2472">
        <v>285.29759999999999</v>
      </c>
      <c r="M2472">
        <v>-0.99991319999999995</v>
      </c>
      <c r="N2472">
        <v>0</v>
      </c>
      <c r="O2472">
        <v>4.5890380000000001E-3</v>
      </c>
      <c r="P2472">
        <v>-0.99957839999999998</v>
      </c>
      <c r="Q2472">
        <v>2.4571200000000001E-2</v>
      </c>
      <c r="R2472">
        <v>1.5470029999999999E-2</v>
      </c>
      <c r="S2472">
        <v>-2.9962460000000002</v>
      </c>
      <c r="T2472">
        <v>-1.9778489999999999E-2</v>
      </c>
      <c r="U2472">
        <v>0.35995480000000002</v>
      </c>
      <c r="V2472">
        <v>1.087517E-2</v>
      </c>
      <c r="W2472">
        <v>3.6926279999999999E-2</v>
      </c>
      <c r="X2472">
        <v>0.9992588</v>
      </c>
      <c r="Y2472">
        <v>0.1147174</v>
      </c>
      <c r="Z2472">
        <v>3.4708550000000002E-4</v>
      </c>
      <c r="AA2472">
        <v>0.99339809999999995</v>
      </c>
      <c r="AB2472">
        <v>27</v>
      </c>
      <c r="AC2472">
        <v>-109.670699999999</v>
      </c>
      <c r="AD2472">
        <v>-0.72513859999999997</v>
      </c>
      <c r="AE2472">
        <v>13.194699999999999</v>
      </c>
      <c r="AF2472">
        <v>12.690692748761199</v>
      </c>
      <c r="AG2472">
        <v>-0.72513859999999997</v>
      </c>
      <c r="AH2472">
        <v>109.725372089296</v>
      </c>
      <c r="AI2472">
        <v>90.376135953311007</v>
      </c>
      <c r="AJ2472">
        <v>83.402558855206095</v>
      </c>
      <c r="AK2472">
        <v>110.45920870876699</v>
      </c>
      <c r="AL2472">
        <v>87.8837988595902</v>
      </c>
      <c r="AM2472">
        <v>89.376461089770501</v>
      </c>
      <c r="AN2472">
        <v>0.99999998442730298</v>
      </c>
    </row>
    <row r="2473" spans="1:40" x14ac:dyDescent="0.25">
      <c r="A2473" t="str">
        <f>"20190312160342310"</f>
        <v>20190312160342310</v>
      </c>
      <c r="B2473" t="str">
        <f>"1552377822297338"</f>
        <v>1552377822297338</v>
      </c>
      <c r="C2473" t="s">
        <v>40</v>
      </c>
      <c r="D2473">
        <v>4.849742</v>
      </c>
      <c r="E2473">
        <v>0.54012419999999906</v>
      </c>
      <c r="F2473" t="s">
        <v>77</v>
      </c>
      <c r="G2473">
        <v>-511.82029999999997</v>
      </c>
      <c r="H2473">
        <v>0.4658774</v>
      </c>
      <c r="I2473">
        <v>298.54410000000001</v>
      </c>
      <c r="J2473">
        <v>-402.38709999999998</v>
      </c>
      <c r="K2473">
        <v>1.1101430000000001</v>
      </c>
      <c r="L2473">
        <v>285.29860000000002</v>
      </c>
      <c r="M2473">
        <v>-0.99991359999999996</v>
      </c>
      <c r="N2473">
        <v>0</v>
      </c>
      <c r="O2473">
        <v>4.4797279999999997E-3</v>
      </c>
      <c r="P2473">
        <v>-0.99958170000000002</v>
      </c>
      <c r="Q2473">
        <v>2.4369390000000001E-2</v>
      </c>
      <c r="R2473">
        <v>1.558007E-2</v>
      </c>
      <c r="S2473">
        <v>-2.9960629999999999</v>
      </c>
      <c r="T2473">
        <v>-1.7598030000000001E-2</v>
      </c>
      <c r="U2473">
        <v>0.36187740000000002</v>
      </c>
      <c r="V2473">
        <v>1.109477E-2</v>
      </c>
      <c r="W2473">
        <v>3.6724239999999998E-2</v>
      </c>
      <c r="X2473">
        <v>0.99926380000000004</v>
      </c>
      <c r="Y2473">
        <v>0.115462</v>
      </c>
      <c r="Z2473">
        <v>3.1164749999999997E-4</v>
      </c>
      <c r="AA2473">
        <v>0.99331190000000003</v>
      </c>
      <c r="AB2473">
        <v>27</v>
      </c>
      <c r="AC2473">
        <v>-109.4332</v>
      </c>
      <c r="AD2473">
        <v>-0.64426559999999999</v>
      </c>
      <c r="AE2473">
        <v>13.2454999999999</v>
      </c>
      <c r="AF2473">
        <v>12.754662967481501</v>
      </c>
      <c r="AG2473">
        <v>-0.64426559999999999</v>
      </c>
      <c r="AH2473">
        <v>109.487702466004</v>
      </c>
      <c r="AI2473">
        <v>90.334880785902598</v>
      </c>
      <c r="AJ2473">
        <v>83.355334051773198</v>
      </c>
      <c r="AK2473">
        <v>110.230002707346</v>
      </c>
      <c r="AL2473">
        <v>87.895382689735897</v>
      </c>
      <c r="AM2473">
        <v>89.363874308036998</v>
      </c>
      <c r="AN2473">
        <v>0.99999995285768395</v>
      </c>
    </row>
    <row r="2474" spans="1:40" x14ac:dyDescent="0.25">
      <c r="A2474" t="str">
        <f>"20190312160342320"</f>
        <v>20190312160342320</v>
      </c>
      <c r="B2474" t="str">
        <f>"1552377822316857"</f>
        <v>1552377822316857</v>
      </c>
      <c r="C2474" t="s">
        <v>40</v>
      </c>
      <c r="D2474">
        <v>4.8551229999999999</v>
      </c>
      <c r="E2474">
        <v>0.54009209999999996</v>
      </c>
      <c r="F2474" t="s">
        <v>77</v>
      </c>
      <c r="G2474">
        <v>-511.82029999999997</v>
      </c>
      <c r="H2474">
        <v>0.59022010000000003</v>
      </c>
      <c r="I2474">
        <v>298.5505</v>
      </c>
      <c r="J2474">
        <v>-402.53</v>
      </c>
      <c r="K2474">
        <v>1.110141</v>
      </c>
      <c r="L2474">
        <v>285.29910000000001</v>
      </c>
      <c r="M2474">
        <v>-0.99991410000000003</v>
      </c>
      <c r="N2474">
        <v>0</v>
      </c>
      <c r="O2474">
        <v>4.4138090000000003E-3</v>
      </c>
      <c r="P2474">
        <v>-0.99957479999999999</v>
      </c>
      <c r="Q2474">
        <v>2.469828E-2</v>
      </c>
      <c r="R2474">
        <v>1.549876E-2</v>
      </c>
      <c r="S2474">
        <v>-2.995911</v>
      </c>
      <c r="T2474">
        <v>-1.423132E-2</v>
      </c>
      <c r="U2474">
        <v>0.36279299999999998</v>
      </c>
      <c r="V2474">
        <v>1.1079250000000001E-2</v>
      </c>
      <c r="W2474">
        <v>3.7053030000000001E-2</v>
      </c>
      <c r="X2474">
        <v>0.99925189999999997</v>
      </c>
      <c r="Y2474">
        <v>0.1158333</v>
      </c>
      <c r="Z2474">
        <v>2.5322529999999998E-4</v>
      </c>
      <c r="AA2474">
        <v>0.99326859999999995</v>
      </c>
      <c r="AB2474">
        <v>27</v>
      </c>
      <c r="AC2474">
        <v>-109.2903</v>
      </c>
      <c r="AD2474">
        <v>-0.51992090000000002</v>
      </c>
      <c r="AE2474">
        <v>13.251399999999901</v>
      </c>
      <c r="AF2474">
        <v>12.7685628657786</v>
      </c>
      <c r="AG2474">
        <v>-0.51992090000000002</v>
      </c>
      <c r="AH2474">
        <v>109.345290072296</v>
      </c>
      <c r="AI2474">
        <v>90.270592407096402</v>
      </c>
      <c r="AJ2474">
        <v>83.339571982646206</v>
      </c>
      <c r="AK2474">
        <v>110.089504387994</v>
      </c>
      <c r="AL2474">
        <v>87.876531717909202</v>
      </c>
      <c r="AM2474">
        <v>89.364756519787903</v>
      </c>
      <c r="AN2474">
        <v>1.0000000182331701</v>
      </c>
    </row>
    <row r="2475" spans="1:40" x14ac:dyDescent="0.25">
      <c r="A2475" t="str">
        <f>"20190312160342333"</f>
        <v>20190312160342333</v>
      </c>
      <c r="B2475" t="str">
        <f>"1552377822326617"</f>
        <v>1552377822326617</v>
      </c>
      <c r="C2475" t="s">
        <v>40</v>
      </c>
      <c r="D2475">
        <v>5.0141989999999996</v>
      </c>
      <c r="E2475">
        <v>0.53996929999999999</v>
      </c>
      <c r="F2475" t="s">
        <v>77</v>
      </c>
      <c r="G2475">
        <v>-511.82040000000001</v>
      </c>
      <c r="H2475">
        <v>0.77155759999999995</v>
      </c>
      <c r="I2475">
        <v>298.52159999999998</v>
      </c>
      <c r="J2475">
        <v>-402.67809999999997</v>
      </c>
      <c r="K2475">
        <v>1.110142</v>
      </c>
      <c r="L2475">
        <v>285.29969999999997</v>
      </c>
      <c r="M2475">
        <v>-0.99991419999999998</v>
      </c>
      <c r="N2475">
        <v>0</v>
      </c>
      <c r="O2475">
        <v>4.3458630000000002E-3</v>
      </c>
      <c r="P2475">
        <v>-0.99957200000000002</v>
      </c>
      <c r="Q2475">
        <v>2.4797630000000001E-2</v>
      </c>
      <c r="R2475">
        <v>1.552487E-2</v>
      </c>
      <c r="S2475">
        <v>-2.9958800000000001</v>
      </c>
      <c r="T2475">
        <v>-9.2788929999999999E-3</v>
      </c>
      <c r="U2475">
        <v>0.36245729999999998</v>
      </c>
      <c r="V2475">
        <v>1.117342E-2</v>
      </c>
      <c r="W2475">
        <v>3.7152619999999997E-2</v>
      </c>
      <c r="X2475">
        <v>0.99924710000000005</v>
      </c>
      <c r="Y2475">
        <v>0.11579299999999999</v>
      </c>
      <c r="Z2475">
        <v>1.652549E-4</v>
      </c>
      <c r="AA2475">
        <v>0.99327339999999997</v>
      </c>
      <c r="AB2475">
        <v>27</v>
      </c>
      <c r="AC2475">
        <v>-109.14230000000001</v>
      </c>
      <c r="AD2475">
        <v>-0.33858440000000001</v>
      </c>
      <c r="AE2475">
        <v>13.2219</v>
      </c>
      <c r="AF2475">
        <v>12.7473005159971</v>
      </c>
      <c r="AG2475">
        <v>-0.33858440000000001</v>
      </c>
      <c r="AH2475">
        <v>109.19769843236099</v>
      </c>
      <c r="AI2475">
        <v>90.176455651252695</v>
      </c>
      <c r="AJ2475">
        <v>83.341656861594998</v>
      </c>
      <c r="AK2475">
        <v>109.939736459416</v>
      </c>
      <c r="AL2475">
        <v>87.870821585622295</v>
      </c>
      <c r="AM2475">
        <v>89.3593545290245</v>
      </c>
      <c r="AN2475">
        <v>0.99999996467288399</v>
      </c>
    </row>
    <row r="2476" spans="1:40" x14ac:dyDescent="0.25">
      <c r="A2476" t="str">
        <f>"20190312160342346"</f>
        <v>20190312160342346</v>
      </c>
      <c r="B2476" t="str">
        <f>"1552377822337353"</f>
        <v>1552377822337353</v>
      </c>
      <c r="C2476" t="s">
        <v>40</v>
      </c>
      <c r="D2476">
        <v>4.8501519999999996</v>
      </c>
      <c r="E2476">
        <v>0.53985740000000004</v>
      </c>
      <c r="F2476" t="s">
        <v>77</v>
      </c>
      <c r="G2476">
        <v>-511.82040000000001</v>
      </c>
      <c r="H2476">
        <v>0.89059049999999995</v>
      </c>
      <c r="I2476">
        <v>298.48230000000001</v>
      </c>
      <c r="J2476">
        <v>-402.84059999999999</v>
      </c>
      <c r="K2476">
        <v>1.1101379999999901</v>
      </c>
      <c r="L2476">
        <v>285.30029999999999</v>
      </c>
      <c r="M2476">
        <v>-0.99991470000000005</v>
      </c>
      <c r="N2476">
        <v>0</v>
      </c>
      <c r="O2476">
        <v>4.270645E-3</v>
      </c>
      <c r="P2476">
        <v>-0.99957680000000004</v>
      </c>
      <c r="Q2476">
        <v>2.4781279999999999E-2</v>
      </c>
      <c r="R2476">
        <v>1.525807E-2</v>
      </c>
      <c r="S2476">
        <v>-2.995819</v>
      </c>
      <c r="T2476">
        <v>-6.024003E-3</v>
      </c>
      <c r="U2476">
        <v>0.36184690000000003</v>
      </c>
      <c r="V2476">
        <v>1.098178E-2</v>
      </c>
      <c r="W2476">
        <v>3.7136429999999998E-2</v>
      </c>
      <c r="X2476">
        <v>0.99924990000000002</v>
      </c>
      <c r="Y2476">
        <v>0.115671</v>
      </c>
      <c r="Z2476">
        <v>1.0731820000000001E-4</v>
      </c>
      <c r="AA2476">
        <v>0.99328760000000005</v>
      </c>
      <c r="AB2476">
        <v>27</v>
      </c>
      <c r="AC2476">
        <v>-108.9798</v>
      </c>
      <c r="AD2476">
        <v>-0.21954749999999901</v>
      </c>
      <c r="AE2476">
        <v>13.182</v>
      </c>
      <c r="AF2476">
        <v>12.7163794106857</v>
      </c>
      <c r="AG2476">
        <v>-0.21954749999999901</v>
      </c>
      <c r="AH2476">
        <v>109.03466983071201</v>
      </c>
      <c r="AI2476">
        <v>90.1145914569166</v>
      </c>
      <c r="AJ2476">
        <v>83.347820821152993</v>
      </c>
      <c r="AK2476">
        <v>109.773920999086</v>
      </c>
      <c r="AL2476">
        <v>87.871750001655897</v>
      </c>
      <c r="AM2476">
        <v>89.370343379302199</v>
      </c>
      <c r="AN2476">
        <v>1.00000003828756</v>
      </c>
    </row>
    <row r="2477" spans="1:40" x14ac:dyDescent="0.25">
      <c r="A2477" t="str">
        <f>"20190312160342365"</f>
        <v>20190312160342365</v>
      </c>
      <c r="B2477" t="str">
        <f>"1552377822356873"</f>
        <v>1552377822356873</v>
      </c>
      <c r="C2477" t="s">
        <v>40</v>
      </c>
      <c r="D2477">
        <v>4.8428870000000002</v>
      </c>
      <c r="E2477">
        <v>0.53888990000000003</v>
      </c>
      <c r="F2477" t="s">
        <v>77</v>
      </c>
      <c r="G2477">
        <v>-511.82049999999998</v>
      </c>
      <c r="H2477">
        <v>0.98791249999999997</v>
      </c>
      <c r="I2477">
        <v>298.41070000000002</v>
      </c>
      <c r="J2477">
        <v>-403.06709999999998</v>
      </c>
      <c r="K2477">
        <v>1.1101399999999999</v>
      </c>
      <c r="L2477">
        <v>285.30110000000002</v>
      </c>
      <c r="M2477">
        <v>-0.99991509999999995</v>
      </c>
      <c r="N2477">
        <v>0</v>
      </c>
      <c r="O2477">
        <v>4.166342E-3</v>
      </c>
      <c r="P2477">
        <v>-0.99958400000000003</v>
      </c>
      <c r="Q2477">
        <v>2.4751039999999998E-2</v>
      </c>
      <c r="R2477">
        <v>1.481526E-2</v>
      </c>
      <c r="S2477">
        <v>-2.995911</v>
      </c>
      <c r="T2477">
        <v>-3.3576489999999999E-3</v>
      </c>
      <c r="U2477">
        <v>0.36041260000000003</v>
      </c>
      <c r="V2477">
        <v>1.0643049999999999E-2</v>
      </c>
      <c r="W2477">
        <v>3.7105930000000002E-2</v>
      </c>
      <c r="X2477">
        <v>0.99925459999999999</v>
      </c>
      <c r="Y2477">
        <v>0.1153024</v>
      </c>
      <c r="Z2477" s="1">
        <v>5.9727420000000001E-5</v>
      </c>
      <c r="AA2477">
        <v>0.99333039999999995</v>
      </c>
      <c r="AB2477">
        <v>27</v>
      </c>
      <c r="AC2477">
        <v>-108.7534</v>
      </c>
      <c r="AD2477">
        <v>-0.122227499999999</v>
      </c>
      <c r="AE2477">
        <v>13.1096</v>
      </c>
      <c r="AF2477">
        <v>12.656332047196599</v>
      </c>
      <c r="AG2477">
        <v>-0.122227499999999</v>
      </c>
      <c r="AH2477">
        <v>108.80694372954</v>
      </c>
      <c r="AI2477">
        <v>90.063931726674895</v>
      </c>
      <c r="AJ2477">
        <v>83.365219166861493</v>
      </c>
      <c r="AK2477">
        <v>109.54062572495199</v>
      </c>
      <c r="AL2477">
        <v>87.873498519218501</v>
      </c>
      <c r="AM2477">
        <v>89.389766343482805</v>
      </c>
      <c r="AN2477">
        <v>0.99999994008781101</v>
      </c>
    </row>
    <row r="2478" spans="1:40" x14ac:dyDescent="0.25">
      <c r="A2478" t="str">
        <f>"20190312160342379"</f>
        <v>20190312160342379</v>
      </c>
      <c r="B2478" t="str">
        <f>"1552377822366632"</f>
        <v>1552377822366632</v>
      </c>
      <c r="C2478" t="s">
        <v>40</v>
      </c>
      <c r="D2478">
        <v>4.8418919999999996</v>
      </c>
      <c r="E2478">
        <v>0.53838079999999999</v>
      </c>
      <c r="F2478" t="s">
        <v>77</v>
      </c>
      <c r="G2478">
        <v>-511.82049999999998</v>
      </c>
      <c r="H2478">
        <v>1.133022</v>
      </c>
      <c r="I2478">
        <v>298.05590000000001</v>
      </c>
      <c r="J2478">
        <v>-403.23379999999997</v>
      </c>
      <c r="K2478">
        <v>1.110147</v>
      </c>
      <c r="L2478">
        <v>285.30180000000001</v>
      </c>
      <c r="M2478">
        <v>-0.99991529999999995</v>
      </c>
      <c r="N2478">
        <v>0</v>
      </c>
      <c r="O2478">
        <v>4.0898100000000001E-3</v>
      </c>
      <c r="P2478">
        <v>-0.99959019999999998</v>
      </c>
      <c r="Q2478">
        <v>2.4720389999999998E-2</v>
      </c>
      <c r="R2478">
        <v>1.4432739999999999E-2</v>
      </c>
      <c r="S2478">
        <v>-2.9960330000000002</v>
      </c>
      <c r="T2478">
        <v>6.3276290000000002E-4</v>
      </c>
      <c r="U2478">
        <v>0.35137940000000001</v>
      </c>
      <c r="V2478">
        <v>1.0337000000000001E-2</v>
      </c>
      <c r="W2478">
        <v>3.7074959999999997E-2</v>
      </c>
      <c r="X2478">
        <v>0.99925900000000001</v>
      </c>
      <c r="Y2478">
        <v>0.11242000000000001</v>
      </c>
      <c r="Z2478" s="1">
        <v>-1.097019E-5</v>
      </c>
      <c r="AA2478">
        <v>0.99366080000000001</v>
      </c>
      <c r="AB2478">
        <v>27</v>
      </c>
      <c r="AC2478">
        <v>-108.58669999999999</v>
      </c>
      <c r="AD2478">
        <v>2.2874999999999899E-2</v>
      </c>
      <c r="AE2478">
        <v>12.7540999999999</v>
      </c>
      <c r="AF2478">
        <v>12.309859903515299</v>
      </c>
      <c r="AG2478">
        <v>2.2874999999999899E-2</v>
      </c>
      <c r="AH2478">
        <v>108.637952789642</v>
      </c>
      <c r="AI2478">
        <v>89.988012410224698</v>
      </c>
      <c r="AJ2478">
        <v>83.535339179233603</v>
      </c>
      <c r="AK2478">
        <v>109.333151241672</v>
      </c>
      <c r="AL2478">
        <v>87.875274271289499</v>
      </c>
      <c r="AM2478">
        <v>89.407315473142603</v>
      </c>
      <c r="AN2478">
        <v>0.99999997765449999</v>
      </c>
    </row>
    <row r="2479" spans="1:40" x14ac:dyDescent="0.25">
      <c r="A2479" t="str">
        <f>"20190312160342392"</f>
        <v>20190312160342392</v>
      </c>
      <c r="B2479" t="str">
        <f>"1552377822387130"</f>
        <v>1552377822387130</v>
      </c>
      <c r="C2479" t="s">
        <v>40</v>
      </c>
      <c r="D2479">
        <v>4.8073499999999996</v>
      </c>
      <c r="E2479">
        <v>0.53754679999999999</v>
      </c>
      <c r="F2479" t="s">
        <v>44</v>
      </c>
      <c r="G2479">
        <v>-476.33300000000003</v>
      </c>
      <c r="H2479">
        <v>1.188002</v>
      </c>
      <c r="I2479">
        <v>293.74869999999999</v>
      </c>
      <c r="J2479">
        <v>-403.387</v>
      </c>
      <c r="K2479">
        <v>1.1101479999999999</v>
      </c>
      <c r="L2479">
        <v>285.3023</v>
      </c>
      <c r="M2479">
        <v>-0.99991569999999996</v>
      </c>
      <c r="N2479">
        <v>0</v>
      </c>
      <c r="O2479">
        <v>4.0194769999999996E-3</v>
      </c>
      <c r="P2479">
        <v>-0.99959600000000004</v>
      </c>
      <c r="Q2479">
        <v>2.4613699999999999E-2</v>
      </c>
      <c r="R2479">
        <v>1.423224E-2</v>
      </c>
      <c r="S2479">
        <v>-2.9961850000000001</v>
      </c>
      <c r="T2479">
        <v>3.1911130000000002E-3</v>
      </c>
      <c r="U2479">
        <v>0.34622190000000003</v>
      </c>
      <c r="V2479">
        <v>1.020689E-2</v>
      </c>
      <c r="W2479">
        <v>3.6968689999999998E-2</v>
      </c>
      <c r="X2479">
        <v>0.99926429999999999</v>
      </c>
      <c r="Y2479">
        <v>0.1107962</v>
      </c>
      <c r="Z2479" s="1">
        <v>-5.4539719999999997E-5</v>
      </c>
      <c r="AA2479">
        <v>0.99384309999999998</v>
      </c>
      <c r="AB2479">
        <v>27</v>
      </c>
      <c r="AC2479">
        <v>-72.945999999999998</v>
      </c>
      <c r="AD2479">
        <v>7.7854000000000007E-2</v>
      </c>
      <c r="AE2479">
        <v>8.4463999999999793</v>
      </c>
      <c r="AF2479">
        <v>8.1530954748367304</v>
      </c>
      <c r="AG2479">
        <v>7.7854000000000007E-2</v>
      </c>
      <c r="AH2479">
        <v>72.979281310985897</v>
      </c>
      <c r="AI2479">
        <v>89.939255019254404</v>
      </c>
      <c r="AJ2479">
        <v>83.625465429369001</v>
      </c>
      <c r="AK2479">
        <v>73.433333900451004</v>
      </c>
      <c r="AL2479">
        <v>87.881367324543703</v>
      </c>
      <c r="AM2479">
        <v>89.414778070593599</v>
      </c>
      <c r="AN2479">
        <v>1.0000000029491301</v>
      </c>
    </row>
    <row r="2480" spans="1:40" x14ac:dyDescent="0.25">
      <c r="A2480" t="str">
        <f>"20190312160342410"</f>
        <v>20190312160342410</v>
      </c>
      <c r="B2480" t="str">
        <f>"1552377822406649"</f>
        <v>1552377822406649</v>
      </c>
      <c r="C2480" t="s">
        <v>40</v>
      </c>
      <c r="D2480">
        <v>4.758311</v>
      </c>
      <c r="E2480">
        <v>0.53681299999999998</v>
      </c>
      <c r="F2480" t="s">
        <v>77</v>
      </c>
      <c r="G2480">
        <v>-511.82060000000001</v>
      </c>
      <c r="H2480">
        <v>1.331969</v>
      </c>
      <c r="I2480">
        <v>297.58019999999999</v>
      </c>
      <c r="J2480">
        <v>-403.61419999999998</v>
      </c>
      <c r="K2480">
        <v>1.1101529999999999</v>
      </c>
      <c r="L2480">
        <v>285.30309999999997</v>
      </c>
      <c r="M2480">
        <v>-0.99991600000000003</v>
      </c>
      <c r="N2480">
        <v>0</v>
      </c>
      <c r="O2480">
        <v>3.9155279999999997E-3</v>
      </c>
      <c r="P2480">
        <v>-0.99959640000000005</v>
      </c>
      <c r="Q2480">
        <v>2.4973140000000001E-2</v>
      </c>
      <c r="R2480">
        <v>1.3554129999999999E-2</v>
      </c>
      <c r="S2480">
        <v>-2.9962460000000002</v>
      </c>
      <c r="T2480">
        <v>6.1317680000000001E-3</v>
      </c>
      <c r="U2480">
        <v>0.33926390000000001</v>
      </c>
      <c r="V2480">
        <v>9.6327759999999991E-3</v>
      </c>
      <c r="W2480">
        <v>3.73275E-2</v>
      </c>
      <c r="X2480">
        <v>0.9992567</v>
      </c>
      <c r="Y2480">
        <v>0.108618699999999</v>
      </c>
      <c r="Z2480">
        <v>-1.0280139999999999E-4</v>
      </c>
      <c r="AA2480">
        <v>0.99408350000000001</v>
      </c>
      <c r="AB2480">
        <v>27</v>
      </c>
      <c r="AC2480">
        <v>-108.2064</v>
      </c>
      <c r="AD2480">
        <v>0.22181599999999899</v>
      </c>
      <c r="AE2480">
        <v>12.277100000000001</v>
      </c>
      <c r="AF2480">
        <v>11.853239163068</v>
      </c>
      <c r="AG2480">
        <v>0.22181599999999899</v>
      </c>
      <c r="AH2480">
        <v>108.253196269901</v>
      </c>
      <c r="AI2480">
        <v>89.883295871505695</v>
      </c>
      <c r="AJ2480">
        <v>83.751262531546701</v>
      </c>
      <c r="AK2480">
        <v>108.90042692131399</v>
      </c>
      <c r="AL2480">
        <v>87.860794910897894</v>
      </c>
      <c r="AM2480">
        <v>89.447689152879306</v>
      </c>
      <c r="AN2480">
        <v>1.0000000425622999</v>
      </c>
    </row>
    <row r="2481" spans="1:40" x14ac:dyDescent="0.25">
      <c r="A2481" t="str">
        <f>"20190312160342422"</f>
        <v>20190312160342422</v>
      </c>
      <c r="B2481" t="str">
        <f>"1552377822417386"</f>
        <v>1552377822417386</v>
      </c>
      <c r="C2481" t="s">
        <v>40</v>
      </c>
      <c r="D2481">
        <v>4.779541</v>
      </c>
      <c r="E2481">
        <v>0.53655839999999999</v>
      </c>
      <c r="F2481" t="s">
        <v>77</v>
      </c>
      <c r="G2481">
        <v>-510.95409999999998</v>
      </c>
      <c r="H2481">
        <v>1.501423</v>
      </c>
      <c r="I2481">
        <v>297.17630000000003</v>
      </c>
      <c r="J2481">
        <v>-403.75810000000001</v>
      </c>
      <c r="K2481">
        <v>1.110155</v>
      </c>
      <c r="L2481">
        <v>285.30360000000002</v>
      </c>
      <c r="M2481">
        <v>-0.99991620000000003</v>
      </c>
      <c r="N2481">
        <v>0</v>
      </c>
      <c r="O2481">
        <v>3.849075E-3</v>
      </c>
      <c r="P2481">
        <v>-0.99959710000000002</v>
      </c>
      <c r="Q2481">
        <v>2.5010210000000001E-2</v>
      </c>
      <c r="R2481">
        <v>1.341531E-2</v>
      </c>
      <c r="S2481">
        <v>-2.9964900000000001</v>
      </c>
      <c r="T2481">
        <v>1.092505E-2</v>
      </c>
      <c r="U2481">
        <v>0.33145140000000001</v>
      </c>
      <c r="V2481">
        <v>9.5601269999999999E-3</v>
      </c>
      <c r="W2481">
        <v>3.7364670000000003E-2</v>
      </c>
      <c r="X2481">
        <v>0.99925600000000003</v>
      </c>
      <c r="Y2481">
        <v>0.1061151</v>
      </c>
      <c r="Z2481">
        <v>-1.788654E-4</v>
      </c>
      <c r="AA2481">
        <v>0.99435379999999995</v>
      </c>
      <c r="AB2481">
        <v>27</v>
      </c>
      <c r="AC2481">
        <v>-107.195999999999</v>
      </c>
      <c r="AD2481">
        <v>0.391268</v>
      </c>
      <c r="AE2481">
        <v>11.8727</v>
      </c>
      <c r="AF2481">
        <v>11.459824245869299</v>
      </c>
      <c r="AG2481">
        <v>0.391268</v>
      </c>
      <c r="AH2481">
        <v>107.23949680174999</v>
      </c>
      <c r="AI2481">
        <v>89.792138224413094</v>
      </c>
      <c r="AJ2481">
        <v>83.900407714828404</v>
      </c>
      <c r="AK2481">
        <v>107.850778099588</v>
      </c>
      <c r="AL2481">
        <v>87.858663721935798</v>
      </c>
      <c r="AM2481">
        <v>89.451853962121405</v>
      </c>
      <c r="AN2481">
        <v>1.0000000340642301</v>
      </c>
    </row>
    <row r="2482" spans="1:40" x14ac:dyDescent="0.25">
      <c r="A2482" t="str">
        <f>"20190312160342433"</f>
        <v>20190312160342433</v>
      </c>
      <c r="B2482" t="str">
        <f>"1552377822427144"</f>
        <v>1552377822427144</v>
      </c>
      <c r="C2482" t="s">
        <v>40</v>
      </c>
      <c r="D2482">
        <v>4.764367</v>
      </c>
      <c r="E2482">
        <v>0.53633280000000005</v>
      </c>
      <c r="F2482" t="s">
        <v>77</v>
      </c>
      <c r="G2482">
        <v>-510.95409999999998</v>
      </c>
      <c r="H2482">
        <v>1.555488</v>
      </c>
      <c r="I2482">
        <v>297.07490000000001</v>
      </c>
      <c r="J2482">
        <v>-403.89609999999999</v>
      </c>
      <c r="K2482">
        <v>1.1101559999999999</v>
      </c>
      <c r="L2482">
        <v>285.30399999999997</v>
      </c>
      <c r="M2482">
        <v>-0.99991660000000004</v>
      </c>
      <c r="N2482">
        <v>0</v>
      </c>
      <c r="O2482">
        <v>3.7853040000000002E-3</v>
      </c>
      <c r="P2482">
        <v>-0.99959609999999999</v>
      </c>
      <c r="Q2482">
        <v>2.5287520000000001E-2</v>
      </c>
      <c r="R2482">
        <v>1.29722E-2</v>
      </c>
      <c r="S2482">
        <v>-2.996429</v>
      </c>
      <c r="T2482">
        <v>1.24507E-2</v>
      </c>
      <c r="U2482">
        <v>0.32904050000000001</v>
      </c>
      <c r="V2482">
        <v>9.1807820000000002E-3</v>
      </c>
      <c r="W2482">
        <v>3.7641510000000003E-2</v>
      </c>
      <c r="X2482">
        <v>0.99924919999999995</v>
      </c>
      <c r="Y2482">
        <v>0.1053901</v>
      </c>
      <c r="Z2482">
        <v>-2.026184E-4</v>
      </c>
      <c r="AA2482">
        <v>0.99443099999999995</v>
      </c>
      <c r="AB2482">
        <v>27</v>
      </c>
      <c r="AC2482">
        <v>-107.05800000000001</v>
      </c>
      <c r="AD2482">
        <v>0.44533200000000001</v>
      </c>
      <c r="AE2482">
        <v>11.7708999999999</v>
      </c>
      <c r="AF2482">
        <v>11.365343375677</v>
      </c>
      <c r="AG2482">
        <v>0.44533200000000001</v>
      </c>
      <c r="AH2482">
        <v>107.09996167017999</v>
      </c>
      <c r="AI2482">
        <v>89.7630901800582</v>
      </c>
      <c r="AJ2482">
        <v>83.942498271410798</v>
      </c>
      <c r="AK2482">
        <v>107.702233683389</v>
      </c>
      <c r="AL2482">
        <v>87.842790863200605</v>
      </c>
      <c r="AM2482">
        <v>89.473599517597293</v>
      </c>
      <c r="AN2482">
        <v>1.00000006686692</v>
      </c>
    </row>
    <row r="2483" spans="1:40" x14ac:dyDescent="0.25">
      <c r="A2483" t="str">
        <f>"20190312160342445"</f>
        <v>20190312160342445</v>
      </c>
      <c r="B2483" t="str">
        <f>"1552377822436905"</f>
        <v>1552377822436905</v>
      </c>
      <c r="C2483" t="s">
        <v>40</v>
      </c>
      <c r="D2483">
        <v>4.7836270000000001</v>
      </c>
      <c r="E2483">
        <v>0.53613080000000002</v>
      </c>
      <c r="F2483" t="s">
        <v>77</v>
      </c>
      <c r="G2483">
        <v>-510.95420000000001</v>
      </c>
      <c r="H2483">
        <v>1.6375789999999999</v>
      </c>
      <c r="I2483">
        <v>296.95150000000001</v>
      </c>
      <c r="J2483">
        <v>-404.0478</v>
      </c>
      <c r="K2483">
        <v>1.1101510000000001</v>
      </c>
      <c r="L2483">
        <v>285.30459999999999</v>
      </c>
      <c r="M2483">
        <v>-0.99991669999999999</v>
      </c>
      <c r="N2483">
        <v>0</v>
      </c>
      <c r="O2483">
        <v>3.7152729999999998E-3</v>
      </c>
      <c r="P2483">
        <v>-0.99959189999999998</v>
      </c>
      <c r="Q2483">
        <v>2.5447620000000001E-2</v>
      </c>
      <c r="R2483">
        <v>1.2984849999999999E-2</v>
      </c>
      <c r="S2483">
        <v>-2.996613</v>
      </c>
      <c r="T2483">
        <v>1.4765260000000001E-2</v>
      </c>
      <c r="U2483">
        <v>0.32601930000000001</v>
      </c>
      <c r="V2483">
        <v>9.2635189999999996E-3</v>
      </c>
      <c r="W2483">
        <v>3.7801620000000001E-2</v>
      </c>
      <c r="X2483">
        <v>0.99924230000000003</v>
      </c>
      <c r="Y2483">
        <v>0.104462</v>
      </c>
      <c r="Z2483">
        <v>-2.3834729999999999E-4</v>
      </c>
      <c r="AA2483">
        <v>0.99452879999999999</v>
      </c>
      <c r="AB2483">
        <v>27</v>
      </c>
      <c r="AC2483">
        <v>-106.9064</v>
      </c>
      <c r="AD2483">
        <v>0.52742800000000001</v>
      </c>
      <c r="AE2483">
        <v>11.6469</v>
      </c>
      <c r="AF2483">
        <v>11.2493322009104</v>
      </c>
      <c r="AG2483">
        <v>0.52742800000000001</v>
      </c>
      <c r="AH2483">
        <v>106.94636424435799</v>
      </c>
      <c r="AI2483">
        <v>89.718986662644895</v>
      </c>
      <c r="AJ2483">
        <v>83.995328336886402</v>
      </c>
      <c r="AK2483">
        <v>107.537670052631</v>
      </c>
      <c r="AL2483">
        <v>87.833610503122401</v>
      </c>
      <c r="AM2483">
        <v>89.468852211443604</v>
      </c>
      <c r="AN2483">
        <v>0.99999997468408797</v>
      </c>
    </row>
    <row r="2484" spans="1:40" x14ac:dyDescent="0.25">
      <c r="A2484" t="str">
        <f>"20190312160342467"</f>
        <v>20190312160342467</v>
      </c>
      <c r="B2484" t="str">
        <f>"1552377822457401"</f>
        <v>1552377822457401</v>
      </c>
      <c r="C2484" t="s">
        <v>40</v>
      </c>
      <c r="D2484">
        <v>4.7694660000000004</v>
      </c>
      <c r="E2484">
        <v>0.53579600000000005</v>
      </c>
      <c r="F2484" t="s">
        <v>77</v>
      </c>
      <c r="G2484">
        <v>-510.95420000000001</v>
      </c>
      <c r="H2484">
        <v>1.7055340000000001</v>
      </c>
      <c r="I2484">
        <v>296.88670000000002</v>
      </c>
      <c r="J2484">
        <v>-404.30090000000001</v>
      </c>
      <c r="K2484">
        <v>1.1101529999999999</v>
      </c>
      <c r="L2484">
        <v>285.30529999999999</v>
      </c>
      <c r="M2484">
        <v>-0.99991730000000001</v>
      </c>
      <c r="N2484">
        <v>0</v>
      </c>
      <c r="O2484">
        <v>3.5983360000000002E-3</v>
      </c>
      <c r="P2484">
        <v>-0.99959299999999995</v>
      </c>
      <c r="Q2484">
        <v>2.5568670000000002E-2</v>
      </c>
      <c r="R2484">
        <v>1.266488E-2</v>
      </c>
      <c r="S2484">
        <v>-2.9965820000000001</v>
      </c>
      <c r="T2484">
        <v>1.6690969999999999E-2</v>
      </c>
      <c r="U2484">
        <v>0.32464599999999999</v>
      </c>
      <c r="V2484">
        <v>9.0604150000000005E-3</v>
      </c>
      <c r="W2484">
        <v>3.7922169999999998E-2</v>
      </c>
      <c r="X2484">
        <v>0.99923960000000001</v>
      </c>
      <c r="Y2484">
        <v>0.1041286</v>
      </c>
      <c r="Z2484">
        <v>-2.691654E-4</v>
      </c>
      <c r="AA2484">
        <v>0.9945638</v>
      </c>
      <c r="AB2484">
        <v>27</v>
      </c>
      <c r="AC2484">
        <v>-106.6533</v>
      </c>
      <c r="AD2484">
        <v>0.59538099999999905</v>
      </c>
      <c r="AE2484">
        <v>11.5814</v>
      </c>
      <c r="AF2484">
        <v>11.1971764730099</v>
      </c>
      <c r="AG2484">
        <v>0.59538099999999905</v>
      </c>
      <c r="AH2484">
        <v>106.69100028382999</v>
      </c>
      <c r="AI2484">
        <v>89.682014963587093</v>
      </c>
      <c r="AJ2484">
        <v>84.008763989992403</v>
      </c>
      <c r="AK2484">
        <v>107.27861287818401</v>
      </c>
      <c r="AL2484">
        <v>87.826698552608093</v>
      </c>
      <c r="AM2484">
        <v>89.480495654829198</v>
      </c>
      <c r="AN2484">
        <v>0.99999998015281999</v>
      </c>
    </row>
    <row r="2485" spans="1:40" x14ac:dyDescent="0.25">
      <c r="A2485" t="str">
        <f>"20190312160342489"</f>
        <v>20190312160342489</v>
      </c>
      <c r="B2485" t="str">
        <f>"1552377822476920"</f>
        <v>1552377822476920</v>
      </c>
      <c r="C2485" t="s">
        <v>40</v>
      </c>
      <c r="D2485">
        <v>4.7572970000000003</v>
      </c>
      <c r="E2485">
        <v>0.53551700000000002</v>
      </c>
      <c r="F2485" t="s">
        <v>77</v>
      </c>
      <c r="G2485">
        <v>-510.95420000000001</v>
      </c>
      <c r="H2485">
        <v>1.7971900000000001</v>
      </c>
      <c r="I2485">
        <v>296.72930000000002</v>
      </c>
      <c r="J2485">
        <v>-404.56920000000002</v>
      </c>
      <c r="K2485">
        <v>1.11016</v>
      </c>
      <c r="L2485">
        <v>285.30610000000001</v>
      </c>
      <c r="M2485">
        <v>-0.99991770000000002</v>
      </c>
      <c r="N2485">
        <v>0</v>
      </c>
      <c r="O2485">
        <v>3.475021E-3</v>
      </c>
      <c r="P2485">
        <v>-0.99958749999999996</v>
      </c>
      <c r="Q2485">
        <v>2.5639990000000001E-2</v>
      </c>
      <c r="R2485">
        <v>1.294463E-2</v>
      </c>
      <c r="S2485">
        <v>-2.9966740000000001</v>
      </c>
      <c r="T2485">
        <v>1.9306299999999998E-2</v>
      </c>
      <c r="U2485">
        <v>0.32098389999999999</v>
      </c>
      <c r="V2485">
        <v>9.4634000000000003E-3</v>
      </c>
      <c r="W2485">
        <v>3.7993649999999997E-2</v>
      </c>
      <c r="X2485">
        <v>0.99923320000000004</v>
      </c>
      <c r="Y2485">
        <v>0.103046</v>
      </c>
      <c r="Z2485">
        <v>-3.0866610000000001E-4</v>
      </c>
      <c r="AA2485">
        <v>0.99467649999999996</v>
      </c>
      <c r="AB2485">
        <v>27</v>
      </c>
      <c r="AC2485">
        <v>-106.38500000000001</v>
      </c>
      <c r="AD2485">
        <v>0.68703000000000003</v>
      </c>
      <c r="AE2485">
        <v>11.4232</v>
      </c>
      <c r="AF2485">
        <v>11.0529570008676</v>
      </c>
      <c r="AG2485">
        <v>0.68703000000000003</v>
      </c>
      <c r="AH2485">
        <v>106.419668777509</v>
      </c>
      <c r="AI2485">
        <v>89.632090864775606</v>
      </c>
      <c r="AJ2485">
        <v>84.070407629025496</v>
      </c>
      <c r="AK2485">
        <v>106.994325884126</v>
      </c>
      <c r="AL2485">
        <v>87.8226002066814</v>
      </c>
      <c r="AM2485">
        <v>89.457387254810101</v>
      </c>
      <c r="AN2485">
        <v>1.0000000306810599</v>
      </c>
    </row>
    <row r="2486" spans="1:40" x14ac:dyDescent="0.25">
      <c r="A2486" t="str">
        <f>"20190312160342502"</f>
        <v>20190312160342502</v>
      </c>
      <c r="B2486" t="str">
        <f>"1552377822497417"</f>
        <v>1552377822497417</v>
      </c>
      <c r="C2486" t="s">
        <v>40</v>
      </c>
      <c r="D2486">
        <v>4.7580929999999997</v>
      </c>
      <c r="E2486">
        <v>0.53532899999999894</v>
      </c>
      <c r="F2486" t="s">
        <v>77</v>
      </c>
      <c r="G2486">
        <v>-510.95420000000001</v>
      </c>
      <c r="H2486">
        <v>1.880471</v>
      </c>
      <c r="I2486">
        <v>296.65519999999998</v>
      </c>
      <c r="J2486">
        <v>-404.74020000000002</v>
      </c>
      <c r="K2486">
        <v>1.11016</v>
      </c>
      <c r="L2486">
        <v>285.3066</v>
      </c>
      <c r="M2486">
        <v>-0.99991799999999997</v>
      </c>
      <c r="N2486">
        <v>0</v>
      </c>
      <c r="O2486">
        <v>3.3964059999999998E-3</v>
      </c>
      <c r="P2486">
        <v>-0.99958460000000005</v>
      </c>
      <c r="Q2486">
        <v>2.5747249999999999E-2</v>
      </c>
      <c r="R2486">
        <v>1.294348E-2</v>
      </c>
      <c r="S2486">
        <v>-2.9965519999999999</v>
      </c>
      <c r="T2486">
        <v>2.169979E-2</v>
      </c>
      <c r="U2486">
        <v>0.3196716</v>
      </c>
      <c r="V2486">
        <v>9.5407519999999996E-3</v>
      </c>
      <c r="W2486">
        <v>3.810086E-2</v>
      </c>
      <c r="X2486">
        <v>0.99922840000000002</v>
      </c>
      <c r="Y2486">
        <v>0.1026972</v>
      </c>
      <c r="Z2486">
        <v>-3.4626250000000002E-4</v>
      </c>
      <c r="AA2486">
        <v>0.99471259999999995</v>
      </c>
      <c r="AB2486">
        <v>27</v>
      </c>
      <c r="AC2486">
        <v>-106.214</v>
      </c>
      <c r="AD2486">
        <v>0.77031099999999997</v>
      </c>
      <c r="AE2486">
        <v>11.3485999999999</v>
      </c>
      <c r="AF2486">
        <v>10.9871897837765</v>
      </c>
      <c r="AG2486">
        <v>0.77031099999999997</v>
      </c>
      <c r="AH2486">
        <v>106.24640941278901</v>
      </c>
      <c r="AI2486">
        <v>89.586803082311306</v>
      </c>
      <c r="AJ2486">
        <v>84.095896082170995</v>
      </c>
      <c r="AK2486">
        <v>106.815781752939</v>
      </c>
      <c r="AL2486">
        <v>87.816453114221602</v>
      </c>
      <c r="AM2486">
        <v>89.452949684000004</v>
      </c>
      <c r="AN2486">
        <v>1.0000000484240099</v>
      </c>
    </row>
    <row r="2487" spans="1:40" x14ac:dyDescent="0.25">
      <c r="A2487" t="str">
        <f>"20190312160342521"</f>
        <v>20190312160342521</v>
      </c>
      <c r="B2487" t="str">
        <f>"1552377822516940"</f>
        <v>1552377822516940</v>
      </c>
      <c r="C2487" t="s">
        <v>40</v>
      </c>
      <c r="D2487">
        <v>4.7664160000000004</v>
      </c>
      <c r="E2487">
        <v>0.53516269999999999</v>
      </c>
      <c r="F2487" t="s">
        <v>77</v>
      </c>
      <c r="G2487">
        <v>-510.95429999999999</v>
      </c>
      <c r="H2487">
        <v>1.9518059999999999</v>
      </c>
      <c r="I2487">
        <v>296.5847</v>
      </c>
      <c r="J2487">
        <v>-404.97129999999999</v>
      </c>
      <c r="K2487">
        <v>1.110161</v>
      </c>
      <c r="L2487">
        <v>285.3073</v>
      </c>
      <c r="M2487">
        <v>-0.99991819999999998</v>
      </c>
      <c r="N2487">
        <v>0</v>
      </c>
      <c r="O2487">
        <v>3.2910909999999999E-3</v>
      </c>
      <c r="P2487">
        <v>-0.99957110000000005</v>
      </c>
      <c r="Q2487">
        <v>2.6194530000000001E-2</v>
      </c>
      <c r="R2487">
        <v>1.309717E-2</v>
      </c>
      <c r="S2487">
        <v>-2.996521</v>
      </c>
      <c r="T2487">
        <v>2.3746969999999999E-2</v>
      </c>
      <c r="U2487">
        <v>0.31817630000000002</v>
      </c>
      <c r="V2487">
        <v>9.7998489999999994E-3</v>
      </c>
      <c r="W2487">
        <v>3.85478E-2</v>
      </c>
      <c r="X2487">
        <v>0.99920869999999995</v>
      </c>
      <c r="Y2487">
        <v>0.10231179999999999</v>
      </c>
      <c r="Z2487">
        <v>-3.7825130000000002E-4</v>
      </c>
      <c r="AA2487">
        <v>0.99475230000000003</v>
      </c>
      <c r="AB2487">
        <v>27</v>
      </c>
      <c r="AC2487">
        <v>-105.982999999999</v>
      </c>
      <c r="AD2487">
        <v>0.84164499999999998</v>
      </c>
      <c r="AE2487">
        <v>11.2774</v>
      </c>
      <c r="AF2487">
        <v>10.927831130650301</v>
      </c>
      <c r="AG2487">
        <v>0.84164499999999998</v>
      </c>
      <c r="AH2487">
        <v>106.012932920634</v>
      </c>
      <c r="AI2487">
        <v>89.547531269005205</v>
      </c>
      <c r="AJ2487">
        <v>84.114727277422404</v>
      </c>
      <c r="AK2487">
        <v>106.57798931280701</v>
      </c>
      <c r="AL2487">
        <v>87.790826401686999</v>
      </c>
      <c r="AM2487">
        <v>89.438083369858703</v>
      </c>
      <c r="AN2487">
        <v>0.99999999804047601</v>
      </c>
    </row>
    <row r="2488" spans="1:40" x14ac:dyDescent="0.25">
      <c r="A2488" t="str">
        <f>"20190312160342533"</f>
        <v>20190312160342533</v>
      </c>
      <c r="B2488" t="str">
        <f>"1552377822526697"</f>
        <v>1552377822526697</v>
      </c>
      <c r="C2488" t="s">
        <v>40</v>
      </c>
      <c r="D2488">
        <v>4.7736980000000004</v>
      </c>
      <c r="E2488">
        <v>0.53504469999999904</v>
      </c>
      <c r="F2488" t="s">
        <v>77</v>
      </c>
      <c r="G2488">
        <v>-510.95429999999999</v>
      </c>
      <c r="H2488">
        <v>2.0399319999999999</v>
      </c>
      <c r="I2488">
        <v>296.53730000000002</v>
      </c>
      <c r="J2488">
        <v>-405.11200000000002</v>
      </c>
      <c r="K2488">
        <v>1.1101620000000001</v>
      </c>
      <c r="L2488">
        <v>285.30770000000001</v>
      </c>
      <c r="M2488">
        <v>-0.99991850000000004</v>
      </c>
      <c r="N2488">
        <v>0</v>
      </c>
      <c r="O2488">
        <v>3.2267839999999999E-3</v>
      </c>
      <c r="P2488">
        <v>-0.9995695</v>
      </c>
      <c r="Q2488">
        <v>2.6301439999999999E-2</v>
      </c>
      <c r="R2488">
        <v>1.3006169999999999E-2</v>
      </c>
      <c r="S2488">
        <v>-2.996429</v>
      </c>
      <c r="T2488">
        <v>2.628958E-2</v>
      </c>
      <c r="U2488">
        <v>0.31750489999999998</v>
      </c>
      <c r="V2488">
        <v>9.7730739999999997E-3</v>
      </c>
      <c r="W2488">
        <v>3.8654540000000001E-2</v>
      </c>
      <c r="X2488">
        <v>0.9992048</v>
      </c>
      <c r="Y2488">
        <v>0.10215779999999999</v>
      </c>
      <c r="Z2488">
        <v>-4.1865640000000003E-4</v>
      </c>
      <c r="AA2488">
        <v>0.99476810000000004</v>
      </c>
      <c r="AB2488">
        <v>27</v>
      </c>
      <c r="AC2488">
        <v>-105.84229999999999</v>
      </c>
      <c r="AD2488">
        <v>0.92976999999999899</v>
      </c>
      <c r="AE2488">
        <v>11.2296</v>
      </c>
      <c r="AF2488">
        <v>10.887154451184999</v>
      </c>
      <c r="AG2488">
        <v>0.92976999999999899</v>
      </c>
      <c r="AH2488">
        <v>105.869908410175</v>
      </c>
      <c r="AI2488">
        <v>89.4994698030157</v>
      </c>
      <c r="AJ2488">
        <v>84.128615125866503</v>
      </c>
      <c r="AK2488">
        <v>106.432288855759</v>
      </c>
      <c r="AL2488">
        <v>87.784706003016097</v>
      </c>
      <c r="AM2488">
        <v>89.439616344895001</v>
      </c>
      <c r="AN2488">
        <v>0.99999995939052899</v>
      </c>
    </row>
    <row r="2489" spans="1:40" x14ac:dyDescent="0.25">
      <c r="A2489" t="str">
        <f>"20190312160342544"</f>
        <v>20190312160342544</v>
      </c>
      <c r="B2489" t="str">
        <f>"1552377822537433"</f>
        <v>1552377822537433</v>
      </c>
      <c r="C2489" t="s">
        <v>40</v>
      </c>
      <c r="D2489">
        <v>4.7482989999999896</v>
      </c>
      <c r="E2489">
        <v>0.53492649999999997</v>
      </c>
      <c r="F2489" t="s">
        <v>77</v>
      </c>
      <c r="G2489">
        <v>-510.95429999999999</v>
      </c>
      <c r="H2489">
        <v>2.0724300000000002</v>
      </c>
      <c r="I2489">
        <v>296.48070000000001</v>
      </c>
      <c r="J2489">
        <v>-405.24849999999998</v>
      </c>
      <c r="K2489">
        <v>1.110158</v>
      </c>
      <c r="L2489">
        <v>285.30799999999999</v>
      </c>
      <c r="M2489">
        <v>-0.9999188</v>
      </c>
      <c r="N2489">
        <v>0</v>
      </c>
      <c r="O2489">
        <v>3.1643259999999999E-3</v>
      </c>
      <c r="P2489">
        <v>-0.99956900000000004</v>
      </c>
      <c r="Q2489">
        <v>2.6485649999999999E-2</v>
      </c>
      <c r="R2489">
        <v>1.2672330000000001E-2</v>
      </c>
      <c r="S2489">
        <v>-2.9964599999999999</v>
      </c>
      <c r="T2489">
        <v>2.7244810000000001E-2</v>
      </c>
      <c r="U2489">
        <v>0.3163147</v>
      </c>
      <c r="V2489">
        <v>9.5016839999999998E-3</v>
      </c>
      <c r="W2489">
        <v>3.8838449999999997E-2</v>
      </c>
      <c r="X2489">
        <v>0.99920030000000004</v>
      </c>
      <c r="Y2489">
        <v>0.1018279</v>
      </c>
      <c r="Z2489">
        <v>-4.3294250000000002E-4</v>
      </c>
      <c r="AA2489">
        <v>0.99480190000000002</v>
      </c>
      <c r="AB2489">
        <v>27</v>
      </c>
      <c r="AC2489">
        <v>-105.7058</v>
      </c>
      <c r="AD2489">
        <v>0.96227199999999902</v>
      </c>
      <c r="AE2489">
        <v>11.172700000000001</v>
      </c>
      <c r="AF2489">
        <v>10.837242795003601</v>
      </c>
      <c r="AG2489">
        <v>0.96227199999999902</v>
      </c>
      <c r="AH2489">
        <v>105.73196224588401</v>
      </c>
      <c r="AI2489">
        <v>89.481280064037406</v>
      </c>
      <c r="AJ2489">
        <v>84.147772953135799</v>
      </c>
      <c r="AK2489">
        <v>106.290261262097</v>
      </c>
      <c r="AL2489">
        <v>87.774160848199998</v>
      </c>
      <c r="AM2489">
        <v>89.455174320147293</v>
      </c>
      <c r="AN2489">
        <v>0.99999997335866297</v>
      </c>
    </row>
    <row r="2490" spans="1:40" x14ac:dyDescent="0.25">
      <c r="A2490" t="str">
        <f>"20190312160342555"</f>
        <v>20190312160342555</v>
      </c>
      <c r="B2490" t="str">
        <f>"1552377822547193"</f>
        <v>1552377822547193</v>
      </c>
      <c r="C2490" t="s">
        <v>40</v>
      </c>
      <c r="D2490">
        <v>4.923203</v>
      </c>
      <c r="E2490">
        <v>0.53492649999999997</v>
      </c>
      <c r="F2490" t="s">
        <v>77</v>
      </c>
      <c r="G2490">
        <v>-510.95429999999999</v>
      </c>
      <c r="H2490">
        <v>2.1073279999999999</v>
      </c>
      <c r="I2490">
        <v>296.39620000000002</v>
      </c>
      <c r="J2490">
        <v>-405.39</v>
      </c>
      <c r="K2490">
        <v>1.1101570000000001</v>
      </c>
      <c r="L2490">
        <v>285.30840000000001</v>
      </c>
      <c r="M2490">
        <v>-0.99991890000000005</v>
      </c>
      <c r="N2490">
        <v>0</v>
      </c>
      <c r="O2490">
        <v>3.1010959999999998E-3</v>
      </c>
      <c r="P2490">
        <v>-0.99956230000000001</v>
      </c>
      <c r="Q2490">
        <v>2.683723E-2</v>
      </c>
      <c r="R2490">
        <v>1.2454359999999999E-2</v>
      </c>
      <c r="S2490">
        <v>-2.9965820000000001</v>
      </c>
      <c r="T2490">
        <v>2.8270480000000001E-2</v>
      </c>
      <c r="U2490">
        <v>0.31433109999999997</v>
      </c>
      <c r="V2490">
        <v>9.3470020000000001E-3</v>
      </c>
      <c r="W2490">
        <v>3.9190089999999997E-2</v>
      </c>
      <c r="X2490">
        <v>0.99918810000000002</v>
      </c>
      <c r="Y2490">
        <v>0.1012349</v>
      </c>
      <c r="Z2490">
        <v>-4.4704370000000002E-4</v>
      </c>
      <c r="AA2490">
        <v>0.99486240000000004</v>
      </c>
      <c r="AB2490">
        <v>27</v>
      </c>
      <c r="AC2490">
        <v>-105.5643</v>
      </c>
      <c r="AD2490">
        <v>0.99717099999999903</v>
      </c>
      <c r="AE2490">
        <v>11.0878</v>
      </c>
      <c r="AF2490">
        <v>10.7594070983058</v>
      </c>
      <c r="AG2490">
        <v>0.99717099999999903</v>
      </c>
      <c r="AH2490">
        <v>105.588860517836</v>
      </c>
      <c r="AI2490">
        <v>89.461707554064901</v>
      </c>
      <c r="AJ2490">
        <v>84.181695640028906</v>
      </c>
      <c r="AK2490">
        <v>106.14031588687401</v>
      </c>
      <c r="AL2490">
        <v>87.753998168364404</v>
      </c>
      <c r="AM2490">
        <v>89.464036706422604</v>
      </c>
      <c r="AN2490">
        <v>1.0000000443910999</v>
      </c>
    </row>
    <row r="2491" spans="1:40" x14ac:dyDescent="0.25">
      <c r="A2491" t="str">
        <f>"20190312160342568"</f>
        <v>20190312160342568</v>
      </c>
      <c r="B2491" t="str">
        <f>"1552377822556953"</f>
        <v>1552377822556953</v>
      </c>
      <c r="C2491" t="s">
        <v>40</v>
      </c>
      <c r="D2491">
        <v>4.8174729999999997</v>
      </c>
      <c r="E2491">
        <v>0.48798560000000002</v>
      </c>
      <c r="F2491" t="s">
        <v>77</v>
      </c>
      <c r="G2491">
        <v>-510.95429999999999</v>
      </c>
      <c r="H2491">
        <v>2.1449210000000001</v>
      </c>
      <c r="I2491">
        <v>296.35890000000001</v>
      </c>
      <c r="J2491">
        <v>-405.53949999999998</v>
      </c>
      <c r="K2491">
        <v>1.1101570000000001</v>
      </c>
      <c r="L2491">
        <v>285.30880000000002</v>
      </c>
      <c r="M2491">
        <v>-0.99991909999999895</v>
      </c>
      <c r="N2491">
        <v>0</v>
      </c>
      <c r="O2491">
        <v>3.0345889999999999E-3</v>
      </c>
      <c r="P2491">
        <v>-0.99956780000000001</v>
      </c>
      <c r="Q2491">
        <v>2.679668E-2</v>
      </c>
      <c r="R2491">
        <v>1.210227E-2</v>
      </c>
      <c r="S2491">
        <v>-2.9966430000000002</v>
      </c>
      <c r="T2491">
        <v>2.937615E-2</v>
      </c>
      <c r="U2491">
        <v>0.31369019999999997</v>
      </c>
      <c r="V2491">
        <v>9.0615069999999999E-3</v>
      </c>
      <c r="W2491">
        <v>3.9149120000000003E-2</v>
      </c>
      <c r="X2491">
        <v>0.99919230000000003</v>
      </c>
      <c r="Y2491">
        <v>0.1010882</v>
      </c>
      <c r="Z2491">
        <v>-4.644556E-4</v>
      </c>
      <c r="AA2491">
        <v>0.99487729999999996</v>
      </c>
      <c r="AB2491">
        <v>27</v>
      </c>
      <c r="AC2491">
        <v>-105.4148</v>
      </c>
      <c r="AD2491">
        <v>1.034764</v>
      </c>
      <c r="AE2491">
        <v>11.050099999999899</v>
      </c>
      <c r="AF2491">
        <v>10.729111533389201</v>
      </c>
      <c r="AG2491">
        <v>1.034764</v>
      </c>
      <c r="AH2491">
        <v>105.43780046926101</v>
      </c>
      <c r="AI2491">
        <v>89.440607180884697</v>
      </c>
      <c r="AJ2491">
        <v>84.1897107745976</v>
      </c>
      <c r="AK2491">
        <v>105.987331028889</v>
      </c>
      <c r="AL2491">
        <v>87.756347298489004</v>
      </c>
      <c r="AM2491">
        <v>89.480408451339798</v>
      </c>
      <c r="AN2491">
        <v>1.00000000844258</v>
      </c>
    </row>
    <row r="2492" spans="1:40" x14ac:dyDescent="0.25">
      <c r="A2492" t="str">
        <f>"20190312160342581"</f>
        <v>20190312160342581</v>
      </c>
      <c r="B2492" t="str">
        <f>"1552377822577449"</f>
        <v>1552377822577449</v>
      </c>
      <c r="C2492" t="s">
        <v>40</v>
      </c>
      <c r="D2492">
        <v>4.7445629999999896</v>
      </c>
      <c r="E2492">
        <v>0.47510000000000002</v>
      </c>
      <c r="F2492" t="s">
        <v>45</v>
      </c>
      <c r="G2492">
        <v>0</v>
      </c>
      <c r="H2492">
        <v>0</v>
      </c>
      <c r="I2492">
        <v>0</v>
      </c>
      <c r="J2492">
        <v>-405.69439999999997</v>
      </c>
      <c r="K2492">
        <v>1.1101570000000001</v>
      </c>
      <c r="L2492">
        <v>285.30919999999998</v>
      </c>
      <c r="M2492">
        <v>-0.99991920000000001</v>
      </c>
      <c r="N2492">
        <v>0</v>
      </c>
      <c r="O2492">
        <v>2.9672570000000001E-3</v>
      </c>
      <c r="P2492">
        <v>-0.99956800000000001</v>
      </c>
      <c r="Q2492">
        <v>2.6841110000000001E-2</v>
      </c>
      <c r="R2492">
        <v>1.196906E-2</v>
      </c>
      <c r="S2492">
        <v>-3.001312</v>
      </c>
      <c r="T2492">
        <v>2.7416469999999998E-2</v>
      </c>
      <c r="U2492">
        <v>-6.2072750000000003E-2</v>
      </c>
      <c r="V2492">
        <v>8.9955880000000005E-3</v>
      </c>
      <c r="W2492">
        <v>3.9193430000000001E-2</v>
      </c>
      <c r="X2492">
        <v>0.99919119999999995</v>
      </c>
      <c r="Y2492">
        <v>-2.36431E-2</v>
      </c>
      <c r="Z2492">
        <v>1.350782E-4</v>
      </c>
      <c r="AA2492">
        <v>0.99972050000000001</v>
      </c>
      <c r="AB2492">
        <v>27</v>
      </c>
      <c r="AC2492">
        <v>-3.001312</v>
      </c>
      <c r="AD2492">
        <v>2.7416469999999998E-2</v>
      </c>
      <c r="AE2492">
        <v>-6.2072750000000003E-2</v>
      </c>
      <c r="AF2492">
        <v>-7.0972901348652001E-2</v>
      </c>
      <c r="AG2492">
        <v>2.7416469999999998E-2</v>
      </c>
      <c r="AH2492">
        <v>3.00086428505564</v>
      </c>
      <c r="AI2492">
        <v>89.476695694299707</v>
      </c>
      <c r="AJ2492">
        <v>91.354839596448102</v>
      </c>
      <c r="AK2492">
        <v>3.0018286548162001</v>
      </c>
      <c r="AL2492">
        <v>87.753806665615897</v>
      </c>
      <c r="AM2492">
        <v>89.484187508465496</v>
      </c>
      <c r="AN2492">
        <v>1.0000000498580299</v>
      </c>
    </row>
    <row r="2493" spans="1:40" x14ac:dyDescent="0.25">
      <c r="A2493" t="str">
        <f>"20190312160342593"</f>
        <v>20190312160342593</v>
      </c>
      <c r="B2493" t="str">
        <f>"1552377822587209"</f>
        <v>1552377822587209</v>
      </c>
      <c r="C2493" t="s">
        <v>40</v>
      </c>
      <c r="D2493">
        <v>4.7590620000000001</v>
      </c>
      <c r="E2493">
        <v>0.47194760000000002</v>
      </c>
      <c r="F2493" t="s">
        <v>76</v>
      </c>
      <c r="G2493">
        <v>-514.95249999999999</v>
      </c>
      <c r="H2493">
        <v>1.68636699999999</v>
      </c>
      <c r="I2493">
        <v>279.27539999999999</v>
      </c>
      <c r="J2493">
        <v>-405.83859999999999</v>
      </c>
      <c r="K2493">
        <v>1.110158</v>
      </c>
      <c r="L2493">
        <v>285.30950000000001</v>
      </c>
      <c r="M2493">
        <v>-0.99991960000000002</v>
      </c>
      <c r="N2493">
        <v>0</v>
      </c>
      <c r="O2493">
        <v>2.9057110000000001E-3</v>
      </c>
      <c r="P2493">
        <v>-0.99957530000000006</v>
      </c>
      <c r="Q2493">
        <v>2.6715490000000001E-2</v>
      </c>
      <c r="R2493">
        <v>1.165715E-2</v>
      </c>
      <c r="S2493">
        <v>-3.002869</v>
      </c>
      <c r="T2493">
        <v>1.583886E-2</v>
      </c>
      <c r="U2493">
        <v>-0.16583249999999999</v>
      </c>
      <c r="V2493">
        <v>8.7454109999999998E-3</v>
      </c>
      <c r="W2493">
        <v>3.9067640000000001E-2</v>
      </c>
      <c r="X2493">
        <v>0.99919829999999998</v>
      </c>
      <c r="Y2493">
        <v>-5.8041120000000002E-2</v>
      </c>
      <c r="Z2493">
        <v>1.6826969999999999E-4</v>
      </c>
      <c r="AA2493">
        <v>0.99831420000000004</v>
      </c>
      <c r="AB2493">
        <v>27</v>
      </c>
      <c r="AC2493">
        <v>-109.1139</v>
      </c>
      <c r="AD2493">
        <v>0.57620899999999897</v>
      </c>
      <c r="AE2493">
        <v>-6.03410000000002</v>
      </c>
      <c r="AF2493">
        <v>-6.3509755675825801</v>
      </c>
      <c r="AG2493">
        <v>0.57620899999999897</v>
      </c>
      <c r="AH2493">
        <v>109.09287162517801</v>
      </c>
      <c r="AI2493">
        <v>89.697888278659704</v>
      </c>
      <c r="AJ2493">
        <v>93.331783652713</v>
      </c>
      <c r="AK2493">
        <v>109.27909931409199</v>
      </c>
      <c r="AL2493">
        <v>87.761019319961505</v>
      </c>
      <c r="AM2493">
        <v>89.498535629971698</v>
      </c>
      <c r="AN2493">
        <v>1.0000000027158</v>
      </c>
    </row>
    <row r="2494" spans="1:40" x14ac:dyDescent="0.25">
      <c r="A2494" t="str">
        <f>"20190312160342604"</f>
        <v>20190312160342604</v>
      </c>
      <c r="B2494" t="str">
        <f>"1552377822596969"</f>
        <v>1552377822596969</v>
      </c>
      <c r="C2494" t="s">
        <v>40</v>
      </c>
      <c r="D2494">
        <v>4.570805</v>
      </c>
      <c r="E2494">
        <v>0.46974070000000001</v>
      </c>
      <c r="F2494" t="s">
        <v>76</v>
      </c>
      <c r="G2494">
        <v>-511.95909999999998</v>
      </c>
      <c r="H2494">
        <v>1.5454460000000001</v>
      </c>
      <c r="I2494">
        <v>278.5222</v>
      </c>
      <c r="J2494">
        <v>-405.98570000000001</v>
      </c>
      <c r="K2494">
        <v>1.1101559999999999</v>
      </c>
      <c r="L2494">
        <v>285.30990000000003</v>
      </c>
      <c r="M2494">
        <v>-0.99991969999999997</v>
      </c>
      <c r="N2494">
        <v>0</v>
      </c>
      <c r="O2494">
        <v>2.84447E-3</v>
      </c>
      <c r="P2494">
        <v>-0.9995733</v>
      </c>
      <c r="Q2494">
        <v>2.6821640000000001E-2</v>
      </c>
      <c r="R2494">
        <v>1.1569009999999999E-2</v>
      </c>
      <c r="S2494">
        <v>-3.003174</v>
      </c>
      <c r="T2494">
        <v>1.232076E-2</v>
      </c>
      <c r="U2494">
        <v>-0.19207759999999999</v>
      </c>
      <c r="V2494">
        <v>8.7186450000000006E-3</v>
      </c>
      <c r="W2494">
        <v>3.917342E-2</v>
      </c>
      <c r="X2494">
        <v>0.99919440000000004</v>
      </c>
      <c r="Y2494">
        <v>-6.6665849999999999E-2</v>
      </c>
      <c r="Z2494">
        <v>1.4826959999999999E-4</v>
      </c>
      <c r="AA2494">
        <v>0.99777539999999998</v>
      </c>
      <c r="AB2494">
        <v>27</v>
      </c>
      <c r="AC2494">
        <v>-105.973399999999</v>
      </c>
      <c r="AD2494">
        <v>0.43529000000000001</v>
      </c>
      <c r="AE2494">
        <v>-6.7877000000000196</v>
      </c>
      <c r="AF2494">
        <v>-7.0890145644827296</v>
      </c>
      <c r="AG2494">
        <v>0.43529000000000001</v>
      </c>
      <c r="AH2494">
        <v>105.95188203206899</v>
      </c>
      <c r="AI2494">
        <v>89.765133925629897</v>
      </c>
      <c r="AJ2494">
        <v>93.827833297147095</v>
      </c>
      <c r="AK2494">
        <v>106.189664803204</v>
      </c>
      <c r="AL2494">
        <v>87.754953946387701</v>
      </c>
      <c r="AM2494">
        <v>89.500068370858401</v>
      </c>
      <c r="AN2494">
        <v>1.00000001029824</v>
      </c>
    </row>
    <row r="2495" spans="1:40" x14ac:dyDescent="0.25">
      <c r="A2495" t="str">
        <f>"20190312160342622"</f>
        <v>20190312160342622</v>
      </c>
      <c r="B2495" t="str">
        <f>"1552377822617028"</f>
        <v>1552377822617028</v>
      </c>
      <c r="C2495" t="s">
        <v>40</v>
      </c>
      <c r="D2495">
        <v>4.6644389999999998</v>
      </c>
      <c r="E2495">
        <v>0.46705940000000001</v>
      </c>
      <c r="F2495" t="s">
        <v>76</v>
      </c>
      <c r="G2495">
        <v>-511.95909999999998</v>
      </c>
      <c r="H2495">
        <v>1.502815</v>
      </c>
      <c r="I2495">
        <v>277.89409999999998</v>
      </c>
      <c r="J2495">
        <v>-406.19929999999999</v>
      </c>
      <c r="K2495">
        <v>1.110152</v>
      </c>
      <c r="L2495">
        <v>285.31040000000002</v>
      </c>
      <c r="M2495">
        <v>-0.99991989999999997</v>
      </c>
      <c r="N2495">
        <v>0</v>
      </c>
      <c r="O2495">
        <v>2.7600139999999999E-3</v>
      </c>
      <c r="P2495">
        <v>-0.9995714</v>
      </c>
      <c r="Q2495">
        <v>2.7057169999999998E-2</v>
      </c>
      <c r="R2495">
        <v>1.1181679999999999E-2</v>
      </c>
      <c r="S2495">
        <v>-3.0034480000000001</v>
      </c>
      <c r="T2495">
        <v>1.113081E-2</v>
      </c>
      <c r="U2495">
        <v>-0.21017459999999999</v>
      </c>
      <c r="V2495">
        <v>8.4160509999999904E-3</v>
      </c>
      <c r="W2495">
        <v>3.9408800000000001E-2</v>
      </c>
      <c r="X2495">
        <v>0.99918770000000001</v>
      </c>
      <c r="Y2495">
        <v>-7.2559739999999998E-2</v>
      </c>
      <c r="Z2495">
        <v>1.44506E-4</v>
      </c>
      <c r="AA2495">
        <v>0.99736400000000003</v>
      </c>
      <c r="AB2495">
        <v>27</v>
      </c>
      <c r="AC2495">
        <v>-105.759799999999</v>
      </c>
      <c r="AD2495">
        <v>0.39266299999999998</v>
      </c>
      <c r="AE2495">
        <v>-7.4163000000000299</v>
      </c>
      <c r="AF2495">
        <v>-7.7080868135999996</v>
      </c>
      <c r="AG2495">
        <v>0.39266299999999998</v>
      </c>
      <c r="AH2495">
        <v>105.73747603042899</v>
      </c>
      <c r="AI2495">
        <v>89.787792472284593</v>
      </c>
      <c r="AJ2495">
        <v>94.169392216842994</v>
      </c>
      <c r="AK2495">
        <v>106.018784297138</v>
      </c>
      <c r="AL2495">
        <v>87.741457156468002</v>
      </c>
      <c r="AM2495">
        <v>89.517415196757895</v>
      </c>
      <c r="AN2495">
        <v>0.99999997163158105</v>
      </c>
    </row>
    <row r="2496" spans="1:40" x14ac:dyDescent="0.25">
      <c r="A2496" t="str">
        <f>"20190312160342635"</f>
        <v>20190312160342635</v>
      </c>
      <c r="B2496" t="str">
        <f>"1552377822626785"</f>
        <v>1552377822626785</v>
      </c>
      <c r="C2496" t="s">
        <v>40</v>
      </c>
      <c r="D2496">
        <v>4.6334479999999996</v>
      </c>
      <c r="E2496">
        <v>0.4662017</v>
      </c>
      <c r="F2496" t="s">
        <v>76</v>
      </c>
      <c r="G2496">
        <v>-511.95909999999998</v>
      </c>
      <c r="H2496">
        <v>1.51174599999999</v>
      </c>
      <c r="I2496">
        <v>277.11579999999998</v>
      </c>
      <c r="J2496">
        <v>-406.35640000000001</v>
      </c>
      <c r="K2496">
        <v>1.1101479999999999</v>
      </c>
      <c r="L2496">
        <v>285.31079999999997</v>
      </c>
      <c r="M2496">
        <v>-0.99992009999999998</v>
      </c>
      <c r="N2496">
        <v>0</v>
      </c>
      <c r="O2496">
        <v>2.7011230000000002E-3</v>
      </c>
      <c r="P2496">
        <v>-0.99956789999999995</v>
      </c>
      <c r="Q2496">
        <v>2.7203310000000001E-2</v>
      </c>
      <c r="R2496">
        <v>1.113389E-2</v>
      </c>
      <c r="S2496">
        <v>-3.003571</v>
      </c>
      <c r="T2496">
        <v>1.1407489999999999E-2</v>
      </c>
      <c r="U2496">
        <v>-0.23272709999999999</v>
      </c>
      <c r="V2496">
        <v>8.4272949999999996E-3</v>
      </c>
      <c r="W2496">
        <v>3.9555069999999998E-2</v>
      </c>
      <c r="X2496">
        <v>0.99918189999999996</v>
      </c>
      <c r="Y2496">
        <v>-7.9944299999999996E-2</v>
      </c>
      <c r="Z2496">
        <v>1.6183009999999999E-4</v>
      </c>
      <c r="AA2496">
        <v>0.99679930000000005</v>
      </c>
      <c r="AB2496">
        <v>27</v>
      </c>
      <c r="AC2496">
        <v>-105.602699999999</v>
      </c>
      <c r="AD2496">
        <v>0.40159799999999901</v>
      </c>
      <c r="AE2496">
        <v>-8.1949999999999896</v>
      </c>
      <c r="AF2496">
        <v>-8.4801158271033792</v>
      </c>
      <c r="AG2496">
        <v>0.40159799999999901</v>
      </c>
      <c r="AH2496">
        <v>105.578659552473</v>
      </c>
      <c r="AI2496">
        <v>89.782760120489698</v>
      </c>
      <c r="AJ2496">
        <v>94.592159281246495</v>
      </c>
      <c r="AK2496">
        <v>105.919436357506</v>
      </c>
      <c r="AL2496">
        <v>87.733070131775193</v>
      </c>
      <c r="AM2496">
        <v>89.516767680183804</v>
      </c>
      <c r="AN2496">
        <v>1.00000004607566</v>
      </c>
    </row>
    <row r="2497" spans="1:40" x14ac:dyDescent="0.25">
      <c r="A2497" t="str">
        <f>"20190312160342649"</f>
        <v>20190312160342649</v>
      </c>
      <c r="B2497" t="str">
        <f>"1552377822637522"</f>
        <v>1552377822637522</v>
      </c>
      <c r="C2497" t="s">
        <v>40</v>
      </c>
      <c r="D2497">
        <v>4.6635140000000002</v>
      </c>
      <c r="E2497">
        <v>0.46550570000000002</v>
      </c>
      <c r="F2497" t="s">
        <v>76</v>
      </c>
      <c r="G2497">
        <v>-511.95909999999998</v>
      </c>
      <c r="H2497">
        <v>1.5346959999999901</v>
      </c>
      <c r="I2497">
        <v>276.8784</v>
      </c>
      <c r="J2497">
        <v>-406.51029999999997</v>
      </c>
      <c r="K2497">
        <v>1.110136</v>
      </c>
      <c r="L2497">
        <v>285.31110000000001</v>
      </c>
      <c r="M2497">
        <v>-0.99992020000000004</v>
      </c>
      <c r="N2497">
        <v>0</v>
      </c>
      <c r="O2497">
        <v>2.6454550000000001E-3</v>
      </c>
      <c r="P2497">
        <v>-0.99957169999999895</v>
      </c>
      <c r="Q2497">
        <v>2.7145269999999999E-2</v>
      </c>
      <c r="R2497">
        <v>1.09411E-2</v>
      </c>
      <c r="S2497">
        <v>-3.0036320000000001</v>
      </c>
      <c r="T2497">
        <v>1.2077569999999999E-2</v>
      </c>
      <c r="U2497">
        <v>-0.23983760000000001</v>
      </c>
      <c r="V2497">
        <v>8.2906790000000005E-3</v>
      </c>
      <c r="W2497">
        <v>3.9496940000000001E-2</v>
      </c>
      <c r="X2497">
        <v>0.99918530000000005</v>
      </c>
      <c r="Y2497">
        <v>-8.2232189999999997E-2</v>
      </c>
      <c r="Z2497">
        <v>1.756855E-4</v>
      </c>
      <c r="AA2497">
        <v>0.99661319999999998</v>
      </c>
      <c r="AB2497">
        <v>27</v>
      </c>
      <c r="AC2497">
        <v>-105.44880000000001</v>
      </c>
      <c r="AD2497">
        <v>0.42455999999999899</v>
      </c>
      <c r="AE2497">
        <v>-8.4327000000000094</v>
      </c>
      <c r="AF2497">
        <v>-8.7115115091399495</v>
      </c>
      <c r="AG2497">
        <v>0.42455999999999899</v>
      </c>
      <c r="AH2497">
        <v>105.424422807425</v>
      </c>
      <c r="AI2497">
        <v>89.770046267444499</v>
      </c>
      <c r="AJ2497">
        <v>94.723776577172899</v>
      </c>
      <c r="AK2497">
        <v>105.784590599228</v>
      </c>
      <c r="AL2497">
        <v>87.736403244034506</v>
      </c>
      <c r="AM2497">
        <v>89.524602678687302</v>
      </c>
      <c r="AN2497">
        <v>1.0000000036818599</v>
      </c>
    </row>
    <row r="2498" spans="1:40" x14ac:dyDescent="0.25">
      <c r="A2498" t="str">
        <f>"20190312160342666"</f>
        <v>20190312160342666</v>
      </c>
      <c r="B2498" t="str">
        <f>"1552377822657041"</f>
        <v>1552377822657041</v>
      </c>
      <c r="C2498" t="s">
        <v>40</v>
      </c>
      <c r="D2498">
        <v>4.67448</v>
      </c>
      <c r="E2498">
        <v>0.46459869999999998</v>
      </c>
      <c r="F2498" t="s">
        <v>76</v>
      </c>
      <c r="G2498">
        <v>-511.95909999999998</v>
      </c>
      <c r="H2498">
        <v>1.5312349999999999</v>
      </c>
      <c r="I2498">
        <v>276.67489999999998</v>
      </c>
      <c r="J2498">
        <v>-406.73860000000002</v>
      </c>
      <c r="K2498">
        <v>1.110131</v>
      </c>
      <c r="L2498">
        <v>285.3116</v>
      </c>
      <c r="M2498">
        <v>-0.99992049999999999</v>
      </c>
      <c r="N2498">
        <v>0</v>
      </c>
      <c r="O2498">
        <v>2.5699669999999998E-3</v>
      </c>
      <c r="P2498">
        <v>-0.99957079999999998</v>
      </c>
      <c r="Q2498">
        <v>2.716735E-2</v>
      </c>
      <c r="R2498">
        <v>1.0969659999999999E-2</v>
      </c>
      <c r="S2498">
        <v>-3.0037229999999999</v>
      </c>
      <c r="T2498">
        <v>1.199734E-2</v>
      </c>
      <c r="U2498">
        <v>-0.2460022</v>
      </c>
      <c r="V2498">
        <v>8.3952009999999997E-3</v>
      </c>
      <c r="W2498">
        <v>3.9518379999999999E-2</v>
      </c>
      <c r="X2498">
        <v>0.99918359999999995</v>
      </c>
      <c r="Y2498">
        <v>-8.4186440000000001E-2</v>
      </c>
      <c r="Z2498">
        <v>1.7809400000000001E-4</v>
      </c>
      <c r="AA2498">
        <v>0.99644999999999995</v>
      </c>
      <c r="AB2498">
        <v>27</v>
      </c>
      <c r="AC2498">
        <v>-105.22049999999901</v>
      </c>
      <c r="AD2498">
        <v>0.42110399999999998</v>
      </c>
      <c r="AE2498">
        <v>-8.63670000000001</v>
      </c>
      <c r="AF2498">
        <v>-8.9069635860864</v>
      </c>
      <c r="AG2498">
        <v>0.42110399999999998</v>
      </c>
      <c r="AH2498">
        <v>105.196281104048</v>
      </c>
      <c r="AI2498">
        <v>89.771462151780298</v>
      </c>
      <c r="AJ2498">
        <v>94.839687424019701</v>
      </c>
      <c r="AK2498">
        <v>105.573523608074</v>
      </c>
      <c r="AL2498">
        <v>87.735173909051596</v>
      </c>
      <c r="AM2498">
        <v>89.518608725115996</v>
      </c>
      <c r="AN2498">
        <v>1.0000000241333</v>
      </c>
    </row>
    <row r="2499" spans="1:40" x14ac:dyDescent="0.25">
      <c r="A2499" t="str">
        <f>"20190312160342680"</f>
        <v>20190312160342680</v>
      </c>
      <c r="B2499" t="str">
        <f>"1552377822666802"</f>
        <v>1552377822666802</v>
      </c>
      <c r="C2499" t="s">
        <v>40</v>
      </c>
      <c r="D2499">
        <v>4.5909849999999999</v>
      </c>
      <c r="E2499">
        <v>0.46459869999999998</v>
      </c>
      <c r="F2499" t="s">
        <v>76</v>
      </c>
      <c r="G2499">
        <v>-511.95909999999998</v>
      </c>
      <c r="H2499">
        <v>1.4454359999999999</v>
      </c>
      <c r="I2499">
        <v>276.45170000000002</v>
      </c>
      <c r="J2499">
        <v>-406.90179999999998</v>
      </c>
      <c r="K2499">
        <v>1.1101259999999999</v>
      </c>
      <c r="L2499">
        <v>285.31200000000001</v>
      </c>
      <c r="M2499">
        <v>-0.99992060000000005</v>
      </c>
      <c r="N2499">
        <v>0</v>
      </c>
      <c r="O2499">
        <v>2.5206830000000001E-3</v>
      </c>
      <c r="P2499">
        <v>-0.99956889999999998</v>
      </c>
      <c r="Q2499">
        <v>2.7329309999999999E-2</v>
      </c>
      <c r="R2499">
        <v>1.0740009999999999E-2</v>
      </c>
      <c r="S2499">
        <v>-3.003784</v>
      </c>
      <c r="T2499">
        <v>9.5744130000000004E-3</v>
      </c>
      <c r="U2499">
        <v>-0.25292969999999998</v>
      </c>
      <c r="V2499">
        <v>8.2152969999999999E-3</v>
      </c>
      <c r="W2499">
        <v>3.9680380000000001E-2</v>
      </c>
      <c r="X2499">
        <v>0.99917860000000003</v>
      </c>
      <c r="Y2499">
        <v>-8.6418019999999998E-2</v>
      </c>
      <c r="Z2499">
        <v>1.455041E-4</v>
      </c>
      <c r="AA2499">
        <v>0.99625900000000001</v>
      </c>
      <c r="AB2499">
        <v>27</v>
      </c>
      <c r="AC2499">
        <v>-105.0573</v>
      </c>
      <c r="AD2499">
        <v>0.33531</v>
      </c>
      <c r="AE2499">
        <v>-8.8602999999999899</v>
      </c>
      <c r="AF2499">
        <v>-9.1250158851040997</v>
      </c>
      <c r="AG2499">
        <v>0.33531</v>
      </c>
      <c r="AH2499">
        <v>105.033568073716</v>
      </c>
      <c r="AI2499">
        <v>89.817775502948393</v>
      </c>
      <c r="AJ2499">
        <v>94.965226530440603</v>
      </c>
      <c r="AK2499">
        <v>105.42973380406301</v>
      </c>
      <c r="AL2499">
        <v>87.725884536335201</v>
      </c>
      <c r="AM2499">
        <v>89.528921817217494</v>
      </c>
      <c r="AN2499">
        <v>0.99999994917984902</v>
      </c>
    </row>
    <row r="2500" spans="1:40" x14ac:dyDescent="0.25">
      <c r="A2500" t="str">
        <f>"20190312160342701"</f>
        <v>20190312160342701</v>
      </c>
      <c r="B2500" t="str">
        <f>"1552377822697057"</f>
        <v>1552377822697057</v>
      </c>
      <c r="C2500" t="s">
        <v>40</v>
      </c>
      <c r="D2500">
        <v>4.6635299999999997</v>
      </c>
      <c r="E2500">
        <v>0.4620747</v>
      </c>
      <c r="F2500" t="s">
        <v>76</v>
      </c>
      <c r="G2500">
        <v>-511.95909999999998</v>
      </c>
      <c r="H2500">
        <v>1.456561</v>
      </c>
      <c r="I2500">
        <v>276.4348</v>
      </c>
      <c r="J2500">
        <v>-407.15289999999999</v>
      </c>
      <c r="K2500">
        <v>1.110123</v>
      </c>
      <c r="L2500">
        <v>285.3125</v>
      </c>
      <c r="M2500">
        <v>-0.99992080000000005</v>
      </c>
      <c r="N2500">
        <v>0</v>
      </c>
      <c r="O2500">
        <v>2.4502740000000001E-3</v>
      </c>
      <c r="P2500">
        <v>-0.99955930000000004</v>
      </c>
      <c r="Q2500">
        <v>2.771819E-2</v>
      </c>
      <c r="R2500">
        <v>1.063858E-2</v>
      </c>
      <c r="S2500">
        <v>-3.003784</v>
      </c>
      <c r="T2500">
        <v>9.9074839999999994E-3</v>
      </c>
      <c r="U2500">
        <v>-0.2538147</v>
      </c>
      <c r="V2500">
        <v>8.1848340000000002E-3</v>
      </c>
      <c r="W2500">
        <v>4.0068689999999997E-2</v>
      </c>
      <c r="X2500">
        <v>0.99916340000000003</v>
      </c>
      <c r="Y2500">
        <v>-8.6639279999999999E-2</v>
      </c>
      <c r="Z2500">
        <v>1.506964E-4</v>
      </c>
      <c r="AA2500">
        <v>0.99623969999999995</v>
      </c>
      <c r="AB2500">
        <v>27</v>
      </c>
      <c r="AC2500">
        <v>-104.8062</v>
      </c>
      <c r="AD2500">
        <v>0.34643800000000002</v>
      </c>
      <c r="AE2500">
        <v>-8.8777000000000008</v>
      </c>
      <c r="AF2500">
        <v>-9.1343977269674603</v>
      </c>
      <c r="AG2500">
        <v>0.34643800000000002</v>
      </c>
      <c r="AH2500">
        <v>104.782994131805</v>
      </c>
      <c r="AI2500">
        <v>89.811282647818501</v>
      </c>
      <c r="AJ2500">
        <v>94.982131988161598</v>
      </c>
      <c r="AK2500">
        <v>105.18095407605</v>
      </c>
      <c r="AL2500">
        <v>87.703618409260102</v>
      </c>
      <c r="AM2500">
        <v>89.530661396263497</v>
      </c>
      <c r="AN2500">
        <v>0.999999995662741</v>
      </c>
    </row>
    <row r="2501" spans="1:40" x14ac:dyDescent="0.25">
      <c r="A2501" t="str">
        <f>"20190312160342722"</f>
        <v>20190312160342722</v>
      </c>
      <c r="B2501" t="str">
        <f>"1552377822716577"</f>
        <v>1552377822716577</v>
      </c>
      <c r="C2501" t="s">
        <v>40</v>
      </c>
      <c r="D2501">
        <v>4.6435849999999999</v>
      </c>
      <c r="E2501">
        <v>0.46062350000000002</v>
      </c>
      <c r="F2501" t="s">
        <v>79</v>
      </c>
      <c r="G2501">
        <v>-432.53429999999997</v>
      </c>
      <c r="H2501" s="1">
        <v>3.4869890000000001E-6</v>
      </c>
      <c r="I2501">
        <v>282.94470000000001</v>
      </c>
      <c r="J2501">
        <v>-407.4169</v>
      </c>
      <c r="K2501">
        <v>1.1101190000000001</v>
      </c>
      <c r="L2501">
        <v>285.31299999999999</v>
      </c>
      <c r="M2501">
        <v>-0.99992080000000005</v>
      </c>
      <c r="N2501">
        <v>0</v>
      </c>
      <c r="O2501">
        <v>2.3833130000000002E-3</v>
      </c>
      <c r="P2501">
        <v>-0.99957220000000002</v>
      </c>
      <c r="Q2501">
        <v>2.7229819999999998E-2</v>
      </c>
      <c r="R2501">
        <v>1.068058E-2</v>
      </c>
      <c r="S2501">
        <v>-3.0079959999999999</v>
      </c>
      <c r="T2501">
        <v>-0.13156219999999999</v>
      </c>
      <c r="U2501">
        <v>-0.2806091</v>
      </c>
      <c r="V2501">
        <v>8.2944130000000005E-3</v>
      </c>
      <c r="W2501">
        <v>3.9580320000000002E-2</v>
      </c>
      <c r="X2501">
        <v>0.99918200000000001</v>
      </c>
      <c r="Y2501">
        <v>-9.516492E-2</v>
      </c>
      <c r="Z2501">
        <v>-2.1796189999999998E-3</v>
      </c>
      <c r="AA2501">
        <v>0.99545910000000004</v>
      </c>
      <c r="AB2501">
        <v>27</v>
      </c>
      <c r="AC2501">
        <v>-25.1173999999999</v>
      </c>
      <c r="AD2501">
        <v>-1.1101155130110001</v>
      </c>
      <c r="AE2501">
        <v>-2.3682999999999699</v>
      </c>
      <c r="AF2501">
        <v>-2.4234682293121401</v>
      </c>
      <c r="AG2501">
        <v>-1.1101155130110001</v>
      </c>
      <c r="AH2501">
        <v>25.063157346964498</v>
      </c>
      <c r="AI2501">
        <v>92.524370117103302</v>
      </c>
      <c r="AJ2501">
        <v>95.523013573362903</v>
      </c>
      <c r="AK2501">
        <v>25.204511717337699</v>
      </c>
      <c r="AL2501">
        <v>87.731622252339804</v>
      </c>
      <c r="AM2501">
        <v>89.524387005822106</v>
      </c>
      <c r="AN2501">
        <v>1.0000000340711499</v>
      </c>
    </row>
    <row r="2502" spans="1:40" x14ac:dyDescent="0.25">
      <c r="A2502" t="str">
        <f>"20190312160342734"</f>
        <v>20190312160342734</v>
      </c>
      <c r="B2502" t="str">
        <f>"1552377822727314"</f>
        <v>1552377822727314</v>
      </c>
      <c r="C2502" t="s">
        <v>40</v>
      </c>
      <c r="D2502">
        <v>4.6483080000000001</v>
      </c>
      <c r="E2502">
        <v>0.4603487</v>
      </c>
      <c r="F2502" t="s">
        <v>76</v>
      </c>
      <c r="G2502">
        <v>-512.82550000000003</v>
      </c>
      <c r="H2502">
        <v>1.0932839999999999</v>
      </c>
      <c r="I2502">
        <v>275.27199999999999</v>
      </c>
      <c r="J2502">
        <v>-407.55779999999999</v>
      </c>
      <c r="K2502">
        <v>1.1101179999999999</v>
      </c>
      <c r="L2502">
        <v>285.3134</v>
      </c>
      <c r="M2502">
        <v>-0.9999209</v>
      </c>
      <c r="N2502">
        <v>0</v>
      </c>
      <c r="O2502">
        <v>2.3493780000000001E-3</v>
      </c>
      <c r="P2502">
        <v>-0.99957430000000003</v>
      </c>
      <c r="Q2502">
        <v>2.6873210000000002E-2</v>
      </c>
      <c r="R2502">
        <v>1.136326E-2</v>
      </c>
      <c r="S2502">
        <v>-3.0043950000000001</v>
      </c>
      <c r="T2502">
        <v>-4.7755239999999998E-4</v>
      </c>
      <c r="U2502">
        <v>-0.2861938</v>
      </c>
      <c r="V2502">
        <v>9.0112739999999997E-3</v>
      </c>
      <c r="W2502">
        <v>3.922345E-2</v>
      </c>
      <c r="X2502">
        <v>0.99918989999999996</v>
      </c>
      <c r="Y2502">
        <v>-9.7167829999999997E-2</v>
      </c>
      <c r="Z2502" s="1">
        <v>-8.0776689999999906E-6</v>
      </c>
      <c r="AA2502">
        <v>0.99526800000000004</v>
      </c>
      <c r="AB2502">
        <v>27</v>
      </c>
      <c r="AC2502">
        <v>-105.2677</v>
      </c>
      <c r="AD2502">
        <v>-1.6833999999999998E-2</v>
      </c>
      <c r="AE2502">
        <v>-10.041399999999999</v>
      </c>
      <c r="AF2502">
        <v>-10.2887045227007</v>
      </c>
      <c r="AG2502">
        <v>-1.6833999999999998E-2</v>
      </c>
      <c r="AH2502">
        <v>105.24381392617499</v>
      </c>
      <c r="AI2502">
        <v>90.009121114757093</v>
      </c>
      <c r="AJ2502">
        <v>95.583530685679307</v>
      </c>
      <c r="AK2502">
        <v>105.745534628496</v>
      </c>
      <c r="AL2502">
        <v>87.752085366226495</v>
      </c>
      <c r="AM2502">
        <v>89.483287440168596</v>
      </c>
      <c r="AN2502">
        <v>1.0000000691755</v>
      </c>
    </row>
    <row r="2503" spans="1:40" x14ac:dyDescent="0.25">
      <c r="A2503" t="str">
        <f>"20190312160342745"</f>
        <v>20190312160342745</v>
      </c>
      <c r="B2503" t="str">
        <f>"1552377822737074"</f>
        <v>1552377822737074</v>
      </c>
      <c r="C2503" t="s">
        <v>40</v>
      </c>
      <c r="D2503">
        <v>4.6608929999999997</v>
      </c>
      <c r="E2503">
        <v>0.4603487</v>
      </c>
      <c r="F2503" t="s">
        <v>76</v>
      </c>
      <c r="G2503">
        <v>-512.82550000000003</v>
      </c>
      <c r="H2503">
        <v>0.9825796</v>
      </c>
      <c r="I2503">
        <v>275.2747</v>
      </c>
      <c r="J2503">
        <v>-407.702</v>
      </c>
      <c r="K2503">
        <v>1.110114</v>
      </c>
      <c r="L2503">
        <v>285.31369999999998</v>
      </c>
      <c r="M2503">
        <v>-0.99992110000000001</v>
      </c>
      <c r="N2503">
        <v>0</v>
      </c>
      <c r="O2503">
        <v>2.3147240000000002E-3</v>
      </c>
      <c r="P2503">
        <v>-0.99958279999999999</v>
      </c>
      <c r="Q2503">
        <v>2.6619139999999999E-2</v>
      </c>
      <c r="R2503">
        <v>1.122245E-2</v>
      </c>
      <c r="S2503">
        <v>-3.0046390000000001</v>
      </c>
      <c r="T2503">
        <v>-3.6380290000000001E-3</v>
      </c>
      <c r="U2503">
        <v>-0.28652949999999999</v>
      </c>
      <c r="V2503">
        <v>8.9054559999999904E-3</v>
      </c>
      <c r="W2503">
        <v>3.8969959999999998E-2</v>
      </c>
      <c r="X2503">
        <v>0.99920070000000005</v>
      </c>
      <c r="Y2503">
        <v>-9.7235840000000004E-2</v>
      </c>
      <c r="Z2503" s="1">
        <v>-6.1530149999999999E-5</v>
      </c>
      <c r="AA2503">
        <v>0.99526139999999996</v>
      </c>
      <c r="AB2503">
        <v>27</v>
      </c>
      <c r="AC2503">
        <v>-105.12350000000001</v>
      </c>
      <c r="AD2503">
        <v>-0.12753439999999999</v>
      </c>
      <c r="AE2503">
        <v>-10.0389999999999</v>
      </c>
      <c r="AF2503">
        <v>-10.2823085414791</v>
      </c>
      <c r="AG2503">
        <v>-0.12753439999999999</v>
      </c>
      <c r="AH2503">
        <v>105.09982575786</v>
      </c>
      <c r="AI2503">
        <v>90.069195721252896</v>
      </c>
      <c r="AJ2503">
        <v>95.587678032150393</v>
      </c>
      <c r="AK2503">
        <v>105.60168326451</v>
      </c>
      <c r="AL2503">
        <v>87.766620235107993</v>
      </c>
      <c r="AM2503">
        <v>89.489360311895695</v>
      </c>
      <c r="AN2503">
        <v>1.0000000019047199</v>
      </c>
    </row>
    <row r="2504" spans="1:40" x14ac:dyDescent="0.25">
      <c r="A2504" t="str">
        <f>"20190312160342758"</f>
        <v>20190312160342758</v>
      </c>
      <c r="B2504" t="str">
        <f>"1552377822746834"</f>
        <v>1552377822746834</v>
      </c>
      <c r="C2504" t="s">
        <v>40</v>
      </c>
      <c r="D2504">
        <v>4.6232829999999998</v>
      </c>
      <c r="E2504">
        <v>0.46043020000000001</v>
      </c>
      <c r="F2504" t="s">
        <v>76</v>
      </c>
      <c r="G2504">
        <v>-512.82550000000003</v>
      </c>
      <c r="H2504">
        <v>0.95997140000000003</v>
      </c>
      <c r="I2504">
        <v>275.27269999999999</v>
      </c>
      <c r="J2504">
        <v>-407.84460000000001</v>
      </c>
      <c r="K2504">
        <v>1.1101160000000001</v>
      </c>
      <c r="L2504">
        <v>285.31400000000002</v>
      </c>
      <c r="M2504">
        <v>-0.99992110000000001</v>
      </c>
      <c r="N2504">
        <v>0</v>
      </c>
      <c r="O2504">
        <v>2.2812459999999998E-3</v>
      </c>
      <c r="P2504">
        <v>-0.99958290000000005</v>
      </c>
      <c r="Q2504">
        <v>2.6480819999999999E-2</v>
      </c>
      <c r="R2504">
        <v>1.152687E-2</v>
      </c>
      <c r="S2504">
        <v>-3.0046080000000002</v>
      </c>
      <c r="T2504">
        <v>-4.2890309999999996E-3</v>
      </c>
      <c r="U2504">
        <v>-0.2869873</v>
      </c>
      <c r="V2504">
        <v>9.2432829999999997E-3</v>
      </c>
      <c r="W2504">
        <v>3.8831310000000001E-2</v>
      </c>
      <c r="X2504">
        <v>0.99920299999999995</v>
      </c>
      <c r="Y2504">
        <v>-9.7353709999999996E-2</v>
      </c>
      <c r="Z2504" s="1">
        <v>-7.2577039999999996E-5</v>
      </c>
      <c r="AA2504">
        <v>0.99524990000000002</v>
      </c>
      <c r="AB2504">
        <v>27</v>
      </c>
      <c r="AC2504">
        <v>-104.98090000000001</v>
      </c>
      <c r="AD2504">
        <v>-0.15014459999999899</v>
      </c>
      <c r="AE2504">
        <v>-10.0413</v>
      </c>
      <c r="AF2504">
        <v>-10.280758561419001</v>
      </c>
      <c r="AG2504">
        <v>-0.15014459999999899</v>
      </c>
      <c r="AH2504">
        <v>104.957505626025</v>
      </c>
      <c r="AI2504">
        <v>90.081572742326202</v>
      </c>
      <c r="AJ2504">
        <v>95.594368673482705</v>
      </c>
      <c r="AK2504">
        <v>105.459919055706</v>
      </c>
      <c r="AL2504">
        <v>87.774570246026599</v>
      </c>
      <c r="AM2504">
        <v>89.469991584578807</v>
      </c>
      <c r="AN2504">
        <v>0.99999997206296598</v>
      </c>
    </row>
    <row r="2505" spans="1:40" x14ac:dyDescent="0.25">
      <c r="A2505" t="str">
        <f>"20190312160342771"</f>
        <v>20190312160342771</v>
      </c>
      <c r="B2505" t="str">
        <f>"1552377822767329"</f>
        <v>1552377822767329</v>
      </c>
      <c r="C2505" t="s">
        <v>40</v>
      </c>
      <c r="D2505">
        <v>4.6592799999999999</v>
      </c>
      <c r="E2505">
        <v>0.46040769999999998</v>
      </c>
      <c r="F2505" t="s">
        <v>76</v>
      </c>
      <c r="G2505">
        <v>-512.82550000000003</v>
      </c>
      <c r="H2505">
        <v>1.0286139999999999</v>
      </c>
      <c r="I2505">
        <v>275.34629999999999</v>
      </c>
      <c r="J2505">
        <v>-407.99950000000001</v>
      </c>
      <c r="K2505">
        <v>1.110114</v>
      </c>
      <c r="L2505">
        <v>285.3143</v>
      </c>
      <c r="M2505">
        <v>-0.99992110000000001</v>
      </c>
      <c r="N2505">
        <v>0</v>
      </c>
      <c r="O2505">
        <v>2.2448419999999999E-3</v>
      </c>
      <c r="P2505">
        <v>-0.99958650000000004</v>
      </c>
      <c r="Q2505">
        <v>2.639033E-2</v>
      </c>
      <c r="R2505">
        <v>1.1418299999999999E-2</v>
      </c>
      <c r="S2505">
        <v>-3.0046080000000002</v>
      </c>
      <c r="T2505">
        <v>-2.3303030000000001E-3</v>
      </c>
      <c r="U2505">
        <v>-0.28527829999999998</v>
      </c>
      <c r="V2505">
        <v>9.1712649999999996E-3</v>
      </c>
      <c r="W2505">
        <v>3.8740299999999998E-2</v>
      </c>
      <c r="X2505">
        <v>0.99920719999999996</v>
      </c>
      <c r="Y2505">
        <v>-9.6756529999999993E-2</v>
      </c>
      <c r="Z2505" s="1">
        <v>-3.917418E-5</v>
      </c>
      <c r="AA2505">
        <v>0.99530810000000003</v>
      </c>
      <c r="AB2505">
        <v>27</v>
      </c>
      <c r="AC2505">
        <v>-104.82599999999999</v>
      </c>
      <c r="AD2505">
        <v>-8.15000000000001E-2</v>
      </c>
      <c r="AE2505">
        <v>-9.9680000000000106</v>
      </c>
      <c r="AF2505">
        <v>-10.203304550299301</v>
      </c>
      <c r="AG2505">
        <v>-8.15000000000001E-2</v>
      </c>
      <c r="AH2505">
        <v>104.80329475625101</v>
      </c>
      <c r="AI2505">
        <v>90.044346231327296</v>
      </c>
      <c r="AJ2505">
        <v>95.560604675542294</v>
      </c>
      <c r="AK2505">
        <v>105.298835025663</v>
      </c>
      <c r="AL2505">
        <v>87.779788669842503</v>
      </c>
      <c r="AM2505">
        <v>89.474123063040096</v>
      </c>
      <c r="AN2505">
        <v>0.99999997573881405</v>
      </c>
    </row>
    <row r="2506" spans="1:40" x14ac:dyDescent="0.25">
      <c r="A2506" t="str">
        <f>"20190312160342782"</f>
        <v>20190312160342782</v>
      </c>
      <c r="B2506" t="str">
        <f>"1552377822777090"</f>
        <v>1552377822777090</v>
      </c>
      <c r="C2506" t="s">
        <v>40</v>
      </c>
      <c r="D2506">
        <v>4.6233139999999997</v>
      </c>
      <c r="E2506">
        <v>0.46056429999999998</v>
      </c>
      <c r="F2506" t="s">
        <v>76</v>
      </c>
      <c r="G2506">
        <v>-512.82550000000003</v>
      </c>
      <c r="H2506">
        <v>1.08482099999999</v>
      </c>
      <c r="I2506">
        <v>275.35669999999999</v>
      </c>
      <c r="J2506">
        <v>-408.1542</v>
      </c>
      <c r="K2506">
        <v>1.1101080000000001</v>
      </c>
      <c r="L2506">
        <v>285.31459999999998</v>
      </c>
      <c r="M2506">
        <v>-0.99992130000000001</v>
      </c>
      <c r="N2506">
        <v>0</v>
      </c>
      <c r="O2506">
        <v>2.208485E-3</v>
      </c>
      <c r="P2506">
        <v>-0.99958990000000003</v>
      </c>
      <c r="Q2506">
        <v>2.6312329999999998E-2</v>
      </c>
      <c r="R2506">
        <v>1.129165E-2</v>
      </c>
      <c r="S2506">
        <v>-3.004486</v>
      </c>
      <c r="T2506">
        <v>-7.2264669999999999E-4</v>
      </c>
      <c r="U2506">
        <v>-0.2854004</v>
      </c>
      <c r="V2506">
        <v>9.0808639999999993E-3</v>
      </c>
      <c r="W2506">
        <v>3.8662630000000003E-2</v>
      </c>
      <c r="X2506">
        <v>0.99921110000000002</v>
      </c>
      <c r="Y2506">
        <v>-9.6764260000000005E-2</v>
      </c>
      <c r="Z2506" s="1">
        <v>-1.214091E-5</v>
      </c>
      <c r="AA2506">
        <v>0.99530730000000001</v>
      </c>
      <c r="AB2506">
        <v>27</v>
      </c>
      <c r="AC2506">
        <v>-104.6713</v>
      </c>
      <c r="AD2506">
        <v>-2.5287000000000202E-2</v>
      </c>
      <c r="AE2506">
        <v>-9.9578999999999898</v>
      </c>
      <c r="AF2506">
        <v>-10.1890577487966</v>
      </c>
      <c r="AG2506">
        <v>-2.5287000000000202E-2</v>
      </c>
      <c r="AH2506">
        <v>104.64904509562901</v>
      </c>
      <c r="AI2506">
        <v>90.013779575988195</v>
      </c>
      <c r="AJ2506">
        <v>95.561022533052196</v>
      </c>
      <c r="AK2506">
        <v>105.143902232453</v>
      </c>
      <c r="AL2506">
        <v>87.784242315870898</v>
      </c>
      <c r="AM2506">
        <v>89.479308368264199</v>
      </c>
      <c r="AN2506">
        <v>1.0000000417063499</v>
      </c>
    </row>
    <row r="2507" spans="1:40" x14ac:dyDescent="0.25">
      <c r="A2507" t="str">
        <f>"20190312160342794"</f>
        <v>20190312160342794</v>
      </c>
      <c r="B2507" t="str">
        <f>"1552377822786849"</f>
        <v>1552377822786849</v>
      </c>
      <c r="C2507" t="s">
        <v>40</v>
      </c>
      <c r="D2507">
        <v>4.6576909999999998</v>
      </c>
      <c r="E2507">
        <v>0.46055289999999999</v>
      </c>
      <c r="F2507" t="s">
        <v>76</v>
      </c>
      <c r="G2507">
        <v>-512.82550000000003</v>
      </c>
      <c r="H2507">
        <v>1.110182</v>
      </c>
      <c r="I2507">
        <v>275.40019999999998</v>
      </c>
      <c r="J2507">
        <v>-408.29230000000001</v>
      </c>
      <c r="K2507">
        <v>1.110107</v>
      </c>
      <c r="L2507">
        <v>285.31479999999999</v>
      </c>
      <c r="M2507">
        <v>-0.99992139999999996</v>
      </c>
      <c r="N2507">
        <v>0</v>
      </c>
      <c r="O2507">
        <v>2.1753440000000001E-3</v>
      </c>
      <c r="P2507">
        <v>-0.9995986</v>
      </c>
      <c r="Q2507">
        <v>2.6044040000000001E-2</v>
      </c>
      <c r="R2507">
        <v>1.1155689999999999E-2</v>
      </c>
      <c r="S2507">
        <v>-3.0044249999999999</v>
      </c>
      <c r="T2507" s="1">
        <v>4.4107440000000003E-6</v>
      </c>
      <c r="U2507">
        <v>-0.28457640000000001</v>
      </c>
      <c r="V2507">
        <v>8.9782750000000008E-3</v>
      </c>
      <c r="W2507">
        <v>3.8394379999999999E-2</v>
      </c>
      <c r="X2507">
        <v>0.99922230000000001</v>
      </c>
      <c r="Y2507">
        <v>-9.6462629999999994E-2</v>
      </c>
      <c r="Z2507" s="1">
        <v>7.3836209999999994E-8</v>
      </c>
      <c r="AA2507">
        <v>0.99533660000000002</v>
      </c>
      <c r="AB2507">
        <v>27</v>
      </c>
      <c r="AC2507">
        <v>-104.53319999999999</v>
      </c>
      <c r="AD2507" s="1">
        <v>7.5000000000047197E-5</v>
      </c>
      <c r="AE2507">
        <v>-9.9146000000000001</v>
      </c>
      <c r="AF2507">
        <v>-10.1419895438124</v>
      </c>
      <c r="AG2507" s="1">
        <v>7.5000000000047197E-5</v>
      </c>
      <c r="AH2507">
        <v>104.511383320105</v>
      </c>
      <c r="AI2507">
        <v>89.9999590753511</v>
      </c>
      <c r="AJ2507">
        <v>95.542739336085504</v>
      </c>
      <c r="AK2507">
        <v>105.002329476037</v>
      </c>
      <c r="AL2507">
        <v>87.799623173572201</v>
      </c>
      <c r="AM2507">
        <v>89.485196215435394</v>
      </c>
      <c r="AN2507">
        <v>0.99999997132742402</v>
      </c>
    </row>
    <row r="2508" spans="1:40" x14ac:dyDescent="0.25">
      <c r="A2508" t="str">
        <f>"20190312160342806"</f>
        <v>20190312160342806</v>
      </c>
      <c r="B2508" t="str">
        <f>"1552377822796609"</f>
        <v>1552377822796609</v>
      </c>
      <c r="C2508" t="s">
        <v>40</v>
      </c>
      <c r="D2508">
        <v>4.6382659999999998</v>
      </c>
      <c r="E2508">
        <v>0.46050380000000002</v>
      </c>
      <c r="F2508" t="s">
        <v>76</v>
      </c>
      <c r="G2508">
        <v>-512.82550000000003</v>
      </c>
      <c r="H2508">
        <v>1.0950569999999999</v>
      </c>
      <c r="I2508">
        <v>275.3974</v>
      </c>
      <c r="J2508">
        <v>-408.43680000000001</v>
      </c>
      <c r="K2508">
        <v>1.1101049999999999</v>
      </c>
      <c r="L2508">
        <v>285.31509999999997</v>
      </c>
      <c r="M2508">
        <v>-0.99992139999999996</v>
      </c>
      <c r="N2508">
        <v>0</v>
      </c>
      <c r="O2508">
        <v>2.140295E-3</v>
      </c>
      <c r="P2508">
        <v>-0.99960329999999997</v>
      </c>
      <c r="Q2508">
        <v>2.5933629999999999E-2</v>
      </c>
      <c r="R2508">
        <v>1.098712E-2</v>
      </c>
      <c r="S2508">
        <v>-3.0043639999999998</v>
      </c>
      <c r="T2508">
        <v>-4.3022630000000002E-4</v>
      </c>
      <c r="U2508">
        <v>-0.28503420000000002</v>
      </c>
      <c r="V2508">
        <v>8.8445569999999994E-3</v>
      </c>
      <c r="W2508">
        <v>3.8283829999999998E-2</v>
      </c>
      <c r="X2508">
        <v>0.9992278</v>
      </c>
      <c r="Y2508">
        <v>-9.6579949999999998E-2</v>
      </c>
      <c r="Z2508" s="1">
        <v>-7.20549E-6</v>
      </c>
      <c r="AA2508">
        <v>0.99532520000000002</v>
      </c>
      <c r="AB2508">
        <v>27</v>
      </c>
      <c r="AC2508">
        <v>-104.3887</v>
      </c>
      <c r="AD2508">
        <v>-1.50479999999999E-2</v>
      </c>
      <c r="AE2508">
        <v>-9.9176999999999609</v>
      </c>
      <c r="AF2508">
        <v>-10.141116735057199</v>
      </c>
      <c r="AG2508">
        <v>-1.50479999999999E-2</v>
      </c>
      <c r="AH2508">
        <v>104.367230295056</v>
      </c>
      <c r="AI2508">
        <v>90.008222363367395</v>
      </c>
      <c r="AJ2508">
        <v>95.549872574167495</v>
      </c>
      <c r="AK2508">
        <v>104.858768038432</v>
      </c>
      <c r="AL2508">
        <v>87.805962026779696</v>
      </c>
      <c r="AM2508">
        <v>89.492865836903306</v>
      </c>
      <c r="AN2508">
        <v>1.0000000370604101</v>
      </c>
    </row>
    <row r="2509" spans="1:40" x14ac:dyDescent="0.25">
      <c r="A2509" t="str">
        <f>"20190312160342823"</f>
        <v>20190312160342823</v>
      </c>
      <c r="B2509" t="str">
        <f>"1552377822817109"</f>
        <v>1552377822817109</v>
      </c>
      <c r="C2509" t="s">
        <v>40</v>
      </c>
      <c r="D2509">
        <v>4.5979559999999999</v>
      </c>
      <c r="E2509">
        <v>0.46051310000000001</v>
      </c>
      <c r="F2509" t="s">
        <v>76</v>
      </c>
      <c r="G2509">
        <v>-512.82550000000003</v>
      </c>
      <c r="H2509">
        <v>1.0985720000000001</v>
      </c>
      <c r="I2509">
        <v>275.38369999999998</v>
      </c>
      <c r="J2509">
        <v>-408.63659999999999</v>
      </c>
      <c r="K2509">
        <v>1.110101</v>
      </c>
      <c r="L2509">
        <v>285.31549999999999</v>
      </c>
      <c r="M2509">
        <v>-0.99992139999999996</v>
      </c>
      <c r="N2509">
        <v>0</v>
      </c>
      <c r="O2509">
        <v>2.090934E-3</v>
      </c>
      <c r="P2509">
        <v>-0.99961350000000004</v>
      </c>
      <c r="Q2509">
        <v>2.5875470000000001E-2</v>
      </c>
      <c r="R2509">
        <v>1.017362E-2</v>
      </c>
      <c r="S2509">
        <v>-3.0043329999999999</v>
      </c>
      <c r="T2509">
        <v>-3.296137E-4</v>
      </c>
      <c r="U2509">
        <v>-0.28582760000000001</v>
      </c>
      <c r="V2509">
        <v>8.0804859999999996E-3</v>
      </c>
      <c r="W2509">
        <v>3.8225700000000001E-2</v>
      </c>
      <c r="X2509">
        <v>0.99923649999999997</v>
      </c>
      <c r="Y2509">
        <v>-9.6792299999999998E-2</v>
      </c>
      <c r="Z2509" s="1">
        <v>-5.52662299999999E-6</v>
      </c>
      <c r="AA2509">
        <v>0.99530459999999998</v>
      </c>
      <c r="AB2509">
        <v>27</v>
      </c>
      <c r="AC2509">
        <v>-104.1889</v>
      </c>
      <c r="AD2509">
        <v>-1.15290000000001E-2</v>
      </c>
      <c r="AE2509">
        <v>-9.9318000000000097</v>
      </c>
      <c r="AF2509">
        <v>-10.149646924178899</v>
      </c>
      <c r="AG2509">
        <v>-1.15290000000001E-2</v>
      </c>
      <c r="AH2509">
        <v>104.167902618459</v>
      </c>
      <c r="AI2509">
        <v>90.006311441343698</v>
      </c>
      <c r="AJ2509">
        <v>95.565073688814195</v>
      </c>
      <c r="AK2509">
        <v>104.661202943269</v>
      </c>
      <c r="AL2509">
        <v>87.809295077942295</v>
      </c>
      <c r="AM2509">
        <v>89.536678601501805</v>
      </c>
      <c r="AN2509">
        <v>1.00000004066336</v>
      </c>
    </row>
    <row r="2510" spans="1:40" x14ac:dyDescent="0.25">
      <c r="A2510" t="str">
        <f>"20190312160342835"</f>
        <v>20190312160342835</v>
      </c>
      <c r="B2510" t="str">
        <f>"1552377822826865"</f>
        <v>1552377822826865</v>
      </c>
      <c r="C2510" t="s">
        <v>40</v>
      </c>
      <c r="D2510">
        <v>4.645632</v>
      </c>
      <c r="E2510">
        <v>0.4605129</v>
      </c>
      <c r="F2510" t="s">
        <v>76</v>
      </c>
      <c r="G2510">
        <v>-512.82550000000003</v>
      </c>
      <c r="H2510">
        <v>1.1098349999999999</v>
      </c>
      <c r="I2510">
        <v>275.3177</v>
      </c>
      <c r="J2510">
        <v>-408.78289999999998</v>
      </c>
      <c r="K2510">
        <v>1.110101</v>
      </c>
      <c r="L2510">
        <v>285.31580000000002</v>
      </c>
      <c r="M2510">
        <v>-0.99992170000000002</v>
      </c>
      <c r="N2510">
        <v>0</v>
      </c>
      <c r="O2510">
        <v>2.0542099999999999E-3</v>
      </c>
      <c r="P2510">
        <v>-0.9996254</v>
      </c>
      <c r="Q2510">
        <v>2.5639499999999999E-2</v>
      </c>
      <c r="R2510">
        <v>9.5788450000000008E-3</v>
      </c>
      <c r="S2510">
        <v>-3.0041199999999999</v>
      </c>
      <c r="T2510" s="1">
        <v>-5.3644179999999897E-6</v>
      </c>
      <c r="U2510">
        <v>-0.288269</v>
      </c>
      <c r="V2510">
        <v>7.5221559999999899E-3</v>
      </c>
      <c r="W2510">
        <v>3.798936E-2</v>
      </c>
      <c r="X2510">
        <v>0.99924979999999997</v>
      </c>
      <c r="Y2510">
        <v>-9.7563910000000004E-2</v>
      </c>
      <c r="Z2510" s="1">
        <v>-9.0569839999999998E-8</v>
      </c>
      <c r="AA2510">
        <v>0.99522920000000004</v>
      </c>
      <c r="AB2510">
        <v>27</v>
      </c>
      <c r="AC2510">
        <v>-104.04259999999999</v>
      </c>
      <c r="AD2510">
        <v>-2.6599999999987701E-4</v>
      </c>
      <c r="AE2510">
        <v>-9.9981000000000204</v>
      </c>
      <c r="AF2510">
        <v>-10.2118205361219</v>
      </c>
      <c r="AG2510">
        <v>-2.6599999999987701E-4</v>
      </c>
      <c r="AH2510">
        <v>104.021840685341</v>
      </c>
      <c r="AI2510">
        <v>90.000145813264098</v>
      </c>
      <c r="AJ2510">
        <v>95.606759348679901</v>
      </c>
      <c r="AK2510">
        <v>104.521885834016</v>
      </c>
      <c r="AL2510">
        <v>87.822846047818203</v>
      </c>
      <c r="AM2510">
        <v>89.568696785459295</v>
      </c>
      <c r="AN2510">
        <v>0.99999996855206796</v>
      </c>
    </row>
    <row r="2511" spans="1:40" x14ac:dyDescent="0.25">
      <c r="A2511" t="str">
        <f>"20190312160342857"</f>
        <v>20190312160342857</v>
      </c>
      <c r="B2511" t="str">
        <f>"1552377822847361"</f>
        <v>1552377822847361</v>
      </c>
      <c r="C2511" t="s">
        <v>40</v>
      </c>
      <c r="D2511">
        <v>4.6689660000000002</v>
      </c>
      <c r="E2511">
        <v>0.4604586</v>
      </c>
      <c r="F2511" t="s">
        <v>76</v>
      </c>
      <c r="G2511">
        <v>-512.82550000000003</v>
      </c>
      <c r="H2511">
        <v>1.1080589999999999</v>
      </c>
      <c r="I2511">
        <v>275.26459999999997</v>
      </c>
      <c r="J2511">
        <v>-409.04419999999999</v>
      </c>
      <c r="K2511">
        <v>1.110096</v>
      </c>
      <c r="L2511">
        <v>285.31619999999998</v>
      </c>
      <c r="M2511">
        <v>-0.99992179999999997</v>
      </c>
      <c r="N2511">
        <v>0</v>
      </c>
      <c r="O2511">
        <v>1.9878579999999999E-3</v>
      </c>
      <c r="P2511">
        <v>-0.99964419999999998</v>
      </c>
      <c r="Q2511">
        <v>2.5245460000000001E-2</v>
      </c>
      <c r="R2511">
        <v>8.61979999999999E-3</v>
      </c>
      <c r="S2511">
        <v>-3.003876</v>
      </c>
      <c r="T2511" s="1">
        <v>-5.662441E-5</v>
      </c>
      <c r="U2511">
        <v>-0.2901917</v>
      </c>
      <c r="V2511">
        <v>6.6293289999999998E-3</v>
      </c>
      <c r="W2511">
        <v>3.7595770000000001E-2</v>
      </c>
      <c r="X2511">
        <v>0.99927100000000002</v>
      </c>
      <c r="Y2511">
        <v>-9.8136680000000004E-2</v>
      </c>
      <c r="Z2511" s="1">
        <v>-9.6020099999999996E-7</v>
      </c>
      <c r="AA2511">
        <v>0.99517290000000003</v>
      </c>
      <c r="AB2511">
        <v>27</v>
      </c>
      <c r="AC2511">
        <v>-103.7813</v>
      </c>
      <c r="AD2511">
        <v>-2.03700000000006E-3</v>
      </c>
      <c r="AE2511">
        <v>-10.051600000000001</v>
      </c>
      <c r="AF2511">
        <v>-10.2578983470562</v>
      </c>
      <c r="AG2511">
        <v>-2.03700000000006E-3</v>
      </c>
      <c r="AH2511">
        <v>103.761112202273</v>
      </c>
      <c r="AI2511">
        <v>90.001119353008804</v>
      </c>
      <c r="AJ2511">
        <v>95.645956282016201</v>
      </c>
      <c r="AK2511">
        <v>104.266930942176</v>
      </c>
      <c r="AL2511">
        <v>87.845413199424101</v>
      </c>
      <c r="AM2511">
        <v>89.619895903678895</v>
      </c>
      <c r="AN2511">
        <v>0.99999996068293995</v>
      </c>
    </row>
    <row r="2512" spans="1:40" x14ac:dyDescent="0.25">
      <c r="A2512" t="str">
        <f>"20190312160342871"</f>
        <v>20190312160342871</v>
      </c>
      <c r="B2512" t="str">
        <f>"1552377822857121"</f>
        <v>1552377822857121</v>
      </c>
      <c r="C2512" t="s">
        <v>40</v>
      </c>
      <c r="D2512">
        <v>4.6965669999999999</v>
      </c>
      <c r="E2512">
        <v>0.46066679999999999</v>
      </c>
      <c r="F2512" t="s">
        <v>76</v>
      </c>
      <c r="G2512">
        <v>-512.82550000000003</v>
      </c>
      <c r="H2512">
        <v>1.0761210000000001</v>
      </c>
      <c r="I2512">
        <v>275.18189999999998</v>
      </c>
      <c r="J2512">
        <v>-409.21539999999999</v>
      </c>
      <c r="K2512">
        <v>1.1100950000000001</v>
      </c>
      <c r="L2512">
        <v>285.31650000000002</v>
      </c>
      <c r="M2512">
        <v>-0.99992190000000003</v>
      </c>
      <c r="N2512">
        <v>0</v>
      </c>
      <c r="O2512">
        <v>1.944042E-3</v>
      </c>
      <c r="P2512">
        <v>-0.99964509999999995</v>
      </c>
      <c r="Q2512">
        <v>2.5311549999999999E-2</v>
      </c>
      <c r="R2512">
        <v>8.3178920000000003E-3</v>
      </c>
      <c r="S2512">
        <v>-3.0036320000000001</v>
      </c>
      <c r="T2512">
        <v>-9.8097320000000007E-4</v>
      </c>
      <c r="U2512">
        <v>-0.29330440000000002</v>
      </c>
      <c r="V2512">
        <v>6.3710640000000001E-3</v>
      </c>
      <c r="W2512">
        <v>3.766154E-2</v>
      </c>
      <c r="X2512">
        <v>0.99927029999999994</v>
      </c>
      <c r="Y2512">
        <v>-9.9122479999999999E-2</v>
      </c>
      <c r="Z2512" s="1">
        <v>-1.6781559999999999E-5</v>
      </c>
      <c r="AA2512">
        <v>0.99507520000000005</v>
      </c>
      <c r="AB2512">
        <v>27</v>
      </c>
      <c r="AC2512">
        <v>-103.6101</v>
      </c>
      <c r="AD2512">
        <v>-3.3974000000000101E-2</v>
      </c>
      <c r="AE2512">
        <v>-10.134600000000001</v>
      </c>
      <c r="AF2512">
        <v>-10.3360174830584</v>
      </c>
      <c r="AG2512">
        <v>-3.3974000000000101E-2</v>
      </c>
      <c r="AH2512">
        <v>103.59018956105299</v>
      </c>
      <c r="AI2512">
        <v>90.018698188001494</v>
      </c>
      <c r="AJ2512">
        <v>95.697996697527003</v>
      </c>
      <c r="AK2512">
        <v>104.10457139308301</v>
      </c>
      <c r="AL2512">
        <v>87.841642393731505</v>
      </c>
      <c r="AM2512">
        <v>89.634703310873505</v>
      </c>
      <c r="AN2512">
        <v>1.0000000572568699</v>
      </c>
    </row>
    <row r="2513" spans="1:40" x14ac:dyDescent="0.25">
      <c r="A2513" t="str">
        <f>"20190312160342884"</f>
        <v>20190312160342884</v>
      </c>
      <c r="B2513" t="str">
        <f>"1552377822876641"</f>
        <v>1552377822876641</v>
      </c>
      <c r="C2513" t="s">
        <v>40</v>
      </c>
      <c r="D2513">
        <v>4.7268439999999998</v>
      </c>
      <c r="E2513">
        <v>0.48519030000000002</v>
      </c>
      <c r="F2513" t="s">
        <v>76</v>
      </c>
      <c r="G2513">
        <v>-512.82550000000003</v>
      </c>
      <c r="H2513">
        <v>1.086673</v>
      </c>
      <c r="I2513">
        <v>275.21749999999997</v>
      </c>
      <c r="J2513">
        <v>-409.38650000000001</v>
      </c>
      <c r="K2513">
        <v>1.110088</v>
      </c>
      <c r="L2513">
        <v>285.3168</v>
      </c>
      <c r="M2513">
        <v>-0.99992199999999998</v>
      </c>
      <c r="N2513">
        <v>0</v>
      </c>
      <c r="O2513">
        <v>1.9002870000000001E-3</v>
      </c>
      <c r="P2513">
        <v>-0.99965340000000003</v>
      </c>
      <c r="Q2513">
        <v>2.5045379999999999E-2</v>
      </c>
      <c r="R2513">
        <v>8.1302530000000005E-3</v>
      </c>
      <c r="S2513">
        <v>-3.0035099999999999</v>
      </c>
      <c r="T2513">
        <v>-6.766319E-4</v>
      </c>
      <c r="U2513">
        <v>-0.29275509999999999</v>
      </c>
      <c r="V2513">
        <v>6.2273459999999999E-3</v>
      </c>
      <c r="W2513">
        <v>3.7395640000000001E-2</v>
      </c>
      <c r="X2513">
        <v>0.99928110000000003</v>
      </c>
      <c r="Y2513">
        <v>-9.8902569999999995E-2</v>
      </c>
      <c r="Z2513" s="1">
        <v>-1.1541200000000001E-5</v>
      </c>
      <c r="AA2513">
        <v>0.99509709999999996</v>
      </c>
      <c r="AB2513">
        <v>27</v>
      </c>
      <c r="AC2513">
        <v>-103.43899999999999</v>
      </c>
      <c r="AD2513">
        <v>-2.3414999999999901E-2</v>
      </c>
      <c r="AE2513">
        <v>-10.099299999999999</v>
      </c>
      <c r="AF2513">
        <v>-10.2958600050468</v>
      </c>
      <c r="AG2513">
        <v>-2.3414999999999901E-2</v>
      </c>
      <c r="AH2513">
        <v>103.419614927353</v>
      </c>
      <c r="AI2513">
        <v>90.012908396886999</v>
      </c>
      <c r="AJ2513">
        <v>95.685304092884294</v>
      </c>
      <c r="AK2513">
        <v>103.93085217214301</v>
      </c>
      <c r="AL2513">
        <v>87.856887883210106</v>
      </c>
      <c r="AM2513">
        <v>89.642947290193902</v>
      </c>
      <c r="AN2513">
        <v>0.999999965273211</v>
      </c>
    </row>
    <row r="2514" spans="1:40" x14ac:dyDescent="0.25">
      <c r="A2514" t="str">
        <f>"20190312160342898"</f>
        <v>20190312160342898</v>
      </c>
      <c r="B2514" t="str">
        <f>"1552377822887379"</f>
        <v>1552377822887379</v>
      </c>
      <c r="C2514" t="s">
        <v>40</v>
      </c>
      <c r="D2514">
        <v>4.6986990000000004</v>
      </c>
      <c r="E2514">
        <v>0.48898789999999998</v>
      </c>
      <c r="F2514" t="s">
        <v>59</v>
      </c>
      <c r="G2514">
        <v>-492.1189</v>
      </c>
      <c r="H2514" s="1">
        <v>3.411598E-6</v>
      </c>
      <c r="I2514">
        <v>282.59010000000001</v>
      </c>
      <c r="J2514">
        <v>-409.5401</v>
      </c>
      <c r="K2514">
        <v>1.1100909999999999</v>
      </c>
      <c r="L2514">
        <v>285.31709999999998</v>
      </c>
      <c r="M2514">
        <v>-0.99992199999999998</v>
      </c>
      <c r="N2514">
        <v>0</v>
      </c>
      <c r="O2514">
        <v>1.861003E-3</v>
      </c>
      <c r="P2514">
        <v>-0.99965890000000002</v>
      </c>
      <c r="Q2514">
        <v>2.4879020000000002E-2</v>
      </c>
      <c r="R2514">
        <v>7.9534970000000003E-3</v>
      </c>
      <c r="S2514">
        <v>-3.002869</v>
      </c>
      <c r="T2514">
        <v>-4.0291790000000001E-2</v>
      </c>
      <c r="U2514">
        <v>-9.8968509999999996E-2</v>
      </c>
      <c r="V2514">
        <v>6.0897470000000004E-3</v>
      </c>
      <c r="W2514">
        <v>3.7228869999999997E-2</v>
      </c>
      <c r="X2514">
        <v>0.99928819999999996</v>
      </c>
      <c r="Y2514">
        <v>-3.4796889999999997E-2</v>
      </c>
      <c r="Z2514">
        <v>-2.5833900000000001E-4</v>
      </c>
      <c r="AA2514">
        <v>0.99939440000000002</v>
      </c>
      <c r="AB2514">
        <v>27</v>
      </c>
      <c r="AC2514">
        <v>-82.578800000000001</v>
      </c>
      <c r="AD2514">
        <v>-1.1100875884019901</v>
      </c>
      <c r="AE2514">
        <v>-2.7269999999999701</v>
      </c>
      <c r="AF2514">
        <v>-2.8801664911648102</v>
      </c>
      <c r="AG2514">
        <v>-1.1100875884019901</v>
      </c>
      <c r="AH2514">
        <v>82.5586788755935</v>
      </c>
      <c r="AI2514">
        <v>90.769886822965304</v>
      </c>
      <c r="AJ2514">
        <v>91.998027205671704</v>
      </c>
      <c r="AK2514">
        <v>82.616361037957404</v>
      </c>
      <c r="AL2514">
        <v>87.866449812312894</v>
      </c>
      <c r="AM2514">
        <v>89.650838985033005</v>
      </c>
      <c r="AN2514">
        <v>0.99999999021962005</v>
      </c>
    </row>
    <row r="2515" spans="1:40" x14ac:dyDescent="0.25">
      <c r="A2515" t="str">
        <f>"20190312160342912"</f>
        <v>20190312160342912</v>
      </c>
      <c r="B2515" t="str">
        <f>"1552377822907404"</f>
        <v>1552377822907404</v>
      </c>
      <c r="C2515" t="s">
        <v>40</v>
      </c>
      <c r="D2515">
        <v>4.6964810000000003</v>
      </c>
      <c r="E2515">
        <v>0.4934846</v>
      </c>
      <c r="F2515" t="s">
        <v>59</v>
      </c>
      <c r="G2515">
        <v>-476.05599999999998</v>
      </c>
      <c r="H2515" s="1">
        <v>3.854832E-6</v>
      </c>
      <c r="I2515">
        <v>283.7731</v>
      </c>
      <c r="J2515">
        <v>-409.7133</v>
      </c>
      <c r="K2515">
        <v>1.1101000000000001</v>
      </c>
      <c r="L2515">
        <v>285.31729999999999</v>
      </c>
      <c r="M2515">
        <v>-0.99992219999999998</v>
      </c>
      <c r="N2515">
        <v>0</v>
      </c>
      <c r="O2515">
        <v>1.8168920000000001E-3</v>
      </c>
      <c r="P2515">
        <v>-0.99965910000000002</v>
      </c>
      <c r="Q2515">
        <v>2.4834660000000001E-2</v>
      </c>
      <c r="R2515">
        <v>8.0901020000000001E-3</v>
      </c>
      <c r="S2515">
        <v>-3.0028079999999999</v>
      </c>
      <c r="T2515">
        <v>-5.0114039999999999E-2</v>
      </c>
      <c r="U2515">
        <v>-6.9702150000000004E-2</v>
      </c>
      <c r="V2515">
        <v>6.2704830000000003E-3</v>
      </c>
      <c r="W2515">
        <v>3.7184549999999997E-2</v>
      </c>
      <c r="X2515">
        <v>0.99928870000000003</v>
      </c>
      <c r="Y2515">
        <v>-2.5018849999999999E-2</v>
      </c>
      <c r="Z2515">
        <v>-2.390464E-4</v>
      </c>
      <c r="AA2515">
        <v>0.99968699999999999</v>
      </c>
      <c r="AB2515">
        <v>27</v>
      </c>
      <c r="AC2515">
        <v>-66.342699999999894</v>
      </c>
      <c r="AD2515">
        <v>-1.110096145168</v>
      </c>
      <c r="AE2515">
        <v>-1.54419999999998</v>
      </c>
      <c r="AF2515">
        <v>-1.66427843044225</v>
      </c>
      <c r="AG2515">
        <v>-1.110096145168</v>
      </c>
      <c r="AH2515">
        <v>66.321225723555202</v>
      </c>
      <c r="AI2515">
        <v>90.958635386739203</v>
      </c>
      <c r="AJ2515">
        <v>91.437490345792497</v>
      </c>
      <c r="AK2515">
        <v>66.351391225959304</v>
      </c>
      <c r="AL2515">
        <v>87.868990851722501</v>
      </c>
      <c r="AM2515">
        <v>89.640476775052093</v>
      </c>
      <c r="AN2515">
        <v>0.99999995783172102</v>
      </c>
    </row>
    <row r="2516" spans="1:40" x14ac:dyDescent="0.25">
      <c r="A2516" t="str">
        <f>"20190312160342924"</f>
        <v>20190312160342924</v>
      </c>
      <c r="B2516" t="str">
        <f>"1552377822917164"</f>
        <v>1552377822917164</v>
      </c>
      <c r="C2516" t="s">
        <v>40</v>
      </c>
      <c r="D2516">
        <v>4.7216100000000001</v>
      </c>
      <c r="E2516">
        <v>0.49444709999999997</v>
      </c>
      <c r="F2516" t="s">
        <v>70</v>
      </c>
      <c r="G2516">
        <v>-465.101</v>
      </c>
      <c r="H2516" s="1">
        <v>1.1744079999999999E-6</v>
      </c>
      <c r="I2516">
        <v>284.6925</v>
      </c>
      <c r="J2516">
        <v>-409.87169999999998</v>
      </c>
      <c r="K2516">
        <v>1.1100989999999999</v>
      </c>
      <c r="L2516">
        <v>285.31760000000003</v>
      </c>
      <c r="M2516">
        <v>-0.99992219999999998</v>
      </c>
      <c r="N2516">
        <v>0</v>
      </c>
      <c r="O2516">
        <v>1.776597E-3</v>
      </c>
      <c r="P2516">
        <v>-0.99964909999999996</v>
      </c>
      <c r="Q2516">
        <v>2.5214770000000001E-2</v>
      </c>
      <c r="R2516">
        <v>8.1413010000000001E-3</v>
      </c>
      <c r="S2516">
        <v>-3.0028380000000001</v>
      </c>
      <c r="T2516">
        <v>-6.0183760000000003E-2</v>
      </c>
      <c r="U2516">
        <v>-3.3874509999999997E-2</v>
      </c>
      <c r="V2516">
        <v>6.3619239999999997E-3</v>
      </c>
      <c r="W2516">
        <v>3.756433E-2</v>
      </c>
      <c r="X2516">
        <v>0.999274</v>
      </c>
      <c r="Y2516">
        <v>-1.3053739999999999E-2</v>
      </c>
      <c r="Z2516">
        <v>-1.6640129999999999E-4</v>
      </c>
      <c r="AA2516">
        <v>0.99991479999999999</v>
      </c>
      <c r="AB2516">
        <v>27</v>
      </c>
      <c r="AC2516">
        <v>-55.229300000000002</v>
      </c>
      <c r="AD2516">
        <v>-1.110097825592</v>
      </c>
      <c r="AE2516">
        <v>-0.62510000000003096</v>
      </c>
      <c r="AF2516">
        <v>-0.72293467191879701</v>
      </c>
      <c r="AG2516">
        <v>-1.110097825592</v>
      </c>
      <c r="AH2516">
        <v>55.205801798141103</v>
      </c>
      <c r="AI2516">
        <v>91.15186985631</v>
      </c>
      <c r="AJ2516">
        <v>90.750260602073197</v>
      </c>
      <c r="AK2516">
        <v>55.221694141866799</v>
      </c>
      <c r="AL2516">
        <v>87.847216023037504</v>
      </c>
      <c r="AM2516">
        <v>89.635228706040195</v>
      </c>
      <c r="AN2516">
        <v>1.0000000400206599</v>
      </c>
    </row>
    <row r="2517" spans="1:40" x14ac:dyDescent="0.25">
      <c r="A2517" t="str">
        <f>"20190312160342938"</f>
        <v>20190312160342938</v>
      </c>
      <c r="B2517" t="str">
        <f>"1552377822926925"</f>
        <v>1552377822926925</v>
      </c>
      <c r="C2517" t="s">
        <v>40</v>
      </c>
      <c r="D2517">
        <v>4.6583300000000003</v>
      </c>
      <c r="E2517">
        <v>0.49531500000000001</v>
      </c>
      <c r="F2517" t="s">
        <v>70</v>
      </c>
      <c r="G2517">
        <v>-463.6386</v>
      </c>
      <c r="H2517" s="1">
        <v>3.8940749999999997E-7</v>
      </c>
      <c r="I2517">
        <v>284.84710000000001</v>
      </c>
      <c r="J2517">
        <v>-410.03030000000001</v>
      </c>
      <c r="K2517">
        <v>1.110101</v>
      </c>
      <c r="L2517">
        <v>285.31779999999998</v>
      </c>
      <c r="M2517">
        <v>-0.99992219999999998</v>
      </c>
      <c r="N2517">
        <v>0</v>
      </c>
      <c r="O2517">
        <v>1.736364E-3</v>
      </c>
      <c r="P2517">
        <v>-0.99965420000000005</v>
      </c>
      <c r="Q2517">
        <v>2.4941990000000001E-2</v>
      </c>
      <c r="R2517">
        <v>8.3569760000000003E-3</v>
      </c>
      <c r="S2517">
        <v>-3.0028380000000001</v>
      </c>
      <c r="T2517">
        <v>-6.1998129999999999E-2</v>
      </c>
      <c r="U2517">
        <v>-2.6275630000000001E-2</v>
      </c>
      <c r="V2517">
        <v>6.617899E-3</v>
      </c>
      <c r="W2517">
        <v>3.7291770000000002E-2</v>
      </c>
      <c r="X2517">
        <v>0.99928249999999996</v>
      </c>
      <c r="Y2517">
        <v>-1.048374E-2</v>
      </c>
      <c r="Z2517">
        <v>-1.4406090000000001E-4</v>
      </c>
      <c r="AA2517">
        <v>0.99994499999999997</v>
      </c>
      <c r="AB2517">
        <v>27</v>
      </c>
      <c r="AC2517">
        <v>-53.6082999999999</v>
      </c>
      <c r="AD2517">
        <v>-1.1101006105925</v>
      </c>
      <c r="AE2517">
        <v>-0.47069999999996498</v>
      </c>
      <c r="AF2517">
        <v>-0.56354828052790196</v>
      </c>
      <c r="AG2517">
        <v>-1.1101006105925</v>
      </c>
      <c r="AH2517">
        <v>53.584426265831702</v>
      </c>
      <c r="AI2517">
        <v>91.186752783973603</v>
      </c>
      <c r="AJ2517">
        <v>90.602558427653605</v>
      </c>
      <c r="AK2517">
        <v>53.598886632732203</v>
      </c>
      <c r="AL2517">
        <v>87.862843410982506</v>
      </c>
      <c r="AM2517">
        <v>89.620555610075399</v>
      </c>
      <c r="AN2517">
        <v>0.999999993751578</v>
      </c>
    </row>
    <row r="2518" spans="1:40" x14ac:dyDescent="0.25">
      <c r="A2518" t="str">
        <f>"20190312160342952"</f>
        <v>20190312160342952</v>
      </c>
      <c r="B2518" t="str">
        <f>"1552377822947420"</f>
        <v>1552377822947420</v>
      </c>
      <c r="C2518" t="s">
        <v>40</v>
      </c>
      <c r="D2518">
        <v>4.7443999999999997</v>
      </c>
      <c r="E2518">
        <v>0.49736979999999997</v>
      </c>
      <c r="F2518" t="s">
        <v>70</v>
      </c>
      <c r="G2518">
        <v>-464.17329999999998</v>
      </c>
      <c r="H2518" s="1">
        <v>6.6803080000000002E-7</v>
      </c>
      <c r="I2518">
        <v>284.9821</v>
      </c>
      <c r="J2518">
        <v>-410.18819999999999</v>
      </c>
      <c r="K2518">
        <v>1.1101000000000001</v>
      </c>
      <c r="L2518">
        <v>285.31799999999998</v>
      </c>
      <c r="M2518">
        <v>-0.99992219999999998</v>
      </c>
      <c r="N2518">
        <v>0</v>
      </c>
      <c r="O2518">
        <v>1.6962500000000001E-3</v>
      </c>
      <c r="P2518">
        <v>-0.99965199999999999</v>
      </c>
      <c r="Q2518">
        <v>2.5130260000000001E-2</v>
      </c>
      <c r="R2518">
        <v>8.0368339999999996E-3</v>
      </c>
      <c r="S2518">
        <v>-3.0027159999999999</v>
      </c>
      <c r="T2518">
        <v>-6.1565040000000001E-2</v>
      </c>
      <c r="U2518">
        <v>-1.8615719999999999E-2</v>
      </c>
      <c r="V2518">
        <v>6.3378849999999997E-3</v>
      </c>
      <c r="W2518">
        <v>3.7479510000000001E-2</v>
      </c>
      <c r="X2518">
        <v>0.99927730000000003</v>
      </c>
      <c r="Y2518">
        <v>-7.8938310000000005E-3</v>
      </c>
      <c r="Z2518">
        <v>-1.156919E-4</v>
      </c>
      <c r="AA2518">
        <v>0.99996879999999999</v>
      </c>
      <c r="AB2518">
        <v>27</v>
      </c>
      <c r="AC2518">
        <v>-53.985099999999903</v>
      </c>
      <c r="AD2518">
        <v>-1.1100993319691901</v>
      </c>
      <c r="AE2518">
        <v>-0.33589999999998099</v>
      </c>
      <c r="AF2518">
        <v>-0.427298064033797</v>
      </c>
      <c r="AG2518">
        <v>-1.1100993319691901</v>
      </c>
      <c r="AH2518">
        <v>53.961636265146701</v>
      </c>
      <c r="AI2518">
        <v>91.178486189743595</v>
      </c>
      <c r="AJ2518">
        <v>90.453690170775502</v>
      </c>
      <c r="AK2518">
        <v>53.9747449514526</v>
      </c>
      <c r="AL2518">
        <v>87.852079194645199</v>
      </c>
      <c r="AM2518">
        <v>89.636608184331607</v>
      </c>
      <c r="AN2518">
        <v>1.0000000023757001</v>
      </c>
    </row>
    <row r="2519" spans="1:40" x14ac:dyDescent="0.25">
      <c r="A2519" t="str">
        <f>"20190312160342964"</f>
        <v>20190312160342964</v>
      </c>
      <c r="B2519" t="str">
        <f>"1552377822957181"</f>
        <v>1552377822957181</v>
      </c>
      <c r="C2519" t="s">
        <v>40</v>
      </c>
      <c r="D2519">
        <v>4.7422690000000003</v>
      </c>
      <c r="E2519">
        <v>0.49756699999999998</v>
      </c>
      <c r="F2519" t="s">
        <v>70</v>
      </c>
      <c r="G2519">
        <v>-464.31389999999999</v>
      </c>
      <c r="H2519" s="1">
        <v>7.3058070000000002E-7</v>
      </c>
      <c r="I2519">
        <v>285.26350000000002</v>
      </c>
      <c r="J2519">
        <v>-410.33940000000001</v>
      </c>
      <c r="K2519">
        <v>1.1101019999999999</v>
      </c>
      <c r="L2519">
        <v>285.31819999999999</v>
      </c>
      <c r="M2519">
        <v>-0.99992250000000005</v>
      </c>
      <c r="N2519">
        <v>0</v>
      </c>
      <c r="O2519">
        <v>1.6576879999999901E-3</v>
      </c>
      <c r="P2519">
        <v>-0.99965380000000004</v>
      </c>
      <c r="Q2519">
        <v>2.510942E-2</v>
      </c>
      <c r="R2519">
        <v>7.8822149999999997E-3</v>
      </c>
      <c r="S2519">
        <v>-3.0026250000000001</v>
      </c>
      <c r="T2519">
        <v>-6.15828E-2</v>
      </c>
      <c r="U2519">
        <v>-3.0212400000000001E-3</v>
      </c>
      <c r="V2519">
        <v>6.2216140000000003E-3</v>
      </c>
      <c r="W2519">
        <v>3.7458539999999999E-2</v>
      </c>
      <c r="X2519">
        <v>0.99927880000000002</v>
      </c>
      <c r="Y2519">
        <v>-2.6631020000000001E-3</v>
      </c>
      <c r="Z2519" s="1">
        <v>-6.1304399999999995E-5</v>
      </c>
      <c r="AA2519">
        <v>0.99999640000000001</v>
      </c>
      <c r="AB2519">
        <v>27</v>
      </c>
      <c r="AC2519">
        <v>-53.9744999999999</v>
      </c>
      <c r="AD2519">
        <v>-1.1101012694193</v>
      </c>
      <c r="AE2519">
        <v>-5.4699999999968399E-2</v>
      </c>
      <c r="AF2519">
        <v>-0.144118654321854</v>
      </c>
      <c r="AG2519">
        <v>-1.1101012694193</v>
      </c>
      <c r="AH2519">
        <v>53.951513282400697</v>
      </c>
      <c r="AI2519">
        <v>91.178742043891702</v>
      </c>
      <c r="AJ2519">
        <v>90.1530517032582</v>
      </c>
      <c r="AK2519">
        <v>53.963125191893297</v>
      </c>
      <c r="AL2519">
        <v>87.853281495004396</v>
      </c>
      <c r="AM2519">
        <v>89.643275112085107</v>
      </c>
      <c r="AN2519">
        <v>0.99999998541456803</v>
      </c>
    </row>
    <row r="2520" spans="1:40" x14ac:dyDescent="0.25">
      <c r="A2520" t="str">
        <f>"20190312160342979"</f>
        <v>20190312160342979</v>
      </c>
      <c r="B2520" t="str">
        <f>"1552377822976701"</f>
        <v>1552377822976701</v>
      </c>
      <c r="C2520" t="s">
        <v>40</v>
      </c>
      <c r="D2520">
        <v>4.6907829999999997</v>
      </c>
      <c r="E2520">
        <v>0.49769790000000003</v>
      </c>
      <c r="F2520" t="s">
        <v>70</v>
      </c>
      <c r="G2520">
        <v>-463.80459999999999</v>
      </c>
      <c r="H2520" s="1">
        <v>4.5850269999999998E-7</v>
      </c>
      <c r="I2520">
        <v>285.2867</v>
      </c>
      <c r="J2520">
        <v>-410.52780000000001</v>
      </c>
      <c r="K2520">
        <v>1.1101019999999999</v>
      </c>
      <c r="L2520">
        <v>285.31849999999997</v>
      </c>
      <c r="M2520">
        <v>-0.99992239999999999</v>
      </c>
      <c r="N2520">
        <v>0</v>
      </c>
      <c r="O2520">
        <v>1.610186E-3</v>
      </c>
      <c r="P2520">
        <v>-0.99965999999999999</v>
      </c>
      <c r="Q2520">
        <v>2.497245E-2</v>
      </c>
      <c r="R2520">
        <v>7.493825E-3</v>
      </c>
      <c r="S2520">
        <v>-3.0026549999999999</v>
      </c>
      <c r="T2520">
        <v>-6.2344429999999999E-2</v>
      </c>
      <c r="U2520">
        <v>-1.77002E-3</v>
      </c>
      <c r="V2520">
        <v>5.8806509999999998E-3</v>
      </c>
      <c r="W2520">
        <v>3.7321300000000002E-2</v>
      </c>
      <c r="X2520">
        <v>0.99928600000000001</v>
      </c>
      <c r="Y2520">
        <v>-2.198972E-3</v>
      </c>
      <c r="Z2520" s="1">
        <v>-5.625768E-5</v>
      </c>
      <c r="AA2520">
        <v>0.99999760000000004</v>
      </c>
      <c r="AB2520">
        <v>27</v>
      </c>
      <c r="AC2520">
        <v>-53.276799999999902</v>
      </c>
      <c r="AD2520">
        <v>-1.1101015414972999</v>
      </c>
      <c r="AE2520">
        <v>-3.1799999999975598E-2</v>
      </c>
      <c r="AF2520">
        <v>-0.117541030978454</v>
      </c>
      <c r="AG2520">
        <v>-1.1101015414972999</v>
      </c>
      <c r="AH2520">
        <v>53.253559194374397</v>
      </c>
      <c r="AI2520">
        <v>91.1941881227701</v>
      </c>
      <c r="AJ2520">
        <v>90.126462797233401</v>
      </c>
      <c r="AK2520">
        <v>53.2652579848735</v>
      </c>
      <c r="AL2520">
        <v>87.861150270616093</v>
      </c>
      <c r="AM2520">
        <v>89.662826664606001</v>
      </c>
      <c r="AN2520">
        <v>0.99999998564293602</v>
      </c>
    </row>
    <row r="2521" spans="1:40" x14ac:dyDescent="0.25">
      <c r="A2521" t="str">
        <f>"20190312160343325"</f>
        <v>20190312160343325</v>
      </c>
      <c r="B2521" t="str">
        <f>"1552377823316906"</f>
        <v>1552377823316906</v>
      </c>
      <c r="C2521" t="s">
        <v>40</v>
      </c>
      <c r="D2521">
        <v>4.9057219999999999</v>
      </c>
      <c r="E2521">
        <v>0.46805269999999999</v>
      </c>
      <c r="F2521" t="s">
        <v>70</v>
      </c>
      <c r="G2521">
        <v>-463.2808</v>
      </c>
      <c r="H2521" s="1">
        <v>1.799834E-7</v>
      </c>
      <c r="I2521">
        <v>285.2826</v>
      </c>
      <c r="J2521">
        <v>-414.71350000000001</v>
      </c>
      <c r="K2521">
        <v>1.1100399999999999</v>
      </c>
      <c r="L2521">
        <v>285.32319999999999</v>
      </c>
      <c r="M2521">
        <v>-0.99992309999999995</v>
      </c>
      <c r="N2521">
        <v>0</v>
      </c>
      <c r="O2521">
        <v>1.1601199999999999E-3</v>
      </c>
      <c r="P2521">
        <v>-0.99968179999999995</v>
      </c>
      <c r="Q2521">
        <v>2.3798960000000001E-2</v>
      </c>
      <c r="R2521">
        <v>8.3496409999999997E-3</v>
      </c>
      <c r="S2521">
        <v>-3.0026549999999999</v>
      </c>
      <c r="T2521">
        <v>-6.3186049999999994E-2</v>
      </c>
      <c r="U2521">
        <v>-2.0446779999999999E-3</v>
      </c>
      <c r="V2521">
        <v>7.1915750000000004E-3</v>
      </c>
      <c r="W2521">
        <v>3.6143840000000003E-2</v>
      </c>
      <c r="X2521">
        <v>0.99932069999999995</v>
      </c>
      <c r="Y2521">
        <v>-1.840501E-3</v>
      </c>
      <c r="Z2521" s="1">
        <v>-4.3775069999999998E-5</v>
      </c>
      <c r="AA2521">
        <v>0.99999830000000001</v>
      </c>
      <c r="AB2521">
        <v>27</v>
      </c>
      <c r="AC2521">
        <v>-48.567299999999904</v>
      </c>
      <c r="AD2521">
        <v>-1.1100398200166</v>
      </c>
      <c r="AE2521">
        <v>-4.0599999999983503E-2</v>
      </c>
      <c r="AF2521">
        <v>-9.6897546390252498E-2</v>
      </c>
      <c r="AG2521">
        <v>-1.1100398200166</v>
      </c>
      <c r="AH2521">
        <v>48.5418627721428</v>
      </c>
      <c r="AI2521">
        <v>91.309990670719998</v>
      </c>
      <c r="AJ2521">
        <v>90.114371652883406</v>
      </c>
      <c r="AK2521">
        <v>48.554649817767803</v>
      </c>
      <c r="AL2521">
        <v>87.928659309368896</v>
      </c>
      <c r="AM2521">
        <v>89.587680128516098</v>
      </c>
      <c r="AN2521">
        <v>0.99999997868470702</v>
      </c>
    </row>
    <row r="2522" spans="1:40" x14ac:dyDescent="0.25">
      <c r="A2522" t="str">
        <f>"20190312160343339"</f>
        <v>20190312160343339</v>
      </c>
      <c r="B2522" t="str">
        <f>"1552377823337389"</f>
        <v>1552377823337389</v>
      </c>
      <c r="C2522" t="s">
        <v>40</v>
      </c>
      <c r="D2522">
        <v>5.0319989999999999</v>
      </c>
      <c r="E2522">
        <v>0.47178550000000002</v>
      </c>
      <c r="F2522" t="s">
        <v>59</v>
      </c>
      <c r="G2522">
        <v>-497.18369999999999</v>
      </c>
      <c r="H2522" s="1">
        <v>2.121348E-6</v>
      </c>
      <c r="I2522">
        <v>278.86750000000001</v>
      </c>
      <c r="J2522">
        <v>-414.87610000000001</v>
      </c>
      <c r="K2522">
        <v>1.1100429999999999</v>
      </c>
      <c r="L2522">
        <v>285.32339999999999</v>
      </c>
      <c r="M2522">
        <v>-0.99992309999999995</v>
      </c>
      <c r="N2522">
        <v>0</v>
      </c>
      <c r="O2522">
        <v>1.159633E-3</v>
      </c>
      <c r="P2522">
        <v>-0.99967669999999997</v>
      </c>
      <c r="Q2522">
        <v>2.4125600000000001E-2</v>
      </c>
      <c r="R2522">
        <v>8.0269759999999999E-3</v>
      </c>
      <c r="S2522">
        <v>-3.0038450000000001</v>
      </c>
      <c r="T2522">
        <v>-4.0431380000000003E-2</v>
      </c>
      <c r="U2522">
        <v>-0.23513790000000001</v>
      </c>
      <c r="V2522">
        <v>6.8693540000000003E-3</v>
      </c>
      <c r="W2522">
        <v>3.647073E-2</v>
      </c>
      <c r="X2522">
        <v>0.99931110000000001</v>
      </c>
      <c r="Y2522">
        <v>-7.9189129999999996E-2</v>
      </c>
      <c r="Z2522">
        <v>-5.4768530000000001E-4</v>
      </c>
      <c r="AA2522">
        <v>0.99685939999999995</v>
      </c>
      <c r="AB2522">
        <v>27</v>
      </c>
      <c r="AC2522">
        <v>-82.307599999999894</v>
      </c>
      <c r="AD2522">
        <v>-1.110040878652</v>
      </c>
      <c r="AE2522">
        <v>-6.4558999999999802</v>
      </c>
      <c r="AF2522">
        <v>-6.5501654486389898</v>
      </c>
      <c r="AG2522">
        <v>-1.110040878652</v>
      </c>
      <c r="AH2522">
        <v>82.285182637833103</v>
      </c>
      <c r="AI2522">
        <v>90.770445886554796</v>
      </c>
      <c r="AJ2522">
        <v>94.551331267415307</v>
      </c>
      <c r="AK2522">
        <v>82.552941436985606</v>
      </c>
      <c r="AL2522">
        <v>87.909917554832404</v>
      </c>
      <c r="AM2522">
        <v>89.606149883669005</v>
      </c>
      <c r="AN2522">
        <v>0.99999998837715998</v>
      </c>
    </row>
    <row r="2523" spans="1:40" x14ac:dyDescent="0.25">
      <c r="A2523" t="str">
        <f>"20190312160343353"</f>
        <v>20190312160343353</v>
      </c>
      <c r="B2523" t="str">
        <f>"1552377823347148"</f>
        <v>1552377823347148</v>
      </c>
      <c r="C2523" t="s">
        <v>40</v>
      </c>
      <c r="D2523">
        <v>5.0610759999999999</v>
      </c>
      <c r="E2523">
        <v>0.47258990000000001</v>
      </c>
      <c r="F2523" t="s">
        <v>59</v>
      </c>
      <c r="G2523">
        <v>-492.17169999999999</v>
      </c>
      <c r="H2523" s="1">
        <v>3.1772050000000002E-6</v>
      </c>
      <c r="I2523">
        <v>280.01609999999999</v>
      </c>
      <c r="J2523">
        <v>-415.03469999999999</v>
      </c>
      <c r="K2523">
        <v>1.1100449999999999</v>
      </c>
      <c r="L2523">
        <v>285.3236</v>
      </c>
      <c r="M2523">
        <v>-0.99992309999999995</v>
      </c>
      <c r="N2523">
        <v>0</v>
      </c>
      <c r="O2523">
        <v>1.1590859999999999E-3</v>
      </c>
      <c r="P2523">
        <v>-0.99967360000000005</v>
      </c>
      <c r="Q2523">
        <v>2.4302939999999999E-2</v>
      </c>
      <c r="R2523">
        <v>7.8821399999999993E-3</v>
      </c>
      <c r="S2523">
        <v>-3.0036320000000001</v>
      </c>
      <c r="T2523">
        <v>-4.3135050000000001E-2</v>
      </c>
      <c r="U2523">
        <v>-0.2062378</v>
      </c>
      <c r="V2523">
        <v>6.7249569999999897E-3</v>
      </c>
      <c r="W2523">
        <v>3.6648E-2</v>
      </c>
      <c r="X2523">
        <v>0.99930560000000002</v>
      </c>
      <c r="Y2523">
        <v>-6.9650660000000003E-2</v>
      </c>
      <c r="Z2523">
        <v>-5.1613820000000004E-4</v>
      </c>
      <c r="AA2523">
        <v>0.99757130000000005</v>
      </c>
      <c r="AB2523">
        <v>27</v>
      </c>
      <c r="AC2523">
        <v>-77.137</v>
      </c>
      <c r="AD2523">
        <v>-1.110041822795</v>
      </c>
      <c r="AE2523">
        <v>-5.3075000000000001</v>
      </c>
      <c r="AF2523">
        <v>-5.3957995312481604</v>
      </c>
      <c r="AG2523">
        <v>-1.110041822795</v>
      </c>
      <c r="AH2523">
        <v>77.114901599298193</v>
      </c>
      <c r="AI2523">
        <v>90.822684424565097</v>
      </c>
      <c r="AJ2523">
        <v>94.002514102411595</v>
      </c>
      <c r="AK2523">
        <v>77.311415031023898</v>
      </c>
      <c r="AL2523">
        <v>87.899753944025903</v>
      </c>
      <c r="AM2523">
        <v>89.614426420696006</v>
      </c>
      <c r="AN2523">
        <v>0.99999999157100505</v>
      </c>
    </row>
    <row r="2524" spans="1:40" x14ac:dyDescent="0.25">
      <c r="A2524" t="str">
        <f>"20190312160343364"</f>
        <v>20190312160343364</v>
      </c>
      <c r="B2524" t="str">
        <f>"1552377823356908"</f>
        <v>1552377823356908</v>
      </c>
      <c r="C2524" t="s">
        <v>40</v>
      </c>
      <c r="D2524">
        <v>4.9674740000000002</v>
      </c>
      <c r="E2524">
        <v>0.47359420000000002</v>
      </c>
      <c r="F2524" t="s">
        <v>59</v>
      </c>
      <c r="G2524">
        <v>-476.72980000000001</v>
      </c>
      <c r="H2524" s="1">
        <v>3.3307199999999901E-6</v>
      </c>
      <c r="I2524">
        <v>281.19619999999998</v>
      </c>
      <c r="J2524">
        <v>-415.1927</v>
      </c>
      <c r="K2524">
        <v>1.110044</v>
      </c>
      <c r="L2524">
        <v>285.32380000000001</v>
      </c>
      <c r="M2524">
        <v>-0.99992309999999995</v>
      </c>
      <c r="N2524">
        <v>0</v>
      </c>
      <c r="O2524">
        <v>1.1584200000000001E-3</v>
      </c>
      <c r="P2524">
        <v>-0.99967079999999997</v>
      </c>
      <c r="Q2524">
        <v>2.4574269999999999E-2</v>
      </c>
      <c r="R2524">
        <v>7.3734309999999997E-3</v>
      </c>
      <c r="S2524">
        <v>-3.003876</v>
      </c>
      <c r="T2524">
        <v>-5.4046869999999997E-2</v>
      </c>
      <c r="U2524">
        <v>-0.20095830000000001</v>
      </c>
      <c r="V2524">
        <v>6.2169460000000001E-3</v>
      </c>
      <c r="W2524">
        <v>3.6919130000000001E-2</v>
      </c>
      <c r="X2524">
        <v>0.99929889999999999</v>
      </c>
      <c r="Y2524">
        <v>-6.7895200000000003E-2</v>
      </c>
      <c r="Z2524">
        <v>-6.3088659999999998E-4</v>
      </c>
      <c r="AA2524">
        <v>0.99769229999999998</v>
      </c>
      <c r="AB2524">
        <v>27</v>
      </c>
      <c r="AC2524">
        <v>-61.537100000000002</v>
      </c>
      <c r="AD2524">
        <v>-1.11004066927999</v>
      </c>
      <c r="AE2524">
        <v>-4.1276000000000197</v>
      </c>
      <c r="AF2524">
        <v>-4.1975287569616899</v>
      </c>
      <c r="AG2524">
        <v>-1.11004066927999</v>
      </c>
      <c r="AH2524">
        <v>61.512351010598998</v>
      </c>
      <c r="AI2524">
        <v>91.031438819719696</v>
      </c>
      <c r="AJ2524">
        <v>93.903743198227204</v>
      </c>
      <c r="AK2524">
        <v>61.665393575360497</v>
      </c>
      <c r="AL2524">
        <v>87.884208798938801</v>
      </c>
      <c r="AM2524">
        <v>89.643549921078204</v>
      </c>
      <c r="AN2524">
        <v>0.99999998205936602</v>
      </c>
    </row>
    <row r="2525" spans="1:40" x14ac:dyDescent="0.25">
      <c r="A2525" t="str">
        <f>"20190312160343382"</f>
        <v>20190312160343382</v>
      </c>
      <c r="B2525" t="str">
        <f>"1552377823377404"</f>
        <v>1552377823377404</v>
      </c>
      <c r="C2525" t="s">
        <v>40</v>
      </c>
      <c r="D2525">
        <v>5.0694879999999998</v>
      </c>
      <c r="E2525">
        <v>0.47248679999999899</v>
      </c>
      <c r="F2525" t="s">
        <v>70</v>
      </c>
      <c r="G2525">
        <v>-468.06079999999997</v>
      </c>
      <c r="H2525" s="1">
        <v>2.8717290000000001E-6</v>
      </c>
      <c r="I2525">
        <v>281.89490000000001</v>
      </c>
      <c r="J2525">
        <v>-415.3897</v>
      </c>
      <c r="K2525">
        <v>1.11005</v>
      </c>
      <c r="L2525">
        <v>285.32400000000001</v>
      </c>
      <c r="M2525">
        <v>-0.99992309999999995</v>
      </c>
      <c r="N2525">
        <v>0</v>
      </c>
      <c r="O2525">
        <v>1.157574E-3</v>
      </c>
      <c r="P2525">
        <v>-0.99967340000000005</v>
      </c>
      <c r="Q2525">
        <v>2.4427310000000001E-2</v>
      </c>
      <c r="R2525">
        <v>7.5106490000000003E-3</v>
      </c>
      <c r="S2525">
        <v>-3.0039370000000001</v>
      </c>
      <c r="T2525">
        <v>-6.3071970000000005E-2</v>
      </c>
      <c r="U2525">
        <v>-0.1948242</v>
      </c>
      <c r="V2525">
        <v>6.3549979999999997E-3</v>
      </c>
      <c r="W2525">
        <v>3.6772369999999999E-2</v>
      </c>
      <c r="X2525">
        <v>0.99930350000000001</v>
      </c>
      <c r="Y2525">
        <v>-6.5860810000000006E-2</v>
      </c>
      <c r="Z2525">
        <v>-7.1489860000000004E-4</v>
      </c>
      <c r="AA2525">
        <v>0.99782850000000001</v>
      </c>
      <c r="AB2525">
        <v>27</v>
      </c>
      <c r="AC2525">
        <v>-52.671099999999903</v>
      </c>
      <c r="AD2525">
        <v>-1.1100471282709901</v>
      </c>
      <c r="AE2525">
        <v>-3.4291</v>
      </c>
      <c r="AF2525">
        <v>-3.48853012537454</v>
      </c>
      <c r="AG2525">
        <v>-1.1100471282709901</v>
      </c>
      <c r="AH2525">
        <v>52.643811453196903</v>
      </c>
      <c r="AI2525">
        <v>91.205316740679805</v>
      </c>
      <c r="AJ2525">
        <v>93.791257564491104</v>
      </c>
      <c r="AK2525">
        <v>52.770947796892699</v>
      </c>
      <c r="AL2525">
        <v>87.892623361774696</v>
      </c>
      <c r="AM2525">
        <v>89.635636565079807</v>
      </c>
      <c r="AN2525">
        <v>1.0000000391536199</v>
      </c>
    </row>
    <row r="2526" spans="1:40" x14ac:dyDescent="0.25">
      <c r="A2526" t="str">
        <f>"20190312160343395"</f>
        <v>20190312160343395</v>
      </c>
      <c r="B2526" t="str">
        <f>"1552377823387165"</f>
        <v>1552377823387165</v>
      </c>
      <c r="C2526" t="s">
        <v>40</v>
      </c>
      <c r="D2526">
        <v>4.9756809999999998</v>
      </c>
      <c r="E2526">
        <v>0.4721823</v>
      </c>
      <c r="F2526" t="s">
        <v>59</v>
      </c>
      <c r="G2526">
        <v>-470.68700000000001</v>
      </c>
      <c r="H2526" s="1">
        <v>6.04440399999999E-6</v>
      </c>
      <c r="I2526">
        <v>281.58429999999998</v>
      </c>
      <c r="J2526">
        <v>-415.55309999999997</v>
      </c>
      <c r="K2526">
        <v>1.11005</v>
      </c>
      <c r="L2526">
        <v>285.32420000000002</v>
      </c>
      <c r="M2526">
        <v>-0.99992309999999995</v>
      </c>
      <c r="N2526">
        <v>0</v>
      </c>
      <c r="O2526">
        <v>1.156851E-3</v>
      </c>
      <c r="P2526">
        <v>-0.9996737</v>
      </c>
      <c r="Q2526">
        <v>2.4364130000000001E-2</v>
      </c>
      <c r="R2526">
        <v>7.6677489999999997E-3</v>
      </c>
      <c r="S2526">
        <v>-3.0039370000000001</v>
      </c>
      <c r="T2526">
        <v>-6.0301420000000001E-2</v>
      </c>
      <c r="U2526">
        <v>-0.20315549999999999</v>
      </c>
      <c r="V2526">
        <v>6.512515E-3</v>
      </c>
      <c r="W2526">
        <v>3.6708989999999997E-2</v>
      </c>
      <c r="X2526">
        <v>0.99930479999999999</v>
      </c>
      <c r="Y2526">
        <v>-6.8615889999999999E-2</v>
      </c>
      <c r="Z2526">
        <v>-7.1104339999999999E-4</v>
      </c>
      <c r="AA2526">
        <v>0.9976429</v>
      </c>
      <c r="AB2526">
        <v>27</v>
      </c>
      <c r="AC2526">
        <v>-55.133899999999898</v>
      </c>
      <c r="AD2526">
        <v>-1.110043955596</v>
      </c>
      <c r="AE2526">
        <v>-3.7399000000000302</v>
      </c>
      <c r="AF2526">
        <v>-3.8021498795045598</v>
      </c>
      <c r="AG2526">
        <v>-1.110043955596</v>
      </c>
      <c r="AH2526">
        <v>55.107300180098903</v>
      </c>
      <c r="AI2526">
        <v>91.151234978580106</v>
      </c>
      <c r="AJ2526">
        <v>93.946889925464603</v>
      </c>
      <c r="AK2526">
        <v>55.249462209410702</v>
      </c>
      <c r="AL2526">
        <v>87.896257187708102</v>
      </c>
      <c r="AM2526">
        <v>89.626606075541005</v>
      </c>
      <c r="AN2526">
        <v>1.00000002305074</v>
      </c>
    </row>
    <row r="2527" spans="1:40" x14ac:dyDescent="0.25">
      <c r="A2527" t="str">
        <f>"20190312160343415"</f>
        <v>20190312160343415</v>
      </c>
      <c r="B2527" t="str">
        <f>"1552377823406684"</f>
        <v>1552377823406684</v>
      </c>
      <c r="C2527" t="s">
        <v>40</v>
      </c>
      <c r="D2527">
        <v>4.6415759999999997</v>
      </c>
      <c r="E2527">
        <v>0.47262009999999999</v>
      </c>
      <c r="F2527" t="s">
        <v>70</v>
      </c>
      <c r="G2527">
        <v>-464.21820000000002</v>
      </c>
      <c r="H2527" s="1">
        <v>8.2245530000000002E-7</v>
      </c>
      <c r="I2527">
        <v>281.99619999999999</v>
      </c>
      <c r="J2527">
        <v>-415.79340000000002</v>
      </c>
      <c r="K2527">
        <v>1.110052</v>
      </c>
      <c r="L2527">
        <v>285.32440000000003</v>
      </c>
      <c r="M2527">
        <v>-0.99992309999999995</v>
      </c>
      <c r="N2527">
        <v>0</v>
      </c>
      <c r="O2527">
        <v>1.156186E-3</v>
      </c>
      <c r="P2527">
        <v>-0.99967680000000003</v>
      </c>
      <c r="Q2527">
        <v>2.404833E-2</v>
      </c>
      <c r="R2527">
        <v>8.2467140000000005E-3</v>
      </c>
      <c r="S2527">
        <v>-3.0042420000000001</v>
      </c>
      <c r="T2527">
        <v>-6.8526630000000005E-2</v>
      </c>
      <c r="U2527">
        <v>-0.2054443</v>
      </c>
      <c r="V2527">
        <v>7.0922509999999999E-3</v>
      </c>
      <c r="W2527">
        <v>3.6392590000000002E-2</v>
      </c>
      <c r="X2527">
        <v>0.99931239999999999</v>
      </c>
      <c r="Y2527">
        <v>-6.9360690000000003E-2</v>
      </c>
      <c r="Z2527">
        <v>-8.1637259999999998E-4</v>
      </c>
      <c r="AA2527">
        <v>0.99759129999999996</v>
      </c>
      <c r="AB2527">
        <v>27</v>
      </c>
      <c r="AC2527">
        <v>-48.424799999999998</v>
      </c>
      <c r="AD2527">
        <v>-1.1100511775447</v>
      </c>
      <c r="AE2527">
        <v>-3.32820000000003</v>
      </c>
      <c r="AF2527">
        <v>-3.38242110498995</v>
      </c>
      <c r="AG2527">
        <v>-1.1100511775447</v>
      </c>
      <c r="AH2527">
        <v>48.395608297857997</v>
      </c>
      <c r="AI2527">
        <v>91.310767837437197</v>
      </c>
      <c r="AJ2527">
        <v>93.997962400916293</v>
      </c>
      <c r="AK2527">
        <v>48.5263628213361</v>
      </c>
      <c r="AL2527">
        <v>87.914397638595304</v>
      </c>
      <c r="AM2527">
        <v>89.593371174885107</v>
      </c>
      <c r="AN2527">
        <v>0.99999999671245698</v>
      </c>
    </row>
    <row r="2528" spans="1:40" x14ac:dyDescent="0.25">
      <c r="A2528" t="str">
        <f>"20190312160343649"</f>
        <v>20190312160343649</v>
      </c>
      <c r="B2528" t="str">
        <f>"1552377823646780"</f>
        <v>1552377823646780</v>
      </c>
      <c r="C2528" t="s">
        <v>40</v>
      </c>
      <c r="D2528">
        <v>5.0123829999999998</v>
      </c>
      <c r="E2528">
        <v>0.4246646</v>
      </c>
      <c r="F2528" t="s">
        <v>70</v>
      </c>
      <c r="G2528">
        <v>-461.76839999999999</v>
      </c>
      <c r="H2528" s="1">
        <v>-4.9247390000000003E-7</v>
      </c>
      <c r="I2528">
        <v>282.25389999999999</v>
      </c>
      <c r="J2528">
        <v>-418.61059999999998</v>
      </c>
      <c r="K2528">
        <v>1.1100410000000001</v>
      </c>
      <c r="L2528">
        <v>285.32769999999999</v>
      </c>
      <c r="M2528">
        <v>-0.99992309999999995</v>
      </c>
      <c r="N2528">
        <v>0</v>
      </c>
      <c r="O2528">
        <v>1.156193E-3</v>
      </c>
      <c r="P2528">
        <v>-0.99966909999999998</v>
      </c>
      <c r="Q2528">
        <v>2.3637390000000001E-2</v>
      </c>
      <c r="R2528">
        <v>1.013825E-2</v>
      </c>
      <c r="S2528">
        <v>-3.0043639999999998</v>
      </c>
      <c r="T2528">
        <v>-7.2539450000000005E-2</v>
      </c>
      <c r="U2528">
        <v>-0.2006531</v>
      </c>
      <c r="V2528">
        <v>8.9836440000000007E-3</v>
      </c>
      <c r="W2528">
        <v>3.5979440000000001E-2</v>
      </c>
      <c r="X2528">
        <v>0.99931219999999998</v>
      </c>
      <c r="Y2528">
        <v>-6.7772429999999995E-2</v>
      </c>
      <c r="Z2528">
        <v>-8.4502660000000001E-4</v>
      </c>
      <c r="AA2528">
        <v>0.99770049999999999</v>
      </c>
      <c r="AB2528">
        <v>27</v>
      </c>
      <c r="AC2528">
        <v>-43.157800000000002</v>
      </c>
      <c r="AD2528">
        <v>-1.1100414924738999</v>
      </c>
      <c r="AE2528">
        <v>-3.0737999999999999</v>
      </c>
      <c r="AF2528">
        <v>-3.1216458069941799</v>
      </c>
      <c r="AG2528">
        <v>-1.1100414924738999</v>
      </c>
      <c r="AH2528">
        <v>43.1258312555698</v>
      </c>
      <c r="AI2528">
        <v>91.470598786589505</v>
      </c>
      <c r="AJ2528">
        <v>94.140111095854607</v>
      </c>
      <c r="AK2528">
        <v>43.2529095685275</v>
      </c>
      <c r="AL2528">
        <v>87.938085012531204</v>
      </c>
      <c r="AM2528">
        <v>89.484934717751003</v>
      </c>
      <c r="AN2528">
        <v>1.0000000495155299</v>
      </c>
    </row>
    <row r="2529" spans="1:40" x14ac:dyDescent="0.25">
      <c r="A2529" t="str">
        <f>"20190312160343661"</f>
        <v>20190312160343661</v>
      </c>
      <c r="B2529" t="str">
        <f>"1552377823657515"</f>
        <v>1552377823657515</v>
      </c>
      <c r="C2529" t="s">
        <v>40</v>
      </c>
      <c r="D2529">
        <v>5.824999</v>
      </c>
      <c r="E2529">
        <v>0.42865609999999998</v>
      </c>
      <c r="F2529" t="s">
        <v>59</v>
      </c>
      <c r="G2529">
        <v>-489.24970000000002</v>
      </c>
      <c r="H2529" s="1">
        <v>7.0674449999999895E-7</v>
      </c>
      <c r="I2529">
        <v>271.79329999999999</v>
      </c>
      <c r="J2529">
        <v>-418.7602</v>
      </c>
      <c r="K2529">
        <v>1.1100399999999999</v>
      </c>
      <c r="L2529">
        <v>285.3279</v>
      </c>
      <c r="M2529">
        <v>-0.99992309999999995</v>
      </c>
      <c r="N2529">
        <v>0</v>
      </c>
      <c r="O2529">
        <v>1.156015E-3</v>
      </c>
      <c r="P2529">
        <v>-0.99966900000000003</v>
      </c>
      <c r="Q2529">
        <v>2.3715819999999999E-2</v>
      </c>
      <c r="R2529">
        <v>9.9710730000000004E-3</v>
      </c>
      <c r="S2529">
        <v>-3.007965</v>
      </c>
      <c r="T2529">
        <v>-4.7267910000000003E-2</v>
      </c>
      <c r="U2529">
        <v>-0.57632450000000002</v>
      </c>
      <c r="V2529">
        <v>8.816763E-3</v>
      </c>
      <c r="W2529">
        <v>3.6057579999999999E-2</v>
      </c>
      <c r="X2529">
        <v>0.99931080000000005</v>
      </c>
      <c r="Y2529">
        <v>-0.18928919999999999</v>
      </c>
      <c r="Z2529">
        <v>-1.4917789999999999E-3</v>
      </c>
      <c r="AA2529">
        <v>0.98192020000000002</v>
      </c>
      <c r="AB2529">
        <v>27</v>
      </c>
      <c r="AC2529">
        <v>-70.489500000000007</v>
      </c>
      <c r="AD2529">
        <v>-1.1100392932555001</v>
      </c>
      <c r="AE2529">
        <v>-13.534599999999999</v>
      </c>
      <c r="AF2529">
        <v>-13.6128283220027</v>
      </c>
      <c r="AG2529">
        <v>-1.1100392932555001</v>
      </c>
      <c r="AH2529">
        <v>70.456954389479193</v>
      </c>
      <c r="AI2529">
        <v>90.886225362850595</v>
      </c>
      <c r="AJ2529">
        <v>100.93524808417899</v>
      </c>
      <c r="AK2529">
        <v>71.768542579587304</v>
      </c>
      <c r="AL2529">
        <v>87.933604869224595</v>
      </c>
      <c r="AM2529">
        <v>89.494501408628395</v>
      </c>
      <c r="AN2529">
        <v>0.99999997969094701</v>
      </c>
    </row>
    <row r="2530" spans="1:40" x14ac:dyDescent="0.25">
      <c r="A2530" t="str">
        <f>"20190312160343683"</f>
        <v>20190312160343683</v>
      </c>
      <c r="B2530" t="str">
        <f>"1552377823677037"</f>
        <v>1552377823677037</v>
      </c>
      <c r="C2530" t="s">
        <v>40</v>
      </c>
      <c r="D2530">
        <v>5.2463449999999998</v>
      </c>
      <c r="E2530">
        <v>0.44147209999999998</v>
      </c>
      <c r="F2530" t="s">
        <v>70</v>
      </c>
      <c r="G2530">
        <v>-450.51589999999999</v>
      </c>
      <c r="H2530">
        <v>8.0001530000000001E-2</v>
      </c>
      <c r="I2530">
        <v>279.55040000000002</v>
      </c>
      <c r="J2530">
        <v>-419.02080000000001</v>
      </c>
      <c r="K2530">
        <v>1.1100449999999999</v>
      </c>
      <c r="L2530">
        <v>285.32810000000001</v>
      </c>
      <c r="M2530">
        <v>-0.99992320000000001</v>
      </c>
      <c r="N2530">
        <v>0</v>
      </c>
      <c r="O2530">
        <v>1.1558370000000001E-3</v>
      </c>
      <c r="P2530">
        <v>-0.99966279999999996</v>
      </c>
      <c r="Q2530">
        <v>2.416596E-2</v>
      </c>
      <c r="R2530">
        <v>9.5301229999999997E-3</v>
      </c>
      <c r="S2530">
        <v>-3.0087280000000001</v>
      </c>
      <c r="T2530">
        <v>-9.7592120000000004E-2</v>
      </c>
      <c r="U2530">
        <v>-0.54739380000000004</v>
      </c>
      <c r="V2530">
        <v>8.3760050000000006E-3</v>
      </c>
      <c r="W2530">
        <v>3.6507419999999999E-2</v>
      </c>
      <c r="X2530">
        <v>0.99929829999999997</v>
      </c>
      <c r="Y2530">
        <v>-0.1800418</v>
      </c>
      <c r="Z2530">
        <v>-2.9326159999999999E-3</v>
      </c>
      <c r="AA2530">
        <v>0.98365460000000005</v>
      </c>
      <c r="AB2530">
        <v>27</v>
      </c>
      <c r="AC2530">
        <v>-31.495099999999901</v>
      </c>
      <c r="AD2530">
        <v>-1.0300434700000001</v>
      </c>
      <c r="AE2530">
        <v>-5.7776999999999799</v>
      </c>
      <c r="AF2530">
        <v>-5.8080919840410701</v>
      </c>
      <c r="AG2530">
        <v>-1.0300434700000001</v>
      </c>
      <c r="AH2530">
        <v>31.455850312082699</v>
      </c>
      <c r="AI2530">
        <v>91.844365253793896</v>
      </c>
      <c r="AJ2530">
        <v>100.461420535581</v>
      </c>
      <c r="AK2530">
        <v>32.0041472453388</v>
      </c>
      <c r="AL2530">
        <v>87.907814039601007</v>
      </c>
      <c r="AM2530">
        <v>89.519764521460203</v>
      </c>
      <c r="AN2530">
        <v>1.00000002077885</v>
      </c>
    </row>
    <row r="2531" spans="1:40" x14ac:dyDescent="0.25">
      <c r="A2531" t="str">
        <f>"20190312160343707"</f>
        <v>20190312160343707</v>
      </c>
      <c r="B2531" t="str">
        <f>"1552377823697531"</f>
        <v>1552377823697531</v>
      </c>
      <c r="C2531" t="s">
        <v>40</v>
      </c>
      <c r="D2531">
        <v>5.2557970000000003</v>
      </c>
      <c r="E2531">
        <v>0.45444659999999898</v>
      </c>
      <c r="F2531" t="s">
        <v>70</v>
      </c>
      <c r="G2531">
        <v>-452.5247</v>
      </c>
      <c r="H2531" s="1">
        <v>-6.8571349999999998E-9</v>
      </c>
      <c r="I2531">
        <v>280.3519</v>
      </c>
      <c r="J2531">
        <v>-419.29410000000001</v>
      </c>
      <c r="K2531">
        <v>1.110047</v>
      </c>
      <c r="L2531">
        <v>285.32839999999999</v>
      </c>
      <c r="M2531">
        <v>-0.99992309999999995</v>
      </c>
      <c r="N2531">
        <v>0</v>
      </c>
      <c r="O2531">
        <v>1.1560170000000001E-3</v>
      </c>
      <c r="P2531">
        <v>-0.99965899999999996</v>
      </c>
      <c r="Q2531">
        <v>2.4500149999999998E-2</v>
      </c>
      <c r="R2531">
        <v>9.0530920000000004E-3</v>
      </c>
      <c r="S2531">
        <v>-3.00766</v>
      </c>
      <c r="T2531">
        <v>-9.9649189999999999E-2</v>
      </c>
      <c r="U2531">
        <v>-0.44671630000000001</v>
      </c>
      <c r="V2531">
        <v>7.8989769999999997E-3</v>
      </c>
      <c r="W2531">
        <v>3.6841939999999997E-2</v>
      </c>
      <c r="X2531">
        <v>0.99928989999999995</v>
      </c>
      <c r="Y2531">
        <v>-0.147978</v>
      </c>
      <c r="Z2531">
        <v>-2.4754439999999998E-3</v>
      </c>
      <c r="AA2531">
        <v>0.98898759999999997</v>
      </c>
      <c r="AB2531">
        <v>27</v>
      </c>
      <c r="AC2531">
        <v>-33.230599999999903</v>
      </c>
      <c r="AD2531">
        <v>-1.11004700685713</v>
      </c>
      <c r="AE2531">
        <v>-4.9764999999999802</v>
      </c>
      <c r="AF2531">
        <v>-5.00944755495542</v>
      </c>
      <c r="AG2531">
        <v>-1.11004700685713</v>
      </c>
      <c r="AH2531">
        <v>33.188603218848399</v>
      </c>
      <c r="AI2531">
        <v>91.894196878926294</v>
      </c>
      <c r="AJ2531">
        <v>98.583363346040699</v>
      </c>
      <c r="AK2531">
        <v>33.5828848192265</v>
      </c>
      <c r="AL2531">
        <v>87.888634537120097</v>
      </c>
      <c r="AM2531">
        <v>89.547109783809006</v>
      </c>
      <c r="AN2531">
        <v>1.0000000133113101</v>
      </c>
    </row>
    <row r="2532" spans="1:40" x14ac:dyDescent="0.25">
      <c r="A2532" t="str">
        <f>"20190312160343728"</f>
        <v>20190312160343728</v>
      </c>
      <c r="B2532" t="str">
        <f>"1552377823717052"</f>
        <v>1552377823717052</v>
      </c>
      <c r="C2532" t="s">
        <v>40</v>
      </c>
      <c r="D2532">
        <v>5.1871140000000002</v>
      </c>
      <c r="E2532">
        <v>0.4596441</v>
      </c>
      <c r="F2532" t="s">
        <v>70</v>
      </c>
      <c r="G2532">
        <v>-461.46980000000002</v>
      </c>
      <c r="H2532" s="1">
        <v>-5.7513219999999897E-7</v>
      </c>
      <c r="I2532">
        <v>280.51029999999997</v>
      </c>
      <c r="J2532">
        <v>-419.55349999999999</v>
      </c>
      <c r="K2532">
        <v>1.1100460000000001</v>
      </c>
      <c r="L2532">
        <v>285.3288</v>
      </c>
      <c r="M2532">
        <v>-0.99992329999999996</v>
      </c>
      <c r="N2532">
        <v>0</v>
      </c>
      <c r="O2532">
        <v>1.1561970000000001E-3</v>
      </c>
      <c r="P2532">
        <v>-0.99966010000000005</v>
      </c>
      <c r="Q2532">
        <v>2.4417520000000002E-2</v>
      </c>
      <c r="R2532">
        <v>9.1517060000000008E-3</v>
      </c>
      <c r="S2532">
        <v>-3.0060730000000002</v>
      </c>
      <c r="T2532">
        <v>-7.911849E-2</v>
      </c>
      <c r="U2532">
        <v>-0.34341430000000001</v>
      </c>
      <c r="V2532">
        <v>7.9973170000000003E-3</v>
      </c>
      <c r="W2532">
        <v>3.6759020000000003E-2</v>
      </c>
      <c r="X2532">
        <v>0.99929210000000002</v>
      </c>
      <c r="Y2532">
        <v>-0.11461109999999999</v>
      </c>
      <c r="Z2532">
        <v>-1.5334389999999999E-3</v>
      </c>
      <c r="AA2532">
        <v>0.99340930000000005</v>
      </c>
      <c r="AB2532">
        <v>27</v>
      </c>
      <c r="AC2532">
        <v>-41.9163</v>
      </c>
      <c r="AD2532">
        <v>-1.1100465751322</v>
      </c>
      <c r="AE2532">
        <v>-4.8185000000000198</v>
      </c>
      <c r="AF2532">
        <v>-4.8635975103741904</v>
      </c>
      <c r="AG2532">
        <v>-1.1100465751322</v>
      </c>
      <c r="AH2532">
        <v>41.881711005351498</v>
      </c>
      <c r="AI2532">
        <v>91.508100699082902</v>
      </c>
      <c r="AJ2532">
        <v>96.623917820293101</v>
      </c>
      <c r="AK2532">
        <v>42.1777725926543</v>
      </c>
      <c r="AL2532">
        <v>87.893388572871402</v>
      </c>
      <c r="AM2532">
        <v>89.541472679095094</v>
      </c>
      <c r="AN2532">
        <v>0.999999941876482</v>
      </c>
    </row>
    <row r="2533" spans="1:40" x14ac:dyDescent="0.25">
      <c r="A2533" t="str">
        <f>"20190312160343741"</f>
        <v>20190312160343741</v>
      </c>
      <c r="B2533" t="str">
        <f>"1552377823737548"</f>
        <v>1552377823737548</v>
      </c>
      <c r="C2533" t="s">
        <v>40</v>
      </c>
      <c r="D2533">
        <v>5.2145580000000002</v>
      </c>
      <c r="E2533">
        <v>0.46227360000000001</v>
      </c>
      <c r="F2533" t="s">
        <v>70</v>
      </c>
      <c r="G2533">
        <v>-464.27089999999998</v>
      </c>
      <c r="H2533" s="1">
        <v>9.0085640000000005E-7</v>
      </c>
      <c r="I2533">
        <v>280.84480000000002</v>
      </c>
      <c r="J2533">
        <v>-419.71480000000003</v>
      </c>
      <c r="K2533">
        <v>1.1100449999999999</v>
      </c>
      <c r="L2533">
        <v>285.32889999999998</v>
      </c>
      <c r="M2533">
        <v>-0.99992309999999995</v>
      </c>
      <c r="N2533">
        <v>0</v>
      </c>
      <c r="O2533">
        <v>1.1561970000000001E-3</v>
      </c>
      <c r="P2533">
        <v>-0.99965939999999998</v>
      </c>
      <c r="Q2533">
        <v>2.4313970000000001E-2</v>
      </c>
      <c r="R2533">
        <v>9.5004890000000008E-3</v>
      </c>
      <c r="S2533">
        <v>-3.005646</v>
      </c>
      <c r="T2533">
        <v>-7.4610830000000003E-2</v>
      </c>
      <c r="U2533">
        <v>-0.30139159999999998</v>
      </c>
      <c r="V2533">
        <v>8.346193E-3</v>
      </c>
      <c r="W2533">
        <v>3.6655149999999997E-2</v>
      </c>
      <c r="X2533">
        <v>0.99929310000000005</v>
      </c>
      <c r="Y2533">
        <v>-0.1008941</v>
      </c>
      <c r="Z2533">
        <v>-1.2775799999999999E-3</v>
      </c>
      <c r="AA2533">
        <v>0.99489640000000001</v>
      </c>
      <c r="AB2533">
        <v>27</v>
      </c>
      <c r="AC2533">
        <v>-44.556099999999901</v>
      </c>
      <c r="AD2533">
        <v>-1.1100440991436</v>
      </c>
      <c r="AE2533">
        <v>-4.48409999999995</v>
      </c>
      <c r="AF2533">
        <v>-4.53283134123535</v>
      </c>
      <c r="AG2533">
        <v>-1.1100440991436</v>
      </c>
      <c r="AH2533">
        <v>44.523527642992001</v>
      </c>
      <c r="AI2533">
        <v>91.420839958758407</v>
      </c>
      <c r="AJ2533">
        <v>95.813114365636196</v>
      </c>
      <c r="AK2533">
        <v>44.767435392776299</v>
      </c>
      <c r="AL2533">
        <v>87.899343978043603</v>
      </c>
      <c r="AM2533">
        <v>89.521471213021101</v>
      </c>
      <c r="AN2533">
        <v>0.99999997933336204</v>
      </c>
    </row>
    <row r="2534" spans="1:40" x14ac:dyDescent="0.25">
      <c r="A2534" t="str">
        <f>"20190312160343753"</f>
        <v>20190312160343753</v>
      </c>
      <c r="B2534" t="str">
        <f>"1552377823747308"</f>
        <v>1552377823747308</v>
      </c>
      <c r="C2534" t="s">
        <v>40</v>
      </c>
      <c r="D2534">
        <v>5.2501800000000003</v>
      </c>
      <c r="E2534">
        <v>0.46328449999999999</v>
      </c>
      <c r="F2534" t="s">
        <v>70</v>
      </c>
      <c r="G2534">
        <v>-460.13839999999999</v>
      </c>
      <c r="H2534" s="1">
        <v>-1.329788E-6</v>
      </c>
      <c r="I2534">
        <v>281.56610000000001</v>
      </c>
      <c r="J2534">
        <v>-419.85539999999997</v>
      </c>
      <c r="K2534">
        <v>1.1100449999999999</v>
      </c>
      <c r="L2534">
        <v>285.32909999999998</v>
      </c>
      <c r="M2534">
        <v>-0.99992329999999996</v>
      </c>
      <c r="N2534">
        <v>0</v>
      </c>
      <c r="O2534">
        <v>1.156198E-3</v>
      </c>
      <c r="P2534">
        <v>-0.99965619999999999</v>
      </c>
      <c r="Q2534">
        <v>2.4489799999999999E-2</v>
      </c>
      <c r="R2534">
        <v>9.3742700000000005E-3</v>
      </c>
      <c r="S2534">
        <v>-3.0056759999999998</v>
      </c>
      <c r="T2534">
        <v>-8.2536940000000003E-2</v>
      </c>
      <c r="U2534">
        <v>-0.27978520000000001</v>
      </c>
      <c r="V2534">
        <v>8.2197420000000004E-3</v>
      </c>
      <c r="W2534">
        <v>3.6830509999999997E-2</v>
      </c>
      <c r="X2534">
        <v>0.9992877</v>
      </c>
      <c r="Y2534">
        <v>-9.3800679999999997E-2</v>
      </c>
      <c r="Z2534">
        <v>-1.31656E-3</v>
      </c>
      <c r="AA2534">
        <v>0.99559019999999998</v>
      </c>
      <c r="AB2534">
        <v>27</v>
      </c>
      <c r="AC2534">
        <v>-40.283000000000001</v>
      </c>
      <c r="AD2534">
        <v>-1.1100463297879899</v>
      </c>
      <c r="AE2534">
        <v>-3.7629999999999701</v>
      </c>
      <c r="AF2534">
        <v>-3.80671055264534</v>
      </c>
      <c r="AG2534">
        <v>-1.1100463297879899</v>
      </c>
      <c r="AH2534">
        <v>40.248324027028303</v>
      </c>
      <c r="AI2534">
        <v>91.572798120455502</v>
      </c>
      <c r="AJ2534">
        <v>95.402996522402603</v>
      </c>
      <c r="AK2534">
        <v>40.443180328339203</v>
      </c>
      <c r="AL2534">
        <v>87.889289800179398</v>
      </c>
      <c r="AM2534">
        <v>89.528718402120305</v>
      </c>
      <c r="AN2534">
        <v>0.99999997899834803</v>
      </c>
    </row>
    <row r="2535" spans="1:40" x14ac:dyDescent="0.25">
      <c r="A2535" t="str">
        <f>"20190312160343763"</f>
        <v>20190312160343763</v>
      </c>
      <c r="B2535" t="str">
        <f>"1552377823757068"</f>
        <v>1552377823757068</v>
      </c>
      <c r="C2535" t="s">
        <v>40</v>
      </c>
      <c r="D2535">
        <v>5.2089999999999996</v>
      </c>
      <c r="E2535">
        <v>0.46466950000000001</v>
      </c>
      <c r="F2535" t="s">
        <v>70</v>
      </c>
      <c r="G2535">
        <v>-460.9753</v>
      </c>
      <c r="H2535" s="1">
        <v>-8.8616309999999996E-7</v>
      </c>
      <c r="I2535">
        <v>281.60570000000001</v>
      </c>
      <c r="J2535">
        <v>-419.99520000000001</v>
      </c>
      <c r="K2535">
        <v>1.1100460000000001</v>
      </c>
      <c r="L2535">
        <v>285.32929999999999</v>
      </c>
      <c r="M2535">
        <v>-0.99992309999999995</v>
      </c>
      <c r="N2535">
        <v>0</v>
      </c>
      <c r="O2535">
        <v>1.1561989999999999E-3</v>
      </c>
      <c r="P2535">
        <v>-0.99965309999999996</v>
      </c>
      <c r="Q2535">
        <v>2.4581749999999999E-2</v>
      </c>
      <c r="R2535">
        <v>9.4609199999999994E-3</v>
      </c>
      <c r="S2535">
        <v>-3.005585</v>
      </c>
      <c r="T2535">
        <v>-8.1136699999999895E-2</v>
      </c>
      <c r="U2535">
        <v>-0.2721558</v>
      </c>
      <c r="V2535">
        <v>8.3065380000000005E-3</v>
      </c>
      <c r="W2535">
        <v>3.6922950000000003E-2</v>
      </c>
      <c r="X2535">
        <v>0.99928360000000005</v>
      </c>
      <c r="Y2535">
        <v>-9.1299179999999994E-2</v>
      </c>
      <c r="Z2535">
        <v>-1.2607320000000001E-3</v>
      </c>
      <c r="AA2535">
        <v>0.99582269999999995</v>
      </c>
      <c r="AB2535">
        <v>27</v>
      </c>
      <c r="AC2535">
        <v>-40.980099999999901</v>
      </c>
      <c r="AD2535">
        <v>-1.1100468861631001</v>
      </c>
      <c r="AE2535">
        <v>-3.72359999999997</v>
      </c>
      <c r="AF2535">
        <v>-3.7682400410959902</v>
      </c>
      <c r="AG2535">
        <v>-1.1100468861631001</v>
      </c>
      <c r="AH2535">
        <v>40.945969756293302</v>
      </c>
      <c r="AI2535">
        <v>91.5463790374192</v>
      </c>
      <c r="AJ2535">
        <v>95.258095024483495</v>
      </c>
      <c r="AK2535">
        <v>41.133979583552097</v>
      </c>
      <c r="AL2535">
        <v>87.883989834683803</v>
      </c>
      <c r="AM2535">
        <v>89.523740199113405</v>
      </c>
      <c r="AN2535">
        <v>1.0000000080196001</v>
      </c>
    </row>
    <row r="2536" spans="1:40" x14ac:dyDescent="0.25">
      <c r="A2536" t="str">
        <f>"20190312160343776"</f>
        <v>20190312160343776</v>
      </c>
      <c r="B2536" t="str">
        <f>"1552377823766828"</f>
        <v>1552377823766828</v>
      </c>
      <c r="C2536" t="s">
        <v>40</v>
      </c>
      <c r="D2536">
        <v>5.2735519999999996</v>
      </c>
      <c r="E2536">
        <v>0.46587149999999999</v>
      </c>
      <c r="F2536" t="s">
        <v>70</v>
      </c>
      <c r="G2536">
        <v>-460.72930000000002</v>
      </c>
      <c r="H2536" s="1">
        <v>-1.0253449999999999E-6</v>
      </c>
      <c r="I2536">
        <v>281.79419999999999</v>
      </c>
      <c r="J2536">
        <v>-420.13600000000002</v>
      </c>
      <c r="K2536">
        <v>1.1100540000000001</v>
      </c>
      <c r="L2536">
        <v>285.32940000000002</v>
      </c>
      <c r="M2536">
        <v>-0.99992320000000001</v>
      </c>
      <c r="N2536">
        <v>0</v>
      </c>
      <c r="O2536">
        <v>1.1561989999999999E-3</v>
      </c>
      <c r="P2536">
        <v>-0.99963979999999997</v>
      </c>
      <c r="Q2536">
        <v>2.5110529999999999E-2</v>
      </c>
      <c r="R2536">
        <v>9.4821079999999995E-3</v>
      </c>
      <c r="S2536">
        <v>-3.0055239999999999</v>
      </c>
      <c r="T2536">
        <v>-8.1903820000000002E-2</v>
      </c>
      <c r="U2536">
        <v>-0.2608337</v>
      </c>
      <c r="V2536">
        <v>8.3277850000000007E-3</v>
      </c>
      <c r="W2536">
        <v>3.7451390000000001E-2</v>
      </c>
      <c r="X2536">
        <v>0.99926380000000004</v>
      </c>
      <c r="Y2536">
        <v>-8.7579009999999999E-2</v>
      </c>
      <c r="Z2536">
        <v>-1.222299E-3</v>
      </c>
      <c r="AA2536">
        <v>0.99615679999999995</v>
      </c>
      <c r="AB2536">
        <v>27</v>
      </c>
      <c r="AC2536">
        <v>-40.593299999999999</v>
      </c>
      <c r="AD2536">
        <v>-1.1100550253449999</v>
      </c>
      <c r="AE2536">
        <v>-3.5352000000000299</v>
      </c>
      <c r="AF2536">
        <v>-3.5794785890200198</v>
      </c>
      <c r="AG2536">
        <v>-1.1100550253449999</v>
      </c>
      <c r="AH2536">
        <v>40.559083735412997</v>
      </c>
      <c r="AI2536">
        <v>91.561660784957596</v>
      </c>
      <c r="AJ2536">
        <v>95.043482614566798</v>
      </c>
      <c r="AK2536">
        <v>40.731856851668198</v>
      </c>
      <c r="AL2536">
        <v>87.853691586826898</v>
      </c>
      <c r="AM2536">
        <v>89.522512586737903</v>
      </c>
      <c r="AN2536">
        <v>1.0000000503031801</v>
      </c>
    </row>
    <row r="2537" spans="1:40" x14ac:dyDescent="0.25">
      <c r="A2537" t="str">
        <f>"20190312160343789"</f>
        <v>20190312160343789</v>
      </c>
      <c r="B2537" t="str">
        <f>"1552377823777565"</f>
        <v>1552377823777565</v>
      </c>
      <c r="C2537" t="s">
        <v>40</v>
      </c>
      <c r="D2537">
        <v>5.0605900000000004</v>
      </c>
      <c r="E2537">
        <v>0.46681270000000002</v>
      </c>
      <c r="F2537" t="s">
        <v>70</v>
      </c>
      <c r="G2537">
        <v>-463.16860000000003</v>
      </c>
      <c r="H2537" s="1">
        <v>2.7516339999999998E-7</v>
      </c>
      <c r="I2537">
        <v>281.73930000000001</v>
      </c>
      <c r="J2537">
        <v>-420.28480000000002</v>
      </c>
      <c r="K2537">
        <v>1.1100540000000001</v>
      </c>
      <c r="L2537">
        <v>285.32960000000003</v>
      </c>
      <c r="M2537">
        <v>-0.99992329999999996</v>
      </c>
      <c r="N2537">
        <v>0</v>
      </c>
      <c r="O2537">
        <v>1.1562E-3</v>
      </c>
      <c r="P2537">
        <v>-0.99964229999999998</v>
      </c>
      <c r="Q2537">
        <v>2.5102429999999998E-2</v>
      </c>
      <c r="R2537">
        <v>9.2459340000000008E-3</v>
      </c>
      <c r="S2537">
        <v>-3.0054319999999999</v>
      </c>
      <c r="T2537">
        <v>-7.7526929999999994E-2</v>
      </c>
      <c r="U2537">
        <v>-0.25073240000000002</v>
      </c>
      <c r="V2537">
        <v>8.0914490000000006E-3</v>
      </c>
      <c r="W2537">
        <v>3.7443299999999999E-2</v>
      </c>
      <c r="X2537">
        <v>0.99926599999999999</v>
      </c>
      <c r="Y2537">
        <v>-8.4261619999999995E-2</v>
      </c>
      <c r="Z2537">
        <v>-1.114496E-3</v>
      </c>
      <c r="AA2537">
        <v>0.99644299999999997</v>
      </c>
      <c r="AB2537">
        <v>27</v>
      </c>
      <c r="AC2537">
        <v>-42.883800000000001</v>
      </c>
      <c r="AD2537">
        <v>-1.1100537248366</v>
      </c>
      <c r="AE2537">
        <v>-3.5903000000000098</v>
      </c>
      <c r="AF2537">
        <v>-3.6374633339592299</v>
      </c>
      <c r="AG2537">
        <v>-1.1100537248366</v>
      </c>
      <c r="AH2537">
        <v>42.851107756649299</v>
      </c>
      <c r="AI2537">
        <v>91.478594468636601</v>
      </c>
      <c r="AJ2537">
        <v>94.851983567797802</v>
      </c>
      <c r="AK2537">
        <v>43.019539685471898</v>
      </c>
      <c r="AL2537">
        <v>87.854155338835398</v>
      </c>
      <c r="AM2537">
        <v>89.536063725063997</v>
      </c>
      <c r="AN2537">
        <v>1.0000000055089</v>
      </c>
    </row>
    <row r="2538" spans="1:40" x14ac:dyDescent="0.25">
      <c r="A2538" t="str">
        <f>"20190312160343840"</f>
        <v>20190312160343840</v>
      </c>
      <c r="B2538" t="str">
        <f>"1552377823837101"</f>
        <v>1552377823837101</v>
      </c>
      <c r="C2538" t="s">
        <v>40</v>
      </c>
      <c r="D2538">
        <v>4.0582659999999997</v>
      </c>
      <c r="E2538">
        <v>0.46681270000000002</v>
      </c>
      <c r="F2538" t="s">
        <v>70</v>
      </c>
      <c r="G2538">
        <v>-458.38</v>
      </c>
      <c r="H2538" s="1">
        <v>3.026885E-6</v>
      </c>
      <c r="I2538">
        <v>282.23090000000002</v>
      </c>
      <c r="J2538">
        <v>-420.90050000000002</v>
      </c>
      <c r="K2538">
        <v>1.1100559999999999</v>
      </c>
      <c r="L2538">
        <v>285.33030000000002</v>
      </c>
      <c r="M2538">
        <v>-0.99992320000000001</v>
      </c>
      <c r="N2538">
        <v>0</v>
      </c>
      <c r="O2538">
        <v>1.15638E-3</v>
      </c>
      <c r="P2538">
        <v>-0.99963360000000001</v>
      </c>
      <c r="Q2538">
        <v>2.5528889999999999E-2</v>
      </c>
      <c r="R2538">
        <v>9.0171959999999999E-3</v>
      </c>
      <c r="S2538">
        <v>-3.0055540000000001</v>
      </c>
      <c r="T2538">
        <v>-8.7578539999999996E-2</v>
      </c>
      <c r="U2538">
        <v>-0.24447630000000001</v>
      </c>
      <c r="V2538">
        <v>7.8627609999999994E-3</v>
      </c>
      <c r="W2538">
        <v>3.7869279999999998E-2</v>
      </c>
      <c r="X2538">
        <v>0.99925180000000002</v>
      </c>
      <c r="Y2538">
        <v>-8.2191219999999995E-2</v>
      </c>
      <c r="Z2538">
        <v>-1.2288900000000001E-3</v>
      </c>
      <c r="AA2538">
        <v>0.99661580000000005</v>
      </c>
      <c r="AB2538">
        <v>27</v>
      </c>
      <c r="AC2538">
        <v>-37.479499999999902</v>
      </c>
      <c r="AD2538">
        <v>-1.110052973115</v>
      </c>
      <c r="AE2538">
        <v>-3.0994000000000002</v>
      </c>
      <c r="AF2538">
        <v>-3.14000605892041</v>
      </c>
      <c r="AG2538">
        <v>-1.110052973115</v>
      </c>
      <c r="AH2538">
        <v>37.443268344313601</v>
      </c>
      <c r="AI2538">
        <v>91.692172108040793</v>
      </c>
      <c r="AJ2538">
        <v>94.793628678570798</v>
      </c>
      <c r="AK2538">
        <v>37.5910920293286</v>
      </c>
      <c r="AL2538">
        <v>87.829731218591107</v>
      </c>
      <c r="AM2538">
        <v>89.5491689649797</v>
      </c>
      <c r="AN2538">
        <v>1.0000000325907501</v>
      </c>
    </row>
    <row r="2539" spans="1:40" x14ac:dyDescent="0.25">
      <c r="A2539" t="str">
        <f>"20190312160343862"</f>
        <v>20190312160343862</v>
      </c>
      <c r="B2539" t="str">
        <f>"1552377823856620"</f>
        <v>1552377823856620</v>
      </c>
      <c r="C2539" t="s">
        <v>40</v>
      </c>
      <c r="D2539">
        <v>5.4859819999999999</v>
      </c>
      <c r="E2539">
        <v>0.53266499999999894</v>
      </c>
      <c r="F2539" t="s">
        <v>70</v>
      </c>
      <c r="G2539">
        <v>-459.74400000000003</v>
      </c>
      <c r="H2539" s="1">
        <v>3.755902E-6</v>
      </c>
      <c r="I2539">
        <v>282.1592</v>
      </c>
      <c r="J2539">
        <v>-421.16370000000001</v>
      </c>
      <c r="K2539">
        <v>1.110052</v>
      </c>
      <c r="L2539">
        <v>285.3306</v>
      </c>
      <c r="M2539">
        <v>-0.99992320000000001</v>
      </c>
      <c r="N2539">
        <v>0</v>
      </c>
      <c r="O2539">
        <v>1.1563809999999999E-3</v>
      </c>
      <c r="P2539">
        <v>-0.99963250000000003</v>
      </c>
      <c r="Q2539">
        <v>2.5634710000000002E-2</v>
      </c>
      <c r="R2539">
        <v>8.8407160000000002E-3</v>
      </c>
      <c r="S2539">
        <v>-3.005493</v>
      </c>
      <c r="T2539">
        <v>-8.5889460000000001E-2</v>
      </c>
      <c r="U2539">
        <v>-0.2453613</v>
      </c>
      <c r="V2539">
        <v>7.6863039999999997E-3</v>
      </c>
      <c r="W2539">
        <v>3.797507E-2</v>
      </c>
      <c r="X2539">
        <v>0.9992491</v>
      </c>
      <c r="Y2539">
        <v>-8.2485589999999998E-2</v>
      </c>
      <c r="Z2539">
        <v>-1.209407E-3</v>
      </c>
      <c r="AA2539">
        <v>0.99659149999999996</v>
      </c>
      <c r="AB2539">
        <v>27</v>
      </c>
      <c r="AC2539">
        <v>-38.580300000000001</v>
      </c>
      <c r="AD2539">
        <v>-1.110048244098</v>
      </c>
      <c r="AE2539">
        <v>-3.1714000000000002</v>
      </c>
      <c r="AF2539">
        <v>-3.2133724612573098</v>
      </c>
      <c r="AG2539">
        <v>-1.110048244098</v>
      </c>
      <c r="AH2539">
        <v>38.544911280885202</v>
      </c>
      <c r="AI2539">
        <v>91.643895774726303</v>
      </c>
      <c r="AJ2539">
        <v>94.765555631434694</v>
      </c>
      <c r="AK2539">
        <v>38.694549426635</v>
      </c>
      <c r="AL2539">
        <v>87.823665408780002</v>
      </c>
      <c r="AM2539">
        <v>89.559284973257405</v>
      </c>
      <c r="AN2539">
        <v>0.99999997453074696</v>
      </c>
    </row>
    <row r="2540" spans="1:40" x14ac:dyDescent="0.25">
      <c r="A2540" t="str">
        <f>"20190312160343879"</f>
        <v>20190312160343879</v>
      </c>
      <c r="B2540" t="str">
        <f>"1552377823867356"</f>
        <v>1552377823867356</v>
      </c>
      <c r="C2540" t="s">
        <v>40</v>
      </c>
      <c r="D2540">
        <v>5.3380330000000002</v>
      </c>
      <c r="E2540">
        <v>0.48752889999999999</v>
      </c>
      <c r="F2540" t="s">
        <v>49</v>
      </c>
      <c r="G2540">
        <v>-421.87889999999999</v>
      </c>
      <c r="H2540">
        <v>0.87699649999999996</v>
      </c>
      <c r="I2540">
        <v>285.38749999999999</v>
      </c>
      <c r="J2540">
        <v>-421.36180000000002</v>
      </c>
      <c r="K2540">
        <v>1.1100540000000001</v>
      </c>
      <c r="L2540">
        <v>285.33080000000001</v>
      </c>
      <c r="M2540">
        <v>-0.99992329999999996</v>
      </c>
      <c r="N2540">
        <v>0</v>
      </c>
      <c r="O2540">
        <v>1.156203E-3</v>
      </c>
      <c r="P2540">
        <v>-0.99963250000000003</v>
      </c>
      <c r="Q2540">
        <v>2.5651719999999999E-2</v>
      </c>
      <c r="R2540">
        <v>8.7790479999999994E-3</v>
      </c>
      <c r="S2540">
        <v>-3.024292</v>
      </c>
      <c r="T2540">
        <v>-0.98549880000000001</v>
      </c>
      <c r="U2540">
        <v>0.23928830000000001</v>
      </c>
      <c r="V2540">
        <v>7.6246279999999996E-3</v>
      </c>
      <c r="W2540">
        <v>3.7991740000000003E-2</v>
      </c>
      <c r="X2540">
        <v>0.99924900000000005</v>
      </c>
      <c r="Y2540">
        <v>7.3977080000000001E-2</v>
      </c>
      <c r="Z2540">
        <v>1.136535E-2</v>
      </c>
      <c r="AA2540">
        <v>0.99719519999999995</v>
      </c>
      <c r="AB2540">
        <v>27</v>
      </c>
      <c r="AC2540">
        <v>-0.51709999999997003</v>
      </c>
      <c r="AD2540">
        <v>-0.2330575</v>
      </c>
      <c r="AE2540">
        <v>5.66999999999779E-2</v>
      </c>
      <c r="AF2540">
        <v>4.6723740933574502E-2</v>
      </c>
      <c r="AG2540">
        <v>-0.2330575</v>
      </c>
      <c r="AH2540">
        <v>0.43071324719049803</v>
      </c>
      <c r="AI2540">
        <v>118.27761664643999</v>
      </c>
      <c r="AJ2540">
        <v>83.808768285836507</v>
      </c>
      <c r="AK2540">
        <v>0.491947972430481</v>
      </c>
      <c r="AL2540">
        <v>87.822709731466105</v>
      </c>
      <c r="AM2540">
        <v>89.562821151953699</v>
      </c>
      <c r="AN2540">
        <v>1.00000003563068</v>
      </c>
    </row>
    <row r="2541" spans="1:40" x14ac:dyDescent="0.25">
      <c r="A2541" t="str">
        <f>"20190312160343895"</f>
        <v>20190312160343895</v>
      </c>
      <c r="B2541" t="str">
        <f>"1552377823886876"</f>
        <v>1552377823886876</v>
      </c>
      <c r="C2541" t="s">
        <v>40</v>
      </c>
      <c r="D2541">
        <v>5.2611990000000004</v>
      </c>
      <c r="E2541">
        <v>0.48869059999999998</v>
      </c>
      <c r="F2541" t="s">
        <v>49</v>
      </c>
      <c r="G2541">
        <v>-422.17809999999997</v>
      </c>
      <c r="H2541">
        <v>0.99972550000000004</v>
      </c>
      <c r="I2541">
        <v>285.30520000000001</v>
      </c>
      <c r="J2541">
        <v>-421.56819999999999</v>
      </c>
      <c r="K2541">
        <v>1.1100509999999999</v>
      </c>
      <c r="L2541">
        <v>285.33109999999999</v>
      </c>
      <c r="M2541">
        <v>-0.99992320000000001</v>
      </c>
      <c r="N2541">
        <v>0</v>
      </c>
      <c r="O2541">
        <v>1.156203E-3</v>
      </c>
      <c r="P2541">
        <v>-0.99963000000000002</v>
      </c>
      <c r="Q2541">
        <v>2.56219E-2</v>
      </c>
      <c r="R2541">
        <v>9.147578E-3</v>
      </c>
      <c r="S2541">
        <v>-3.0123899999999999</v>
      </c>
      <c r="T2541">
        <v>-0.40713830000000001</v>
      </c>
      <c r="U2541">
        <v>-9.5062259999999996E-2</v>
      </c>
      <c r="V2541">
        <v>7.9932990000000006E-3</v>
      </c>
      <c r="W2541">
        <v>3.7961729999999999E-2</v>
      </c>
      <c r="X2541">
        <v>0.99924729999999995</v>
      </c>
      <c r="Y2541">
        <v>-3.239235E-2</v>
      </c>
      <c r="Z2541">
        <v>-2.3340800000000001E-3</v>
      </c>
      <c r="AA2541">
        <v>0.99947249999999999</v>
      </c>
      <c r="AB2541">
        <v>27</v>
      </c>
      <c r="AC2541">
        <v>-0.60989999999998101</v>
      </c>
      <c r="AD2541">
        <v>-0.11032550000000001</v>
      </c>
      <c r="AE2541">
        <v>-2.58999999999787E-2</v>
      </c>
      <c r="AF2541">
        <v>-2.57636928600809E-2</v>
      </c>
      <c r="AG2541">
        <v>-0.11032550000000001</v>
      </c>
      <c r="AH2541">
        <v>0.59057971726067104</v>
      </c>
      <c r="AI2541">
        <v>100.57156617305399</v>
      </c>
      <c r="AJ2541">
        <v>92.497910907858298</v>
      </c>
      <c r="AK2541">
        <v>0.60134839008659002</v>
      </c>
      <c r="AL2541">
        <v>87.824430507239896</v>
      </c>
      <c r="AM2541">
        <v>89.541682495581597</v>
      </c>
      <c r="AN2541">
        <v>1.00000007616539</v>
      </c>
    </row>
    <row r="2542" spans="1:40" x14ac:dyDescent="0.25">
      <c r="A2542" t="str">
        <f>"20190312160343909"</f>
        <v>20190312160343909</v>
      </c>
      <c r="B2542" t="str">
        <f>"1552377823896636"</f>
        <v>1552377823896636</v>
      </c>
      <c r="C2542" t="s">
        <v>40</v>
      </c>
      <c r="D2542">
        <v>5.7663690000000001</v>
      </c>
      <c r="E2542">
        <v>0.48736180000000001</v>
      </c>
      <c r="F2542" t="s">
        <v>49</v>
      </c>
      <c r="G2542">
        <v>-422.43639999999999</v>
      </c>
      <c r="H2542">
        <v>1.030591</v>
      </c>
      <c r="I2542">
        <v>285.30880000000002</v>
      </c>
      <c r="J2542">
        <v>-421.73320000000001</v>
      </c>
      <c r="K2542">
        <v>1.110047</v>
      </c>
      <c r="L2542">
        <v>285.3313</v>
      </c>
      <c r="M2542">
        <v>-0.99992320000000001</v>
      </c>
      <c r="N2542">
        <v>0</v>
      </c>
      <c r="O2542">
        <v>1.1562040000000001E-3</v>
      </c>
      <c r="P2542">
        <v>-0.99962709999999999</v>
      </c>
      <c r="Q2542">
        <v>2.5687109999999999E-2</v>
      </c>
      <c r="R2542">
        <v>9.2859239999999992E-3</v>
      </c>
      <c r="S2542">
        <v>-3.0089109999999999</v>
      </c>
      <c r="T2542">
        <v>-0.27559240000000002</v>
      </c>
      <c r="U2542">
        <v>-7.8979489999999999E-2</v>
      </c>
      <c r="V2542">
        <v>8.1315380000000007E-3</v>
      </c>
      <c r="W2542">
        <v>3.8026520000000001E-2</v>
      </c>
      <c r="X2542">
        <v>0.99924360000000001</v>
      </c>
      <c r="Y2542">
        <v>-2.7276439999999999E-2</v>
      </c>
      <c r="Z2542">
        <v>-1.351999E-3</v>
      </c>
      <c r="AA2542">
        <v>0.99962700000000004</v>
      </c>
      <c r="AB2542">
        <v>27</v>
      </c>
      <c r="AC2542">
        <v>-0.70319999999998095</v>
      </c>
      <c r="AD2542">
        <v>-7.9455999999999902E-2</v>
      </c>
      <c r="AE2542">
        <v>-2.2499999999979502E-2</v>
      </c>
      <c r="AF2542">
        <v>-2.30194955797039E-2</v>
      </c>
      <c r="AG2542">
        <v>-7.9455999999999902E-2</v>
      </c>
      <c r="AH2542">
        <v>0.69431808135386996</v>
      </c>
      <c r="AI2542">
        <v>96.524829984474493</v>
      </c>
      <c r="AJ2542">
        <v>91.898894825204295</v>
      </c>
      <c r="AK2542">
        <v>0.69922868305559605</v>
      </c>
      <c r="AL2542">
        <v>87.8207153678065</v>
      </c>
      <c r="AM2542">
        <v>89.533754807724506</v>
      </c>
      <c r="AN2542">
        <v>0.99999995513725604</v>
      </c>
    </row>
    <row r="2543" spans="1:40" x14ac:dyDescent="0.25">
      <c r="A2543" t="str">
        <f>"20190312160343922"</f>
        <v>20190312160343922</v>
      </c>
      <c r="B2543" t="str">
        <f>"1552377823917133"</f>
        <v>1552377823917133</v>
      </c>
      <c r="C2543" t="s">
        <v>40</v>
      </c>
      <c r="D2543">
        <v>5.2748910000000002</v>
      </c>
      <c r="E2543">
        <v>0.48740070000000002</v>
      </c>
      <c r="F2543" t="s">
        <v>79</v>
      </c>
      <c r="G2543">
        <v>-437.54469999999998</v>
      </c>
      <c r="H2543" s="1">
        <v>5.5398849999999999E-6</v>
      </c>
      <c r="I2543">
        <v>284.87799999999999</v>
      </c>
      <c r="J2543">
        <v>-421.89800000000002</v>
      </c>
      <c r="K2543">
        <v>1.110047</v>
      </c>
      <c r="L2543">
        <v>285.33150000000001</v>
      </c>
      <c r="M2543">
        <v>-0.99992320000000001</v>
      </c>
      <c r="N2543">
        <v>0</v>
      </c>
      <c r="O2543">
        <v>1.1562040000000001E-3</v>
      </c>
      <c r="P2543">
        <v>-0.99962720000000005</v>
      </c>
      <c r="Q2543">
        <v>2.5626329999999999E-2</v>
      </c>
      <c r="R2543">
        <v>9.4354959999999998E-3</v>
      </c>
      <c r="S2543">
        <v>-3.007355</v>
      </c>
      <c r="T2543">
        <v>-0.21113029999999999</v>
      </c>
      <c r="U2543">
        <v>-8.6212159999999996E-2</v>
      </c>
      <c r="V2543">
        <v>8.2811050000000004E-3</v>
      </c>
      <c r="W2543">
        <v>3.7966020000000003E-2</v>
      </c>
      <c r="X2543">
        <v>0.99924469999999999</v>
      </c>
      <c r="Y2543">
        <v>-2.973516E-2</v>
      </c>
      <c r="Z2543">
        <v>-1.123338E-3</v>
      </c>
      <c r="AA2543">
        <v>0.99955720000000003</v>
      </c>
      <c r="AB2543">
        <v>27</v>
      </c>
      <c r="AC2543">
        <v>-15.6466999999999</v>
      </c>
      <c r="AD2543">
        <v>-1.1100414601149999</v>
      </c>
      <c r="AE2543">
        <v>-0.453500000000019</v>
      </c>
      <c r="AF2543">
        <v>-0.46923215578340599</v>
      </c>
      <c r="AG2543">
        <v>-1.1100414601149999</v>
      </c>
      <c r="AH2543">
        <v>15.5678767299241</v>
      </c>
      <c r="AI2543">
        <v>94.076632257918504</v>
      </c>
      <c r="AJ2543">
        <v>91.726432288212195</v>
      </c>
      <c r="AK2543">
        <v>15.614453456247199</v>
      </c>
      <c r="AL2543">
        <v>87.824184328074793</v>
      </c>
      <c r="AM2543">
        <v>89.525179864017801</v>
      </c>
      <c r="AN2543">
        <v>0.99999998292637504</v>
      </c>
    </row>
    <row r="2544" spans="1:40" x14ac:dyDescent="0.25">
      <c r="A2544" t="str">
        <f>"20190312160343935"</f>
        <v>20190312160343935</v>
      </c>
      <c r="B2544" t="str">
        <f>"1552377823926892"</f>
        <v>1552377823926892</v>
      </c>
      <c r="C2544" t="s">
        <v>40</v>
      </c>
      <c r="D2544">
        <v>5.3447940000000003</v>
      </c>
      <c r="E2544">
        <v>0.48648370000000002</v>
      </c>
      <c r="F2544" t="s">
        <v>70</v>
      </c>
      <c r="G2544">
        <v>-441.7088</v>
      </c>
      <c r="H2544" s="1">
        <v>-6.3464930000000004E-7</v>
      </c>
      <c r="I2544">
        <v>284.78120000000001</v>
      </c>
      <c r="J2544">
        <v>-422.04320000000001</v>
      </c>
      <c r="K2544">
        <v>1.1100490000000001</v>
      </c>
      <c r="L2544">
        <v>285.33159999999998</v>
      </c>
      <c r="M2544">
        <v>-0.99992309999999995</v>
      </c>
      <c r="N2544">
        <v>0</v>
      </c>
      <c r="O2544">
        <v>1.1563840000000001E-3</v>
      </c>
      <c r="P2544">
        <v>-0.99962289999999998</v>
      </c>
      <c r="Q2544">
        <v>2.5784290000000001E-2</v>
      </c>
      <c r="R2544">
        <v>9.4596720000000006E-3</v>
      </c>
      <c r="S2544">
        <v>-3.006256</v>
      </c>
      <c r="T2544">
        <v>-0.16844809999999999</v>
      </c>
      <c r="U2544">
        <v>-8.3496089999999995E-2</v>
      </c>
      <c r="V2544">
        <v>8.3052779999999993E-3</v>
      </c>
      <c r="W2544">
        <v>3.8123730000000002E-2</v>
      </c>
      <c r="X2544">
        <v>0.99923850000000003</v>
      </c>
      <c r="Y2544">
        <v>-2.8872350000000001E-2</v>
      </c>
      <c r="Z2544">
        <v>-8.7284289999999996E-4</v>
      </c>
      <c r="AA2544">
        <v>0.99958270000000005</v>
      </c>
      <c r="AB2544">
        <v>27</v>
      </c>
      <c r="AC2544">
        <v>-19.665599999999898</v>
      </c>
      <c r="AD2544">
        <v>-1.1100496346493001</v>
      </c>
      <c r="AE2544">
        <v>-0.55039999999996703</v>
      </c>
      <c r="AF2544">
        <v>-0.57132343597274304</v>
      </c>
      <c r="AG2544">
        <v>-1.1100496346493001</v>
      </c>
      <c r="AH2544">
        <v>19.602541973494201</v>
      </c>
      <c r="AI2544">
        <v>93.239702101964298</v>
      </c>
      <c r="AJ2544">
        <v>91.669434382573897</v>
      </c>
      <c r="AK2544">
        <v>19.642257316369701</v>
      </c>
      <c r="AL2544">
        <v>87.815141675355207</v>
      </c>
      <c r="AM2544">
        <v>89.523790947124994</v>
      </c>
      <c r="AN2544">
        <v>0.99999998815700997</v>
      </c>
    </row>
    <row r="2545" spans="1:40" x14ac:dyDescent="0.25">
      <c r="A2545" t="str">
        <f>"20190312160343946"</f>
        <v>20190312160343946</v>
      </c>
      <c r="B2545" t="str">
        <f>"1552377823936652"</f>
        <v>1552377823936652</v>
      </c>
      <c r="C2545" t="s">
        <v>40</v>
      </c>
      <c r="D2545">
        <v>5.175427</v>
      </c>
      <c r="E2545">
        <v>0.48623450000000001</v>
      </c>
      <c r="F2545" t="s">
        <v>70</v>
      </c>
      <c r="G2545">
        <v>-444.69069999999999</v>
      </c>
      <c r="H2545" s="1">
        <v>9.5768609999999993E-7</v>
      </c>
      <c r="I2545">
        <v>284.65539999999999</v>
      </c>
      <c r="J2545">
        <v>-422.18630000000002</v>
      </c>
      <c r="K2545">
        <v>1.1100490000000001</v>
      </c>
      <c r="L2545">
        <v>285.33179999999999</v>
      </c>
      <c r="M2545">
        <v>-0.99992320000000001</v>
      </c>
      <c r="N2545">
        <v>0</v>
      </c>
      <c r="O2545">
        <v>1.1562059999999999E-3</v>
      </c>
      <c r="P2545">
        <v>-0.99962819999999997</v>
      </c>
      <c r="Q2545">
        <v>2.549357E-2</v>
      </c>
      <c r="R2545">
        <v>9.6723199999999999E-3</v>
      </c>
      <c r="S2545">
        <v>-3.0057680000000002</v>
      </c>
      <c r="T2545">
        <v>-0.14732490000000001</v>
      </c>
      <c r="U2545">
        <v>-8.9752199999999893E-2</v>
      </c>
      <c r="V2545">
        <v>8.5177589999999997E-3</v>
      </c>
      <c r="W2545">
        <v>3.7833070000000003E-2</v>
      </c>
      <c r="X2545">
        <v>0.99924780000000002</v>
      </c>
      <c r="Y2545">
        <v>-3.0963919999999999E-2</v>
      </c>
      <c r="Z2545">
        <v>-8.1483819999999998E-4</v>
      </c>
      <c r="AA2545">
        <v>0.99952019999999997</v>
      </c>
      <c r="AB2545">
        <v>27</v>
      </c>
      <c r="AC2545">
        <v>-22.504399999999901</v>
      </c>
      <c r="AD2545">
        <v>-1.1100480423138901</v>
      </c>
      <c r="AE2545">
        <v>-0.676400000000001</v>
      </c>
      <c r="AF2545">
        <v>-0.70071791750115298</v>
      </c>
      <c r="AG2545">
        <v>-1.1100480423138901</v>
      </c>
      <c r="AH2545">
        <v>22.449032813599899</v>
      </c>
      <c r="AI2545">
        <v>92.829450305327001</v>
      </c>
      <c r="AJ2545">
        <v>91.787834180100305</v>
      </c>
      <c r="AK2545">
        <v>22.4873806060696</v>
      </c>
      <c r="AL2545">
        <v>87.831807380029502</v>
      </c>
      <c r="AM2545">
        <v>89.511612813401996</v>
      </c>
      <c r="AN2545">
        <v>1.00000002960442</v>
      </c>
    </row>
    <row r="2546" spans="1:40" x14ac:dyDescent="0.25">
      <c r="A2546" t="str">
        <f>"20190312160343959"</f>
        <v>20190312160343959</v>
      </c>
      <c r="B2546" t="str">
        <f>"1552377823947389"</f>
        <v>1552377823947389</v>
      </c>
      <c r="C2546" t="s">
        <v>40</v>
      </c>
      <c r="D2546">
        <v>5.1338839999999903</v>
      </c>
      <c r="E2546">
        <v>0.48591689999999998</v>
      </c>
      <c r="F2546" t="s">
        <v>70</v>
      </c>
      <c r="G2546">
        <v>-445.69630000000001</v>
      </c>
      <c r="H2546" s="1">
        <v>1.4941999999999901E-6</v>
      </c>
      <c r="I2546">
        <v>284.62279999999998</v>
      </c>
      <c r="J2546">
        <v>-422.3297</v>
      </c>
      <c r="K2546">
        <v>1.1100490000000001</v>
      </c>
      <c r="L2546">
        <v>285.33199999999999</v>
      </c>
      <c r="M2546">
        <v>-0.99992320000000001</v>
      </c>
      <c r="N2546">
        <v>0</v>
      </c>
      <c r="O2546">
        <v>1.1562059999999999E-3</v>
      </c>
      <c r="P2546">
        <v>-0.9996313</v>
      </c>
      <c r="Q2546">
        <v>2.539106E-2</v>
      </c>
      <c r="R2546">
        <v>9.6424570000000001E-3</v>
      </c>
      <c r="S2546">
        <v>-3.0056150000000001</v>
      </c>
      <c r="T2546">
        <v>-0.14191309999999999</v>
      </c>
      <c r="U2546">
        <v>-9.0637209999999996E-2</v>
      </c>
      <c r="V2546">
        <v>8.4881580000000009E-3</v>
      </c>
      <c r="W2546">
        <v>3.7730149999999997E-2</v>
      </c>
      <c r="X2546">
        <v>0.99925189999999997</v>
      </c>
      <c r="Y2546">
        <v>-3.1261919999999999E-2</v>
      </c>
      <c r="Z2546">
        <v>-7.9200609999999997E-4</v>
      </c>
      <c r="AA2546">
        <v>0.99951089999999998</v>
      </c>
      <c r="AB2546">
        <v>27</v>
      </c>
      <c r="AC2546">
        <v>-23.366599999999998</v>
      </c>
      <c r="AD2546">
        <v>-1.1100475057999999</v>
      </c>
      <c r="AE2546">
        <v>-0.70920000000000905</v>
      </c>
      <c r="AF2546">
        <v>-0.73456195603823204</v>
      </c>
      <c r="AG2546">
        <v>-1.1100475057999999</v>
      </c>
      <c r="AH2546">
        <v>23.313199648330801</v>
      </c>
      <c r="AI2546">
        <v>92.724703730015804</v>
      </c>
      <c r="AJ2546">
        <v>91.804702099438302</v>
      </c>
      <c r="AK2546">
        <v>23.351168377092499</v>
      </c>
      <c r="AL2546">
        <v>87.837708381173499</v>
      </c>
      <c r="AM2546">
        <v>89.513311976408502</v>
      </c>
      <c r="AN2546">
        <v>0.99999998634943199</v>
      </c>
    </row>
    <row r="2547" spans="1:40" x14ac:dyDescent="0.25">
      <c r="A2547" t="str">
        <f>"20190312160343974"</f>
        <v>20190312160343974</v>
      </c>
      <c r="B2547" t="str">
        <f>"1552377823966908"</f>
        <v>1552377823966908</v>
      </c>
      <c r="C2547" t="s">
        <v>40</v>
      </c>
      <c r="D2547">
        <v>5.2862450000000001</v>
      </c>
      <c r="E2547">
        <v>0.48639900000000003</v>
      </c>
      <c r="F2547" t="s">
        <v>70</v>
      </c>
      <c r="G2547">
        <v>-445.65350000000001</v>
      </c>
      <c r="H2547" s="1">
        <v>1.4721639999999999E-6</v>
      </c>
      <c r="I2547">
        <v>284.60610000000003</v>
      </c>
      <c r="J2547">
        <v>-422.50900000000001</v>
      </c>
      <c r="K2547">
        <v>1.1100509999999999</v>
      </c>
      <c r="L2547">
        <v>285.3322</v>
      </c>
      <c r="M2547">
        <v>-0.99992309999999995</v>
      </c>
      <c r="N2547">
        <v>0</v>
      </c>
      <c r="O2547">
        <v>1.1563859999999999E-3</v>
      </c>
      <c r="P2547">
        <v>-0.99963860000000004</v>
      </c>
      <c r="Q2547">
        <v>2.5027819999999999E-2</v>
      </c>
      <c r="R2547">
        <v>9.8295039999999993E-3</v>
      </c>
      <c r="S2547">
        <v>-3.005585</v>
      </c>
      <c r="T2547">
        <v>-0.14304420000000001</v>
      </c>
      <c r="U2547">
        <v>-9.3536380000000002E-2</v>
      </c>
      <c r="V2547">
        <v>8.6750409999999997E-3</v>
      </c>
      <c r="W2547">
        <v>3.7367049999999999E-2</v>
      </c>
      <c r="X2547">
        <v>0.99926389999999998</v>
      </c>
      <c r="Y2547">
        <v>-3.222394E-2</v>
      </c>
      <c r="Z2547">
        <v>-8.2119069999999998E-4</v>
      </c>
      <c r="AA2547">
        <v>0.99948029999999999</v>
      </c>
      <c r="AB2547">
        <v>27</v>
      </c>
      <c r="AC2547">
        <v>-23.144499999999901</v>
      </c>
      <c r="AD2547">
        <v>-1.1100495278360001</v>
      </c>
      <c r="AE2547">
        <v>-0.72609999999997399</v>
      </c>
      <c r="AF2547">
        <v>-0.75113936528490099</v>
      </c>
      <c r="AG2547">
        <v>-1.1100495278360001</v>
      </c>
      <c r="AH2547">
        <v>23.090581203977401</v>
      </c>
      <c r="AI2547">
        <v>92.750847932581806</v>
      </c>
      <c r="AJ2547">
        <v>91.863181526643302</v>
      </c>
      <c r="AK2547">
        <v>23.1294479103545</v>
      </c>
      <c r="AL2547">
        <v>87.858527076805103</v>
      </c>
      <c r="AM2547">
        <v>89.502603116113605</v>
      </c>
      <c r="AN2547">
        <v>0.99999994730262998</v>
      </c>
    </row>
    <row r="2548" spans="1:40" x14ac:dyDescent="0.25">
      <c r="A2548" t="str">
        <f>"20190312160343996"</f>
        <v>20190312160343996</v>
      </c>
      <c r="B2548" t="str">
        <f>"1552377823987405"</f>
        <v>1552377823987405</v>
      </c>
      <c r="C2548" t="s">
        <v>40</v>
      </c>
      <c r="D2548">
        <v>5.3073420000000002</v>
      </c>
      <c r="E2548">
        <v>0.48677359999999997</v>
      </c>
      <c r="F2548" t="s">
        <v>70</v>
      </c>
      <c r="G2548">
        <v>-445.92619999999999</v>
      </c>
      <c r="H2548" s="1">
        <v>1.615928E-6</v>
      </c>
      <c r="I2548">
        <v>284.63740000000001</v>
      </c>
      <c r="J2548">
        <v>-422.7679</v>
      </c>
      <c r="K2548">
        <v>1.11005</v>
      </c>
      <c r="L2548">
        <v>285.33249999999998</v>
      </c>
      <c r="M2548">
        <v>-0.99992320000000001</v>
      </c>
      <c r="N2548">
        <v>0</v>
      </c>
      <c r="O2548">
        <v>1.1562089999999901E-3</v>
      </c>
      <c r="P2548">
        <v>-0.99963959999999996</v>
      </c>
      <c r="Q2548">
        <v>2.480634E-2</v>
      </c>
      <c r="R2548">
        <v>1.0269749999999999E-2</v>
      </c>
      <c r="S2548">
        <v>-3.0055239999999999</v>
      </c>
      <c r="T2548">
        <v>-0.1424715</v>
      </c>
      <c r="U2548">
        <v>-8.9172360000000006E-2</v>
      </c>
      <c r="V2548">
        <v>9.1153020000000005E-3</v>
      </c>
      <c r="W2548">
        <v>3.7145480000000002E-2</v>
      </c>
      <c r="X2548">
        <v>0.9992683</v>
      </c>
      <c r="Y2548">
        <v>-3.0776390000000001E-2</v>
      </c>
      <c r="Z2548">
        <v>-7.8365009999999905E-4</v>
      </c>
      <c r="AA2548">
        <v>0.99952600000000003</v>
      </c>
      <c r="AB2548">
        <v>27</v>
      </c>
      <c r="AC2548">
        <v>-23.158300000000001</v>
      </c>
      <c r="AD2548">
        <v>-1.1100483840719999</v>
      </c>
      <c r="AE2548">
        <v>-0.69509999999996797</v>
      </c>
      <c r="AF2548">
        <v>-0.72022412642122302</v>
      </c>
      <c r="AG2548">
        <v>-1.1100483840719999</v>
      </c>
      <c r="AH2548">
        <v>23.104444269822999</v>
      </c>
      <c r="AI2548">
        <v>92.749315658317997</v>
      </c>
      <c r="AJ2548">
        <v>91.785476581397802</v>
      </c>
      <c r="AK2548">
        <v>23.1423048814205</v>
      </c>
      <c r="AL2548">
        <v>87.8712310468174</v>
      </c>
      <c r="AM2548">
        <v>89.477363738799397</v>
      </c>
      <c r="AN2548">
        <v>1.0000000053999301</v>
      </c>
    </row>
    <row r="2549" spans="1:40" x14ac:dyDescent="0.25">
      <c r="A2549" t="str">
        <f>"20190312160344008"</f>
        <v>20190312160344008</v>
      </c>
      <c r="B2549" t="str">
        <f>"1552377823997164"</f>
        <v>1552377823997164</v>
      </c>
      <c r="C2549" t="s">
        <v>40</v>
      </c>
      <c r="D2549">
        <v>5.3461910000000001</v>
      </c>
      <c r="E2549">
        <v>0.48690299999999997</v>
      </c>
      <c r="F2549" t="s">
        <v>70</v>
      </c>
      <c r="G2549">
        <v>-447.21379999999999</v>
      </c>
      <c r="H2549" s="1">
        <v>2.3007829999999998E-6</v>
      </c>
      <c r="I2549">
        <v>284.64460000000003</v>
      </c>
      <c r="J2549">
        <v>-422.91890000000001</v>
      </c>
      <c r="K2549">
        <v>1.110053</v>
      </c>
      <c r="L2549">
        <v>285.33260000000001</v>
      </c>
      <c r="M2549">
        <v>-0.99992309999999995</v>
      </c>
      <c r="N2549">
        <v>0</v>
      </c>
      <c r="O2549">
        <v>1.1562089999999901E-3</v>
      </c>
      <c r="P2549">
        <v>-0.99964010000000003</v>
      </c>
      <c r="Q2549">
        <v>2.4830700000000001E-2</v>
      </c>
      <c r="R2549">
        <v>1.015726E-2</v>
      </c>
      <c r="S2549">
        <v>-3.0053709999999998</v>
      </c>
      <c r="T2549">
        <v>-0.136468899999999</v>
      </c>
      <c r="U2549">
        <v>-8.4564210000000001E-2</v>
      </c>
      <c r="V2549">
        <v>9.0029569999999903E-3</v>
      </c>
      <c r="W2549">
        <v>3.7169779999999999E-2</v>
      </c>
      <c r="X2549">
        <v>0.99926839999999995</v>
      </c>
      <c r="Y2549">
        <v>-2.9251079999999999E-2</v>
      </c>
      <c r="Z2549">
        <v>-7.1611690000000002E-4</v>
      </c>
      <c r="AA2549">
        <v>0.99957189999999996</v>
      </c>
      <c r="AB2549">
        <v>27</v>
      </c>
      <c r="AC2549">
        <v>-24.294899999999899</v>
      </c>
      <c r="AD2549">
        <v>-1.1100506992170001</v>
      </c>
      <c r="AE2549">
        <v>-0.68799999999998795</v>
      </c>
      <c r="AF2549">
        <v>-0.71460103004839803</v>
      </c>
      <c r="AG2549">
        <v>-1.1100506992170001</v>
      </c>
      <c r="AH2549">
        <v>24.2435170703077</v>
      </c>
      <c r="AI2549">
        <v>92.620464492827693</v>
      </c>
      <c r="AJ2549">
        <v>91.6883594653534</v>
      </c>
      <c r="AK2549">
        <v>24.279435477895301</v>
      </c>
      <c r="AL2549">
        <v>87.869837765493799</v>
      </c>
      <c r="AM2549">
        <v>89.483804868741103</v>
      </c>
      <c r="AN2549">
        <v>0.99999999050927602</v>
      </c>
    </row>
    <row r="2550" spans="1:40" x14ac:dyDescent="0.25">
      <c r="A2550" t="str">
        <f>"20190312160344021"</f>
        <v>20190312160344021</v>
      </c>
      <c r="B2550" t="str">
        <f>"1552377824016684"</f>
        <v>1552377824016684</v>
      </c>
      <c r="C2550" t="s">
        <v>40</v>
      </c>
      <c r="D2550">
        <v>5.3189529999999996</v>
      </c>
      <c r="E2550">
        <v>0.48744470000000001</v>
      </c>
      <c r="F2550" t="s">
        <v>70</v>
      </c>
      <c r="G2550">
        <v>-447.94119999999998</v>
      </c>
      <c r="H2550" s="1">
        <v>2.6882419999999998E-6</v>
      </c>
      <c r="I2550">
        <v>284.63639999999998</v>
      </c>
      <c r="J2550">
        <v>-423.0779</v>
      </c>
      <c r="K2550">
        <v>1.110053</v>
      </c>
      <c r="L2550">
        <v>285.33280000000002</v>
      </c>
      <c r="M2550">
        <v>-0.99992320000000001</v>
      </c>
      <c r="N2550">
        <v>0</v>
      </c>
      <c r="O2550">
        <v>1.1560310000000001E-3</v>
      </c>
      <c r="P2550">
        <v>-0.99964050000000004</v>
      </c>
      <c r="Q2550">
        <v>2.467776E-2</v>
      </c>
      <c r="R2550">
        <v>1.0492659999999999E-2</v>
      </c>
      <c r="S2550">
        <v>-3.00528</v>
      </c>
      <c r="T2550">
        <v>-0.13332179999999999</v>
      </c>
      <c r="U2550">
        <v>-8.3618159999999997E-2</v>
      </c>
      <c r="V2550">
        <v>9.3384639999999994E-3</v>
      </c>
      <c r="W2550">
        <v>3.7016340000000002E-2</v>
      </c>
      <c r="X2550">
        <v>0.99927100000000002</v>
      </c>
      <c r="Y2550">
        <v>-2.8939070000000001E-2</v>
      </c>
      <c r="Z2550">
        <v>-6.9271909999999999E-4</v>
      </c>
      <c r="AA2550">
        <v>0.99958089999999999</v>
      </c>
      <c r="AB2550">
        <v>27</v>
      </c>
      <c r="AC2550">
        <v>-24.863299999999899</v>
      </c>
      <c r="AD2550">
        <v>-1.1100503117580001</v>
      </c>
      <c r="AE2550">
        <v>-0.69640000000003899</v>
      </c>
      <c r="AF2550">
        <v>-0.72370305826707404</v>
      </c>
      <c r="AG2550">
        <v>-1.1100503117580001</v>
      </c>
      <c r="AH2550">
        <v>24.813057721372701</v>
      </c>
      <c r="AI2550">
        <v>92.560419573274999</v>
      </c>
      <c r="AJ2550">
        <v>91.670627603890395</v>
      </c>
      <c r="AK2550">
        <v>24.848416273383599</v>
      </c>
      <c r="AL2550">
        <v>87.878635249035398</v>
      </c>
      <c r="AM2550">
        <v>89.464570673056798</v>
      </c>
      <c r="AN2550">
        <v>0.99999997388893702</v>
      </c>
    </row>
    <row r="2551" spans="1:40" x14ac:dyDescent="0.25">
      <c r="A2551" t="str">
        <f>"20190312160344034"</f>
        <v>20190312160344034</v>
      </c>
      <c r="B2551" t="str">
        <f>"1552377824027420"</f>
        <v>1552377824027420</v>
      </c>
      <c r="C2551" t="s">
        <v>40</v>
      </c>
      <c r="D2551">
        <v>5.3253079999999997</v>
      </c>
      <c r="E2551">
        <v>0.48767820000000001</v>
      </c>
      <c r="F2551" t="s">
        <v>70</v>
      </c>
      <c r="G2551">
        <v>-448.38189999999997</v>
      </c>
      <c r="H2551" s="1">
        <v>2.9211150000000001E-6</v>
      </c>
      <c r="I2551">
        <v>284.67450000000002</v>
      </c>
      <c r="J2551">
        <v>-423.23489999999998</v>
      </c>
      <c r="K2551">
        <v>1.110053</v>
      </c>
      <c r="L2551">
        <v>285.33300000000003</v>
      </c>
      <c r="M2551">
        <v>-0.99992320000000001</v>
      </c>
      <c r="N2551">
        <v>0</v>
      </c>
      <c r="O2551">
        <v>1.156032E-3</v>
      </c>
      <c r="P2551">
        <v>-0.9996429</v>
      </c>
      <c r="Q2551">
        <v>2.4591640000000001E-2</v>
      </c>
      <c r="R2551">
        <v>1.047933E-2</v>
      </c>
      <c r="S2551">
        <v>-3.0051570000000001</v>
      </c>
      <c r="T2551">
        <v>-0.131832</v>
      </c>
      <c r="U2551">
        <v>-7.8186039999999998E-2</v>
      </c>
      <c r="V2551">
        <v>9.3252030000000007E-3</v>
      </c>
      <c r="W2551">
        <v>3.6930089999999999E-2</v>
      </c>
      <c r="X2551">
        <v>0.99927429999999995</v>
      </c>
      <c r="Y2551">
        <v>-2.7137000000000001E-2</v>
      </c>
      <c r="Z2551">
        <v>-6.4552890000000001E-4</v>
      </c>
      <c r="AA2551">
        <v>0.99963150000000001</v>
      </c>
      <c r="AB2551">
        <v>27</v>
      </c>
      <c r="AC2551">
        <v>-25.146999999999899</v>
      </c>
      <c r="AD2551">
        <v>-1.1100500788849901</v>
      </c>
      <c r="AE2551">
        <v>-0.65849999999994602</v>
      </c>
      <c r="AF2551">
        <v>-0.68623625684411005</v>
      </c>
      <c r="AG2551">
        <v>-1.1100500788849901</v>
      </c>
      <c r="AH2551">
        <v>25.097351816698499</v>
      </c>
      <c r="AI2551">
        <v>92.531583581249606</v>
      </c>
      <c r="AJ2551">
        <v>91.566246801223301</v>
      </c>
      <c r="AK2551">
        <v>25.131259411119501</v>
      </c>
      <c r="AL2551">
        <v>87.883580359405698</v>
      </c>
      <c r="AM2551">
        <v>89.465332725968494</v>
      </c>
      <c r="AN2551">
        <v>0.99999995879944303</v>
      </c>
    </row>
    <row r="2552" spans="1:40" x14ac:dyDescent="0.25">
      <c r="A2552" t="str">
        <f>"20190312160344047"</f>
        <v>20190312160344047</v>
      </c>
      <c r="B2552" t="str">
        <f>"1552377824037180"</f>
        <v>1552377824037180</v>
      </c>
      <c r="C2552" t="s">
        <v>40</v>
      </c>
      <c r="D2552">
        <v>5.3221049999999996</v>
      </c>
      <c r="E2552">
        <v>0.48789310000000002</v>
      </c>
      <c r="F2552" t="s">
        <v>70</v>
      </c>
      <c r="G2552">
        <v>-448.64080000000001</v>
      </c>
      <c r="H2552" s="1">
        <v>3.0583279999999999E-6</v>
      </c>
      <c r="I2552">
        <v>284.68740000000003</v>
      </c>
      <c r="J2552">
        <v>-423.387</v>
      </c>
      <c r="K2552">
        <v>1.11005</v>
      </c>
      <c r="L2552">
        <v>285.33319999999998</v>
      </c>
      <c r="M2552">
        <v>-0.99992320000000001</v>
      </c>
      <c r="N2552">
        <v>0</v>
      </c>
      <c r="O2552">
        <v>1.1560330000000001E-3</v>
      </c>
      <c r="P2552">
        <v>-0.99964149999999996</v>
      </c>
      <c r="Q2552">
        <v>2.4663649999999999E-2</v>
      </c>
      <c r="R2552">
        <v>1.0410640000000001E-2</v>
      </c>
      <c r="S2552">
        <v>-3.005096</v>
      </c>
      <c r="T2552">
        <v>-0.13130039999999901</v>
      </c>
      <c r="U2552">
        <v>-7.6354980000000003E-2</v>
      </c>
      <c r="V2552">
        <v>9.2562200000000008E-3</v>
      </c>
      <c r="W2552">
        <v>3.7002050000000002E-2</v>
      </c>
      <c r="X2552">
        <v>0.9992723</v>
      </c>
      <c r="Y2552">
        <v>-2.6529629999999998E-2</v>
      </c>
      <c r="Z2552">
        <v>-6.2968629999999995E-4</v>
      </c>
      <c r="AA2552">
        <v>0.99964790000000003</v>
      </c>
      <c r="AB2552">
        <v>27</v>
      </c>
      <c r="AC2552">
        <v>-25.253799999999998</v>
      </c>
      <c r="AD2552">
        <v>-1.110046941672</v>
      </c>
      <c r="AE2552">
        <v>-0.64579999999995097</v>
      </c>
      <c r="AF2552">
        <v>-0.67369522262273096</v>
      </c>
      <c r="AG2552">
        <v>-1.110046941672</v>
      </c>
      <c r="AH2552">
        <v>25.204371002307401</v>
      </c>
      <c r="AI2552">
        <v>92.520882854964597</v>
      </c>
      <c r="AJ2552">
        <v>91.531111577183395</v>
      </c>
      <c r="AK2552">
        <v>25.237796795434701</v>
      </c>
      <c r="AL2552">
        <v>87.879454578795901</v>
      </c>
      <c r="AM2552">
        <v>89.469286627075405</v>
      </c>
      <c r="AN2552">
        <v>0.99999997943009</v>
      </c>
    </row>
    <row r="2553" spans="1:40" x14ac:dyDescent="0.25">
      <c r="A2553" t="str">
        <f>"20190312160344059"</f>
        <v>20190312160344059</v>
      </c>
      <c r="B2553" t="str">
        <f>"1552377824046942"</f>
        <v>1552377824046942</v>
      </c>
      <c r="C2553" t="s">
        <v>40</v>
      </c>
      <c r="D2553">
        <v>5.3079029999999996</v>
      </c>
      <c r="E2553">
        <v>0.48807299999999998</v>
      </c>
      <c r="F2553" t="s">
        <v>70</v>
      </c>
      <c r="G2553">
        <v>-448.94119999999998</v>
      </c>
      <c r="H2553" s="1">
        <v>3.2177339999999998E-6</v>
      </c>
      <c r="I2553">
        <v>284.69740000000002</v>
      </c>
      <c r="J2553">
        <v>-423.53989999999999</v>
      </c>
      <c r="K2553">
        <v>1.11005</v>
      </c>
      <c r="L2553">
        <v>285.33330000000001</v>
      </c>
      <c r="M2553">
        <v>-0.99992320000000001</v>
      </c>
      <c r="N2553">
        <v>0</v>
      </c>
      <c r="O2553">
        <v>1.1560330000000001E-3</v>
      </c>
      <c r="P2553">
        <v>-0.9996408</v>
      </c>
      <c r="Q2553">
        <v>2.4645940000000002E-2</v>
      </c>
      <c r="R2553">
        <v>1.053918E-2</v>
      </c>
      <c r="S2553">
        <v>-3.0050659999999998</v>
      </c>
      <c r="T2553">
        <v>-0.1305366</v>
      </c>
      <c r="U2553">
        <v>-7.4768070000000006E-2</v>
      </c>
      <c r="V2553">
        <v>9.3849429999999998E-3</v>
      </c>
      <c r="W2553">
        <v>3.6984419999999997E-2</v>
      </c>
      <c r="X2553">
        <v>0.99927180000000004</v>
      </c>
      <c r="Y2553">
        <v>-2.6003120000000001E-2</v>
      </c>
      <c r="Z2553">
        <v>-6.1460889999999998E-4</v>
      </c>
      <c r="AA2553">
        <v>0.99966169999999999</v>
      </c>
      <c r="AB2553">
        <v>27</v>
      </c>
      <c r="AC2553">
        <v>-25.4012999999999</v>
      </c>
      <c r="AD2553">
        <v>-1.1100467822660001</v>
      </c>
      <c r="AE2553">
        <v>-0.63589999999999203</v>
      </c>
      <c r="AF2553">
        <v>-0.66399929044030304</v>
      </c>
      <c r="AG2553">
        <v>-1.1100467822660001</v>
      </c>
      <c r="AH2553">
        <v>25.3521625290978</v>
      </c>
      <c r="AI2553">
        <v>92.5062413175405</v>
      </c>
      <c r="AJ2553">
        <v>91.5002925836922</v>
      </c>
      <c r="AK2553">
        <v>25.385138246980599</v>
      </c>
      <c r="AL2553">
        <v>87.880465496967801</v>
      </c>
      <c r="AM2553">
        <v>89.461906344389106</v>
      </c>
      <c r="AN2553">
        <v>1.0000000273765399</v>
      </c>
    </row>
    <row r="2554" spans="1:40" x14ac:dyDescent="0.25">
      <c r="A2554" t="str">
        <f>"20190312160344074"</f>
        <v>20190312160344074</v>
      </c>
      <c r="B2554" t="str">
        <f>"1552377824067436"</f>
        <v>1552377824067436</v>
      </c>
      <c r="C2554" t="s">
        <v>40</v>
      </c>
      <c r="D2554">
        <v>5.2685370000000002</v>
      </c>
      <c r="E2554">
        <v>0.48853859999999899</v>
      </c>
      <c r="F2554" t="s">
        <v>70</v>
      </c>
      <c r="G2554">
        <v>-449.21159999999998</v>
      </c>
      <c r="H2554" s="1">
        <v>3.3610940000000001E-6</v>
      </c>
      <c r="I2554">
        <v>284.7097</v>
      </c>
      <c r="J2554">
        <v>-423.70979999999997</v>
      </c>
      <c r="K2554">
        <v>1.11005</v>
      </c>
      <c r="L2554">
        <v>285.33350000000002</v>
      </c>
      <c r="M2554">
        <v>-0.99992329999999996</v>
      </c>
      <c r="N2554">
        <v>0</v>
      </c>
      <c r="O2554">
        <v>1.156034E-3</v>
      </c>
      <c r="P2554">
        <v>-0.99964960000000003</v>
      </c>
      <c r="Q2554">
        <v>2.45125E-2</v>
      </c>
      <c r="R2554">
        <v>9.9978930000000008E-3</v>
      </c>
      <c r="S2554">
        <v>-3.005096</v>
      </c>
      <c r="T2554">
        <v>-0.1299408</v>
      </c>
      <c r="U2554">
        <v>-7.2998049999999995E-2</v>
      </c>
      <c r="V2554">
        <v>8.8435860000000005E-3</v>
      </c>
      <c r="W2554">
        <v>3.685099E-2</v>
      </c>
      <c r="X2554">
        <v>0.99928159999999999</v>
      </c>
      <c r="Y2554">
        <v>-2.5415199999999999E-2</v>
      </c>
      <c r="Z2554">
        <v>-5.9910140000000002E-4</v>
      </c>
      <c r="AA2554">
        <v>0.99967680000000003</v>
      </c>
      <c r="AB2554">
        <v>27</v>
      </c>
      <c r="AC2554">
        <v>-25.501799999999999</v>
      </c>
      <c r="AD2554">
        <v>-1.110046638906</v>
      </c>
      <c r="AE2554">
        <v>-0.62380000000001701</v>
      </c>
      <c r="AF2554">
        <v>-0.65204807498291695</v>
      </c>
      <c r="AG2554">
        <v>-1.110046638906</v>
      </c>
      <c r="AH2554">
        <v>25.452865026572901</v>
      </c>
      <c r="AI2554">
        <v>92.496374787175498</v>
      </c>
      <c r="AJ2554">
        <v>91.467474611949996</v>
      </c>
      <c r="AK2554">
        <v>25.485401866432699</v>
      </c>
      <c r="AL2554">
        <v>87.888115545941503</v>
      </c>
      <c r="AM2554">
        <v>89.492948808747798</v>
      </c>
      <c r="AN2554">
        <v>0.99999996028793803</v>
      </c>
    </row>
    <row r="2555" spans="1:40" x14ac:dyDescent="0.25">
      <c r="A2555" t="str">
        <f>"20190312160344098"</f>
        <v>20190312160344098</v>
      </c>
      <c r="B2555" t="str">
        <f>"1552377824086956"</f>
        <v>1552377824086956</v>
      </c>
      <c r="C2555" t="s">
        <v>40</v>
      </c>
      <c r="D2555">
        <v>4.9274250000000004</v>
      </c>
      <c r="E2555">
        <v>0.48888019999999999</v>
      </c>
      <c r="F2555" t="s">
        <v>70</v>
      </c>
      <c r="G2555">
        <v>-448.13560000000001</v>
      </c>
      <c r="H2555" s="1">
        <v>2.786412E-6</v>
      </c>
      <c r="I2555">
        <v>284.75729999999999</v>
      </c>
      <c r="J2555">
        <v>-423.98489999999998</v>
      </c>
      <c r="K2555">
        <v>1.1100490000000001</v>
      </c>
      <c r="L2555">
        <v>285.33390000000003</v>
      </c>
      <c r="M2555">
        <v>-0.99992320000000001</v>
      </c>
      <c r="N2555">
        <v>0</v>
      </c>
      <c r="O2555">
        <v>1.1560349999999999E-3</v>
      </c>
      <c r="P2555">
        <v>-0.99965110000000001</v>
      </c>
      <c r="Q2555">
        <v>2.4470120000000001E-2</v>
      </c>
      <c r="R2555">
        <v>9.9616659999999992E-3</v>
      </c>
      <c r="S2555">
        <v>-3.005096</v>
      </c>
      <c r="T2555">
        <v>-0.13656869999999999</v>
      </c>
      <c r="U2555">
        <v>-7.0892330000000003E-2</v>
      </c>
      <c r="V2555">
        <v>8.8074099999999999E-3</v>
      </c>
      <c r="W2555">
        <v>3.6808109999999998E-2</v>
      </c>
      <c r="X2555">
        <v>0.99928360000000005</v>
      </c>
      <c r="Y2555">
        <v>-2.4713240000000001E-2</v>
      </c>
      <c r="Z2555">
        <v>-6.1369430000000002E-4</v>
      </c>
      <c r="AA2555">
        <v>0.99969439999999998</v>
      </c>
      <c r="AB2555">
        <v>27</v>
      </c>
      <c r="AC2555">
        <v>-24.150700000000001</v>
      </c>
      <c r="AD2555">
        <v>-1.110046213588</v>
      </c>
      <c r="AE2555">
        <v>-0.57660000000004097</v>
      </c>
      <c r="AF2555">
        <v>-0.60324708522237802</v>
      </c>
      <c r="AG2555">
        <v>-1.110046213588</v>
      </c>
      <c r="AH2555">
        <v>24.099133781069199</v>
      </c>
      <c r="AI2555">
        <v>92.636450176237005</v>
      </c>
      <c r="AJ2555">
        <v>91.433922724960695</v>
      </c>
      <c r="AK2555">
        <v>24.132226557862499</v>
      </c>
      <c r="AL2555">
        <v>87.890574268140796</v>
      </c>
      <c r="AM2555">
        <v>89.495023879834804</v>
      </c>
      <c r="AN2555">
        <v>1.0000000603308099</v>
      </c>
    </row>
    <row r="2556" spans="1:40" x14ac:dyDescent="0.25">
      <c r="A2556" t="str">
        <f>"20190312160344119"</f>
        <v>20190312160344119</v>
      </c>
      <c r="B2556" t="str">
        <f>"1552377824107452"</f>
        <v>1552377824107452</v>
      </c>
      <c r="C2556" t="s">
        <v>40</v>
      </c>
      <c r="D2556">
        <v>5.466043</v>
      </c>
      <c r="E2556">
        <v>0.4891354</v>
      </c>
      <c r="F2556" t="s">
        <v>70</v>
      </c>
      <c r="G2556">
        <v>-448.0222</v>
      </c>
      <c r="H2556" s="1">
        <v>2.7248359999999999E-6</v>
      </c>
      <c r="I2556">
        <v>284.78559999999999</v>
      </c>
      <c r="J2556">
        <v>-424.23779999999999</v>
      </c>
      <c r="K2556">
        <v>1.1100460000000001</v>
      </c>
      <c r="L2556">
        <v>285.33409999999998</v>
      </c>
      <c r="M2556">
        <v>-0.99992329999999996</v>
      </c>
      <c r="N2556">
        <v>0</v>
      </c>
      <c r="O2556">
        <v>1.1557379999999999E-3</v>
      </c>
      <c r="P2556">
        <v>-0.99966160000000004</v>
      </c>
      <c r="Q2556">
        <v>2.424449E-2</v>
      </c>
      <c r="R2556">
        <v>9.4599130000000003E-3</v>
      </c>
      <c r="S2556">
        <v>-3.0051269999999999</v>
      </c>
      <c r="T2556">
        <v>-0.13877709999999999</v>
      </c>
      <c r="U2556">
        <v>-6.8542480000000003E-2</v>
      </c>
      <c r="V2556">
        <v>8.3059650000000002E-3</v>
      </c>
      <c r="W2556">
        <v>3.6582719999999999E-2</v>
      </c>
      <c r="X2556">
        <v>0.99929610000000002</v>
      </c>
      <c r="Y2556">
        <v>-2.393137E-2</v>
      </c>
      <c r="Z2556">
        <v>-6.0555159999999995E-4</v>
      </c>
      <c r="AA2556">
        <v>0.99971339999999997</v>
      </c>
      <c r="AB2556">
        <v>27</v>
      </c>
      <c r="AC2556">
        <v>-23.784400000000002</v>
      </c>
      <c r="AD2556">
        <v>-1.1100432751639999</v>
      </c>
      <c r="AE2556">
        <v>-0.54849999999999</v>
      </c>
      <c r="AF2556">
        <v>-0.57473903427194895</v>
      </c>
      <c r="AG2556">
        <v>-1.1100432751639999</v>
      </c>
      <c r="AH2556">
        <v>23.7320846702499</v>
      </c>
      <c r="AI2556">
        <v>92.677214088689496</v>
      </c>
      <c r="AJ2556">
        <v>91.387306924146998</v>
      </c>
      <c r="AK2556">
        <v>23.764981881460798</v>
      </c>
      <c r="AL2556">
        <v>87.903496718962799</v>
      </c>
      <c r="AM2556">
        <v>89.523779007617605</v>
      </c>
      <c r="AN2556">
        <v>0.99999998996619399</v>
      </c>
    </row>
    <row r="2557" spans="1:40" x14ac:dyDescent="0.25">
      <c r="A2557" t="str">
        <f>"20190312160344140"</f>
        <v>20190312160344140</v>
      </c>
      <c r="B2557" t="str">
        <f>"1552377824136732"</f>
        <v>1552377824136732</v>
      </c>
      <c r="C2557" t="s">
        <v>40</v>
      </c>
      <c r="D2557">
        <v>5.3382449999999997</v>
      </c>
      <c r="E2557">
        <v>0.48932870000000001</v>
      </c>
      <c r="F2557" t="s">
        <v>70</v>
      </c>
      <c r="G2557">
        <v>-448.24400000000003</v>
      </c>
      <c r="H2557" s="1">
        <v>2.8426449999999999E-6</v>
      </c>
      <c r="I2557">
        <v>284.79050000000001</v>
      </c>
      <c r="J2557">
        <v>-424.50549999999998</v>
      </c>
      <c r="K2557">
        <v>1.11005</v>
      </c>
      <c r="L2557">
        <v>285.33440000000002</v>
      </c>
      <c r="M2557">
        <v>-0.99992329999999996</v>
      </c>
      <c r="N2557">
        <v>0</v>
      </c>
      <c r="O2557">
        <v>1.1555599999999999E-3</v>
      </c>
      <c r="P2557">
        <v>-0.99965919999999997</v>
      </c>
      <c r="Q2557">
        <v>2.448705E-2</v>
      </c>
      <c r="R2557">
        <v>9.0774059999999997E-3</v>
      </c>
      <c r="S2557">
        <v>-3.0050050000000001</v>
      </c>
      <c r="T2557">
        <v>-0.13895080000000001</v>
      </c>
      <c r="U2557">
        <v>-6.8054199999999995E-2</v>
      </c>
      <c r="V2557">
        <v>7.9236979999999999E-3</v>
      </c>
      <c r="W2557">
        <v>3.6825259999999999E-2</v>
      </c>
      <c r="X2557">
        <v>0.99929029999999996</v>
      </c>
      <c r="Y2557">
        <v>-2.376986E-2</v>
      </c>
      <c r="Z2557">
        <v>-6.0259490000000001E-4</v>
      </c>
      <c r="AA2557">
        <v>0.99971730000000003</v>
      </c>
      <c r="AB2557">
        <v>27</v>
      </c>
      <c r="AC2557">
        <v>-23.738499999999998</v>
      </c>
      <c r="AD2557">
        <v>-1.1100471573549999</v>
      </c>
      <c r="AE2557">
        <v>-0.54390000000000704</v>
      </c>
      <c r="AF2557">
        <v>-0.57008706537241105</v>
      </c>
      <c r="AG2557">
        <v>-1.1100471573549999</v>
      </c>
      <c r="AH2557">
        <v>23.6860899314769</v>
      </c>
      <c r="AI2557">
        <v>92.682424261900906</v>
      </c>
      <c r="AJ2557">
        <v>91.378753431382904</v>
      </c>
      <c r="AK2557">
        <v>23.718938850540201</v>
      </c>
      <c r="AL2557">
        <v>87.889590839360906</v>
      </c>
      <c r="AM2557">
        <v>89.545692639017005</v>
      </c>
      <c r="AN2557">
        <v>0.99999999421907604</v>
      </c>
    </row>
    <row r="2558" spans="1:40" x14ac:dyDescent="0.25">
      <c r="A2558" t="str">
        <f>"20190312160344153"</f>
        <v>20190312160344153</v>
      </c>
      <c r="B2558" t="str">
        <f>"1552377824147471"</f>
        <v>1552377824147471</v>
      </c>
      <c r="C2558" t="s">
        <v>40</v>
      </c>
      <c r="D2558">
        <v>5.2849649999999997</v>
      </c>
      <c r="E2558">
        <v>0.48942409999999997</v>
      </c>
      <c r="F2558" t="s">
        <v>70</v>
      </c>
      <c r="G2558">
        <v>-448.69540000000001</v>
      </c>
      <c r="H2558" s="1">
        <v>3.0828029999999998E-6</v>
      </c>
      <c r="I2558">
        <v>284.79149999999998</v>
      </c>
      <c r="J2558">
        <v>-424.6508</v>
      </c>
      <c r="K2558">
        <v>1.1100509999999999</v>
      </c>
      <c r="L2558">
        <v>285.33460000000002</v>
      </c>
      <c r="M2558">
        <v>-0.99992329999999996</v>
      </c>
      <c r="N2558">
        <v>0</v>
      </c>
      <c r="O2558">
        <v>1.155561E-3</v>
      </c>
      <c r="P2558">
        <v>-0.99965890000000002</v>
      </c>
      <c r="Q2558">
        <v>2.4555469999999999E-2</v>
      </c>
      <c r="R2558">
        <v>8.9171130000000008E-3</v>
      </c>
      <c r="S2558">
        <v>-3.0049739999999998</v>
      </c>
      <c r="T2558">
        <v>-0.13789479999999901</v>
      </c>
      <c r="U2558">
        <v>-6.744385E-2</v>
      </c>
      <c r="V2558">
        <v>7.7634469999999997E-3</v>
      </c>
      <c r="W2558">
        <v>3.6893410000000001E-2</v>
      </c>
      <c r="X2558">
        <v>0.99928899999999998</v>
      </c>
      <c r="Y2558">
        <v>-2.3567749999999998E-2</v>
      </c>
      <c r="Z2558">
        <v>-5.9339319999999996E-4</v>
      </c>
      <c r="AA2558">
        <v>0.99972209999999995</v>
      </c>
      <c r="AB2558">
        <v>27</v>
      </c>
      <c r="AC2558">
        <v>-24.044599999999999</v>
      </c>
      <c r="AD2558">
        <v>-1.1100479171969999</v>
      </c>
      <c r="AE2558">
        <v>-0.543100000000038</v>
      </c>
      <c r="AF2558">
        <v>-0.56967321617854205</v>
      </c>
      <c r="AG2558">
        <v>-1.1100479171969999</v>
      </c>
      <c r="AH2558">
        <v>23.992845991831501</v>
      </c>
      <c r="AI2558">
        <v>92.648200105614606</v>
      </c>
      <c r="AJ2558">
        <v>91.3601445812847</v>
      </c>
      <c r="AK2558">
        <v>24.0252657163131</v>
      </c>
      <c r="AL2558">
        <v>87.885683383584706</v>
      </c>
      <c r="AM2558">
        <v>89.554879720757597</v>
      </c>
      <c r="AN2558">
        <v>0.99999995016587295</v>
      </c>
    </row>
    <row r="2559" spans="1:40" x14ac:dyDescent="0.25">
      <c r="A2559" t="str">
        <f>"20190312160344165"</f>
        <v>20190312160344165</v>
      </c>
      <c r="B2559" t="str">
        <f>"1552377824157228"</f>
        <v>1552377824157228</v>
      </c>
      <c r="C2559" t="s">
        <v>40</v>
      </c>
      <c r="D2559">
        <v>5.2584879999999998</v>
      </c>
      <c r="E2559">
        <v>0.48948029999999998</v>
      </c>
      <c r="F2559" t="s">
        <v>70</v>
      </c>
      <c r="G2559">
        <v>-448.91180000000003</v>
      </c>
      <c r="H2559" s="1">
        <v>3.197927E-6</v>
      </c>
      <c r="I2559">
        <v>284.79259999999999</v>
      </c>
      <c r="J2559">
        <v>-424.80250000000001</v>
      </c>
      <c r="K2559">
        <v>1.110052</v>
      </c>
      <c r="L2559">
        <v>285.33479999999997</v>
      </c>
      <c r="M2559">
        <v>-0.99992329999999996</v>
      </c>
      <c r="N2559">
        <v>0</v>
      </c>
      <c r="O2559">
        <v>1.155561E-3</v>
      </c>
      <c r="P2559">
        <v>-0.99965720000000002</v>
      </c>
      <c r="Q2559">
        <v>2.461E-2</v>
      </c>
      <c r="R2559">
        <v>8.9507249999999997E-3</v>
      </c>
      <c r="S2559">
        <v>-3.0050050000000001</v>
      </c>
      <c r="T2559">
        <v>-0.13749249999999999</v>
      </c>
      <c r="U2559">
        <v>-6.7138669999999998E-2</v>
      </c>
      <c r="V2559">
        <v>7.7969739999999999E-3</v>
      </c>
      <c r="W2559">
        <v>3.6947720000000003E-2</v>
      </c>
      <c r="X2559">
        <v>0.99928680000000003</v>
      </c>
      <c r="Y2559">
        <v>-2.3466310000000001E-2</v>
      </c>
      <c r="Z2559">
        <v>-5.8933930000000002E-4</v>
      </c>
      <c r="AA2559">
        <v>0.99972439999999996</v>
      </c>
      <c r="AB2559">
        <v>27</v>
      </c>
      <c r="AC2559">
        <v>-24.109300000000001</v>
      </c>
      <c r="AD2559">
        <v>-1.1100488020729999</v>
      </c>
      <c r="AE2559">
        <v>-0.54219999999997903</v>
      </c>
      <c r="AF2559">
        <v>-0.56885621567121702</v>
      </c>
      <c r="AG2559">
        <v>-1.1100488020729999</v>
      </c>
      <c r="AH2559">
        <v>24.0576832568504</v>
      </c>
      <c r="AI2559">
        <v>92.641081346330495</v>
      </c>
      <c r="AJ2559">
        <v>91.354535581253202</v>
      </c>
      <c r="AK2559">
        <v>24.089996459610202</v>
      </c>
      <c r="AL2559">
        <v>87.882569669766099</v>
      </c>
      <c r="AM2559">
        <v>89.552956530751402</v>
      </c>
      <c r="AN2559">
        <v>1.00000001773549</v>
      </c>
    </row>
    <row r="2560" spans="1:40" x14ac:dyDescent="0.25">
      <c r="A2560" t="str">
        <f>"20190312160344185"</f>
        <v>20190312160344185</v>
      </c>
      <c r="B2560" t="str">
        <f>"1552377824176749"</f>
        <v>1552377824176749</v>
      </c>
      <c r="C2560" t="s">
        <v>40</v>
      </c>
      <c r="D2560">
        <v>5.2259099999999998</v>
      </c>
      <c r="E2560">
        <v>0.4895099</v>
      </c>
      <c r="F2560" t="s">
        <v>70</v>
      </c>
      <c r="G2560">
        <v>-449.1465</v>
      </c>
      <c r="H2560" s="1">
        <v>3.322741E-6</v>
      </c>
      <c r="I2560">
        <v>284.7946</v>
      </c>
      <c r="J2560">
        <v>-425.04180000000002</v>
      </c>
      <c r="K2560">
        <v>1.11005</v>
      </c>
      <c r="L2560">
        <v>285.33499999999998</v>
      </c>
      <c r="M2560">
        <v>-0.99992329999999996</v>
      </c>
      <c r="N2560">
        <v>0</v>
      </c>
      <c r="O2560">
        <v>1.155562E-3</v>
      </c>
      <c r="P2560">
        <v>-0.99966489999999997</v>
      </c>
      <c r="Q2560">
        <v>2.4337629999999999E-2</v>
      </c>
      <c r="R2560">
        <v>8.8415109999999998E-3</v>
      </c>
      <c r="S2560">
        <v>-3.0049739999999998</v>
      </c>
      <c r="T2560">
        <v>-0.137022</v>
      </c>
      <c r="U2560">
        <v>-6.6680909999999996E-2</v>
      </c>
      <c r="V2560">
        <v>7.6877100000000004E-3</v>
      </c>
      <c r="W2560">
        <v>3.6675159999999998E-2</v>
      </c>
      <c r="X2560">
        <v>0.99929769999999896</v>
      </c>
      <c r="Y2560">
        <v>-2.3314649999999999E-2</v>
      </c>
      <c r="Z2560">
        <v>-5.8387629999999999E-4</v>
      </c>
      <c r="AA2560">
        <v>0.99972799999999995</v>
      </c>
      <c r="AB2560">
        <v>27</v>
      </c>
      <c r="AC2560">
        <v>-24.104699999999902</v>
      </c>
      <c r="AD2560">
        <v>-1.1100466772589901</v>
      </c>
      <c r="AE2560">
        <v>-0.54039999999997601</v>
      </c>
      <c r="AF2560">
        <v>-0.56705428516205203</v>
      </c>
      <c r="AG2560">
        <v>-1.1100466772589901</v>
      </c>
      <c r="AH2560">
        <v>24.053075682977799</v>
      </c>
      <c r="AI2560">
        <v>92.6415858835677</v>
      </c>
      <c r="AJ2560">
        <v>91.350505049524202</v>
      </c>
      <c r="AK2560">
        <v>24.085352478198701</v>
      </c>
      <c r="AL2560">
        <v>87.898196826148407</v>
      </c>
      <c r="AM2560">
        <v>89.559225796503696</v>
      </c>
      <c r="AN2560">
        <v>1.00000003073567</v>
      </c>
    </row>
    <row r="2561" spans="1:40" x14ac:dyDescent="0.25">
      <c r="A2561" t="str">
        <f>"20190312160344198"</f>
        <v>20190312160344198</v>
      </c>
      <c r="B2561" t="str">
        <f>"1552377824187485"</f>
        <v>1552377824187485</v>
      </c>
      <c r="C2561" t="s">
        <v>40</v>
      </c>
      <c r="D2561">
        <v>5.0959159999999999</v>
      </c>
      <c r="E2561">
        <v>0.48903049999999998</v>
      </c>
      <c r="F2561" t="s">
        <v>70</v>
      </c>
      <c r="G2561">
        <v>-449.11419999999998</v>
      </c>
      <c r="H2561" s="1">
        <v>3.305288E-6</v>
      </c>
      <c r="I2561">
        <v>284.80040000000002</v>
      </c>
      <c r="J2561">
        <v>-425.18540000000002</v>
      </c>
      <c r="K2561">
        <v>1.1100490000000001</v>
      </c>
      <c r="L2561">
        <v>285.33519999999999</v>
      </c>
      <c r="M2561">
        <v>-0.99992320000000001</v>
      </c>
      <c r="N2561">
        <v>0</v>
      </c>
      <c r="O2561">
        <v>1.1555630000000001E-3</v>
      </c>
      <c r="P2561">
        <v>-0.9996604</v>
      </c>
      <c r="Q2561">
        <v>2.4477490000000001E-2</v>
      </c>
      <c r="R2561">
        <v>8.9542149999999997E-3</v>
      </c>
      <c r="S2561">
        <v>-3.0049739999999998</v>
      </c>
      <c r="T2561">
        <v>-0.1385682</v>
      </c>
      <c r="U2561">
        <v>-6.674194E-2</v>
      </c>
      <c r="V2561">
        <v>7.8003609999999996E-3</v>
      </c>
      <c r="W2561">
        <v>3.6815260000000002E-2</v>
      </c>
      <c r="X2561">
        <v>0.9992917</v>
      </c>
      <c r="Y2561">
        <v>-2.333435E-2</v>
      </c>
      <c r="Z2561">
        <v>-5.9091139999999998E-4</v>
      </c>
      <c r="AA2561">
        <v>0.99972749999999999</v>
      </c>
      <c r="AB2561">
        <v>27</v>
      </c>
      <c r="AC2561">
        <v>-23.928799999999899</v>
      </c>
      <c r="AD2561">
        <v>-1.1100456947120001</v>
      </c>
      <c r="AE2561">
        <v>-0.53479999999996097</v>
      </c>
      <c r="AF2561">
        <v>-0.56124579281471298</v>
      </c>
      <c r="AG2561">
        <v>-1.1100456947120001</v>
      </c>
      <c r="AH2561">
        <v>23.876809022287699</v>
      </c>
      <c r="AI2561">
        <v>92.6610610090991</v>
      </c>
      <c r="AJ2561">
        <v>91.346540678406299</v>
      </c>
      <c r="AK2561">
        <v>23.909186673140901</v>
      </c>
      <c r="AL2561">
        <v>87.890164314966597</v>
      </c>
      <c r="AM2561">
        <v>89.552764536199206</v>
      </c>
      <c r="AN2561">
        <v>1.0000000553447399</v>
      </c>
    </row>
    <row r="2562" spans="1:40" x14ac:dyDescent="0.25">
      <c r="A2562" t="str">
        <f>"20190312160344212"</f>
        <v>20190312160344212</v>
      </c>
      <c r="B2562" t="str">
        <f>"1552377824207006"</f>
        <v>1552377824207006</v>
      </c>
      <c r="C2562" t="s">
        <v>40</v>
      </c>
      <c r="D2562">
        <v>5.0889739999999897</v>
      </c>
      <c r="E2562">
        <v>0.46910879999999999</v>
      </c>
      <c r="F2562" t="s">
        <v>70</v>
      </c>
      <c r="G2562">
        <v>-449.45729999999998</v>
      </c>
      <c r="H2562" s="1">
        <v>3.4892899999999999E-6</v>
      </c>
      <c r="I2562">
        <v>284.76850000000002</v>
      </c>
      <c r="J2562">
        <v>-425.3578</v>
      </c>
      <c r="K2562">
        <v>1.11005</v>
      </c>
      <c r="L2562">
        <v>285.33539999999999</v>
      </c>
      <c r="M2562">
        <v>-0.99992329999999996</v>
      </c>
      <c r="N2562">
        <v>0</v>
      </c>
      <c r="O2562">
        <v>1.1553850000000001E-3</v>
      </c>
      <c r="P2562">
        <v>-0.99966180000000004</v>
      </c>
      <c r="Q2562">
        <v>2.4433449999999999E-2</v>
      </c>
      <c r="R2562">
        <v>8.9141740000000004E-3</v>
      </c>
      <c r="S2562">
        <v>-3.0050050000000001</v>
      </c>
      <c r="T2562">
        <v>-0.13742989999999999</v>
      </c>
      <c r="U2562">
        <v>-7.0159910000000006E-2</v>
      </c>
      <c r="V2562">
        <v>7.7604609999999997E-3</v>
      </c>
      <c r="W2562">
        <v>3.6770940000000002E-2</v>
      </c>
      <c r="X2562">
        <v>0.9992936</v>
      </c>
      <c r="Y2562">
        <v>-2.44697E-2</v>
      </c>
      <c r="Z2562">
        <v>-6.1198559999999999E-4</v>
      </c>
      <c r="AA2562">
        <v>0.99970040000000004</v>
      </c>
      <c r="AB2562">
        <v>27</v>
      </c>
      <c r="AC2562">
        <v>-24.0994999999999</v>
      </c>
      <c r="AD2562">
        <v>-1.1100465107099999</v>
      </c>
      <c r="AE2562">
        <v>-0.56689999999997498</v>
      </c>
      <c r="AF2562">
        <v>-0.59348748484389302</v>
      </c>
      <c r="AG2562">
        <v>-1.1100465107099999</v>
      </c>
      <c r="AH2562">
        <v>24.047836873426199</v>
      </c>
      <c r="AI2562">
        <v>92.642089883218901</v>
      </c>
      <c r="AJ2562">
        <v>91.413741578602</v>
      </c>
      <c r="AK2562">
        <v>24.080757648826602</v>
      </c>
      <c r="AL2562">
        <v>87.892705294819905</v>
      </c>
      <c r="AM2562">
        <v>89.555052965484705</v>
      </c>
      <c r="AN2562">
        <v>1.00000001289218</v>
      </c>
    </row>
    <row r="2563" spans="1:40" x14ac:dyDescent="0.25">
      <c r="A2563" t="str">
        <f>"20190312160344224"</f>
        <v>20190312160344224</v>
      </c>
      <c r="B2563" t="str">
        <f>"1552377824216765"</f>
        <v>1552377824216765</v>
      </c>
      <c r="C2563" t="s">
        <v>40</v>
      </c>
      <c r="D2563">
        <v>5.0746390000000003</v>
      </c>
      <c r="E2563">
        <v>0.46956680000000001</v>
      </c>
      <c r="F2563" t="s">
        <v>70</v>
      </c>
      <c r="G2563">
        <v>-457.95440000000002</v>
      </c>
      <c r="H2563" s="1">
        <v>2.7727449999999999E-6</v>
      </c>
      <c r="I2563">
        <v>282.86399999999998</v>
      </c>
      <c r="J2563">
        <v>-425.50909999999999</v>
      </c>
      <c r="K2563">
        <v>1.11005</v>
      </c>
      <c r="L2563">
        <v>285.3356</v>
      </c>
      <c r="M2563">
        <v>-0.99992329999999996</v>
      </c>
      <c r="N2563">
        <v>0</v>
      </c>
      <c r="O2563">
        <v>1.155386E-3</v>
      </c>
      <c r="P2563">
        <v>-0.99966339999999998</v>
      </c>
      <c r="Q2563">
        <v>2.4331209999999999E-2</v>
      </c>
      <c r="R2563">
        <v>9.0295570000000006E-3</v>
      </c>
      <c r="S2563">
        <v>-3.0055540000000001</v>
      </c>
      <c r="T2563">
        <v>-0.1023515</v>
      </c>
      <c r="U2563">
        <v>-0.22787479999999999</v>
      </c>
      <c r="V2563">
        <v>7.8759499999999996E-3</v>
      </c>
      <c r="W2563">
        <v>3.6668489999999998E-2</v>
      </c>
      <c r="X2563">
        <v>0.99929639999999997</v>
      </c>
      <c r="Y2563">
        <v>-7.6708150000000003E-2</v>
      </c>
      <c r="Z2563">
        <v>-1.343148E-3</v>
      </c>
      <c r="AA2563">
        <v>0.99705270000000001</v>
      </c>
      <c r="AB2563">
        <v>27</v>
      </c>
      <c r="AC2563">
        <v>-32.445300000000003</v>
      </c>
      <c r="AD2563">
        <v>-1.1100472272549999</v>
      </c>
      <c r="AE2563">
        <v>-2.4715999999999601</v>
      </c>
      <c r="AF2563">
        <v>-2.5061714438492202</v>
      </c>
      <c r="AG2563">
        <v>-1.1100472272549999</v>
      </c>
      <c r="AH2563">
        <v>32.404710907311703</v>
      </c>
      <c r="AI2563">
        <v>91.956105053621798</v>
      </c>
      <c r="AJ2563">
        <v>94.422436373177305</v>
      </c>
      <c r="AK2563">
        <v>32.520430334470497</v>
      </c>
      <c r="AL2563">
        <v>87.898579080475201</v>
      </c>
      <c r="AM2563">
        <v>89.548432926160601</v>
      </c>
      <c r="AN2563">
        <v>0.99999995190012003</v>
      </c>
    </row>
    <row r="2564" spans="1:40" x14ac:dyDescent="0.25">
      <c r="A2564" t="str">
        <f>"20190312160344236"</f>
        <v>20190312160344236</v>
      </c>
      <c r="B2564" t="str">
        <f>"1552377824227501"</f>
        <v>1552377824227501</v>
      </c>
      <c r="C2564" t="s">
        <v>40</v>
      </c>
      <c r="D2564">
        <v>5.044435</v>
      </c>
      <c r="E2564">
        <v>0.46986529999999999</v>
      </c>
      <c r="F2564" t="s">
        <v>70</v>
      </c>
      <c r="G2564">
        <v>-458.81420000000003</v>
      </c>
      <c r="H2564" s="1">
        <v>3.230538E-6</v>
      </c>
      <c r="I2564">
        <v>282.85840000000002</v>
      </c>
      <c r="J2564">
        <v>-425.65370000000001</v>
      </c>
      <c r="K2564">
        <v>1.11005</v>
      </c>
      <c r="L2564">
        <v>285.33580000000001</v>
      </c>
      <c r="M2564">
        <v>-0.99992329999999996</v>
      </c>
      <c r="N2564">
        <v>0</v>
      </c>
      <c r="O2564">
        <v>1.1553869999999999E-3</v>
      </c>
      <c r="P2564">
        <v>-0.99965999999999999</v>
      </c>
      <c r="Q2564">
        <v>2.460014E-2</v>
      </c>
      <c r="R2564">
        <v>8.6611150000000005E-3</v>
      </c>
      <c r="S2564">
        <v>-3.0054630000000002</v>
      </c>
      <c r="T2564">
        <v>-0.10017089999999999</v>
      </c>
      <c r="U2564">
        <v>-0.2235413</v>
      </c>
      <c r="V2564">
        <v>7.5074900000000003E-3</v>
      </c>
      <c r="W2564">
        <v>3.6937249999999998E-2</v>
      </c>
      <c r="X2564">
        <v>0.99928939999999999</v>
      </c>
      <c r="Y2564">
        <v>-7.5283459999999996E-2</v>
      </c>
      <c r="Z2564">
        <v>-1.2909550000000001E-3</v>
      </c>
      <c r="AA2564">
        <v>0.99716130000000003</v>
      </c>
      <c r="AB2564">
        <v>27</v>
      </c>
      <c r="AC2564">
        <v>-33.160499999999999</v>
      </c>
      <c r="AD2564">
        <v>-1.110046769462</v>
      </c>
      <c r="AE2564">
        <v>-2.4773999999999798</v>
      </c>
      <c r="AF2564">
        <v>-2.51291419429523</v>
      </c>
      <c r="AG2564">
        <v>-1.110046769462</v>
      </c>
      <c r="AH2564">
        <v>33.120707100283902</v>
      </c>
      <c r="AI2564">
        <v>91.914063279804395</v>
      </c>
      <c r="AJ2564">
        <v>94.338797978218494</v>
      </c>
      <c r="AK2564">
        <v>33.234442682269901</v>
      </c>
      <c r="AL2564">
        <v>87.883169958206395</v>
      </c>
      <c r="AM2564">
        <v>89.569554726457895</v>
      </c>
      <c r="AN2564">
        <v>1.0000000138980101</v>
      </c>
    </row>
    <row r="2565" spans="1:40" x14ac:dyDescent="0.25">
      <c r="A2565" t="str">
        <f>"20190312160344250"</f>
        <v>20190312160344250</v>
      </c>
      <c r="B2565" t="str">
        <f>"1552377824237261"</f>
        <v>1552377824237261</v>
      </c>
      <c r="C2565" t="s">
        <v>40</v>
      </c>
      <c r="D2565">
        <v>4.9920819999999999</v>
      </c>
      <c r="E2565">
        <v>0.4694139</v>
      </c>
      <c r="F2565" t="s">
        <v>70</v>
      </c>
      <c r="G2565">
        <v>-459.50979999999998</v>
      </c>
      <c r="H2565" s="1">
        <v>3.601922E-6</v>
      </c>
      <c r="I2565">
        <v>282.8306</v>
      </c>
      <c r="J2565">
        <v>-425.80810000000002</v>
      </c>
      <c r="K2565">
        <v>1.110052</v>
      </c>
      <c r="L2565">
        <v>285.33589999999998</v>
      </c>
      <c r="M2565">
        <v>-0.99992329999999996</v>
      </c>
      <c r="N2565">
        <v>0</v>
      </c>
      <c r="O2565">
        <v>1.1552089999999999E-3</v>
      </c>
      <c r="P2565">
        <v>-0.99966029999999995</v>
      </c>
      <c r="Q2565">
        <v>2.4535000000000001E-2</v>
      </c>
      <c r="R2565">
        <v>8.8190530000000003E-3</v>
      </c>
      <c r="S2565">
        <v>-3.005341</v>
      </c>
      <c r="T2565">
        <v>-9.8536730000000003E-2</v>
      </c>
      <c r="U2565">
        <v>-0.22238160000000001</v>
      </c>
      <c r="V2565">
        <v>7.665603E-3</v>
      </c>
      <c r="W2565">
        <v>3.6872439999999999E-2</v>
      </c>
      <c r="X2565">
        <v>0.99929060000000003</v>
      </c>
      <c r="Y2565">
        <v>-7.4905180000000002E-2</v>
      </c>
      <c r="Z2565">
        <v>-1.263779E-3</v>
      </c>
      <c r="AA2565">
        <v>0.99718989999999996</v>
      </c>
      <c r="AB2565">
        <v>27</v>
      </c>
      <c r="AC2565">
        <v>-33.701699999999903</v>
      </c>
      <c r="AD2565">
        <v>-1.110048398078</v>
      </c>
      <c r="AE2565">
        <v>-2.5052999999999699</v>
      </c>
      <c r="AF2565">
        <v>-2.5414917442484501</v>
      </c>
      <c r="AG2565">
        <v>-1.110048398078</v>
      </c>
      <c r="AH2565">
        <v>33.662464235556499</v>
      </c>
      <c r="AI2565">
        <v>91.883336544490305</v>
      </c>
      <c r="AJ2565">
        <v>94.317598775764196</v>
      </c>
      <c r="AK2565">
        <v>33.776513824583503</v>
      </c>
      <c r="AL2565">
        <v>87.886885843473195</v>
      </c>
      <c r="AM2565">
        <v>89.560490127098106</v>
      </c>
      <c r="AN2565">
        <v>1.00000002077463</v>
      </c>
    </row>
    <row r="2566" spans="1:40" x14ac:dyDescent="0.25">
      <c r="A2566" t="str">
        <f>"20190312160344263"</f>
        <v>20190312160344263</v>
      </c>
      <c r="B2566" t="str">
        <f>"1552377824256781"</f>
        <v>1552377824256781</v>
      </c>
      <c r="C2566" t="s">
        <v>40</v>
      </c>
      <c r="D2566">
        <v>4.964861</v>
      </c>
      <c r="E2566">
        <v>0.4682135</v>
      </c>
      <c r="F2566" t="s">
        <v>70</v>
      </c>
      <c r="G2566">
        <v>-460.42290000000003</v>
      </c>
      <c r="H2566" s="1">
        <v>-1.2297240000000001E-6</v>
      </c>
      <c r="I2566">
        <v>282.74020000000002</v>
      </c>
      <c r="J2566">
        <v>-425.97789999999998</v>
      </c>
      <c r="K2566">
        <v>1.110053</v>
      </c>
      <c r="L2566">
        <v>285.33620000000002</v>
      </c>
      <c r="M2566">
        <v>-0.99992329999999996</v>
      </c>
      <c r="N2566">
        <v>0</v>
      </c>
      <c r="O2566">
        <v>1.15521E-3</v>
      </c>
      <c r="P2566">
        <v>-0.99965479999999995</v>
      </c>
      <c r="Q2566">
        <v>2.4637590000000001E-2</v>
      </c>
      <c r="R2566">
        <v>9.1496270000000005E-3</v>
      </c>
      <c r="S2566">
        <v>-3.0054020000000001</v>
      </c>
      <c r="T2566">
        <v>-9.6379519999999996E-2</v>
      </c>
      <c r="U2566">
        <v>-0.2253723</v>
      </c>
      <c r="V2566">
        <v>7.9962929999999998E-3</v>
      </c>
      <c r="W2566">
        <v>3.6974409999999999E-2</v>
      </c>
      <c r="X2566">
        <v>0.99928419999999896</v>
      </c>
      <c r="Y2566">
        <v>-7.5891760000000003E-2</v>
      </c>
      <c r="Z2566">
        <v>-1.251849E-3</v>
      </c>
      <c r="AA2566">
        <v>0.99711530000000004</v>
      </c>
      <c r="AB2566">
        <v>27</v>
      </c>
      <c r="AC2566">
        <v>-34.445</v>
      </c>
      <c r="AD2566">
        <v>-1.1100542297239999</v>
      </c>
      <c r="AE2566">
        <v>-2.5960000000000001</v>
      </c>
      <c r="AF2566">
        <v>-2.6330733144803098</v>
      </c>
      <c r="AG2566">
        <v>-1.1100542297239999</v>
      </c>
      <c r="AH2566">
        <v>34.406446161210802</v>
      </c>
      <c r="AI2566">
        <v>91.842507369407599</v>
      </c>
      <c r="AJ2566">
        <v>94.376229408274597</v>
      </c>
      <c r="AK2566">
        <v>34.524901635148197</v>
      </c>
      <c r="AL2566">
        <v>87.881039319888103</v>
      </c>
      <c r="AM2566">
        <v>89.541527763434502</v>
      </c>
      <c r="AN2566">
        <v>0.99999998003311397</v>
      </c>
    </row>
    <row r="2567" spans="1:40" x14ac:dyDescent="0.25">
      <c r="A2567" t="str">
        <f>"20190312160344278"</f>
        <v>20190312160344278</v>
      </c>
      <c r="B2567" t="str">
        <f>"1552377824267516"</f>
        <v>1552377824267516</v>
      </c>
      <c r="C2567" t="s">
        <v>40</v>
      </c>
      <c r="D2567">
        <v>4.9501280000000003</v>
      </c>
      <c r="E2567">
        <v>0.46780569999999999</v>
      </c>
      <c r="F2567" t="s">
        <v>70</v>
      </c>
      <c r="G2567">
        <v>-466.56</v>
      </c>
      <c r="H2567" s="1">
        <v>2.060309E-6</v>
      </c>
      <c r="I2567">
        <v>282.18639999999999</v>
      </c>
      <c r="J2567">
        <v>-426.14400000000001</v>
      </c>
      <c r="K2567">
        <v>1.1100490000000001</v>
      </c>
      <c r="L2567">
        <v>285.33629999999999</v>
      </c>
      <c r="M2567">
        <v>-0.99992320000000001</v>
      </c>
      <c r="N2567">
        <v>0</v>
      </c>
      <c r="O2567">
        <v>1.1550320000000001E-3</v>
      </c>
      <c r="P2567">
        <v>-0.99964989999999998</v>
      </c>
      <c r="Q2567">
        <v>2.4820559999999998E-2</v>
      </c>
      <c r="R2567">
        <v>9.1598019999999999E-3</v>
      </c>
      <c r="S2567">
        <v>-3.0051570000000001</v>
      </c>
      <c r="T2567">
        <v>-8.2200880000000004E-2</v>
      </c>
      <c r="U2567">
        <v>-0.2332458</v>
      </c>
      <c r="V2567">
        <v>8.0063759999999904E-3</v>
      </c>
      <c r="W2567">
        <v>3.7156920000000003E-2</v>
      </c>
      <c r="X2567">
        <v>0.99927739999999998</v>
      </c>
      <c r="Y2567">
        <v>-7.8504439999999995E-2</v>
      </c>
      <c r="Z2567">
        <v>-1.1034079999999999E-3</v>
      </c>
      <c r="AA2567">
        <v>0.9969131</v>
      </c>
      <c r="AB2567">
        <v>27</v>
      </c>
      <c r="AC2567">
        <v>-40.415999999999997</v>
      </c>
      <c r="AD2567">
        <v>-1.110046939691</v>
      </c>
      <c r="AE2567">
        <v>-3.1499000000000001</v>
      </c>
      <c r="AF2567">
        <v>-3.1941882205313599</v>
      </c>
      <c r="AG2567">
        <v>-1.110046939691</v>
      </c>
      <c r="AH2567">
        <v>40.3820560170075</v>
      </c>
      <c r="AI2567">
        <v>91.569684927888503</v>
      </c>
      <c r="AJ2567">
        <v>94.5226336316681</v>
      </c>
      <c r="AK2567">
        <v>40.523394363715703</v>
      </c>
      <c r="AL2567">
        <v>87.870575183674006</v>
      </c>
      <c r="AM2567">
        <v>89.540946549663602</v>
      </c>
      <c r="AN2567">
        <v>1.00000003045564</v>
      </c>
    </row>
    <row r="2568" spans="1:40" x14ac:dyDescent="0.25">
      <c r="A2568" t="str">
        <f>"20190312160344293"</f>
        <v>20190312160344293</v>
      </c>
      <c r="B2568" t="str">
        <f>"1552377824287036"</f>
        <v>1552377824287036</v>
      </c>
      <c r="C2568" t="s">
        <v>40</v>
      </c>
      <c r="D2568">
        <v>4.9171199999999997</v>
      </c>
      <c r="E2568">
        <v>0.4674838</v>
      </c>
      <c r="F2568" t="s">
        <v>70</v>
      </c>
      <c r="G2568">
        <v>-469.44490000000002</v>
      </c>
      <c r="H2568" s="1">
        <v>3.6068170000000002E-6</v>
      </c>
      <c r="I2568">
        <v>281.928</v>
      </c>
      <c r="J2568">
        <v>-426.32650000000001</v>
      </c>
      <c r="K2568">
        <v>1.11005</v>
      </c>
      <c r="L2568">
        <v>285.3365</v>
      </c>
      <c r="M2568">
        <v>-0.99992320000000001</v>
      </c>
      <c r="N2568">
        <v>0</v>
      </c>
      <c r="O2568">
        <v>1.1550320000000001E-3</v>
      </c>
      <c r="P2568">
        <v>-0.99964600000000003</v>
      </c>
      <c r="Q2568">
        <v>2.4945200000000001E-2</v>
      </c>
      <c r="R2568">
        <v>9.2640399999999994E-3</v>
      </c>
      <c r="S2568">
        <v>-3.0051570000000001</v>
      </c>
      <c r="T2568">
        <v>-7.7038999999999996E-2</v>
      </c>
      <c r="U2568">
        <v>-0.23654169999999999</v>
      </c>
      <c r="V2568">
        <v>8.1108489999999998E-3</v>
      </c>
      <c r="W2568">
        <v>3.7281759999999997E-2</v>
      </c>
      <c r="X2568">
        <v>0.99927189999999999</v>
      </c>
      <c r="Y2568">
        <v>-7.9594369999999998E-2</v>
      </c>
      <c r="Z2568">
        <v>-1.0480450000000001E-3</v>
      </c>
      <c r="AA2568">
        <v>0.99682680000000001</v>
      </c>
      <c r="AB2568">
        <v>27</v>
      </c>
      <c r="AC2568">
        <v>-43.118400000000001</v>
      </c>
      <c r="AD2568">
        <v>-1.110046393183</v>
      </c>
      <c r="AE2568">
        <v>-3.4085000000000001</v>
      </c>
      <c r="AF2568">
        <v>-3.4560283530006202</v>
      </c>
      <c r="AG2568">
        <v>-1.110046393183</v>
      </c>
      <c r="AH2568">
        <v>43.086055580208701</v>
      </c>
      <c r="AI2568">
        <v>91.471088931580994</v>
      </c>
      <c r="AJ2568">
        <v>94.586003284472</v>
      </c>
      <c r="AK2568">
        <v>43.238692399662099</v>
      </c>
      <c r="AL2568">
        <v>87.863417402970995</v>
      </c>
      <c r="AM2568">
        <v>89.534954189243095</v>
      </c>
      <c r="AN2568">
        <v>1.0000000228149</v>
      </c>
    </row>
    <row r="2569" spans="1:40" x14ac:dyDescent="0.25">
      <c r="A2569" t="str">
        <f>"20190312160344308"</f>
        <v>20190312160344308</v>
      </c>
      <c r="B2569" t="str">
        <f>"1552377824296796"</f>
        <v>1552377824296796</v>
      </c>
      <c r="C2569" t="s">
        <v>40</v>
      </c>
      <c r="D2569">
        <v>4.9091120000000004</v>
      </c>
      <c r="E2569">
        <v>0.46721750000000001</v>
      </c>
      <c r="F2569" t="s">
        <v>59</v>
      </c>
      <c r="G2569">
        <v>-474.52460000000002</v>
      </c>
      <c r="H2569" s="1">
        <v>4.336564E-6</v>
      </c>
      <c r="I2569">
        <v>281.51569999999998</v>
      </c>
      <c r="J2569">
        <v>-426.50920000000002</v>
      </c>
      <c r="K2569">
        <v>1.1100479999999999</v>
      </c>
      <c r="L2569">
        <v>285.33670000000001</v>
      </c>
      <c r="M2569">
        <v>-0.99992320000000001</v>
      </c>
      <c r="N2569">
        <v>0</v>
      </c>
      <c r="O2569">
        <v>1.1548540000000001E-3</v>
      </c>
      <c r="P2569">
        <v>-0.99964339999999996</v>
      </c>
      <c r="Q2569">
        <v>2.5042890000000002E-2</v>
      </c>
      <c r="R2569">
        <v>9.2799690000000008E-3</v>
      </c>
      <c r="S2569">
        <v>-3.0050349999999999</v>
      </c>
      <c r="T2569">
        <v>-6.9208619999999998E-2</v>
      </c>
      <c r="U2569">
        <v>-0.23822019999999999</v>
      </c>
      <c r="V2569">
        <v>8.1270049999999996E-3</v>
      </c>
      <c r="W2569">
        <v>3.737944E-2</v>
      </c>
      <c r="X2569">
        <v>0.99926809999999999</v>
      </c>
      <c r="Y2569">
        <v>-8.0155599999999994E-2</v>
      </c>
      <c r="Z2569">
        <v>-9.4801439999999998E-4</v>
      </c>
      <c r="AA2569">
        <v>0.9967819</v>
      </c>
      <c r="AB2569">
        <v>27</v>
      </c>
      <c r="AC2569">
        <v>-48.0154</v>
      </c>
      <c r="AD2569">
        <v>-1.110043663436</v>
      </c>
      <c r="AE2569">
        <v>-3.8210000000000202</v>
      </c>
      <c r="AF2569">
        <v>-3.8743947540014299</v>
      </c>
      <c r="AG2569">
        <v>-1.110043663436</v>
      </c>
      <c r="AH2569">
        <v>47.985469795092698</v>
      </c>
      <c r="AI2569">
        <v>91.320884921137804</v>
      </c>
      <c r="AJ2569">
        <v>94.616104874183094</v>
      </c>
      <c r="AK2569">
        <v>48.154422882019098</v>
      </c>
      <c r="AL2569">
        <v>87.857816805585799</v>
      </c>
      <c r="AM2569">
        <v>89.534026133391507</v>
      </c>
      <c r="AN2569">
        <v>1.0000000032112899</v>
      </c>
    </row>
    <row r="2570" spans="1:40" x14ac:dyDescent="0.25">
      <c r="A2570" t="str">
        <f>"20190312160344331"</f>
        <v>20190312160344331</v>
      </c>
      <c r="B2570" t="str">
        <f>"1552377824317293"</f>
        <v>1552377824317293</v>
      </c>
      <c r="C2570" t="s">
        <v>40</v>
      </c>
      <c r="D2570">
        <v>4.868004</v>
      </c>
      <c r="E2570">
        <v>0.46688829999999998</v>
      </c>
      <c r="F2570" t="s">
        <v>59</v>
      </c>
      <c r="G2570">
        <v>-477.89120000000003</v>
      </c>
      <c r="H2570" s="1">
        <v>2.8185959999999999E-6</v>
      </c>
      <c r="I2570">
        <v>281.22949999999997</v>
      </c>
      <c r="J2570">
        <v>-426.7824</v>
      </c>
      <c r="K2570">
        <v>1.1100460000000001</v>
      </c>
      <c r="L2570">
        <v>285.33699999999999</v>
      </c>
      <c r="M2570">
        <v>-0.99992320000000001</v>
      </c>
      <c r="N2570">
        <v>0</v>
      </c>
      <c r="O2570">
        <v>1.154855E-3</v>
      </c>
      <c r="P2570">
        <v>-0.99963409999999997</v>
      </c>
      <c r="Q2570">
        <v>2.5280170000000001E-2</v>
      </c>
      <c r="R2570">
        <v>9.6233499999999993E-3</v>
      </c>
      <c r="S2570">
        <v>-3.0049440000000001</v>
      </c>
      <c r="T2570">
        <v>-6.4918160000000003E-2</v>
      </c>
      <c r="U2570">
        <v>-0.2402039</v>
      </c>
      <c r="V2570">
        <v>8.4702010000000001E-3</v>
      </c>
      <c r="W2570">
        <v>3.7616259999999999E-2</v>
      </c>
      <c r="X2570">
        <v>0.99925640000000004</v>
      </c>
      <c r="Y2570">
        <v>-8.0814259999999999E-2</v>
      </c>
      <c r="Z2570">
        <v>-8.9636449999999895E-4</v>
      </c>
      <c r="AA2570">
        <v>0.99672879999999997</v>
      </c>
      <c r="AB2570">
        <v>27</v>
      </c>
      <c r="AC2570">
        <v>-51.108800000000002</v>
      </c>
      <c r="AD2570">
        <v>-1.1100431814039999</v>
      </c>
      <c r="AE2570">
        <v>-4.1075000000000097</v>
      </c>
      <c r="AF2570">
        <v>-4.1645730842248199</v>
      </c>
      <c r="AG2570">
        <v>-1.1100431814039999</v>
      </c>
      <c r="AH2570">
        <v>51.080080897399696</v>
      </c>
      <c r="AI2570">
        <v>91.240807434316395</v>
      </c>
      <c r="AJ2570">
        <v>94.661031369144993</v>
      </c>
      <c r="AK2570">
        <v>51.261589219642097</v>
      </c>
      <c r="AL2570">
        <v>87.844238549190393</v>
      </c>
      <c r="AM2570">
        <v>89.514343719840099</v>
      </c>
      <c r="AN2570">
        <v>1.00000004013116</v>
      </c>
    </row>
    <row r="2571" spans="1:40" x14ac:dyDescent="0.25">
      <c r="A2571" t="str">
        <f>"20190312160344344"</f>
        <v>20190312160344344</v>
      </c>
      <c r="B2571" t="str">
        <f>"1552377824336812"</f>
        <v>1552377824336812</v>
      </c>
      <c r="C2571" t="s">
        <v>40</v>
      </c>
      <c r="D2571">
        <v>4.8338229999999998</v>
      </c>
      <c r="E2571">
        <v>0.46671279999999998</v>
      </c>
      <c r="F2571" t="s">
        <v>59</v>
      </c>
      <c r="G2571">
        <v>-483.14620000000002</v>
      </c>
      <c r="H2571" s="1">
        <v>2.4307049999999998E-6</v>
      </c>
      <c r="I2571">
        <v>280.8057</v>
      </c>
      <c r="J2571">
        <v>-426.94740000000002</v>
      </c>
      <c r="K2571">
        <v>1.110053</v>
      </c>
      <c r="L2571">
        <v>285.3372</v>
      </c>
      <c r="M2571">
        <v>-0.99992320000000001</v>
      </c>
      <c r="N2571">
        <v>0</v>
      </c>
      <c r="O2571">
        <v>1.154855E-3</v>
      </c>
      <c r="P2571">
        <v>-0.99962600000000001</v>
      </c>
      <c r="Q2571">
        <v>2.5553050000000001E-2</v>
      </c>
      <c r="R2571">
        <v>9.7610709999999996E-3</v>
      </c>
      <c r="S2571">
        <v>-3.0049130000000002</v>
      </c>
      <c r="T2571">
        <v>-5.9179540000000003E-2</v>
      </c>
      <c r="U2571">
        <v>-0.24157709999999999</v>
      </c>
      <c r="V2571">
        <v>8.6081059999999904E-3</v>
      </c>
      <c r="W2571">
        <v>3.7888819999999997E-2</v>
      </c>
      <c r="X2571">
        <v>0.99924489999999999</v>
      </c>
      <c r="Y2571">
        <v>-8.1270809999999999E-2</v>
      </c>
      <c r="Z2571">
        <v>-8.2162529999999998E-4</v>
      </c>
      <c r="AA2571">
        <v>0.99669169999999996</v>
      </c>
      <c r="AB2571">
        <v>27</v>
      </c>
      <c r="AC2571">
        <v>-56.198799999999999</v>
      </c>
      <c r="AD2571">
        <v>-1.110050569295</v>
      </c>
      <c r="AE2571">
        <v>-4.5314999999999896</v>
      </c>
      <c r="AF2571">
        <v>-4.5946223728871196</v>
      </c>
      <c r="AG2571">
        <v>-1.110050569295</v>
      </c>
      <c r="AH2571">
        <v>56.171755060646902</v>
      </c>
      <c r="AI2571">
        <v>91.128348488976798</v>
      </c>
      <c r="AJ2571">
        <v>94.676152846123998</v>
      </c>
      <c r="AK2571">
        <v>56.370283249325098</v>
      </c>
      <c r="AL2571">
        <v>87.828610819379605</v>
      </c>
      <c r="AM2571">
        <v>89.506431362953094</v>
      </c>
      <c r="AN2571">
        <v>1.0000000161729501</v>
      </c>
    </row>
    <row r="2572" spans="1:40" x14ac:dyDescent="0.25">
      <c r="A2572" t="str">
        <f>"20190312160344365"</f>
        <v>20190312160344365</v>
      </c>
      <c r="B2572" t="str">
        <f>"1552377824357309"</f>
        <v>1552377824357309</v>
      </c>
      <c r="C2572" t="s">
        <v>40</v>
      </c>
      <c r="D2572">
        <v>4.7889869999999997</v>
      </c>
      <c r="E2572">
        <v>0.46660259999999998</v>
      </c>
      <c r="F2572" t="s">
        <v>59</v>
      </c>
      <c r="G2572">
        <v>-488.53280000000001</v>
      </c>
      <c r="H2572" s="1">
        <v>3.347972E-6</v>
      </c>
      <c r="I2572">
        <v>280.36849999999998</v>
      </c>
      <c r="J2572">
        <v>-427.18209999999999</v>
      </c>
      <c r="K2572">
        <v>1.110055</v>
      </c>
      <c r="L2572">
        <v>285.33749999999998</v>
      </c>
      <c r="M2572">
        <v>-0.99992320000000001</v>
      </c>
      <c r="N2572">
        <v>0</v>
      </c>
      <c r="O2572">
        <v>1.1547370000000001E-3</v>
      </c>
      <c r="P2572">
        <v>-0.99961659999999997</v>
      </c>
      <c r="Q2572">
        <v>2.5834800000000002E-2</v>
      </c>
      <c r="R2572">
        <v>9.9695129999999993E-3</v>
      </c>
      <c r="S2572">
        <v>-3.0048520000000001</v>
      </c>
      <c r="T2572">
        <v>-5.4161189999999998E-2</v>
      </c>
      <c r="U2572">
        <v>-0.2424316</v>
      </c>
      <c r="V2572">
        <v>8.8166289999999994E-3</v>
      </c>
      <c r="W2572">
        <v>3.8170429999999998E-2</v>
      </c>
      <c r="X2572">
        <v>0.99923240000000002</v>
      </c>
      <c r="Y2572">
        <v>-8.1556420000000004E-2</v>
      </c>
      <c r="Z2572">
        <v>-7.5453849999999997E-4</v>
      </c>
      <c r="AA2572">
        <v>0.99666849999999996</v>
      </c>
      <c r="AB2572">
        <v>27</v>
      </c>
      <c r="AC2572">
        <v>-61.350700000000003</v>
      </c>
      <c r="AD2572">
        <v>-1.1100516520279999</v>
      </c>
      <c r="AE2572">
        <v>-4.9689999999999896</v>
      </c>
      <c r="AF2572">
        <v>-5.0382073631907298</v>
      </c>
      <c r="AG2572">
        <v>-1.1100516520279999</v>
      </c>
      <c r="AH2572">
        <v>61.324975258868498</v>
      </c>
      <c r="AI2572">
        <v>91.033524080995207</v>
      </c>
      <c r="AJ2572">
        <v>94.696637399174804</v>
      </c>
      <c r="AK2572">
        <v>61.541598440449299</v>
      </c>
      <c r="AL2572">
        <v>87.812464153042995</v>
      </c>
      <c r="AM2572">
        <v>89.4944694320872</v>
      </c>
      <c r="AN2572">
        <v>1.00000005194153</v>
      </c>
    </row>
    <row r="2573" spans="1:40" x14ac:dyDescent="0.25">
      <c r="A2573" t="str">
        <f>"20190312160344387"</f>
        <v>20190312160344387</v>
      </c>
      <c r="B2573" t="str">
        <f>"1552377824376829"</f>
        <v>1552377824376829</v>
      </c>
      <c r="C2573" t="s">
        <v>40</v>
      </c>
      <c r="D2573">
        <v>4.7687369999999998</v>
      </c>
      <c r="E2573">
        <v>0.46642060000000002</v>
      </c>
      <c r="F2573" t="s">
        <v>59</v>
      </c>
      <c r="G2573">
        <v>-494.32089999999999</v>
      </c>
      <c r="H2573" s="1">
        <v>2.7876429999999999E-6</v>
      </c>
      <c r="I2573">
        <v>279.92070000000001</v>
      </c>
      <c r="J2573">
        <v>-427.44470000000001</v>
      </c>
      <c r="K2573">
        <v>1.1100620000000001</v>
      </c>
      <c r="L2573">
        <v>285.33780000000002</v>
      </c>
      <c r="M2573">
        <v>-0.99992320000000001</v>
      </c>
      <c r="N2573">
        <v>0</v>
      </c>
      <c r="O2573">
        <v>1.1545590000000001E-3</v>
      </c>
      <c r="P2573">
        <v>-0.9996157</v>
      </c>
      <c r="Q2573">
        <v>2.5979470000000001E-2</v>
      </c>
      <c r="R2573">
        <v>9.680358E-3</v>
      </c>
      <c r="S2573">
        <v>-3.0048520000000001</v>
      </c>
      <c r="T2573">
        <v>-4.9681309999999999E-2</v>
      </c>
      <c r="U2573">
        <v>-0.2424316</v>
      </c>
      <c r="V2573">
        <v>8.5277730000000006E-3</v>
      </c>
      <c r="W2573">
        <v>3.8314800000000003E-2</v>
      </c>
      <c r="X2573">
        <v>0.99922929999999999</v>
      </c>
      <c r="Y2573">
        <v>-8.1558370000000005E-2</v>
      </c>
      <c r="Z2573">
        <v>-6.9214959999999996E-4</v>
      </c>
      <c r="AA2573">
        <v>0.99666829999999995</v>
      </c>
      <c r="AB2573">
        <v>27</v>
      </c>
      <c r="AC2573">
        <v>-66.876199999999898</v>
      </c>
      <c r="AD2573">
        <v>-1.1100592123569999</v>
      </c>
      <c r="AE2573">
        <v>-5.4170999999999996</v>
      </c>
      <c r="AF2573">
        <v>-5.4928112859894602</v>
      </c>
      <c r="AG2573">
        <v>-1.1100592123569999</v>
      </c>
      <c r="AH2573">
        <v>66.851601862723598</v>
      </c>
      <c r="AI2573">
        <v>90.948104680734701</v>
      </c>
      <c r="AJ2573">
        <v>94.6971133218928</v>
      </c>
      <c r="AK2573">
        <v>67.086063223970299</v>
      </c>
      <c r="AL2573">
        <v>87.804186127248698</v>
      </c>
      <c r="AM2573">
        <v>89.511029611004304</v>
      </c>
      <c r="AN2573">
        <v>0.99999997039493405</v>
      </c>
    </row>
    <row r="2574" spans="1:40" x14ac:dyDescent="0.25">
      <c r="A2574" t="str">
        <f>"20190312160344401"</f>
        <v>20190312160344401</v>
      </c>
      <c r="B2574" t="str">
        <f>"1552377824397324"</f>
        <v>1552377824397324</v>
      </c>
      <c r="C2574" t="s">
        <v>40</v>
      </c>
      <c r="D2574">
        <v>4.7459519999999999</v>
      </c>
      <c r="E2574">
        <v>0.466248</v>
      </c>
      <c r="F2574" t="s">
        <v>59</v>
      </c>
      <c r="G2574">
        <v>-499.95769999999999</v>
      </c>
      <c r="H2574">
        <v>1.1306139999999999E-2</v>
      </c>
      <c r="I2574">
        <v>279.44229999999999</v>
      </c>
      <c r="J2574">
        <v>-427.61529999999999</v>
      </c>
      <c r="K2574">
        <v>1.110061</v>
      </c>
      <c r="L2574">
        <v>285.33800000000002</v>
      </c>
      <c r="M2574">
        <v>-0.99992320000000001</v>
      </c>
      <c r="N2574">
        <v>0</v>
      </c>
      <c r="O2574">
        <v>1.1543809999999999E-3</v>
      </c>
      <c r="P2574">
        <v>-0.99960950000000004</v>
      </c>
      <c r="Q2574">
        <v>2.6272980000000001E-2</v>
      </c>
      <c r="R2574">
        <v>9.5177820000000007E-3</v>
      </c>
      <c r="S2574">
        <v>-3.0047299999999999</v>
      </c>
      <c r="T2574">
        <v>-4.552925E-2</v>
      </c>
      <c r="U2574">
        <v>-0.24429319999999999</v>
      </c>
      <c r="V2574">
        <v>8.3652789999999998E-3</v>
      </c>
      <c r="W2574">
        <v>3.8607839999999997E-2</v>
      </c>
      <c r="X2574">
        <v>0.99921939999999998</v>
      </c>
      <c r="Y2574">
        <v>-8.2176600000000002E-2</v>
      </c>
      <c r="Z2574">
        <v>-6.3899400000000004E-4</v>
      </c>
      <c r="AA2574">
        <v>0.99661759999999999</v>
      </c>
      <c r="AB2574">
        <v>27</v>
      </c>
      <c r="AC2574">
        <v>-72.342399999999998</v>
      </c>
      <c r="AD2574">
        <v>-1.0987548600000001</v>
      </c>
      <c r="AE2574">
        <v>-5.8956999999999704</v>
      </c>
      <c r="AF2574">
        <v>-5.9778432326791897</v>
      </c>
      <c r="AG2574">
        <v>-1.0987548600000001</v>
      </c>
      <c r="AH2574">
        <v>72.318972695757694</v>
      </c>
      <c r="AI2574">
        <v>90.8674798130874</v>
      </c>
      <c r="AJ2574">
        <v>94.725292590489403</v>
      </c>
      <c r="AK2574">
        <v>72.573932535908597</v>
      </c>
      <c r="AL2574">
        <v>87.787383752206097</v>
      </c>
      <c r="AM2574">
        <v>89.520341594525306</v>
      </c>
      <c r="AN2574">
        <v>0.99999997626928605</v>
      </c>
    </row>
    <row r="2575" spans="1:40" x14ac:dyDescent="0.25">
      <c r="A2575" t="str">
        <f>"20190312160344416"</f>
        <v>20190312160344416</v>
      </c>
      <c r="B2575" t="str">
        <f>"1552377824407085"</f>
        <v>1552377824407085</v>
      </c>
      <c r="C2575" t="s">
        <v>40</v>
      </c>
      <c r="D2575">
        <v>4.7291930000000004</v>
      </c>
      <c r="E2575">
        <v>0.46619070000000001</v>
      </c>
      <c r="F2575" t="s">
        <v>76</v>
      </c>
      <c r="G2575">
        <v>-511.95859999999999</v>
      </c>
      <c r="H2575">
        <v>-8.6486940000000002E-3</v>
      </c>
      <c r="I2575">
        <v>278.4314</v>
      </c>
      <c r="J2575">
        <v>-427.79250000000002</v>
      </c>
      <c r="K2575">
        <v>1.1100509999999999</v>
      </c>
      <c r="L2575">
        <v>285.33819999999997</v>
      </c>
      <c r="M2575">
        <v>-0.99992320000000001</v>
      </c>
      <c r="N2575">
        <v>0</v>
      </c>
      <c r="O2575">
        <v>1.154382E-3</v>
      </c>
      <c r="P2575">
        <v>-0.99961670000000002</v>
      </c>
      <c r="Q2575">
        <v>2.6091650000000001E-2</v>
      </c>
      <c r="R2575">
        <v>9.2426880000000006E-3</v>
      </c>
      <c r="S2575">
        <v>-3.004578</v>
      </c>
      <c r="T2575">
        <v>-3.9849040000000002E-2</v>
      </c>
      <c r="U2575">
        <v>-0.24603269999999999</v>
      </c>
      <c r="V2575">
        <v>8.0900019999999902E-3</v>
      </c>
      <c r="W2575">
        <v>3.8426780000000001E-2</v>
      </c>
      <c r="X2575">
        <v>0.99922869999999997</v>
      </c>
      <c r="Y2575">
        <v>-8.2756029999999994E-2</v>
      </c>
      <c r="Z2575">
        <v>-5.6313190000000001E-4</v>
      </c>
      <c r="AA2575">
        <v>0.9965697</v>
      </c>
      <c r="AB2575">
        <v>27</v>
      </c>
      <c r="AC2575">
        <v>-84.166099999999901</v>
      </c>
      <c r="AD2575">
        <v>-1.118699694</v>
      </c>
      <c r="AE2575">
        <v>-6.9067999999999703</v>
      </c>
      <c r="AF2575">
        <v>-7.0027337571916002</v>
      </c>
      <c r="AG2575">
        <v>-1.118699694</v>
      </c>
      <c r="AH2575">
        <v>84.1433044042153</v>
      </c>
      <c r="AI2575">
        <v>90.759088397185096</v>
      </c>
      <c r="AJ2575">
        <v>94.757414676730804</v>
      </c>
      <c r="AK2575">
        <v>84.441609678759093</v>
      </c>
      <c r="AL2575">
        <v>87.797765549095004</v>
      </c>
      <c r="AM2575">
        <v>89.536129373189596</v>
      </c>
      <c r="AN2575">
        <v>1.0000000302286001</v>
      </c>
    </row>
    <row r="2576" spans="1:40" x14ac:dyDescent="0.25">
      <c r="A2576" t="str">
        <f>"20190312160344430"</f>
        <v>20190312160344430</v>
      </c>
      <c r="B2576" t="str">
        <f>"1552377824416846"</f>
        <v>1552377824416846</v>
      </c>
      <c r="C2576" t="s">
        <v>40</v>
      </c>
      <c r="D2576">
        <v>4.7473299999999998</v>
      </c>
      <c r="E2576">
        <v>0.4660955</v>
      </c>
      <c r="F2576" t="s">
        <v>76</v>
      </c>
      <c r="G2576">
        <v>-511.95859999999999</v>
      </c>
      <c r="H2576">
        <v>3.3916120000000001E-2</v>
      </c>
      <c r="I2576">
        <v>278.41329999999999</v>
      </c>
      <c r="J2576">
        <v>-427.95859999999999</v>
      </c>
      <c r="K2576">
        <v>1.1100490000000001</v>
      </c>
      <c r="L2576">
        <v>285.33839999999998</v>
      </c>
      <c r="M2576">
        <v>-0.99992320000000001</v>
      </c>
      <c r="N2576">
        <v>0</v>
      </c>
      <c r="O2576">
        <v>1.1543829999999999E-3</v>
      </c>
      <c r="P2576">
        <v>-0.99962090000000003</v>
      </c>
      <c r="Q2576">
        <v>2.6078239999999999E-2</v>
      </c>
      <c r="R2576">
        <v>8.8251830000000003E-3</v>
      </c>
      <c r="S2576">
        <v>-3.0044249999999999</v>
      </c>
      <c r="T2576">
        <v>-3.8411140000000003E-2</v>
      </c>
      <c r="U2576">
        <v>-0.24719240000000001</v>
      </c>
      <c r="V2576">
        <v>7.6725229999999997E-3</v>
      </c>
      <c r="W2576">
        <v>3.8412960000000003E-2</v>
      </c>
      <c r="X2576">
        <v>0.99923249999999997</v>
      </c>
      <c r="Y2576">
        <v>-8.3142729999999998E-2</v>
      </c>
      <c r="Z2576">
        <v>-5.453004E-4</v>
      </c>
      <c r="AA2576">
        <v>0.99653749999999997</v>
      </c>
      <c r="AB2576">
        <v>27</v>
      </c>
      <c r="AC2576">
        <v>-84</v>
      </c>
      <c r="AD2576">
        <v>-1.0761328800000001</v>
      </c>
      <c r="AE2576">
        <v>-6.92509999999998</v>
      </c>
      <c r="AF2576">
        <v>-7.0209264135832203</v>
      </c>
      <c r="AG2576">
        <v>-1.0761328800000001</v>
      </c>
      <c r="AH2576">
        <v>83.978259356696896</v>
      </c>
      <c r="AI2576">
        <v>90.731619980239103</v>
      </c>
      <c r="AJ2576">
        <v>94.779047883595695</v>
      </c>
      <c r="AK2576">
        <v>84.278108155445693</v>
      </c>
      <c r="AL2576">
        <v>87.798557908608203</v>
      </c>
      <c r="AM2576">
        <v>89.560067805003499</v>
      </c>
      <c r="AN2576">
        <v>1.00000000608069</v>
      </c>
    </row>
    <row r="2577" spans="1:40" x14ac:dyDescent="0.25">
      <c r="A2577" t="str">
        <f>"20190312160344443"</f>
        <v>20190312160344443</v>
      </c>
      <c r="B2577" t="str">
        <f>"1552377824437341"</f>
        <v>1552377824437341</v>
      </c>
      <c r="C2577" t="s">
        <v>40</v>
      </c>
      <c r="D2577">
        <v>4.6972690000000004</v>
      </c>
      <c r="E2577">
        <v>0.46598709999999999</v>
      </c>
      <c r="F2577" t="s">
        <v>76</v>
      </c>
      <c r="G2577">
        <v>-511.95859999999999</v>
      </c>
      <c r="H2577">
        <v>0.1053538</v>
      </c>
      <c r="I2577">
        <v>278.37299999999999</v>
      </c>
      <c r="J2577">
        <v>-428.11579999999998</v>
      </c>
      <c r="K2577">
        <v>1.110052</v>
      </c>
      <c r="L2577">
        <v>285.33859999999999</v>
      </c>
      <c r="M2577">
        <v>-0.99992320000000001</v>
      </c>
      <c r="N2577">
        <v>0</v>
      </c>
      <c r="O2577">
        <v>1.1543839999999901E-3</v>
      </c>
      <c r="P2577">
        <v>-0.99963089999999999</v>
      </c>
      <c r="Q2577">
        <v>2.5774499999999999E-2</v>
      </c>
      <c r="R2577">
        <v>8.5795679999999992E-3</v>
      </c>
      <c r="S2577">
        <v>-3.0042719999999998</v>
      </c>
      <c r="T2577">
        <v>-3.5930040000000003E-2</v>
      </c>
      <c r="U2577">
        <v>-0.249115</v>
      </c>
      <c r="V2577">
        <v>7.4268900000000002E-3</v>
      </c>
      <c r="W2577">
        <v>3.8109909999999997E-2</v>
      </c>
      <c r="X2577">
        <v>0.99924590000000002</v>
      </c>
      <c r="Y2577">
        <v>-8.3781069999999999E-2</v>
      </c>
      <c r="Z2577">
        <v>-5.1390319999999998E-4</v>
      </c>
      <c r="AA2577">
        <v>0.99648400000000004</v>
      </c>
      <c r="AB2577">
        <v>27</v>
      </c>
      <c r="AC2577">
        <v>-83.842799999999997</v>
      </c>
      <c r="AD2577">
        <v>-1.0046982</v>
      </c>
      <c r="AE2577">
        <v>-6.9655999999999896</v>
      </c>
      <c r="AF2577">
        <v>-7.06138248480445</v>
      </c>
      <c r="AG2577">
        <v>-1.0046982</v>
      </c>
      <c r="AH2577">
        <v>83.822748508009198</v>
      </c>
      <c r="AI2577">
        <v>90.684289894076798</v>
      </c>
      <c r="AJ2577">
        <v>94.8153323409922</v>
      </c>
      <c r="AK2577">
        <v>84.125654282785504</v>
      </c>
      <c r="AL2577">
        <v>87.8159339874246</v>
      </c>
      <c r="AM2577">
        <v>89.574157255515203</v>
      </c>
      <c r="AN2577">
        <v>0.99999994630104305</v>
      </c>
    </row>
    <row r="2578" spans="1:40" x14ac:dyDescent="0.25">
      <c r="A2578" t="str">
        <f>"20190312160344455"</f>
        <v>20190312160344455</v>
      </c>
      <c r="B2578" t="str">
        <f>"1552377824447101"</f>
        <v>1552377824447101</v>
      </c>
      <c r="C2578" t="s">
        <v>40</v>
      </c>
      <c r="D2578">
        <v>4.6792829999999999</v>
      </c>
      <c r="E2578">
        <v>0.46596019999999999</v>
      </c>
      <c r="F2578" t="s">
        <v>76</v>
      </c>
      <c r="G2578">
        <v>-511.95870000000002</v>
      </c>
      <c r="H2578">
        <v>0.17949179999999901</v>
      </c>
      <c r="I2578">
        <v>278.34059999999999</v>
      </c>
      <c r="J2578">
        <v>-428.26240000000001</v>
      </c>
      <c r="K2578">
        <v>1.110052</v>
      </c>
      <c r="L2578">
        <v>285.33870000000002</v>
      </c>
      <c r="M2578">
        <v>-0.99992320000000001</v>
      </c>
      <c r="N2578">
        <v>0</v>
      </c>
      <c r="O2578">
        <v>1.1543839999999901E-3</v>
      </c>
      <c r="P2578">
        <v>-0.99961730000000004</v>
      </c>
      <c r="Q2578">
        <v>2.6272420000000001E-2</v>
      </c>
      <c r="R2578">
        <v>8.680218E-3</v>
      </c>
      <c r="S2578">
        <v>-3.0040589999999998</v>
      </c>
      <c r="T2578">
        <v>-3.3338670000000001E-2</v>
      </c>
      <c r="U2578">
        <v>-0.25073240000000002</v>
      </c>
      <c r="V2578">
        <v>7.5277969999999897E-3</v>
      </c>
      <c r="W2578">
        <v>3.8607370000000002E-2</v>
      </c>
      <c r="X2578">
        <v>0.99922610000000001</v>
      </c>
      <c r="Y2578">
        <v>-8.4320549999999994E-2</v>
      </c>
      <c r="Z2578">
        <v>-4.7985269999999998E-4</v>
      </c>
      <c r="AA2578">
        <v>0.99643859999999995</v>
      </c>
      <c r="AB2578">
        <v>27</v>
      </c>
      <c r="AC2578">
        <v>-83.696299999999994</v>
      </c>
      <c r="AD2578">
        <v>-0.93056019999999995</v>
      </c>
      <c r="AE2578">
        <v>-6.9981000000000204</v>
      </c>
      <c r="AF2578">
        <v>-7.0938495337008503</v>
      </c>
      <c r="AG2578">
        <v>-0.93056019999999995</v>
      </c>
      <c r="AH2578">
        <v>83.677892960889693</v>
      </c>
      <c r="AI2578">
        <v>90.634868176987993</v>
      </c>
      <c r="AJ2578">
        <v>94.845701777144399</v>
      </c>
      <c r="AK2578">
        <v>83.983203165077796</v>
      </c>
      <c r="AL2578">
        <v>87.787410749051702</v>
      </c>
      <c r="AM2578">
        <v>89.568363118571199</v>
      </c>
      <c r="AN2578">
        <v>0.99999999783360005</v>
      </c>
    </row>
    <row r="2579" spans="1:40" x14ac:dyDescent="0.25">
      <c r="A2579" t="str">
        <f>"20190312160344468"</f>
        <v>20190312160344468</v>
      </c>
      <c r="B2579" t="str">
        <f>"1552377824456861"</f>
        <v>1552377824456861</v>
      </c>
      <c r="C2579" t="s">
        <v>40</v>
      </c>
      <c r="D2579">
        <v>4.6768239999999999</v>
      </c>
      <c r="E2579">
        <v>0.4658832</v>
      </c>
      <c r="F2579" t="s">
        <v>76</v>
      </c>
      <c r="G2579">
        <v>-511.95870000000002</v>
      </c>
      <c r="H2579">
        <v>0.2613782</v>
      </c>
      <c r="I2579">
        <v>278.35489999999999</v>
      </c>
      <c r="J2579">
        <v>-428.42129999999997</v>
      </c>
      <c r="K2579">
        <v>1.110053</v>
      </c>
      <c r="L2579">
        <v>285.33890000000002</v>
      </c>
      <c r="M2579">
        <v>-0.99992329999999996</v>
      </c>
      <c r="N2579">
        <v>0</v>
      </c>
      <c r="O2579">
        <v>1.154207E-3</v>
      </c>
      <c r="P2579">
        <v>-0.99961820000000001</v>
      </c>
      <c r="Q2579">
        <v>2.623557E-2</v>
      </c>
      <c r="R2579">
        <v>8.6779999999999999E-3</v>
      </c>
      <c r="S2579">
        <v>-3.0041199999999999</v>
      </c>
      <c r="T2579">
        <v>-3.0458570000000001E-2</v>
      </c>
      <c r="U2579">
        <v>-0.25067139999999999</v>
      </c>
      <c r="V2579">
        <v>7.5255790000000001E-3</v>
      </c>
      <c r="W2579">
        <v>3.8570199999999999E-2</v>
      </c>
      <c r="X2579">
        <v>0.99922759999999999</v>
      </c>
      <c r="Y2579">
        <v>-8.4299429999999995E-2</v>
      </c>
      <c r="Z2579">
        <v>-4.382837E-4</v>
      </c>
      <c r="AA2579">
        <v>0.9964404</v>
      </c>
      <c r="AB2579">
        <v>27</v>
      </c>
      <c r="AC2579">
        <v>-83.537400000000005</v>
      </c>
      <c r="AD2579">
        <v>-0.84867479999999995</v>
      </c>
      <c r="AE2579">
        <v>-6.9840000000000302</v>
      </c>
      <c r="AF2579">
        <v>-7.0796965088803701</v>
      </c>
      <c r="AG2579">
        <v>-0.84867479999999995</v>
      </c>
      <c r="AH2579">
        <v>83.5207224328297</v>
      </c>
      <c r="AI2579">
        <v>90.580096416243705</v>
      </c>
      <c r="AJ2579">
        <v>94.845137279621795</v>
      </c>
      <c r="AK2579">
        <v>83.824539529160504</v>
      </c>
      <c r="AL2579">
        <v>87.789542126318807</v>
      </c>
      <c r="AM2579">
        <v>89.568490939559794</v>
      </c>
      <c r="AN2579">
        <v>1.0000000456345399</v>
      </c>
    </row>
    <row r="2580" spans="1:40" x14ac:dyDescent="0.25">
      <c r="A2580" t="str">
        <f>"20190312160344482"</f>
        <v>20190312160344482</v>
      </c>
      <c r="B2580" t="str">
        <f>"1552377824477357"</f>
        <v>1552377824477357</v>
      </c>
      <c r="C2580" t="s">
        <v>40</v>
      </c>
      <c r="D2580">
        <v>4.6365679999999996</v>
      </c>
      <c r="E2580">
        <v>0.4658775</v>
      </c>
      <c r="F2580" t="s">
        <v>76</v>
      </c>
      <c r="G2580">
        <v>-511.95870000000002</v>
      </c>
      <c r="H2580">
        <v>0.28887289999999999</v>
      </c>
      <c r="I2580">
        <v>278.35480000000001</v>
      </c>
      <c r="J2580">
        <v>-428.57589999999999</v>
      </c>
      <c r="K2580">
        <v>1.1100559999999999</v>
      </c>
      <c r="L2580">
        <v>285.33909999999997</v>
      </c>
      <c r="M2580">
        <v>-0.99992320000000001</v>
      </c>
      <c r="N2580">
        <v>0</v>
      </c>
      <c r="O2580">
        <v>1.1542080000000001E-3</v>
      </c>
      <c r="P2580">
        <v>-0.99961540000000004</v>
      </c>
      <c r="Q2580">
        <v>2.6346020000000001E-2</v>
      </c>
      <c r="R2580">
        <v>8.6681299999999996E-3</v>
      </c>
      <c r="S2580">
        <v>-3.0041199999999999</v>
      </c>
      <c r="T2580">
        <v>-2.952778E-2</v>
      </c>
      <c r="U2580">
        <v>-0.25115969999999999</v>
      </c>
      <c r="V2580">
        <v>7.5158339999999999E-3</v>
      </c>
      <c r="W2580">
        <v>3.8680260000000001E-2</v>
      </c>
      <c r="X2580">
        <v>0.99922339999999998</v>
      </c>
      <c r="Y2580">
        <v>-8.4460530000000006E-2</v>
      </c>
      <c r="Z2580">
        <v>-4.2567830000000002E-4</v>
      </c>
      <c r="AA2580">
        <v>0.99642679999999995</v>
      </c>
      <c r="AB2580">
        <v>27</v>
      </c>
      <c r="AC2580">
        <v>-83.382800000000003</v>
      </c>
      <c r="AD2580">
        <v>-0.82118309999999906</v>
      </c>
      <c r="AE2580">
        <v>-6.9842999999999602</v>
      </c>
      <c r="AF2580">
        <v>-7.0798618778777698</v>
      </c>
      <c r="AG2580">
        <v>-0.82118309999999906</v>
      </c>
      <c r="AH2580">
        <v>83.366653102867801</v>
      </c>
      <c r="AI2580">
        <v>90.562335946060202</v>
      </c>
      <c r="AJ2580">
        <v>94.854161639599198</v>
      </c>
      <c r="AK2580">
        <v>83.670769301276593</v>
      </c>
      <c r="AL2580">
        <v>87.783231401858998</v>
      </c>
      <c r="AM2580">
        <v>89.569047875550098</v>
      </c>
      <c r="AN2580">
        <v>1.0000000266909701</v>
      </c>
    </row>
    <row r="2581" spans="1:40" x14ac:dyDescent="0.25">
      <c r="A2581" t="str">
        <f>"20190312160344495"</f>
        <v>20190312160344495</v>
      </c>
      <c r="B2581" t="str">
        <f>"1552377824487116"</f>
        <v>1552377824487116</v>
      </c>
      <c r="C2581" t="s">
        <v>40</v>
      </c>
      <c r="D2581">
        <v>4.6825700000000001</v>
      </c>
      <c r="E2581">
        <v>0.46589510000000001</v>
      </c>
      <c r="F2581" t="s">
        <v>76</v>
      </c>
      <c r="G2581">
        <v>-511.95870000000002</v>
      </c>
      <c r="H2581">
        <v>0.351543099999999</v>
      </c>
      <c r="I2581">
        <v>278.37110000000001</v>
      </c>
      <c r="J2581">
        <v>-428.73750000000001</v>
      </c>
      <c r="K2581">
        <v>1.1100570000000001</v>
      </c>
      <c r="L2581">
        <v>285.33929999999998</v>
      </c>
      <c r="M2581">
        <v>-0.99992320000000001</v>
      </c>
      <c r="N2581">
        <v>0</v>
      </c>
      <c r="O2581">
        <v>1.1540299999999999E-3</v>
      </c>
      <c r="P2581">
        <v>-0.99962379999999995</v>
      </c>
      <c r="Q2581">
        <v>2.6044310000000001E-2</v>
      </c>
      <c r="R2581">
        <v>8.6029959999999999E-3</v>
      </c>
      <c r="S2581">
        <v>-3.0040589999999998</v>
      </c>
      <c r="T2581">
        <v>-2.73242E-2</v>
      </c>
      <c r="U2581">
        <v>-0.25103760000000003</v>
      </c>
      <c r="V2581">
        <v>7.4506319999999996E-3</v>
      </c>
      <c r="W2581">
        <v>3.8378639999999999E-2</v>
      </c>
      <c r="X2581">
        <v>0.99923550000000005</v>
      </c>
      <c r="Y2581">
        <v>-8.4422419999999998E-2</v>
      </c>
      <c r="Z2581">
        <v>-3.9374640000000002E-4</v>
      </c>
      <c r="AA2581">
        <v>0.99643000000000004</v>
      </c>
      <c r="AB2581">
        <v>27</v>
      </c>
      <c r="AC2581">
        <v>-83.221199999999996</v>
      </c>
      <c r="AD2581">
        <v>-0.75851389999999996</v>
      </c>
      <c r="AE2581">
        <v>-6.9681999999999604</v>
      </c>
      <c r="AF2581">
        <v>-7.0636597200616302</v>
      </c>
      <c r="AG2581">
        <v>-0.75851389999999996</v>
      </c>
      <c r="AH2581">
        <v>83.206238394356603</v>
      </c>
      <c r="AI2581">
        <v>90.520426017568397</v>
      </c>
      <c r="AJ2581">
        <v>94.852398427690403</v>
      </c>
      <c r="AK2581">
        <v>83.508974007083907</v>
      </c>
      <c r="AL2581">
        <v>87.8005257554655</v>
      </c>
      <c r="AM2581">
        <v>89.572791541812805</v>
      </c>
      <c r="AN2581">
        <v>1.00000000819284</v>
      </c>
    </row>
    <row r="2582" spans="1:40" x14ac:dyDescent="0.25">
      <c r="A2582" t="str">
        <f>"20190312160344513"</f>
        <v>20190312160344513</v>
      </c>
      <c r="B2582" t="str">
        <f>"1552377824506637"</f>
        <v>1552377824506637</v>
      </c>
      <c r="C2582" t="s">
        <v>40</v>
      </c>
      <c r="D2582">
        <v>4.624422</v>
      </c>
      <c r="E2582">
        <v>0.46585209999999999</v>
      </c>
      <c r="F2582" t="s">
        <v>76</v>
      </c>
      <c r="G2582">
        <v>-511.95870000000002</v>
      </c>
      <c r="H2582">
        <v>0.35827540000000002</v>
      </c>
      <c r="I2582">
        <v>278.38200000000001</v>
      </c>
      <c r="J2582">
        <v>-428.90980000000002</v>
      </c>
      <c r="K2582">
        <v>1.110055</v>
      </c>
      <c r="L2582">
        <v>285.33949999999999</v>
      </c>
      <c r="M2582">
        <v>-0.99992309999999995</v>
      </c>
      <c r="N2582">
        <v>0</v>
      </c>
      <c r="O2582">
        <v>1.154031E-3</v>
      </c>
      <c r="P2582">
        <v>-0.99962019999999996</v>
      </c>
      <c r="Q2582">
        <v>2.6156780000000001E-2</v>
      </c>
      <c r="R2582">
        <v>8.6681689999999999E-3</v>
      </c>
      <c r="S2582">
        <v>-3.0039669999999998</v>
      </c>
      <c r="T2582">
        <v>-2.7133460000000002E-2</v>
      </c>
      <c r="U2582">
        <v>-0.2511292</v>
      </c>
      <c r="V2582">
        <v>7.5159750000000003E-3</v>
      </c>
      <c r="W2582">
        <v>3.8490629999999998E-2</v>
      </c>
      <c r="X2582">
        <v>0.99923070000000003</v>
      </c>
      <c r="Y2582">
        <v>-8.4455150000000007E-2</v>
      </c>
      <c r="Z2582">
        <v>-3.91157E-4</v>
      </c>
      <c r="AA2582">
        <v>0.99642719999999996</v>
      </c>
      <c r="AB2582">
        <v>27</v>
      </c>
      <c r="AC2582">
        <v>-83.048900000000003</v>
      </c>
      <c r="AD2582">
        <v>-0.75177959999999899</v>
      </c>
      <c r="AE2582">
        <v>-6.95749999999998</v>
      </c>
      <c r="AF2582">
        <v>-7.0527697791801298</v>
      </c>
      <c r="AG2582">
        <v>-0.75177959999999899</v>
      </c>
      <c r="AH2582">
        <v>83.034058245522999</v>
      </c>
      <c r="AI2582">
        <v>90.516873345150799</v>
      </c>
      <c r="AJ2582">
        <v>94.854951759590307</v>
      </c>
      <c r="AK2582">
        <v>83.336435985983996</v>
      </c>
      <c r="AL2582">
        <v>87.794104449860001</v>
      </c>
      <c r="AM2582">
        <v>89.569042939336697</v>
      </c>
      <c r="AN2582">
        <v>1.00000000515024</v>
      </c>
    </row>
    <row r="2583" spans="1:40" x14ac:dyDescent="0.25">
      <c r="A2583" t="str">
        <f>"20190312160344532"</f>
        <v>20190312160344532</v>
      </c>
      <c r="B2583" t="str">
        <f>"1552377824527133"</f>
        <v>1552377824527133</v>
      </c>
      <c r="C2583" t="s">
        <v>40</v>
      </c>
      <c r="D2583">
        <v>4.6333339999999996</v>
      </c>
      <c r="E2583">
        <v>0.46576610000000002</v>
      </c>
      <c r="F2583" t="s">
        <v>76</v>
      </c>
      <c r="G2583">
        <v>-511.95870000000002</v>
      </c>
      <c r="H2583">
        <v>0.39026899999999998</v>
      </c>
      <c r="I2583">
        <v>278.40089999999998</v>
      </c>
      <c r="J2583">
        <v>-429.17970000000003</v>
      </c>
      <c r="K2583">
        <v>1.1100559999999999</v>
      </c>
      <c r="L2583">
        <v>285.33980000000003</v>
      </c>
      <c r="M2583">
        <v>-0.99992329999999996</v>
      </c>
      <c r="N2583">
        <v>0</v>
      </c>
      <c r="O2583">
        <v>1.153734E-3</v>
      </c>
      <c r="P2583">
        <v>-0.99962340000000005</v>
      </c>
      <c r="Q2583">
        <v>2.60016E-2</v>
      </c>
      <c r="R2583">
        <v>8.8030000000000001E-3</v>
      </c>
      <c r="S2583">
        <v>-3.0039980000000002</v>
      </c>
      <c r="T2583">
        <v>-2.6032690000000001E-2</v>
      </c>
      <c r="U2583">
        <v>-0.25097659999999999</v>
      </c>
      <c r="V2583">
        <v>7.6511410000000002E-3</v>
      </c>
      <c r="W2583">
        <v>3.8335290000000001E-2</v>
      </c>
      <c r="X2583">
        <v>0.9992356</v>
      </c>
      <c r="Y2583">
        <v>-8.4404019999999996E-2</v>
      </c>
      <c r="Z2583">
        <v>-3.7506209999999999E-4</v>
      </c>
      <c r="AA2583">
        <v>0.99643150000000003</v>
      </c>
      <c r="AB2583">
        <v>27</v>
      </c>
      <c r="AC2583">
        <v>-82.778999999999996</v>
      </c>
      <c r="AD2583">
        <v>-0.71978699999999995</v>
      </c>
      <c r="AE2583">
        <v>-6.9389000000000403</v>
      </c>
      <c r="AF2583">
        <v>-7.0338794834281702</v>
      </c>
      <c r="AG2583">
        <v>-0.71978699999999995</v>
      </c>
      <c r="AH2583">
        <v>82.764724633482501</v>
      </c>
      <c r="AI2583">
        <v>90.496486832394197</v>
      </c>
      <c r="AJ2583">
        <v>94.8576916836397</v>
      </c>
      <c r="AK2583">
        <v>83.066197683347397</v>
      </c>
      <c r="AL2583">
        <v>87.803011249307104</v>
      </c>
      <c r="AM2583">
        <v>89.561295133243306</v>
      </c>
      <c r="AN2583">
        <v>0.99999995936267205</v>
      </c>
    </row>
    <row r="2584" spans="1:40" x14ac:dyDescent="0.25">
      <c r="A2584" t="str">
        <f>"20190312160344554"</f>
        <v>20190312160344554</v>
      </c>
      <c r="B2584" t="str">
        <f>"1552377824547629"</f>
        <v>1552377824547629</v>
      </c>
      <c r="C2584" t="s">
        <v>40</v>
      </c>
      <c r="D2584">
        <v>4.7786939999999998</v>
      </c>
      <c r="E2584">
        <v>0.4658099</v>
      </c>
      <c r="F2584" t="s">
        <v>76</v>
      </c>
      <c r="G2584">
        <v>-511.95870000000002</v>
      </c>
      <c r="H2584">
        <v>0.40803240000000002</v>
      </c>
      <c r="I2584">
        <v>278.41109999999998</v>
      </c>
      <c r="J2584">
        <v>-429.44400000000002</v>
      </c>
      <c r="K2584">
        <v>1.1100559999999999</v>
      </c>
      <c r="L2584">
        <v>285.34010000000001</v>
      </c>
      <c r="M2584">
        <v>-0.99992329999999996</v>
      </c>
      <c r="N2584">
        <v>0</v>
      </c>
      <c r="O2584">
        <v>1.1537349999999999E-3</v>
      </c>
      <c r="P2584">
        <v>-0.99962200000000001</v>
      </c>
      <c r="Q2584">
        <v>2.6123170000000001E-2</v>
      </c>
      <c r="R2584">
        <v>8.6005539999999998E-3</v>
      </c>
      <c r="S2584">
        <v>-3.0039980000000002</v>
      </c>
      <c r="T2584">
        <v>-2.5472999999999999E-2</v>
      </c>
      <c r="U2584">
        <v>-0.2514343</v>
      </c>
      <c r="V2584">
        <v>7.4487950000000002E-3</v>
      </c>
      <c r="W2584">
        <v>3.8456789999999998E-2</v>
      </c>
      <c r="X2584">
        <v>0.99923249999999997</v>
      </c>
      <c r="Y2584">
        <v>-8.455493E-2</v>
      </c>
      <c r="Z2584">
        <v>-3.6763509999999998E-4</v>
      </c>
      <c r="AA2584">
        <v>0.99641880000000005</v>
      </c>
      <c r="AB2584">
        <v>27</v>
      </c>
      <c r="AC2584">
        <v>-82.514700000000005</v>
      </c>
      <c r="AD2584">
        <v>-0.70202359999999997</v>
      </c>
      <c r="AE2584">
        <v>-6.9290000000000296</v>
      </c>
      <c r="AF2584">
        <v>-7.0236978827519101</v>
      </c>
      <c r="AG2584">
        <v>-0.70202359999999997</v>
      </c>
      <c r="AH2584">
        <v>82.500720343112704</v>
      </c>
      <c r="AI2584">
        <v>90.485778173874806</v>
      </c>
      <c r="AJ2584">
        <v>94.866141627090698</v>
      </c>
      <c r="AK2584">
        <v>82.802137811868207</v>
      </c>
      <c r="AL2584">
        <v>87.796044762390807</v>
      </c>
      <c r="AM2584">
        <v>89.572895586586299</v>
      </c>
      <c r="AN2584">
        <v>0.99999999915015303</v>
      </c>
    </row>
    <row r="2585" spans="1:40" x14ac:dyDescent="0.25">
      <c r="A2585" t="str">
        <f>"20190312160344576"</f>
        <v>20190312160344576</v>
      </c>
      <c r="B2585" t="str">
        <f>"1552377824567152"</f>
        <v>1552377824567152</v>
      </c>
      <c r="C2585" t="s">
        <v>40</v>
      </c>
      <c r="D2585">
        <v>4.6277910000000002</v>
      </c>
      <c r="E2585">
        <v>0.46583279999999999</v>
      </c>
      <c r="F2585" t="s">
        <v>76</v>
      </c>
      <c r="G2585">
        <v>-511.9588</v>
      </c>
      <c r="H2585">
        <v>0.41217549999999997</v>
      </c>
      <c r="I2585">
        <v>278.42680000000001</v>
      </c>
      <c r="J2585">
        <v>-429.70350000000002</v>
      </c>
      <c r="K2585">
        <v>1.1100559999999999</v>
      </c>
      <c r="L2585">
        <v>285.34039999999999</v>
      </c>
      <c r="M2585">
        <v>-0.99992329999999996</v>
      </c>
      <c r="N2585">
        <v>0</v>
      </c>
      <c r="O2585">
        <v>1.1537369999999999E-3</v>
      </c>
      <c r="P2585">
        <v>-0.99962510000000004</v>
      </c>
      <c r="Q2585">
        <v>2.619838E-2</v>
      </c>
      <c r="R2585">
        <v>7.9679450000000006E-3</v>
      </c>
      <c r="S2585">
        <v>-3.0039669999999998</v>
      </c>
      <c r="T2585">
        <v>-2.5403499999999999E-2</v>
      </c>
      <c r="U2585">
        <v>-0.25167850000000003</v>
      </c>
      <c r="V2585">
        <v>6.8160460000000001E-3</v>
      </c>
      <c r="W2585">
        <v>3.8531599999999999E-2</v>
      </c>
      <c r="X2585">
        <v>0.99923410000000001</v>
      </c>
      <c r="Y2585">
        <v>-8.4636210000000003E-2</v>
      </c>
      <c r="Z2585">
        <v>-3.6697759999999998E-4</v>
      </c>
      <c r="AA2585">
        <v>0.99641190000000002</v>
      </c>
      <c r="AB2585">
        <v>27</v>
      </c>
      <c r="AC2585">
        <v>-82.255299999999906</v>
      </c>
      <c r="AD2585">
        <v>-0.69788049999999902</v>
      </c>
      <c r="AE2585">
        <v>-6.9135999999999704</v>
      </c>
      <c r="AF2585">
        <v>-7.00800267386089</v>
      </c>
      <c r="AG2585">
        <v>-0.69788049999999902</v>
      </c>
      <c r="AH2585">
        <v>82.241389650328102</v>
      </c>
      <c r="AI2585">
        <v>90.484430922251406</v>
      </c>
      <c r="AJ2585">
        <v>94.870556431197102</v>
      </c>
      <c r="AK2585">
        <v>82.542384932143904</v>
      </c>
      <c r="AL2585">
        <v>87.791755209623204</v>
      </c>
      <c r="AM2585">
        <v>89.609176056100694</v>
      </c>
      <c r="AN2585">
        <v>0.99999996464222096</v>
      </c>
    </row>
    <row r="2586" spans="1:40" x14ac:dyDescent="0.25">
      <c r="A2586" t="str">
        <f>"20190312160344590"</f>
        <v>20190312160344590</v>
      </c>
      <c r="B2586" t="str">
        <f>"1552377824587645"</f>
        <v>1552377824587645</v>
      </c>
      <c r="C2586" t="s">
        <v>40</v>
      </c>
      <c r="D2586">
        <v>4.5627779999999998</v>
      </c>
      <c r="E2586">
        <v>0.46584880000000001</v>
      </c>
      <c r="F2586" t="s">
        <v>76</v>
      </c>
      <c r="G2586">
        <v>-511.9588</v>
      </c>
      <c r="H2586">
        <v>0.42804769999999998</v>
      </c>
      <c r="I2586">
        <v>278.4033</v>
      </c>
      <c r="J2586">
        <v>-429.8657</v>
      </c>
      <c r="K2586">
        <v>1.110058</v>
      </c>
      <c r="L2586">
        <v>285.34050000000002</v>
      </c>
      <c r="M2586">
        <v>-0.99992320000000001</v>
      </c>
      <c r="N2586">
        <v>0</v>
      </c>
      <c r="O2586">
        <v>1.1537380000000001E-3</v>
      </c>
      <c r="P2586">
        <v>-0.99962110000000004</v>
      </c>
      <c r="Q2586">
        <v>2.632516E-2</v>
      </c>
      <c r="R2586">
        <v>8.0482580000000008E-3</v>
      </c>
      <c r="S2586">
        <v>-3.0038149999999999</v>
      </c>
      <c r="T2586">
        <v>-2.49027E-2</v>
      </c>
      <c r="U2586">
        <v>-0.25332640000000001</v>
      </c>
      <c r="V2586">
        <v>6.8963119999999999E-3</v>
      </c>
      <c r="W2586">
        <v>3.8658350000000001E-2</v>
      </c>
      <c r="X2586">
        <v>0.99922869999999997</v>
      </c>
      <c r="Y2586">
        <v>-8.5183339999999996E-2</v>
      </c>
      <c r="Z2586">
        <v>-3.6201719999999997E-4</v>
      </c>
      <c r="AA2586">
        <v>0.99636519999999995</v>
      </c>
      <c r="AB2586">
        <v>27</v>
      </c>
      <c r="AC2586">
        <v>-82.093099999999893</v>
      </c>
      <c r="AD2586">
        <v>-0.68201029999999996</v>
      </c>
      <c r="AE2586">
        <v>-6.9372000000000096</v>
      </c>
      <c r="AF2586">
        <v>-7.0314346612196896</v>
      </c>
      <c r="AG2586">
        <v>-0.68201029999999996</v>
      </c>
      <c r="AH2586">
        <v>82.079416162487604</v>
      </c>
      <c r="AI2586">
        <v>90.474331127011297</v>
      </c>
      <c r="AJ2586">
        <v>94.896359493393007</v>
      </c>
      <c r="AK2586">
        <v>82.3828669628531</v>
      </c>
      <c r="AL2586">
        <v>87.784487657252697</v>
      </c>
      <c r="AM2586">
        <v>89.604571707852401</v>
      </c>
      <c r="AN2586">
        <v>1.0000000110238001</v>
      </c>
    </row>
    <row r="2587" spans="1:40" x14ac:dyDescent="0.25">
      <c r="A2587" t="str">
        <f>"20190312160344602"</f>
        <v>20190312160344602</v>
      </c>
      <c r="B2587" t="str">
        <f>"1552377824597405"</f>
        <v>1552377824597405</v>
      </c>
      <c r="C2587" t="s">
        <v>40</v>
      </c>
      <c r="D2587">
        <v>4.5926640000000001</v>
      </c>
      <c r="E2587">
        <v>0.4658639</v>
      </c>
      <c r="F2587" t="s">
        <v>76</v>
      </c>
      <c r="G2587">
        <v>-511.9588</v>
      </c>
      <c r="H2587">
        <v>0.42974659999999898</v>
      </c>
      <c r="I2587">
        <v>278.42809999999997</v>
      </c>
      <c r="J2587">
        <v>-430.00720000000001</v>
      </c>
      <c r="K2587">
        <v>1.1100589999999999</v>
      </c>
      <c r="L2587">
        <v>285.34070000000003</v>
      </c>
      <c r="M2587">
        <v>-0.99992329999999996</v>
      </c>
      <c r="N2587">
        <v>0</v>
      </c>
      <c r="O2587">
        <v>1.1535600000000001E-3</v>
      </c>
      <c r="P2587">
        <v>-0.99962329999999999</v>
      </c>
      <c r="Q2587">
        <v>2.6261670000000001E-2</v>
      </c>
      <c r="R2587">
        <v>7.9983940000000007E-3</v>
      </c>
      <c r="S2587">
        <v>-3.0038450000000001</v>
      </c>
      <c r="T2587">
        <v>-2.489007E-2</v>
      </c>
      <c r="U2587">
        <v>-0.25292969999999998</v>
      </c>
      <c r="V2587">
        <v>6.8468289999999996E-3</v>
      </c>
      <c r="W2587">
        <v>3.8594499999999997E-2</v>
      </c>
      <c r="X2587">
        <v>0.99923150000000005</v>
      </c>
      <c r="Y2587">
        <v>-8.5051660000000001E-2</v>
      </c>
      <c r="Z2587">
        <v>-3.6128579999999998E-4</v>
      </c>
      <c r="AA2587">
        <v>0.9963765</v>
      </c>
      <c r="AB2587">
        <v>27</v>
      </c>
      <c r="AC2587">
        <v>-81.9515999999999</v>
      </c>
      <c r="AD2587">
        <v>-0.68031239999999904</v>
      </c>
      <c r="AE2587">
        <v>-6.91260000000005</v>
      </c>
      <c r="AF2587">
        <v>-7.0066592366783302</v>
      </c>
      <c r="AG2587">
        <v>-0.68031239999999904</v>
      </c>
      <c r="AH2587">
        <v>81.937964050477603</v>
      </c>
      <c r="AI2587">
        <v>90.473973306885796</v>
      </c>
      <c r="AJ2587">
        <v>94.887572823456296</v>
      </c>
      <c r="AK2587">
        <v>82.239808191397699</v>
      </c>
      <c r="AL2587">
        <v>87.788148706148704</v>
      </c>
      <c r="AM2587">
        <v>89.607410029251497</v>
      </c>
      <c r="AN2587">
        <v>1.0000000025449201</v>
      </c>
    </row>
    <row r="2588" spans="1:40" x14ac:dyDescent="0.25">
      <c r="A2588" t="str">
        <f>"20190312160344613"</f>
        <v>20190312160344613</v>
      </c>
      <c r="B2588" t="str">
        <f>"1552377824607671"</f>
        <v>1552377824607671</v>
      </c>
      <c r="C2588" t="s">
        <v>40</v>
      </c>
      <c r="D2588">
        <v>4.5769760000000002</v>
      </c>
      <c r="E2588">
        <v>0.46585490000000002</v>
      </c>
      <c r="F2588" t="s">
        <v>76</v>
      </c>
      <c r="G2588">
        <v>-511.9588</v>
      </c>
      <c r="H2588">
        <v>0.42169669999999998</v>
      </c>
      <c r="I2588">
        <v>278.43770000000001</v>
      </c>
      <c r="J2588">
        <v>-430.13990000000001</v>
      </c>
      <c r="K2588">
        <v>1.1100570000000001</v>
      </c>
      <c r="L2588">
        <v>285.34089999999998</v>
      </c>
      <c r="M2588">
        <v>-0.99992329999999996</v>
      </c>
      <c r="N2588">
        <v>0</v>
      </c>
      <c r="O2588">
        <v>1.153561E-3</v>
      </c>
      <c r="P2588">
        <v>-0.9996197</v>
      </c>
      <c r="Q2588">
        <v>2.6436609999999999E-2</v>
      </c>
      <c r="R2588">
        <v>7.8743800000000003E-3</v>
      </c>
      <c r="S2588">
        <v>-3.0038450000000001</v>
      </c>
      <c r="T2588">
        <v>-2.522814E-2</v>
      </c>
      <c r="U2588">
        <v>-0.2530212</v>
      </c>
      <c r="V2588">
        <v>6.7228330000000001E-3</v>
      </c>
      <c r="W2588">
        <v>3.876984E-2</v>
      </c>
      <c r="X2588">
        <v>0.99922560000000005</v>
      </c>
      <c r="Y2588">
        <v>-8.508172E-2</v>
      </c>
      <c r="Z2588">
        <v>-3.663184E-4</v>
      </c>
      <c r="AA2588">
        <v>0.99637390000000003</v>
      </c>
      <c r="AB2588">
        <v>27</v>
      </c>
      <c r="AC2588">
        <v>-81.8188999999999</v>
      </c>
      <c r="AD2588">
        <v>-0.68836030000000004</v>
      </c>
      <c r="AE2588">
        <v>-6.9031999999999698</v>
      </c>
      <c r="AF2588">
        <v>-6.99709390593297</v>
      </c>
      <c r="AG2588">
        <v>-0.68836030000000004</v>
      </c>
      <c r="AH2588">
        <v>81.805132262065996</v>
      </c>
      <c r="AI2588">
        <v>90.480357806119201</v>
      </c>
      <c r="AJ2588">
        <v>94.888819753021295</v>
      </c>
      <c r="AK2588">
        <v>82.106716092200202</v>
      </c>
      <c r="AL2588">
        <v>87.778095041383693</v>
      </c>
      <c r="AM2588">
        <v>89.614517336871998</v>
      </c>
      <c r="AN2588">
        <v>1.0000000483362601</v>
      </c>
    </row>
    <row r="2589" spans="1:40" x14ac:dyDescent="0.25">
      <c r="A2589" t="str">
        <f>"20190312160344624"</f>
        <v>20190312160344624</v>
      </c>
      <c r="B2589" t="str">
        <f>"1552377824617431"</f>
        <v>1552377824617431</v>
      </c>
      <c r="C2589" t="s">
        <v>40</v>
      </c>
      <c r="D2589">
        <v>4.6492300000000002</v>
      </c>
      <c r="E2589">
        <v>0.4658487</v>
      </c>
      <c r="F2589" t="s">
        <v>76</v>
      </c>
      <c r="G2589">
        <v>-511.9588</v>
      </c>
      <c r="H2589">
        <v>0.43633810000000001</v>
      </c>
      <c r="I2589">
        <v>278.43720000000002</v>
      </c>
      <c r="J2589">
        <v>-430.28070000000002</v>
      </c>
      <c r="K2589">
        <v>1.1100570000000001</v>
      </c>
      <c r="L2589">
        <v>285.34100000000001</v>
      </c>
      <c r="M2589">
        <v>-0.99992320000000001</v>
      </c>
      <c r="N2589">
        <v>0</v>
      </c>
      <c r="O2589">
        <v>1.1535619999999999E-3</v>
      </c>
      <c r="P2589">
        <v>-0.99962479999999998</v>
      </c>
      <c r="Q2589">
        <v>2.629577E-2</v>
      </c>
      <c r="R2589">
        <v>7.6635719999999996E-3</v>
      </c>
      <c r="S2589">
        <v>-3.0037539999999998</v>
      </c>
      <c r="T2589">
        <v>-2.4730680000000001E-2</v>
      </c>
      <c r="U2589">
        <v>-0.25344850000000002</v>
      </c>
      <c r="V2589">
        <v>6.5118449999999996E-3</v>
      </c>
      <c r="W2589">
        <v>3.8628799999999998E-2</v>
      </c>
      <c r="X2589">
        <v>0.99923240000000002</v>
      </c>
      <c r="Y2589">
        <v>-8.5225110000000007E-2</v>
      </c>
      <c r="Z2589">
        <v>-3.5969350000000002E-4</v>
      </c>
      <c r="AA2589">
        <v>0.99636170000000002</v>
      </c>
      <c r="AB2589">
        <v>27</v>
      </c>
      <c r="AC2589">
        <v>-81.678099999999901</v>
      </c>
      <c r="AD2589">
        <v>-0.67371890000000001</v>
      </c>
      <c r="AE2589">
        <v>-6.9037999999999897</v>
      </c>
      <c r="AF2589">
        <v>-6.9975506159984198</v>
      </c>
      <c r="AG2589">
        <v>-0.67371890000000001</v>
      </c>
      <c r="AH2589">
        <v>81.664564268073093</v>
      </c>
      <c r="AI2589">
        <v>90.4709441697416</v>
      </c>
      <c r="AJ2589">
        <v>94.897512008079801</v>
      </c>
      <c r="AK2589">
        <v>81.9665826350831</v>
      </c>
      <c r="AL2589">
        <v>87.786181963796494</v>
      </c>
      <c r="AM2589">
        <v>89.626617437850001</v>
      </c>
      <c r="AN2589">
        <v>0.99999998876225105</v>
      </c>
    </row>
    <row r="2590" spans="1:40" x14ac:dyDescent="0.25">
      <c r="A2590" t="str">
        <f>"20190312160344636"</f>
        <v>20190312160344636</v>
      </c>
      <c r="B2590" t="str">
        <f>"1552377824627193"</f>
        <v>1552377824627193</v>
      </c>
      <c r="C2590" t="s">
        <v>40</v>
      </c>
      <c r="D2590">
        <v>4.5617749999999999</v>
      </c>
      <c r="E2590">
        <v>0.46583429999999998</v>
      </c>
      <c r="F2590" t="s">
        <v>76</v>
      </c>
      <c r="G2590">
        <v>-511.9588</v>
      </c>
      <c r="H2590">
        <v>0.4370366</v>
      </c>
      <c r="I2590">
        <v>278.43340000000001</v>
      </c>
      <c r="J2590">
        <v>-430.42009999999999</v>
      </c>
      <c r="K2590">
        <v>1.1100559999999999</v>
      </c>
      <c r="L2590">
        <v>285.34120000000001</v>
      </c>
      <c r="M2590">
        <v>-0.99992329999999996</v>
      </c>
      <c r="N2590">
        <v>0</v>
      </c>
      <c r="O2590">
        <v>1.153563E-3</v>
      </c>
      <c r="P2590">
        <v>-0.99961889999999998</v>
      </c>
      <c r="Q2590">
        <v>2.6535360000000001E-2</v>
      </c>
      <c r="R2590">
        <v>7.6188940000000002E-3</v>
      </c>
      <c r="S2590">
        <v>-3.0037229999999999</v>
      </c>
      <c r="T2590">
        <v>-2.4747370000000001E-2</v>
      </c>
      <c r="U2590">
        <v>-0.25402829999999998</v>
      </c>
      <c r="V2590">
        <v>6.4671679999999997E-3</v>
      </c>
      <c r="W2590">
        <v>3.8868E-2</v>
      </c>
      <c r="X2590">
        <v>0.99922339999999998</v>
      </c>
      <c r="Y2590">
        <v>-8.5416900000000004E-2</v>
      </c>
      <c r="Z2590">
        <v>-3.6072559999999999E-4</v>
      </c>
      <c r="AA2590">
        <v>0.99634520000000004</v>
      </c>
      <c r="AB2590">
        <v>27</v>
      </c>
      <c r="AC2590">
        <v>-81.538700000000006</v>
      </c>
      <c r="AD2590">
        <v>-0.67301939999999905</v>
      </c>
      <c r="AE2590">
        <v>-6.9077999999999999</v>
      </c>
      <c r="AF2590">
        <v>-7.0013889891871104</v>
      </c>
      <c r="AG2590">
        <v>-0.67301939999999905</v>
      </c>
      <c r="AH2590">
        <v>81.525161958966507</v>
      </c>
      <c r="AI2590">
        <v>90.471251866276603</v>
      </c>
      <c r="AJ2590">
        <v>94.908523438690906</v>
      </c>
      <c r="AK2590">
        <v>81.828017422679906</v>
      </c>
      <c r="AL2590">
        <v>87.772466480813193</v>
      </c>
      <c r="AM2590">
        <v>89.629175759869895</v>
      </c>
      <c r="AN2590">
        <v>0.99999997439674904</v>
      </c>
    </row>
    <row r="2591" spans="1:40" x14ac:dyDescent="0.25">
      <c r="A2591" t="str">
        <f>"20190312160344654"</f>
        <v>20190312160344654</v>
      </c>
      <c r="B2591" t="str">
        <f>"1552377824646711"</f>
        <v>1552377824646711</v>
      </c>
      <c r="C2591" t="s">
        <v>40</v>
      </c>
      <c r="D2591">
        <v>4.5779019999999999</v>
      </c>
      <c r="E2591">
        <v>0.46581479999999997</v>
      </c>
      <c r="F2591" t="s">
        <v>76</v>
      </c>
      <c r="G2591">
        <v>-511.9588</v>
      </c>
      <c r="H2591">
        <v>0.46913759999999999</v>
      </c>
      <c r="I2591">
        <v>278.43790000000001</v>
      </c>
      <c r="J2591">
        <v>-430.63869999999997</v>
      </c>
      <c r="K2591">
        <v>1.110063</v>
      </c>
      <c r="L2591">
        <v>285.34140000000002</v>
      </c>
      <c r="M2591">
        <v>-0.99992309999999995</v>
      </c>
      <c r="N2591">
        <v>0</v>
      </c>
      <c r="O2591">
        <v>1.1535639999999999E-3</v>
      </c>
      <c r="P2591">
        <v>-0.99962810000000002</v>
      </c>
      <c r="Q2591">
        <v>2.6245520000000001E-2</v>
      </c>
      <c r="R2591">
        <v>7.4235409999999996E-3</v>
      </c>
      <c r="S2591">
        <v>-3.0037229999999999</v>
      </c>
      <c r="T2591">
        <v>-2.360713E-2</v>
      </c>
      <c r="U2591">
        <v>-0.254303</v>
      </c>
      <c r="V2591">
        <v>6.2720270000000003E-3</v>
      </c>
      <c r="W2591">
        <v>3.8578290000000001E-2</v>
      </c>
      <c r="X2591">
        <v>0.99923589999999995</v>
      </c>
      <c r="Y2591">
        <v>-8.5507630000000001E-2</v>
      </c>
      <c r="Z2591">
        <v>-3.4446019999999898E-4</v>
      </c>
      <c r="AA2591">
        <v>0.99633749999999999</v>
      </c>
      <c r="AB2591">
        <v>27</v>
      </c>
      <c r="AC2591">
        <v>-81.320099999999996</v>
      </c>
      <c r="AD2591">
        <v>-0.64092539999999998</v>
      </c>
      <c r="AE2591">
        <v>-6.9035000000000002</v>
      </c>
      <c r="AF2591">
        <v>-6.9968789738980801</v>
      </c>
      <c r="AG2591">
        <v>-0.64092539999999998</v>
      </c>
      <c r="AH2591">
        <v>81.307067135309296</v>
      </c>
      <c r="AI2591">
        <v>90.449977439620994</v>
      </c>
      <c r="AJ2591">
        <v>94.918470523114905</v>
      </c>
      <c r="AK2591">
        <v>81.610086796237596</v>
      </c>
      <c r="AL2591">
        <v>87.789078164632997</v>
      </c>
      <c r="AM2591">
        <v>89.640369249364596</v>
      </c>
      <c r="AN2591">
        <v>1.0000000033154099</v>
      </c>
    </row>
    <row r="2592" spans="1:40" x14ac:dyDescent="0.25">
      <c r="A2592" t="str">
        <f>"20190312160344669"</f>
        <v>20190312160344669</v>
      </c>
      <c r="B2592" t="str">
        <f>"1552377824657448"</f>
        <v>1552377824657448</v>
      </c>
      <c r="C2592" t="s">
        <v>40</v>
      </c>
      <c r="D2592">
        <v>4.5981120000000004</v>
      </c>
      <c r="E2592">
        <v>0.46582030000000002</v>
      </c>
      <c r="F2592" t="s">
        <v>76</v>
      </c>
      <c r="G2592">
        <v>-511.9588</v>
      </c>
      <c r="H2592">
        <v>0.47171089999999999</v>
      </c>
      <c r="I2592">
        <v>278.4391</v>
      </c>
      <c r="J2592">
        <v>-430.80220000000003</v>
      </c>
      <c r="K2592">
        <v>1.1100639999999999</v>
      </c>
      <c r="L2592">
        <v>285.34160000000003</v>
      </c>
      <c r="M2592">
        <v>-0.99992320000000001</v>
      </c>
      <c r="N2592">
        <v>0</v>
      </c>
      <c r="O2592">
        <v>1.153566E-3</v>
      </c>
      <c r="P2592">
        <v>-0.99961999999999995</v>
      </c>
      <c r="Q2592">
        <v>2.656915E-2</v>
      </c>
      <c r="R2592">
        <v>7.35906199999999E-3</v>
      </c>
      <c r="S2592">
        <v>-3.0036320000000001</v>
      </c>
      <c r="T2592">
        <v>-2.357507E-2</v>
      </c>
      <c r="U2592">
        <v>-0.2549438</v>
      </c>
      <c r="V2592">
        <v>6.207448E-3</v>
      </c>
      <c r="W2592">
        <v>3.8901829999999998E-2</v>
      </c>
      <c r="X2592">
        <v>0.9992238</v>
      </c>
      <c r="Y2592">
        <v>-8.5721249999999999E-2</v>
      </c>
      <c r="Z2592">
        <v>-3.4483650000000001E-4</v>
      </c>
      <c r="AA2592">
        <v>0.99631910000000001</v>
      </c>
      <c r="AB2592">
        <v>27</v>
      </c>
      <c r="AC2592">
        <v>-81.156599999999898</v>
      </c>
      <c r="AD2592">
        <v>-0.63835309999999901</v>
      </c>
      <c r="AE2592">
        <v>-6.9025000000000301</v>
      </c>
      <c r="AF2592">
        <v>-6.9956923201091001</v>
      </c>
      <c r="AG2592">
        <v>-0.63835309999999901</v>
      </c>
      <c r="AH2592">
        <v>81.143598666170305</v>
      </c>
      <c r="AI2592">
        <v>90.449068302923394</v>
      </c>
      <c r="AJ2592">
        <v>94.927498596387593</v>
      </c>
      <c r="AK2592">
        <v>81.447104369734504</v>
      </c>
      <c r="AL2592">
        <v>87.770526851923705</v>
      </c>
      <c r="AM2592">
        <v>89.644067728571002</v>
      </c>
      <c r="AN2592">
        <v>1.0000000436372201</v>
      </c>
    </row>
    <row r="2593" spans="1:40" x14ac:dyDescent="0.25">
      <c r="A2593" t="str">
        <f>"20190312160344681"</f>
        <v>20190312160344681</v>
      </c>
      <c r="B2593" t="str">
        <f>"1552377824676968"</f>
        <v>1552377824676968</v>
      </c>
      <c r="C2593" t="s">
        <v>40</v>
      </c>
      <c r="D2593">
        <v>4.6236680000000003</v>
      </c>
      <c r="E2593">
        <v>0.46578989999999998</v>
      </c>
      <c r="F2593" t="s">
        <v>76</v>
      </c>
      <c r="G2593">
        <v>-511.9588</v>
      </c>
      <c r="H2593">
        <v>0.48764750000000001</v>
      </c>
      <c r="I2593">
        <v>278.45150000000001</v>
      </c>
      <c r="J2593">
        <v>-430.95409999999998</v>
      </c>
      <c r="K2593">
        <v>1.110066</v>
      </c>
      <c r="L2593">
        <v>285.34179999999998</v>
      </c>
      <c r="M2593">
        <v>-0.99992329999999996</v>
      </c>
      <c r="N2593">
        <v>0</v>
      </c>
      <c r="O2593">
        <v>1.153388E-3</v>
      </c>
      <c r="P2593">
        <v>-0.99961140000000004</v>
      </c>
      <c r="Q2593">
        <v>2.695117E-2</v>
      </c>
      <c r="R2593">
        <v>7.1228519999999998E-3</v>
      </c>
      <c r="S2593">
        <v>-3.0036320000000001</v>
      </c>
      <c r="T2593">
        <v>-2.3032779999999999E-2</v>
      </c>
      <c r="U2593">
        <v>-0.25500489999999998</v>
      </c>
      <c r="V2593">
        <v>5.9712990000000002E-3</v>
      </c>
      <c r="W2593">
        <v>3.9283489999999997E-2</v>
      </c>
      <c r="X2593">
        <v>0.99921020000000005</v>
      </c>
      <c r="Y2593">
        <v>-8.5741289999999998E-2</v>
      </c>
      <c r="Z2593">
        <v>-3.3697970000000002E-4</v>
      </c>
      <c r="AA2593">
        <v>0.99631740000000002</v>
      </c>
      <c r="AB2593">
        <v>27</v>
      </c>
      <c r="AC2593">
        <v>-81.0047</v>
      </c>
      <c r="AD2593">
        <v>-0.62241849999999999</v>
      </c>
      <c r="AE2593">
        <v>-6.8902999999999599</v>
      </c>
      <c r="AF2593">
        <v>-6.9833230375398996</v>
      </c>
      <c r="AG2593">
        <v>-0.62241849999999999</v>
      </c>
      <c r="AH2593">
        <v>80.991950921518793</v>
      </c>
      <c r="AI2593">
        <v>90.438678560983703</v>
      </c>
      <c r="AJ2593">
        <v>94.927993535670296</v>
      </c>
      <c r="AK2593">
        <v>81.294835749323497</v>
      </c>
      <c r="AL2593">
        <v>87.748642375431103</v>
      </c>
      <c r="AM2593">
        <v>89.657603416990398</v>
      </c>
      <c r="AN2593">
        <v>0.99999993639118101</v>
      </c>
    </row>
    <row r="2594" spans="1:40" x14ac:dyDescent="0.25">
      <c r="A2594" t="str">
        <f>"20190312160344700"</f>
        <v>20190312160344700</v>
      </c>
      <c r="B2594" t="str">
        <f>"1552377824697464"</f>
        <v>1552377824697464</v>
      </c>
      <c r="C2594" t="s">
        <v>40</v>
      </c>
      <c r="D2594">
        <v>4.532432</v>
      </c>
      <c r="E2594">
        <v>0.46569189999999999</v>
      </c>
      <c r="F2594" t="s">
        <v>76</v>
      </c>
      <c r="G2594">
        <v>-511.9588</v>
      </c>
      <c r="H2594">
        <v>0.51540900000000001</v>
      </c>
      <c r="I2594">
        <v>278.43819999999999</v>
      </c>
      <c r="J2594">
        <v>-431.17110000000002</v>
      </c>
      <c r="K2594">
        <v>1.110069</v>
      </c>
      <c r="L2594">
        <v>285.34210000000002</v>
      </c>
      <c r="M2594">
        <v>-0.99992320000000001</v>
      </c>
      <c r="N2594">
        <v>0</v>
      </c>
      <c r="O2594">
        <v>1.153568E-3</v>
      </c>
      <c r="P2594">
        <v>-0.99960260000000001</v>
      </c>
      <c r="Q2594">
        <v>2.729622E-2</v>
      </c>
      <c r="R2594">
        <v>7.0497800000000003E-3</v>
      </c>
      <c r="S2594">
        <v>-3.0036010000000002</v>
      </c>
      <c r="T2594">
        <v>-2.2046449999999999E-2</v>
      </c>
      <c r="U2594">
        <v>-0.25598140000000003</v>
      </c>
      <c r="V2594">
        <v>5.8982649999999998E-3</v>
      </c>
      <c r="W2594">
        <v>3.9627490000000001E-2</v>
      </c>
      <c r="X2594">
        <v>0.99919709999999995</v>
      </c>
      <c r="Y2594">
        <v>-8.6064130000000003E-2</v>
      </c>
      <c r="Z2594">
        <v>-3.237324E-4</v>
      </c>
      <c r="AA2594">
        <v>0.9962896</v>
      </c>
      <c r="AB2594">
        <v>27</v>
      </c>
      <c r="AC2594">
        <v>-80.787699999999901</v>
      </c>
      <c r="AD2594">
        <v>-0.59465999999999997</v>
      </c>
      <c r="AE2594">
        <v>-6.9039000000000197</v>
      </c>
      <c r="AF2594">
        <v>-6.9967202662156103</v>
      </c>
      <c r="AG2594">
        <v>-0.59465999999999997</v>
      </c>
      <c r="AH2594">
        <v>80.775336755985407</v>
      </c>
      <c r="AI2594">
        <v>90.4202247556305</v>
      </c>
      <c r="AJ2594">
        <v>94.950575855942006</v>
      </c>
      <c r="AK2594">
        <v>81.079977448455907</v>
      </c>
      <c r="AL2594">
        <v>87.728917379441</v>
      </c>
      <c r="AM2594">
        <v>89.661786682787096</v>
      </c>
      <c r="AN2594">
        <v>0.99999998607106</v>
      </c>
    </row>
    <row r="2595" spans="1:40" x14ac:dyDescent="0.25">
      <c r="A2595" t="str">
        <f>"20190312160344723"</f>
        <v>20190312160344723</v>
      </c>
      <c r="B2595" t="str">
        <f>"1552377824717491"</f>
        <v>1552377824717491</v>
      </c>
      <c r="C2595" t="s">
        <v>40</v>
      </c>
      <c r="D2595">
        <v>4.527844</v>
      </c>
      <c r="E2595">
        <v>0.4656401</v>
      </c>
      <c r="F2595" t="s">
        <v>76</v>
      </c>
      <c r="G2595">
        <v>-511.9588</v>
      </c>
      <c r="H2595">
        <v>0.55784750000000005</v>
      </c>
      <c r="I2595">
        <v>278.4307</v>
      </c>
      <c r="J2595">
        <v>-431.44200000000001</v>
      </c>
      <c r="K2595">
        <v>1.110069</v>
      </c>
      <c r="L2595">
        <v>285.3424</v>
      </c>
      <c r="M2595">
        <v>-0.99992329999999996</v>
      </c>
      <c r="N2595">
        <v>0</v>
      </c>
      <c r="O2595">
        <v>1.15357E-3</v>
      </c>
      <c r="P2595">
        <v>-0.99958420000000003</v>
      </c>
      <c r="Q2595">
        <v>2.795129E-2</v>
      </c>
      <c r="R2595">
        <v>7.1112500000000004E-3</v>
      </c>
      <c r="S2595">
        <v>-3.0036010000000002</v>
      </c>
      <c r="T2595">
        <v>-2.0527960000000001E-2</v>
      </c>
      <c r="U2595">
        <v>-0.25695800000000002</v>
      </c>
      <c r="V2595">
        <v>5.9596959999999996E-3</v>
      </c>
      <c r="W2595">
        <v>4.0282140000000001E-2</v>
      </c>
      <c r="X2595">
        <v>0.99917060000000002</v>
      </c>
      <c r="Y2595">
        <v>-8.6386000000000004E-2</v>
      </c>
      <c r="Z2595">
        <v>-3.02529E-4</v>
      </c>
      <c r="AA2595">
        <v>0.99626170000000003</v>
      </c>
      <c r="AB2595">
        <v>27</v>
      </c>
      <c r="AC2595">
        <v>-80.516800000000003</v>
      </c>
      <c r="AD2595">
        <v>-0.55222149999999903</v>
      </c>
      <c r="AE2595">
        <v>-6.91169999999999</v>
      </c>
      <c r="AF2595">
        <v>-7.0042571684338997</v>
      </c>
      <c r="AG2595">
        <v>-0.55222149999999903</v>
      </c>
      <c r="AH2595">
        <v>80.505013546945406</v>
      </c>
      <c r="AI2595">
        <v>90.391533302908798</v>
      </c>
      <c r="AJ2595">
        <v>94.9724398782799</v>
      </c>
      <c r="AK2595">
        <v>80.811025072452097</v>
      </c>
      <c r="AL2595">
        <v>87.691378818740105</v>
      </c>
      <c r="AM2595">
        <v>89.658255178212102</v>
      </c>
      <c r="AN2595">
        <v>1.00000002834187</v>
      </c>
    </row>
    <row r="2596" spans="1:40" x14ac:dyDescent="0.25">
      <c r="A2596" t="str">
        <f>"20190312160344744"</f>
        <v>20190312160344744</v>
      </c>
      <c r="B2596" t="str">
        <f>"1552377824737010"</f>
        <v>1552377824737010</v>
      </c>
      <c r="C2596" t="s">
        <v>40</v>
      </c>
      <c r="D2596">
        <v>4.5504850000000001</v>
      </c>
      <c r="E2596">
        <v>0.46564610000000001</v>
      </c>
      <c r="F2596" t="s">
        <v>76</v>
      </c>
      <c r="G2596">
        <v>-511.9588</v>
      </c>
      <c r="H2596">
        <v>0.61465080000000005</v>
      </c>
      <c r="I2596">
        <v>278.4443</v>
      </c>
      <c r="J2596">
        <v>-431.7</v>
      </c>
      <c r="K2596">
        <v>1.110069</v>
      </c>
      <c r="L2596">
        <v>285.34269999999998</v>
      </c>
      <c r="M2596">
        <v>-0.99992320000000001</v>
      </c>
      <c r="N2596">
        <v>0</v>
      </c>
      <c r="O2596">
        <v>1.15375E-3</v>
      </c>
      <c r="P2596">
        <v>-0.99957759999999996</v>
      </c>
      <c r="Q2596">
        <v>2.8235699999999999E-2</v>
      </c>
      <c r="R2596">
        <v>6.8894759999999899E-3</v>
      </c>
      <c r="S2596">
        <v>-3.0036010000000002</v>
      </c>
      <c r="T2596">
        <v>-1.8478040000000001E-2</v>
      </c>
      <c r="U2596">
        <v>-0.2573242</v>
      </c>
      <c r="V2596">
        <v>5.7377579999999999E-3</v>
      </c>
      <c r="W2596">
        <v>4.0566579999999998E-2</v>
      </c>
      <c r="X2596">
        <v>0.9991603</v>
      </c>
      <c r="Y2596">
        <v>-8.6507130000000002E-2</v>
      </c>
      <c r="Z2596">
        <v>-2.7269060000000001E-4</v>
      </c>
      <c r="AA2596">
        <v>0.9962512</v>
      </c>
      <c r="AB2596">
        <v>27</v>
      </c>
      <c r="AC2596">
        <v>-80.258799999999994</v>
      </c>
      <c r="AD2596">
        <v>-0.49541819999999898</v>
      </c>
      <c r="AE2596">
        <v>-6.8983999999999801</v>
      </c>
      <c r="AF2596">
        <v>-6.9907366346485604</v>
      </c>
      <c r="AG2596">
        <v>-0.49541819999999898</v>
      </c>
      <c r="AH2596">
        <v>80.247751686685305</v>
      </c>
      <c r="AI2596">
        <v>90.352382674896603</v>
      </c>
      <c r="AJ2596">
        <v>94.978719821015204</v>
      </c>
      <c r="AK2596">
        <v>80.553196638344701</v>
      </c>
      <c r="AL2596">
        <v>87.675068063365799</v>
      </c>
      <c r="AM2596">
        <v>89.670978016648405</v>
      </c>
      <c r="AN2596">
        <v>0.99999993718792402</v>
      </c>
    </row>
    <row r="2597" spans="1:40" x14ac:dyDescent="0.25">
      <c r="A2597" t="str">
        <f>"20190312160344758"</f>
        <v>20190312160344758</v>
      </c>
      <c r="B2597" t="str">
        <f>"1552377824746772"</f>
        <v>1552377824746772</v>
      </c>
      <c r="C2597" t="s">
        <v>40</v>
      </c>
      <c r="D2597">
        <v>4.550942</v>
      </c>
      <c r="E2597">
        <v>0.46563120000000002</v>
      </c>
      <c r="F2597" t="s">
        <v>76</v>
      </c>
      <c r="G2597">
        <v>-511.9588</v>
      </c>
      <c r="H2597">
        <v>0.647931699999999</v>
      </c>
      <c r="I2597">
        <v>278.45429999999999</v>
      </c>
      <c r="J2597">
        <v>-431.86430000000001</v>
      </c>
      <c r="K2597">
        <v>1.110069</v>
      </c>
      <c r="L2597">
        <v>285.34289999999999</v>
      </c>
      <c r="M2597">
        <v>-0.99992329999999996</v>
      </c>
      <c r="N2597">
        <v>0</v>
      </c>
      <c r="O2597">
        <v>1.1535720000000001E-3</v>
      </c>
      <c r="P2597">
        <v>-0.99957600000000002</v>
      </c>
      <c r="Q2597">
        <v>2.8204679999999999E-2</v>
      </c>
      <c r="R2597">
        <v>7.2346609999999999E-3</v>
      </c>
      <c r="S2597">
        <v>-3.0035400000000001</v>
      </c>
      <c r="T2597">
        <v>-1.7291549999999999E-2</v>
      </c>
      <c r="U2597">
        <v>-0.25778200000000001</v>
      </c>
      <c r="V2597">
        <v>6.0830149999999998E-3</v>
      </c>
      <c r="W2597">
        <v>4.0535130000000003E-2</v>
      </c>
      <c r="X2597">
        <v>0.99915960000000004</v>
      </c>
      <c r="Y2597">
        <v>-8.6659609999999998E-2</v>
      </c>
      <c r="Z2597">
        <v>-2.5562190000000002E-4</v>
      </c>
      <c r="AA2597">
        <v>0.99623790000000001</v>
      </c>
      <c r="AB2597">
        <v>27</v>
      </c>
      <c r="AC2597">
        <v>-80.094499999999897</v>
      </c>
      <c r="AD2597">
        <v>-0.46213729999999997</v>
      </c>
      <c r="AE2597">
        <v>-6.8885999999999896</v>
      </c>
      <c r="AF2597">
        <v>-6.9807665186676902</v>
      </c>
      <c r="AG2597">
        <v>-0.46213729999999997</v>
      </c>
      <c r="AH2597">
        <v>80.083853044334901</v>
      </c>
      <c r="AI2597">
        <v>90.329382254787603</v>
      </c>
      <c r="AJ2597">
        <v>94.981778611945899</v>
      </c>
      <c r="AK2597">
        <v>80.388856133787797</v>
      </c>
      <c r="AL2597">
        <v>87.676871652213507</v>
      </c>
      <c r="AM2597">
        <v>89.651180071563203</v>
      </c>
      <c r="AN2597">
        <v>1.00000000305388</v>
      </c>
    </row>
    <row r="2598" spans="1:40" x14ac:dyDescent="0.25">
      <c r="A2598" t="str">
        <f>"20190312160344771"</f>
        <v>20190312160344771</v>
      </c>
      <c r="B2598" t="str">
        <f>"1552377824767266"</f>
        <v>1552377824767266</v>
      </c>
      <c r="C2598" t="s">
        <v>40</v>
      </c>
      <c r="D2598">
        <v>4.5565049999999996</v>
      </c>
      <c r="E2598">
        <v>0.46560820000000003</v>
      </c>
      <c r="F2598" t="s">
        <v>76</v>
      </c>
      <c r="G2598">
        <v>-511.9588</v>
      </c>
      <c r="H2598">
        <v>0.64874580000000004</v>
      </c>
      <c r="I2598">
        <v>278.48750000000001</v>
      </c>
      <c r="J2598">
        <v>-432.01530000000002</v>
      </c>
      <c r="K2598">
        <v>1.1100680000000001</v>
      </c>
      <c r="L2598">
        <v>285.34300000000002</v>
      </c>
      <c r="M2598">
        <v>-0.99992320000000001</v>
      </c>
      <c r="N2598">
        <v>0</v>
      </c>
      <c r="O2598">
        <v>1.1537520000000001E-3</v>
      </c>
      <c r="P2598">
        <v>-0.99958040000000004</v>
      </c>
      <c r="Q2598">
        <v>2.8044159999999999E-2</v>
      </c>
      <c r="R2598">
        <v>7.239985E-3</v>
      </c>
      <c r="S2598">
        <v>-3.0036320000000001</v>
      </c>
      <c r="T2598">
        <v>-1.7297030000000001E-2</v>
      </c>
      <c r="U2598">
        <v>-0.25708009999999998</v>
      </c>
      <c r="V2598">
        <v>6.0880919999999998E-3</v>
      </c>
      <c r="W2598">
        <v>4.0375050000000003E-2</v>
      </c>
      <c r="X2598">
        <v>0.99916609999999995</v>
      </c>
      <c r="Y2598">
        <v>-8.6426100000000006E-2</v>
      </c>
      <c r="Z2598">
        <v>-2.550276E-4</v>
      </c>
      <c r="AA2598">
        <v>0.99625830000000004</v>
      </c>
      <c r="AB2598">
        <v>27</v>
      </c>
      <c r="AC2598">
        <v>-79.943499999999901</v>
      </c>
      <c r="AD2598">
        <v>-0.46132219999999902</v>
      </c>
      <c r="AE2598">
        <v>-6.8555000000000001</v>
      </c>
      <c r="AF2598">
        <v>-6.9475077701366699</v>
      </c>
      <c r="AG2598">
        <v>-0.46132219999999902</v>
      </c>
      <c r="AH2598">
        <v>79.932894311689793</v>
      </c>
      <c r="AI2598">
        <v>90.329429421883901</v>
      </c>
      <c r="AJ2598">
        <v>94.967479338140095</v>
      </c>
      <c r="AK2598">
        <v>80.235579859761003</v>
      </c>
      <c r="AL2598">
        <v>87.686051189623896</v>
      </c>
      <c r="AM2598">
        <v>89.650891218079593</v>
      </c>
      <c r="AN2598">
        <v>1.00000005245795</v>
      </c>
    </row>
    <row r="2599" spans="1:40" x14ac:dyDescent="0.25">
      <c r="A2599" t="str">
        <f>"20190312160344783"</f>
        <v>20190312160344783</v>
      </c>
      <c r="B2599" t="str">
        <f>"1552377824777027"</f>
        <v>1552377824777027</v>
      </c>
      <c r="C2599" t="s">
        <v>40</v>
      </c>
      <c r="D2599">
        <v>4.5297790000000004</v>
      </c>
      <c r="E2599">
        <v>0.4655899</v>
      </c>
      <c r="F2599" t="s">
        <v>76</v>
      </c>
      <c r="G2599">
        <v>-511.9588</v>
      </c>
      <c r="H2599">
        <v>0.64440509999999995</v>
      </c>
      <c r="I2599">
        <v>278.50209999999998</v>
      </c>
      <c r="J2599">
        <v>-432.17599999999999</v>
      </c>
      <c r="K2599">
        <v>1.1100620000000001</v>
      </c>
      <c r="L2599">
        <v>285.34320000000002</v>
      </c>
      <c r="M2599">
        <v>-0.99992320000000001</v>
      </c>
      <c r="N2599">
        <v>0</v>
      </c>
      <c r="O2599">
        <v>1.153753E-3</v>
      </c>
      <c r="P2599">
        <v>-0.99958259999999999</v>
      </c>
      <c r="Q2599">
        <v>2.7959999999999999E-2</v>
      </c>
      <c r="R2599">
        <v>7.2425129999999999E-3</v>
      </c>
      <c r="S2599">
        <v>-3.003571</v>
      </c>
      <c r="T2599">
        <v>-1.749241E-2</v>
      </c>
      <c r="U2599">
        <v>-0.257019</v>
      </c>
      <c r="V2599">
        <v>6.0906249999999997E-3</v>
      </c>
      <c r="W2599">
        <v>4.0290720000000002E-2</v>
      </c>
      <c r="X2599">
        <v>0.99916939999999999</v>
      </c>
      <c r="Y2599">
        <v>-8.6407680000000001E-2</v>
      </c>
      <c r="Z2599">
        <v>-2.5786029999999999E-4</v>
      </c>
      <c r="AA2599">
        <v>0.99625980000000003</v>
      </c>
      <c r="AB2599">
        <v>27</v>
      </c>
      <c r="AC2599">
        <v>-79.782799999999995</v>
      </c>
      <c r="AD2599">
        <v>-0.46565689999999998</v>
      </c>
      <c r="AE2599">
        <v>-6.8411000000000399</v>
      </c>
      <c r="AF2599">
        <v>-6.93291765071932</v>
      </c>
      <c r="AG2599">
        <v>-0.46565689999999998</v>
      </c>
      <c r="AH2599">
        <v>79.772155713622396</v>
      </c>
      <c r="AI2599">
        <v>90.333194990646902</v>
      </c>
      <c r="AJ2599">
        <v>94.967037906435493</v>
      </c>
      <c r="AK2599">
        <v>80.074209397899097</v>
      </c>
      <c r="AL2599">
        <v>87.690886672580802</v>
      </c>
      <c r="AM2599">
        <v>89.650747125607595</v>
      </c>
      <c r="AN2599">
        <v>0.99999996386368395</v>
      </c>
    </row>
    <row r="2600" spans="1:40" x14ac:dyDescent="0.25">
      <c r="A2600" t="str">
        <f>"20190312160344795"</f>
        <v>20190312160344795</v>
      </c>
      <c r="B2600" t="str">
        <f>"1552377824786787"</f>
        <v>1552377824786787</v>
      </c>
      <c r="C2600" t="s">
        <v>40</v>
      </c>
      <c r="D2600">
        <v>4.5427419999999996</v>
      </c>
      <c r="E2600">
        <v>0.46557189999999998</v>
      </c>
      <c r="F2600" t="s">
        <v>76</v>
      </c>
      <c r="G2600">
        <v>-511.9588</v>
      </c>
      <c r="H2600">
        <v>0.64257529999999996</v>
      </c>
      <c r="I2600">
        <v>278.5145</v>
      </c>
      <c r="J2600">
        <v>-432.31060000000002</v>
      </c>
      <c r="K2600">
        <v>1.110061</v>
      </c>
      <c r="L2600">
        <v>285.34339999999997</v>
      </c>
      <c r="M2600">
        <v>-0.99992329999999996</v>
      </c>
      <c r="N2600">
        <v>0</v>
      </c>
      <c r="O2600">
        <v>1.153753E-3</v>
      </c>
      <c r="P2600">
        <v>-0.99958449999999999</v>
      </c>
      <c r="Q2600">
        <v>2.7900080000000001E-2</v>
      </c>
      <c r="R2600">
        <v>7.2672669999999896E-3</v>
      </c>
      <c r="S2600">
        <v>-3.0036010000000002</v>
      </c>
      <c r="T2600">
        <v>-1.7596480000000001E-2</v>
      </c>
      <c r="U2600">
        <v>-0.25708009999999998</v>
      </c>
      <c r="V2600">
        <v>6.1156939999999996E-3</v>
      </c>
      <c r="W2600">
        <v>4.0230679999999998E-2</v>
      </c>
      <c r="X2600">
        <v>0.9991717</v>
      </c>
      <c r="Y2600">
        <v>-8.6426909999999996E-2</v>
      </c>
      <c r="Z2600">
        <v>-2.5944770000000002E-4</v>
      </c>
      <c r="AA2600">
        <v>0.99625810000000004</v>
      </c>
      <c r="AB2600">
        <v>27</v>
      </c>
      <c r="AC2600">
        <v>-79.648199999999903</v>
      </c>
      <c r="AD2600">
        <v>-0.467485699999999</v>
      </c>
      <c r="AE2600">
        <v>-6.8288999999999698</v>
      </c>
      <c r="AF2600">
        <v>-6.9205601204846099</v>
      </c>
      <c r="AG2600">
        <v>-0.467485699999999</v>
      </c>
      <c r="AH2600">
        <v>79.637544052599097</v>
      </c>
      <c r="AI2600">
        <v>90.335069174799102</v>
      </c>
      <c r="AJ2600">
        <v>94.966567647873703</v>
      </c>
      <c r="AK2600">
        <v>79.939046266456103</v>
      </c>
      <c r="AL2600">
        <v>87.694329580788306</v>
      </c>
      <c r="AM2600">
        <v>89.649310444558495</v>
      </c>
      <c r="AN2600">
        <v>0.99999999770362702</v>
      </c>
    </row>
    <row r="2601" spans="1:40" x14ac:dyDescent="0.25">
      <c r="A2601" t="str">
        <f>"20190312160344808"</f>
        <v>20190312160344808</v>
      </c>
      <c r="B2601" t="str">
        <f>"1552377824797524"</f>
        <v>1552377824797524</v>
      </c>
      <c r="C2601" t="s">
        <v>40</v>
      </c>
      <c r="D2601">
        <v>4.5624370000000001</v>
      </c>
      <c r="E2601">
        <v>0.46554709999999999</v>
      </c>
      <c r="F2601" t="s">
        <v>76</v>
      </c>
      <c r="G2601">
        <v>-511.9588</v>
      </c>
      <c r="H2601">
        <v>0.63808750000000003</v>
      </c>
      <c r="I2601">
        <v>278.52620000000002</v>
      </c>
      <c r="J2601">
        <v>-432.46230000000003</v>
      </c>
      <c r="K2601">
        <v>1.110061</v>
      </c>
      <c r="L2601">
        <v>285.34359999999998</v>
      </c>
      <c r="M2601">
        <v>-0.99992329999999996</v>
      </c>
      <c r="N2601">
        <v>0</v>
      </c>
      <c r="O2601">
        <v>1.1537540000000001E-3</v>
      </c>
      <c r="P2601">
        <v>-0.99959219999999904</v>
      </c>
      <c r="Q2601">
        <v>2.7626999999999999E-2</v>
      </c>
      <c r="R2601">
        <v>7.2265530000000001E-3</v>
      </c>
      <c r="S2601">
        <v>-3.0036010000000002</v>
      </c>
      <c r="T2601">
        <v>-1.7795439999999999E-2</v>
      </c>
      <c r="U2601">
        <v>-0.25708009999999998</v>
      </c>
      <c r="V2601">
        <v>6.0746949999999997E-3</v>
      </c>
      <c r="W2601">
        <v>3.9957680000000002E-2</v>
      </c>
      <c r="X2601">
        <v>0.99918289999999998</v>
      </c>
      <c r="Y2601">
        <v>-8.6426870000000003E-2</v>
      </c>
      <c r="Z2601">
        <v>-2.6238100000000001E-4</v>
      </c>
      <c r="AA2601">
        <v>0.99625810000000004</v>
      </c>
      <c r="AB2601">
        <v>27</v>
      </c>
      <c r="AC2601">
        <v>-79.496499999999898</v>
      </c>
      <c r="AD2601">
        <v>-0.47197349999999899</v>
      </c>
      <c r="AE2601">
        <v>-6.8173999999999602</v>
      </c>
      <c r="AF2601">
        <v>-6.9088800920776903</v>
      </c>
      <c r="AG2601">
        <v>-0.47197349999999899</v>
      </c>
      <c r="AH2601">
        <v>79.4857995889611</v>
      </c>
      <c r="AI2601">
        <v>90.338930963596695</v>
      </c>
      <c r="AJ2601">
        <v>94.967645563178095</v>
      </c>
      <c r="AK2601">
        <v>79.786889395488402</v>
      </c>
      <c r="AL2601">
        <v>87.709983905202904</v>
      </c>
      <c r="AM2601">
        <v>89.6516652785715</v>
      </c>
      <c r="AN2601">
        <v>0.99999999288136698</v>
      </c>
    </row>
    <row r="2602" spans="1:40" x14ac:dyDescent="0.25">
      <c r="A2602" t="str">
        <f>"20190312160344821"</f>
        <v>20190312160344821</v>
      </c>
      <c r="B2602" t="str">
        <f>"1552377824817550"</f>
        <v>1552377824817550</v>
      </c>
      <c r="C2602" t="s">
        <v>40</v>
      </c>
      <c r="D2602">
        <v>4.5916009999999998</v>
      </c>
      <c r="E2602">
        <v>0.46553549999999999</v>
      </c>
      <c r="F2602" t="s">
        <v>76</v>
      </c>
      <c r="G2602">
        <v>-511.9588</v>
      </c>
      <c r="H2602">
        <v>0.62547839999999999</v>
      </c>
      <c r="I2602">
        <v>278.52730000000003</v>
      </c>
      <c r="J2602">
        <v>-432.61630000000002</v>
      </c>
      <c r="K2602">
        <v>1.1100639999999999</v>
      </c>
      <c r="L2602">
        <v>285.34379999999999</v>
      </c>
      <c r="M2602">
        <v>-0.99992329999999996</v>
      </c>
      <c r="N2602">
        <v>0</v>
      </c>
      <c r="O2602">
        <v>1.153755E-3</v>
      </c>
      <c r="P2602">
        <v>-0.99958959999999997</v>
      </c>
      <c r="Q2602">
        <v>2.7729190000000001E-2</v>
      </c>
      <c r="R2602">
        <v>7.2120530000000004E-3</v>
      </c>
      <c r="S2602">
        <v>-3.0036010000000002</v>
      </c>
      <c r="T2602">
        <v>-1.8305780000000001E-2</v>
      </c>
      <c r="U2602">
        <v>-0.25753779999999998</v>
      </c>
      <c r="V2602">
        <v>6.0602109999999898E-3</v>
      </c>
      <c r="W2602">
        <v>4.0059160000000003E-2</v>
      </c>
      <c r="X2602">
        <v>0.99917889999999998</v>
      </c>
      <c r="Y2602">
        <v>-8.6577509999999996E-2</v>
      </c>
      <c r="Z2602">
        <v>-2.703618E-4</v>
      </c>
      <c r="AA2602">
        <v>0.99624509999999999</v>
      </c>
      <c r="AB2602">
        <v>27</v>
      </c>
      <c r="AC2602">
        <v>-79.342499999999902</v>
      </c>
      <c r="AD2602">
        <v>-0.48458559999999901</v>
      </c>
      <c r="AE2602">
        <v>-6.8164999999999596</v>
      </c>
      <c r="AF2602">
        <v>-6.9077884446623301</v>
      </c>
      <c r="AG2602">
        <v>-0.48458559999999901</v>
      </c>
      <c r="AH2602">
        <v>79.331644486802702</v>
      </c>
      <c r="AI2602">
        <v>90.348659187535503</v>
      </c>
      <c r="AJ2602">
        <v>94.976467626530606</v>
      </c>
      <c r="AK2602">
        <v>79.633298194790299</v>
      </c>
      <c r="AL2602">
        <v>87.704164814007598</v>
      </c>
      <c r="AM2602">
        <v>89.652494407535102</v>
      </c>
      <c r="AN2602">
        <v>0.99999996833123905</v>
      </c>
    </row>
    <row r="2603" spans="1:40" x14ac:dyDescent="0.25">
      <c r="A2603" t="str">
        <f>"20190312160344834"</f>
        <v>20190312160344834</v>
      </c>
      <c r="B2603" t="str">
        <f>"1552377824827309"</f>
        <v>1552377824827309</v>
      </c>
      <c r="C2603" t="s">
        <v>40</v>
      </c>
      <c r="D2603">
        <v>4.5604769999999997</v>
      </c>
      <c r="E2603">
        <v>0.4655513</v>
      </c>
      <c r="F2603" t="s">
        <v>76</v>
      </c>
      <c r="G2603">
        <v>-511.9588</v>
      </c>
      <c r="H2603">
        <v>0.62935909999999995</v>
      </c>
      <c r="I2603">
        <v>278.53899999999999</v>
      </c>
      <c r="J2603">
        <v>-432.77109999999999</v>
      </c>
      <c r="K2603">
        <v>1.1100669999999999</v>
      </c>
      <c r="L2603">
        <v>285.34390000000002</v>
      </c>
      <c r="M2603">
        <v>-0.99992320000000001</v>
      </c>
      <c r="N2603">
        <v>0</v>
      </c>
      <c r="O2603">
        <v>1.153875E-3</v>
      </c>
      <c r="P2603">
        <v>-0.99958009999999997</v>
      </c>
      <c r="Q2603">
        <v>2.795607E-2</v>
      </c>
      <c r="R2603">
        <v>7.6104980000000003E-3</v>
      </c>
      <c r="S2603">
        <v>-3.003571</v>
      </c>
      <c r="T2603">
        <v>-1.819432E-2</v>
      </c>
      <c r="U2603">
        <v>-0.25759890000000002</v>
      </c>
      <c r="V2603">
        <v>6.4584660000000004E-3</v>
      </c>
      <c r="W2603">
        <v>4.0285950000000001E-2</v>
      </c>
      <c r="X2603">
        <v>0.99916729999999998</v>
      </c>
      <c r="Y2603">
        <v>-8.6598610000000006E-2</v>
      </c>
      <c r="Z2603">
        <v>-2.6878280000000002E-4</v>
      </c>
      <c r="AA2603">
        <v>0.9962432</v>
      </c>
      <c r="AB2603">
        <v>27</v>
      </c>
      <c r="AC2603">
        <v>-79.187700000000007</v>
      </c>
      <c r="AD2603">
        <v>-0.48070790000000002</v>
      </c>
      <c r="AE2603">
        <v>-6.8049000000000301</v>
      </c>
      <c r="AF2603">
        <v>-6.8960228724623098</v>
      </c>
      <c r="AG2603">
        <v>-0.48070790000000002</v>
      </c>
      <c r="AH2603">
        <v>79.176898329185505</v>
      </c>
      <c r="AI2603">
        <v>90.346544567943596</v>
      </c>
      <c r="AJ2603">
        <v>94.977694966739506</v>
      </c>
      <c r="AK2603">
        <v>79.478094092478301</v>
      </c>
      <c r="AL2603">
        <v>87.691160236205405</v>
      </c>
      <c r="AM2603">
        <v>89.629653922391398</v>
      </c>
      <c r="AN2603">
        <v>0.999999981469882</v>
      </c>
    </row>
    <row r="2604" spans="1:40" x14ac:dyDescent="0.25">
      <c r="A2604" t="str">
        <f>"20190312160344848"</f>
        <v>20190312160344848</v>
      </c>
      <c r="B2604" t="str">
        <f>"1552377824837070"</f>
        <v>1552377824837070</v>
      </c>
      <c r="C2604" t="s">
        <v>40</v>
      </c>
      <c r="D2604">
        <v>4.5835089999999896</v>
      </c>
      <c r="E2604">
        <v>0.46555429999999998</v>
      </c>
      <c r="F2604" t="s">
        <v>76</v>
      </c>
      <c r="G2604">
        <v>-511.9588</v>
      </c>
      <c r="H2604">
        <v>0.6518775</v>
      </c>
      <c r="I2604">
        <v>278.58159999999998</v>
      </c>
      <c r="J2604">
        <v>-432.93209999999999</v>
      </c>
      <c r="K2604">
        <v>1.110069</v>
      </c>
      <c r="L2604">
        <v>285.34410000000003</v>
      </c>
      <c r="M2604">
        <v>-0.99992329999999996</v>
      </c>
      <c r="N2604">
        <v>0</v>
      </c>
      <c r="O2604">
        <v>1.153875E-3</v>
      </c>
      <c r="P2604">
        <v>-0.99957430000000003</v>
      </c>
      <c r="Q2604">
        <v>2.8105680000000001E-2</v>
      </c>
      <c r="R2604">
        <v>7.8586219999999991E-3</v>
      </c>
      <c r="S2604">
        <v>-3.0036619999999998</v>
      </c>
      <c r="T2604">
        <v>-1.737642E-2</v>
      </c>
      <c r="U2604">
        <v>-0.25650020000000001</v>
      </c>
      <c r="V2604">
        <v>6.7068719999999896E-3</v>
      </c>
      <c r="W2604">
        <v>4.0435560000000002E-2</v>
      </c>
      <c r="X2604">
        <v>0.99915960000000004</v>
      </c>
      <c r="Y2604">
        <v>-8.6234430000000001E-2</v>
      </c>
      <c r="Z2604">
        <v>-2.5564499999999998E-4</v>
      </c>
      <c r="AA2604">
        <v>0.99627480000000002</v>
      </c>
      <c r="AB2604">
        <v>27</v>
      </c>
      <c r="AC2604">
        <v>-79.026700000000005</v>
      </c>
      <c r="AD2604">
        <v>-0.45819149999999997</v>
      </c>
      <c r="AE2604">
        <v>-6.7625000000000401</v>
      </c>
      <c r="AF2604">
        <v>-6.8534606534037001</v>
      </c>
      <c r="AG2604">
        <v>-0.45819149999999997</v>
      </c>
      <c r="AH2604">
        <v>79.016206808021593</v>
      </c>
      <c r="AI2604">
        <v>90.3309948074114</v>
      </c>
      <c r="AJ2604">
        <v>94.957136249509901</v>
      </c>
      <c r="AK2604">
        <v>79.314190411971495</v>
      </c>
      <c r="AL2604">
        <v>87.682581177652096</v>
      </c>
      <c r="AM2604">
        <v>89.615407100176299</v>
      </c>
      <c r="AN2604">
        <v>0.99999996145834802</v>
      </c>
    </row>
    <row r="2605" spans="1:40" x14ac:dyDescent="0.25">
      <c r="A2605" t="str">
        <f>"20190312160344861"</f>
        <v>20190312160344861</v>
      </c>
      <c r="B2605" t="str">
        <f>"1552377824857566"</f>
        <v>1552377824857566</v>
      </c>
      <c r="C2605" t="s">
        <v>40</v>
      </c>
      <c r="D2605">
        <v>4.6830189999999998</v>
      </c>
      <c r="E2605">
        <v>0.46559719999999999</v>
      </c>
      <c r="F2605" t="s">
        <v>76</v>
      </c>
      <c r="G2605">
        <v>-511.9588</v>
      </c>
      <c r="H2605">
        <v>0.67050399999999999</v>
      </c>
      <c r="I2605">
        <v>278.61509999999998</v>
      </c>
      <c r="J2605">
        <v>-433.09399999999999</v>
      </c>
      <c r="K2605">
        <v>1.110069</v>
      </c>
      <c r="L2605">
        <v>285.34429999999998</v>
      </c>
      <c r="M2605">
        <v>-0.99992320000000001</v>
      </c>
      <c r="N2605">
        <v>0</v>
      </c>
      <c r="O2605">
        <v>1.1538760000000001E-3</v>
      </c>
      <c r="P2605">
        <v>-0.99957119999999999</v>
      </c>
      <c r="Q2605">
        <v>2.8091609999999999E-2</v>
      </c>
      <c r="R2605">
        <v>8.2894709999999996E-3</v>
      </c>
      <c r="S2605">
        <v>-3.0038149999999999</v>
      </c>
      <c r="T2605">
        <v>-1.6704799999999999E-2</v>
      </c>
      <c r="U2605">
        <v>-0.25576779999999999</v>
      </c>
      <c r="V2605">
        <v>7.1377319999999999E-3</v>
      </c>
      <c r="W2605">
        <v>4.0421270000000002E-2</v>
      </c>
      <c r="X2605">
        <v>0.99915719999999997</v>
      </c>
      <c r="Y2605">
        <v>-8.5989099999999999E-2</v>
      </c>
      <c r="Z2605">
        <v>-2.450733E-4</v>
      </c>
      <c r="AA2605">
        <v>0.99629599999999996</v>
      </c>
      <c r="AB2605">
        <v>27</v>
      </c>
      <c r="AC2605">
        <v>-78.864800000000002</v>
      </c>
      <c r="AD2605">
        <v>-0.43956499999999998</v>
      </c>
      <c r="AE2605">
        <v>-6.7291999999999899</v>
      </c>
      <c r="AF2605">
        <v>-6.8199923124796804</v>
      </c>
      <c r="AG2605">
        <v>-0.43956499999999998</v>
      </c>
      <c r="AH2605">
        <v>78.854550278570599</v>
      </c>
      <c r="AI2605">
        <v>90.318197123518402</v>
      </c>
      <c r="AJ2605">
        <v>94.943111193744699</v>
      </c>
      <c r="AK2605">
        <v>79.150146002184499</v>
      </c>
      <c r="AL2605">
        <v>87.683400620161606</v>
      </c>
      <c r="AM2605">
        <v>89.590700079797699</v>
      </c>
      <c r="AN2605">
        <v>0.99999996829917703</v>
      </c>
    </row>
    <row r="2606" spans="1:40" x14ac:dyDescent="0.25">
      <c r="A2606" t="str">
        <f>"20190312160344873"</f>
        <v>20190312160344873</v>
      </c>
      <c r="B2606" t="str">
        <f>"1552377824867325"</f>
        <v>1552377824867325</v>
      </c>
      <c r="C2606" t="s">
        <v>40</v>
      </c>
      <c r="D2606">
        <v>4.6608010000000002</v>
      </c>
      <c r="E2606">
        <v>0.46559719999999999</v>
      </c>
      <c r="F2606" t="s">
        <v>76</v>
      </c>
      <c r="G2606">
        <v>-511.9588</v>
      </c>
      <c r="H2606">
        <v>0.66903900000000005</v>
      </c>
      <c r="I2606">
        <v>278.67099999999999</v>
      </c>
      <c r="J2606">
        <v>-433.23700000000002</v>
      </c>
      <c r="K2606">
        <v>1.1100680000000001</v>
      </c>
      <c r="L2606">
        <v>285.34449999999998</v>
      </c>
      <c r="M2606">
        <v>-0.99992320000000001</v>
      </c>
      <c r="N2606">
        <v>0</v>
      </c>
      <c r="O2606">
        <v>1.153877E-3</v>
      </c>
      <c r="P2606">
        <v>-0.99957379999999996</v>
      </c>
      <c r="Q2606">
        <v>2.7960470000000001E-2</v>
      </c>
      <c r="R2606">
        <v>8.3917590000000004E-3</v>
      </c>
      <c r="S2606">
        <v>-3.0039060000000002</v>
      </c>
      <c r="T2606">
        <v>-1.6795399999999999E-2</v>
      </c>
      <c r="U2606">
        <v>-0.25418089999999999</v>
      </c>
      <c r="V2606">
        <v>7.2398669999999997E-3</v>
      </c>
      <c r="W2606">
        <v>4.0290239999999998E-2</v>
      </c>
      <c r="X2606">
        <v>0.99916179999999999</v>
      </c>
      <c r="Y2606">
        <v>-8.5463949999999997E-2</v>
      </c>
      <c r="Z2606">
        <v>-2.4493490000000002E-4</v>
      </c>
      <c r="AA2606">
        <v>0.99634120000000004</v>
      </c>
      <c r="AB2606">
        <v>27</v>
      </c>
      <c r="AC2606">
        <v>-78.721800000000002</v>
      </c>
      <c r="AD2606">
        <v>-0.441029</v>
      </c>
      <c r="AE2606">
        <v>-6.67349999999999</v>
      </c>
      <c r="AF2606">
        <v>-6.76412695917048</v>
      </c>
      <c r="AG2606">
        <v>-0.441029</v>
      </c>
      <c r="AH2606">
        <v>78.711593739396505</v>
      </c>
      <c r="AI2606">
        <v>90.319851829176002</v>
      </c>
      <c r="AJ2606">
        <v>94.9116793312445</v>
      </c>
      <c r="AK2606">
        <v>79.002929750069498</v>
      </c>
      <c r="AL2606">
        <v>87.690914305451201</v>
      </c>
      <c r="AM2606">
        <v>89.584845453641705</v>
      </c>
      <c r="AN2606">
        <v>1.0000000108463301</v>
      </c>
    </row>
    <row r="2607" spans="1:40" x14ac:dyDescent="0.25">
      <c r="A2607" t="str">
        <f>"20190312160344889"</f>
        <v>20190312160344889</v>
      </c>
      <c r="B2607" t="str">
        <f>"1552377824877086"</f>
        <v>1552377824877086</v>
      </c>
      <c r="C2607" t="s">
        <v>40</v>
      </c>
      <c r="D2607">
        <v>4.6094929999999996</v>
      </c>
      <c r="E2607">
        <v>0.48666619999999999</v>
      </c>
      <c r="F2607" t="s">
        <v>76</v>
      </c>
      <c r="G2607">
        <v>-511.9588</v>
      </c>
      <c r="H2607">
        <v>0.66038450000000004</v>
      </c>
      <c r="I2607">
        <v>278.69600000000003</v>
      </c>
      <c r="J2607">
        <v>-433.42720000000003</v>
      </c>
      <c r="K2607">
        <v>1.1100669999999999</v>
      </c>
      <c r="L2607">
        <v>285.34469999999999</v>
      </c>
      <c r="M2607">
        <v>-0.99992320000000001</v>
      </c>
      <c r="N2607">
        <v>0</v>
      </c>
      <c r="O2607">
        <v>1.153877E-3</v>
      </c>
      <c r="P2607">
        <v>-0.99957549999999995</v>
      </c>
      <c r="Q2607">
        <v>2.7723660000000001E-2</v>
      </c>
      <c r="R2607">
        <v>8.9509069999999993E-3</v>
      </c>
      <c r="S2607">
        <v>-3.0039060000000002</v>
      </c>
      <c r="T2607">
        <v>-1.715612E-2</v>
      </c>
      <c r="U2607">
        <v>-0.25369259999999999</v>
      </c>
      <c r="V2607">
        <v>7.7989039999999997E-3</v>
      </c>
      <c r="W2607">
        <v>4.0053449999999997E-2</v>
      </c>
      <c r="X2607">
        <v>0.99916709999999997</v>
      </c>
      <c r="Y2607">
        <v>-8.5303080000000003E-2</v>
      </c>
      <c r="Z2607">
        <v>-2.4973870000000002E-4</v>
      </c>
      <c r="AA2607">
        <v>0.99635499999999999</v>
      </c>
      <c r="AB2607">
        <v>27</v>
      </c>
      <c r="AC2607">
        <v>-78.531599999999898</v>
      </c>
      <c r="AD2607">
        <v>-0.44968249999999899</v>
      </c>
      <c r="AE2607">
        <v>-6.6487000000000096</v>
      </c>
      <c r="AF2607">
        <v>-6.7390988865195096</v>
      </c>
      <c r="AG2607">
        <v>-0.44968249999999899</v>
      </c>
      <c r="AH2607">
        <v>78.521319063644498</v>
      </c>
      <c r="AI2607">
        <v>90.326920900782795</v>
      </c>
      <c r="AJ2607">
        <v>94.905394427744497</v>
      </c>
      <c r="AK2607">
        <v>78.811263253723794</v>
      </c>
      <c r="AL2607">
        <v>87.704492303247306</v>
      </c>
      <c r="AM2607">
        <v>89.552792310922001</v>
      </c>
      <c r="AN2607">
        <v>0.99999999774145598</v>
      </c>
    </row>
    <row r="2608" spans="1:40" x14ac:dyDescent="0.25">
      <c r="A2608" t="str">
        <f>"20190312160344912"</f>
        <v>20190312160344912</v>
      </c>
      <c r="B2608" t="str">
        <f>"1552377824906801"</f>
        <v>1552377824906801</v>
      </c>
      <c r="C2608" t="s">
        <v>40</v>
      </c>
      <c r="D2608">
        <v>4.6176839999999997</v>
      </c>
      <c r="E2608">
        <v>0.49070649999999899</v>
      </c>
      <c r="F2608" t="s">
        <v>59</v>
      </c>
      <c r="G2608">
        <v>-491.82490000000001</v>
      </c>
      <c r="H2608" s="1">
        <v>3.5589610000000001E-6</v>
      </c>
      <c r="I2608">
        <v>283.67919999999998</v>
      </c>
      <c r="J2608">
        <v>-433.69139999999999</v>
      </c>
      <c r="K2608">
        <v>1.1100680000000001</v>
      </c>
      <c r="L2608">
        <v>285.34500000000003</v>
      </c>
      <c r="M2608">
        <v>-0.99992329999999996</v>
      </c>
      <c r="N2608">
        <v>0</v>
      </c>
      <c r="O2608">
        <v>1.15376E-3</v>
      </c>
      <c r="P2608">
        <v>-0.99956489999999998</v>
      </c>
      <c r="Q2608">
        <v>2.801439E-2</v>
      </c>
      <c r="R2608">
        <v>9.2452200000000002E-3</v>
      </c>
      <c r="S2608">
        <v>-3.0036930000000002</v>
      </c>
      <c r="T2608">
        <v>-5.7096239999999999E-2</v>
      </c>
      <c r="U2608">
        <v>-8.5662840000000004E-2</v>
      </c>
      <c r="V2608">
        <v>8.0934819999999904E-3</v>
      </c>
      <c r="W2608">
        <v>4.03436E-2</v>
      </c>
      <c r="X2608">
        <v>0.99915310000000002</v>
      </c>
      <c r="Y2608">
        <v>-2.9655379999999999E-2</v>
      </c>
      <c r="Z2608">
        <v>-3.0369899999999999E-4</v>
      </c>
      <c r="AA2608">
        <v>0.99956009999999995</v>
      </c>
      <c r="AB2608">
        <v>27</v>
      </c>
      <c r="AC2608">
        <v>-58.133499999999998</v>
      </c>
      <c r="AD2608">
        <v>-1.1100644410389999</v>
      </c>
      <c r="AE2608">
        <v>-1.6658000000000399</v>
      </c>
      <c r="AF2608">
        <v>-1.73224500096182</v>
      </c>
      <c r="AG2608">
        <v>-1.1100644410389999</v>
      </c>
      <c r="AH2608">
        <v>58.110368258778898</v>
      </c>
      <c r="AI2608">
        <v>91.093884707246701</v>
      </c>
      <c r="AJ2608">
        <v>91.707456827152399</v>
      </c>
      <c r="AK2608">
        <v>58.146778199462702</v>
      </c>
      <c r="AL2608">
        <v>87.687854521911603</v>
      </c>
      <c r="AM2608">
        <v>89.535894731148304</v>
      </c>
      <c r="AN2608">
        <v>1.0000000138757199</v>
      </c>
    </row>
    <row r="2609" spans="1:40" x14ac:dyDescent="0.25">
      <c r="A2609" t="str">
        <f>"20190312160344934"</f>
        <v>20190312160344934</v>
      </c>
      <c r="B2609" t="str">
        <f>"1552377824927296"</f>
        <v>1552377824927296</v>
      </c>
      <c r="C2609" t="s">
        <v>40</v>
      </c>
      <c r="D2609">
        <v>4.6335819999999996</v>
      </c>
      <c r="E2609">
        <v>0.49127500000000002</v>
      </c>
      <c r="F2609" t="s">
        <v>59</v>
      </c>
      <c r="G2609">
        <v>-487.3587</v>
      </c>
      <c r="H2609" s="1">
        <v>3.492491E-6</v>
      </c>
      <c r="I2609">
        <v>284.40379999999999</v>
      </c>
      <c r="J2609">
        <v>-433.95650000000001</v>
      </c>
      <c r="K2609">
        <v>1.11007099999999</v>
      </c>
      <c r="L2609">
        <v>285.34530000000001</v>
      </c>
      <c r="M2609">
        <v>-0.99992329999999996</v>
      </c>
      <c r="N2609">
        <v>0</v>
      </c>
      <c r="O2609">
        <v>1.1537609999999999E-3</v>
      </c>
      <c r="P2609">
        <v>-0.99956080000000003</v>
      </c>
      <c r="Q2609">
        <v>2.8091580000000001E-2</v>
      </c>
      <c r="R2609">
        <v>9.4561509999999994E-3</v>
      </c>
      <c r="S2609">
        <v>-3.0036010000000002</v>
      </c>
      <c r="T2609">
        <v>-6.212699E-2</v>
      </c>
      <c r="U2609">
        <v>-5.2673339999999999E-2</v>
      </c>
      <c r="V2609">
        <v>8.3044799999999995E-3</v>
      </c>
      <c r="W2609">
        <v>4.0420789999999998E-2</v>
      </c>
      <c r="X2609">
        <v>0.99914820000000004</v>
      </c>
      <c r="Y2609">
        <v>-1.8683450000000001E-2</v>
      </c>
      <c r="Z2609">
        <v>-2.170524E-4</v>
      </c>
      <c r="AA2609">
        <v>0.99982539999999998</v>
      </c>
      <c r="AB2609">
        <v>27</v>
      </c>
      <c r="AC2609">
        <v>-53.402199999999901</v>
      </c>
      <c r="AD2609">
        <v>-1.1100675075090001</v>
      </c>
      <c r="AE2609">
        <v>-0.94150000000001899</v>
      </c>
      <c r="AF2609">
        <v>-1.00268431253254</v>
      </c>
      <c r="AG2609">
        <v>-1.1100675075090001</v>
      </c>
      <c r="AH2609">
        <v>53.378020827424599</v>
      </c>
      <c r="AI2609">
        <v>91.191160742730901</v>
      </c>
      <c r="AJ2609">
        <v>91.076151243445096</v>
      </c>
      <c r="AK2609">
        <v>53.398976892397499</v>
      </c>
      <c r="AL2609">
        <v>87.683428137234202</v>
      </c>
      <c r="AM2609">
        <v>89.523793668619703</v>
      </c>
      <c r="AN2609">
        <v>0.99999996510776601</v>
      </c>
    </row>
    <row r="2610" spans="1:40" x14ac:dyDescent="0.25">
      <c r="A2610" t="str">
        <f>"20190312160344950"</f>
        <v>20190312160344950</v>
      </c>
      <c r="B2610" t="str">
        <f>"1552377824937057"</f>
        <v>1552377824937057</v>
      </c>
      <c r="C2610" t="s">
        <v>40</v>
      </c>
      <c r="D2610">
        <v>4.6474029999999997</v>
      </c>
      <c r="E2610">
        <v>0.49139070000000001</v>
      </c>
      <c r="F2610" t="s">
        <v>59</v>
      </c>
      <c r="G2610">
        <v>-487.16289999999998</v>
      </c>
      <c r="H2610" s="1">
        <v>3.4662879999999998E-6</v>
      </c>
      <c r="I2610">
        <v>284.50139999999999</v>
      </c>
      <c r="J2610">
        <v>-434.14299999999997</v>
      </c>
      <c r="K2610">
        <v>1.1100669999999999</v>
      </c>
      <c r="L2610">
        <v>285.34550000000002</v>
      </c>
      <c r="M2610">
        <v>-0.99992320000000001</v>
      </c>
      <c r="N2610">
        <v>0</v>
      </c>
      <c r="O2610">
        <v>1.153881E-3</v>
      </c>
      <c r="P2610">
        <v>-0.99955510000000003</v>
      </c>
      <c r="Q2610">
        <v>2.8385529999999999E-2</v>
      </c>
      <c r="R2610">
        <v>9.1723929999999992E-3</v>
      </c>
      <c r="S2610">
        <v>-3.003571</v>
      </c>
      <c r="T2610">
        <v>-6.2664750000000005E-2</v>
      </c>
      <c r="U2610">
        <v>-4.7637939999999997E-2</v>
      </c>
      <c r="V2610">
        <v>8.0204999999999999E-3</v>
      </c>
      <c r="W2610">
        <v>4.0714279999999999E-2</v>
      </c>
      <c r="X2610">
        <v>0.99913870000000005</v>
      </c>
      <c r="Y2610">
        <v>-1.7008300000000001E-2</v>
      </c>
      <c r="Z2610">
        <v>-2.0146690000000001E-4</v>
      </c>
      <c r="AA2610">
        <v>0.9998553</v>
      </c>
      <c r="AB2610">
        <v>27</v>
      </c>
      <c r="AC2610">
        <v>-53.0198999999999</v>
      </c>
      <c r="AD2610">
        <v>-1.110063533712</v>
      </c>
      <c r="AE2610">
        <v>-0.84410000000002505</v>
      </c>
      <c r="AF2610">
        <v>-0.90488619787602897</v>
      </c>
      <c r="AG2610">
        <v>-1.110063533712</v>
      </c>
      <c r="AH2610">
        <v>52.995666037717399</v>
      </c>
      <c r="AI2610">
        <v>91.199784729129405</v>
      </c>
      <c r="AJ2610">
        <v>90.978214377137505</v>
      </c>
      <c r="AK2610">
        <v>53.015013711789699</v>
      </c>
      <c r="AL2610">
        <v>87.666598768989502</v>
      </c>
      <c r="AM2610">
        <v>89.5400729356939</v>
      </c>
      <c r="AN2610">
        <v>1.00000006142692</v>
      </c>
    </row>
    <row r="2611" spans="1:40" x14ac:dyDescent="0.25">
      <c r="A2611" t="str">
        <f>"20190312160344962"</f>
        <v>20190312160344962</v>
      </c>
      <c r="B2611" t="str">
        <f>"1552377824957553"</f>
        <v>1552377824957553</v>
      </c>
      <c r="C2611" t="s">
        <v>40</v>
      </c>
      <c r="D2611">
        <v>4.6534019999999998</v>
      </c>
      <c r="E2611">
        <v>0.49170399999999997</v>
      </c>
      <c r="F2611" t="s">
        <v>59</v>
      </c>
      <c r="G2611">
        <v>-487.34359999999998</v>
      </c>
      <c r="H2611" s="1">
        <v>3.498599E-6</v>
      </c>
      <c r="I2611">
        <v>284.50439999999998</v>
      </c>
      <c r="J2611">
        <v>-434.28980000000001</v>
      </c>
      <c r="K2611">
        <v>1.1100680000000001</v>
      </c>
      <c r="L2611">
        <v>285.34570000000002</v>
      </c>
      <c r="M2611">
        <v>-0.99992320000000001</v>
      </c>
      <c r="N2611">
        <v>0</v>
      </c>
      <c r="O2611">
        <v>1.153762E-3</v>
      </c>
      <c r="P2611">
        <v>-0.99955879999999997</v>
      </c>
      <c r="Q2611">
        <v>2.8350420000000001E-2</v>
      </c>
      <c r="R2611">
        <v>8.8595050000000002E-3</v>
      </c>
      <c r="S2611">
        <v>-3.0035099999999999</v>
      </c>
      <c r="T2611">
        <v>-6.2670110000000001E-2</v>
      </c>
      <c r="U2611">
        <v>-4.7485350000000003E-2</v>
      </c>
      <c r="V2611">
        <v>7.7078609999999999E-3</v>
      </c>
      <c r="W2611">
        <v>4.06795E-2</v>
      </c>
      <c r="X2611">
        <v>0.99914250000000004</v>
      </c>
      <c r="Y2611">
        <v>-1.6957730000000001E-2</v>
      </c>
      <c r="Z2611">
        <v>-2.0095829999999999E-4</v>
      </c>
      <c r="AA2611">
        <v>0.99985619999999997</v>
      </c>
      <c r="AB2611">
        <v>27</v>
      </c>
      <c r="AC2611">
        <v>-53.053799999999903</v>
      </c>
      <c r="AD2611">
        <v>-1.110064501401</v>
      </c>
      <c r="AE2611">
        <v>-0.84130000000004601</v>
      </c>
      <c r="AF2611">
        <v>-0.90212072104295404</v>
      </c>
      <c r="AG2611">
        <v>-1.110064501401</v>
      </c>
      <c r="AH2611">
        <v>53.029584092013003</v>
      </c>
      <c r="AI2611">
        <v>91.199019896429803</v>
      </c>
      <c r="AJ2611">
        <v>90.974601736019295</v>
      </c>
      <c r="AK2611">
        <v>53.048872315672199</v>
      </c>
      <c r="AL2611">
        <v>87.668592987920604</v>
      </c>
      <c r="AM2611">
        <v>89.558001842782005</v>
      </c>
      <c r="AN2611">
        <v>0.99999998407384705</v>
      </c>
    </row>
    <row r="2612" spans="1:40" x14ac:dyDescent="0.25">
      <c r="A2612" t="str">
        <f>"20190312160344974"</f>
        <v>20190312160344974</v>
      </c>
      <c r="B2612" t="str">
        <f>"1552377824967313"</f>
        <v>1552377824967313</v>
      </c>
      <c r="C2612" t="s">
        <v>40</v>
      </c>
      <c r="D2612">
        <v>4.6726830000000001</v>
      </c>
      <c r="E2612">
        <v>0.49173650000000002</v>
      </c>
      <c r="F2612" t="s">
        <v>59</v>
      </c>
      <c r="G2612">
        <v>-486.60120000000001</v>
      </c>
      <c r="H2612" s="1">
        <v>3.3702860000000002E-6</v>
      </c>
      <c r="I2612">
        <v>284.54309999999998</v>
      </c>
      <c r="J2612">
        <v>-434.42959999999999</v>
      </c>
      <c r="K2612">
        <v>1.110069</v>
      </c>
      <c r="L2612">
        <v>285.3458</v>
      </c>
      <c r="M2612">
        <v>-0.99992320000000001</v>
      </c>
      <c r="N2612">
        <v>0</v>
      </c>
      <c r="O2612">
        <v>1.1537629999999999E-3</v>
      </c>
      <c r="P2612">
        <v>-0.99956009999999995</v>
      </c>
      <c r="Q2612">
        <v>2.831589E-2</v>
      </c>
      <c r="R2612">
        <v>8.830503E-3</v>
      </c>
      <c r="S2612">
        <v>-3.003571</v>
      </c>
      <c r="T2612">
        <v>-6.3736799999999996E-2</v>
      </c>
      <c r="U2612">
        <v>-4.6081539999999997E-2</v>
      </c>
      <c r="V2612">
        <v>7.6788519999999999E-3</v>
      </c>
      <c r="W2612">
        <v>4.0644710000000001E-2</v>
      </c>
      <c r="X2612">
        <v>0.99914409999999998</v>
      </c>
      <c r="Y2612">
        <v>-1.6490189999999998E-2</v>
      </c>
      <c r="Z2612">
        <v>-1.9941469999999999E-4</v>
      </c>
      <c r="AA2612">
        <v>0.99986399999999998</v>
      </c>
      <c r="AB2612">
        <v>27</v>
      </c>
      <c r="AC2612">
        <v>-52.171599999999998</v>
      </c>
      <c r="AD2612">
        <v>-1.1100656297139999</v>
      </c>
      <c r="AE2612">
        <v>-0.80270000000001496</v>
      </c>
      <c r="AF2612">
        <v>-0.86250732924524398</v>
      </c>
      <c r="AG2612">
        <v>-1.1100656297139999</v>
      </c>
      <c r="AH2612">
        <v>52.147036691756497</v>
      </c>
      <c r="AI2612">
        <v>91.219317168542304</v>
      </c>
      <c r="AJ2612">
        <v>90.947580672486893</v>
      </c>
      <c r="AK2612">
        <v>52.165981255284301</v>
      </c>
      <c r="AL2612">
        <v>87.670587866731495</v>
      </c>
      <c r="AM2612">
        <v>89.559665969006105</v>
      </c>
      <c r="AN2612">
        <v>0.99999994489191402</v>
      </c>
    </row>
    <row r="2613" spans="1:40" x14ac:dyDescent="0.25">
      <c r="A2613" t="str">
        <f>"20190312160344988"</f>
        <v>20190312160344988</v>
      </c>
      <c r="B2613" t="str">
        <f>"1552377824977073"</f>
        <v>1552377824977073</v>
      </c>
      <c r="C2613" t="s">
        <v>40</v>
      </c>
      <c r="D2613">
        <v>4.6643939999999997</v>
      </c>
      <c r="E2613">
        <v>0.49177779999999999</v>
      </c>
      <c r="F2613" t="s">
        <v>59</v>
      </c>
      <c r="G2613">
        <v>-485.47660000000002</v>
      </c>
      <c r="H2613" s="1">
        <v>3.1730139999999999E-6</v>
      </c>
      <c r="I2613">
        <v>284.5684</v>
      </c>
      <c r="J2613">
        <v>-434.60019999999997</v>
      </c>
      <c r="K2613">
        <v>1.11007099999999</v>
      </c>
      <c r="L2613">
        <v>285.346</v>
      </c>
      <c r="M2613">
        <v>-0.99992320000000001</v>
      </c>
      <c r="N2613">
        <v>0</v>
      </c>
      <c r="O2613">
        <v>1.1537629999999999E-3</v>
      </c>
      <c r="P2613">
        <v>-0.99955269999999996</v>
      </c>
      <c r="Q2613">
        <v>2.8673799999999999E-2</v>
      </c>
      <c r="R2613">
        <v>8.5042609999999904E-3</v>
      </c>
      <c r="S2613">
        <v>-3.003571</v>
      </c>
      <c r="T2613">
        <v>-6.5315490000000004E-2</v>
      </c>
      <c r="U2613">
        <v>-4.5745849999999998E-2</v>
      </c>
      <c r="V2613">
        <v>7.3524940000000002E-3</v>
      </c>
      <c r="W2613">
        <v>4.1002520000000001E-2</v>
      </c>
      <c r="X2613">
        <v>0.99913200000000002</v>
      </c>
      <c r="Y2613">
        <v>-1.637829E-2</v>
      </c>
      <c r="Z2613">
        <v>-2.0313650000000001E-4</v>
      </c>
      <c r="AA2613">
        <v>0.99986580000000003</v>
      </c>
      <c r="AB2613">
        <v>27</v>
      </c>
      <c r="AC2613">
        <v>-50.876399999999997</v>
      </c>
      <c r="AD2613">
        <v>-1.11006782698599</v>
      </c>
      <c r="AE2613">
        <v>-0.77760000000000595</v>
      </c>
      <c r="AF2613">
        <v>-0.83590540723371698</v>
      </c>
      <c r="AG2613">
        <v>-1.11006782698599</v>
      </c>
      <c r="AH2613">
        <v>50.8512660420215</v>
      </c>
      <c r="AI2613">
        <v>91.2503821253936</v>
      </c>
      <c r="AJ2613">
        <v>90.941757058214094</v>
      </c>
      <c r="AK2613">
        <v>50.870249129592501</v>
      </c>
      <c r="AL2613">
        <v>87.650069910275704</v>
      </c>
      <c r="AM2613">
        <v>89.578374758255407</v>
      </c>
      <c r="AN2613">
        <v>1.0000000096191799</v>
      </c>
    </row>
    <row r="2614" spans="1:40" x14ac:dyDescent="0.25">
      <c r="A2614" t="str">
        <f>"20190312160345001"</f>
        <v>20190312160345001</v>
      </c>
      <c r="B2614" t="str">
        <f>"1552377824997570"</f>
        <v>1552377824997570</v>
      </c>
      <c r="C2614" t="s">
        <v>40</v>
      </c>
      <c r="D2614">
        <v>4.6297059999999997</v>
      </c>
      <c r="E2614">
        <v>0.4927433</v>
      </c>
      <c r="F2614" t="s">
        <v>59</v>
      </c>
      <c r="G2614">
        <v>-485.55709999999999</v>
      </c>
      <c r="H2614" s="1">
        <v>3.18612E-6</v>
      </c>
      <c r="I2614">
        <v>284.55489999999998</v>
      </c>
      <c r="J2614">
        <v>-434.75799999999998</v>
      </c>
      <c r="K2614">
        <v>1.1100730000000001</v>
      </c>
      <c r="L2614">
        <v>285.34620000000001</v>
      </c>
      <c r="M2614">
        <v>-0.99992329999999996</v>
      </c>
      <c r="N2614">
        <v>0</v>
      </c>
      <c r="O2614">
        <v>1.1535849999999999E-3</v>
      </c>
      <c r="P2614">
        <v>-0.9995522</v>
      </c>
      <c r="Q2614">
        <v>2.8740580000000002E-2</v>
      </c>
      <c r="R2614">
        <v>8.335617E-3</v>
      </c>
      <c r="S2614">
        <v>-3.0036320000000001</v>
      </c>
      <c r="T2614">
        <v>-6.543243E-2</v>
      </c>
      <c r="U2614">
        <v>-4.6630860000000003E-2</v>
      </c>
      <c r="V2614">
        <v>7.1840300000000001E-3</v>
      </c>
      <c r="W2614">
        <v>4.1068750000000001E-2</v>
      </c>
      <c r="X2614">
        <v>0.99913050000000003</v>
      </c>
      <c r="Y2614">
        <v>-1.667225E-2</v>
      </c>
      <c r="Z2614">
        <v>-2.0669300000000001E-4</v>
      </c>
      <c r="AA2614">
        <v>0.999861</v>
      </c>
      <c r="AB2614">
        <v>27</v>
      </c>
      <c r="AC2614">
        <v>-50.799099999999903</v>
      </c>
      <c r="AD2614">
        <v>-1.11006981387999</v>
      </c>
      <c r="AE2614">
        <v>-0.79130000000003498</v>
      </c>
      <c r="AF2614">
        <v>-0.84949945746632805</v>
      </c>
      <c r="AG2614">
        <v>-1.11006981387999</v>
      </c>
      <c r="AH2614">
        <v>50.773913783599497</v>
      </c>
      <c r="AI2614">
        <v>91.252282595796103</v>
      </c>
      <c r="AJ2614">
        <v>90.958527502449002</v>
      </c>
      <c r="AK2614">
        <v>50.793151361421899</v>
      </c>
      <c r="AL2614">
        <v>87.646271999209105</v>
      </c>
      <c r="AM2614">
        <v>89.588034290212704</v>
      </c>
      <c r="AN2614">
        <v>1.0000000042719199</v>
      </c>
    </row>
    <row r="2615" spans="1:40" x14ac:dyDescent="0.25">
      <c r="A2615" t="str">
        <f>"20190312160345016"</f>
        <v>20190312160345016</v>
      </c>
      <c r="B2615" t="str">
        <f>"1552377825006859"</f>
        <v>1552377825006859</v>
      </c>
      <c r="C2615" t="s">
        <v>40</v>
      </c>
      <c r="D2615">
        <v>4.6363180000000002</v>
      </c>
      <c r="E2615">
        <v>0.49281069999999999</v>
      </c>
      <c r="F2615" t="s">
        <v>70</v>
      </c>
      <c r="G2615">
        <v>-451.51369999999997</v>
      </c>
      <c r="H2615" s="1">
        <v>-7.5214869999999896E-7</v>
      </c>
      <c r="I2615">
        <v>285.09440000000001</v>
      </c>
      <c r="J2615">
        <v>-434.9348</v>
      </c>
      <c r="K2615">
        <v>1.1100730000000001</v>
      </c>
      <c r="L2615">
        <v>285.34640000000002</v>
      </c>
      <c r="M2615">
        <v>-0.99992329999999996</v>
      </c>
      <c r="N2615">
        <v>0</v>
      </c>
      <c r="O2615">
        <v>1.1535860000000001E-3</v>
      </c>
      <c r="P2615">
        <v>-0.9995465</v>
      </c>
      <c r="Q2615">
        <v>2.901838E-2</v>
      </c>
      <c r="R2615">
        <v>8.0561490000000003E-3</v>
      </c>
      <c r="S2615">
        <v>-3.0074459999999998</v>
      </c>
      <c r="T2615">
        <v>-0.19924439999999999</v>
      </c>
      <c r="U2615">
        <v>-4.5196529999999999E-2</v>
      </c>
      <c r="V2615">
        <v>6.9045929999999997E-3</v>
      </c>
      <c r="W2615">
        <v>4.1346510000000003E-2</v>
      </c>
      <c r="X2615">
        <v>0.99912100000000004</v>
      </c>
      <c r="Y2615">
        <v>-1.6142139999999999E-2</v>
      </c>
      <c r="Z2615">
        <v>-6.1043920000000002E-4</v>
      </c>
      <c r="AA2615">
        <v>0.99986949999999997</v>
      </c>
      <c r="AB2615">
        <v>27</v>
      </c>
      <c r="AC2615">
        <v>-16.578899999999901</v>
      </c>
      <c r="AD2615">
        <v>-1.1100737521487001</v>
      </c>
      <c r="AE2615">
        <v>-0.25200000000000899</v>
      </c>
      <c r="AF2615">
        <v>-0.26991665120045799</v>
      </c>
      <c r="AG2615">
        <v>-1.1100737521487001</v>
      </c>
      <c r="AH2615">
        <v>16.5046211120058</v>
      </c>
      <c r="AI2615">
        <v>93.847312133088295</v>
      </c>
      <c r="AJ2615">
        <v>90.936931924710393</v>
      </c>
      <c r="AK2615">
        <v>16.544111846354099</v>
      </c>
      <c r="AL2615">
        <v>87.630343960422195</v>
      </c>
      <c r="AM2615">
        <v>89.604054222989504</v>
      </c>
      <c r="AN2615">
        <v>0.99999998996733697</v>
      </c>
    </row>
    <row r="2616" spans="1:40" x14ac:dyDescent="0.25">
      <c r="A2616" t="str">
        <f>"20190312160345035"</f>
        <v>20190312160345035</v>
      </c>
      <c r="B2616" t="str">
        <f>"1552377825027355"</f>
        <v>1552377825027355</v>
      </c>
      <c r="C2616" t="s">
        <v>40</v>
      </c>
      <c r="D2616">
        <v>4.7105129999999997</v>
      </c>
      <c r="E2616">
        <v>0.49349369999999998</v>
      </c>
      <c r="F2616" t="s">
        <v>70</v>
      </c>
      <c r="G2616">
        <v>-451.89420000000001</v>
      </c>
      <c r="H2616" s="1">
        <v>-5.4951650000000002E-7</v>
      </c>
      <c r="I2616">
        <v>285.09070000000003</v>
      </c>
      <c r="J2616">
        <v>-435.1472</v>
      </c>
      <c r="K2616">
        <v>1.1100730000000001</v>
      </c>
      <c r="L2616">
        <v>285.3467</v>
      </c>
      <c r="M2616">
        <v>-0.99992329999999996</v>
      </c>
      <c r="N2616">
        <v>0</v>
      </c>
      <c r="O2616">
        <v>1.1535860000000001E-3</v>
      </c>
      <c r="P2616">
        <v>-0.99954279999999995</v>
      </c>
      <c r="Q2616">
        <v>2.9225439999999998E-2</v>
      </c>
      <c r="R2616">
        <v>7.757356E-3</v>
      </c>
      <c r="S2616">
        <v>-3.0074459999999998</v>
      </c>
      <c r="T2616">
        <v>-0.196852</v>
      </c>
      <c r="U2616">
        <v>-4.534912E-2</v>
      </c>
      <c r="V2616">
        <v>6.6058339999999997E-3</v>
      </c>
      <c r="W2616">
        <v>4.1553270000000003E-2</v>
      </c>
      <c r="X2616">
        <v>0.99911450000000002</v>
      </c>
      <c r="Y2616">
        <v>-1.619365E-2</v>
      </c>
      <c r="Z2616">
        <v>-6.0480899999999999E-4</v>
      </c>
      <c r="AA2616">
        <v>0.99986870000000005</v>
      </c>
      <c r="AB2616">
        <v>27</v>
      </c>
      <c r="AC2616">
        <v>-16.747</v>
      </c>
      <c r="AD2616">
        <v>-1.1100735495164999</v>
      </c>
      <c r="AE2616">
        <v>-0.25599999999997097</v>
      </c>
      <c r="AF2616">
        <v>-0.27411630255952302</v>
      </c>
      <c r="AG2616">
        <v>-1.1100735495164999</v>
      </c>
      <c r="AH2616">
        <v>16.673452637326101</v>
      </c>
      <c r="AI2616">
        <v>93.808464307908096</v>
      </c>
      <c r="AJ2616">
        <v>90.941874056228798</v>
      </c>
      <c r="AK2616">
        <v>16.712612778432401</v>
      </c>
      <c r="AL2616">
        <v>87.618487432673206</v>
      </c>
      <c r="AM2616">
        <v>89.621183664731902</v>
      </c>
      <c r="AN2616">
        <v>1.0000000477003801</v>
      </c>
    </row>
    <row r="2617" spans="1:40" x14ac:dyDescent="0.25">
      <c r="A2617" t="str">
        <f>"20190312160345051"</f>
        <v>20190312160345051</v>
      </c>
      <c r="B2617" t="str">
        <f>"1552377825046875"</f>
        <v>1552377825046875</v>
      </c>
      <c r="C2617" t="s">
        <v>40</v>
      </c>
      <c r="D2617">
        <v>4.730423</v>
      </c>
      <c r="E2617">
        <v>0.49302940000000001</v>
      </c>
      <c r="F2617" t="s">
        <v>70</v>
      </c>
      <c r="G2617">
        <v>-454.4862</v>
      </c>
      <c r="H2617" s="1">
        <v>8.2981110000000001E-7</v>
      </c>
      <c r="I2617">
        <v>285.09030000000001</v>
      </c>
      <c r="J2617">
        <v>-435.34379999999999</v>
      </c>
      <c r="K2617">
        <v>1.110077</v>
      </c>
      <c r="L2617">
        <v>285.34690000000001</v>
      </c>
      <c r="M2617">
        <v>-0.99992320000000001</v>
      </c>
      <c r="N2617">
        <v>0</v>
      </c>
      <c r="O2617">
        <v>1.1537660000000001E-3</v>
      </c>
      <c r="P2617">
        <v>-0.99954900000000002</v>
      </c>
      <c r="Q2617">
        <v>2.9023199999999999E-2</v>
      </c>
      <c r="R2617">
        <v>7.7125669999999896E-3</v>
      </c>
      <c r="S2617">
        <v>-3.0067140000000001</v>
      </c>
      <c r="T2617">
        <v>-0.17258789999999999</v>
      </c>
      <c r="U2617">
        <v>-3.9855960000000003E-2</v>
      </c>
      <c r="V2617">
        <v>6.5608790000000004E-3</v>
      </c>
      <c r="W2617">
        <v>4.13508E-2</v>
      </c>
      <c r="X2617">
        <v>0.99912319999999999</v>
      </c>
      <c r="Y2617">
        <v>-1.438267E-2</v>
      </c>
      <c r="Z2617">
        <v>-4.7860589999999998E-4</v>
      </c>
      <c r="AA2617">
        <v>0.99989649999999997</v>
      </c>
      <c r="AB2617">
        <v>27</v>
      </c>
      <c r="AC2617">
        <v>-19.142399999999999</v>
      </c>
      <c r="AD2617">
        <v>-1.1100761701888999</v>
      </c>
      <c r="AE2617">
        <v>-0.256599999999991</v>
      </c>
      <c r="AF2617">
        <v>-0.277753474244054</v>
      </c>
      <c r="AG2617">
        <v>-1.1100761701888999</v>
      </c>
      <c r="AH2617">
        <v>19.0779456534734</v>
      </c>
      <c r="AI2617">
        <v>93.329725874086407</v>
      </c>
      <c r="AJ2617">
        <v>90.834103307667405</v>
      </c>
      <c r="AK2617">
        <v>19.112232377536699</v>
      </c>
      <c r="AL2617">
        <v>87.630098096535505</v>
      </c>
      <c r="AM2617">
        <v>89.623764843458105</v>
      </c>
      <c r="AN2617">
        <v>1.0000000512860601</v>
      </c>
    </row>
    <row r="2618" spans="1:40" x14ac:dyDescent="0.25">
      <c r="A2618" t="str">
        <f>"20190312160345065"</f>
        <v>20190312160345065</v>
      </c>
      <c r="B2618" t="str">
        <f>"1552377825057611"</f>
        <v>1552377825057611</v>
      </c>
      <c r="C2618" t="s">
        <v>40</v>
      </c>
      <c r="D2618">
        <v>4.7092429999999998</v>
      </c>
      <c r="E2618">
        <v>0.49286010000000002</v>
      </c>
      <c r="F2618" t="s">
        <v>70</v>
      </c>
      <c r="G2618">
        <v>-457.71929999999998</v>
      </c>
      <c r="H2618" s="1">
        <v>2.5530139999999999E-6</v>
      </c>
      <c r="I2618">
        <v>285.02910000000003</v>
      </c>
      <c r="J2618">
        <v>-435.52089999999998</v>
      </c>
      <c r="K2618">
        <v>1.1100760000000001</v>
      </c>
      <c r="L2618">
        <v>285.34710000000001</v>
      </c>
      <c r="M2618">
        <v>-0.99992329999999996</v>
      </c>
      <c r="N2618">
        <v>0</v>
      </c>
      <c r="O2618">
        <v>1.153587E-3</v>
      </c>
      <c r="P2618">
        <v>-0.99954560000000003</v>
      </c>
      <c r="Q2618">
        <v>2.9128350000000001E-2</v>
      </c>
      <c r="R2618">
        <v>7.7661650000000002E-3</v>
      </c>
      <c r="S2618">
        <v>-3.0060419999999999</v>
      </c>
      <c r="T2618">
        <v>-0.14913309999999999</v>
      </c>
      <c r="U2618">
        <v>-4.2694089999999997E-2</v>
      </c>
      <c r="V2618">
        <v>6.6146030000000001E-3</v>
      </c>
      <c r="W2618">
        <v>4.1456090000000001E-2</v>
      </c>
      <c r="X2618">
        <v>0.99911839999999996</v>
      </c>
      <c r="Y2618">
        <v>-1.53346E-2</v>
      </c>
      <c r="Z2618">
        <v>-4.373275E-4</v>
      </c>
      <c r="AA2618">
        <v>0.9998823</v>
      </c>
      <c r="AB2618">
        <v>27</v>
      </c>
      <c r="AC2618">
        <v>-22.1983999999999</v>
      </c>
      <c r="AD2618">
        <v>-1.1100734469859901</v>
      </c>
      <c r="AE2618">
        <v>-0.31799999999998302</v>
      </c>
      <c r="AF2618">
        <v>-0.34275257872861498</v>
      </c>
      <c r="AG2618">
        <v>-1.1100734469859901</v>
      </c>
      <c r="AH2618">
        <v>22.1426577680094</v>
      </c>
      <c r="AI2618">
        <v>92.8696519147625</v>
      </c>
      <c r="AJ2618">
        <v>90.886827051710995</v>
      </c>
      <c r="AK2618">
        <v>22.1731151491873</v>
      </c>
      <c r="AL2618">
        <v>87.624060050713496</v>
      </c>
      <c r="AM2618">
        <v>89.620682295366095</v>
      </c>
      <c r="AN2618">
        <v>0.99999996879474695</v>
      </c>
    </row>
    <row r="2619" spans="1:40" x14ac:dyDescent="0.25">
      <c r="A2619" t="str">
        <f>"20190312160345080"</f>
        <v>20190312160345080</v>
      </c>
      <c r="B2619" t="str">
        <f>"1552377825067371"</f>
        <v>1552377825067371</v>
      </c>
      <c r="C2619" t="s">
        <v>40</v>
      </c>
      <c r="D2619">
        <v>4.6903509999999997</v>
      </c>
      <c r="E2619">
        <v>0.4927937</v>
      </c>
      <c r="F2619" t="s">
        <v>70</v>
      </c>
      <c r="G2619">
        <v>-459.12729999999999</v>
      </c>
      <c r="H2619" s="1">
        <v>3.3033059999999999E-6</v>
      </c>
      <c r="I2619">
        <v>285.00560000000002</v>
      </c>
      <c r="J2619">
        <v>-435.68009999999998</v>
      </c>
      <c r="K2619">
        <v>1.11007099999999</v>
      </c>
      <c r="L2619">
        <v>285.34730000000002</v>
      </c>
      <c r="M2619">
        <v>-0.99992329999999996</v>
      </c>
      <c r="N2619">
        <v>0</v>
      </c>
      <c r="O2619">
        <v>1.1535880000000001E-3</v>
      </c>
      <c r="P2619">
        <v>-0.9995482</v>
      </c>
      <c r="Q2619">
        <v>2.891635E-2</v>
      </c>
      <c r="R2619">
        <v>8.2149179999999999E-3</v>
      </c>
      <c r="S2619">
        <v>-3.005798</v>
      </c>
      <c r="T2619">
        <v>-0.14134539999999901</v>
      </c>
      <c r="U2619">
        <v>-4.348755E-2</v>
      </c>
      <c r="V2619">
        <v>7.0634620000000004E-3</v>
      </c>
      <c r="W2619">
        <v>4.1244080000000002E-2</v>
      </c>
      <c r="X2619">
        <v>0.99912409999999996</v>
      </c>
      <c r="Y2619">
        <v>-1.560141E-2</v>
      </c>
      <c r="Z2619">
        <v>-4.208185E-4</v>
      </c>
      <c r="AA2619">
        <v>0.99987820000000005</v>
      </c>
      <c r="AB2619">
        <v>27</v>
      </c>
      <c r="AC2619">
        <v>-23.447199999999999</v>
      </c>
      <c r="AD2619">
        <v>-1.11006769669399</v>
      </c>
      <c r="AE2619">
        <v>-0.341700000000003</v>
      </c>
      <c r="AF2619">
        <v>-0.36792574884108198</v>
      </c>
      <c r="AG2619">
        <v>-1.11006769669399</v>
      </c>
      <c r="AH2619">
        <v>23.394365479749801</v>
      </c>
      <c r="AI2619">
        <v>92.716324059883505</v>
      </c>
      <c r="AJ2619">
        <v>90.9010227193574</v>
      </c>
      <c r="AK2619">
        <v>23.423576922579802</v>
      </c>
      <c r="AL2619">
        <v>87.636217723110505</v>
      </c>
      <c r="AM2619">
        <v>89.594945393529898</v>
      </c>
      <c r="AN2619">
        <v>0.99999996691563997</v>
      </c>
    </row>
    <row r="2620" spans="1:40" x14ac:dyDescent="0.25">
      <c r="A2620" t="str">
        <f>"20190312160345102"</f>
        <v>20190312160345102</v>
      </c>
      <c r="B2620" t="str">
        <f>"1552377825097627"</f>
        <v>1552377825097627</v>
      </c>
      <c r="C2620" t="s">
        <v>40</v>
      </c>
      <c r="D2620">
        <v>4.8189719999999996</v>
      </c>
      <c r="E2620">
        <v>0.49264079999999899</v>
      </c>
      <c r="F2620" t="s">
        <v>70</v>
      </c>
      <c r="G2620">
        <v>-458.26369999999997</v>
      </c>
      <c r="H2620" s="1">
        <v>2.8428699999999999E-6</v>
      </c>
      <c r="I2620">
        <v>285.0256</v>
      </c>
      <c r="J2620">
        <v>-435.94130000000001</v>
      </c>
      <c r="K2620">
        <v>1.110069</v>
      </c>
      <c r="L2620">
        <v>285.3476</v>
      </c>
      <c r="M2620">
        <v>-0.99992340000000002</v>
      </c>
      <c r="N2620">
        <v>0</v>
      </c>
      <c r="O2620">
        <v>1.153411E-3</v>
      </c>
      <c r="P2620">
        <v>-0.99954509999999996</v>
      </c>
      <c r="Q2620">
        <v>2.899057E-2</v>
      </c>
      <c r="R2620">
        <v>8.3310420000000003E-3</v>
      </c>
      <c r="S2620">
        <v>-3.0060120000000001</v>
      </c>
      <c r="T2620">
        <v>-0.14775629999999901</v>
      </c>
      <c r="U2620">
        <v>-4.2816159999999999E-2</v>
      </c>
      <c r="V2620">
        <v>7.1796050000000004E-3</v>
      </c>
      <c r="W2620">
        <v>4.1317920000000001E-2</v>
      </c>
      <c r="X2620">
        <v>0.99912020000000001</v>
      </c>
      <c r="Y2620">
        <v>-1.537549E-2</v>
      </c>
      <c r="Z2620">
        <v>-4.3429489999999998E-4</v>
      </c>
      <c r="AA2620">
        <v>0.99988169999999998</v>
      </c>
      <c r="AB2620">
        <v>26</v>
      </c>
      <c r="AC2620">
        <v>-22.322399999999899</v>
      </c>
      <c r="AD2620">
        <v>-1.1100661571299999</v>
      </c>
      <c r="AE2620">
        <v>-0.32200000000000201</v>
      </c>
      <c r="AF2620">
        <v>-0.34689097592520401</v>
      </c>
      <c r="AG2620">
        <v>-1.1100661571299999</v>
      </c>
      <c r="AH2620">
        <v>22.266960021350801</v>
      </c>
      <c r="AI2620">
        <v>92.853635921748605</v>
      </c>
      <c r="AJ2620">
        <v>90.892523325528799</v>
      </c>
      <c r="AK2620">
        <v>22.297311246309999</v>
      </c>
      <c r="AL2620">
        <v>87.631983342767498</v>
      </c>
      <c r="AM2620">
        <v>89.588283787344807</v>
      </c>
      <c r="AN2620">
        <v>0.99999994564455896</v>
      </c>
    </row>
    <row r="2621" spans="1:40" x14ac:dyDescent="0.25">
      <c r="A2621" t="str">
        <f>"20190312160345125"</f>
        <v>20190312160345125</v>
      </c>
      <c r="B2621" t="str">
        <f>"1552377825117653"</f>
        <v>1552377825117653</v>
      </c>
      <c r="C2621" t="s">
        <v>40</v>
      </c>
      <c r="D2621">
        <v>4.8313360000000003</v>
      </c>
      <c r="E2621">
        <v>0.52140379999999997</v>
      </c>
      <c r="F2621" t="s">
        <v>70</v>
      </c>
      <c r="G2621">
        <v>-461.12240000000003</v>
      </c>
      <c r="H2621" s="1">
        <v>-9.556467E-7</v>
      </c>
      <c r="I2621">
        <v>284.98579999999998</v>
      </c>
      <c r="J2621">
        <v>-436.21420000000001</v>
      </c>
      <c r="K2621">
        <v>1.1100749999999999</v>
      </c>
      <c r="L2621">
        <v>285.34789999999998</v>
      </c>
      <c r="M2621">
        <v>-0.99992340000000002</v>
      </c>
      <c r="N2621">
        <v>0</v>
      </c>
      <c r="O2621">
        <v>1.153233E-3</v>
      </c>
      <c r="P2621">
        <v>-0.99954319999999997</v>
      </c>
      <c r="Q2621">
        <v>2.9031270000000001E-2</v>
      </c>
      <c r="R2621">
        <v>8.4253650000000006E-3</v>
      </c>
      <c r="S2621">
        <v>-3.0055540000000001</v>
      </c>
      <c r="T2621">
        <v>-0.132495</v>
      </c>
      <c r="U2621">
        <v>-4.3182369999999998E-2</v>
      </c>
      <c r="V2621">
        <v>7.2741819999999997E-3</v>
      </c>
      <c r="W2621">
        <v>4.135842E-2</v>
      </c>
      <c r="X2621">
        <v>0.9991179</v>
      </c>
      <c r="Y2621">
        <v>-1.5503060000000001E-2</v>
      </c>
      <c r="Z2621">
        <v>-3.9234540000000003E-4</v>
      </c>
      <c r="AA2621">
        <v>0.99987969999999904</v>
      </c>
      <c r="AB2621">
        <v>26</v>
      </c>
      <c r="AC2621">
        <v>-24.908200000000001</v>
      </c>
      <c r="AD2621">
        <v>-1.1100759556466999</v>
      </c>
      <c r="AE2621">
        <v>-0.36209999999999798</v>
      </c>
      <c r="AF2621">
        <v>-0.390052344562691</v>
      </c>
      <c r="AG2621">
        <v>-1.1100759556466999</v>
      </c>
      <c r="AH2621">
        <v>24.8584027479898</v>
      </c>
      <c r="AI2621">
        <v>92.556585305317199</v>
      </c>
      <c r="AJ2621">
        <v>90.898952339275695</v>
      </c>
      <c r="AK2621">
        <v>24.8862330745348</v>
      </c>
      <c r="AL2621">
        <v>87.6296610199946</v>
      </c>
      <c r="AM2621">
        <v>89.582859476211695</v>
      </c>
      <c r="AN2621">
        <v>1.0000000053645299</v>
      </c>
    </row>
    <row r="2622" spans="1:40" x14ac:dyDescent="0.25">
      <c r="A2622" t="str">
        <f>"20190312160345147"</f>
        <v>20190312160345147</v>
      </c>
      <c r="B2622" t="str">
        <f>"1552377825137174"</f>
        <v>1552377825137174</v>
      </c>
      <c r="C2622" t="s">
        <v>40</v>
      </c>
      <c r="D2622">
        <v>4.8078260000000004</v>
      </c>
      <c r="E2622">
        <v>0.55105939999999998</v>
      </c>
      <c r="F2622" t="s">
        <v>59</v>
      </c>
      <c r="G2622">
        <v>-470.7921</v>
      </c>
      <c r="H2622" s="1">
        <v>6.5163699999999996E-6</v>
      </c>
      <c r="I2622">
        <v>287.5163</v>
      </c>
      <c r="J2622">
        <v>-436.47669999999999</v>
      </c>
      <c r="K2622">
        <v>1.1100760000000001</v>
      </c>
      <c r="L2622">
        <v>285.34820000000002</v>
      </c>
      <c r="M2622">
        <v>-0.99992340000000002</v>
      </c>
      <c r="N2622">
        <v>0</v>
      </c>
      <c r="O2622">
        <v>1.1532339999999999E-3</v>
      </c>
      <c r="P2622">
        <v>-0.99953400000000003</v>
      </c>
      <c r="Q2622">
        <v>2.9380949999999999E-2</v>
      </c>
      <c r="R2622">
        <v>8.3158209999999993E-3</v>
      </c>
      <c r="S2622">
        <v>-3.0025940000000002</v>
      </c>
      <c r="T2622">
        <v>-9.6393590000000001E-2</v>
      </c>
      <c r="U2622">
        <v>0.1882935</v>
      </c>
      <c r="V2622">
        <v>7.1647179999999996E-3</v>
      </c>
      <c r="W2622">
        <v>4.1708120000000001E-2</v>
      </c>
      <c r="X2622">
        <v>0.99910410000000005</v>
      </c>
      <c r="Y2622">
        <v>6.1405300000000003E-2</v>
      </c>
      <c r="Z2622">
        <v>9.4746109999999995E-4</v>
      </c>
      <c r="AA2622">
        <v>0.99811240000000001</v>
      </c>
      <c r="AB2622">
        <v>26</v>
      </c>
      <c r="AC2622">
        <v>-34.315399999999997</v>
      </c>
      <c r="AD2622">
        <v>-1.11006948362999</v>
      </c>
      <c r="AE2622">
        <v>2.1680999999999799</v>
      </c>
      <c r="AF2622">
        <v>2.1263056222871399</v>
      </c>
      <c r="AG2622">
        <v>-1.11006948362999</v>
      </c>
      <c r="AH2622">
        <v>34.282145475961102</v>
      </c>
      <c r="AI2622">
        <v>91.851057538473299</v>
      </c>
      <c r="AJ2622">
        <v>86.450850029144803</v>
      </c>
      <c r="AK2622">
        <v>34.365955949061302</v>
      </c>
      <c r="AL2622">
        <v>87.609607253331106</v>
      </c>
      <c r="AM2622">
        <v>89.589130836129797</v>
      </c>
      <c r="AN2622">
        <v>0.99999995154737997</v>
      </c>
    </row>
    <row r="2623" spans="1:40" x14ac:dyDescent="0.25">
      <c r="A2623" t="str">
        <f>"20190312160345170"</f>
        <v>20190312160345170</v>
      </c>
      <c r="B2623" t="str">
        <f>"1552377825157669"</f>
        <v>1552377825157669</v>
      </c>
      <c r="C2623" t="s">
        <v>40</v>
      </c>
      <c r="D2623">
        <v>4.7616300000000003</v>
      </c>
      <c r="E2623">
        <v>0.54897499999999999</v>
      </c>
      <c r="F2623" t="s">
        <v>77</v>
      </c>
      <c r="G2623">
        <v>-510.95420000000001</v>
      </c>
      <c r="H2623">
        <v>1.6725139999999901</v>
      </c>
      <c r="I2623">
        <v>296.02350000000001</v>
      </c>
      <c r="J2623">
        <v>-436.73779999999999</v>
      </c>
      <c r="K2623">
        <v>1.1100760000000001</v>
      </c>
      <c r="L2623">
        <v>285.3485</v>
      </c>
      <c r="M2623">
        <v>-0.99992340000000002</v>
      </c>
      <c r="N2623">
        <v>0</v>
      </c>
      <c r="O2623">
        <v>1.1532350000000001E-3</v>
      </c>
      <c r="P2623">
        <v>-0.99952549999999996</v>
      </c>
      <c r="Q2623">
        <v>2.9652350000000001E-2</v>
      </c>
      <c r="R2623">
        <v>8.363891E-3</v>
      </c>
      <c r="S2623">
        <v>-2.997131</v>
      </c>
      <c r="T2623">
        <v>2.2637129999999998E-2</v>
      </c>
      <c r="U2623">
        <v>0.42959589999999998</v>
      </c>
      <c r="V2623">
        <v>7.2127739999999999E-3</v>
      </c>
      <c r="W2623">
        <v>4.1978719999999997E-2</v>
      </c>
      <c r="X2623">
        <v>0.99909250000000005</v>
      </c>
      <c r="Y2623">
        <v>0.1407399</v>
      </c>
      <c r="Z2623">
        <v>-5.201235E-4</v>
      </c>
      <c r="AA2623">
        <v>0.99004639999999999</v>
      </c>
      <c r="AB2623">
        <v>26</v>
      </c>
      <c r="AC2623">
        <v>-74.216399999999993</v>
      </c>
      <c r="AD2623">
        <v>0.56243799999999899</v>
      </c>
      <c r="AE2623">
        <v>10.675000000000001</v>
      </c>
      <c r="AF2623">
        <v>10.588801647144299</v>
      </c>
      <c r="AG2623">
        <v>0.56243799999999899</v>
      </c>
      <c r="AH2623">
        <v>74.224485946511905</v>
      </c>
      <c r="AI2623">
        <v>89.5701994060678</v>
      </c>
      <c r="AJ2623">
        <v>81.881015549026898</v>
      </c>
      <c r="AK2623">
        <v>74.978085937494797</v>
      </c>
      <c r="AL2623">
        <v>87.594089613358705</v>
      </c>
      <c r="AM2623">
        <v>89.586370301588005</v>
      </c>
      <c r="AN2623">
        <v>1.00000003029893</v>
      </c>
    </row>
    <row r="2624" spans="1:40" x14ac:dyDescent="0.25">
      <c r="A2624" t="str">
        <f>"20190312160345191"</f>
        <v>20190312160345191</v>
      </c>
      <c r="B2624" t="str">
        <f>"1552377825186949"</f>
        <v>1552377825186949</v>
      </c>
      <c r="C2624" t="s">
        <v>40</v>
      </c>
      <c r="D2624">
        <v>4.771782</v>
      </c>
      <c r="E2624">
        <v>0.54879119999999904</v>
      </c>
      <c r="F2624" t="s">
        <v>77</v>
      </c>
      <c r="G2624">
        <v>-510.95460000000003</v>
      </c>
      <c r="H2624">
        <v>2.8790070000000001</v>
      </c>
      <c r="I2624">
        <v>295.63659999999999</v>
      </c>
      <c r="J2624">
        <v>-436.99950000000001</v>
      </c>
      <c r="K2624">
        <v>1.1100749999999999</v>
      </c>
      <c r="L2624">
        <v>285.34879999999998</v>
      </c>
      <c r="M2624">
        <v>-0.99992340000000002</v>
      </c>
      <c r="N2624">
        <v>0</v>
      </c>
      <c r="O2624">
        <v>1.1530570000000001E-3</v>
      </c>
      <c r="P2624">
        <v>-0.99953110000000001</v>
      </c>
      <c r="Q2624">
        <v>2.9512030000000002E-2</v>
      </c>
      <c r="R2624">
        <v>8.18346E-3</v>
      </c>
      <c r="S2624">
        <v>-2.9957889999999998</v>
      </c>
      <c r="T2624">
        <v>7.1406839999999999E-2</v>
      </c>
      <c r="U2624">
        <v>0.41528320000000002</v>
      </c>
      <c r="V2624">
        <v>7.0324810000000001E-3</v>
      </c>
      <c r="W2624">
        <v>4.1838170000000001E-2</v>
      </c>
      <c r="X2624">
        <v>0.99909970000000003</v>
      </c>
      <c r="Y2624">
        <v>0.13612939999999901</v>
      </c>
      <c r="Z2624">
        <v>-1.587076E-3</v>
      </c>
      <c r="AA2624">
        <v>0.99068979999999995</v>
      </c>
      <c r="AB2624">
        <v>26</v>
      </c>
      <c r="AC2624">
        <v>-73.955100000000002</v>
      </c>
      <c r="AD2624">
        <v>1.7689319999999999</v>
      </c>
      <c r="AE2624">
        <v>10.287800000000001</v>
      </c>
      <c r="AF2624">
        <v>10.196789213857601</v>
      </c>
      <c r="AG2624">
        <v>1.7689319999999999</v>
      </c>
      <c r="AH2624">
        <v>73.925422951267905</v>
      </c>
      <c r="AI2624">
        <v>88.642105355234705</v>
      </c>
      <c r="AJ2624">
        <v>82.146550439218402</v>
      </c>
      <c r="AK2624">
        <v>74.646311290085293</v>
      </c>
      <c r="AL2624">
        <v>87.602149661830893</v>
      </c>
      <c r="AM2624">
        <v>89.596712093301804</v>
      </c>
      <c r="AN2624">
        <v>1.00000004939902</v>
      </c>
    </row>
    <row r="2625" spans="1:40" x14ac:dyDescent="0.25">
      <c r="A2625" t="str">
        <f>"20190312160345207"</f>
        <v>20190312160345207</v>
      </c>
      <c r="B2625" t="str">
        <f>"1552377825196710"</f>
        <v>1552377825196710</v>
      </c>
      <c r="C2625" t="s">
        <v>40</v>
      </c>
      <c r="D2625">
        <v>4.7495349999999998</v>
      </c>
      <c r="E2625">
        <v>0.54867759999999999</v>
      </c>
      <c r="F2625" t="s">
        <v>77</v>
      </c>
      <c r="G2625">
        <v>-510.9547</v>
      </c>
      <c r="H2625">
        <v>3.279452</v>
      </c>
      <c r="I2625">
        <v>295.56939999999997</v>
      </c>
      <c r="J2625">
        <v>-437.19349999999997</v>
      </c>
      <c r="K2625">
        <v>1.110069</v>
      </c>
      <c r="L2625">
        <v>285.34910000000002</v>
      </c>
      <c r="M2625">
        <v>-0.99992340000000002</v>
      </c>
      <c r="N2625">
        <v>0</v>
      </c>
      <c r="O2625">
        <v>1.1528790000000001E-3</v>
      </c>
      <c r="P2625">
        <v>-0.99953530000000002</v>
      </c>
      <c r="Q2625">
        <v>2.9359090000000001E-2</v>
      </c>
      <c r="R2625">
        <v>8.2416899999999994E-3</v>
      </c>
      <c r="S2625">
        <v>-2.9954529999999999</v>
      </c>
      <c r="T2625">
        <v>8.7870959999999998E-2</v>
      </c>
      <c r="U2625">
        <v>0.41397089999999998</v>
      </c>
      <c r="V2625">
        <v>7.0909010000000001E-3</v>
      </c>
      <c r="W2625">
        <v>4.1685720000000002E-2</v>
      </c>
      <c r="X2625">
        <v>0.99910560000000004</v>
      </c>
      <c r="Y2625">
        <v>0.13569970000000001</v>
      </c>
      <c r="Z2625">
        <v>-1.9468720000000001E-3</v>
      </c>
      <c r="AA2625">
        <v>0.99074810000000002</v>
      </c>
      <c r="AB2625">
        <v>26</v>
      </c>
      <c r="AC2625">
        <v>-73.761200000000002</v>
      </c>
      <c r="AD2625">
        <v>2.1693829999999998</v>
      </c>
      <c r="AE2625">
        <v>10.2202999999999</v>
      </c>
      <c r="AF2625">
        <v>10.1266544503719</v>
      </c>
      <c r="AG2625">
        <v>2.1693829999999998</v>
      </c>
      <c r="AH2625">
        <v>73.710376142270903</v>
      </c>
      <c r="AI2625">
        <v>88.329883096541096</v>
      </c>
      <c r="AJ2625">
        <v>82.177425113209495</v>
      </c>
      <c r="AK2625">
        <v>74.434366417623096</v>
      </c>
      <c r="AL2625">
        <v>87.610891888031304</v>
      </c>
      <c r="AM2625">
        <v>89.593364426238196</v>
      </c>
      <c r="AN2625">
        <v>0.99999999004013496</v>
      </c>
    </row>
    <row r="2626" spans="1:40" x14ac:dyDescent="0.25">
      <c r="A2626" t="str">
        <f>"20190312160345224"</f>
        <v>20190312160345224</v>
      </c>
      <c r="B2626" t="str">
        <f>"1552377825216736"</f>
        <v>1552377825216736</v>
      </c>
      <c r="C2626" t="s">
        <v>40</v>
      </c>
      <c r="D2626">
        <v>4.7709339999999996</v>
      </c>
      <c r="E2626">
        <v>0.54861719999999903</v>
      </c>
      <c r="F2626" t="s">
        <v>77</v>
      </c>
      <c r="G2626">
        <v>-510.9547</v>
      </c>
      <c r="H2626">
        <v>3.304608</v>
      </c>
      <c r="I2626">
        <v>295.52670000000001</v>
      </c>
      <c r="J2626">
        <v>-437.39749999999998</v>
      </c>
      <c r="K2626">
        <v>1.11007099999999</v>
      </c>
      <c r="L2626">
        <v>285.34930000000003</v>
      </c>
      <c r="M2626">
        <v>-0.99992340000000002</v>
      </c>
      <c r="N2626">
        <v>0</v>
      </c>
      <c r="O2626">
        <v>1.152761E-3</v>
      </c>
      <c r="P2626">
        <v>-0.99954580000000004</v>
      </c>
      <c r="Q2626">
        <v>2.8912190000000001E-2</v>
      </c>
      <c r="R2626">
        <v>8.5361969999999902E-3</v>
      </c>
      <c r="S2626">
        <v>-2.9953310000000002</v>
      </c>
      <c r="T2626">
        <v>8.9120149999999995E-2</v>
      </c>
      <c r="U2626">
        <v>0.41329959999999999</v>
      </c>
      <c r="V2626">
        <v>7.3856340000000003E-3</v>
      </c>
      <c r="W2626">
        <v>4.1238360000000002E-2</v>
      </c>
      <c r="X2626">
        <v>0.99912199999999995</v>
      </c>
      <c r="Y2626">
        <v>0.13548579999999999</v>
      </c>
      <c r="Z2626">
        <v>-1.9714849999999998E-3</v>
      </c>
      <c r="AA2626">
        <v>0.99077729999999997</v>
      </c>
      <c r="AB2626">
        <v>26</v>
      </c>
      <c r="AC2626">
        <v>-73.557199999999995</v>
      </c>
      <c r="AD2626">
        <v>2.194537</v>
      </c>
      <c r="AE2626">
        <v>10.177399999999899</v>
      </c>
      <c r="AF2626">
        <v>10.083786013522399</v>
      </c>
      <c r="AG2626">
        <v>2.194537</v>
      </c>
      <c r="AH2626">
        <v>73.504687066534004</v>
      </c>
      <c r="AI2626">
        <v>88.305758982387601</v>
      </c>
      <c r="AJ2626">
        <v>82.188602695835399</v>
      </c>
      <c r="AK2626">
        <v>74.225586920953106</v>
      </c>
      <c r="AL2626">
        <v>87.636545718648193</v>
      </c>
      <c r="AM2626">
        <v>89.576470191097798</v>
      </c>
      <c r="AN2626">
        <v>0.99999996040453398</v>
      </c>
    </row>
    <row r="2627" spans="1:40" x14ac:dyDescent="0.25">
      <c r="A2627" t="str">
        <f>"20190312160345246"</f>
        <v>20190312160345246</v>
      </c>
      <c r="B2627" t="str">
        <f>"1552377825237232"</f>
        <v>1552377825237232</v>
      </c>
      <c r="C2627" t="s">
        <v>40</v>
      </c>
      <c r="D2627">
        <v>4.6540980000000003</v>
      </c>
      <c r="E2627">
        <v>0.54723489999999997</v>
      </c>
      <c r="F2627" t="s">
        <v>77</v>
      </c>
      <c r="G2627">
        <v>-510.9547</v>
      </c>
      <c r="H2627">
        <v>3.3314149999999998</v>
      </c>
      <c r="I2627">
        <v>295.5188</v>
      </c>
      <c r="J2627">
        <v>-437.65550000000002</v>
      </c>
      <c r="K2627">
        <v>1.1100639999999999</v>
      </c>
      <c r="L2627">
        <v>285.34960000000001</v>
      </c>
      <c r="M2627">
        <v>-0.99992340000000002</v>
      </c>
      <c r="N2627">
        <v>0</v>
      </c>
      <c r="O2627">
        <v>1.156483E-3</v>
      </c>
      <c r="P2627">
        <v>-0.99955510000000003</v>
      </c>
      <c r="Q2627">
        <v>2.8453630000000001E-2</v>
      </c>
      <c r="R2627">
        <v>8.970479E-3</v>
      </c>
      <c r="S2627">
        <v>-2.9951780000000001</v>
      </c>
      <c r="T2627">
        <v>9.0454220000000002E-2</v>
      </c>
      <c r="U2627">
        <v>0.41409299999999999</v>
      </c>
      <c r="V2627">
        <v>7.8161310000000005E-3</v>
      </c>
      <c r="W2627">
        <v>4.0780030000000002E-2</v>
      </c>
      <c r="X2627">
        <v>0.99913759999999996</v>
      </c>
      <c r="Y2627">
        <v>0.13574459999999999</v>
      </c>
      <c r="Z2627">
        <v>-2.0048259999999999E-3</v>
      </c>
      <c r="AA2627">
        <v>0.99074180000000001</v>
      </c>
      <c r="AB2627">
        <v>26</v>
      </c>
      <c r="AC2627">
        <v>-73.2991999999999</v>
      </c>
      <c r="AD2627">
        <v>2.2213509999999999</v>
      </c>
      <c r="AE2627">
        <v>10.169199999999901</v>
      </c>
      <c r="AF2627">
        <v>10.0753389450113</v>
      </c>
      <c r="AG2627">
        <v>2.2213509999999999</v>
      </c>
      <c r="AH2627">
        <v>73.244913929467501</v>
      </c>
      <c r="AI2627">
        <v>88.279077648025407</v>
      </c>
      <c r="AJ2627">
        <v>82.167727221906702</v>
      </c>
      <c r="AK2627">
        <v>73.967994914403107</v>
      </c>
      <c r="AL2627">
        <v>87.662828351127501</v>
      </c>
      <c r="AM2627">
        <v>89.551791281416797</v>
      </c>
      <c r="AN2627">
        <v>1.00000002324218</v>
      </c>
    </row>
    <row r="2628" spans="1:40" x14ac:dyDescent="0.25">
      <c r="A2628" t="str">
        <f>"20190312160345269"</f>
        <v>20190312160345269</v>
      </c>
      <c r="B2628" t="str">
        <f>"1552377825267488"</f>
        <v>1552377825267488</v>
      </c>
      <c r="C2628" t="s">
        <v>40</v>
      </c>
      <c r="D2628">
        <v>4.8318629999999896</v>
      </c>
      <c r="E2628">
        <v>0.54719669999999998</v>
      </c>
      <c r="F2628" t="s">
        <v>77</v>
      </c>
      <c r="G2628">
        <v>-510.95479999999998</v>
      </c>
      <c r="H2628">
        <v>3.4928349999999999</v>
      </c>
      <c r="I2628">
        <v>295.2475</v>
      </c>
      <c r="J2628">
        <v>-437.92079999999999</v>
      </c>
      <c r="K2628">
        <v>1.1100620000000001</v>
      </c>
      <c r="L2628">
        <v>285.34989999999999</v>
      </c>
      <c r="M2628">
        <v>-0.99992320000000001</v>
      </c>
      <c r="N2628">
        <v>0</v>
      </c>
      <c r="O2628">
        <v>1.1714169999999999E-3</v>
      </c>
      <c r="P2628">
        <v>-0.99955039999999995</v>
      </c>
      <c r="Q2628">
        <v>2.8368600000000001E-2</v>
      </c>
      <c r="R2628">
        <v>9.7031779999999998E-3</v>
      </c>
      <c r="S2628">
        <v>-2.9949340000000002</v>
      </c>
      <c r="T2628">
        <v>9.7360849999999999E-2</v>
      </c>
      <c r="U2628">
        <v>0.40441890000000003</v>
      </c>
      <c r="V2628">
        <v>8.5345170000000001E-3</v>
      </c>
      <c r="W2628">
        <v>4.069474E-2</v>
      </c>
      <c r="X2628">
        <v>0.9991352</v>
      </c>
      <c r="Y2628">
        <v>0.1325905</v>
      </c>
      <c r="Z2628">
        <v>-2.1069639999999998E-3</v>
      </c>
      <c r="AA2628">
        <v>0.99116870000000001</v>
      </c>
      <c r="AB2628">
        <v>26</v>
      </c>
      <c r="AC2628">
        <v>-73.033999999999907</v>
      </c>
      <c r="AD2628">
        <v>2.3827729999999998</v>
      </c>
      <c r="AE2628">
        <v>9.8976000000000095</v>
      </c>
      <c r="AF2628">
        <v>9.8017883153066201</v>
      </c>
      <c r="AG2628">
        <v>2.3827729999999998</v>
      </c>
      <c r="AH2628">
        <v>72.969275394918498</v>
      </c>
      <c r="AI2628">
        <v>88.146338394261406</v>
      </c>
      <c r="AJ2628">
        <v>82.3493911940825</v>
      </c>
      <c r="AK2628">
        <v>73.663205285997904</v>
      </c>
      <c r="AL2628">
        <v>87.667719169420096</v>
      </c>
      <c r="AM2628">
        <v>89.510596852307501</v>
      </c>
      <c r="AN2628">
        <v>1.0000000238615601</v>
      </c>
    </row>
    <row r="2629" spans="1:40" x14ac:dyDescent="0.25">
      <c r="A2629" t="str">
        <f>"20190312160345291"</f>
        <v>20190312160345291</v>
      </c>
      <c r="B2629" t="str">
        <f>"1552377825287007"</f>
        <v>1552377825287007</v>
      </c>
      <c r="C2629" t="s">
        <v>40</v>
      </c>
      <c r="D2629">
        <v>4.6364549999999998</v>
      </c>
      <c r="E2629">
        <v>0.54635719999999899</v>
      </c>
      <c r="F2629" t="s">
        <v>77</v>
      </c>
      <c r="G2629">
        <v>-510.9547</v>
      </c>
      <c r="H2629">
        <v>3.43716</v>
      </c>
      <c r="I2629">
        <v>295.25979999999998</v>
      </c>
      <c r="J2629">
        <v>-438.18810000000002</v>
      </c>
      <c r="K2629">
        <v>1.1100540000000001</v>
      </c>
      <c r="L2629">
        <v>285.3503</v>
      </c>
      <c r="M2629">
        <v>-0.99992320000000001</v>
      </c>
      <c r="N2629">
        <v>0</v>
      </c>
      <c r="O2629">
        <v>1.1986709999999999E-3</v>
      </c>
      <c r="P2629">
        <v>-0.99955329999999998</v>
      </c>
      <c r="Q2629">
        <v>2.8127280000000001E-2</v>
      </c>
      <c r="R2629">
        <v>1.009549E-2</v>
      </c>
      <c r="S2629">
        <v>-2.994659</v>
      </c>
      <c r="T2629">
        <v>9.5422859999999998E-2</v>
      </c>
      <c r="U2629">
        <v>0.40634160000000002</v>
      </c>
      <c r="V2629">
        <v>8.9003959999999997E-3</v>
      </c>
      <c r="W2629">
        <v>4.045319E-2</v>
      </c>
      <c r="X2629">
        <v>0.99914179999999997</v>
      </c>
      <c r="Y2629">
        <v>0.13320290000000001</v>
      </c>
      <c r="Z2629">
        <v>-2.0739899999999999E-3</v>
      </c>
      <c r="AA2629">
        <v>0.99108660000000004</v>
      </c>
      <c r="AB2629">
        <v>26</v>
      </c>
      <c r="AC2629">
        <v>-72.766599999999897</v>
      </c>
      <c r="AD2629">
        <v>2.3271060000000001</v>
      </c>
      <c r="AE2629">
        <v>9.90949999999998</v>
      </c>
      <c r="AF2629">
        <v>9.8124101451861101</v>
      </c>
      <c r="AG2629">
        <v>2.3271060000000001</v>
      </c>
      <c r="AH2629">
        <v>72.705421529273096</v>
      </c>
      <c r="AI2629">
        <v>88.183201479553901</v>
      </c>
      <c r="AJ2629">
        <v>82.313736139317996</v>
      </c>
      <c r="AK2629">
        <v>73.401479105954493</v>
      </c>
      <c r="AL2629">
        <v>87.681570331653006</v>
      </c>
      <c r="AM2629">
        <v>89.489620353605901</v>
      </c>
      <c r="AN2629">
        <v>1.0000000070686801</v>
      </c>
    </row>
    <row r="2630" spans="1:40" x14ac:dyDescent="0.25">
      <c r="A2630" t="str">
        <f>"20190312160345314"</f>
        <v>20190312160345314</v>
      </c>
      <c r="B2630" t="str">
        <f>"1552377825307035"</f>
        <v>1552377825307035</v>
      </c>
      <c r="C2630" t="s">
        <v>40</v>
      </c>
      <c r="D2630">
        <v>4.7890709999999999</v>
      </c>
      <c r="E2630">
        <v>0.54642250000000003</v>
      </c>
      <c r="F2630" t="s">
        <v>77</v>
      </c>
      <c r="G2630">
        <v>-510.95479999999998</v>
      </c>
      <c r="H2630">
        <v>3.5197059999999998</v>
      </c>
      <c r="I2630">
        <v>295.09309999999999</v>
      </c>
      <c r="J2630">
        <v>-438.45060000000001</v>
      </c>
      <c r="K2630">
        <v>1.110039</v>
      </c>
      <c r="L2630">
        <v>285.35059999999999</v>
      </c>
      <c r="M2630">
        <v>-0.99992320000000001</v>
      </c>
      <c r="N2630">
        <v>0</v>
      </c>
      <c r="O2630">
        <v>1.234326E-3</v>
      </c>
      <c r="P2630">
        <v>-0.99955899999999998</v>
      </c>
      <c r="Q2630">
        <v>2.7860559999999999E-2</v>
      </c>
      <c r="R2630">
        <v>1.0274409999999999E-2</v>
      </c>
      <c r="S2630">
        <v>-2.994507</v>
      </c>
      <c r="T2630">
        <v>9.9165799999999998E-2</v>
      </c>
      <c r="U2630">
        <v>0.40093990000000002</v>
      </c>
      <c r="V2630">
        <v>9.0445790000000005E-3</v>
      </c>
      <c r="W2630">
        <v>4.0185890000000002E-2</v>
      </c>
      <c r="X2630">
        <v>0.99915129999999996</v>
      </c>
      <c r="Y2630">
        <v>0.1314138</v>
      </c>
      <c r="Z2630">
        <v>-2.1250069999999999E-3</v>
      </c>
      <c r="AA2630">
        <v>0.99132529999999996</v>
      </c>
      <c r="AB2630">
        <v>26</v>
      </c>
      <c r="AC2630">
        <v>-72.504199999999898</v>
      </c>
      <c r="AD2630">
        <v>2.4096669999999998</v>
      </c>
      <c r="AE2630">
        <v>9.7424999999999997</v>
      </c>
      <c r="AF2630">
        <v>9.6425301338280693</v>
      </c>
      <c r="AG2630">
        <v>2.4096669999999998</v>
      </c>
      <c r="AH2630">
        <v>72.437578774104793</v>
      </c>
      <c r="AI2630">
        <v>88.111381090464207</v>
      </c>
      <c r="AJ2630">
        <v>82.417646626993999</v>
      </c>
      <c r="AK2630">
        <v>73.116261536591907</v>
      </c>
      <c r="AL2630">
        <v>87.696897976118507</v>
      </c>
      <c r="AM2630">
        <v>89.481357778284206</v>
      </c>
      <c r="AN2630">
        <v>1.0000000152280299</v>
      </c>
    </row>
    <row r="2631" spans="1:40" x14ac:dyDescent="0.25">
      <c r="A2631" t="str">
        <f>"20190312160345337"</f>
        <v>20190312160345337</v>
      </c>
      <c r="B2631" t="str">
        <f>"1552377825327531"</f>
        <v>1552377825327531</v>
      </c>
      <c r="C2631" t="s">
        <v>40</v>
      </c>
      <c r="D2631">
        <v>4.7826579999999996</v>
      </c>
      <c r="E2631">
        <v>0.54583579999999998</v>
      </c>
      <c r="F2631" t="s">
        <v>77</v>
      </c>
      <c r="G2631">
        <v>-510.95479999999998</v>
      </c>
      <c r="H2631">
        <v>3.4965160000000002</v>
      </c>
      <c r="I2631">
        <v>295.08429999999998</v>
      </c>
      <c r="J2631">
        <v>-438.714</v>
      </c>
      <c r="K2631">
        <v>1.1100350000000001</v>
      </c>
      <c r="L2631">
        <v>285.351</v>
      </c>
      <c r="M2631">
        <v>-0.99992320000000001</v>
      </c>
      <c r="N2631">
        <v>0</v>
      </c>
      <c r="O2631">
        <v>1.2777559999999999E-3</v>
      </c>
      <c r="P2631">
        <v>-0.99956579999999995</v>
      </c>
      <c r="Q2631">
        <v>2.7733750000000001E-2</v>
      </c>
      <c r="R2631">
        <v>9.9649079999999998E-3</v>
      </c>
      <c r="S2631">
        <v>-2.9944760000000001</v>
      </c>
      <c r="T2631">
        <v>9.8566650000000006E-2</v>
      </c>
      <c r="U2631">
        <v>0.40200809999999998</v>
      </c>
      <c r="V2631">
        <v>8.6925189999999992E-3</v>
      </c>
      <c r="W2631">
        <v>4.0058690000000001E-2</v>
      </c>
      <c r="X2631">
        <v>0.99915949999999998</v>
      </c>
      <c r="Y2631">
        <v>0.13172020000000001</v>
      </c>
      <c r="Z2631">
        <v>-2.1157419999999999E-3</v>
      </c>
      <c r="AA2631">
        <v>0.99128470000000002</v>
      </c>
      <c r="AB2631">
        <v>26</v>
      </c>
      <c r="AC2631">
        <v>-72.240799999999894</v>
      </c>
      <c r="AD2631">
        <v>2.3864809999999999</v>
      </c>
      <c r="AE2631">
        <v>9.7332999999999803</v>
      </c>
      <c r="AF2631">
        <v>9.6306562166680898</v>
      </c>
      <c r="AG2631">
        <v>2.3864809999999999</v>
      </c>
      <c r="AH2631">
        <v>72.175816439803597</v>
      </c>
      <c r="AI2631">
        <v>88.122839921778393</v>
      </c>
      <c r="AJ2631">
        <v>82.399729981429203</v>
      </c>
      <c r="AK2631">
        <v>72.854603900366001</v>
      </c>
      <c r="AL2631">
        <v>87.704191797170907</v>
      </c>
      <c r="AM2631">
        <v>89.501548964475703</v>
      </c>
      <c r="AN2631">
        <v>0.99999998248566502</v>
      </c>
    </row>
    <row r="2632" spans="1:40" x14ac:dyDescent="0.25">
      <c r="A2632" t="str">
        <f>"20190312160345359"</f>
        <v>20190312160345359</v>
      </c>
      <c r="B2632" t="str">
        <f>"1552377825347052"</f>
        <v>1552377825347052</v>
      </c>
      <c r="C2632" t="s">
        <v>40</v>
      </c>
      <c r="D2632">
        <v>4.8138629999999996</v>
      </c>
      <c r="E2632">
        <v>0.54596350000000005</v>
      </c>
      <c r="F2632" t="s">
        <v>77</v>
      </c>
      <c r="G2632">
        <v>-510.95479999999998</v>
      </c>
      <c r="H2632">
        <v>3.5555270000000001</v>
      </c>
      <c r="I2632">
        <v>294.9187</v>
      </c>
      <c r="J2632">
        <v>-438.98270000000002</v>
      </c>
      <c r="K2632">
        <v>1.110031</v>
      </c>
      <c r="L2632">
        <v>285.35140000000001</v>
      </c>
      <c r="M2632">
        <v>-0.99992320000000001</v>
      </c>
      <c r="N2632">
        <v>0</v>
      </c>
      <c r="O2632">
        <v>1.326984E-3</v>
      </c>
      <c r="P2632">
        <v>-0.99959450000000005</v>
      </c>
      <c r="Q2632">
        <v>2.684804E-2</v>
      </c>
      <c r="R2632">
        <v>9.5098779999999994E-3</v>
      </c>
      <c r="S2632">
        <v>-2.9945680000000001</v>
      </c>
      <c r="T2632">
        <v>0.1013753</v>
      </c>
      <c r="U2632">
        <v>0.39660640000000003</v>
      </c>
      <c r="V2632">
        <v>8.1883559999999904E-3</v>
      </c>
      <c r="W2632">
        <v>3.9172470000000001E-2</v>
      </c>
      <c r="X2632">
        <v>0.9991989</v>
      </c>
      <c r="Y2632">
        <v>0.12990739999999901</v>
      </c>
      <c r="Z2632">
        <v>-2.1439879999999999E-3</v>
      </c>
      <c r="AA2632">
        <v>0.99152379999999996</v>
      </c>
      <c r="AB2632">
        <v>26</v>
      </c>
      <c r="AC2632">
        <v>-71.972099999999898</v>
      </c>
      <c r="AD2632">
        <v>2.4454959999999901</v>
      </c>
      <c r="AE2632">
        <v>9.5672999999999799</v>
      </c>
      <c r="AF2632">
        <v>9.4610450951180507</v>
      </c>
      <c r="AG2632">
        <v>2.4454959999999901</v>
      </c>
      <c r="AH2632">
        <v>71.903160260636398</v>
      </c>
      <c r="AI2632">
        <v>88.068700164168007</v>
      </c>
      <c r="AJ2632">
        <v>82.504061716693897</v>
      </c>
      <c r="AK2632">
        <v>72.564152861069303</v>
      </c>
      <c r="AL2632">
        <v>87.755008366117394</v>
      </c>
      <c r="AM2632">
        <v>89.530476126428695</v>
      </c>
      <c r="AN2632">
        <v>0.99999998667054601</v>
      </c>
    </row>
    <row r="2633" spans="1:40" x14ac:dyDescent="0.25">
      <c r="A2633" t="str">
        <f>"20190312160345392"</f>
        <v>20190312160345392</v>
      </c>
      <c r="B2633" t="str">
        <f>"1552377825387066"</f>
        <v>1552377825387066</v>
      </c>
      <c r="C2633" t="s">
        <v>40</v>
      </c>
      <c r="D2633">
        <v>5.0325769999999999</v>
      </c>
      <c r="E2633">
        <v>0.5433114</v>
      </c>
      <c r="F2633" t="s">
        <v>77</v>
      </c>
      <c r="G2633">
        <v>-510.95479999999998</v>
      </c>
      <c r="H2633">
        <v>3.454297</v>
      </c>
      <c r="I2633">
        <v>294.8723</v>
      </c>
      <c r="J2633">
        <v>-439.37349999999998</v>
      </c>
      <c r="K2633">
        <v>1.110028</v>
      </c>
      <c r="L2633">
        <v>285.35199999999998</v>
      </c>
      <c r="M2633">
        <v>-0.99992300000000001</v>
      </c>
      <c r="N2633">
        <v>0</v>
      </c>
      <c r="O2633">
        <v>1.39995299999999E-3</v>
      </c>
      <c r="P2633">
        <v>-0.99961949999999999</v>
      </c>
      <c r="Q2633">
        <v>2.591063E-2</v>
      </c>
      <c r="R2633">
        <v>9.4665659999999992E-3</v>
      </c>
      <c r="S2633">
        <v>-2.9948429999999999</v>
      </c>
      <c r="T2633">
        <v>9.7551109999999996E-2</v>
      </c>
      <c r="U2633">
        <v>0.39617920000000001</v>
      </c>
      <c r="V2633">
        <v>8.0720979999999998E-3</v>
      </c>
      <c r="W2633">
        <v>3.8235699999999997E-2</v>
      </c>
      <c r="X2633">
        <v>0.99923620000000002</v>
      </c>
      <c r="Y2633">
        <v>0.12968969999999999</v>
      </c>
      <c r="Z2633">
        <v>-2.0570889999999998E-3</v>
      </c>
      <c r="AA2633">
        <v>0.99155249999999995</v>
      </c>
      <c r="AB2633">
        <v>26</v>
      </c>
      <c r="AC2633">
        <v>-71.581299999999999</v>
      </c>
      <c r="AD2633">
        <v>2.3442690000000002</v>
      </c>
      <c r="AE2633">
        <v>9.5202999999999598</v>
      </c>
      <c r="AF2633">
        <v>9.4101552036665801</v>
      </c>
      <c r="AG2633">
        <v>2.3442690000000002</v>
      </c>
      <c r="AH2633">
        <v>71.519184542542007</v>
      </c>
      <c r="AI2633">
        <v>88.138651862795896</v>
      </c>
      <c r="AJ2633">
        <v>82.504350112318505</v>
      </c>
      <c r="AK2633">
        <v>72.173682015895807</v>
      </c>
      <c r="AL2633">
        <v>87.808721733426793</v>
      </c>
      <c r="AM2633">
        <v>89.537159395346805</v>
      </c>
      <c r="AN2633">
        <v>1.00000005545552</v>
      </c>
    </row>
    <row r="2634" spans="1:40" x14ac:dyDescent="0.25">
      <c r="A2634" t="str">
        <f>"20190312160345405"</f>
        <v>20190312160345405</v>
      </c>
      <c r="B2634" t="str">
        <f>"1552377825396827"</f>
        <v>1552377825396827</v>
      </c>
      <c r="C2634" t="s">
        <v>40</v>
      </c>
      <c r="D2634">
        <v>4.9337869999999997</v>
      </c>
      <c r="E2634">
        <v>0.5433114</v>
      </c>
      <c r="F2634" t="s">
        <v>77</v>
      </c>
      <c r="G2634">
        <v>-510.9547</v>
      </c>
      <c r="H2634">
        <v>3.0916030000000001</v>
      </c>
      <c r="I2634">
        <v>294.29930000000002</v>
      </c>
      <c r="J2634">
        <v>-439.53359999999998</v>
      </c>
      <c r="K2634">
        <v>1.1100219999999901</v>
      </c>
      <c r="L2634">
        <v>285.35230000000001</v>
      </c>
      <c r="M2634">
        <v>-0.99992309999999995</v>
      </c>
      <c r="N2634">
        <v>0</v>
      </c>
      <c r="O2634">
        <v>1.4280849999999999E-3</v>
      </c>
      <c r="P2634">
        <v>-0.99961770000000005</v>
      </c>
      <c r="Q2634">
        <v>2.6020620000000001E-2</v>
      </c>
      <c r="R2634">
        <v>9.3806979999999998E-3</v>
      </c>
      <c r="S2634">
        <v>-2.9954529999999999</v>
      </c>
      <c r="T2634">
        <v>8.2926269999999996E-2</v>
      </c>
      <c r="U2634">
        <v>0.37442019999999998</v>
      </c>
      <c r="V2634">
        <v>7.9581180000000001E-3</v>
      </c>
      <c r="W2634">
        <v>3.8346249999999998E-2</v>
      </c>
      <c r="X2634">
        <v>0.99923280000000003</v>
      </c>
      <c r="Y2634">
        <v>0.122568</v>
      </c>
      <c r="Z2634">
        <v>-1.65031799999999E-3</v>
      </c>
      <c r="AA2634">
        <v>0.99245879999999997</v>
      </c>
      <c r="AB2634">
        <v>26</v>
      </c>
      <c r="AC2634">
        <v>-71.421099999999996</v>
      </c>
      <c r="AD2634">
        <v>1.981581</v>
      </c>
      <c r="AE2634">
        <v>8.9469999999999992</v>
      </c>
      <c r="AF2634">
        <v>8.8382892514608695</v>
      </c>
      <c r="AG2634">
        <v>1.981581</v>
      </c>
      <c r="AH2634">
        <v>71.379706988491606</v>
      </c>
      <c r="AI2634">
        <v>88.421858620414199</v>
      </c>
      <c r="AJ2634">
        <v>82.941519534338795</v>
      </c>
      <c r="AK2634">
        <v>71.952099273856902</v>
      </c>
      <c r="AL2634">
        <v>87.802382865490102</v>
      </c>
      <c r="AM2634">
        <v>89.543692987116401</v>
      </c>
      <c r="AN2634">
        <v>0.99999997756350201</v>
      </c>
    </row>
    <row r="2635" spans="1:40" x14ac:dyDescent="0.25">
      <c r="A2635" t="str">
        <f>"20190312160345426"</f>
        <v>20190312160345426</v>
      </c>
      <c r="B2635" t="str">
        <f>"1552377825416853"</f>
        <v>1552377825416853</v>
      </c>
      <c r="C2635" t="s">
        <v>40</v>
      </c>
      <c r="D2635">
        <v>4.8965389999999998</v>
      </c>
      <c r="E2635">
        <v>0.46221390000000001</v>
      </c>
      <c r="F2635" t="s">
        <v>77</v>
      </c>
      <c r="G2635">
        <v>-510.9547</v>
      </c>
      <c r="H2635">
        <v>3.102373</v>
      </c>
      <c r="I2635">
        <v>294.27089999999998</v>
      </c>
      <c r="J2635">
        <v>-439.77069999999998</v>
      </c>
      <c r="K2635">
        <v>1.110017</v>
      </c>
      <c r="L2635">
        <v>285.3526</v>
      </c>
      <c r="M2635">
        <v>-0.99992309999999995</v>
      </c>
      <c r="N2635">
        <v>0</v>
      </c>
      <c r="O2635">
        <v>1.4680100000000001E-3</v>
      </c>
      <c r="P2635">
        <v>-0.99961540000000004</v>
      </c>
      <c r="Q2635">
        <v>2.615636E-2</v>
      </c>
      <c r="R2635">
        <v>9.2462220000000001E-3</v>
      </c>
      <c r="S2635">
        <v>-2.9954529999999999</v>
      </c>
      <c r="T2635">
        <v>8.3564159999999998E-2</v>
      </c>
      <c r="U2635">
        <v>0.374054</v>
      </c>
      <c r="V2635">
        <v>7.7837239999999997E-3</v>
      </c>
      <c r="W2635">
        <v>3.848157E-2</v>
      </c>
      <c r="X2635">
        <v>0.99922900000000003</v>
      </c>
      <c r="Y2635">
        <v>0.1224083</v>
      </c>
      <c r="Z2635">
        <v>-1.659691E-3</v>
      </c>
      <c r="AA2635">
        <v>0.99247839999999998</v>
      </c>
      <c r="AB2635">
        <v>26</v>
      </c>
      <c r="AC2635">
        <v>-71.183999999999997</v>
      </c>
      <c r="AD2635">
        <v>1.992356</v>
      </c>
      <c r="AE2635">
        <v>8.9182999999999808</v>
      </c>
      <c r="AF2635">
        <v>8.8069910923262995</v>
      </c>
      <c r="AG2635">
        <v>1.992356</v>
      </c>
      <c r="AH2635">
        <v>71.142146784408297</v>
      </c>
      <c r="AI2635">
        <v>88.407980893354903</v>
      </c>
      <c r="AJ2635">
        <v>82.943013370454494</v>
      </c>
      <c r="AK2635">
        <v>71.712883247191698</v>
      </c>
      <c r="AL2635">
        <v>87.794623936395297</v>
      </c>
      <c r="AM2635">
        <v>89.553690381423095</v>
      </c>
      <c r="AN2635">
        <v>1.0000000060149801</v>
      </c>
    </row>
    <row r="2636" spans="1:40" x14ac:dyDescent="0.25">
      <c r="A2636" t="str">
        <f>"20190312160345448"</f>
        <v>20190312160345448</v>
      </c>
      <c r="B2636" t="str">
        <f>"1552377825436882"</f>
        <v>1552377825436882</v>
      </c>
      <c r="C2636" t="s">
        <v>40</v>
      </c>
      <c r="D2636">
        <v>4.8139219999999998</v>
      </c>
      <c r="E2636">
        <v>0.46226260000000002</v>
      </c>
      <c r="F2636" t="s">
        <v>59</v>
      </c>
      <c r="G2636">
        <v>-478.06110000000001</v>
      </c>
      <c r="H2636" s="1">
        <v>2.7903639999999999E-6</v>
      </c>
      <c r="I2636">
        <v>281.76819999999998</v>
      </c>
      <c r="J2636">
        <v>-440.0333</v>
      </c>
      <c r="K2636">
        <v>1.1100179999999999</v>
      </c>
      <c r="L2636">
        <v>285.35309999999998</v>
      </c>
      <c r="M2636">
        <v>-0.99992289999999995</v>
      </c>
      <c r="N2636">
        <v>0</v>
      </c>
      <c r="O2636">
        <v>1.5102539999999999E-3</v>
      </c>
      <c r="P2636">
        <v>-0.99962510000000004</v>
      </c>
      <c r="Q2636">
        <v>2.5747079999999999E-2</v>
      </c>
      <c r="R2636">
        <v>9.3229430000000002E-3</v>
      </c>
      <c r="S2636">
        <v>-3.0060419999999999</v>
      </c>
      <c r="T2636">
        <v>-8.7143180000000001E-2</v>
      </c>
      <c r="U2636">
        <v>-0.2814026</v>
      </c>
      <c r="V2636">
        <v>7.8177790000000004E-3</v>
      </c>
      <c r="W2636">
        <v>3.807323E-2</v>
      </c>
      <c r="X2636">
        <v>0.99924440000000003</v>
      </c>
      <c r="Y2636">
        <v>-9.4668450000000001E-2</v>
      </c>
      <c r="Z2636">
        <v>-1.41259E-3</v>
      </c>
      <c r="AA2636">
        <v>0.99550780000000005</v>
      </c>
      <c r="AB2636">
        <v>26</v>
      </c>
      <c r="AC2636">
        <v>-38.027799999999999</v>
      </c>
      <c r="AD2636">
        <v>-1.1100152096360001</v>
      </c>
      <c r="AE2636">
        <v>-3.5849000000000002</v>
      </c>
      <c r="AF2636">
        <v>-3.6392584629579598</v>
      </c>
      <c r="AG2636">
        <v>-1.1100152096360001</v>
      </c>
      <c r="AH2636">
        <v>37.990258348077198</v>
      </c>
      <c r="AI2636">
        <v>91.665993536042194</v>
      </c>
      <c r="AJ2636">
        <v>95.471924440540903</v>
      </c>
      <c r="AK2636">
        <v>38.180309915969502</v>
      </c>
      <c r="AL2636">
        <v>87.818037305182898</v>
      </c>
      <c r="AM2636">
        <v>89.551744695288406</v>
      </c>
      <c r="AN2636">
        <v>1.0000000297212399</v>
      </c>
    </row>
    <row r="2637" spans="1:40" x14ac:dyDescent="0.25">
      <c r="A2637" t="str">
        <f>"20190312160345471"</f>
        <v>20190312160345471</v>
      </c>
      <c r="B2637" t="str">
        <f>"1552377825457378"</f>
        <v>1552377825457378</v>
      </c>
      <c r="C2637" t="s">
        <v>40</v>
      </c>
      <c r="D2637">
        <v>4.8503699999999998</v>
      </c>
      <c r="E2637">
        <v>0.46239580000000002</v>
      </c>
      <c r="F2637" t="s">
        <v>59</v>
      </c>
      <c r="G2637">
        <v>-486.05919999999998</v>
      </c>
      <c r="H2637" s="1">
        <v>2.9699519999999999E-6</v>
      </c>
      <c r="I2637">
        <v>281.06349999999998</v>
      </c>
      <c r="J2637">
        <v>-440.2937</v>
      </c>
      <c r="K2637">
        <v>1.1100209999999999</v>
      </c>
      <c r="L2637">
        <v>285.3535</v>
      </c>
      <c r="M2637">
        <v>-0.9999228</v>
      </c>
      <c r="N2637">
        <v>0</v>
      </c>
      <c r="O2637">
        <v>1.551364E-3</v>
      </c>
      <c r="P2637">
        <v>-0.99963579999999996</v>
      </c>
      <c r="Q2637">
        <v>2.5085150000000001E-2</v>
      </c>
      <c r="R2637">
        <v>9.9568150000000008E-3</v>
      </c>
      <c r="S2637">
        <v>-3.005585</v>
      </c>
      <c r="T2637">
        <v>-7.248628E-2</v>
      </c>
      <c r="U2637">
        <v>-0.2801208</v>
      </c>
      <c r="V2637">
        <v>8.4104990000000001E-3</v>
      </c>
      <c r="W2637">
        <v>3.7411369999999999E-2</v>
      </c>
      <c r="X2637">
        <v>0.9992645</v>
      </c>
      <c r="Y2637">
        <v>-9.4315010000000005E-2</v>
      </c>
      <c r="Z2637">
        <v>-1.1720159999999999E-3</v>
      </c>
      <c r="AA2637">
        <v>0.99554169999999997</v>
      </c>
      <c r="AB2637">
        <v>26</v>
      </c>
      <c r="AC2637">
        <v>-45.765499999999903</v>
      </c>
      <c r="AD2637">
        <v>-1.11001803004799</v>
      </c>
      <c r="AE2637">
        <v>-4.2900000000000196</v>
      </c>
      <c r="AF2637">
        <v>-4.3584575246274904</v>
      </c>
      <c r="AG2637">
        <v>-1.11001803004799</v>
      </c>
      <c r="AH2637">
        <v>45.732120135785102</v>
      </c>
      <c r="AI2637">
        <v>91.384150825504904</v>
      </c>
      <c r="AJ2637">
        <v>95.444078534414103</v>
      </c>
      <c r="AK2637">
        <v>45.952748602612402</v>
      </c>
      <c r="AL2637">
        <v>87.855985943893401</v>
      </c>
      <c r="AM2637">
        <v>89.517770602538803</v>
      </c>
      <c r="AN2637">
        <v>0.99999994402947601</v>
      </c>
    </row>
    <row r="2638" spans="1:40" x14ac:dyDescent="0.25">
      <c r="A2638" t="str">
        <f>"20190312160345492"</f>
        <v>20190312160345492</v>
      </c>
      <c r="B2638" t="str">
        <f>"1552377825487633"</f>
        <v>1552377825487633</v>
      </c>
      <c r="C2638" t="s">
        <v>40</v>
      </c>
      <c r="D2638">
        <v>4.772958</v>
      </c>
      <c r="E2638">
        <v>0.46321050000000003</v>
      </c>
      <c r="F2638" t="s">
        <v>59</v>
      </c>
      <c r="G2638">
        <v>-495.8999</v>
      </c>
      <c r="H2638" s="1">
        <v>2.5355250000000002E-6</v>
      </c>
      <c r="I2638">
        <v>280.24059999999997</v>
      </c>
      <c r="J2638">
        <v>-440.55970000000002</v>
      </c>
      <c r="K2638">
        <v>1.1100159999999999</v>
      </c>
      <c r="L2638">
        <v>285.35399999999998</v>
      </c>
      <c r="M2638">
        <v>-0.99992270000000005</v>
      </c>
      <c r="N2638">
        <v>0</v>
      </c>
      <c r="O2638">
        <v>1.593784E-3</v>
      </c>
      <c r="P2638">
        <v>-0.99963659999999999</v>
      </c>
      <c r="Q2638">
        <v>2.5120440000000001E-2</v>
      </c>
      <c r="R2638">
        <v>9.7766009999999993E-3</v>
      </c>
      <c r="S2638">
        <v>-3.005341</v>
      </c>
      <c r="T2638">
        <v>-5.9993030000000003E-2</v>
      </c>
      <c r="U2638">
        <v>-0.27633669999999999</v>
      </c>
      <c r="V2638">
        <v>8.1877540000000002E-3</v>
      </c>
      <c r="W2638">
        <v>3.7446630000000002E-2</v>
      </c>
      <c r="X2638">
        <v>0.99926510000000002</v>
      </c>
      <c r="Y2638">
        <v>-9.3130690000000002E-2</v>
      </c>
      <c r="Z2638">
        <v>-9.5924390000000001E-4</v>
      </c>
      <c r="AA2638">
        <v>0.99565349999999997</v>
      </c>
      <c r="AB2638">
        <v>26</v>
      </c>
      <c r="AC2638">
        <v>-55.340199999999903</v>
      </c>
      <c r="AD2638">
        <v>-1.1100134644749999</v>
      </c>
      <c r="AE2638">
        <v>-5.1134000000000697</v>
      </c>
      <c r="AF2638">
        <v>-5.1995263549914998</v>
      </c>
      <c r="AG2638">
        <v>-1.1100134644749999</v>
      </c>
      <c r="AH2638">
        <v>55.309915343193197</v>
      </c>
      <c r="AI2638">
        <v>91.144667957720102</v>
      </c>
      <c r="AJ2638">
        <v>95.370428752717402</v>
      </c>
      <c r="AK2638">
        <v>55.564862453521499</v>
      </c>
      <c r="AL2638">
        <v>87.853964429822994</v>
      </c>
      <c r="AM2638">
        <v>89.530541745484697</v>
      </c>
      <c r="AN2638">
        <v>1.00000001474596</v>
      </c>
    </row>
    <row r="2639" spans="1:40" x14ac:dyDescent="0.25">
      <c r="A2639" t="str">
        <f>"20190312160345515"</f>
        <v>20190312160345515</v>
      </c>
      <c r="B2639" t="str">
        <f>"1552377825507154"</f>
        <v>1552377825507154</v>
      </c>
      <c r="C2639" t="s">
        <v>40</v>
      </c>
      <c r="D2639">
        <v>4.8112440000000003</v>
      </c>
      <c r="E2639">
        <v>0.46337810000000001</v>
      </c>
      <c r="F2639" t="s">
        <v>59</v>
      </c>
      <c r="G2639">
        <v>-490.72</v>
      </c>
      <c r="H2639" s="1">
        <v>3.506278E-6</v>
      </c>
      <c r="I2639">
        <v>280.8347</v>
      </c>
      <c r="J2639">
        <v>-440.82670000000002</v>
      </c>
      <c r="K2639">
        <v>1.1100219999999901</v>
      </c>
      <c r="L2639">
        <v>285.35449999999997</v>
      </c>
      <c r="M2639">
        <v>-0.9999228</v>
      </c>
      <c r="N2639">
        <v>0</v>
      </c>
      <c r="O2639">
        <v>1.6372239999999901E-3</v>
      </c>
      <c r="P2639">
        <v>-0.99964739999999996</v>
      </c>
      <c r="Q2639">
        <v>2.4891239999999999E-2</v>
      </c>
      <c r="R2639">
        <v>9.2799419999999994E-3</v>
      </c>
      <c r="S2639">
        <v>-3.0054319999999999</v>
      </c>
      <c r="T2639">
        <v>-6.6508049999999999E-2</v>
      </c>
      <c r="U2639">
        <v>-0.27078249999999998</v>
      </c>
      <c r="V2639">
        <v>7.6477380000000003E-3</v>
      </c>
      <c r="W2639">
        <v>3.7217430000000003E-2</v>
      </c>
      <c r="X2639">
        <v>0.99927790000000005</v>
      </c>
      <c r="Y2639">
        <v>-9.134225E-2</v>
      </c>
      <c r="Z2639">
        <v>-1.04466E-3</v>
      </c>
      <c r="AA2639">
        <v>0.99581900000000001</v>
      </c>
      <c r="AB2639">
        <v>26</v>
      </c>
      <c r="AC2639">
        <v>-49.893300000000004</v>
      </c>
      <c r="AD2639">
        <v>-1.1100184937219999</v>
      </c>
      <c r="AE2639">
        <v>-4.5197999999999698</v>
      </c>
      <c r="AF2639">
        <v>-4.5992287113697898</v>
      </c>
      <c r="AG2639">
        <v>-1.1100184937219999</v>
      </c>
      <c r="AH2639">
        <v>49.861353808381097</v>
      </c>
      <c r="AI2639">
        <v>91.269924556250899</v>
      </c>
      <c r="AJ2639">
        <v>95.270070085026603</v>
      </c>
      <c r="AK2639">
        <v>50.085323692679196</v>
      </c>
      <c r="AL2639">
        <v>87.867105694306801</v>
      </c>
      <c r="AM2639">
        <v>89.561508810142996</v>
      </c>
      <c r="AN2639">
        <v>0.99999997321036505</v>
      </c>
    </row>
    <row r="2640" spans="1:40" x14ac:dyDescent="0.25">
      <c r="A2640" t="str">
        <f>"20190312160345538"</f>
        <v>20190312160345538</v>
      </c>
      <c r="B2640" t="str">
        <f>"1552377825527649"</f>
        <v>1552377825527649</v>
      </c>
      <c r="C2640" t="s">
        <v>40</v>
      </c>
      <c r="D2640">
        <v>4.8289519999999904</v>
      </c>
      <c r="E2640">
        <v>0.46354719999999999</v>
      </c>
      <c r="F2640" t="s">
        <v>59</v>
      </c>
      <c r="G2640">
        <v>-490.69029999999998</v>
      </c>
      <c r="H2640" s="1">
        <v>3.5140839999999999E-6</v>
      </c>
      <c r="I2640">
        <v>280.86369999999999</v>
      </c>
      <c r="J2640">
        <v>-441.09140000000002</v>
      </c>
      <c r="K2640">
        <v>1.1100300000000001</v>
      </c>
      <c r="L2640">
        <v>285.35489999999999</v>
      </c>
      <c r="M2640">
        <v>-0.99992259999999999</v>
      </c>
      <c r="N2640">
        <v>0</v>
      </c>
      <c r="O2640">
        <v>1.680677E-3</v>
      </c>
      <c r="P2640">
        <v>-0.99963860000000004</v>
      </c>
      <c r="Q2640">
        <v>2.5116779999999998E-2</v>
      </c>
      <c r="R2640">
        <v>9.5904330000000006E-3</v>
      </c>
      <c r="S2640">
        <v>-3.00528</v>
      </c>
      <c r="T2640">
        <v>-6.6900730000000005E-2</v>
      </c>
      <c r="U2640">
        <v>-0.27066040000000002</v>
      </c>
      <c r="V2640">
        <v>7.9147060000000005E-3</v>
      </c>
      <c r="W2640">
        <v>3.7443289999999997E-2</v>
      </c>
      <c r="X2640">
        <v>0.99926740000000003</v>
      </c>
      <c r="Y2640">
        <v>-9.1349620000000006E-2</v>
      </c>
      <c r="Z2640">
        <v>-1.0519289999999901E-3</v>
      </c>
      <c r="AA2640">
        <v>0.99581830000000005</v>
      </c>
      <c r="AB2640">
        <v>26</v>
      </c>
      <c r="AC2640">
        <v>-49.598899999999901</v>
      </c>
      <c r="AD2640">
        <v>-1.1100264859159901</v>
      </c>
      <c r="AE2640">
        <v>-4.4911999999999903</v>
      </c>
      <c r="AF2640">
        <v>-4.57228823671859</v>
      </c>
      <c r="AG2640">
        <v>-1.1100264859159901</v>
      </c>
      <c r="AH2640">
        <v>49.566656700875001</v>
      </c>
      <c r="AI2640">
        <v>91.2774809843295</v>
      </c>
      <c r="AJ2640">
        <v>95.270348022084804</v>
      </c>
      <c r="AK2640">
        <v>49.789471126147497</v>
      </c>
      <c r="AL2640">
        <v>87.854155878084001</v>
      </c>
      <c r="AM2640">
        <v>89.546197777172395</v>
      </c>
      <c r="AN2640">
        <v>0.99999998961992498</v>
      </c>
    </row>
    <row r="2641" spans="1:40" x14ac:dyDescent="0.25">
      <c r="A2641" t="str">
        <f>"20190312160345560"</f>
        <v>20190312160345560</v>
      </c>
      <c r="B2641" t="str">
        <f>"1552377825547171"</f>
        <v>1552377825547171</v>
      </c>
      <c r="C2641" t="s">
        <v>40</v>
      </c>
      <c r="D2641">
        <v>4.8869319999999998</v>
      </c>
      <c r="E2641">
        <v>0.4637269</v>
      </c>
      <c r="F2641" t="s">
        <v>59</v>
      </c>
      <c r="G2641">
        <v>-486.94499999999999</v>
      </c>
      <c r="H2641" s="1">
        <v>3.1439749999999998E-6</v>
      </c>
      <c r="I2641">
        <v>281.2568</v>
      </c>
      <c r="J2641">
        <v>-441.3553</v>
      </c>
      <c r="K2641">
        <v>1.1100319999999999</v>
      </c>
      <c r="L2641">
        <v>285.35550000000001</v>
      </c>
      <c r="M2641">
        <v>-0.99992250000000005</v>
      </c>
      <c r="N2641">
        <v>0</v>
      </c>
      <c r="O2641">
        <v>1.72449E-3</v>
      </c>
      <c r="P2641">
        <v>-0.99962600000000001</v>
      </c>
      <c r="Q2641">
        <v>2.549531E-2</v>
      </c>
      <c r="R2641">
        <v>9.9041630000000005E-3</v>
      </c>
      <c r="S2641">
        <v>-3.005493</v>
      </c>
      <c r="T2641">
        <v>-7.2757240000000001E-2</v>
      </c>
      <c r="U2641">
        <v>-0.26861570000000001</v>
      </c>
      <c r="V2641">
        <v>8.1848240000000003E-3</v>
      </c>
      <c r="W2641">
        <v>3.782116E-2</v>
      </c>
      <c r="X2641">
        <v>0.999251</v>
      </c>
      <c r="Y2641">
        <v>-9.0710860000000004E-2</v>
      </c>
      <c r="Z2641">
        <v>-1.1372859999999999E-3</v>
      </c>
      <c r="AA2641">
        <v>0.9958766</v>
      </c>
      <c r="AB2641">
        <v>26</v>
      </c>
      <c r="AC2641">
        <v>-45.589699999999901</v>
      </c>
      <c r="AD2641">
        <v>-1.110028856025</v>
      </c>
      <c r="AE2641">
        <v>-4.0987</v>
      </c>
      <c r="AF2641">
        <v>-4.1748636949918598</v>
      </c>
      <c r="AG2641">
        <v>-1.110028856025</v>
      </c>
      <c r="AH2641">
        <v>45.555772904518498</v>
      </c>
      <c r="AI2641">
        <v>91.389991647668893</v>
      </c>
      <c r="AJ2641">
        <v>95.236126372483994</v>
      </c>
      <c r="AK2641">
        <v>45.760136536739402</v>
      </c>
      <c r="AL2641">
        <v>87.832490189139705</v>
      </c>
      <c r="AM2641">
        <v>89.530703112651196</v>
      </c>
      <c r="AN2641">
        <v>0.999999996244328</v>
      </c>
    </row>
    <row r="2642" spans="1:40" x14ac:dyDescent="0.25">
      <c r="A2642" t="str">
        <f>"20190312160345582"</f>
        <v>20190312160345582</v>
      </c>
      <c r="B2642" t="str">
        <f>"1552377825577426"</f>
        <v>1552377825577426</v>
      </c>
      <c r="C2642" t="s">
        <v>40</v>
      </c>
      <c r="D2642">
        <v>4.8501659999999998</v>
      </c>
      <c r="E2642">
        <v>0.46365210000000001</v>
      </c>
      <c r="F2642" t="s">
        <v>59</v>
      </c>
      <c r="G2642">
        <v>-484.36099999999999</v>
      </c>
      <c r="H2642" s="1">
        <v>2.7102290000000001E-6</v>
      </c>
      <c r="I2642">
        <v>281.53840000000002</v>
      </c>
      <c r="J2642">
        <v>-441.61189999999999</v>
      </c>
      <c r="K2642">
        <v>1.110031</v>
      </c>
      <c r="L2642">
        <v>285.35590000000002</v>
      </c>
      <c r="M2642">
        <v>-0.99992259999999999</v>
      </c>
      <c r="N2642">
        <v>0</v>
      </c>
      <c r="O2642">
        <v>1.767586E-3</v>
      </c>
      <c r="P2642">
        <v>-0.9996256</v>
      </c>
      <c r="Q2642">
        <v>2.5690399999999999E-2</v>
      </c>
      <c r="R2642">
        <v>9.4387580000000002E-3</v>
      </c>
      <c r="S2642">
        <v>-3.0057680000000002</v>
      </c>
      <c r="T2642">
        <v>-7.7582600000000002E-2</v>
      </c>
      <c r="U2642">
        <v>-0.26678469999999999</v>
      </c>
      <c r="V2642">
        <v>7.6762549999999999E-3</v>
      </c>
      <c r="W2642">
        <v>3.8016050000000003E-2</v>
      </c>
      <c r="X2642">
        <v>0.99924769999999896</v>
      </c>
      <c r="Y2642">
        <v>-9.0140310000000001E-2</v>
      </c>
      <c r="Z2642">
        <v>-1.206373E-3</v>
      </c>
      <c r="AA2642">
        <v>0.99592829999999999</v>
      </c>
      <c r="AB2642">
        <v>26</v>
      </c>
      <c r="AC2642">
        <v>-42.749099999999999</v>
      </c>
      <c r="AD2642">
        <v>-1.1100282897710001</v>
      </c>
      <c r="AE2642">
        <v>-3.8174999999999901</v>
      </c>
      <c r="AF2642">
        <v>-3.8904601279494102</v>
      </c>
      <c r="AG2642">
        <v>-1.1100282897710001</v>
      </c>
      <c r="AH2642">
        <v>42.713713510319799</v>
      </c>
      <c r="AI2642">
        <v>91.482512615338706</v>
      </c>
      <c r="AJ2642">
        <v>95.204267380854205</v>
      </c>
      <c r="AK2642">
        <v>42.904885090778798</v>
      </c>
      <c r="AL2642">
        <v>87.821315907378505</v>
      </c>
      <c r="AM2642">
        <v>89.559860520532695</v>
      </c>
      <c r="AN2642">
        <v>1.00000005545185</v>
      </c>
    </row>
    <row r="2643" spans="1:40" x14ac:dyDescent="0.25">
      <c r="A2643" t="str">
        <f>"20190312160345605"</f>
        <v>20190312160345605</v>
      </c>
      <c r="B2643" t="str">
        <f>"1552377825596947"</f>
        <v>1552377825596947</v>
      </c>
      <c r="C2643" t="s">
        <v>40</v>
      </c>
      <c r="D2643">
        <v>4.774572</v>
      </c>
      <c r="E2643">
        <v>0.46366849999999998</v>
      </c>
      <c r="F2643" t="s">
        <v>59</v>
      </c>
      <c r="G2643">
        <v>-486.88549999999998</v>
      </c>
      <c r="H2643" s="1">
        <v>3.138296E-6</v>
      </c>
      <c r="I2643">
        <v>281.3125</v>
      </c>
      <c r="J2643">
        <v>-441.88130000000001</v>
      </c>
      <c r="K2643">
        <v>1.110034</v>
      </c>
      <c r="L2643">
        <v>285.35640000000001</v>
      </c>
      <c r="M2643">
        <v>-0.99992250000000005</v>
      </c>
      <c r="N2643">
        <v>0</v>
      </c>
      <c r="O2643">
        <v>1.8128879999999999E-3</v>
      </c>
      <c r="P2643">
        <v>-0.99962850000000003</v>
      </c>
      <c r="Q2643">
        <v>2.5729109999999999E-2</v>
      </c>
      <c r="R2643">
        <v>9.0042400000000002E-3</v>
      </c>
      <c r="S2643">
        <v>-3.005585</v>
      </c>
      <c r="T2643">
        <v>-7.3691610000000005E-2</v>
      </c>
      <c r="U2643">
        <v>-0.26843260000000002</v>
      </c>
      <c r="V2643">
        <v>7.1963909999999999E-3</v>
      </c>
      <c r="W2643">
        <v>3.8055110000000003E-2</v>
      </c>
      <c r="X2643">
        <v>0.99924979999999997</v>
      </c>
      <c r="Y2643">
        <v>-9.073531E-2</v>
      </c>
      <c r="Z2643">
        <v>-1.1543180000000001E-3</v>
      </c>
      <c r="AA2643">
        <v>0.99587440000000005</v>
      </c>
      <c r="AB2643">
        <v>26</v>
      </c>
      <c r="AC2643">
        <v>-45.004199999999898</v>
      </c>
      <c r="AD2643">
        <v>-1.110030861704</v>
      </c>
      <c r="AE2643">
        <v>-4.0438999999999998</v>
      </c>
      <c r="AF2643">
        <v>-4.1229989202048101</v>
      </c>
      <c r="AG2643">
        <v>-1.110030861704</v>
      </c>
      <c r="AH2643">
        <v>44.969655510623397</v>
      </c>
      <c r="AI2643">
        <v>91.408098306789597</v>
      </c>
      <c r="AJ2643">
        <v>95.2384622108858</v>
      </c>
      <c r="AK2643">
        <v>45.171907258318001</v>
      </c>
      <c r="AL2643">
        <v>87.819076347940694</v>
      </c>
      <c r="AM2643">
        <v>89.587374744774905</v>
      </c>
      <c r="AN2643">
        <v>1.0000000711202801</v>
      </c>
    </row>
    <row r="2644" spans="1:40" x14ac:dyDescent="0.25">
      <c r="A2644" t="str">
        <f>"20190312160345626"</f>
        <v>20190312160345626</v>
      </c>
      <c r="B2644" t="str">
        <f>"1552377825616974"</f>
        <v>1552377825616974</v>
      </c>
      <c r="C2644" t="s">
        <v>40</v>
      </c>
      <c r="D2644">
        <v>4.8557620000000004</v>
      </c>
      <c r="E2644">
        <v>0.46363599999999999</v>
      </c>
      <c r="F2644" t="s">
        <v>59</v>
      </c>
      <c r="G2644">
        <v>-485.19540000000001</v>
      </c>
      <c r="H2644" s="1">
        <v>2.8524949999999999E-6</v>
      </c>
      <c r="I2644">
        <v>281.4726</v>
      </c>
      <c r="J2644">
        <v>-442.1379</v>
      </c>
      <c r="K2644">
        <v>1.110033</v>
      </c>
      <c r="L2644">
        <v>285.35700000000003</v>
      </c>
      <c r="M2644">
        <v>-0.99992239999999999</v>
      </c>
      <c r="N2644">
        <v>0</v>
      </c>
      <c r="O2644">
        <v>1.8570500000000001E-3</v>
      </c>
      <c r="P2644">
        <v>-0.99961350000000004</v>
      </c>
      <c r="Q2644">
        <v>2.6281740000000001E-2</v>
      </c>
      <c r="R2644">
        <v>9.0880389999999991E-3</v>
      </c>
      <c r="S2644">
        <v>-3.0055540000000001</v>
      </c>
      <c r="T2644">
        <v>-7.7024700000000001E-2</v>
      </c>
      <c r="U2644">
        <v>-0.26950069999999998</v>
      </c>
      <c r="V2644">
        <v>7.2362260000000001E-3</v>
      </c>
      <c r="W2644">
        <v>3.8607370000000002E-2</v>
      </c>
      <c r="X2644">
        <v>0.99922820000000001</v>
      </c>
      <c r="Y2644">
        <v>-9.1128580000000001E-2</v>
      </c>
      <c r="Z2644">
        <v>-1.212662E-3</v>
      </c>
      <c r="AA2644">
        <v>0.99583840000000001</v>
      </c>
      <c r="AB2644">
        <v>26</v>
      </c>
      <c r="AC2644">
        <v>-43.057499999999997</v>
      </c>
      <c r="AD2644">
        <v>-1.1100301475049901</v>
      </c>
      <c r="AE2644">
        <v>-3.8844000000000198</v>
      </c>
      <c r="AF2644">
        <v>-3.9617475075667401</v>
      </c>
      <c r="AG2644">
        <v>-1.1100301475049901</v>
      </c>
      <c r="AH2644">
        <v>43.021849416616597</v>
      </c>
      <c r="AI2644">
        <v>91.471767309828607</v>
      </c>
      <c r="AJ2644">
        <v>95.261350482755105</v>
      </c>
      <c r="AK2644">
        <v>43.218134358948397</v>
      </c>
      <c r="AL2644">
        <v>87.787410629504805</v>
      </c>
      <c r="AM2644">
        <v>89.585081804341996</v>
      </c>
      <c r="AN2644">
        <v>0.99999994383013802</v>
      </c>
    </row>
    <row r="2645" spans="1:40" x14ac:dyDescent="0.25">
      <c r="A2645" t="str">
        <f>"20190312160345650"</f>
        <v>20190312160345650</v>
      </c>
      <c r="B2645" t="str">
        <f>"1552377825637470"</f>
        <v>1552377825637470</v>
      </c>
      <c r="C2645" t="s">
        <v>40</v>
      </c>
      <c r="D2645">
        <v>4.8323739999999997</v>
      </c>
      <c r="E2645">
        <v>0.4639682</v>
      </c>
      <c r="F2645" t="s">
        <v>59</v>
      </c>
      <c r="G2645">
        <v>-485.24849999999998</v>
      </c>
      <c r="H2645" s="1">
        <v>2.862956E-6</v>
      </c>
      <c r="I2645">
        <v>281.48450000000003</v>
      </c>
      <c r="J2645">
        <v>-442.40499999999997</v>
      </c>
      <c r="K2645">
        <v>1.1100239999999999</v>
      </c>
      <c r="L2645">
        <v>285.35750000000002</v>
      </c>
      <c r="M2645">
        <v>-0.99992230000000004</v>
      </c>
      <c r="N2645">
        <v>0</v>
      </c>
      <c r="O2645">
        <v>1.9026480000000001E-3</v>
      </c>
      <c r="P2645">
        <v>-0.99959900000000002</v>
      </c>
      <c r="Q2645">
        <v>2.693767E-2</v>
      </c>
      <c r="R2645">
        <v>8.7387230000000003E-3</v>
      </c>
      <c r="S2645">
        <v>-3.0056759999999998</v>
      </c>
      <c r="T2645">
        <v>-7.7391390000000004E-2</v>
      </c>
      <c r="U2645">
        <v>-0.26998899999999998</v>
      </c>
      <c r="V2645">
        <v>6.8413190000000002E-3</v>
      </c>
      <c r="W2645">
        <v>3.926251E-2</v>
      </c>
      <c r="X2645">
        <v>0.99920549999999997</v>
      </c>
      <c r="Y2645">
        <v>-9.1330529999999993E-2</v>
      </c>
      <c r="Z2645">
        <v>-1.2221409999999999E-3</v>
      </c>
      <c r="AA2645">
        <v>0.99581989999999998</v>
      </c>
      <c r="AB2645">
        <v>26</v>
      </c>
      <c r="AC2645">
        <v>-42.843499999999999</v>
      </c>
      <c r="AD2645">
        <v>-1.1100211370440001</v>
      </c>
      <c r="AE2645">
        <v>-3.87299999999999</v>
      </c>
      <c r="AF2645">
        <v>-3.9518840244483502</v>
      </c>
      <c r="AG2645">
        <v>-1.1100211370440001</v>
      </c>
      <c r="AH2645">
        <v>42.807550724675401</v>
      </c>
      <c r="AI2645">
        <v>91.479088684576496</v>
      </c>
      <c r="AJ2645">
        <v>95.274450441754993</v>
      </c>
      <c r="AK2645">
        <v>43.003906023907</v>
      </c>
      <c r="AL2645">
        <v>87.749845489252905</v>
      </c>
      <c r="AM2645">
        <v>89.607715750061502</v>
      </c>
      <c r="AN2645">
        <v>0.99999998978370397</v>
      </c>
    </row>
    <row r="2646" spans="1:40" x14ac:dyDescent="0.25">
      <c r="A2646" t="str">
        <f>"20190312160345671"</f>
        <v>20190312160345671</v>
      </c>
      <c r="B2646" t="str">
        <f>"1552377825666750"</f>
        <v>1552377825666750</v>
      </c>
      <c r="C2646" t="s">
        <v>40</v>
      </c>
      <c r="D2646">
        <v>4.7904350000000004</v>
      </c>
      <c r="E2646">
        <v>0.46401350000000002</v>
      </c>
      <c r="F2646" t="s">
        <v>59</v>
      </c>
      <c r="G2646">
        <v>-482.416</v>
      </c>
      <c r="H2646" s="1">
        <v>2.3862609999999999E-6</v>
      </c>
      <c r="I2646">
        <v>281.779</v>
      </c>
      <c r="J2646">
        <v>-442.66489999999999</v>
      </c>
      <c r="K2646">
        <v>1.1100289999999999</v>
      </c>
      <c r="L2646">
        <v>285.35809999999998</v>
      </c>
      <c r="M2646">
        <v>-0.99992219999999998</v>
      </c>
      <c r="N2646">
        <v>0</v>
      </c>
      <c r="O2646">
        <v>1.946281E-3</v>
      </c>
      <c r="P2646">
        <v>-0.99960490000000002</v>
      </c>
      <c r="Q2646">
        <v>2.6783129999999999E-2</v>
      </c>
      <c r="R2646">
        <v>8.5373910000000001E-3</v>
      </c>
      <c r="S2646">
        <v>-3.005798</v>
      </c>
      <c r="T2646">
        <v>-8.3389640000000001E-2</v>
      </c>
      <c r="U2646">
        <v>-0.26882929999999999</v>
      </c>
      <c r="V2646">
        <v>6.596279E-3</v>
      </c>
      <c r="W2646">
        <v>3.9108150000000001E-2</v>
      </c>
      <c r="X2646">
        <v>0.99921320000000002</v>
      </c>
      <c r="Y2646">
        <v>-9.0984389999999998E-2</v>
      </c>
      <c r="Z2646">
        <v>-1.313215E-3</v>
      </c>
      <c r="AA2646">
        <v>0.9958515</v>
      </c>
      <c r="AB2646">
        <v>26</v>
      </c>
      <c r="AC2646">
        <v>-39.751100000000001</v>
      </c>
      <c r="AD2646">
        <v>-1.110026613739</v>
      </c>
      <c r="AE2646">
        <v>-3.57909999999998</v>
      </c>
      <c r="AF2646">
        <v>-3.6536398029046699</v>
      </c>
      <c r="AG2646">
        <v>-1.110026613739</v>
      </c>
      <c r="AH2646">
        <v>39.713339853681802</v>
      </c>
      <c r="AI2646">
        <v>91.594326583902799</v>
      </c>
      <c r="AJ2646">
        <v>95.256432876283597</v>
      </c>
      <c r="AK2646">
        <v>39.896498658737102</v>
      </c>
      <c r="AL2646">
        <v>87.758696461290995</v>
      </c>
      <c r="AM2646">
        <v>89.621768950599304</v>
      </c>
      <c r="AN2646">
        <v>0.99999998867365403</v>
      </c>
    </row>
    <row r="2647" spans="1:40" x14ac:dyDescent="0.25">
      <c r="A2647" t="str">
        <f>"20190312160345694"</f>
        <v>20190312160345694</v>
      </c>
      <c r="B2647" t="str">
        <f>"1552377825687246"</f>
        <v>1552377825687246</v>
      </c>
      <c r="C2647" t="s">
        <v>40</v>
      </c>
      <c r="D2647">
        <v>4.8699539999999999</v>
      </c>
      <c r="E2647">
        <v>0.46399230000000002</v>
      </c>
      <c r="F2647" t="s">
        <v>59</v>
      </c>
      <c r="G2647">
        <v>-481.178</v>
      </c>
      <c r="H2647" s="1">
        <v>2.1785340000000001E-6</v>
      </c>
      <c r="I2647">
        <v>281.91480000000001</v>
      </c>
      <c r="J2647">
        <v>-442.93130000000002</v>
      </c>
      <c r="K2647">
        <v>1.1100300000000001</v>
      </c>
      <c r="L2647">
        <v>285.35860000000002</v>
      </c>
      <c r="M2647">
        <v>-0.99992199999999998</v>
      </c>
      <c r="N2647">
        <v>0</v>
      </c>
      <c r="O2647">
        <v>1.9914590000000001E-3</v>
      </c>
      <c r="P2647">
        <v>-0.99961659999999997</v>
      </c>
      <c r="Q2647">
        <v>2.6329439999999999E-2</v>
      </c>
      <c r="R2647">
        <v>8.5824760000000003E-3</v>
      </c>
      <c r="S2647">
        <v>-3.0058289999999999</v>
      </c>
      <c r="T2647">
        <v>-8.6634160000000002E-2</v>
      </c>
      <c r="U2647">
        <v>-0.26873780000000003</v>
      </c>
      <c r="V2647">
        <v>6.5962669999999899E-3</v>
      </c>
      <c r="W2647">
        <v>3.8654059999999997E-2</v>
      </c>
      <c r="X2647">
        <v>0.99923090000000003</v>
      </c>
      <c r="Y2647">
        <v>-9.0995569999999998E-2</v>
      </c>
      <c r="Z2647">
        <v>-1.3657369999999999E-3</v>
      </c>
      <c r="AA2647">
        <v>0.99585040000000002</v>
      </c>
      <c r="AB2647">
        <v>26</v>
      </c>
      <c r="AC2647">
        <v>-38.246699999999997</v>
      </c>
      <c r="AD2647">
        <v>-1.11002782146599</v>
      </c>
      <c r="AE2647">
        <v>-3.4438</v>
      </c>
      <c r="AF2647">
        <v>-3.51702704011538</v>
      </c>
      <c r="AG2647">
        <v>-1.11002782146599</v>
      </c>
      <c r="AH2647">
        <v>38.207840841438603</v>
      </c>
      <c r="AI2647">
        <v>91.657107593122703</v>
      </c>
      <c r="AJ2647">
        <v>95.259248670692401</v>
      </c>
      <c r="AK2647">
        <v>38.3854235710645</v>
      </c>
      <c r="AL2647">
        <v>87.784733658350603</v>
      </c>
      <c r="AM2647">
        <v>89.621776338295703</v>
      </c>
      <c r="AN2647">
        <v>1.0000000193038101</v>
      </c>
    </row>
    <row r="2648" spans="1:40" x14ac:dyDescent="0.25">
      <c r="A2648" t="str">
        <f>"20190312160345716"</f>
        <v>20190312160345716</v>
      </c>
      <c r="B2648" t="str">
        <f>"1552377825706766"</f>
        <v>1552377825706766</v>
      </c>
      <c r="C2648" t="s">
        <v>40</v>
      </c>
      <c r="D2648">
        <v>5.0124440000000003</v>
      </c>
      <c r="E2648">
        <v>0.46395930000000002</v>
      </c>
      <c r="F2648" t="s">
        <v>59</v>
      </c>
      <c r="G2648">
        <v>-481.1096</v>
      </c>
      <c r="H2648" s="1">
        <v>2.1687289999999998E-6</v>
      </c>
      <c r="I2648">
        <v>281.94130000000001</v>
      </c>
      <c r="J2648">
        <v>-443.18869999999998</v>
      </c>
      <c r="K2648">
        <v>1.110028</v>
      </c>
      <c r="L2648">
        <v>285.35919999999999</v>
      </c>
      <c r="M2648">
        <v>-0.99992199999999998</v>
      </c>
      <c r="N2648">
        <v>0</v>
      </c>
      <c r="O2648">
        <v>2.0343750000000002E-3</v>
      </c>
      <c r="P2648">
        <v>-0.99961299999999997</v>
      </c>
      <c r="Q2648">
        <v>2.6409599999999998E-2</v>
      </c>
      <c r="R2648">
        <v>8.7630999999999994E-3</v>
      </c>
      <c r="S2648">
        <v>-3.0057680000000002</v>
      </c>
      <c r="T2648">
        <v>-8.7392090000000006E-2</v>
      </c>
      <c r="U2648">
        <v>-0.26904299999999998</v>
      </c>
      <c r="V2648">
        <v>6.7340530000000003E-3</v>
      </c>
      <c r="W2648">
        <v>3.8734110000000002E-2</v>
      </c>
      <c r="X2648">
        <v>0.99922690000000003</v>
      </c>
      <c r="Y2648">
        <v>-9.1139670000000006E-2</v>
      </c>
      <c r="Z2648">
        <v>-1.3810370000000001E-3</v>
      </c>
      <c r="AA2648">
        <v>0.99583719999999998</v>
      </c>
      <c r="AB2648">
        <v>26</v>
      </c>
      <c r="AC2648">
        <v>-37.920900000000003</v>
      </c>
      <c r="AD2648">
        <v>-1.1100258312710001</v>
      </c>
      <c r="AE2648">
        <v>-3.4178999999999702</v>
      </c>
      <c r="AF2648">
        <v>-3.49207601400561</v>
      </c>
      <c r="AG2648">
        <v>-1.1100258312710001</v>
      </c>
      <c r="AH2648">
        <v>37.881670051777</v>
      </c>
      <c r="AI2648">
        <v>91.671344224067795</v>
      </c>
      <c r="AJ2648">
        <v>95.266856922027202</v>
      </c>
      <c r="AK2648">
        <v>38.058477086522799</v>
      </c>
      <c r="AL2648">
        <v>87.780143735881694</v>
      </c>
      <c r="AM2648">
        <v>89.613874511517096</v>
      </c>
      <c r="AN2648">
        <v>1.0000000382154499</v>
      </c>
    </row>
    <row r="2649" spans="1:40" x14ac:dyDescent="0.25">
      <c r="A2649" t="str">
        <f>"20190312160345735"</f>
        <v>20190312160345735</v>
      </c>
      <c r="B2649" t="str">
        <f>"1552377825727264"</f>
        <v>1552377825727264</v>
      </c>
      <c r="C2649" t="s">
        <v>40</v>
      </c>
      <c r="D2649">
        <v>4.8917270000000004</v>
      </c>
      <c r="E2649">
        <v>0.46392460000000002</v>
      </c>
      <c r="F2649" t="s">
        <v>59</v>
      </c>
      <c r="G2649">
        <v>-482.13589999999999</v>
      </c>
      <c r="H2649" s="1">
        <v>2.3452579999999999E-6</v>
      </c>
      <c r="I2649">
        <v>281.87819999999999</v>
      </c>
      <c r="J2649">
        <v>-443.41070000000002</v>
      </c>
      <c r="K2649">
        <v>1.110028</v>
      </c>
      <c r="L2649">
        <v>285.35969999999998</v>
      </c>
      <c r="M2649">
        <v>-0.99992190000000003</v>
      </c>
      <c r="N2649">
        <v>0</v>
      </c>
      <c r="O2649">
        <v>2.0715690000000001E-3</v>
      </c>
      <c r="P2649">
        <v>-0.99961009999999995</v>
      </c>
      <c r="Q2649">
        <v>2.6506519999999999E-2</v>
      </c>
      <c r="R2649">
        <v>8.7973140000000005E-3</v>
      </c>
      <c r="S2649">
        <v>-3.0057680000000002</v>
      </c>
      <c r="T2649">
        <v>-8.5666660000000006E-2</v>
      </c>
      <c r="U2649">
        <v>-0.2686462</v>
      </c>
      <c r="V2649">
        <v>6.7310410000000001E-3</v>
      </c>
      <c r="W2649">
        <v>3.8830839999999998E-2</v>
      </c>
      <c r="X2649">
        <v>0.99922310000000003</v>
      </c>
      <c r="Y2649">
        <v>-9.104785E-2</v>
      </c>
      <c r="Z2649">
        <v>-1.3535419999999999E-3</v>
      </c>
      <c r="AA2649">
        <v>0.9958456</v>
      </c>
      <c r="AB2649">
        <v>26</v>
      </c>
      <c r="AC2649">
        <v>-38.725199999999901</v>
      </c>
      <c r="AD2649">
        <v>-1.110025654742</v>
      </c>
      <c r="AE2649">
        <v>-3.4814999999999801</v>
      </c>
      <c r="AF2649">
        <v>-3.5588199407988501</v>
      </c>
      <c r="AG2649">
        <v>-1.110025654742</v>
      </c>
      <c r="AH2649">
        <v>38.686372969523603</v>
      </c>
      <c r="AI2649">
        <v>91.636626684732207</v>
      </c>
      <c r="AJ2649">
        <v>95.255935629806999</v>
      </c>
      <c r="AK2649">
        <v>38.865573582057202</v>
      </c>
      <c r="AL2649">
        <v>87.774597195921004</v>
      </c>
      <c r="AM2649">
        <v>89.614045744369193</v>
      </c>
      <c r="AN2649">
        <v>0.99999997231082904</v>
      </c>
    </row>
    <row r="2650" spans="1:40" x14ac:dyDescent="0.25">
      <c r="A2650" t="str">
        <f>"20190312160345749"</f>
        <v>20190312160345749</v>
      </c>
      <c r="B2650" t="str">
        <f>"1552377825737022"</f>
        <v>1552377825737022</v>
      </c>
      <c r="C2650" t="s">
        <v>40</v>
      </c>
      <c r="D2650">
        <v>4.8949550000000004</v>
      </c>
      <c r="E2650">
        <v>0.46392620000000001</v>
      </c>
      <c r="F2650" t="s">
        <v>59</v>
      </c>
      <c r="G2650">
        <v>-483.53859999999997</v>
      </c>
      <c r="H2650" s="1">
        <v>2.5847060000000002E-6</v>
      </c>
      <c r="I2650">
        <v>281.77109999999999</v>
      </c>
      <c r="J2650">
        <v>-443.58139999999997</v>
      </c>
      <c r="K2650">
        <v>1.110031</v>
      </c>
      <c r="L2650">
        <v>285.36009999999999</v>
      </c>
      <c r="M2650">
        <v>-0.99992179999999997</v>
      </c>
      <c r="N2650">
        <v>0</v>
      </c>
      <c r="O2650">
        <v>2.1007130000000001E-3</v>
      </c>
      <c r="P2650">
        <v>-0.99959569999999998</v>
      </c>
      <c r="Q2650">
        <v>2.6980440000000001E-2</v>
      </c>
      <c r="R2650">
        <v>8.9785760000000003E-3</v>
      </c>
      <c r="S2650">
        <v>-3.0057070000000001</v>
      </c>
      <c r="T2650">
        <v>-8.3144430000000005E-2</v>
      </c>
      <c r="U2650">
        <v>-0.2687988</v>
      </c>
      <c r="V2650">
        <v>6.8831889999999996E-3</v>
      </c>
      <c r="W2650">
        <v>3.9303970000000001E-2</v>
      </c>
      <c r="X2650">
        <v>0.99920359999999997</v>
      </c>
      <c r="Y2650">
        <v>-9.1130950000000002E-2</v>
      </c>
      <c r="Z2650">
        <v>-1.315681E-3</v>
      </c>
      <c r="AA2650">
        <v>0.995838</v>
      </c>
      <c r="AB2650">
        <v>26</v>
      </c>
      <c r="AC2650">
        <v>-39.9572</v>
      </c>
      <c r="AD2650">
        <v>-1.1100284152940001</v>
      </c>
      <c r="AE2650">
        <v>-3.5889999999999902</v>
      </c>
      <c r="AF2650">
        <v>-3.6701273068257398</v>
      </c>
      <c r="AG2650">
        <v>-1.1100284152940001</v>
      </c>
      <c r="AH2650">
        <v>39.919010750316303</v>
      </c>
      <c r="AI2650">
        <v>91.586127883962604</v>
      </c>
      <c r="AJ2650">
        <v>95.252968253098004</v>
      </c>
      <c r="AK2650">
        <v>40.102735777187803</v>
      </c>
      <c r="AL2650">
        <v>87.747468210673205</v>
      </c>
      <c r="AM2650">
        <v>89.605314231030803</v>
      </c>
      <c r="AN2650">
        <v>1.00000000730076</v>
      </c>
    </row>
    <row r="2651" spans="1:40" x14ac:dyDescent="0.25">
      <c r="A2651" t="str">
        <f>"20190312160345765"</f>
        <v>20190312160345765</v>
      </c>
      <c r="B2651" t="str">
        <f>"1552377825757519"</f>
        <v>1552377825757519</v>
      </c>
      <c r="C2651" t="s">
        <v>40</v>
      </c>
      <c r="D2651">
        <v>4.9464240000000004</v>
      </c>
      <c r="E2651">
        <v>0.46387149999999999</v>
      </c>
      <c r="F2651" t="s">
        <v>59</v>
      </c>
      <c r="G2651">
        <v>-484.71960000000001</v>
      </c>
      <c r="H2651" s="1">
        <v>2.7871110000000001E-6</v>
      </c>
      <c r="I2651">
        <v>281.69</v>
      </c>
      <c r="J2651">
        <v>-443.76870000000002</v>
      </c>
      <c r="K2651">
        <v>1.1100300000000001</v>
      </c>
      <c r="L2651">
        <v>285.3605</v>
      </c>
      <c r="M2651">
        <v>-0.99992179999999997</v>
      </c>
      <c r="N2651">
        <v>0</v>
      </c>
      <c r="O2651">
        <v>2.1320649999999998E-3</v>
      </c>
      <c r="P2651">
        <v>-0.99960230000000005</v>
      </c>
      <c r="Q2651">
        <v>2.6751919999999998E-2</v>
      </c>
      <c r="R2651">
        <v>8.9342329999999998E-3</v>
      </c>
      <c r="S2651">
        <v>-3.005798</v>
      </c>
      <c r="T2651">
        <v>-8.1105109999999994E-2</v>
      </c>
      <c r="U2651">
        <v>-0.26815800000000001</v>
      </c>
      <c r="V2651">
        <v>6.8076219999999897E-3</v>
      </c>
      <c r="W2651">
        <v>3.9075739999999998E-2</v>
      </c>
      <c r="X2651">
        <v>0.99921300000000002</v>
      </c>
      <c r="Y2651">
        <v>-9.0950610000000001E-2</v>
      </c>
      <c r="Z2651">
        <v>-1.281812E-3</v>
      </c>
      <c r="AA2651">
        <v>0.99585460000000003</v>
      </c>
      <c r="AB2651">
        <v>26</v>
      </c>
      <c r="AC2651">
        <v>-40.950899999999898</v>
      </c>
      <c r="AD2651">
        <v>-1.1100272128890001</v>
      </c>
      <c r="AE2651">
        <v>-3.6705000000000001</v>
      </c>
      <c r="AF2651">
        <v>-3.75507121222478</v>
      </c>
      <c r="AG2651">
        <v>-1.1100272128890001</v>
      </c>
      <c r="AH2651">
        <v>40.913159156395999</v>
      </c>
      <c r="AI2651">
        <v>91.547626120508895</v>
      </c>
      <c r="AJ2651">
        <v>95.244000771006299</v>
      </c>
      <c r="AK2651">
        <v>41.100113289124003</v>
      </c>
      <c r="AL2651">
        <v>87.760554725105706</v>
      </c>
      <c r="AM2651">
        <v>89.609650820827596</v>
      </c>
      <c r="AN2651">
        <v>0.99999993827141898</v>
      </c>
    </row>
    <row r="2652" spans="1:40" x14ac:dyDescent="0.25">
      <c r="A2652" t="str">
        <f>"20190312160345782"</f>
        <v>20190312160345782</v>
      </c>
      <c r="B2652" t="str">
        <f>"1552377825777038"</f>
        <v>1552377825777038</v>
      </c>
      <c r="C2652" t="s">
        <v>40</v>
      </c>
      <c r="D2652">
        <v>4.8972660000000001</v>
      </c>
      <c r="E2652">
        <v>0.46393319999999999</v>
      </c>
      <c r="F2652" t="s">
        <v>59</v>
      </c>
      <c r="G2652">
        <v>-485.4135</v>
      </c>
      <c r="H2652" s="1">
        <v>2.9057200000000001E-6</v>
      </c>
      <c r="I2652">
        <v>281.6388</v>
      </c>
      <c r="J2652">
        <v>-443.97750000000002</v>
      </c>
      <c r="K2652">
        <v>1.110028</v>
      </c>
      <c r="L2652">
        <v>285.36099999999999</v>
      </c>
      <c r="M2652">
        <v>-0.99992170000000002</v>
      </c>
      <c r="N2652">
        <v>0</v>
      </c>
      <c r="O2652">
        <v>2.1672309999999999E-3</v>
      </c>
      <c r="P2652">
        <v>-0.99960919999999998</v>
      </c>
      <c r="Q2652">
        <v>2.6507050000000001E-2</v>
      </c>
      <c r="R2652">
        <v>8.87929199999999E-3</v>
      </c>
      <c r="S2652">
        <v>-3.0057070000000001</v>
      </c>
      <c r="T2652">
        <v>-8.0116030000000005E-2</v>
      </c>
      <c r="U2652">
        <v>-0.26861570000000001</v>
      </c>
      <c r="V2652">
        <v>6.7172489999999998E-3</v>
      </c>
      <c r="W2652">
        <v>3.883035E-2</v>
      </c>
      <c r="X2652">
        <v>0.99922319999999998</v>
      </c>
      <c r="Y2652">
        <v>-9.1139529999999996E-2</v>
      </c>
      <c r="Z2652">
        <v>-1.269664E-3</v>
      </c>
      <c r="AA2652">
        <v>0.99583730000000004</v>
      </c>
      <c r="AB2652">
        <v>26</v>
      </c>
      <c r="AC2652">
        <v>-41.4359999999999</v>
      </c>
      <c r="AD2652">
        <v>-1.1100250942799901</v>
      </c>
      <c r="AE2652">
        <v>-3.72219999999998</v>
      </c>
      <c r="AF2652">
        <v>-3.8092876270671101</v>
      </c>
      <c r="AG2652">
        <v>-1.1100250942799901</v>
      </c>
      <c r="AH2652">
        <v>41.398363665932102</v>
      </c>
      <c r="AI2652">
        <v>91.529460517973504</v>
      </c>
      <c r="AJ2652">
        <v>95.257290761117901</v>
      </c>
      <c r="AK2652">
        <v>41.588067304846298</v>
      </c>
      <c r="AL2652">
        <v>87.774625265672896</v>
      </c>
      <c r="AM2652">
        <v>89.614836584896196</v>
      </c>
      <c r="AN2652">
        <v>0.999999960466744</v>
      </c>
    </row>
    <row r="2653" spans="1:40" x14ac:dyDescent="0.25">
      <c r="A2653" t="str">
        <f>"20190312160345798"</f>
        <v>20190312160345798</v>
      </c>
      <c r="B2653" t="str">
        <f>"1552377825786799"</f>
        <v>1552377825786799</v>
      </c>
      <c r="C2653" t="s">
        <v>40</v>
      </c>
      <c r="D2653">
        <v>4.8819210000000002</v>
      </c>
      <c r="E2653">
        <v>0.46396029999999999</v>
      </c>
      <c r="F2653" t="s">
        <v>59</v>
      </c>
      <c r="G2653">
        <v>-484.05290000000002</v>
      </c>
      <c r="H2653" s="1">
        <v>2.6769179999999998E-6</v>
      </c>
      <c r="I2653">
        <v>281.78250000000003</v>
      </c>
      <c r="J2653">
        <v>-444.1508</v>
      </c>
      <c r="K2653">
        <v>1.110028</v>
      </c>
      <c r="L2653">
        <v>285.3614</v>
      </c>
      <c r="M2653">
        <v>-0.99992170000000002</v>
      </c>
      <c r="N2653">
        <v>0</v>
      </c>
      <c r="O2653">
        <v>2.196918E-3</v>
      </c>
      <c r="P2653">
        <v>-0.99961339999999999</v>
      </c>
      <c r="Q2653">
        <v>2.6325339999999999E-2</v>
      </c>
      <c r="R2653">
        <v>8.9796010000000002E-3</v>
      </c>
      <c r="S2653">
        <v>-3.0057680000000002</v>
      </c>
      <c r="T2653">
        <v>-8.3255049999999997E-2</v>
      </c>
      <c r="U2653">
        <v>-0.26840209999999998</v>
      </c>
      <c r="V2653">
        <v>6.7880409999999999E-3</v>
      </c>
      <c r="W2653">
        <v>3.8648809999999999E-2</v>
      </c>
      <c r="X2653">
        <v>0.99922979999999995</v>
      </c>
      <c r="Y2653">
        <v>-9.1094460000000002E-2</v>
      </c>
      <c r="Z2653">
        <v>-1.319567E-3</v>
      </c>
      <c r="AA2653">
        <v>0.99584139999999999</v>
      </c>
      <c r="AB2653">
        <v>26</v>
      </c>
      <c r="AC2653">
        <v>-39.902099999999997</v>
      </c>
      <c r="AD2653">
        <v>-1.1100253230820001</v>
      </c>
      <c r="AE2653">
        <v>-3.5788999999999702</v>
      </c>
      <c r="AF2653">
        <v>-3.6637469788772101</v>
      </c>
      <c r="AG2653">
        <v>-1.1100253230820001</v>
      </c>
      <c r="AH2653">
        <v>39.863537100404002</v>
      </c>
      <c r="AI2653">
        <v>91.588334216361801</v>
      </c>
      <c r="AJ2653">
        <v>95.251143759686002</v>
      </c>
      <c r="AK2653">
        <v>40.046932320695902</v>
      </c>
      <c r="AL2653">
        <v>87.785034644705604</v>
      </c>
      <c r="AM2653">
        <v>89.610780105002604</v>
      </c>
      <c r="AN2653">
        <v>1.0000000006115299</v>
      </c>
    </row>
    <row r="2654" spans="1:40" x14ac:dyDescent="0.25">
      <c r="A2654" t="str">
        <f>"20190312160345811"</f>
        <v>20190312160345811</v>
      </c>
      <c r="B2654" t="str">
        <f>"1552377825797535"</f>
        <v>1552377825797535</v>
      </c>
      <c r="C2654" t="s">
        <v>40</v>
      </c>
      <c r="D2654">
        <v>4.9743559999999896</v>
      </c>
      <c r="E2654">
        <v>0.46395449999999999</v>
      </c>
      <c r="F2654" t="s">
        <v>59</v>
      </c>
      <c r="G2654">
        <v>-482.7706</v>
      </c>
      <c r="H2654" s="1">
        <v>2.4613430000000002E-6</v>
      </c>
      <c r="I2654">
        <v>281.91840000000002</v>
      </c>
      <c r="J2654">
        <v>-444.3032</v>
      </c>
      <c r="K2654">
        <v>1.1100239999999999</v>
      </c>
      <c r="L2654">
        <v>285.36180000000002</v>
      </c>
      <c r="M2654">
        <v>-0.99992150000000002</v>
      </c>
      <c r="N2654">
        <v>0</v>
      </c>
      <c r="O2654">
        <v>2.223507E-3</v>
      </c>
      <c r="P2654">
        <v>-0.99962200000000001</v>
      </c>
      <c r="Q2654">
        <v>2.590868E-2</v>
      </c>
      <c r="R2654">
        <v>9.201964E-3</v>
      </c>
      <c r="S2654">
        <v>-3.0058289999999999</v>
      </c>
      <c r="T2654">
        <v>-8.6394910000000005E-2</v>
      </c>
      <c r="U2654">
        <v>-0.26797490000000002</v>
      </c>
      <c r="V2654">
        <v>6.983754E-3</v>
      </c>
      <c r="W2654">
        <v>3.8231899999999999E-2</v>
      </c>
      <c r="X2654">
        <v>0.99924449999999998</v>
      </c>
      <c r="Y2654">
        <v>-9.0976039999999994E-2</v>
      </c>
      <c r="Z2654">
        <v>-1.3683580000000001E-3</v>
      </c>
      <c r="AA2654">
        <v>0.99585210000000002</v>
      </c>
      <c r="AB2654">
        <v>26</v>
      </c>
      <c r="AC2654">
        <v>-38.467399999999998</v>
      </c>
      <c r="AD2654">
        <v>-1.11002153865699</v>
      </c>
      <c r="AE2654">
        <v>-3.4433999999999898</v>
      </c>
      <c r="AF2654">
        <v>-3.5260178244592701</v>
      </c>
      <c r="AG2654">
        <v>-1.11002153865699</v>
      </c>
      <c r="AH2654">
        <v>38.427904172745002</v>
      </c>
      <c r="AI2654">
        <v>91.647657832763102</v>
      </c>
      <c r="AJ2654">
        <v>95.242591791425198</v>
      </c>
      <c r="AK2654">
        <v>38.605294567252798</v>
      </c>
      <c r="AL2654">
        <v>87.808939518992702</v>
      </c>
      <c r="AM2654">
        <v>89.599564356476094</v>
      </c>
      <c r="AN2654">
        <v>1.00000001088889</v>
      </c>
    </row>
    <row r="2655" spans="1:40" x14ac:dyDescent="0.25">
      <c r="A2655" t="str">
        <f>"20190312160345827"</f>
        <v>20190312160345827</v>
      </c>
      <c r="B2655" t="str">
        <f>"1552377825817054"</f>
        <v>1552377825817054</v>
      </c>
      <c r="C2655" t="s">
        <v>40</v>
      </c>
      <c r="D2655">
        <v>4.9414819999999997</v>
      </c>
      <c r="E2655">
        <v>0.46370640000000002</v>
      </c>
      <c r="F2655" t="s">
        <v>59</v>
      </c>
      <c r="G2655">
        <v>-482.25970000000001</v>
      </c>
      <c r="H2655" s="1">
        <v>2.3765340000000001E-6</v>
      </c>
      <c r="I2655">
        <v>281.98489999999998</v>
      </c>
      <c r="J2655">
        <v>-444.4984</v>
      </c>
      <c r="K2655">
        <v>1.11002</v>
      </c>
      <c r="L2655">
        <v>285.3623</v>
      </c>
      <c r="M2655">
        <v>-0.99992139999999996</v>
      </c>
      <c r="N2655">
        <v>0</v>
      </c>
      <c r="O2655">
        <v>2.258028E-3</v>
      </c>
      <c r="P2655">
        <v>-0.99961670000000002</v>
      </c>
      <c r="Q2655">
        <v>2.6034809999999999E-2</v>
      </c>
      <c r="R2655">
        <v>9.4208680000000006E-3</v>
      </c>
      <c r="S2655">
        <v>-3.00589</v>
      </c>
      <c r="T2655">
        <v>-8.7905999999999998E-2</v>
      </c>
      <c r="U2655">
        <v>-0.26742549999999998</v>
      </c>
      <c r="V2655">
        <v>7.1682350000000002E-3</v>
      </c>
      <c r="W2655">
        <v>3.835769E-2</v>
      </c>
      <c r="X2655">
        <v>0.99923839999999997</v>
      </c>
      <c r="Y2655">
        <v>-9.0826760000000006E-2</v>
      </c>
      <c r="Z2655">
        <v>-1.3910939999999901E-3</v>
      </c>
      <c r="AA2655">
        <v>0.99586580000000002</v>
      </c>
      <c r="AB2655">
        <v>26</v>
      </c>
      <c r="AC2655">
        <v>-37.761299999999999</v>
      </c>
      <c r="AD2655">
        <v>-1.110017623466</v>
      </c>
      <c r="AE2655">
        <v>-3.3774000000000202</v>
      </c>
      <c r="AF2655">
        <v>-3.45969813370511</v>
      </c>
      <c r="AG2655">
        <v>-1.110017623466</v>
      </c>
      <c r="AH2655">
        <v>37.721240490551601</v>
      </c>
      <c r="AI2655">
        <v>91.678507360489505</v>
      </c>
      <c r="AJ2655">
        <v>95.240364709604606</v>
      </c>
      <c r="AK2655">
        <v>37.895826082126803</v>
      </c>
      <c r="AL2655">
        <v>87.801727052104994</v>
      </c>
      <c r="AM2655">
        <v>89.588984403552104</v>
      </c>
      <c r="AN2655">
        <v>1.0000000380048499</v>
      </c>
    </row>
    <row r="2656" spans="1:40" x14ac:dyDescent="0.25">
      <c r="A2656" t="str">
        <f>"20190312160345841"</f>
        <v>20190312160345841</v>
      </c>
      <c r="B2656" t="str">
        <f>"1552377825837551"</f>
        <v>1552377825837551</v>
      </c>
      <c r="C2656" t="s">
        <v>40</v>
      </c>
      <c r="D2656">
        <v>4.9659129999999996</v>
      </c>
      <c r="E2656">
        <v>0.44172899999999998</v>
      </c>
      <c r="F2656" t="s">
        <v>59</v>
      </c>
      <c r="G2656">
        <v>-482.72840000000002</v>
      </c>
      <c r="H2656" s="1">
        <v>2.4561819999999998E-6</v>
      </c>
      <c r="I2656">
        <v>281.94490000000002</v>
      </c>
      <c r="J2656">
        <v>-444.66759999999999</v>
      </c>
      <c r="K2656">
        <v>1.110025</v>
      </c>
      <c r="L2656">
        <v>285.36270000000002</v>
      </c>
      <c r="M2656">
        <v>-0.99992139999999996</v>
      </c>
      <c r="N2656">
        <v>0</v>
      </c>
      <c r="O2656">
        <v>2.2881970000000001E-3</v>
      </c>
      <c r="P2656">
        <v>-0.99961699999999998</v>
      </c>
      <c r="Q2656">
        <v>2.5917840000000001E-2</v>
      </c>
      <c r="R2656">
        <v>9.7202920000000002E-3</v>
      </c>
      <c r="S2656">
        <v>-3.005951</v>
      </c>
      <c r="T2656">
        <v>-8.7278369999999994E-2</v>
      </c>
      <c r="U2656">
        <v>-0.26870729999999998</v>
      </c>
      <c r="V2656">
        <v>7.4377059999999997E-3</v>
      </c>
      <c r="W2656">
        <v>3.8240469999999999E-2</v>
      </c>
      <c r="X2656">
        <v>0.99924089999999999</v>
      </c>
      <c r="Y2656">
        <v>-9.1276679999999999E-2</v>
      </c>
      <c r="Z2656">
        <v>-1.3885029999999999E-3</v>
      </c>
      <c r="AA2656">
        <v>0.99582459999999995</v>
      </c>
      <c r="AB2656">
        <v>26</v>
      </c>
      <c r="AC2656">
        <v>-38.0608</v>
      </c>
      <c r="AD2656">
        <v>-1.110022543818</v>
      </c>
      <c r="AE2656">
        <v>-3.4178000000000002</v>
      </c>
      <c r="AF2656">
        <v>-3.5019334801774602</v>
      </c>
      <c r="AG2656">
        <v>-1.110022543818</v>
      </c>
      <c r="AH2656">
        <v>38.020798659450897</v>
      </c>
      <c r="AI2656">
        <v>91.665238704918806</v>
      </c>
      <c r="AJ2656">
        <v>95.262422019000894</v>
      </c>
      <c r="AK2656">
        <v>38.197864061356597</v>
      </c>
      <c r="AL2656">
        <v>87.808448143023995</v>
      </c>
      <c r="AM2656">
        <v>89.573534977139502</v>
      </c>
      <c r="AN2656">
        <v>1.00000001462458</v>
      </c>
    </row>
    <row r="2657" spans="1:40" x14ac:dyDescent="0.25">
      <c r="A2657" t="str">
        <f>"20190312160345860"</f>
        <v>20190312160345860</v>
      </c>
      <c r="B2657" t="str">
        <f>"1552377825857073"</f>
        <v>1552377825857073</v>
      </c>
      <c r="C2657" t="s">
        <v>40</v>
      </c>
      <c r="D2657">
        <v>4.9812079999999996</v>
      </c>
      <c r="E2657">
        <v>0.44188040000000001</v>
      </c>
      <c r="F2657" t="s">
        <v>59</v>
      </c>
      <c r="G2657">
        <v>-500.10410000000002</v>
      </c>
      <c r="H2657">
        <v>8.0001199999999995E-2</v>
      </c>
      <c r="I2657">
        <v>277.21749999999997</v>
      </c>
      <c r="J2657">
        <v>-444.89339999999999</v>
      </c>
      <c r="K2657">
        <v>1.110026</v>
      </c>
      <c r="L2657">
        <v>285.36320000000001</v>
      </c>
      <c r="M2657">
        <v>-0.99992119999999995</v>
      </c>
      <c r="N2657">
        <v>0</v>
      </c>
      <c r="O2657">
        <v>2.3290950000000002E-3</v>
      </c>
      <c r="P2657">
        <v>-0.99961509999999998</v>
      </c>
      <c r="Q2657">
        <v>2.6010289999999998E-2</v>
      </c>
      <c r="R2657">
        <v>9.6586659999999998E-3</v>
      </c>
      <c r="S2657">
        <v>-3.0069270000000001</v>
      </c>
      <c r="T2657">
        <v>-5.5869460000000003E-2</v>
      </c>
      <c r="U2657">
        <v>-0.441803</v>
      </c>
      <c r="V2657">
        <v>7.3351029999999999E-3</v>
      </c>
      <c r="W2657">
        <v>3.8332909999999998E-2</v>
      </c>
      <c r="X2657">
        <v>0.99923810000000002</v>
      </c>
      <c r="Y2657">
        <v>-0.14764650000000001</v>
      </c>
      <c r="Z2657">
        <v>-1.40726E-3</v>
      </c>
      <c r="AA2657">
        <v>0.98903920000000001</v>
      </c>
      <c r="AB2657">
        <v>26</v>
      </c>
      <c r="AC2657">
        <v>-55.210700000000003</v>
      </c>
      <c r="AD2657">
        <v>-1.0300247999999901</v>
      </c>
      <c r="AE2657">
        <v>-8.1457000000000299</v>
      </c>
      <c r="AF2657">
        <v>-8.2714610553424208</v>
      </c>
      <c r="AG2657">
        <v>-1.0300247999999901</v>
      </c>
      <c r="AH2657">
        <v>55.172782570125598</v>
      </c>
      <c r="AI2657">
        <v>91.057717216231694</v>
      </c>
      <c r="AJ2657">
        <v>98.526239585098196</v>
      </c>
      <c r="AK2657">
        <v>55.798870558542802</v>
      </c>
      <c r="AL2657">
        <v>87.803147798732297</v>
      </c>
      <c r="AM2657">
        <v>89.579416661988901</v>
      </c>
      <c r="AN2657">
        <v>0.99999999810834905</v>
      </c>
    </row>
    <row r="2658" spans="1:40" x14ac:dyDescent="0.25">
      <c r="A2658" t="str">
        <f>"20190312160345874"</f>
        <v>20190312160345874</v>
      </c>
      <c r="B2658" t="str">
        <f>"1552377825866831"</f>
        <v>1552377825866831</v>
      </c>
      <c r="C2658" t="s">
        <v>40</v>
      </c>
      <c r="D2658">
        <v>4.9999900000000004</v>
      </c>
      <c r="E2658">
        <v>0.44197789999999998</v>
      </c>
      <c r="F2658" t="s">
        <v>59</v>
      </c>
      <c r="G2658">
        <v>-499.95780000000002</v>
      </c>
      <c r="H2658">
        <v>3.2177650000000002E-2</v>
      </c>
      <c r="I2658">
        <v>277.29000000000002</v>
      </c>
      <c r="J2658">
        <v>-445.05689999999998</v>
      </c>
      <c r="K2658">
        <v>1.110026</v>
      </c>
      <c r="L2658">
        <v>285.36360000000002</v>
      </c>
      <c r="M2658">
        <v>-0.99992130000000001</v>
      </c>
      <c r="N2658">
        <v>0</v>
      </c>
      <c r="O2658">
        <v>2.358902E-3</v>
      </c>
      <c r="P2658">
        <v>-0.99961469999999997</v>
      </c>
      <c r="Q2658">
        <v>2.6096569999999999E-2</v>
      </c>
      <c r="R2658">
        <v>9.4785760000000007E-3</v>
      </c>
      <c r="S2658">
        <v>-3.0069270000000001</v>
      </c>
      <c r="T2658">
        <v>-5.8858630000000002E-2</v>
      </c>
      <c r="U2658">
        <v>-0.4408569</v>
      </c>
      <c r="V2658">
        <v>7.125185E-3</v>
      </c>
      <c r="W2658">
        <v>3.8419160000000001E-2</v>
      </c>
      <c r="X2658">
        <v>0.99923629999999997</v>
      </c>
      <c r="Y2658">
        <v>-0.14736859999999999</v>
      </c>
      <c r="Z2658">
        <v>-1.480447E-3</v>
      </c>
      <c r="AA2658">
        <v>0.98908050000000003</v>
      </c>
      <c r="AB2658">
        <v>26</v>
      </c>
      <c r="AC2658">
        <v>-54.9009</v>
      </c>
      <c r="AD2658">
        <v>-1.07784835</v>
      </c>
      <c r="AE2658">
        <v>-8.0735999999999901</v>
      </c>
      <c r="AF2658">
        <v>-8.1999995087231792</v>
      </c>
      <c r="AG2658">
        <v>-1.07784835</v>
      </c>
      <c r="AH2658">
        <v>54.861002961664802</v>
      </c>
      <c r="AI2658">
        <v>91.113176524349498</v>
      </c>
      <c r="AJ2658">
        <v>98.5009885452112</v>
      </c>
      <c r="AK2658">
        <v>55.480910185111902</v>
      </c>
      <c r="AL2658">
        <v>87.798202380631395</v>
      </c>
      <c r="AM2658">
        <v>89.591451882001806</v>
      </c>
      <c r="AN2658">
        <v>0.99999999167703901</v>
      </c>
    </row>
    <row r="2659" spans="1:40" x14ac:dyDescent="0.25">
      <c r="A2659" t="str">
        <f>"20190312160345894"</f>
        <v>20190312160345894</v>
      </c>
      <c r="B2659" t="str">
        <f>"1552377825887327"</f>
        <v>1552377825887327</v>
      </c>
      <c r="C2659" t="s">
        <v>40</v>
      </c>
      <c r="D2659">
        <v>5.0105680000000001</v>
      </c>
      <c r="E2659">
        <v>0.44213209999999997</v>
      </c>
      <c r="F2659" t="s">
        <v>59</v>
      </c>
      <c r="G2659">
        <v>-499.95780000000002</v>
      </c>
      <c r="H2659">
        <v>3.569634E-2</v>
      </c>
      <c r="I2659">
        <v>277.31970000000001</v>
      </c>
      <c r="J2659">
        <v>-445.28739999999999</v>
      </c>
      <c r="K2659">
        <v>1.110026</v>
      </c>
      <c r="L2659">
        <v>285.36430000000001</v>
      </c>
      <c r="M2659">
        <v>-0.99992119999999995</v>
      </c>
      <c r="N2659">
        <v>0</v>
      </c>
      <c r="O2659">
        <v>2.4017029999999998E-3</v>
      </c>
      <c r="P2659">
        <v>-0.99960919999999998</v>
      </c>
      <c r="Q2659">
        <v>2.6288769999999999E-2</v>
      </c>
      <c r="R2659">
        <v>9.5158369999999992E-3</v>
      </c>
      <c r="S2659">
        <v>-3.0068359999999998</v>
      </c>
      <c r="T2659">
        <v>-5.8839320000000001E-2</v>
      </c>
      <c r="U2659">
        <v>-0.44055179999999999</v>
      </c>
      <c r="V2659">
        <v>7.1197250000000004E-3</v>
      </c>
      <c r="W2659">
        <v>3.8611180000000002E-2</v>
      </c>
      <c r="X2659">
        <v>0.99922900000000003</v>
      </c>
      <c r="Y2659">
        <v>-0.147317</v>
      </c>
      <c r="Z2659">
        <v>-1.4803479999999901E-3</v>
      </c>
      <c r="AA2659">
        <v>0.98908819999999997</v>
      </c>
      <c r="AB2659">
        <v>26</v>
      </c>
      <c r="AC2659">
        <v>-54.670400000000001</v>
      </c>
      <c r="AD2659">
        <v>-1.0743296600000001</v>
      </c>
      <c r="AE2659">
        <v>-8.0446000000000009</v>
      </c>
      <c r="AF2659">
        <v>-8.1727996819807895</v>
      </c>
      <c r="AG2659">
        <v>-1.0743296600000001</v>
      </c>
      <c r="AH2659">
        <v>54.6302710075093</v>
      </c>
      <c r="AI2659">
        <v>91.114206677912605</v>
      </c>
      <c r="AJ2659">
        <v>98.508464309228202</v>
      </c>
      <c r="AK2659">
        <v>55.2486683026302</v>
      </c>
      <c r="AL2659">
        <v>87.787192413753104</v>
      </c>
      <c r="AM2659">
        <v>89.591761957832603</v>
      </c>
      <c r="AN2659">
        <v>1.0000000540730301</v>
      </c>
    </row>
    <row r="2660" spans="1:40" x14ac:dyDescent="0.25">
      <c r="A2660" t="str">
        <f>"20190312160345917"</f>
        <v>20190312160345917</v>
      </c>
      <c r="B2660" t="str">
        <f>"1552377825906847"</f>
        <v>1552377825906847</v>
      </c>
      <c r="C2660" t="s">
        <v>40</v>
      </c>
      <c r="D2660">
        <v>5.0291410000000001</v>
      </c>
      <c r="E2660">
        <v>0.44198520000000002</v>
      </c>
      <c r="F2660" t="s">
        <v>59</v>
      </c>
      <c r="G2660">
        <v>-499.95780000000002</v>
      </c>
      <c r="H2660">
        <v>1.6196840000000001E-2</v>
      </c>
      <c r="I2660">
        <v>277.37650000000002</v>
      </c>
      <c r="J2660">
        <v>-445.55560000000003</v>
      </c>
      <c r="K2660">
        <v>1.110025</v>
      </c>
      <c r="L2660">
        <v>285.36489999999998</v>
      </c>
      <c r="M2660">
        <v>-0.9999209</v>
      </c>
      <c r="N2660">
        <v>0</v>
      </c>
      <c r="O2660">
        <v>2.453209E-3</v>
      </c>
      <c r="P2660">
        <v>-0.99962649999999997</v>
      </c>
      <c r="Q2660">
        <v>2.5785889999999999E-2</v>
      </c>
      <c r="R2660">
        <v>9.0565230000000004E-3</v>
      </c>
      <c r="S2660">
        <v>-3.0068969999999999</v>
      </c>
      <c r="T2660">
        <v>-6.0161109999999997E-2</v>
      </c>
      <c r="U2660">
        <v>-0.43933109999999997</v>
      </c>
      <c r="V2660">
        <v>6.6089180000000001E-3</v>
      </c>
      <c r="W2660">
        <v>3.8108009999999998E-2</v>
      </c>
      <c r="X2660">
        <v>0.99925180000000002</v>
      </c>
      <c r="Y2660">
        <v>-0.14697070000000001</v>
      </c>
      <c r="Z2660">
        <v>-1.5111899999999999E-3</v>
      </c>
      <c r="AA2660">
        <v>0.98913969999999996</v>
      </c>
      <c r="AB2660">
        <v>26</v>
      </c>
      <c r="AC2660">
        <v>-54.402199999999901</v>
      </c>
      <c r="AD2660">
        <v>-1.0938281599999999</v>
      </c>
      <c r="AE2660">
        <v>-7.9883999999999498</v>
      </c>
      <c r="AF2660">
        <v>-8.1186332820333202</v>
      </c>
      <c r="AG2660">
        <v>-1.0938281599999999</v>
      </c>
      <c r="AH2660">
        <v>54.360925237032397</v>
      </c>
      <c r="AI2660">
        <v>91.140085536478097</v>
      </c>
      <c r="AJ2660">
        <v>98.494163197799395</v>
      </c>
      <c r="AK2660">
        <v>54.974711086443897</v>
      </c>
      <c r="AL2660">
        <v>87.816043109275</v>
      </c>
      <c r="AM2660">
        <v>89.621058888883496</v>
      </c>
      <c r="AN2660">
        <v>1.00000002901326</v>
      </c>
    </row>
    <row r="2661" spans="1:40" x14ac:dyDescent="0.25">
      <c r="A2661" t="str">
        <f>"20190312160345939"</f>
        <v>20190312160345939</v>
      </c>
      <c r="B2661" t="str">
        <f>"1552377825927343"</f>
        <v>1552377825927343</v>
      </c>
      <c r="C2661" t="s">
        <v>40</v>
      </c>
      <c r="D2661">
        <v>5.0212789999999998</v>
      </c>
      <c r="E2661">
        <v>0.44200840000000002</v>
      </c>
      <c r="F2661" t="s">
        <v>59</v>
      </c>
      <c r="G2661">
        <v>-498.36270000000002</v>
      </c>
      <c r="H2661" s="1">
        <v>1.6897709999999999E-6</v>
      </c>
      <c r="I2661">
        <v>277.60449999999997</v>
      </c>
      <c r="J2661">
        <v>-445.81229999999999</v>
      </c>
      <c r="K2661">
        <v>1.1100219999999901</v>
      </c>
      <c r="L2661">
        <v>285.3657</v>
      </c>
      <c r="M2661">
        <v>-0.99992080000000005</v>
      </c>
      <c r="N2661">
        <v>0</v>
      </c>
      <c r="O2661">
        <v>2.5030479999999999E-3</v>
      </c>
      <c r="P2661">
        <v>-0.99963299999999999</v>
      </c>
      <c r="Q2661">
        <v>2.5664960000000001E-2</v>
      </c>
      <c r="R2661">
        <v>8.6597589999999995E-3</v>
      </c>
      <c r="S2661">
        <v>-3.0067439999999999</v>
      </c>
      <c r="T2661">
        <v>-6.3202739999999993E-2</v>
      </c>
      <c r="U2661">
        <v>-0.44186399999999998</v>
      </c>
      <c r="V2661">
        <v>6.1622430000000004E-3</v>
      </c>
      <c r="W2661">
        <v>3.7987449999999999E-2</v>
      </c>
      <c r="X2661">
        <v>0.99925920000000001</v>
      </c>
      <c r="Y2661">
        <v>-0.14783969999999999</v>
      </c>
      <c r="Z2661">
        <v>-1.5976860000000001E-3</v>
      </c>
      <c r="AA2661">
        <v>0.98900999999999994</v>
      </c>
      <c r="AB2661">
        <v>26</v>
      </c>
      <c r="AC2661">
        <v>-52.550400000000003</v>
      </c>
      <c r="AD2661">
        <v>-1.1100203102289901</v>
      </c>
      <c r="AE2661">
        <v>-7.7612000000000299</v>
      </c>
      <c r="AF2661">
        <v>-7.88927696991757</v>
      </c>
      <c r="AG2661">
        <v>-1.1100203102289901</v>
      </c>
      <c r="AH2661">
        <v>52.507879384354801</v>
      </c>
      <c r="AI2661">
        <v>91.197617857840299</v>
      </c>
      <c r="AJ2661">
        <v>98.5447397955529</v>
      </c>
      <c r="AK2661">
        <v>53.108852686149703</v>
      </c>
      <c r="AL2661">
        <v>87.822955595871804</v>
      </c>
      <c r="AM2661">
        <v>89.646672214145795</v>
      </c>
      <c r="AN2661">
        <v>0.99999998419046598</v>
      </c>
    </row>
    <row r="2662" spans="1:40" x14ac:dyDescent="0.25">
      <c r="A2662" t="str">
        <f>"20190312160345962"</f>
        <v>20190312160345962</v>
      </c>
      <c r="B2662" t="str">
        <f>"1552377825957597"</f>
        <v>1552377825957597</v>
      </c>
      <c r="C2662" t="s">
        <v>40</v>
      </c>
      <c r="D2662">
        <v>5.0215909999999999</v>
      </c>
      <c r="E2662">
        <v>0.44175379999999997</v>
      </c>
      <c r="F2662" t="s">
        <v>59</v>
      </c>
      <c r="G2662">
        <v>-497.2278</v>
      </c>
      <c r="H2662" s="1">
        <v>1.9238690000000001E-6</v>
      </c>
      <c r="I2662">
        <v>277.79070000000002</v>
      </c>
      <c r="J2662">
        <v>-446.07729999999998</v>
      </c>
      <c r="K2662">
        <v>1.110023</v>
      </c>
      <c r="L2662">
        <v>285.3664</v>
      </c>
      <c r="M2662">
        <v>-0.99992080000000005</v>
      </c>
      <c r="N2662">
        <v>0</v>
      </c>
      <c r="O2662">
        <v>2.5542619999999999E-3</v>
      </c>
      <c r="P2662">
        <v>-0.99964240000000004</v>
      </c>
      <c r="Q2662">
        <v>2.5381270000000001E-2</v>
      </c>
      <c r="R2662">
        <v>8.4472009999999997E-3</v>
      </c>
      <c r="S2662">
        <v>-3.0066220000000001</v>
      </c>
      <c r="T2662">
        <v>-6.491065E-2</v>
      </c>
      <c r="U2662">
        <v>-0.44296259999999998</v>
      </c>
      <c r="V2662">
        <v>5.8986359999999996E-3</v>
      </c>
      <c r="W2662">
        <v>3.7702989999999999E-2</v>
      </c>
      <c r="X2662">
        <v>0.99927160000000004</v>
      </c>
      <c r="Y2662">
        <v>-0.14824789999999999</v>
      </c>
      <c r="Z2662">
        <v>-1.646355E-3</v>
      </c>
      <c r="AA2662">
        <v>0.98894890000000002</v>
      </c>
      <c r="AB2662">
        <v>26</v>
      </c>
      <c r="AC2662">
        <v>-51.150500000000001</v>
      </c>
      <c r="AD2662">
        <v>-1.1100210761310001</v>
      </c>
      <c r="AE2662">
        <v>-7.5756999999999799</v>
      </c>
      <c r="AF2662">
        <v>-7.7027873207292803</v>
      </c>
      <c r="AG2662">
        <v>-1.1100210761310001</v>
      </c>
      <c r="AH2662">
        <v>51.107429567836299</v>
      </c>
      <c r="AI2662">
        <v>91.230341233662898</v>
      </c>
      <c r="AJ2662">
        <v>98.570970101547303</v>
      </c>
      <c r="AK2662">
        <v>51.696561165412099</v>
      </c>
      <c r="AL2662">
        <v>87.839265715260495</v>
      </c>
      <c r="AM2662">
        <v>89.6617906259726</v>
      </c>
      <c r="AN2662">
        <v>1.0000000199640799</v>
      </c>
    </row>
    <row r="2663" spans="1:40" x14ac:dyDescent="0.25">
      <c r="A2663" t="str">
        <f>"20190312160345977"</f>
        <v>20190312160345977</v>
      </c>
      <c r="B2663" t="str">
        <f>"1552377825967358"</f>
        <v>1552377825967358</v>
      </c>
      <c r="C2663" t="s">
        <v>40</v>
      </c>
      <c r="D2663">
        <v>4.9826839999999999</v>
      </c>
      <c r="E2663">
        <v>0.44159399999999999</v>
      </c>
      <c r="F2663" t="s">
        <v>59</v>
      </c>
      <c r="G2663">
        <v>-496.62079999999997</v>
      </c>
      <c r="H2663" s="1">
        <v>2.0464910000000002E-6</v>
      </c>
      <c r="I2663">
        <v>277.87549999999999</v>
      </c>
      <c r="J2663">
        <v>-446.25</v>
      </c>
      <c r="K2663">
        <v>1.110023</v>
      </c>
      <c r="L2663">
        <v>285.36680000000001</v>
      </c>
      <c r="M2663">
        <v>-0.9999207</v>
      </c>
      <c r="N2663">
        <v>0</v>
      </c>
      <c r="O2663">
        <v>2.5877650000000001E-3</v>
      </c>
      <c r="P2663">
        <v>-0.99963959999999996</v>
      </c>
      <c r="Q2663">
        <v>2.5531089999999999E-2</v>
      </c>
      <c r="R2663">
        <v>8.2865430000000004E-3</v>
      </c>
      <c r="S2663">
        <v>-3.0065309999999998</v>
      </c>
      <c r="T2663">
        <v>-6.6028589999999998E-2</v>
      </c>
      <c r="U2663">
        <v>-0.44558720000000002</v>
      </c>
      <c r="V2663">
        <v>5.7043809999999997E-3</v>
      </c>
      <c r="W2663">
        <v>3.7853079999999997E-2</v>
      </c>
      <c r="X2663">
        <v>0.99926700000000002</v>
      </c>
      <c r="Y2663">
        <v>-0.14912879999999901</v>
      </c>
      <c r="Z2663">
        <v>-1.6849979999999901E-3</v>
      </c>
      <c r="AA2663">
        <v>0.98881629999999998</v>
      </c>
      <c r="AB2663">
        <v>26</v>
      </c>
      <c r="AC2663">
        <v>-50.370799999999903</v>
      </c>
      <c r="AD2663">
        <v>-1.110020953509</v>
      </c>
      <c r="AE2663">
        <v>-7.4913000000000203</v>
      </c>
      <c r="AF2663">
        <v>-7.6180131364035004</v>
      </c>
      <c r="AG2663">
        <v>-1.110020953509</v>
      </c>
      <c r="AH2663">
        <v>50.327332596610603</v>
      </c>
      <c r="AI2663">
        <v>91.249285751086504</v>
      </c>
      <c r="AJ2663">
        <v>98.607478902923603</v>
      </c>
      <c r="AK2663">
        <v>50.9127359012802</v>
      </c>
      <c r="AL2663">
        <v>87.830659932640103</v>
      </c>
      <c r="AM2663">
        <v>89.672926849566906</v>
      </c>
      <c r="AN2663">
        <v>0.99999996645853895</v>
      </c>
    </row>
    <row r="2664" spans="1:40" x14ac:dyDescent="0.25">
      <c r="A2664" t="str">
        <f>"20190312160345995"</f>
        <v>20190312160345995</v>
      </c>
      <c r="B2664" t="str">
        <f>"1552377825986878"</f>
        <v>1552377825986878</v>
      </c>
      <c r="C2664" t="s">
        <v>40</v>
      </c>
      <c r="D2664">
        <v>5.0290860000000004</v>
      </c>
      <c r="E2664">
        <v>0.44171189999999999</v>
      </c>
      <c r="F2664" t="s">
        <v>59</v>
      </c>
      <c r="G2664">
        <v>-498.39170000000001</v>
      </c>
      <c r="H2664" s="1">
        <v>1.6854359999999999E-6</v>
      </c>
      <c r="I2664">
        <v>277.60910000000001</v>
      </c>
      <c r="J2664">
        <v>-446.46940000000001</v>
      </c>
      <c r="K2664">
        <v>1.1100239999999999</v>
      </c>
      <c r="L2664">
        <v>285.36739999999998</v>
      </c>
      <c r="M2664">
        <v>-0.99992049999999999</v>
      </c>
      <c r="N2664">
        <v>0</v>
      </c>
      <c r="O2664">
        <v>2.6308600000000001E-3</v>
      </c>
      <c r="P2664">
        <v>-0.99963409999999997</v>
      </c>
      <c r="Q2664">
        <v>2.57135E-2</v>
      </c>
      <c r="R2664">
        <v>8.3909320000000003E-3</v>
      </c>
      <c r="S2664">
        <v>-3.0064090000000001</v>
      </c>
      <c r="T2664">
        <v>-6.4002039999999996E-2</v>
      </c>
      <c r="U2664">
        <v>-0.44729609999999898</v>
      </c>
      <c r="V2664">
        <v>5.7658070000000004E-3</v>
      </c>
      <c r="W2664">
        <v>3.8035100000000002E-2</v>
      </c>
      <c r="X2664">
        <v>0.99925980000000003</v>
      </c>
      <c r="Y2664">
        <v>-0.14972920000000001</v>
      </c>
      <c r="Z2664">
        <v>-1.640559E-3</v>
      </c>
      <c r="AA2664">
        <v>0.98872570000000004</v>
      </c>
      <c r="AB2664">
        <v>26</v>
      </c>
      <c r="AC2664">
        <v>-51.9223</v>
      </c>
      <c r="AD2664">
        <v>-1.11002231456399</v>
      </c>
      <c r="AE2664">
        <v>-7.7582999999999602</v>
      </c>
      <c r="AF2664">
        <v>-7.8913559266349198</v>
      </c>
      <c r="AG2664">
        <v>-1.11002231456399</v>
      </c>
      <c r="AH2664">
        <v>51.878514919872899</v>
      </c>
      <c r="AI2664">
        <v>91.211811049531505</v>
      </c>
      <c r="AJ2664">
        <v>98.649086849797399</v>
      </c>
      <c r="AK2664">
        <v>52.4870075179672</v>
      </c>
      <c r="AL2664">
        <v>87.820223578735707</v>
      </c>
      <c r="AM2664">
        <v>89.669402551381694</v>
      </c>
      <c r="AN2664">
        <v>1.0000000306292001</v>
      </c>
    </row>
    <row r="2665" spans="1:40" x14ac:dyDescent="0.25">
      <c r="A2665" t="str">
        <f>"20190312160346009"</f>
        <v>20190312160346009</v>
      </c>
      <c r="B2665" t="str">
        <f>"1552377825997614"</f>
        <v>1552377825997614</v>
      </c>
      <c r="C2665" t="s">
        <v>40</v>
      </c>
      <c r="D2665">
        <v>5.0453729999999997</v>
      </c>
      <c r="E2665">
        <v>0.44181239999999999</v>
      </c>
      <c r="F2665" t="s">
        <v>59</v>
      </c>
      <c r="G2665">
        <v>-497.42540000000002</v>
      </c>
      <c r="H2665" s="1">
        <v>1.8914499999999999E-6</v>
      </c>
      <c r="I2665">
        <v>277.80560000000003</v>
      </c>
      <c r="J2665">
        <v>-446.6352</v>
      </c>
      <c r="K2665">
        <v>1.1100239999999999</v>
      </c>
      <c r="L2665">
        <v>285.36799999999999</v>
      </c>
      <c r="M2665">
        <v>-0.99992049999999999</v>
      </c>
      <c r="N2665">
        <v>0</v>
      </c>
      <c r="O2665">
        <v>2.6638780000000002E-3</v>
      </c>
      <c r="P2665">
        <v>-0.99963489999999999</v>
      </c>
      <c r="Q2665">
        <v>2.5741960000000001E-2</v>
      </c>
      <c r="R2665">
        <v>8.2166909999999999E-3</v>
      </c>
      <c r="S2665">
        <v>-3.0065309999999998</v>
      </c>
      <c r="T2665">
        <v>-6.5494060000000007E-2</v>
      </c>
      <c r="U2665">
        <v>-0.44616699999999998</v>
      </c>
      <c r="V2665">
        <v>5.5585919999999898E-3</v>
      </c>
      <c r="W2665">
        <v>3.806321E-2</v>
      </c>
      <c r="X2665">
        <v>0.99925989999999998</v>
      </c>
      <c r="Y2665">
        <v>-0.1493912</v>
      </c>
      <c r="Z2665">
        <v>-1.6758280000000001E-3</v>
      </c>
      <c r="AA2665">
        <v>0.98877669999999995</v>
      </c>
      <c r="AB2665">
        <v>26</v>
      </c>
      <c r="AC2665">
        <v>-50.790199999999999</v>
      </c>
      <c r="AD2665">
        <v>-1.1100221085499999</v>
      </c>
      <c r="AE2665">
        <v>-7.5623999999999603</v>
      </c>
      <c r="AF2665">
        <v>-7.6940870172281803</v>
      </c>
      <c r="AG2665">
        <v>-1.1100221085499999</v>
      </c>
      <c r="AH2665">
        <v>50.746160079571702</v>
      </c>
      <c r="AI2665">
        <v>91.238933614323301</v>
      </c>
      <c r="AJ2665">
        <v>98.621470132652306</v>
      </c>
      <c r="AK2665">
        <v>51.338132873446703</v>
      </c>
      <c r="AL2665">
        <v>87.818611818999301</v>
      </c>
      <c r="AM2665">
        <v>89.681283541279001</v>
      </c>
      <c r="AN2665">
        <v>1.0000000268242599</v>
      </c>
    </row>
    <row r="2666" spans="1:40" x14ac:dyDescent="0.25">
      <c r="A2666" t="str">
        <f>"20190312160346022"</f>
        <v>20190312160346022</v>
      </c>
      <c r="B2666" t="str">
        <f>"1552377826017135"</f>
        <v>1552377826017135</v>
      </c>
      <c r="C2666" t="s">
        <v>40</v>
      </c>
      <c r="D2666">
        <v>4.9979139999999997</v>
      </c>
      <c r="E2666">
        <v>0.44182909999999997</v>
      </c>
      <c r="F2666" t="s">
        <v>59</v>
      </c>
      <c r="G2666">
        <v>-496.19389999999999</v>
      </c>
      <c r="H2666" s="1">
        <v>2.1471059999999999E-6</v>
      </c>
      <c r="I2666">
        <v>278.01690000000002</v>
      </c>
      <c r="J2666">
        <v>-446.78550000000001</v>
      </c>
      <c r="K2666">
        <v>1.1100239999999999</v>
      </c>
      <c r="L2666">
        <v>285.36829999999998</v>
      </c>
      <c r="M2666">
        <v>-0.99992040000000004</v>
      </c>
      <c r="N2666">
        <v>0</v>
      </c>
      <c r="O2666">
        <v>2.6932029999999999E-3</v>
      </c>
      <c r="P2666">
        <v>-0.99963299999999999</v>
      </c>
      <c r="Q2666">
        <v>2.5768449999999998E-2</v>
      </c>
      <c r="R2666">
        <v>8.373719E-3</v>
      </c>
      <c r="S2666">
        <v>-3.0065</v>
      </c>
      <c r="T2666">
        <v>-6.7339899999999994E-2</v>
      </c>
      <c r="U2666">
        <v>-0.4459534</v>
      </c>
      <c r="V2666">
        <v>5.6863729999999998E-3</v>
      </c>
      <c r="W2666">
        <v>3.8089419999999999E-2</v>
      </c>
      <c r="X2666">
        <v>0.99925819999999999</v>
      </c>
      <c r="Y2666">
        <v>-0.14935079999999901</v>
      </c>
      <c r="Z2666">
        <v>-1.7232770000000001E-3</v>
      </c>
      <c r="AA2666">
        <v>0.98878279999999996</v>
      </c>
      <c r="AB2666">
        <v>26</v>
      </c>
      <c r="AC2666">
        <v>-49.408399999999901</v>
      </c>
      <c r="AD2666">
        <v>-1.11002185289399</v>
      </c>
      <c r="AE2666">
        <v>-7.3513999999999502</v>
      </c>
      <c r="AF2666">
        <v>-7.4807562914368297</v>
      </c>
      <c r="AG2666">
        <v>-1.11002185289399</v>
      </c>
      <c r="AH2666">
        <v>49.3640444545184</v>
      </c>
      <c r="AI2666">
        <v>91.2736246736563</v>
      </c>
      <c r="AJ2666">
        <v>98.617186302216496</v>
      </c>
      <c r="AK2666">
        <v>49.939991470898804</v>
      </c>
      <c r="AL2666">
        <v>87.817109045496395</v>
      </c>
      <c r="AM2666">
        <v>89.6739564840491</v>
      </c>
      <c r="AN2666">
        <v>1.0000000445105299</v>
      </c>
    </row>
    <row r="2667" spans="1:40" x14ac:dyDescent="0.25">
      <c r="A2667" t="str">
        <f>"20190312160346034"</f>
        <v>20190312160346034</v>
      </c>
      <c r="B2667" t="str">
        <f>"1552377826026894"</f>
        <v>1552377826026894</v>
      </c>
      <c r="C2667" t="s">
        <v>40</v>
      </c>
      <c r="D2667">
        <v>5.0284760000000004</v>
      </c>
      <c r="E2667">
        <v>0.44181530000000002</v>
      </c>
      <c r="F2667" t="s">
        <v>59</v>
      </c>
      <c r="G2667">
        <v>-495.89949999999999</v>
      </c>
      <c r="H2667" s="1">
        <v>2.2129940000000001E-6</v>
      </c>
      <c r="I2667">
        <v>278.09449999999998</v>
      </c>
      <c r="J2667">
        <v>-446.92759999999998</v>
      </c>
      <c r="K2667">
        <v>1.110023</v>
      </c>
      <c r="L2667">
        <v>285.36880000000002</v>
      </c>
      <c r="M2667">
        <v>-0.99992040000000004</v>
      </c>
      <c r="N2667">
        <v>0</v>
      </c>
      <c r="O2667">
        <v>2.7209780000000002E-3</v>
      </c>
      <c r="P2667">
        <v>-0.99963610000000003</v>
      </c>
      <c r="Q2667">
        <v>2.562832E-2</v>
      </c>
      <c r="R2667">
        <v>8.425442E-3</v>
      </c>
      <c r="S2667">
        <v>-3.0065919999999999</v>
      </c>
      <c r="T2667">
        <v>-6.7951800000000007E-2</v>
      </c>
      <c r="U2667">
        <v>-0.44528200000000001</v>
      </c>
      <c r="V2667">
        <v>5.7102840000000004E-3</v>
      </c>
      <c r="W2667">
        <v>3.7949330000000003E-2</v>
      </c>
      <c r="X2667">
        <v>0.99926329999999997</v>
      </c>
      <c r="Y2667">
        <v>-0.14915719999999999</v>
      </c>
      <c r="Z2667">
        <v>-1.7373569999999999E-3</v>
      </c>
      <c r="AA2667">
        <v>0.98881200000000002</v>
      </c>
      <c r="AB2667">
        <v>26</v>
      </c>
      <c r="AC2667">
        <v>-48.971899999999998</v>
      </c>
      <c r="AD2667">
        <v>-1.1100207870059999</v>
      </c>
      <c r="AE2667">
        <v>-7.2743000000000304</v>
      </c>
      <c r="AF2667">
        <v>-7.4038129081643502</v>
      </c>
      <c r="AG2667">
        <v>-1.1100207870059999</v>
      </c>
      <c r="AH2667">
        <v>48.927329265968503</v>
      </c>
      <c r="AI2667">
        <v>91.285029585354707</v>
      </c>
      <c r="AJ2667">
        <v>98.604865628493101</v>
      </c>
      <c r="AK2667">
        <v>49.496789197150797</v>
      </c>
      <c r="AL2667">
        <v>87.825141214507994</v>
      </c>
      <c r="AM2667">
        <v>89.6725871832368</v>
      </c>
      <c r="AN2667">
        <v>0.99999995085884796</v>
      </c>
    </row>
    <row r="2668" spans="1:40" x14ac:dyDescent="0.25">
      <c r="A2668" t="str">
        <f>"20190312160346046"</f>
        <v>20190312160346046</v>
      </c>
      <c r="B2668" t="str">
        <f>"1552377826037631"</f>
        <v>1552377826037631</v>
      </c>
      <c r="C2668" t="s">
        <v>40</v>
      </c>
      <c r="D2668">
        <v>5.03925</v>
      </c>
      <c r="E2668">
        <v>0.44185180000000002</v>
      </c>
      <c r="F2668" t="s">
        <v>59</v>
      </c>
      <c r="G2668">
        <v>-495.98340000000002</v>
      </c>
      <c r="H2668" s="1">
        <v>2.1993439999999998E-6</v>
      </c>
      <c r="I2668">
        <v>278.10149999999999</v>
      </c>
      <c r="J2668">
        <v>-447.07330000000002</v>
      </c>
      <c r="K2668">
        <v>1.11002</v>
      </c>
      <c r="L2668">
        <v>285.36919999999998</v>
      </c>
      <c r="M2668">
        <v>-0.99992029999999998</v>
      </c>
      <c r="N2668">
        <v>0</v>
      </c>
      <c r="O2668">
        <v>2.7494070000000002E-3</v>
      </c>
      <c r="P2668">
        <v>-0.99964730000000002</v>
      </c>
      <c r="Q2668">
        <v>2.525931E-2</v>
      </c>
      <c r="R2668">
        <v>8.2135090000000008E-3</v>
      </c>
      <c r="S2668">
        <v>-3.0065919999999999</v>
      </c>
      <c r="T2668">
        <v>-6.8032259999999997E-2</v>
      </c>
      <c r="U2668">
        <v>-0.44540410000000002</v>
      </c>
      <c r="V2668">
        <v>5.469794E-3</v>
      </c>
      <c r="W2668">
        <v>3.7580519999999999E-2</v>
      </c>
      <c r="X2668">
        <v>0.99927860000000002</v>
      </c>
      <c r="Y2668">
        <v>-0.14922449999999901</v>
      </c>
      <c r="Z2668">
        <v>-1.740805E-3</v>
      </c>
      <c r="AA2668">
        <v>0.98880179999999995</v>
      </c>
      <c r="AB2668">
        <v>26</v>
      </c>
      <c r="AC2668">
        <v>-48.9101</v>
      </c>
      <c r="AD2668">
        <v>-1.110017800656</v>
      </c>
      <c r="AE2668">
        <v>-7.2676999999999898</v>
      </c>
      <c r="AF2668">
        <v>-7.3984281517350299</v>
      </c>
      <c r="AG2668">
        <v>-1.110017800656</v>
      </c>
      <c r="AH2668">
        <v>48.865306595442298</v>
      </c>
      <c r="AI2668">
        <v>91.286641028536494</v>
      </c>
      <c r="AJ2668">
        <v>98.609451456889403</v>
      </c>
      <c r="AK2668">
        <v>49.434674746585898</v>
      </c>
      <c r="AL2668">
        <v>87.846287592207204</v>
      </c>
      <c r="AM2668">
        <v>89.686380774004803</v>
      </c>
      <c r="AN2668">
        <v>0.99999996727391505</v>
      </c>
    </row>
    <row r="2669" spans="1:40" x14ac:dyDescent="0.25">
      <c r="A2669" t="str">
        <f>"20190312160346059"</f>
        <v>20190312160346059</v>
      </c>
      <c r="B2669" t="str">
        <f>"1552377826047392"</f>
        <v>1552377826047392</v>
      </c>
      <c r="C2669" t="s">
        <v>40</v>
      </c>
      <c r="D2669">
        <v>5.0164879999999998</v>
      </c>
      <c r="E2669">
        <v>0.44194119999999998</v>
      </c>
      <c r="F2669" t="s">
        <v>59</v>
      </c>
      <c r="G2669">
        <v>-494.62970000000001</v>
      </c>
      <c r="H2669" s="1">
        <v>2.478043E-6</v>
      </c>
      <c r="I2669">
        <v>278.32049999999998</v>
      </c>
      <c r="J2669">
        <v>-447.2158</v>
      </c>
      <c r="K2669">
        <v>1.1100179999999999</v>
      </c>
      <c r="L2669">
        <v>285.36959999999999</v>
      </c>
      <c r="M2669">
        <v>-0.99992029999999998</v>
      </c>
      <c r="N2669">
        <v>0</v>
      </c>
      <c r="O2669">
        <v>2.7771810000000001E-3</v>
      </c>
      <c r="P2669">
        <v>-0.99964160000000002</v>
      </c>
      <c r="Q2669">
        <v>2.53999E-2</v>
      </c>
      <c r="R2669">
        <v>8.4634889999999994E-3</v>
      </c>
      <c r="S2669">
        <v>-3.0065</v>
      </c>
      <c r="T2669">
        <v>-7.0174929999999996E-2</v>
      </c>
      <c r="U2669">
        <v>-0.44561770000000001</v>
      </c>
      <c r="V2669">
        <v>5.6919939999999997E-3</v>
      </c>
      <c r="W2669">
        <v>3.7721089999999999E-2</v>
      </c>
      <c r="X2669">
        <v>0.9992721</v>
      </c>
      <c r="Y2669">
        <v>-0.1493226</v>
      </c>
      <c r="Z2669">
        <v>-1.7974449999999999E-3</v>
      </c>
      <c r="AA2669">
        <v>0.98878690000000002</v>
      </c>
      <c r="AB2669">
        <v>26</v>
      </c>
      <c r="AC2669">
        <v>-47.413899999999998</v>
      </c>
      <c r="AD2669">
        <v>-1.110015521957</v>
      </c>
      <c r="AE2669">
        <v>-7.0491000000000099</v>
      </c>
      <c r="AF2669">
        <v>-7.1769112988326196</v>
      </c>
      <c r="AG2669">
        <v>-1.110015521957</v>
      </c>
      <c r="AH2669">
        <v>47.368738425472699</v>
      </c>
      <c r="AI2669">
        <v>91.327253101961304</v>
      </c>
      <c r="AJ2669">
        <v>98.615446839846896</v>
      </c>
      <c r="AK2669">
        <v>47.922203311942503</v>
      </c>
      <c r="AL2669">
        <v>87.838227890277494</v>
      </c>
      <c r="AM2669">
        <v>89.673638735529295</v>
      </c>
      <c r="AN2669">
        <v>1.00000000463244</v>
      </c>
    </row>
    <row r="2670" spans="1:40" x14ac:dyDescent="0.25">
      <c r="A2670" t="str">
        <f>"20190312160346074"</f>
        <v>20190312160346074</v>
      </c>
      <c r="B2670" t="str">
        <f>"1552377826067416"</f>
        <v>1552377826067416</v>
      </c>
      <c r="C2670" t="s">
        <v>40</v>
      </c>
      <c r="D2670">
        <v>4.9981159999999996</v>
      </c>
      <c r="E2670">
        <v>0.441911</v>
      </c>
      <c r="F2670" t="s">
        <v>59</v>
      </c>
      <c r="G2670">
        <v>-494.33699999999999</v>
      </c>
      <c r="H2670" s="1">
        <v>2.5449980000000001E-6</v>
      </c>
      <c r="I2670">
        <v>278.40589999999997</v>
      </c>
      <c r="J2670">
        <v>-447.38780000000003</v>
      </c>
      <c r="K2670">
        <v>1.110017</v>
      </c>
      <c r="L2670">
        <v>285.37009999999998</v>
      </c>
      <c r="M2670">
        <v>-0.99992009999999998</v>
      </c>
      <c r="N2670">
        <v>0</v>
      </c>
      <c r="O2670">
        <v>2.8104979999999998E-3</v>
      </c>
      <c r="P2670">
        <v>-0.99964379999999997</v>
      </c>
      <c r="Q2670">
        <v>2.521437E-2</v>
      </c>
      <c r="R2670">
        <v>8.7610229999999997E-3</v>
      </c>
      <c r="S2670">
        <v>-3.006653</v>
      </c>
      <c r="T2670">
        <v>-7.0826529999999999E-2</v>
      </c>
      <c r="U2670">
        <v>-0.44433590000000001</v>
      </c>
      <c r="V2670">
        <v>5.9561889999999998E-3</v>
      </c>
      <c r="W2670">
        <v>3.7535260000000001E-2</v>
      </c>
      <c r="X2670">
        <v>0.99927750000000004</v>
      </c>
      <c r="Y2670">
        <v>-0.14893519999999999</v>
      </c>
      <c r="Z2670">
        <v>-1.8103380000000001E-3</v>
      </c>
      <c r="AA2670">
        <v>0.98884530000000004</v>
      </c>
      <c r="AB2670">
        <v>26</v>
      </c>
      <c r="AC2670">
        <v>-46.949199999999898</v>
      </c>
      <c r="AD2670">
        <v>-1.1100144550019999</v>
      </c>
      <c r="AE2670">
        <v>-6.9641999999999999</v>
      </c>
      <c r="AF2670">
        <v>-7.0922540289848</v>
      </c>
      <c r="AG2670">
        <v>-1.1100144550019999</v>
      </c>
      <c r="AH2670">
        <v>46.903786106911099</v>
      </c>
      <c r="AI2670">
        <v>91.340464033910806</v>
      </c>
      <c r="AJ2670">
        <v>98.5984753114477</v>
      </c>
      <c r="AK2670">
        <v>47.4499457372169</v>
      </c>
      <c r="AL2670">
        <v>87.848882586493104</v>
      </c>
      <c r="AM2670">
        <v>89.658492810712701</v>
      </c>
      <c r="AN2670">
        <v>0.99999994696845895</v>
      </c>
    </row>
    <row r="2671" spans="1:40" x14ac:dyDescent="0.25">
      <c r="A2671" t="str">
        <f>"20190312160346088"</f>
        <v>20190312160346088</v>
      </c>
      <c r="B2671" t="str">
        <f>"1552377826077177"</f>
        <v>1552377826077177</v>
      </c>
      <c r="C2671" t="s">
        <v>40</v>
      </c>
      <c r="D2671">
        <v>4.9972379999999896</v>
      </c>
      <c r="E2671">
        <v>0.44187969999999999</v>
      </c>
      <c r="F2671" t="s">
        <v>59</v>
      </c>
      <c r="G2671">
        <v>-494.44889999999998</v>
      </c>
      <c r="H2671" s="1">
        <v>2.5282519999999999E-6</v>
      </c>
      <c r="I2671">
        <v>278.42360000000002</v>
      </c>
      <c r="J2671">
        <v>-447.56079999999997</v>
      </c>
      <c r="K2671">
        <v>1.1100159999999999</v>
      </c>
      <c r="L2671">
        <v>285.3707</v>
      </c>
      <c r="M2671">
        <v>-0.99992000000000003</v>
      </c>
      <c r="N2671">
        <v>0</v>
      </c>
      <c r="O2671">
        <v>2.843992E-3</v>
      </c>
      <c r="P2671">
        <v>-0.99963999999999997</v>
      </c>
      <c r="Q2671">
        <v>2.5279159999999998E-2</v>
      </c>
      <c r="R2671">
        <v>8.9932569999999993E-3</v>
      </c>
      <c r="S2671">
        <v>-3.0067439999999999</v>
      </c>
      <c r="T2671">
        <v>-7.0918919999999996E-2</v>
      </c>
      <c r="U2671">
        <v>-0.44381710000000002</v>
      </c>
      <c r="V2671">
        <v>6.1550399999999996E-3</v>
      </c>
      <c r="W2671">
        <v>3.7600540000000002E-2</v>
      </c>
      <c r="X2671">
        <v>0.99927390000000005</v>
      </c>
      <c r="Y2671">
        <v>-0.14879679999999901</v>
      </c>
      <c r="Z2671">
        <v>-1.81183E-3</v>
      </c>
      <c r="AA2671">
        <v>0.98886620000000003</v>
      </c>
      <c r="AB2671">
        <v>26</v>
      </c>
      <c r="AC2671">
        <v>-46.888100000000001</v>
      </c>
      <c r="AD2671">
        <v>-1.1100134717479999</v>
      </c>
      <c r="AE2671">
        <v>-6.9470999999999696</v>
      </c>
      <c r="AF2671">
        <v>-7.0765506030527696</v>
      </c>
      <c r="AG2671">
        <v>-1.1100134717479999</v>
      </c>
      <c r="AH2671">
        <v>46.8424627597757</v>
      </c>
      <c r="AI2671">
        <v>91.342244277622697</v>
      </c>
      <c r="AJ2671">
        <v>98.590785077507704</v>
      </c>
      <c r="AK2671">
        <v>47.386981500682197</v>
      </c>
      <c r="AL2671">
        <v>87.845139803240002</v>
      </c>
      <c r="AM2671">
        <v>89.647090397399793</v>
      </c>
      <c r="AN2671">
        <v>1.00000000617345</v>
      </c>
    </row>
    <row r="2672" spans="1:40" x14ac:dyDescent="0.25">
      <c r="A2672" t="str">
        <f>"20190312160346106"</f>
        <v>20190312160346106</v>
      </c>
      <c r="B2672" t="str">
        <f>"1552377826097673"</f>
        <v>1552377826097673</v>
      </c>
      <c r="C2672" t="s">
        <v>40</v>
      </c>
      <c r="D2672">
        <v>4.9675649999999996</v>
      </c>
      <c r="E2672">
        <v>0.44179069999999998</v>
      </c>
      <c r="F2672" t="s">
        <v>59</v>
      </c>
      <c r="G2672">
        <v>-494.98320000000001</v>
      </c>
      <c r="H2672" s="1">
        <v>2.4258539999999999E-6</v>
      </c>
      <c r="I2672">
        <v>278.38029999999998</v>
      </c>
      <c r="J2672">
        <v>-447.7731</v>
      </c>
      <c r="K2672">
        <v>1.1100190000000001</v>
      </c>
      <c r="L2672">
        <v>285.37130000000002</v>
      </c>
      <c r="M2672">
        <v>-0.99991989999999997</v>
      </c>
      <c r="N2672">
        <v>0</v>
      </c>
      <c r="O2672">
        <v>2.8850540000000002E-3</v>
      </c>
      <c r="P2672">
        <v>-0.99963650000000004</v>
      </c>
      <c r="Q2672">
        <v>2.529679E-2</v>
      </c>
      <c r="R2672">
        <v>9.3348379999999998E-3</v>
      </c>
      <c r="S2672">
        <v>-3.0068969999999999</v>
      </c>
      <c r="T2672">
        <v>-7.0382239999999999E-2</v>
      </c>
      <c r="U2672">
        <v>-0.4432373</v>
      </c>
      <c r="V2672">
        <v>6.4555369999999999E-3</v>
      </c>
      <c r="W2672">
        <v>3.7618640000000002E-2</v>
      </c>
      <c r="X2672">
        <v>0.99927129999999997</v>
      </c>
      <c r="Y2672">
        <v>-0.1486442</v>
      </c>
      <c r="Z2672">
        <v>-1.7972379999999901E-3</v>
      </c>
      <c r="AA2672">
        <v>0.98888909999999997</v>
      </c>
      <c r="AB2672">
        <v>26</v>
      </c>
      <c r="AC2672">
        <v>-47.210099999999997</v>
      </c>
      <c r="AD2672">
        <v>-1.110016574146</v>
      </c>
      <c r="AE2672">
        <v>-6.9910000000000396</v>
      </c>
      <c r="AF2672">
        <v>-7.1233314644716001</v>
      </c>
      <c r="AG2672">
        <v>-1.110016574146</v>
      </c>
      <c r="AH2672">
        <v>47.164218391192598</v>
      </c>
      <c r="AI2672">
        <v>91.333102113711405</v>
      </c>
      <c r="AJ2672">
        <v>98.588614917862401</v>
      </c>
      <c r="AK2672">
        <v>47.7120266222231</v>
      </c>
      <c r="AL2672">
        <v>87.8441019665471</v>
      </c>
      <c r="AM2672">
        <v>89.629860400102601</v>
      </c>
      <c r="AN2672">
        <v>0.99999998351854802</v>
      </c>
    </row>
    <row r="2673" spans="1:40" x14ac:dyDescent="0.25">
      <c r="A2673" t="str">
        <f>"20190312160346122"</f>
        <v>20190312160346122</v>
      </c>
      <c r="B2673" t="str">
        <f>"1552377826117192"</f>
        <v>1552377826117192</v>
      </c>
      <c r="C2673" t="s">
        <v>40</v>
      </c>
      <c r="D2673">
        <v>5.0299170000000002</v>
      </c>
      <c r="E2673">
        <v>0.44172840000000002</v>
      </c>
      <c r="F2673" t="s">
        <v>59</v>
      </c>
      <c r="G2673">
        <v>-495.42430000000002</v>
      </c>
      <c r="H2673" s="1">
        <v>2.3431909999999998E-6</v>
      </c>
      <c r="I2673">
        <v>278.35520000000002</v>
      </c>
      <c r="J2673">
        <v>-447.94880000000001</v>
      </c>
      <c r="K2673">
        <v>1.11002</v>
      </c>
      <c r="L2673">
        <v>285.37189999999998</v>
      </c>
      <c r="M2673">
        <v>-0.99991980000000003</v>
      </c>
      <c r="N2673">
        <v>0</v>
      </c>
      <c r="O2673">
        <v>2.9190779999999999E-3</v>
      </c>
      <c r="P2673">
        <v>-0.99963900000000006</v>
      </c>
      <c r="Q2673">
        <v>2.5279570000000001E-2</v>
      </c>
      <c r="R2673">
        <v>9.1113229999999993E-3</v>
      </c>
      <c r="S2673">
        <v>-3.0069889999999999</v>
      </c>
      <c r="T2673">
        <v>-7.0046540000000004E-2</v>
      </c>
      <c r="U2673">
        <v>-0.442749</v>
      </c>
      <c r="V2673">
        <v>6.1980359999999996E-3</v>
      </c>
      <c r="W2673">
        <v>3.7602450000000003E-2</v>
      </c>
      <c r="X2673">
        <v>0.99927350000000004</v>
      </c>
      <c r="Y2673">
        <v>-0.14851679999999901</v>
      </c>
      <c r="Z2673">
        <v>-1.787947E-3</v>
      </c>
      <c r="AA2673">
        <v>0.98890829999999996</v>
      </c>
      <c r="AB2673">
        <v>26</v>
      </c>
      <c r="AC2673">
        <v>-47.475499999999997</v>
      </c>
      <c r="AD2673">
        <v>-1.1100176568089899</v>
      </c>
      <c r="AE2673">
        <v>-7.0166999999999504</v>
      </c>
      <c r="AF2673">
        <v>-7.1514394478947603</v>
      </c>
      <c r="AG2673">
        <v>-1.1100176568089899</v>
      </c>
      <c r="AH2673">
        <v>47.4294401259382</v>
      </c>
      <c r="AI2673">
        <v>91.325700731223804</v>
      </c>
      <c r="AJ2673">
        <v>98.574501517505198</v>
      </c>
      <c r="AK2673">
        <v>47.978401557735197</v>
      </c>
      <c r="AL2673">
        <v>87.845030156486004</v>
      </c>
      <c r="AM2673">
        <v>89.644625069957897</v>
      </c>
      <c r="AN2673">
        <v>0.99999994384925295</v>
      </c>
    </row>
    <row r="2674" spans="1:40" x14ac:dyDescent="0.25">
      <c r="A2674" t="str">
        <f>"20190312160346135"</f>
        <v>20190312160346135</v>
      </c>
      <c r="B2674" t="str">
        <f>"1552377826126953"</f>
        <v>1552377826126953</v>
      </c>
      <c r="C2674" t="s">
        <v>40</v>
      </c>
      <c r="D2674">
        <v>4.99566</v>
      </c>
      <c r="E2674">
        <v>0.44158960000000003</v>
      </c>
      <c r="F2674" t="s">
        <v>59</v>
      </c>
      <c r="G2674">
        <v>-495.6121</v>
      </c>
      <c r="H2674" s="1">
        <v>2.3061600000000002E-6</v>
      </c>
      <c r="I2674">
        <v>278.334</v>
      </c>
      <c r="J2674">
        <v>-448.11559999999997</v>
      </c>
      <c r="K2674">
        <v>1.11002</v>
      </c>
      <c r="L2674">
        <v>285.37240000000003</v>
      </c>
      <c r="M2674">
        <v>-0.99991969999999997</v>
      </c>
      <c r="N2674">
        <v>0</v>
      </c>
      <c r="O2674">
        <v>2.9511939999999999E-3</v>
      </c>
      <c r="P2674">
        <v>-0.99963380000000002</v>
      </c>
      <c r="Q2674">
        <v>2.5368189999999999E-2</v>
      </c>
      <c r="R2674">
        <v>9.4226510000000006E-3</v>
      </c>
      <c r="S2674">
        <v>-3.0069270000000001</v>
      </c>
      <c r="T2674">
        <v>-7.0027590000000001E-2</v>
      </c>
      <c r="U2674">
        <v>-0.44400020000000001</v>
      </c>
      <c r="V2674">
        <v>6.4773440000000003E-3</v>
      </c>
      <c r="W2674">
        <v>3.7692980000000001E-2</v>
      </c>
      <c r="X2674">
        <v>0.99926839999999995</v>
      </c>
      <c r="Y2674">
        <v>-0.14895410000000001</v>
      </c>
      <c r="Z2674">
        <v>-1.7932530000000001E-3</v>
      </c>
      <c r="AA2674">
        <v>0.98884249999999996</v>
      </c>
      <c r="AB2674">
        <v>26</v>
      </c>
      <c r="AC2674">
        <v>-47.496499999999997</v>
      </c>
      <c r="AD2674">
        <v>-1.1100176938399999</v>
      </c>
      <c r="AE2674">
        <v>-7.0384000000000198</v>
      </c>
      <c r="AF2674">
        <v>-7.1747168864527904</v>
      </c>
      <c r="AG2674">
        <v>-1.1100176938399999</v>
      </c>
      <c r="AH2674">
        <v>47.450160378785299</v>
      </c>
      <c r="AI2674">
        <v>91.325039028748293</v>
      </c>
      <c r="AJ2674">
        <v>98.598293974015206</v>
      </c>
      <c r="AK2674">
        <v>48.002358500951203</v>
      </c>
      <c r="AL2674">
        <v>87.839839666977099</v>
      </c>
      <c r="AM2674">
        <v>89.628609014470001</v>
      </c>
      <c r="AN2674">
        <v>1.0000000259825601</v>
      </c>
    </row>
    <row r="2675" spans="1:40" x14ac:dyDescent="0.25">
      <c r="A2675" t="str">
        <f>"20190312160346152"</f>
        <v>20190312160346152</v>
      </c>
      <c r="B2675" t="str">
        <f>"1552377826147448"</f>
        <v>1552377826147448</v>
      </c>
      <c r="C2675" t="s">
        <v>40</v>
      </c>
      <c r="D2675">
        <v>5.0076609999999997</v>
      </c>
      <c r="E2675">
        <v>0.44147110000000001</v>
      </c>
      <c r="F2675" t="s">
        <v>59</v>
      </c>
      <c r="G2675">
        <v>-496.46480000000003</v>
      </c>
      <c r="H2675" s="1">
        <v>2.136432E-6</v>
      </c>
      <c r="I2675">
        <v>278.22910000000002</v>
      </c>
      <c r="J2675">
        <v>-448.3005</v>
      </c>
      <c r="K2675">
        <v>1.1100219999999901</v>
      </c>
      <c r="L2675">
        <v>285.37299999999999</v>
      </c>
      <c r="M2675">
        <v>-0.99991949999999996</v>
      </c>
      <c r="N2675">
        <v>0</v>
      </c>
      <c r="O2675">
        <v>2.9870589999999998E-3</v>
      </c>
      <c r="P2675">
        <v>-0.99963299999999999</v>
      </c>
      <c r="Q2675">
        <v>2.5312350000000001E-2</v>
      </c>
      <c r="R2675">
        <v>9.6531169999999993E-3</v>
      </c>
      <c r="S2675">
        <v>-3.00705</v>
      </c>
      <c r="T2675">
        <v>-6.9036959999999994E-2</v>
      </c>
      <c r="U2675">
        <v>-0.44427489999999997</v>
      </c>
      <c r="V2675">
        <v>6.6718109999999997E-3</v>
      </c>
      <c r="W2675">
        <v>3.7639140000000001E-2</v>
      </c>
      <c r="X2675">
        <v>0.99926910000000002</v>
      </c>
      <c r="Y2675">
        <v>-0.14907319999999999</v>
      </c>
      <c r="Z2675">
        <v>-1.7699879999999999E-3</v>
      </c>
      <c r="AA2675">
        <v>0.98882460000000005</v>
      </c>
      <c r="AB2675">
        <v>26</v>
      </c>
      <c r="AC2675">
        <v>-48.164299999999997</v>
      </c>
      <c r="AD2675">
        <v>-1.1100198635680001</v>
      </c>
      <c r="AE2675">
        <v>-7.1438999999999702</v>
      </c>
      <c r="AF2675">
        <v>-7.2839631300699503</v>
      </c>
      <c r="AG2675">
        <v>-1.1100198635680001</v>
      </c>
      <c r="AH2675">
        <v>48.117737003761597</v>
      </c>
      <c r="AI2675">
        <v>91.306631307333305</v>
      </c>
      <c r="AJ2675">
        <v>98.607961913327699</v>
      </c>
      <c r="AK2675">
        <v>48.678587462465501</v>
      </c>
      <c r="AL2675">
        <v>87.842926554533605</v>
      </c>
      <c r="AM2675">
        <v>89.617459469218005</v>
      </c>
      <c r="AN2675">
        <v>0.99999997606838398</v>
      </c>
    </row>
    <row r="2676" spans="1:40" x14ac:dyDescent="0.25">
      <c r="A2676" t="str">
        <f>"20190312160346173"</f>
        <v>20190312160346173</v>
      </c>
      <c r="B2676" t="str">
        <f>"1552377826166968"</f>
        <v>1552377826166968</v>
      </c>
      <c r="C2676" t="s">
        <v>40</v>
      </c>
      <c r="D2676">
        <v>5.0074880000000004</v>
      </c>
      <c r="E2676">
        <v>0.44131320000000002</v>
      </c>
      <c r="F2676" t="s">
        <v>59</v>
      </c>
      <c r="G2676">
        <v>-496.77319999999997</v>
      </c>
      <c r="H2676" s="1">
        <v>2.078227E-6</v>
      </c>
      <c r="I2676">
        <v>278.20920000000001</v>
      </c>
      <c r="J2676">
        <v>-448.56220000000002</v>
      </c>
      <c r="K2676">
        <v>1.110017</v>
      </c>
      <c r="L2676">
        <v>285.37380000000002</v>
      </c>
      <c r="M2676">
        <v>-0.99991929999999996</v>
      </c>
      <c r="N2676">
        <v>0</v>
      </c>
      <c r="O2676">
        <v>3.0380469999999999E-3</v>
      </c>
      <c r="P2676">
        <v>-0.99963800000000003</v>
      </c>
      <c r="Q2676">
        <v>2.5173270000000001E-2</v>
      </c>
      <c r="R2676">
        <v>9.5095279999999997E-3</v>
      </c>
      <c r="S2676">
        <v>-3.0071720000000002</v>
      </c>
      <c r="T2676">
        <v>-6.8863869999999994E-2</v>
      </c>
      <c r="U2676">
        <v>-0.44442749999999998</v>
      </c>
      <c r="V2676">
        <v>6.4772049999999998E-3</v>
      </c>
      <c r="W2676">
        <v>3.7505240000000002E-2</v>
      </c>
      <c r="X2676">
        <v>0.99927540000000004</v>
      </c>
      <c r="Y2676">
        <v>-0.1491671</v>
      </c>
      <c r="Z2676">
        <v>-1.7677050000000001E-3</v>
      </c>
      <c r="AA2676">
        <v>0.98881039999999998</v>
      </c>
      <c r="AB2676">
        <v>26</v>
      </c>
      <c r="AC2676">
        <v>-48.210999999999899</v>
      </c>
      <c r="AD2676">
        <v>-1.110014921773</v>
      </c>
      <c r="AE2676">
        <v>-7.1646000000000001</v>
      </c>
      <c r="AF2676">
        <v>-7.30725541627839</v>
      </c>
      <c r="AG2676">
        <v>-1.110014921773</v>
      </c>
      <c r="AH2676">
        <v>48.164028922202696</v>
      </c>
      <c r="AI2676">
        <v>91.305304728795903</v>
      </c>
      <c r="AJ2676">
        <v>98.626899232047705</v>
      </c>
      <c r="AK2676">
        <v>48.727833902853298</v>
      </c>
      <c r="AL2676">
        <v>87.850603848310499</v>
      </c>
      <c r="AM2676">
        <v>89.628619585572594</v>
      </c>
      <c r="AN2676">
        <v>0.999999961128614</v>
      </c>
    </row>
    <row r="2677" spans="1:40" x14ac:dyDescent="0.25">
      <c r="A2677" t="str">
        <f>"20190312160346189"</f>
        <v>20190312160346189</v>
      </c>
      <c r="B2677" t="str">
        <f>"1552377826176729"</f>
        <v>1552377826176729</v>
      </c>
      <c r="C2677" t="s">
        <v>40</v>
      </c>
      <c r="D2677">
        <v>5.0336309999999997</v>
      </c>
      <c r="E2677">
        <v>0.44121890000000002</v>
      </c>
      <c r="F2677" t="s">
        <v>59</v>
      </c>
      <c r="G2677">
        <v>-496.32830000000001</v>
      </c>
      <c r="H2677" s="1">
        <v>2.1707700000000001E-6</v>
      </c>
      <c r="I2677">
        <v>278.28660000000002</v>
      </c>
      <c r="J2677">
        <v>-448.74639999999999</v>
      </c>
      <c r="K2677">
        <v>1.110017</v>
      </c>
      <c r="L2677">
        <v>285.37439999999998</v>
      </c>
      <c r="M2677">
        <v>-0.99991909999999895</v>
      </c>
      <c r="N2677">
        <v>0</v>
      </c>
      <c r="O2677">
        <v>3.0736689999999998E-3</v>
      </c>
      <c r="P2677">
        <v>-0.99964810000000004</v>
      </c>
      <c r="Q2677">
        <v>2.4787590000000002E-2</v>
      </c>
      <c r="R2677">
        <v>9.4789560000000002E-3</v>
      </c>
      <c r="S2677">
        <v>-3.00705</v>
      </c>
      <c r="T2677">
        <v>-6.9879410000000003E-2</v>
      </c>
      <c r="U2677">
        <v>-0.44616699999999998</v>
      </c>
      <c r="V2677">
        <v>6.4112250000000004E-3</v>
      </c>
      <c r="W2677">
        <v>3.7123080000000003E-2</v>
      </c>
      <c r="X2677">
        <v>0.99929009999999996</v>
      </c>
      <c r="Y2677">
        <v>-0.1497665</v>
      </c>
      <c r="Z2677">
        <v>-1.8015119999999999E-3</v>
      </c>
      <c r="AA2677">
        <v>0.98871980000000004</v>
      </c>
      <c r="AB2677">
        <v>26</v>
      </c>
      <c r="AC2677">
        <v>-47.581899999999997</v>
      </c>
      <c r="AD2677">
        <v>-1.1100148292299901</v>
      </c>
      <c r="AE2677">
        <v>-7.0877999999999597</v>
      </c>
      <c r="AF2677">
        <v>-7.2301792774228799</v>
      </c>
      <c r="AG2677">
        <v>-1.1100148292299901</v>
      </c>
      <c r="AH2677">
        <v>47.534580305416398</v>
      </c>
      <c r="AI2677">
        <v>91.3225071710484</v>
      </c>
      <c r="AJ2677">
        <v>98.6486025079911</v>
      </c>
      <c r="AK2677">
        <v>48.0941155456348</v>
      </c>
      <c r="AL2677">
        <v>87.872515272976997</v>
      </c>
      <c r="AM2677">
        <v>89.632407952396605</v>
      </c>
      <c r="AN2677">
        <v>0.99999996541634795</v>
      </c>
    </row>
    <row r="2678" spans="1:40" x14ac:dyDescent="0.25">
      <c r="A2678" t="str">
        <f>"20190312160346206"</f>
        <v>20190312160346206</v>
      </c>
      <c r="B2678" t="str">
        <f>"1552377826197226"</f>
        <v>1552377826197226</v>
      </c>
      <c r="C2678" t="s">
        <v>40</v>
      </c>
      <c r="D2678">
        <v>6.100301</v>
      </c>
      <c r="E2678">
        <v>0.44108380000000003</v>
      </c>
      <c r="F2678" t="s">
        <v>59</v>
      </c>
      <c r="G2678">
        <v>-496.041</v>
      </c>
      <c r="H2678" s="1">
        <v>2.2320380000000002E-6</v>
      </c>
      <c r="I2678">
        <v>278.34519999999998</v>
      </c>
      <c r="J2678">
        <v>-448.9502</v>
      </c>
      <c r="K2678">
        <v>1.1100159999999999</v>
      </c>
      <c r="L2678">
        <v>285.37509999999997</v>
      </c>
      <c r="M2678">
        <v>-0.99991909999999895</v>
      </c>
      <c r="N2678">
        <v>0</v>
      </c>
      <c r="O2678">
        <v>3.1128689999999999E-3</v>
      </c>
      <c r="P2678">
        <v>-0.99965689999999996</v>
      </c>
      <c r="Q2678">
        <v>2.4369890000000002E-2</v>
      </c>
      <c r="R2678">
        <v>9.6234670000000001E-3</v>
      </c>
      <c r="S2678">
        <v>-3.00705</v>
      </c>
      <c r="T2678">
        <v>-7.0576070000000005E-2</v>
      </c>
      <c r="U2678">
        <v>-0.44692989999999999</v>
      </c>
      <c r="V2678">
        <v>6.5163540000000002E-3</v>
      </c>
      <c r="W2678">
        <v>3.6708989999999997E-2</v>
      </c>
      <c r="X2678">
        <v>0.99930479999999999</v>
      </c>
      <c r="Y2678">
        <v>-0.15004979999999901</v>
      </c>
      <c r="Z2678">
        <v>-1.823655E-3</v>
      </c>
      <c r="AA2678">
        <v>0.98867680000000002</v>
      </c>
      <c r="AB2678">
        <v>26</v>
      </c>
      <c r="AC2678">
        <v>-47.090800000000002</v>
      </c>
      <c r="AD2678">
        <v>-1.1100137679619999</v>
      </c>
      <c r="AE2678">
        <v>-7.0298999999999898</v>
      </c>
      <c r="AF2678">
        <v>-7.1725661717723304</v>
      </c>
      <c r="AG2678">
        <v>-1.1100137679619999</v>
      </c>
      <c r="AH2678">
        <v>47.043118302514699</v>
      </c>
      <c r="AI2678">
        <v>91.336244777269997</v>
      </c>
      <c r="AJ2678">
        <v>98.669004901842598</v>
      </c>
      <c r="AK2678">
        <v>47.5997144495417</v>
      </c>
      <c r="AL2678">
        <v>87.896257240344099</v>
      </c>
      <c r="AM2678">
        <v>89.626385973375605</v>
      </c>
      <c r="AN2678">
        <v>1.00000004805965</v>
      </c>
    </row>
    <row r="2679" spans="1:40" x14ac:dyDescent="0.25">
      <c r="A2679" t="str">
        <f>"20190312160346230"</f>
        <v>20190312160346230</v>
      </c>
      <c r="B2679" t="str">
        <f>"1552377826227480"</f>
        <v>1552377826227480</v>
      </c>
      <c r="C2679" t="s">
        <v>40</v>
      </c>
      <c r="D2679">
        <v>5.0199030000000002</v>
      </c>
      <c r="E2679">
        <v>0.44088040000000001</v>
      </c>
      <c r="F2679" t="s">
        <v>59</v>
      </c>
      <c r="G2679">
        <v>-495.72120000000001</v>
      </c>
      <c r="H2679" s="1">
        <v>2.3002649999999999E-6</v>
      </c>
      <c r="I2679">
        <v>278.41039999999998</v>
      </c>
      <c r="J2679">
        <v>-449.21469999999999</v>
      </c>
      <c r="K2679">
        <v>1.1100159999999999</v>
      </c>
      <c r="L2679">
        <v>285.37599999999998</v>
      </c>
      <c r="M2679">
        <v>-0.99991890000000005</v>
      </c>
      <c r="N2679">
        <v>0</v>
      </c>
      <c r="O2679">
        <v>3.1643370000000001E-3</v>
      </c>
      <c r="P2679">
        <v>-0.99965660000000001</v>
      </c>
      <c r="Q2679">
        <v>2.4305420000000001E-2</v>
      </c>
      <c r="R2679">
        <v>9.8028030000000006E-3</v>
      </c>
      <c r="S2679">
        <v>-3.0070800000000002</v>
      </c>
      <c r="T2679">
        <v>-7.1366789999999999E-2</v>
      </c>
      <c r="U2679">
        <v>-0.44778440000000003</v>
      </c>
      <c r="V2679">
        <v>6.6440889999999997E-3</v>
      </c>
      <c r="W2679">
        <v>3.6648470000000002E-2</v>
      </c>
      <c r="X2679">
        <v>0.99930609999999997</v>
      </c>
      <c r="Y2679">
        <v>-0.15037310000000001</v>
      </c>
      <c r="Z2679">
        <v>-1.849053E-3</v>
      </c>
      <c r="AA2679">
        <v>0.98862760000000005</v>
      </c>
      <c r="AB2679">
        <v>26</v>
      </c>
      <c r="AC2679">
        <v>-46.506500000000003</v>
      </c>
      <c r="AD2679">
        <v>-1.1100136997350001</v>
      </c>
      <c r="AE2679">
        <v>-6.9655999999999896</v>
      </c>
      <c r="AF2679">
        <v>-7.1087776997560397</v>
      </c>
      <c r="AG2679">
        <v>-1.1100136997350001</v>
      </c>
      <c r="AH2679">
        <v>46.458338351898497</v>
      </c>
      <c r="AI2679">
        <v>91.352947801688401</v>
      </c>
      <c r="AJ2679">
        <v>98.699581772041995</v>
      </c>
      <c r="AK2679">
        <v>47.0121692034906</v>
      </c>
      <c r="AL2679">
        <v>87.899726947136799</v>
      </c>
      <c r="AM2679">
        <v>89.619063018595796</v>
      </c>
      <c r="AN2679">
        <v>0.999999967884594</v>
      </c>
    </row>
    <row r="2680" spans="1:40" x14ac:dyDescent="0.25">
      <c r="A2680" t="str">
        <f>"20190312160346244"</f>
        <v>20190312160346244</v>
      </c>
      <c r="B2680" t="str">
        <f>"1552377826237241"</f>
        <v>1552377826237241</v>
      </c>
      <c r="C2680" t="s">
        <v>40</v>
      </c>
      <c r="D2680">
        <v>5.0526929999999997</v>
      </c>
      <c r="E2680">
        <v>0.4407817</v>
      </c>
      <c r="F2680" t="s">
        <v>59</v>
      </c>
      <c r="G2680">
        <v>-495.83510000000001</v>
      </c>
      <c r="H2680" s="1">
        <v>2.2811979999999998E-6</v>
      </c>
      <c r="I2680">
        <v>278.41680000000002</v>
      </c>
      <c r="J2680">
        <v>-449.38900000000001</v>
      </c>
      <c r="K2680">
        <v>1.11002</v>
      </c>
      <c r="L2680">
        <v>285.3766</v>
      </c>
      <c r="M2680">
        <v>-0.99991870000000005</v>
      </c>
      <c r="N2680">
        <v>0</v>
      </c>
      <c r="O2680">
        <v>3.1985260000000001E-3</v>
      </c>
      <c r="P2680">
        <v>-0.99965099999999996</v>
      </c>
      <c r="Q2680">
        <v>2.4456499999999999E-2</v>
      </c>
      <c r="R2680">
        <v>1.000638E-2</v>
      </c>
      <c r="S2680">
        <v>-3.0071409999999998</v>
      </c>
      <c r="T2680">
        <v>-7.1598889999999998E-2</v>
      </c>
      <c r="U2680">
        <v>-0.44888309999999998</v>
      </c>
      <c r="V2680">
        <v>6.8135859999999999E-3</v>
      </c>
      <c r="W2680">
        <v>3.6802870000000001E-2</v>
      </c>
      <c r="X2680">
        <v>0.9992993</v>
      </c>
      <c r="Y2680">
        <v>-0.1507569</v>
      </c>
      <c r="Z2680">
        <v>-1.8603319999999999E-3</v>
      </c>
      <c r="AA2680">
        <v>0.98856909999999998</v>
      </c>
      <c r="AB2680">
        <v>26</v>
      </c>
      <c r="AC2680">
        <v>-46.446100000000001</v>
      </c>
      <c r="AD2680">
        <v>-1.110017718802</v>
      </c>
      <c r="AE2680">
        <v>-6.9597999999999702</v>
      </c>
      <c r="AF2680">
        <v>-7.1043661198979304</v>
      </c>
      <c r="AG2680">
        <v>-1.110017718802</v>
      </c>
      <c r="AH2680">
        <v>46.3976808469274</v>
      </c>
      <c r="AI2680">
        <v>91.354699549585007</v>
      </c>
      <c r="AJ2680">
        <v>98.705457826597396</v>
      </c>
      <c r="AK2680">
        <v>46.951559561690203</v>
      </c>
      <c r="AL2680">
        <v>87.890874539631895</v>
      </c>
      <c r="AM2680">
        <v>89.609342594788103</v>
      </c>
      <c r="AN2680">
        <v>0.99999998358745301</v>
      </c>
    </row>
    <row r="2681" spans="1:40" x14ac:dyDescent="0.25">
      <c r="A2681" t="str">
        <f>"20190312160346257"</f>
        <v>20190312160346257</v>
      </c>
      <c r="B2681" t="str">
        <f>"1552377826247001"</f>
        <v>1552377826247001</v>
      </c>
      <c r="C2681" t="s">
        <v>40</v>
      </c>
      <c r="D2681">
        <v>5.0576509999999999</v>
      </c>
      <c r="E2681">
        <v>0.44070769999999998</v>
      </c>
      <c r="F2681" t="s">
        <v>59</v>
      </c>
      <c r="G2681">
        <v>-495.77190000000002</v>
      </c>
      <c r="H2681" s="1">
        <v>2.2985710000000002E-6</v>
      </c>
      <c r="I2681">
        <v>278.45179999999999</v>
      </c>
      <c r="J2681">
        <v>-449.54090000000002</v>
      </c>
      <c r="K2681">
        <v>1.1100219999999901</v>
      </c>
      <c r="L2681">
        <v>285.37709999999998</v>
      </c>
      <c r="M2681">
        <v>-0.99991870000000005</v>
      </c>
      <c r="N2681">
        <v>0</v>
      </c>
      <c r="O2681">
        <v>3.2279549999999998E-3</v>
      </c>
      <c r="P2681">
        <v>-0.99965040000000005</v>
      </c>
      <c r="Q2681">
        <v>2.4601399999999999E-2</v>
      </c>
      <c r="R2681">
        <v>9.7067179999999996E-3</v>
      </c>
      <c r="S2681">
        <v>-3.0072939999999999</v>
      </c>
      <c r="T2681">
        <v>-7.196951E-2</v>
      </c>
      <c r="U2681">
        <v>-0.4489746</v>
      </c>
      <c r="V2681">
        <v>6.4844319999999896E-3</v>
      </c>
      <c r="W2681">
        <v>3.6950579999999997E-2</v>
      </c>
      <c r="X2681">
        <v>0.99929610000000002</v>
      </c>
      <c r="Y2681">
        <v>-0.15080760000000001</v>
      </c>
      <c r="Z2681">
        <v>-1.871164E-3</v>
      </c>
      <c r="AA2681">
        <v>0.98856129999999998</v>
      </c>
      <c r="AB2681">
        <v>26</v>
      </c>
      <c r="AC2681">
        <v>-46.231000000000002</v>
      </c>
      <c r="AD2681">
        <v>-1.1100197014290001</v>
      </c>
      <c r="AE2681">
        <v>-6.9252999999999902</v>
      </c>
      <c r="AF2681">
        <v>-7.07052020358796</v>
      </c>
      <c r="AG2681">
        <v>-1.1100197014290001</v>
      </c>
      <c r="AH2681">
        <v>46.182363303560201</v>
      </c>
      <c r="AI2681">
        <v>91.361019533322903</v>
      </c>
      <c r="AJ2681">
        <v>98.704395055980001</v>
      </c>
      <c r="AK2681">
        <v>46.733661101918102</v>
      </c>
      <c r="AL2681">
        <v>87.882405748246896</v>
      </c>
      <c r="AM2681">
        <v>89.628212927502105</v>
      </c>
      <c r="AN2681">
        <v>1.00000004434795</v>
      </c>
    </row>
    <row r="2682" spans="1:40" x14ac:dyDescent="0.25">
      <c r="A2682" t="str">
        <f>"20190312160346274"</f>
        <v>20190312160346274</v>
      </c>
      <c r="B2682" t="str">
        <f>"1552377826267497"</f>
        <v>1552377826267497</v>
      </c>
      <c r="C2682" t="s">
        <v>40</v>
      </c>
      <c r="D2682">
        <v>5.2040819999999997</v>
      </c>
      <c r="E2682">
        <v>0.44064920000000002</v>
      </c>
      <c r="F2682" t="s">
        <v>59</v>
      </c>
      <c r="G2682">
        <v>-495.60390000000001</v>
      </c>
      <c r="H2682" s="1">
        <v>2.3325519999999999E-6</v>
      </c>
      <c r="I2682">
        <v>278.47559999999999</v>
      </c>
      <c r="J2682">
        <v>-449.73739999999998</v>
      </c>
      <c r="K2682">
        <v>1.110015</v>
      </c>
      <c r="L2682">
        <v>285.37779999999998</v>
      </c>
      <c r="M2682">
        <v>-0.99991830000000004</v>
      </c>
      <c r="N2682">
        <v>0</v>
      </c>
      <c r="O2682">
        <v>3.266143E-3</v>
      </c>
      <c r="P2682">
        <v>-0.99966189999999999</v>
      </c>
      <c r="Q2682">
        <v>2.4144530000000001E-2</v>
      </c>
      <c r="R2682">
        <v>9.6557269999999994E-3</v>
      </c>
      <c r="S2682">
        <v>-3.0072019999999999</v>
      </c>
      <c r="T2682">
        <v>-7.2467089999999998E-2</v>
      </c>
      <c r="U2682">
        <v>-0.4505615</v>
      </c>
      <c r="V2682">
        <v>6.3951540000000001E-3</v>
      </c>
      <c r="W2682">
        <v>3.6496460000000001E-2</v>
      </c>
      <c r="X2682">
        <v>0.99931329999999996</v>
      </c>
      <c r="Y2682">
        <v>-0.1513592</v>
      </c>
      <c r="Z2682">
        <v>-1.891605E-3</v>
      </c>
      <c r="AA2682">
        <v>0.98847700000000005</v>
      </c>
      <c r="AB2682">
        <v>26</v>
      </c>
      <c r="AC2682">
        <v>-45.866500000000002</v>
      </c>
      <c r="AD2682">
        <v>-1.110012667448</v>
      </c>
      <c r="AE2682">
        <v>-6.9021999999999899</v>
      </c>
      <c r="AF2682">
        <v>-7.0479446953624496</v>
      </c>
      <c r="AG2682">
        <v>-1.110012667448</v>
      </c>
      <c r="AH2682">
        <v>45.817469613470898</v>
      </c>
      <c r="AI2682">
        <v>91.371696598003695</v>
      </c>
      <c r="AJ2682">
        <v>98.745066740603093</v>
      </c>
      <c r="AK2682">
        <v>46.369668689048403</v>
      </c>
      <c r="AL2682">
        <v>87.908442335963201</v>
      </c>
      <c r="AM2682">
        <v>89.633337881549096</v>
      </c>
      <c r="AN2682">
        <v>0.99999998057205197</v>
      </c>
    </row>
    <row r="2683" spans="1:40" x14ac:dyDescent="0.25">
      <c r="A2683" t="str">
        <f>"20190312160346288"</f>
        <v>20190312160346288</v>
      </c>
      <c r="B2683" t="str">
        <f>"1552377826277257"</f>
        <v>1552377826277257</v>
      </c>
      <c r="C2683" t="s">
        <v>40</v>
      </c>
      <c r="D2683">
        <v>5.2575390000000004</v>
      </c>
      <c r="E2683">
        <v>0.44166070000000002</v>
      </c>
      <c r="F2683" t="s">
        <v>59</v>
      </c>
      <c r="G2683">
        <v>-494.62259999999998</v>
      </c>
      <c r="H2683" s="1">
        <v>2.536439E-6</v>
      </c>
      <c r="I2683">
        <v>278.64490000000001</v>
      </c>
      <c r="J2683">
        <v>-449.91019999999997</v>
      </c>
      <c r="K2683">
        <v>1.1100139999999901</v>
      </c>
      <c r="L2683">
        <v>285.3784</v>
      </c>
      <c r="M2683">
        <v>-0.99991819999999998</v>
      </c>
      <c r="N2683">
        <v>0</v>
      </c>
      <c r="O2683">
        <v>3.2996240000000001E-3</v>
      </c>
      <c r="P2683">
        <v>-0.99967110000000003</v>
      </c>
      <c r="Q2683">
        <v>2.3584109999999998E-2</v>
      </c>
      <c r="R2683">
        <v>1.00911E-2</v>
      </c>
      <c r="S2683">
        <v>-3.0071409999999998</v>
      </c>
      <c r="T2683">
        <v>-7.4366689999999999E-2</v>
      </c>
      <c r="U2683">
        <v>-0.45108029999999999</v>
      </c>
      <c r="V2683">
        <v>6.7970590000000003E-3</v>
      </c>
      <c r="W2683">
        <v>3.5938459999999998E-2</v>
      </c>
      <c r="X2683">
        <v>0.99933090000000002</v>
      </c>
      <c r="Y2683">
        <v>-0.15155969999999999</v>
      </c>
      <c r="Z2683">
        <v>-1.944477E-3</v>
      </c>
      <c r="AA2683">
        <v>0.98844620000000005</v>
      </c>
      <c r="AB2683">
        <v>26</v>
      </c>
      <c r="AC2683">
        <v>-44.712400000000002</v>
      </c>
      <c r="AD2683">
        <v>-1.1100114635609999</v>
      </c>
      <c r="AE2683">
        <v>-6.7334999999999896</v>
      </c>
      <c r="AF2683">
        <v>-6.8768644236990903</v>
      </c>
      <c r="AG2683">
        <v>-1.1100114635609999</v>
      </c>
      <c r="AH2683">
        <v>44.6630210197834</v>
      </c>
      <c r="AI2683">
        <v>91.407105778075504</v>
      </c>
      <c r="AJ2683">
        <v>98.753218086742507</v>
      </c>
      <c r="AK2683">
        <v>45.202973755769499</v>
      </c>
      <c r="AL2683">
        <v>87.940434432168601</v>
      </c>
      <c r="AM2683">
        <v>89.610302464865399</v>
      </c>
      <c r="AN2683">
        <v>1.0000000103065101</v>
      </c>
    </row>
    <row r="2684" spans="1:40" x14ac:dyDescent="0.25">
      <c r="A2684" t="str">
        <f>"20190312160346302"</f>
        <v>20190312160346302</v>
      </c>
      <c r="B2684" t="str">
        <f>"1552377826296777"</f>
        <v>1552377826296777</v>
      </c>
      <c r="C2684" t="s">
        <v>40</v>
      </c>
      <c r="D2684">
        <v>5.1699440000000001</v>
      </c>
      <c r="E2684">
        <v>0.44366519999999998</v>
      </c>
      <c r="F2684" t="s">
        <v>59</v>
      </c>
      <c r="G2684">
        <v>-491.2287</v>
      </c>
      <c r="H2684" s="1">
        <v>3.2544109999999998E-6</v>
      </c>
      <c r="I2684">
        <v>279.30329999999998</v>
      </c>
      <c r="J2684">
        <v>-450.06740000000002</v>
      </c>
      <c r="K2684">
        <v>1.1100159999999999</v>
      </c>
      <c r="L2684">
        <v>285.37889999999999</v>
      </c>
      <c r="M2684">
        <v>-0.99991799999999997</v>
      </c>
      <c r="N2684">
        <v>0</v>
      </c>
      <c r="O2684">
        <v>3.3302480000000001E-3</v>
      </c>
      <c r="P2684">
        <v>-0.99967740000000005</v>
      </c>
      <c r="Q2684">
        <v>2.3271429999999999E-2</v>
      </c>
      <c r="R2684">
        <v>1.0176019999999999E-2</v>
      </c>
      <c r="S2684">
        <v>-3.007355</v>
      </c>
      <c r="T2684">
        <v>-8.0791829999999995E-2</v>
      </c>
      <c r="U2684">
        <v>-0.44216919999999998</v>
      </c>
      <c r="V2684">
        <v>6.851106E-3</v>
      </c>
      <c r="W2684">
        <v>3.5628229999999997E-2</v>
      </c>
      <c r="X2684">
        <v>0.99934160000000005</v>
      </c>
      <c r="Y2684">
        <v>-0.148706</v>
      </c>
      <c r="Z2684">
        <v>-2.075426E-3</v>
      </c>
      <c r="AA2684">
        <v>0.98887930000000002</v>
      </c>
      <c r="AB2684">
        <v>26</v>
      </c>
      <c r="AC2684">
        <v>-41.161299999999898</v>
      </c>
      <c r="AD2684">
        <v>-1.1100127455890001</v>
      </c>
      <c r="AE2684">
        <v>-6.0755999999999997</v>
      </c>
      <c r="AF2684">
        <v>-6.2082355133868496</v>
      </c>
      <c r="AG2684">
        <v>-1.1100127455890001</v>
      </c>
      <c r="AH2684">
        <v>41.1115764306806</v>
      </c>
      <c r="AI2684">
        <v>91.529280471160703</v>
      </c>
      <c r="AJ2684">
        <v>98.587320333040196</v>
      </c>
      <c r="AK2684">
        <v>41.592499721713502</v>
      </c>
      <c r="AL2684">
        <v>87.958220612197394</v>
      </c>
      <c r="AM2684">
        <v>89.607208076549696</v>
      </c>
      <c r="AN2684">
        <v>0.99999997095845705</v>
      </c>
    </row>
    <row r="2685" spans="1:40" x14ac:dyDescent="0.25">
      <c r="A2685" t="str">
        <f>"20190312160346315"</f>
        <v>20190312160346315</v>
      </c>
      <c r="B2685" t="str">
        <f>"1552377826307513"</f>
        <v>1552377826307513</v>
      </c>
      <c r="C2685" t="s">
        <v>40</v>
      </c>
      <c r="D2685">
        <v>5.1053989999999896</v>
      </c>
      <c r="E2685">
        <v>0.44471339999999998</v>
      </c>
      <c r="F2685" t="s">
        <v>59</v>
      </c>
      <c r="G2685">
        <v>-487.18439999999998</v>
      </c>
      <c r="H2685" s="1">
        <v>3.0866810000000001E-6</v>
      </c>
      <c r="I2685">
        <v>280.11579999999998</v>
      </c>
      <c r="J2685">
        <v>-450.21080000000001</v>
      </c>
      <c r="K2685">
        <v>1.1100209999999999</v>
      </c>
      <c r="L2685">
        <v>285.37950000000001</v>
      </c>
      <c r="M2685">
        <v>-0.99991799999999997</v>
      </c>
      <c r="N2685">
        <v>0</v>
      </c>
      <c r="O2685">
        <v>3.358013E-3</v>
      </c>
      <c r="P2685">
        <v>-0.99966650000000001</v>
      </c>
      <c r="Q2685">
        <v>2.3603720000000002E-2</v>
      </c>
      <c r="R2685">
        <v>1.0479850000000001E-2</v>
      </c>
      <c r="S2685">
        <v>-3.0074160000000001</v>
      </c>
      <c r="T2685">
        <v>-8.9939240000000004E-2</v>
      </c>
      <c r="U2685">
        <v>-0.42645260000000001</v>
      </c>
      <c r="V2685">
        <v>7.1274440000000001E-3</v>
      </c>
      <c r="W2685">
        <v>3.5961800000000002E-2</v>
      </c>
      <c r="X2685">
        <v>0.99932770000000004</v>
      </c>
      <c r="Y2685">
        <v>-0.1436557</v>
      </c>
      <c r="Z2685">
        <v>-2.2368240000000001E-3</v>
      </c>
      <c r="AA2685">
        <v>0.98962519999999998</v>
      </c>
      <c r="AB2685">
        <v>26</v>
      </c>
      <c r="AC2685">
        <v>-36.973599999999898</v>
      </c>
      <c r="AD2685">
        <v>-1.110017913319</v>
      </c>
      <c r="AE2685">
        <v>-5.2637000000000196</v>
      </c>
      <c r="AF2685">
        <v>-5.3830821586481301</v>
      </c>
      <c r="AG2685">
        <v>-1.110017913319</v>
      </c>
      <c r="AH2685">
        <v>36.923096338205198</v>
      </c>
      <c r="AI2685">
        <v>91.703959609573303</v>
      </c>
      <c r="AJ2685">
        <v>98.294811000886199</v>
      </c>
      <c r="AK2685">
        <v>37.329944501633399</v>
      </c>
      <c r="AL2685">
        <v>87.939096162962699</v>
      </c>
      <c r="AM2685">
        <v>89.591359735499793</v>
      </c>
      <c r="AN2685">
        <v>0.99999995175224998</v>
      </c>
    </row>
    <row r="2686" spans="1:40" x14ac:dyDescent="0.25">
      <c r="A2686" t="str">
        <f>"20190312160346328"</f>
        <v>20190312160346328</v>
      </c>
      <c r="B2686" t="str">
        <f>"1552377826317272"</f>
        <v>1552377826317272</v>
      </c>
      <c r="C2686" t="s">
        <v>40</v>
      </c>
      <c r="D2686">
        <v>5.0967500000000001</v>
      </c>
      <c r="E2686">
        <v>0.44574150000000001</v>
      </c>
      <c r="F2686" t="s">
        <v>59</v>
      </c>
      <c r="G2686">
        <v>-486.26889999999997</v>
      </c>
      <c r="H2686" s="1">
        <v>2.9470130000000001E-6</v>
      </c>
      <c r="I2686">
        <v>280.37560000000002</v>
      </c>
      <c r="J2686">
        <v>-450.36020000000002</v>
      </c>
      <c r="K2686">
        <v>1.1100219999999901</v>
      </c>
      <c r="L2686">
        <v>285.38</v>
      </c>
      <c r="M2686">
        <v>-0.99991790000000003</v>
      </c>
      <c r="N2686">
        <v>0</v>
      </c>
      <c r="O2686">
        <v>3.3870889999999998E-3</v>
      </c>
      <c r="P2686">
        <v>-0.99965910000000002</v>
      </c>
      <c r="Q2686">
        <v>2.3908019999999999E-2</v>
      </c>
      <c r="R2686">
        <v>1.0499120000000001E-2</v>
      </c>
      <c r="S2686">
        <v>-3.0075069999999999</v>
      </c>
      <c r="T2686">
        <v>-9.258342E-2</v>
      </c>
      <c r="U2686">
        <v>-0.41735840000000002</v>
      </c>
      <c r="V2686">
        <v>7.1175509999999997E-3</v>
      </c>
      <c r="W2686">
        <v>3.626774E-2</v>
      </c>
      <c r="X2686">
        <v>0.99931680000000001</v>
      </c>
      <c r="Y2686">
        <v>-0.14074239999999999</v>
      </c>
      <c r="Z2686">
        <v>-2.2592409999999999E-3</v>
      </c>
      <c r="AA2686">
        <v>0.99004369999999997</v>
      </c>
      <c r="AB2686">
        <v>26</v>
      </c>
      <c r="AC2686">
        <v>-35.908699999999897</v>
      </c>
      <c r="AD2686">
        <v>-1.11001905298699</v>
      </c>
      <c r="AE2686">
        <v>-5.0043999999999702</v>
      </c>
      <c r="AF2686">
        <v>-5.1212061171392698</v>
      </c>
      <c r="AG2686">
        <v>-1.11001905298699</v>
      </c>
      <c r="AH2686">
        <v>35.857930488583598</v>
      </c>
      <c r="AI2686">
        <v>91.755283555956694</v>
      </c>
      <c r="AJ2686">
        <v>98.127979954082093</v>
      </c>
      <c r="AK2686">
        <v>36.2387923821464</v>
      </c>
      <c r="AL2686">
        <v>87.921555827258899</v>
      </c>
      <c r="AM2686">
        <v>89.591922464282007</v>
      </c>
      <c r="AN2686">
        <v>1.0000000376295901</v>
      </c>
    </row>
    <row r="2687" spans="1:40" x14ac:dyDescent="0.25">
      <c r="A2687" t="str">
        <f>"20190312160346341"</f>
        <v>20190312160346341</v>
      </c>
      <c r="B2687" t="str">
        <f>"1552377826336793"</f>
        <v>1552377826336793</v>
      </c>
      <c r="C2687" t="s">
        <v>40</v>
      </c>
      <c r="D2687">
        <v>5.1315049999999998</v>
      </c>
      <c r="E2687">
        <v>0.44767499999999999</v>
      </c>
      <c r="F2687" t="s">
        <v>59</v>
      </c>
      <c r="G2687">
        <v>-485.34039999999999</v>
      </c>
      <c r="H2687" s="1">
        <v>2.8038510000000001E-6</v>
      </c>
      <c r="I2687">
        <v>280.62200000000001</v>
      </c>
      <c r="J2687">
        <v>-450.5213</v>
      </c>
      <c r="K2687">
        <v>1.110028</v>
      </c>
      <c r="L2687">
        <v>285.38060000000002</v>
      </c>
      <c r="M2687">
        <v>-0.99991759999999996</v>
      </c>
      <c r="N2687">
        <v>0</v>
      </c>
      <c r="O2687">
        <v>3.4185499999999998E-3</v>
      </c>
      <c r="P2687">
        <v>-0.99962470000000003</v>
      </c>
      <c r="Q2687">
        <v>2.5255719999999999E-2</v>
      </c>
      <c r="R2687">
        <v>1.062374E-2</v>
      </c>
      <c r="S2687">
        <v>-3.007568</v>
      </c>
      <c r="T2687">
        <v>-9.5438599999999998E-2</v>
      </c>
      <c r="U2687">
        <v>-0.40908810000000001</v>
      </c>
      <c r="V2687">
        <v>7.2111409999999999E-3</v>
      </c>
      <c r="W2687">
        <v>3.7616259999999999E-2</v>
      </c>
      <c r="X2687">
        <v>0.99926630000000005</v>
      </c>
      <c r="Y2687">
        <v>-0.13809540000000001</v>
      </c>
      <c r="Z2687">
        <v>-2.2884649999999999E-3</v>
      </c>
      <c r="AA2687">
        <v>0.99041630000000003</v>
      </c>
      <c r="AB2687">
        <v>26</v>
      </c>
      <c r="AC2687">
        <v>-34.819099999999899</v>
      </c>
      <c r="AD2687">
        <v>-1.110025196149</v>
      </c>
      <c r="AE2687">
        <v>-4.7586000000000004</v>
      </c>
      <c r="AF2687">
        <v>-4.8727506634010904</v>
      </c>
      <c r="AG2687">
        <v>-1.110025196149</v>
      </c>
      <c r="AH2687">
        <v>34.767940273819598</v>
      </c>
      <c r="AI2687">
        <v>91.810956202005698</v>
      </c>
      <c r="AJ2687">
        <v>97.978077896756801</v>
      </c>
      <c r="AK2687">
        <v>35.125283284945098</v>
      </c>
      <c r="AL2687">
        <v>87.844238594077595</v>
      </c>
      <c r="AM2687">
        <v>89.586535868543507</v>
      </c>
      <c r="AN2687">
        <v>1.00000006094329</v>
      </c>
    </row>
    <row r="2688" spans="1:40" x14ac:dyDescent="0.25">
      <c r="A2688" t="str">
        <f>"20190312160346365"</f>
        <v>20190312160346365</v>
      </c>
      <c r="B2688" t="str">
        <f>"1552377826357288"</f>
        <v>1552377826357288</v>
      </c>
      <c r="C2688" t="s">
        <v>40</v>
      </c>
      <c r="D2688">
        <v>5.1896800000000001</v>
      </c>
      <c r="E2688">
        <v>0.44936890000000002</v>
      </c>
      <c r="F2688" t="s">
        <v>59</v>
      </c>
      <c r="G2688">
        <v>-484.238</v>
      </c>
      <c r="H2688" s="1">
        <v>2.6387830000000002E-6</v>
      </c>
      <c r="I2688">
        <v>280.97059999999999</v>
      </c>
      <c r="J2688">
        <v>-450.7867</v>
      </c>
      <c r="K2688">
        <v>1.1100300000000001</v>
      </c>
      <c r="L2688">
        <v>285.38159999999999</v>
      </c>
      <c r="M2688">
        <v>-0.99991739999999996</v>
      </c>
      <c r="N2688">
        <v>0</v>
      </c>
      <c r="O2688">
        <v>3.4703910000000002E-3</v>
      </c>
      <c r="P2688">
        <v>-0.99960959999999999</v>
      </c>
      <c r="Q2688">
        <v>2.579946E-2</v>
      </c>
      <c r="R2688">
        <v>1.0726909999999999E-2</v>
      </c>
      <c r="S2688">
        <v>-3.0078130000000001</v>
      </c>
      <c r="T2688">
        <v>-9.902358E-2</v>
      </c>
      <c r="U2688">
        <v>-0.39340209999999998</v>
      </c>
      <c r="V2688">
        <v>7.2625519999999898E-3</v>
      </c>
      <c r="W2688">
        <v>3.8161849999999997E-2</v>
      </c>
      <c r="X2688">
        <v>0.99924519999999994</v>
      </c>
      <c r="Y2688">
        <v>-0.1330567</v>
      </c>
      <c r="Z2688">
        <v>-2.294136E-3</v>
      </c>
      <c r="AA2688">
        <v>0.99110580000000004</v>
      </c>
      <c r="AB2688">
        <v>26</v>
      </c>
      <c r="AC2688">
        <v>-33.451300000000003</v>
      </c>
      <c r="AD2688">
        <v>-1.11002736121699</v>
      </c>
      <c r="AE2688">
        <v>-4.4109999999999996</v>
      </c>
      <c r="AF2688">
        <v>-4.5221769822036197</v>
      </c>
      <c r="AG2688">
        <v>-1.11002736121699</v>
      </c>
      <c r="AH2688">
        <v>33.399640440414899</v>
      </c>
      <c r="AI2688">
        <v>91.886309130735398</v>
      </c>
      <c r="AJ2688">
        <v>97.710728381607396</v>
      </c>
      <c r="AK2688">
        <v>33.722666367741802</v>
      </c>
      <c r="AL2688">
        <v>87.812956040640799</v>
      </c>
      <c r="AM2688">
        <v>89.583579434410495</v>
      </c>
      <c r="AN2688">
        <v>1.0000000205899999</v>
      </c>
    </row>
    <row r="2689" spans="1:40" x14ac:dyDescent="0.25">
      <c r="A2689" t="str">
        <f>"20190312160346386"</f>
        <v>20190312160346386</v>
      </c>
      <c r="B2689" t="str">
        <f>"1552377826376810"</f>
        <v>1552377826376810</v>
      </c>
      <c r="C2689" t="s">
        <v>40</v>
      </c>
      <c r="D2689">
        <v>5.1811879999999997</v>
      </c>
      <c r="E2689">
        <v>0.4508665</v>
      </c>
      <c r="F2689" t="s">
        <v>59</v>
      </c>
      <c r="G2689">
        <v>-482.75560000000002</v>
      </c>
      <c r="H2689" s="1">
        <v>2.408479E-6</v>
      </c>
      <c r="I2689">
        <v>281.34410000000003</v>
      </c>
      <c r="J2689">
        <v>-451.04689999999999</v>
      </c>
      <c r="K2689">
        <v>1.110026</v>
      </c>
      <c r="L2689">
        <v>285.38249999999999</v>
      </c>
      <c r="M2689">
        <v>-0.99991730000000001</v>
      </c>
      <c r="N2689">
        <v>0</v>
      </c>
      <c r="O2689">
        <v>3.5210430000000002E-3</v>
      </c>
      <c r="P2689">
        <v>-0.99961390000000006</v>
      </c>
      <c r="Q2689">
        <v>2.569842E-2</v>
      </c>
      <c r="R2689">
        <v>1.0574770000000001E-2</v>
      </c>
      <c r="S2689">
        <v>-3.0079349999999998</v>
      </c>
      <c r="T2689">
        <v>-0.1044418</v>
      </c>
      <c r="U2689">
        <v>-0.37988280000000002</v>
      </c>
      <c r="V2689">
        <v>7.0597560000000004E-3</v>
      </c>
      <c r="W2689">
        <v>3.8062270000000002E-2</v>
      </c>
      <c r="X2689">
        <v>0.99925039999999998</v>
      </c>
      <c r="Y2689">
        <v>-0.12871260000000001</v>
      </c>
      <c r="Z2689">
        <v>-2.3468370000000001E-3</v>
      </c>
      <c r="AA2689">
        <v>0.99167910000000004</v>
      </c>
      <c r="AB2689">
        <v>26</v>
      </c>
      <c r="AC2689">
        <v>-31.7087</v>
      </c>
      <c r="AD2689">
        <v>-1.1100235915209999</v>
      </c>
      <c r="AE2689">
        <v>-4.0383999999999602</v>
      </c>
      <c r="AF2689">
        <v>-4.1450326097453303</v>
      </c>
      <c r="AG2689">
        <v>-1.1100235915209999</v>
      </c>
      <c r="AH2689">
        <v>31.656108109703499</v>
      </c>
      <c r="AI2689">
        <v>91.991273679574206</v>
      </c>
      <c r="AJ2689">
        <v>97.459836347351896</v>
      </c>
      <c r="AK2689">
        <v>31.945619861928201</v>
      </c>
      <c r="AL2689">
        <v>87.818665590385706</v>
      </c>
      <c r="AM2689">
        <v>89.595209075433402</v>
      </c>
      <c r="AN2689">
        <v>0.99999996922624501</v>
      </c>
    </row>
    <row r="2690" spans="1:40" x14ac:dyDescent="0.25">
      <c r="A2690" t="str">
        <f>"20190312160346409"</f>
        <v>20190312160346409</v>
      </c>
      <c r="B2690" t="str">
        <f>"1552377826397305"</f>
        <v>1552377826397305</v>
      </c>
      <c r="C2690" t="s">
        <v>40</v>
      </c>
      <c r="D2690">
        <v>5.1451690000000001</v>
      </c>
      <c r="E2690">
        <v>0.45235720000000001</v>
      </c>
      <c r="F2690" t="s">
        <v>59</v>
      </c>
      <c r="G2690">
        <v>-481.0428</v>
      </c>
      <c r="H2690" s="1">
        <v>2.1361970000000001E-6</v>
      </c>
      <c r="I2690">
        <v>281.70499999999998</v>
      </c>
      <c r="J2690">
        <v>-451.30149999999998</v>
      </c>
      <c r="K2690">
        <v>1.1100219999999901</v>
      </c>
      <c r="L2690">
        <v>285.38350000000003</v>
      </c>
      <c r="M2690">
        <v>-0.99991719999999895</v>
      </c>
      <c r="N2690">
        <v>0</v>
      </c>
      <c r="O2690">
        <v>3.5711559999999998E-3</v>
      </c>
      <c r="P2690">
        <v>-0.99963239999999998</v>
      </c>
      <c r="Q2690">
        <v>2.5087669999999999E-2</v>
      </c>
      <c r="R2690">
        <v>1.0293460000000001E-2</v>
      </c>
      <c r="S2690">
        <v>-3.0079039999999999</v>
      </c>
      <c r="T2690">
        <v>-0.1113101</v>
      </c>
      <c r="U2690">
        <v>-0.3687744</v>
      </c>
      <c r="V2690">
        <v>6.7281519999999899E-3</v>
      </c>
      <c r="W2690">
        <v>3.7452819999999998E-2</v>
      </c>
      <c r="X2690">
        <v>0.99927569999999999</v>
      </c>
      <c r="Y2690">
        <v>-0.12514790000000001</v>
      </c>
      <c r="Z2690">
        <v>-2.4378189999999999E-3</v>
      </c>
      <c r="AA2690">
        <v>0.99213510000000005</v>
      </c>
      <c r="AB2690">
        <v>26</v>
      </c>
      <c r="AC2690">
        <v>-29.741299999999999</v>
      </c>
      <c r="AD2690">
        <v>-1.1100198638030001</v>
      </c>
      <c r="AE2690">
        <v>-3.6785000000000401</v>
      </c>
      <c r="AF2690">
        <v>-3.7795100615282</v>
      </c>
      <c r="AG2690">
        <v>-1.1100198638030001</v>
      </c>
      <c r="AH2690">
        <v>29.687242472387101</v>
      </c>
      <c r="AI2690">
        <v>92.1241890331181</v>
      </c>
      <c r="AJ2690">
        <v>97.255347832247594</v>
      </c>
      <c r="AK2690">
        <v>29.947440725670202</v>
      </c>
      <c r="AL2690">
        <v>87.853609387788097</v>
      </c>
      <c r="AM2690">
        <v>89.614231699636505</v>
      </c>
      <c r="AN2690">
        <v>0.99999995318288704</v>
      </c>
    </row>
    <row r="2691" spans="1:40" x14ac:dyDescent="0.25">
      <c r="A2691" t="str">
        <f>"20190312160346430"</f>
        <v>20190312160346430</v>
      </c>
      <c r="B2691" t="str">
        <f>"1552377826427562"</f>
        <v>1552377826427562</v>
      </c>
      <c r="C2691" t="s">
        <v>40</v>
      </c>
      <c r="D2691">
        <v>5.1774750000000003</v>
      </c>
      <c r="E2691">
        <v>0.45439879999999999</v>
      </c>
      <c r="F2691" t="s">
        <v>59</v>
      </c>
      <c r="G2691">
        <v>-479.22050000000002</v>
      </c>
      <c r="H2691" s="1">
        <v>2.3017700000000002E-6</v>
      </c>
      <c r="I2691">
        <v>282.0607</v>
      </c>
      <c r="J2691">
        <v>-451.56349999999998</v>
      </c>
      <c r="K2691">
        <v>1.1100179999999999</v>
      </c>
      <c r="L2691">
        <v>285.3845</v>
      </c>
      <c r="M2691">
        <v>-0.99991699999999994</v>
      </c>
      <c r="N2691">
        <v>0</v>
      </c>
      <c r="O2691">
        <v>3.6221119999999998E-3</v>
      </c>
      <c r="P2691">
        <v>-0.99963970000000002</v>
      </c>
      <c r="Q2691">
        <v>2.4881489999999999E-2</v>
      </c>
      <c r="R2691">
        <v>1.0075809999999999E-2</v>
      </c>
      <c r="S2691">
        <v>-3.0077509999999998</v>
      </c>
      <c r="T2691">
        <v>-0.1195838</v>
      </c>
      <c r="U2691">
        <v>-0.35797119999999999</v>
      </c>
      <c r="V2691">
        <v>6.4595030000000001E-3</v>
      </c>
      <c r="W2691">
        <v>3.7247929999999999E-2</v>
      </c>
      <c r="X2691">
        <v>0.99928519999999998</v>
      </c>
      <c r="Y2691">
        <v>-0.1216807</v>
      </c>
      <c r="Z2691">
        <v>-2.5529429999999998E-3</v>
      </c>
      <c r="AA2691">
        <v>0.99256599999999995</v>
      </c>
      <c r="AB2691">
        <v>26</v>
      </c>
      <c r="AC2691">
        <v>-27.657</v>
      </c>
      <c r="AD2691">
        <v>-1.11001569823</v>
      </c>
      <c r="AE2691">
        <v>-3.3237999999999999</v>
      </c>
      <c r="AF2691">
        <v>-3.4185343460233599</v>
      </c>
      <c r="AG2691">
        <v>-1.11001569823</v>
      </c>
      <c r="AH2691">
        <v>27.600951174663699</v>
      </c>
      <c r="AI2691">
        <v>92.285553889068694</v>
      </c>
      <c r="AJ2691">
        <v>97.060450793325103</v>
      </c>
      <c r="AK2691">
        <v>27.8339903296568</v>
      </c>
      <c r="AL2691">
        <v>87.865357065085107</v>
      </c>
      <c r="AM2691">
        <v>89.629638160470193</v>
      </c>
      <c r="AN2691">
        <v>1.00000002220366</v>
      </c>
    </row>
    <row r="2692" spans="1:40" x14ac:dyDescent="0.25">
      <c r="A2692" t="str">
        <f>"20190312160346446"</f>
        <v>20190312160346446</v>
      </c>
      <c r="B2692" t="str">
        <f>"1552377826437321"</f>
        <v>1552377826437321</v>
      </c>
      <c r="C2692" t="s">
        <v>40</v>
      </c>
      <c r="D2692">
        <v>5.1619760000000001</v>
      </c>
      <c r="E2692">
        <v>0.45504070000000002</v>
      </c>
      <c r="F2692" t="s">
        <v>59</v>
      </c>
      <c r="G2692">
        <v>-477.4307</v>
      </c>
      <c r="H2692" s="1">
        <v>3.1283050000000001E-6</v>
      </c>
      <c r="I2692">
        <v>282.43619999999999</v>
      </c>
      <c r="J2692">
        <v>-451.74130000000002</v>
      </c>
      <c r="K2692">
        <v>1.1100219999999901</v>
      </c>
      <c r="L2692">
        <v>285.3852</v>
      </c>
      <c r="M2692">
        <v>-0.9999169</v>
      </c>
      <c r="N2692">
        <v>0</v>
      </c>
      <c r="O2692">
        <v>3.6566189999999998E-3</v>
      </c>
      <c r="P2692">
        <v>-0.99963519999999995</v>
      </c>
      <c r="Q2692">
        <v>2.50691E-2</v>
      </c>
      <c r="R2692">
        <v>1.0072680000000001E-2</v>
      </c>
      <c r="S2692">
        <v>-3.0077210000000001</v>
      </c>
      <c r="T2692">
        <v>-0.1290673</v>
      </c>
      <c r="U2692">
        <v>-0.342804</v>
      </c>
      <c r="V2692">
        <v>6.4220419999999898E-3</v>
      </c>
      <c r="W2692">
        <v>3.7435669999999997E-2</v>
      </c>
      <c r="X2692">
        <v>0.99927840000000001</v>
      </c>
      <c r="Y2692">
        <v>-0.1167647</v>
      </c>
      <c r="Z2692">
        <v>-2.652438E-3</v>
      </c>
      <c r="AA2692">
        <v>0.99315609999999999</v>
      </c>
      <c r="AB2692">
        <v>26</v>
      </c>
      <c r="AC2692">
        <v>-25.6893999999999</v>
      </c>
      <c r="AD2692">
        <v>-1.1100188716949999</v>
      </c>
      <c r="AE2692">
        <v>-2.9490000000000101</v>
      </c>
      <c r="AF2692">
        <v>-3.0373267649665099</v>
      </c>
      <c r="AG2692">
        <v>-1.1100188716949999</v>
      </c>
      <c r="AH2692">
        <v>25.6312120391148</v>
      </c>
      <c r="AI2692">
        <v>92.462568018643395</v>
      </c>
      <c r="AJ2692">
        <v>96.758096818383393</v>
      </c>
      <c r="AK2692">
        <v>25.8344058644043</v>
      </c>
      <c r="AL2692">
        <v>87.854592792705702</v>
      </c>
      <c r="AM2692">
        <v>89.631783458159305</v>
      </c>
      <c r="AN2692">
        <v>0.99999999635917902</v>
      </c>
    </row>
    <row r="2693" spans="1:40" x14ac:dyDescent="0.25">
      <c r="A2693" t="str">
        <f>"20190312160346464"</f>
        <v>20190312160346464</v>
      </c>
      <c r="B2693" t="str">
        <f>"1552377826456841"</f>
        <v>1552377826456841</v>
      </c>
      <c r="C2693" t="s">
        <v>40</v>
      </c>
      <c r="D2693">
        <v>5.21305</v>
      </c>
      <c r="E2693">
        <v>0.45628800000000003</v>
      </c>
      <c r="F2693" t="s">
        <v>59</v>
      </c>
      <c r="G2693">
        <v>-477.21289999999999</v>
      </c>
      <c r="H2693" s="1">
        <v>3.2325579999999999E-6</v>
      </c>
      <c r="I2693">
        <v>282.524</v>
      </c>
      <c r="J2693">
        <v>-451.95530000000002</v>
      </c>
      <c r="K2693">
        <v>1.110025</v>
      </c>
      <c r="L2693">
        <v>285.38600000000002</v>
      </c>
      <c r="M2693">
        <v>-0.99991669999999999</v>
      </c>
      <c r="N2693">
        <v>0</v>
      </c>
      <c r="O2693">
        <v>3.6981599999999998E-3</v>
      </c>
      <c r="P2693">
        <v>-0.99962419999999996</v>
      </c>
      <c r="Q2693">
        <v>2.5335770000000001E-2</v>
      </c>
      <c r="R2693">
        <v>1.0486860000000001E-2</v>
      </c>
      <c r="S2693">
        <v>-3.0077820000000002</v>
      </c>
      <c r="T2693">
        <v>-0.13107489999999999</v>
      </c>
      <c r="U2693">
        <v>-0.337860099999999</v>
      </c>
      <c r="V2693">
        <v>6.794713E-3</v>
      </c>
      <c r="W2693">
        <v>3.77025E-2</v>
      </c>
      <c r="X2693">
        <v>0.99926590000000004</v>
      </c>
      <c r="Y2693">
        <v>-0.11518979999999999</v>
      </c>
      <c r="Z2693">
        <v>-2.6614609999999999E-3</v>
      </c>
      <c r="AA2693">
        <v>0.99334</v>
      </c>
      <c r="AB2693">
        <v>26</v>
      </c>
      <c r="AC2693">
        <v>-25.257599999999901</v>
      </c>
      <c r="AD2693">
        <v>-1.1100217674420001</v>
      </c>
      <c r="AE2693">
        <v>-2.8619999999999601</v>
      </c>
      <c r="AF2693">
        <v>-2.9497691677618398</v>
      </c>
      <c r="AG2693">
        <v>-1.1100217674420001</v>
      </c>
      <c r="AH2693">
        <v>25.1987896138872</v>
      </c>
      <c r="AI2693">
        <v>92.505198779371597</v>
      </c>
      <c r="AJ2693">
        <v>96.676655185745602</v>
      </c>
      <c r="AK2693">
        <v>25.395123241918402</v>
      </c>
      <c r="AL2693">
        <v>87.839293751374399</v>
      </c>
      <c r="AM2693">
        <v>89.610411625123405</v>
      </c>
      <c r="AN2693">
        <v>0.99999999276690599</v>
      </c>
    </row>
    <row r="2694" spans="1:40" x14ac:dyDescent="0.25">
      <c r="A2694" t="str">
        <f>"20190312160346479"</f>
        <v>20190312160346479</v>
      </c>
      <c r="B2694" t="str">
        <f>"1552377826467577"</f>
        <v>1552377826467577</v>
      </c>
      <c r="C2694" t="s">
        <v>40</v>
      </c>
      <c r="D2694">
        <v>5.2168539999999997</v>
      </c>
      <c r="E2694">
        <v>0.45687699999999998</v>
      </c>
      <c r="F2694" t="s">
        <v>59</v>
      </c>
      <c r="G2694">
        <v>-476.65539999999999</v>
      </c>
      <c r="H2694" s="1">
        <v>3.495538E-6</v>
      </c>
      <c r="I2694">
        <v>282.70389999999998</v>
      </c>
      <c r="J2694">
        <v>-452.13150000000002</v>
      </c>
      <c r="K2694">
        <v>1.1100300000000001</v>
      </c>
      <c r="L2694">
        <v>285.38670000000002</v>
      </c>
      <c r="M2694">
        <v>-0.99991649999999999</v>
      </c>
      <c r="N2694">
        <v>0</v>
      </c>
      <c r="O2694">
        <v>3.7328449999999998E-3</v>
      </c>
      <c r="P2694">
        <v>-0.99961679999999997</v>
      </c>
      <c r="Q2694">
        <v>2.5526730000000001E-2</v>
      </c>
      <c r="R2694">
        <v>1.071601E-2</v>
      </c>
      <c r="S2694">
        <v>-3.0079959999999999</v>
      </c>
      <c r="T2694">
        <v>-0.1351791</v>
      </c>
      <c r="U2694">
        <v>-0.32662960000000002</v>
      </c>
      <c r="V2694">
        <v>6.9892189999999996E-3</v>
      </c>
      <c r="W2694">
        <v>3.7893580000000003E-2</v>
      </c>
      <c r="X2694">
        <v>0.99925730000000001</v>
      </c>
      <c r="Y2694">
        <v>-0.1115481</v>
      </c>
      <c r="Z2694">
        <v>-2.665087E-3</v>
      </c>
      <c r="AA2694">
        <v>0.99375550000000001</v>
      </c>
      <c r="AB2694">
        <v>26</v>
      </c>
      <c r="AC2694">
        <v>-24.523899999999902</v>
      </c>
      <c r="AD2694">
        <v>-1.1100265044619999</v>
      </c>
      <c r="AE2694">
        <v>-2.6828000000000398</v>
      </c>
      <c r="AF2694">
        <v>-2.7687268991150198</v>
      </c>
      <c r="AG2694">
        <v>-1.1100265044619999</v>
      </c>
      <c r="AH2694">
        <v>24.464185744706199</v>
      </c>
      <c r="AI2694">
        <v>92.581472699302495</v>
      </c>
      <c r="AJ2694">
        <v>96.456958220810904</v>
      </c>
      <c r="AK2694">
        <v>24.645372621122601</v>
      </c>
      <c r="AL2694">
        <v>87.828337777984302</v>
      </c>
      <c r="AM2694">
        <v>89.599256146848901</v>
      </c>
      <c r="AN2694">
        <v>0.99999996209536701</v>
      </c>
    </row>
    <row r="2695" spans="1:40" x14ac:dyDescent="0.25">
      <c r="A2695" t="str">
        <f>"20190312160346493"</f>
        <v>20190312160346493</v>
      </c>
      <c r="B2695" t="str">
        <f>"1552377826487097"</f>
        <v>1552377826487097</v>
      </c>
      <c r="C2695" t="s">
        <v>40</v>
      </c>
      <c r="D2695">
        <v>5.2065289999999997</v>
      </c>
      <c r="E2695">
        <v>0.45804149999999999</v>
      </c>
      <c r="F2695" t="s">
        <v>59</v>
      </c>
      <c r="G2695">
        <v>-476.54149999999998</v>
      </c>
      <c r="H2695" s="1">
        <v>3.5523400000000001E-6</v>
      </c>
      <c r="I2695">
        <v>282.77609999999999</v>
      </c>
      <c r="J2695">
        <v>-452.2971</v>
      </c>
      <c r="K2695">
        <v>1.1100289999999999</v>
      </c>
      <c r="L2695">
        <v>285.38740000000001</v>
      </c>
      <c r="M2695">
        <v>-0.99991640000000004</v>
      </c>
      <c r="N2695">
        <v>0</v>
      </c>
      <c r="O2695">
        <v>3.7653259999999998E-3</v>
      </c>
      <c r="P2695">
        <v>-0.9995965</v>
      </c>
      <c r="Q2695">
        <v>2.6216969999999999E-2</v>
      </c>
      <c r="R2695">
        <v>1.093045E-2</v>
      </c>
      <c r="S2695">
        <v>-3.0081479999999998</v>
      </c>
      <c r="T2695">
        <v>-0.1367931</v>
      </c>
      <c r="U2695">
        <v>-0.32171630000000001</v>
      </c>
      <c r="V2695">
        <v>7.1714250000000004E-3</v>
      </c>
      <c r="W2695">
        <v>3.8584010000000002E-2</v>
      </c>
      <c r="X2695">
        <v>0.99922960000000005</v>
      </c>
      <c r="Y2695">
        <v>-0.1099691</v>
      </c>
      <c r="Z2695">
        <v>-2.6626649999999998E-3</v>
      </c>
      <c r="AA2695">
        <v>0.99393140000000002</v>
      </c>
      <c r="AB2695">
        <v>26</v>
      </c>
      <c r="AC2695">
        <v>-24.244399999999899</v>
      </c>
      <c r="AD2695">
        <v>-1.11002544766</v>
      </c>
      <c r="AE2695">
        <v>-2.6113000000000199</v>
      </c>
      <c r="AF2695">
        <v>-2.69698781523741</v>
      </c>
      <c r="AG2695">
        <v>-1.11002544766</v>
      </c>
      <c r="AH2695">
        <v>24.184280050023801</v>
      </c>
      <c r="AI2695">
        <v>92.611786009546904</v>
      </c>
      <c r="AJ2695">
        <v>96.363231765373499</v>
      </c>
      <c r="AK2695">
        <v>24.3595012532681</v>
      </c>
      <c r="AL2695">
        <v>87.788750124484096</v>
      </c>
      <c r="AM2695">
        <v>89.588797878913397</v>
      </c>
      <c r="AN2695">
        <v>0.99999997434018495</v>
      </c>
    </row>
    <row r="2696" spans="1:40" x14ac:dyDescent="0.25">
      <c r="A2696" t="str">
        <f>"20190312160346508"</f>
        <v>20190312160346508</v>
      </c>
      <c r="B2696" t="str">
        <f>"1552377826496857"</f>
        <v>1552377826496857</v>
      </c>
      <c r="C2696" t="s">
        <v>40</v>
      </c>
      <c r="D2696">
        <v>5.21096</v>
      </c>
      <c r="E2696">
        <v>0.45858339999999997</v>
      </c>
      <c r="F2696" t="s">
        <v>59</v>
      </c>
      <c r="G2696">
        <v>-476.28649999999999</v>
      </c>
      <c r="H2696" s="1">
        <v>3.676258E-6</v>
      </c>
      <c r="I2696">
        <v>282.8997</v>
      </c>
      <c r="J2696">
        <v>-452.47160000000002</v>
      </c>
      <c r="K2696">
        <v>1.110036</v>
      </c>
      <c r="L2696">
        <v>285.38810000000001</v>
      </c>
      <c r="M2696">
        <v>-0.99991629999999998</v>
      </c>
      <c r="N2696">
        <v>0</v>
      </c>
      <c r="O2696">
        <v>3.7992989999999999E-3</v>
      </c>
      <c r="P2696">
        <v>-0.99960020000000005</v>
      </c>
      <c r="Q2696">
        <v>2.5905040000000001E-2</v>
      </c>
      <c r="R2696">
        <v>1.134713E-2</v>
      </c>
      <c r="S2696">
        <v>-3.0082399999999998</v>
      </c>
      <c r="T2696">
        <v>-0.13919570000000001</v>
      </c>
      <c r="U2696">
        <v>-0.31195070000000003</v>
      </c>
      <c r="V2696">
        <v>7.5540449999999997E-3</v>
      </c>
      <c r="W2696">
        <v>3.8271920000000001E-2</v>
      </c>
      <c r="X2696">
        <v>0.99923879999999998</v>
      </c>
      <c r="Y2696">
        <v>-0.1068071</v>
      </c>
      <c r="Z2696">
        <v>-2.6384049999999999E-3</v>
      </c>
      <c r="AA2696">
        <v>0.9942763</v>
      </c>
      <c r="AB2696">
        <v>26</v>
      </c>
      <c r="AC2696">
        <v>-23.814899999999898</v>
      </c>
      <c r="AD2696">
        <v>-1.110032323742</v>
      </c>
      <c r="AE2696">
        <v>-2.4884000000000102</v>
      </c>
      <c r="AF2696">
        <v>-2.5733385071931099</v>
      </c>
      <c r="AG2696">
        <v>-1.110032323742</v>
      </c>
      <c r="AH2696">
        <v>23.754222855683199</v>
      </c>
      <c r="AI2696">
        <v>92.659939223908694</v>
      </c>
      <c r="AJ2696">
        <v>96.182845209264201</v>
      </c>
      <c r="AK2696">
        <v>23.9189746082439</v>
      </c>
      <c r="AL2696">
        <v>87.806644819849097</v>
      </c>
      <c r="AM2696">
        <v>89.566863644777598</v>
      </c>
      <c r="AN2696">
        <v>0.99999999144089402</v>
      </c>
    </row>
    <row r="2697" spans="1:40" x14ac:dyDescent="0.25">
      <c r="A2697" t="str">
        <f>"20190312160346531"</f>
        <v>20190312160346531</v>
      </c>
      <c r="B2697" t="str">
        <f>"1552377826527113"</f>
        <v>1552377826527113</v>
      </c>
      <c r="C2697" t="s">
        <v>40</v>
      </c>
      <c r="D2697">
        <v>5.2107760000000001</v>
      </c>
      <c r="E2697">
        <v>0.4601037</v>
      </c>
      <c r="F2697" t="s">
        <v>59</v>
      </c>
      <c r="G2697">
        <v>-475.87799999999999</v>
      </c>
      <c r="H2697" s="1">
        <v>3.8665880000000001E-6</v>
      </c>
      <c r="I2697">
        <v>283.00510000000003</v>
      </c>
      <c r="J2697">
        <v>-452.73599999999999</v>
      </c>
      <c r="K2697">
        <v>1.1100369999999999</v>
      </c>
      <c r="L2697">
        <v>285.38920000000002</v>
      </c>
      <c r="M2697">
        <v>-0.99991600000000003</v>
      </c>
      <c r="N2697">
        <v>0</v>
      </c>
      <c r="O2697">
        <v>3.8509759999999999E-3</v>
      </c>
      <c r="P2697">
        <v>-0.99957649999999998</v>
      </c>
      <c r="Q2697">
        <v>2.693328E-2</v>
      </c>
      <c r="R2697">
        <v>1.102831E-2</v>
      </c>
      <c r="S2697">
        <v>-3.0083310000000001</v>
      </c>
      <c r="T2697">
        <v>-0.14266770000000001</v>
      </c>
      <c r="U2697">
        <v>-0.3062744</v>
      </c>
      <c r="V2697">
        <v>7.1839019999999998E-3</v>
      </c>
      <c r="W2697">
        <v>3.9299679999999997E-2</v>
      </c>
      <c r="X2697">
        <v>0.99920169999999997</v>
      </c>
      <c r="Y2697">
        <v>-0.1049948</v>
      </c>
      <c r="Z2697">
        <v>-2.6639239999999998E-3</v>
      </c>
      <c r="AA2697">
        <v>0.99446920000000005</v>
      </c>
      <c r="AB2697">
        <v>26</v>
      </c>
      <c r="AC2697">
        <v>-23.141999999999999</v>
      </c>
      <c r="AD2697">
        <v>-1.1100331334119999</v>
      </c>
      <c r="AE2697">
        <v>-2.3840999999999801</v>
      </c>
      <c r="AF2697">
        <v>-2.4675907350017998</v>
      </c>
      <c r="AG2697">
        <v>-1.1100331334119999</v>
      </c>
      <c r="AH2697">
        <v>23.080102591965598</v>
      </c>
      <c r="AI2697">
        <v>92.737928108037195</v>
      </c>
      <c r="AJ2697">
        <v>96.102550926585494</v>
      </c>
      <c r="AK2697">
        <v>23.2381650146563</v>
      </c>
      <c r="AL2697">
        <v>87.747714307760305</v>
      </c>
      <c r="AM2697">
        <v>89.588070983933704</v>
      </c>
      <c r="AN2697">
        <v>1.0000000552894599</v>
      </c>
    </row>
    <row r="2698" spans="1:40" x14ac:dyDescent="0.25">
      <c r="A2698" t="str">
        <f>"20190312160346554"</f>
        <v>20190312160346554</v>
      </c>
      <c r="B2698" t="str">
        <f>"1552377826547609"</f>
        <v>1552377826547609</v>
      </c>
      <c r="C2698" t="s">
        <v>40</v>
      </c>
      <c r="D2698">
        <v>5.2233359999999998</v>
      </c>
      <c r="E2698">
        <v>0.46107150000000002</v>
      </c>
      <c r="F2698" t="s">
        <v>59</v>
      </c>
      <c r="G2698">
        <v>-475.62119999999999</v>
      </c>
      <c r="H2698" s="1">
        <v>3.9923989999999999E-6</v>
      </c>
      <c r="I2698">
        <v>283.1413</v>
      </c>
      <c r="J2698">
        <v>-453.00310000000002</v>
      </c>
      <c r="K2698">
        <v>1.110034</v>
      </c>
      <c r="L2698">
        <v>285.39030000000002</v>
      </c>
      <c r="M2698">
        <v>-0.99991589999999997</v>
      </c>
      <c r="N2698">
        <v>0</v>
      </c>
      <c r="O2698">
        <v>3.902951E-3</v>
      </c>
      <c r="P2698">
        <v>-0.99957700000000005</v>
      </c>
      <c r="Q2698">
        <v>2.687521E-2</v>
      </c>
      <c r="R2698">
        <v>1.1122730000000001E-2</v>
      </c>
      <c r="S2698">
        <v>-3.0084230000000001</v>
      </c>
      <c r="T2698">
        <v>-0.145922</v>
      </c>
      <c r="U2698">
        <v>-0.29550169999999998</v>
      </c>
      <c r="V2698">
        <v>7.2261369999999997E-3</v>
      </c>
      <c r="W2698">
        <v>3.9241079999999998E-2</v>
      </c>
      <c r="X2698">
        <v>0.99920359999999997</v>
      </c>
      <c r="Y2698">
        <v>-0.10151540000000001</v>
      </c>
      <c r="Z2698">
        <v>-2.6434029999999999E-3</v>
      </c>
      <c r="AA2698">
        <v>0.9948304</v>
      </c>
      <c r="AB2698">
        <v>26</v>
      </c>
      <c r="AC2698">
        <v>-22.618099999999899</v>
      </c>
      <c r="AD2698">
        <v>-1.1100300076009999</v>
      </c>
      <c r="AE2698">
        <v>-2.2490000000000201</v>
      </c>
      <c r="AF2698">
        <v>-2.3317058885203301</v>
      </c>
      <c r="AG2698">
        <v>-1.1100300076009999</v>
      </c>
      <c r="AH2698">
        <v>22.555355265293201</v>
      </c>
      <c r="AI2698">
        <v>92.802546518929205</v>
      </c>
      <c r="AJ2698">
        <v>95.902102849069195</v>
      </c>
      <c r="AK2698">
        <v>22.702710633576899</v>
      </c>
      <c r="AL2698">
        <v>87.751074210651097</v>
      </c>
      <c r="AM2698">
        <v>89.585650077129998</v>
      </c>
      <c r="AN2698">
        <v>0.99999995683423304</v>
      </c>
    </row>
    <row r="2699" spans="1:40" x14ac:dyDescent="0.25">
      <c r="A2699" t="str">
        <f>"20190312160346575"</f>
        <v>20190312160346575</v>
      </c>
      <c r="B2699" t="str">
        <f>"1552377826567129"</f>
        <v>1552377826567129</v>
      </c>
      <c r="C2699" t="s">
        <v>40</v>
      </c>
      <c r="D2699">
        <v>5.2341430000000004</v>
      </c>
      <c r="E2699">
        <v>0.4619336</v>
      </c>
      <c r="F2699" t="s">
        <v>59</v>
      </c>
      <c r="G2699">
        <v>-475.29020000000003</v>
      </c>
      <c r="H2699" s="1">
        <v>4.1492300000000004E-6</v>
      </c>
      <c r="I2699">
        <v>283.25630000000001</v>
      </c>
      <c r="J2699">
        <v>-453.2527</v>
      </c>
      <c r="K2699">
        <v>1.1100410000000001</v>
      </c>
      <c r="L2699">
        <v>285.3913</v>
      </c>
      <c r="M2699">
        <v>-0.99991569999999996</v>
      </c>
      <c r="N2699">
        <v>0</v>
      </c>
      <c r="O2699">
        <v>3.9517659999999998E-3</v>
      </c>
      <c r="P2699">
        <v>-0.99956350000000005</v>
      </c>
      <c r="Q2699">
        <v>2.7388139999999998E-2</v>
      </c>
      <c r="R2699">
        <v>1.1069570000000001E-2</v>
      </c>
      <c r="S2699">
        <v>-3.0084840000000002</v>
      </c>
      <c r="T2699">
        <v>-0.1498399</v>
      </c>
      <c r="U2699">
        <v>-0.28805540000000002</v>
      </c>
      <c r="V2699">
        <v>7.1240590000000003E-3</v>
      </c>
      <c r="W2699">
        <v>3.9753749999999997E-2</v>
      </c>
      <c r="X2699">
        <v>0.99918410000000002</v>
      </c>
      <c r="Y2699">
        <v>-9.9118520000000002E-2</v>
      </c>
      <c r="Z2699">
        <v>-2.6574670000000002E-3</v>
      </c>
      <c r="AA2699">
        <v>0.99507210000000001</v>
      </c>
      <c r="AB2699">
        <v>26</v>
      </c>
      <c r="AC2699">
        <v>-22.037500000000001</v>
      </c>
      <c r="AD2699">
        <v>-1.11003685077</v>
      </c>
      <c r="AE2699">
        <v>-2.13499999999999</v>
      </c>
      <c r="AF2699">
        <v>-2.2165056645351102</v>
      </c>
      <c r="AG2699">
        <v>-1.11003685077</v>
      </c>
      <c r="AH2699">
        <v>21.9736576562523</v>
      </c>
      <c r="AI2699">
        <v>92.877359086690007</v>
      </c>
      <c r="AJ2699">
        <v>95.760001559541294</v>
      </c>
      <c r="AK2699">
        <v>22.113043887379199</v>
      </c>
      <c r="AL2699">
        <v>87.721677516620204</v>
      </c>
      <c r="AM2699">
        <v>89.591495103545199</v>
      </c>
      <c r="AN2699">
        <v>0.99999998927425304</v>
      </c>
    </row>
    <row r="2700" spans="1:40" x14ac:dyDescent="0.25">
      <c r="A2700" t="str">
        <f>"20190312160346598"</f>
        <v>20190312160346598</v>
      </c>
      <c r="B2700" t="str">
        <f>"1552377826587625"</f>
        <v>1552377826587625</v>
      </c>
      <c r="C2700" t="s">
        <v>40</v>
      </c>
      <c r="D2700">
        <v>5.258686</v>
      </c>
      <c r="E2700">
        <v>0.4627618</v>
      </c>
      <c r="F2700" t="s">
        <v>59</v>
      </c>
      <c r="G2700">
        <v>-475.15120000000002</v>
      </c>
      <c r="H2700" s="1">
        <v>4.218449E-6</v>
      </c>
      <c r="I2700">
        <v>283.34289999999999</v>
      </c>
      <c r="J2700">
        <v>-453.51310000000001</v>
      </c>
      <c r="K2700">
        <v>1.1100429999999999</v>
      </c>
      <c r="L2700">
        <v>285.39240000000001</v>
      </c>
      <c r="M2700">
        <v>-0.99991549999999996</v>
      </c>
      <c r="N2700">
        <v>0</v>
      </c>
      <c r="O2700">
        <v>4.0020759999999898E-3</v>
      </c>
      <c r="P2700">
        <v>-0.99955760000000005</v>
      </c>
      <c r="Q2700">
        <v>2.753307E-2</v>
      </c>
      <c r="R2700">
        <v>1.125223E-2</v>
      </c>
      <c r="S2700">
        <v>-3.0086059999999999</v>
      </c>
      <c r="T2700">
        <v>-0.1525067</v>
      </c>
      <c r="U2700">
        <v>-0.28143309999999999</v>
      </c>
      <c r="V2700">
        <v>7.2567780000000002E-3</v>
      </c>
      <c r="W2700">
        <v>3.9898120000000002E-2</v>
      </c>
      <c r="X2700">
        <v>0.99917739999999999</v>
      </c>
      <c r="Y2700">
        <v>-9.699178E-2</v>
      </c>
      <c r="Z2700">
        <v>-2.6536659999999998E-3</v>
      </c>
      <c r="AA2700">
        <v>0.99528159999999999</v>
      </c>
      <c r="AB2700">
        <v>26</v>
      </c>
      <c r="AC2700">
        <v>-21.638100000000001</v>
      </c>
      <c r="AD2700">
        <v>-1.110038781551</v>
      </c>
      <c r="AE2700">
        <v>-2.0495000000000201</v>
      </c>
      <c r="AF2700">
        <v>-2.1305304454270302</v>
      </c>
      <c r="AG2700">
        <v>-1.110038781551</v>
      </c>
      <c r="AH2700">
        <v>21.573453549112401</v>
      </c>
      <c r="AI2700">
        <v>92.931260469149507</v>
      </c>
      <c r="AJ2700">
        <v>95.640073324740399</v>
      </c>
      <c r="AK2700">
        <v>21.706801793703999</v>
      </c>
      <c r="AL2700">
        <v>87.713399178708997</v>
      </c>
      <c r="AM2700">
        <v>89.583882259562102</v>
      </c>
      <c r="AN2700">
        <v>0.999999998738617</v>
      </c>
    </row>
    <row r="2701" spans="1:40" x14ac:dyDescent="0.25">
      <c r="A2701" t="str">
        <f>"20190312160346620"</f>
        <v>20190312160346620</v>
      </c>
      <c r="B2701" t="str">
        <f>"1552377826616905"</f>
        <v>1552377826616905</v>
      </c>
      <c r="C2701" t="s">
        <v>40</v>
      </c>
      <c r="D2701">
        <v>5.2373940000000001</v>
      </c>
      <c r="E2701">
        <v>0.46392030000000001</v>
      </c>
      <c r="F2701" t="s">
        <v>59</v>
      </c>
      <c r="G2701">
        <v>-475.34719999999999</v>
      </c>
      <c r="H2701" s="1">
        <v>4.1365369999999997E-6</v>
      </c>
      <c r="I2701">
        <v>283.40019999999998</v>
      </c>
      <c r="J2701">
        <v>-453.77539999999999</v>
      </c>
      <c r="K2701">
        <v>1.110042</v>
      </c>
      <c r="L2701">
        <v>285.39350000000002</v>
      </c>
      <c r="M2701">
        <v>-0.9999152</v>
      </c>
      <c r="N2701">
        <v>0</v>
      </c>
      <c r="O2701">
        <v>4.0528630000000003E-3</v>
      </c>
      <c r="P2701">
        <v>-0.99955139999999998</v>
      </c>
      <c r="Q2701">
        <v>2.750066E-2</v>
      </c>
      <c r="R2701">
        <v>1.186273E-2</v>
      </c>
      <c r="S2701">
        <v>-3.0086360000000001</v>
      </c>
      <c r="T2701">
        <v>-0.15295799999999901</v>
      </c>
      <c r="U2701">
        <v>-0.27450560000000002</v>
      </c>
      <c r="V2701">
        <v>7.8165830000000002E-3</v>
      </c>
      <c r="W2701">
        <v>3.9864770000000001E-2</v>
      </c>
      <c r="X2701">
        <v>0.99917449999999997</v>
      </c>
      <c r="Y2701">
        <v>-9.4770869999999993E-2</v>
      </c>
      <c r="Z2701">
        <v>-2.6080360000000002E-3</v>
      </c>
      <c r="AA2701">
        <v>0.99549569999999998</v>
      </c>
      <c r="AB2701">
        <v>26</v>
      </c>
      <c r="AC2701">
        <v>-21.5718</v>
      </c>
      <c r="AD2701">
        <v>-1.1100378634629999</v>
      </c>
      <c r="AE2701">
        <v>-1.99330000000003</v>
      </c>
      <c r="AF2701">
        <v>-2.0752692738491598</v>
      </c>
      <c r="AG2701">
        <v>-1.1100378634629999</v>
      </c>
      <c r="AH2701">
        <v>21.507076994618899</v>
      </c>
      <c r="AI2701">
        <v>92.940931698764402</v>
      </c>
      <c r="AJ2701">
        <v>95.511543409153603</v>
      </c>
      <c r="AK2701">
        <v>21.635463652757</v>
      </c>
      <c r="AL2701">
        <v>87.715311494752299</v>
      </c>
      <c r="AM2701">
        <v>89.551781915804895</v>
      </c>
      <c r="AN2701">
        <v>0.99999999015359897</v>
      </c>
    </row>
    <row r="2702" spans="1:40" x14ac:dyDescent="0.25">
      <c r="A2702" t="str">
        <f>"20190312160346643"</f>
        <v>20190312160346643</v>
      </c>
      <c r="B2702" t="str">
        <f>"1552377826637401"</f>
        <v>1552377826637401</v>
      </c>
      <c r="C2702" t="s">
        <v>40</v>
      </c>
      <c r="D2702">
        <v>5.2716989999999999</v>
      </c>
      <c r="E2702">
        <v>0.46466089999999999</v>
      </c>
      <c r="F2702" t="s">
        <v>59</v>
      </c>
      <c r="G2702">
        <v>-475.43349999999998</v>
      </c>
      <c r="H2702" s="1">
        <v>4.1067549999999996E-6</v>
      </c>
      <c r="I2702">
        <v>283.4975</v>
      </c>
      <c r="J2702">
        <v>-454.03829999999999</v>
      </c>
      <c r="K2702">
        <v>1.1100429999999999</v>
      </c>
      <c r="L2702">
        <v>285.39460000000003</v>
      </c>
      <c r="M2702">
        <v>-0.99991509999999995</v>
      </c>
      <c r="N2702">
        <v>0</v>
      </c>
      <c r="O2702">
        <v>4.1041819999999996E-3</v>
      </c>
      <c r="P2702">
        <v>-0.99954540000000003</v>
      </c>
      <c r="Q2702">
        <v>2.7564959999999999E-2</v>
      </c>
      <c r="R2702">
        <v>1.222646E-2</v>
      </c>
      <c r="S2702">
        <v>-3.008759</v>
      </c>
      <c r="T2702">
        <v>-0.15420710000000001</v>
      </c>
      <c r="U2702">
        <v>-0.2633972</v>
      </c>
      <c r="V2702">
        <v>8.1289940000000005E-3</v>
      </c>
      <c r="W2702">
        <v>3.9928129999999999E-2</v>
      </c>
      <c r="X2702">
        <v>0.99916950000000004</v>
      </c>
      <c r="Y2702">
        <v>-9.1173959999999998E-2</v>
      </c>
      <c r="Z2702">
        <v>-2.540315E-3</v>
      </c>
      <c r="AA2702">
        <v>0.99583169999999999</v>
      </c>
      <c r="AB2702">
        <v>26</v>
      </c>
      <c r="AC2702">
        <v>-21.3951999999999</v>
      </c>
      <c r="AD2702">
        <v>-1.110038893245</v>
      </c>
      <c r="AE2702">
        <v>-1.89710000000002</v>
      </c>
      <c r="AF2702">
        <v>-1.9796133652847501</v>
      </c>
      <c r="AG2702">
        <v>-1.110038893245</v>
      </c>
      <c r="AH2702">
        <v>21.330264120256199</v>
      </c>
      <c r="AI2702">
        <v>92.966292678390204</v>
      </c>
      <c r="AJ2702">
        <v>95.302302573405498</v>
      </c>
      <c r="AK2702">
        <v>21.450669520097001</v>
      </c>
      <c r="AL2702">
        <v>87.711678393604302</v>
      </c>
      <c r="AM2702">
        <v>89.533866103725202</v>
      </c>
      <c r="AN2702">
        <v>1.0000000129194899</v>
      </c>
    </row>
    <row r="2703" spans="1:40" x14ac:dyDescent="0.25">
      <c r="A2703" t="str">
        <f>"20190312160346664"</f>
        <v>20190312160346664</v>
      </c>
      <c r="B2703" t="str">
        <f>"1552377826656921"</f>
        <v>1552377826656921</v>
      </c>
      <c r="C2703" t="s">
        <v>40</v>
      </c>
      <c r="D2703">
        <v>5.2638449999999999</v>
      </c>
      <c r="E2703">
        <v>0.46538220000000002</v>
      </c>
      <c r="F2703" t="s">
        <v>59</v>
      </c>
      <c r="G2703">
        <v>-475.42270000000002</v>
      </c>
      <c r="H2703" s="1">
        <v>4.118109E-6</v>
      </c>
      <c r="I2703">
        <v>283.57220000000001</v>
      </c>
      <c r="J2703">
        <v>-454.2937</v>
      </c>
      <c r="K2703">
        <v>1.1100410000000001</v>
      </c>
      <c r="L2703">
        <v>285.39580000000001</v>
      </c>
      <c r="M2703">
        <v>-0.99991479999999999</v>
      </c>
      <c r="N2703">
        <v>0</v>
      </c>
      <c r="O2703">
        <v>4.1539519999999998E-3</v>
      </c>
      <c r="P2703">
        <v>-0.99954600000000005</v>
      </c>
      <c r="Q2703">
        <v>2.7383250000000001E-2</v>
      </c>
      <c r="R2703">
        <v>1.2572349999999999E-2</v>
      </c>
      <c r="S2703">
        <v>-3.008759</v>
      </c>
      <c r="T2703">
        <v>-0.1561816</v>
      </c>
      <c r="U2703">
        <v>-0.25640869999999999</v>
      </c>
      <c r="V2703">
        <v>8.4249809999999998E-3</v>
      </c>
      <c r="W2703">
        <v>3.974565E-2</v>
      </c>
      <c r="X2703">
        <v>0.99917429999999996</v>
      </c>
      <c r="Y2703">
        <v>-8.8927069999999997E-2</v>
      </c>
      <c r="Z2703">
        <v>-2.5174590000000001E-3</v>
      </c>
      <c r="AA2703">
        <v>0.996035</v>
      </c>
      <c r="AB2703">
        <v>26</v>
      </c>
      <c r="AC2703">
        <v>-21.129000000000001</v>
      </c>
      <c r="AD2703">
        <v>-1.110036881891</v>
      </c>
      <c r="AE2703">
        <v>-1.8235999999999899</v>
      </c>
      <c r="AF2703">
        <v>-1.90613770188978</v>
      </c>
      <c r="AG2703">
        <v>-1.110036881891</v>
      </c>
      <c r="AH2703">
        <v>21.063535401454299</v>
      </c>
      <c r="AI2703">
        <v>93.004411604383506</v>
      </c>
      <c r="AJ2703">
        <v>95.170878132709902</v>
      </c>
      <c r="AK2703">
        <v>21.1787172988838</v>
      </c>
      <c r="AL2703">
        <v>87.722141979781895</v>
      </c>
      <c r="AM2703">
        <v>89.516896687319104</v>
      </c>
      <c r="AN2703">
        <v>0.99999998938963097</v>
      </c>
    </row>
    <row r="2704" spans="1:40" x14ac:dyDescent="0.25">
      <c r="A2704" t="str">
        <f>"20190312160346688"</f>
        <v>20190312160346688</v>
      </c>
      <c r="B2704" t="str">
        <f>"1552377826677417"</f>
        <v>1552377826677417</v>
      </c>
      <c r="C2704" t="s">
        <v>40</v>
      </c>
      <c r="D2704">
        <v>5.2824749999999998</v>
      </c>
      <c r="E2704">
        <v>0.4660378</v>
      </c>
      <c r="F2704" t="s">
        <v>59</v>
      </c>
      <c r="G2704">
        <v>-475.32639999999998</v>
      </c>
      <c r="H2704" s="1">
        <v>4.1673919999999999E-6</v>
      </c>
      <c r="I2704">
        <v>283.64769999999999</v>
      </c>
      <c r="J2704">
        <v>-454.55439999999999</v>
      </c>
      <c r="K2704">
        <v>1.1100399999999999</v>
      </c>
      <c r="L2704">
        <v>285.39690000000002</v>
      </c>
      <c r="M2704">
        <v>-0.99991459999999999</v>
      </c>
      <c r="N2704">
        <v>0</v>
      </c>
      <c r="O2704">
        <v>4.2047959999999898E-3</v>
      </c>
      <c r="P2704">
        <v>-0.99956299999999998</v>
      </c>
      <c r="Q2704">
        <v>2.6673840000000001E-2</v>
      </c>
      <c r="R2704">
        <v>1.2752629999999999E-2</v>
      </c>
      <c r="S2704">
        <v>-3.0088200000000001</v>
      </c>
      <c r="T2704">
        <v>-0.15879550000000001</v>
      </c>
      <c r="U2704">
        <v>-0.25006099999999998</v>
      </c>
      <c r="V2704">
        <v>8.5544950000000005E-3</v>
      </c>
      <c r="W2704">
        <v>3.90362E-2</v>
      </c>
      <c r="X2704">
        <v>0.99920120000000001</v>
      </c>
      <c r="Y2704">
        <v>-8.6887839999999994E-2</v>
      </c>
      <c r="Z2704">
        <v>-2.5087019999999998E-3</v>
      </c>
      <c r="AA2704">
        <v>0.99621490000000001</v>
      </c>
      <c r="AB2704">
        <v>26</v>
      </c>
      <c r="AC2704">
        <v>-20.771999999999899</v>
      </c>
      <c r="AD2704">
        <v>-1.110035832608</v>
      </c>
      <c r="AE2704">
        <v>-1.7492000000000301</v>
      </c>
      <c r="AF2704">
        <v>-1.83134025296814</v>
      </c>
      <c r="AG2704">
        <v>-1.110035832608</v>
      </c>
      <c r="AH2704">
        <v>20.705747050500399</v>
      </c>
      <c r="AI2704">
        <v>93.056781099681103</v>
      </c>
      <c r="AJ2704">
        <v>95.054429453158505</v>
      </c>
      <c r="AK2704">
        <v>20.816194358987001</v>
      </c>
      <c r="AL2704">
        <v>87.762822115783905</v>
      </c>
      <c r="AM2704">
        <v>89.509483690764995</v>
      </c>
      <c r="AN2704">
        <v>1.00000002118829</v>
      </c>
    </row>
    <row r="2705" spans="1:40" x14ac:dyDescent="0.25">
      <c r="A2705" t="str">
        <f>"20190312160346710"</f>
        <v>20190312160346710</v>
      </c>
      <c r="B2705" t="str">
        <f>"1552377826696937"</f>
        <v>1552377826696937</v>
      </c>
      <c r="C2705" t="s">
        <v>40</v>
      </c>
      <c r="D2705">
        <v>5.5201089999999997</v>
      </c>
      <c r="E2705">
        <v>0.46650740000000002</v>
      </c>
      <c r="F2705" t="s">
        <v>59</v>
      </c>
      <c r="G2705">
        <v>-474.90320000000003</v>
      </c>
      <c r="H2705" s="1">
        <v>4.3636419999999999E-6</v>
      </c>
      <c r="I2705">
        <v>283.74599999999998</v>
      </c>
      <c r="J2705">
        <v>-454.81939999999997</v>
      </c>
      <c r="K2705">
        <v>1.110044</v>
      </c>
      <c r="L2705">
        <v>285.3981</v>
      </c>
      <c r="M2705">
        <v>-0.99991430000000003</v>
      </c>
      <c r="N2705">
        <v>0</v>
      </c>
      <c r="O2705">
        <v>4.2564170000000002E-3</v>
      </c>
      <c r="P2705">
        <v>-0.9995733</v>
      </c>
      <c r="Q2705">
        <v>2.6278670000000001E-2</v>
      </c>
      <c r="R2705">
        <v>1.2743600000000001E-2</v>
      </c>
      <c r="S2705">
        <v>-3.0088810000000001</v>
      </c>
      <c r="T2705">
        <v>-0.16413549999999999</v>
      </c>
      <c r="U2705">
        <v>-0.2441101</v>
      </c>
      <c r="V2705">
        <v>8.4934980000000004E-3</v>
      </c>
      <c r="W2705">
        <v>3.8640239999999999E-2</v>
      </c>
      <c r="X2705">
        <v>0.99921709999999997</v>
      </c>
      <c r="Y2705">
        <v>-8.4974469999999996E-2</v>
      </c>
      <c r="Z2705">
        <v>-2.5438460000000002E-3</v>
      </c>
      <c r="AA2705">
        <v>0.99637989999999999</v>
      </c>
      <c r="AB2705">
        <v>26</v>
      </c>
      <c r="AC2705">
        <v>-20.0838</v>
      </c>
      <c r="AD2705">
        <v>-1.1100396363580001</v>
      </c>
      <c r="AE2705">
        <v>-1.6521000000000099</v>
      </c>
      <c r="AF2705">
        <v>-1.73232025903086</v>
      </c>
      <c r="AG2705">
        <v>-1.1100396363580001</v>
      </c>
      <c r="AH2705">
        <v>20.0158516831581</v>
      </c>
      <c r="AI2705">
        <v>93.162461379254907</v>
      </c>
      <c r="AJ2705">
        <v>94.946475833695501</v>
      </c>
      <c r="AK2705">
        <v>20.1213180501755</v>
      </c>
      <c r="AL2705">
        <v>87.785526058047196</v>
      </c>
      <c r="AM2705">
        <v>89.5129888501327</v>
      </c>
      <c r="AN2705">
        <v>1.0000000102939699</v>
      </c>
    </row>
    <row r="2706" spans="1:40" x14ac:dyDescent="0.25">
      <c r="A2706" t="str">
        <f>"20190312160346733"</f>
        <v>20190312160346733</v>
      </c>
      <c r="B2706" t="str">
        <f>"1552377826727193"</f>
        <v>1552377826727193</v>
      </c>
      <c r="C2706" t="s">
        <v>40</v>
      </c>
      <c r="D2706">
        <v>5.1260510000000004</v>
      </c>
      <c r="E2706">
        <v>0.46669739999999998</v>
      </c>
      <c r="F2706" t="s">
        <v>59</v>
      </c>
      <c r="G2706">
        <v>-474.51389999999998</v>
      </c>
      <c r="H2706" s="1">
        <v>4.5429320000000002E-6</v>
      </c>
      <c r="I2706">
        <v>283.82159999999999</v>
      </c>
      <c r="J2706">
        <v>-455.08460000000002</v>
      </c>
      <c r="K2706">
        <v>1.1100460000000001</v>
      </c>
      <c r="L2706">
        <v>285.39929999999998</v>
      </c>
      <c r="M2706">
        <v>-0.99991419999999998</v>
      </c>
      <c r="N2706">
        <v>0</v>
      </c>
      <c r="O2706">
        <v>4.3077410000000003E-3</v>
      </c>
      <c r="P2706">
        <v>-0.99956780000000001</v>
      </c>
      <c r="Q2706">
        <v>2.667659E-2</v>
      </c>
      <c r="R2706">
        <v>1.235006E-2</v>
      </c>
      <c r="S2706">
        <v>-3.0088200000000001</v>
      </c>
      <c r="T2706">
        <v>-0.16958609999999999</v>
      </c>
      <c r="U2706">
        <v>-0.24084469999999999</v>
      </c>
      <c r="V2706">
        <v>8.0486949999999998E-3</v>
      </c>
      <c r="W2706">
        <v>3.9037629999999997E-2</v>
      </c>
      <c r="X2706">
        <v>0.99920540000000002</v>
      </c>
      <c r="Y2706">
        <v>-8.3945439999999996E-2</v>
      </c>
      <c r="Z2706">
        <v>-2.6023130000000002E-3</v>
      </c>
      <c r="AA2706">
        <v>0.99646690000000004</v>
      </c>
      <c r="AB2706">
        <v>26</v>
      </c>
      <c r="AC2706">
        <v>-19.429299999999898</v>
      </c>
      <c r="AD2706">
        <v>-1.1100414570679999</v>
      </c>
      <c r="AE2706">
        <v>-1.5776999999999901</v>
      </c>
      <c r="AF2706">
        <v>-1.6560181484490899</v>
      </c>
      <c r="AG2706">
        <v>-1.1100414570679999</v>
      </c>
      <c r="AH2706">
        <v>19.3595452155629</v>
      </c>
      <c r="AI2706">
        <v>93.269728999614799</v>
      </c>
      <c r="AJ2706">
        <v>94.889187089219206</v>
      </c>
      <c r="AK2706">
        <v>19.461926397400301</v>
      </c>
      <c r="AL2706">
        <v>87.762740240142605</v>
      </c>
      <c r="AM2706">
        <v>89.538487001269104</v>
      </c>
      <c r="AN2706">
        <v>1.0000000747181801</v>
      </c>
    </row>
    <row r="2707" spans="1:40" x14ac:dyDescent="0.25">
      <c r="A2707" t="str">
        <f>"20190312160346755"</f>
        <v>20190312160346755</v>
      </c>
      <c r="B2707" t="str">
        <f>"1552377826747689"</f>
        <v>1552377826747689</v>
      </c>
      <c r="C2707" t="s">
        <v>40</v>
      </c>
      <c r="D2707">
        <v>5.2628529999999998</v>
      </c>
      <c r="E2707">
        <v>0.46645140000000002</v>
      </c>
      <c r="F2707" t="s">
        <v>59</v>
      </c>
      <c r="G2707">
        <v>-474.89620000000002</v>
      </c>
      <c r="H2707" s="1">
        <v>4.372783E-6</v>
      </c>
      <c r="I2707">
        <v>283.81479999999999</v>
      </c>
      <c r="J2707">
        <v>-455.34469999999999</v>
      </c>
      <c r="K2707">
        <v>1.110044</v>
      </c>
      <c r="L2707">
        <v>285.40050000000002</v>
      </c>
      <c r="M2707">
        <v>-0.99991410000000003</v>
      </c>
      <c r="N2707">
        <v>0</v>
      </c>
      <c r="O2707">
        <v>4.3582279999999996E-3</v>
      </c>
      <c r="P2707">
        <v>-0.99956670000000003</v>
      </c>
      <c r="Q2707">
        <v>2.6645039999999998E-2</v>
      </c>
      <c r="R2707">
        <v>1.251857E-2</v>
      </c>
      <c r="S2707">
        <v>-3.008759</v>
      </c>
      <c r="T2707">
        <v>-0.16858039999999999</v>
      </c>
      <c r="U2707">
        <v>-0.24063109999999999</v>
      </c>
      <c r="V2707">
        <v>8.1668239999999996E-3</v>
      </c>
      <c r="W2707">
        <v>3.9005699999999997E-2</v>
      </c>
      <c r="X2707">
        <v>0.99920560000000003</v>
      </c>
      <c r="Y2707">
        <v>-8.3928649999999994E-2</v>
      </c>
      <c r="Z2707">
        <v>-2.5893190000000001E-3</v>
      </c>
      <c r="AA2707">
        <v>0.99646840000000003</v>
      </c>
      <c r="AB2707">
        <v>26</v>
      </c>
      <c r="AC2707">
        <v>-19.551500000000001</v>
      </c>
      <c r="AD2707">
        <v>-1.1100396272169999</v>
      </c>
      <c r="AE2707">
        <v>-1.5857000000000301</v>
      </c>
      <c r="AF2707">
        <v>-1.6655676051802399</v>
      </c>
      <c r="AG2707">
        <v>-1.1100396272169999</v>
      </c>
      <c r="AH2707">
        <v>19.4820145957903</v>
      </c>
      <c r="AI2707">
        <v>93.249226496238293</v>
      </c>
      <c r="AJ2707">
        <v>94.886481808713896</v>
      </c>
      <c r="AK2707">
        <v>19.584565252565699</v>
      </c>
      <c r="AL2707">
        <v>87.764570891063499</v>
      </c>
      <c r="AM2707">
        <v>89.5317138654557</v>
      </c>
      <c r="AN2707">
        <v>0.99999998635904797</v>
      </c>
    </row>
    <row r="2708" spans="1:40" x14ac:dyDescent="0.25">
      <c r="A2708" t="str">
        <f>"20190312160346776"</f>
        <v>20190312160346776</v>
      </c>
      <c r="B2708" t="str">
        <f>"1552377826767209"</f>
        <v>1552377826767209</v>
      </c>
      <c r="C2708" t="s">
        <v>40</v>
      </c>
      <c r="D2708">
        <v>5.5714620000000004</v>
      </c>
      <c r="E2708">
        <v>0.46542139999999999</v>
      </c>
      <c r="F2708" t="s">
        <v>59</v>
      </c>
      <c r="G2708">
        <v>-475.24189999999999</v>
      </c>
      <c r="H2708" s="1">
        <v>4.2181349999999901E-6</v>
      </c>
      <c r="I2708">
        <v>283.79930000000002</v>
      </c>
      <c r="J2708">
        <v>-455.59480000000002</v>
      </c>
      <c r="K2708">
        <v>1.1100399999999999</v>
      </c>
      <c r="L2708">
        <v>285.40159999999997</v>
      </c>
      <c r="M2708">
        <v>-0.99991390000000002</v>
      </c>
      <c r="N2708">
        <v>0</v>
      </c>
      <c r="O2708">
        <v>4.4066890000000001E-3</v>
      </c>
      <c r="P2708">
        <v>-0.999579</v>
      </c>
      <c r="Q2708">
        <v>2.6181070000000001E-2</v>
      </c>
      <c r="R2708">
        <v>1.25133E-2</v>
      </c>
      <c r="S2708">
        <v>-3.0088200000000001</v>
      </c>
      <c r="T2708">
        <v>-0.16785849999999999</v>
      </c>
      <c r="U2708">
        <v>-0.24212649999999999</v>
      </c>
      <c r="V2708">
        <v>8.1129510000000002E-3</v>
      </c>
      <c r="W2708">
        <v>3.8540650000000003E-2</v>
      </c>
      <c r="X2708">
        <v>0.99922409999999995</v>
      </c>
      <c r="Y2708">
        <v>-8.446766E-2</v>
      </c>
      <c r="Z2708">
        <v>-2.5958399999999999E-3</v>
      </c>
      <c r="AA2708">
        <v>0.99642280000000005</v>
      </c>
      <c r="AB2708">
        <v>26</v>
      </c>
      <c r="AC2708">
        <v>-19.647099999999899</v>
      </c>
      <c r="AD2708">
        <v>-1.110035781865</v>
      </c>
      <c r="AE2708">
        <v>-1.6022999999999501</v>
      </c>
      <c r="AF2708">
        <v>-1.68353121356057</v>
      </c>
      <c r="AG2708">
        <v>-1.110035781865</v>
      </c>
      <c r="AH2708">
        <v>19.5777664683091</v>
      </c>
      <c r="AI2708">
        <v>93.233220495960097</v>
      </c>
      <c r="AJ2708">
        <v>94.914887651699999</v>
      </c>
      <c r="AK2708">
        <v>19.681346414097298</v>
      </c>
      <c r="AL2708">
        <v>87.791236379576901</v>
      </c>
      <c r="AM2708">
        <v>89.534811422465197</v>
      </c>
      <c r="AN2708">
        <v>1.00000000184858</v>
      </c>
    </row>
    <row r="2709" spans="1:40" x14ac:dyDescent="0.25">
      <c r="A2709" t="str">
        <f>"20190312160346799"</f>
        <v>20190312160346799</v>
      </c>
      <c r="B2709" t="str">
        <f>"1552377826787705"</f>
        <v>1552377826787705</v>
      </c>
      <c r="C2709" t="s">
        <v>40</v>
      </c>
      <c r="D2709">
        <v>5.2656559999999999</v>
      </c>
      <c r="E2709">
        <v>0.46481460000000002</v>
      </c>
      <c r="F2709" t="s">
        <v>59</v>
      </c>
      <c r="G2709">
        <v>-475.52550000000002</v>
      </c>
      <c r="H2709" s="1">
        <v>4.0875649999999997E-6</v>
      </c>
      <c r="I2709">
        <v>283.7448</v>
      </c>
      <c r="J2709">
        <v>-455.85250000000002</v>
      </c>
      <c r="K2709">
        <v>1.110042</v>
      </c>
      <c r="L2709">
        <v>285.40280000000001</v>
      </c>
      <c r="M2709">
        <v>-0.99991359999999996</v>
      </c>
      <c r="N2709">
        <v>0</v>
      </c>
      <c r="O2709">
        <v>4.4569370000000002E-3</v>
      </c>
      <c r="P2709">
        <v>-0.99959180000000003</v>
      </c>
      <c r="Q2709">
        <v>2.5825560000000001E-2</v>
      </c>
      <c r="R2709">
        <v>1.221261E-2</v>
      </c>
      <c r="S2709">
        <v>-3.008759</v>
      </c>
      <c r="T2709">
        <v>-0.1675722</v>
      </c>
      <c r="U2709">
        <v>-0.25012210000000001</v>
      </c>
      <c r="V2709">
        <v>7.7618059999999996E-3</v>
      </c>
      <c r="W2709">
        <v>3.8184709999999997E-2</v>
      </c>
      <c r="X2709">
        <v>0.99924060000000003</v>
      </c>
      <c r="Y2709">
        <v>-8.7145710000000001E-2</v>
      </c>
      <c r="Z2709">
        <v>-2.668377E-3</v>
      </c>
      <c r="AA2709">
        <v>0.99619199999999997</v>
      </c>
      <c r="AB2709">
        <v>26</v>
      </c>
      <c r="AC2709">
        <v>-19.672999999999998</v>
      </c>
      <c r="AD2709">
        <v>-1.1100379124349999</v>
      </c>
      <c r="AE2709">
        <v>-1.6580000000000099</v>
      </c>
      <c r="AF2709">
        <v>-1.74017042012798</v>
      </c>
      <c r="AG2709">
        <v>-1.1100379124349999</v>
      </c>
      <c r="AH2709">
        <v>19.603442766212801</v>
      </c>
      <c r="AI2709">
        <v>93.228225073629403</v>
      </c>
      <c r="AJ2709">
        <v>95.072770497311396</v>
      </c>
      <c r="AK2709">
        <v>19.711807262306301</v>
      </c>
      <c r="AL2709">
        <v>87.811645362056396</v>
      </c>
      <c r="AM2709">
        <v>89.554952249581703</v>
      </c>
      <c r="AN2709">
        <v>1.0000000471992601</v>
      </c>
    </row>
    <row r="2710" spans="1:40" x14ac:dyDescent="0.25">
      <c r="A2710" t="str">
        <f>"20190312160346821"</f>
        <v>20190312160346821</v>
      </c>
      <c r="B2710" t="str">
        <f>"1552377826816985"</f>
        <v>1552377826816985</v>
      </c>
      <c r="C2710" t="s">
        <v>40</v>
      </c>
      <c r="D2710">
        <v>5.350498</v>
      </c>
      <c r="E2710">
        <v>0.46394859999999999</v>
      </c>
      <c r="F2710" t="s">
        <v>59</v>
      </c>
      <c r="G2710">
        <v>-475.83940000000001</v>
      </c>
      <c r="H2710" s="1">
        <v>3.944811E-6</v>
      </c>
      <c r="I2710">
        <v>283.70409999999998</v>
      </c>
      <c r="J2710">
        <v>-456.11810000000003</v>
      </c>
      <c r="K2710">
        <v>1.110039</v>
      </c>
      <c r="L2710">
        <v>285.40410000000003</v>
      </c>
      <c r="M2710">
        <v>-0.99991350000000001</v>
      </c>
      <c r="N2710">
        <v>0</v>
      </c>
      <c r="O2710">
        <v>4.5086170000000004E-3</v>
      </c>
      <c r="P2710">
        <v>-0.99959120000000001</v>
      </c>
      <c r="Q2710">
        <v>2.5694080000000001E-2</v>
      </c>
      <c r="R2710">
        <v>1.2534379999999999E-2</v>
      </c>
      <c r="S2710">
        <v>-3.008667</v>
      </c>
      <c r="T2710">
        <v>-0.16709549999999901</v>
      </c>
      <c r="U2710">
        <v>-0.25570680000000001</v>
      </c>
      <c r="V2710">
        <v>8.0319810000000005E-3</v>
      </c>
      <c r="W2710">
        <v>3.8052259999999997E-2</v>
      </c>
      <c r="X2710">
        <v>0.99924349999999995</v>
      </c>
      <c r="Y2710">
        <v>-8.9033539999999994E-2</v>
      </c>
      <c r="Z2710">
        <v>-2.7158249999999998E-3</v>
      </c>
      <c r="AA2710">
        <v>0.99602489999999999</v>
      </c>
      <c r="AB2710">
        <v>26</v>
      </c>
      <c r="AC2710">
        <v>-19.7212999999999</v>
      </c>
      <c r="AD2710">
        <v>-1.1100350551889999</v>
      </c>
      <c r="AE2710">
        <v>-1.7000000000000399</v>
      </c>
      <c r="AF2710">
        <v>-1.7832972578967301</v>
      </c>
      <c r="AG2710">
        <v>-1.1100350551889999</v>
      </c>
      <c r="AH2710">
        <v>19.651634666915498</v>
      </c>
      <c r="AI2710">
        <v>93.219751276009404</v>
      </c>
      <c r="AJ2710">
        <v>95.185132080019699</v>
      </c>
      <c r="AK2710">
        <v>19.763579433282999</v>
      </c>
      <c r="AL2710">
        <v>87.819239669000197</v>
      </c>
      <c r="AM2710">
        <v>89.539462902083102</v>
      </c>
      <c r="AN2710">
        <v>1.0000000297510701</v>
      </c>
    </row>
    <row r="2711" spans="1:40" x14ac:dyDescent="0.25">
      <c r="A2711" t="str">
        <f>"20190312160346844"</f>
        <v>20190312160346844</v>
      </c>
      <c r="B2711" t="str">
        <f>"1552377826837482"</f>
        <v>1552377826837482</v>
      </c>
      <c r="C2711" t="s">
        <v>40</v>
      </c>
      <c r="D2711">
        <v>5.3409120000000003</v>
      </c>
      <c r="E2711">
        <v>0.428425</v>
      </c>
      <c r="F2711" t="s">
        <v>59</v>
      </c>
      <c r="G2711">
        <v>-476.3159</v>
      </c>
      <c r="H2711" s="1">
        <v>3.728617E-6</v>
      </c>
      <c r="I2711">
        <v>283.64780000000002</v>
      </c>
      <c r="J2711">
        <v>-456.37540000000001</v>
      </c>
      <c r="K2711">
        <v>1.1100369999999999</v>
      </c>
      <c r="L2711">
        <v>285.40530000000001</v>
      </c>
      <c r="M2711">
        <v>-0.99991319999999995</v>
      </c>
      <c r="N2711">
        <v>0</v>
      </c>
      <c r="O2711">
        <v>4.558215E-3</v>
      </c>
      <c r="P2711">
        <v>-0.99959089999999995</v>
      </c>
      <c r="Q2711">
        <v>2.5651259999999999E-2</v>
      </c>
      <c r="R2711">
        <v>1.2655090000000001E-2</v>
      </c>
      <c r="S2711">
        <v>-3.008759</v>
      </c>
      <c r="T2711">
        <v>-0.16535629999999901</v>
      </c>
      <c r="U2711">
        <v>-0.2616272</v>
      </c>
      <c r="V2711">
        <v>8.1031539999999996E-3</v>
      </c>
      <c r="W2711">
        <v>3.8008409999999999E-2</v>
      </c>
      <c r="X2711">
        <v>0.99924460000000004</v>
      </c>
      <c r="Y2711">
        <v>-9.1025670000000003E-2</v>
      </c>
      <c r="Z2711">
        <v>-2.7446100000000002E-3</v>
      </c>
      <c r="AA2711">
        <v>0.99584479999999997</v>
      </c>
      <c r="AB2711">
        <v>26</v>
      </c>
      <c r="AC2711">
        <v>-19.940499999999901</v>
      </c>
      <c r="AD2711">
        <v>-1.1100332713829999</v>
      </c>
      <c r="AE2711">
        <v>-1.7574999999999901</v>
      </c>
      <c r="AF2711">
        <v>-1.8427154971563999</v>
      </c>
      <c r="AG2711">
        <v>-1.1100332713829999</v>
      </c>
      <c r="AH2711">
        <v>19.871178087772002</v>
      </c>
      <c r="AI2711">
        <v>93.183672359481605</v>
      </c>
      <c r="AJ2711">
        <v>95.298061871077707</v>
      </c>
      <c r="AK2711">
        <v>19.987283278699699</v>
      </c>
      <c r="AL2711">
        <v>87.821753920184804</v>
      </c>
      <c r="AM2711">
        <v>89.535382679736301</v>
      </c>
      <c r="AN2711">
        <v>1.00000003548231</v>
      </c>
    </row>
    <row r="2712" spans="1:40" x14ac:dyDescent="0.25">
      <c r="A2712" t="str">
        <f>"20190312160346865"</f>
        <v>20190312160346865</v>
      </c>
      <c r="B2712" t="str">
        <f>"1552377826857001"</f>
        <v>1552377826857001</v>
      </c>
      <c r="C2712" t="s">
        <v>40</v>
      </c>
      <c r="D2712">
        <v>5.3498919999999996</v>
      </c>
      <c r="E2712">
        <v>0.43243769999999998</v>
      </c>
      <c r="F2712" t="s">
        <v>76</v>
      </c>
      <c r="G2712">
        <v>-512.82510000000002</v>
      </c>
      <c r="H2712">
        <v>-3.8194779999999998E-2</v>
      </c>
      <c r="I2712">
        <v>275.27609999999999</v>
      </c>
      <c r="J2712">
        <v>-456.6345</v>
      </c>
      <c r="K2712">
        <v>1.110036</v>
      </c>
      <c r="L2712">
        <v>285.40649999999999</v>
      </c>
      <c r="M2712">
        <v>-0.9999131</v>
      </c>
      <c r="N2712">
        <v>0</v>
      </c>
      <c r="O2712">
        <v>4.608699E-3</v>
      </c>
      <c r="P2712">
        <v>-0.99960420000000005</v>
      </c>
      <c r="Q2712">
        <v>2.5474440000000001E-2</v>
      </c>
      <c r="R2712">
        <v>1.194804E-2</v>
      </c>
      <c r="S2712">
        <v>-3.0096440000000002</v>
      </c>
      <c r="T2712">
        <v>-6.1214089999999999E-2</v>
      </c>
      <c r="U2712">
        <v>-0.54003909999999999</v>
      </c>
      <c r="V2712">
        <v>7.3455619999999999E-3</v>
      </c>
      <c r="W2712">
        <v>3.7831160000000003E-2</v>
      </c>
      <c r="X2712">
        <v>0.99925710000000001</v>
      </c>
      <c r="Y2712">
        <v>-0.181113</v>
      </c>
      <c r="Z2712">
        <v>-1.9200829999999999E-3</v>
      </c>
      <c r="AA2712">
        <v>0.98346040000000001</v>
      </c>
      <c r="AB2712">
        <v>26</v>
      </c>
      <c r="AC2712">
        <v>-56.190600000000003</v>
      </c>
      <c r="AD2712">
        <v>-1.14823078</v>
      </c>
      <c r="AE2712">
        <v>-10.1304</v>
      </c>
      <c r="AF2712">
        <v>-10.385077713919801</v>
      </c>
      <c r="AG2712">
        <v>-1.14823078</v>
      </c>
      <c r="AH2712">
        <v>56.120614967357398</v>
      </c>
      <c r="AI2712">
        <v>91.152549189051101</v>
      </c>
      <c r="AJ2712">
        <v>100.483946561108</v>
      </c>
      <c r="AK2712">
        <v>57.084951584131801</v>
      </c>
      <c r="AL2712">
        <v>87.831916727036301</v>
      </c>
      <c r="AM2712">
        <v>89.578824989007998</v>
      </c>
      <c r="AN2712">
        <v>0.99999995292422394</v>
      </c>
    </row>
    <row r="2713" spans="1:40" x14ac:dyDescent="0.25">
      <c r="A2713" t="str">
        <f>"20190312160346889"</f>
        <v>20190312160346889</v>
      </c>
      <c r="B2713" t="str">
        <f>"1552377826877498"</f>
        <v>1552377826877498</v>
      </c>
      <c r="C2713" t="s">
        <v>40</v>
      </c>
      <c r="D2713">
        <v>5.3786120000000004</v>
      </c>
      <c r="E2713">
        <v>0.43296040000000002</v>
      </c>
      <c r="F2713" t="s">
        <v>59</v>
      </c>
      <c r="G2713">
        <v>-487.47430000000003</v>
      </c>
      <c r="H2713" s="1">
        <v>3.1417790000000002E-6</v>
      </c>
      <c r="I2713">
        <v>280.15769999999998</v>
      </c>
      <c r="J2713">
        <v>-456.89069999999998</v>
      </c>
      <c r="K2713">
        <v>1.110033</v>
      </c>
      <c r="L2713">
        <v>285.40769999999998</v>
      </c>
      <c r="M2713">
        <v>-0.99991289999999999</v>
      </c>
      <c r="N2713">
        <v>0</v>
      </c>
      <c r="O2713">
        <v>4.6586509999999998E-3</v>
      </c>
      <c r="P2713">
        <v>-0.99960789999999999</v>
      </c>
      <c r="Q2713">
        <v>2.5577989999999998E-2</v>
      </c>
      <c r="R2713">
        <v>1.1403730000000001E-2</v>
      </c>
      <c r="S2713">
        <v>-3.01004</v>
      </c>
      <c r="T2713">
        <v>-0.1083419</v>
      </c>
      <c r="U2713">
        <v>-0.51229859999999905</v>
      </c>
      <c r="V2713">
        <v>6.7514169999999896E-3</v>
      </c>
      <c r="W2713">
        <v>3.7934089999999997E-2</v>
      </c>
      <c r="X2713">
        <v>0.99925739999999996</v>
      </c>
      <c r="Y2713">
        <v>-0.17226359999999999</v>
      </c>
      <c r="Z2713">
        <v>-3.243541E-3</v>
      </c>
      <c r="AA2713">
        <v>0.98504559999999997</v>
      </c>
      <c r="AB2713">
        <v>26</v>
      </c>
      <c r="AC2713">
        <v>-30.583600000000001</v>
      </c>
      <c r="AD2713">
        <v>-1.110029858221</v>
      </c>
      <c r="AE2713">
        <v>-5.25</v>
      </c>
      <c r="AF2713">
        <v>-5.3855407817426499</v>
      </c>
      <c r="AG2713">
        <v>-1.110029858221</v>
      </c>
      <c r="AH2713">
        <v>30.5197547322405</v>
      </c>
      <c r="AI2713">
        <v>92.051314053166095</v>
      </c>
      <c r="AJ2713">
        <v>100.007436725415</v>
      </c>
      <c r="AK2713">
        <v>31.0111535534244</v>
      </c>
      <c r="AL2713">
        <v>87.826015060295504</v>
      </c>
      <c r="AM2713">
        <v>89.612890718805104</v>
      </c>
      <c r="AN2713">
        <v>0.99999996413519698</v>
      </c>
    </row>
    <row r="2714" spans="1:40" x14ac:dyDescent="0.25">
      <c r="A2714" t="str">
        <f>"20190312160346911"</f>
        <v>20190312160346911</v>
      </c>
      <c r="B2714" t="str">
        <f>"1552377826907753"</f>
        <v>1552377826907753</v>
      </c>
      <c r="C2714" t="s">
        <v>40</v>
      </c>
      <c r="D2714">
        <v>5.3773839999999904</v>
      </c>
      <c r="E2714">
        <v>0.43400070000000002</v>
      </c>
      <c r="F2714" t="s">
        <v>59</v>
      </c>
      <c r="G2714">
        <v>-483.68900000000002</v>
      </c>
      <c r="H2714" s="1">
        <v>2.531984E-6</v>
      </c>
      <c r="I2714">
        <v>280.863</v>
      </c>
      <c r="J2714">
        <v>-457.1533</v>
      </c>
      <c r="K2714">
        <v>1.110028</v>
      </c>
      <c r="L2714">
        <v>285.40910000000002</v>
      </c>
      <c r="M2714">
        <v>-0.99991260000000004</v>
      </c>
      <c r="N2714">
        <v>0</v>
      </c>
      <c r="O2714">
        <v>4.7092619999999996E-3</v>
      </c>
      <c r="P2714">
        <v>-0.99961279999999997</v>
      </c>
      <c r="Q2714">
        <v>2.566539E-2</v>
      </c>
      <c r="R2714">
        <v>1.0770419999999999E-2</v>
      </c>
      <c r="S2714">
        <v>-3.0101930000000001</v>
      </c>
      <c r="T2714">
        <v>-0.1246872</v>
      </c>
      <c r="U2714">
        <v>-0.51049800000000001</v>
      </c>
      <c r="V2714">
        <v>6.0674689999999998E-3</v>
      </c>
      <c r="W2714">
        <v>3.80208E-2</v>
      </c>
      <c r="X2714">
        <v>0.99925850000000005</v>
      </c>
      <c r="Y2714">
        <v>-0.17169690000000001</v>
      </c>
      <c r="Z2714">
        <v>-3.722932E-3</v>
      </c>
      <c r="AA2714">
        <v>0.98514279999999999</v>
      </c>
      <c r="AB2714">
        <v>26</v>
      </c>
      <c r="AC2714">
        <v>-26.535699999999999</v>
      </c>
      <c r="AD2714">
        <v>-1.110025468016</v>
      </c>
      <c r="AE2714">
        <v>-4.5461000000000196</v>
      </c>
      <c r="AF2714">
        <v>-4.6630955562322196</v>
      </c>
      <c r="AG2714">
        <v>-1.110025468016</v>
      </c>
      <c r="AH2714">
        <v>26.468998774635601</v>
      </c>
      <c r="AI2714">
        <v>92.365017058784701</v>
      </c>
      <c r="AJ2714">
        <v>99.991385907344807</v>
      </c>
      <c r="AK2714">
        <v>26.899526256755099</v>
      </c>
      <c r="AL2714">
        <v>87.821043374961405</v>
      </c>
      <c r="AM2714">
        <v>89.652105942800802</v>
      </c>
      <c r="AN2714">
        <v>0.99999997261747697</v>
      </c>
    </row>
    <row r="2715" spans="1:40" x14ac:dyDescent="0.25">
      <c r="A2715" t="str">
        <f>"20190312160346933"</f>
        <v>20190312160346933</v>
      </c>
      <c r="B2715" t="str">
        <f>"1552377826927273"</f>
        <v>1552377826927273</v>
      </c>
      <c r="C2715" t="s">
        <v>40</v>
      </c>
      <c r="D2715">
        <v>5.4315619999999996</v>
      </c>
      <c r="E2715">
        <v>0.43449929999999898</v>
      </c>
      <c r="F2715" t="s">
        <v>59</v>
      </c>
      <c r="G2715">
        <v>-481.99489999999997</v>
      </c>
      <c r="H2715" s="1">
        <v>2.2647830000000001E-6</v>
      </c>
      <c r="I2715">
        <v>281.24380000000002</v>
      </c>
      <c r="J2715">
        <v>-457.41430000000003</v>
      </c>
      <c r="K2715">
        <v>1.1100319999999999</v>
      </c>
      <c r="L2715">
        <v>285.41030000000001</v>
      </c>
      <c r="M2715">
        <v>-0.99991229999999998</v>
      </c>
      <c r="N2715">
        <v>0</v>
      </c>
      <c r="O2715">
        <v>4.7602249999999999E-3</v>
      </c>
      <c r="P2715">
        <v>-0.99961999999999995</v>
      </c>
      <c r="Q2715">
        <v>2.5395640000000001E-2</v>
      </c>
      <c r="R2715">
        <v>1.072641E-2</v>
      </c>
      <c r="S2715">
        <v>-3.01004</v>
      </c>
      <c r="T2715">
        <v>-0.1345006</v>
      </c>
      <c r="U2715">
        <v>-0.50469969999999997</v>
      </c>
      <c r="V2715">
        <v>5.9723830000000004E-3</v>
      </c>
      <c r="W2715">
        <v>3.7750640000000002E-2</v>
      </c>
      <c r="X2715">
        <v>0.99926939999999997</v>
      </c>
      <c r="Y2715">
        <v>-0.16988729999999999</v>
      </c>
      <c r="Z2715">
        <v>-3.9786370000000001E-3</v>
      </c>
      <c r="AA2715">
        <v>0.98545550000000004</v>
      </c>
      <c r="AB2715">
        <v>26</v>
      </c>
      <c r="AC2715">
        <v>-24.580599999999901</v>
      </c>
      <c r="AD2715">
        <v>-1.1100297352170001</v>
      </c>
      <c r="AE2715">
        <v>-4.1664999999999797</v>
      </c>
      <c r="AF2715">
        <v>-4.2749963336452099</v>
      </c>
      <c r="AG2715">
        <v>-1.1100297352170001</v>
      </c>
      <c r="AH2715">
        <v>24.511895100047301</v>
      </c>
      <c r="AI2715">
        <v>92.554382686529493</v>
      </c>
      <c r="AJ2715">
        <v>99.893162533408002</v>
      </c>
      <c r="AK2715">
        <v>24.9066409028088</v>
      </c>
      <c r="AL2715">
        <v>87.836533706536301</v>
      </c>
      <c r="AM2715">
        <v>89.657561549390294</v>
      </c>
      <c r="AN2715">
        <v>1.0000000569777301</v>
      </c>
    </row>
    <row r="2716" spans="1:40" x14ac:dyDescent="0.25">
      <c r="A2716" t="str">
        <f>"20190312160346955"</f>
        <v>20190312160346955</v>
      </c>
      <c r="B2716" t="str">
        <f>"1552377826947769"</f>
        <v>1552377826947769</v>
      </c>
      <c r="C2716" t="s">
        <v>40</v>
      </c>
      <c r="D2716">
        <v>5.3520370000000002</v>
      </c>
      <c r="E2716">
        <v>0.43440879999999998</v>
      </c>
      <c r="F2716" t="s">
        <v>59</v>
      </c>
      <c r="G2716">
        <v>-481.70060000000001</v>
      </c>
      <c r="H2716" s="1">
        <v>2.223509E-6</v>
      </c>
      <c r="I2716">
        <v>281.3689</v>
      </c>
      <c r="J2716">
        <v>-457.67169999999999</v>
      </c>
      <c r="K2716">
        <v>1.110036</v>
      </c>
      <c r="L2716">
        <v>285.41160000000002</v>
      </c>
      <c r="M2716">
        <v>-0.99991209999999997</v>
      </c>
      <c r="N2716">
        <v>0</v>
      </c>
      <c r="O2716">
        <v>4.8103540000000002E-3</v>
      </c>
      <c r="P2716">
        <v>-0.99960610000000005</v>
      </c>
      <c r="Q2716">
        <v>2.5815129999999999E-2</v>
      </c>
      <c r="R2716">
        <v>1.1010580000000001E-2</v>
      </c>
      <c r="S2716">
        <v>-3.009979</v>
      </c>
      <c r="T2716">
        <v>-0.137574</v>
      </c>
      <c r="U2716">
        <v>-0.50088500000000002</v>
      </c>
      <c r="V2716">
        <v>6.2064800000000003E-3</v>
      </c>
      <c r="W2716">
        <v>3.8169479999999999E-2</v>
      </c>
      <c r="X2716">
        <v>0.99925200000000003</v>
      </c>
      <c r="Y2716">
        <v>-0.16871810000000001</v>
      </c>
      <c r="Z2716">
        <v>-4.0457100000000001E-3</v>
      </c>
      <c r="AA2716">
        <v>0.98565599999999998</v>
      </c>
      <c r="AB2716">
        <v>26</v>
      </c>
      <c r="AC2716">
        <v>-24.0289</v>
      </c>
      <c r="AD2716">
        <v>-1.110033776491</v>
      </c>
      <c r="AE2716">
        <v>-4.0427000000000204</v>
      </c>
      <c r="AF2716">
        <v>-4.1496377862893299</v>
      </c>
      <c r="AG2716">
        <v>-1.110033776491</v>
      </c>
      <c r="AH2716">
        <v>23.959450432426699</v>
      </c>
      <c r="AI2716">
        <v>92.613742194229005</v>
      </c>
      <c r="AJ2716">
        <v>99.825824403070499</v>
      </c>
      <c r="AK2716">
        <v>24.341465316744301</v>
      </c>
      <c r="AL2716">
        <v>87.812518498123296</v>
      </c>
      <c r="AM2716">
        <v>89.644133274806094</v>
      </c>
      <c r="AN2716">
        <v>0.99999999455072996</v>
      </c>
    </row>
    <row r="2717" spans="1:40" x14ac:dyDescent="0.25">
      <c r="A2717" t="str">
        <f>"20190312160346978"</f>
        <v>20190312160346978</v>
      </c>
      <c r="B2717" t="str">
        <f>"1552377826967289"</f>
        <v>1552377826967289</v>
      </c>
      <c r="C2717" t="s">
        <v>40</v>
      </c>
      <c r="D2717">
        <v>5.4253819999999999</v>
      </c>
      <c r="E2717">
        <v>0.43431310000000001</v>
      </c>
      <c r="F2717" t="s">
        <v>59</v>
      </c>
      <c r="G2717">
        <v>-483.02069999999998</v>
      </c>
      <c r="H2717" s="1">
        <v>2.4425820000000001E-6</v>
      </c>
      <c r="I2717">
        <v>281.19639999999998</v>
      </c>
      <c r="J2717">
        <v>-457.92720000000003</v>
      </c>
      <c r="K2717">
        <v>1.1100270000000001</v>
      </c>
      <c r="L2717">
        <v>285.41289999999998</v>
      </c>
      <c r="M2717">
        <v>-0.99991200000000002</v>
      </c>
      <c r="N2717">
        <v>0</v>
      </c>
      <c r="O2717">
        <v>4.8596510000000004E-3</v>
      </c>
      <c r="P2717">
        <v>-0.99961230000000001</v>
      </c>
      <c r="Q2717">
        <v>2.5548080000000001E-2</v>
      </c>
      <c r="R2717">
        <v>1.109634E-2</v>
      </c>
      <c r="S2717">
        <v>-3.0101010000000001</v>
      </c>
      <c r="T2717">
        <v>-0.1318125</v>
      </c>
      <c r="U2717">
        <v>-0.50054929999999997</v>
      </c>
      <c r="V2717">
        <v>6.2431120000000003E-3</v>
      </c>
      <c r="W2717">
        <v>3.790168E-2</v>
      </c>
      <c r="X2717">
        <v>0.99926199999999998</v>
      </c>
      <c r="Y2717">
        <v>-0.1686677</v>
      </c>
      <c r="Z2717">
        <v>-3.877372E-3</v>
      </c>
      <c r="AA2717">
        <v>0.98566529999999997</v>
      </c>
      <c r="AB2717">
        <v>26</v>
      </c>
      <c r="AC2717">
        <v>-25.093499999999899</v>
      </c>
      <c r="AD2717">
        <v>-1.1100245574179901</v>
      </c>
      <c r="AE2717">
        <v>-4.2164999999999901</v>
      </c>
      <c r="AF2717">
        <v>-4.3301646224115897</v>
      </c>
      <c r="AG2717">
        <v>-1.1100245574179901</v>
      </c>
      <c r="AH2717">
        <v>25.025087343683801</v>
      </c>
      <c r="AI2717">
        <v>92.502633504364496</v>
      </c>
      <c r="AJ2717">
        <v>99.816854282469805</v>
      </c>
      <c r="AK2717">
        <v>25.4212013235854</v>
      </c>
      <c r="AL2717">
        <v>87.827873494390104</v>
      </c>
      <c r="AM2717">
        <v>89.642036508417107</v>
      </c>
      <c r="AN2717">
        <v>1.00000002921913</v>
      </c>
    </row>
    <row r="2718" spans="1:40" x14ac:dyDescent="0.25">
      <c r="A2718" t="str">
        <f>"20190312160347000"</f>
        <v>20190312160347000</v>
      </c>
      <c r="B2718" t="str">
        <f>"1552377826987786"</f>
        <v>1552377826987786</v>
      </c>
      <c r="C2718" t="s">
        <v>40</v>
      </c>
      <c r="D2718">
        <v>5.4772860000000003</v>
      </c>
      <c r="E2718">
        <v>0.43414649999999999</v>
      </c>
      <c r="F2718" t="s">
        <v>59</v>
      </c>
      <c r="G2718">
        <v>-483.55180000000001</v>
      </c>
      <c r="H2718" s="1">
        <v>2.5326009999999999E-6</v>
      </c>
      <c r="I2718">
        <v>281.14839999999998</v>
      </c>
      <c r="J2718">
        <v>-458.18740000000003</v>
      </c>
      <c r="K2718">
        <v>1.110026</v>
      </c>
      <c r="L2718">
        <v>285.41419999999999</v>
      </c>
      <c r="M2718">
        <v>-0.99991169999999996</v>
      </c>
      <c r="N2718">
        <v>0</v>
      </c>
      <c r="O2718">
        <v>4.9102570000000003E-3</v>
      </c>
      <c r="P2718">
        <v>-0.99962220000000002</v>
      </c>
      <c r="Q2718">
        <v>2.5224070000000001E-2</v>
      </c>
      <c r="R2718">
        <v>1.09388E-2</v>
      </c>
      <c r="S2718">
        <v>-3.0100709999999999</v>
      </c>
      <c r="T2718">
        <v>-0.13039239999999999</v>
      </c>
      <c r="U2718">
        <v>-0.500946</v>
      </c>
      <c r="V2718">
        <v>6.0348290000000002E-3</v>
      </c>
      <c r="W2718">
        <v>3.7576720000000001E-2</v>
      </c>
      <c r="X2718">
        <v>0.99927549999999998</v>
      </c>
      <c r="Y2718">
        <v>-0.1688489</v>
      </c>
      <c r="Z2718">
        <v>-3.8417049999999999E-3</v>
      </c>
      <c r="AA2718">
        <v>0.98563440000000002</v>
      </c>
      <c r="AB2718">
        <v>26</v>
      </c>
      <c r="AC2718">
        <v>-25.3643999999999</v>
      </c>
      <c r="AD2718">
        <v>-1.1100234673989999</v>
      </c>
      <c r="AE2718">
        <v>-4.2658000000000103</v>
      </c>
      <c r="AF2718">
        <v>-4.3821419432793798</v>
      </c>
      <c r="AG2718">
        <v>-1.1100234673989999</v>
      </c>
      <c r="AH2718">
        <v>25.296031951110599</v>
      </c>
      <c r="AI2718">
        <v>92.475775304444298</v>
      </c>
      <c r="AJ2718">
        <v>99.8280586062819</v>
      </c>
      <c r="AK2718">
        <v>25.696780977017902</v>
      </c>
      <c r="AL2718">
        <v>87.846505490967402</v>
      </c>
      <c r="AM2718">
        <v>89.653983282655901</v>
      </c>
      <c r="AN2718">
        <v>0.99999997697363296</v>
      </c>
    </row>
    <row r="2719" spans="1:40" x14ac:dyDescent="0.25">
      <c r="A2719" t="str">
        <f>"20190312160347023"</f>
        <v>20190312160347023</v>
      </c>
      <c r="B2719" t="str">
        <f>"1552377827017069"</f>
        <v>1552377827017069</v>
      </c>
      <c r="C2719" t="s">
        <v>40</v>
      </c>
      <c r="D2719">
        <v>5.4499329999999997</v>
      </c>
      <c r="E2719">
        <v>0.43365999999999999</v>
      </c>
      <c r="F2719" t="s">
        <v>59</v>
      </c>
      <c r="G2719">
        <v>-484.10210000000001</v>
      </c>
      <c r="H2719" s="1">
        <v>2.624659E-6</v>
      </c>
      <c r="I2719">
        <v>281.0849</v>
      </c>
      <c r="J2719">
        <v>-458.45620000000002</v>
      </c>
      <c r="K2719">
        <v>1.110031</v>
      </c>
      <c r="L2719">
        <v>285.41559999999998</v>
      </c>
      <c r="M2719">
        <v>-0.99991140000000001</v>
      </c>
      <c r="N2719">
        <v>0</v>
      </c>
      <c r="O2719">
        <v>4.9625320000000004E-3</v>
      </c>
      <c r="P2719">
        <v>-0.99962169999999895</v>
      </c>
      <c r="Q2719">
        <v>2.5337889999999998E-2</v>
      </c>
      <c r="R2719">
        <v>1.0697079999999999E-2</v>
      </c>
      <c r="S2719">
        <v>-3.0098880000000001</v>
      </c>
      <c r="T2719">
        <v>-0.12892519999999999</v>
      </c>
      <c r="U2719">
        <v>-0.50283809999999995</v>
      </c>
      <c r="V2719">
        <v>5.7405679999999997E-3</v>
      </c>
      <c r="W2719">
        <v>3.7689640000000003E-2</v>
      </c>
      <c r="X2719">
        <v>0.99927299999999997</v>
      </c>
      <c r="Y2719">
        <v>-0.16951579999999999</v>
      </c>
      <c r="Z2719">
        <v>-3.8149519999999999E-3</v>
      </c>
      <c r="AA2719">
        <v>0.98552010000000001</v>
      </c>
      <c r="AB2719">
        <v>26</v>
      </c>
      <c r="AC2719">
        <v>-25.645899999999902</v>
      </c>
      <c r="AD2719">
        <v>-1.1100283753409901</v>
      </c>
      <c r="AE2719">
        <v>-4.33069999999997</v>
      </c>
      <c r="AF2719">
        <v>-4.4498197724463298</v>
      </c>
      <c r="AG2719">
        <v>-1.1100283753409901</v>
      </c>
      <c r="AH2719">
        <v>25.5775026932785</v>
      </c>
      <c r="AI2719">
        <v>92.448269683248398</v>
      </c>
      <c r="AJ2719">
        <v>99.869195445076997</v>
      </c>
      <c r="AK2719">
        <v>25.985413274104101</v>
      </c>
      <c r="AL2719">
        <v>87.840031105742696</v>
      </c>
      <c r="AM2719">
        <v>89.670854010628702</v>
      </c>
      <c r="AN2719">
        <v>0.999999995806646</v>
      </c>
    </row>
    <row r="2720" spans="1:40" x14ac:dyDescent="0.25">
      <c r="A2720" t="str">
        <f>"20190312160347038"</f>
        <v>20190312160347038</v>
      </c>
      <c r="B2720" t="str">
        <f>"1552377827026827"</f>
        <v>1552377827026827</v>
      </c>
      <c r="C2720" t="s">
        <v>40</v>
      </c>
      <c r="D2720">
        <v>5.5633410000000003</v>
      </c>
      <c r="E2720">
        <v>0.43337829999999999</v>
      </c>
      <c r="F2720" t="s">
        <v>59</v>
      </c>
      <c r="G2720">
        <v>-484.71260000000001</v>
      </c>
      <c r="H2720" s="1">
        <v>2.72461E-6</v>
      </c>
      <c r="I2720">
        <v>280.98939999999999</v>
      </c>
      <c r="J2720">
        <v>-458.63029999999998</v>
      </c>
      <c r="K2720">
        <v>1.1100319999999999</v>
      </c>
      <c r="L2720">
        <v>285.41649999999998</v>
      </c>
      <c r="M2720">
        <v>-0.9999112</v>
      </c>
      <c r="N2720">
        <v>0</v>
      </c>
      <c r="O2720">
        <v>4.9965069999999999E-3</v>
      </c>
      <c r="P2720">
        <v>-0.99963020000000002</v>
      </c>
      <c r="Q2720">
        <v>2.509981E-2</v>
      </c>
      <c r="R2720">
        <v>1.0483640000000001E-2</v>
      </c>
      <c r="S2720">
        <v>-3.0097960000000001</v>
      </c>
      <c r="T2720">
        <v>-0.12724379999999999</v>
      </c>
      <c r="U2720">
        <v>-0.50738530000000004</v>
      </c>
      <c r="V2720">
        <v>5.4934010000000002E-3</v>
      </c>
      <c r="W2720">
        <v>3.7451869999999998E-2</v>
      </c>
      <c r="X2720">
        <v>0.99928329999999999</v>
      </c>
      <c r="Y2720">
        <v>-0.17100479999999901</v>
      </c>
      <c r="Z2720">
        <v>-3.7975539999999999E-3</v>
      </c>
      <c r="AA2720">
        <v>0.98526290000000005</v>
      </c>
      <c r="AB2720">
        <v>26</v>
      </c>
      <c r="AC2720">
        <v>-26.0823</v>
      </c>
      <c r="AD2720">
        <v>-1.1100292753899901</v>
      </c>
      <c r="AE2720">
        <v>-4.4270999999999896</v>
      </c>
      <c r="AF2720">
        <v>-4.5493658054327701</v>
      </c>
      <c r="AG2720">
        <v>-1.1100292753899901</v>
      </c>
      <c r="AH2720">
        <v>26.014054297772599</v>
      </c>
      <c r="AI2720">
        <v>92.4068658720374</v>
      </c>
      <c r="AJ2720">
        <v>99.919634000354407</v>
      </c>
      <c r="AK2720">
        <v>26.432175756666901</v>
      </c>
      <c r="AL2720">
        <v>87.853663886322394</v>
      </c>
      <c r="AM2720">
        <v>89.6850287382142</v>
      </c>
      <c r="AN2720">
        <v>0.99999996683996595</v>
      </c>
    </row>
    <row r="2721" spans="1:40" x14ac:dyDescent="0.25">
      <c r="A2721" t="str">
        <f>"20190312160347052"</f>
        <v>20190312160347052</v>
      </c>
      <c r="B2721" t="str">
        <f>"1552377827047322"</f>
        <v>1552377827047322</v>
      </c>
      <c r="C2721" t="s">
        <v>40</v>
      </c>
      <c r="D2721">
        <v>5.4382349999999997</v>
      </c>
      <c r="E2721">
        <v>0.43293690000000001</v>
      </c>
      <c r="F2721" t="s">
        <v>59</v>
      </c>
      <c r="G2721">
        <v>-485.22489999999999</v>
      </c>
      <c r="H2721" s="1">
        <v>2.8084839999999999E-6</v>
      </c>
      <c r="I2721">
        <v>280.90929999999997</v>
      </c>
      <c r="J2721">
        <v>-458.7867</v>
      </c>
      <c r="K2721">
        <v>1.1100300000000001</v>
      </c>
      <c r="L2721">
        <v>285.41739999999999</v>
      </c>
      <c r="M2721">
        <v>-0.99991110000000005</v>
      </c>
      <c r="N2721">
        <v>0</v>
      </c>
      <c r="O2721">
        <v>5.0271450000000002E-3</v>
      </c>
      <c r="P2721">
        <v>-0.99963930000000001</v>
      </c>
      <c r="Q2721">
        <v>2.4769940000000001E-2</v>
      </c>
      <c r="R2721">
        <v>1.0377239999999999E-2</v>
      </c>
      <c r="S2721">
        <v>-3.0096129999999999</v>
      </c>
      <c r="T2721">
        <v>-0.1256178</v>
      </c>
      <c r="U2721">
        <v>-0.51007079999999905</v>
      </c>
      <c r="V2721">
        <v>5.3559970000000004E-3</v>
      </c>
      <c r="W2721">
        <v>3.7121179999999997E-2</v>
      </c>
      <c r="X2721">
        <v>0.99929639999999997</v>
      </c>
      <c r="Y2721">
        <v>-0.17190269999999999</v>
      </c>
      <c r="Z2721">
        <v>-3.768885E-3</v>
      </c>
      <c r="AA2721">
        <v>0.9851067</v>
      </c>
      <c r="AB2721">
        <v>26</v>
      </c>
      <c r="AC2721">
        <v>-26.438199999999899</v>
      </c>
      <c r="AD2721">
        <v>-1.1100271915159901</v>
      </c>
      <c r="AE2721">
        <v>-4.5081000000000104</v>
      </c>
      <c r="AF2721">
        <v>-4.6330254739678596</v>
      </c>
      <c r="AG2721">
        <v>-1.1100271915159901</v>
      </c>
      <c r="AH2721">
        <v>26.370029516507099</v>
      </c>
      <c r="AI2721">
        <v>92.3740806220992</v>
      </c>
      <c r="AJ2721">
        <v>99.964758393273698</v>
      </c>
      <c r="AK2721">
        <v>26.796931580123101</v>
      </c>
      <c r="AL2721">
        <v>87.872624245090194</v>
      </c>
      <c r="AM2721">
        <v>89.692910847391005</v>
      </c>
      <c r="AN2721">
        <v>0.99999998188070804</v>
      </c>
    </row>
    <row r="2722" spans="1:40" x14ac:dyDescent="0.25">
      <c r="A2722" t="str">
        <f>"20190312160347064"</f>
        <v>20190312160347064</v>
      </c>
      <c r="B2722" t="str">
        <f>"1552377827057082"</f>
        <v>1552377827057082</v>
      </c>
      <c r="C2722" t="s">
        <v>40</v>
      </c>
      <c r="D2722">
        <v>5.4440749999999998</v>
      </c>
      <c r="E2722">
        <v>0.43268430000000002</v>
      </c>
      <c r="F2722" t="s">
        <v>59</v>
      </c>
      <c r="G2722">
        <v>-485.87639999999999</v>
      </c>
      <c r="H2722" s="1">
        <v>2.913954E-6</v>
      </c>
      <c r="I2722">
        <v>280.79390000000001</v>
      </c>
      <c r="J2722">
        <v>-458.93810000000002</v>
      </c>
      <c r="K2722">
        <v>1.1100289999999999</v>
      </c>
      <c r="L2722">
        <v>285.41809999999998</v>
      </c>
      <c r="M2722">
        <v>-0.99991079999999999</v>
      </c>
      <c r="N2722">
        <v>0</v>
      </c>
      <c r="O2722">
        <v>5.0567099999999999E-3</v>
      </c>
      <c r="P2722">
        <v>-0.99963869999999999</v>
      </c>
      <c r="Q2722">
        <v>2.481411E-2</v>
      </c>
      <c r="R2722">
        <v>1.033951E-2</v>
      </c>
      <c r="S2722">
        <v>-3.0094910000000001</v>
      </c>
      <c r="T2722">
        <v>-0.1233171</v>
      </c>
      <c r="U2722">
        <v>-0.51364140000000003</v>
      </c>
      <c r="V2722">
        <v>5.2888960000000004E-3</v>
      </c>
      <c r="W2722">
        <v>3.7165490000000002E-2</v>
      </c>
      <c r="X2722">
        <v>0.99929509999999999</v>
      </c>
      <c r="Y2722">
        <v>-0.1730786</v>
      </c>
      <c r="Z2722">
        <v>-3.7248099999999998E-3</v>
      </c>
      <c r="AA2722">
        <v>0.98490100000000003</v>
      </c>
      <c r="AB2722">
        <v>26</v>
      </c>
      <c r="AC2722">
        <v>-26.938299999999899</v>
      </c>
      <c r="AD2722">
        <v>-1.1100260860460001</v>
      </c>
      <c r="AE2722">
        <v>-4.6241999999999699</v>
      </c>
      <c r="AF2722">
        <v>-4.7525318468283597</v>
      </c>
      <c r="AG2722">
        <v>-1.1100260860460001</v>
      </c>
      <c r="AH2722">
        <v>26.870251974293598</v>
      </c>
      <c r="AI2722">
        <v>92.329462863746897</v>
      </c>
      <c r="AJ2722">
        <v>100.030151855567</v>
      </c>
      <c r="AK2722">
        <v>27.309872903930799</v>
      </c>
      <c r="AL2722">
        <v>87.870083693785602</v>
      </c>
      <c r="AM2722">
        <v>89.696757654834798</v>
      </c>
      <c r="AN2722">
        <v>0.99999997147592401</v>
      </c>
    </row>
    <row r="2723" spans="1:40" x14ac:dyDescent="0.25">
      <c r="A2723" t="str">
        <f>"20190312160347078"</f>
        <v>20190312160347078</v>
      </c>
      <c r="B2723" t="str">
        <f>"1552377827066842"</f>
        <v>1552377827066842</v>
      </c>
      <c r="C2723" t="s">
        <v>40</v>
      </c>
      <c r="D2723">
        <v>5.4660489999999999</v>
      </c>
      <c r="E2723">
        <v>0.43246089999999998</v>
      </c>
      <c r="F2723" t="s">
        <v>59</v>
      </c>
      <c r="G2723">
        <v>-486.399</v>
      </c>
      <c r="H2723" s="1">
        <v>2.9994379999999998E-6</v>
      </c>
      <c r="I2723">
        <v>280.71140000000003</v>
      </c>
      <c r="J2723">
        <v>-459.0942</v>
      </c>
      <c r="K2723">
        <v>1.1100319999999999</v>
      </c>
      <c r="L2723">
        <v>285.41899999999998</v>
      </c>
      <c r="M2723">
        <v>-0.99991079999999999</v>
      </c>
      <c r="N2723">
        <v>0</v>
      </c>
      <c r="O2723">
        <v>5.0868140000000003E-3</v>
      </c>
      <c r="P2723">
        <v>-0.99964219999999904</v>
      </c>
      <c r="Q2723">
        <v>2.4866820000000001E-2</v>
      </c>
      <c r="R2723">
        <v>9.8691609999999996E-3</v>
      </c>
      <c r="S2723">
        <v>-3.00943</v>
      </c>
      <c r="T2723">
        <v>-0.12164759999999999</v>
      </c>
      <c r="U2723">
        <v>-0.51580809999999999</v>
      </c>
      <c r="V2723">
        <v>4.7885840000000002E-3</v>
      </c>
      <c r="W2723">
        <v>3.7217430000000003E-2</v>
      </c>
      <c r="X2723">
        <v>0.99929570000000001</v>
      </c>
      <c r="Y2723">
        <v>-0.17380379999999901</v>
      </c>
      <c r="Z2723">
        <v>-3.6900290000000001E-3</v>
      </c>
      <c r="AA2723">
        <v>0.98477340000000002</v>
      </c>
      <c r="AB2723">
        <v>26</v>
      </c>
      <c r="AC2723">
        <v>-27.3048</v>
      </c>
      <c r="AD2723">
        <v>-1.1100290005619999</v>
      </c>
      <c r="AE2723">
        <v>-4.70760000000001</v>
      </c>
      <c r="AF2723">
        <v>-4.8386781382028197</v>
      </c>
      <c r="AG2723">
        <v>-1.1100290005619999</v>
      </c>
      <c r="AH2723">
        <v>27.236783694753999</v>
      </c>
      <c r="AI2723">
        <v>92.297845828254694</v>
      </c>
      <c r="AJ2723">
        <v>100.07363052204499</v>
      </c>
      <c r="AK2723">
        <v>27.685508060030799</v>
      </c>
      <c r="AL2723">
        <v>87.867105712711805</v>
      </c>
      <c r="AM2723">
        <v>89.725443076560296</v>
      </c>
      <c r="AN2723">
        <v>0.99999998183550898</v>
      </c>
    </row>
    <row r="2724" spans="1:40" x14ac:dyDescent="0.25">
      <c r="A2724" t="str">
        <f>"20190312160347093"</f>
        <v>20190312160347093</v>
      </c>
      <c r="B2724" t="str">
        <f>"1552377827087338"</f>
        <v>1552377827087338</v>
      </c>
      <c r="C2724" t="s">
        <v>40</v>
      </c>
      <c r="D2724">
        <v>5.4766620000000001</v>
      </c>
      <c r="E2724">
        <v>0.43215110000000001</v>
      </c>
      <c r="F2724" t="s">
        <v>59</v>
      </c>
      <c r="G2724">
        <v>-486.85109999999997</v>
      </c>
      <c r="H2724" s="1">
        <v>3.0727350000000002E-6</v>
      </c>
      <c r="I2724">
        <v>280.63249999999999</v>
      </c>
      <c r="J2724">
        <v>-459.267</v>
      </c>
      <c r="K2724">
        <v>1.110031</v>
      </c>
      <c r="L2724">
        <v>285.41989999999998</v>
      </c>
      <c r="M2724">
        <v>-0.99991059999999998</v>
      </c>
      <c r="N2724">
        <v>0</v>
      </c>
      <c r="O2724">
        <v>5.1204919999999999E-3</v>
      </c>
      <c r="P2724">
        <v>-0.99963329999999995</v>
      </c>
      <c r="Q2724">
        <v>2.521748E-2</v>
      </c>
      <c r="R2724">
        <v>9.8760489999999996E-3</v>
      </c>
      <c r="S2724">
        <v>-3.0092159999999999</v>
      </c>
      <c r="T2724">
        <v>-0.12034209999999999</v>
      </c>
      <c r="U2724">
        <v>-0.51892090000000002</v>
      </c>
      <c r="V2724">
        <v>4.7619849999999998E-3</v>
      </c>
      <c r="W2724">
        <v>3.7567660000000003E-2</v>
      </c>
      <c r="X2724">
        <v>0.99928269999999997</v>
      </c>
      <c r="Y2724">
        <v>-0.1748402</v>
      </c>
      <c r="Z2724">
        <v>-3.6722980000000001E-3</v>
      </c>
      <c r="AA2724">
        <v>0.98458999999999997</v>
      </c>
      <c r="AB2724">
        <v>26</v>
      </c>
      <c r="AC2724">
        <v>-27.5840999999999</v>
      </c>
      <c r="AD2724">
        <v>-1.110027927265</v>
      </c>
      <c r="AE2724">
        <v>-4.7873999999999901</v>
      </c>
      <c r="AF2724">
        <v>-4.9208564210386596</v>
      </c>
      <c r="AG2724">
        <v>-1.110027927265</v>
      </c>
      <c r="AH2724">
        <v>27.515966610233399</v>
      </c>
      <c r="AI2724">
        <v>92.274089071833501</v>
      </c>
      <c r="AJ2724">
        <v>100.13938359352299</v>
      </c>
      <c r="AK2724">
        <v>27.974549297732501</v>
      </c>
      <c r="AL2724">
        <v>87.847024921073697</v>
      </c>
      <c r="AM2724">
        <v>89.726964574382905</v>
      </c>
      <c r="AN2724">
        <v>0.99999996004915204</v>
      </c>
    </row>
    <row r="2725" spans="1:40" x14ac:dyDescent="0.25">
      <c r="A2725" t="str">
        <f>"20190312160347105"</f>
        <v>20190312160347105</v>
      </c>
      <c r="B2725" t="str">
        <f>"1552377827097098"</f>
        <v>1552377827097098</v>
      </c>
      <c r="C2725" t="s">
        <v>40</v>
      </c>
      <c r="D2725">
        <v>5.4748010000000003</v>
      </c>
      <c r="E2725">
        <v>0.43200880000000003</v>
      </c>
      <c r="F2725" t="s">
        <v>59</v>
      </c>
      <c r="G2725">
        <v>-487.15879999999999</v>
      </c>
      <c r="H2725" s="1">
        <v>3.1235930000000001E-6</v>
      </c>
      <c r="I2725">
        <v>280.5899</v>
      </c>
      <c r="J2725">
        <v>-459.41669999999999</v>
      </c>
      <c r="K2725">
        <v>1.110033</v>
      </c>
      <c r="L2725">
        <v>285.42070000000001</v>
      </c>
      <c r="M2725">
        <v>-0.99991050000000004</v>
      </c>
      <c r="N2725">
        <v>0</v>
      </c>
      <c r="O2725">
        <v>5.1496939999999998E-3</v>
      </c>
      <c r="P2725">
        <v>-0.9996389</v>
      </c>
      <c r="Q2725">
        <v>2.513603E-2</v>
      </c>
      <c r="R2725">
        <v>9.4965380000000005E-3</v>
      </c>
      <c r="S2725">
        <v>-3.0093079999999999</v>
      </c>
      <c r="T2725">
        <v>-0.11976340000000001</v>
      </c>
      <c r="U2725">
        <v>-0.52111819999999998</v>
      </c>
      <c r="V2725">
        <v>4.352987E-3</v>
      </c>
      <c r="W2725">
        <v>3.7486650000000003E-2</v>
      </c>
      <c r="X2725">
        <v>0.9992877</v>
      </c>
      <c r="Y2725">
        <v>-0.17556269999999999</v>
      </c>
      <c r="Z2725">
        <v>-3.6697359999999998E-3</v>
      </c>
      <c r="AA2725">
        <v>0.98446140000000004</v>
      </c>
      <c r="AB2725">
        <v>26</v>
      </c>
      <c r="AC2725">
        <v>-27.742099999999901</v>
      </c>
      <c r="AD2725">
        <v>-1.110029876407</v>
      </c>
      <c r="AE2725">
        <v>-4.8308000000000098</v>
      </c>
      <c r="AF2725">
        <v>-4.9658937474643396</v>
      </c>
      <c r="AG2725">
        <v>-1.110029876407</v>
      </c>
      <c r="AH2725">
        <v>27.6738511907282</v>
      </c>
      <c r="AI2725">
        <v>92.2608944130141</v>
      </c>
      <c r="AJ2725">
        <v>100.173088351186</v>
      </c>
      <c r="AK2725">
        <v>28.137773663959099</v>
      </c>
      <c r="AL2725">
        <v>87.851669922608096</v>
      </c>
      <c r="AM2725">
        <v>89.750416015481903</v>
      </c>
      <c r="AN2725">
        <v>1.00000005239766</v>
      </c>
    </row>
    <row r="2726" spans="1:40" x14ac:dyDescent="0.25">
      <c r="A2726" t="str">
        <f>"20190312160347123"</f>
        <v>20190312160347123</v>
      </c>
      <c r="B2726" t="str">
        <f>"1552377827117593"</f>
        <v>1552377827117593</v>
      </c>
      <c r="C2726" t="s">
        <v>40</v>
      </c>
      <c r="D2726">
        <v>5.4955889999999998</v>
      </c>
      <c r="E2726">
        <v>0.43171520000000002</v>
      </c>
      <c r="F2726" t="s">
        <v>59</v>
      </c>
      <c r="G2726">
        <v>-487.1549</v>
      </c>
      <c r="H2726" s="1">
        <v>3.1232780000000001E-6</v>
      </c>
      <c r="I2726">
        <v>280.59410000000003</v>
      </c>
      <c r="J2726">
        <v>-459.61739999999998</v>
      </c>
      <c r="K2726">
        <v>1.1100429999999999</v>
      </c>
      <c r="L2726">
        <v>285.42180000000002</v>
      </c>
      <c r="M2726">
        <v>-0.99991019999999997</v>
      </c>
      <c r="N2726">
        <v>0</v>
      </c>
      <c r="O2726">
        <v>5.1887340000000004E-3</v>
      </c>
      <c r="P2726">
        <v>-0.99963630000000003</v>
      </c>
      <c r="Q2726">
        <v>2.520733E-2</v>
      </c>
      <c r="R2726">
        <v>9.5796349999999995E-3</v>
      </c>
      <c r="S2726">
        <v>-3.0090940000000002</v>
      </c>
      <c r="T2726">
        <v>-0.1204185</v>
      </c>
      <c r="U2726">
        <v>-0.52359009999999995</v>
      </c>
      <c r="V2726">
        <v>4.3969279999999996E-3</v>
      </c>
      <c r="W2726">
        <v>3.7557649999999998E-2</v>
      </c>
      <c r="X2726">
        <v>0.99928479999999997</v>
      </c>
      <c r="Y2726">
        <v>-0.17639569999999999</v>
      </c>
      <c r="Z2726">
        <v>-3.7078810000000001E-3</v>
      </c>
      <c r="AA2726">
        <v>0.98431239999999998</v>
      </c>
      <c r="AB2726">
        <v>26</v>
      </c>
      <c r="AC2726">
        <v>-27.537500000000001</v>
      </c>
      <c r="AD2726">
        <v>-1.1100398767219899</v>
      </c>
      <c r="AE2726">
        <v>-4.8276999999999903</v>
      </c>
      <c r="AF2726">
        <v>-4.9627071952847501</v>
      </c>
      <c r="AG2726">
        <v>-1.1100398767219899</v>
      </c>
      <c r="AH2726">
        <v>27.468774436020102</v>
      </c>
      <c r="AI2726">
        <v>92.277291073737203</v>
      </c>
      <c r="AJ2726">
        <v>100.240998719006</v>
      </c>
      <c r="AK2726">
        <v>27.935536870642</v>
      </c>
      <c r="AL2726">
        <v>87.847598966135706</v>
      </c>
      <c r="AM2726">
        <v>89.747895903722593</v>
      </c>
      <c r="AN2726">
        <v>1.0000000107801901</v>
      </c>
    </row>
    <row r="2727" spans="1:40" x14ac:dyDescent="0.25">
      <c r="A2727" t="str">
        <f>"20190312160347146"</f>
        <v>20190312160347146</v>
      </c>
      <c r="B2727" t="str">
        <f>"1552377827137113"</f>
        <v>1552377827137113</v>
      </c>
      <c r="C2727" t="s">
        <v>40</v>
      </c>
      <c r="D2727">
        <v>5.4576409999999997</v>
      </c>
      <c r="E2727">
        <v>0.43159999999999998</v>
      </c>
      <c r="F2727" t="s">
        <v>59</v>
      </c>
      <c r="G2727">
        <v>-487.35849999999999</v>
      </c>
      <c r="H2727" s="1">
        <v>3.1575810000000002E-6</v>
      </c>
      <c r="I2727">
        <v>280.57350000000002</v>
      </c>
      <c r="J2727">
        <v>-459.87819999999999</v>
      </c>
      <c r="K2727">
        <v>1.1100449999999999</v>
      </c>
      <c r="L2727">
        <v>285.42320000000001</v>
      </c>
      <c r="M2727">
        <v>-0.99991010000000002</v>
      </c>
      <c r="N2727">
        <v>0</v>
      </c>
      <c r="O2727">
        <v>5.236643E-3</v>
      </c>
      <c r="P2727">
        <v>-0.99962209999999996</v>
      </c>
      <c r="Q2727">
        <v>2.578138E-2</v>
      </c>
      <c r="R2727">
        <v>9.5381630000000005E-3</v>
      </c>
      <c r="S2727">
        <v>-3.0091549999999998</v>
      </c>
      <c r="T2727">
        <v>-0.12040910000000001</v>
      </c>
      <c r="U2727">
        <v>-0.52590939999999997</v>
      </c>
      <c r="V2727">
        <v>4.3078209999999999E-3</v>
      </c>
      <c r="W2727">
        <v>3.8130879999999999E-2</v>
      </c>
      <c r="X2727">
        <v>0.99926349999999997</v>
      </c>
      <c r="Y2727">
        <v>-0.1771751</v>
      </c>
      <c r="Z2727">
        <v>-3.724649E-3</v>
      </c>
      <c r="AA2727">
        <v>0.9841723</v>
      </c>
      <c r="AB2727">
        <v>26</v>
      </c>
      <c r="AC2727">
        <v>-27.4803</v>
      </c>
      <c r="AD2727">
        <v>-1.1100418424189999</v>
      </c>
      <c r="AE2727">
        <v>-4.8496999999999799</v>
      </c>
      <c r="AF2727">
        <v>-4.9856596752611999</v>
      </c>
      <c r="AG2727">
        <v>-1.1100418424189999</v>
      </c>
      <c r="AH2727">
        <v>27.4111496866641</v>
      </c>
      <c r="AI2727">
        <v>92.281590532549203</v>
      </c>
      <c r="AJ2727">
        <v>100.308517342428</v>
      </c>
      <c r="AK2727">
        <v>27.882971908212198</v>
      </c>
      <c r="AL2727">
        <v>87.814731808035404</v>
      </c>
      <c r="AM2727">
        <v>89.752999651051994</v>
      </c>
      <c r="AN2727">
        <v>1.0000000318817901</v>
      </c>
    </row>
    <row r="2728" spans="1:40" x14ac:dyDescent="0.25">
      <c r="A2728" t="str">
        <f>"20190312160347168"</f>
        <v>20190312160347168</v>
      </c>
      <c r="B2728" t="str">
        <f>"1552377827157610"</f>
        <v>1552377827157610</v>
      </c>
      <c r="C2728" t="s">
        <v>40</v>
      </c>
      <c r="D2728">
        <v>5.518268</v>
      </c>
      <c r="E2728">
        <v>0.43130859999999899</v>
      </c>
      <c r="F2728" t="s">
        <v>59</v>
      </c>
      <c r="G2728">
        <v>-487.89139999999998</v>
      </c>
      <c r="H2728" s="1">
        <v>3.247377E-6</v>
      </c>
      <c r="I2728">
        <v>280.51920000000001</v>
      </c>
      <c r="J2728">
        <v>-460.1336</v>
      </c>
      <c r="K2728">
        <v>1.11005</v>
      </c>
      <c r="L2728">
        <v>285.4246</v>
      </c>
      <c r="M2728">
        <v>-0.99990979999999996</v>
      </c>
      <c r="N2728">
        <v>0</v>
      </c>
      <c r="O2728">
        <v>5.2806550000000004E-3</v>
      </c>
      <c r="P2728">
        <v>-0.99959620000000005</v>
      </c>
      <c r="Q2728">
        <v>2.6924090000000001E-2</v>
      </c>
      <c r="R2728">
        <v>9.0753139999999993E-3</v>
      </c>
      <c r="S2728">
        <v>-3.0092159999999999</v>
      </c>
      <c r="T2728">
        <v>-0.1192421</v>
      </c>
      <c r="U2728">
        <v>-0.5267944</v>
      </c>
      <c r="V2728">
        <v>3.8009839999999999E-3</v>
      </c>
      <c r="W2728">
        <v>3.9273000000000002E-2</v>
      </c>
      <c r="X2728">
        <v>0.99922129999999998</v>
      </c>
      <c r="Y2728">
        <v>-0.1774983</v>
      </c>
      <c r="Z2728">
        <v>-3.6964939999999998E-3</v>
      </c>
      <c r="AA2728">
        <v>0.98411420000000005</v>
      </c>
      <c r="AB2728">
        <v>26</v>
      </c>
      <c r="AC2728">
        <v>-27.7577999999999</v>
      </c>
      <c r="AD2728">
        <v>-1.110046752623</v>
      </c>
      <c r="AE2728">
        <v>-4.9053999999999798</v>
      </c>
      <c r="AF2728">
        <v>-5.0440997321286902</v>
      </c>
      <c r="AG2728">
        <v>-1.110046752623</v>
      </c>
      <c r="AH2728">
        <v>27.688567698466599</v>
      </c>
      <c r="AI2728">
        <v>92.258649934343396</v>
      </c>
      <c r="AJ2728">
        <v>100.32450482691399</v>
      </c>
      <c r="AK2728">
        <v>28.1661486024135</v>
      </c>
      <c r="AL2728">
        <v>87.749244040807397</v>
      </c>
      <c r="AM2728">
        <v>89.782050992329403</v>
      </c>
      <c r="AN2728">
        <v>1.0000000111910201</v>
      </c>
    </row>
    <row r="2729" spans="1:40" x14ac:dyDescent="0.25">
      <c r="A2729" t="str">
        <f>"20190312160347190"</f>
        <v>20190312160347190</v>
      </c>
      <c r="B2729" t="str">
        <f>"1552377827186889"</f>
        <v>1552377827186889</v>
      </c>
      <c r="C2729" t="s">
        <v>40</v>
      </c>
      <c r="D2729">
        <v>5.5462920000000002</v>
      </c>
      <c r="E2729">
        <v>0.43086190000000002</v>
      </c>
      <c r="F2729" t="s">
        <v>59</v>
      </c>
      <c r="G2729">
        <v>-489.15910000000002</v>
      </c>
      <c r="H2729" s="1">
        <v>3.4537399999999999E-6</v>
      </c>
      <c r="I2729">
        <v>280.30759999999998</v>
      </c>
      <c r="J2729">
        <v>-460.39519999999999</v>
      </c>
      <c r="K2729">
        <v>1.1100620000000001</v>
      </c>
      <c r="L2729">
        <v>285.42599999999999</v>
      </c>
      <c r="M2729">
        <v>-0.99990959999999995</v>
      </c>
      <c r="N2729">
        <v>0</v>
      </c>
      <c r="O2729">
        <v>5.3224479999999996E-3</v>
      </c>
      <c r="P2729">
        <v>-0.99957689999999999</v>
      </c>
      <c r="Q2729">
        <v>2.7787760000000002E-2</v>
      </c>
      <c r="R2729">
        <v>8.6078030000000007E-3</v>
      </c>
      <c r="S2729">
        <v>-3.0090940000000002</v>
      </c>
      <c r="T2729">
        <v>-0.1150793</v>
      </c>
      <c r="U2729">
        <v>-0.53048709999999999</v>
      </c>
      <c r="V2729">
        <v>3.2915499999999999E-3</v>
      </c>
      <c r="W2729">
        <v>4.013634E-2</v>
      </c>
      <c r="X2729">
        <v>0.99918879999999999</v>
      </c>
      <c r="Y2729">
        <v>-0.1787263</v>
      </c>
      <c r="Z2729">
        <v>-3.5921880000000001E-3</v>
      </c>
      <c r="AA2729">
        <v>0.98389230000000005</v>
      </c>
      <c r="AB2729">
        <v>26</v>
      </c>
      <c r="AC2729">
        <v>-28.7639</v>
      </c>
      <c r="AD2729">
        <v>-1.1100585462599999</v>
      </c>
      <c r="AE2729">
        <v>-5.1184000000000003</v>
      </c>
      <c r="AF2729">
        <v>-5.2638344627926603</v>
      </c>
      <c r="AG2729">
        <v>-1.1100585462599999</v>
      </c>
      <c r="AH2729">
        <v>28.6948231391539</v>
      </c>
      <c r="AI2729">
        <v>92.1790567978138</v>
      </c>
      <c r="AJ2729">
        <v>100.394878898813</v>
      </c>
      <c r="AK2729">
        <v>29.1947436744207</v>
      </c>
      <c r="AL2729">
        <v>87.699739260083504</v>
      </c>
      <c r="AM2729">
        <v>89.811255649715903</v>
      </c>
      <c r="AN2729">
        <v>1.0000000090677099</v>
      </c>
    </row>
    <row r="2730" spans="1:40" x14ac:dyDescent="0.25">
      <c r="A2730" t="str">
        <f>"20190312160347206"</f>
        <v>20190312160347206</v>
      </c>
      <c r="B2730" t="str">
        <f>"1552377827197625"</f>
        <v>1552377827197625</v>
      </c>
      <c r="C2730" t="s">
        <v>40</v>
      </c>
      <c r="D2730">
        <v>5.516724</v>
      </c>
      <c r="E2730">
        <v>0.43074489999999999</v>
      </c>
      <c r="F2730" t="s">
        <v>59</v>
      </c>
      <c r="G2730">
        <v>-490.03410000000002</v>
      </c>
      <c r="H2730" s="1">
        <v>3.568301E-6</v>
      </c>
      <c r="I2730">
        <v>280.15230000000003</v>
      </c>
      <c r="J2730">
        <v>-460.5804</v>
      </c>
      <c r="K2730">
        <v>1.1100669999999999</v>
      </c>
      <c r="L2730">
        <v>285.42700000000002</v>
      </c>
      <c r="M2730">
        <v>-0.99990950000000001</v>
      </c>
      <c r="N2730">
        <v>0</v>
      </c>
      <c r="O2730">
        <v>5.3503739999999998E-3</v>
      </c>
      <c r="P2730">
        <v>-0.99958060000000004</v>
      </c>
      <c r="Q2730">
        <v>2.7754750000000002E-2</v>
      </c>
      <c r="R2730">
        <v>8.2888030000000008E-3</v>
      </c>
      <c r="S2730">
        <v>-3.0090029999999999</v>
      </c>
      <c r="T2730">
        <v>-0.1126955</v>
      </c>
      <c r="U2730">
        <v>-0.5354004</v>
      </c>
      <c r="V2730">
        <v>2.9445600000000001E-3</v>
      </c>
      <c r="W2730">
        <v>4.0103E-2</v>
      </c>
      <c r="X2730">
        <v>0.99919119999999995</v>
      </c>
      <c r="Y2730">
        <v>-0.1803206</v>
      </c>
      <c r="Z2730">
        <v>-3.5480899999999998E-3</v>
      </c>
      <c r="AA2730">
        <v>0.98360150000000002</v>
      </c>
      <c r="AB2730">
        <v>26</v>
      </c>
      <c r="AC2730">
        <v>-29.453700000000001</v>
      </c>
      <c r="AD2730">
        <v>-1.1100634316989999</v>
      </c>
      <c r="AE2730">
        <v>-5.2746999999999904</v>
      </c>
      <c r="AF2730">
        <v>-5.4247588306736398</v>
      </c>
      <c r="AG2730">
        <v>-1.1100634316989999</v>
      </c>
      <c r="AH2730">
        <v>29.384613187215098</v>
      </c>
      <c r="AI2730">
        <v>92.127518589973704</v>
      </c>
      <c r="AJ2730">
        <v>100.45973404470401</v>
      </c>
      <c r="AK2730">
        <v>29.901768197811101</v>
      </c>
      <c r="AL2730">
        <v>87.701650991197496</v>
      </c>
      <c r="AM2730">
        <v>89.831153064461404</v>
      </c>
      <c r="AN2730">
        <v>0.99999998760001596</v>
      </c>
    </row>
    <row r="2731" spans="1:40" x14ac:dyDescent="0.25">
      <c r="A2731" t="str">
        <f>"20190312160347223"</f>
        <v>20190312160347223</v>
      </c>
      <c r="B2731" t="str">
        <f>"1552377827217651"</f>
        <v>1552377827217651</v>
      </c>
      <c r="C2731" t="s">
        <v>40</v>
      </c>
      <c r="D2731">
        <v>5.4908330000000003</v>
      </c>
      <c r="E2731">
        <v>0.43051660000000003</v>
      </c>
      <c r="F2731" t="s">
        <v>59</v>
      </c>
      <c r="G2731">
        <v>-490.23790000000002</v>
      </c>
      <c r="H2731" s="1">
        <v>3.5299409999999999E-6</v>
      </c>
      <c r="I2731">
        <v>280.12720000000002</v>
      </c>
      <c r="J2731">
        <v>-460.77800000000002</v>
      </c>
      <c r="K2731">
        <v>1.1100749999999999</v>
      </c>
      <c r="L2731">
        <v>285.42809999999997</v>
      </c>
      <c r="M2731">
        <v>-0.9999093</v>
      </c>
      <c r="N2731">
        <v>0</v>
      </c>
      <c r="O2731">
        <v>5.3772200000000003E-3</v>
      </c>
      <c r="P2731">
        <v>-0.99956889999999998</v>
      </c>
      <c r="Q2731">
        <v>2.8239029999999998E-2</v>
      </c>
      <c r="R2731">
        <v>8.0590820000000004E-3</v>
      </c>
      <c r="S2731">
        <v>-3.0088499999999998</v>
      </c>
      <c r="T2731">
        <v>-0.1126195</v>
      </c>
      <c r="U2731">
        <v>-0.53768919999999998</v>
      </c>
      <c r="V2731">
        <v>2.6880139999999999E-3</v>
      </c>
      <c r="W2731">
        <v>4.0587070000000003E-2</v>
      </c>
      <c r="X2731">
        <v>0.99917239999999996</v>
      </c>
      <c r="Y2731">
        <v>-0.1810804</v>
      </c>
      <c r="Z2731">
        <v>-3.5607410000000001E-3</v>
      </c>
      <c r="AA2731">
        <v>0.9834619</v>
      </c>
      <c r="AB2731">
        <v>26</v>
      </c>
      <c r="AC2731">
        <v>-29.459900000000001</v>
      </c>
      <c r="AD2731">
        <v>-1.110071470059</v>
      </c>
      <c r="AE2731">
        <v>-5.3008999999999498</v>
      </c>
      <c r="AF2731">
        <v>-5.4517499398504299</v>
      </c>
      <c r="AG2731">
        <v>-1.110071470059</v>
      </c>
      <c r="AH2731">
        <v>29.390546592175301</v>
      </c>
      <c r="AI2731">
        <v>92.126769864164999</v>
      </c>
      <c r="AJ2731">
        <v>100.50854528843399</v>
      </c>
      <c r="AK2731">
        <v>29.912506833465599</v>
      </c>
      <c r="AL2731">
        <v>87.673893275250293</v>
      </c>
      <c r="AM2731">
        <v>89.845860948595501</v>
      </c>
      <c r="AN2731">
        <v>1.0000000102961</v>
      </c>
    </row>
    <row r="2732" spans="1:40" x14ac:dyDescent="0.25">
      <c r="A2732" t="str">
        <f>"20190312160347240"</f>
        <v>20190312160347240</v>
      </c>
      <c r="B2732" t="str">
        <f>"1552377827227413"</f>
        <v>1552377827227413</v>
      </c>
      <c r="C2732" t="s">
        <v>40</v>
      </c>
      <c r="D2732">
        <v>5.527647</v>
      </c>
      <c r="E2732">
        <v>0.43041010000000002</v>
      </c>
      <c r="F2732" t="s">
        <v>59</v>
      </c>
      <c r="G2732">
        <v>-490.66820000000001</v>
      </c>
      <c r="H2732" s="1">
        <v>3.4478569999999999E-6</v>
      </c>
      <c r="I2732">
        <v>280.06119999999999</v>
      </c>
      <c r="J2732">
        <v>-460.96409999999997</v>
      </c>
      <c r="K2732">
        <v>1.1100810000000001</v>
      </c>
      <c r="L2732">
        <v>285.42910000000001</v>
      </c>
      <c r="M2732">
        <v>-0.9999093</v>
      </c>
      <c r="N2732">
        <v>0</v>
      </c>
      <c r="O2732">
        <v>5.3943209999999997E-3</v>
      </c>
      <c r="P2732">
        <v>-0.99956120000000004</v>
      </c>
      <c r="Q2732">
        <v>2.853996E-2</v>
      </c>
      <c r="R2732">
        <v>7.9501019999999901E-3</v>
      </c>
      <c r="S2732">
        <v>-3.0088499999999998</v>
      </c>
      <c r="T2732">
        <v>-0.1117436</v>
      </c>
      <c r="U2732">
        <v>-0.54025269999999903</v>
      </c>
      <c r="V2732">
        <v>2.5614040000000002E-3</v>
      </c>
      <c r="W2732">
        <v>4.0887229999999997E-2</v>
      </c>
      <c r="X2732">
        <v>0.99916050000000001</v>
      </c>
      <c r="Y2732">
        <v>-0.1819104</v>
      </c>
      <c r="Z2732">
        <v>-3.5487159999999999E-3</v>
      </c>
      <c r="AA2732">
        <v>0.98330870000000004</v>
      </c>
      <c r="AB2732">
        <v>26</v>
      </c>
      <c r="AC2732">
        <v>-29.7041</v>
      </c>
      <c r="AD2732">
        <v>-1.110077552143</v>
      </c>
      <c r="AE2732">
        <v>-5.3679000000000201</v>
      </c>
      <c r="AF2732">
        <v>-5.5206012634068697</v>
      </c>
      <c r="AG2732">
        <v>-1.110077552143</v>
      </c>
      <c r="AH2732">
        <v>29.634630338272501</v>
      </c>
      <c r="AI2732">
        <v>92.108979079478502</v>
      </c>
      <c r="AJ2732">
        <v>100.552603691198</v>
      </c>
      <c r="AK2732">
        <v>30.164890614211799</v>
      </c>
      <c r="AL2732">
        <v>87.656681098658595</v>
      </c>
      <c r="AM2732">
        <v>89.853119376375503</v>
      </c>
      <c r="AN2732">
        <v>1.00000001556388</v>
      </c>
    </row>
    <row r="2733" spans="1:40" x14ac:dyDescent="0.25">
      <c r="A2733" t="str">
        <f>"20190312160347257"</f>
        <v>20190312160347257</v>
      </c>
      <c r="B2733" t="str">
        <f>"1552377827246931"</f>
        <v>1552377827246931</v>
      </c>
      <c r="C2733" t="s">
        <v>40</v>
      </c>
      <c r="D2733">
        <v>5.5414789999999998</v>
      </c>
      <c r="E2733">
        <v>0.4302011</v>
      </c>
      <c r="F2733" t="s">
        <v>59</v>
      </c>
      <c r="G2733">
        <v>-490.98739999999998</v>
      </c>
      <c r="H2733" s="1">
        <v>3.3881939999999999E-6</v>
      </c>
      <c r="I2733">
        <v>280.02640000000002</v>
      </c>
      <c r="J2733">
        <v>-461.16899999999998</v>
      </c>
      <c r="K2733">
        <v>1.110082</v>
      </c>
      <c r="L2733">
        <v>285.43029999999999</v>
      </c>
      <c r="M2733">
        <v>-0.99990919999999905</v>
      </c>
      <c r="N2733">
        <v>0</v>
      </c>
      <c r="O2733">
        <v>5.4056030000000001E-3</v>
      </c>
      <c r="P2733">
        <v>-0.99955269999999996</v>
      </c>
      <c r="Q2733">
        <v>2.9084160000000001E-2</v>
      </c>
      <c r="R2733">
        <v>6.974325E-3</v>
      </c>
      <c r="S2733">
        <v>-3.0088200000000001</v>
      </c>
      <c r="T2733">
        <v>-0.111248</v>
      </c>
      <c r="U2733">
        <v>-0.54144289999999995</v>
      </c>
      <c r="V2733">
        <v>1.573624E-3</v>
      </c>
      <c r="W2733">
        <v>4.1431320000000001E-2</v>
      </c>
      <c r="X2733">
        <v>0.99914009999999998</v>
      </c>
      <c r="Y2733">
        <v>-0.18230089999999999</v>
      </c>
      <c r="Z2733">
        <v>-3.5404740000000001E-3</v>
      </c>
      <c r="AA2733">
        <v>0.98323640000000001</v>
      </c>
      <c r="AB2733">
        <v>26</v>
      </c>
      <c r="AC2733">
        <v>-29.818399999999901</v>
      </c>
      <c r="AD2733">
        <v>-1.110078611806</v>
      </c>
      <c r="AE2733">
        <v>-5.4038999999999602</v>
      </c>
      <c r="AF2733">
        <v>-5.5575623267506096</v>
      </c>
      <c r="AG2733">
        <v>-1.110078611806</v>
      </c>
      <c r="AH2733">
        <v>29.7488322028391</v>
      </c>
      <c r="AI2733">
        <v>92.100692734161001</v>
      </c>
      <c r="AJ2733">
        <v>100.58179962505</v>
      </c>
      <c r="AK2733">
        <v>30.283853634780101</v>
      </c>
      <c r="AL2733">
        <v>87.625480526096794</v>
      </c>
      <c r="AM2733">
        <v>89.909760463832896</v>
      </c>
      <c r="AN2733">
        <v>0.999999984998722</v>
      </c>
    </row>
    <row r="2734" spans="1:40" x14ac:dyDescent="0.25">
      <c r="A2734" t="str">
        <f>"20190312160347280"</f>
        <v>20190312160347280</v>
      </c>
      <c r="B2734" t="str">
        <f>"1552377827267427"</f>
        <v>1552377827267427</v>
      </c>
      <c r="C2734" t="s">
        <v>40</v>
      </c>
      <c r="D2734">
        <v>5.5137269999999896</v>
      </c>
      <c r="E2734">
        <v>0.42991259999999998</v>
      </c>
      <c r="F2734" t="s">
        <v>59</v>
      </c>
      <c r="G2734">
        <v>-491.22739999999999</v>
      </c>
      <c r="H2734" s="1">
        <v>3.3411769999999999E-6</v>
      </c>
      <c r="I2734">
        <v>279.97559999999999</v>
      </c>
      <c r="J2734">
        <v>-461.42590000000001</v>
      </c>
      <c r="K2734">
        <v>1.110098</v>
      </c>
      <c r="L2734">
        <v>285.4316</v>
      </c>
      <c r="M2734">
        <v>-0.99990919999999905</v>
      </c>
      <c r="N2734">
        <v>0</v>
      </c>
      <c r="O2734">
        <v>5.4103490000000001E-3</v>
      </c>
      <c r="P2734">
        <v>-0.99955380000000005</v>
      </c>
      <c r="Q2734">
        <v>2.9140030000000001E-2</v>
      </c>
      <c r="R2734">
        <v>6.6004790000000002E-3</v>
      </c>
      <c r="S2734">
        <v>-3.0084230000000001</v>
      </c>
      <c r="T2734">
        <v>-0.1111031</v>
      </c>
      <c r="U2734">
        <v>-0.545929</v>
      </c>
      <c r="V2734">
        <v>1.1942929999999999E-3</v>
      </c>
      <c r="W2734">
        <v>4.1487059999999999E-2</v>
      </c>
      <c r="X2734">
        <v>0.99913839999999998</v>
      </c>
      <c r="Y2734">
        <v>-0.1837471</v>
      </c>
      <c r="Z2734">
        <v>-3.5625140000000001E-3</v>
      </c>
      <c r="AA2734">
        <v>0.98296709999999998</v>
      </c>
      <c r="AB2734">
        <v>26</v>
      </c>
      <c r="AC2734">
        <v>-29.801499999999901</v>
      </c>
      <c r="AD2734">
        <v>-1.1100946588230001</v>
      </c>
      <c r="AE2734">
        <v>-5.4560000000000102</v>
      </c>
      <c r="AF2734">
        <v>-5.6096377902051202</v>
      </c>
      <c r="AG2734">
        <v>-1.1100946588230001</v>
      </c>
      <c r="AH2734">
        <v>29.731626867730601</v>
      </c>
      <c r="AI2734">
        <v>92.1012295248633</v>
      </c>
      <c r="AJ2734">
        <v>100.684720493436</v>
      </c>
      <c r="AK2734">
        <v>30.276558299958801</v>
      </c>
      <c r="AL2734">
        <v>87.622284318994502</v>
      </c>
      <c r="AM2734">
        <v>89.931513075853999</v>
      </c>
      <c r="AN2734">
        <v>1.00000007241888</v>
      </c>
    </row>
    <row r="2735" spans="1:40" x14ac:dyDescent="0.25">
      <c r="A2735" t="str">
        <f>"20190312160347296"</f>
        <v>20190312160347296</v>
      </c>
      <c r="B2735" t="str">
        <f>"1552377827286948"</f>
        <v>1552377827286948</v>
      </c>
      <c r="C2735" t="s">
        <v>40</v>
      </c>
      <c r="D2735">
        <v>5.5014310000000002</v>
      </c>
      <c r="E2735">
        <v>0.42981340000000001</v>
      </c>
      <c r="F2735" t="s">
        <v>59</v>
      </c>
      <c r="G2735">
        <v>-491.50310000000002</v>
      </c>
      <c r="H2735" s="1">
        <v>3.2892319999999998E-6</v>
      </c>
      <c r="I2735">
        <v>279.9409</v>
      </c>
      <c r="J2735">
        <v>-461.61919999999998</v>
      </c>
      <c r="K2735">
        <v>1.110104</v>
      </c>
      <c r="L2735">
        <v>285.43270000000001</v>
      </c>
      <c r="M2735">
        <v>-0.99990900000000005</v>
      </c>
      <c r="N2735">
        <v>0</v>
      </c>
      <c r="O2735">
        <v>5.4094269999999996E-3</v>
      </c>
      <c r="P2735">
        <v>-0.9995581</v>
      </c>
      <c r="Q2735">
        <v>2.8941930000000001E-2</v>
      </c>
      <c r="R2735">
        <v>6.8095450000000002E-3</v>
      </c>
      <c r="S2735">
        <v>-3.0082089999999999</v>
      </c>
      <c r="T2735">
        <v>-0.1110276</v>
      </c>
      <c r="U2735">
        <v>-0.54916379999999998</v>
      </c>
      <c r="V2735">
        <v>1.4036889999999901E-3</v>
      </c>
      <c r="W2735">
        <v>4.1288390000000001E-2</v>
      </c>
      <c r="X2735">
        <v>0.99914630000000004</v>
      </c>
      <c r="Y2735">
        <v>-0.184781</v>
      </c>
      <c r="Z2735">
        <v>-3.5788870000000002E-3</v>
      </c>
      <c r="AA2735">
        <v>0.98277320000000001</v>
      </c>
      <c r="AB2735">
        <v>26</v>
      </c>
      <c r="AC2735">
        <v>-29.883900000000001</v>
      </c>
      <c r="AD2735">
        <v>-1.1101007107680001</v>
      </c>
      <c r="AE2735">
        <v>-5.4918000000000102</v>
      </c>
      <c r="AF2735">
        <v>-5.6458505157260896</v>
      </c>
      <c r="AG2735">
        <v>-1.1101007107680001</v>
      </c>
      <c r="AH2735">
        <v>29.813956417794302</v>
      </c>
      <c r="AI2735">
        <v>92.095178694753201</v>
      </c>
      <c r="AJ2735">
        <v>100.72309024490499</v>
      </c>
      <c r="AK2735">
        <v>30.3641227259427</v>
      </c>
      <c r="AL2735">
        <v>87.633676896824994</v>
      </c>
      <c r="AM2735">
        <v>89.919505879632595</v>
      </c>
      <c r="AN2735">
        <v>1.00000001514764</v>
      </c>
    </row>
    <row r="2736" spans="1:40" x14ac:dyDescent="0.25">
      <c r="A2736" t="str">
        <f>"20190312160347313"</f>
        <v>20190312160347313</v>
      </c>
      <c r="B2736" t="str">
        <f>"1552377827307444"</f>
        <v>1552377827307444</v>
      </c>
      <c r="C2736" t="s">
        <v>40</v>
      </c>
      <c r="D2736">
        <v>5.5124599999999999</v>
      </c>
      <c r="E2736">
        <v>0.4261202</v>
      </c>
      <c r="F2736" t="s">
        <v>59</v>
      </c>
      <c r="G2736">
        <v>-491.19220000000001</v>
      </c>
      <c r="H2736" s="1">
        <v>3.3521550000000001E-6</v>
      </c>
      <c r="I2736">
        <v>280.02980000000002</v>
      </c>
      <c r="J2736">
        <v>-461.81580000000002</v>
      </c>
      <c r="K2736">
        <v>1.110106</v>
      </c>
      <c r="L2736">
        <v>285.43369999999999</v>
      </c>
      <c r="M2736">
        <v>-0.9999091</v>
      </c>
      <c r="N2736">
        <v>0</v>
      </c>
      <c r="O2736">
        <v>5.4033290000000001E-3</v>
      </c>
      <c r="P2736">
        <v>-0.99955539999999998</v>
      </c>
      <c r="Q2736">
        <v>2.9000740000000001E-2</v>
      </c>
      <c r="R2736">
        <v>6.9228609999999998E-3</v>
      </c>
      <c r="S2736">
        <v>-3.008362</v>
      </c>
      <c r="T2736">
        <v>-0.1129267</v>
      </c>
      <c r="U2736">
        <v>-0.54962159999999904</v>
      </c>
      <c r="V2736">
        <v>1.522376E-3</v>
      </c>
      <c r="W2736">
        <v>4.1346510000000003E-2</v>
      </c>
      <c r="X2736">
        <v>0.99914369999999997</v>
      </c>
      <c r="Y2736">
        <v>-0.1849066</v>
      </c>
      <c r="Z2736">
        <v>-3.6419400000000002E-3</v>
      </c>
      <c r="AA2736">
        <v>0.98274930000000005</v>
      </c>
      <c r="AB2736">
        <v>26</v>
      </c>
      <c r="AC2736">
        <v>-29.376399999999901</v>
      </c>
      <c r="AD2736">
        <v>-1.110102647845</v>
      </c>
      <c r="AE2736">
        <v>-5.4038999999999602</v>
      </c>
      <c r="AF2736">
        <v>-5.5548908051940602</v>
      </c>
      <c r="AG2736">
        <v>-1.110102647845</v>
      </c>
      <c r="AH2736">
        <v>29.306290137979101</v>
      </c>
      <c r="AI2736">
        <v>92.131374734182103</v>
      </c>
      <c r="AJ2736">
        <v>100.732860427425</v>
      </c>
      <c r="AK2736">
        <v>29.8487484058845</v>
      </c>
      <c r="AL2736">
        <v>87.630343966151599</v>
      </c>
      <c r="AM2736">
        <v>89.912699592530103</v>
      </c>
      <c r="AN2736">
        <v>0.99999999238377701</v>
      </c>
    </row>
    <row r="2737" spans="1:40" x14ac:dyDescent="0.25">
      <c r="A2737" t="str">
        <f>"20190312160347335"</f>
        <v>20190312160347335</v>
      </c>
      <c r="B2737" t="str">
        <f>"1552377827327471"</f>
        <v>1552377827327471</v>
      </c>
      <c r="C2737" t="s">
        <v>40</v>
      </c>
      <c r="D2737">
        <v>5.5434720000000004</v>
      </c>
      <c r="E2737">
        <v>0.4256009</v>
      </c>
      <c r="F2737" t="s">
        <v>59</v>
      </c>
      <c r="G2737">
        <v>-478.90800000000002</v>
      </c>
      <c r="H2737" s="1">
        <v>2.4458759999999999E-6</v>
      </c>
      <c r="I2737">
        <v>282.12360000000001</v>
      </c>
      <c r="J2737">
        <v>-462.06799999999998</v>
      </c>
      <c r="K2737">
        <v>1.110112</v>
      </c>
      <c r="L2737">
        <v>285.43509999999998</v>
      </c>
      <c r="M2737">
        <v>-0.99990919999999905</v>
      </c>
      <c r="N2737">
        <v>0</v>
      </c>
      <c r="O2737">
        <v>5.3804949999999999E-3</v>
      </c>
      <c r="P2737">
        <v>-0.99955090000000002</v>
      </c>
      <c r="Q2737">
        <v>2.9201000000000001E-2</v>
      </c>
      <c r="R2737">
        <v>6.7209799999999997E-3</v>
      </c>
      <c r="S2737">
        <v>-3.011047</v>
      </c>
      <c r="T2737">
        <v>-0.19556190000000001</v>
      </c>
      <c r="U2737">
        <v>-0.58312989999999998</v>
      </c>
      <c r="V2737">
        <v>1.3425609999999999E-3</v>
      </c>
      <c r="W2737">
        <v>4.1546609999999998E-2</v>
      </c>
      <c r="X2737">
        <v>0.99913569999999996</v>
      </c>
      <c r="Y2737">
        <v>-0.1950038</v>
      </c>
      <c r="Z2737">
        <v>-6.6138050000000004E-3</v>
      </c>
      <c r="AA2737">
        <v>0.98078019999999999</v>
      </c>
      <c r="AB2737">
        <v>26</v>
      </c>
      <c r="AC2737">
        <v>-16.8399999999999</v>
      </c>
      <c r="AD2737">
        <v>-1.110109554124</v>
      </c>
      <c r="AE2737">
        <v>-3.3114999999999601</v>
      </c>
      <c r="AF2737">
        <v>-3.3878922688194302</v>
      </c>
      <c r="AG2737">
        <v>-1.110109554124</v>
      </c>
      <c r="AH2737">
        <v>16.751851048588001</v>
      </c>
      <c r="AI2737">
        <v>93.716304857150206</v>
      </c>
      <c r="AJ2737">
        <v>101.433278582605</v>
      </c>
      <c r="AK2737">
        <v>17.1270158171634</v>
      </c>
      <c r="AL2737">
        <v>87.618869322444795</v>
      </c>
      <c r="AM2737">
        <v>89.923010425168698</v>
      </c>
      <c r="AN2737">
        <v>1.0000000351435001</v>
      </c>
    </row>
    <row r="2738" spans="1:40" x14ac:dyDescent="0.25">
      <c r="A2738" t="str">
        <f>"20190312160347353"</f>
        <v>20190312160347353</v>
      </c>
      <c r="B2738" t="str">
        <f>"1552377827346991"</f>
        <v>1552377827346991</v>
      </c>
      <c r="C2738" t="s">
        <v>40</v>
      </c>
      <c r="D2738">
        <v>5.4482100000000004</v>
      </c>
      <c r="E2738">
        <v>0.4203596</v>
      </c>
      <c r="F2738" t="s">
        <v>59</v>
      </c>
      <c r="G2738">
        <v>-479.76479999999998</v>
      </c>
      <c r="H2738" s="1">
        <v>2.0535590000000001E-6</v>
      </c>
      <c r="I2738">
        <v>281.9821</v>
      </c>
      <c r="J2738">
        <v>-462.27710000000002</v>
      </c>
      <c r="K2738">
        <v>1.1101289999999999</v>
      </c>
      <c r="L2738">
        <v>285.43619999999999</v>
      </c>
      <c r="M2738">
        <v>-0.99990939999999995</v>
      </c>
      <c r="N2738">
        <v>0</v>
      </c>
      <c r="O2738">
        <v>5.3440279999999998E-3</v>
      </c>
      <c r="P2738">
        <v>-0.99954670000000001</v>
      </c>
      <c r="Q2738">
        <v>2.9435159999999998E-2</v>
      </c>
      <c r="R2738">
        <v>6.3318469999999998E-3</v>
      </c>
      <c r="S2738">
        <v>-3.010834</v>
      </c>
      <c r="T2738">
        <v>-0.18886849999999999</v>
      </c>
      <c r="U2738">
        <v>-0.58746339999999997</v>
      </c>
      <c r="V2738">
        <v>9.8878729999999997E-4</v>
      </c>
      <c r="W2738">
        <v>4.1780539999999998E-2</v>
      </c>
      <c r="X2738">
        <v>0.99912630000000002</v>
      </c>
      <c r="Y2738">
        <v>-0.19636600000000001</v>
      </c>
      <c r="Z2738">
        <v>-6.4274769999999896E-3</v>
      </c>
      <c r="AA2738">
        <v>0.98050959999999998</v>
      </c>
      <c r="AB2738">
        <v>26</v>
      </c>
      <c r="AC2738">
        <v>-17.487699999999901</v>
      </c>
      <c r="AD2738">
        <v>-1.110126946441</v>
      </c>
      <c r="AE2738">
        <v>-3.45409999999998</v>
      </c>
      <c r="AF2738">
        <v>-3.53380683959471</v>
      </c>
      <c r="AG2738">
        <v>-1.110126946441</v>
      </c>
      <c r="AH2738">
        <v>17.4014990467969</v>
      </c>
      <c r="AI2738">
        <v>93.577407781291299</v>
      </c>
      <c r="AJ2738">
        <v>101.479231899488</v>
      </c>
      <c r="AK2738">
        <v>17.791355813778001</v>
      </c>
      <c r="AL2738">
        <v>87.605454334400804</v>
      </c>
      <c r="AM2738">
        <v>89.943297138079004</v>
      </c>
      <c r="AN2738">
        <v>0.99999997728735202</v>
      </c>
    </row>
    <row r="2739" spans="1:40" x14ac:dyDescent="0.25">
      <c r="A2739" t="str">
        <f>"20190312160347369"</f>
        <v>20190312160347369</v>
      </c>
      <c r="B2739" t="str">
        <f>"1552377827357727"</f>
        <v>1552377827357727</v>
      </c>
      <c r="C2739" t="s">
        <v>40</v>
      </c>
      <c r="D2739">
        <v>5.4848379999999999</v>
      </c>
      <c r="E2739">
        <v>0.42630869999999998</v>
      </c>
      <c r="F2739" t="s">
        <v>59</v>
      </c>
      <c r="G2739">
        <v>-499.48309999999998</v>
      </c>
      <c r="H2739" s="1">
        <v>1.5075569999999901E-6</v>
      </c>
      <c r="I2739">
        <v>277.69830000000002</v>
      </c>
      <c r="J2739">
        <v>-462.46019999999999</v>
      </c>
      <c r="K2739">
        <v>1.1101369999999999</v>
      </c>
      <c r="L2739">
        <v>285.43709999999999</v>
      </c>
      <c r="M2739">
        <v>-0.99990970000000001</v>
      </c>
      <c r="N2739">
        <v>0</v>
      </c>
      <c r="O2739">
        <v>5.29738E-3</v>
      </c>
      <c r="P2739">
        <v>-0.99955950000000005</v>
      </c>
      <c r="Q2739">
        <v>2.9157530000000001E-2</v>
      </c>
      <c r="R2739">
        <v>5.5460939999999997E-3</v>
      </c>
      <c r="S2739">
        <v>-3.007965</v>
      </c>
      <c r="T2739">
        <v>-8.9749689999999993E-2</v>
      </c>
      <c r="U2739">
        <v>-0.62557980000000002</v>
      </c>
      <c r="V2739">
        <v>2.480068E-4</v>
      </c>
      <c r="W2739">
        <v>4.1502780000000003E-2</v>
      </c>
      <c r="X2739">
        <v>0.99913839999999998</v>
      </c>
      <c r="Y2739">
        <v>-0.20871010000000001</v>
      </c>
      <c r="Z2739">
        <v>-3.2364389999999998E-3</v>
      </c>
      <c r="AA2739">
        <v>0.97797219999999996</v>
      </c>
      <c r="AB2739">
        <v>26</v>
      </c>
      <c r="AC2739">
        <v>-37.0228999999999</v>
      </c>
      <c r="AD2739">
        <v>-1.110135492443</v>
      </c>
      <c r="AE2739">
        <v>-7.7387999999999604</v>
      </c>
      <c r="AF2739">
        <v>-7.9280010177517104</v>
      </c>
      <c r="AG2739">
        <v>-1.110135492443</v>
      </c>
      <c r="AH2739">
        <v>36.949551140064202</v>
      </c>
      <c r="AI2739">
        <v>91.682639216562293</v>
      </c>
      <c r="AJ2739">
        <v>102.109937835579</v>
      </c>
      <c r="AK2739">
        <v>37.8068106351392</v>
      </c>
      <c r="AL2739">
        <v>87.621382781315603</v>
      </c>
      <c r="AM2739">
        <v>89.985778003689205</v>
      </c>
      <c r="AN2739">
        <v>1.0000000423048201</v>
      </c>
    </row>
    <row r="2740" spans="1:40" x14ac:dyDescent="0.25">
      <c r="A2740" t="str">
        <f>"20190312160347392"</f>
        <v>20190312160347392</v>
      </c>
      <c r="B2740" t="str">
        <f>"1552377827387006"</f>
        <v>1552377827387006</v>
      </c>
      <c r="C2740" t="s">
        <v>40</v>
      </c>
      <c r="D2740">
        <v>5.5367660000000001</v>
      </c>
      <c r="E2740">
        <v>0.42413279999999998</v>
      </c>
      <c r="F2740" t="s">
        <v>59</v>
      </c>
      <c r="G2740">
        <v>-478.12220000000002</v>
      </c>
      <c r="H2740" s="1">
        <v>2.817425E-6</v>
      </c>
      <c r="I2740">
        <v>282.38749999999999</v>
      </c>
      <c r="J2740">
        <v>-462.73</v>
      </c>
      <c r="K2740">
        <v>1.110166</v>
      </c>
      <c r="L2740">
        <v>285.4384</v>
      </c>
      <c r="M2740">
        <v>-0.99991039999999998</v>
      </c>
      <c r="N2740">
        <v>0</v>
      </c>
      <c r="O2740">
        <v>5.1886149999999997E-3</v>
      </c>
      <c r="P2740">
        <v>-0.99958740000000001</v>
      </c>
      <c r="Q2740">
        <v>2.8377400000000001E-2</v>
      </c>
      <c r="R2740">
        <v>4.4522440000000002E-3</v>
      </c>
      <c r="S2740">
        <v>-3.0108030000000001</v>
      </c>
      <c r="T2740">
        <v>-0.21340870000000001</v>
      </c>
      <c r="U2740">
        <v>-0.58624270000000001</v>
      </c>
      <c r="V2740">
        <v>-7.4021549999999997E-4</v>
      </c>
      <c r="W2740">
        <v>4.0721899999999998E-2</v>
      </c>
      <c r="X2740">
        <v>0.99917020000000001</v>
      </c>
      <c r="Y2740">
        <v>-0.19572870000000001</v>
      </c>
      <c r="Z2740">
        <v>-7.227799E-3</v>
      </c>
      <c r="AA2740">
        <v>0.98063149999999999</v>
      </c>
      <c r="AB2740">
        <v>26</v>
      </c>
      <c r="AC2740">
        <v>-15.392200000000001</v>
      </c>
      <c r="AD2740">
        <v>-1.110163182575</v>
      </c>
      <c r="AE2740">
        <v>-3.0509000000000102</v>
      </c>
      <c r="AF2740">
        <v>-3.1151367819673399</v>
      </c>
      <c r="AG2740">
        <v>-1.110163182575</v>
      </c>
      <c r="AH2740">
        <v>15.299581496133101</v>
      </c>
      <c r="AI2740">
        <v>94.067045287904307</v>
      </c>
      <c r="AJ2740">
        <v>101.508636590199</v>
      </c>
      <c r="AK2740">
        <v>15.652914534332901</v>
      </c>
      <c r="AL2740">
        <v>87.666161563841001</v>
      </c>
      <c r="AM2740">
        <v>90.042446438375805</v>
      </c>
      <c r="AN2740">
        <v>0.99999995481331705</v>
      </c>
    </row>
    <row r="2741" spans="1:40" x14ac:dyDescent="0.25">
      <c r="A2741" t="str">
        <f>"20190312160347425"</f>
        <v>20190312160347425</v>
      </c>
      <c r="B2741" t="str">
        <f>"1552377827417263"</f>
        <v>1552377827417263</v>
      </c>
      <c r="C2741" t="s">
        <v>40</v>
      </c>
      <c r="D2741">
        <v>5.6160379999999996</v>
      </c>
      <c r="E2741">
        <v>0.44305020000000001</v>
      </c>
      <c r="F2741" t="s">
        <v>59</v>
      </c>
      <c r="G2741">
        <v>-481.18740000000003</v>
      </c>
      <c r="H2741" s="1">
        <v>2.1638660000000001E-6</v>
      </c>
      <c r="I2741">
        <v>281.72789999999998</v>
      </c>
      <c r="J2741">
        <v>-463.10520000000002</v>
      </c>
      <c r="K2741">
        <v>1.1102209999999999</v>
      </c>
      <c r="L2741">
        <v>285.44009999999997</v>
      </c>
      <c r="M2741">
        <v>-0.99991149999999995</v>
      </c>
      <c r="N2741">
        <v>0</v>
      </c>
      <c r="O2741">
        <v>4.9556119999999999E-3</v>
      </c>
      <c r="P2741">
        <v>-0.99962430000000002</v>
      </c>
      <c r="Q2741">
        <v>2.733551E-2</v>
      </c>
      <c r="R2741">
        <v>1.9943059999999999E-3</v>
      </c>
      <c r="S2741">
        <v>-3.0090330000000001</v>
      </c>
      <c r="T2741">
        <v>-0.18098529999999999</v>
      </c>
      <c r="U2741">
        <v>-0.6049194</v>
      </c>
      <c r="V2741">
        <v>-2.9705589999999998E-3</v>
      </c>
      <c r="W2741">
        <v>3.9679430000000002E-2</v>
      </c>
      <c r="X2741">
        <v>0.99920799999999999</v>
      </c>
      <c r="Y2741">
        <v>-0.20158870000000001</v>
      </c>
      <c r="Z2741">
        <v>-6.29212E-3</v>
      </c>
      <c r="AA2741">
        <v>0.97945000000000004</v>
      </c>
      <c r="AB2741">
        <v>26</v>
      </c>
      <c r="AC2741">
        <v>-18.0822</v>
      </c>
      <c r="AD2741">
        <v>-1.110218836134</v>
      </c>
      <c r="AE2741">
        <v>-3.71219999999999</v>
      </c>
      <c r="AF2741">
        <v>-3.7880669894913002</v>
      </c>
      <c r="AG2741">
        <v>-1.110218836134</v>
      </c>
      <c r="AH2741">
        <v>17.998474217378501</v>
      </c>
      <c r="AI2741">
        <v>93.454276633807794</v>
      </c>
      <c r="AJ2741">
        <v>101.88534917629801</v>
      </c>
      <c r="AK2741">
        <v>18.4262614638623</v>
      </c>
      <c r="AL2741">
        <v>87.725939021936199</v>
      </c>
      <c r="AM2741">
        <v>90.170334897312998</v>
      </c>
      <c r="AN2741">
        <v>0.99999995432494704</v>
      </c>
    </row>
    <row r="2742" spans="1:40" x14ac:dyDescent="0.25">
      <c r="A2742" t="str">
        <f>"20190312160347447"</f>
        <v>20190312160347447</v>
      </c>
      <c r="B2742" t="str">
        <f>"1552377827437758"</f>
        <v>1552377827437758</v>
      </c>
      <c r="C2742" t="s">
        <v>40</v>
      </c>
      <c r="D2742">
        <v>6.0253420000000002</v>
      </c>
      <c r="E2742">
        <v>0.45035419999999998</v>
      </c>
      <c r="F2742" t="s">
        <v>59</v>
      </c>
      <c r="G2742">
        <v>-478.48750000000001</v>
      </c>
      <c r="H2742" s="1">
        <v>2.715475E-6</v>
      </c>
      <c r="I2742">
        <v>283.07459999999998</v>
      </c>
      <c r="J2742">
        <v>-463.36099999999999</v>
      </c>
      <c r="K2742">
        <v>1.110263</v>
      </c>
      <c r="L2742">
        <v>285.44110000000001</v>
      </c>
      <c r="M2742">
        <v>-0.99991260000000004</v>
      </c>
      <c r="N2742">
        <v>0</v>
      </c>
      <c r="O2742">
        <v>4.722464E-3</v>
      </c>
      <c r="P2742">
        <v>-0.99961999999999995</v>
      </c>
      <c r="Q2742">
        <v>2.7566509999999999E-2</v>
      </c>
      <c r="R2742">
        <v>3.4528670000000001E-4</v>
      </c>
      <c r="S2742">
        <v>-3.008057</v>
      </c>
      <c r="T2742">
        <v>-0.2171061</v>
      </c>
      <c r="U2742">
        <v>-0.46258539999999998</v>
      </c>
      <c r="V2742">
        <v>-4.3898890000000001E-3</v>
      </c>
      <c r="W2742">
        <v>3.9908600000000002E-2</v>
      </c>
      <c r="X2742">
        <v>0.99919369999999996</v>
      </c>
      <c r="Y2742">
        <v>-0.15625249999999999</v>
      </c>
      <c r="Z2742">
        <v>-5.9371220000000004E-3</v>
      </c>
      <c r="AA2742">
        <v>0.98769929999999995</v>
      </c>
      <c r="AB2742">
        <v>26</v>
      </c>
      <c r="AC2742">
        <v>-15.1265</v>
      </c>
      <c r="AD2742">
        <v>-1.110260284525</v>
      </c>
      <c r="AE2742">
        <v>-2.36650000000003</v>
      </c>
      <c r="AF2742">
        <v>-2.4251604316407702</v>
      </c>
      <c r="AG2742">
        <v>-1.110260284525</v>
      </c>
      <c r="AH2742">
        <v>15.036085815242201</v>
      </c>
      <c r="AI2742">
        <v>94.169350644915795</v>
      </c>
      <c r="AJ2742">
        <v>99.162292451424804</v>
      </c>
      <c r="AK2742">
        <v>15.270820464595801</v>
      </c>
      <c r="AL2742">
        <v>87.712798263341497</v>
      </c>
      <c r="AM2742">
        <v>90.251723458560903</v>
      </c>
      <c r="AN2742">
        <v>1.00000000879954</v>
      </c>
    </row>
    <row r="2743" spans="1:40" x14ac:dyDescent="0.25">
      <c r="A2743" t="str">
        <f>"20190312160347492"</f>
        <v>20190312160347492</v>
      </c>
      <c r="B2743" t="str">
        <f>"1552377827487535"</f>
        <v>1552377827487535</v>
      </c>
      <c r="C2743" t="s">
        <v>40</v>
      </c>
      <c r="D2743">
        <v>5.6010739999999997</v>
      </c>
      <c r="E2743">
        <v>0.45385959999999997</v>
      </c>
      <c r="F2743" t="s">
        <v>59</v>
      </c>
      <c r="G2743">
        <v>-480.10449999999997</v>
      </c>
      <c r="H2743" s="1">
        <v>2.0976800000000001E-6</v>
      </c>
      <c r="I2743">
        <v>283.16820000000001</v>
      </c>
      <c r="J2743">
        <v>-463.87729999999999</v>
      </c>
      <c r="K2743">
        <v>1.1103700000000001</v>
      </c>
      <c r="L2743">
        <v>285.44279999999998</v>
      </c>
      <c r="M2743">
        <v>-0.99991580000000002</v>
      </c>
      <c r="N2743">
        <v>0</v>
      </c>
      <c r="O2743">
        <v>4.017746E-3</v>
      </c>
      <c r="P2743">
        <v>-0.9996216</v>
      </c>
      <c r="Q2743">
        <v>2.7450160000000001E-2</v>
      </c>
      <c r="R2743">
        <v>-1.879852E-3</v>
      </c>
      <c r="S2743">
        <v>-3.0067750000000002</v>
      </c>
      <c r="T2743">
        <v>-0.1993799</v>
      </c>
      <c r="U2743">
        <v>-0.4081726</v>
      </c>
      <c r="V2743">
        <v>-5.9202780000000002E-3</v>
      </c>
      <c r="W2743">
        <v>3.9789489999999997E-2</v>
      </c>
      <c r="X2743">
        <v>0.99919060000000004</v>
      </c>
      <c r="Y2743">
        <v>-0.13819089999999901</v>
      </c>
      <c r="Z2743">
        <v>-4.8208349999999999E-3</v>
      </c>
      <c r="AA2743">
        <v>0.99039390000000005</v>
      </c>
      <c r="AB2743">
        <v>26</v>
      </c>
      <c r="AC2743">
        <v>-16.2271999999999</v>
      </c>
      <c r="AD2743">
        <v>-1.1103679023199999</v>
      </c>
      <c r="AE2743">
        <v>-2.27459999999996</v>
      </c>
      <c r="AF2743">
        <v>-2.3290883348195202</v>
      </c>
      <c r="AG2743">
        <v>-1.1103679023199999</v>
      </c>
      <c r="AH2743">
        <v>16.1437981844321</v>
      </c>
      <c r="AI2743">
        <v>93.894403308694393</v>
      </c>
      <c r="AJ2743">
        <v>98.209496823374707</v>
      </c>
      <c r="AK2743">
        <v>16.348693806221</v>
      </c>
      <c r="AL2743">
        <v>87.719628292024893</v>
      </c>
      <c r="AM2743">
        <v>90.339477746859998</v>
      </c>
      <c r="AN2743">
        <v>1.0000000541672001</v>
      </c>
    </row>
    <row r="2744" spans="1:40" x14ac:dyDescent="0.25">
      <c r="A2744" t="str">
        <f>"20190312160347514"</f>
        <v>20190312160347514</v>
      </c>
      <c r="B2744" t="str">
        <f>"1552377827507059"</f>
        <v>1552377827507059</v>
      </c>
      <c r="C2744" t="s">
        <v>40</v>
      </c>
      <c r="D2744">
        <v>5.5621210000000003</v>
      </c>
      <c r="E2744">
        <v>0.45431450000000001</v>
      </c>
      <c r="F2744" t="s">
        <v>59</v>
      </c>
      <c r="G2744">
        <v>-481.04950000000002</v>
      </c>
      <c r="H2744" s="1">
        <v>2.2709050000000001E-6</v>
      </c>
      <c r="I2744">
        <v>283.23219999999998</v>
      </c>
      <c r="J2744">
        <v>-464.13729999999998</v>
      </c>
      <c r="K2744">
        <v>1.1104149999999999</v>
      </c>
      <c r="L2744">
        <v>285.4434</v>
      </c>
      <c r="M2744">
        <v>-0.99991739999999996</v>
      </c>
      <c r="N2744">
        <v>0</v>
      </c>
      <c r="O2744">
        <v>3.557256E-3</v>
      </c>
      <c r="P2744">
        <v>-0.99963250000000003</v>
      </c>
      <c r="Q2744">
        <v>2.6955690000000001E-2</v>
      </c>
      <c r="R2744">
        <v>-2.8868840000000002E-3</v>
      </c>
      <c r="S2744">
        <v>-3.0057680000000002</v>
      </c>
      <c r="T2744">
        <v>-0.19435540000000001</v>
      </c>
      <c r="U2744">
        <v>-0.38693240000000001</v>
      </c>
      <c r="V2744">
        <v>-6.4716569999999996E-3</v>
      </c>
      <c r="W2744">
        <v>3.9293969999999998E-2</v>
      </c>
      <c r="X2744">
        <v>0.9992067</v>
      </c>
      <c r="Y2744">
        <v>-0.13092770000000001</v>
      </c>
      <c r="Z2744">
        <v>-4.4400730000000001E-3</v>
      </c>
      <c r="AA2744">
        <v>0.99138199999999999</v>
      </c>
      <c r="AB2744">
        <v>26</v>
      </c>
      <c r="AC2744">
        <v>-16.912199999999999</v>
      </c>
      <c r="AD2744">
        <v>-1.1104127290950001</v>
      </c>
      <c r="AE2744">
        <v>-2.2112000000000198</v>
      </c>
      <c r="AF2744">
        <v>-2.2617652360982299</v>
      </c>
      <c r="AG2744">
        <v>-1.1104127290950001</v>
      </c>
      <c r="AH2744">
        <v>16.8328812016806</v>
      </c>
      <c r="AI2744">
        <v>93.740636512522599</v>
      </c>
      <c r="AJ2744">
        <v>97.652763819217498</v>
      </c>
      <c r="AK2744">
        <v>17.020413859893399</v>
      </c>
      <c r="AL2744">
        <v>87.748041513571806</v>
      </c>
      <c r="AM2744">
        <v>90.371087831802001</v>
      </c>
      <c r="AN2744">
        <v>0.99999996387378698</v>
      </c>
    </row>
    <row r="2745" spans="1:40" x14ac:dyDescent="0.25">
      <c r="A2745" t="str">
        <f>"20190312160347536"</f>
        <v>20190312160347536</v>
      </c>
      <c r="B2745" t="str">
        <f>"1552377827527551"</f>
        <v>1552377827527551</v>
      </c>
      <c r="C2745" t="s">
        <v>40</v>
      </c>
      <c r="D2745">
        <v>5.538557</v>
      </c>
      <c r="E2745">
        <v>0.45454660000000002</v>
      </c>
      <c r="F2745" t="s">
        <v>59</v>
      </c>
      <c r="G2745">
        <v>-482.1848</v>
      </c>
      <c r="H2745" s="1">
        <v>2.4629709999999998E-6</v>
      </c>
      <c r="I2745">
        <v>283.12549999999999</v>
      </c>
      <c r="J2745">
        <v>-464.38729999999998</v>
      </c>
      <c r="K2745">
        <v>1.110468</v>
      </c>
      <c r="L2745">
        <v>285.44369999999998</v>
      </c>
      <c r="M2745">
        <v>-0.99991909999999895</v>
      </c>
      <c r="N2745">
        <v>0</v>
      </c>
      <c r="O2745">
        <v>3.047887E-3</v>
      </c>
      <c r="P2745">
        <v>-0.99965079999999995</v>
      </c>
      <c r="Q2745">
        <v>2.6137690000000002E-2</v>
      </c>
      <c r="R2745">
        <v>-3.924037E-3</v>
      </c>
      <c r="S2745">
        <v>-3.0049440000000001</v>
      </c>
      <c r="T2745">
        <v>-0.18488550000000001</v>
      </c>
      <c r="U2745">
        <v>-0.38592530000000003</v>
      </c>
      <c r="V2745">
        <v>-7.003609E-3</v>
      </c>
      <c r="W2745">
        <v>3.8474910000000001E-2</v>
      </c>
      <c r="X2745">
        <v>0.99923499999999998</v>
      </c>
      <c r="Y2745">
        <v>-0.13015879999999999</v>
      </c>
      <c r="Z2745">
        <v>-4.1706579999999998E-3</v>
      </c>
      <c r="AA2745">
        <v>0.99148440000000004</v>
      </c>
      <c r="AB2745">
        <v>26</v>
      </c>
      <c r="AC2745">
        <v>-17.797499999999999</v>
      </c>
      <c r="AD2745">
        <v>-1.110465537029</v>
      </c>
      <c r="AE2745">
        <v>-2.3181999999999898</v>
      </c>
      <c r="AF2745">
        <v>-2.3633907903612998</v>
      </c>
      <c r="AG2745">
        <v>-1.110465537029</v>
      </c>
      <c r="AH2745">
        <v>17.7225072678748</v>
      </c>
      <c r="AI2745">
        <v>93.553999181574795</v>
      </c>
      <c r="AJ2745">
        <v>97.5958816200027</v>
      </c>
      <c r="AK2745">
        <v>17.9138497704086</v>
      </c>
      <c r="AL2745">
        <v>87.795005745586707</v>
      </c>
      <c r="AM2745">
        <v>90.401577873321898</v>
      </c>
      <c r="AN2745">
        <v>0.99999997723176604</v>
      </c>
    </row>
    <row r="2746" spans="1:40" x14ac:dyDescent="0.25">
      <c r="A2746" t="str">
        <f>"20190312160347558"</f>
        <v>20190312160347558</v>
      </c>
      <c r="B2746" t="str">
        <f>"1552377827547073"</f>
        <v>1552377827547073</v>
      </c>
      <c r="C2746" t="s">
        <v>40</v>
      </c>
      <c r="D2746">
        <v>5.5727080000000004</v>
      </c>
      <c r="E2746">
        <v>0.45460529999999999</v>
      </c>
      <c r="F2746" t="s">
        <v>59</v>
      </c>
      <c r="G2746">
        <v>-482.30399999999997</v>
      </c>
      <c r="H2746" s="1">
        <v>2.4848989999999999E-6</v>
      </c>
      <c r="I2746">
        <v>283.13459999999998</v>
      </c>
      <c r="J2746">
        <v>-464.64830000000001</v>
      </c>
      <c r="K2746">
        <v>1.11052</v>
      </c>
      <c r="L2746">
        <v>285.44380000000001</v>
      </c>
      <c r="M2746">
        <v>-0.9999209</v>
      </c>
      <c r="N2746">
        <v>0</v>
      </c>
      <c r="O2746">
        <v>2.438436E-3</v>
      </c>
      <c r="P2746">
        <v>-0.99965170000000003</v>
      </c>
      <c r="Q2746">
        <v>2.5919040000000001E-2</v>
      </c>
      <c r="R2746">
        <v>-5.0119969999999998E-3</v>
      </c>
      <c r="S2746">
        <v>-3.0044249999999999</v>
      </c>
      <c r="T2746">
        <v>-0.1862133</v>
      </c>
      <c r="U2746">
        <v>-0.38720700000000002</v>
      </c>
      <c r="V2746">
        <v>-7.4868130000000001E-3</v>
      </c>
      <c r="W2746">
        <v>3.8254290000000003E-2</v>
      </c>
      <c r="X2746">
        <v>0.99924000000000002</v>
      </c>
      <c r="Y2746">
        <v>-0.12998999999999999</v>
      </c>
      <c r="Z2746">
        <v>-4.1583660000000001E-3</v>
      </c>
      <c r="AA2746">
        <v>0.99150660000000002</v>
      </c>
      <c r="AB2746">
        <v>26</v>
      </c>
      <c r="AC2746">
        <v>-17.6557</v>
      </c>
      <c r="AD2746">
        <v>-1.1105175151010001</v>
      </c>
      <c r="AE2746">
        <v>-2.3092000000000299</v>
      </c>
      <c r="AF2746">
        <v>-2.3431346456898599</v>
      </c>
      <c r="AG2746">
        <v>-1.1105175151010001</v>
      </c>
      <c r="AH2746">
        <v>17.581629203387301</v>
      </c>
      <c r="AI2746">
        <v>93.582609157362199</v>
      </c>
      <c r="AJ2746">
        <v>97.591177000909894</v>
      </c>
      <c r="AK2746">
        <v>17.7718095467113</v>
      </c>
      <c r="AL2746">
        <v>87.807655726152802</v>
      </c>
      <c r="AM2746">
        <v>90.429281013754604</v>
      </c>
      <c r="AN2746">
        <v>1.0000000103361499</v>
      </c>
    </row>
    <row r="2747" spans="1:40" x14ac:dyDescent="0.25">
      <c r="A2747" t="str">
        <f>"20190312160347603"</f>
        <v>20190312160347603</v>
      </c>
      <c r="B2747" t="str">
        <f>"1552377827596847"</f>
        <v>1552377827596847</v>
      </c>
      <c r="C2747" t="s">
        <v>40</v>
      </c>
      <c r="D2747">
        <v>5.4947290000000004</v>
      </c>
      <c r="E2747">
        <v>0.45498</v>
      </c>
      <c r="F2747" t="s">
        <v>59</v>
      </c>
      <c r="G2747">
        <v>-482.2079</v>
      </c>
      <c r="H2747" s="1">
        <v>2.4703950000000002E-6</v>
      </c>
      <c r="I2747">
        <v>283.1635</v>
      </c>
      <c r="J2747">
        <v>-465.1617</v>
      </c>
      <c r="K2747">
        <v>1.1106389999999999</v>
      </c>
      <c r="L2747">
        <v>285.4434</v>
      </c>
      <c r="M2747">
        <v>-0.99992340000000002</v>
      </c>
      <c r="N2747">
        <v>0</v>
      </c>
      <c r="O2747">
        <v>9.7712910000000001E-4</v>
      </c>
      <c r="P2747">
        <v>-0.99960970000000005</v>
      </c>
      <c r="Q2747">
        <v>2.6839890000000002E-2</v>
      </c>
      <c r="R2747">
        <v>-7.7523929999999998E-3</v>
      </c>
      <c r="S2747">
        <v>-3.0039980000000002</v>
      </c>
      <c r="T2747">
        <v>-0.18998000000000001</v>
      </c>
      <c r="U2747">
        <v>-0.39010620000000001</v>
      </c>
      <c r="V2747">
        <v>-8.7796479999999993E-3</v>
      </c>
      <c r="W2747">
        <v>3.917151E-2</v>
      </c>
      <c r="X2747">
        <v>0.99919389999999997</v>
      </c>
      <c r="Y2747">
        <v>-0.12949359999999999</v>
      </c>
      <c r="Z2747">
        <v>-4.1350889999999998E-3</v>
      </c>
      <c r="AA2747">
        <v>0.9915716</v>
      </c>
      <c r="AB2747">
        <v>26</v>
      </c>
      <c r="AC2747">
        <v>-17.046199999999999</v>
      </c>
      <c r="AD2747">
        <v>-1.110636529605</v>
      </c>
      <c r="AE2747">
        <v>-2.2798999999999898</v>
      </c>
      <c r="AF2747">
        <v>-2.2870184987294602</v>
      </c>
      <c r="AG2747">
        <v>-1.110636529605</v>
      </c>
      <c r="AH2747">
        <v>16.9731772387692</v>
      </c>
      <c r="AI2747">
        <v>93.710365206104697</v>
      </c>
      <c r="AJ2747">
        <v>97.673991385635205</v>
      </c>
      <c r="AK2747">
        <v>17.162538060936601</v>
      </c>
      <c r="AL2747">
        <v>87.7550633739868</v>
      </c>
      <c r="AM2747">
        <v>90.503429645320495</v>
      </c>
      <c r="AN2747">
        <v>0.99999996960594595</v>
      </c>
    </row>
    <row r="2748" spans="1:40" x14ac:dyDescent="0.25">
      <c r="A2748" t="str">
        <f>"20190312160347626"</f>
        <v>20190312160347626</v>
      </c>
      <c r="B2748" t="str">
        <f>"1552377827617343"</f>
        <v>1552377827617343</v>
      </c>
      <c r="C2748" t="s">
        <v>40</v>
      </c>
      <c r="D2748">
        <v>5.5406490000000002</v>
      </c>
      <c r="E2748">
        <v>0.45494499999999999</v>
      </c>
      <c r="F2748" t="s">
        <v>59</v>
      </c>
      <c r="G2748">
        <v>-482.5523</v>
      </c>
      <c r="H2748" s="1">
        <v>2.5305359999999999E-6</v>
      </c>
      <c r="I2748">
        <v>283.15280000000001</v>
      </c>
      <c r="J2748">
        <v>-465.41649999999998</v>
      </c>
      <c r="K2748">
        <v>1.1107100000000001</v>
      </c>
      <c r="L2748">
        <v>285.4427</v>
      </c>
      <c r="M2748">
        <v>-0.99992380000000003</v>
      </c>
      <c r="N2748">
        <v>0</v>
      </c>
      <c r="O2748" s="1">
        <v>9.9376449999999996E-5</v>
      </c>
      <c r="P2748">
        <v>-0.99961169999999999</v>
      </c>
      <c r="Q2748">
        <v>2.617688E-2</v>
      </c>
      <c r="R2748">
        <v>-9.5704359999999999E-3</v>
      </c>
      <c r="S2748">
        <v>-3.0032350000000001</v>
      </c>
      <c r="T2748">
        <v>-0.19179979999999999</v>
      </c>
      <c r="U2748">
        <v>-0.3955688</v>
      </c>
      <c r="V2748">
        <v>-9.7256540000000002E-3</v>
      </c>
      <c r="W2748">
        <v>3.8506350000000002E-2</v>
      </c>
      <c r="X2748">
        <v>0.99921099999999996</v>
      </c>
      <c r="Y2748">
        <v>-0.1304236</v>
      </c>
      <c r="Z2748">
        <v>-4.148952E-3</v>
      </c>
      <c r="AA2748">
        <v>0.99144969999999999</v>
      </c>
      <c r="AB2748">
        <v>26</v>
      </c>
      <c r="AC2748">
        <v>-17.1358</v>
      </c>
      <c r="AD2748">
        <v>-1.110707469464</v>
      </c>
      <c r="AE2748">
        <v>-2.2898999999999798</v>
      </c>
      <c r="AF2748">
        <v>-2.2821829456600602</v>
      </c>
      <c r="AG2748">
        <v>-1.110707469464</v>
      </c>
      <c r="AH2748">
        <v>17.065133323710199</v>
      </c>
      <c r="AI2748">
        <v>93.691152158965096</v>
      </c>
      <c r="AJ2748">
        <v>97.617179252952397</v>
      </c>
      <c r="AK2748">
        <v>17.252849197630798</v>
      </c>
      <c r="AL2748">
        <v>87.793203025270302</v>
      </c>
      <c r="AM2748">
        <v>90.557661325797199</v>
      </c>
      <c r="AN2748">
        <v>0.99999997492852399</v>
      </c>
    </row>
    <row r="2749" spans="1:40" x14ac:dyDescent="0.25">
      <c r="A2749" t="str">
        <f>"20190312160347648"</f>
        <v>20190312160347648</v>
      </c>
      <c r="B2749" t="str">
        <f>"1552377827636863"</f>
        <v>1552377827636863</v>
      </c>
      <c r="C2749" t="s">
        <v>40</v>
      </c>
      <c r="D2749">
        <v>5.4628779999999999</v>
      </c>
      <c r="E2749">
        <v>0.45553250000000001</v>
      </c>
      <c r="F2749" t="s">
        <v>59</v>
      </c>
      <c r="G2749">
        <v>-482.96980000000002</v>
      </c>
      <c r="H2749" s="1">
        <v>2.599745E-6</v>
      </c>
      <c r="I2749">
        <v>283.09730000000002</v>
      </c>
      <c r="J2749">
        <v>-465.67320000000001</v>
      </c>
      <c r="K2749">
        <v>1.1107830000000001</v>
      </c>
      <c r="L2749">
        <v>285.44170000000003</v>
      </c>
      <c r="M2749">
        <v>-0.99992340000000002</v>
      </c>
      <c r="N2749">
        <v>0</v>
      </c>
      <c r="O2749">
        <v>-9.1119059999999997E-4</v>
      </c>
      <c r="P2749">
        <v>-0.99960979999999999</v>
      </c>
      <c r="Q2749">
        <v>2.5245340000000002E-2</v>
      </c>
      <c r="R2749">
        <v>-1.1956380000000001E-2</v>
      </c>
      <c r="S2749">
        <v>-3.0022890000000002</v>
      </c>
      <c r="T2749">
        <v>-0.1899737</v>
      </c>
      <c r="U2749">
        <v>-0.4011536</v>
      </c>
      <c r="V2749">
        <v>-1.1107779999999999E-2</v>
      </c>
      <c r="W2749">
        <v>3.7571E-2</v>
      </c>
      <c r="X2749">
        <v>0.99923220000000001</v>
      </c>
      <c r="Y2749">
        <v>-0.13127949999999999</v>
      </c>
      <c r="Z2749">
        <v>-4.0736390000000004E-3</v>
      </c>
      <c r="AA2749">
        <v>0.99133700000000002</v>
      </c>
      <c r="AB2749">
        <v>26</v>
      </c>
      <c r="AC2749">
        <v>-17.296600000000002</v>
      </c>
      <c r="AD2749">
        <v>-1.1107804002549999</v>
      </c>
      <c r="AE2749">
        <v>-2.3443999999999998</v>
      </c>
      <c r="AF2749">
        <v>-2.3192449527806902</v>
      </c>
      <c r="AG2749">
        <v>-1.1107804002549999</v>
      </c>
      <c r="AH2749">
        <v>17.2289561263769</v>
      </c>
      <c r="AI2749">
        <v>93.655966953569404</v>
      </c>
      <c r="AJ2749">
        <v>97.666681437819193</v>
      </c>
      <c r="AK2749">
        <v>17.419806527433298</v>
      </c>
      <c r="AL2749">
        <v>87.846833452686894</v>
      </c>
      <c r="AM2749">
        <v>90.636891706126093</v>
      </c>
      <c r="AN2749">
        <v>0.99999997616718295</v>
      </c>
    </row>
    <row r="2750" spans="1:40" x14ac:dyDescent="0.25">
      <c r="A2750" t="str">
        <f>"20190312160347671"</f>
        <v>20190312160347671</v>
      </c>
      <c r="B2750" t="str">
        <f>"1552377827657359"</f>
        <v>1552377827657359</v>
      </c>
      <c r="C2750" t="s">
        <v>40</v>
      </c>
      <c r="D2750">
        <v>5.5110140000000003</v>
      </c>
      <c r="E2750">
        <v>0.45570559999999899</v>
      </c>
      <c r="F2750" t="s">
        <v>59</v>
      </c>
      <c r="G2750">
        <v>-482.24099999999999</v>
      </c>
      <c r="H2750" s="1">
        <v>2.4804209999999999E-6</v>
      </c>
      <c r="I2750">
        <v>283.21109999999999</v>
      </c>
      <c r="J2750">
        <v>-465.93380000000002</v>
      </c>
      <c r="K2750">
        <v>1.11087</v>
      </c>
      <c r="L2750">
        <v>285.4402</v>
      </c>
      <c r="M2750">
        <v>-0.99992170000000002</v>
      </c>
      <c r="N2750">
        <v>0</v>
      </c>
      <c r="O2750">
        <v>-2.0874909999999999E-3</v>
      </c>
      <c r="P2750">
        <v>-0.99957609999999997</v>
      </c>
      <c r="Q2750">
        <v>2.5023380000000001E-2</v>
      </c>
      <c r="R2750">
        <v>-1.488604E-2</v>
      </c>
      <c r="S2750">
        <v>-3.001404</v>
      </c>
      <c r="T2750">
        <v>-0.20122689999999999</v>
      </c>
      <c r="U2750">
        <v>-0.40408329999999998</v>
      </c>
      <c r="V2750">
        <v>-1.2870329999999999E-2</v>
      </c>
      <c r="W2750">
        <v>3.734465E-2</v>
      </c>
      <c r="X2750">
        <v>0.99921950000000004</v>
      </c>
      <c r="Y2750">
        <v>-0.131074</v>
      </c>
      <c r="Z2750">
        <v>-4.2301309999999998E-3</v>
      </c>
      <c r="AA2750">
        <v>0.99136360000000001</v>
      </c>
      <c r="AB2750">
        <v>26</v>
      </c>
      <c r="AC2750">
        <v>-16.307199999999899</v>
      </c>
      <c r="AD2750">
        <v>-1.1108675195790001</v>
      </c>
      <c r="AE2750">
        <v>-2.2291000000000101</v>
      </c>
      <c r="AF2750">
        <v>-2.1850974436647501</v>
      </c>
      <c r="AG2750">
        <v>-1.1108675195790001</v>
      </c>
      <c r="AH2750">
        <v>16.2378482900527</v>
      </c>
      <c r="AI2750">
        <v>93.878780558872293</v>
      </c>
      <c r="AJ2750">
        <v>97.664146900019603</v>
      </c>
      <c r="AK2750">
        <v>16.4218267733871</v>
      </c>
      <c r="AL2750">
        <v>87.859811380398895</v>
      </c>
      <c r="AM2750">
        <v>90.737950784455094</v>
      </c>
      <c r="AN2750">
        <v>0.99999993872908799</v>
      </c>
    </row>
    <row r="2751" spans="1:40" x14ac:dyDescent="0.25">
      <c r="A2751" t="str">
        <f>"20190312160347693"</f>
        <v>20190312160347693</v>
      </c>
      <c r="B2751" t="str">
        <f>"1552377827687615"</f>
        <v>1552377827687615</v>
      </c>
      <c r="C2751" t="s">
        <v>40</v>
      </c>
      <c r="D2751">
        <v>5.5596690000000004</v>
      </c>
      <c r="E2751">
        <v>0.4560669</v>
      </c>
      <c r="F2751" t="s">
        <v>59</v>
      </c>
      <c r="G2751">
        <v>-482.10430000000002</v>
      </c>
      <c r="H2751" s="1">
        <v>2.4569830000000001E-6</v>
      </c>
      <c r="I2751">
        <v>283.22039999999998</v>
      </c>
      <c r="J2751">
        <v>-466.1909</v>
      </c>
      <c r="K2751">
        <v>1.110959</v>
      </c>
      <c r="L2751">
        <v>285.43819999999999</v>
      </c>
      <c r="M2751">
        <v>-0.99991810000000003</v>
      </c>
      <c r="N2751">
        <v>0</v>
      </c>
      <c r="O2751">
        <v>-3.3677780000000001E-3</v>
      </c>
      <c r="P2751">
        <v>-0.99953979999999998</v>
      </c>
      <c r="Q2751">
        <v>2.491227E-2</v>
      </c>
      <c r="R2751">
        <v>-1.7316379999999999E-2</v>
      </c>
      <c r="S2751">
        <v>-3.000305</v>
      </c>
      <c r="T2751">
        <v>-0.20611180000000001</v>
      </c>
      <c r="U2751">
        <v>-0.41186519999999999</v>
      </c>
      <c r="V2751">
        <v>-1.402867E-2</v>
      </c>
      <c r="W2751">
        <v>3.722934E-2</v>
      </c>
      <c r="X2751">
        <v>0.99920830000000005</v>
      </c>
      <c r="Y2751">
        <v>-0.13236319999999999</v>
      </c>
      <c r="Z2751">
        <v>-4.2899870000000003E-3</v>
      </c>
      <c r="AA2751">
        <v>0.99119199999999996</v>
      </c>
      <c r="AB2751">
        <v>26</v>
      </c>
      <c r="AC2751">
        <v>-15.913399999999999</v>
      </c>
      <c r="AD2751">
        <v>-1.1109565430169901</v>
      </c>
      <c r="AE2751">
        <v>-2.2178000000000102</v>
      </c>
      <c r="AF2751">
        <v>-2.1538928944118498</v>
      </c>
      <c r="AG2751">
        <v>-1.1109565430169901</v>
      </c>
      <c r="AH2751">
        <v>15.8450251820591</v>
      </c>
      <c r="AI2751">
        <v>93.974235400794896</v>
      </c>
      <c r="AJ2751">
        <v>97.741051777952094</v>
      </c>
      <c r="AK2751">
        <v>16.029295120533501</v>
      </c>
      <c r="AL2751">
        <v>87.866422943261298</v>
      </c>
      <c r="AM2751">
        <v>90.804367594498203</v>
      </c>
      <c r="AN2751">
        <v>1.0000000270638401</v>
      </c>
    </row>
    <row r="2752" spans="1:40" x14ac:dyDescent="0.25">
      <c r="A2752" t="str">
        <f>"20190312160347714"</f>
        <v>20190312160347714</v>
      </c>
      <c r="B2752" t="str">
        <f>"1552377827707139"</f>
        <v>1552377827707139</v>
      </c>
      <c r="C2752" t="s">
        <v>40</v>
      </c>
      <c r="D2752">
        <v>5.5310459999999999</v>
      </c>
      <c r="E2752">
        <v>0.4560149</v>
      </c>
      <c r="F2752" t="s">
        <v>59</v>
      </c>
      <c r="G2752">
        <v>-482.31290000000001</v>
      </c>
      <c r="H2752" s="1">
        <v>2.4921740000000002E-6</v>
      </c>
      <c r="I2752">
        <v>283.19979999999998</v>
      </c>
      <c r="J2752">
        <v>-466.44470000000001</v>
      </c>
      <c r="K2752">
        <v>1.111051</v>
      </c>
      <c r="L2752">
        <v>285.4359</v>
      </c>
      <c r="M2752">
        <v>-0.99991249999999998</v>
      </c>
      <c r="N2752">
        <v>0</v>
      </c>
      <c r="O2752">
        <v>-4.7580529999999999E-3</v>
      </c>
      <c r="P2752">
        <v>-0.99949410000000005</v>
      </c>
      <c r="Q2752">
        <v>2.4635870000000001E-2</v>
      </c>
      <c r="R2752">
        <v>-2.012922E-2</v>
      </c>
      <c r="S2752">
        <v>-2.9993289999999999</v>
      </c>
      <c r="T2752">
        <v>-0.2066817</v>
      </c>
      <c r="U2752">
        <v>-0.4164429</v>
      </c>
      <c r="V2752">
        <v>-1.5458680000000001E-2</v>
      </c>
      <c r="W2752">
        <v>3.6947729999999998E-2</v>
      </c>
      <c r="X2752">
        <v>0.99919760000000002</v>
      </c>
      <c r="Y2752">
        <v>-0.1325142</v>
      </c>
      <c r="Z2752">
        <v>-4.2127040000000003E-3</v>
      </c>
      <c r="AA2752">
        <v>0.9911721</v>
      </c>
      <c r="AB2752">
        <v>26</v>
      </c>
      <c r="AC2752">
        <v>-15.8682</v>
      </c>
      <c r="AD2752">
        <v>-1.111048507826</v>
      </c>
      <c r="AE2752">
        <v>-2.23610000000002</v>
      </c>
      <c r="AF2752">
        <v>-2.1502311050786198</v>
      </c>
      <c r="AG2752">
        <v>-1.111048507826</v>
      </c>
      <c r="AH2752">
        <v>15.802697593569601</v>
      </c>
      <c r="AI2752">
        <v>93.985104740835496</v>
      </c>
      <c r="AJ2752">
        <v>97.748499023177402</v>
      </c>
      <c r="AK2752">
        <v>15.9869688754873</v>
      </c>
      <c r="AL2752">
        <v>87.882569005235098</v>
      </c>
      <c r="AM2752">
        <v>90.886357677524003</v>
      </c>
      <c r="AN2752">
        <v>0.99999997469262702</v>
      </c>
    </row>
    <row r="2753" spans="1:40" x14ac:dyDescent="0.25">
      <c r="A2753" t="str">
        <f>"20190312160347737"</f>
        <v>20190312160347737</v>
      </c>
      <c r="B2753" t="str">
        <f>"1552377827727631"</f>
        <v>1552377827727631</v>
      </c>
      <c r="C2753" t="s">
        <v>40</v>
      </c>
      <c r="D2753">
        <v>5.6181359999999998</v>
      </c>
      <c r="E2753">
        <v>0.4560167</v>
      </c>
      <c r="F2753" t="s">
        <v>59</v>
      </c>
      <c r="G2753">
        <v>-482.70429999999999</v>
      </c>
      <c r="H2753" s="1">
        <v>2.555456E-6</v>
      </c>
      <c r="I2753">
        <v>283.12950000000001</v>
      </c>
      <c r="J2753">
        <v>-466.70010000000002</v>
      </c>
      <c r="K2753">
        <v>1.111148</v>
      </c>
      <c r="L2753">
        <v>285.43299999999999</v>
      </c>
      <c r="M2753">
        <v>-0.99990389999999996</v>
      </c>
      <c r="N2753">
        <v>0</v>
      </c>
      <c r="O2753">
        <v>-6.2985419999999999E-3</v>
      </c>
      <c r="P2753">
        <v>-0.99944500000000003</v>
      </c>
      <c r="Q2753">
        <v>2.413123E-2</v>
      </c>
      <c r="R2753">
        <v>-2.2961470000000001E-2</v>
      </c>
      <c r="S2753">
        <v>-2.9980159999999998</v>
      </c>
      <c r="T2753">
        <v>-0.20486090000000001</v>
      </c>
      <c r="U2753">
        <v>-0.42526249999999999</v>
      </c>
      <c r="V2753">
        <v>-1.6758740000000001E-2</v>
      </c>
      <c r="W2753">
        <v>3.6437850000000001E-2</v>
      </c>
      <c r="X2753">
        <v>0.99919539999999996</v>
      </c>
      <c r="Y2753">
        <v>-0.133911</v>
      </c>
      <c r="Z2753">
        <v>-4.1194650000000001E-3</v>
      </c>
      <c r="AA2753">
        <v>0.9909848</v>
      </c>
      <c r="AB2753">
        <v>26</v>
      </c>
      <c r="AC2753">
        <v>-16.004199999999901</v>
      </c>
      <c r="AD2753">
        <v>-1.1111454445440001</v>
      </c>
      <c r="AE2753">
        <v>-2.3034999999999801</v>
      </c>
      <c r="AF2753">
        <v>-2.1922904680637201</v>
      </c>
      <c r="AG2753">
        <v>-1.1111454445440001</v>
      </c>
      <c r="AH2753">
        <v>15.9431015239203</v>
      </c>
      <c r="AI2753">
        <v>93.949703554188304</v>
      </c>
      <c r="AJ2753">
        <v>97.829478627121901</v>
      </c>
      <c r="AK2753">
        <v>16.131437254545101</v>
      </c>
      <c r="AL2753">
        <v>87.911802737913504</v>
      </c>
      <c r="AM2753">
        <v>90.960888180034402</v>
      </c>
      <c r="AN2753">
        <v>1.0000000098300801</v>
      </c>
    </row>
    <row r="2754" spans="1:40" x14ac:dyDescent="0.25">
      <c r="A2754" t="str">
        <f>"20190312160347760"</f>
        <v>20190312160347760</v>
      </c>
      <c r="B2754" t="str">
        <f>"1552377827747151"</f>
        <v>1552377827747151</v>
      </c>
      <c r="C2754" t="s">
        <v>40</v>
      </c>
      <c r="D2754">
        <v>5.7310589999999904</v>
      </c>
      <c r="E2754">
        <v>0.45602399999999998</v>
      </c>
      <c r="F2754" t="s">
        <v>59</v>
      </c>
      <c r="G2754">
        <v>-483.21539999999999</v>
      </c>
      <c r="H2754" s="1">
        <v>2.6386879999999999E-6</v>
      </c>
      <c r="I2754">
        <v>283.0444</v>
      </c>
      <c r="J2754">
        <v>-466.96300000000002</v>
      </c>
      <c r="K2754">
        <v>1.111253</v>
      </c>
      <c r="L2754">
        <v>285.42939999999999</v>
      </c>
      <c r="M2754">
        <v>-0.99989130000000004</v>
      </c>
      <c r="N2754">
        <v>0</v>
      </c>
      <c r="O2754">
        <v>-8.0423300000000003E-3</v>
      </c>
      <c r="P2754">
        <v>-0.99935870000000004</v>
      </c>
      <c r="Q2754">
        <v>2.4290249999999999E-2</v>
      </c>
      <c r="R2754">
        <v>-2.6313090000000001E-2</v>
      </c>
      <c r="S2754">
        <v>-2.9965519999999999</v>
      </c>
      <c r="T2754">
        <v>-0.2016078</v>
      </c>
      <c r="U2754">
        <v>-0.43338009999999899</v>
      </c>
      <c r="V2754">
        <v>-1.8377609999999999E-2</v>
      </c>
      <c r="W2754">
        <v>3.6590350000000001E-2</v>
      </c>
      <c r="X2754">
        <v>0.99916139999999998</v>
      </c>
      <c r="Y2754">
        <v>-0.1348915</v>
      </c>
      <c r="Z2754">
        <v>-3.971596E-3</v>
      </c>
      <c r="AA2754">
        <v>0.99085239999999997</v>
      </c>
      <c r="AB2754">
        <v>26</v>
      </c>
      <c r="AC2754">
        <v>-16.252399999999898</v>
      </c>
      <c r="AD2754">
        <v>-1.1112503613119999</v>
      </c>
      <c r="AE2754">
        <v>-2.38499999999999</v>
      </c>
      <c r="AF2754">
        <v>-2.2439362860560901</v>
      </c>
      <c r="AG2754">
        <v>-1.1112503613119999</v>
      </c>
      <c r="AH2754">
        <v>16.196931111771001</v>
      </c>
      <c r="AI2754">
        <v>93.887820573156802</v>
      </c>
      <c r="AJ2754">
        <v>97.887596901821993</v>
      </c>
      <c r="AK2754">
        <v>16.389347298194899</v>
      </c>
      <c r="AL2754">
        <v>87.903059378414994</v>
      </c>
      <c r="AM2754">
        <v>91.053724427903305</v>
      </c>
      <c r="AN2754">
        <v>1.00000004675619</v>
      </c>
    </row>
    <row r="2755" spans="1:40" x14ac:dyDescent="0.25">
      <c r="A2755" t="str">
        <f>"20190312160347782"</f>
        <v>20190312160347782</v>
      </c>
      <c r="B2755" t="str">
        <f>"1552377827777407"</f>
        <v>1552377827777407</v>
      </c>
      <c r="C2755" t="s">
        <v>40</v>
      </c>
      <c r="D2755">
        <v>5.548902</v>
      </c>
      <c r="E2755">
        <v>0.45617999999999997</v>
      </c>
      <c r="F2755" t="s">
        <v>59</v>
      </c>
      <c r="G2755">
        <v>-483.8152</v>
      </c>
      <c r="H2755" s="1">
        <v>2.735495E-6</v>
      </c>
      <c r="I2755">
        <v>282.9348</v>
      </c>
      <c r="J2755">
        <v>-467.21420000000001</v>
      </c>
      <c r="K2755">
        <v>1.1113649999999999</v>
      </c>
      <c r="L2755">
        <v>285.4255</v>
      </c>
      <c r="M2755">
        <v>-0.99987490000000001</v>
      </c>
      <c r="N2755">
        <v>0</v>
      </c>
      <c r="O2755">
        <v>-9.8698499999999995E-3</v>
      </c>
      <c r="P2755">
        <v>-0.99926749999999998</v>
      </c>
      <c r="Q2755">
        <v>2.4562879999999999E-2</v>
      </c>
      <c r="R2755">
        <v>-2.9350149999999998E-2</v>
      </c>
      <c r="S2755">
        <v>-2.9950559999999999</v>
      </c>
      <c r="T2755">
        <v>-0.1974967</v>
      </c>
      <c r="U2755">
        <v>-0.44335940000000001</v>
      </c>
      <c r="V2755">
        <v>-1.959899E-2</v>
      </c>
      <c r="W2755">
        <v>3.6856239999999998E-2</v>
      </c>
      <c r="X2755">
        <v>0.99912829999999997</v>
      </c>
      <c r="Y2755">
        <v>-0.1363945</v>
      </c>
      <c r="Z2755">
        <v>-3.8213129999999998E-3</v>
      </c>
      <c r="AA2755">
        <v>0.99064719999999995</v>
      </c>
      <c r="AB2755">
        <v>26</v>
      </c>
      <c r="AC2755">
        <v>-16.600999999999999</v>
      </c>
      <c r="AD2755">
        <v>-1.1113622645050001</v>
      </c>
      <c r="AE2755">
        <v>-2.4906999999999999</v>
      </c>
      <c r="AF2755">
        <v>-2.3165631821966399</v>
      </c>
      <c r="AG2755">
        <v>-1.1113622645050001</v>
      </c>
      <c r="AH2755">
        <v>16.552226942816201</v>
      </c>
      <c r="AI2755">
        <v>93.804265062778697</v>
      </c>
      <c r="AJ2755">
        <v>97.967068936104695</v>
      </c>
      <c r="AK2755">
        <v>16.750456943813901</v>
      </c>
      <c r="AL2755">
        <v>87.887814477451897</v>
      </c>
      <c r="AM2755">
        <v>91.123775005323907</v>
      </c>
      <c r="AN2755">
        <v>0.99999993134842102</v>
      </c>
    </row>
    <row r="2756" spans="1:40" x14ac:dyDescent="0.25">
      <c r="A2756" t="str">
        <f>"20190312160347804"</f>
        <v>20190312160347804</v>
      </c>
      <c r="B2756" t="str">
        <f>"1552377827796927"</f>
        <v>1552377827796927</v>
      </c>
      <c r="C2756" t="s">
        <v>40</v>
      </c>
      <c r="D2756">
        <v>5.4997569999999998</v>
      </c>
      <c r="E2756">
        <v>0.45627810000000002</v>
      </c>
      <c r="F2756" t="s">
        <v>59</v>
      </c>
      <c r="G2756">
        <v>-484.13850000000002</v>
      </c>
      <c r="H2756" s="1">
        <v>2.7877809999999999E-6</v>
      </c>
      <c r="I2756">
        <v>282.87670000000003</v>
      </c>
      <c r="J2756">
        <v>-467.47250000000003</v>
      </c>
      <c r="K2756">
        <v>1.111494</v>
      </c>
      <c r="L2756">
        <v>285.42079999999999</v>
      </c>
      <c r="M2756">
        <v>-0.99985270000000004</v>
      </c>
      <c r="N2756">
        <v>0</v>
      </c>
      <c r="O2756">
        <v>-1.1916609999999999E-2</v>
      </c>
      <c r="P2756">
        <v>-0.99916119999999997</v>
      </c>
      <c r="Q2756">
        <v>2.5081470000000002E-2</v>
      </c>
      <c r="R2756">
        <v>-3.2372430000000001E-2</v>
      </c>
      <c r="S2756">
        <v>-2.993805</v>
      </c>
      <c r="T2756">
        <v>-0.19659289999999999</v>
      </c>
      <c r="U2756">
        <v>-0.45086670000000001</v>
      </c>
      <c r="V2756">
        <v>-2.0589059999999999E-2</v>
      </c>
      <c r="W2756">
        <v>3.736896E-2</v>
      </c>
      <c r="X2756">
        <v>0.99908940000000002</v>
      </c>
      <c r="Y2756">
        <v>-0.1368624</v>
      </c>
      <c r="Z2756">
        <v>-3.6865359999999998E-3</v>
      </c>
      <c r="AA2756">
        <v>0.9905832</v>
      </c>
      <c r="AB2756">
        <v>26</v>
      </c>
      <c r="AC2756">
        <v>-16.665999999999901</v>
      </c>
      <c r="AD2756">
        <v>-1.1114912122189999</v>
      </c>
      <c r="AE2756">
        <v>-2.5440999999999501</v>
      </c>
      <c r="AF2756">
        <v>-2.3351520855667598</v>
      </c>
      <c r="AG2756">
        <v>-1.1114912122189999</v>
      </c>
      <c r="AH2756">
        <v>16.622883523348001</v>
      </c>
      <c r="AI2756">
        <v>93.788308360761306</v>
      </c>
      <c r="AJ2756">
        <v>97.996478508979393</v>
      </c>
      <c r="AK2756">
        <v>16.822859584754301</v>
      </c>
      <c r="AL2756">
        <v>87.858417654452694</v>
      </c>
      <c r="AM2756">
        <v>91.180574321132298</v>
      </c>
      <c r="AN2756">
        <v>0.99999998887776198</v>
      </c>
    </row>
    <row r="2757" spans="1:40" x14ac:dyDescent="0.25">
      <c r="A2757" t="str">
        <f>"20190312160347827"</f>
        <v>20190312160347827</v>
      </c>
      <c r="B2757" t="str">
        <f>"1552377827817423"</f>
        <v>1552377827817423</v>
      </c>
      <c r="C2757" t="s">
        <v>40</v>
      </c>
      <c r="D2757">
        <v>5.475498</v>
      </c>
      <c r="E2757">
        <v>0.45639170000000001</v>
      </c>
      <c r="F2757" t="s">
        <v>59</v>
      </c>
      <c r="G2757">
        <v>-484.32940000000002</v>
      </c>
      <c r="H2757" s="1">
        <v>2.8178689999999999E-6</v>
      </c>
      <c r="I2757">
        <v>282.83359999999999</v>
      </c>
      <c r="J2757">
        <v>-467.72680000000003</v>
      </c>
      <c r="K2757">
        <v>1.1116200000000001</v>
      </c>
      <c r="L2757">
        <v>285.41539999999998</v>
      </c>
      <c r="M2757">
        <v>-0.99982400000000005</v>
      </c>
      <c r="N2757">
        <v>0</v>
      </c>
      <c r="O2757">
        <v>-1.410694E-2</v>
      </c>
      <c r="P2757">
        <v>-0.99905909999999998</v>
      </c>
      <c r="Q2757">
        <v>2.4805810000000001E-2</v>
      </c>
      <c r="R2757">
        <v>-3.5576660000000003E-2</v>
      </c>
      <c r="S2757">
        <v>-2.9925540000000002</v>
      </c>
      <c r="T2757">
        <v>-0.19731960000000001</v>
      </c>
      <c r="U2757">
        <v>-0.45928960000000002</v>
      </c>
      <c r="V2757">
        <v>-2.1615450000000001E-2</v>
      </c>
      <c r="W2757">
        <v>3.7086870000000001E-2</v>
      </c>
      <c r="X2757">
        <v>0.99907820000000003</v>
      </c>
      <c r="Y2757">
        <v>-0.13747980000000001</v>
      </c>
      <c r="Z2757">
        <v>-3.5777399999999998E-3</v>
      </c>
      <c r="AA2757">
        <v>0.99049810000000005</v>
      </c>
      <c r="AB2757">
        <v>26</v>
      </c>
      <c r="AC2757">
        <v>-16.602599999999899</v>
      </c>
      <c r="AD2757">
        <v>-1.1116171821309999</v>
      </c>
      <c r="AE2757">
        <v>-2.5817999999999799</v>
      </c>
      <c r="AF2757">
        <v>-2.3370837307958299</v>
      </c>
      <c r="AG2757">
        <v>-1.1116171821309999</v>
      </c>
      <c r="AH2757">
        <v>16.564866555099901</v>
      </c>
      <c r="AI2757">
        <v>93.801648830992605</v>
      </c>
      <c r="AJ2757">
        <v>98.030672337347795</v>
      </c>
      <c r="AK2757">
        <v>16.765812151894899</v>
      </c>
      <c r="AL2757">
        <v>87.874591364270799</v>
      </c>
      <c r="AM2757">
        <v>91.239423372783705</v>
      </c>
      <c r="AN2757">
        <v>0.99999995666016805</v>
      </c>
    </row>
    <row r="2758" spans="1:40" x14ac:dyDescent="0.25">
      <c r="A2758" t="str">
        <f>"20190312160347849"</f>
        <v>20190312160347849</v>
      </c>
      <c r="B2758" t="str">
        <f>"1552377827836943"</f>
        <v>1552377827836943</v>
      </c>
      <c r="C2758" t="s">
        <v>40</v>
      </c>
      <c r="D2758">
        <v>5.5236489999999998</v>
      </c>
      <c r="E2758">
        <v>0.45654210000000001</v>
      </c>
      <c r="F2758" t="s">
        <v>59</v>
      </c>
      <c r="G2758">
        <v>-484.6635</v>
      </c>
      <c r="H2758" s="1">
        <v>2.87135E-6</v>
      </c>
      <c r="I2758">
        <v>282.76749999999998</v>
      </c>
      <c r="J2758">
        <v>-467.98009999999999</v>
      </c>
      <c r="K2758">
        <v>1.111742</v>
      </c>
      <c r="L2758">
        <v>285.40929999999997</v>
      </c>
      <c r="M2758">
        <v>-0.9997878</v>
      </c>
      <c r="N2758">
        <v>0</v>
      </c>
      <c r="O2758">
        <v>-1.64744E-2</v>
      </c>
      <c r="P2758">
        <v>-0.99895469999999997</v>
      </c>
      <c r="Q2758">
        <v>2.3828370000000001E-2</v>
      </c>
      <c r="R2758">
        <v>-3.9009719999999998E-2</v>
      </c>
      <c r="S2758">
        <v>-2.9910580000000002</v>
      </c>
      <c r="T2758">
        <v>-0.19631390000000001</v>
      </c>
      <c r="U2758">
        <v>-0.4676208</v>
      </c>
      <c r="V2758">
        <v>-2.2690060000000001E-2</v>
      </c>
      <c r="W2758">
        <v>3.6102849999999999E-2</v>
      </c>
      <c r="X2758">
        <v>0.99909040000000005</v>
      </c>
      <c r="Y2758">
        <v>-0.13790949999999999</v>
      </c>
      <c r="Z2758">
        <v>-3.420363E-3</v>
      </c>
      <c r="AA2758">
        <v>0.99043890000000001</v>
      </c>
      <c r="AB2758">
        <v>26</v>
      </c>
      <c r="AC2758">
        <v>-16.683399999999999</v>
      </c>
      <c r="AD2758">
        <v>-1.11173912865</v>
      </c>
      <c r="AE2758">
        <v>-2.6417999999999799</v>
      </c>
      <c r="AF2758">
        <v>-2.3563637953674399</v>
      </c>
      <c r="AG2758">
        <v>-1.11173912865</v>
      </c>
      <c r="AH2758">
        <v>16.652523374249601</v>
      </c>
      <c r="AI2758">
        <v>93.781892440383999</v>
      </c>
      <c r="AJ2758">
        <v>98.053991587002599</v>
      </c>
      <c r="AK2758">
        <v>16.855116402926999</v>
      </c>
      <c r="AL2758">
        <v>87.931009319201095</v>
      </c>
      <c r="AM2758">
        <v>91.301004626934699</v>
      </c>
      <c r="AN2758">
        <v>0.99999994098654099</v>
      </c>
    </row>
    <row r="2759" spans="1:40" x14ac:dyDescent="0.25">
      <c r="A2759" t="str">
        <f>"20190312160347872"</f>
        <v>20190312160347872</v>
      </c>
      <c r="B2759" t="str">
        <f>"1552377827867203"</f>
        <v>1552377827867203</v>
      </c>
      <c r="C2759" t="s">
        <v>40</v>
      </c>
      <c r="D2759">
        <v>5.4499180000000003</v>
      </c>
      <c r="E2759">
        <v>0.45706419999999998</v>
      </c>
      <c r="F2759" t="s">
        <v>59</v>
      </c>
      <c r="G2759">
        <v>-484.88200000000001</v>
      </c>
      <c r="H2759" s="1">
        <v>2.90547E-6</v>
      </c>
      <c r="I2759">
        <v>282.71449999999999</v>
      </c>
      <c r="J2759">
        <v>-468.23750000000001</v>
      </c>
      <c r="K2759">
        <v>1.11185</v>
      </c>
      <c r="L2759">
        <v>285.40230000000003</v>
      </c>
      <c r="M2759">
        <v>-0.99974200000000002</v>
      </c>
      <c r="N2759">
        <v>0</v>
      </c>
      <c r="O2759">
        <v>-1.9043330000000001E-2</v>
      </c>
      <c r="P2759">
        <v>-0.99882219999999999</v>
      </c>
      <c r="Q2759">
        <v>2.311009E-2</v>
      </c>
      <c r="R2759">
        <v>-4.2660179999999999E-2</v>
      </c>
      <c r="S2759">
        <v>-2.989258</v>
      </c>
      <c r="T2759">
        <v>-0.19662189999999999</v>
      </c>
      <c r="U2759">
        <v>-0.47659299999999999</v>
      </c>
      <c r="V2759">
        <v>-2.3781150000000001E-2</v>
      </c>
      <c r="W2759">
        <v>3.5378529999999998E-2</v>
      </c>
      <c r="X2759">
        <v>0.99909099999999995</v>
      </c>
      <c r="Y2759">
        <v>-0.1383596</v>
      </c>
      <c r="Z2759">
        <v>-3.2740479999999999E-3</v>
      </c>
      <c r="AA2759">
        <v>0.9903767</v>
      </c>
      <c r="AB2759">
        <v>26</v>
      </c>
      <c r="AC2759">
        <v>-16.644499999999901</v>
      </c>
      <c r="AD2759">
        <v>-1.1118470945299901</v>
      </c>
      <c r="AE2759">
        <v>-2.6878000000000299</v>
      </c>
      <c r="AF2759">
        <v>-2.36005810996466</v>
      </c>
      <c r="AG2759">
        <v>-1.1118470945299901</v>
      </c>
      <c r="AH2759">
        <v>16.620391146468901</v>
      </c>
      <c r="AI2759">
        <v>93.789289276838602</v>
      </c>
      <c r="AJ2759">
        <v>98.081841642236697</v>
      </c>
      <c r="AK2759">
        <v>16.823896103627298</v>
      </c>
      <c r="AL2759">
        <v>87.972536462894695</v>
      </c>
      <c r="AM2759">
        <v>91.363541744198301</v>
      </c>
      <c r="AN2759">
        <v>1.0000000048806399</v>
      </c>
    </row>
    <row r="2760" spans="1:40" x14ac:dyDescent="0.25">
      <c r="A2760" t="str">
        <f>"20190312160347894"</f>
        <v>20190312160347894</v>
      </c>
      <c r="B2760" t="str">
        <f>"1552377827887695"</f>
        <v>1552377827887695</v>
      </c>
      <c r="C2760" t="s">
        <v>40</v>
      </c>
      <c r="D2760">
        <v>5.5601789999999998</v>
      </c>
      <c r="E2760">
        <v>0.45725650000000001</v>
      </c>
      <c r="F2760" t="s">
        <v>59</v>
      </c>
      <c r="G2760">
        <v>-484.94110000000001</v>
      </c>
      <c r="H2760" s="1">
        <v>2.9148789999999999E-6</v>
      </c>
      <c r="I2760">
        <v>282.70209999999997</v>
      </c>
      <c r="J2760">
        <v>-468.4923</v>
      </c>
      <c r="K2760">
        <v>1.1119399999999999</v>
      </c>
      <c r="L2760">
        <v>285.39449999999999</v>
      </c>
      <c r="M2760">
        <v>-0.99968760000000001</v>
      </c>
      <c r="N2760">
        <v>0</v>
      </c>
      <c r="O2760">
        <v>-2.1710219999999999E-2</v>
      </c>
      <c r="P2760">
        <v>-0.99865769999999998</v>
      </c>
      <c r="Q2760">
        <v>2.3121369999999999E-2</v>
      </c>
      <c r="R2760">
        <v>-4.6348649999999998E-2</v>
      </c>
      <c r="S2760">
        <v>-2.987549</v>
      </c>
      <c r="T2760">
        <v>-0.19886110000000001</v>
      </c>
      <c r="U2760">
        <v>-0.4829407</v>
      </c>
      <c r="V2760">
        <v>-2.4813979999999999E-2</v>
      </c>
      <c r="W2760">
        <v>3.5383770000000002E-2</v>
      </c>
      <c r="X2760">
        <v>0.99906569999999995</v>
      </c>
      <c r="Y2760">
        <v>-0.13785810000000001</v>
      </c>
      <c r="Z2760">
        <v>-3.1199840000000001E-3</v>
      </c>
      <c r="AA2760">
        <v>0.99044710000000002</v>
      </c>
      <c r="AB2760">
        <v>26</v>
      </c>
      <c r="AC2760">
        <v>-16.448799999999999</v>
      </c>
      <c r="AD2760">
        <v>-1.111937085121</v>
      </c>
      <c r="AE2760">
        <v>-2.6924000000000201</v>
      </c>
      <c r="AF2760">
        <v>-2.3242866131173501</v>
      </c>
      <c r="AG2760">
        <v>-1.111937085121</v>
      </c>
      <c r="AH2760">
        <v>16.430256639268901</v>
      </c>
      <c r="AI2760">
        <v>93.833602637492604</v>
      </c>
      <c r="AJ2760">
        <v>98.051851379486095</v>
      </c>
      <c r="AK2760">
        <v>16.631056658355199</v>
      </c>
      <c r="AL2760">
        <v>87.972236052968796</v>
      </c>
      <c r="AM2760">
        <v>91.422773382613599</v>
      </c>
      <c r="AN2760">
        <v>1.0000000088496701</v>
      </c>
    </row>
    <row r="2761" spans="1:40" x14ac:dyDescent="0.25">
      <c r="A2761" t="str">
        <f>"20190312160347916"</f>
        <v>20190312160347916</v>
      </c>
      <c r="B2761" t="str">
        <f>"1552377827907216"</f>
        <v>1552377827907216</v>
      </c>
      <c r="C2761" t="s">
        <v>40</v>
      </c>
      <c r="D2761">
        <v>5.4896219999999998</v>
      </c>
      <c r="E2761">
        <v>0.45760129999999999</v>
      </c>
      <c r="F2761" t="s">
        <v>59</v>
      </c>
      <c r="G2761">
        <v>-484.95960000000002</v>
      </c>
      <c r="H2761" s="1">
        <v>2.916187E-6</v>
      </c>
      <c r="I2761">
        <v>282.67970000000003</v>
      </c>
      <c r="J2761">
        <v>-468.74759999999998</v>
      </c>
      <c r="K2761">
        <v>1.112012</v>
      </c>
      <c r="L2761">
        <v>285.38589999999999</v>
      </c>
      <c r="M2761">
        <v>-0.99962340000000005</v>
      </c>
      <c r="N2761">
        <v>0</v>
      </c>
      <c r="O2761">
        <v>-2.4488449999999998E-2</v>
      </c>
      <c r="P2761">
        <v>-0.99851500000000004</v>
      </c>
      <c r="Q2761">
        <v>2.3068189999999999E-2</v>
      </c>
      <c r="R2761">
        <v>-4.9353809999999998E-2</v>
      </c>
      <c r="S2761">
        <v>-2.98584</v>
      </c>
      <c r="T2761">
        <v>-0.20161560000000001</v>
      </c>
      <c r="U2761">
        <v>-0.49224849999999998</v>
      </c>
      <c r="V2761">
        <v>-2.5050320000000001E-2</v>
      </c>
      <c r="W2761">
        <v>3.5328489999999997E-2</v>
      </c>
      <c r="X2761">
        <v>0.9990618</v>
      </c>
      <c r="Y2761">
        <v>-0.1382005</v>
      </c>
      <c r="Z2761">
        <v>-2.9896520000000002E-3</v>
      </c>
      <c r="AA2761">
        <v>0.99039980000000005</v>
      </c>
      <c r="AB2761">
        <v>26</v>
      </c>
      <c r="AC2761">
        <v>-16.212</v>
      </c>
      <c r="AD2761">
        <v>-1.1120090838129999</v>
      </c>
      <c r="AE2761">
        <v>-2.70619999999996</v>
      </c>
      <c r="AF2761">
        <v>-2.2978332883363399</v>
      </c>
      <c r="AG2761">
        <v>-1.1120090838129999</v>
      </c>
      <c r="AH2761">
        <v>16.199264597014601</v>
      </c>
      <c r="AI2761">
        <v>93.888145247386305</v>
      </c>
      <c r="AJ2761">
        <v>98.073431145119102</v>
      </c>
      <c r="AK2761">
        <v>16.399169963981699</v>
      </c>
      <c r="AL2761">
        <v>87.975405429464899</v>
      </c>
      <c r="AM2761">
        <v>91.436324499279607</v>
      </c>
      <c r="AN2761">
        <v>1.00000005047851</v>
      </c>
    </row>
    <row r="2762" spans="1:40" x14ac:dyDescent="0.25">
      <c r="A2762" t="str">
        <f>"20190312160347938"</f>
        <v>20190312160347938</v>
      </c>
      <c r="B2762" t="str">
        <f>"1552377827927711"</f>
        <v>1552377827927711</v>
      </c>
      <c r="C2762" t="s">
        <v>40</v>
      </c>
      <c r="D2762">
        <v>5.7826769999999996</v>
      </c>
      <c r="E2762">
        <v>0.45776679999999997</v>
      </c>
      <c r="F2762" t="s">
        <v>59</v>
      </c>
      <c r="G2762">
        <v>-485.16160000000002</v>
      </c>
      <c r="H2762" s="1">
        <v>2.9489619999999999E-6</v>
      </c>
      <c r="I2762">
        <v>282.6447</v>
      </c>
      <c r="J2762">
        <v>-469.00060000000002</v>
      </c>
      <c r="K2762">
        <v>1.1120699999999999</v>
      </c>
      <c r="L2762">
        <v>285.3766</v>
      </c>
      <c r="M2762">
        <v>-0.99954969999999999</v>
      </c>
      <c r="N2762">
        <v>0</v>
      </c>
      <c r="O2762">
        <v>-2.733211E-2</v>
      </c>
      <c r="P2762">
        <v>-0.99834540000000005</v>
      </c>
      <c r="Q2762">
        <v>2.2609170000000001E-2</v>
      </c>
      <c r="R2762">
        <v>-5.2872570000000001E-2</v>
      </c>
      <c r="S2762">
        <v>-2.9845280000000001</v>
      </c>
      <c r="T2762">
        <v>-0.2021947</v>
      </c>
      <c r="U2762">
        <v>-0.4984131</v>
      </c>
      <c r="V2762">
        <v>-2.5731960000000002E-2</v>
      </c>
      <c r="W2762">
        <v>3.4866250000000001E-2</v>
      </c>
      <c r="X2762">
        <v>0.99906070000000002</v>
      </c>
      <c r="Y2762">
        <v>-0.13745019999999999</v>
      </c>
      <c r="Z2762">
        <v>-2.7829410000000001E-3</v>
      </c>
      <c r="AA2762">
        <v>0.99050470000000002</v>
      </c>
      <c r="AB2762">
        <v>26</v>
      </c>
      <c r="AC2762">
        <v>-16.160999999999898</v>
      </c>
      <c r="AD2762">
        <v>-1.112067051038</v>
      </c>
      <c r="AE2762">
        <v>-2.7318999999999898</v>
      </c>
      <c r="AF2762">
        <v>-2.2786413708839701</v>
      </c>
      <c r="AG2762">
        <v>-1.112067051038</v>
      </c>
      <c r="AH2762">
        <v>16.155264808233099</v>
      </c>
      <c r="AI2762">
        <v>93.899336935291302</v>
      </c>
      <c r="AJ2762">
        <v>98.028401728035405</v>
      </c>
      <c r="AK2762">
        <v>16.353026650967202</v>
      </c>
      <c r="AL2762">
        <v>88.001906127147393</v>
      </c>
      <c r="AM2762">
        <v>91.475392658640402</v>
      </c>
      <c r="AN2762">
        <v>1.00000003571949</v>
      </c>
    </row>
    <row r="2763" spans="1:40" x14ac:dyDescent="0.25">
      <c r="A2763" t="str">
        <f>"20190312160347954"</f>
        <v>20190312160347954</v>
      </c>
      <c r="B2763" t="str">
        <f>"1552377827947232"</f>
        <v>1552377827947232</v>
      </c>
      <c r="C2763" t="s">
        <v>40</v>
      </c>
      <c r="D2763">
        <v>5.6701050000000004</v>
      </c>
      <c r="E2763">
        <v>0.45795000000000002</v>
      </c>
      <c r="F2763" t="s">
        <v>59</v>
      </c>
      <c r="G2763">
        <v>-485.4332</v>
      </c>
      <c r="H2763" s="1">
        <v>2.9915359999999998E-6</v>
      </c>
      <c r="I2763">
        <v>282.5806</v>
      </c>
      <c r="J2763">
        <v>-469.18419999999998</v>
      </c>
      <c r="K2763">
        <v>1.1121080000000001</v>
      </c>
      <c r="L2763">
        <v>285.36939999999998</v>
      </c>
      <c r="M2763">
        <v>-0.99948970000000004</v>
      </c>
      <c r="N2763">
        <v>0</v>
      </c>
      <c r="O2763">
        <v>-2.9443270000000001E-2</v>
      </c>
      <c r="P2763">
        <v>-0.99821289999999996</v>
      </c>
      <c r="Q2763">
        <v>2.2350040000000002E-2</v>
      </c>
      <c r="R2763">
        <v>-5.5423409999999999E-2</v>
      </c>
      <c r="S2763">
        <v>-2.9826969999999999</v>
      </c>
      <c r="T2763">
        <v>-0.2018527</v>
      </c>
      <c r="U2763">
        <v>-0.50750729999999999</v>
      </c>
      <c r="V2763">
        <v>-2.6176669999999999E-2</v>
      </c>
      <c r="W2763">
        <v>3.4604620000000003E-2</v>
      </c>
      <c r="X2763">
        <v>0.99905820000000001</v>
      </c>
      <c r="Y2763">
        <v>-0.13839670000000001</v>
      </c>
      <c r="Z2763">
        <v>-2.6695149999999999E-3</v>
      </c>
      <c r="AA2763">
        <v>0.99037330000000001</v>
      </c>
      <c r="AB2763">
        <v>26</v>
      </c>
      <c r="AC2763">
        <v>-16.248999999999999</v>
      </c>
      <c r="AD2763">
        <v>-1.1121050084639901</v>
      </c>
      <c r="AE2763">
        <v>-2.7887999999999802</v>
      </c>
      <c r="AF2763">
        <v>-2.2986709286988001</v>
      </c>
      <c r="AG2763">
        <v>-1.1121050084639901</v>
      </c>
      <c r="AH2763">
        <v>16.250130590350501</v>
      </c>
      <c r="AI2763">
        <v>93.876555727043097</v>
      </c>
      <c r="AJ2763">
        <v>98.051386909508096</v>
      </c>
      <c r="AK2763">
        <v>16.4495413246613</v>
      </c>
      <c r="AL2763">
        <v>88.016905386937196</v>
      </c>
      <c r="AM2763">
        <v>91.500883173362396</v>
      </c>
      <c r="AN2763">
        <v>0.99999999238243598</v>
      </c>
    </row>
    <row r="2764" spans="1:40" x14ac:dyDescent="0.25">
      <c r="A2764" t="str">
        <f>"20190312160347968"</f>
        <v>20190312160347968</v>
      </c>
      <c r="B2764" t="str">
        <f>"1552377827956992"</f>
        <v>1552377827956992</v>
      </c>
      <c r="C2764" t="s">
        <v>40</v>
      </c>
      <c r="D2764">
        <v>5.6646789999999996</v>
      </c>
      <c r="E2764">
        <v>0.45818439999999999</v>
      </c>
      <c r="F2764" t="s">
        <v>59</v>
      </c>
      <c r="G2764">
        <v>-485.69099999999997</v>
      </c>
      <c r="H2764" s="1">
        <v>3.0325659999999999E-6</v>
      </c>
      <c r="I2764">
        <v>282.52679999999998</v>
      </c>
      <c r="J2764">
        <v>-469.34120000000001</v>
      </c>
      <c r="K2764">
        <v>1.1121399999999999</v>
      </c>
      <c r="L2764">
        <v>285.36279999999999</v>
      </c>
      <c r="M2764">
        <v>-0.99943419999999905</v>
      </c>
      <c r="N2764">
        <v>0</v>
      </c>
      <c r="O2764">
        <v>-3.1271149999999998E-2</v>
      </c>
      <c r="P2764">
        <v>-0.99809650000000005</v>
      </c>
      <c r="Q2764">
        <v>2.206348E-2</v>
      </c>
      <c r="R2764">
        <v>-5.7590450000000001E-2</v>
      </c>
      <c r="S2764">
        <v>-2.9813230000000002</v>
      </c>
      <c r="T2764">
        <v>-0.20086000000000001</v>
      </c>
      <c r="U2764">
        <v>-0.5133972</v>
      </c>
      <c r="V2764">
        <v>-2.6519930000000001E-2</v>
      </c>
      <c r="W2764">
        <v>3.4316300000000001E-2</v>
      </c>
      <c r="X2764">
        <v>0.99905909999999998</v>
      </c>
      <c r="Y2764">
        <v>-0.13856769999999999</v>
      </c>
      <c r="Z2764">
        <v>-2.540984E-3</v>
      </c>
      <c r="AA2764">
        <v>0.9903497</v>
      </c>
      <c r="AB2764">
        <v>26</v>
      </c>
      <c r="AC2764">
        <v>-16.349799999999899</v>
      </c>
      <c r="AD2764">
        <v>-1.11213696743399</v>
      </c>
      <c r="AE2764">
        <v>-2.8360000000000101</v>
      </c>
      <c r="AF2764">
        <v>-2.3129074924901101</v>
      </c>
      <c r="AG2764">
        <v>-1.11213696743399</v>
      </c>
      <c r="AH2764">
        <v>16.357022508999599</v>
      </c>
      <c r="AI2764">
        <v>93.851438326233506</v>
      </c>
      <c r="AJ2764">
        <v>98.048351512629495</v>
      </c>
      <c r="AK2764">
        <v>16.557130640997801</v>
      </c>
      <c r="AL2764">
        <v>88.033434739076696</v>
      </c>
      <c r="AM2764">
        <v>91.520554010616095</v>
      </c>
      <c r="AN2764">
        <v>1.00000000021285</v>
      </c>
    </row>
    <row r="2765" spans="1:40" x14ac:dyDescent="0.25">
      <c r="A2765" t="str">
        <f>"20190312160347984"</f>
        <v>20190312160347984</v>
      </c>
      <c r="B2765" t="str">
        <f>"1552377827977487"</f>
        <v>1552377827977487</v>
      </c>
      <c r="C2765" t="s">
        <v>40</v>
      </c>
      <c r="D2765">
        <v>5.8704499999999999</v>
      </c>
      <c r="E2765">
        <v>0.45856970000000002</v>
      </c>
      <c r="F2765" t="s">
        <v>59</v>
      </c>
      <c r="G2765">
        <v>-485.67829999999998</v>
      </c>
      <c r="H2765" s="1">
        <v>3.0301E-6</v>
      </c>
      <c r="I2765">
        <v>282.52429999999998</v>
      </c>
      <c r="J2765">
        <v>-469.53089999999997</v>
      </c>
      <c r="K2765">
        <v>1.1121730000000001</v>
      </c>
      <c r="L2765">
        <v>285.35449999999997</v>
      </c>
      <c r="M2765">
        <v>-0.99936130000000001</v>
      </c>
      <c r="N2765">
        <v>0</v>
      </c>
      <c r="O2765">
        <v>-3.3518109999999997E-2</v>
      </c>
      <c r="P2765">
        <v>-0.9979306</v>
      </c>
      <c r="Q2765">
        <v>2.1373860000000001E-2</v>
      </c>
      <c r="R2765">
        <v>-6.0645360000000002E-2</v>
      </c>
      <c r="S2765">
        <v>-2.980286</v>
      </c>
      <c r="T2765">
        <v>-0.20288</v>
      </c>
      <c r="U2765">
        <v>-0.51782229999999996</v>
      </c>
      <c r="V2765">
        <v>-2.7331379999999999E-2</v>
      </c>
      <c r="W2765">
        <v>3.3622909999999999E-2</v>
      </c>
      <c r="X2765">
        <v>0.99906079999999997</v>
      </c>
      <c r="Y2765">
        <v>-0.13782839999999999</v>
      </c>
      <c r="Z2765">
        <v>-2.390709E-3</v>
      </c>
      <c r="AA2765">
        <v>0.99045320000000003</v>
      </c>
      <c r="AB2765">
        <v>26</v>
      </c>
      <c r="AC2765">
        <v>-16.147400000000001</v>
      </c>
      <c r="AD2765">
        <v>-1.1121699698999901</v>
      </c>
      <c r="AE2765">
        <v>-2.8301999999999898</v>
      </c>
      <c r="AF2765">
        <v>-2.2768583161762299</v>
      </c>
      <c r="AG2765">
        <v>-1.1121699698999901</v>
      </c>
      <c r="AH2765">
        <v>16.158824388263898</v>
      </c>
      <c r="AI2765">
        <v>93.898916271417605</v>
      </c>
      <c r="AJ2765">
        <v>98.020457066408696</v>
      </c>
      <c r="AK2765">
        <v>16.356301887793599</v>
      </c>
      <c r="AL2765">
        <v>88.073185988797704</v>
      </c>
      <c r="AM2765">
        <v>91.567054011781707</v>
      </c>
      <c r="AN2765">
        <v>0.99999999325310596</v>
      </c>
    </row>
    <row r="2766" spans="1:40" x14ac:dyDescent="0.25">
      <c r="A2766" t="str">
        <f>"20190312160348006"</f>
        <v>20190312160348006</v>
      </c>
      <c r="B2766" t="str">
        <f>"1552377827997007"</f>
        <v>1552377827997007</v>
      </c>
      <c r="C2766" t="s">
        <v>40</v>
      </c>
      <c r="D2766">
        <v>5.6579069999999998</v>
      </c>
      <c r="E2766">
        <v>0.45857609999999899</v>
      </c>
      <c r="F2766" t="s">
        <v>59</v>
      </c>
      <c r="G2766">
        <v>-485.60930000000002</v>
      </c>
      <c r="H2766" s="1">
        <v>3.0182199999999999E-6</v>
      </c>
      <c r="I2766">
        <v>282.52850000000001</v>
      </c>
      <c r="J2766">
        <v>-469.77359999999999</v>
      </c>
      <c r="K2766">
        <v>1.1122069999999999</v>
      </c>
      <c r="L2766">
        <v>285.34309999999999</v>
      </c>
      <c r="M2766">
        <v>-0.99925929999999996</v>
      </c>
      <c r="N2766">
        <v>0</v>
      </c>
      <c r="O2766">
        <v>-3.6430339999999999E-2</v>
      </c>
      <c r="P2766">
        <v>-0.99772660000000002</v>
      </c>
      <c r="Q2766">
        <v>2.0608290000000001E-2</v>
      </c>
      <c r="R2766">
        <v>-6.4165639999999996E-2</v>
      </c>
      <c r="S2766">
        <v>-2.97879</v>
      </c>
      <c r="T2766">
        <v>-0.2060477</v>
      </c>
      <c r="U2766">
        <v>-0.52355959999999901</v>
      </c>
      <c r="V2766">
        <v>-2.794282E-2</v>
      </c>
      <c r="W2766">
        <v>3.2854189999999998E-2</v>
      </c>
      <c r="X2766">
        <v>0.99906950000000005</v>
      </c>
      <c r="Y2766">
        <v>-0.13687839999999901</v>
      </c>
      <c r="Z2766">
        <v>-2.1969030000000001E-3</v>
      </c>
      <c r="AA2766">
        <v>0.99058539999999995</v>
      </c>
      <c r="AB2766">
        <v>26</v>
      </c>
      <c r="AC2766">
        <v>-15.835699999999999</v>
      </c>
      <c r="AD2766">
        <v>-1.11220398177999</v>
      </c>
      <c r="AE2766">
        <v>-2.81459999999998</v>
      </c>
      <c r="AF2766">
        <v>-2.2251469982064198</v>
      </c>
      <c r="AG2766">
        <v>-1.11220398177999</v>
      </c>
      <c r="AH2766">
        <v>15.8519312915765</v>
      </c>
      <c r="AI2766">
        <v>93.974572658233498</v>
      </c>
      <c r="AJ2766">
        <v>97.990441672309402</v>
      </c>
      <c r="AK2766">
        <v>16.045934143376499</v>
      </c>
      <c r="AL2766">
        <v>88.117254825900005</v>
      </c>
      <c r="AM2766">
        <v>91.602079118561505</v>
      </c>
      <c r="AN2766">
        <v>1.0000000324101701</v>
      </c>
    </row>
    <row r="2767" spans="1:40" x14ac:dyDescent="0.25">
      <c r="A2767" t="str">
        <f>"20190312160348029"</f>
        <v>20190312160348029</v>
      </c>
      <c r="B2767" t="str">
        <f>"1552377828017503"</f>
        <v>1552377828017503</v>
      </c>
      <c r="C2767" t="s">
        <v>40</v>
      </c>
      <c r="D2767">
        <v>5.0415260000000002</v>
      </c>
      <c r="E2767">
        <v>0.42060160000000002</v>
      </c>
      <c r="F2767" t="s">
        <v>59</v>
      </c>
      <c r="G2767">
        <v>-485.53820000000002</v>
      </c>
      <c r="H2767" s="1">
        <v>3.0044290000000001E-6</v>
      </c>
      <c r="I2767">
        <v>282.51499999999999</v>
      </c>
      <c r="J2767">
        <v>-470.0256</v>
      </c>
      <c r="K2767">
        <v>1.1122379999999901</v>
      </c>
      <c r="L2767">
        <v>285.33049999999997</v>
      </c>
      <c r="M2767">
        <v>-0.99914259999999999</v>
      </c>
      <c r="N2767">
        <v>0</v>
      </c>
      <c r="O2767">
        <v>-3.9499550000000001E-2</v>
      </c>
      <c r="P2767">
        <v>-0.99751679999999998</v>
      </c>
      <c r="Q2767">
        <v>2.0508430000000001E-2</v>
      </c>
      <c r="R2767">
        <v>-6.7378809999999997E-2</v>
      </c>
      <c r="S2767">
        <v>-2.976807</v>
      </c>
      <c r="T2767">
        <v>-0.21001619999999999</v>
      </c>
      <c r="U2767">
        <v>-0.53402709999999998</v>
      </c>
      <c r="V2767">
        <v>-2.809393E-2</v>
      </c>
      <c r="W2767">
        <v>3.2754110000000003E-2</v>
      </c>
      <c r="X2767">
        <v>0.99906850000000003</v>
      </c>
      <c r="Y2767">
        <v>-0.13732220000000001</v>
      </c>
      <c r="Z2767">
        <v>-2.0413530000000001E-3</v>
      </c>
      <c r="AA2767">
        <v>0.99052439999999997</v>
      </c>
      <c r="AB2767">
        <v>26</v>
      </c>
      <c r="AC2767">
        <v>-15.512600000000001</v>
      </c>
      <c r="AD2767">
        <v>-1.11223499557099</v>
      </c>
      <c r="AE2767">
        <v>-2.8154999999999801</v>
      </c>
      <c r="AF2767">
        <v>-2.1896173138450701</v>
      </c>
      <c r="AG2767">
        <v>-1.11223499557099</v>
      </c>
      <c r="AH2767">
        <v>15.5344002032141</v>
      </c>
      <c r="AI2767">
        <v>94.055334757057096</v>
      </c>
      <c r="AJ2767">
        <v>98.023145764250501</v>
      </c>
      <c r="AK2767">
        <v>15.727335449467599</v>
      </c>
      <c r="AL2767">
        <v>88.122991984521803</v>
      </c>
      <c r="AM2767">
        <v>91.610739948509206</v>
      </c>
      <c r="AN2767">
        <v>0.999999984158493</v>
      </c>
    </row>
    <row r="2768" spans="1:40" x14ac:dyDescent="0.25">
      <c r="A2768" t="str">
        <f>"20190312160348050"</f>
        <v>20190312160348050</v>
      </c>
      <c r="B2768" t="str">
        <f>"1552377828037023"</f>
        <v>1552377828037023</v>
      </c>
      <c r="C2768" t="s">
        <v>40</v>
      </c>
      <c r="D2768">
        <v>5.5400720000000003</v>
      </c>
      <c r="E2768">
        <v>0.41995710000000003</v>
      </c>
      <c r="F2768" t="s">
        <v>59</v>
      </c>
      <c r="G2768">
        <v>-488.19779999999997</v>
      </c>
      <c r="H2768" s="1">
        <v>3.268151E-6</v>
      </c>
      <c r="I2768">
        <v>280.1352</v>
      </c>
      <c r="J2768">
        <v>-470.27480000000003</v>
      </c>
      <c r="K2768">
        <v>1.1122719999999999</v>
      </c>
      <c r="L2768">
        <v>285.31720000000001</v>
      </c>
      <c r="M2768">
        <v>-0.99901640000000003</v>
      </c>
      <c r="N2768">
        <v>0</v>
      </c>
      <c r="O2768">
        <v>-4.2573600000000003E-2</v>
      </c>
      <c r="P2768">
        <v>-0.99726910000000002</v>
      </c>
      <c r="Q2768">
        <v>2.0634550000000002E-2</v>
      </c>
      <c r="R2768">
        <v>-7.0914430000000001E-2</v>
      </c>
      <c r="S2768">
        <v>-2.954132</v>
      </c>
      <c r="T2768">
        <v>-0.18080869999999999</v>
      </c>
      <c r="U2768">
        <v>-0.84457399999999905</v>
      </c>
      <c r="V2768">
        <v>-2.856496E-2</v>
      </c>
      <c r="W2768">
        <v>3.2878499999999998E-2</v>
      </c>
      <c r="X2768">
        <v>0.99905109999999997</v>
      </c>
      <c r="Y2768">
        <v>-0.2333674</v>
      </c>
      <c r="Z2768">
        <v>-4.4471099999999998E-3</v>
      </c>
      <c r="AA2768">
        <v>0.97237850000000003</v>
      </c>
      <c r="AB2768">
        <v>26</v>
      </c>
      <c r="AC2768">
        <v>-17.922999999999899</v>
      </c>
      <c r="AD2768">
        <v>-1.1122687318490001</v>
      </c>
      <c r="AE2768">
        <v>-5.1820000000000102</v>
      </c>
      <c r="AF2768">
        <v>-4.3985626411277696</v>
      </c>
      <c r="AG2768">
        <v>-1.1122687318490001</v>
      </c>
      <c r="AH2768">
        <v>18.063182023973798</v>
      </c>
      <c r="AI2768">
        <v>93.423827292580597</v>
      </c>
      <c r="AJ2768">
        <v>103.68572806149599</v>
      </c>
      <c r="AK2768">
        <v>18.624259444901</v>
      </c>
      <c r="AL2768">
        <v>88.115861201620802</v>
      </c>
      <c r="AM2768">
        <v>91.637759947248398</v>
      </c>
      <c r="AN2768">
        <v>1.00000002655663</v>
      </c>
    </row>
    <row r="2769" spans="1:40" x14ac:dyDescent="0.25">
      <c r="A2769" t="str">
        <f>"20190312160348066"</f>
        <v>20190312160348066</v>
      </c>
      <c r="B2769" t="str">
        <f>"1552377828057520"</f>
        <v>1552377828057520</v>
      </c>
      <c r="C2769" t="s">
        <v>40</v>
      </c>
      <c r="D2769">
        <v>5.498272</v>
      </c>
      <c r="E2769">
        <v>0.4192979</v>
      </c>
      <c r="F2769" t="s">
        <v>59</v>
      </c>
      <c r="G2769">
        <v>-486.8922</v>
      </c>
      <c r="H2769" s="1">
        <v>3.0658259999999998E-6</v>
      </c>
      <c r="I2769">
        <v>280.47000000000003</v>
      </c>
      <c r="J2769">
        <v>-470.46100000000001</v>
      </c>
      <c r="K2769">
        <v>1.1122860000000001</v>
      </c>
      <c r="L2769">
        <v>285.30680000000001</v>
      </c>
      <c r="M2769">
        <v>-0.99891509999999994</v>
      </c>
      <c r="N2769">
        <v>0</v>
      </c>
      <c r="O2769">
        <v>-4.488806E-2</v>
      </c>
      <c r="P2769">
        <v>-0.9970888</v>
      </c>
      <c r="Q2769">
        <v>2.0604170000000002E-2</v>
      </c>
      <c r="R2769">
        <v>-7.3415980000000006E-2</v>
      </c>
      <c r="S2769">
        <v>-2.9510800000000001</v>
      </c>
      <c r="T2769">
        <v>-0.19752819999999999</v>
      </c>
      <c r="U2769">
        <v>-0.8608093</v>
      </c>
      <c r="V2769">
        <v>-2.875697E-2</v>
      </c>
      <c r="W2769">
        <v>3.2848000000000002E-2</v>
      </c>
      <c r="X2769">
        <v>0.99904660000000001</v>
      </c>
      <c r="Y2769">
        <v>-0.23625199999999999</v>
      </c>
      <c r="Z2769">
        <v>-4.8022259999999997E-3</v>
      </c>
      <c r="AA2769">
        <v>0.97167990000000004</v>
      </c>
      <c r="AB2769">
        <v>26</v>
      </c>
      <c r="AC2769">
        <v>-16.431199999999901</v>
      </c>
      <c r="AD2769">
        <v>-1.1122829341739999</v>
      </c>
      <c r="AE2769">
        <v>-4.8367999999999798</v>
      </c>
      <c r="AF2769">
        <v>-4.0771094028498203</v>
      </c>
      <c r="AG2769">
        <v>-1.1122829341739999</v>
      </c>
      <c r="AH2769">
        <v>16.5619251239644</v>
      </c>
      <c r="AI2769">
        <v>93.731096489145699</v>
      </c>
      <c r="AJ2769">
        <v>103.829720311302</v>
      </c>
      <c r="AK2769">
        <v>17.092611217138899</v>
      </c>
      <c r="AL2769">
        <v>88.117609676954601</v>
      </c>
      <c r="AM2769">
        <v>91.648770125959103</v>
      </c>
      <c r="AN2769">
        <v>1.0000000316995601</v>
      </c>
    </row>
    <row r="2770" spans="1:40" x14ac:dyDescent="0.25">
      <c r="A2770" t="str">
        <f>"20190312160348083"</f>
        <v>20190312160348083</v>
      </c>
      <c r="B2770" t="str">
        <f>"1552377828077039"</f>
        <v>1552377828077039</v>
      </c>
      <c r="C2770" t="s">
        <v>40</v>
      </c>
      <c r="D2770">
        <v>5.5118600000000004</v>
      </c>
      <c r="E2770">
        <v>0.41902</v>
      </c>
      <c r="F2770" t="s">
        <v>59</v>
      </c>
      <c r="G2770">
        <v>-486.63650000000001</v>
      </c>
      <c r="H2770" s="1">
        <v>3.0244560000000001E-6</v>
      </c>
      <c r="I2770">
        <v>280.51549999999997</v>
      </c>
      <c r="J2770">
        <v>-470.65780000000001</v>
      </c>
      <c r="K2770">
        <v>1.112293</v>
      </c>
      <c r="L2770">
        <v>285.29520000000002</v>
      </c>
      <c r="M2770">
        <v>-0.99880139999999995</v>
      </c>
      <c r="N2770">
        <v>0</v>
      </c>
      <c r="O2770">
        <v>-4.7349410000000001E-2</v>
      </c>
      <c r="P2770">
        <v>-0.99688049999999995</v>
      </c>
      <c r="Q2770">
        <v>2.076538E-2</v>
      </c>
      <c r="R2770">
        <v>-7.6144400000000001E-2</v>
      </c>
      <c r="S2770">
        <v>-2.948639</v>
      </c>
      <c r="T2770">
        <v>-0.20275789999999999</v>
      </c>
      <c r="U2770">
        <v>-0.87341309999999905</v>
      </c>
      <c r="V2770">
        <v>-2.9031689999999999E-2</v>
      </c>
      <c r="W2770">
        <v>3.3008129999999997E-2</v>
      </c>
      <c r="X2770">
        <v>0.99903330000000001</v>
      </c>
      <c r="Y2770">
        <v>-0.23787730000000001</v>
      </c>
      <c r="Z2770">
        <v>-4.8199760000000001E-3</v>
      </c>
      <c r="AA2770">
        <v>0.97128329999999996</v>
      </c>
      <c r="AB2770">
        <v>26</v>
      </c>
      <c r="AC2770">
        <v>-15.9787</v>
      </c>
      <c r="AD2770">
        <v>-1.1122899755440001</v>
      </c>
      <c r="AE2770">
        <v>-4.77970000000004</v>
      </c>
      <c r="AF2770">
        <v>-3.9999076505729998</v>
      </c>
      <c r="AG2770">
        <v>-1.1122899755440001</v>
      </c>
      <c r="AH2770">
        <v>16.1154322663889</v>
      </c>
      <c r="AI2770">
        <v>93.832382671507006</v>
      </c>
      <c r="AJ2770">
        <v>103.939328748912</v>
      </c>
      <c r="AK2770">
        <v>16.641622737442901</v>
      </c>
      <c r="AL2770">
        <v>88.108429781140302</v>
      </c>
      <c r="AM2770">
        <v>91.664534422557793</v>
      </c>
      <c r="AN2770">
        <v>0.99999995508962003</v>
      </c>
    </row>
    <row r="2771" spans="1:40" x14ac:dyDescent="0.25">
      <c r="A2771" t="str">
        <f>"20190312160348099"</f>
        <v>20190312160348099</v>
      </c>
      <c r="B2771" t="str">
        <f>"1552377828087775"</f>
        <v>1552377828087775</v>
      </c>
      <c r="C2771" t="s">
        <v>40</v>
      </c>
      <c r="D2771">
        <v>5.4972940000000001</v>
      </c>
      <c r="E2771">
        <v>0.41895900000000003</v>
      </c>
      <c r="F2771" t="s">
        <v>59</v>
      </c>
      <c r="G2771">
        <v>-486.72219999999999</v>
      </c>
      <c r="H2771" s="1">
        <v>3.0363870000000001E-6</v>
      </c>
      <c r="I2771">
        <v>280.47820000000002</v>
      </c>
      <c r="J2771">
        <v>-470.839</v>
      </c>
      <c r="K2771">
        <v>1.112301</v>
      </c>
      <c r="L2771">
        <v>285.2842</v>
      </c>
      <c r="M2771">
        <v>-0.99869059999999998</v>
      </c>
      <c r="N2771">
        <v>0</v>
      </c>
      <c r="O2771">
        <v>-4.9630489999999999E-2</v>
      </c>
      <c r="P2771">
        <v>-0.99668380000000001</v>
      </c>
      <c r="Q2771">
        <v>2.063162E-2</v>
      </c>
      <c r="R2771">
        <v>-7.8713259999999993E-2</v>
      </c>
      <c r="S2771">
        <v>-2.9461360000000001</v>
      </c>
      <c r="T2771">
        <v>-0.20398910000000001</v>
      </c>
      <c r="U2771">
        <v>-0.88342289999999901</v>
      </c>
      <c r="V2771">
        <v>-2.9324320000000001E-2</v>
      </c>
      <c r="W2771">
        <v>3.2874199999999999E-2</v>
      </c>
      <c r="X2771">
        <v>0.99902919999999995</v>
      </c>
      <c r="Y2771">
        <v>-0.23891190000000001</v>
      </c>
      <c r="Z2771">
        <v>-4.7321949999999998E-3</v>
      </c>
      <c r="AA2771">
        <v>0.9710297</v>
      </c>
      <c r="AB2771">
        <v>26</v>
      </c>
      <c r="AC2771">
        <v>-15.883199999999899</v>
      </c>
      <c r="AD2771">
        <v>-1.1122979636129999</v>
      </c>
      <c r="AE2771">
        <v>-4.8059999999999796</v>
      </c>
      <c r="AF2771">
        <v>-3.9937813633377202</v>
      </c>
      <c r="AG2771">
        <v>-1.1122979636129999</v>
      </c>
      <c r="AH2771">
        <v>16.030145086043198</v>
      </c>
      <c r="AI2771">
        <v>93.851894883343405</v>
      </c>
      <c r="AJ2771">
        <v>103.98996259589001</v>
      </c>
      <c r="AK2771">
        <v>16.5575676902616</v>
      </c>
      <c r="AL2771">
        <v>88.116107629555003</v>
      </c>
      <c r="AM2771">
        <v>91.681309702796099</v>
      </c>
      <c r="AN2771">
        <v>0.999999985610871</v>
      </c>
    </row>
    <row r="2772" spans="1:40" x14ac:dyDescent="0.25">
      <c r="A2772" t="str">
        <f>"20190312160348117"</f>
        <v>20190312160348117</v>
      </c>
      <c r="B2772" t="str">
        <f>"1552377828107296"</f>
        <v>1552377828107296</v>
      </c>
      <c r="C2772" t="s">
        <v>40</v>
      </c>
      <c r="D2772">
        <v>5.5243129999999896</v>
      </c>
      <c r="E2772">
        <v>0.41889729999999997</v>
      </c>
      <c r="F2772" t="s">
        <v>59</v>
      </c>
      <c r="G2772">
        <v>-486.81200000000001</v>
      </c>
      <c r="H2772" s="1">
        <v>3.0494910000000002E-6</v>
      </c>
      <c r="I2772">
        <v>280.44600000000003</v>
      </c>
      <c r="J2772">
        <v>-471.03559999999999</v>
      </c>
      <c r="K2772">
        <v>1.112314</v>
      </c>
      <c r="L2772">
        <v>285.27170000000001</v>
      </c>
      <c r="M2772">
        <v>-0.9985638</v>
      </c>
      <c r="N2772">
        <v>0</v>
      </c>
      <c r="O2772">
        <v>-5.2119850000000002E-2</v>
      </c>
      <c r="P2772">
        <v>-0.99647949999999996</v>
      </c>
      <c r="Q2772">
        <v>2.0622250000000002E-2</v>
      </c>
      <c r="R2772">
        <v>-8.1261639999999996E-2</v>
      </c>
      <c r="S2772">
        <v>-2.943848</v>
      </c>
      <c r="T2772">
        <v>-0.20499890000000001</v>
      </c>
      <c r="U2772">
        <v>-0.89169310000000002</v>
      </c>
      <c r="V2772">
        <v>-2.938959E-2</v>
      </c>
      <c r="W2772">
        <v>3.2865159999999997E-2</v>
      </c>
      <c r="X2772">
        <v>0.99902760000000002</v>
      </c>
      <c r="Y2772">
        <v>-0.23920050000000001</v>
      </c>
      <c r="Z2772">
        <v>-4.5985239999999997E-3</v>
      </c>
      <c r="AA2772">
        <v>0.97095929999999997</v>
      </c>
      <c r="AB2772">
        <v>26</v>
      </c>
      <c r="AC2772">
        <v>-15.776399999999899</v>
      </c>
      <c r="AD2772">
        <v>-1.1123109505089901</v>
      </c>
      <c r="AE2772">
        <v>-4.8257000000000403</v>
      </c>
      <c r="AF2772">
        <v>-3.9787274449359402</v>
      </c>
      <c r="AG2772">
        <v>-1.1123109505089901</v>
      </c>
      <c r="AH2772">
        <v>15.9340580010798</v>
      </c>
      <c r="AI2772">
        <v>93.874591672159795</v>
      </c>
      <c r="AJ2772">
        <v>104.020041549658</v>
      </c>
      <c r="AK2772">
        <v>16.460914680341499</v>
      </c>
      <c r="AL2772">
        <v>88.116625902139504</v>
      </c>
      <c r="AM2772">
        <v>91.685052499895093</v>
      </c>
      <c r="AN2772">
        <v>1.00000000615197</v>
      </c>
    </row>
    <row r="2773" spans="1:40" x14ac:dyDescent="0.25">
      <c r="A2773" t="str">
        <f>"20190312160348132"</f>
        <v>20190312160348132</v>
      </c>
      <c r="B2773" t="str">
        <f>"1552377828127792"</f>
        <v>1552377828127792</v>
      </c>
      <c r="C2773" t="s">
        <v>40</v>
      </c>
      <c r="D2773">
        <v>5.4999669999999998</v>
      </c>
      <c r="E2773">
        <v>0.41874299999999998</v>
      </c>
      <c r="F2773" t="s">
        <v>59</v>
      </c>
      <c r="G2773">
        <v>-486.92129999999997</v>
      </c>
      <c r="H2773" s="1">
        <v>3.0659350000000001E-6</v>
      </c>
      <c r="I2773">
        <v>280.41219999999998</v>
      </c>
      <c r="J2773">
        <v>-471.21199999999999</v>
      </c>
      <c r="K2773">
        <v>1.1123270000000001</v>
      </c>
      <c r="L2773">
        <v>285.26010000000002</v>
      </c>
      <c r="M2773">
        <v>-0.998444</v>
      </c>
      <c r="N2773">
        <v>0</v>
      </c>
      <c r="O2773">
        <v>-5.4368180000000002E-2</v>
      </c>
      <c r="P2773">
        <v>-0.99630030000000003</v>
      </c>
      <c r="Q2773">
        <v>2.0273449999999998E-2</v>
      </c>
      <c r="R2773">
        <v>-8.3516930000000003E-2</v>
      </c>
      <c r="S2773">
        <v>-2.9414980000000002</v>
      </c>
      <c r="T2773">
        <v>-0.20596210000000001</v>
      </c>
      <c r="U2773">
        <v>-0.89981080000000002</v>
      </c>
      <c r="V2773">
        <v>-2.9399450000000001E-2</v>
      </c>
      <c r="W2773">
        <v>3.251677E-2</v>
      </c>
      <c r="X2773">
        <v>0.99903869999999895</v>
      </c>
      <c r="Y2773">
        <v>-0.2396817</v>
      </c>
      <c r="Z2773">
        <v>-4.4853419999999998E-3</v>
      </c>
      <c r="AA2773">
        <v>0.97084119999999996</v>
      </c>
      <c r="AB2773">
        <v>26</v>
      </c>
      <c r="AC2773">
        <v>-15.709299999999899</v>
      </c>
      <c r="AD2773">
        <v>-1.112323934065</v>
      </c>
      <c r="AE2773">
        <v>-4.8479000000000303</v>
      </c>
      <c r="AF2773">
        <v>-3.9684109921692401</v>
      </c>
      <c r="AG2773">
        <v>-1.112323934065</v>
      </c>
      <c r="AH2773">
        <v>15.876974339436</v>
      </c>
      <c r="AI2773">
        <v>93.888298815005896</v>
      </c>
      <c r="AJ2773">
        <v>104.033415568872</v>
      </c>
      <c r="AK2773">
        <v>16.403166295327601</v>
      </c>
      <c r="AL2773">
        <v>88.136597834758803</v>
      </c>
      <c r="AM2773">
        <v>91.685598779476805</v>
      </c>
      <c r="AN2773">
        <v>0.99999999604461198</v>
      </c>
    </row>
    <row r="2774" spans="1:40" x14ac:dyDescent="0.25">
      <c r="A2774" t="str">
        <f>"20190312160348145"</f>
        <v>20190312160348145</v>
      </c>
      <c r="B2774" t="str">
        <f>"1552377828137552"</f>
        <v>1552377828137552</v>
      </c>
      <c r="C2774" t="s">
        <v>40</v>
      </c>
      <c r="D2774">
        <v>5.5336939999999997</v>
      </c>
      <c r="E2774">
        <v>0.4186474</v>
      </c>
      <c r="F2774" t="s">
        <v>59</v>
      </c>
      <c r="G2774">
        <v>-487.0496</v>
      </c>
      <c r="H2774" s="1">
        <v>3.0848760000000001E-6</v>
      </c>
      <c r="I2774">
        <v>280.36849999999998</v>
      </c>
      <c r="J2774">
        <v>-471.36649999999997</v>
      </c>
      <c r="K2774">
        <v>1.1123369999999999</v>
      </c>
      <c r="L2774">
        <v>285.24959999999999</v>
      </c>
      <c r="M2774">
        <v>-0.99833430000000001</v>
      </c>
      <c r="N2774">
        <v>0</v>
      </c>
      <c r="O2774">
        <v>-5.6346130000000001E-2</v>
      </c>
      <c r="P2774">
        <v>-0.99612920000000005</v>
      </c>
      <c r="Q2774">
        <v>2.0147140000000001E-2</v>
      </c>
      <c r="R2774">
        <v>-8.5563109999999998E-2</v>
      </c>
      <c r="S2774">
        <v>-2.9392399999999999</v>
      </c>
      <c r="T2774">
        <v>-0.20643230000000001</v>
      </c>
      <c r="U2774">
        <v>-0.90780640000000001</v>
      </c>
      <c r="V2774">
        <v>-2.9472459999999999E-2</v>
      </c>
      <c r="W2774">
        <v>3.2390479999999999E-2</v>
      </c>
      <c r="X2774">
        <v>0.9990407</v>
      </c>
      <c r="Y2774">
        <v>-0.2403807</v>
      </c>
      <c r="Z2774">
        <v>-4.3862429999999997E-3</v>
      </c>
      <c r="AA2774">
        <v>0.9706688</v>
      </c>
      <c r="AB2774">
        <v>26</v>
      </c>
      <c r="AC2774">
        <v>-15.6831</v>
      </c>
      <c r="AD2774">
        <v>-1.1123339151239999</v>
      </c>
      <c r="AE2774">
        <v>-4.8811</v>
      </c>
      <c r="AF2774">
        <v>-3.97138070625825</v>
      </c>
      <c r="AG2774">
        <v>-1.1123339151239999</v>
      </c>
      <c r="AH2774">
        <v>15.8604931971502</v>
      </c>
      <c r="AI2774">
        <v>93.891953353217303</v>
      </c>
      <c r="AJ2774">
        <v>104.057516582231</v>
      </c>
      <c r="AK2774">
        <v>16.387934461353598</v>
      </c>
      <c r="AL2774">
        <v>88.143837622649997</v>
      </c>
      <c r="AM2774">
        <v>91.6897789567046</v>
      </c>
      <c r="AN2774">
        <v>1.0000000446747801</v>
      </c>
    </row>
    <row r="2775" spans="1:40" x14ac:dyDescent="0.25">
      <c r="A2775" t="str">
        <f>"20190312160348159"</f>
        <v>20190312160348159</v>
      </c>
      <c r="B2775" t="str">
        <f>"1552377828147313"</f>
        <v>1552377828147313</v>
      </c>
      <c r="C2775" t="s">
        <v>40</v>
      </c>
      <c r="D2775">
        <v>5.5238699999999996</v>
      </c>
      <c r="E2775">
        <v>0.41859420000000003</v>
      </c>
      <c r="F2775" t="s">
        <v>59</v>
      </c>
      <c r="G2775">
        <v>-487.28129999999999</v>
      </c>
      <c r="H2775" s="1">
        <v>3.1195680000000001E-6</v>
      </c>
      <c r="I2775">
        <v>280.29520000000002</v>
      </c>
      <c r="J2775">
        <v>-471.50889999999998</v>
      </c>
      <c r="K2775">
        <v>1.1123479999999999</v>
      </c>
      <c r="L2775">
        <v>285.23950000000002</v>
      </c>
      <c r="M2775">
        <v>-0.99822889999999997</v>
      </c>
      <c r="N2775">
        <v>0</v>
      </c>
      <c r="O2775">
        <v>-5.8181530000000002E-2</v>
      </c>
      <c r="P2775">
        <v>-0.9959981</v>
      </c>
      <c r="Q2775">
        <v>1.986009E-2</v>
      </c>
      <c r="R2775">
        <v>-8.7140949999999995E-2</v>
      </c>
      <c r="S2775">
        <v>-2.9372859999999998</v>
      </c>
      <c r="T2775">
        <v>-0.2052959</v>
      </c>
      <c r="U2775">
        <v>-0.91439820000000005</v>
      </c>
      <c r="V2775">
        <v>-2.9216909999999999E-2</v>
      </c>
      <c r="W2775">
        <v>3.2105960000000003E-2</v>
      </c>
      <c r="X2775">
        <v>0.99905739999999998</v>
      </c>
      <c r="Y2775">
        <v>-0.24077299999999999</v>
      </c>
      <c r="Z2775">
        <v>-4.2524520000000003E-3</v>
      </c>
      <c r="AA2775">
        <v>0.9705722</v>
      </c>
      <c r="AB2775">
        <v>26</v>
      </c>
      <c r="AC2775">
        <v>-15.772399999999999</v>
      </c>
      <c r="AD2775">
        <v>-1.112344880432</v>
      </c>
      <c r="AE2775">
        <v>-4.9442999999999904</v>
      </c>
      <c r="AF2775">
        <v>-4.0000749507156002</v>
      </c>
      <c r="AG2775">
        <v>-1.112344880432</v>
      </c>
      <c r="AH2775">
        <v>15.9610836637716</v>
      </c>
      <c r="AI2775">
        <v>93.867338350327998</v>
      </c>
      <c r="AJ2775">
        <v>104.069362173233</v>
      </c>
      <c r="AK2775">
        <v>16.4922437062482</v>
      </c>
      <c r="AL2775">
        <v>88.160147918363094</v>
      </c>
      <c r="AM2775">
        <v>91.675107609408798</v>
      </c>
      <c r="AN2775">
        <v>1.0000000544961101</v>
      </c>
    </row>
    <row r="2776" spans="1:40" x14ac:dyDescent="0.25">
      <c r="A2776" t="str">
        <f>"20190312160348172"</f>
        <v>20190312160348172</v>
      </c>
      <c r="B2776" t="str">
        <f>"1552377828167807"</f>
        <v>1552377828167807</v>
      </c>
      <c r="C2776" t="s">
        <v>40</v>
      </c>
      <c r="D2776">
        <v>5.5197050000000001</v>
      </c>
      <c r="E2776">
        <v>0.41856539999999998</v>
      </c>
      <c r="F2776" t="s">
        <v>59</v>
      </c>
      <c r="G2776">
        <v>-487.44799999999998</v>
      </c>
      <c r="H2776" s="1">
        <v>3.1450209999999999E-6</v>
      </c>
      <c r="I2776">
        <v>280.24810000000002</v>
      </c>
      <c r="J2776">
        <v>-471.66379999999998</v>
      </c>
      <c r="K2776">
        <v>1.1123559999999999</v>
      </c>
      <c r="L2776">
        <v>285.22840000000002</v>
      </c>
      <c r="M2776">
        <v>-0.9981101</v>
      </c>
      <c r="N2776">
        <v>0</v>
      </c>
      <c r="O2776">
        <v>-6.0185160000000001E-2</v>
      </c>
      <c r="P2776">
        <v>-0.99579770000000001</v>
      </c>
      <c r="Q2776">
        <v>1.9602890000000001E-2</v>
      </c>
      <c r="R2776">
        <v>-8.9459280000000002E-2</v>
      </c>
      <c r="S2776">
        <v>-2.93573</v>
      </c>
      <c r="T2776">
        <v>-0.20487649999999999</v>
      </c>
      <c r="U2776">
        <v>-0.91934199999999999</v>
      </c>
      <c r="V2776">
        <v>-2.953633E-2</v>
      </c>
      <c r="W2776">
        <v>3.1847159999999999E-2</v>
      </c>
      <c r="X2776">
        <v>0.99905619999999995</v>
      </c>
      <c r="Y2776">
        <v>-0.24046679999999901</v>
      </c>
      <c r="Z2776">
        <v>-4.098895E-3</v>
      </c>
      <c r="AA2776">
        <v>0.97064870000000003</v>
      </c>
      <c r="AB2776">
        <v>26</v>
      </c>
      <c r="AC2776">
        <v>-15.7842</v>
      </c>
      <c r="AD2776">
        <v>-1.1123528549789901</v>
      </c>
      <c r="AE2776">
        <v>-4.9802999999999997</v>
      </c>
      <c r="AF2776">
        <v>-4.0031416697649496</v>
      </c>
      <c r="AG2776">
        <v>-1.1123528549789901</v>
      </c>
      <c r="AH2776">
        <v>15.9831543301287</v>
      </c>
      <c r="AI2776">
        <v>93.862181793862604</v>
      </c>
      <c r="AJ2776">
        <v>104.061049304779</v>
      </c>
      <c r="AK2776">
        <v>16.5143481386005</v>
      </c>
      <c r="AL2776">
        <v>88.174983486055197</v>
      </c>
      <c r="AM2776">
        <v>91.693412502238601</v>
      </c>
      <c r="AN2776">
        <v>0.99999996357418597</v>
      </c>
    </row>
    <row r="2777" spans="1:40" x14ac:dyDescent="0.25">
      <c r="A2777" t="str">
        <f>"20190312160348185"</f>
        <v>20190312160348185</v>
      </c>
      <c r="B2777" t="str">
        <f>"1552377828177568"</f>
        <v>1552377828177568</v>
      </c>
      <c r="C2777" t="s">
        <v>40</v>
      </c>
      <c r="D2777">
        <v>5.4972240000000001</v>
      </c>
      <c r="E2777">
        <v>0.41857939999999999</v>
      </c>
      <c r="F2777" t="s">
        <v>59</v>
      </c>
      <c r="G2777">
        <v>-487.72980000000001</v>
      </c>
      <c r="H2777" s="1">
        <v>3.1867950000000002E-6</v>
      </c>
      <c r="I2777">
        <v>280.1542</v>
      </c>
      <c r="J2777">
        <v>-471.81900000000002</v>
      </c>
      <c r="K2777">
        <v>1.112363</v>
      </c>
      <c r="L2777">
        <v>285.21690000000001</v>
      </c>
      <c r="M2777">
        <v>-0.99798629999999999</v>
      </c>
      <c r="N2777">
        <v>0</v>
      </c>
      <c r="O2777">
        <v>-6.2205139999999999E-2</v>
      </c>
      <c r="P2777">
        <v>-0.99559880000000001</v>
      </c>
      <c r="Q2777">
        <v>1.9214849999999999E-2</v>
      </c>
      <c r="R2777">
        <v>-9.1727669999999997E-2</v>
      </c>
      <c r="S2777">
        <v>-2.9333800000000001</v>
      </c>
      <c r="T2777">
        <v>-0.20309749999999999</v>
      </c>
      <c r="U2777">
        <v>-0.92645259999999996</v>
      </c>
      <c r="V2777">
        <v>-2.9789179999999998E-2</v>
      </c>
      <c r="W2777">
        <v>3.1457300000000001E-2</v>
      </c>
      <c r="X2777">
        <v>0.99906110000000004</v>
      </c>
      <c r="Y2777">
        <v>-0.24087529999999999</v>
      </c>
      <c r="Z2777">
        <v>-3.94335E-3</v>
      </c>
      <c r="AA2777">
        <v>0.97054799999999997</v>
      </c>
      <c r="AB2777">
        <v>26</v>
      </c>
      <c r="AC2777">
        <v>-15.910799999999901</v>
      </c>
      <c r="AD2777">
        <v>-1.1123598132050001</v>
      </c>
      <c r="AE2777">
        <v>-5.0627000000000004</v>
      </c>
      <c r="AF2777">
        <v>-4.0451305729035196</v>
      </c>
      <c r="AG2777">
        <v>-1.1123598132050001</v>
      </c>
      <c r="AH2777">
        <v>16.1233711186159</v>
      </c>
      <c r="AI2777">
        <v>93.828334955685406</v>
      </c>
      <c r="AJ2777">
        <v>104.08401975062201</v>
      </c>
      <c r="AK2777">
        <v>16.660237751439499</v>
      </c>
      <c r="AL2777">
        <v>88.197332117908402</v>
      </c>
      <c r="AM2777">
        <v>91.707892282448398</v>
      </c>
      <c r="AN2777">
        <v>1.0000000192507801</v>
      </c>
    </row>
    <row r="2778" spans="1:40" x14ac:dyDescent="0.25">
      <c r="A2778" t="str">
        <f>"20190312160348206"</f>
        <v>20190312160348206</v>
      </c>
      <c r="B2778" t="str">
        <f>"1552377828197087"</f>
        <v>1552377828197087</v>
      </c>
      <c r="C2778" t="s">
        <v>40</v>
      </c>
      <c r="D2778">
        <v>5.5119059999999998</v>
      </c>
      <c r="E2778">
        <v>0.41869810000000002</v>
      </c>
      <c r="F2778" t="s">
        <v>59</v>
      </c>
      <c r="G2778">
        <v>-487.78899999999999</v>
      </c>
      <c r="H2778" s="1">
        <v>3.1955379999999999E-6</v>
      </c>
      <c r="I2778">
        <v>280.13400000000001</v>
      </c>
      <c r="J2778">
        <v>-472.05380000000002</v>
      </c>
      <c r="K2778">
        <v>1.1123769999999999</v>
      </c>
      <c r="L2778">
        <v>285.19889999999998</v>
      </c>
      <c r="M2778">
        <v>-0.99778900000000004</v>
      </c>
      <c r="N2778">
        <v>0</v>
      </c>
      <c r="O2778">
        <v>-6.5291849999999998E-2</v>
      </c>
      <c r="P2778">
        <v>-0.99525739999999996</v>
      </c>
      <c r="Q2778">
        <v>1.9013450000000001E-2</v>
      </c>
      <c r="R2778">
        <v>-9.5401840000000002E-2</v>
      </c>
      <c r="S2778">
        <v>-2.931244</v>
      </c>
      <c r="T2778">
        <v>-0.20416980000000001</v>
      </c>
      <c r="U2778">
        <v>-0.93295289999999997</v>
      </c>
      <c r="V2778">
        <v>-3.038629E-2</v>
      </c>
      <c r="W2778">
        <v>3.1252839999999997E-2</v>
      </c>
      <c r="X2778">
        <v>0.99904950000000003</v>
      </c>
      <c r="Y2778">
        <v>-0.24003640000000001</v>
      </c>
      <c r="Z2778">
        <v>-3.7289279999999998E-3</v>
      </c>
      <c r="AA2778">
        <v>0.97075670000000003</v>
      </c>
      <c r="AB2778">
        <v>26</v>
      </c>
      <c r="AC2778">
        <v>-15.735199999999899</v>
      </c>
      <c r="AD2778">
        <v>-1.112373804462</v>
      </c>
      <c r="AE2778">
        <v>-5.0648999999999598</v>
      </c>
      <c r="AF2778">
        <v>-4.0084795506782598</v>
      </c>
      <c r="AG2778">
        <v>-1.112373804462</v>
      </c>
      <c r="AH2778">
        <v>15.960068318554701</v>
      </c>
      <c r="AI2778">
        <v>93.867190150787707</v>
      </c>
      <c r="AJ2778">
        <v>104.098606957786</v>
      </c>
      <c r="AK2778">
        <v>16.493303626684199</v>
      </c>
      <c r="AL2778">
        <v>88.209052514335795</v>
      </c>
      <c r="AM2778">
        <v>91.742125500937405</v>
      </c>
      <c r="AN2778">
        <v>0.99999998503913901</v>
      </c>
    </row>
    <row r="2779" spans="1:40" x14ac:dyDescent="0.25">
      <c r="A2779" t="str">
        <f>"20190312160348229"</f>
        <v>20190312160348229</v>
      </c>
      <c r="B2779" t="str">
        <f>"1552377828217583"</f>
        <v>1552377828217583</v>
      </c>
      <c r="C2779" t="s">
        <v>40</v>
      </c>
      <c r="D2779">
        <v>5.4409429999999999</v>
      </c>
      <c r="E2779">
        <v>0.4187555</v>
      </c>
      <c r="F2779" t="s">
        <v>59</v>
      </c>
      <c r="G2779">
        <v>-487.98750000000001</v>
      </c>
      <c r="H2779" s="1">
        <v>3.2250410000000001E-6</v>
      </c>
      <c r="I2779">
        <v>280.06880000000001</v>
      </c>
      <c r="J2779">
        <v>-472.30610000000001</v>
      </c>
      <c r="K2779">
        <v>1.112401</v>
      </c>
      <c r="L2779">
        <v>285.17860000000002</v>
      </c>
      <c r="M2779">
        <v>-0.99756339999999999</v>
      </c>
      <c r="N2779">
        <v>0</v>
      </c>
      <c r="O2779">
        <v>-6.8652850000000001E-2</v>
      </c>
      <c r="P2779">
        <v>-0.99488719999999997</v>
      </c>
      <c r="Q2779">
        <v>1.8993179999999998E-2</v>
      </c>
      <c r="R2779">
        <v>-9.9191440000000006E-2</v>
      </c>
      <c r="S2779">
        <v>-2.9278559999999998</v>
      </c>
      <c r="T2779">
        <v>-0.20440130000000001</v>
      </c>
      <c r="U2779">
        <v>-0.94265750000000004</v>
      </c>
      <c r="V2779">
        <v>-3.082791E-2</v>
      </c>
      <c r="W2779">
        <v>3.1229960000000001E-2</v>
      </c>
      <c r="X2779">
        <v>0.9990367</v>
      </c>
      <c r="Y2779">
        <v>-0.24001549999999999</v>
      </c>
      <c r="Z2779">
        <v>-3.5077900000000002E-3</v>
      </c>
      <c r="AA2779">
        <v>0.97076269999999998</v>
      </c>
      <c r="AB2779">
        <v>26</v>
      </c>
      <c r="AC2779">
        <v>-15.681399999999901</v>
      </c>
      <c r="AD2779">
        <v>-1.1123977749589999</v>
      </c>
      <c r="AE2779">
        <v>-5.1097999999999999</v>
      </c>
      <c r="AF2779">
        <v>-4.0028769184801503</v>
      </c>
      <c r="AG2779">
        <v>-1.1123977749589999</v>
      </c>
      <c r="AH2779">
        <v>15.922790787279901</v>
      </c>
      <c r="AI2779">
        <v>93.876083831048206</v>
      </c>
      <c r="AJ2779">
        <v>104.111332800174</v>
      </c>
      <c r="AK2779">
        <v>16.455871866592801</v>
      </c>
      <c r="AL2779">
        <v>88.210364107344603</v>
      </c>
      <c r="AM2779">
        <v>91.767451417455604</v>
      </c>
      <c r="AN2779">
        <v>0.99999999919172899</v>
      </c>
    </row>
    <row r="2780" spans="1:40" x14ac:dyDescent="0.25">
      <c r="A2780" t="str">
        <f>"20190312160348242"</f>
        <v>20190312160348242</v>
      </c>
      <c r="B2780" t="str">
        <f>"1552377828237105"</f>
        <v>1552377828237105</v>
      </c>
      <c r="C2780" t="s">
        <v>40</v>
      </c>
      <c r="D2780">
        <v>5.5124579999999996</v>
      </c>
      <c r="E2780">
        <v>0.41864319999999999</v>
      </c>
      <c r="F2780" t="s">
        <v>59</v>
      </c>
      <c r="G2780">
        <v>-488.28359999999998</v>
      </c>
      <c r="H2780" s="1">
        <v>3.2687289999999999E-6</v>
      </c>
      <c r="I2780">
        <v>279.96780000000001</v>
      </c>
      <c r="J2780">
        <v>-472.471</v>
      </c>
      <c r="K2780">
        <v>1.1124130000000001</v>
      </c>
      <c r="L2780">
        <v>285.16480000000001</v>
      </c>
      <c r="M2780">
        <v>-0.99740770000000001</v>
      </c>
      <c r="N2780">
        <v>0</v>
      </c>
      <c r="O2780">
        <v>-7.0877659999999995E-2</v>
      </c>
      <c r="P2780">
        <v>-0.99461730000000004</v>
      </c>
      <c r="Q2780">
        <v>1.880194E-2</v>
      </c>
      <c r="R2780">
        <v>-0.1018984</v>
      </c>
      <c r="S2780">
        <v>-2.924194</v>
      </c>
      <c r="T2780">
        <v>-0.20359089999999999</v>
      </c>
      <c r="U2780">
        <v>-0.95367429999999997</v>
      </c>
      <c r="V2780">
        <v>-3.13183E-2</v>
      </c>
      <c r="W2780">
        <v>3.1035989999999999E-2</v>
      </c>
      <c r="X2780">
        <v>0.99902749999999996</v>
      </c>
      <c r="Y2780">
        <v>-0.24151839999999999</v>
      </c>
      <c r="Z2780">
        <v>-3.397466E-3</v>
      </c>
      <c r="AA2780">
        <v>0.97039030000000004</v>
      </c>
      <c r="AB2780">
        <v>26</v>
      </c>
      <c r="AC2780">
        <v>-15.8125999999999</v>
      </c>
      <c r="AD2780">
        <v>-1.112409731271</v>
      </c>
      <c r="AE2780">
        <v>-5.1970000000000001</v>
      </c>
      <c r="AF2780">
        <v>-4.04501367176037</v>
      </c>
      <c r="AG2780">
        <v>-1.112409731271</v>
      </c>
      <c r="AH2780">
        <v>16.069429508951799</v>
      </c>
      <c r="AI2780">
        <v>93.840563565491905</v>
      </c>
      <c r="AJ2780">
        <v>104.129014206376</v>
      </c>
      <c r="AK2780">
        <v>16.6080148048502</v>
      </c>
      <c r="AL2780">
        <v>88.221483173867597</v>
      </c>
      <c r="AM2780">
        <v>91.795565129477296</v>
      </c>
      <c r="AN2780">
        <v>1.00000000717321</v>
      </c>
    </row>
    <row r="2781" spans="1:40" x14ac:dyDescent="0.25">
      <c r="A2781" t="str">
        <f>"20190312160348263"</f>
        <v>20190312160348263</v>
      </c>
      <c r="B2781" t="str">
        <f>"1552377828257599"</f>
        <v>1552377828257599</v>
      </c>
      <c r="C2781" t="s">
        <v>40</v>
      </c>
      <c r="D2781">
        <v>5.4995349999999998</v>
      </c>
      <c r="E2781">
        <v>0.41863270000000002</v>
      </c>
      <c r="F2781" t="s">
        <v>59</v>
      </c>
      <c r="G2781">
        <v>-488.72980000000001</v>
      </c>
      <c r="H2781" s="1">
        <v>3.3340160000000002E-6</v>
      </c>
      <c r="I2781">
        <v>279.8091</v>
      </c>
      <c r="J2781">
        <v>-472.70139999999998</v>
      </c>
      <c r="K2781">
        <v>1.1124339999999999</v>
      </c>
      <c r="L2781">
        <v>285.14490000000001</v>
      </c>
      <c r="M2781">
        <v>-0.99717999999999996</v>
      </c>
      <c r="N2781">
        <v>0</v>
      </c>
      <c r="O2781">
        <v>-7.4011209999999994E-2</v>
      </c>
      <c r="P2781">
        <v>-0.99424330000000005</v>
      </c>
      <c r="Q2781">
        <v>1.8208760000000001E-2</v>
      </c>
      <c r="R2781">
        <v>-0.1055893</v>
      </c>
      <c r="S2781">
        <v>-2.9214169999999999</v>
      </c>
      <c r="T2781">
        <v>-0.1998798</v>
      </c>
      <c r="U2781">
        <v>-0.96231080000000002</v>
      </c>
      <c r="V2781">
        <v>-3.1885280000000002E-2</v>
      </c>
      <c r="W2781">
        <v>3.043974E-2</v>
      </c>
      <c r="X2781">
        <v>0.99902789999999997</v>
      </c>
      <c r="Y2781">
        <v>-0.24135190000000001</v>
      </c>
      <c r="Z2781">
        <v>-3.1247190000000002E-3</v>
      </c>
      <c r="AA2781">
        <v>0.97043259999999998</v>
      </c>
      <c r="AB2781">
        <v>26</v>
      </c>
      <c r="AC2781">
        <v>-16.028400000000001</v>
      </c>
      <c r="AD2781">
        <v>-1.112430665984</v>
      </c>
      <c r="AE2781">
        <v>-5.3357999999999999</v>
      </c>
      <c r="AF2781">
        <v>-4.1169385767069997</v>
      </c>
      <c r="AG2781">
        <v>-1.112430665984</v>
      </c>
      <c r="AH2781">
        <v>16.3086537469426</v>
      </c>
      <c r="AI2781">
        <v>93.783822035153506</v>
      </c>
      <c r="AJ2781">
        <v>104.16768644416899</v>
      </c>
      <c r="AK2781">
        <v>16.857012554680701</v>
      </c>
      <c r="AL2781">
        <v>88.255661914906597</v>
      </c>
      <c r="AM2781">
        <v>91.828049076437395</v>
      </c>
      <c r="AN2781">
        <v>0.99999999691517705</v>
      </c>
    </row>
    <row r="2782" spans="1:40" x14ac:dyDescent="0.25">
      <c r="A2782" t="str">
        <f>"20190312160348284"</f>
        <v>20190312160348284</v>
      </c>
      <c r="B2782" t="str">
        <f>"1552377828277120"</f>
        <v>1552377828277120</v>
      </c>
      <c r="C2782" t="s">
        <v>40</v>
      </c>
      <c r="D2782">
        <v>5.4998659999999999</v>
      </c>
      <c r="E2782">
        <v>0.41862880000000002</v>
      </c>
      <c r="F2782" t="s">
        <v>59</v>
      </c>
      <c r="G2782">
        <v>-489.06009999999998</v>
      </c>
      <c r="H2782" s="1">
        <v>3.382007E-6</v>
      </c>
      <c r="I2782">
        <v>279.68799999999999</v>
      </c>
      <c r="J2782">
        <v>-472.93880000000001</v>
      </c>
      <c r="K2782">
        <v>1.1124559999999999</v>
      </c>
      <c r="L2782">
        <v>285.12369999999999</v>
      </c>
      <c r="M2782">
        <v>-0.99693200000000004</v>
      </c>
      <c r="N2782">
        <v>0</v>
      </c>
      <c r="O2782">
        <v>-7.7281069999999993E-2</v>
      </c>
      <c r="P2782">
        <v>-0.99381359999999996</v>
      </c>
      <c r="Q2782">
        <v>1.7815500000000001E-2</v>
      </c>
      <c r="R2782">
        <v>-0.1096239</v>
      </c>
      <c r="S2782">
        <v>-2.9176639999999998</v>
      </c>
      <c r="T2782">
        <v>-0.1984079</v>
      </c>
      <c r="U2782">
        <v>-0.97326659999999998</v>
      </c>
      <c r="V2782">
        <v>-3.2662629999999998E-2</v>
      </c>
      <c r="W2782">
        <v>3.0041289999999998E-2</v>
      </c>
      <c r="X2782">
        <v>0.99901490000000004</v>
      </c>
      <c r="Y2782">
        <v>-0.24183399999999999</v>
      </c>
      <c r="Z2782">
        <v>-2.9053780000000001E-3</v>
      </c>
      <c r="AA2782">
        <v>0.97031330000000005</v>
      </c>
      <c r="AB2782">
        <v>26</v>
      </c>
      <c r="AC2782">
        <v>-16.121299999999898</v>
      </c>
      <c r="AD2782">
        <v>-1.1124526179930001</v>
      </c>
      <c r="AE2782">
        <v>-5.43569999999999</v>
      </c>
      <c r="AF2782">
        <v>-4.1557055498414197</v>
      </c>
      <c r="AG2782">
        <v>-1.1124526179930001</v>
      </c>
      <c r="AH2782">
        <v>16.422969944891499</v>
      </c>
      <c r="AI2782">
        <v>93.757096412035906</v>
      </c>
      <c r="AJ2782">
        <v>104.200181267714</v>
      </c>
      <c r="AK2782">
        <v>16.977084003299101</v>
      </c>
      <c r="AL2782">
        <v>88.2785019530684</v>
      </c>
      <c r="AM2782">
        <v>91.872609157928693</v>
      </c>
      <c r="AN2782">
        <v>1.0000000484626901</v>
      </c>
    </row>
    <row r="2783" spans="1:40" x14ac:dyDescent="0.25">
      <c r="A2783" t="str">
        <f>"20190312160348297"</f>
        <v>20190312160348297</v>
      </c>
      <c r="B2783" t="str">
        <f>"1552377828286880"</f>
        <v>1552377828286880</v>
      </c>
      <c r="C2783" t="s">
        <v>40</v>
      </c>
      <c r="D2783">
        <v>5.4727449999999997</v>
      </c>
      <c r="E2783">
        <v>0.41873480000000002</v>
      </c>
      <c r="F2783" t="s">
        <v>59</v>
      </c>
      <c r="G2783">
        <v>-489.45240000000001</v>
      </c>
      <c r="H2783" s="1">
        <v>3.4184990000000001E-6</v>
      </c>
      <c r="I2783">
        <v>279.54039999999998</v>
      </c>
      <c r="J2783">
        <v>-473.08780000000002</v>
      </c>
      <c r="K2783">
        <v>1.1124750000000001</v>
      </c>
      <c r="L2783">
        <v>285.10989999999998</v>
      </c>
      <c r="M2783">
        <v>-0.99676849999999995</v>
      </c>
      <c r="N2783">
        <v>0</v>
      </c>
      <c r="O2783">
        <v>-7.9360310000000003E-2</v>
      </c>
      <c r="P2783">
        <v>-0.99354149999999997</v>
      </c>
      <c r="Q2783">
        <v>1.7520190000000001E-2</v>
      </c>
      <c r="R2783">
        <v>-0.1121091</v>
      </c>
      <c r="S2783">
        <v>-2.9135740000000001</v>
      </c>
      <c r="T2783">
        <v>-0.19627510000000001</v>
      </c>
      <c r="U2783">
        <v>-0.98507690000000003</v>
      </c>
      <c r="V2783">
        <v>-3.3077370000000002E-2</v>
      </c>
      <c r="W2783">
        <v>2.97434E-2</v>
      </c>
      <c r="X2783">
        <v>0.99901010000000001</v>
      </c>
      <c r="Y2783">
        <v>-0.2437599</v>
      </c>
      <c r="Z2783">
        <v>-2.8045100000000001E-3</v>
      </c>
      <c r="AA2783">
        <v>0.96983149999999996</v>
      </c>
      <c r="AB2783">
        <v>26</v>
      </c>
      <c r="AC2783">
        <v>-16.3645999999999</v>
      </c>
      <c r="AD2783">
        <v>-1.112471581501</v>
      </c>
      <c r="AE2783">
        <v>-5.5694999999999997</v>
      </c>
      <c r="AF2783">
        <v>-4.2355888480177102</v>
      </c>
      <c r="AG2783">
        <v>-1.112471581501</v>
      </c>
      <c r="AH2783">
        <v>16.685902938710299</v>
      </c>
      <c r="AI2783">
        <v>93.6974187193522</v>
      </c>
      <c r="AJ2783">
        <v>104.24325593299901</v>
      </c>
      <c r="AK2783">
        <v>17.251004689268399</v>
      </c>
      <c r="AL2783">
        <v>88.295577307790793</v>
      </c>
      <c r="AM2783">
        <v>91.896378823553405</v>
      </c>
      <c r="AN2783">
        <v>0.99999998107584298</v>
      </c>
    </row>
    <row r="2784" spans="1:40" x14ac:dyDescent="0.25">
      <c r="A2784" t="str">
        <f>"20190312160348311"</f>
        <v>20190312160348311</v>
      </c>
      <c r="B2784" t="str">
        <f>"1552377828307376"</f>
        <v>1552377828307376</v>
      </c>
      <c r="C2784" t="s">
        <v>40</v>
      </c>
      <c r="D2784">
        <v>5.4589549999999996</v>
      </c>
      <c r="E2784">
        <v>0.4189679</v>
      </c>
      <c r="F2784" t="s">
        <v>59</v>
      </c>
      <c r="G2784">
        <v>-489.47160000000002</v>
      </c>
      <c r="H2784" s="1">
        <v>3.4182160000000002E-6</v>
      </c>
      <c r="I2784">
        <v>279.52999999999997</v>
      </c>
      <c r="J2784">
        <v>-473.23570000000001</v>
      </c>
      <c r="K2784">
        <v>1.1124969999999901</v>
      </c>
      <c r="L2784">
        <v>285.09589999999997</v>
      </c>
      <c r="M2784">
        <v>-0.99660119999999996</v>
      </c>
      <c r="N2784">
        <v>0</v>
      </c>
      <c r="O2784">
        <v>-8.1435519999999997E-2</v>
      </c>
      <c r="P2784">
        <v>-0.99333139999999998</v>
      </c>
      <c r="Q2784">
        <v>1.729458E-2</v>
      </c>
      <c r="R2784">
        <v>-0.1139898</v>
      </c>
      <c r="S2784">
        <v>-2.911133</v>
      </c>
      <c r="T2784">
        <v>-0.1976686</v>
      </c>
      <c r="U2784">
        <v>-0.99145510000000003</v>
      </c>
      <c r="V2784">
        <v>-3.2887989999999999E-2</v>
      </c>
      <c r="W2784">
        <v>2.9518429999999998E-2</v>
      </c>
      <c r="X2784">
        <v>0.99902299999999999</v>
      </c>
      <c r="Y2784">
        <v>-0.24389189999999999</v>
      </c>
      <c r="Z2784">
        <v>-2.6944479999999999E-3</v>
      </c>
      <c r="AA2784">
        <v>0.96979870000000001</v>
      </c>
      <c r="AB2784">
        <v>26</v>
      </c>
      <c r="AC2784">
        <v>-16.235900000000001</v>
      </c>
      <c r="AD2784">
        <v>-1.11249358178399</v>
      </c>
      <c r="AE2784">
        <v>-5.5658999999999903</v>
      </c>
      <c r="AF2784">
        <v>-4.2074527716652899</v>
      </c>
      <c r="AG2784">
        <v>-1.11249358178399</v>
      </c>
      <c r="AH2784">
        <v>16.565665128176001</v>
      </c>
      <c r="AI2784">
        <v>93.724126155192906</v>
      </c>
      <c r="AJ2784">
        <v>104.251006535728</v>
      </c>
      <c r="AK2784">
        <v>17.127800849325901</v>
      </c>
      <c r="AL2784">
        <v>88.308472759563998</v>
      </c>
      <c r="AM2784">
        <v>91.885504893813007</v>
      </c>
      <c r="AN2784">
        <v>0.99999995606245096</v>
      </c>
    </row>
    <row r="2785" spans="1:40" x14ac:dyDescent="0.25">
      <c r="A2785" t="str">
        <f>"20190312160348323"</f>
        <v>20190312160348323</v>
      </c>
      <c r="B2785" t="str">
        <f>"1552377828317136"</f>
        <v>1552377828317136</v>
      </c>
      <c r="C2785" t="s">
        <v>40</v>
      </c>
      <c r="D2785">
        <v>5.4652690000000002</v>
      </c>
      <c r="E2785">
        <v>0.4191127</v>
      </c>
      <c r="F2785" t="s">
        <v>59</v>
      </c>
      <c r="G2785">
        <v>-489.5317</v>
      </c>
      <c r="H2785" s="1">
        <v>3.4260669999999998E-6</v>
      </c>
      <c r="I2785">
        <v>279.52199999999999</v>
      </c>
      <c r="J2785">
        <v>-473.38850000000002</v>
      </c>
      <c r="K2785">
        <v>1.112517</v>
      </c>
      <c r="L2785">
        <v>285.08109999999999</v>
      </c>
      <c r="M2785">
        <v>-0.99642180000000002</v>
      </c>
      <c r="N2785">
        <v>0</v>
      </c>
      <c r="O2785">
        <v>-8.3600880000000002E-2</v>
      </c>
      <c r="P2785">
        <v>-0.99310050000000005</v>
      </c>
      <c r="Q2785">
        <v>1.7307550000000001E-2</v>
      </c>
      <c r="R2785">
        <v>-0.115982</v>
      </c>
      <c r="S2785">
        <v>-2.9094540000000002</v>
      </c>
      <c r="T2785">
        <v>-0.19862150000000001</v>
      </c>
      <c r="U2785">
        <v>-0.99514769999999997</v>
      </c>
      <c r="V2785">
        <v>-3.2723139999999998E-2</v>
      </c>
      <c r="W2785">
        <v>2.953273E-2</v>
      </c>
      <c r="X2785">
        <v>0.99902800000000003</v>
      </c>
      <c r="Y2785">
        <v>-0.24306059999999999</v>
      </c>
      <c r="Z2785">
        <v>-2.5386079999999999E-3</v>
      </c>
      <c r="AA2785">
        <v>0.97000779999999998</v>
      </c>
      <c r="AB2785">
        <v>26</v>
      </c>
      <c r="AC2785">
        <v>-16.143199999999901</v>
      </c>
      <c r="AD2785">
        <v>-1.1125135739330001</v>
      </c>
      <c r="AE2785">
        <v>-5.5590999999999999</v>
      </c>
      <c r="AF2785">
        <v>-4.1722317874131498</v>
      </c>
      <c r="AG2785">
        <v>-1.1125135739330001</v>
      </c>
      <c r="AH2785">
        <v>16.481483073223501</v>
      </c>
      <c r="AI2785">
        <v>93.743907727101799</v>
      </c>
      <c r="AJ2785">
        <v>104.20580048163001</v>
      </c>
      <c r="AK2785">
        <v>17.037737198144601</v>
      </c>
      <c r="AL2785">
        <v>88.307653088338995</v>
      </c>
      <c r="AM2785">
        <v>91.876051248720401</v>
      </c>
      <c r="AN2785">
        <v>0.99999996540835501</v>
      </c>
    </row>
    <row r="2786" spans="1:40" x14ac:dyDescent="0.25">
      <c r="A2786" t="str">
        <f>"20190312160348336"</f>
        <v>20190312160348336</v>
      </c>
      <c r="B2786" t="str">
        <f>"1552377828326897"</f>
        <v>1552377828326897</v>
      </c>
      <c r="C2786" t="s">
        <v>40</v>
      </c>
      <c r="D2786">
        <v>5.4071360000000004</v>
      </c>
      <c r="E2786">
        <v>0.4191127</v>
      </c>
      <c r="F2786" t="s">
        <v>59</v>
      </c>
      <c r="G2786">
        <v>-489.64359999999999</v>
      </c>
      <c r="H2786" s="1">
        <v>3.4354679999999999E-6</v>
      </c>
      <c r="I2786">
        <v>279.49250000000001</v>
      </c>
      <c r="J2786">
        <v>-473.52980000000002</v>
      </c>
      <c r="K2786">
        <v>1.112536</v>
      </c>
      <c r="L2786">
        <v>285.06709999999998</v>
      </c>
      <c r="M2786">
        <v>-0.99625019999999997</v>
      </c>
      <c r="N2786">
        <v>0</v>
      </c>
      <c r="O2786">
        <v>-8.5621139999999998E-2</v>
      </c>
      <c r="P2786">
        <v>-0.99284139999999999</v>
      </c>
      <c r="Q2786">
        <v>1.709983E-2</v>
      </c>
      <c r="R2786">
        <v>-0.1182093</v>
      </c>
      <c r="S2786">
        <v>-2.9075319999999998</v>
      </c>
      <c r="T2786">
        <v>-0.1989937</v>
      </c>
      <c r="U2786">
        <v>-0.99963380000000002</v>
      </c>
      <c r="V2786">
        <v>-3.2938199999999897E-2</v>
      </c>
      <c r="W2786">
        <v>2.9323490000000001E-2</v>
      </c>
      <c r="X2786">
        <v>0.99902709999999995</v>
      </c>
      <c r="Y2786">
        <v>-0.24263299999999999</v>
      </c>
      <c r="Z2786">
        <v>-2.3972400000000001E-3</v>
      </c>
      <c r="AA2786">
        <v>0.97011519999999996</v>
      </c>
      <c r="AB2786">
        <v>26</v>
      </c>
      <c r="AC2786">
        <v>-16.113799999999902</v>
      </c>
      <c r="AD2786">
        <v>-1.1125325645319999</v>
      </c>
      <c r="AE2786">
        <v>-5.57459999999997</v>
      </c>
      <c r="AF2786">
        <v>-4.1566409636725297</v>
      </c>
      <c r="AG2786">
        <v>-1.1125325645319999</v>
      </c>
      <c r="AH2786">
        <v>16.4618745282649</v>
      </c>
      <c r="AI2786">
        <v>93.748991805874397</v>
      </c>
      <c r="AJ2786">
        <v>104.17103529668699</v>
      </c>
      <c r="AK2786">
        <v>17.0149553567549</v>
      </c>
      <c r="AL2786">
        <v>88.319646858745401</v>
      </c>
      <c r="AM2786">
        <v>91.888373661869593</v>
      </c>
      <c r="AN2786">
        <v>0.99999996930971402</v>
      </c>
    </row>
    <row r="2787" spans="1:40" x14ac:dyDescent="0.25">
      <c r="A2787" t="str">
        <f>"20190312160348352"</f>
        <v>20190312160348352</v>
      </c>
      <c r="B2787" t="str">
        <f>"1552377828347392"</f>
        <v>1552377828347392</v>
      </c>
      <c r="C2787" t="s">
        <v>40</v>
      </c>
      <c r="D2787">
        <v>5.4717330000000004</v>
      </c>
      <c r="E2787">
        <v>0.41944799999999899</v>
      </c>
      <c r="F2787" t="s">
        <v>59</v>
      </c>
      <c r="G2787">
        <v>-489.72480000000002</v>
      </c>
      <c r="H2787" s="1">
        <v>3.43745E-6</v>
      </c>
      <c r="I2787">
        <v>279.45740000000001</v>
      </c>
      <c r="J2787">
        <v>-473.69470000000001</v>
      </c>
      <c r="K2787">
        <v>1.1125579999999999</v>
      </c>
      <c r="L2787">
        <v>285.05040000000002</v>
      </c>
      <c r="M2787">
        <v>-0.99604349999999997</v>
      </c>
      <c r="N2787">
        <v>0</v>
      </c>
      <c r="O2787">
        <v>-8.7994080000000002E-2</v>
      </c>
      <c r="P2787">
        <v>-0.99257669999999998</v>
      </c>
      <c r="Q2787">
        <v>1.7071240000000001E-2</v>
      </c>
      <c r="R2787">
        <v>-0.1204172</v>
      </c>
      <c r="S2787">
        <v>-2.9052730000000002</v>
      </c>
      <c r="T2787">
        <v>-0.19958110000000001</v>
      </c>
      <c r="U2787">
        <v>-1.006348</v>
      </c>
      <c r="V2787">
        <v>-3.2781020000000001E-2</v>
      </c>
      <c r="W2787">
        <v>2.9295849999999998E-2</v>
      </c>
      <c r="X2787">
        <v>0.99903310000000001</v>
      </c>
      <c r="Y2787">
        <v>-0.24256030000000001</v>
      </c>
      <c r="Z2787">
        <v>-2.246259E-3</v>
      </c>
      <c r="AA2787">
        <v>0.97013369999999999</v>
      </c>
      <c r="AB2787">
        <v>26</v>
      </c>
      <c r="AC2787">
        <v>-16.030100000000001</v>
      </c>
      <c r="AD2787">
        <v>-1.11255456255</v>
      </c>
      <c r="AE2787">
        <v>-5.5930000000000097</v>
      </c>
      <c r="AF2787">
        <v>-4.1428484669610199</v>
      </c>
      <c r="AG2787">
        <v>-1.11255456255</v>
      </c>
      <c r="AH2787">
        <v>16.389718154095299</v>
      </c>
      <c r="AI2787">
        <v>93.765282908082796</v>
      </c>
      <c r="AJ2787">
        <v>104.18558308111901</v>
      </c>
      <c r="AK2787">
        <v>16.9417777179826</v>
      </c>
      <c r="AL2787">
        <v>88.321231227024498</v>
      </c>
      <c r="AM2787">
        <v>91.879357603896594</v>
      </c>
      <c r="AN2787">
        <v>0.99999998849753602</v>
      </c>
    </row>
    <row r="2788" spans="1:40" x14ac:dyDescent="0.25">
      <c r="A2788" t="str">
        <f>"20190312160348366"</f>
        <v>20190312160348366</v>
      </c>
      <c r="B2788" t="str">
        <f>"1552377828357151"</f>
        <v>1552377828357151</v>
      </c>
      <c r="C2788" t="s">
        <v>40</v>
      </c>
      <c r="D2788">
        <v>5.4321780000000004</v>
      </c>
      <c r="E2788">
        <v>0.41958380000000001</v>
      </c>
      <c r="F2788" t="s">
        <v>59</v>
      </c>
      <c r="G2788">
        <v>-489.7038</v>
      </c>
      <c r="H2788" s="1">
        <v>3.4418880000000001E-6</v>
      </c>
      <c r="I2788">
        <v>279.48039999999997</v>
      </c>
      <c r="J2788">
        <v>-473.86450000000002</v>
      </c>
      <c r="K2788">
        <v>1.112584</v>
      </c>
      <c r="L2788">
        <v>285.03269999999998</v>
      </c>
      <c r="M2788">
        <v>-0.99582250000000005</v>
      </c>
      <c r="N2788">
        <v>0</v>
      </c>
      <c r="O2788">
        <v>-9.0459559999999994E-2</v>
      </c>
      <c r="P2788">
        <v>-0.99221519999999996</v>
      </c>
      <c r="Q2788">
        <v>1.6978790000000001E-2</v>
      </c>
      <c r="R2788">
        <v>-0.12337190000000001</v>
      </c>
      <c r="S2788">
        <v>-2.9034119999999999</v>
      </c>
      <c r="T2788">
        <v>-0.20177290000000001</v>
      </c>
      <c r="U2788">
        <v>-1.010162</v>
      </c>
      <c r="V2788">
        <v>-3.3283689999999998E-2</v>
      </c>
      <c r="W2788">
        <v>2.920004E-2</v>
      </c>
      <c r="X2788">
        <v>0.99901930000000005</v>
      </c>
      <c r="Y2788">
        <v>-0.2414888</v>
      </c>
      <c r="Z2788">
        <v>-2.0712009999999999E-3</v>
      </c>
      <c r="AA2788">
        <v>0.97040139999999997</v>
      </c>
      <c r="AB2788">
        <v>26</v>
      </c>
      <c r="AC2788">
        <v>-15.8392999999999</v>
      </c>
      <c r="AD2788">
        <v>-1.1125805581119901</v>
      </c>
      <c r="AE2788">
        <v>-5.5522999999999998</v>
      </c>
      <c r="AF2788">
        <v>-4.0786842007446404</v>
      </c>
      <c r="AG2788">
        <v>-1.1125805581119901</v>
      </c>
      <c r="AH2788">
        <v>16.205441863351801</v>
      </c>
      <c r="AI2788">
        <v>93.809039507456404</v>
      </c>
      <c r="AJ2788">
        <v>104.12713015096</v>
      </c>
      <c r="AK2788">
        <v>16.747831092239</v>
      </c>
      <c r="AL2788">
        <v>88.326723111266205</v>
      </c>
      <c r="AM2788">
        <v>91.908181203599696</v>
      </c>
      <c r="AN2788">
        <v>1.00000000406425</v>
      </c>
    </row>
    <row r="2789" spans="1:40" x14ac:dyDescent="0.25">
      <c r="A2789" t="str">
        <f>"20190312160348386"</f>
        <v>20190312160348386</v>
      </c>
      <c r="B2789" t="str">
        <f>"1552377828377650"</f>
        <v>1552377828377650</v>
      </c>
      <c r="C2789" t="s">
        <v>40</v>
      </c>
      <c r="D2789">
        <v>5.454053</v>
      </c>
      <c r="E2789">
        <v>0.41982370000000002</v>
      </c>
      <c r="F2789" t="s">
        <v>59</v>
      </c>
      <c r="G2789">
        <v>-489.77089999999998</v>
      </c>
      <c r="H2789" s="1">
        <v>3.4435250000000002E-6</v>
      </c>
      <c r="I2789">
        <v>279.45139999999998</v>
      </c>
      <c r="J2789">
        <v>-474.0797</v>
      </c>
      <c r="K2789">
        <v>1.1126100000000001</v>
      </c>
      <c r="L2789">
        <v>285.00970000000001</v>
      </c>
      <c r="M2789">
        <v>-0.99553020000000003</v>
      </c>
      <c r="N2789">
        <v>0</v>
      </c>
      <c r="O2789">
        <v>-9.3621460000000004E-2</v>
      </c>
      <c r="P2789">
        <v>-0.99178960000000005</v>
      </c>
      <c r="Q2789">
        <v>1.6837830000000002E-2</v>
      </c>
      <c r="R2789">
        <v>-0.12676680000000001</v>
      </c>
      <c r="S2789">
        <v>-2.900452</v>
      </c>
      <c r="T2789">
        <v>-0.2028739</v>
      </c>
      <c r="U2789">
        <v>-1.0177309999999999</v>
      </c>
      <c r="V2789">
        <v>-3.3531060000000001E-2</v>
      </c>
      <c r="W2789">
        <v>2.9057530000000002E-2</v>
      </c>
      <c r="X2789">
        <v>0.99901519999999999</v>
      </c>
      <c r="Y2789">
        <v>-0.2409753</v>
      </c>
      <c r="Z2789">
        <v>-1.854206E-3</v>
      </c>
      <c r="AA2789">
        <v>0.97052950000000004</v>
      </c>
      <c r="AB2789">
        <v>26</v>
      </c>
      <c r="AC2789">
        <v>-15.691199999999901</v>
      </c>
      <c r="AD2789">
        <v>-1.1126065564749901</v>
      </c>
      <c r="AE2789">
        <v>-5.5583000000000302</v>
      </c>
      <c r="AF2789">
        <v>-4.0466596046499204</v>
      </c>
      <c r="AG2789">
        <v>-1.1126065564749901</v>
      </c>
      <c r="AH2789">
        <v>16.0708962752229</v>
      </c>
      <c r="AI2789">
        <v>93.840819505771805</v>
      </c>
      <c r="AJ2789">
        <v>104.133294634851</v>
      </c>
      <c r="AK2789">
        <v>16.609848114729701</v>
      </c>
      <c r="AL2789">
        <v>88.334891827118597</v>
      </c>
      <c r="AM2789">
        <v>91.922360410348404</v>
      </c>
      <c r="AN2789">
        <v>1.00000002093273</v>
      </c>
    </row>
    <row r="2790" spans="1:40" x14ac:dyDescent="0.25">
      <c r="A2790" t="str">
        <f>"20190312160348408"</f>
        <v>20190312160348408</v>
      </c>
      <c r="B2790" t="str">
        <f>"1552377828397168"</f>
        <v>1552377828397168</v>
      </c>
      <c r="C2790" t="s">
        <v>40</v>
      </c>
      <c r="D2790">
        <v>4.7963870000000002</v>
      </c>
      <c r="E2790">
        <v>0.42002980000000001</v>
      </c>
      <c r="F2790" t="s">
        <v>59</v>
      </c>
      <c r="G2790">
        <v>-489.91160000000002</v>
      </c>
      <c r="H2790" s="1">
        <v>3.4511840000000001E-6</v>
      </c>
      <c r="I2790">
        <v>279.40249999999997</v>
      </c>
      <c r="J2790">
        <v>-474.3313</v>
      </c>
      <c r="K2790">
        <v>1.1126339999999999</v>
      </c>
      <c r="L2790">
        <v>284.9819</v>
      </c>
      <c r="M2790">
        <v>-0.99517100000000003</v>
      </c>
      <c r="N2790">
        <v>0</v>
      </c>
      <c r="O2790">
        <v>-9.736475E-2</v>
      </c>
      <c r="P2790">
        <v>-0.99130030000000002</v>
      </c>
      <c r="Q2790">
        <v>1.6056310000000001E-2</v>
      </c>
      <c r="R2790">
        <v>-0.130638</v>
      </c>
      <c r="S2790">
        <v>-2.8971559999999998</v>
      </c>
      <c r="T2790">
        <v>-0.20360139999999999</v>
      </c>
      <c r="U2790">
        <v>-1.0260929999999999</v>
      </c>
      <c r="V2790">
        <v>-3.3670440000000003E-2</v>
      </c>
      <c r="W2790">
        <v>2.8274879999999999E-2</v>
      </c>
      <c r="X2790">
        <v>0.99903299999999995</v>
      </c>
      <c r="Y2790">
        <v>-0.24016899999999999</v>
      </c>
      <c r="Z2790">
        <v>-1.5826429999999999E-3</v>
      </c>
      <c r="AA2790">
        <v>0.97072979999999998</v>
      </c>
      <c r="AB2790">
        <v>26</v>
      </c>
      <c r="AC2790">
        <v>-15.580299999999999</v>
      </c>
      <c r="AD2790">
        <v>-1.112630548816</v>
      </c>
      <c r="AE2790">
        <v>-5.5794000000000201</v>
      </c>
      <c r="AF2790">
        <v>-4.0176372619597904</v>
      </c>
      <c r="AG2790">
        <v>-1.112630548816</v>
      </c>
      <c r="AH2790">
        <v>15.977322559243801</v>
      </c>
      <c r="AI2790">
        <v>93.863640527887299</v>
      </c>
      <c r="AJ2790">
        <v>104.114879160401</v>
      </c>
      <c r="AK2790">
        <v>16.512243701840401</v>
      </c>
      <c r="AL2790">
        <v>88.379752854335706</v>
      </c>
      <c r="AM2790">
        <v>91.930310768334706</v>
      </c>
      <c r="AN2790">
        <v>1.0000000512289</v>
      </c>
    </row>
    <row r="2791" spans="1:40" x14ac:dyDescent="0.25">
      <c r="A2791" t="str">
        <f>"20190312160348430"</f>
        <v>20190312160348430</v>
      </c>
      <c r="B2791" t="str">
        <f>"1552377828417664"</f>
        <v>1552377828417664</v>
      </c>
      <c r="C2791" t="s">
        <v>40</v>
      </c>
      <c r="D2791">
        <v>5.3734149999999996</v>
      </c>
      <c r="E2791">
        <v>0.42013899999999998</v>
      </c>
      <c r="F2791" t="s">
        <v>59</v>
      </c>
      <c r="G2791">
        <v>-489.96710000000002</v>
      </c>
      <c r="H2791" s="1">
        <v>3.451764E-6</v>
      </c>
      <c r="I2791">
        <v>279.38330000000002</v>
      </c>
      <c r="J2791">
        <v>-474.58350000000002</v>
      </c>
      <c r="K2791">
        <v>1.1126659999999999</v>
      </c>
      <c r="L2791">
        <v>284.9529</v>
      </c>
      <c r="M2791">
        <v>-0.99479079999999998</v>
      </c>
      <c r="N2791">
        <v>0</v>
      </c>
      <c r="O2791">
        <v>-0.1011763</v>
      </c>
      <c r="P2791">
        <v>-0.99076969999999998</v>
      </c>
      <c r="Q2791">
        <v>1.538553E-2</v>
      </c>
      <c r="R2791">
        <v>-0.1346822</v>
      </c>
      <c r="S2791">
        <v>-2.8931269999999998</v>
      </c>
      <c r="T2791">
        <v>-0.2058721</v>
      </c>
      <c r="U2791">
        <v>-1.035919</v>
      </c>
      <c r="V2791">
        <v>-3.3917360000000001E-2</v>
      </c>
      <c r="W2791">
        <v>2.7602330000000001E-2</v>
      </c>
      <c r="X2791">
        <v>0.99904340000000003</v>
      </c>
      <c r="Y2791">
        <v>-0.23980360000000001</v>
      </c>
      <c r="Z2791">
        <v>-1.329605E-3</v>
      </c>
      <c r="AA2791">
        <v>0.97082049999999998</v>
      </c>
      <c r="AB2791">
        <v>26</v>
      </c>
      <c r="AC2791">
        <v>-15.383599999999999</v>
      </c>
      <c r="AD2791">
        <v>-1.112662548236</v>
      </c>
      <c r="AE2791">
        <v>-5.5695999999999799</v>
      </c>
      <c r="AF2791">
        <v>-3.96609569684153</v>
      </c>
      <c r="AG2791">
        <v>-1.112662548236</v>
      </c>
      <c r="AH2791">
        <v>15.795148450784</v>
      </c>
      <c r="AI2791">
        <v>93.908510965008304</v>
      </c>
      <c r="AJ2791">
        <v>104.095320600504</v>
      </c>
      <c r="AK2791">
        <v>16.3234385962351</v>
      </c>
      <c r="AL2791">
        <v>88.418302089518704</v>
      </c>
      <c r="AM2791">
        <v>91.944435524576207</v>
      </c>
      <c r="AN2791">
        <v>0.999999995507179</v>
      </c>
    </row>
    <row r="2792" spans="1:40" x14ac:dyDescent="0.25">
      <c r="A2792" t="str">
        <f>"20190312160348453"</f>
        <v>20190312160348453</v>
      </c>
      <c r="B2792" t="str">
        <f>"1552377828446945"</f>
        <v>1552377828446945</v>
      </c>
      <c r="C2792" t="s">
        <v>40</v>
      </c>
      <c r="D2792">
        <v>5.5174750000000001</v>
      </c>
      <c r="E2792">
        <v>0.42011739999999997</v>
      </c>
      <c r="F2792" t="s">
        <v>59</v>
      </c>
      <c r="G2792">
        <v>-490.14769999999999</v>
      </c>
      <c r="H2792" s="1">
        <v>3.4109549999999999E-6</v>
      </c>
      <c r="I2792">
        <v>279.31310000000002</v>
      </c>
      <c r="J2792">
        <v>-474.83710000000002</v>
      </c>
      <c r="K2792">
        <v>1.112692</v>
      </c>
      <c r="L2792">
        <v>284.92270000000002</v>
      </c>
      <c r="M2792">
        <v>-0.99438879999999996</v>
      </c>
      <c r="N2792">
        <v>0</v>
      </c>
      <c r="O2792">
        <v>-0.1050528</v>
      </c>
      <c r="P2792">
        <v>-0.99017219999999995</v>
      </c>
      <c r="Q2792">
        <v>1.521572E-2</v>
      </c>
      <c r="R2792">
        <v>-0.13902419999999999</v>
      </c>
      <c r="S2792">
        <v>-2.888855</v>
      </c>
      <c r="T2792">
        <v>-0.2065198</v>
      </c>
      <c r="U2792">
        <v>-1.046783</v>
      </c>
      <c r="V2792">
        <v>-3.440439E-2</v>
      </c>
      <c r="W2792">
        <v>2.7429309999999998E-2</v>
      </c>
      <c r="X2792">
        <v>0.99903149999999996</v>
      </c>
      <c r="Y2792">
        <v>-0.23971339999999999</v>
      </c>
      <c r="Z2792">
        <v>-1.0672119999999999E-3</v>
      </c>
      <c r="AA2792">
        <v>0.97084309999999996</v>
      </c>
      <c r="AB2792">
        <v>26</v>
      </c>
      <c r="AC2792">
        <v>-15.3105999999999</v>
      </c>
      <c r="AD2792">
        <v>-1.112688589045</v>
      </c>
      <c r="AE2792">
        <v>-5.6096000000000004</v>
      </c>
      <c r="AF2792">
        <v>-3.9516087441422099</v>
      </c>
      <c r="AG2792">
        <v>-1.112688589045</v>
      </c>
      <c r="AH2792">
        <v>15.741915688608101</v>
      </c>
      <c r="AI2792">
        <v>93.9218440039527</v>
      </c>
      <c r="AJ2792">
        <v>104.091484382376</v>
      </c>
      <c r="AK2792">
        <v>16.268411019832801</v>
      </c>
      <c r="AL2792">
        <v>88.428219141459707</v>
      </c>
      <c r="AM2792">
        <v>91.972357862371297</v>
      </c>
      <c r="AN2792">
        <v>0.99999998354529895</v>
      </c>
    </row>
    <row r="2793" spans="1:40" x14ac:dyDescent="0.25">
      <c r="A2793" t="str">
        <f>"20190312160348474"</f>
        <v>20190312160348474</v>
      </c>
      <c r="B2793" t="str">
        <f>"1552377828467441"</f>
        <v>1552377828467441</v>
      </c>
      <c r="C2793" t="s">
        <v>40</v>
      </c>
      <c r="D2793">
        <v>5.5044069999999996</v>
      </c>
      <c r="E2793">
        <v>0.40160439999999997</v>
      </c>
      <c r="F2793" t="s">
        <v>59</v>
      </c>
      <c r="G2793">
        <v>-490.20870000000002</v>
      </c>
      <c r="H2793" s="1">
        <v>3.3921859999999999E-6</v>
      </c>
      <c r="I2793">
        <v>279.27539999999999</v>
      </c>
      <c r="J2793">
        <v>-475.08089999999999</v>
      </c>
      <c r="K2793">
        <v>1.1127309999999999</v>
      </c>
      <c r="L2793">
        <v>284.89269999999999</v>
      </c>
      <c r="M2793">
        <v>-0.99398310000000001</v>
      </c>
      <c r="N2793">
        <v>0</v>
      </c>
      <c r="O2793">
        <v>-0.10882459999999999</v>
      </c>
      <c r="P2793">
        <v>-0.98960099999999995</v>
      </c>
      <c r="Q2793">
        <v>1.534406E-2</v>
      </c>
      <c r="R2793">
        <v>-0.14301920000000001</v>
      </c>
      <c r="S2793">
        <v>-2.8842469999999998</v>
      </c>
      <c r="T2793">
        <v>-0.20877789999999999</v>
      </c>
      <c r="U2793">
        <v>-1.059631</v>
      </c>
      <c r="V2793">
        <v>-3.4649119999999999E-2</v>
      </c>
      <c r="W2793">
        <v>2.7555619999999999E-2</v>
      </c>
      <c r="X2793">
        <v>0.99901960000000001</v>
      </c>
      <c r="Y2793">
        <v>-0.24034330000000001</v>
      </c>
      <c r="Z2793">
        <v>-8.4168320000000004E-4</v>
      </c>
      <c r="AA2793">
        <v>0.97068759999999998</v>
      </c>
      <c r="AB2793">
        <v>26</v>
      </c>
      <c r="AC2793">
        <v>-15.127800000000001</v>
      </c>
      <c r="AD2793">
        <v>-1.11272760781399</v>
      </c>
      <c r="AE2793">
        <v>-5.6173000000000002</v>
      </c>
      <c r="AF2793">
        <v>-3.9188958225632402</v>
      </c>
      <c r="AG2793">
        <v>-1.11272760781399</v>
      </c>
      <c r="AH2793">
        <v>15.575232660534899</v>
      </c>
      <c r="AI2793">
        <v>93.963272886396297</v>
      </c>
      <c r="AJ2793">
        <v>104.123070381555</v>
      </c>
      <c r="AK2793">
        <v>16.099185682111099</v>
      </c>
      <c r="AL2793">
        <v>88.420979428416899</v>
      </c>
      <c r="AM2793">
        <v>91.986400349776702</v>
      </c>
      <c r="AN2793">
        <v>1.0000000174472501</v>
      </c>
    </row>
    <row r="2794" spans="1:40" x14ac:dyDescent="0.25">
      <c r="A2794" t="str">
        <f>"20190312160348487"</f>
        <v>20190312160348487</v>
      </c>
      <c r="B2794" t="str">
        <f>"1552377828477200"</f>
        <v>1552377828477200</v>
      </c>
      <c r="C2794" t="s">
        <v>40</v>
      </c>
      <c r="D2794">
        <v>5.4927580000000003</v>
      </c>
      <c r="E2794">
        <v>0.40105960000000002</v>
      </c>
      <c r="F2794" t="s">
        <v>59</v>
      </c>
      <c r="G2794">
        <v>-491.6628</v>
      </c>
      <c r="H2794" s="1">
        <v>2.7530109999999998E-6</v>
      </c>
      <c r="I2794">
        <v>277.83199999999999</v>
      </c>
      <c r="J2794">
        <v>-475.22730000000001</v>
      </c>
      <c r="K2794">
        <v>1.1127469999999999</v>
      </c>
      <c r="L2794">
        <v>284.87430000000001</v>
      </c>
      <c r="M2794">
        <v>-0.99373049999999996</v>
      </c>
      <c r="N2794">
        <v>0</v>
      </c>
      <c r="O2794">
        <v>-0.1111079</v>
      </c>
      <c r="P2794">
        <v>-0.98923090000000002</v>
      </c>
      <c r="Q2794">
        <v>1.522016E-2</v>
      </c>
      <c r="R2794">
        <v>-0.14556959999999999</v>
      </c>
      <c r="S2794">
        <v>-2.8585820000000002</v>
      </c>
      <c r="T2794">
        <v>-0.19182440000000001</v>
      </c>
      <c r="U2794">
        <v>-1.2171940000000001</v>
      </c>
      <c r="V2794">
        <v>-3.4929349999999998E-2</v>
      </c>
      <c r="W2794">
        <v>2.7429780000000001E-2</v>
      </c>
      <c r="X2794">
        <v>0.99901329999999999</v>
      </c>
      <c r="Y2794">
        <v>-0.286775</v>
      </c>
      <c r="Z2794">
        <v>-2.1243910000000002E-3</v>
      </c>
      <c r="AA2794">
        <v>0.95799559999999995</v>
      </c>
      <c r="AB2794">
        <v>26</v>
      </c>
      <c r="AC2794">
        <v>-16.435499999999902</v>
      </c>
      <c r="AD2794">
        <v>-1.1127442469890001</v>
      </c>
      <c r="AE2794">
        <v>-7.0423000000000098</v>
      </c>
      <c r="AF2794">
        <v>-5.1524802289971197</v>
      </c>
      <c r="AG2794">
        <v>-1.1127442469890001</v>
      </c>
      <c r="AH2794">
        <v>17.050205551949301</v>
      </c>
      <c r="AI2794">
        <v>93.574768815831305</v>
      </c>
      <c r="AJ2794">
        <v>106.814534009949</v>
      </c>
      <c r="AK2794">
        <v>17.846449552589899</v>
      </c>
      <c r="AL2794">
        <v>88.428192248536206</v>
      </c>
      <c r="AM2794">
        <v>92.002465254255995</v>
      </c>
      <c r="AN2794">
        <v>1.0000000129495801</v>
      </c>
    </row>
    <row r="2795" spans="1:40" x14ac:dyDescent="0.25">
      <c r="A2795" t="str">
        <f>"20190312160348500"</f>
        <v>20190312160348500</v>
      </c>
      <c r="B2795" t="str">
        <f>"1552377828497696"</f>
        <v>1552377828497696</v>
      </c>
      <c r="C2795" t="s">
        <v>40</v>
      </c>
      <c r="D2795">
        <v>5.510802</v>
      </c>
      <c r="E2795">
        <v>0.40077109999999999</v>
      </c>
      <c r="F2795" t="s">
        <v>59</v>
      </c>
      <c r="G2795">
        <v>-491.63319999999999</v>
      </c>
      <c r="H2795" s="1">
        <v>2.7489000000000001E-6</v>
      </c>
      <c r="I2795">
        <v>277.81299999999999</v>
      </c>
      <c r="J2795">
        <v>-475.37240000000003</v>
      </c>
      <c r="K2795">
        <v>1.1127609999999999</v>
      </c>
      <c r="L2795">
        <v>284.85559999999998</v>
      </c>
      <c r="M2795">
        <v>-0.99347169999999896</v>
      </c>
      <c r="N2795">
        <v>0</v>
      </c>
      <c r="O2795">
        <v>-0.11339680000000001</v>
      </c>
      <c r="P2795">
        <v>-0.98886779999999996</v>
      </c>
      <c r="Q2795">
        <v>1.501154E-2</v>
      </c>
      <c r="R2795">
        <v>-0.1480379</v>
      </c>
      <c r="S2795">
        <v>-2.8548279999999999</v>
      </c>
      <c r="T2795">
        <v>-0.193631</v>
      </c>
      <c r="U2795">
        <v>-1.2287600000000001</v>
      </c>
      <c r="V2795">
        <v>-3.5120569999999997E-2</v>
      </c>
      <c r="W2795">
        <v>2.7219569999999998E-2</v>
      </c>
      <c r="X2795">
        <v>0.99901240000000002</v>
      </c>
      <c r="Y2795">
        <v>-0.28829650000000001</v>
      </c>
      <c r="Z2795">
        <v>-2.0489499999999999E-3</v>
      </c>
      <c r="AA2795">
        <v>0.95753900000000003</v>
      </c>
      <c r="AB2795">
        <v>26</v>
      </c>
      <c r="AC2795">
        <v>-16.2607999999999</v>
      </c>
      <c r="AD2795">
        <v>-1.1127582511</v>
      </c>
      <c r="AE2795">
        <v>-7.0425999999999904</v>
      </c>
      <c r="AF2795">
        <v>-5.1328606542625197</v>
      </c>
      <c r="AG2795">
        <v>-1.1127582511</v>
      </c>
      <c r="AH2795">
        <v>16.887974491432999</v>
      </c>
      <c r="AI2795">
        <v>93.607324829189295</v>
      </c>
      <c r="AJ2795">
        <v>106.905906460738</v>
      </c>
      <c r="AK2795">
        <v>17.685818382103701</v>
      </c>
      <c r="AL2795">
        <v>88.440240977977197</v>
      </c>
      <c r="AM2795">
        <v>92.013420522931696</v>
      </c>
      <c r="AN2795">
        <v>1.0000000673909299</v>
      </c>
    </row>
    <row r="2796" spans="1:40" x14ac:dyDescent="0.25">
      <c r="A2796" t="str">
        <f>"20190312160348514"</f>
        <v>20190312160348514</v>
      </c>
      <c r="B2796" t="str">
        <f>"1552377828507456"</f>
        <v>1552377828507456</v>
      </c>
      <c r="C2796" t="s">
        <v>40</v>
      </c>
      <c r="D2796">
        <v>5.512893</v>
      </c>
      <c r="E2796">
        <v>0.40079169999999997</v>
      </c>
      <c r="F2796" t="s">
        <v>59</v>
      </c>
      <c r="G2796">
        <v>-491.41820000000001</v>
      </c>
      <c r="H2796" s="1">
        <v>2.7935040000000001E-6</v>
      </c>
      <c r="I2796">
        <v>277.8852</v>
      </c>
      <c r="J2796">
        <v>-475.51900000000001</v>
      </c>
      <c r="K2796">
        <v>1.1127769999999999</v>
      </c>
      <c r="L2796">
        <v>284.83640000000003</v>
      </c>
      <c r="M2796">
        <v>-0.99320350000000002</v>
      </c>
      <c r="N2796">
        <v>0</v>
      </c>
      <c r="O2796">
        <v>-0.1157239</v>
      </c>
      <c r="P2796">
        <v>-0.98841950000000001</v>
      </c>
      <c r="Q2796">
        <v>1.4274999999999999E-2</v>
      </c>
      <c r="R2796">
        <v>-0.15107409999999999</v>
      </c>
      <c r="S2796">
        <v>-2.8513489999999999</v>
      </c>
      <c r="T2796">
        <v>-0.19773850000000001</v>
      </c>
      <c r="U2796">
        <v>-1.2386469999999901</v>
      </c>
      <c r="V2796">
        <v>-3.5843449999999999E-2</v>
      </c>
      <c r="W2796">
        <v>2.6478359999999999E-2</v>
      </c>
      <c r="X2796">
        <v>0.99900659999999997</v>
      </c>
      <c r="Y2796">
        <v>-0.28926259999999998</v>
      </c>
      <c r="Z2796">
        <v>-1.9739760000000001E-3</v>
      </c>
      <c r="AA2796">
        <v>0.95724770000000003</v>
      </c>
      <c r="AB2796">
        <v>26</v>
      </c>
      <c r="AC2796">
        <v>-15.8992</v>
      </c>
      <c r="AD2796">
        <v>-1.112774206496</v>
      </c>
      <c r="AE2796">
        <v>-6.9512000000000196</v>
      </c>
      <c r="AF2796">
        <v>-5.0436889160344496</v>
      </c>
      <c r="AG2796">
        <v>-1.112774206496</v>
      </c>
      <c r="AH2796">
        <v>16.5288718557278</v>
      </c>
      <c r="AI2796">
        <v>93.684298268605104</v>
      </c>
      <c r="AJ2796">
        <v>106.969262999245</v>
      </c>
      <c r="AK2796">
        <v>17.317062947839698</v>
      </c>
      <c r="AL2796">
        <v>88.482724426645007</v>
      </c>
      <c r="AM2796">
        <v>92.054839125660806</v>
      </c>
      <c r="AN2796">
        <v>1.0000000216498699</v>
      </c>
    </row>
    <row r="2797" spans="1:40" x14ac:dyDescent="0.25">
      <c r="A2797" t="str">
        <f>"20190312160348530"</f>
        <v>20190312160348530</v>
      </c>
      <c r="B2797" t="str">
        <f>"1552377828526976"</f>
        <v>1552377828526976</v>
      </c>
      <c r="C2797" t="s">
        <v>40</v>
      </c>
      <c r="D2797">
        <v>5.482583</v>
      </c>
      <c r="E2797">
        <v>0.40083970000000002</v>
      </c>
      <c r="F2797" t="s">
        <v>59</v>
      </c>
      <c r="G2797">
        <v>-491.28179999999998</v>
      </c>
      <c r="H2797" s="1">
        <v>2.8216490000000001E-6</v>
      </c>
      <c r="I2797">
        <v>277.93060000000003</v>
      </c>
      <c r="J2797">
        <v>-475.71039999999999</v>
      </c>
      <c r="K2797">
        <v>1.1127990000000001</v>
      </c>
      <c r="L2797">
        <v>284.8107</v>
      </c>
      <c r="M2797">
        <v>-0.99284119999999998</v>
      </c>
      <c r="N2797">
        <v>0</v>
      </c>
      <c r="O2797">
        <v>-0.1187917</v>
      </c>
      <c r="P2797">
        <v>-0.98797630000000003</v>
      </c>
      <c r="Q2797">
        <v>1.293418E-2</v>
      </c>
      <c r="R2797">
        <v>-0.15406439999999999</v>
      </c>
      <c r="S2797">
        <v>-2.8473510000000002</v>
      </c>
      <c r="T2797">
        <v>-0.2010084</v>
      </c>
      <c r="U2797">
        <v>-1.2474369999999999</v>
      </c>
      <c r="V2797">
        <v>-3.5771310000000001E-2</v>
      </c>
      <c r="W2797">
        <v>2.5137940000000001E-2</v>
      </c>
      <c r="X2797">
        <v>0.99904380000000004</v>
      </c>
      <c r="Y2797">
        <v>-0.289273</v>
      </c>
      <c r="Z2797">
        <v>-1.8053640000000001E-3</v>
      </c>
      <c r="AA2797">
        <v>0.95724489999999995</v>
      </c>
      <c r="AB2797">
        <v>26</v>
      </c>
      <c r="AC2797">
        <v>-15.571399999999899</v>
      </c>
      <c r="AD2797">
        <v>-1.1127961783510001</v>
      </c>
      <c r="AE2797">
        <v>-6.8800999999999704</v>
      </c>
      <c r="AF2797">
        <v>-4.96028447055944</v>
      </c>
      <c r="AG2797">
        <v>-1.1127961783510001</v>
      </c>
      <c r="AH2797">
        <v>16.2092259236933</v>
      </c>
      <c r="AI2797">
        <v>93.755907758145597</v>
      </c>
      <c r="AJ2797">
        <v>107.01495537990699</v>
      </c>
      <c r="AK2797">
        <v>16.987693851984702</v>
      </c>
      <c r="AL2797">
        <v>88.559550410198796</v>
      </c>
      <c r="AM2797">
        <v>92.050630712499498</v>
      </c>
      <c r="AN2797">
        <v>1.00000000848249</v>
      </c>
    </row>
    <row r="2798" spans="1:40" x14ac:dyDescent="0.25">
      <c r="A2798" t="str">
        <f>"20190312160348553"</f>
        <v>20190312160348553</v>
      </c>
      <c r="B2798" t="str">
        <f>"1552377828547483"</f>
        <v>1552377828547483</v>
      </c>
      <c r="C2798" t="s">
        <v>40</v>
      </c>
      <c r="D2798">
        <v>5.4829210000000002</v>
      </c>
      <c r="E2798">
        <v>0.40102460000000001</v>
      </c>
      <c r="F2798" t="s">
        <v>59</v>
      </c>
      <c r="G2798">
        <v>-491.13440000000003</v>
      </c>
      <c r="H2798" s="1">
        <v>2.8594480000000002E-6</v>
      </c>
      <c r="I2798">
        <v>278.00049999999999</v>
      </c>
      <c r="J2798">
        <v>-475.96289999999999</v>
      </c>
      <c r="K2798">
        <v>1.112833</v>
      </c>
      <c r="L2798">
        <v>284.77589999999998</v>
      </c>
      <c r="M2798">
        <v>-0.99234169999999999</v>
      </c>
      <c r="N2798">
        <v>0</v>
      </c>
      <c r="O2798">
        <v>-0.12289310000000001</v>
      </c>
      <c r="P2798">
        <v>-0.98731139999999995</v>
      </c>
      <c r="Q2798">
        <v>1.225733E-2</v>
      </c>
      <c r="R2798">
        <v>-0.1583224</v>
      </c>
      <c r="S2798">
        <v>-2.8434140000000001</v>
      </c>
      <c r="T2798">
        <v>-0.20514489999999999</v>
      </c>
      <c r="U2798">
        <v>-1.255463</v>
      </c>
      <c r="V2798">
        <v>-3.5947239999999998E-2</v>
      </c>
      <c r="W2798">
        <v>2.445961E-2</v>
      </c>
      <c r="X2798">
        <v>0.99905429999999995</v>
      </c>
      <c r="Y2798">
        <v>-0.28806479999999901</v>
      </c>
      <c r="Z2798">
        <v>-1.525169E-3</v>
      </c>
      <c r="AA2798">
        <v>0.95760970000000001</v>
      </c>
      <c r="AB2798">
        <v>25</v>
      </c>
      <c r="AC2798">
        <v>-15.1715</v>
      </c>
      <c r="AD2798">
        <v>-1.112830140552</v>
      </c>
      <c r="AE2798">
        <v>-6.7753999999999897</v>
      </c>
      <c r="AF2798">
        <v>-4.8377163434466901</v>
      </c>
      <c r="AG2798">
        <v>-1.112830140552</v>
      </c>
      <c r="AH2798">
        <v>15.818240795733301</v>
      </c>
      <c r="AI2798">
        <v>93.848783525033596</v>
      </c>
      <c r="AJ2798">
        <v>107.00528265878501</v>
      </c>
      <c r="AK2798">
        <v>16.5788610047003</v>
      </c>
      <c r="AL2798">
        <v>88.598427780704597</v>
      </c>
      <c r="AM2798">
        <v>92.060685785156807</v>
      </c>
      <c r="AN2798">
        <v>0.99999998546672897</v>
      </c>
    </row>
    <row r="2799" spans="1:40" x14ac:dyDescent="0.25">
      <c r="A2799" t="str">
        <f>"20190312160348575"</f>
        <v>20190312160348575</v>
      </c>
      <c r="B2799" t="str">
        <f>"1552377828567497"</f>
        <v>1552377828567497</v>
      </c>
      <c r="C2799" t="s">
        <v>40</v>
      </c>
      <c r="D2799">
        <v>5.5047370000000004</v>
      </c>
      <c r="E2799">
        <v>0.4013543</v>
      </c>
      <c r="F2799" t="s">
        <v>59</v>
      </c>
      <c r="G2799">
        <v>-491.3202</v>
      </c>
      <c r="H2799" s="1">
        <v>2.8153969999999999E-6</v>
      </c>
      <c r="I2799">
        <v>277.92250000000001</v>
      </c>
      <c r="J2799">
        <v>-476.20830000000001</v>
      </c>
      <c r="K2799">
        <v>1.1128720000000001</v>
      </c>
      <c r="L2799">
        <v>284.74090000000001</v>
      </c>
      <c r="M2799">
        <v>-0.99183259999999995</v>
      </c>
      <c r="N2799">
        <v>0</v>
      </c>
      <c r="O2799">
        <v>-0.12693679999999999</v>
      </c>
      <c r="P2799">
        <v>-0.98663149999999999</v>
      </c>
      <c r="Q2799">
        <v>1.180724E-2</v>
      </c>
      <c r="R2799">
        <v>-0.16254009999999999</v>
      </c>
      <c r="S2799">
        <v>-2.8379819999999998</v>
      </c>
      <c r="T2799">
        <v>-0.20564840000000001</v>
      </c>
      <c r="U2799">
        <v>-1.2664789999999999</v>
      </c>
      <c r="V2799">
        <v>-3.6142479999999998E-2</v>
      </c>
      <c r="W2799">
        <v>2.400818E-2</v>
      </c>
      <c r="X2799">
        <v>0.99905820000000001</v>
      </c>
      <c r="Y2799">
        <v>-0.2879504</v>
      </c>
      <c r="Z2799">
        <v>-1.252878E-3</v>
      </c>
      <c r="AA2799">
        <v>0.95764450000000001</v>
      </c>
      <c r="AB2799">
        <v>25</v>
      </c>
      <c r="AC2799">
        <v>-15.111899999999901</v>
      </c>
      <c r="AD2799">
        <v>-1.1128691846030001</v>
      </c>
      <c r="AE2799">
        <v>-6.8183999999999898</v>
      </c>
      <c r="AF2799">
        <v>-4.8230988556645</v>
      </c>
      <c r="AG2799">
        <v>-1.1128691846030001</v>
      </c>
      <c r="AH2799">
        <v>15.784090189762299</v>
      </c>
      <c r="AI2799">
        <v>93.857504860300295</v>
      </c>
      <c r="AJ2799">
        <v>106.991428887425</v>
      </c>
      <c r="AK2799">
        <v>16.542015098291401</v>
      </c>
      <c r="AL2799">
        <v>88.624300404907302</v>
      </c>
      <c r="AM2799">
        <v>92.071860165149204</v>
      </c>
      <c r="AN2799">
        <v>0.99999997927735096</v>
      </c>
    </row>
    <row r="2800" spans="1:40" x14ac:dyDescent="0.25">
      <c r="A2800" t="str">
        <f>"20190312160348597"</f>
        <v>20190312160348597</v>
      </c>
      <c r="B2800" t="str">
        <f>"1552377828587019"</f>
        <v>1552377828587019</v>
      </c>
      <c r="C2800" t="s">
        <v>40</v>
      </c>
      <c r="D2800">
        <v>5.5038919999999996</v>
      </c>
      <c r="E2800">
        <v>0.40170879999999998</v>
      </c>
      <c r="F2800" t="s">
        <v>59</v>
      </c>
      <c r="G2800">
        <v>-491.53590000000003</v>
      </c>
      <c r="H2800" s="1">
        <v>2.765815E-6</v>
      </c>
      <c r="I2800">
        <v>277.83640000000003</v>
      </c>
      <c r="J2800">
        <v>-476.46170000000001</v>
      </c>
      <c r="K2800">
        <v>1.1129119999999999</v>
      </c>
      <c r="L2800">
        <v>284.70370000000003</v>
      </c>
      <c r="M2800">
        <v>-0.99128150000000004</v>
      </c>
      <c r="N2800">
        <v>0</v>
      </c>
      <c r="O2800">
        <v>-0.1311706</v>
      </c>
      <c r="P2800">
        <v>-0.98587049999999998</v>
      </c>
      <c r="Q2800">
        <v>1.161478E-2</v>
      </c>
      <c r="R2800">
        <v>-0.1671059</v>
      </c>
      <c r="S2800">
        <v>-2.8328549999999999</v>
      </c>
      <c r="T2800">
        <v>-0.20568120000000001</v>
      </c>
      <c r="U2800">
        <v>-1.2760929999999999</v>
      </c>
      <c r="V2800">
        <v>-3.6503269999999997E-2</v>
      </c>
      <c r="W2800">
        <v>2.38132E-2</v>
      </c>
      <c r="X2800">
        <v>0.99904979999999999</v>
      </c>
      <c r="Y2800">
        <v>-0.28722170000000002</v>
      </c>
      <c r="Z2800">
        <v>-9.4253939999999997E-4</v>
      </c>
      <c r="AA2800">
        <v>0.95786369999999998</v>
      </c>
      <c r="AB2800">
        <v>25</v>
      </c>
      <c r="AC2800">
        <v>-15.074199999999999</v>
      </c>
      <c r="AD2800">
        <v>-1.112909234185</v>
      </c>
      <c r="AE2800">
        <v>-6.8673000000000002</v>
      </c>
      <c r="AF2800">
        <v>-4.8088042754944098</v>
      </c>
      <c r="AG2800">
        <v>-1.112909234185</v>
      </c>
      <c r="AH2800">
        <v>15.7735935747077</v>
      </c>
      <c r="AI2800">
        <v>93.860957948200905</v>
      </c>
      <c r="AJ2800">
        <v>106.954588015442</v>
      </c>
      <c r="AK2800">
        <v>16.527837722569998</v>
      </c>
      <c r="AL2800">
        <v>88.635475200406404</v>
      </c>
      <c r="AM2800">
        <v>92.092541660107798</v>
      </c>
      <c r="AN2800">
        <v>1.0000000300474801</v>
      </c>
    </row>
    <row r="2801" spans="1:40" x14ac:dyDescent="0.25">
      <c r="A2801" t="str">
        <f>"20190312160348622"</f>
        <v>20190312160348622</v>
      </c>
      <c r="B2801" t="str">
        <f>"1552377828617274"</f>
        <v>1552377828617274</v>
      </c>
      <c r="C2801" t="s">
        <v>40</v>
      </c>
      <c r="D2801">
        <v>5.4784959999999998</v>
      </c>
      <c r="E2801">
        <v>0.40214060000000001</v>
      </c>
      <c r="F2801" t="s">
        <v>59</v>
      </c>
      <c r="G2801">
        <v>-491.77109999999999</v>
      </c>
      <c r="H2801" s="1">
        <v>2.7102689999999999E-6</v>
      </c>
      <c r="I2801">
        <v>277.73829999999998</v>
      </c>
      <c r="J2801">
        <v>-476.72199999999998</v>
      </c>
      <c r="K2801">
        <v>1.112951</v>
      </c>
      <c r="L2801">
        <v>284.66430000000003</v>
      </c>
      <c r="M2801">
        <v>-0.99068730000000005</v>
      </c>
      <c r="N2801">
        <v>0</v>
      </c>
      <c r="O2801">
        <v>-0.13558519999999999</v>
      </c>
      <c r="P2801">
        <v>-0.98503890000000005</v>
      </c>
      <c r="Q2801">
        <v>1.1408959999999999E-2</v>
      </c>
      <c r="R2801">
        <v>-0.17195579999999999</v>
      </c>
      <c r="S2801">
        <v>-2.8273619999999999</v>
      </c>
      <c r="T2801">
        <v>-0.20553260000000001</v>
      </c>
      <c r="U2801">
        <v>-1.2863770000000001</v>
      </c>
      <c r="V2801">
        <v>-3.696982E-2</v>
      </c>
      <c r="W2801">
        <v>2.360346E-2</v>
      </c>
      <c r="X2801">
        <v>0.99903759999999997</v>
      </c>
      <c r="Y2801">
        <v>-0.28655330000000001</v>
      </c>
      <c r="Z2801">
        <v>-6.2116980000000003E-4</v>
      </c>
      <c r="AA2801">
        <v>0.95806409999999997</v>
      </c>
      <c r="AB2801">
        <v>25</v>
      </c>
      <c r="AC2801">
        <v>-15.049099999999999</v>
      </c>
      <c r="AD2801">
        <v>-1.1129482897309999</v>
      </c>
      <c r="AE2801">
        <v>-6.9260000000000401</v>
      </c>
      <c r="AF2801">
        <v>-4.7997766082351196</v>
      </c>
      <c r="AG2801">
        <v>-1.1129482897309999</v>
      </c>
      <c r="AH2801">
        <v>15.778035189623999</v>
      </c>
      <c r="AI2801">
        <v>93.860715146278906</v>
      </c>
      <c r="AJ2801">
        <v>106.92008770264501</v>
      </c>
      <c r="AK2801">
        <v>16.529455642264502</v>
      </c>
      <c r="AL2801">
        <v>88.647495766573201</v>
      </c>
      <c r="AM2801">
        <v>92.119288156045599</v>
      </c>
      <c r="AN2801">
        <v>1.00000000856428</v>
      </c>
    </row>
    <row r="2802" spans="1:40" x14ac:dyDescent="0.25">
      <c r="A2802" t="str">
        <f>"20190312160348642"</f>
        <v>20190312160348642</v>
      </c>
      <c r="B2802" t="str">
        <f>"1552377828637771"</f>
        <v>1552377828637771</v>
      </c>
      <c r="C2802" t="s">
        <v>40</v>
      </c>
      <c r="D2802">
        <v>5.5201449999999896</v>
      </c>
      <c r="E2802">
        <v>0.40231630000000002</v>
      </c>
      <c r="F2802" t="s">
        <v>59</v>
      </c>
      <c r="G2802">
        <v>-492.11579999999998</v>
      </c>
      <c r="H2802" s="1">
        <v>2.6266060000000001E-6</v>
      </c>
      <c r="I2802">
        <v>277.5881</v>
      </c>
      <c r="J2802">
        <v>-476.9581</v>
      </c>
      <c r="K2802">
        <v>1.112992</v>
      </c>
      <c r="L2802">
        <v>284.62740000000002</v>
      </c>
      <c r="M2802">
        <v>-0.99012219999999995</v>
      </c>
      <c r="N2802">
        <v>0</v>
      </c>
      <c r="O2802">
        <v>-0.13965089999999999</v>
      </c>
      <c r="P2802">
        <v>-0.98433740000000003</v>
      </c>
      <c r="Q2802">
        <v>1.0922970000000001E-2</v>
      </c>
      <c r="R2802">
        <v>-0.1759559</v>
      </c>
      <c r="S2802">
        <v>-2.8215330000000001</v>
      </c>
      <c r="T2802">
        <v>-0.20399220000000001</v>
      </c>
      <c r="U2802">
        <v>-1.296997</v>
      </c>
      <c r="V2802">
        <v>-3.6924989999999998E-2</v>
      </c>
      <c r="W2802">
        <v>2.3118650000000001E-2</v>
      </c>
      <c r="X2802">
        <v>0.99905060000000001</v>
      </c>
      <c r="Y2802">
        <v>-0.28636109999999998</v>
      </c>
      <c r="Z2802">
        <v>-3.3779809999999997E-4</v>
      </c>
      <c r="AA2802">
        <v>0.95812169999999997</v>
      </c>
      <c r="AB2802">
        <v>25</v>
      </c>
      <c r="AC2802">
        <v>-15.157699999999901</v>
      </c>
      <c r="AD2802">
        <v>-1.1129893733939999</v>
      </c>
      <c r="AE2802">
        <v>-7.0393000000000203</v>
      </c>
      <c r="AF2802">
        <v>-4.8319286139149202</v>
      </c>
      <c r="AG2802">
        <v>-1.1129893733939999</v>
      </c>
      <c r="AH2802">
        <v>15.921651100136501</v>
      </c>
      <c r="AI2802">
        <v>93.826904546889295</v>
      </c>
      <c r="AJ2802">
        <v>106.8820800198</v>
      </c>
      <c r="AK2802">
        <v>16.675888379025999</v>
      </c>
      <c r="AL2802">
        <v>88.675280923577503</v>
      </c>
      <c r="AM2802">
        <v>92.116693105136093</v>
      </c>
      <c r="AN2802">
        <v>1.00000001411234</v>
      </c>
    </row>
    <row r="2803" spans="1:40" x14ac:dyDescent="0.25">
      <c r="A2803" t="str">
        <f>"20190312160348665"</f>
        <v>20190312160348665</v>
      </c>
      <c r="B2803" t="str">
        <f>"1552377828657294"</f>
        <v>1552377828657294</v>
      </c>
      <c r="C2803" t="s">
        <v>40</v>
      </c>
      <c r="D2803">
        <v>5.492407</v>
      </c>
      <c r="E2803">
        <v>0.40626499999999999</v>
      </c>
      <c r="F2803" t="s">
        <v>59</v>
      </c>
      <c r="G2803">
        <v>-492.24700000000001</v>
      </c>
      <c r="H2803" s="1">
        <v>2.595139E-6</v>
      </c>
      <c r="I2803">
        <v>277.53199999999998</v>
      </c>
      <c r="J2803">
        <v>-477.20830000000001</v>
      </c>
      <c r="K2803">
        <v>1.1130310000000001</v>
      </c>
      <c r="L2803">
        <v>284.5872</v>
      </c>
      <c r="M2803">
        <v>-0.98949609999999999</v>
      </c>
      <c r="N2803">
        <v>0</v>
      </c>
      <c r="O2803">
        <v>-0.1440215</v>
      </c>
      <c r="P2803">
        <v>-0.98346129999999998</v>
      </c>
      <c r="Q2803">
        <v>1.104483E-2</v>
      </c>
      <c r="R2803">
        <v>-0.1807831</v>
      </c>
      <c r="S2803">
        <v>-2.8164060000000002</v>
      </c>
      <c r="T2803">
        <v>-0.2050266</v>
      </c>
      <c r="U2803">
        <v>-1.3070679999999999</v>
      </c>
      <c r="V2803">
        <v>-3.7418890000000003E-2</v>
      </c>
      <c r="W2803">
        <v>2.3236400000000001E-2</v>
      </c>
      <c r="X2803">
        <v>0.99902950000000001</v>
      </c>
      <c r="Y2803">
        <v>-0.28562270000000001</v>
      </c>
      <c r="Z2803" s="1">
        <v>-1.950935E-5</v>
      </c>
      <c r="AA2803">
        <v>0.95834209999999997</v>
      </c>
      <c r="AB2803">
        <v>25</v>
      </c>
      <c r="AC2803">
        <v>-15.038699999999899</v>
      </c>
      <c r="AD2803">
        <v>-1.113028404861</v>
      </c>
      <c r="AE2803">
        <v>-7.0552000000000099</v>
      </c>
      <c r="AF2803">
        <v>-4.7940476385153801</v>
      </c>
      <c r="AG2803">
        <v>-1.113028404861</v>
      </c>
      <c r="AH2803">
        <v>15.8270140422909</v>
      </c>
      <c r="AI2803">
        <v>93.850470272413901</v>
      </c>
      <c r="AJ2803">
        <v>106.851710111193</v>
      </c>
      <c r="AK2803">
        <v>16.574561788634298</v>
      </c>
      <c r="AL2803">
        <v>88.668532544269993</v>
      </c>
      <c r="AM2803">
        <v>92.145024484041599</v>
      </c>
      <c r="AN2803">
        <v>1.00000002274202</v>
      </c>
    </row>
    <row r="2804" spans="1:40" x14ac:dyDescent="0.25">
      <c r="A2804" t="str">
        <f>"20190312160348686"</f>
        <v>20190312160348686</v>
      </c>
      <c r="B2804" t="str">
        <f>"1552377828677786"</f>
        <v>1552377828677786</v>
      </c>
      <c r="C2804" t="s">
        <v>40</v>
      </c>
      <c r="D2804">
        <v>5.4849170000000003</v>
      </c>
      <c r="E2804">
        <v>0.40660000000000002</v>
      </c>
      <c r="F2804" t="s">
        <v>59</v>
      </c>
      <c r="G2804">
        <v>-491.16359999999997</v>
      </c>
      <c r="H2804" s="1">
        <v>2.923075E-6</v>
      </c>
      <c r="I2804">
        <v>278.18790000000001</v>
      </c>
      <c r="J2804">
        <v>-477.45580000000001</v>
      </c>
      <c r="K2804">
        <v>1.1130819999999999</v>
      </c>
      <c r="L2804">
        <v>284.54629999999997</v>
      </c>
      <c r="M2804">
        <v>-0.98884669999999997</v>
      </c>
      <c r="N2804">
        <v>0</v>
      </c>
      <c r="O2804">
        <v>-0.14841309999999999</v>
      </c>
      <c r="P2804">
        <v>-0.98251889999999997</v>
      </c>
      <c r="Q2804">
        <v>1.119243E-2</v>
      </c>
      <c r="R2804">
        <v>-0.18582650000000001</v>
      </c>
      <c r="S2804">
        <v>-2.8156430000000001</v>
      </c>
      <c r="T2804">
        <v>-0.22456580000000001</v>
      </c>
      <c r="U2804">
        <v>-1.2911379999999999</v>
      </c>
      <c r="V2804">
        <v>-3.8113309999999997E-2</v>
      </c>
      <c r="W2804">
        <v>2.3378449999999999E-2</v>
      </c>
      <c r="X2804">
        <v>0.99899990000000005</v>
      </c>
      <c r="Y2804">
        <v>-0.27695710000000001</v>
      </c>
      <c r="Z2804">
        <v>6.3339709999999999E-4</v>
      </c>
      <c r="AA2804">
        <v>0.96088209999999996</v>
      </c>
      <c r="AB2804">
        <v>25</v>
      </c>
      <c r="AC2804">
        <v>-13.707799999999899</v>
      </c>
      <c r="AD2804">
        <v>-1.1130790769250001</v>
      </c>
      <c r="AE2804">
        <v>-6.3583999999999596</v>
      </c>
      <c r="AF2804">
        <v>-4.2304424571975101</v>
      </c>
      <c r="AG2804">
        <v>-1.1130790769250001</v>
      </c>
      <c r="AH2804">
        <v>14.421460423230499</v>
      </c>
      <c r="AI2804">
        <v>94.235671241976505</v>
      </c>
      <c r="AJ2804">
        <v>106.348710761452</v>
      </c>
      <c r="AK2804">
        <v>15.07030554282</v>
      </c>
      <c r="AL2804">
        <v>88.660391421206498</v>
      </c>
      <c r="AM2804">
        <v>92.184858308538395</v>
      </c>
      <c r="AN2804">
        <v>0.99999998826178405</v>
      </c>
    </row>
    <row r="2805" spans="1:40" x14ac:dyDescent="0.25">
      <c r="A2805" t="str">
        <f>"20190312160348709"</f>
        <v>20190312160348709</v>
      </c>
      <c r="B2805" t="str">
        <f>"1552377828697306"</f>
        <v>1552377828697306</v>
      </c>
      <c r="C2805" t="s">
        <v>40</v>
      </c>
      <c r="D2805">
        <v>5.4680010000000001</v>
      </c>
      <c r="E2805">
        <v>0.40687950000000001</v>
      </c>
      <c r="F2805" t="s">
        <v>59</v>
      </c>
      <c r="G2805">
        <v>-491.41219999999998</v>
      </c>
      <c r="H2805" s="1">
        <v>2.8600900000000001E-6</v>
      </c>
      <c r="I2805">
        <v>278.07209999999998</v>
      </c>
      <c r="J2805">
        <v>-477.70310000000001</v>
      </c>
      <c r="K2805">
        <v>1.113132</v>
      </c>
      <c r="L2805">
        <v>284.50409999999999</v>
      </c>
      <c r="M2805">
        <v>-0.98816619999999999</v>
      </c>
      <c r="N2805">
        <v>0</v>
      </c>
      <c r="O2805">
        <v>-0.15287870000000001</v>
      </c>
      <c r="P2805">
        <v>-0.98165769999999997</v>
      </c>
      <c r="Q2805">
        <v>1.104609E-2</v>
      </c>
      <c r="R2805">
        <v>-0.19033140000000001</v>
      </c>
      <c r="S2805">
        <v>-2.8094790000000001</v>
      </c>
      <c r="T2805">
        <v>-0.2240674</v>
      </c>
      <c r="U2805">
        <v>-1.3032840000000001</v>
      </c>
      <c r="V2805">
        <v>-3.8184419999999997E-2</v>
      </c>
      <c r="W2805">
        <v>2.3231149999999999E-2</v>
      </c>
      <c r="X2805">
        <v>0.99900060000000002</v>
      </c>
      <c r="Y2805">
        <v>-0.27685209999999999</v>
      </c>
      <c r="Z2805">
        <v>9.6570610000000002E-4</v>
      </c>
      <c r="AA2805">
        <v>0.96091199999999999</v>
      </c>
      <c r="AB2805">
        <v>25</v>
      </c>
      <c r="AC2805">
        <v>-13.7090999999999</v>
      </c>
      <c r="AD2805">
        <v>-1.1131291399100001</v>
      </c>
      <c r="AE2805">
        <v>-6.4320000000000102</v>
      </c>
      <c r="AF2805">
        <v>-4.2374903173870297</v>
      </c>
      <c r="AG2805">
        <v>-1.1131291399100001</v>
      </c>
      <c r="AH2805">
        <v>14.4532194100772</v>
      </c>
      <c r="AI2805">
        <v>94.226765583259507</v>
      </c>
      <c r="AJ2805">
        <v>106.34043033744901</v>
      </c>
      <c r="AK2805">
        <v>15.1026796293869</v>
      </c>
      <c r="AL2805">
        <v>88.668833354817806</v>
      </c>
      <c r="AM2805">
        <v>92.188929219269994</v>
      </c>
      <c r="AN2805">
        <v>0.99999996753070897</v>
      </c>
    </row>
    <row r="2806" spans="1:40" x14ac:dyDescent="0.25">
      <c r="A2806" t="str">
        <f>"20190312160348732"</f>
        <v>20190312160348732</v>
      </c>
      <c r="B2806" t="str">
        <f>"1552377828727562"</f>
        <v>1552377828727562</v>
      </c>
      <c r="C2806" t="s">
        <v>40</v>
      </c>
      <c r="D2806">
        <v>5.4938940000000001</v>
      </c>
      <c r="E2806">
        <v>0.40726000000000001</v>
      </c>
      <c r="F2806" t="s">
        <v>59</v>
      </c>
      <c r="G2806">
        <v>-491.5444</v>
      </c>
      <c r="H2806" s="1">
        <v>2.828788E-6</v>
      </c>
      <c r="I2806">
        <v>278.01670000000001</v>
      </c>
      <c r="J2806">
        <v>-477.95609999999999</v>
      </c>
      <c r="K2806">
        <v>1.113184</v>
      </c>
      <c r="L2806">
        <v>284.45960000000002</v>
      </c>
      <c r="M2806">
        <v>-0.98743579999999997</v>
      </c>
      <c r="N2806">
        <v>0</v>
      </c>
      <c r="O2806">
        <v>-0.157527</v>
      </c>
      <c r="P2806">
        <v>-0.98071350000000002</v>
      </c>
      <c r="Q2806">
        <v>1.0529429999999999E-2</v>
      </c>
      <c r="R2806">
        <v>-0.19516700000000001</v>
      </c>
      <c r="S2806">
        <v>-2.803833</v>
      </c>
      <c r="T2806">
        <v>-0.22548689999999999</v>
      </c>
      <c r="U2806">
        <v>-1.3141480000000001</v>
      </c>
      <c r="V2806">
        <v>-3.8404960000000002E-2</v>
      </c>
      <c r="W2806">
        <v>2.2712969999999999E-2</v>
      </c>
      <c r="X2806">
        <v>0.99900409999999995</v>
      </c>
      <c r="Y2806">
        <v>-0.27613569999999998</v>
      </c>
      <c r="Z2806">
        <v>1.3448399999999999E-3</v>
      </c>
      <c r="AA2806">
        <v>0.96111769999999996</v>
      </c>
      <c r="AB2806">
        <v>25</v>
      </c>
      <c r="AC2806">
        <v>-13.5883</v>
      </c>
      <c r="AD2806">
        <v>-1.1131811712120001</v>
      </c>
      <c r="AE2806">
        <v>-6.4428999999999998</v>
      </c>
      <c r="AF2806">
        <v>-4.1987483950204201</v>
      </c>
      <c r="AG2806">
        <v>-1.1131811712120001</v>
      </c>
      <c r="AH2806">
        <v>14.3549728796489</v>
      </c>
      <c r="AI2806">
        <v>94.256577915509297</v>
      </c>
      <c r="AJ2806">
        <v>106.30389955058099</v>
      </c>
      <c r="AK2806">
        <v>14.997796730856299</v>
      </c>
      <c r="AL2806">
        <v>88.698530769987102</v>
      </c>
      <c r="AM2806">
        <v>92.2015516070487</v>
      </c>
      <c r="AN2806">
        <v>1.00000000588781</v>
      </c>
    </row>
    <row r="2807" spans="1:40" x14ac:dyDescent="0.25">
      <c r="A2807" t="str">
        <f>"20190312160348753"</f>
        <v>20190312160348753</v>
      </c>
      <c r="B2807" t="str">
        <f>"1552377828747086"</f>
        <v>1552377828747086</v>
      </c>
      <c r="C2807" t="s">
        <v>40</v>
      </c>
      <c r="D2807">
        <v>5.4762209999999998</v>
      </c>
      <c r="E2807">
        <v>0.40763149999999998</v>
      </c>
      <c r="F2807" t="s">
        <v>59</v>
      </c>
      <c r="G2807">
        <v>-491.55930000000001</v>
      </c>
      <c r="H2807" s="1">
        <v>2.8282770000000001E-6</v>
      </c>
      <c r="I2807">
        <v>278.01900000000001</v>
      </c>
      <c r="J2807">
        <v>-478.2022</v>
      </c>
      <c r="K2807">
        <v>1.1132280000000001</v>
      </c>
      <c r="L2807">
        <v>284.4151</v>
      </c>
      <c r="M2807">
        <v>-0.9866933</v>
      </c>
      <c r="N2807">
        <v>0</v>
      </c>
      <c r="O2807">
        <v>-0.1621118</v>
      </c>
      <c r="P2807">
        <v>-0.97980929999999999</v>
      </c>
      <c r="Q2807">
        <v>1.000887E-2</v>
      </c>
      <c r="R2807">
        <v>-0.19968340000000001</v>
      </c>
      <c r="S2807">
        <v>-2.7978519999999998</v>
      </c>
      <c r="T2807">
        <v>-0.22895450000000001</v>
      </c>
      <c r="U2807">
        <v>-1.3246770000000001</v>
      </c>
      <c r="V2807">
        <v>-3.8365389999999999E-2</v>
      </c>
      <c r="W2807">
        <v>2.219287E-2</v>
      </c>
      <c r="X2807">
        <v>0.9990173</v>
      </c>
      <c r="Y2807">
        <v>-0.2754238</v>
      </c>
      <c r="Z2807">
        <v>1.7397789999999999E-3</v>
      </c>
      <c r="AA2807">
        <v>0.96132139999999999</v>
      </c>
      <c r="AB2807">
        <v>25</v>
      </c>
      <c r="AC2807">
        <v>-13.357100000000001</v>
      </c>
      <c r="AD2807">
        <v>-1.113225171723</v>
      </c>
      <c r="AE2807">
        <v>-6.3960999999999899</v>
      </c>
      <c r="AF2807">
        <v>-4.1226741056405398</v>
      </c>
      <c r="AG2807">
        <v>-1.113225171723</v>
      </c>
      <c r="AH2807">
        <v>14.137470899621</v>
      </c>
      <c r="AI2807">
        <v>94.323009366401394</v>
      </c>
      <c r="AJ2807">
        <v>106.257385073162</v>
      </c>
      <c r="AK2807">
        <v>14.768337601162401</v>
      </c>
      <c r="AL2807">
        <v>88.728337807020296</v>
      </c>
      <c r="AM2807">
        <v>92.199256467907801</v>
      </c>
      <c r="AN2807">
        <v>0.99999999616398905</v>
      </c>
    </row>
    <row r="2808" spans="1:40" x14ac:dyDescent="0.25">
      <c r="A2808" t="str">
        <f>"20190312160348776"</f>
        <v>20190312160348776</v>
      </c>
      <c r="B2808" t="str">
        <f>"1552377828767578"</f>
        <v>1552377828767578</v>
      </c>
      <c r="C2808" t="s">
        <v>40</v>
      </c>
      <c r="D2808">
        <v>5.5031949999999998</v>
      </c>
      <c r="E2808">
        <v>0.40782740000000001</v>
      </c>
      <c r="F2808" t="s">
        <v>59</v>
      </c>
      <c r="G2808">
        <v>-491.7251</v>
      </c>
      <c r="H2808" s="1">
        <v>2.7893729999999998E-6</v>
      </c>
      <c r="I2808">
        <v>277.95049999999998</v>
      </c>
      <c r="J2808">
        <v>-478.45269999999999</v>
      </c>
      <c r="K2808">
        <v>1.113267</v>
      </c>
      <c r="L2808">
        <v>284.36849999999998</v>
      </c>
      <c r="M2808">
        <v>-0.98590390000000006</v>
      </c>
      <c r="N2808">
        <v>0</v>
      </c>
      <c r="O2808">
        <v>-0.1668462</v>
      </c>
      <c r="P2808">
        <v>-0.97894800000000004</v>
      </c>
      <c r="Q2808">
        <v>9.3968769999999997E-3</v>
      </c>
      <c r="R2808">
        <v>-0.2038942</v>
      </c>
      <c r="S2808">
        <v>-2.7921450000000001</v>
      </c>
      <c r="T2808">
        <v>-0.229854</v>
      </c>
      <c r="U2808">
        <v>-1.334778</v>
      </c>
      <c r="V2808">
        <v>-3.7861409999999998E-2</v>
      </c>
      <c r="W2808">
        <v>2.1586000000000001E-2</v>
      </c>
      <c r="X2808">
        <v>0.99904979999999999</v>
      </c>
      <c r="Y2808">
        <v>-0.27441660000000001</v>
      </c>
      <c r="Z2808">
        <v>2.1455089999999999E-3</v>
      </c>
      <c r="AA2808">
        <v>0.96160849999999998</v>
      </c>
      <c r="AB2808">
        <v>25</v>
      </c>
      <c r="AC2808">
        <v>-13.272399999999999</v>
      </c>
      <c r="AD2808">
        <v>-1.1132642106270001</v>
      </c>
      <c r="AE2808">
        <v>-6.4180000000000001</v>
      </c>
      <c r="AF2808">
        <v>-4.0900798257810997</v>
      </c>
      <c r="AG2808">
        <v>-1.1132642106270001</v>
      </c>
      <c r="AH2808">
        <v>14.0769634331817</v>
      </c>
      <c r="AI2808">
        <v>94.342904596559805</v>
      </c>
      <c r="AJ2808">
        <v>106.20129072872599</v>
      </c>
      <c r="AK2808">
        <v>14.7013268000905</v>
      </c>
      <c r="AL2808">
        <v>88.763117201139593</v>
      </c>
      <c r="AM2808">
        <v>92.170323608726605</v>
      </c>
      <c r="AN2808">
        <v>0.99999997232161297</v>
      </c>
    </row>
    <row r="2809" spans="1:40" x14ac:dyDescent="0.25">
      <c r="A2809" t="str">
        <f>"20190312160348798"</f>
        <v>20190312160348798</v>
      </c>
      <c r="B2809" t="str">
        <f>"1552377828787098"</f>
        <v>1552377828787098</v>
      </c>
      <c r="C2809" t="s">
        <v>40</v>
      </c>
      <c r="D2809">
        <v>5.4708170000000003</v>
      </c>
      <c r="E2809">
        <v>0.41078579999999998</v>
      </c>
      <c r="F2809" t="s">
        <v>59</v>
      </c>
      <c r="G2809">
        <v>-491.8963</v>
      </c>
      <c r="H2809" s="1">
        <v>2.7486709999999999E-6</v>
      </c>
      <c r="I2809">
        <v>277.8784</v>
      </c>
      <c r="J2809">
        <v>-478.70159999999998</v>
      </c>
      <c r="K2809">
        <v>1.1133090000000001</v>
      </c>
      <c r="L2809">
        <v>284.32100000000003</v>
      </c>
      <c r="M2809">
        <v>-0.9850835</v>
      </c>
      <c r="N2809">
        <v>0</v>
      </c>
      <c r="O2809">
        <v>-0.1716221</v>
      </c>
      <c r="P2809">
        <v>-0.97801039999999995</v>
      </c>
      <c r="Q2809">
        <v>8.8583009999999903E-3</v>
      </c>
      <c r="R2809">
        <v>-0.20836879999999999</v>
      </c>
      <c r="S2809">
        <v>-2.7865600000000001</v>
      </c>
      <c r="T2809">
        <v>-0.23075560000000001</v>
      </c>
      <c r="U2809">
        <v>-1.3452759999999999</v>
      </c>
      <c r="V2809">
        <v>-3.7585060000000003E-2</v>
      </c>
      <c r="W2809">
        <v>2.1050159999999998E-2</v>
      </c>
      <c r="X2809">
        <v>0.99907170000000001</v>
      </c>
      <c r="Y2809">
        <v>-0.27346150000000002</v>
      </c>
      <c r="Z2809">
        <v>2.5556120000000001E-3</v>
      </c>
      <c r="AA2809">
        <v>0.96187959999999995</v>
      </c>
      <c r="AB2809">
        <v>25</v>
      </c>
      <c r="AC2809">
        <v>-13.194699999999999</v>
      </c>
      <c r="AD2809">
        <v>-1.113306251329</v>
      </c>
      <c r="AE2809">
        <v>-6.4425999999999704</v>
      </c>
      <c r="AF2809">
        <v>-4.0589823101468596</v>
      </c>
      <c r="AG2809">
        <v>-1.113306251329</v>
      </c>
      <c r="AH2809">
        <v>14.024057069222399</v>
      </c>
      <c r="AI2809">
        <v>94.360692089839205</v>
      </c>
      <c r="AJ2809">
        <v>106.142027360855</v>
      </c>
      <c r="AK2809">
        <v>14.642027348838701</v>
      </c>
      <c r="AL2809">
        <v>88.793825589553293</v>
      </c>
      <c r="AM2809">
        <v>92.154450242040795</v>
      </c>
      <c r="AN2809">
        <v>1.0000000038560499</v>
      </c>
    </row>
    <row r="2810" spans="1:40" x14ac:dyDescent="0.25">
      <c r="A2810" t="str">
        <f>"20190312160348822"</f>
        <v>20190312160348822</v>
      </c>
      <c r="B2810" t="str">
        <f>"1552377828817354"</f>
        <v>1552377828817354</v>
      </c>
      <c r="C2810" t="s">
        <v>40</v>
      </c>
      <c r="D2810">
        <v>5.4939400000000003</v>
      </c>
      <c r="E2810">
        <v>0.41111710000000001</v>
      </c>
      <c r="F2810" t="s">
        <v>59</v>
      </c>
      <c r="G2810">
        <v>-491.54820000000001</v>
      </c>
      <c r="H2810" s="1">
        <v>2.8788989999999998E-6</v>
      </c>
      <c r="I2810">
        <v>278.15940000000001</v>
      </c>
      <c r="J2810">
        <v>-478.9545</v>
      </c>
      <c r="K2810">
        <v>1.1133599999999999</v>
      </c>
      <c r="L2810">
        <v>284.2713</v>
      </c>
      <c r="M2810">
        <v>-0.98421139999999996</v>
      </c>
      <c r="N2810">
        <v>0</v>
      </c>
      <c r="O2810">
        <v>-0.1765544</v>
      </c>
      <c r="P2810">
        <v>-0.97702140000000004</v>
      </c>
      <c r="Q2810">
        <v>8.4681459999999993E-3</v>
      </c>
      <c r="R2810">
        <v>-0.21297379999999999</v>
      </c>
      <c r="S2810">
        <v>-2.785034</v>
      </c>
      <c r="T2810">
        <v>-0.24135529999999999</v>
      </c>
      <c r="U2810">
        <v>-1.335785</v>
      </c>
      <c r="V2810">
        <v>-3.728571E-2</v>
      </c>
      <c r="W2810">
        <v>2.0663049999999999E-2</v>
      </c>
      <c r="X2810">
        <v>0.99909099999999995</v>
      </c>
      <c r="Y2810">
        <v>-0.26618979999999998</v>
      </c>
      <c r="Z2810">
        <v>3.3671489999999998E-3</v>
      </c>
      <c r="AA2810">
        <v>0.96391479999999996</v>
      </c>
      <c r="AB2810">
        <v>25</v>
      </c>
      <c r="AC2810">
        <v>-12.5937</v>
      </c>
      <c r="AD2810">
        <v>-1.113357121101</v>
      </c>
      <c r="AE2810">
        <v>-6.1118999999999897</v>
      </c>
      <c r="AF2810">
        <v>-3.76838747754321</v>
      </c>
      <c r="AG2810">
        <v>-1.113357121101</v>
      </c>
      <c r="AH2810">
        <v>13.3902970644242</v>
      </c>
      <c r="AI2810">
        <v>94.576051925692994</v>
      </c>
      <c r="AJ2810">
        <v>105.71802086579901</v>
      </c>
      <c r="AK2810">
        <v>13.954940477606399</v>
      </c>
      <c r="AL2810">
        <v>88.816010187055497</v>
      </c>
      <c r="AM2810">
        <v>92.137265634291396</v>
      </c>
      <c r="AN2810">
        <v>1.0000000060432499</v>
      </c>
    </row>
    <row r="2811" spans="1:40" x14ac:dyDescent="0.25">
      <c r="A2811" t="str">
        <f>"20190312160348843"</f>
        <v>20190312160348843</v>
      </c>
      <c r="B2811" t="str">
        <f>"1552377828837850"</f>
        <v>1552377828837850</v>
      </c>
      <c r="C2811" t="s">
        <v>40</v>
      </c>
      <c r="D2811">
        <v>5.4681360000000003</v>
      </c>
      <c r="E2811">
        <v>0.41131899999999899</v>
      </c>
      <c r="F2811" t="s">
        <v>59</v>
      </c>
      <c r="G2811">
        <v>-491.82909999999998</v>
      </c>
      <c r="H2811" s="1">
        <v>2.8103960000000001E-6</v>
      </c>
      <c r="I2811">
        <v>278.03609999999998</v>
      </c>
      <c r="J2811">
        <v>-479.19069999999999</v>
      </c>
      <c r="K2811">
        <v>1.11341</v>
      </c>
      <c r="L2811">
        <v>284.22370000000001</v>
      </c>
      <c r="M2811">
        <v>-0.98335950000000005</v>
      </c>
      <c r="N2811">
        <v>0</v>
      </c>
      <c r="O2811">
        <v>-0.18123900000000001</v>
      </c>
      <c r="P2811">
        <v>-0.9760086</v>
      </c>
      <c r="Q2811">
        <v>8.1154049999999991E-3</v>
      </c>
      <c r="R2811">
        <v>-0.21758179999999999</v>
      </c>
      <c r="S2811">
        <v>-2.779236</v>
      </c>
      <c r="T2811">
        <v>-0.24034140000000001</v>
      </c>
      <c r="U2811">
        <v>-1.3460080000000001</v>
      </c>
      <c r="V2811">
        <v>-3.7242629999999999E-2</v>
      </c>
      <c r="W2811">
        <v>2.0311220000000001E-2</v>
      </c>
      <c r="X2811">
        <v>0.99909979999999998</v>
      </c>
      <c r="Y2811">
        <v>-0.26527840000000003</v>
      </c>
      <c r="Z2811">
        <v>3.763724E-3</v>
      </c>
      <c r="AA2811">
        <v>0.96416449999999998</v>
      </c>
      <c r="AB2811">
        <v>25</v>
      </c>
      <c r="AC2811">
        <v>-12.638399999999899</v>
      </c>
      <c r="AD2811">
        <v>-1.1134071896040001</v>
      </c>
      <c r="AE2811">
        <v>-6.18760000000003</v>
      </c>
      <c r="AF2811">
        <v>-3.77075442692747</v>
      </c>
      <c r="AG2811">
        <v>-1.1134071896040001</v>
      </c>
      <c r="AH2811">
        <v>13.466280048456399</v>
      </c>
      <c r="AI2811">
        <v>94.552209691004705</v>
      </c>
      <c r="AJ2811">
        <v>105.643019812644</v>
      </c>
      <c r="AK2811">
        <v>14.028505368053599</v>
      </c>
      <c r="AL2811">
        <v>88.836172768158804</v>
      </c>
      <c r="AM2811">
        <v>92.134779732745102</v>
      </c>
      <c r="AN2811">
        <v>0.99999998475362195</v>
      </c>
    </row>
    <row r="2812" spans="1:40" x14ac:dyDescent="0.25">
      <c r="A2812" t="str">
        <f>"20190312160348865"</f>
        <v>20190312160348865</v>
      </c>
      <c r="B2812" t="str">
        <f>"1552377828857374"</f>
        <v>1552377828857374</v>
      </c>
      <c r="C2812" t="s">
        <v>40</v>
      </c>
      <c r="D2812">
        <v>5.4811829999999997</v>
      </c>
      <c r="E2812">
        <v>0.4113928</v>
      </c>
      <c r="F2812" t="s">
        <v>59</v>
      </c>
      <c r="G2812">
        <v>-491.93389999999999</v>
      </c>
      <c r="H2812" s="1">
        <v>2.7828209999999998E-6</v>
      </c>
      <c r="I2812">
        <v>277.98439999999999</v>
      </c>
      <c r="J2812">
        <v>-479.43700000000001</v>
      </c>
      <c r="K2812">
        <v>1.1134710000000001</v>
      </c>
      <c r="L2812">
        <v>284.17259999999999</v>
      </c>
      <c r="M2812">
        <v>-0.982429</v>
      </c>
      <c r="N2812">
        <v>0</v>
      </c>
      <c r="O2812">
        <v>-0.18621740000000001</v>
      </c>
      <c r="P2812">
        <v>-0.97489049999999999</v>
      </c>
      <c r="Q2812">
        <v>7.2004399999999998E-3</v>
      </c>
      <c r="R2812">
        <v>-0.22256880000000001</v>
      </c>
      <c r="S2812">
        <v>-2.7731020000000002</v>
      </c>
      <c r="T2812">
        <v>-0.24229339999999999</v>
      </c>
      <c r="U2812">
        <v>-1.357758</v>
      </c>
      <c r="V2812">
        <v>-3.7284280000000003E-2</v>
      </c>
      <c r="W2812">
        <v>1.939635E-2</v>
      </c>
      <c r="X2812">
        <v>0.99911640000000002</v>
      </c>
      <c r="Y2812">
        <v>-0.26454460000000002</v>
      </c>
      <c r="Z2812">
        <v>4.2243940000000002E-3</v>
      </c>
      <c r="AA2812">
        <v>0.9643642</v>
      </c>
      <c r="AB2812">
        <v>25</v>
      </c>
      <c r="AC2812">
        <v>-12.4969</v>
      </c>
      <c r="AD2812">
        <v>-1.11346821717899</v>
      </c>
      <c r="AE2812">
        <v>-6.1881999999999904</v>
      </c>
      <c r="AF2812">
        <v>-3.7288471653091499</v>
      </c>
      <c r="AG2812">
        <v>-1.11346821717899</v>
      </c>
      <c r="AH2812">
        <v>13.345632912470601</v>
      </c>
      <c r="AI2812">
        <v>94.594160288636004</v>
      </c>
      <c r="AJ2812">
        <v>105.610671230394</v>
      </c>
      <c r="AK2812">
        <v>13.901439871010499</v>
      </c>
      <c r="AL2812">
        <v>88.888601265198602</v>
      </c>
      <c r="AM2812">
        <v>92.1371294587411</v>
      </c>
      <c r="AN2812">
        <v>0.99999995833869904</v>
      </c>
    </row>
    <row r="2813" spans="1:40" x14ac:dyDescent="0.25">
      <c r="A2813" t="str">
        <f>"20190312160348887"</f>
        <v>20190312160348887</v>
      </c>
      <c r="B2813" t="str">
        <f>"1552377828877866"</f>
        <v>1552377828877866</v>
      </c>
      <c r="C2813" t="s">
        <v>40</v>
      </c>
      <c r="D2813">
        <v>5.4577679999999997</v>
      </c>
      <c r="E2813">
        <v>0.41162260000000001</v>
      </c>
      <c r="F2813" t="s">
        <v>59</v>
      </c>
      <c r="G2813">
        <v>-492.08170000000001</v>
      </c>
      <c r="H2813" s="1">
        <v>2.740757E-6</v>
      </c>
      <c r="I2813">
        <v>277.90249999999997</v>
      </c>
      <c r="J2813">
        <v>-479.68150000000003</v>
      </c>
      <c r="K2813">
        <v>1.1135409999999999</v>
      </c>
      <c r="L2813">
        <v>284.12049999999999</v>
      </c>
      <c r="M2813">
        <v>-0.98145899999999997</v>
      </c>
      <c r="N2813">
        <v>0</v>
      </c>
      <c r="O2813">
        <v>-0.19126199999999999</v>
      </c>
      <c r="P2813">
        <v>-0.97365170000000001</v>
      </c>
      <c r="Q2813">
        <v>6.3553150000000003E-3</v>
      </c>
      <c r="R2813">
        <v>-0.2279515</v>
      </c>
      <c r="S2813">
        <v>-2.76593</v>
      </c>
      <c r="T2813">
        <v>-0.24356269999999999</v>
      </c>
      <c r="U2813">
        <v>-1.3715520000000001</v>
      </c>
      <c r="V2813">
        <v>-3.7666489999999997E-2</v>
      </c>
      <c r="W2813">
        <v>1.8548209999999999E-2</v>
      </c>
      <c r="X2813">
        <v>0.99911819999999896</v>
      </c>
      <c r="Y2813">
        <v>-0.26445790000000002</v>
      </c>
      <c r="Z2813">
        <v>4.6581119999999998E-3</v>
      </c>
      <c r="AA2813">
        <v>0.96438599999999997</v>
      </c>
      <c r="AB2813">
        <v>25</v>
      </c>
      <c r="AC2813">
        <v>-12.4001999999999</v>
      </c>
      <c r="AD2813">
        <v>-1.1135382592430001</v>
      </c>
      <c r="AE2813">
        <v>-6.2180000000000097</v>
      </c>
      <c r="AF2813">
        <v>-3.7074282123026299</v>
      </c>
      <c r="AG2813">
        <v>-1.1135382592430001</v>
      </c>
      <c r="AH2813">
        <v>13.2750627541455</v>
      </c>
      <c r="AI2813">
        <v>94.618919423128602</v>
      </c>
      <c r="AJ2813">
        <v>105.603860078906</v>
      </c>
      <c r="AK2813">
        <v>13.827952940716701</v>
      </c>
      <c r="AL2813">
        <v>88.937204891936702</v>
      </c>
      <c r="AM2813">
        <v>92.1590131660423</v>
      </c>
      <c r="AN2813">
        <v>0.99999998906718102</v>
      </c>
    </row>
    <row r="2814" spans="1:40" x14ac:dyDescent="0.25">
      <c r="A2814" t="str">
        <f>"20190312160348910"</f>
        <v>20190312160348910</v>
      </c>
      <c r="B2814" t="str">
        <f>"1552377828907147"</f>
        <v>1552377828907147</v>
      </c>
      <c r="C2814" t="s">
        <v>40</v>
      </c>
      <c r="D2814">
        <v>5.5032829999999997</v>
      </c>
      <c r="E2814">
        <v>0.41186909999999999</v>
      </c>
      <c r="F2814" t="s">
        <v>59</v>
      </c>
      <c r="G2814">
        <v>-492.21539999999999</v>
      </c>
      <c r="H2814" s="1">
        <v>2.7024370000000001E-6</v>
      </c>
      <c r="I2814">
        <v>277.82760000000002</v>
      </c>
      <c r="J2814">
        <v>-479.92750000000001</v>
      </c>
      <c r="K2814">
        <v>1.113612</v>
      </c>
      <c r="L2814">
        <v>284.06659999999999</v>
      </c>
      <c r="M2814">
        <v>-0.98043250000000004</v>
      </c>
      <c r="N2814">
        <v>0</v>
      </c>
      <c r="O2814">
        <v>-0.1964564</v>
      </c>
      <c r="P2814">
        <v>-0.97241</v>
      </c>
      <c r="Q2814">
        <v>6.3212869999999897E-3</v>
      </c>
      <c r="R2814">
        <v>-0.23319229999999999</v>
      </c>
      <c r="S2814">
        <v>-2.7585139999999999</v>
      </c>
      <c r="T2814">
        <v>-0.24507280000000001</v>
      </c>
      <c r="U2814">
        <v>-1.384979</v>
      </c>
      <c r="V2814">
        <v>-3.776036E-2</v>
      </c>
      <c r="W2814">
        <v>1.851388E-2</v>
      </c>
      <c r="X2814">
        <v>0.99911530000000004</v>
      </c>
      <c r="Y2814">
        <v>-0.26415280000000002</v>
      </c>
      <c r="Z2814">
        <v>5.1231219999999999E-3</v>
      </c>
      <c r="AA2814">
        <v>0.96446719999999997</v>
      </c>
      <c r="AB2814">
        <v>25</v>
      </c>
      <c r="AC2814">
        <v>-12.287899999999899</v>
      </c>
      <c r="AD2814">
        <v>-1.1136092975630001</v>
      </c>
      <c r="AE2814">
        <v>-6.2389999999999697</v>
      </c>
      <c r="AF2814">
        <v>-3.6791483374342202</v>
      </c>
      <c r="AG2814">
        <v>-1.1136092975630001</v>
      </c>
      <c r="AH2814">
        <v>13.188074428874</v>
      </c>
      <c r="AI2814">
        <v>94.649910233075204</v>
      </c>
      <c r="AJ2814">
        <v>105.58779461512</v>
      </c>
      <c r="AK2814">
        <v>13.736868831651</v>
      </c>
      <c r="AL2814">
        <v>88.939172200832402</v>
      </c>
      <c r="AM2814">
        <v>92.164394884983807</v>
      </c>
      <c r="AN2814">
        <v>0.99999999561703701</v>
      </c>
    </row>
    <row r="2815" spans="1:40" x14ac:dyDescent="0.25">
      <c r="A2815" t="str">
        <f>"20190312160348932"</f>
        <v>20190312160348932</v>
      </c>
      <c r="B2815" t="str">
        <f>"1552377828927646"</f>
        <v>1552377828927646</v>
      </c>
      <c r="C2815" t="s">
        <v>40</v>
      </c>
      <c r="D2815">
        <v>5.4258089999999903</v>
      </c>
      <c r="E2815">
        <v>0.41220240000000002</v>
      </c>
      <c r="F2815" t="s">
        <v>59</v>
      </c>
      <c r="G2815">
        <v>-492.48070000000001</v>
      </c>
      <c r="H2815" s="1">
        <v>2.6297590000000001E-6</v>
      </c>
      <c r="I2815">
        <v>277.68860000000001</v>
      </c>
      <c r="J2815">
        <v>-480.17720000000003</v>
      </c>
      <c r="K2815">
        <v>1.1136809999999999</v>
      </c>
      <c r="L2815">
        <v>284.01029999999997</v>
      </c>
      <c r="M2815">
        <v>-0.97934030000000005</v>
      </c>
      <c r="N2815">
        <v>0</v>
      </c>
      <c r="O2815">
        <v>-0.20183100000000001</v>
      </c>
      <c r="P2815">
        <v>-0.97112719999999997</v>
      </c>
      <c r="Q2815">
        <v>6.6261649999999998E-3</v>
      </c>
      <c r="R2815">
        <v>-0.23847109999999999</v>
      </c>
      <c r="S2815">
        <v>-2.751465</v>
      </c>
      <c r="T2815">
        <v>-0.24408450000000001</v>
      </c>
      <c r="U2815">
        <v>-1.3979490000000001</v>
      </c>
      <c r="V2815">
        <v>-3.771393E-2</v>
      </c>
      <c r="W2815">
        <v>1.8820429999999999E-2</v>
      </c>
      <c r="X2815">
        <v>0.99911139999999998</v>
      </c>
      <c r="Y2815">
        <v>-0.26349329999999999</v>
      </c>
      <c r="Z2815">
        <v>5.5661790000000001E-3</v>
      </c>
      <c r="AA2815">
        <v>0.96464519999999998</v>
      </c>
      <c r="AB2815">
        <v>25</v>
      </c>
      <c r="AC2815">
        <v>-12.3034999999999</v>
      </c>
      <c r="AD2815">
        <v>-1.113678370241</v>
      </c>
      <c r="AE2815">
        <v>-6.3216999999999599</v>
      </c>
      <c r="AF2815">
        <v>-3.68427689703435</v>
      </c>
      <c r="AG2815">
        <v>-1.113678370241</v>
      </c>
      <c r="AH2815">
        <v>13.240447871006401</v>
      </c>
      <c r="AI2815">
        <v>94.6327374195657</v>
      </c>
      <c r="AJ2815">
        <v>105.549717251955</v>
      </c>
      <c r="AK2815">
        <v>13.7885327570123</v>
      </c>
      <c r="AL2815">
        <v>88.921605198002595</v>
      </c>
      <c r="AM2815">
        <v>92.161744509696206</v>
      </c>
      <c r="AN2815">
        <v>1.0000000693556901</v>
      </c>
    </row>
    <row r="2816" spans="1:40" x14ac:dyDescent="0.25">
      <c r="A2816" t="str">
        <f>"20190312160348954"</f>
        <v>20190312160348954</v>
      </c>
      <c r="B2816" t="str">
        <f>"1552377828947170"</f>
        <v>1552377828947170</v>
      </c>
      <c r="C2816" t="s">
        <v>40</v>
      </c>
      <c r="D2816">
        <v>5.4418600000000001</v>
      </c>
      <c r="E2816">
        <v>0.41261730000000002</v>
      </c>
      <c r="F2816" t="s">
        <v>59</v>
      </c>
      <c r="G2816">
        <v>-492.79149999999998</v>
      </c>
      <c r="H2816" s="1">
        <v>2.5452429999999999E-6</v>
      </c>
      <c r="I2816">
        <v>277.52749999999997</v>
      </c>
      <c r="J2816">
        <v>-480.41789999999997</v>
      </c>
      <c r="K2816">
        <v>1.1137440000000001</v>
      </c>
      <c r="L2816">
        <v>283.9547</v>
      </c>
      <c r="M2816">
        <v>-0.97823709999999997</v>
      </c>
      <c r="N2816">
        <v>0</v>
      </c>
      <c r="O2816">
        <v>-0.2071103</v>
      </c>
      <c r="P2816">
        <v>-0.96978699999999995</v>
      </c>
      <c r="Q2816">
        <v>6.6761969999999896E-3</v>
      </c>
      <c r="R2816">
        <v>-0.24386179999999999</v>
      </c>
      <c r="S2816">
        <v>-2.7444760000000001</v>
      </c>
      <c r="T2816">
        <v>-0.2423013</v>
      </c>
      <c r="U2816">
        <v>-1.410461</v>
      </c>
      <c r="V2816">
        <v>-3.7878259999999997E-2</v>
      </c>
      <c r="W2816">
        <v>1.887001E-2</v>
      </c>
      <c r="X2816">
        <v>0.9991042</v>
      </c>
      <c r="Y2816">
        <v>-0.2627874</v>
      </c>
      <c r="Z2816">
        <v>5.9806520000000004E-3</v>
      </c>
      <c r="AA2816">
        <v>0.9648352</v>
      </c>
      <c r="AB2816">
        <v>25</v>
      </c>
      <c r="AC2816">
        <v>-12.3736</v>
      </c>
      <c r="AD2816">
        <v>-1.1137414547569999</v>
      </c>
      <c r="AE2816">
        <v>-6.4272000000000196</v>
      </c>
      <c r="AF2816">
        <v>-3.7013035020712599</v>
      </c>
      <c r="AG2816">
        <v>-1.1137414547569999</v>
      </c>
      <c r="AH2816">
        <v>13.3513269529494</v>
      </c>
      <c r="AI2816">
        <v>94.595910170596198</v>
      </c>
      <c r="AJ2816">
        <v>105.49463154927599</v>
      </c>
      <c r="AK2816">
        <v>13.8995683043411</v>
      </c>
      <c r="AL2816">
        <v>88.918763916766594</v>
      </c>
      <c r="AM2816">
        <v>92.171170463468499</v>
      </c>
      <c r="AN2816">
        <v>1.0000000211578299</v>
      </c>
    </row>
    <row r="2817" spans="1:40" x14ac:dyDescent="0.25">
      <c r="A2817" t="str">
        <f>"20190312160348976"</f>
        <v>20190312160348976</v>
      </c>
      <c r="B2817" t="str">
        <f>"1552377828967663"</f>
        <v>1552377828967663</v>
      </c>
      <c r="C2817" t="s">
        <v>40</v>
      </c>
      <c r="D2817">
        <v>5.4479430000000004</v>
      </c>
      <c r="E2817">
        <v>0.41280800000000001</v>
      </c>
      <c r="F2817" t="s">
        <v>59</v>
      </c>
      <c r="G2817">
        <v>-492.97519999999997</v>
      </c>
      <c r="H2817" s="1">
        <v>2.494422E-6</v>
      </c>
      <c r="I2817">
        <v>277.4298</v>
      </c>
      <c r="J2817">
        <v>-480.6583</v>
      </c>
      <c r="K2817">
        <v>1.11381</v>
      </c>
      <c r="L2817">
        <v>283.89760000000001</v>
      </c>
      <c r="M2817">
        <v>-0.97708269999999997</v>
      </c>
      <c r="N2817">
        <v>0</v>
      </c>
      <c r="O2817">
        <v>-0.2124897</v>
      </c>
      <c r="P2817">
        <v>-0.96838239999999998</v>
      </c>
      <c r="Q2817">
        <v>7.0812119999999999E-3</v>
      </c>
      <c r="R2817">
        <v>-0.2493707</v>
      </c>
      <c r="S2817">
        <v>-2.7374269999999998</v>
      </c>
      <c r="T2817">
        <v>-0.24279110000000001</v>
      </c>
      <c r="U2817">
        <v>-1.4223939999999999</v>
      </c>
      <c r="V2817">
        <v>-3.8068049999999999E-2</v>
      </c>
      <c r="W2817">
        <v>1.9274300000000001E-2</v>
      </c>
      <c r="X2817">
        <v>0.99908920000000001</v>
      </c>
      <c r="Y2817">
        <v>-0.26182339999999998</v>
      </c>
      <c r="Z2817">
        <v>6.468105E-3</v>
      </c>
      <c r="AA2817">
        <v>0.96509409999999896</v>
      </c>
      <c r="AB2817">
        <v>25</v>
      </c>
      <c r="AC2817">
        <v>-12.316899999999899</v>
      </c>
      <c r="AD2817">
        <v>-1.1138075055779999</v>
      </c>
      <c r="AE2817">
        <v>-6.4678000000000102</v>
      </c>
      <c r="AF2817">
        <v>-3.6790701759683699</v>
      </c>
      <c r="AG2817">
        <v>-1.1138075055779999</v>
      </c>
      <c r="AH2817">
        <v>13.324617230407499</v>
      </c>
      <c r="AI2817">
        <v>94.606666880345998</v>
      </c>
      <c r="AJ2817">
        <v>105.435401703899</v>
      </c>
      <c r="AK2817">
        <v>13.868004501587601</v>
      </c>
      <c r="AL2817">
        <v>88.895595516270006</v>
      </c>
      <c r="AM2817">
        <v>92.182071408338601</v>
      </c>
      <c r="AN2817">
        <v>0.99999995231396499</v>
      </c>
    </row>
    <row r="2818" spans="1:40" x14ac:dyDescent="0.25">
      <c r="A2818" t="str">
        <f>"20190312160348999"</f>
        <v>20190312160348999</v>
      </c>
      <c r="B2818" t="str">
        <f>"1552377828987183"</f>
        <v>1552377828987183</v>
      </c>
      <c r="C2818" t="s">
        <v>40</v>
      </c>
      <c r="D2818">
        <v>5.4402460000000001</v>
      </c>
      <c r="E2818">
        <v>0.41813640000000002</v>
      </c>
      <c r="F2818" t="s">
        <v>59</v>
      </c>
      <c r="G2818">
        <v>-493.2552</v>
      </c>
      <c r="H2818" s="1">
        <v>2.4127709999999998E-6</v>
      </c>
      <c r="I2818">
        <v>277.26909999999998</v>
      </c>
      <c r="J2818">
        <v>-480.9083</v>
      </c>
      <c r="K2818">
        <v>1.1138889999999999</v>
      </c>
      <c r="L2818">
        <v>283.83659999999998</v>
      </c>
      <c r="M2818">
        <v>-0.97582190000000002</v>
      </c>
      <c r="N2818">
        <v>0</v>
      </c>
      <c r="O2818">
        <v>-0.21820619999999999</v>
      </c>
      <c r="P2818">
        <v>-0.9669335</v>
      </c>
      <c r="Q2818">
        <v>7.1605069999999896E-3</v>
      </c>
      <c r="R2818">
        <v>-0.2549285</v>
      </c>
      <c r="S2818">
        <v>-2.7298279999999999</v>
      </c>
      <c r="T2818">
        <v>-0.2413689</v>
      </c>
      <c r="U2818">
        <v>-1.4364319999999999</v>
      </c>
      <c r="V2818">
        <v>-3.7961750000000002E-2</v>
      </c>
      <c r="W2818">
        <v>1.93563E-2</v>
      </c>
      <c r="X2818">
        <v>0.99909170000000003</v>
      </c>
      <c r="Y2818">
        <v>-0.26118720000000001</v>
      </c>
      <c r="Z2818">
        <v>6.9161120000000003E-3</v>
      </c>
      <c r="AA2818">
        <v>0.96526339999999999</v>
      </c>
      <c r="AB2818">
        <v>25</v>
      </c>
      <c r="AC2818">
        <v>-12.3469</v>
      </c>
      <c r="AD2818">
        <v>-1.11388658722899</v>
      </c>
      <c r="AE2818">
        <v>-6.5674999999999901</v>
      </c>
      <c r="AF2818">
        <v>-3.6914148049628199</v>
      </c>
      <c r="AG2818">
        <v>-1.11388658722899</v>
      </c>
      <c r="AH2818">
        <v>13.3975140056562</v>
      </c>
      <c r="AI2818">
        <v>94.582712047112693</v>
      </c>
      <c r="AJ2818">
        <v>105.40447029956201</v>
      </c>
      <c r="AK2818">
        <v>13.941329496259</v>
      </c>
      <c r="AL2818">
        <v>88.890896430496696</v>
      </c>
      <c r="AM2818">
        <v>92.175978687962498</v>
      </c>
      <c r="AN2818">
        <v>0.99999999291082098</v>
      </c>
    </row>
    <row r="2819" spans="1:40" x14ac:dyDescent="0.25">
      <c r="A2819" t="str">
        <f>"20190312160349022"</f>
        <v>20190312160349022</v>
      </c>
      <c r="B2819" t="str">
        <f>"1552377829017438"</f>
        <v>1552377829017438</v>
      </c>
      <c r="C2819" t="s">
        <v>40</v>
      </c>
      <c r="D2819">
        <v>5.3973570000000004</v>
      </c>
      <c r="E2819">
        <v>0.41858879999999998</v>
      </c>
      <c r="F2819" t="s">
        <v>59</v>
      </c>
      <c r="G2819">
        <v>-492.67520000000002</v>
      </c>
      <c r="H2819" s="1">
        <v>2.6353349999999999E-6</v>
      </c>
      <c r="I2819">
        <v>277.75310000000002</v>
      </c>
      <c r="J2819">
        <v>-481.15190000000001</v>
      </c>
      <c r="K2819">
        <v>1.1139779999999999</v>
      </c>
      <c r="L2819">
        <v>283.7756</v>
      </c>
      <c r="M2819">
        <v>-0.97453020000000001</v>
      </c>
      <c r="N2819">
        <v>0</v>
      </c>
      <c r="O2819">
        <v>-0.22390379999999999</v>
      </c>
      <c r="P2819">
        <v>-0.96543389999999996</v>
      </c>
      <c r="Q2819">
        <v>7.3195380000000004E-3</v>
      </c>
      <c r="R2819">
        <v>-0.260546</v>
      </c>
      <c r="S2819">
        <v>-2.7321469999999999</v>
      </c>
      <c r="T2819">
        <v>-0.25863140000000001</v>
      </c>
      <c r="U2819">
        <v>-1.412506</v>
      </c>
      <c r="V2819">
        <v>-3.7939250000000001E-2</v>
      </c>
      <c r="W2819">
        <v>1.951744E-2</v>
      </c>
      <c r="X2819">
        <v>0.99908940000000002</v>
      </c>
      <c r="Y2819">
        <v>-0.24858259999999999</v>
      </c>
      <c r="Z2819">
        <v>8.4653760000000002E-3</v>
      </c>
      <c r="AA2819">
        <v>0.96857369999999998</v>
      </c>
      <c r="AB2819">
        <v>25</v>
      </c>
      <c r="AC2819">
        <v>-11.523300000000001</v>
      </c>
      <c r="AD2819">
        <v>-1.1139753646649999</v>
      </c>
      <c r="AE2819">
        <v>-6.0224999999999804</v>
      </c>
      <c r="AF2819">
        <v>-3.26528885667308</v>
      </c>
      <c r="AG2819">
        <v>-1.1139753646649999</v>
      </c>
      <c r="AH2819">
        <v>12.487594543741899</v>
      </c>
      <c r="AI2819">
        <v>94.932682077235995</v>
      </c>
      <c r="AJ2819">
        <v>104.653756078391</v>
      </c>
      <c r="AK2819">
        <v>12.9554262731678</v>
      </c>
      <c r="AL2819">
        <v>88.881662021931604</v>
      </c>
      <c r="AM2819">
        <v>92.1746952215383</v>
      </c>
      <c r="AN2819">
        <v>0.99999997317353695</v>
      </c>
    </row>
    <row r="2820" spans="1:40" x14ac:dyDescent="0.25">
      <c r="A2820" t="str">
        <f>"20190312160349036"</f>
        <v>20190312160349036</v>
      </c>
      <c r="B2820" t="str">
        <f>"1552377829027706"</f>
        <v>1552377829027706</v>
      </c>
      <c r="C2820" t="s">
        <v>40</v>
      </c>
      <c r="D2820">
        <v>5.4187659999999997</v>
      </c>
      <c r="E2820">
        <v>0.41880469999999997</v>
      </c>
      <c r="F2820" t="s">
        <v>59</v>
      </c>
      <c r="G2820">
        <v>-492.50819999999999</v>
      </c>
      <c r="H2820" s="1">
        <v>2.6786710000000001E-6</v>
      </c>
      <c r="I2820">
        <v>277.83390000000003</v>
      </c>
      <c r="J2820">
        <v>-481.3048</v>
      </c>
      <c r="K2820">
        <v>1.1140399999999999</v>
      </c>
      <c r="L2820">
        <v>283.7364</v>
      </c>
      <c r="M2820">
        <v>-0.97368399999999999</v>
      </c>
      <c r="N2820">
        <v>0</v>
      </c>
      <c r="O2820">
        <v>-0.22755520000000001</v>
      </c>
      <c r="P2820">
        <v>-0.96442340000000004</v>
      </c>
      <c r="Q2820">
        <v>7.3799080000000001E-3</v>
      </c>
      <c r="R2820">
        <v>-0.26426040000000001</v>
      </c>
      <c r="S2820">
        <v>-2.7247309999999998</v>
      </c>
      <c r="T2820">
        <v>-0.26727620000000002</v>
      </c>
      <c r="U2820">
        <v>-1.4255979999999999</v>
      </c>
      <c r="V2820">
        <v>-3.8043540000000001E-2</v>
      </c>
      <c r="W2820">
        <v>1.9578459999999999E-2</v>
      </c>
      <c r="X2820">
        <v>0.99908430000000004</v>
      </c>
      <c r="Y2820">
        <v>-0.24968989999999999</v>
      </c>
      <c r="Z2820">
        <v>9.0257259999999995E-3</v>
      </c>
      <c r="AA2820">
        <v>0.96828380000000003</v>
      </c>
      <c r="AB2820">
        <v>25</v>
      </c>
      <c r="AC2820">
        <v>-11.203399999999901</v>
      </c>
      <c r="AD2820">
        <v>-1.114037321329</v>
      </c>
      <c r="AE2820">
        <v>-5.9024999999999697</v>
      </c>
      <c r="AF2820">
        <v>-3.1734695016289098</v>
      </c>
      <c r="AG2820">
        <v>-1.114037321329</v>
      </c>
      <c r="AH2820">
        <v>12.1585826663964</v>
      </c>
      <c r="AI2820">
        <v>95.066342363068898</v>
      </c>
      <c r="AJ2820">
        <v>104.62822136187</v>
      </c>
      <c r="AK2820">
        <v>12.615194024931901</v>
      </c>
      <c r="AL2820">
        <v>88.878165232058905</v>
      </c>
      <c r="AM2820">
        <v>92.180678529712594</v>
      </c>
      <c r="AN2820">
        <v>1.0000000327690901</v>
      </c>
    </row>
    <row r="2821" spans="1:40" x14ac:dyDescent="0.25">
      <c r="A2821" t="str">
        <f>"20190312160349049"</f>
        <v>20190312160349049</v>
      </c>
      <c r="B2821" t="str">
        <f>"1552377829037466"</f>
        <v>1552377829037466</v>
      </c>
      <c r="C2821" t="s">
        <v>40</v>
      </c>
      <c r="D2821">
        <v>5.4670889999999996</v>
      </c>
      <c r="E2821">
        <v>0.41908260000000003</v>
      </c>
      <c r="F2821" t="s">
        <v>59</v>
      </c>
      <c r="G2821">
        <v>-492.54410000000001</v>
      </c>
      <c r="H2821" s="1">
        <v>2.6662169999999998E-6</v>
      </c>
      <c r="I2821">
        <v>277.80759999999998</v>
      </c>
      <c r="J2821">
        <v>-481.44600000000003</v>
      </c>
      <c r="K2821">
        <v>1.114101</v>
      </c>
      <c r="L2821">
        <v>283.69970000000001</v>
      </c>
      <c r="M2821">
        <v>-0.97288059999999998</v>
      </c>
      <c r="N2821">
        <v>0</v>
      </c>
      <c r="O2821">
        <v>-0.23096520000000001</v>
      </c>
      <c r="P2821">
        <v>-0.96345400000000003</v>
      </c>
      <c r="Q2821">
        <v>7.7096580000000003E-3</v>
      </c>
      <c r="R2821">
        <v>-0.26776299999999997</v>
      </c>
      <c r="S2821">
        <v>-2.7196660000000001</v>
      </c>
      <c r="T2821">
        <v>-0.26957239999999999</v>
      </c>
      <c r="U2821">
        <v>-1.434631</v>
      </c>
      <c r="V2821">
        <v>-3.8180489999999997E-2</v>
      </c>
      <c r="W2821">
        <v>1.9907419999999999E-2</v>
      </c>
      <c r="X2821">
        <v>0.99907259999999998</v>
      </c>
      <c r="Y2821">
        <v>-0.2495684</v>
      </c>
      <c r="Z2821">
        <v>9.4164910000000008E-3</v>
      </c>
      <c r="AA2821">
        <v>0.96831140000000004</v>
      </c>
      <c r="AB2821">
        <v>25</v>
      </c>
      <c r="AC2821">
        <v>-11.098100000000001</v>
      </c>
      <c r="AD2821">
        <v>-1.1140983337829999</v>
      </c>
      <c r="AE2821">
        <v>-5.8921000000000197</v>
      </c>
      <c r="AF2821">
        <v>-3.1445648455150499</v>
      </c>
      <c r="AG2821">
        <v>-1.1140983337829999</v>
      </c>
      <c r="AH2821">
        <v>12.06411693614</v>
      </c>
      <c r="AI2821">
        <v>95.106519479657905</v>
      </c>
      <c r="AJ2821">
        <v>104.60932942261999</v>
      </c>
      <c r="AK2821">
        <v>12.516885419857701</v>
      </c>
      <c r="AL2821">
        <v>88.859313566925096</v>
      </c>
      <c r="AM2821">
        <v>92.188546570784695</v>
      </c>
      <c r="AN2821">
        <v>1.0000000576292201</v>
      </c>
    </row>
    <row r="2822" spans="1:40" x14ac:dyDescent="0.25">
      <c r="A2822" t="str">
        <f>"20190312160349060"</f>
        <v>20190312160349060</v>
      </c>
      <c r="B2822" t="str">
        <f>"1552377829047226"</f>
        <v>1552377829047226</v>
      </c>
      <c r="C2822" t="s">
        <v>40</v>
      </c>
      <c r="D2822">
        <v>5.4372939999999996</v>
      </c>
      <c r="E2822">
        <v>0.4192169</v>
      </c>
      <c r="F2822" t="s">
        <v>59</v>
      </c>
      <c r="G2822">
        <v>-492.6551</v>
      </c>
      <c r="H2822" s="1">
        <v>2.6346039999999998E-6</v>
      </c>
      <c r="I2822">
        <v>277.74599999999998</v>
      </c>
      <c r="J2822">
        <v>-481.57600000000002</v>
      </c>
      <c r="K2822">
        <v>1.114155</v>
      </c>
      <c r="L2822">
        <v>283.6653</v>
      </c>
      <c r="M2822">
        <v>-0.97211449999999999</v>
      </c>
      <c r="N2822">
        <v>0</v>
      </c>
      <c r="O2822">
        <v>-0.23416909999999999</v>
      </c>
      <c r="P2822">
        <v>-0.96258189999999999</v>
      </c>
      <c r="Q2822">
        <v>8.1675689999999995E-3</v>
      </c>
      <c r="R2822">
        <v>-0.27086880000000002</v>
      </c>
      <c r="S2822">
        <v>-2.7152099999999999</v>
      </c>
      <c r="T2822">
        <v>-0.26987050000000001</v>
      </c>
      <c r="U2822">
        <v>-1.442169</v>
      </c>
      <c r="V2822">
        <v>-3.8118689999999997E-2</v>
      </c>
      <c r="W2822">
        <v>2.0366990000000001E-2</v>
      </c>
      <c r="X2822">
        <v>0.9990656</v>
      </c>
      <c r="Y2822">
        <v>-0.2491459</v>
      </c>
      <c r="Z2822">
        <v>9.7361640000000003E-3</v>
      </c>
      <c r="AA2822">
        <v>0.96841699999999997</v>
      </c>
      <c r="AB2822">
        <v>25</v>
      </c>
      <c r="AC2822">
        <v>-11.0791</v>
      </c>
      <c r="AD2822">
        <v>-1.1141523653959999</v>
      </c>
      <c r="AE2822">
        <v>-5.9193000000000202</v>
      </c>
      <c r="AF2822">
        <v>-3.1354371439021902</v>
      </c>
      <c r="AG2822">
        <v>-1.1141523653959999</v>
      </c>
      <c r="AH2822">
        <v>12.062335002097401</v>
      </c>
      <c r="AI2822">
        <v>95.108405829982601</v>
      </c>
      <c r="AJ2822">
        <v>104.570790447752</v>
      </c>
      <c r="AK2822">
        <v>12.5128824528765</v>
      </c>
      <c r="AL2822">
        <v>88.832976693572803</v>
      </c>
      <c r="AM2822">
        <v>92.185022859476007</v>
      </c>
      <c r="AN2822">
        <v>0.99999996095616694</v>
      </c>
    </row>
    <row r="2823" spans="1:40" x14ac:dyDescent="0.25">
      <c r="A2823" t="str">
        <f>"20190312160349073"</f>
        <v>20190312160349073</v>
      </c>
      <c r="B2823" t="str">
        <f>"1552377829067722"</f>
        <v>1552377829067722</v>
      </c>
      <c r="C2823" t="s">
        <v>40</v>
      </c>
      <c r="D2823">
        <v>5.4512999999999998</v>
      </c>
      <c r="E2823">
        <v>0.419678</v>
      </c>
      <c r="F2823" t="s">
        <v>59</v>
      </c>
      <c r="G2823">
        <v>-492.87709999999998</v>
      </c>
      <c r="H2823" s="1">
        <v>2.5702980000000001E-6</v>
      </c>
      <c r="I2823">
        <v>277.6198</v>
      </c>
      <c r="J2823">
        <v>-481.7063</v>
      </c>
      <c r="K2823">
        <v>1.114212</v>
      </c>
      <c r="L2823">
        <v>283.63029999999998</v>
      </c>
      <c r="M2823">
        <v>-0.97132719999999995</v>
      </c>
      <c r="N2823">
        <v>0</v>
      </c>
      <c r="O2823">
        <v>-0.2374126</v>
      </c>
      <c r="P2823">
        <v>-0.9617327</v>
      </c>
      <c r="Q2823">
        <v>8.1029269999999994E-3</v>
      </c>
      <c r="R2823">
        <v>-0.2738698</v>
      </c>
      <c r="S2823">
        <v>-2.7108150000000002</v>
      </c>
      <c r="T2823">
        <v>-0.26725510000000002</v>
      </c>
      <c r="U2823">
        <v>-1.450134</v>
      </c>
      <c r="V2823">
        <v>-3.7902440000000003E-2</v>
      </c>
      <c r="W2823">
        <v>2.030645E-2</v>
      </c>
      <c r="X2823">
        <v>0.99907509999999999</v>
      </c>
      <c r="Y2823">
        <v>-0.2487924</v>
      </c>
      <c r="Z2823">
        <v>9.9482549999999996E-3</v>
      </c>
      <c r="AA2823">
        <v>0.96850570000000002</v>
      </c>
      <c r="AB2823">
        <v>25</v>
      </c>
      <c r="AC2823">
        <v>-11.1707999999999</v>
      </c>
      <c r="AD2823">
        <v>-1.114209429702</v>
      </c>
      <c r="AE2823">
        <v>-6.0104999999999702</v>
      </c>
      <c r="AF2823">
        <v>-3.1619316619140498</v>
      </c>
      <c r="AG2823">
        <v>-1.114209429702</v>
      </c>
      <c r="AH2823">
        <v>12.184440368802701</v>
      </c>
      <c r="AI2823">
        <v>95.058263902342503</v>
      </c>
      <c r="AJ2823">
        <v>104.54768470897299</v>
      </c>
      <c r="AK2823">
        <v>12.637241059217001</v>
      </c>
      <c r="AL2823">
        <v>88.836446144496193</v>
      </c>
      <c r="AM2823">
        <v>92.172618345325901</v>
      </c>
      <c r="AN2823">
        <v>1.00000000115478</v>
      </c>
    </row>
    <row r="2824" spans="1:40" x14ac:dyDescent="0.25">
      <c r="A2824" t="str">
        <f>"20190312160349085"</f>
        <v>20190312160349085</v>
      </c>
      <c r="B2824" t="str">
        <f>"1552377829077481"</f>
        <v>1552377829077481</v>
      </c>
      <c r="C2824" t="s">
        <v>40</v>
      </c>
      <c r="D2824">
        <v>5.4349109999999996</v>
      </c>
      <c r="E2824">
        <v>0.4199002</v>
      </c>
      <c r="F2824" t="s">
        <v>59</v>
      </c>
      <c r="G2824">
        <v>-493.005</v>
      </c>
      <c r="H2824" s="1">
        <v>2.5369420000000001E-6</v>
      </c>
      <c r="I2824">
        <v>277.55759999999998</v>
      </c>
      <c r="J2824">
        <v>-481.83879999999999</v>
      </c>
      <c r="K2824">
        <v>1.1142729999999901</v>
      </c>
      <c r="L2824">
        <v>283.59429999999998</v>
      </c>
      <c r="M2824">
        <v>-0.97050519999999996</v>
      </c>
      <c r="N2824">
        <v>0</v>
      </c>
      <c r="O2824">
        <v>-0.24074999999999999</v>
      </c>
      <c r="P2824">
        <v>-0.96080010000000005</v>
      </c>
      <c r="Q2824">
        <v>8.4449629999999998E-3</v>
      </c>
      <c r="R2824">
        <v>-0.27711380000000002</v>
      </c>
      <c r="S2824">
        <v>-2.7072750000000001</v>
      </c>
      <c r="T2824">
        <v>-0.26697470000000001</v>
      </c>
      <c r="U2824">
        <v>-1.4550780000000001</v>
      </c>
      <c r="V2824">
        <v>-3.7846919999999999E-2</v>
      </c>
      <c r="W2824">
        <v>2.0650180000000001E-2</v>
      </c>
      <c r="X2824">
        <v>0.99907020000000002</v>
      </c>
      <c r="Y2824">
        <v>-0.24737960000000001</v>
      </c>
      <c r="Z2824">
        <v>1.0301019999999999E-2</v>
      </c>
      <c r="AA2824">
        <v>0.96886380000000005</v>
      </c>
      <c r="AB2824">
        <v>25</v>
      </c>
      <c r="AC2824">
        <v>-11.1662</v>
      </c>
      <c r="AD2824">
        <v>-1.11427046305799</v>
      </c>
      <c r="AE2824">
        <v>-6.03669999999999</v>
      </c>
      <c r="AF2824">
        <v>-3.1463929252112002</v>
      </c>
      <c r="AG2824">
        <v>-1.11427046305799</v>
      </c>
      <c r="AH2824">
        <v>12.1971797522855</v>
      </c>
      <c r="AI2824">
        <v>95.055167324682103</v>
      </c>
      <c r="AJ2824">
        <v>104.464716687402</v>
      </c>
      <c r="AK2824">
        <v>12.645654629722699</v>
      </c>
      <c r="AL2824">
        <v>88.816747783548607</v>
      </c>
      <c r="AM2824">
        <v>92.169449538061301</v>
      </c>
      <c r="AN2824">
        <v>1.0000000419077699</v>
      </c>
    </row>
    <row r="2825" spans="1:40" x14ac:dyDescent="0.25">
      <c r="A2825" t="str">
        <f>"20190312160349097"</f>
        <v>20190312160349097</v>
      </c>
      <c r="B2825" t="str">
        <f>"1552377829087242"</f>
        <v>1552377829087242</v>
      </c>
      <c r="C2825" t="s">
        <v>40</v>
      </c>
      <c r="D2825">
        <v>5.450221</v>
      </c>
      <c r="E2825">
        <v>0.4199002</v>
      </c>
      <c r="F2825" t="s">
        <v>59</v>
      </c>
      <c r="G2825">
        <v>-493.137</v>
      </c>
      <c r="H2825" s="1">
        <v>2.4981139999999998E-6</v>
      </c>
      <c r="I2825">
        <v>277.48079999999999</v>
      </c>
      <c r="J2825">
        <v>-481.9631</v>
      </c>
      <c r="K2825">
        <v>1.1143270000000001</v>
      </c>
      <c r="L2825">
        <v>283.55990000000003</v>
      </c>
      <c r="M2825">
        <v>-0.96970710000000004</v>
      </c>
      <c r="N2825">
        <v>0</v>
      </c>
      <c r="O2825">
        <v>-0.2439451</v>
      </c>
      <c r="P2825">
        <v>-0.95998240000000001</v>
      </c>
      <c r="Q2825">
        <v>8.5648990000000008E-3</v>
      </c>
      <c r="R2825">
        <v>-0.2799296</v>
      </c>
      <c r="S2825">
        <v>-2.7029109999999998</v>
      </c>
      <c r="T2825">
        <v>-0.26657239999999999</v>
      </c>
      <c r="U2825">
        <v>-1.4625549999999901</v>
      </c>
      <c r="V2825">
        <v>-3.7490000000000002E-2</v>
      </c>
      <c r="W2825">
        <v>2.0776030000000001E-2</v>
      </c>
      <c r="X2825">
        <v>0.999081</v>
      </c>
      <c r="Y2825">
        <v>-0.24692910000000001</v>
      </c>
      <c r="Z2825">
        <v>1.059162E-2</v>
      </c>
      <c r="AA2825">
        <v>0.9689757</v>
      </c>
      <c r="AB2825">
        <v>25</v>
      </c>
      <c r="AC2825">
        <v>-11.1738999999999</v>
      </c>
      <c r="AD2825">
        <v>-1.114324501886</v>
      </c>
      <c r="AE2825">
        <v>-6.0791000000000404</v>
      </c>
      <c r="AF2825">
        <v>-3.1452439729734301</v>
      </c>
      <c r="AG2825">
        <v>-1.114324501886</v>
      </c>
      <c r="AH2825">
        <v>12.2255387125489</v>
      </c>
      <c r="AI2825">
        <v>95.044584333321694</v>
      </c>
      <c r="AJ2825">
        <v>104.42751631040601</v>
      </c>
      <c r="AK2825">
        <v>12.672729601670699</v>
      </c>
      <c r="AL2825">
        <v>88.809535505698094</v>
      </c>
      <c r="AM2825">
        <v>92.148986344233606</v>
      </c>
      <c r="AN2825">
        <v>0.99999999404177997</v>
      </c>
    </row>
    <row r="2826" spans="1:40" x14ac:dyDescent="0.25">
      <c r="A2826" t="str">
        <f>"20190312160349109"</f>
        <v>20190312160349109</v>
      </c>
      <c r="B2826" t="str">
        <f>"1552377829097002"</f>
        <v>1552377829097002</v>
      </c>
      <c r="C2826" t="s">
        <v>40</v>
      </c>
      <c r="D2826">
        <v>5.442113</v>
      </c>
      <c r="E2826">
        <v>0.42354229999999998</v>
      </c>
      <c r="F2826" t="s">
        <v>59</v>
      </c>
      <c r="G2826">
        <v>-493.28</v>
      </c>
      <c r="H2826" s="1">
        <v>2.4540280000000001E-6</v>
      </c>
      <c r="I2826">
        <v>277.392</v>
      </c>
      <c r="J2826">
        <v>-482.09519999999998</v>
      </c>
      <c r="K2826">
        <v>1.114384</v>
      </c>
      <c r="L2826">
        <v>283.52300000000002</v>
      </c>
      <c r="M2826">
        <v>-0.96884009999999998</v>
      </c>
      <c r="N2826">
        <v>0</v>
      </c>
      <c r="O2826">
        <v>-0.2473649</v>
      </c>
      <c r="P2826">
        <v>-0.9589917</v>
      </c>
      <c r="Q2826">
        <v>8.5689819999999993E-3</v>
      </c>
      <c r="R2826">
        <v>-0.28330490000000003</v>
      </c>
      <c r="S2826">
        <v>-2.6985779999999999</v>
      </c>
      <c r="T2826">
        <v>-0.26571709999999998</v>
      </c>
      <c r="U2826">
        <v>-1.470764</v>
      </c>
      <c r="V2826">
        <v>-3.7482370000000001E-2</v>
      </c>
      <c r="W2826">
        <v>2.0781750000000002E-2</v>
      </c>
      <c r="X2826">
        <v>0.9990812</v>
      </c>
      <c r="Y2826">
        <v>-0.24645030000000001</v>
      </c>
      <c r="Z2826">
        <v>1.088284E-2</v>
      </c>
      <c r="AA2826">
        <v>0.96909429999999996</v>
      </c>
      <c r="AB2826">
        <v>25</v>
      </c>
      <c r="AC2826">
        <v>-11.1847999999999</v>
      </c>
      <c r="AD2826">
        <v>-1.1143815459719999</v>
      </c>
      <c r="AE2826">
        <v>-6.13099999999997</v>
      </c>
      <c r="AF2826">
        <v>-3.1494442460907099</v>
      </c>
      <c r="AG2826">
        <v>-1.1143815459719999</v>
      </c>
      <c r="AH2826">
        <v>12.260276172169799</v>
      </c>
      <c r="AI2826">
        <v>95.031087241637096</v>
      </c>
      <c r="AJ2826">
        <v>104.406753128595</v>
      </c>
      <c r="AK2826">
        <v>12.7072899198496</v>
      </c>
      <c r="AL2826">
        <v>88.809207741950502</v>
      </c>
      <c r="AM2826">
        <v>92.148548960751796</v>
      </c>
      <c r="AN2826">
        <v>1.00000002669365</v>
      </c>
    </row>
    <row r="2827" spans="1:40" x14ac:dyDescent="0.25">
      <c r="A2827" t="str">
        <f>"20190312160349122"</f>
        <v>20190312160349122</v>
      </c>
      <c r="B2827" t="str">
        <f>"1552377829117497"</f>
        <v>1552377829117497</v>
      </c>
      <c r="C2827" t="s">
        <v>40</v>
      </c>
      <c r="D2827">
        <v>5.4178709999999999</v>
      </c>
      <c r="E2827">
        <v>0.42145749999999998</v>
      </c>
      <c r="F2827" t="s">
        <v>59</v>
      </c>
      <c r="G2827">
        <v>-492.82560000000001</v>
      </c>
      <c r="H2827" s="1">
        <v>2.621301E-6</v>
      </c>
      <c r="I2827">
        <v>277.75119999999998</v>
      </c>
      <c r="J2827">
        <v>-482.2389</v>
      </c>
      <c r="K2827">
        <v>1.114457</v>
      </c>
      <c r="L2827">
        <v>283.48200000000003</v>
      </c>
      <c r="M2827">
        <v>-0.96786170000000005</v>
      </c>
      <c r="N2827">
        <v>0</v>
      </c>
      <c r="O2827">
        <v>-0.25116630000000001</v>
      </c>
      <c r="P2827">
        <v>-0.95786119999999997</v>
      </c>
      <c r="Q2827">
        <v>8.0945849999999996E-3</v>
      </c>
      <c r="R2827">
        <v>-0.28711829999999999</v>
      </c>
      <c r="S2827">
        <v>-2.7015380000000002</v>
      </c>
      <c r="T2827">
        <v>-0.2805607</v>
      </c>
      <c r="U2827">
        <v>-1.453125</v>
      </c>
      <c r="V2827">
        <v>-3.7532759999999998E-2</v>
      </c>
      <c r="W2827">
        <v>2.0309310000000001E-2</v>
      </c>
      <c r="X2827">
        <v>0.999089</v>
      </c>
      <c r="Y2827">
        <v>-0.23734420000000001</v>
      </c>
      <c r="Z2827">
        <v>1.228858E-2</v>
      </c>
      <c r="AA2827">
        <v>0.97134790000000004</v>
      </c>
      <c r="AB2827">
        <v>25</v>
      </c>
      <c r="AC2827">
        <v>-10.5867</v>
      </c>
      <c r="AD2827">
        <v>-1.114454378699</v>
      </c>
      <c r="AE2827">
        <v>-5.7308000000000403</v>
      </c>
      <c r="AF2827">
        <v>-2.8632902489352299</v>
      </c>
      <c r="AG2827">
        <v>-1.114454378699</v>
      </c>
      <c r="AH2827">
        <v>11.5874677749998</v>
      </c>
      <c r="AI2827">
        <v>95.334199024689397</v>
      </c>
      <c r="AJ2827">
        <v>103.879878944772</v>
      </c>
      <c r="AK2827">
        <v>11.987904280920301</v>
      </c>
      <c r="AL2827">
        <v>88.836282246953104</v>
      </c>
      <c r="AM2827">
        <v>92.151417902356201</v>
      </c>
      <c r="AN2827">
        <v>1.0000000030334399</v>
      </c>
    </row>
    <row r="2828" spans="1:40" x14ac:dyDescent="0.25">
      <c r="A2828" t="str">
        <f>"20190312160349133"</f>
        <v>20190312160349133</v>
      </c>
      <c r="B2828" t="str">
        <f>"1552377829127767"</f>
        <v>1552377829127767</v>
      </c>
      <c r="C2828" t="s">
        <v>40</v>
      </c>
      <c r="D2828">
        <v>5.3282480000000003</v>
      </c>
      <c r="E2828">
        <v>0.42104720000000001</v>
      </c>
      <c r="F2828" t="s">
        <v>59</v>
      </c>
      <c r="G2828">
        <v>-494.26530000000002</v>
      </c>
      <c r="H2828" s="1">
        <v>2.184291E-6</v>
      </c>
      <c r="I2828">
        <v>276.87619999999998</v>
      </c>
      <c r="J2828">
        <v>-482.36079999999998</v>
      </c>
      <c r="K2828">
        <v>1.114511</v>
      </c>
      <c r="L2828">
        <v>283.44670000000002</v>
      </c>
      <c r="M2828">
        <v>-0.96700730000000001</v>
      </c>
      <c r="N2828">
        <v>0</v>
      </c>
      <c r="O2828">
        <v>-0.25443539999999998</v>
      </c>
      <c r="P2828">
        <v>-0.95692319999999997</v>
      </c>
      <c r="Q2828">
        <v>8.2668029999999997E-3</v>
      </c>
      <c r="R2828">
        <v>-0.29022389999999998</v>
      </c>
      <c r="S2828">
        <v>-2.6910099999999999</v>
      </c>
      <c r="T2828">
        <v>-0.24936939999999999</v>
      </c>
      <c r="U2828">
        <v>-1.478119</v>
      </c>
      <c r="V2828">
        <v>-3.7403039999999999E-2</v>
      </c>
      <c r="W2828">
        <v>2.0485219999999998E-2</v>
      </c>
      <c r="X2828">
        <v>0.99909029999999999</v>
      </c>
      <c r="Y2828">
        <v>-0.24258569999999999</v>
      </c>
      <c r="Z2828">
        <v>1.097647E-2</v>
      </c>
      <c r="AA2828">
        <v>0.97006789999999998</v>
      </c>
      <c r="AB2828">
        <v>25</v>
      </c>
      <c r="AC2828">
        <v>-11.904500000000001</v>
      </c>
      <c r="AD2828">
        <v>-1.114508815709</v>
      </c>
      <c r="AE2828">
        <v>-6.5705000000000302</v>
      </c>
      <c r="AF2828">
        <v>-3.3028708940313201</v>
      </c>
      <c r="AG2828">
        <v>-1.114508815709</v>
      </c>
      <c r="AH2828">
        <v>13.096571575459</v>
      </c>
      <c r="AI2828">
        <v>94.717112648496098</v>
      </c>
      <c r="AJ2828">
        <v>104.15447049165201</v>
      </c>
      <c r="AK2828">
        <v>13.5525375142094</v>
      </c>
      <c r="AL2828">
        <v>88.826201280271206</v>
      </c>
      <c r="AM2828">
        <v>92.143986377442502</v>
      </c>
      <c r="AN2828">
        <v>1.0000000295968801</v>
      </c>
    </row>
    <row r="2829" spans="1:40" x14ac:dyDescent="0.25">
      <c r="A2829" t="str">
        <f>"20190312160349146"</f>
        <v>20190312160349146</v>
      </c>
      <c r="B2829" t="str">
        <f>"1552377829137525"</f>
        <v>1552377829137525</v>
      </c>
      <c r="C2829" t="s">
        <v>40</v>
      </c>
      <c r="D2829">
        <v>5.4165769999999904</v>
      </c>
      <c r="E2829">
        <v>0.42103800000000002</v>
      </c>
      <c r="F2829" t="s">
        <v>59</v>
      </c>
      <c r="G2829">
        <v>-494.42099999999999</v>
      </c>
      <c r="H2829" s="1">
        <v>2.127877E-6</v>
      </c>
      <c r="I2829">
        <v>276.75560000000002</v>
      </c>
      <c r="J2829">
        <v>-482.49579999999997</v>
      </c>
      <c r="K2829">
        <v>1.1145689999999999</v>
      </c>
      <c r="L2829">
        <v>283.40719999999999</v>
      </c>
      <c r="M2829">
        <v>-0.96603779999999995</v>
      </c>
      <c r="N2829">
        <v>0</v>
      </c>
      <c r="O2829">
        <v>-0.25809149999999997</v>
      </c>
      <c r="P2829">
        <v>-0.9557485</v>
      </c>
      <c r="Q2829">
        <v>7.8835190000000003E-3</v>
      </c>
      <c r="R2829">
        <v>-0.29407990000000001</v>
      </c>
      <c r="S2829">
        <v>-2.685333</v>
      </c>
      <c r="T2829">
        <v>-0.24815699999999999</v>
      </c>
      <c r="U2829">
        <v>-1.489838</v>
      </c>
      <c r="V2829">
        <v>-3.7650110000000001E-2</v>
      </c>
      <c r="W2829">
        <v>2.010193E-2</v>
      </c>
      <c r="X2829">
        <v>0.9990888</v>
      </c>
      <c r="Y2829">
        <v>-0.2430332</v>
      </c>
      <c r="Z2829">
        <v>1.1207140000000001E-2</v>
      </c>
      <c r="AA2829">
        <v>0.96995319999999996</v>
      </c>
      <c r="AB2829">
        <v>25</v>
      </c>
      <c r="AC2829">
        <v>-11.9252</v>
      </c>
      <c r="AD2829">
        <v>-1.114566872123</v>
      </c>
      <c r="AE2829">
        <v>-6.65159999999997</v>
      </c>
      <c r="AF2829">
        <v>-3.3260120108372102</v>
      </c>
      <c r="AG2829">
        <v>-1.114566872123</v>
      </c>
      <c r="AH2829">
        <v>13.150357947721</v>
      </c>
      <c r="AI2829">
        <v>94.697340739017207</v>
      </c>
      <c r="AJ2829">
        <v>104.19369338996501</v>
      </c>
      <c r="AK2829">
        <v>13.6101627235627</v>
      </c>
      <c r="AL2829">
        <v>88.848166696483602</v>
      </c>
      <c r="AM2829">
        <v>92.158138610669596</v>
      </c>
      <c r="AN2829">
        <v>1.0000000243290801</v>
      </c>
    </row>
    <row r="2830" spans="1:40" x14ac:dyDescent="0.25">
      <c r="A2830" t="str">
        <f>"20190312160349158"</f>
        <v>20190312160349158</v>
      </c>
      <c r="B2830" t="str">
        <f>"1552377829147285"</f>
        <v>1552377829147285</v>
      </c>
      <c r="C2830" t="s">
        <v>40</v>
      </c>
      <c r="D2830">
        <v>5.4356519999999904</v>
      </c>
      <c r="E2830">
        <v>0.42120570000000002</v>
      </c>
      <c r="F2830" t="s">
        <v>59</v>
      </c>
      <c r="G2830">
        <v>-494.6463</v>
      </c>
      <c r="H2830" s="1">
        <v>2.0531560000000002E-6</v>
      </c>
      <c r="I2830">
        <v>276.60079999999999</v>
      </c>
      <c r="J2830">
        <v>-482.6234</v>
      </c>
      <c r="K2830">
        <v>1.1146320000000001</v>
      </c>
      <c r="L2830">
        <v>283.3691</v>
      </c>
      <c r="M2830">
        <v>-0.96508729999999998</v>
      </c>
      <c r="N2830">
        <v>0</v>
      </c>
      <c r="O2830">
        <v>-0.26162299999999999</v>
      </c>
      <c r="P2830">
        <v>-0.95466870000000004</v>
      </c>
      <c r="Q2830">
        <v>7.8079459999999996E-3</v>
      </c>
      <c r="R2830">
        <v>-0.2975679</v>
      </c>
      <c r="S2830">
        <v>-2.6791689999999999</v>
      </c>
      <c r="T2830">
        <v>-0.24576239999999999</v>
      </c>
      <c r="U2830">
        <v>-1.5008239999999999</v>
      </c>
      <c r="V2830">
        <v>-3.7646359999999997E-2</v>
      </c>
      <c r="W2830">
        <v>2.0029459999999999E-2</v>
      </c>
      <c r="X2830">
        <v>0.99909040000000005</v>
      </c>
      <c r="Y2830">
        <v>-0.24347289999999999</v>
      </c>
      <c r="Z2830">
        <v>1.137323E-2</v>
      </c>
      <c r="AA2830">
        <v>0.96984099999999995</v>
      </c>
      <c r="AB2830">
        <v>25</v>
      </c>
      <c r="AC2830">
        <v>-12.0228999999999</v>
      </c>
      <c r="AD2830">
        <v>-1.114629946844</v>
      </c>
      <c r="AE2830">
        <v>-6.7683000000000098</v>
      </c>
      <c r="AF2830">
        <v>-3.3648430881862401</v>
      </c>
      <c r="AG2830">
        <v>-1.114629946844</v>
      </c>
      <c r="AH2830">
        <v>13.288233755899901</v>
      </c>
      <c r="AI2830">
        <v>94.648750822392401</v>
      </c>
      <c r="AJ2830">
        <v>104.209737360814</v>
      </c>
      <c r="AK2830">
        <v>13.752880617454499</v>
      </c>
      <c r="AL2830">
        <v>88.852319761361699</v>
      </c>
      <c r="AM2830">
        <v>92.157920407923896</v>
      </c>
      <c r="AN2830">
        <v>1.00000002753065</v>
      </c>
    </row>
    <row r="2831" spans="1:40" x14ac:dyDescent="0.25">
      <c r="A2831" t="str">
        <f>"20190312160349178"</f>
        <v>20190312160349178</v>
      </c>
      <c r="B2831" t="str">
        <f>"1552377829167781"</f>
        <v>1552377829167781</v>
      </c>
      <c r="C2831" t="s">
        <v>40</v>
      </c>
      <c r="D2831">
        <v>5.4686240000000002</v>
      </c>
      <c r="E2831">
        <v>0.42135509999999898</v>
      </c>
      <c r="F2831" t="s">
        <v>59</v>
      </c>
      <c r="G2831">
        <v>-494.82490000000001</v>
      </c>
      <c r="H2831" s="1">
        <v>1.9956469999999998E-6</v>
      </c>
      <c r="I2831">
        <v>276.48289999999997</v>
      </c>
      <c r="J2831">
        <v>-482.83330000000001</v>
      </c>
      <c r="K2831">
        <v>1.114741</v>
      </c>
      <c r="L2831">
        <v>283.30529999999999</v>
      </c>
      <c r="M2831">
        <v>-0.96346620000000005</v>
      </c>
      <c r="N2831">
        <v>0</v>
      </c>
      <c r="O2831">
        <v>-0.2675303</v>
      </c>
      <c r="P2831">
        <v>-0.95261419999999997</v>
      </c>
      <c r="Q2831">
        <v>7.9089829999999996E-3</v>
      </c>
      <c r="R2831">
        <v>-0.30407879999999998</v>
      </c>
      <c r="S2831">
        <v>-2.6741030000000001</v>
      </c>
      <c r="T2831">
        <v>-0.24428330000000001</v>
      </c>
      <c r="U2831">
        <v>-1.5091859999999999</v>
      </c>
      <c r="V2831">
        <v>-3.8353730000000003E-2</v>
      </c>
      <c r="W2831">
        <v>2.0126720000000001E-2</v>
      </c>
      <c r="X2831">
        <v>0.99906150000000005</v>
      </c>
      <c r="Y2831">
        <v>-0.24064140000000001</v>
      </c>
      <c r="Z2831">
        <v>1.190458E-2</v>
      </c>
      <c r="AA2831">
        <v>0.97054110000000005</v>
      </c>
      <c r="AB2831">
        <v>25</v>
      </c>
      <c r="AC2831">
        <v>-11.9916</v>
      </c>
      <c r="AD2831">
        <v>-1.1147390043530001</v>
      </c>
      <c r="AE2831">
        <v>-6.8224000000000098</v>
      </c>
      <c r="AF2831">
        <v>-3.3434777722410098</v>
      </c>
      <c r="AG2831">
        <v>-1.1147390043530001</v>
      </c>
      <c r="AH2831">
        <v>13.2929910090365</v>
      </c>
      <c r="AI2831">
        <v>94.649411499772796</v>
      </c>
      <c r="AJ2831">
        <v>104.11828079685699</v>
      </c>
      <c r="AK2831">
        <v>13.7522760526257</v>
      </c>
      <c r="AL2831">
        <v>88.846746003812996</v>
      </c>
      <c r="AM2831">
        <v>92.198491552987605</v>
      </c>
      <c r="AN2831">
        <v>0.99999998712256</v>
      </c>
    </row>
    <row r="2832" spans="1:40" x14ac:dyDescent="0.25">
      <c r="A2832" t="str">
        <f>"20190312160349190"</f>
        <v>20190312160349190</v>
      </c>
      <c r="B2832" t="str">
        <f>"1552377829177542"</f>
        <v>1552377829177542</v>
      </c>
      <c r="C2832" t="s">
        <v>40</v>
      </c>
      <c r="D2832">
        <v>5.3341659999999997</v>
      </c>
      <c r="E2832">
        <v>0.42130679999999998</v>
      </c>
      <c r="F2832" t="s">
        <v>59</v>
      </c>
      <c r="G2832">
        <v>-495.04840000000002</v>
      </c>
      <c r="H2832" s="1">
        <v>1.9137110000000001E-6</v>
      </c>
      <c r="I2832">
        <v>276.30720000000002</v>
      </c>
      <c r="J2832">
        <v>-482.959</v>
      </c>
      <c r="K2832">
        <v>1.1148089999999999</v>
      </c>
      <c r="L2832">
        <v>283.26650000000001</v>
      </c>
      <c r="M2832">
        <v>-0.96246149999999997</v>
      </c>
      <c r="N2832">
        <v>0</v>
      </c>
      <c r="O2832">
        <v>-0.271123</v>
      </c>
      <c r="P2832">
        <v>-0.95123559999999996</v>
      </c>
      <c r="Q2832">
        <v>8.2559899999999995E-3</v>
      </c>
      <c r="R2832">
        <v>-0.30835620000000002</v>
      </c>
      <c r="S2832">
        <v>-2.6640630000000001</v>
      </c>
      <c r="T2832">
        <v>-0.2431217</v>
      </c>
      <c r="U2832">
        <v>-1.526276</v>
      </c>
      <c r="V2832">
        <v>-3.9123770000000002E-2</v>
      </c>
      <c r="W2832">
        <v>2.046711E-2</v>
      </c>
      <c r="X2832">
        <v>0.99902469999999999</v>
      </c>
      <c r="Y2832">
        <v>-0.2432859</v>
      </c>
      <c r="Z2832">
        <v>1.203769E-2</v>
      </c>
      <c r="AA2832">
        <v>0.96987990000000002</v>
      </c>
      <c r="AB2832">
        <v>25</v>
      </c>
      <c r="AC2832">
        <v>-12.089399999999999</v>
      </c>
      <c r="AD2832">
        <v>-1.114807086289</v>
      </c>
      <c r="AE2832">
        <v>-6.9592999999999803</v>
      </c>
      <c r="AF2832">
        <v>-3.3989094458450899</v>
      </c>
      <c r="AG2832">
        <v>-1.114807086289</v>
      </c>
      <c r="AH2832">
        <v>13.4376666625119</v>
      </c>
      <c r="AI2832">
        <v>94.598310687304505</v>
      </c>
      <c r="AJ2832">
        <v>104.194618316475</v>
      </c>
      <c r="AK2832">
        <v>13.905619928413101</v>
      </c>
      <c r="AL2832">
        <v>88.827239044634098</v>
      </c>
      <c r="AM2832">
        <v>92.242669264219003</v>
      </c>
      <c r="AN2832">
        <v>0.99999996159042603</v>
      </c>
    </row>
    <row r="2833" spans="1:40" x14ac:dyDescent="0.25">
      <c r="A2833" t="str">
        <f>"20190312160349202"</f>
        <v>20190312160349202</v>
      </c>
      <c r="B2833" t="str">
        <f>"1552377829197061"</f>
        <v>1552377829197061</v>
      </c>
      <c r="C2833" t="s">
        <v>40</v>
      </c>
      <c r="D2833">
        <v>5.1113350000000004</v>
      </c>
      <c r="E2833">
        <v>0.42116330000000002</v>
      </c>
      <c r="F2833" t="s">
        <v>59</v>
      </c>
      <c r="G2833">
        <v>-495.13900000000001</v>
      </c>
      <c r="H2833" s="1">
        <v>1.872811E-6</v>
      </c>
      <c r="I2833">
        <v>276.21420000000001</v>
      </c>
      <c r="J2833">
        <v>-483.09949999999998</v>
      </c>
      <c r="K2833">
        <v>1.1148849999999999</v>
      </c>
      <c r="L2833">
        <v>283.22230000000002</v>
      </c>
      <c r="M2833">
        <v>-0.96129869999999995</v>
      </c>
      <c r="N2833">
        <v>0</v>
      </c>
      <c r="O2833">
        <v>-0.27521600000000002</v>
      </c>
      <c r="P2833">
        <v>-0.94972120000000004</v>
      </c>
      <c r="Q2833">
        <v>8.6428189999999995E-3</v>
      </c>
      <c r="R2833">
        <v>-0.31297779999999997</v>
      </c>
      <c r="S2833">
        <v>-2.6571660000000001</v>
      </c>
      <c r="T2833">
        <v>-0.24320430000000001</v>
      </c>
      <c r="U2833">
        <v>-1.538513</v>
      </c>
      <c r="V2833">
        <v>-3.9739869999999997E-2</v>
      </c>
      <c r="W2833">
        <v>2.0849929999999999E-2</v>
      </c>
      <c r="X2833">
        <v>0.99899249999999995</v>
      </c>
      <c r="Y2833">
        <v>-0.2436065</v>
      </c>
      <c r="Z2833">
        <v>1.236348E-2</v>
      </c>
      <c r="AA2833">
        <v>0.96979530000000003</v>
      </c>
      <c r="AB2833">
        <v>25</v>
      </c>
      <c r="AC2833">
        <v>-12.0395</v>
      </c>
      <c r="AD2833">
        <v>-1.1148831271889901</v>
      </c>
      <c r="AE2833">
        <v>-7.0081000000000104</v>
      </c>
      <c r="AF2833">
        <v>-3.40190092924496</v>
      </c>
      <c r="AG2833">
        <v>-1.1148831271889901</v>
      </c>
      <c r="AH2833">
        <v>13.4174456657405</v>
      </c>
      <c r="AI2833">
        <v>94.604864370848205</v>
      </c>
      <c r="AJ2833">
        <v>104.227147481483</v>
      </c>
      <c r="AK2833">
        <v>13.886819020668</v>
      </c>
      <c r="AL2833">
        <v>88.805300432474198</v>
      </c>
      <c r="AM2833">
        <v>92.278022039042199</v>
      </c>
      <c r="AN2833">
        <v>0.99999999595243505</v>
      </c>
    </row>
    <row r="2834" spans="1:40" x14ac:dyDescent="0.25">
      <c r="A2834" t="str">
        <f>"20190312160349217"</f>
        <v>20190312160349217</v>
      </c>
      <c r="B2834" t="str">
        <f>"1552377829207797"</f>
        <v>1552377829207797</v>
      </c>
      <c r="C2834" t="s">
        <v>40</v>
      </c>
      <c r="D2834">
        <v>5.43459</v>
      </c>
      <c r="E2834">
        <v>0.42105290000000001</v>
      </c>
      <c r="F2834" t="s">
        <v>59</v>
      </c>
      <c r="G2834">
        <v>-495.44150000000002</v>
      </c>
      <c r="H2834" s="1">
        <v>1.7671190000000001E-6</v>
      </c>
      <c r="I2834">
        <v>275.99110000000002</v>
      </c>
      <c r="J2834">
        <v>-483.25349999999997</v>
      </c>
      <c r="K2834">
        <v>1.1149690000000001</v>
      </c>
      <c r="L2834">
        <v>283.17290000000003</v>
      </c>
      <c r="M2834">
        <v>-0.95998130000000004</v>
      </c>
      <c r="N2834">
        <v>0</v>
      </c>
      <c r="O2834">
        <v>-0.27977649999999998</v>
      </c>
      <c r="P2834">
        <v>-0.94797089999999995</v>
      </c>
      <c r="Q2834">
        <v>8.7510179999999993E-3</v>
      </c>
      <c r="R2834">
        <v>-0.31823780000000002</v>
      </c>
      <c r="S2834">
        <v>-2.6494450000000001</v>
      </c>
      <c r="T2834">
        <v>-0.2393303</v>
      </c>
      <c r="U2834">
        <v>-1.5523070000000001</v>
      </c>
      <c r="V2834">
        <v>-4.0541010000000002E-2</v>
      </c>
      <c r="W2834">
        <v>2.0952430000000001E-2</v>
      </c>
      <c r="X2834">
        <v>0.99895820000000002</v>
      </c>
      <c r="Y2834">
        <v>-0.2440031</v>
      </c>
      <c r="Z2834">
        <v>1.2518130000000001E-2</v>
      </c>
      <c r="AA2834">
        <v>0.96969369999999999</v>
      </c>
      <c r="AB2834">
        <v>25</v>
      </c>
      <c r="AC2834">
        <v>-12.188000000000001</v>
      </c>
      <c r="AD2834">
        <v>-1.1149672328810001</v>
      </c>
      <c r="AE2834">
        <v>-7.1818000000000097</v>
      </c>
      <c r="AF2834">
        <v>-3.46324508723503</v>
      </c>
      <c r="AG2834">
        <v>-1.1149672328810001</v>
      </c>
      <c r="AH2834">
        <v>13.6260119366405</v>
      </c>
      <c r="AI2834">
        <v>94.534348084162303</v>
      </c>
      <c r="AJ2834">
        <v>104.260581452621</v>
      </c>
      <c r="AK2834">
        <v>14.103383273602301</v>
      </c>
      <c r="AL2834">
        <v>88.799426374610704</v>
      </c>
      <c r="AM2834">
        <v>92.323975911384096</v>
      </c>
      <c r="AN2834">
        <v>1.0000000315809801</v>
      </c>
    </row>
    <row r="2835" spans="1:40" x14ac:dyDescent="0.25">
      <c r="A2835" t="str">
        <f>"20190312160349234"</f>
        <v>20190312160349234</v>
      </c>
      <c r="B2835" t="str">
        <f>"1552377829227826"</f>
        <v>1552377829227826</v>
      </c>
      <c r="C2835" t="s">
        <v>40</v>
      </c>
      <c r="D2835">
        <v>5.4693719999999999</v>
      </c>
      <c r="E2835">
        <v>0.42116189999999998</v>
      </c>
      <c r="F2835" t="s">
        <v>59</v>
      </c>
      <c r="G2835">
        <v>-495.65750000000003</v>
      </c>
      <c r="H2835" s="1">
        <v>1.683596E-6</v>
      </c>
      <c r="I2835">
        <v>275.8091</v>
      </c>
      <c r="J2835">
        <v>-483.43299999999999</v>
      </c>
      <c r="K2835">
        <v>1.1150690000000001</v>
      </c>
      <c r="L2835">
        <v>283.11439999999999</v>
      </c>
      <c r="M2835">
        <v>-0.95838959999999995</v>
      </c>
      <c r="N2835">
        <v>0</v>
      </c>
      <c r="O2835">
        <v>-0.28517989999999999</v>
      </c>
      <c r="P2835">
        <v>-0.94572109999999998</v>
      </c>
      <c r="Q2835">
        <v>9.0451720000000006E-3</v>
      </c>
      <c r="R2835">
        <v>-0.32485259999999999</v>
      </c>
      <c r="S2835">
        <v>-2.640625</v>
      </c>
      <c r="T2835">
        <v>-0.2373595</v>
      </c>
      <c r="U2835">
        <v>-1.5676570000000001</v>
      </c>
      <c r="V2835">
        <v>-4.1902099999999998E-2</v>
      </c>
      <c r="W2835">
        <v>2.123417E-2</v>
      </c>
      <c r="X2835">
        <v>0.99889609999999995</v>
      </c>
      <c r="Y2835">
        <v>-0.2441431</v>
      </c>
      <c r="Z2835">
        <v>1.284131E-2</v>
      </c>
      <c r="AA2835">
        <v>0.96965420000000002</v>
      </c>
      <c r="AB2835">
        <v>25</v>
      </c>
      <c r="AC2835">
        <v>-12.2244999999999</v>
      </c>
      <c r="AD2835">
        <v>-1.1150673164039999</v>
      </c>
      <c r="AE2835">
        <v>-7.3052999999999804</v>
      </c>
      <c r="AF2835">
        <v>-3.4940049910724298</v>
      </c>
      <c r="AG2835">
        <v>-1.1150673164039999</v>
      </c>
      <c r="AH2835">
        <v>13.716182799869699</v>
      </c>
      <c r="AI2835">
        <v>94.504451902304496</v>
      </c>
      <c r="AJ2835">
        <v>104.291346225078</v>
      </c>
      <c r="AK2835">
        <v>14.1980673542984</v>
      </c>
      <c r="AL2835">
        <v>88.783280288927401</v>
      </c>
      <c r="AM2835">
        <v>92.402058387692406</v>
      </c>
      <c r="AN2835">
        <v>1.0000000472776001</v>
      </c>
    </row>
    <row r="2836" spans="1:40" x14ac:dyDescent="0.25">
      <c r="A2836" t="str">
        <f>"20190312160349262"</f>
        <v>20190312160349262</v>
      </c>
      <c r="B2836" t="str">
        <f>"1552377829257106"</f>
        <v>1552377829257106</v>
      </c>
      <c r="C2836" t="s">
        <v>40</v>
      </c>
      <c r="D2836">
        <v>5.4099959999999996</v>
      </c>
      <c r="E2836">
        <v>0.42113660000000003</v>
      </c>
      <c r="F2836" t="s">
        <v>59</v>
      </c>
      <c r="G2836">
        <v>-495.98649999999998</v>
      </c>
      <c r="H2836" s="1">
        <v>1.562113E-6</v>
      </c>
      <c r="I2836">
        <v>275.54790000000003</v>
      </c>
      <c r="J2836">
        <v>-483.73110000000003</v>
      </c>
      <c r="K2836">
        <v>1.1152310000000001</v>
      </c>
      <c r="L2836">
        <v>283.01440000000002</v>
      </c>
      <c r="M2836">
        <v>-0.95559930000000004</v>
      </c>
      <c r="N2836">
        <v>0</v>
      </c>
      <c r="O2836">
        <v>-0.29439409999999999</v>
      </c>
      <c r="P2836">
        <v>-0.94220040000000005</v>
      </c>
      <c r="Q2836">
        <v>9.0417039999999994E-3</v>
      </c>
      <c r="R2836">
        <v>-0.33492889999999997</v>
      </c>
      <c r="S2836">
        <v>-2.6299440000000001</v>
      </c>
      <c r="T2836">
        <v>-0.23360539999999999</v>
      </c>
      <c r="U2836">
        <v>-1.585175</v>
      </c>
      <c r="V2836">
        <v>-4.2955199999999999E-2</v>
      </c>
      <c r="W2836">
        <v>2.122512E-2</v>
      </c>
      <c r="X2836">
        <v>0.9988515</v>
      </c>
      <c r="Y2836">
        <v>-0.24131230000000001</v>
      </c>
      <c r="Z2836">
        <v>1.347315E-2</v>
      </c>
      <c r="AA2836">
        <v>0.97035400000000005</v>
      </c>
      <c r="AB2836">
        <v>25</v>
      </c>
      <c r="AC2836">
        <v>-12.2553999999999</v>
      </c>
      <c r="AD2836">
        <v>-1.11522943788699</v>
      </c>
      <c r="AE2836">
        <v>-7.4664999999999901</v>
      </c>
      <c r="AF2836">
        <v>-3.5061760594090798</v>
      </c>
      <c r="AG2836">
        <v>-1.11522943788699</v>
      </c>
      <c r="AH2836">
        <v>13.826968610065499</v>
      </c>
      <c r="AI2836">
        <v>94.470388329241104</v>
      </c>
      <c r="AJ2836">
        <v>104.228873870634</v>
      </c>
      <c r="AK2836">
        <v>14.3081119719703</v>
      </c>
      <c r="AL2836">
        <v>88.783798859262603</v>
      </c>
      <c r="AM2836">
        <v>92.462464275975194</v>
      </c>
      <c r="AN2836">
        <v>0.99999998698915205</v>
      </c>
    </row>
    <row r="2837" spans="1:40" x14ac:dyDescent="0.25">
      <c r="A2837" t="str">
        <f>"20190312160349273"</f>
        <v>20190312160349273</v>
      </c>
      <c r="B2837" t="str">
        <f>"1552377829267842"</f>
        <v>1552377829267842</v>
      </c>
      <c r="C2837" t="s">
        <v>40</v>
      </c>
      <c r="D2837">
        <v>5.4034040000000001</v>
      </c>
      <c r="E2837">
        <v>0.42934689999999998</v>
      </c>
      <c r="F2837" t="s">
        <v>59</v>
      </c>
      <c r="G2837">
        <v>-496.31610000000001</v>
      </c>
      <c r="H2837" s="1">
        <v>1.42524E-6</v>
      </c>
      <c r="I2837">
        <v>275.24340000000001</v>
      </c>
      <c r="J2837">
        <v>-483.84589999999997</v>
      </c>
      <c r="K2837">
        <v>1.115292</v>
      </c>
      <c r="L2837">
        <v>282.97489999999999</v>
      </c>
      <c r="M2837">
        <v>-0.95447170000000003</v>
      </c>
      <c r="N2837">
        <v>0</v>
      </c>
      <c r="O2837">
        <v>-0.29802909999999999</v>
      </c>
      <c r="P2837">
        <v>-0.94083050000000001</v>
      </c>
      <c r="Q2837">
        <v>9.0541319999999995E-3</v>
      </c>
      <c r="R2837">
        <v>-0.33875690000000003</v>
      </c>
      <c r="S2837">
        <v>-2.6127929999999999</v>
      </c>
      <c r="T2837">
        <v>-0.23153389999999999</v>
      </c>
      <c r="U2837">
        <v>-1.6133420000000001</v>
      </c>
      <c r="V2837">
        <v>-4.3218109999999997E-2</v>
      </c>
      <c r="W2837">
        <v>2.1237510000000001E-2</v>
      </c>
      <c r="X2837">
        <v>0.9988399</v>
      </c>
      <c r="Y2837">
        <v>-0.24802350000000001</v>
      </c>
      <c r="Z2837">
        <v>1.338544E-2</v>
      </c>
      <c r="AA2837">
        <v>0.96866149999999995</v>
      </c>
      <c r="AB2837">
        <v>25</v>
      </c>
      <c r="AC2837">
        <v>-12.4702</v>
      </c>
      <c r="AD2837">
        <v>-1.1152905747599999</v>
      </c>
      <c r="AE2837">
        <v>-7.7314999999999801</v>
      </c>
      <c r="AF2837">
        <v>-3.6422684094413098</v>
      </c>
      <c r="AG2837">
        <v>-1.1152905747599999</v>
      </c>
      <c r="AH2837">
        <v>14.1261994507637</v>
      </c>
      <c r="AI2837">
        <v>94.371846571453702</v>
      </c>
      <c r="AJ2837">
        <v>104.458115469419</v>
      </c>
      <c r="AK2837">
        <v>14.630772472953</v>
      </c>
      <c r="AL2837">
        <v>88.783088809796396</v>
      </c>
      <c r="AM2837">
        <v>92.477545956995101</v>
      </c>
      <c r="AN2837">
        <v>0.99999999134749096</v>
      </c>
    </row>
    <row r="2838" spans="1:40" x14ac:dyDescent="0.25">
      <c r="A2838" t="str">
        <f>"20190312160349285"</f>
        <v>20190312160349285</v>
      </c>
      <c r="B2838" t="str">
        <f>"1552377829277601"</f>
        <v>1552377829277601</v>
      </c>
      <c r="C2838" t="s">
        <v>40</v>
      </c>
      <c r="D2838">
        <v>5.4843890000000002</v>
      </c>
      <c r="E2838">
        <v>0.42934090000000003</v>
      </c>
      <c r="F2838" t="s">
        <v>59</v>
      </c>
      <c r="G2838">
        <v>-493.7715</v>
      </c>
      <c r="H2838" s="1">
        <v>2.2930260000000002E-6</v>
      </c>
      <c r="I2838">
        <v>277.05990000000003</v>
      </c>
      <c r="J2838">
        <v>-483.9796</v>
      </c>
      <c r="K2838">
        <v>1.115364</v>
      </c>
      <c r="L2838">
        <v>282.92849999999999</v>
      </c>
      <c r="M2838">
        <v>-0.95312960000000002</v>
      </c>
      <c r="N2838">
        <v>0</v>
      </c>
      <c r="O2838">
        <v>-0.30229319999999998</v>
      </c>
      <c r="P2838">
        <v>-0.93918230000000003</v>
      </c>
      <c r="Q2838">
        <v>8.6329240000000002E-3</v>
      </c>
      <c r="R2838">
        <v>-0.34331080000000003</v>
      </c>
      <c r="S2838">
        <v>-2.6276860000000002</v>
      </c>
      <c r="T2838">
        <v>-0.2952613</v>
      </c>
      <c r="U2838">
        <v>-1.5659479999999999</v>
      </c>
      <c r="V2838">
        <v>-4.3588559999999998E-2</v>
      </c>
      <c r="W2838">
        <v>2.0816080000000001E-2</v>
      </c>
      <c r="X2838">
        <v>0.99883270000000002</v>
      </c>
      <c r="Y2838">
        <v>-0.22857150000000001</v>
      </c>
      <c r="Z2838">
        <v>1.847818E-2</v>
      </c>
      <c r="AA2838">
        <v>0.97335170000000004</v>
      </c>
      <c r="AB2838">
        <v>25</v>
      </c>
      <c r="AC2838">
        <v>-9.7918999999999894</v>
      </c>
      <c r="AD2838">
        <v>-1.1153617069740001</v>
      </c>
      <c r="AE2838">
        <v>-5.8685999999999501</v>
      </c>
      <c r="AF2838">
        <v>-2.6088225404388101</v>
      </c>
      <c r="AG2838">
        <v>-1.1153617069740001</v>
      </c>
      <c r="AH2838">
        <v>11.002860126693699</v>
      </c>
      <c r="AI2838">
        <v>95.633177194795195</v>
      </c>
      <c r="AJ2838">
        <v>103.338740816119</v>
      </c>
      <c r="AK2838">
        <v>11.362786531149499</v>
      </c>
      <c r="AL2838">
        <v>88.807240340942997</v>
      </c>
      <c r="AM2838">
        <v>92.498773770504997</v>
      </c>
      <c r="AN2838">
        <v>1.0000000171693599</v>
      </c>
    </row>
    <row r="2839" spans="1:40" x14ac:dyDescent="0.25">
      <c r="A2839" t="str">
        <f>"20190312160349297"</f>
        <v>20190312160349297</v>
      </c>
      <c r="B2839" t="str">
        <f>"1552377829287362"</f>
        <v>1552377829287362</v>
      </c>
      <c r="C2839" t="s">
        <v>40</v>
      </c>
      <c r="D2839">
        <v>6.5059620000000002</v>
      </c>
      <c r="E2839">
        <v>0.42934090000000003</v>
      </c>
      <c r="F2839" t="s">
        <v>59</v>
      </c>
      <c r="G2839">
        <v>-493.92239999999998</v>
      </c>
      <c r="H2839" s="1">
        <v>2.236289E-6</v>
      </c>
      <c r="I2839">
        <v>276.93720000000002</v>
      </c>
      <c r="J2839">
        <v>-484.09530000000001</v>
      </c>
      <c r="K2839">
        <v>1.1154269999999999</v>
      </c>
      <c r="L2839">
        <v>282.88729999999998</v>
      </c>
      <c r="M2839">
        <v>-0.9519223</v>
      </c>
      <c r="N2839">
        <v>0</v>
      </c>
      <c r="O2839">
        <v>-0.30607319999999999</v>
      </c>
      <c r="P2839">
        <v>-0.93774400000000002</v>
      </c>
      <c r="Q2839">
        <v>8.6475670000000001E-3</v>
      </c>
      <c r="R2839">
        <v>-0.34721960000000002</v>
      </c>
      <c r="S2839">
        <v>-2.6198730000000001</v>
      </c>
      <c r="T2839">
        <v>-0.29388920000000002</v>
      </c>
      <c r="U2839">
        <v>-1.5786439999999999</v>
      </c>
      <c r="V2839">
        <v>-4.3788580000000001E-2</v>
      </c>
      <c r="W2839">
        <v>2.0831809999999999E-2</v>
      </c>
      <c r="X2839">
        <v>0.99882360000000003</v>
      </c>
      <c r="Y2839">
        <v>-0.22946040000000001</v>
      </c>
      <c r="Z2839">
        <v>1.872718E-2</v>
      </c>
      <c r="AA2839">
        <v>0.97313780000000005</v>
      </c>
      <c r="AB2839">
        <v>25</v>
      </c>
      <c r="AC2839">
        <v>-9.8270999999999695</v>
      </c>
      <c r="AD2839">
        <v>-1.115424763711</v>
      </c>
      <c r="AE2839">
        <v>-5.95009999999996</v>
      </c>
      <c r="AF2839">
        <v>-2.63162848520588</v>
      </c>
      <c r="AG2839">
        <v>-1.115424763711</v>
      </c>
      <c r="AH2839">
        <v>11.072331349614499</v>
      </c>
      <c r="AI2839">
        <v>95.597657494529997</v>
      </c>
      <c r="AJ2839">
        <v>103.369768880024</v>
      </c>
      <c r="AK2839">
        <v>11.435303336742001</v>
      </c>
      <c r="AL2839">
        <v>88.806338855190603</v>
      </c>
      <c r="AM2839">
        <v>92.510248397190196</v>
      </c>
      <c r="AN2839">
        <v>0.99999999398162598</v>
      </c>
    </row>
    <row r="2840" spans="1:40" x14ac:dyDescent="0.25">
      <c r="A2840" t="str">
        <f>"20190312160349309"</f>
        <v>20190312160349309</v>
      </c>
      <c r="B2840" t="str">
        <f>"1552377829297122"</f>
        <v>1552377829297122</v>
      </c>
      <c r="C2840" t="s">
        <v>40</v>
      </c>
      <c r="D2840">
        <v>5.4450659999999997</v>
      </c>
      <c r="E2840">
        <v>0.4293206</v>
      </c>
      <c r="F2840" t="s">
        <v>59</v>
      </c>
      <c r="G2840">
        <v>-494.00450000000001</v>
      </c>
      <c r="H2840" s="1">
        <v>2.2017929999999998E-6</v>
      </c>
      <c r="I2840">
        <v>276.8603</v>
      </c>
      <c r="J2840">
        <v>-484.22089999999997</v>
      </c>
      <c r="K2840">
        <v>1.115497</v>
      </c>
      <c r="L2840">
        <v>282.84230000000002</v>
      </c>
      <c r="M2840">
        <v>-0.95058699999999996</v>
      </c>
      <c r="N2840">
        <v>0</v>
      </c>
      <c r="O2840">
        <v>-0.31019550000000001</v>
      </c>
      <c r="P2840">
        <v>-0.93615700000000002</v>
      </c>
      <c r="Q2840">
        <v>8.7472590000000003E-3</v>
      </c>
      <c r="R2840">
        <v>-0.3514737</v>
      </c>
      <c r="S2840">
        <v>-2.6133419999999998</v>
      </c>
      <c r="T2840">
        <v>-0.29416969999999998</v>
      </c>
      <c r="U2840">
        <v>-1.5895079999999999</v>
      </c>
      <c r="V2840">
        <v>-4.4000909999999997E-2</v>
      </c>
      <c r="W2840">
        <v>2.09324E-2</v>
      </c>
      <c r="X2840">
        <v>0.99881220000000004</v>
      </c>
      <c r="Y2840">
        <v>-0.22929389999999999</v>
      </c>
      <c r="Z2840">
        <v>1.916288E-2</v>
      </c>
      <c r="AA2840">
        <v>0.97316860000000005</v>
      </c>
      <c r="AB2840">
        <v>25</v>
      </c>
      <c r="AC2840">
        <v>-9.7836000000000301</v>
      </c>
      <c r="AD2840">
        <v>-1.115494798207</v>
      </c>
      <c r="AE2840">
        <v>-5.9820000000000197</v>
      </c>
      <c r="AF2840">
        <v>-2.6269419727007</v>
      </c>
      <c r="AG2840">
        <v>-1.115494798207</v>
      </c>
      <c r="AH2840">
        <v>11.052083691262199</v>
      </c>
      <c r="AI2840">
        <v>95.608182796199699</v>
      </c>
      <c r="AJ2840">
        <v>103.37038652755299</v>
      </c>
      <c r="AK2840">
        <v>11.414626874822799</v>
      </c>
      <c r="AL2840">
        <v>88.8005742566843</v>
      </c>
      <c r="AM2840">
        <v>92.522433613262905</v>
      </c>
      <c r="AN2840">
        <v>1.0000000281597099</v>
      </c>
    </row>
    <row r="2841" spans="1:40" x14ac:dyDescent="0.25">
      <c r="A2841" t="str">
        <f>"20190312160349321"</f>
        <v>20190312160349321</v>
      </c>
      <c r="B2841" t="str">
        <f>"1552377829317617"</f>
        <v>1552377829317617</v>
      </c>
      <c r="C2841" t="s">
        <v>40</v>
      </c>
      <c r="D2841">
        <v>5.4743009999999996</v>
      </c>
      <c r="E2841">
        <v>0.4297724</v>
      </c>
      <c r="F2841" t="s">
        <v>59</v>
      </c>
      <c r="G2841">
        <v>-496.88119999999998</v>
      </c>
      <c r="H2841" s="1">
        <v>1.3185529999999999E-6</v>
      </c>
      <c r="I2841">
        <v>275.08339999999998</v>
      </c>
      <c r="J2841">
        <v>-484.35309999999998</v>
      </c>
      <c r="K2841">
        <v>1.1155759999999999</v>
      </c>
      <c r="L2841">
        <v>282.79399999999998</v>
      </c>
      <c r="M2841">
        <v>-0.94912929999999995</v>
      </c>
      <c r="N2841">
        <v>0</v>
      </c>
      <c r="O2841">
        <v>-0.31462610000000002</v>
      </c>
      <c r="P2841">
        <v>-0.93443900000000002</v>
      </c>
      <c r="Q2841">
        <v>8.7170430000000007E-3</v>
      </c>
      <c r="R2841">
        <v>-0.35601660000000002</v>
      </c>
      <c r="S2841">
        <v>-2.606903</v>
      </c>
      <c r="T2841">
        <v>-0.2296937</v>
      </c>
      <c r="U2841">
        <v>-1.597656</v>
      </c>
      <c r="V2841">
        <v>-4.4196680000000002E-2</v>
      </c>
      <c r="W2841">
        <v>2.090475E-2</v>
      </c>
      <c r="X2841">
        <v>0.99880409999999997</v>
      </c>
      <c r="Y2841">
        <v>-0.22792419999999999</v>
      </c>
      <c r="Z2841">
        <v>1.537932E-2</v>
      </c>
      <c r="AA2841">
        <v>0.97355740000000002</v>
      </c>
      <c r="AB2841">
        <v>25</v>
      </c>
      <c r="AC2841">
        <v>-12.528099999999901</v>
      </c>
      <c r="AD2841">
        <v>-1.115574681447</v>
      </c>
      <c r="AE2841">
        <v>-7.7106000000000501</v>
      </c>
      <c r="AF2841">
        <v>-3.3576568970107901</v>
      </c>
      <c r="AG2841">
        <v>-1.115574681447</v>
      </c>
      <c r="AH2841">
        <v>14.2360484542046</v>
      </c>
      <c r="AI2841">
        <v>94.361504935835896</v>
      </c>
      <c r="AJ2841">
        <v>103.271018653849</v>
      </c>
      <c r="AK2841">
        <v>14.669132295347</v>
      </c>
      <c r="AL2841">
        <v>88.802158789117996</v>
      </c>
      <c r="AM2841">
        <v>92.533662418764806</v>
      </c>
      <c r="AN2841">
        <v>0.99999999263619699</v>
      </c>
    </row>
    <row r="2842" spans="1:40" x14ac:dyDescent="0.25">
      <c r="A2842" t="str">
        <f>"20190312160349334"</f>
        <v>20190312160349334</v>
      </c>
      <c r="B2842" t="str">
        <f>"1552377829327886"</f>
        <v>1552377829327886</v>
      </c>
      <c r="C2842" t="s">
        <v>40</v>
      </c>
      <c r="D2842">
        <v>5.4859720000000003</v>
      </c>
      <c r="E2842">
        <v>0.4376005</v>
      </c>
      <c r="F2842" t="s">
        <v>59</v>
      </c>
      <c r="G2842">
        <v>-496.69529999999997</v>
      </c>
      <c r="H2842" s="1">
        <v>1.3638110000000001E-6</v>
      </c>
      <c r="I2842">
        <v>275.16480000000001</v>
      </c>
      <c r="J2842">
        <v>-484.48500000000001</v>
      </c>
      <c r="K2842">
        <v>1.1156549999999901</v>
      </c>
      <c r="L2842">
        <v>282.74509999999998</v>
      </c>
      <c r="M2842">
        <v>-0.94763299999999995</v>
      </c>
      <c r="N2842">
        <v>0</v>
      </c>
      <c r="O2842">
        <v>-0.31910490000000002</v>
      </c>
      <c r="P2842">
        <v>-0.93262069999999997</v>
      </c>
      <c r="Q2842">
        <v>8.9597800000000005E-3</v>
      </c>
      <c r="R2842">
        <v>-0.36074729999999999</v>
      </c>
      <c r="S2842">
        <v>-2.600311</v>
      </c>
      <c r="T2842">
        <v>-0.2350343</v>
      </c>
      <c r="U2842">
        <v>-1.607361</v>
      </c>
      <c r="V2842">
        <v>-4.454984E-2</v>
      </c>
      <c r="W2842">
        <v>2.1147889999999999E-2</v>
      </c>
      <c r="X2842">
        <v>0.99878330000000004</v>
      </c>
      <c r="Y2842">
        <v>-0.22708200000000001</v>
      </c>
      <c r="Z2842">
        <v>1.612734E-2</v>
      </c>
      <c r="AA2842">
        <v>0.97374210000000005</v>
      </c>
      <c r="AB2842">
        <v>25</v>
      </c>
      <c r="AC2842">
        <v>-12.210299999999901</v>
      </c>
      <c r="AD2842">
        <v>-1.1156536361889999</v>
      </c>
      <c r="AE2842">
        <v>-7.5802999999999603</v>
      </c>
      <c r="AF2842">
        <v>-3.2675547799960998</v>
      </c>
      <c r="AG2842">
        <v>-1.1156536361889999</v>
      </c>
      <c r="AH2842">
        <v>13.907135426850401</v>
      </c>
      <c r="AI2842">
        <v>94.465453294302705</v>
      </c>
      <c r="AJ2842">
        <v>103.22212253498</v>
      </c>
      <c r="AK2842">
        <v>14.329340984740901</v>
      </c>
      <c r="AL2842">
        <v>88.788224822709694</v>
      </c>
      <c r="AM2842">
        <v>92.553934432452394</v>
      </c>
      <c r="AN2842">
        <v>1.0000000009271801</v>
      </c>
    </row>
    <row r="2843" spans="1:40" x14ac:dyDescent="0.25">
      <c r="A2843" t="str">
        <f>"20190312160349346"</f>
        <v>20190312160349346</v>
      </c>
      <c r="B2843" t="str">
        <f>"1552377829337646"</f>
        <v>1552377829337646</v>
      </c>
      <c r="C2843" t="s">
        <v>40</v>
      </c>
      <c r="D2843">
        <v>5.5537400000000003</v>
      </c>
      <c r="E2843">
        <v>0.43680829999999998</v>
      </c>
      <c r="F2843" t="s">
        <v>59</v>
      </c>
      <c r="G2843">
        <v>-493.57569999999998</v>
      </c>
      <c r="H2843" s="1">
        <v>2.3933539999999998E-6</v>
      </c>
      <c r="I2843">
        <v>277.2946</v>
      </c>
      <c r="J2843">
        <v>-484.61520000000002</v>
      </c>
      <c r="K2843">
        <v>1.1157330000000001</v>
      </c>
      <c r="L2843">
        <v>282.69630000000001</v>
      </c>
      <c r="M2843">
        <v>-0.94611920000000005</v>
      </c>
      <c r="N2843">
        <v>0</v>
      </c>
      <c r="O2843">
        <v>-0.32356459999999998</v>
      </c>
      <c r="P2843">
        <v>-0.9308073</v>
      </c>
      <c r="Q2843">
        <v>8.7475929999999997E-3</v>
      </c>
      <c r="R2843">
        <v>-0.36540640000000002</v>
      </c>
      <c r="S2843">
        <v>-2.6136469999999998</v>
      </c>
      <c r="T2843">
        <v>-0.32075989999999999</v>
      </c>
      <c r="U2843">
        <v>-1.567078</v>
      </c>
      <c r="V2843">
        <v>-4.4840560000000002E-2</v>
      </c>
      <c r="W2843">
        <v>2.0936219999999998E-2</v>
      </c>
      <c r="X2843">
        <v>0.99877479999999996</v>
      </c>
      <c r="Y2843">
        <v>-0.20958399999999999</v>
      </c>
      <c r="Z2843">
        <v>2.3434389999999999E-2</v>
      </c>
      <c r="AA2843">
        <v>0.97750979999999998</v>
      </c>
      <c r="AB2843">
        <v>25</v>
      </c>
      <c r="AC2843">
        <v>-8.9604999999999606</v>
      </c>
      <c r="AD2843">
        <v>-1.115730606646</v>
      </c>
      <c r="AE2843">
        <v>-5.4016999999999999</v>
      </c>
      <c r="AF2843">
        <v>-2.1866670278878502</v>
      </c>
      <c r="AG2843">
        <v>-1.115730606646</v>
      </c>
      <c r="AH2843">
        <v>10.111356712512301</v>
      </c>
      <c r="AI2843">
        <v>96.155621715091499</v>
      </c>
      <c r="AJ2843">
        <v>102.202784229614</v>
      </c>
      <c r="AK2843">
        <v>10.405090198798201</v>
      </c>
      <c r="AL2843">
        <v>88.800355366388203</v>
      </c>
      <c r="AM2843">
        <v>92.570600269921698</v>
      </c>
      <c r="AN2843">
        <v>1.00000005112201</v>
      </c>
    </row>
    <row r="2844" spans="1:40" x14ac:dyDescent="0.25">
      <c r="A2844" t="str">
        <f>"20190312160349372"</f>
        <v>20190312160349372</v>
      </c>
      <c r="B2844" t="str">
        <f>"1552377829367903"</f>
        <v>1552377829367903</v>
      </c>
      <c r="C2844" t="s">
        <v>40</v>
      </c>
      <c r="D2844">
        <v>5.5836930000000002</v>
      </c>
      <c r="E2844">
        <v>0.43655379999999999</v>
      </c>
      <c r="F2844" t="s">
        <v>59</v>
      </c>
      <c r="G2844">
        <v>-493.94279999999998</v>
      </c>
      <c r="H2844" s="1">
        <v>2.2626589999999999E-6</v>
      </c>
      <c r="I2844">
        <v>277.01690000000002</v>
      </c>
      <c r="J2844">
        <v>-484.87709999999998</v>
      </c>
      <c r="K2844">
        <v>1.115888</v>
      </c>
      <c r="L2844">
        <v>282.59519999999998</v>
      </c>
      <c r="M2844">
        <v>-0.94291290000000005</v>
      </c>
      <c r="N2844">
        <v>0</v>
      </c>
      <c r="O2844">
        <v>-0.33279150000000002</v>
      </c>
      <c r="P2844">
        <v>-0.92704710000000001</v>
      </c>
      <c r="Q2844">
        <v>8.7070240000000007E-3</v>
      </c>
      <c r="R2844">
        <v>-0.37484410000000001</v>
      </c>
      <c r="S2844">
        <v>-2.6036380000000001</v>
      </c>
      <c r="T2844">
        <v>-0.31143769999999998</v>
      </c>
      <c r="U2844">
        <v>-1.585297</v>
      </c>
      <c r="V2844">
        <v>-4.5238729999999998E-2</v>
      </c>
      <c r="W2844">
        <v>2.0901889999999999E-2</v>
      </c>
      <c r="X2844">
        <v>0.99875749999999996</v>
      </c>
      <c r="Y2844">
        <v>-0.20671690000000001</v>
      </c>
      <c r="Z2844">
        <v>2.3867530000000001E-2</v>
      </c>
      <c r="AA2844">
        <v>0.97810969999999997</v>
      </c>
      <c r="AB2844">
        <v>25</v>
      </c>
      <c r="AC2844">
        <v>-9.0656999999999908</v>
      </c>
      <c r="AD2844">
        <v>-1.1158857373410001</v>
      </c>
      <c r="AE2844">
        <v>-5.5782999999999499</v>
      </c>
      <c r="AF2844">
        <v>-2.2186654152624801</v>
      </c>
      <c r="AG2844">
        <v>-1.1158857373410001</v>
      </c>
      <c r="AH2844">
        <v>10.292323819552699</v>
      </c>
      <c r="AI2844">
        <v>96.049892144884197</v>
      </c>
      <c r="AJ2844">
        <v>102.164821762049</v>
      </c>
      <c r="AK2844">
        <v>10.5877101778532</v>
      </c>
      <c r="AL2844">
        <v>88.802322685010196</v>
      </c>
      <c r="AM2844">
        <v>92.593440220766098</v>
      </c>
      <c r="AN2844">
        <v>0.99999998775191701</v>
      </c>
    </row>
    <row r="2845" spans="1:40" x14ac:dyDescent="0.25">
      <c r="A2845" t="str">
        <f>"20190312160349385"</f>
        <v>20190312160349385</v>
      </c>
      <c r="B2845" t="str">
        <f>"1552377829377663"</f>
        <v>1552377829377663</v>
      </c>
      <c r="C2845" t="s">
        <v>40</v>
      </c>
      <c r="D2845">
        <v>5.5732949999999999</v>
      </c>
      <c r="E2845">
        <v>0.43677240000000001</v>
      </c>
      <c r="F2845" t="s">
        <v>59</v>
      </c>
      <c r="G2845">
        <v>-494.07839999999999</v>
      </c>
      <c r="H2845" s="1">
        <v>2.193605E-6</v>
      </c>
      <c r="I2845">
        <v>276.85559999999998</v>
      </c>
      <c r="J2845">
        <v>-485.0172</v>
      </c>
      <c r="K2845">
        <v>1.1159749999999999</v>
      </c>
      <c r="L2845">
        <v>282.53989999999999</v>
      </c>
      <c r="M2845">
        <v>-0.94112280000000004</v>
      </c>
      <c r="N2845">
        <v>0</v>
      </c>
      <c r="O2845">
        <v>-0.33782000000000001</v>
      </c>
      <c r="P2845">
        <v>-0.92490669999999997</v>
      </c>
      <c r="Q2845">
        <v>8.5757779999999992E-3</v>
      </c>
      <c r="R2845">
        <v>-0.38009799999999999</v>
      </c>
      <c r="S2845">
        <v>-2.5866389999999999</v>
      </c>
      <c r="T2845">
        <v>-0.31369629999999998</v>
      </c>
      <c r="U2845">
        <v>-1.6134949999999999</v>
      </c>
      <c r="V2845">
        <v>-4.5576039999999998E-2</v>
      </c>
      <c r="W2845">
        <v>2.077174E-2</v>
      </c>
      <c r="X2845">
        <v>0.99874490000000005</v>
      </c>
      <c r="Y2845">
        <v>-0.21206179999999999</v>
      </c>
      <c r="Z2845">
        <v>2.430512E-2</v>
      </c>
      <c r="AA2845">
        <v>0.97695399999999999</v>
      </c>
      <c r="AB2845">
        <v>25</v>
      </c>
      <c r="AC2845">
        <v>-9.0611999999999799</v>
      </c>
      <c r="AD2845">
        <v>-1.1159728063949901</v>
      </c>
      <c r="AE2845">
        <v>-5.6843000000000004</v>
      </c>
      <c r="AF2845">
        <v>-2.2641148706408698</v>
      </c>
      <c r="AG2845">
        <v>-1.1159728063949901</v>
      </c>
      <c r="AH2845">
        <v>10.3363286670872</v>
      </c>
      <c r="AI2845">
        <v>96.020476085182906</v>
      </c>
      <c r="AJ2845">
        <v>102.35518365768699</v>
      </c>
      <c r="AK2845">
        <v>10.6400799699119</v>
      </c>
      <c r="AL2845">
        <v>88.809781374193307</v>
      </c>
      <c r="AM2845">
        <v>92.612783705053701</v>
      </c>
      <c r="AN2845">
        <v>1.0000000079403499</v>
      </c>
    </row>
    <row r="2846" spans="1:40" x14ac:dyDescent="0.25">
      <c r="A2846" t="str">
        <f>"20190312160349398"</f>
        <v>20190312160349398</v>
      </c>
      <c r="B2846" t="str">
        <f>"1552377829387422"</f>
        <v>1552377829387422</v>
      </c>
      <c r="C2846" t="s">
        <v>40</v>
      </c>
      <c r="D2846">
        <v>5.5499159999999996</v>
      </c>
      <c r="E2846">
        <v>0.43778319999999998</v>
      </c>
      <c r="F2846" t="s">
        <v>59</v>
      </c>
      <c r="G2846">
        <v>-494.52780000000001</v>
      </c>
      <c r="H2846" s="1">
        <v>2.0427759999999999E-6</v>
      </c>
      <c r="I2846">
        <v>276.54169999999999</v>
      </c>
      <c r="J2846">
        <v>-485.13720000000001</v>
      </c>
      <c r="K2846">
        <v>1.1160479999999999</v>
      </c>
      <c r="L2846">
        <v>282.49149999999997</v>
      </c>
      <c r="M2846">
        <v>-0.93953310000000001</v>
      </c>
      <c r="N2846">
        <v>0</v>
      </c>
      <c r="O2846">
        <v>-0.34221629999999997</v>
      </c>
      <c r="P2846">
        <v>-0.92309680000000005</v>
      </c>
      <c r="Q2846">
        <v>8.7113360000000001E-3</v>
      </c>
      <c r="R2846">
        <v>-0.38446960000000002</v>
      </c>
      <c r="S2846">
        <v>-2.5781559999999999</v>
      </c>
      <c r="T2846">
        <v>-0.30251980000000001</v>
      </c>
      <c r="U2846">
        <v>-1.626007</v>
      </c>
      <c r="V2846">
        <v>-4.5638770000000002E-2</v>
      </c>
      <c r="W2846">
        <v>2.0912380000000001E-2</v>
      </c>
      <c r="X2846">
        <v>0.99873909999999999</v>
      </c>
      <c r="Y2846">
        <v>-0.21231259999999999</v>
      </c>
      <c r="Z2846">
        <v>2.3887889999999998E-2</v>
      </c>
      <c r="AA2846">
        <v>0.97690980000000005</v>
      </c>
      <c r="AB2846">
        <v>25</v>
      </c>
      <c r="AC2846">
        <v>-9.3905999999999992</v>
      </c>
      <c r="AD2846">
        <v>-1.116045957224</v>
      </c>
      <c r="AE2846">
        <v>-5.9497999999999802</v>
      </c>
      <c r="AF2846">
        <v>-2.3529002619411599</v>
      </c>
      <c r="AG2846">
        <v>-1.116045957224</v>
      </c>
      <c r="AH2846">
        <v>10.7514367676511</v>
      </c>
      <c r="AI2846">
        <v>95.790254935635502</v>
      </c>
      <c r="AJ2846">
        <v>102.344292298661</v>
      </c>
      <c r="AK2846">
        <v>11.0623275484899</v>
      </c>
      <c r="AL2846">
        <v>88.801721544441605</v>
      </c>
      <c r="AM2846">
        <v>92.616390070431706</v>
      </c>
      <c r="AN2846">
        <v>1.00000000741659</v>
      </c>
    </row>
    <row r="2847" spans="1:40" x14ac:dyDescent="0.25">
      <c r="A2847" t="str">
        <f>"20190312160349412"</f>
        <v>20190312160349412</v>
      </c>
      <c r="B2847" t="str">
        <f>"1552377829407919"</f>
        <v>1552377829407919</v>
      </c>
      <c r="C2847" t="s">
        <v>40</v>
      </c>
      <c r="D2847">
        <v>5.6019730000000001</v>
      </c>
      <c r="E2847">
        <v>0.43808140000000001</v>
      </c>
      <c r="F2847" t="s">
        <v>59</v>
      </c>
      <c r="G2847">
        <v>-494.47269999999997</v>
      </c>
      <c r="H2847" s="1">
        <v>2.0594460000000001E-6</v>
      </c>
      <c r="I2847">
        <v>276.57499999999999</v>
      </c>
      <c r="J2847">
        <v>-485.28140000000002</v>
      </c>
      <c r="K2847">
        <v>1.116133</v>
      </c>
      <c r="L2847">
        <v>282.43279999999999</v>
      </c>
      <c r="M2847">
        <v>-0.93757299999999999</v>
      </c>
      <c r="N2847">
        <v>0</v>
      </c>
      <c r="O2847">
        <v>-0.34754950000000001</v>
      </c>
      <c r="P2847">
        <v>-0.92089549999999998</v>
      </c>
      <c r="Q2847">
        <v>8.0817939999999998E-3</v>
      </c>
      <c r="R2847">
        <v>-0.38972610000000002</v>
      </c>
      <c r="S2847">
        <v>-2.5734859999999999</v>
      </c>
      <c r="T2847">
        <v>-0.30765569999999998</v>
      </c>
      <c r="U2847">
        <v>-1.630981</v>
      </c>
      <c r="V2847">
        <v>-4.5650780000000002E-2</v>
      </c>
      <c r="W2847">
        <v>2.0290240000000001E-2</v>
      </c>
      <c r="X2847">
        <v>0.99875139999999996</v>
      </c>
      <c r="Y2847">
        <v>-0.2089645</v>
      </c>
      <c r="Z2847">
        <v>2.5022829999999999E-2</v>
      </c>
      <c r="AA2847">
        <v>0.977603</v>
      </c>
      <c r="AB2847">
        <v>25</v>
      </c>
      <c r="AC2847">
        <v>-9.1912999999999503</v>
      </c>
      <c r="AD2847">
        <v>-1.1161309405540001</v>
      </c>
      <c r="AE2847">
        <v>-5.8577999999999903</v>
      </c>
      <c r="AF2847">
        <v>-2.27402746536232</v>
      </c>
      <c r="AG2847">
        <v>-1.1161309405540001</v>
      </c>
      <c r="AH2847">
        <v>10.5437075703805</v>
      </c>
      <c r="AI2847">
        <v>95.907836688008999</v>
      </c>
      <c r="AJ2847">
        <v>102.170910184617</v>
      </c>
      <c r="AK2847">
        <v>10.8437409835989</v>
      </c>
      <c r="AL2847">
        <v>88.837375126200797</v>
      </c>
      <c r="AM2847">
        <v>92.6170454399021</v>
      </c>
      <c r="AN2847">
        <v>1.00000002327791</v>
      </c>
    </row>
    <row r="2848" spans="1:40" x14ac:dyDescent="0.25">
      <c r="A2848" t="str">
        <f>"20190312160349424"</f>
        <v>20190312160349424</v>
      </c>
      <c r="B2848" t="str">
        <f>"1552377829417680"</f>
        <v>1552377829417680</v>
      </c>
      <c r="C2848" t="s">
        <v>40</v>
      </c>
      <c r="D2848">
        <v>5.7455280000000002</v>
      </c>
      <c r="E2848">
        <v>0.43851620000000002</v>
      </c>
      <c r="F2848" t="s">
        <v>59</v>
      </c>
      <c r="G2848">
        <v>-494.6841</v>
      </c>
      <c r="H2848" s="1">
        <v>1.9816659999999999E-6</v>
      </c>
      <c r="I2848">
        <v>276.40800000000002</v>
      </c>
      <c r="J2848">
        <v>-485.4119</v>
      </c>
      <c r="K2848">
        <v>1.116215</v>
      </c>
      <c r="L2848">
        <v>282.37860000000001</v>
      </c>
      <c r="M2848">
        <v>-0.93574199999999996</v>
      </c>
      <c r="N2848">
        <v>0</v>
      </c>
      <c r="O2848">
        <v>-0.35244880000000001</v>
      </c>
      <c r="P2848">
        <v>-0.91865359999999996</v>
      </c>
      <c r="Q2848">
        <v>8.3183500000000004E-3</v>
      </c>
      <c r="R2848">
        <v>-0.39497660000000001</v>
      </c>
      <c r="S2848">
        <v>-2.5648499999999999</v>
      </c>
      <c r="T2848">
        <v>-0.30445870000000003</v>
      </c>
      <c r="U2848">
        <v>-1.6434329999999999</v>
      </c>
      <c r="V2848">
        <v>-4.6136789999999997E-2</v>
      </c>
      <c r="W2848">
        <v>2.0526229999999999E-2</v>
      </c>
      <c r="X2848">
        <v>0.99872419999999995</v>
      </c>
      <c r="Y2848">
        <v>-0.2087183</v>
      </c>
      <c r="Z2848">
        <v>2.52883E-2</v>
      </c>
      <c r="AA2848">
        <v>0.97764879999999998</v>
      </c>
      <c r="AB2848">
        <v>25</v>
      </c>
      <c r="AC2848">
        <v>-9.2721999999999891</v>
      </c>
      <c r="AD2848">
        <v>-1.116213018334</v>
      </c>
      <c r="AE2848">
        <v>-5.9705999999999904</v>
      </c>
      <c r="AF2848">
        <v>-2.2956415198589699</v>
      </c>
      <c r="AG2848">
        <v>-1.116213018334</v>
      </c>
      <c r="AH2848">
        <v>10.6722864908813</v>
      </c>
      <c r="AI2848">
        <v>95.838264282908099</v>
      </c>
      <c r="AJ2848">
        <v>102.139524257234</v>
      </c>
      <c r="AK2848">
        <v>10.9733131019509</v>
      </c>
      <c r="AL2848">
        <v>88.823851026257501</v>
      </c>
      <c r="AM2848">
        <v>92.644939756335802</v>
      </c>
      <c r="AN2848">
        <v>0.99999997858757805</v>
      </c>
    </row>
    <row r="2849" spans="1:40" x14ac:dyDescent="0.25">
      <c r="A2849" t="str">
        <f>"20190312160349447"</f>
        <v>20190312160349447</v>
      </c>
      <c r="B2849" t="str">
        <f>"1552377829437707"</f>
        <v>1552377829437707</v>
      </c>
      <c r="C2849" t="s">
        <v>40</v>
      </c>
      <c r="D2849">
        <v>5.8401550000000002</v>
      </c>
      <c r="E2849">
        <v>0.43941259999999999</v>
      </c>
      <c r="F2849" t="s">
        <v>59</v>
      </c>
      <c r="G2849">
        <v>-494.85590000000002</v>
      </c>
      <c r="H2849" s="1">
        <v>1.917122E-6</v>
      </c>
      <c r="I2849">
        <v>276.26859999999999</v>
      </c>
      <c r="J2849">
        <v>-485.63749999999999</v>
      </c>
      <c r="K2849">
        <v>1.1163529999999999</v>
      </c>
      <c r="L2849">
        <v>282.28300000000002</v>
      </c>
      <c r="M2849">
        <v>-0.93244800000000005</v>
      </c>
      <c r="N2849">
        <v>0</v>
      </c>
      <c r="O2849">
        <v>-0.36107280000000003</v>
      </c>
      <c r="P2849">
        <v>-0.91470940000000001</v>
      </c>
      <c r="Q2849">
        <v>8.4204109999999992E-3</v>
      </c>
      <c r="R2849">
        <v>-0.40402450000000001</v>
      </c>
      <c r="S2849">
        <v>-2.5570680000000001</v>
      </c>
      <c r="T2849">
        <v>-0.30222949999999998</v>
      </c>
      <c r="U2849">
        <v>-1.654388</v>
      </c>
      <c r="V2849">
        <v>-4.6782919999999999E-2</v>
      </c>
      <c r="W2849">
        <v>2.0631110000000001E-2</v>
      </c>
      <c r="X2849">
        <v>0.99869200000000002</v>
      </c>
      <c r="Y2849">
        <v>-0.2040438</v>
      </c>
      <c r="Z2849">
        <v>2.6219449999999998E-2</v>
      </c>
      <c r="AA2849">
        <v>0.9786106</v>
      </c>
      <c r="AB2849">
        <v>25</v>
      </c>
      <c r="AC2849">
        <v>-9.2184000000000292</v>
      </c>
      <c r="AD2849">
        <v>-1.1163510828779999</v>
      </c>
      <c r="AE2849">
        <v>-6.0144000000000197</v>
      </c>
      <c r="AF2849">
        <v>-2.2565797984854199</v>
      </c>
      <c r="AG2849">
        <v>-1.1163510828779999</v>
      </c>
      <c r="AH2849">
        <v>10.658574573488</v>
      </c>
      <c r="AI2849">
        <v>95.8504575659111</v>
      </c>
      <c r="AJ2849">
        <v>101.95385687802199</v>
      </c>
      <c r="AK2849">
        <v>10.9518767371524</v>
      </c>
      <c r="AL2849">
        <v>88.817840594437101</v>
      </c>
      <c r="AM2849">
        <v>92.682013870225106</v>
      </c>
      <c r="AN2849">
        <v>0.999999997583779</v>
      </c>
    </row>
    <row r="2850" spans="1:40" x14ac:dyDescent="0.25">
      <c r="A2850" t="str">
        <f>"20190312160349460"</f>
        <v>20190312160349460</v>
      </c>
      <c r="B2850" t="str">
        <f>"1552377829447466"</f>
        <v>1552377829447466</v>
      </c>
      <c r="C2850" t="s">
        <v>40</v>
      </c>
      <c r="D2850">
        <v>5.6344880000000002</v>
      </c>
      <c r="E2850">
        <v>0.43974869999999999</v>
      </c>
      <c r="F2850" t="s">
        <v>59</v>
      </c>
      <c r="G2850">
        <v>-495.06630000000001</v>
      </c>
      <c r="H2850" s="1">
        <v>1.8326710000000001E-6</v>
      </c>
      <c r="I2850">
        <v>276.08249999999998</v>
      </c>
      <c r="J2850">
        <v>-485.77289999999999</v>
      </c>
      <c r="K2850">
        <v>1.1164369999999999</v>
      </c>
      <c r="L2850">
        <v>282.22399999999999</v>
      </c>
      <c r="M2850">
        <v>-0.93037579999999998</v>
      </c>
      <c r="N2850">
        <v>0</v>
      </c>
      <c r="O2850">
        <v>-0.36637809999999998</v>
      </c>
      <c r="P2850">
        <v>-0.91224039999999995</v>
      </c>
      <c r="Q2850">
        <v>8.6081419999999992E-3</v>
      </c>
      <c r="R2850">
        <v>-0.40956510000000002</v>
      </c>
      <c r="S2850">
        <v>-2.5436100000000001</v>
      </c>
      <c r="T2850">
        <v>-0.30115809999999998</v>
      </c>
      <c r="U2850">
        <v>-1.6727289999999999</v>
      </c>
      <c r="V2850">
        <v>-4.7159430000000002E-2</v>
      </c>
      <c r="W2850">
        <v>2.0821320000000001E-2</v>
      </c>
      <c r="X2850">
        <v>0.99867030000000001</v>
      </c>
      <c r="Y2850">
        <v>-0.20577870000000001</v>
      </c>
      <c r="Z2850">
        <v>2.6599709999999999E-2</v>
      </c>
      <c r="AA2850">
        <v>0.97823700000000002</v>
      </c>
      <c r="AB2850">
        <v>25</v>
      </c>
      <c r="AC2850">
        <v>-9.2934000000000196</v>
      </c>
      <c r="AD2850">
        <v>-1.1164351673289901</v>
      </c>
      <c r="AE2850">
        <v>-6.1414999999999997</v>
      </c>
      <c r="AF2850">
        <v>-2.2862336308372999</v>
      </c>
      <c r="AG2850">
        <v>-1.1164351673289901</v>
      </c>
      <c r="AH2850">
        <v>10.789006006980401</v>
      </c>
      <c r="AI2850">
        <v>95.780423899539599</v>
      </c>
      <c r="AJ2850">
        <v>101.96422297081899</v>
      </c>
      <c r="AK2850">
        <v>11.0849421431182</v>
      </c>
      <c r="AL2850">
        <v>88.806939970190399</v>
      </c>
      <c r="AM2850">
        <v>92.703625539107705</v>
      </c>
      <c r="AN2850">
        <v>0.99999995365327699</v>
      </c>
    </row>
    <row r="2851" spans="1:40" x14ac:dyDescent="0.25">
      <c r="A2851" t="str">
        <f>"20190312160349470"</f>
        <v>20190312160349470</v>
      </c>
      <c r="B2851" t="str">
        <f>"1552377829466985"</f>
        <v>1552377829466985</v>
      </c>
      <c r="C2851" t="s">
        <v>40</v>
      </c>
      <c r="D2851">
        <v>5.6303720000000004</v>
      </c>
      <c r="E2851">
        <v>0.44082450000000001</v>
      </c>
      <c r="F2851" t="s">
        <v>59</v>
      </c>
      <c r="G2851">
        <v>-495.2878</v>
      </c>
      <c r="H2851" s="1">
        <v>1.7467900000000001E-6</v>
      </c>
      <c r="I2851">
        <v>275.89510000000001</v>
      </c>
      <c r="J2851">
        <v>-485.88299999999998</v>
      </c>
      <c r="K2851">
        <v>1.1165050000000001</v>
      </c>
      <c r="L2851">
        <v>282.17559999999997</v>
      </c>
      <c r="M2851">
        <v>-0.92865310000000001</v>
      </c>
      <c r="N2851">
        <v>0</v>
      </c>
      <c r="O2851">
        <v>-0.3707223</v>
      </c>
      <c r="P2851">
        <v>-0.91025259999999997</v>
      </c>
      <c r="Q2851">
        <v>8.8643230000000003E-3</v>
      </c>
      <c r="R2851">
        <v>-0.4139582</v>
      </c>
      <c r="S2851">
        <v>-2.5345149999999999</v>
      </c>
      <c r="T2851">
        <v>-0.29739179999999998</v>
      </c>
      <c r="U2851">
        <v>-1.685883</v>
      </c>
      <c r="V2851">
        <v>-4.7315360000000001E-2</v>
      </c>
      <c r="W2851">
        <v>2.1081140000000002E-2</v>
      </c>
      <c r="X2851">
        <v>0.99865749999999998</v>
      </c>
      <c r="Y2851">
        <v>-0.20634169999999999</v>
      </c>
      <c r="Z2851">
        <v>2.668591E-2</v>
      </c>
      <c r="AA2851">
        <v>0.97811599999999999</v>
      </c>
      <c r="AB2851">
        <v>25</v>
      </c>
      <c r="AC2851">
        <v>-9.4047999999999607</v>
      </c>
      <c r="AD2851">
        <v>-1.1165032532100001</v>
      </c>
      <c r="AE2851">
        <v>-6.28049999999996</v>
      </c>
      <c r="AF2851">
        <v>-2.3233884076170899</v>
      </c>
      <c r="AG2851">
        <v>-1.1165032532100001</v>
      </c>
      <c r="AH2851">
        <v>10.956260011002399</v>
      </c>
      <c r="AI2851">
        <v>95.692931749218999</v>
      </c>
      <c r="AJ2851">
        <v>101.972795784978</v>
      </c>
      <c r="AK2851">
        <v>11.255414103255699</v>
      </c>
      <c r="AL2851">
        <v>88.792050143552203</v>
      </c>
      <c r="AM2851">
        <v>92.712586310506893</v>
      </c>
      <c r="AN2851">
        <v>0.99999998003093904</v>
      </c>
    </row>
    <row r="2852" spans="1:40" x14ac:dyDescent="0.25">
      <c r="A2852" t="str">
        <f>"20190312160349481"</f>
        <v>20190312160349481</v>
      </c>
      <c r="B2852" t="str">
        <f>"1552377829477721"</f>
        <v>1552377829477721</v>
      </c>
      <c r="C2852" t="s">
        <v>40</v>
      </c>
      <c r="D2852">
        <v>5.6962799999999998</v>
      </c>
      <c r="E2852">
        <v>0.44128469999999997</v>
      </c>
      <c r="F2852" t="s">
        <v>59</v>
      </c>
      <c r="G2852">
        <v>-495.1293</v>
      </c>
      <c r="H2852" s="1">
        <v>1.7961310000000001E-6</v>
      </c>
      <c r="I2852">
        <v>275.99489999999997</v>
      </c>
      <c r="J2852">
        <v>-485.99079999999998</v>
      </c>
      <c r="K2852">
        <v>1.1165719999999999</v>
      </c>
      <c r="L2852">
        <v>282.12740000000002</v>
      </c>
      <c r="M2852">
        <v>-0.92691749999999995</v>
      </c>
      <c r="N2852">
        <v>0</v>
      </c>
      <c r="O2852">
        <v>-0.3750406</v>
      </c>
      <c r="P2852">
        <v>-0.90825250000000002</v>
      </c>
      <c r="Q2852">
        <v>8.7610840000000006E-3</v>
      </c>
      <c r="R2852">
        <v>-0.41833140000000002</v>
      </c>
      <c r="S2852">
        <v>-2.5297239999999999</v>
      </c>
      <c r="T2852">
        <v>-0.30546889999999999</v>
      </c>
      <c r="U2852">
        <v>-1.6910099999999999</v>
      </c>
      <c r="V2852">
        <v>-4.7471649999999997E-2</v>
      </c>
      <c r="W2852">
        <v>2.0982460000000001E-2</v>
      </c>
      <c r="X2852">
        <v>0.99865219999999999</v>
      </c>
      <c r="Y2852">
        <v>-0.20407810000000001</v>
      </c>
      <c r="Z2852">
        <v>2.7975429999999999E-2</v>
      </c>
      <c r="AA2852">
        <v>0.97855479999999995</v>
      </c>
      <c r="AB2852">
        <v>25</v>
      </c>
      <c r="AC2852">
        <v>-9.1385000000000201</v>
      </c>
      <c r="AD2852">
        <v>-1.116570203869</v>
      </c>
      <c r="AE2852">
        <v>-6.13250000000005</v>
      </c>
      <c r="AF2852">
        <v>-2.23420573612424</v>
      </c>
      <c r="AG2852">
        <v>-1.116570203869</v>
      </c>
      <c r="AH2852">
        <v>10.661734503080799</v>
      </c>
      <c r="AI2852">
        <v>95.8524084988629</v>
      </c>
      <c r="AJ2852">
        <v>101.835284959462</v>
      </c>
      <c r="AK2852">
        <v>10.9503875230826</v>
      </c>
      <c r="AL2852">
        <v>88.797705388785403</v>
      </c>
      <c r="AM2852">
        <v>92.721547378145004</v>
      </c>
      <c r="AN2852">
        <v>1.0000000188731</v>
      </c>
    </row>
    <row r="2853" spans="1:40" x14ac:dyDescent="0.25">
      <c r="A2853" t="str">
        <f>"20190312160349493"</f>
        <v>20190312160349493</v>
      </c>
      <c r="B2853" t="str">
        <f>"1552377829487481"</f>
        <v>1552377829487481</v>
      </c>
      <c r="C2853" t="s">
        <v>40</v>
      </c>
      <c r="D2853">
        <v>5.6330859999999996</v>
      </c>
      <c r="E2853">
        <v>0.44160159999999998</v>
      </c>
      <c r="F2853" t="s">
        <v>59</v>
      </c>
      <c r="G2853">
        <v>-495.19189999999998</v>
      </c>
      <c r="H2853" s="1">
        <v>1.766611E-6</v>
      </c>
      <c r="I2853">
        <v>275.9271</v>
      </c>
      <c r="J2853">
        <v>-486.10180000000003</v>
      </c>
      <c r="K2853">
        <v>1.116641</v>
      </c>
      <c r="L2853">
        <v>282.07709999999997</v>
      </c>
      <c r="M2853">
        <v>-0.92508699999999999</v>
      </c>
      <c r="N2853">
        <v>0</v>
      </c>
      <c r="O2853">
        <v>-0.37953229999999999</v>
      </c>
      <c r="P2853">
        <v>-0.90607400000000005</v>
      </c>
      <c r="Q2853">
        <v>8.7419560000000004E-3</v>
      </c>
      <c r="R2853">
        <v>-0.42302859999999998</v>
      </c>
      <c r="S2853">
        <v>-2.5229189999999999</v>
      </c>
      <c r="T2853">
        <v>-0.30615969999999998</v>
      </c>
      <c r="U2853">
        <v>-1.7001040000000001</v>
      </c>
      <c r="V2853">
        <v>-4.780214E-2</v>
      </c>
      <c r="W2853">
        <v>2.0964819999999999E-2</v>
      </c>
      <c r="X2853">
        <v>0.99863679999999999</v>
      </c>
      <c r="Y2853">
        <v>-0.20300550000000001</v>
      </c>
      <c r="Z2853">
        <v>2.8564490000000001E-2</v>
      </c>
      <c r="AA2853">
        <v>0.97876090000000004</v>
      </c>
      <c r="AB2853">
        <v>25</v>
      </c>
      <c r="AC2853">
        <v>-9.0900999999999392</v>
      </c>
      <c r="AD2853">
        <v>-1.1166392333890001</v>
      </c>
      <c r="AE2853">
        <v>-6.1499999999999702</v>
      </c>
      <c r="AF2853">
        <v>-2.2165431294958799</v>
      </c>
      <c r="AG2853">
        <v>-1.1166392333890001</v>
      </c>
      <c r="AH2853">
        <v>10.634085881991799</v>
      </c>
      <c r="AI2853">
        <v>95.869181402193206</v>
      </c>
      <c r="AJ2853">
        <v>101.774013264545</v>
      </c>
      <c r="AK2853">
        <v>10.919877708474401</v>
      </c>
      <c r="AL2853">
        <v>88.798716301982395</v>
      </c>
      <c r="AM2853">
        <v>92.740507765942198</v>
      </c>
      <c r="AN2853">
        <v>1.00000001329022</v>
      </c>
    </row>
    <row r="2854" spans="1:40" x14ac:dyDescent="0.25">
      <c r="A2854" t="str">
        <f>"20190312160349504"</f>
        <v>20190312160349504</v>
      </c>
      <c r="B2854" t="str">
        <f>"1552377829497243"</f>
        <v>1552377829497243</v>
      </c>
      <c r="C2854" t="s">
        <v>40</v>
      </c>
      <c r="D2854">
        <v>5.7120860000000002</v>
      </c>
      <c r="E2854">
        <v>0.44199250000000001</v>
      </c>
      <c r="F2854" t="s">
        <v>59</v>
      </c>
      <c r="G2854">
        <v>-495.36989999999997</v>
      </c>
      <c r="H2854" s="1">
        <v>1.69717E-6</v>
      </c>
      <c r="I2854">
        <v>275.77530000000002</v>
      </c>
      <c r="J2854">
        <v>-486.21719999999999</v>
      </c>
      <c r="K2854">
        <v>1.1167149999999999</v>
      </c>
      <c r="L2854">
        <v>282.02409999999998</v>
      </c>
      <c r="M2854">
        <v>-0.92313619999999996</v>
      </c>
      <c r="N2854">
        <v>0</v>
      </c>
      <c r="O2854">
        <v>-0.38425280000000001</v>
      </c>
      <c r="P2854">
        <v>-0.90376690000000004</v>
      </c>
      <c r="Q2854">
        <v>8.293524E-3</v>
      </c>
      <c r="R2854">
        <v>-0.42794480000000001</v>
      </c>
      <c r="S2854">
        <v>-2.5154109999999998</v>
      </c>
      <c r="T2854">
        <v>-0.30306300000000003</v>
      </c>
      <c r="U2854">
        <v>-1.710358</v>
      </c>
      <c r="V2854">
        <v>-4.8121629999999999E-2</v>
      </c>
      <c r="W2854">
        <v>2.0519550000000001E-2</v>
      </c>
      <c r="X2854">
        <v>0.99863069999999998</v>
      </c>
      <c r="Y2854">
        <v>-0.20209859999999999</v>
      </c>
      <c r="Z2854">
        <v>2.881305E-2</v>
      </c>
      <c r="AA2854">
        <v>0.97894130000000001</v>
      </c>
      <c r="AB2854">
        <v>25</v>
      </c>
      <c r="AC2854">
        <v>-9.1526999999999799</v>
      </c>
      <c r="AD2854">
        <v>-1.11671330282999</v>
      </c>
      <c r="AE2854">
        <v>-6.2487999999999504</v>
      </c>
      <c r="AF2854">
        <v>-2.2291003485176799</v>
      </c>
      <c r="AG2854">
        <v>-1.11671330282999</v>
      </c>
      <c r="AH2854">
        <v>10.742155795490801</v>
      </c>
      <c r="AI2854">
        <v>95.811991915521901</v>
      </c>
      <c r="AJ2854">
        <v>101.723047773044</v>
      </c>
      <c r="AK2854">
        <v>11.0276855277558</v>
      </c>
      <c r="AL2854">
        <v>88.824233878574205</v>
      </c>
      <c r="AM2854">
        <v>92.758812823975404</v>
      </c>
      <c r="AN2854">
        <v>1.00000000909427</v>
      </c>
    </row>
    <row r="2855" spans="1:40" x14ac:dyDescent="0.25">
      <c r="A2855" t="str">
        <f>"20190312160349514"</f>
        <v>20190312160349514</v>
      </c>
      <c r="B2855" t="str">
        <f>"1552377829507002"</f>
        <v>1552377829507002</v>
      </c>
      <c r="C2855" t="s">
        <v>40</v>
      </c>
      <c r="D2855">
        <v>5.797504</v>
      </c>
      <c r="E2855">
        <v>0.44235350000000001</v>
      </c>
      <c r="F2855" t="s">
        <v>59</v>
      </c>
      <c r="G2855">
        <v>-495.43669999999997</v>
      </c>
      <c r="H2855" s="1">
        <v>1.6629870000000001E-6</v>
      </c>
      <c r="I2855">
        <v>275.69529999999997</v>
      </c>
      <c r="J2855">
        <v>-486.32369999999997</v>
      </c>
      <c r="K2855">
        <v>1.116779</v>
      </c>
      <c r="L2855">
        <v>281.97430000000003</v>
      </c>
      <c r="M2855">
        <v>-0.92128399999999999</v>
      </c>
      <c r="N2855">
        <v>0</v>
      </c>
      <c r="O2855">
        <v>-0.38867190000000001</v>
      </c>
      <c r="P2855">
        <v>-0.90158079999999996</v>
      </c>
      <c r="Q2855">
        <v>7.8532099999999994E-3</v>
      </c>
      <c r="R2855">
        <v>-0.43253989999999998</v>
      </c>
      <c r="S2855">
        <v>-2.5073240000000001</v>
      </c>
      <c r="T2855">
        <v>-0.30370130000000001</v>
      </c>
      <c r="U2855">
        <v>-1.7211609999999999</v>
      </c>
      <c r="V2855">
        <v>-4.8414430000000001E-2</v>
      </c>
      <c r="W2855">
        <v>2.0081430000000001E-2</v>
      </c>
      <c r="X2855">
        <v>0.99862550000000005</v>
      </c>
      <c r="Y2855">
        <v>-0.20176859999999999</v>
      </c>
      <c r="Z2855">
        <v>2.935316E-2</v>
      </c>
      <c r="AA2855">
        <v>0.97899329999999996</v>
      </c>
      <c r="AB2855">
        <v>25</v>
      </c>
      <c r="AC2855">
        <v>-9.1129999999999995</v>
      </c>
      <c r="AD2855">
        <v>-1.1167773370129901</v>
      </c>
      <c r="AE2855">
        <v>-6.2790000000000497</v>
      </c>
      <c r="AF2855">
        <v>-2.22035497420914</v>
      </c>
      <c r="AG2855">
        <v>-1.1167773370129901</v>
      </c>
      <c r="AH2855">
        <v>10.7278069419561</v>
      </c>
      <c r="AI2855">
        <v>95.820661326565599</v>
      </c>
      <c r="AJ2855">
        <v>101.69351102760599</v>
      </c>
      <c r="AK2855">
        <v>11.0119484931525</v>
      </c>
      <c r="AL2855">
        <v>88.849341532439794</v>
      </c>
      <c r="AM2855">
        <v>92.775587306724503</v>
      </c>
      <c r="AN2855">
        <v>1.0000000550566499</v>
      </c>
    </row>
    <row r="2856" spans="1:40" x14ac:dyDescent="0.25">
      <c r="A2856" t="str">
        <f>"20190312160349527"</f>
        <v>20190312160349527</v>
      </c>
      <c r="B2856" t="str">
        <f>"1552377829517738"</f>
        <v>1552377829517738</v>
      </c>
      <c r="C2856" t="s">
        <v>40</v>
      </c>
      <c r="D2856">
        <v>5.7222730000000004</v>
      </c>
      <c r="E2856">
        <v>0.44270500000000002</v>
      </c>
      <c r="F2856" t="s">
        <v>59</v>
      </c>
      <c r="G2856">
        <v>-495.54750000000001</v>
      </c>
      <c r="H2856" s="1">
        <v>1.6152170000000001E-6</v>
      </c>
      <c r="I2856">
        <v>275.58800000000002</v>
      </c>
      <c r="J2856">
        <v>-486.44709999999998</v>
      </c>
      <c r="K2856">
        <v>1.1168549999999999</v>
      </c>
      <c r="L2856">
        <v>281.91629999999998</v>
      </c>
      <c r="M2856">
        <v>-0.91909750000000001</v>
      </c>
      <c r="N2856">
        <v>0</v>
      </c>
      <c r="O2856">
        <v>-0.39381389999999999</v>
      </c>
      <c r="P2856">
        <v>-0.89887349999999999</v>
      </c>
      <c r="Q2856">
        <v>7.0403849999999997E-3</v>
      </c>
      <c r="R2856">
        <v>-0.43815199999999999</v>
      </c>
      <c r="S2856">
        <v>-2.4998170000000002</v>
      </c>
      <c r="T2856">
        <v>-0.30266789999999999</v>
      </c>
      <c r="U2856">
        <v>-1.730804</v>
      </c>
      <c r="V2856">
        <v>-4.904758E-2</v>
      </c>
      <c r="W2856">
        <v>1.926667E-2</v>
      </c>
      <c r="X2856">
        <v>0.99861060000000001</v>
      </c>
      <c r="Y2856">
        <v>-0.20024629999999999</v>
      </c>
      <c r="Z2856">
        <v>2.9864450000000001E-2</v>
      </c>
      <c r="AA2856">
        <v>0.97929029999999995</v>
      </c>
      <c r="AB2856">
        <v>25</v>
      </c>
      <c r="AC2856">
        <v>-9.1004000000000307</v>
      </c>
      <c r="AD2856">
        <v>-1.116853384783</v>
      </c>
      <c r="AE2856">
        <v>-6.3283000000000103</v>
      </c>
      <c r="AF2856">
        <v>-2.2102121378570398</v>
      </c>
      <c r="AG2856">
        <v>-1.116853384783</v>
      </c>
      <c r="AH2856">
        <v>10.748133950571599</v>
      </c>
      <c r="AI2856">
        <v>95.811646198232495</v>
      </c>
      <c r="AJ2856">
        <v>101.62013766572301</v>
      </c>
      <c r="AK2856">
        <v>11.0297226890281</v>
      </c>
      <c r="AL2856">
        <v>88.896032816992999</v>
      </c>
      <c r="AM2856">
        <v>92.811869648966507</v>
      </c>
      <c r="AN2856">
        <v>1.0000000000545499</v>
      </c>
    </row>
    <row r="2857" spans="1:40" x14ac:dyDescent="0.25">
      <c r="A2857" t="str">
        <f>"20190312160349538"</f>
        <v>20190312160349538</v>
      </c>
      <c r="B2857" t="str">
        <f>"1552377829527029"</f>
        <v>1552377829527029</v>
      </c>
      <c r="C2857" t="s">
        <v>40</v>
      </c>
      <c r="D2857">
        <v>5.7090379999999996</v>
      </c>
      <c r="E2857">
        <v>0.4430943</v>
      </c>
      <c r="F2857" t="s">
        <v>59</v>
      </c>
      <c r="G2857">
        <v>-495.65429999999998</v>
      </c>
      <c r="H2857" s="1">
        <v>1.56351E-6</v>
      </c>
      <c r="I2857">
        <v>275.46850000000001</v>
      </c>
      <c r="J2857">
        <v>-486.56310000000002</v>
      </c>
      <c r="K2857">
        <v>1.116919</v>
      </c>
      <c r="L2857">
        <v>281.86020000000002</v>
      </c>
      <c r="M2857">
        <v>-0.91696390000000005</v>
      </c>
      <c r="N2857">
        <v>0</v>
      </c>
      <c r="O2857">
        <v>-0.3987561</v>
      </c>
      <c r="P2857">
        <v>-0.89646890000000001</v>
      </c>
      <c r="Q2857">
        <v>6.3392780000000003E-3</v>
      </c>
      <c r="R2857">
        <v>-0.44306129999999999</v>
      </c>
      <c r="S2857">
        <v>-2.4898989999999999</v>
      </c>
      <c r="T2857">
        <v>-0.30203000000000002</v>
      </c>
      <c r="U2857">
        <v>-1.743652</v>
      </c>
      <c r="V2857">
        <v>-4.9122989999999998E-2</v>
      </c>
      <c r="W2857">
        <v>1.8572999999999999E-2</v>
      </c>
      <c r="X2857">
        <v>0.99861999999999995</v>
      </c>
      <c r="Y2857">
        <v>-0.20021169999999999</v>
      </c>
      <c r="Z2857">
        <v>3.0322020000000002E-2</v>
      </c>
      <c r="AA2857">
        <v>0.97928329999999997</v>
      </c>
      <c r="AB2857">
        <v>25</v>
      </c>
      <c r="AC2857">
        <v>-9.0911999999999509</v>
      </c>
      <c r="AD2857">
        <v>-1.1169174364899901</v>
      </c>
      <c r="AE2857">
        <v>-6.3917000000000099</v>
      </c>
      <c r="AF2857">
        <v>-2.21361800633274</v>
      </c>
      <c r="AG2857">
        <v>-1.1169174364899901</v>
      </c>
      <c r="AH2857">
        <v>10.777102239546201</v>
      </c>
      <c r="AI2857">
        <v>95.796730168829697</v>
      </c>
      <c r="AJ2857">
        <v>101.607124660284</v>
      </c>
      <c r="AK2857">
        <v>11.058641052115201</v>
      </c>
      <c r="AL2857">
        <v>88.935784258615101</v>
      </c>
      <c r="AM2857">
        <v>92.816159440739597</v>
      </c>
      <c r="AN2857">
        <v>0.99999996443776895</v>
      </c>
    </row>
    <row r="2858" spans="1:40" x14ac:dyDescent="0.25">
      <c r="A2858" t="str">
        <f>"20190312160349551"</f>
        <v>20190312160349551</v>
      </c>
      <c r="B2858" t="str">
        <f>"1552377829537765"</f>
        <v>1552377829537765</v>
      </c>
      <c r="C2858" t="s">
        <v>40</v>
      </c>
      <c r="D2858">
        <v>5.8143710000000004</v>
      </c>
      <c r="E2858">
        <v>0.44349749999999999</v>
      </c>
      <c r="F2858" t="s">
        <v>59</v>
      </c>
      <c r="G2858">
        <v>-495.7312</v>
      </c>
      <c r="H2858" s="1">
        <v>1.5247409999999899E-6</v>
      </c>
      <c r="I2858">
        <v>275.37819999999999</v>
      </c>
      <c r="J2858">
        <v>-486.68369999999999</v>
      </c>
      <c r="K2858">
        <v>1.116992</v>
      </c>
      <c r="L2858">
        <v>281.80149999999998</v>
      </c>
      <c r="M2858">
        <v>-0.91470149999999995</v>
      </c>
      <c r="N2858">
        <v>0</v>
      </c>
      <c r="O2858">
        <v>-0.40391779999999999</v>
      </c>
      <c r="P2858">
        <v>-0.89383409999999996</v>
      </c>
      <c r="Q2858">
        <v>6.265095E-3</v>
      </c>
      <c r="R2858">
        <v>-0.44835459999999999</v>
      </c>
      <c r="S2858">
        <v>-2.4814759999999998</v>
      </c>
      <c r="T2858">
        <v>-0.30230869999999999</v>
      </c>
      <c r="U2858">
        <v>-1.754456</v>
      </c>
      <c r="V2858">
        <v>-4.9401130000000001E-2</v>
      </c>
      <c r="W2858">
        <v>1.8502439999999998E-2</v>
      </c>
      <c r="X2858">
        <v>0.99860760000000004</v>
      </c>
      <c r="Y2858">
        <v>-0.19912579999999999</v>
      </c>
      <c r="Z2858">
        <v>3.0941670000000001E-2</v>
      </c>
      <c r="AA2858">
        <v>0.9794853</v>
      </c>
      <c r="AB2858">
        <v>25</v>
      </c>
      <c r="AC2858">
        <v>-9.0475000000000101</v>
      </c>
      <c r="AD2858">
        <v>-1.1169904752590001</v>
      </c>
      <c r="AE2858">
        <v>-6.4232999999999798</v>
      </c>
      <c r="AF2858">
        <v>-2.1988629542834999</v>
      </c>
      <c r="AG2858">
        <v>-1.1169904752590001</v>
      </c>
      <c r="AH2858">
        <v>10.762115552760401</v>
      </c>
      <c r="AI2858">
        <v>95.806354265032297</v>
      </c>
      <c r="AJ2858">
        <v>101.547463126832</v>
      </c>
      <c r="AK2858">
        <v>11.0410958325932</v>
      </c>
      <c r="AL2858">
        <v>88.9398277553627</v>
      </c>
      <c r="AM2858">
        <v>92.832114081078899</v>
      </c>
      <c r="AN2858">
        <v>0.99999997535449403</v>
      </c>
    </row>
    <row r="2859" spans="1:40" x14ac:dyDescent="0.25">
      <c r="A2859" t="str">
        <f>"20190312160349563"</f>
        <v>20190312160349563</v>
      </c>
      <c r="B2859" t="str">
        <f>"1552377829557285"</f>
        <v>1552377829557285</v>
      </c>
      <c r="C2859" t="s">
        <v>40</v>
      </c>
      <c r="D2859">
        <v>5.6595750000000002</v>
      </c>
      <c r="E2859">
        <v>0.44438100000000003</v>
      </c>
      <c r="F2859" t="s">
        <v>59</v>
      </c>
      <c r="G2859">
        <v>-495.85059999999999</v>
      </c>
      <c r="H2859" s="1">
        <v>1.4704309999999999E-6</v>
      </c>
      <c r="I2859">
        <v>275.25450000000001</v>
      </c>
      <c r="J2859">
        <v>-486.80250000000001</v>
      </c>
      <c r="K2859">
        <v>1.117067</v>
      </c>
      <c r="L2859">
        <v>281.74259999999998</v>
      </c>
      <c r="M2859">
        <v>-0.91240500000000002</v>
      </c>
      <c r="N2859">
        <v>0</v>
      </c>
      <c r="O2859">
        <v>-0.40907880000000002</v>
      </c>
      <c r="P2859">
        <v>-0.89107530000000001</v>
      </c>
      <c r="Q2859">
        <v>6.0996990000000001E-3</v>
      </c>
      <c r="R2859">
        <v>-0.45381470000000002</v>
      </c>
      <c r="S2859">
        <v>-2.4725950000000001</v>
      </c>
      <c r="T2859">
        <v>-0.30128919999999998</v>
      </c>
      <c r="U2859">
        <v>-1.7659609999999999</v>
      </c>
      <c r="V2859">
        <v>-4.9870310000000001E-2</v>
      </c>
      <c r="W2859">
        <v>1.833748E-2</v>
      </c>
      <c r="X2859">
        <v>0.99858740000000001</v>
      </c>
      <c r="Y2859">
        <v>-0.19828999999999999</v>
      </c>
      <c r="Z2859">
        <v>3.141538E-2</v>
      </c>
      <c r="AA2859">
        <v>0.97963979999999995</v>
      </c>
      <c r="AB2859">
        <v>25</v>
      </c>
      <c r="AC2859">
        <v>-9.0480999999999696</v>
      </c>
      <c r="AD2859">
        <v>-1.117065529569</v>
      </c>
      <c r="AE2859">
        <v>-6.48809999999997</v>
      </c>
      <c r="AF2859">
        <v>-2.1964694248788299</v>
      </c>
      <c r="AG2859">
        <v>-1.117065529569</v>
      </c>
      <c r="AH2859">
        <v>10.8018789895045</v>
      </c>
      <c r="AI2859">
        <v>95.786606534168101</v>
      </c>
      <c r="AJ2859">
        <v>101.49389952172599</v>
      </c>
      <c r="AK2859">
        <v>11.0793909144717</v>
      </c>
      <c r="AL2859">
        <v>88.949280953047307</v>
      </c>
      <c r="AM2859">
        <v>92.859024991126006</v>
      </c>
      <c r="AN2859">
        <v>1.0000000532155</v>
      </c>
    </row>
    <row r="2860" spans="1:40" x14ac:dyDescent="0.25">
      <c r="A2860" t="str">
        <f>"20190312160349573"</f>
        <v>20190312160349573</v>
      </c>
      <c r="B2860" t="str">
        <f>"1552377829567044"</f>
        <v>1552377829567044</v>
      </c>
      <c r="C2860" t="s">
        <v>40</v>
      </c>
      <c r="D2860">
        <v>5.6710589999999996</v>
      </c>
      <c r="E2860">
        <v>0.44484390000000001</v>
      </c>
      <c r="F2860" t="s">
        <v>59</v>
      </c>
      <c r="G2860">
        <v>-495.98790000000002</v>
      </c>
      <c r="H2860" s="1">
        <v>1.4141670000000001E-6</v>
      </c>
      <c r="I2860">
        <v>275.12979999999999</v>
      </c>
      <c r="J2860">
        <v>-486.90980000000002</v>
      </c>
      <c r="K2860">
        <v>1.117138</v>
      </c>
      <c r="L2860">
        <v>281.68860000000001</v>
      </c>
      <c r="M2860">
        <v>-0.91027670000000005</v>
      </c>
      <c r="N2860">
        <v>0</v>
      </c>
      <c r="O2860">
        <v>-0.41379270000000001</v>
      </c>
      <c r="P2860">
        <v>-0.88857919999999901</v>
      </c>
      <c r="Q2860">
        <v>5.9722459999999996E-3</v>
      </c>
      <c r="R2860">
        <v>-0.4586846</v>
      </c>
      <c r="S2860">
        <v>-2.4649960000000002</v>
      </c>
      <c r="T2860">
        <v>-0.2997763</v>
      </c>
      <c r="U2860">
        <v>-1.7746280000000001</v>
      </c>
      <c r="V2860">
        <v>-5.0170890000000003E-2</v>
      </c>
      <c r="W2860">
        <v>1.8213529999999999E-2</v>
      </c>
      <c r="X2860">
        <v>0.99857459999999998</v>
      </c>
      <c r="Y2860">
        <v>-0.1969359</v>
      </c>
      <c r="Z2860">
        <v>3.1817129999999999E-2</v>
      </c>
      <c r="AA2860">
        <v>0.97989990000000005</v>
      </c>
      <c r="AB2860">
        <v>25</v>
      </c>
      <c r="AC2860">
        <v>-9.0780999999999992</v>
      </c>
      <c r="AD2860">
        <v>-1.117136585833</v>
      </c>
      <c r="AE2860">
        <v>-6.5588000000000104</v>
      </c>
      <c r="AF2860">
        <v>-2.1922493283123101</v>
      </c>
      <c r="AG2860">
        <v>-1.117136585833</v>
      </c>
      <c r="AH2860">
        <v>10.870353038560699</v>
      </c>
      <c r="AI2860">
        <v>95.752619163869099</v>
      </c>
      <c r="AJ2860">
        <v>101.402034447944</v>
      </c>
      <c r="AK2860">
        <v>11.1453365338081</v>
      </c>
      <c r="AL2860">
        <v>88.956383938409303</v>
      </c>
      <c r="AM2860">
        <v>92.876264959713694</v>
      </c>
      <c r="AN2860">
        <v>1.0000000413218</v>
      </c>
    </row>
    <row r="2861" spans="1:40" x14ac:dyDescent="0.25">
      <c r="A2861" t="str">
        <f>"20190312160349585"</f>
        <v>20190312160349585</v>
      </c>
      <c r="B2861" t="str">
        <f>"1552377829577780"</f>
        <v>1552377829577780</v>
      </c>
      <c r="C2861" t="s">
        <v>40</v>
      </c>
      <c r="D2861">
        <v>5.5494719999999997</v>
      </c>
      <c r="E2861">
        <v>0.4452853</v>
      </c>
      <c r="F2861" t="s">
        <v>59</v>
      </c>
      <c r="G2861">
        <v>-496.08179999999999</v>
      </c>
      <c r="H2861" s="1">
        <v>1.369279E-6</v>
      </c>
      <c r="I2861">
        <v>275.02629999999999</v>
      </c>
      <c r="J2861">
        <v>-487.02749999999997</v>
      </c>
      <c r="K2861">
        <v>1.1172089999999999</v>
      </c>
      <c r="L2861">
        <v>281.62880000000001</v>
      </c>
      <c r="M2861">
        <v>-0.90789339999999996</v>
      </c>
      <c r="N2861">
        <v>0</v>
      </c>
      <c r="O2861">
        <v>-0.41899530000000001</v>
      </c>
      <c r="P2861">
        <v>-0.88579519999999901</v>
      </c>
      <c r="Q2861">
        <v>5.9929079999999999E-3</v>
      </c>
      <c r="R2861">
        <v>-0.4640377</v>
      </c>
      <c r="S2861">
        <v>-2.456909</v>
      </c>
      <c r="T2861">
        <v>-0.29924889999999998</v>
      </c>
      <c r="U2861">
        <v>-1.78463699999999</v>
      </c>
      <c r="V2861">
        <v>-5.0485130000000003E-2</v>
      </c>
      <c r="W2861">
        <v>1.8237840000000002E-2</v>
      </c>
      <c r="X2861">
        <v>0.99855830000000001</v>
      </c>
      <c r="Y2861">
        <v>-0.195495</v>
      </c>
      <c r="Z2861">
        <v>3.2369019999999998E-2</v>
      </c>
      <c r="AA2861">
        <v>0.9801704</v>
      </c>
      <c r="AB2861">
        <v>25</v>
      </c>
      <c r="AC2861">
        <v>-9.0543000000000102</v>
      </c>
      <c r="AD2861">
        <v>-1.1172076307209999</v>
      </c>
      <c r="AE2861">
        <v>-6.6025000000000196</v>
      </c>
      <c r="AF2861">
        <v>-2.1791865623337801</v>
      </c>
      <c r="AG2861">
        <v>-1.1172076307209999</v>
      </c>
      <c r="AH2861">
        <v>10.8795646158691</v>
      </c>
      <c r="AI2861">
        <v>95.749657096679599</v>
      </c>
      <c r="AJ2861">
        <v>101.326508615413</v>
      </c>
      <c r="AK2861">
        <v>11.1517681644871</v>
      </c>
      <c r="AL2861">
        <v>88.954990827344801</v>
      </c>
      <c r="AM2861">
        <v>92.894296766202004</v>
      </c>
      <c r="AN2861">
        <v>1.0000000228289301</v>
      </c>
    </row>
    <row r="2862" spans="1:40" x14ac:dyDescent="0.25">
      <c r="A2862" t="str">
        <f>"20190312160349596"</f>
        <v>20190312160349596</v>
      </c>
      <c r="B2862" t="str">
        <f>"1552377829587540"</f>
        <v>1552377829587540</v>
      </c>
      <c r="C2862" t="s">
        <v>40</v>
      </c>
      <c r="D2862">
        <v>5.6775769999999897</v>
      </c>
      <c r="E2862">
        <v>0.4452853</v>
      </c>
      <c r="F2862" t="s">
        <v>59</v>
      </c>
      <c r="G2862">
        <v>-496.19589999999999</v>
      </c>
      <c r="H2862" s="1">
        <v>1.315188E-6</v>
      </c>
      <c r="I2862">
        <v>274.90190000000001</v>
      </c>
      <c r="J2862">
        <v>-487.1318</v>
      </c>
      <c r="K2862">
        <v>1.1172690000000001</v>
      </c>
      <c r="L2862">
        <v>281.57459999999998</v>
      </c>
      <c r="M2862">
        <v>-0.90571389999999996</v>
      </c>
      <c r="N2862">
        <v>0</v>
      </c>
      <c r="O2862">
        <v>-0.4236856</v>
      </c>
      <c r="P2862">
        <v>-0.88308330000000002</v>
      </c>
      <c r="Q2862">
        <v>6.0590380000000001E-3</v>
      </c>
      <c r="R2862">
        <v>-0.46917769999999998</v>
      </c>
      <c r="S2862">
        <v>-2.4479679999999999</v>
      </c>
      <c r="T2862">
        <v>-0.29829470000000002</v>
      </c>
      <c r="U2862">
        <v>-1.796082</v>
      </c>
      <c r="V2862">
        <v>-5.112738E-2</v>
      </c>
      <c r="W2862">
        <v>1.8300770000000001E-2</v>
      </c>
      <c r="X2862">
        <v>0.99852439999999998</v>
      </c>
      <c r="Y2862">
        <v>-0.19512289999999999</v>
      </c>
      <c r="Z2862">
        <v>3.2768650000000003E-2</v>
      </c>
      <c r="AA2862">
        <v>0.98023119999999997</v>
      </c>
      <c r="AB2862">
        <v>25</v>
      </c>
      <c r="AC2862">
        <v>-9.0640999999999892</v>
      </c>
      <c r="AD2862">
        <v>-1.117267684812</v>
      </c>
      <c r="AE2862">
        <v>-6.6726999999999599</v>
      </c>
      <c r="AF2862">
        <v>-2.1819190795625101</v>
      </c>
      <c r="AG2862">
        <v>-1.117267684812</v>
      </c>
      <c r="AH2862">
        <v>10.929863250860301</v>
      </c>
      <c r="AI2862">
        <v>95.724413604143706</v>
      </c>
      <c r="AJ2862">
        <v>101.28949895038799</v>
      </c>
      <c r="AK2862">
        <v>11.2013824428858</v>
      </c>
      <c r="AL2862">
        <v>88.951384528166102</v>
      </c>
      <c r="AM2862">
        <v>92.931152291907395</v>
      </c>
      <c r="AN2862">
        <v>0.99999995228180705</v>
      </c>
    </row>
    <row r="2863" spans="1:40" x14ac:dyDescent="0.25">
      <c r="A2863" t="str">
        <f>"20190312160349609"</f>
        <v>20190312160349609</v>
      </c>
      <c r="B2863" t="str">
        <f>"1552377829597301"</f>
        <v>1552377829597301</v>
      </c>
      <c r="C2863" t="s">
        <v>40</v>
      </c>
      <c r="D2863">
        <v>5.6856179999999998</v>
      </c>
      <c r="E2863">
        <v>0.45759290000000002</v>
      </c>
      <c r="F2863" t="s">
        <v>59</v>
      </c>
      <c r="G2863">
        <v>-496.26350000000002</v>
      </c>
      <c r="H2863" s="1">
        <v>1.2701309999999999E-6</v>
      </c>
      <c r="I2863">
        <v>274.79140000000001</v>
      </c>
      <c r="J2863">
        <v>-487.2457</v>
      </c>
      <c r="K2863">
        <v>1.1173409999999999</v>
      </c>
      <c r="L2863">
        <v>281.51510000000002</v>
      </c>
      <c r="M2863">
        <v>-0.90329360000000003</v>
      </c>
      <c r="N2863">
        <v>0</v>
      </c>
      <c r="O2863">
        <v>-0.4288208</v>
      </c>
      <c r="P2863">
        <v>-0.88023079999999998</v>
      </c>
      <c r="Q2863">
        <v>5.7561749999999997E-3</v>
      </c>
      <c r="R2863">
        <v>-0.47451090000000001</v>
      </c>
      <c r="S2863">
        <v>-2.4373170000000002</v>
      </c>
      <c r="T2863">
        <v>-0.29820720000000001</v>
      </c>
      <c r="U2863">
        <v>-1.810486</v>
      </c>
      <c r="V2863">
        <v>-5.149571E-2</v>
      </c>
      <c r="W2863">
        <v>1.8000410000000001E-2</v>
      </c>
      <c r="X2863">
        <v>0.99851100000000004</v>
      </c>
      <c r="Y2863">
        <v>-0.19535739999999999</v>
      </c>
      <c r="Z2863">
        <v>3.3274489999999997E-2</v>
      </c>
      <c r="AA2863">
        <v>0.98016749999999997</v>
      </c>
      <c r="AB2863">
        <v>25</v>
      </c>
      <c r="AC2863">
        <v>-9.0178000000000207</v>
      </c>
      <c r="AD2863">
        <v>-1.117339729869</v>
      </c>
      <c r="AE2863">
        <v>-6.7237</v>
      </c>
      <c r="AF2863">
        <v>-2.1850862498719601</v>
      </c>
      <c r="AG2863">
        <v>-1.117339729869</v>
      </c>
      <c r="AH2863">
        <v>10.922171724031401</v>
      </c>
      <c r="AI2863">
        <v>95.728314107432197</v>
      </c>
      <c r="AJ2863">
        <v>101.313220684908</v>
      </c>
      <c r="AK2863">
        <v>11.1945024525681</v>
      </c>
      <c r="AL2863">
        <v>88.968596794714799</v>
      </c>
      <c r="AM2863">
        <v>92.9522711184174</v>
      </c>
      <c r="AN2863">
        <v>1.0000000200147801</v>
      </c>
    </row>
    <row r="2864" spans="1:40" x14ac:dyDescent="0.25">
      <c r="A2864" t="str">
        <f>"20190312160349621"</f>
        <v>20190312160349621</v>
      </c>
      <c r="B2864" t="str">
        <f>"1552377829607060"</f>
        <v>1552377829607060</v>
      </c>
      <c r="C2864" t="s">
        <v>40</v>
      </c>
      <c r="D2864">
        <v>5.6782490000000001</v>
      </c>
      <c r="E2864">
        <v>0.45850259999999998</v>
      </c>
      <c r="F2864" t="s">
        <v>59</v>
      </c>
      <c r="G2864">
        <v>-494.71589999999998</v>
      </c>
      <c r="H2864" s="1">
        <v>1.9228329999999999E-6</v>
      </c>
      <c r="I2864">
        <v>276.24959999999999</v>
      </c>
      <c r="J2864">
        <v>-487.37520000000001</v>
      </c>
      <c r="K2864">
        <v>1.1174170000000001</v>
      </c>
      <c r="L2864">
        <v>281.44589999999999</v>
      </c>
      <c r="M2864">
        <v>-0.90044939999999996</v>
      </c>
      <c r="N2864">
        <v>0</v>
      </c>
      <c r="O2864">
        <v>-0.4347608</v>
      </c>
      <c r="P2864">
        <v>-0.876884</v>
      </c>
      <c r="Q2864">
        <v>5.8222710000000004E-3</v>
      </c>
      <c r="R2864">
        <v>-0.48066740000000002</v>
      </c>
      <c r="S2864">
        <v>-2.4714659999999999</v>
      </c>
      <c r="T2864">
        <v>-0.369668</v>
      </c>
      <c r="U2864">
        <v>-1.7420960000000001</v>
      </c>
      <c r="V2864">
        <v>-5.1921299999999997E-2</v>
      </c>
      <c r="W2864">
        <v>1.8069539999999999E-2</v>
      </c>
      <c r="X2864">
        <v>0.99848769999999998</v>
      </c>
      <c r="Y2864">
        <v>-0.16515009999999999</v>
      </c>
      <c r="Z2864">
        <v>4.3805900000000002E-2</v>
      </c>
      <c r="AA2864">
        <v>0.98529509999999998</v>
      </c>
      <c r="AB2864">
        <v>25</v>
      </c>
      <c r="AC2864">
        <v>-7.3406999999999698</v>
      </c>
      <c r="AD2864">
        <v>-1.1174150771669999</v>
      </c>
      <c r="AE2864">
        <v>-5.1962999999999999</v>
      </c>
      <c r="AF2864">
        <v>-1.4650704679456701</v>
      </c>
      <c r="AG2864">
        <v>-1.1174150771669999</v>
      </c>
      <c r="AH2864">
        <v>8.7350100712105299</v>
      </c>
      <c r="AI2864">
        <v>97.190531794676303</v>
      </c>
      <c r="AJ2864">
        <v>99.521253198230099</v>
      </c>
      <c r="AK2864">
        <v>8.9272307506233997</v>
      </c>
      <c r="AL2864">
        <v>88.964635281175603</v>
      </c>
      <c r="AM2864">
        <v>92.976696011551695</v>
      </c>
      <c r="AN2864">
        <v>1.0000000083603899</v>
      </c>
    </row>
    <row r="2865" spans="1:40" x14ac:dyDescent="0.25">
      <c r="A2865" t="str">
        <f>"20190312160349635"</f>
        <v>20190312160349635</v>
      </c>
      <c r="B2865" t="str">
        <f>"1552377829627092"</f>
        <v>1552377829627092</v>
      </c>
      <c r="C2865" t="s">
        <v>40</v>
      </c>
      <c r="D2865">
        <v>5.6394859999999998</v>
      </c>
      <c r="E2865">
        <v>0.4594646</v>
      </c>
      <c r="F2865" t="s">
        <v>59</v>
      </c>
      <c r="G2865">
        <v>-494.89479999999998</v>
      </c>
      <c r="H2865" s="1">
        <v>1.8518560000000001E-6</v>
      </c>
      <c r="I2865">
        <v>276.09370000000001</v>
      </c>
      <c r="J2865">
        <v>-487.50900000000001</v>
      </c>
      <c r="K2865">
        <v>1.1174919999999999</v>
      </c>
      <c r="L2865">
        <v>281.37329999999997</v>
      </c>
      <c r="M2865">
        <v>-0.89743079999999997</v>
      </c>
      <c r="N2865">
        <v>0</v>
      </c>
      <c r="O2865">
        <v>-0.4409573</v>
      </c>
      <c r="P2865">
        <v>-0.87359050000000005</v>
      </c>
      <c r="Q2865">
        <v>5.9527119999999998E-3</v>
      </c>
      <c r="R2865">
        <v>-0.48662549999999999</v>
      </c>
      <c r="S2865">
        <v>-2.4627690000000002</v>
      </c>
      <c r="T2865">
        <v>-0.36596790000000001</v>
      </c>
      <c r="U2865">
        <v>-1.7529300000000001</v>
      </c>
      <c r="V2865">
        <v>-5.1842119999999998E-2</v>
      </c>
      <c r="W2865">
        <v>1.821304E-2</v>
      </c>
      <c r="X2865">
        <v>0.99848919999999997</v>
      </c>
      <c r="Y2865">
        <v>-0.1628887</v>
      </c>
      <c r="Z2865">
        <v>4.4284299999999999E-2</v>
      </c>
      <c r="AA2865">
        <v>0.98565009999999997</v>
      </c>
      <c r="AB2865">
        <v>25</v>
      </c>
      <c r="AC2865">
        <v>-7.3857999999999597</v>
      </c>
      <c r="AD2865">
        <v>-1.1174901481439901</v>
      </c>
      <c r="AE2865">
        <v>-5.2795999999999497</v>
      </c>
      <c r="AF2865">
        <v>-1.4592735601431499</v>
      </c>
      <c r="AG2865">
        <v>-1.1174901481439901</v>
      </c>
      <c r="AH2865">
        <v>8.8234236319385904</v>
      </c>
      <c r="AI2865">
        <v>97.1223667246378</v>
      </c>
      <c r="AJ2865">
        <v>99.390931597161298</v>
      </c>
      <c r="AK2865">
        <v>9.0128279770105504</v>
      </c>
      <c r="AL2865">
        <v>88.956411976304594</v>
      </c>
      <c r="AM2865">
        <v>92.972160237507396</v>
      </c>
      <c r="AN2865">
        <v>1.0000000013743799</v>
      </c>
    </row>
    <row r="2866" spans="1:40" x14ac:dyDescent="0.25">
      <c r="A2866" t="str">
        <f>"20190312160349647"</f>
        <v>20190312160349647</v>
      </c>
      <c r="B2866" t="str">
        <f>"1552377829637827"</f>
        <v>1552377829637827</v>
      </c>
      <c r="C2866" t="s">
        <v>40</v>
      </c>
      <c r="D2866">
        <v>5.7690710000000003</v>
      </c>
      <c r="E2866">
        <v>0.45934120000000001</v>
      </c>
      <c r="F2866" t="s">
        <v>59</v>
      </c>
      <c r="G2866">
        <v>-494.95499999999998</v>
      </c>
      <c r="H2866" s="1">
        <v>1.8217559999999999E-6</v>
      </c>
      <c r="I2866">
        <v>276.02370000000002</v>
      </c>
      <c r="J2866">
        <v>-487.62650000000002</v>
      </c>
      <c r="K2866">
        <v>1.1175649999999999</v>
      </c>
      <c r="L2866">
        <v>281.30880000000002</v>
      </c>
      <c r="M2866">
        <v>-0.89472169999999895</v>
      </c>
      <c r="N2866">
        <v>0</v>
      </c>
      <c r="O2866">
        <v>-0.4464283</v>
      </c>
      <c r="P2866">
        <v>-0.87045229999999996</v>
      </c>
      <c r="Q2866">
        <v>6.0990100000000002E-3</v>
      </c>
      <c r="R2866">
        <v>-0.49221530000000002</v>
      </c>
      <c r="S2866">
        <v>-2.4543149999999998</v>
      </c>
      <c r="T2866">
        <v>-0.36834030000000001</v>
      </c>
      <c r="U2866">
        <v>-1.763306</v>
      </c>
      <c r="V2866">
        <v>-5.215289E-2</v>
      </c>
      <c r="W2866">
        <v>1.83637E-2</v>
      </c>
      <c r="X2866">
        <v>0.99847019999999997</v>
      </c>
      <c r="Y2866">
        <v>-0.1612865</v>
      </c>
      <c r="Z2866">
        <v>4.5359829999999997E-2</v>
      </c>
      <c r="AA2866">
        <v>0.98586470000000004</v>
      </c>
      <c r="AB2866">
        <v>25</v>
      </c>
      <c r="AC2866">
        <v>-7.32849999999996</v>
      </c>
      <c r="AD2866">
        <v>-1.1175631782440001</v>
      </c>
      <c r="AE2866">
        <v>-5.2850999999999999</v>
      </c>
      <c r="AF2866">
        <v>-1.4352147986279999</v>
      </c>
      <c r="AG2866">
        <v>-1.1175631782440001</v>
      </c>
      <c r="AH2866">
        <v>8.7828031508227102</v>
      </c>
      <c r="AI2866">
        <v>97.157668151531595</v>
      </c>
      <c r="AJ2866">
        <v>99.280784302595706</v>
      </c>
      <c r="AK2866">
        <v>8.9691928378014598</v>
      </c>
      <c r="AL2866">
        <v>88.947778290743202</v>
      </c>
      <c r="AM2866">
        <v>92.990001550883306</v>
      </c>
      <c r="AN2866">
        <v>0.999999944850539</v>
      </c>
    </row>
    <row r="2867" spans="1:40" x14ac:dyDescent="0.25">
      <c r="A2867" t="str">
        <f>"20190312160349672"</f>
        <v>20190312160349672</v>
      </c>
      <c r="B2867" t="str">
        <f>"1552377829667107"</f>
        <v>1552377829667107</v>
      </c>
      <c r="C2867" t="s">
        <v>40</v>
      </c>
      <c r="D2867">
        <v>5.635084</v>
      </c>
      <c r="E2867">
        <v>0.4607155</v>
      </c>
      <c r="F2867" t="s">
        <v>59</v>
      </c>
      <c r="G2867">
        <v>-494.99040000000002</v>
      </c>
      <c r="H2867" s="1">
        <v>1.7892580000000001E-6</v>
      </c>
      <c r="I2867">
        <v>275.94060000000002</v>
      </c>
      <c r="J2867">
        <v>-487.8673</v>
      </c>
      <c r="K2867">
        <v>1.1176980000000001</v>
      </c>
      <c r="L2867">
        <v>281.17250000000001</v>
      </c>
      <c r="M2867">
        <v>-0.88891759999999997</v>
      </c>
      <c r="N2867">
        <v>0</v>
      </c>
      <c r="O2867">
        <v>-0.45787470000000002</v>
      </c>
      <c r="P2867">
        <v>-0.86377719999999902</v>
      </c>
      <c r="Q2867">
        <v>6.3457950000000004E-3</v>
      </c>
      <c r="R2867">
        <v>-0.50383440000000002</v>
      </c>
      <c r="S2867">
        <v>-2.4423219999999999</v>
      </c>
      <c r="T2867">
        <v>-0.37065120000000001</v>
      </c>
      <c r="U2867">
        <v>-1.7804259999999901</v>
      </c>
      <c r="V2867">
        <v>-5.2728240000000003E-2</v>
      </c>
      <c r="W2867">
        <v>1.8620669999999999E-2</v>
      </c>
      <c r="X2867">
        <v>0.99843530000000003</v>
      </c>
      <c r="Y2867">
        <v>-0.1555608</v>
      </c>
      <c r="Z2867">
        <v>4.7406810000000001E-2</v>
      </c>
      <c r="AA2867">
        <v>0.98668809999999996</v>
      </c>
      <c r="AB2867">
        <v>25</v>
      </c>
      <c r="AC2867">
        <v>-7.1231000000000204</v>
      </c>
      <c r="AD2867">
        <v>-1.1176962107420001</v>
      </c>
      <c r="AE2867">
        <v>-5.2318999999999898</v>
      </c>
      <c r="AF2867">
        <v>-1.36749267484304</v>
      </c>
      <c r="AG2867">
        <v>-1.1176962107420001</v>
      </c>
      <c r="AH2867">
        <v>8.5907793778039192</v>
      </c>
      <c r="AI2867">
        <v>97.321620224287798</v>
      </c>
      <c r="AJ2867">
        <v>99.044542006659</v>
      </c>
      <c r="AK2867">
        <v>8.77044875438866</v>
      </c>
      <c r="AL2867">
        <v>88.933052558207606</v>
      </c>
      <c r="AM2867">
        <v>93.023031832197205</v>
      </c>
      <c r="AN2867">
        <v>1.00000002246541</v>
      </c>
    </row>
    <row r="2868" spans="1:40" x14ac:dyDescent="0.25">
      <c r="A2868" t="str">
        <f>"20190312160349684"</f>
        <v>20190312160349684</v>
      </c>
      <c r="B2868" t="str">
        <f>"1552377829677843"</f>
        <v>1552377829677843</v>
      </c>
      <c r="C2868" t="s">
        <v>40</v>
      </c>
      <c r="D2868">
        <v>5.6599139999999997</v>
      </c>
      <c r="E2868">
        <v>0.46134170000000002</v>
      </c>
      <c r="F2868" t="s">
        <v>59</v>
      </c>
      <c r="G2868">
        <v>-495.25130000000001</v>
      </c>
      <c r="H2868" s="1">
        <v>1.6736580000000001E-6</v>
      </c>
      <c r="I2868">
        <v>275.67899999999997</v>
      </c>
      <c r="J2868">
        <v>-487.97739999999999</v>
      </c>
      <c r="K2868">
        <v>1.1177549999999901</v>
      </c>
      <c r="L2868">
        <v>281.10899999999998</v>
      </c>
      <c r="M2868">
        <v>-0.88617169999999901</v>
      </c>
      <c r="N2868">
        <v>0</v>
      </c>
      <c r="O2868">
        <v>-0.46316639999999998</v>
      </c>
      <c r="P2868">
        <v>-0.86063080000000003</v>
      </c>
      <c r="Q2868">
        <v>6.5362399999999996E-3</v>
      </c>
      <c r="R2868">
        <v>-0.50918759999999996</v>
      </c>
      <c r="S2868">
        <v>-2.4239199999999999</v>
      </c>
      <c r="T2868">
        <v>-0.36690349999999999</v>
      </c>
      <c r="U2868">
        <v>-1.803345</v>
      </c>
      <c r="V2868">
        <v>-5.2981319999999998E-2</v>
      </c>
      <c r="W2868">
        <v>1.8816139999999999E-2</v>
      </c>
      <c r="X2868">
        <v>0.99841820000000003</v>
      </c>
      <c r="Y2868">
        <v>-0.15923380000000001</v>
      </c>
      <c r="Z2868">
        <v>4.7415039999999999E-2</v>
      </c>
      <c r="AA2868">
        <v>0.98610160000000002</v>
      </c>
      <c r="AB2868">
        <v>25</v>
      </c>
      <c r="AC2868">
        <v>-7.2739000000000198</v>
      </c>
      <c r="AD2868">
        <v>-1.1177533263420001</v>
      </c>
      <c r="AE2868">
        <v>-5.43</v>
      </c>
      <c r="AF2868">
        <v>-1.4214596672599</v>
      </c>
      <c r="AG2868">
        <v>-1.1177533263420001</v>
      </c>
      <c r="AH2868">
        <v>8.8278499523294105</v>
      </c>
      <c r="AI2868">
        <v>97.125384910043493</v>
      </c>
      <c r="AJ2868">
        <v>99.147246136771599</v>
      </c>
      <c r="AK2868">
        <v>9.0111516947079302</v>
      </c>
      <c r="AL2868">
        <v>88.9218509491768</v>
      </c>
      <c r="AM2868">
        <v>93.037566312943895</v>
      </c>
      <c r="AN2868">
        <v>0.99999998474233998</v>
      </c>
    </row>
    <row r="2869" spans="1:40" x14ac:dyDescent="0.25">
      <c r="A2869" t="str">
        <f>"20190312160349694"</f>
        <v>20190312160349694</v>
      </c>
      <c r="B2869" t="str">
        <f>"1552377829687602"</f>
        <v>1552377829687602</v>
      </c>
      <c r="C2869" t="s">
        <v>40</v>
      </c>
      <c r="D2869">
        <v>5.6693100000000003</v>
      </c>
      <c r="E2869">
        <v>0.46175169999999999</v>
      </c>
      <c r="F2869" t="s">
        <v>59</v>
      </c>
      <c r="G2869">
        <v>-495.34440000000001</v>
      </c>
      <c r="H2869" s="1">
        <v>1.6290049999999999E-6</v>
      </c>
      <c r="I2869">
        <v>275.57600000000002</v>
      </c>
      <c r="J2869">
        <v>-488.0677</v>
      </c>
      <c r="K2869">
        <v>1.117802</v>
      </c>
      <c r="L2869">
        <v>281.05590000000001</v>
      </c>
      <c r="M2869">
        <v>-0.88386209999999898</v>
      </c>
      <c r="N2869">
        <v>0</v>
      </c>
      <c r="O2869">
        <v>-0.46755839999999999</v>
      </c>
      <c r="P2869">
        <v>-0.85810379999999997</v>
      </c>
      <c r="Q2869">
        <v>6.1645859999999997E-3</v>
      </c>
      <c r="R2869">
        <v>-0.5134396</v>
      </c>
      <c r="S2869">
        <v>-2.4153440000000002</v>
      </c>
      <c r="T2869">
        <v>-0.36646689999999998</v>
      </c>
      <c r="U2869">
        <v>-1.8140259999999999</v>
      </c>
      <c r="V2869">
        <v>-5.2961220000000003E-2</v>
      </c>
      <c r="W2869">
        <v>1.845333E-2</v>
      </c>
      <c r="X2869">
        <v>0.99842609999999998</v>
      </c>
      <c r="Y2869">
        <v>-0.15882789999999999</v>
      </c>
      <c r="Z2869">
        <v>4.7940650000000001E-2</v>
      </c>
      <c r="AA2869">
        <v>0.98614170000000001</v>
      </c>
      <c r="AB2869">
        <v>25</v>
      </c>
      <c r="AC2869">
        <v>-7.2766999999999999</v>
      </c>
      <c r="AD2869">
        <v>-1.117800370995</v>
      </c>
      <c r="AE2869">
        <v>-5.4799000000000397</v>
      </c>
      <c r="AF2869">
        <v>-1.41994028045257</v>
      </c>
      <c r="AG2869">
        <v>-1.117800370995</v>
      </c>
      <c r="AH2869">
        <v>8.8611405284542499</v>
      </c>
      <c r="AI2869">
        <v>97.100039133301095</v>
      </c>
      <c r="AJ2869">
        <v>99.103880364199696</v>
      </c>
      <c r="AK2869">
        <v>9.0435346814430204</v>
      </c>
      <c r="AL2869">
        <v>88.942642107079706</v>
      </c>
      <c r="AM2869">
        <v>93.036392100409302</v>
      </c>
      <c r="AN2869">
        <v>1.0000000466865899</v>
      </c>
    </row>
    <row r="2870" spans="1:40" x14ac:dyDescent="0.25">
      <c r="A2870" t="str">
        <f>"20190312160349704"</f>
        <v>20190312160349704</v>
      </c>
      <c r="B2870" t="str">
        <f>"1552377829697363"</f>
        <v>1552377829697363</v>
      </c>
      <c r="C2870" t="s">
        <v>40</v>
      </c>
      <c r="D2870">
        <v>5.6604650000000003</v>
      </c>
      <c r="E2870">
        <v>0.46230260000000001</v>
      </c>
      <c r="F2870" t="s">
        <v>59</v>
      </c>
      <c r="G2870">
        <v>-495.37700000000001</v>
      </c>
      <c r="H2870" s="1">
        <v>1.606208E-6</v>
      </c>
      <c r="I2870">
        <v>275.51979999999998</v>
      </c>
      <c r="J2870">
        <v>-488.17099999999999</v>
      </c>
      <c r="K2870">
        <v>1.11785</v>
      </c>
      <c r="L2870">
        <v>280.9948</v>
      </c>
      <c r="M2870">
        <v>-0.88117520000000005</v>
      </c>
      <c r="N2870">
        <v>0</v>
      </c>
      <c r="O2870">
        <v>-0.47260210000000002</v>
      </c>
      <c r="P2870">
        <v>-0.85508790000000001</v>
      </c>
      <c r="Q2870">
        <v>5.8216099999999996E-3</v>
      </c>
      <c r="R2870">
        <v>-0.51845090000000005</v>
      </c>
      <c r="S2870">
        <v>-2.407654</v>
      </c>
      <c r="T2870">
        <v>-0.36819610000000003</v>
      </c>
      <c r="U2870">
        <v>-1.8235779999999999</v>
      </c>
      <c r="V2870">
        <v>-5.3090560000000002E-2</v>
      </c>
      <c r="W2870">
        <v>1.811722E-2</v>
      </c>
      <c r="X2870">
        <v>0.99842540000000002</v>
      </c>
      <c r="Y2870">
        <v>-0.1572441</v>
      </c>
      <c r="Z2870">
        <v>4.889454E-2</v>
      </c>
      <c r="AA2870">
        <v>0.98634860000000002</v>
      </c>
      <c r="AB2870">
        <v>25</v>
      </c>
      <c r="AC2870">
        <v>-7.2059999999999498</v>
      </c>
      <c r="AD2870">
        <v>-1.1178483937920001</v>
      </c>
      <c r="AE2870">
        <v>-5.4750000000000201</v>
      </c>
      <c r="AF2870">
        <v>-1.3976651760868599</v>
      </c>
      <c r="AG2870">
        <v>-1.1178483937920001</v>
      </c>
      <c r="AH2870">
        <v>8.8037194570085706</v>
      </c>
      <c r="AI2870">
        <v>97.1478085915777</v>
      </c>
      <c r="AJ2870">
        <v>99.020905594590005</v>
      </c>
      <c r="AK2870">
        <v>8.9837925874132107</v>
      </c>
      <c r="AL2870">
        <v>88.961903025073099</v>
      </c>
      <c r="AM2870">
        <v>93.0437956718809</v>
      </c>
      <c r="AN2870">
        <v>1.0000000602933901</v>
      </c>
    </row>
    <row r="2871" spans="1:40" x14ac:dyDescent="0.25">
      <c r="A2871" t="str">
        <f>"20190312160349715"</f>
        <v>20190312160349715</v>
      </c>
      <c r="B2871" t="str">
        <f>"1552377829707123"</f>
        <v>1552377829707123</v>
      </c>
      <c r="C2871" t="s">
        <v>40</v>
      </c>
      <c r="D2871">
        <v>5.7230189999999999</v>
      </c>
      <c r="E2871">
        <v>0.4628505</v>
      </c>
      <c r="F2871" t="s">
        <v>59</v>
      </c>
      <c r="G2871">
        <v>-495.43470000000002</v>
      </c>
      <c r="H2871" s="1">
        <v>1.5736460000000001E-6</v>
      </c>
      <c r="I2871">
        <v>275.44209999999998</v>
      </c>
      <c r="J2871">
        <v>-488.27190000000002</v>
      </c>
      <c r="K2871">
        <v>1.1179049999999999</v>
      </c>
      <c r="L2871">
        <v>280.93389999999999</v>
      </c>
      <c r="M2871">
        <v>-0.87847969999999898</v>
      </c>
      <c r="N2871">
        <v>0</v>
      </c>
      <c r="O2871">
        <v>-0.4775934</v>
      </c>
      <c r="P2871">
        <v>-0.85199360000000002</v>
      </c>
      <c r="Q2871">
        <v>5.2161239999999999E-3</v>
      </c>
      <c r="R2871">
        <v>-0.52352639999999995</v>
      </c>
      <c r="S2871">
        <v>-2.3990170000000002</v>
      </c>
      <c r="T2871">
        <v>-0.36919750000000001</v>
      </c>
      <c r="U2871">
        <v>-1.833893</v>
      </c>
      <c r="V2871">
        <v>-5.335297E-2</v>
      </c>
      <c r="W2871">
        <v>1.751602E-2</v>
      </c>
      <c r="X2871">
        <v>0.99842209999999998</v>
      </c>
      <c r="Y2871">
        <v>-0.15607860000000001</v>
      </c>
      <c r="Z2871">
        <v>4.9732390000000001E-2</v>
      </c>
      <c r="AA2871">
        <v>0.98649189999999998</v>
      </c>
      <c r="AB2871">
        <v>25</v>
      </c>
      <c r="AC2871">
        <v>-7.1627999999999998</v>
      </c>
      <c r="AD2871">
        <v>-1.117903426354</v>
      </c>
      <c r="AE2871">
        <v>-5.4918000000000102</v>
      </c>
      <c r="AF2871">
        <v>-1.3824465395835399</v>
      </c>
      <c r="AG2871">
        <v>-1.117903426354</v>
      </c>
      <c r="AH2871">
        <v>8.7813071391483106</v>
      </c>
      <c r="AI2871">
        <v>97.167664079618405</v>
      </c>
      <c r="AJ2871">
        <v>98.946679097459906</v>
      </c>
      <c r="AK2871">
        <v>8.9594766352459292</v>
      </c>
      <c r="AL2871">
        <v>88.996354674247996</v>
      </c>
      <c r="AM2871">
        <v>93.058821791542996</v>
      </c>
      <c r="AN2871">
        <v>1.0000000200664301</v>
      </c>
    </row>
    <row r="2872" spans="1:40" x14ac:dyDescent="0.25">
      <c r="A2872" t="str">
        <f>"20190312160349726"</f>
        <v>20190312160349726</v>
      </c>
      <c r="B2872" t="str">
        <f>"1552377829717859"</f>
        <v>1552377829717859</v>
      </c>
      <c r="C2872" t="s">
        <v>40</v>
      </c>
      <c r="D2872">
        <v>5.7058960000000001</v>
      </c>
      <c r="E2872">
        <v>0.46336749999999999</v>
      </c>
      <c r="F2872" t="s">
        <v>59</v>
      </c>
      <c r="G2872">
        <v>-495.46550000000002</v>
      </c>
      <c r="H2872" s="1">
        <v>1.5497819999999999E-6</v>
      </c>
      <c r="I2872">
        <v>275.38229999999999</v>
      </c>
      <c r="J2872">
        <v>-488.37709999999998</v>
      </c>
      <c r="K2872">
        <v>1.1179600000000001</v>
      </c>
      <c r="L2872">
        <v>280.87</v>
      </c>
      <c r="M2872">
        <v>-0.87562569999999995</v>
      </c>
      <c r="N2872">
        <v>0</v>
      </c>
      <c r="O2872">
        <v>-0.48280529999999999</v>
      </c>
      <c r="P2872">
        <v>-0.84861089999999995</v>
      </c>
      <c r="Q2872">
        <v>5.2477380000000001E-3</v>
      </c>
      <c r="R2872">
        <v>-0.5289914</v>
      </c>
      <c r="S2872">
        <v>-2.3900450000000002</v>
      </c>
      <c r="T2872">
        <v>-0.37142059999999999</v>
      </c>
      <c r="U2872">
        <v>-1.844482</v>
      </c>
      <c r="V2872">
        <v>-5.3840449999999998E-2</v>
      </c>
      <c r="W2872">
        <v>1.7547480000000001E-2</v>
      </c>
      <c r="X2872">
        <v>0.99839540000000004</v>
      </c>
      <c r="Y2872">
        <v>-0.15480179999999999</v>
      </c>
      <c r="Z2872">
        <v>5.0774430000000002E-2</v>
      </c>
      <c r="AA2872">
        <v>0.98663990000000001</v>
      </c>
      <c r="AB2872">
        <v>25</v>
      </c>
      <c r="AC2872">
        <v>-7.0884000000000302</v>
      </c>
      <c r="AD2872">
        <v>-1.117958450218</v>
      </c>
      <c r="AE2872">
        <v>-5.48770000000001</v>
      </c>
      <c r="AF2872">
        <v>-1.36179778756954</v>
      </c>
      <c r="AG2872">
        <v>-1.117958450218</v>
      </c>
      <c r="AH2872">
        <v>8.7214241688757994</v>
      </c>
      <c r="AI2872">
        <v>97.218119048813705</v>
      </c>
      <c r="AJ2872">
        <v>98.874728725735906</v>
      </c>
      <c r="AK2872">
        <v>8.89761562690218</v>
      </c>
      <c r="AL2872">
        <v>88.994551893460596</v>
      </c>
      <c r="AM2872">
        <v>93.0867984841381</v>
      </c>
      <c r="AN2872">
        <v>1.0000000414258501</v>
      </c>
    </row>
    <row r="2873" spans="1:40" x14ac:dyDescent="0.25">
      <c r="A2873" t="str">
        <f>"20190312160349737"</f>
        <v>20190312160349737</v>
      </c>
      <c r="B2873" t="str">
        <f>"1552377829727150"</f>
        <v>1552377829727150</v>
      </c>
      <c r="C2873" t="s">
        <v>40</v>
      </c>
      <c r="D2873">
        <v>5.7328919999999997</v>
      </c>
      <c r="E2873">
        <v>0.46336749999999999</v>
      </c>
      <c r="F2873" t="s">
        <v>59</v>
      </c>
      <c r="G2873">
        <v>-495.52539999999999</v>
      </c>
      <c r="H2873" s="1">
        <v>1.513846E-6</v>
      </c>
      <c r="I2873">
        <v>275.29570000000001</v>
      </c>
      <c r="J2873">
        <v>-488.476</v>
      </c>
      <c r="K2873">
        <v>1.11802</v>
      </c>
      <c r="L2873">
        <v>280.80849999999998</v>
      </c>
      <c r="M2873">
        <v>-0.87285599999999997</v>
      </c>
      <c r="N2873">
        <v>0</v>
      </c>
      <c r="O2873">
        <v>-0.48779470000000003</v>
      </c>
      <c r="P2873">
        <v>-0.84523809999999999</v>
      </c>
      <c r="Q2873">
        <v>5.2917060000000002E-3</v>
      </c>
      <c r="R2873">
        <v>-0.53436459999999997</v>
      </c>
      <c r="S2873">
        <v>-2.3804020000000001</v>
      </c>
      <c r="T2873">
        <v>-0.37228</v>
      </c>
      <c r="U2873">
        <v>-1.8562320000000001</v>
      </c>
      <c r="V2873">
        <v>-5.4479769999999997E-2</v>
      </c>
      <c r="W2873">
        <v>1.7588489999999998E-2</v>
      </c>
      <c r="X2873">
        <v>0.99836000000000003</v>
      </c>
      <c r="Y2873">
        <v>-0.15417330000000001</v>
      </c>
      <c r="Z2873">
        <v>5.1570049999999999E-2</v>
      </c>
      <c r="AA2873">
        <v>0.98669709999999999</v>
      </c>
      <c r="AB2873">
        <v>25</v>
      </c>
      <c r="AC2873">
        <v>-7.0493999999999897</v>
      </c>
      <c r="AD2873">
        <v>-1.1180184861539999</v>
      </c>
      <c r="AE2873">
        <v>-5.5127999999999702</v>
      </c>
      <c r="AF2873">
        <v>-1.3522376344332201</v>
      </c>
      <c r="AG2873">
        <v>-1.1180184861539999</v>
      </c>
      <c r="AH2873">
        <v>8.7071155117275403</v>
      </c>
      <c r="AI2873">
        <v>97.231154685658097</v>
      </c>
      <c r="AJ2873">
        <v>98.827662870625801</v>
      </c>
      <c r="AK2873">
        <v>8.8821378333105105</v>
      </c>
      <c r="AL2873">
        <v>88.992201834519193</v>
      </c>
      <c r="AM2873">
        <v>93.123490571640204</v>
      </c>
      <c r="AN2873">
        <v>1.0000000449598601</v>
      </c>
    </row>
    <row r="2874" spans="1:40" x14ac:dyDescent="0.25">
      <c r="A2874" t="str">
        <f>"20190312160349758"</f>
        <v>20190312160349758</v>
      </c>
      <c r="B2874" t="str">
        <f>"1552377829747646"</f>
        <v>1552377829747646</v>
      </c>
      <c r="C2874" t="s">
        <v>40</v>
      </c>
      <c r="D2874">
        <v>5.7077689999999999</v>
      </c>
      <c r="E2874">
        <v>0.46521469999999998</v>
      </c>
      <c r="F2874" t="s">
        <v>59</v>
      </c>
      <c r="G2874">
        <v>-495.59230000000002</v>
      </c>
      <c r="H2874" s="1">
        <v>1.469713E-6</v>
      </c>
      <c r="I2874">
        <v>275.18770000000001</v>
      </c>
      <c r="J2874">
        <v>-488.67529999999999</v>
      </c>
      <c r="K2874">
        <v>1.1181350000000001</v>
      </c>
      <c r="L2874">
        <v>280.68259999999998</v>
      </c>
      <c r="M2874">
        <v>-0.86711190000000005</v>
      </c>
      <c r="N2874">
        <v>0</v>
      </c>
      <c r="O2874">
        <v>-0.49793280000000001</v>
      </c>
      <c r="P2874">
        <v>-0.83844830000000004</v>
      </c>
      <c r="Q2874">
        <v>4.9499699999999997E-3</v>
      </c>
      <c r="R2874">
        <v>-0.54495890000000002</v>
      </c>
      <c r="S2874">
        <v>-2.368805</v>
      </c>
      <c r="T2874">
        <v>-0.37215809999999999</v>
      </c>
      <c r="U2874">
        <v>-1.8710329999999999</v>
      </c>
      <c r="V2874">
        <v>-5.5407900000000003E-2</v>
      </c>
      <c r="W2874">
        <v>1.7247599999999998E-2</v>
      </c>
      <c r="X2874">
        <v>0.99831479999999995</v>
      </c>
      <c r="Y2874">
        <v>-0.14889279999999999</v>
      </c>
      <c r="Z2874">
        <v>5.3135639999999998E-2</v>
      </c>
      <c r="AA2874">
        <v>0.98742470000000004</v>
      </c>
      <c r="AB2874">
        <v>25</v>
      </c>
      <c r="AC2874">
        <v>-6.91700000000003</v>
      </c>
      <c r="AD2874">
        <v>-1.1181335302869999</v>
      </c>
      <c r="AE2874">
        <v>-5.4948999999999701</v>
      </c>
      <c r="AF2874">
        <v>-1.29978750749085</v>
      </c>
      <c r="AG2874">
        <v>-1.1181335302869999</v>
      </c>
      <c r="AH2874">
        <v>8.5969617670228509</v>
      </c>
      <c r="AI2874">
        <v>97.328014548980804</v>
      </c>
      <c r="AJ2874">
        <v>98.597519360464503</v>
      </c>
      <c r="AK2874">
        <v>8.7662661253143597</v>
      </c>
      <c r="AL2874">
        <v>89.011736288829894</v>
      </c>
      <c r="AM2874">
        <v>93.176738544530096</v>
      </c>
      <c r="AN2874">
        <v>0.99999997749360403</v>
      </c>
    </row>
    <row r="2875" spans="1:40" x14ac:dyDescent="0.25">
      <c r="A2875" t="str">
        <f>"20190312160349771"</f>
        <v>20190312160349771</v>
      </c>
      <c r="B2875" t="str">
        <f>"1552377829767165"</f>
        <v>1552377829767165</v>
      </c>
      <c r="C2875" t="s">
        <v>40</v>
      </c>
      <c r="D2875">
        <v>5.5543940000000003</v>
      </c>
      <c r="E2875">
        <v>0.41697650000000003</v>
      </c>
      <c r="F2875" t="s">
        <v>59</v>
      </c>
      <c r="G2875">
        <v>-495.65069999999997</v>
      </c>
      <c r="H2875" s="1">
        <v>1.427564E-6</v>
      </c>
      <c r="I2875">
        <v>275.0831</v>
      </c>
      <c r="J2875">
        <v>-488.78300000000002</v>
      </c>
      <c r="K2875">
        <v>1.118201</v>
      </c>
      <c r="L2875">
        <v>280.61329999999998</v>
      </c>
      <c r="M2875">
        <v>-0.86390879999999903</v>
      </c>
      <c r="N2875">
        <v>0</v>
      </c>
      <c r="O2875">
        <v>-0.50346919999999995</v>
      </c>
      <c r="P2875">
        <v>-0.83475010000000005</v>
      </c>
      <c r="Q2875">
        <v>4.5922790000000003E-3</v>
      </c>
      <c r="R2875">
        <v>-0.55060959999999903</v>
      </c>
      <c r="S2875">
        <v>-2.352722</v>
      </c>
      <c r="T2875">
        <v>-0.37713469999999999</v>
      </c>
      <c r="U2875">
        <v>-1.8886719999999999</v>
      </c>
      <c r="V2875">
        <v>-5.5759549999999998E-2</v>
      </c>
      <c r="W2875">
        <v>1.689336E-2</v>
      </c>
      <c r="X2875">
        <v>0.99830129999999995</v>
      </c>
      <c r="Y2875">
        <v>-0.15044540000000001</v>
      </c>
      <c r="Z2875">
        <v>5.449992E-2</v>
      </c>
      <c r="AA2875">
        <v>0.98711499999999996</v>
      </c>
      <c r="AB2875">
        <v>25</v>
      </c>
      <c r="AC2875">
        <v>-6.8676999999999504</v>
      </c>
      <c r="AD2875">
        <v>-1.1181995724359901</v>
      </c>
      <c r="AE2875">
        <v>-5.5301999999999696</v>
      </c>
      <c r="AF2875">
        <v>-1.2991389685660599</v>
      </c>
      <c r="AG2875">
        <v>-1.1181995724359901</v>
      </c>
      <c r="AH2875">
        <v>8.5801498226262094</v>
      </c>
      <c r="AI2875">
        <v>97.342408431140797</v>
      </c>
      <c r="AJ2875">
        <v>98.6098792235709</v>
      </c>
      <c r="AK2875">
        <v>8.7496916129744502</v>
      </c>
      <c r="AL2875">
        <v>89.032035725295898</v>
      </c>
      <c r="AM2875">
        <v>93.196901386502702</v>
      </c>
      <c r="AN2875">
        <v>0.99999999930499095</v>
      </c>
    </row>
    <row r="2876" spans="1:40" x14ac:dyDescent="0.25">
      <c r="A2876" t="str">
        <f>"20190312160349781"</f>
        <v>20190312160349781</v>
      </c>
      <c r="B2876" t="str">
        <f>"1552377829777903"</f>
        <v>1552377829777903</v>
      </c>
      <c r="C2876" t="s">
        <v>40</v>
      </c>
      <c r="D2876">
        <v>5.7282260000000003</v>
      </c>
      <c r="E2876">
        <v>0.41384169999999998</v>
      </c>
      <c r="F2876" t="s">
        <v>59</v>
      </c>
      <c r="G2876">
        <v>-496.16340000000002</v>
      </c>
      <c r="H2876" s="1">
        <v>9.1557939999999999E-7</v>
      </c>
      <c r="I2876">
        <v>272.90429999999998</v>
      </c>
      <c r="J2876">
        <v>-488.88420000000002</v>
      </c>
      <c r="K2876">
        <v>1.1182609999999999</v>
      </c>
      <c r="L2876">
        <v>280.54700000000003</v>
      </c>
      <c r="M2876">
        <v>-0.86081810000000003</v>
      </c>
      <c r="N2876">
        <v>0</v>
      </c>
      <c r="O2876">
        <v>-0.50873519999999905</v>
      </c>
      <c r="P2876">
        <v>-0.83136409999999905</v>
      </c>
      <c r="Q2876">
        <v>3.8947690000000002E-3</v>
      </c>
      <c r="R2876">
        <v>-0.55571479999999995</v>
      </c>
      <c r="S2876">
        <v>-2.1289060000000002</v>
      </c>
      <c r="T2876">
        <v>-0.32254620000000001</v>
      </c>
      <c r="U2876">
        <v>-2.2236940000000001</v>
      </c>
      <c r="V2876">
        <v>-5.5767789999999998E-2</v>
      </c>
      <c r="W2876">
        <v>1.6205859999999999E-2</v>
      </c>
      <c r="X2876">
        <v>0.99831219999999998</v>
      </c>
      <c r="Y2876">
        <v>-0.27096969999999998</v>
      </c>
      <c r="Z2876">
        <v>4.0711049999999999E-2</v>
      </c>
      <c r="AA2876">
        <v>0.96172659999999999</v>
      </c>
      <c r="AB2876">
        <v>25</v>
      </c>
      <c r="AC2876">
        <v>-7.2792000000000003</v>
      </c>
      <c r="AD2876">
        <v>-1.1182600844206001</v>
      </c>
      <c r="AE2876">
        <v>-7.6427000000000396</v>
      </c>
      <c r="AF2876">
        <v>-2.8441220899094999</v>
      </c>
      <c r="AG2876">
        <v>-1.1182600844206001</v>
      </c>
      <c r="AH2876">
        <v>10.042363550570199</v>
      </c>
      <c r="AI2876">
        <v>96.115359759321905</v>
      </c>
      <c r="AJ2876">
        <v>105.812780774937</v>
      </c>
      <c r="AK2876">
        <v>10.4970758671422</v>
      </c>
      <c r="AL2876">
        <v>89.071431935801797</v>
      </c>
      <c r="AM2876">
        <v>93.197337998215104</v>
      </c>
      <c r="AN2876">
        <v>0.99999996248433098</v>
      </c>
    </row>
    <row r="2877" spans="1:40" x14ac:dyDescent="0.25">
      <c r="A2877" t="str">
        <f>"20190312160349793"</f>
        <v>20190312160349793</v>
      </c>
      <c r="B2877" t="str">
        <f>"1552377829787664"</f>
        <v>1552377829787664</v>
      </c>
      <c r="C2877" t="s">
        <v>40</v>
      </c>
      <c r="D2877">
        <v>5.7160919999999997</v>
      </c>
      <c r="E2877">
        <v>0.41204360000000001</v>
      </c>
      <c r="F2877" t="s">
        <v>59</v>
      </c>
      <c r="G2877">
        <v>-495.80919999999998</v>
      </c>
      <c r="H2877" s="1">
        <v>9.8174430000000004E-7</v>
      </c>
      <c r="I2877">
        <v>273.10160000000002</v>
      </c>
      <c r="J2877">
        <v>-488.99250000000001</v>
      </c>
      <c r="K2877">
        <v>1.1183240000000001</v>
      </c>
      <c r="L2877">
        <v>280.47500000000002</v>
      </c>
      <c r="M2877">
        <v>-0.85743349999999996</v>
      </c>
      <c r="N2877">
        <v>0</v>
      </c>
      <c r="O2877">
        <v>-0.51441870000000001</v>
      </c>
      <c r="P2877">
        <v>-0.8275865</v>
      </c>
      <c r="Q2877">
        <v>3.2688230000000001E-3</v>
      </c>
      <c r="R2877">
        <v>-0.56132890000000002</v>
      </c>
      <c r="S2877">
        <v>-2.1005549999999999</v>
      </c>
      <c r="T2877">
        <v>-0.33919870000000002</v>
      </c>
      <c r="U2877">
        <v>-2.2583920000000002</v>
      </c>
      <c r="V2877">
        <v>-5.5909250000000001E-2</v>
      </c>
      <c r="W2877">
        <v>1.558843E-2</v>
      </c>
      <c r="X2877">
        <v>0.99831409999999998</v>
      </c>
      <c r="Y2877">
        <v>-0.27855020000000003</v>
      </c>
      <c r="Z2877">
        <v>4.3013080000000002E-2</v>
      </c>
      <c r="AA2877">
        <v>0.95945800000000003</v>
      </c>
      <c r="AB2877">
        <v>25</v>
      </c>
      <c r="AC2877">
        <v>-6.81669999999996</v>
      </c>
      <c r="AD2877">
        <v>-1.11832301825569</v>
      </c>
      <c r="AE2877">
        <v>-7.3734000000000002</v>
      </c>
      <c r="AF2877">
        <v>-2.78132069566648</v>
      </c>
      <c r="AG2877">
        <v>-1.11832301825569</v>
      </c>
      <c r="AH2877">
        <v>9.5206704737719594</v>
      </c>
      <c r="AI2877">
        <v>96.432926969059295</v>
      </c>
      <c r="AJ2877">
        <v>106.28492929988801</v>
      </c>
      <c r="AK2877">
        <v>9.9814606874673597</v>
      </c>
      <c r="AL2877">
        <v>89.106812524235096</v>
      </c>
      <c r="AM2877">
        <v>93.205425353864996</v>
      </c>
      <c r="AN2877">
        <v>0.99999994282211702</v>
      </c>
    </row>
    <row r="2878" spans="1:40" x14ac:dyDescent="0.25">
      <c r="A2878" t="str">
        <f>"20190312160349804"</f>
        <v>20190312160349804</v>
      </c>
      <c r="B2878" t="str">
        <f>"1552377829797422"</f>
        <v>1552377829797422</v>
      </c>
      <c r="C2878" t="s">
        <v>40</v>
      </c>
      <c r="D2878">
        <v>5.8061439999999997</v>
      </c>
      <c r="E2878">
        <v>0.41154770000000002</v>
      </c>
      <c r="F2878" t="s">
        <v>59</v>
      </c>
      <c r="G2878">
        <v>-495.7251</v>
      </c>
      <c r="H2878" s="1">
        <v>9.8293659999999993E-7</v>
      </c>
      <c r="I2878">
        <v>273.06599999999997</v>
      </c>
      <c r="J2878">
        <v>-489.09530000000001</v>
      </c>
      <c r="K2878">
        <v>1.1183890000000001</v>
      </c>
      <c r="L2878">
        <v>280.40589999999997</v>
      </c>
      <c r="M2878">
        <v>-0.85415390000000002</v>
      </c>
      <c r="N2878">
        <v>0</v>
      </c>
      <c r="O2878">
        <v>-0.51984520000000001</v>
      </c>
      <c r="P2878">
        <v>-0.8240537</v>
      </c>
      <c r="Q2878">
        <v>2.970323E-3</v>
      </c>
      <c r="R2878">
        <v>-0.56650389999999995</v>
      </c>
      <c r="S2878">
        <v>-2.0764469999999999</v>
      </c>
      <c r="T2878">
        <v>-0.34491290000000002</v>
      </c>
      <c r="U2878">
        <v>-2.2850950000000001</v>
      </c>
      <c r="V2878">
        <v>-5.583047E-2</v>
      </c>
      <c r="W2878">
        <v>1.530189E-2</v>
      </c>
      <c r="X2878">
        <v>0.99832299999999996</v>
      </c>
      <c r="Y2878">
        <v>-0.28362799999999999</v>
      </c>
      <c r="Z2878">
        <v>4.4083280000000002E-2</v>
      </c>
      <c r="AA2878">
        <v>0.95792060000000001</v>
      </c>
      <c r="AB2878">
        <v>25</v>
      </c>
      <c r="AC2878">
        <v>-6.6297999999999799</v>
      </c>
      <c r="AD2878">
        <v>-1.11838801706339</v>
      </c>
      <c r="AE2878">
        <v>-7.3399000000000001</v>
      </c>
      <c r="AF2878">
        <v>-2.78755110889335</v>
      </c>
      <c r="AG2878">
        <v>-1.11838801706339</v>
      </c>
      <c r="AH2878">
        <v>9.3596755614826694</v>
      </c>
      <c r="AI2878">
        <v>96.532995850567005</v>
      </c>
      <c r="AJ2878">
        <v>106.584879416433</v>
      </c>
      <c r="AK2878">
        <v>9.8297893953848003</v>
      </c>
      <c r="AL2878">
        <v>89.123232067281904</v>
      </c>
      <c r="AM2878">
        <v>93.200889609796405</v>
      </c>
      <c r="AN2878">
        <v>1.0000000007734899</v>
      </c>
    </row>
    <row r="2879" spans="1:40" x14ac:dyDescent="0.25">
      <c r="A2879" t="str">
        <f>"20190312160349814"</f>
        <v>20190312160349814</v>
      </c>
      <c r="B2879" t="str">
        <f>"1552377829807182"</f>
        <v>1552377829807182</v>
      </c>
      <c r="C2879" t="s">
        <v>40</v>
      </c>
      <c r="D2879">
        <v>5.6364070000000002</v>
      </c>
      <c r="E2879">
        <v>0.41271469999999999</v>
      </c>
      <c r="F2879" t="s">
        <v>59</v>
      </c>
      <c r="G2879">
        <v>-495.38380000000001</v>
      </c>
      <c r="H2879" s="1">
        <v>1.0678800000000001E-6</v>
      </c>
      <c r="I2879">
        <v>273.37639999999999</v>
      </c>
      <c r="J2879">
        <v>-489.18819999999999</v>
      </c>
      <c r="K2879">
        <v>1.1184430000000001</v>
      </c>
      <c r="L2879">
        <v>280.34210000000002</v>
      </c>
      <c r="M2879">
        <v>-0.85110839999999999</v>
      </c>
      <c r="N2879">
        <v>0</v>
      </c>
      <c r="O2879">
        <v>-0.52481619999999995</v>
      </c>
      <c r="P2879">
        <v>-0.82077040000000001</v>
      </c>
      <c r="Q2879">
        <v>3.1751040000000002E-3</v>
      </c>
      <c r="R2879">
        <v>-0.57124949999999997</v>
      </c>
      <c r="S2879">
        <v>-2.059326</v>
      </c>
      <c r="T2879">
        <v>-0.3662435</v>
      </c>
      <c r="U2879">
        <v>-2.301971</v>
      </c>
      <c r="V2879">
        <v>-5.5777930000000003E-2</v>
      </c>
      <c r="W2879">
        <v>1.551834E-2</v>
      </c>
      <c r="X2879">
        <v>0.99832259999999995</v>
      </c>
      <c r="Y2879">
        <v>-0.28563369999999999</v>
      </c>
      <c r="Z2879">
        <v>4.7300340000000003E-2</v>
      </c>
      <c r="AA2879">
        <v>0.95717079999999999</v>
      </c>
      <c r="AB2879">
        <v>25</v>
      </c>
      <c r="AC2879">
        <v>-6.1956000000000104</v>
      </c>
      <c r="AD2879">
        <v>-1.1184419321200001</v>
      </c>
      <c r="AE2879">
        <v>-6.9657000000000204</v>
      </c>
      <c r="AF2879">
        <v>-2.6392696994873299</v>
      </c>
      <c r="AG2879">
        <v>-1.1184419321200001</v>
      </c>
      <c r="AH2879">
        <v>8.8029463447361493</v>
      </c>
      <c r="AI2879">
        <v>96.9388290828729</v>
      </c>
      <c r="AJ2879">
        <v>106.689604869649</v>
      </c>
      <c r="AK2879">
        <v>9.2578896758634901</v>
      </c>
      <c r="AL2879">
        <v>89.110828926775</v>
      </c>
      <c r="AM2879">
        <v>93.197884903836297</v>
      </c>
      <c r="AN2879">
        <v>1.0000000050111</v>
      </c>
    </row>
    <row r="2880" spans="1:40" x14ac:dyDescent="0.25">
      <c r="A2880" t="str">
        <f>"20190312160349828"</f>
        <v>20190312160349828</v>
      </c>
      <c r="B2880" t="str">
        <f>"1552377829817918"</f>
        <v>1552377829817918</v>
      </c>
      <c r="C2880" t="s">
        <v>40</v>
      </c>
      <c r="D2880">
        <v>5.7031640000000001</v>
      </c>
      <c r="E2880">
        <v>0.41260350000000001</v>
      </c>
      <c r="F2880" t="s">
        <v>59</v>
      </c>
      <c r="G2880">
        <v>-495.20389999999998</v>
      </c>
      <c r="H2880" s="1">
        <v>1.118547E-6</v>
      </c>
      <c r="I2880">
        <v>273.57350000000002</v>
      </c>
      <c r="J2880">
        <v>-489.298</v>
      </c>
      <c r="K2880">
        <v>1.118509</v>
      </c>
      <c r="L2880">
        <v>280.26639999999998</v>
      </c>
      <c r="M2880">
        <v>-0.84745029999999999</v>
      </c>
      <c r="N2880">
        <v>0</v>
      </c>
      <c r="O2880">
        <v>-0.53070249999999997</v>
      </c>
      <c r="P2880">
        <v>-0.81671830000000001</v>
      </c>
      <c r="Q2880">
        <v>3.186038E-3</v>
      </c>
      <c r="R2880">
        <v>-0.57702790000000004</v>
      </c>
      <c r="S2880">
        <v>-2.0507200000000001</v>
      </c>
      <c r="T2880">
        <v>-0.38126700000000002</v>
      </c>
      <c r="U2880">
        <v>-2.3073429999999999</v>
      </c>
      <c r="V2880">
        <v>-5.5907390000000001E-2</v>
      </c>
      <c r="W2880">
        <v>1.553742E-2</v>
      </c>
      <c r="X2880">
        <v>0.99831499999999995</v>
      </c>
      <c r="Y2880">
        <v>-0.28224009999999999</v>
      </c>
      <c r="Z2880">
        <v>5.0225100000000002E-2</v>
      </c>
      <c r="AA2880">
        <v>0.9580282</v>
      </c>
      <c r="AB2880">
        <v>25</v>
      </c>
      <c r="AC2880">
        <v>-5.9058999999999697</v>
      </c>
      <c r="AD2880">
        <v>-1.1185078814530001</v>
      </c>
      <c r="AE2880">
        <v>-6.6928999999999501</v>
      </c>
      <c r="AF2880">
        <v>-2.4986225658808001</v>
      </c>
      <c r="AG2880">
        <v>-1.1185078814530001</v>
      </c>
      <c r="AH2880">
        <v>8.4253815084523591</v>
      </c>
      <c r="AI2880">
        <v>97.253363276229194</v>
      </c>
      <c r="AJ2880">
        <v>106.518196499938</v>
      </c>
      <c r="AK2880">
        <v>8.8589631543749103</v>
      </c>
      <c r="AL2880">
        <v>89.109735536680404</v>
      </c>
      <c r="AM2880">
        <v>93.2053160538686</v>
      </c>
      <c r="AN2880">
        <v>0.99999994345093202</v>
      </c>
    </row>
    <row r="2881" spans="1:40" x14ac:dyDescent="0.25">
      <c r="A2881" t="str">
        <f>"20190312160349839"</f>
        <v>20190312160349839</v>
      </c>
      <c r="B2881" t="str">
        <f>"1552377829827208"</f>
        <v>1552377829827208</v>
      </c>
      <c r="C2881" t="s">
        <v>40</v>
      </c>
      <c r="D2881">
        <v>5.6732620000000002</v>
      </c>
      <c r="E2881">
        <v>0.4127344</v>
      </c>
      <c r="F2881" t="s">
        <v>59</v>
      </c>
      <c r="G2881">
        <v>-495.26400000000001</v>
      </c>
      <c r="H2881" s="1">
        <v>1.0919559999999999E-6</v>
      </c>
      <c r="I2881">
        <v>273.45280000000002</v>
      </c>
      <c r="J2881">
        <v>-489.41219999999998</v>
      </c>
      <c r="K2881">
        <v>1.118574</v>
      </c>
      <c r="L2881">
        <v>280.18549999999999</v>
      </c>
      <c r="M2881">
        <v>-0.8435163</v>
      </c>
      <c r="N2881">
        <v>0</v>
      </c>
      <c r="O2881">
        <v>-0.53693250000000003</v>
      </c>
      <c r="P2881">
        <v>-0.8123068</v>
      </c>
      <c r="Q2881">
        <v>3.4026630000000002E-3</v>
      </c>
      <c r="R2881">
        <v>-0.58322050000000003</v>
      </c>
      <c r="S2881">
        <v>-2.033722</v>
      </c>
      <c r="T2881">
        <v>-0.38128190000000001</v>
      </c>
      <c r="U2881">
        <v>-2.322632</v>
      </c>
      <c r="V2881">
        <v>-5.6149499999999998E-2</v>
      </c>
      <c r="W2881">
        <v>1.5761979999999998E-2</v>
      </c>
      <c r="X2881">
        <v>0.99829789999999996</v>
      </c>
      <c r="Y2881">
        <v>-0.28229939999999998</v>
      </c>
      <c r="Z2881">
        <v>5.1054179999999998E-2</v>
      </c>
      <c r="AA2881">
        <v>0.95796689999999995</v>
      </c>
      <c r="AB2881">
        <v>25</v>
      </c>
      <c r="AC2881">
        <v>-5.8518000000000203</v>
      </c>
      <c r="AD2881">
        <v>-1.1185729080439999</v>
      </c>
      <c r="AE2881">
        <v>-6.7326999999999604</v>
      </c>
      <c r="AF2881">
        <v>-2.49807391844613</v>
      </c>
      <c r="AG2881">
        <v>-1.1185729080439999</v>
      </c>
      <c r="AH2881">
        <v>8.4194914902280402</v>
      </c>
      <c r="AI2881">
        <v>97.258522281295498</v>
      </c>
      <c r="AJ2881">
        <v>106.525690292566</v>
      </c>
      <c r="AK2881">
        <v>8.8532149870345602</v>
      </c>
      <c r="AL2881">
        <v>89.096867627320293</v>
      </c>
      <c r="AM2881">
        <v>93.219222744329898</v>
      </c>
      <c r="AN2881">
        <v>0.99999995175408896</v>
      </c>
    </row>
    <row r="2882" spans="1:40" x14ac:dyDescent="0.25">
      <c r="A2882" t="str">
        <f>"20190312160349854"</f>
        <v>20190312160349854</v>
      </c>
      <c r="B2882" t="str">
        <f>"1552377829836968"</f>
        <v>1552377829836968</v>
      </c>
      <c r="C2882" t="s">
        <v>40</v>
      </c>
      <c r="D2882">
        <v>5.6775989999999998</v>
      </c>
      <c r="E2882">
        <v>0.4129698</v>
      </c>
      <c r="F2882" t="s">
        <v>59</v>
      </c>
      <c r="G2882">
        <v>-495.33819999999997</v>
      </c>
      <c r="H2882" s="1">
        <v>1.0619200000000001E-6</v>
      </c>
      <c r="I2882">
        <v>273.31959999999998</v>
      </c>
      <c r="J2882">
        <v>-489.52050000000003</v>
      </c>
      <c r="K2882">
        <v>1.1186370000000001</v>
      </c>
      <c r="L2882">
        <v>280.10789999999997</v>
      </c>
      <c r="M2882">
        <v>-0.83970650000000002</v>
      </c>
      <c r="N2882">
        <v>0</v>
      </c>
      <c r="O2882">
        <v>-0.5428712</v>
      </c>
      <c r="P2882">
        <v>-0.80800369999999899</v>
      </c>
      <c r="Q2882">
        <v>3.4269750000000001E-3</v>
      </c>
      <c r="R2882">
        <v>-0.58916769999999996</v>
      </c>
      <c r="S2882">
        <v>-2.016937</v>
      </c>
      <c r="T2882">
        <v>-0.38071110000000002</v>
      </c>
      <c r="U2882">
        <v>-2.3368229999999999</v>
      </c>
      <c r="V2882">
        <v>-5.6436500000000001E-2</v>
      </c>
      <c r="W2882">
        <v>1.5792489999999999E-2</v>
      </c>
      <c r="X2882">
        <v>0.99828130000000004</v>
      </c>
      <c r="Y2882">
        <v>-0.28237830000000003</v>
      </c>
      <c r="Z2882">
        <v>5.1773939999999997E-2</v>
      </c>
      <c r="AA2882">
        <v>0.95790500000000001</v>
      </c>
      <c r="AB2882">
        <v>25</v>
      </c>
      <c r="AC2882">
        <v>-5.8176999999999399</v>
      </c>
      <c r="AD2882">
        <v>-1.1186359380799999</v>
      </c>
      <c r="AE2882">
        <v>-6.7882999999999898</v>
      </c>
      <c r="AF2882">
        <v>-2.5029646806851198</v>
      </c>
      <c r="AG2882">
        <v>-1.1186359380799999</v>
      </c>
      <c r="AH2882">
        <v>8.4389985103726506</v>
      </c>
      <c r="AI2882">
        <v>97.242533704304904</v>
      </c>
      <c r="AJ2882">
        <v>106.52009280529801</v>
      </c>
      <c r="AK2882">
        <v>8.8731547046579209</v>
      </c>
      <c r="AL2882">
        <v>89.095119374982204</v>
      </c>
      <c r="AM2882">
        <v>93.235696149569193</v>
      </c>
      <c r="AN2882">
        <v>1.0000000176011601</v>
      </c>
    </row>
    <row r="2883" spans="1:40" x14ac:dyDescent="0.25">
      <c r="A2883" t="str">
        <f>"20190312160349869"</f>
        <v>20190312160349869</v>
      </c>
      <c r="B2883" t="str">
        <f>"1552377829857464"</f>
        <v>1552377829857464</v>
      </c>
      <c r="C2883" t="s">
        <v>40</v>
      </c>
      <c r="D2883">
        <v>5.7436559999999997</v>
      </c>
      <c r="E2883">
        <v>0.41369270000000002</v>
      </c>
      <c r="F2883" t="s">
        <v>59</v>
      </c>
      <c r="G2883">
        <v>-495.39109999999999</v>
      </c>
      <c r="H2883" s="1">
        <v>1.038582E-6</v>
      </c>
      <c r="I2883">
        <v>273.21379999999999</v>
      </c>
      <c r="J2883">
        <v>-489.66500000000002</v>
      </c>
      <c r="K2883">
        <v>1.118719</v>
      </c>
      <c r="L2883">
        <v>280.0027</v>
      </c>
      <c r="M2883">
        <v>-0.83448670000000003</v>
      </c>
      <c r="N2883">
        <v>0</v>
      </c>
      <c r="O2883">
        <v>-0.55086059999999903</v>
      </c>
      <c r="P2883">
        <v>-0.80208809999999997</v>
      </c>
      <c r="Q2883">
        <v>3.3974180000000001E-3</v>
      </c>
      <c r="R2883">
        <v>-0.59719650000000002</v>
      </c>
      <c r="S2883">
        <v>-2.001007</v>
      </c>
      <c r="T2883">
        <v>-0.3812894</v>
      </c>
      <c r="U2883">
        <v>-2.3498839999999999</v>
      </c>
      <c r="V2883">
        <v>-5.6867790000000001E-2</v>
      </c>
      <c r="W2883">
        <v>1.5770559999999999E-2</v>
      </c>
      <c r="X2883">
        <v>0.99825719999999996</v>
      </c>
      <c r="Y2883">
        <v>-0.27967439999999999</v>
      </c>
      <c r="Z2883">
        <v>5.3079469999999997E-2</v>
      </c>
      <c r="AA2883">
        <v>0.95862650000000005</v>
      </c>
      <c r="AB2883">
        <v>25</v>
      </c>
      <c r="AC2883">
        <v>-5.7260999999999704</v>
      </c>
      <c r="AD2883">
        <v>-1.1187179614180001</v>
      </c>
      <c r="AE2883">
        <v>-6.7889000000000097</v>
      </c>
      <c r="AF2883">
        <v>-2.47197335312896</v>
      </c>
      <c r="AG2883">
        <v>-1.1187179614180001</v>
      </c>
      <c r="AH2883">
        <v>8.3858219548978692</v>
      </c>
      <c r="AI2883">
        <v>97.292055791386005</v>
      </c>
      <c r="AJ2883">
        <v>106.424467357522</v>
      </c>
      <c r="AK2883">
        <v>8.8138636247122601</v>
      </c>
      <c r="AL2883">
        <v>89.096376054224393</v>
      </c>
      <c r="AM2883">
        <v>93.260448868475706</v>
      </c>
      <c r="AN2883">
        <v>1.00000004672701</v>
      </c>
    </row>
    <row r="2884" spans="1:40" x14ac:dyDescent="0.25">
      <c r="A2884" t="str">
        <f>"20190312160349881"</f>
        <v>20190312160349881</v>
      </c>
      <c r="B2884" t="str">
        <f>"1552377829876984"</f>
        <v>1552377829876984</v>
      </c>
      <c r="C2884" t="s">
        <v>40</v>
      </c>
      <c r="D2884">
        <v>5.7176330000000002</v>
      </c>
      <c r="E2884">
        <v>0.41428609999999999</v>
      </c>
      <c r="F2884" t="s">
        <v>59</v>
      </c>
      <c r="G2884">
        <v>-495.51639999999998</v>
      </c>
      <c r="H2884" s="1">
        <v>9.9277959999999995E-7</v>
      </c>
      <c r="I2884">
        <v>273.01679999999999</v>
      </c>
      <c r="J2884">
        <v>-489.78280000000001</v>
      </c>
      <c r="K2884">
        <v>1.118787</v>
      </c>
      <c r="L2884">
        <v>279.91489999999999</v>
      </c>
      <c r="M2884">
        <v>-0.83008919999999997</v>
      </c>
      <c r="N2884">
        <v>0</v>
      </c>
      <c r="O2884">
        <v>-0.55746419999999997</v>
      </c>
      <c r="P2884">
        <v>-0.79733030000000005</v>
      </c>
      <c r="Q2884">
        <v>3.0954350000000001E-3</v>
      </c>
      <c r="R2884">
        <v>-0.60353519999999905</v>
      </c>
      <c r="S2884">
        <v>-1.9809570000000001</v>
      </c>
      <c r="T2884">
        <v>-0.37873180000000001</v>
      </c>
      <c r="U2884">
        <v>-2.365021</v>
      </c>
      <c r="V2884">
        <v>-5.685519E-2</v>
      </c>
      <c r="W2884">
        <v>1.548306E-2</v>
      </c>
      <c r="X2884">
        <v>0.99826230000000005</v>
      </c>
      <c r="Y2884">
        <v>-0.27986549999999999</v>
      </c>
      <c r="Z2884">
        <v>5.362165E-2</v>
      </c>
      <c r="AA2884">
        <v>0.95854059999999996</v>
      </c>
      <c r="AB2884">
        <v>25</v>
      </c>
      <c r="AC2884">
        <v>-5.7335999999999601</v>
      </c>
      <c r="AD2884">
        <v>-1.1187860072203999</v>
      </c>
      <c r="AE2884">
        <v>-6.8981000000000003</v>
      </c>
      <c r="AF2884">
        <v>-2.4912401955227601</v>
      </c>
      <c r="AG2884">
        <v>-1.1187860072203999</v>
      </c>
      <c r="AH2884">
        <v>8.4738149116328501</v>
      </c>
      <c r="AI2884">
        <v>97.219094635861396</v>
      </c>
      <c r="AJ2884">
        <v>106.38295407856999</v>
      </c>
      <c r="AK2884">
        <v>8.9030050543820192</v>
      </c>
      <c r="AL2884">
        <v>89.112850497037499</v>
      </c>
      <c r="AM2884">
        <v>93.259711402457199</v>
      </c>
      <c r="AN2884">
        <v>0.99999992868909204</v>
      </c>
    </row>
    <row r="2885" spans="1:40" x14ac:dyDescent="0.25">
      <c r="A2885" t="str">
        <f>"20190312160349893"</f>
        <v>20190312160349893</v>
      </c>
      <c r="B2885" t="str">
        <f>"1552377829887719"</f>
        <v>1552377829887719</v>
      </c>
      <c r="C2885" t="s">
        <v>40</v>
      </c>
      <c r="D2885">
        <v>5.7103359999999999</v>
      </c>
      <c r="E2885">
        <v>0.41459489999999999</v>
      </c>
      <c r="F2885" t="s">
        <v>59</v>
      </c>
      <c r="G2885">
        <v>-495.59890000000001</v>
      </c>
      <c r="H2885" s="1">
        <v>9.6117200000000008E-7</v>
      </c>
      <c r="I2885">
        <v>272.87880000000001</v>
      </c>
      <c r="J2885">
        <v>-489.8784</v>
      </c>
      <c r="K2885">
        <v>1.1188340000000001</v>
      </c>
      <c r="L2885">
        <v>279.84249999999997</v>
      </c>
      <c r="M2885">
        <v>-0.82643709999999904</v>
      </c>
      <c r="N2885">
        <v>0</v>
      </c>
      <c r="O2885">
        <v>-0.56286400000000003</v>
      </c>
      <c r="P2885">
        <v>-0.79333209999999998</v>
      </c>
      <c r="Q2885">
        <v>2.6897620000000001E-3</v>
      </c>
      <c r="R2885">
        <v>-0.60878369999999904</v>
      </c>
      <c r="S2885">
        <v>-1.9648129999999999</v>
      </c>
      <c r="T2885">
        <v>-0.37795000000000001</v>
      </c>
      <c r="U2885">
        <v>-2.3769230000000001</v>
      </c>
      <c r="V2885">
        <v>-5.6927419999999999E-2</v>
      </c>
      <c r="W2885">
        <v>1.5087339999999999E-2</v>
      </c>
      <c r="X2885">
        <v>0.99826429999999999</v>
      </c>
      <c r="Y2885">
        <v>-0.2798522</v>
      </c>
      <c r="Z2885">
        <v>5.425377E-2</v>
      </c>
      <c r="AA2885">
        <v>0.95850880000000005</v>
      </c>
      <c r="AB2885">
        <v>25</v>
      </c>
      <c r="AC2885">
        <v>-5.7205000000000101</v>
      </c>
      <c r="AD2885">
        <v>-1.1188330388279999</v>
      </c>
      <c r="AE2885">
        <v>-6.9636999999999496</v>
      </c>
      <c r="AF2885">
        <v>-2.4969471033209998</v>
      </c>
      <c r="AG2885">
        <v>-1.1188330388279999</v>
      </c>
      <c r="AH2885">
        <v>8.5167853174465993</v>
      </c>
      <c r="AI2885">
        <v>97.184914391959694</v>
      </c>
      <c r="AJ2885">
        <v>106.340057020839</v>
      </c>
      <c r="AK2885">
        <v>8.9455108489694606</v>
      </c>
      <c r="AL2885">
        <v>89.135526283163699</v>
      </c>
      <c r="AM2885">
        <v>93.263837134503007</v>
      </c>
      <c r="AN2885">
        <v>0.99999998581531002</v>
      </c>
    </row>
    <row r="2886" spans="1:40" x14ac:dyDescent="0.25">
      <c r="A2886" t="str">
        <f>"20190312160349904"</f>
        <v>20190312160349904</v>
      </c>
      <c r="B2886" t="str">
        <f>"1552377829897480"</f>
        <v>1552377829897480</v>
      </c>
      <c r="C2886" t="s">
        <v>40</v>
      </c>
      <c r="D2886">
        <v>5.7008970000000003</v>
      </c>
      <c r="E2886">
        <v>0.41495110000000002</v>
      </c>
      <c r="F2886" t="s">
        <v>59</v>
      </c>
      <c r="G2886">
        <v>-495.63549999999998</v>
      </c>
      <c r="H2886" s="1">
        <v>9.4298830000000003E-7</v>
      </c>
      <c r="I2886">
        <v>272.79399999999998</v>
      </c>
      <c r="J2886">
        <v>-489.9753</v>
      </c>
      <c r="K2886">
        <v>1.118884</v>
      </c>
      <c r="L2886">
        <v>279.76839999999999</v>
      </c>
      <c r="M2886">
        <v>-0.82266609999999996</v>
      </c>
      <c r="N2886">
        <v>0</v>
      </c>
      <c r="O2886">
        <v>-0.56836070000000005</v>
      </c>
      <c r="P2886">
        <v>-0.78915659999999999</v>
      </c>
      <c r="Q2886">
        <v>2.5691300000000002E-3</v>
      </c>
      <c r="R2886">
        <v>-0.61418709999999999</v>
      </c>
      <c r="S2886">
        <v>-1.9503779999999999</v>
      </c>
      <c r="T2886">
        <v>-0.37904009999999999</v>
      </c>
      <c r="U2886">
        <v>-2.3879090000000001</v>
      </c>
      <c r="V2886">
        <v>-5.7088409999999999E-2</v>
      </c>
      <c r="W2886">
        <v>1.4974339999999999E-2</v>
      </c>
      <c r="X2886">
        <v>0.99825680000000006</v>
      </c>
      <c r="Y2886">
        <v>-0.27912799999999999</v>
      </c>
      <c r="Z2886">
        <v>5.5196080000000002E-2</v>
      </c>
      <c r="AA2886">
        <v>0.95866620000000002</v>
      </c>
      <c r="AB2886">
        <v>25</v>
      </c>
      <c r="AC2886">
        <v>-5.6601999999999704</v>
      </c>
      <c r="AD2886">
        <v>-1.1188830570116901</v>
      </c>
      <c r="AE2886">
        <v>-6.9743999999999398</v>
      </c>
      <c r="AF2886">
        <v>-2.4822852332118099</v>
      </c>
      <c r="AG2886">
        <v>-1.1188830570116901</v>
      </c>
      <c r="AH2886">
        <v>8.4895037903727602</v>
      </c>
      <c r="AI2886">
        <v>97.209589751067</v>
      </c>
      <c r="AJ2886">
        <v>106.29863586808899</v>
      </c>
      <c r="AK2886">
        <v>8.9154536553695802</v>
      </c>
      <c r="AL2886">
        <v>89.142001431201805</v>
      </c>
      <c r="AM2886">
        <v>93.273071721361802</v>
      </c>
      <c r="AN2886">
        <v>0.99999997808050101</v>
      </c>
    </row>
    <row r="2887" spans="1:40" x14ac:dyDescent="0.25">
      <c r="A2887" t="str">
        <f>"20190312160349916"</f>
        <v>20190312160349916</v>
      </c>
      <c r="B2887" t="str">
        <f>"1552377829907241"</f>
        <v>1552377829907241</v>
      </c>
      <c r="C2887" t="s">
        <v>40</v>
      </c>
      <c r="D2887">
        <v>5.6830939999999996</v>
      </c>
      <c r="E2887">
        <v>0.4152574</v>
      </c>
      <c r="F2887" t="s">
        <v>59</v>
      </c>
      <c r="G2887">
        <v>-495.69060000000002</v>
      </c>
      <c r="H2887" s="1">
        <v>9.1897479999999997E-7</v>
      </c>
      <c r="I2887">
        <v>272.68540000000002</v>
      </c>
      <c r="J2887">
        <v>-490.06819999999999</v>
      </c>
      <c r="K2887">
        <v>1.1189309999999999</v>
      </c>
      <c r="L2887">
        <v>279.69589999999999</v>
      </c>
      <c r="M2887">
        <v>-0.81895969999999996</v>
      </c>
      <c r="N2887">
        <v>0</v>
      </c>
      <c r="O2887">
        <v>-0.57368790000000003</v>
      </c>
      <c r="P2887">
        <v>-0.78511359999999997</v>
      </c>
      <c r="Q2887">
        <v>2.6004719999999999E-3</v>
      </c>
      <c r="R2887">
        <v>-0.61934630000000002</v>
      </c>
      <c r="S2887">
        <v>-1.9356990000000001</v>
      </c>
      <c r="T2887">
        <v>-0.37895849999999998</v>
      </c>
      <c r="U2887">
        <v>-2.3989560000000001</v>
      </c>
      <c r="V2887">
        <v>-5.7155959999999999E-2</v>
      </c>
      <c r="W2887">
        <v>1.501534E-2</v>
      </c>
      <c r="X2887">
        <v>0.99825229999999998</v>
      </c>
      <c r="Y2887">
        <v>-0.27863480000000002</v>
      </c>
      <c r="Z2887">
        <v>5.5937309999999997E-2</v>
      </c>
      <c r="AA2887">
        <v>0.95876680000000003</v>
      </c>
      <c r="AB2887">
        <v>25</v>
      </c>
      <c r="AC2887">
        <v>-5.6224000000000203</v>
      </c>
      <c r="AD2887">
        <v>-1.1189300810252001</v>
      </c>
      <c r="AE2887">
        <v>-7.0104999999999702</v>
      </c>
      <c r="AF2887">
        <v>-2.4776386407393201</v>
      </c>
      <c r="AG2887">
        <v>-1.1189300810252001</v>
      </c>
      <c r="AH2887">
        <v>8.4954598880689005</v>
      </c>
      <c r="AI2887">
        <v>97.206330483859006</v>
      </c>
      <c r="AJ2887">
        <v>106.25893780959601</v>
      </c>
      <c r="AK2887">
        <v>8.9198394867898401</v>
      </c>
      <c r="AL2887">
        <v>89.139652023914806</v>
      </c>
      <c r="AM2887">
        <v>93.276950896132405</v>
      </c>
      <c r="AN2887">
        <v>0.99999995932706198</v>
      </c>
    </row>
    <row r="2888" spans="1:40" x14ac:dyDescent="0.25">
      <c r="A2888" t="str">
        <f>"20190312160349926"</f>
        <v>20190312160349926</v>
      </c>
      <c r="B2888" t="str">
        <f>"1552377829916999"</f>
        <v>1552377829916999</v>
      </c>
      <c r="C2888" t="s">
        <v>40</v>
      </c>
      <c r="D2888">
        <v>5.6851010000000004</v>
      </c>
      <c r="E2888">
        <v>0.41563280000000002</v>
      </c>
      <c r="F2888" t="s">
        <v>59</v>
      </c>
      <c r="G2888">
        <v>-495.75720000000001</v>
      </c>
      <c r="H2888" s="1">
        <v>8.9100179999999999E-7</v>
      </c>
      <c r="I2888">
        <v>272.56020000000001</v>
      </c>
      <c r="J2888">
        <v>-490.16770000000002</v>
      </c>
      <c r="K2888">
        <v>1.118981</v>
      </c>
      <c r="L2888">
        <v>279.61779999999999</v>
      </c>
      <c r="M2888">
        <v>-0.81493190000000004</v>
      </c>
      <c r="N2888">
        <v>0</v>
      </c>
      <c r="O2888">
        <v>-0.57939510000000005</v>
      </c>
      <c r="P2888">
        <v>-0.78067739999999997</v>
      </c>
      <c r="Q2888">
        <v>2.8366089999999999E-3</v>
      </c>
      <c r="R2888">
        <v>-0.62492829999999999</v>
      </c>
      <c r="S2888">
        <v>-1.921295</v>
      </c>
      <c r="T2888">
        <v>-0.37788890000000003</v>
      </c>
      <c r="U2888">
        <v>-2.4099119999999998</v>
      </c>
      <c r="V2888">
        <v>-5.7307120000000003E-2</v>
      </c>
      <c r="W2888">
        <v>1.525993E-2</v>
      </c>
      <c r="X2888">
        <v>0.99824000000000002</v>
      </c>
      <c r="Y2888">
        <v>-0.27757900000000002</v>
      </c>
      <c r="Z2888">
        <v>5.6609689999999997E-2</v>
      </c>
      <c r="AA2888">
        <v>0.95903349999999998</v>
      </c>
      <c r="AB2888">
        <v>25</v>
      </c>
      <c r="AC2888">
        <v>-5.5894999999999797</v>
      </c>
      <c r="AD2888">
        <v>-1.1189801089982001</v>
      </c>
      <c r="AE2888">
        <v>-7.0575999999999697</v>
      </c>
      <c r="AF2888">
        <v>-2.4749363773209798</v>
      </c>
      <c r="AG2888">
        <v>-1.1189801089982001</v>
      </c>
      <c r="AH2888">
        <v>8.5134917310981795</v>
      </c>
      <c r="AI2888">
        <v>97.1933317754428</v>
      </c>
      <c r="AJ2888">
        <v>106.209547002411</v>
      </c>
      <c r="AK2888">
        <v>8.9362726016834007</v>
      </c>
      <c r="AL2888">
        <v>89.125636508447997</v>
      </c>
      <c r="AM2888">
        <v>93.285638860659205</v>
      </c>
      <c r="AN2888">
        <v>1.0000000345331399</v>
      </c>
    </row>
    <row r="2889" spans="1:40" x14ac:dyDescent="0.25">
      <c r="A2889" t="str">
        <f>"20190312160349937"</f>
        <v>20190312160349937</v>
      </c>
      <c r="B2889" t="str">
        <f>"1552377829927736"</f>
        <v>1552377829927736</v>
      </c>
      <c r="C2889" t="s">
        <v>40</v>
      </c>
      <c r="D2889">
        <v>5.6626699999999897</v>
      </c>
      <c r="E2889">
        <v>0.4159679</v>
      </c>
      <c r="F2889" t="s">
        <v>59</v>
      </c>
      <c r="G2889">
        <v>-495.82440000000003</v>
      </c>
      <c r="H2889" s="1">
        <v>8.6236230000000003E-7</v>
      </c>
      <c r="I2889">
        <v>272.4314</v>
      </c>
      <c r="J2889">
        <v>-490.25729999999999</v>
      </c>
      <c r="K2889">
        <v>1.1190199999999999</v>
      </c>
      <c r="L2889">
        <v>279.54570000000001</v>
      </c>
      <c r="M2889">
        <v>-0.81119459999999999</v>
      </c>
      <c r="N2889">
        <v>0</v>
      </c>
      <c r="O2889">
        <v>-0.58461560000000001</v>
      </c>
      <c r="P2889">
        <v>-0.77660309999999999</v>
      </c>
      <c r="Q2889">
        <v>3.0343739999999998E-3</v>
      </c>
      <c r="R2889">
        <v>-0.62998330000000002</v>
      </c>
      <c r="S2889">
        <v>-1.9058839999999999</v>
      </c>
      <c r="T2889">
        <v>-0.3770134</v>
      </c>
      <c r="U2889">
        <v>-2.4212950000000002</v>
      </c>
      <c r="V2889">
        <v>-5.7384520000000001E-2</v>
      </c>
      <c r="W2889">
        <v>1.5466850000000001E-2</v>
      </c>
      <c r="X2889">
        <v>0.99823229999999996</v>
      </c>
      <c r="Y2889">
        <v>-0.27739029999999998</v>
      </c>
      <c r="Z2889">
        <v>5.7200059999999997E-2</v>
      </c>
      <c r="AA2889">
        <v>0.95905300000000004</v>
      </c>
      <c r="AB2889">
        <v>25</v>
      </c>
      <c r="AC2889">
        <v>-5.5671000000000301</v>
      </c>
      <c r="AD2889">
        <v>-1.1190191376376999</v>
      </c>
      <c r="AE2889">
        <v>-7.1143000000000098</v>
      </c>
      <c r="AF2889">
        <v>-2.47867067682804</v>
      </c>
      <c r="AG2889">
        <v>-1.1190191376376999</v>
      </c>
      <c r="AH2889">
        <v>8.5448310236424998</v>
      </c>
      <c r="AI2889">
        <v>97.168666790151406</v>
      </c>
      <c r="AJ2889">
        <v>106.17630099594</v>
      </c>
      <c r="AK2889">
        <v>8.9671706450345798</v>
      </c>
      <c r="AL2889">
        <v>89.113779405696604</v>
      </c>
      <c r="AM2889">
        <v>93.290092082707304</v>
      </c>
      <c r="AN2889">
        <v>0.99999996567392002</v>
      </c>
    </row>
    <row r="2890" spans="1:40" x14ac:dyDescent="0.25">
      <c r="A2890" t="str">
        <f>"20190312160349949"</f>
        <v>20190312160349949</v>
      </c>
      <c r="B2890" t="str">
        <f>"1552377829937496"</f>
        <v>1552377829937496</v>
      </c>
      <c r="C2890" t="s">
        <v>40</v>
      </c>
      <c r="D2890">
        <v>5.6353780000000002</v>
      </c>
      <c r="E2890">
        <v>0.41630499999999998</v>
      </c>
      <c r="F2890" t="s">
        <v>59</v>
      </c>
      <c r="G2890">
        <v>-495.88369999999998</v>
      </c>
      <c r="H2890" s="1">
        <v>8.3669529999999997E-7</v>
      </c>
      <c r="I2890">
        <v>272.31549999999999</v>
      </c>
      <c r="J2890">
        <v>-490.35419999999999</v>
      </c>
      <c r="K2890">
        <v>1.1190659999999999</v>
      </c>
      <c r="L2890">
        <v>279.46719999999999</v>
      </c>
      <c r="M2890">
        <v>-0.80710079999999995</v>
      </c>
      <c r="N2890">
        <v>0</v>
      </c>
      <c r="O2890">
        <v>-0.59025380000000005</v>
      </c>
      <c r="P2890">
        <v>-0.77236459999999996</v>
      </c>
      <c r="Q2890">
        <v>3.1486470000000001E-3</v>
      </c>
      <c r="R2890">
        <v>-0.63517179999999995</v>
      </c>
      <c r="S2890">
        <v>-1.89209</v>
      </c>
      <c r="T2890">
        <v>-0.37631379999999998</v>
      </c>
      <c r="U2890">
        <v>-2.4314269999999998</v>
      </c>
      <c r="V2890">
        <v>-5.7121180000000001E-2</v>
      </c>
      <c r="W2890">
        <v>1.559844E-2</v>
      </c>
      <c r="X2890">
        <v>0.99824539999999995</v>
      </c>
      <c r="Y2890">
        <v>-0.2760493</v>
      </c>
      <c r="Z2890">
        <v>5.7928479999999997E-2</v>
      </c>
      <c r="AA2890">
        <v>0.95939620000000003</v>
      </c>
      <c r="AB2890">
        <v>25</v>
      </c>
      <c r="AC2890">
        <v>-5.5294999999999801</v>
      </c>
      <c r="AD2890">
        <v>-1.1190651633047</v>
      </c>
      <c r="AE2890">
        <v>-7.1516999999999999</v>
      </c>
      <c r="AF2890">
        <v>-2.4707101180186601</v>
      </c>
      <c r="AG2890">
        <v>-1.1190651633047</v>
      </c>
      <c r="AH2890">
        <v>8.5539217721752898</v>
      </c>
      <c r="AI2890">
        <v>97.163764270631006</v>
      </c>
      <c r="AJ2890">
        <v>106.110804110834</v>
      </c>
      <c r="AK2890">
        <v>8.9736443550820795</v>
      </c>
      <c r="AL2890">
        <v>89.106238983376898</v>
      </c>
      <c r="AM2890">
        <v>93.274983766603697</v>
      </c>
      <c r="AN2890">
        <v>1.0000000095780901</v>
      </c>
    </row>
    <row r="2891" spans="1:40" x14ac:dyDescent="0.25">
      <c r="A2891" t="str">
        <f>"20190312160349960"</f>
        <v>20190312160349960</v>
      </c>
      <c r="B2891" t="str">
        <f>"1552377829947256"</f>
        <v>1552377829947256</v>
      </c>
      <c r="C2891" t="s">
        <v>40</v>
      </c>
      <c r="D2891">
        <v>5.6361549999999996</v>
      </c>
      <c r="E2891">
        <v>0.41647030000000002</v>
      </c>
      <c r="F2891" t="s">
        <v>59</v>
      </c>
      <c r="G2891">
        <v>-495.9366</v>
      </c>
      <c r="H2891" s="1">
        <v>8.1255759999999999E-7</v>
      </c>
      <c r="I2891">
        <v>272.20499999999998</v>
      </c>
      <c r="J2891">
        <v>-490.44529999999997</v>
      </c>
      <c r="K2891">
        <v>1.119111</v>
      </c>
      <c r="L2891">
        <v>279.39190000000002</v>
      </c>
      <c r="M2891">
        <v>-0.80314929999999995</v>
      </c>
      <c r="N2891">
        <v>0</v>
      </c>
      <c r="O2891">
        <v>-0.59561919999999902</v>
      </c>
      <c r="P2891">
        <v>-0.76813790000000004</v>
      </c>
      <c r="Q2891">
        <v>2.8679930000000001E-3</v>
      </c>
      <c r="R2891">
        <v>-0.64027829999999997</v>
      </c>
      <c r="S2891">
        <v>-1.877289</v>
      </c>
      <c r="T2891">
        <v>-0.3763319</v>
      </c>
      <c r="U2891">
        <v>-2.4422000000000001</v>
      </c>
      <c r="V2891">
        <v>-5.7082380000000002E-2</v>
      </c>
      <c r="W2891">
        <v>1.533002E-2</v>
      </c>
      <c r="X2891">
        <v>0.99825180000000002</v>
      </c>
      <c r="Y2891">
        <v>-0.27537319999999998</v>
      </c>
      <c r="Z2891">
        <v>5.8694490000000002E-2</v>
      </c>
      <c r="AA2891">
        <v>0.95954390000000001</v>
      </c>
      <c r="AB2891">
        <v>25</v>
      </c>
      <c r="AC2891">
        <v>-5.4913000000000203</v>
      </c>
      <c r="AD2891">
        <v>-1.1191101874424001</v>
      </c>
      <c r="AE2891">
        <v>-7.1869000000000298</v>
      </c>
      <c r="AF2891">
        <v>-2.4639446107102598</v>
      </c>
      <c r="AG2891">
        <v>-1.1191101874424001</v>
      </c>
      <c r="AH2891">
        <v>8.5607498585931303</v>
      </c>
      <c r="AI2891">
        <v>97.160319755894406</v>
      </c>
      <c r="AJ2891">
        <v>106.05681237811901</v>
      </c>
      <c r="AK2891">
        <v>8.9782998834794903</v>
      </c>
      <c r="AL2891">
        <v>89.121620175286594</v>
      </c>
      <c r="AM2891">
        <v>93.272743109247699</v>
      </c>
      <c r="AN2891">
        <v>1.0000000319114499</v>
      </c>
    </row>
    <row r="2892" spans="1:40" x14ac:dyDescent="0.25">
      <c r="A2892" t="str">
        <f>"20190312160349971"</f>
        <v>20190312160349971</v>
      </c>
      <c r="B2892" t="str">
        <f>"1552377829967752"</f>
        <v>1552377829967752</v>
      </c>
      <c r="C2892" t="s">
        <v>40</v>
      </c>
      <c r="D2892">
        <v>5.578214</v>
      </c>
      <c r="E2892">
        <v>0.41696800000000001</v>
      </c>
      <c r="F2892" t="s">
        <v>59</v>
      </c>
      <c r="G2892">
        <v>-496.00240000000002</v>
      </c>
      <c r="H2892" s="1">
        <v>7.8248870000000001E-7</v>
      </c>
      <c r="I2892">
        <v>272.0675</v>
      </c>
      <c r="J2892">
        <v>-490.54070000000002</v>
      </c>
      <c r="K2892">
        <v>1.1191580000000001</v>
      </c>
      <c r="L2892">
        <v>279.31220000000002</v>
      </c>
      <c r="M2892">
        <v>-0.79894080000000001</v>
      </c>
      <c r="N2892">
        <v>0</v>
      </c>
      <c r="O2892">
        <v>-0.60125220000000001</v>
      </c>
      <c r="P2892">
        <v>-0.76372739999999995</v>
      </c>
      <c r="Q2892">
        <v>2.987478E-3</v>
      </c>
      <c r="R2892">
        <v>-0.64553229999999995</v>
      </c>
      <c r="S2892">
        <v>-1.861664</v>
      </c>
      <c r="T2892">
        <v>-0.37490899999999999</v>
      </c>
      <c r="U2892">
        <v>-2.453735</v>
      </c>
      <c r="V2892">
        <v>-5.6914720000000002E-2</v>
      </c>
      <c r="W2892">
        <v>1.5465420000000001E-2</v>
      </c>
      <c r="X2892">
        <v>0.99825920000000001</v>
      </c>
      <c r="Y2892">
        <v>-0.27468150000000002</v>
      </c>
      <c r="Z2892">
        <v>5.9268439999999999E-2</v>
      </c>
      <c r="AA2892">
        <v>0.95970690000000003</v>
      </c>
      <c r="AB2892">
        <v>25</v>
      </c>
      <c r="AC2892">
        <v>-5.4617000000000004</v>
      </c>
      <c r="AD2892">
        <v>-1.1191572175113</v>
      </c>
      <c r="AE2892">
        <v>-7.2447000000000203</v>
      </c>
      <c r="AF2892">
        <v>-2.4669278213304899</v>
      </c>
      <c r="AG2892">
        <v>-1.1191572175113</v>
      </c>
      <c r="AH2892">
        <v>8.5895938520529</v>
      </c>
      <c r="AI2892">
        <v>97.137981944225601</v>
      </c>
      <c r="AJ2892">
        <v>106.024043824654</v>
      </c>
      <c r="AK2892">
        <v>9.0066291306119108</v>
      </c>
      <c r="AL2892">
        <v>89.113861332338402</v>
      </c>
      <c r="AM2892">
        <v>93.263127210024706</v>
      </c>
      <c r="AN2892">
        <v>0.99999994747654597</v>
      </c>
    </row>
    <row r="2893" spans="1:40" x14ac:dyDescent="0.25">
      <c r="A2893" t="str">
        <f>"20190312160349986"</f>
        <v>20190312160349986</v>
      </c>
      <c r="B2893" t="str">
        <f>"1552377829977511"</f>
        <v>1552377829977511</v>
      </c>
      <c r="C2893" t="s">
        <v>40</v>
      </c>
      <c r="D2893">
        <v>5.4802220000000004</v>
      </c>
      <c r="E2893">
        <v>0.41731259999999998</v>
      </c>
      <c r="F2893" t="s">
        <v>59</v>
      </c>
      <c r="G2893">
        <v>-496.08890000000002</v>
      </c>
      <c r="H2893" s="1">
        <v>7.47602E-7</v>
      </c>
      <c r="I2893">
        <v>271.91289999999998</v>
      </c>
      <c r="J2893">
        <v>-490.65940000000001</v>
      </c>
      <c r="K2893">
        <v>1.1192089999999999</v>
      </c>
      <c r="L2893">
        <v>279.2115</v>
      </c>
      <c r="M2893">
        <v>-0.79358890000000004</v>
      </c>
      <c r="N2893">
        <v>0</v>
      </c>
      <c r="O2893">
        <v>-0.60829820000000001</v>
      </c>
      <c r="P2893">
        <v>-0.75830240000000004</v>
      </c>
      <c r="Q2893">
        <v>3.044518E-3</v>
      </c>
      <c r="R2893">
        <v>-0.65189629999999998</v>
      </c>
      <c r="S2893">
        <v>-1.847229</v>
      </c>
      <c r="T2893">
        <v>-0.3726159</v>
      </c>
      <c r="U2893">
        <v>-2.4635310000000001</v>
      </c>
      <c r="V2893">
        <v>-5.6432919999999998E-2</v>
      </c>
      <c r="W2893">
        <v>1.5548380000000001E-2</v>
      </c>
      <c r="X2893">
        <v>0.99828530000000004</v>
      </c>
      <c r="Y2893">
        <v>-0.27162999999999998</v>
      </c>
      <c r="Z2893">
        <v>6.0017220000000003E-2</v>
      </c>
      <c r="AA2893">
        <v>0.96052859999999995</v>
      </c>
      <c r="AB2893">
        <v>25</v>
      </c>
      <c r="AC2893">
        <v>-5.4295000000000098</v>
      </c>
      <c r="AD2893">
        <v>-1.119208252398</v>
      </c>
      <c r="AE2893">
        <v>-7.29860000000002</v>
      </c>
      <c r="AF2893">
        <v>-2.4524450452312898</v>
      </c>
      <c r="AG2893">
        <v>-1.119208252398</v>
      </c>
      <c r="AH2893">
        <v>8.6188775382209002</v>
      </c>
      <c r="AI2893">
        <v>97.119244168262298</v>
      </c>
      <c r="AJ2893">
        <v>105.88335508845</v>
      </c>
      <c r="AK2893">
        <v>9.0306236678849601</v>
      </c>
      <c r="AL2893">
        <v>89.109107534618303</v>
      </c>
      <c r="AM2893">
        <v>93.235478395447998</v>
      </c>
      <c r="AN2893">
        <v>0.99999998338822005</v>
      </c>
    </row>
    <row r="2894" spans="1:40" x14ac:dyDescent="0.25">
      <c r="A2894" t="str">
        <f>"20190312160349998"</f>
        <v>20190312160349998</v>
      </c>
      <c r="B2894" t="str">
        <f>"1552377829987271"</f>
        <v>1552377829987271</v>
      </c>
      <c r="C2894" t="s">
        <v>40</v>
      </c>
      <c r="D2894">
        <v>5.4839890000000002</v>
      </c>
      <c r="E2894">
        <v>0.41766399999999998</v>
      </c>
      <c r="F2894" t="s">
        <v>59</v>
      </c>
      <c r="G2894">
        <v>-496.13389999999998</v>
      </c>
      <c r="H2894" s="1">
        <v>7.2271079999999998E-7</v>
      </c>
      <c r="I2894">
        <v>271.79430000000002</v>
      </c>
      <c r="J2894">
        <v>-490.76780000000002</v>
      </c>
      <c r="K2894">
        <v>1.1192530000000001</v>
      </c>
      <c r="L2894">
        <v>279.11720000000003</v>
      </c>
      <c r="M2894">
        <v>-0.78855719999999996</v>
      </c>
      <c r="N2894">
        <v>0</v>
      </c>
      <c r="O2894">
        <v>-0.61480619999999997</v>
      </c>
      <c r="P2894">
        <v>-0.75310459999999901</v>
      </c>
      <c r="Q2894">
        <v>3.0374080000000001E-3</v>
      </c>
      <c r="R2894">
        <v>-0.65789409999999904</v>
      </c>
      <c r="S2894">
        <v>-1.828217</v>
      </c>
      <c r="T2894">
        <v>-0.3737606</v>
      </c>
      <c r="U2894">
        <v>-2.4769899999999998</v>
      </c>
      <c r="V2894">
        <v>-5.6144909999999999E-2</v>
      </c>
      <c r="W2894">
        <v>1.5561729999999999E-2</v>
      </c>
      <c r="X2894">
        <v>0.99830129999999995</v>
      </c>
      <c r="Y2894">
        <v>-0.27102110000000001</v>
      </c>
      <c r="Z2894">
        <v>6.1109440000000001E-2</v>
      </c>
      <c r="AA2894">
        <v>0.96063169999999998</v>
      </c>
      <c r="AB2894">
        <v>25</v>
      </c>
      <c r="AC2894">
        <v>-5.3660999999999603</v>
      </c>
      <c r="AD2894">
        <v>-1.1192522772892</v>
      </c>
      <c r="AE2894">
        <v>-7.3228999999999997</v>
      </c>
      <c r="AF2894">
        <v>-2.4385854355305199</v>
      </c>
      <c r="AG2894">
        <v>-1.1192522772892</v>
      </c>
      <c r="AH2894">
        <v>8.6037043802221191</v>
      </c>
      <c r="AI2894">
        <v>97.134005426756204</v>
      </c>
      <c r="AJ2894">
        <v>105.82455200234899</v>
      </c>
      <c r="AK2894">
        <v>9.0123888980032305</v>
      </c>
      <c r="AL2894">
        <v>89.108342515378894</v>
      </c>
      <c r="AM2894">
        <v>93.218949198965305</v>
      </c>
      <c r="AN2894">
        <v>0.99999995197059399</v>
      </c>
    </row>
    <row r="2895" spans="1:40" x14ac:dyDescent="0.25">
      <c r="A2895" t="str">
        <f>"20190312160350010"</f>
        <v>20190312160350010</v>
      </c>
      <c r="B2895" t="str">
        <f>"1552377830007768"</f>
        <v>1552377830007768</v>
      </c>
      <c r="C2895" t="s">
        <v>40</v>
      </c>
      <c r="D2895">
        <v>5.4611429999999999</v>
      </c>
      <c r="E2895">
        <v>0.41841430000000002</v>
      </c>
      <c r="F2895" t="s">
        <v>59</v>
      </c>
      <c r="G2895">
        <v>-496.1807</v>
      </c>
      <c r="H2895" s="1">
        <v>6.9714959999999904E-7</v>
      </c>
      <c r="I2895">
        <v>271.67270000000002</v>
      </c>
      <c r="J2895">
        <v>-490.86290000000002</v>
      </c>
      <c r="K2895">
        <v>1.1192959999999901</v>
      </c>
      <c r="L2895">
        <v>279.03379999999999</v>
      </c>
      <c r="M2895">
        <v>-0.78406549999999997</v>
      </c>
      <c r="N2895">
        <v>0</v>
      </c>
      <c r="O2895">
        <v>-0.62052419999999997</v>
      </c>
      <c r="P2895">
        <v>-0.74843510000000002</v>
      </c>
      <c r="Q2895">
        <v>2.9268710000000002E-3</v>
      </c>
      <c r="R2895">
        <v>-0.66320199999999996</v>
      </c>
      <c r="S2895">
        <v>-1.810181</v>
      </c>
      <c r="T2895">
        <v>-0.3742991</v>
      </c>
      <c r="U2895">
        <v>-2.4895939999999999</v>
      </c>
      <c r="V2895">
        <v>-5.5942199999999997E-2</v>
      </c>
      <c r="W2895">
        <v>1.546781E-2</v>
      </c>
      <c r="X2895">
        <v>0.99831420000000004</v>
      </c>
      <c r="Y2895">
        <v>-0.27091859999999901</v>
      </c>
      <c r="Z2895">
        <v>6.1976450000000002E-2</v>
      </c>
      <c r="AA2895">
        <v>0.96060500000000004</v>
      </c>
      <c r="AB2895">
        <v>25</v>
      </c>
      <c r="AC2895">
        <v>-5.3177999999999699</v>
      </c>
      <c r="AD2895">
        <v>-1.11929530285039</v>
      </c>
      <c r="AE2895">
        <v>-7.3610999999999596</v>
      </c>
      <c r="AF2895">
        <v>-2.4350039802821799</v>
      </c>
      <c r="AG2895">
        <v>-1.11929530285039</v>
      </c>
      <c r="AH2895">
        <v>8.6073146828891698</v>
      </c>
      <c r="AI2895">
        <v>97.132305104174193</v>
      </c>
      <c r="AJ2895">
        <v>105.796175266267</v>
      </c>
      <c r="AK2895">
        <v>9.0148728448743292</v>
      </c>
      <c r="AL2895">
        <v>89.113724436585002</v>
      </c>
      <c r="AM2895">
        <v>93.207310201230499</v>
      </c>
      <c r="AN2895">
        <v>1.00000001240433</v>
      </c>
    </row>
    <row r="2896" spans="1:40" x14ac:dyDescent="0.25">
      <c r="A2896" t="str">
        <f>"20190312160350021"</f>
        <v>20190312160350021</v>
      </c>
      <c r="B2896" t="str">
        <f>"1552377830017528"</f>
        <v>1552377830017528</v>
      </c>
      <c r="C2896" t="s">
        <v>40</v>
      </c>
      <c r="D2896">
        <v>5.4639819999999997</v>
      </c>
      <c r="E2896">
        <v>0.4181106</v>
      </c>
      <c r="F2896" t="s">
        <v>59</v>
      </c>
      <c r="G2896">
        <v>-496.17750000000001</v>
      </c>
      <c r="H2896" s="1">
        <v>6.9225429999999995E-7</v>
      </c>
      <c r="I2896">
        <v>271.64319999999998</v>
      </c>
      <c r="J2896">
        <v>-490.9513</v>
      </c>
      <c r="K2896">
        <v>1.119327</v>
      </c>
      <c r="L2896">
        <v>278.95479999999998</v>
      </c>
      <c r="M2896">
        <v>-0.77980099999999997</v>
      </c>
      <c r="N2896">
        <v>0</v>
      </c>
      <c r="O2896">
        <v>-0.62587429999999999</v>
      </c>
      <c r="P2896">
        <v>-0.74413219999999902</v>
      </c>
      <c r="Q2896">
        <v>3.1980049999999999E-3</v>
      </c>
      <c r="R2896">
        <v>-0.66802459999999997</v>
      </c>
      <c r="S2896">
        <v>-1.7963260000000001</v>
      </c>
      <c r="T2896">
        <v>-0.37832640000000001</v>
      </c>
      <c r="U2896">
        <v>-2.4980159999999998</v>
      </c>
      <c r="V2896">
        <v>-5.5571120000000002E-2</v>
      </c>
      <c r="W2896">
        <v>1.5757690000000001E-2</v>
      </c>
      <c r="X2896">
        <v>0.99833039999999995</v>
      </c>
      <c r="Y2896">
        <v>-0.26944559999999901</v>
      </c>
      <c r="Z2896">
        <v>6.3461379999999998E-2</v>
      </c>
      <c r="AA2896">
        <v>0.96092230000000001</v>
      </c>
      <c r="AB2896">
        <v>25</v>
      </c>
      <c r="AC2896">
        <v>-5.2262000000000004</v>
      </c>
      <c r="AD2896">
        <v>-1.1193263077457001</v>
      </c>
      <c r="AE2896">
        <v>-7.3115999999999897</v>
      </c>
      <c r="AF2896">
        <v>-2.39375154068088</v>
      </c>
      <c r="AG2896">
        <v>-1.1193263077457001</v>
      </c>
      <c r="AH2896">
        <v>8.5202083889868998</v>
      </c>
      <c r="AI2896">
        <v>97.2082878485528</v>
      </c>
      <c r="AJ2896">
        <v>105.692701567241</v>
      </c>
      <c r="AK2896">
        <v>8.9205879186007895</v>
      </c>
      <c r="AL2896">
        <v>89.097113519164097</v>
      </c>
      <c r="AM2896">
        <v>93.186027612587793</v>
      </c>
      <c r="AN2896">
        <v>1.0000000208681701</v>
      </c>
    </row>
    <row r="2897" spans="1:40" x14ac:dyDescent="0.25">
      <c r="A2897" t="str">
        <f>"20190312160350032"</f>
        <v>20190312160350032</v>
      </c>
      <c r="B2897" t="str">
        <f>"1552377830027288"</f>
        <v>1552377830027288</v>
      </c>
      <c r="C2897" t="s">
        <v>40</v>
      </c>
      <c r="D2897">
        <v>5.6109910000000003</v>
      </c>
      <c r="E2897">
        <v>0.4181106</v>
      </c>
      <c r="F2897" t="s">
        <v>59</v>
      </c>
      <c r="G2897">
        <v>-496.2706</v>
      </c>
      <c r="H2897" s="1">
        <v>6.4716399999999903E-7</v>
      </c>
      <c r="I2897">
        <v>271.44709999999998</v>
      </c>
      <c r="J2897">
        <v>-491.03579999999999</v>
      </c>
      <c r="K2897">
        <v>1.1193580000000001</v>
      </c>
      <c r="L2897">
        <v>278.87830000000002</v>
      </c>
      <c r="M2897">
        <v>-0.77565139999999999</v>
      </c>
      <c r="N2897">
        <v>0</v>
      </c>
      <c r="O2897">
        <v>-0.6310093</v>
      </c>
      <c r="P2897">
        <v>-0.73990669999999903</v>
      </c>
      <c r="Q2897">
        <v>3.0314420000000001E-3</v>
      </c>
      <c r="R2897">
        <v>-0.67270280000000005</v>
      </c>
      <c r="S2897">
        <v>-1.7790220000000001</v>
      </c>
      <c r="T2897">
        <v>-0.37435069999999998</v>
      </c>
      <c r="U2897">
        <v>-2.5108950000000001</v>
      </c>
      <c r="V2897">
        <v>-5.527087E-2</v>
      </c>
      <c r="W2897">
        <v>1.560798E-2</v>
      </c>
      <c r="X2897">
        <v>0.99834940000000005</v>
      </c>
      <c r="Y2897">
        <v>-0.2698084</v>
      </c>
      <c r="Z2897">
        <v>6.3463549999999994E-2</v>
      </c>
      <c r="AA2897">
        <v>0.96082040000000002</v>
      </c>
      <c r="AB2897">
        <v>25</v>
      </c>
      <c r="AC2897">
        <v>-5.2347999999999999</v>
      </c>
      <c r="AD2897">
        <v>-1.1193573528359999</v>
      </c>
      <c r="AE2897">
        <v>-7.4312000000000404</v>
      </c>
      <c r="AF2897">
        <v>-2.4242871364401699</v>
      </c>
      <c r="AG2897">
        <v>-1.1193573528359999</v>
      </c>
      <c r="AH2897">
        <v>8.6196661338921299</v>
      </c>
      <c r="AI2897">
        <v>97.125618110916307</v>
      </c>
      <c r="AJ2897">
        <v>105.708675011583</v>
      </c>
      <c r="AK2897">
        <v>9.0237892962449102</v>
      </c>
      <c r="AL2897">
        <v>89.105692307687605</v>
      </c>
      <c r="AM2897">
        <v>93.168788541245306</v>
      </c>
      <c r="AN2897">
        <v>1.0000000012952901</v>
      </c>
    </row>
    <row r="2898" spans="1:40" x14ac:dyDescent="0.25">
      <c r="A2898" t="str">
        <f>"20190312160350043"</f>
        <v>20190312160350043</v>
      </c>
      <c r="B2898" t="str">
        <f>"1552377830037052"</f>
        <v>1552377830037052</v>
      </c>
      <c r="C2898" t="s">
        <v>40</v>
      </c>
      <c r="D2898">
        <v>5.7392099999999999</v>
      </c>
      <c r="E2898">
        <v>0.38361000000000001</v>
      </c>
      <c r="F2898" t="s">
        <v>59</v>
      </c>
      <c r="G2898">
        <v>-496.30540000000002</v>
      </c>
      <c r="H2898" s="1">
        <v>6.0902739999999999E-7</v>
      </c>
      <c r="I2898">
        <v>271.33920000000001</v>
      </c>
      <c r="J2898">
        <v>-491.13069999999999</v>
      </c>
      <c r="K2898">
        <v>1.119389</v>
      </c>
      <c r="L2898">
        <v>278.79109999999997</v>
      </c>
      <c r="M2898">
        <v>-0.77090040000000004</v>
      </c>
      <c r="N2898">
        <v>0</v>
      </c>
      <c r="O2898">
        <v>-0.63680479999999995</v>
      </c>
      <c r="P2898">
        <v>-0.73504749999999996</v>
      </c>
      <c r="Q2898">
        <v>3.1205640000000002E-3</v>
      </c>
      <c r="R2898">
        <v>-0.67800859999999996</v>
      </c>
      <c r="S2898">
        <v>-1.7629699999999999</v>
      </c>
      <c r="T2898">
        <v>-0.37448389999999998</v>
      </c>
      <c r="U2898">
        <v>-2.5222169999999999</v>
      </c>
      <c r="V2898">
        <v>-5.4975139999999999E-2</v>
      </c>
      <c r="W2898">
        <v>1.571525E-2</v>
      </c>
      <c r="X2898">
        <v>0.99836400000000003</v>
      </c>
      <c r="Y2898">
        <v>-0.26875710000000003</v>
      </c>
      <c r="Z2898">
        <v>6.4316219999999993E-2</v>
      </c>
      <c r="AA2898">
        <v>0.96105830000000003</v>
      </c>
      <c r="AB2898">
        <v>25</v>
      </c>
      <c r="AC2898">
        <v>-5.1747000000000298</v>
      </c>
      <c r="AD2898">
        <v>-1.1193883909725999</v>
      </c>
      <c r="AE2898">
        <v>-7.4518999999999602</v>
      </c>
      <c r="AF2898">
        <v>-2.4129012584524401</v>
      </c>
      <c r="AG2898">
        <v>-1.1193883909725999</v>
      </c>
      <c r="AH2898">
        <v>8.6044330167012095</v>
      </c>
      <c r="AI2898">
        <v>97.139816975528603</v>
      </c>
      <c r="AJ2898">
        <v>105.664843688484</v>
      </c>
      <c r="AK2898">
        <v>9.0061862290196597</v>
      </c>
      <c r="AL2898">
        <v>89.099545394535198</v>
      </c>
      <c r="AM2898">
        <v>93.151822030495794</v>
      </c>
      <c r="AN2898">
        <v>0.99999995579829004</v>
      </c>
    </row>
    <row r="2899" spans="1:40" x14ac:dyDescent="0.25">
      <c r="A2899" t="str">
        <f>"20190312160350055"</f>
        <v>20190312160350055</v>
      </c>
      <c r="B2899" t="str">
        <f>"1552377830047784"</f>
        <v>1552377830047784</v>
      </c>
      <c r="C2899" t="s">
        <v>40</v>
      </c>
      <c r="D2899">
        <v>5.5615610000000002</v>
      </c>
      <c r="E2899">
        <v>0.37729839999999998</v>
      </c>
      <c r="F2899" t="s">
        <v>41</v>
      </c>
      <c r="G2899">
        <v>-498.08170000000001</v>
      </c>
      <c r="H2899" s="1">
        <v>-4.7184980000000002E-6</v>
      </c>
      <c r="I2899">
        <v>266.6397</v>
      </c>
      <c r="J2899">
        <v>-491.21780000000001</v>
      </c>
      <c r="K2899">
        <v>1.119415</v>
      </c>
      <c r="L2899">
        <v>278.7097</v>
      </c>
      <c r="M2899">
        <v>-0.76645169999999996</v>
      </c>
      <c r="N2899">
        <v>0</v>
      </c>
      <c r="O2899">
        <v>-0.64215199999999995</v>
      </c>
      <c r="P2899">
        <v>-0.73060719999999901</v>
      </c>
      <c r="Q2899">
        <v>3.0196440000000001E-3</v>
      </c>
      <c r="R2899">
        <v>-0.6827915</v>
      </c>
      <c r="S2899">
        <v>-1.5626530000000001</v>
      </c>
      <c r="T2899">
        <v>-0.25165149999999997</v>
      </c>
      <c r="U2899">
        <v>-2.7317499999999999</v>
      </c>
      <c r="V2899">
        <v>-5.4545320000000001E-2</v>
      </c>
      <c r="W2899">
        <v>1.5634680000000001E-2</v>
      </c>
      <c r="X2899">
        <v>0.99838890000000002</v>
      </c>
      <c r="Y2899">
        <v>-0.34698959999999901</v>
      </c>
      <c r="Z2899">
        <v>4.0284800000000003E-2</v>
      </c>
      <c r="AA2899">
        <v>0.93700340000000004</v>
      </c>
      <c r="AB2899">
        <v>25</v>
      </c>
      <c r="AC2899">
        <v>-6.8639000000000001</v>
      </c>
      <c r="AD2899">
        <v>-1.1194197184979999</v>
      </c>
      <c r="AE2899">
        <v>-12.069999999999901</v>
      </c>
      <c r="AF2899">
        <v>-4.8125917112865499</v>
      </c>
      <c r="AG2899">
        <v>-1.1194197184979999</v>
      </c>
      <c r="AH2899">
        <v>12.9288439912791</v>
      </c>
      <c r="AI2899">
        <v>94.639032485653004</v>
      </c>
      <c r="AJ2899">
        <v>110.417119216551</v>
      </c>
      <c r="AK2899">
        <v>13.840850639918701</v>
      </c>
      <c r="AL2899">
        <v>89.104162336321906</v>
      </c>
      <c r="AM2899">
        <v>93.127150953696699</v>
      </c>
      <c r="AN2899">
        <v>1.0000000153979001</v>
      </c>
    </row>
    <row r="2900" spans="1:40" x14ac:dyDescent="0.25">
      <c r="A2900" t="str">
        <f>"20190312160350066"</f>
        <v>20190312160350066</v>
      </c>
      <c r="B2900" t="str">
        <f>"1552377830057543"</f>
        <v>1552377830057543</v>
      </c>
      <c r="C2900" t="s">
        <v>40</v>
      </c>
      <c r="D2900">
        <v>5.5749700000000004</v>
      </c>
      <c r="E2900">
        <v>0.37206889999999998</v>
      </c>
      <c r="F2900" t="s">
        <v>41</v>
      </c>
      <c r="G2900">
        <v>-497.71980000000002</v>
      </c>
      <c r="H2900" s="1">
        <v>-4.689639E-6</v>
      </c>
      <c r="I2900">
        <v>266.74360000000001</v>
      </c>
      <c r="J2900">
        <v>-491.3057</v>
      </c>
      <c r="K2900">
        <v>1.119442</v>
      </c>
      <c r="L2900">
        <v>278.62689999999998</v>
      </c>
      <c r="M2900">
        <v>-0.76189659999999904</v>
      </c>
      <c r="N2900">
        <v>0</v>
      </c>
      <c r="O2900">
        <v>-0.64754969999999901</v>
      </c>
      <c r="P2900">
        <v>-0.72608509999999904</v>
      </c>
      <c r="Q2900">
        <v>3.1628979999999999E-3</v>
      </c>
      <c r="R2900">
        <v>-0.68759789999999998</v>
      </c>
      <c r="S2900">
        <v>-1.51004</v>
      </c>
      <c r="T2900">
        <v>-0.25997779999999998</v>
      </c>
      <c r="U2900">
        <v>-2.7790530000000002</v>
      </c>
      <c r="V2900">
        <v>-5.4086250000000002E-2</v>
      </c>
      <c r="W2900">
        <v>1.5799170000000001E-2</v>
      </c>
      <c r="X2900">
        <v>0.9984113</v>
      </c>
      <c r="Y2900">
        <v>-0.3608287</v>
      </c>
      <c r="Z2900">
        <v>4.1437099999999998E-2</v>
      </c>
      <c r="AA2900">
        <v>0.93171110000000001</v>
      </c>
      <c r="AB2900">
        <v>25</v>
      </c>
      <c r="AC2900">
        <v>-6.4141000000000101</v>
      </c>
      <c r="AD2900">
        <v>-1.1194466896390001</v>
      </c>
      <c r="AE2900">
        <v>-11.883299999999901</v>
      </c>
      <c r="AF2900">
        <v>-4.8674205351897299</v>
      </c>
      <c r="AG2900">
        <v>-1.1194466896390001</v>
      </c>
      <c r="AH2900">
        <v>12.4972394661484</v>
      </c>
      <c r="AI2900">
        <v>94.771311762011806</v>
      </c>
      <c r="AJ2900">
        <v>111.279901547273</v>
      </c>
      <c r="AK2900">
        <v>13.458303675857</v>
      </c>
      <c r="AL2900">
        <v>89.094736602731302</v>
      </c>
      <c r="AM2900">
        <v>93.1008140460455</v>
      </c>
      <c r="AN2900">
        <v>1.00000003008972</v>
      </c>
    </row>
    <row r="2901" spans="1:40" x14ac:dyDescent="0.25">
      <c r="A2901" t="str">
        <f>"20190312160350078"</f>
        <v>20190312160350078</v>
      </c>
      <c r="B2901" t="str">
        <f>"1552377830067305"</f>
        <v>1552377830067305</v>
      </c>
      <c r="C2901" t="s">
        <v>40</v>
      </c>
      <c r="D2901">
        <v>5.5724589999999896</v>
      </c>
      <c r="E2901">
        <v>0.36899530000000003</v>
      </c>
      <c r="F2901" t="s">
        <v>41</v>
      </c>
      <c r="G2901">
        <v>-497.75549999999998</v>
      </c>
      <c r="H2901" s="1">
        <v>-4.51144799999999E-6</v>
      </c>
      <c r="I2901">
        <v>266.20139999999998</v>
      </c>
      <c r="J2901">
        <v>-491.39760000000001</v>
      </c>
      <c r="K2901">
        <v>1.119459</v>
      </c>
      <c r="L2901">
        <v>278.53820000000002</v>
      </c>
      <c r="M2901">
        <v>-0.75701580000000002</v>
      </c>
      <c r="N2901">
        <v>0</v>
      </c>
      <c r="O2901">
        <v>-0.6532483</v>
      </c>
      <c r="P2901">
        <v>-0.72094919999999996</v>
      </c>
      <c r="Q2901">
        <v>3.096681E-3</v>
      </c>
      <c r="R2901">
        <v>-0.69298110000000002</v>
      </c>
      <c r="S2901">
        <v>-1.463287</v>
      </c>
      <c r="T2901">
        <v>-0.25397409999999998</v>
      </c>
      <c r="U2901">
        <v>-2.8190309999999998</v>
      </c>
      <c r="V2901">
        <v>-5.4022500000000001E-2</v>
      </c>
      <c r="W2901">
        <v>1.5745769999999999E-2</v>
      </c>
      <c r="X2901">
        <v>0.99841559999999996</v>
      </c>
      <c r="Y2901">
        <v>-0.37142350000000002</v>
      </c>
      <c r="Z2901">
        <v>4.0485670000000001E-2</v>
      </c>
      <c r="AA2901">
        <v>0.92758050000000003</v>
      </c>
      <c r="AB2901">
        <v>25</v>
      </c>
      <c r="AC2901">
        <v>-6.3578999999999697</v>
      </c>
      <c r="AD2901">
        <v>-1.119463511448</v>
      </c>
      <c r="AE2901">
        <v>-12.3368</v>
      </c>
      <c r="AF2901">
        <v>-5.1528427544481596</v>
      </c>
      <c r="AG2901">
        <v>-1.119463511448</v>
      </c>
      <c r="AH2901">
        <v>12.790058281966701</v>
      </c>
      <c r="AI2901">
        <v>94.641382814717502</v>
      </c>
      <c r="AJ2901">
        <v>111.9434582733</v>
      </c>
      <c r="AK2901">
        <v>13.8343983556076</v>
      </c>
      <c r="AL2901">
        <v>89.097796582382202</v>
      </c>
      <c r="AM2901">
        <v>93.097153007140804</v>
      </c>
      <c r="AN2901">
        <v>1.0000000350512499</v>
      </c>
    </row>
    <row r="2902" spans="1:40" x14ac:dyDescent="0.25">
      <c r="A2902" t="str">
        <f>"20190312160350089"</f>
        <v>20190312160350089</v>
      </c>
      <c r="B2902" t="str">
        <f>"1552377830087800"</f>
        <v>1552377830087800</v>
      </c>
      <c r="C2902" t="s">
        <v>40</v>
      </c>
      <c r="D2902">
        <v>5.4947860000000004</v>
      </c>
      <c r="E2902">
        <v>0.36549179999999998</v>
      </c>
      <c r="F2902" t="s">
        <v>41</v>
      </c>
      <c r="G2902">
        <v>-497.73390000000001</v>
      </c>
      <c r="H2902" s="1">
        <v>-4.3961990000000001E-6</v>
      </c>
      <c r="I2902">
        <v>265.87389999999999</v>
      </c>
      <c r="J2902">
        <v>-491.48579999999998</v>
      </c>
      <c r="K2902">
        <v>1.11948</v>
      </c>
      <c r="L2902">
        <v>278.45240000000001</v>
      </c>
      <c r="M2902">
        <v>-0.75226530000000003</v>
      </c>
      <c r="N2902">
        <v>0</v>
      </c>
      <c r="O2902">
        <v>-0.65871329999999995</v>
      </c>
      <c r="P2902">
        <v>-0.71603700000000003</v>
      </c>
      <c r="Q2902">
        <v>3.579091E-3</v>
      </c>
      <c r="R2902">
        <v>-0.69805349999999999</v>
      </c>
      <c r="S2902">
        <v>-1.424866</v>
      </c>
      <c r="T2902">
        <v>-0.25173649999999997</v>
      </c>
      <c r="U2902">
        <v>-2.847839</v>
      </c>
      <c r="V2902">
        <v>-5.3854010000000001E-2</v>
      </c>
      <c r="W2902">
        <v>1.6242090000000001E-2</v>
      </c>
      <c r="X2902">
        <v>0.99841670000000005</v>
      </c>
      <c r="Y2902">
        <v>-0.3784766</v>
      </c>
      <c r="Z2902">
        <v>4.0295959999999999E-2</v>
      </c>
      <c r="AA2902">
        <v>0.92473329999999998</v>
      </c>
      <c r="AB2902">
        <v>25</v>
      </c>
      <c r="AC2902">
        <v>-6.2481000000000204</v>
      </c>
      <c r="AD2902">
        <v>-1.119484396199</v>
      </c>
      <c r="AE2902">
        <v>-12.5785</v>
      </c>
      <c r="AF2902">
        <v>-5.3134223943055003</v>
      </c>
      <c r="AG2902">
        <v>-1.119484396199</v>
      </c>
      <c r="AH2902">
        <v>12.905121225902599</v>
      </c>
      <c r="AI2902">
        <v>94.586122226613497</v>
      </c>
      <c r="AJ2902">
        <v>112.37842277776799</v>
      </c>
      <c r="AK2902">
        <v>14.000994847112899</v>
      </c>
      <c r="AL2902">
        <v>89.069355855810599</v>
      </c>
      <c r="AM2902">
        <v>93.087508664348903</v>
      </c>
      <c r="AN2902">
        <v>0.99999998335976803</v>
      </c>
    </row>
    <row r="2903" spans="1:40" x14ac:dyDescent="0.25">
      <c r="A2903" t="str">
        <f>"20190312160350099"</f>
        <v>20190312160350099</v>
      </c>
      <c r="B2903" t="str">
        <f>"1552377830097559"</f>
        <v>1552377830097559</v>
      </c>
      <c r="C2903" t="s">
        <v>40</v>
      </c>
      <c r="D2903">
        <v>5.5642329999999998</v>
      </c>
      <c r="E2903">
        <v>0.36481669999999999</v>
      </c>
      <c r="F2903" t="s">
        <v>41</v>
      </c>
      <c r="G2903">
        <v>-497.75459999999998</v>
      </c>
      <c r="H2903" s="1">
        <v>-4.248206E-6</v>
      </c>
      <c r="I2903">
        <v>265.42829999999998</v>
      </c>
      <c r="J2903">
        <v>-491.56810000000002</v>
      </c>
      <c r="K2903">
        <v>1.1194949999999999</v>
      </c>
      <c r="L2903">
        <v>278.37079999999997</v>
      </c>
      <c r="M2903">
        <v>-0.74774339999999995</v>
      </c>
      <c r="N2903">
        <v>0</v>
      </c>
      <c r="O2903">
        <v>-0.66384149999999997</v>
      </c>
      <c r="P2903">
        <v>-0.71139240000000004</v>
      </c>
      <c r="Q2903">
        <v>3.8407649999999999E-3</v>
      </c>
      <c r="R2903">
        <v>-0.70278469999999904</v>
      </c>
      <c r="S2903">
        <v>-1.385254</v>
      </c>
      <c r="T2903">
        <v>-0.24737890000000001</v>
      </c>
      <c r="U2903">
        <v>-2.8780209999999999</v>
      </c>
      <c r="V2903">
        <v>-5.3653800000000001E-2</v>
      </c>
      <c r="W2903">
        <v>1.6517190000000001E-2</v>
      </c>
      <c r="X2903">
        <v>0.99842299999999995</v>
      </c>
      <c r="Y2903">
        <v>-0.38628030000000002</v>
      </c>
      <c r="Z2903">
        <v>3.9693430000000002E-2</v>
      </c>
      <c r="AA2903">
        <v>0.92152699999999999</v>
      </c>
      <c r="AB2903">
        <v>25</v>
      </c>
      <c r="AC2903">
        <v>-6.1864999999999597</v>
      </c>
      <c r="AD2903">
        <v>-1.119499248206</v>
      </c>
      <c r="AE2903">
        <v>-12.9424999999999</v>
      </c>
      <c r="AF2903">
        <v>-5.5376286275175097</v>
      </c>
      <c r="AG2903">
        <v>-1.119499248206</v>
      </c>
      <c r="AH2903">
        <v>13.138946484309001</v>
      </c>
      <c r="AI2903">
        <v>94.489424023959103</v>
      </c>
      <c r="AJ2903">
        <v>112.853803737183</v>
      </c>
      <c r="AK2903">
        <v>14.3021160707278</v>
      </c>
      <c r="AL2903">
        <v>89.053591703900295</v>
      </c>
      <c r="AM2903">
        <v>93.076033120248297</v>
      </c>
      <c r="AN2903">
        <v>1.0000000173744601</v>
      </c>
    </row>
    <row r="2904" spans="1:40" x14ac:dyDescent="0.25">
      <c r="A2904" t="str">
        <f>"20190312160350110"</f>
        <v>20190312160350110</v>
      </c>
      <c r="B2904" t="str">
        <f>"1552377830107320"</f>
        <v>1552377830107320</v>
      </c>
      <c r="C2904" t="s">
        <v>40</v>
      </c>
      <c r="D2904">
        <v>5.1287500000000001</v>
      </c>
      <c r="E2904">
        <v>0.36317759999999999</v>
      </c>
      <c r="F2904" t="s">
        <v>41</v>
      </c>
      <c r="G2904">
        <v>-497.76729999999998</v>
      </c>
      <c r="H2904" s="1">
        <v>-4.1777499999999999E-6</v>
      </c>
      <c r="I2904">
        <v>265.21460000000002</v>
      </c>
      <c r="J2904">
        <v>-491.64269999999999</v>
      </c>
      <c r="K2904">
        <v>1.1195059999999999</v>
      </c>
      <c r="L2904">
        <v>278.2962</v>
      </c>
      <c r="M2904">
        <v>-0.74358559999999996</v>
      </c>
      <c r="N2904">
        <v>0</v>
      </c>
      <c r="O2904">
        <v>-0.66849539999999996</v>
      </c>
      <c r="P2904">
        <v>-0.70706619999999998</v>
      </c>
      <c r="Q2904">
        <v>3.8457640000000002E-3</v>
      </c>
      <c r="R2904">
        <v>-0.70713689999999996</v>
      </c>
      <c r="S2904">
        <v>-1.3623050000000001</v>
      </c>
      <c r="T2904">
        <v>-0.24601290000000001</v>
      </c>
      <c r="U2904">
        <v>-2.8911129999999998</v>
      </c>
      <c r="V2904">
        <v>-5.3550010000000002E-2</v>
      </c>
      <c r="W2904">
        <v>1.653292E-2</v>
      </c>
      <c r="X2904">
        <v>0.99842830000000005</v>
      </c>
      <c r="Y2904">
        <v>-0.38812229999999998</v>
      </c>
      <c r="Z2904">
        <v>3.9813080000000001E-2</v>
      </c>
      <c r="AA2904">
        <v>0.92074750000000005</v>
      </c>
      <c r="AB2904">
        <v>25</v>
      </c>
      <c r="AC2904">
        <v>-6.1245999999999796</v>
      </c>
      <c r="AD2904">
        <v>-1.1195101777499901</v>
      </c>
      <c r="AE2904">
        <v>-13.0815999999999</v>
      </c>
      <c r="AF2904">
        <v>-5.5999309252191596</v>
      </c>
      <c r="AG2904">
        <v>-1.1195101777499901</v>
      </c>
      <c r="AH2904">
        <v>13.221027102910201</v>
      </c>
      <c r="AI2904">
        <v>94.458370870708293</v>
      </c>
      <c r="AJ2904">
        <v>112.955692642184</v>
      </c>
      <c r="AK2904">
        <v>14.401669592835299</v>
      </c>
      <c r="AL2904">
        <v>89.052690307093002</v>
      </c>
      <c r="AM2904">
        <v>93.070077850237894</v>
      </c>
      <c r="AN2904">
        <v>1.0000000056278</v>
      </c>
    </row>
    <row r="2905" spans="1:40" x14ac:dyDescent="0.25">
      <c r="A2905" t="str">
        <f>"20190312160350119"</f>
        <v>20190312160350119</v>
      </c>
      <c r="B2905" t="str">
        <f>"1552377830107320"</f>
        <v>1552377830107320</v>
      </c>
      <c r="C2905" t="s">
        <v>40</v>
      </c>
      <c r="D2905">
        <v>5.1287500000000001</v>
      </c>
      <c r="E2905">
        <v>0.36317759999999999</v>
      </c>
      <c r="F2905" t="s">
        <v>41</v>
      </c>
      <c r="G2905">
        <v>-497.96600000000001</v>
      </c>
      <c r="H2905" s="1">
        <v>-3.9807230000000003E-6</v>
      </c>
      <c r="I2905">
        <v>264.53210000000001</v>
      </c>
      <c r="J2905">
        <v>-491.71449999999999</v>
      </c>
      <c r="K2905">
        <v>1.1195170000000001</v>
      </c>
      <c r="L2905">
        <v>278.22309999999999</v>
      </c>
      <c r="M2905">
        <v>-0.73951339999999999</v>
      </c>
      <c r="N2905">
        <v>0</v>
      </c>
      <c r="O2905">
        <v>-0.67299719999999996</v>
      </c>
      <c r="P2905">
        <v>-0.70300390000000001</v>
      </c>
      <c r="Q2905">
        <v>3.7719160000000002E-3</v>
      </c>
      <c r="R2905">
        <v>-0.71117619999999904</v>
      </c>
      <c r="S2905">
        <v>-1.335907</v>
      </c>
      <c r="T2905">
        <v>-0.23651749999999999</v>
      </c>
      <c r="U2905">
        <v>-2.9079280000000001</v>
      </c>
      <c r="V2905">
        <v>-5.3207280000000003E-2</v>
      </c>
      <c r="W2905">
        <v>1.6474280000000001E-2</v>
      </c>
      <c r="X2905">
        <v>0.99844759999999999</v>
      </c>
      <c r="Y2905">
        <v>-0.39143060000000002</v>
      </c>
      <c r="Z2905">
        <v>3.852419E-2</v>
      </c>
      <c r="AA2905">
        <v>0.91940089999999997</v>
      </c>
      <c r="AB2905">
        <v>25</v>
      </c>
      <c r="AC2905">
        <v>-6.2515000000000196</v>
      </c>
      <c r="AD2905">
        <v>-1.119520980723</v>
      </c>
      <c r="AE2905">
        <v>-13.690999999999899</v>
      </c>
      <c r="AF2905">
        <v>-5.8854488084650498</v>
      </c>
      <c r="AG2905">
        <v>-1.119520980723</v>
      </c>
      <c r="AH2905">
        <v>13.762275324868799</v>
      </c>
      <c r="AI2905">
        <v>94.277454763852504</v>
      </c>
      <c r="AJ2905">
        <v>113.154015247373</v>
      </c>
      <c r="AK2905">
        <v>15.0097320769171</v>
      </c>
      <c r="AL2905">
        <v>89.056050596426402</v>
      </c>
      <c r="AM2905">
        <v>93.050407157396904</v>
      </c>
      <c r="AN2905">
        <v>1.00000001324613</v>
      </c>
    </row>
    <row r="2906" spans="1:40" x14ac:dyDescent="0.25">
      <c r="A2906" t="str">
        <f>"20190312160350129"</f>
        <v>20190312160350129</v>
      </c>
      <c r="B2906" t="str">
        <f>"1552377830117080"</f>
        <v>1552377830117080</v>
      </c>
      <c r="C2906" t="s">
        <v>40</v>
      </c>
      <c r="D2906">
        <v>7.2538220000000004</v>
      </c>
      <c r="E2906">
        <v>0.36234529999999998</v>
      </c>
      <c r="F2906" t="s">
        <v>41</v>
      </c>
      <c r="G2906">
        <v>-497.97550000000001</v>
      </c>
      <c r="H2906" s="1">
        <v>-3.9313029999999998E-6</v>
      </c>
      <c r="I2906">
        <v>264.38189999999997</v>
      </c>
      <c r="J2906">
        <v>-491.78309999999999</v>
      </c>
      <c r="K2906">
        <v>1.119526</v>
      </c>
      <c r="L2906">
        <v>278.15289999999999</v>
      </c>
      <c r="M2906">
        <v>-0.73558380000000001</v>
      </c>
      <c r="N2906">
        <v>0</v>
      </c>
      <c r="O2906">
        <v>-0.67729010000000001</v>
      </c>
      <c r="P2906">
        <v>-0.69903459999999995</v>
      </c>
      <c r="Q2906">
        <v>3.6524050000000001E-3</v>
      </c>
      <c r="R2906">
        <v>-0.71507900000000002</v>
      </c>
      <c r="S2906">
        <v>-1.3189390000000001</v>
      </c>
      <c r="T2906">
        <v>-0.23583699999999999</v>
      </c>
      <c r="U2906">
        <v>-2.9157709999999999</v>
      </c>
      <c r="V2906">
        <v>-5.29516999999999E-2</v>
      </c>
      <c r="W2906">
        <v>1.636748E-2</v>
      </c>
      <c r="X2906">
        <v>0.99846290000000004</v>
      </c>
      <c r="Y2906">
        <v>-0.39144909999999999</v>
      </c>
      <c r="Z2906">
        <v>3.8786389999999997E-2</v>
      </c>
      <c r="AA2906">
        <v>0.91938200000000003</v>
      </c>
      <c r="AB2906">
        <v>25</v>
      </c>
      <c r="AC2906">
        <v>-6.1924000000000197</v>
      </c>
      <c r="AD2906">
        <v>-1.119529931303</v>
      </c>
      <c r="AE2906">
        <v>-13.771000000000001</v>
      </c>
      <c r="AF2906">
        <v>-5.90379497426422</v>
      </c>
      <c r="AG2906">
        <v>-1.119529931303</v>
      </c>
      <c r="AH2906">
        <v>13.8074360167926</v>
      </c>
      <c r="AI2906">
        <v>94.263657437819106</v>
      </c>
      <c r="AJ2906">
        <v>113.150623419561</v>
      </c>
      <c r="AK2906">
        <v>15.058334294438099</v>
      </c>
      <c r="AL2906">
        <v>89.062170570028798</v>
      </c>
      <c r="AM2906">
        <v>93.035735635467205</v>
      </c>
      <c r="AN2906">
        <v>0.99999996980542405</v>
      </c>
    </row>
    <row r="2907" spans="1:40" x14ac:dyDescent="0.25">
      <c r="A2907" t="str">
        <f>"20190312160350139"</f>
        <v>20190312160350139</v>
      </c>
      <c r="B2907" t="str">
        <f>"1552377830127816"</f>
        <v>1552377830127816</v>
      </c>
      <c r="C2907" t="s">
        <v>40</v>
      </c>
      <c r="D2907">
        <v>5.5669789999999999</v>
      </c>
      <c r="E2907">
        <v>0.36165370000000002</v>
      </c>
      <c r="F2907" t="s">
        <v>41</v>
      </c>
      <c r="G2907">
        <v>-498.08260000000001</v>
      </c>
      <c r="H2907" s="1">
        <v>-3.8021060000000002E-6</v>
      </c>
      <c r="I2907">
        <v>263.94639999999998</v>
      </c>
      <c r="J2907">
        <v>-491.86509999999998</v>
      </c>
      <c r="K2907">
        <v>1.119537</v>
      </c>
      <c r="L2907">
        <v>278.06720000000001</v>
      </c>
      <c r="M2907">
        <v>-0.73079510000000003</v>
      </c>
      <c r="N2907">
        <v>0</v>
      </c>
      <c r="O2907">
        <v>-0.68245409999999995</v>
      </c>
      <c r="P2907">
        <v>-0.69439459999999997</v>
      </c>
      <c r="Q2907">
        <v>3.5975069999999998E-3</v>
      </c>
      <c r="R2907">
        <v>-0.71958580000000005</v>
      </c>
      <c r="S2907">
        <v>-1.298157</v>
      </c>
      <c r="T2907">
        <v>-0.2307054</v>
      </c>
      <c r="U2907">
        <v>-2.9275820000000001</v>
      </c>
      <c r="V2907">
        <v>-5.237754E-2</v>
      </c>
      <c r="W2907">
        <v>1.633459E-2</v>
      </c>
      <c r="X2907">
        <v>0.99849370000000004</v>
      </c>
      <c r="Y2907">
        <v>-0.39179269999999999</v>
      </c>
      <c r="Z2907">
        <v>3.8349679999999997E-2</v>
      </c>
      <c r="AA2907">
        <v>0.91925389999999996</v>
      </c>
      <c r="AB2907">
        <v>25</v>
      </c>
      <c r="AC2907">
        <v>-6.2175000000000296</v>
      </c>
      <c r="AD2907">
        <v>-1.119540802106</v>
      </c>
      <c r="AE2907">
        <v>-14.120799999999999</v>
      </c>
      <c r="AF2907">
        <v>-6.0450179505006698</v>
      </c>
      <c r="AG2907">
        <v>-1.119540802106</v>
      </c>
      <c r="AH2907">
        <v>14.1076210906137</v>
      </c>
      <c r="AI2907">
        <v>94.171926625624806</v>
      </c>
      <c r="AJ2907">
        <v>113.194797726101</v>
      </c>
      <c r="AK2907">
        <v>15.388976134421201</v>
      </c>
      <c r="AL2907">
        <v>89.064055259107306</v>
      </c>
      <c r="AM2907">
        <v>93.002786998615804</v>
      </c>
      <c r="AN2907">
        <v>0.99999994723330299</v>
      </c>
    </row>
    <row r="2908" spans="1:40" x14ac:dyDescent="0.25">
      <c r="A2908" t="str">
        <f>"20190312160350150"</f>
        <v>20190312160350150</v>
      </c>
      <c r="B2908" t="str">
        <f>"1552377830137576"</f>
        <v>1552377830137576</v>
      </c>
      <c r="C2908" t="s">
        <v>40</v>
      </c>
      <c r="D2908">
        <v>5.5802040000000002</v>
      </c>
      <c r="E2908">
        <v>0.3610775</v>
      </c>
      <c r="F2908" t="s">
        <v>41</v>
      </c>
      <c r="G2908">
        <v>-498.17070000000001</v>
      </c>
      <c r="H2908" s="1">
        <v>-3.6753869999999998E-6</v>
      </c>
      <c r="I2908">
        <v>263.52809999999999</v>
      </c>
      <c r="J2908">
        <v>-491.94349999999997</v>
      </c>
      <c r="K2908">
        <v>1.119542</v>
      </c>
      <c r="L2908">
        <v>277.98469999999998</v>
      </c>
      <c r="M2908">
        <v>-0.72616499999999995</v>
      </c>
      <c r="N2908">
        <v>0</v>
      </c>
      <c r="O2908">
        <v>-0.68737839999999995</v>
      </c>
      <c r="P2908">
        <v>-0.68976749999999998</v>
      </c>
      <c r="Q2908">
        <v>3.7776900000000002E-3</v>
      </c>
      <c r="R2908">
        <v>-0.72402140000000004</v>
      </c>
      <c r="S2908">
        <v>-1.2750239999999999</v>
      </c>
      <c r="T2908">
        <v>-0.22637450000000001</v>
      </c>
      <c r="U2908">
        <v>-2.9398499999999999</v>
      </c>
      <c r="V2908">
        <v>-5.2032660000000001E-2</v>
      </c>
      <c r="W2908">
        <v>1.653054E-2</v>
      </c>
      <c r="X2908">
        <v>0.99850859999999997</v>
      </c>
      <c r="Y2908">
        <v>-0.39305810000000002</v>
      </c>
      <c r="Z2908">
        <v>3.7986569999999997E-2</v>
      </c>
      <c r="AA2908">
        <v>0.91872860000000001</v>
      </c>
      <c r="AB2908">
        <v>25</v>
      </c>
      <c r="AC2908">
        <v>-6.22720000000003</v>
      </c>
      <c r="AD2908">
        <v>-1.1195456753869999</v>
      </c>
      <c r="AE2908">
        <v>-14.4565999999999</v>
      </c>
      <c r="AF2908">
        <v>-6.1867450415802496</v>
      </c>
      <c r="AG2908">
        <v>-1.1195456753869999</v>
      </c>
      <c r="AH2908">
        <v>14.387759305957999</v>
      </c>
      <c r="AI2908">
        <v>94.088765805247206</v>
      </c>
      <c r="AJ2908">
        <v>113.267733511681</v>
      </c>
      <c r="AK2908">
        <v>15.701490839247599</v>
      </c>
      <c r="AL2908">
        <v>89.052826722592002</v>
      </c>
      <c r="AM2908">
        <v>92.983006537710494</v>
      </c>
      <c r="AN2908">
        <v>1.00000004036666</v>
      </c>
    </row>
    <row r="2909" spans="1:40" x14ac:dyDescent="0.25">
      <c r="A2909" t="str">
        <f>"20190312160350161"</f>
        <v>20190312160350161</v>
      </c>
      <c r="B2909" t="str">
        <f>"1552377830157096"</f>
        <v>1552377830157096</v>
      </c>
      <c r="C2909" t="s">
        <v>40</v>
      </c>
      <c r="D2909">
        <v>5.1726700000000001</v>
      </c>
      <c r="E2909">
        <v>0.36024250000000002</v>
      </c>
      <c r="F2909" t="s">
        <v>41</v>
      </c>
      <c r="G2909">
        <v>-498.25790000000001</v>
      </c>
      <c r="H2909" s="1">
        <v>-3.549381E-6</v>
      </c>
      <c r="I2909">
        <v>263.11239999999998</v>
      </c>
      <c r="J2909">
        <v>-492.02809999999999</v>
      </c>
      <c r="K2909">
        <v>1.119545</v>
      </c>
      <c r="L2909">
        <v>277.89389999999997</v>
      </c>
      <c r="M2909">
        <v>-0.72106440000000005</v>
      </c>
      <c r="N2909">
        <v>0</v>
      </c>
      <c r="O2909">
        <v>-0.69272690000000003</v>
      </c>
      <c r="P2909">
        <v>-0.68447860000000005</v>
      </c>
      <c r="Q2909">
        <v>3.2517069999999999E-3</v>
      </c>
      <c r="R2909">
        <v>-0.72902579999999995</v>
      </c>
      <c r="S2909">
        <v>-1.2529300000000001</v>
      </c>
      <c r="T2909">
        <v>-0.22214420000000001</v>
      </c>
      <c r="U2909">
        <v>-2.9510190000000001</v>
      </c>
      <c r="V2909">
        <v>-5.1910739999999997E-2</v>
      </c>
      <c r="W2909">
        <v>1.6014670000000002E-2</v>
      </c>
      <c r="X2909">
        <v>0.9985233</v>
      </c>
      <c r="Y2909">
        <v>-0.39333839999999998</v>
      </c>
      <c r="Z2909">
        <v>3.7695239999999998E-2</v>
      </c>
      <c r="AA2909">
        <v>0.91862069999999996</v>
      </c>
      <c r="AB2909">
        <v>25</v>
      </c>
      <c r="AC2909">
        <v>-6.2298000000000098</v>
      </c>
      <c r="AD2909">
        <v>-1.119548549381</v>
      </c>
      <c r="AE2909">
        <v>-14.7814999999999</v>
      </c>
      <c r="AF2909">
        <v>-6.3127328008148602</v>
      </c>
      <c r="AG2909">
        <v>-1.119548549381</v>
      </c>
      <c r="AH2909">
        <v>14.661649820086099</v>
      </c>
      <c r="AI2909">
        <v>94.011833262361606</v>
      </c>
      <c r="AJ2909">
        <v>113.294820454644</v>
      </c>
      <c r="AK2909">
        <v>16.002123603313901</v>
      </c>
      <c r="AL2909">
        <v>89.082387761204998</v>
      </c>
      <c r="AM2909">
        <v>92.975985770676203</v>
      </c>
      <c r="AN2909">
        <v>0.99999998761272302</v>
      </c>
    </row>
    <row r="2910" spans="1:40" x14ac:dyDescent="0.25">
      <c r="A2910" t="str">
        <f>"20190312160350173"</f>
        <v>20190312160350173</v>
      </c>
      <c r="B2910" t="str">
        <f>"1552377830167832"</f>
        <v>1552377830167832</v>
      </c>
      <c r="C2910" t="s">
        <v>40</v>
      </c>
      <c r="D2910">
        <v>5.6513429999999998</v>
      </c>
      <c r="E2910">
        <v>0.36028009999999999</v>
      </c>
      <c r="F2910" t="s">
        <v>41</v>
      </c>
      <c r="G2910">
        <v>-498.32279999999997</v>
      </c>
      <c r="H2910" s="1">
        <v>-3.4146509999999998E-6</v>
      </c>
      <c r="I2910">
        <v>262.68259999999998</v>
      </c>
      <c r="J2910">
        <v>-492.11470000000003</v>
      </c>
      <c r="K2910">
        <v>1.119542</v>
      </c>
      <c r="L2910">
        <v>277.7996</v>
      </c>
      <c r="M2910">
        <v>-0.71575909999999998</v>
      </c>
      <c r="N2910">
        <v>0</v>
      </c>
      <c r="O2910">
        <v>-0.69820700000000002</v>
      </c>
      <c r="P2910">
        <v>-0.67909129999999995</v>
      </c>
      <c r="Q2910">
        <v>3.027353E-3</v>
      </c>
      <c r="R2910">
        <v>-0.73404769999999997</v>
      </c>
      <c r="S2910">
        <v>-1.226685</v>
      </c>
      <c r="T2910">
        <v>-0.21817239999999999</v>
      </c>
      <c r="U2910">
        <v>-2.9642940000000002</v>
      </c>
      <c r="V2910">
        <v>-5.164332E-2</v>
      </c>
      <c r="W2910">
        <v>1.5804410000000001E-2</v>
      </c>
      <c r="X2910">
        <v>0.99854050000000005</v>
      </c>
      <c r="Y2910">
        <v>-0.39472190000000001</v>
      </c>
      <c r="Z2910">
        <v>3.7406960000000003E-2</v>
      </c>
      <c r="AA2910">
        <v>0.91803889999999999</v>
      </c>
      <c r="AB2910">
        <v>25</v>
      </c>
      <c r="AC2910">
        <v>-6.2080999999999396</v>
      </c>
      <c r="AD2910">
        <v>-1.119545414651</v>
      </c>
      <c r="AE2910">
        <v>-15.117000000000001</v>
      </c>
      <c r="AF2910">
        <v>-6.4559279113929797</v>
      </c>
      <c r="AG2910">
        <v>-1.119545414651</v>
      </c>
      <c r="AH2910">
        <v>14.929700694314899</v>
      </c>
      <c r="AI2910">
        <v>93.937364081790406</v>
      </c>
      <c r="AJ2910">
        <v>113.384707392438</v>
      </c>
      <c r="AK2910">
        <v>16.3042433113099</v>
      </c>
      <c r="AL2910">
        <v>89.094436281858904</v>
      </c>
      <c r="AM2910">
        <v>92.960631314582301</v>
      </c>
      <c r="AN2910">
        <v>0.99999997100815896</v>
      </c>
    </row>
    <row r="2911" spans="1:40" x14ac:dyDescent="0.25">
      <c r="A2911" t="str">
        <f>"20190312160350184"</f>
        <v>20190312160350184</v>
      </c>
      <c r="B2911" t="str">
        <f>"1552377830177592"</f>
        <v>1552377830177592</v>
      </c>
      <c r="C2911" t="s">
        <v>40</v>
      </c>
      <c r="D2911">
        <v>4.0222160000000002</v>
      </c>
      <c r="E2911">
        <v>0.36032069999999999</v>
      </c>
      <c r="F2911" t="s">
        <v>41</v>
      </c>
      <c r="G2911">
        <v>-498.2731</v>
      </c>
      <c r="H2911" s="1">
        <v>-3.3810439999999998E-6</v>
      </c>
      <c r="I2911">
        <v>262.60980000000001</v>
      </c>
      <c r="J2911">
        <v>-492.19540000000001</v>
      </c>
      <c r="K2911">
        <v>1.1195389999999901</v>
      </c>
      <c r="L2911">
        <v>277.71080000000001</v>
      </c>
      <c r="M2911">
        <v>-0.71075239999999995</v>
      </c>
      <c r="N2911">
        <v>0</v>
      </c>
      <c r="O2911">
        <v>-0.70330309999999996</v>
      </c>
      <c r="P2911">
        <v>-0.67390469999999902</v>
      </c>
      <c r="Q2911">
        <v>2.6033110000000001E-3</v>
      </c>
      <c r="R2911">
        <v>-0.73881399999999997</v>
      </c>
      <c r="S2911">
        <v>-1.205292</v>
      </c>
      <c r="T2911">
        <v>-0.2191119</v>
      </c>
      <c r="U2911">
        <v>-2.9728699999999999</v>
      </c>
      <c r="V2911">
        <v>-5.153319E-2</v>
      </c>
      <c r="W2911">
        <v>1.5389140000000001E-2</v>
      </c>
      <c r="X2911">
        <v>0.99855269999999996</v>
      </c>
      <c r="Y2911">
        <v>-0.39476080000000002</v>
      </c>
      <c r="Z2911">
        <v>3.7985789999999998E-2</v>
      </c>
      <c r="AA2911">
        <v>0.91799839999999999</v>
      </c>
      <c r="AB2911">
        <v>25</v>
      </c>
      <c r="AC2911">
        <v>-6.0776999999999903</v>
      </c>
      <c r="AD2911">
        <v>-1.1195423810439999</v>
      </c>
      <c r="AE2911">
        <v>-15.101000000000001</v>
      </c>
      <c r="AF2911">
        <v>-6.4288300512068997</v>
      </c>
      <c r="AG2911">
        <v>-1.1195423810439999</v>
      </c>
      <c r="AH2911">
        <v>14.871439285754199</v>
      </c>
      <c r="AI2911">
        <v>93.952913698883094</v>
      </c>
      <c r="AJ2911">
        <v>113.37852592148499</v>
      </c>
      <c r="AK2911">
        <v>16.2401643279903</v>
      </c>
      <c r="AL2911">
        <v>89.118232416716097</v>
      </c>
      <c r="AM2911">
        <v>92.954292898305198</v>
      </c>
      <c r="AN2911">
        <v>0.99999999498940195</v>
      </c>
    </row>
    <row r="2912" spans="1:40" x14ac:dyDescent="0.25">
      <c r="A2912" t="str">
        <f>"20190312160350195"</f>
        <v>20190312160350195</v>
      </c>
      <c r="B2912" t="str">
        <f>"1552377830187352"</f>
        <v>1552377830187352</v>
      </c>
      <c r="C2912" t="s">
        <v>40</v>
      </c>
      <c r="D2912">
        <v>5.6092680000000001</v>
      </c>
      <c r="E2912">
        <v>0.36024020000000001</v>
      </c>
      <c r="F2912" t="s">
        <v>41</v>
      </c>
      <c r="G2912">
        <v>-498.24220000000003</v>
      </c>
      <c r="H2912" s="1">
        <v>-3.3338659999999999E-6</v>
      </c>
      <c r="I2912">
        <v>262.4873</v>
      </c>
      <c r="J2912">
        <v>-492.27109999999999</v>
      </c>
      <c r="K2912">
        <v>1.1195379999999999</v>
      </c>
      <c r="L2912">
        <v>277.62569999999999</v>
      </c>
      <c r="M2912">
        <v>-0.70596139999999996</v>
      </c>
      <c r="N2912">
        <v>0</v>
      </c>
      <c r="O2912">
        <v>-0.70811190000000002</v>
      </c>
      <c r="P2912">
        <v>-0.66916149999999996</v>
      </c>
      <c r="Q2912">
        <v>1.908557E-3</v>
      </c>
      <c r="R2912">
        <v>-0.74311490000000002</v>
      </c>
      <c r="S2912">
        <v>-1.1841429999999999</v>
      </c>
      <c r="T2912">
        <v>-0.21923909999999999</v>
      </c>
      <c r="U2912">
        <v>-2.981201</v>
      </c>
      <c r="V2912">
        <v>-5.1131360000000001E-2</v>
      </c>
      <c r="W2912">
        <v>1.4709720000000001E-2</v>
      </c>
      <c r="X2912">
        <v>0.99858360000000002</v>
      </c>
      <c r="Y2912">
        <v>-0.39503359999999998</v>
      </c>
      <c r="Z2912">
        <v>3.8397029999999999E-2</v>
      </c>
      <c r="AA2912">
        <v>0.91786389999999995</v>
      </c>
      <c r="AB2912">
        <v>25</v>
      </c>
      <c r="AC2912">
        <v>-5.9711000000000301</v>
      </c>
      <c r="AD2912">
        <v>-1.1195413338660001</v>
      </c>
      <c r="AE2912">
        <v>-15.138399999999899</v>
      </c>
      <c r="AF2912">
        <v>-6.4291243268757503</v>
      </c>
      <c r="AG2912">
        <v>-1.1195413338660001</v>
      </c>
      <c r="AH2912">
        <v>14.866152458757099</v>
      </c>
      <c r="AI2912">
        <v>93.954062156688906</v>
      </c>
      <c r="AJ2912">
        <v>113.386902489951</v>
      </c>
      <c r="AK2912">
        <v>16.235439671769601</v>
      </c>
      <c r="AL2912">
        <v>89.157164728617502</v>
      </c>
      <c r="AM2912">
        <v>92.931206588108495</v>
      </c>
      <c r="AN2912">
        <v>0.99999999901344305</v>
      </c>
    </row>
    <row r="2913" spans="1:40" x14ac:dyDescent="0.25">
      <c r="A2913" t="str">
        <f>"20190312160350205"</f>
        <v>20190312160350205</v>
      </c>
      <c r="B2913" t="str">
        <f>"1552377830197113"</f>
        <v>1552377830197113</v>
      </c>
      <c r="C2913" t="s">
        <v>40</v>
      </c>
      <c r="D2913">
        <v>3.6884610000000002</v>
      </c>
      <c r="E2913">
        <v>0.36038629999999999</v>
      </c>
      <c r="F2913" t="s">
        <v>41</v>
      </c>
      <c r="G2913">
        <v>-498.21629999999999</v>
      </c>
      <c r="H2913" s="1">
        <v>-3.2878289999999998E-6</v>
      </c>
      <c r="I2913">
        <v>262.3655</v>
      </c>
      <c r="J2913">
        <v>-492.35070000000002</v>
      </c>
      <c r="K2913">
        <v>1.1195379999999999</v>
      </c>
      <c r="L2913">
        <v>277.53570000000002</v>
      </c>
      <c r="M2913">
        <v>-0.70087180000000004</v>
      </c>
      <c r="N2913">
        <v>0</v>
      </c>
      <c r="O2913">
        <v>-0.713149699999999</v>
      </c>
      <c r="P2913">
        <v>-0.6641184</v>
      </c>
      <c r="Q2913">
        <v>1.707692E-3</v>
      </c>
      <c r="R2913">
        <v>-0.74762550000000005</v>
      </c>
      <c r="S2913">
        <v>-1.16449</v>
      </c>
      <c r="T2913">
        <v>-0.21928719999999999</v>
      </c>
      <c r="U2913">
        <v>-2.9890439999999998</v>
      </c>
      <c r="V2913">
        <v>-5.0731520000000002E-2</v>
      </c>
      <c r="W2913">
        <v>1.452377E-2</v>
      </c>
      <c r="X2913">
        <v>0.99860669999999996</v>
      </c>
      <c r="Y2913">
        <v>-0.394515</v>
      </c>
      <c r="Z2913">
        <v>3.8833199999999998E-2</v>
      </c>
      <c r="AA2913">
        <v>0.91806860000000001</v>
      </c>
      <c r="AB2913">
        <v>25</v>
      </c>
      <c r="AC2913">
        <v>-5.8655999999999704</v>
      </c>
      <c r="AD2913">
        <v>-1.1195412878290001</v>
      </c>
      <c r="AE2913">
        <v>-15.170199999999999</v>
      </c>
      <c r="AF2913">
        <v>-6.4195320689045001</v>
      </c>
      <c r="AG2913">
        <v>-1.1195412878290001</v>
      </c>
      <c r="AH2913">
        <v>14.860713216956601</v>
      </c>
      <c r="AI2913">
        <v>93.956204296575805</v>
      </c>
      <c r="AJ2913">
        <v>113.36338258785101</v>
      </c>
      <c r="AK2913">
        <v>16.226662071894999</v>
      </c>
      <c r="AL2913">
        <v>89.167820004782399</v>
      </c>
      <c r="AM2913">
        <v>92.908257313829907</v>
      </c>
      <c r="AN2913">
        <v>0.99999998415070601</v>
      </c>
    </row>
    <row r="2914" spans="1:40" x14ac:dyDescent="0.25">
      <c r="A2914" t="str">
        <f>"20190312160350216"</f>
        <v>20190312160350216</v>
      </c>
      <c r="B2914" t="str">
        <f>"1552377830207849"</f>
        <v>1552377830207849</v>
      </c>
      <c r="C2914" t="s">
        <v>40</v>
      </c>
      <c r="D2914">
        <v>5.8465109999999996</v>
      </c>
      <c r="E2914">
        <v>0.36038629999999999</v>
      </c>
      <c r="F2914" t="s">
        <v>41</v>
      </c>
      <c r="G2914">
        <v>-498.18740000000003</v>
      </c>
      <c r="H2914" s="1">
        <v>-3.247759E-6</v>
      </c>
      <c r="I2914">
        <v>262.26280000000003</v>
      </c>
      <c r="J2914">
        <v>-492.42849999999999</v>
      </c>
      <c r="K2914">
        <v>1.1195329999999999</v>
      </c>
      <c r="L2914">
        <v>277.44569999999999</v>
      </c>
      <c r="M2914">
        <v>-0.69579579999999996</v>
      </c>
      <c r="N2914">
        <v>0</v>
      </c>
      <c r="O2914">
        <v>-0.71810309999999999</v>
      </c>
      <c r="P2914">
        <v>-0.6593523</v>
      </c>
      <c r="Q2914">
        <v>1.2483889999999999E-3</v>
      </c>
      <c r="R2914">
        <v>-0.75183339999999999</v>
      </c>
      <c r="S2914">
        <v>-1.144989</v>
      </c>
      <c r="T2914">
        <v>-0.2196234</v>
      </c>
      <c r="U2914">
        <v>-2.996124</v>
      </c>
      <c r="V2914">
        <v>-4.9986599999999999E-2</v>
      </c>
      <c r="W2914">
        <v>1.4087509999999999E-2</v>
      </c>
      <c r="X2914">
        <v>0.99865060000000005</v>
      </c>
      <c r="Y2914">
        <v>-0.39394069999999998</v>
      </c>
      <c r="Z2914">
        <v>3.9322580000000003E-2</v>
      </c>
      <c r="AA2914">
        <v>0.91829430000000001</v>
      </c>
      <c r="AB2914">
        <v>25</v>
      </c>
      <c r="AC2914">
        <v>-5.7589000000000397</v>
      </c>
      <c r="AD2914">
        <v>-1.1195362477589901</v>
      </c>
      <c r="AE2914">
        <v>-15.182899999999901</v>
      </c>
      <c r="AF2914">
        <v>-6.3989289921264199</v>
      </c>
      <c r="AG2914">
        <v>-1.1195362477589901</v>
      </c>
      <c r="AH2914">
        <v>14.840826343454101</v>
      </c>
      <c r="AI2914">
        <v>93.962634015917601</v>
      </c>
      <c r="AJ2914">
        <v>113.32428829259</v>
      </c>
      <c r="AK2914">
        <v>16.20030185561</v>
      </c>
      <c r="AL2914">
        <v>89.192818489154007</v>
      </c>
      <c r="AM2914">
        <v>92.865499650535497</v>
      </c>
      <c r="AN2914">
        <v>1.0000000694989499</v>
      </c>
    </row>
    <row r="2915" spans="1:40" x14ac:dyDescent="0.25">
      <c r="A2915" t="str">
        <f>"20190312160350228"</f>
        <v>20190312160350228</v>
      </c>
      <c r="B2915" t="str">
        <f>"1552377830217608"</f>
        <v>1552377830217608</v>
      </c>
      <c r="C2915" t="s">
        <v>40</v>
      </c>
      <c r="D2915">
        <v>5.5379250000000004</v>
      </c>
      <c r="E2915">
        <v>0.3453522</v>
      </c>
      <c r="F2915" t="s">
        <v>41</v>
      </c>
      <c r="G2915">
        <v>-498.15260000000001</v>
      </c>
      <c r="H2915" s="1">
        <v>-3.2095969999999999E-6</v>
      </c>
      <c r="I2915">
        <v>262.16879999999998</v>
      </c>
      <c r="J2915">
        <v>-492.50630000000001</v>
      </c>
      <c r="K2915">
        <v>1.119526</v>
      </c>
      <c r="L2915">
        <v>277.35520000000002</v>
      </c>
      <c r="M2915">
        <v>-0.69066870000000002</v>
      </c>
      <c r="N2915">
        <v>0</v>
      </c>
      <c r="O2915">
        <v>-0.72303530000000005</v>
      </c>
      <c r="P2915">
        <v>-0.65439700000000001</v>
      </c>
      <c r="Q2915">
        <v>1.2069209999999999E-3</v>
      </c>
      <c r="R2915">
        <v>-0.7561504</v>
      </c>
      <c r="S2915">
        <v>-1.125427</v>
      </c>
      <c r="T2915">
        <v>-0.22011539999999999</v>
      </c>
      <c r="U2915">
        <v>-3.0036320000000001</v>
      </c>
      <c r="V2915">
        <v>-4.9443760000000003E-2</v>
      </c>
      <c r="W2915">
        <v>1.4064149999999999E-2</v>
      </c>
      <c r="X2915">
        <v>0.99867790000000001</v>
      </c>
      <c r="Y2915">
        <v>-0.3934068</v>
      </c>
      <c r="Z2915">
        <v>3.9833060000000003E-2</v>
      </c>
      <c r="AA2915">
        <v>0.91850120000000002</v>
      </c>
      <c r="AB2915">
        <v>25</v>
      </c>
      <c r="AC2915">
        <v>-5.6462999999999903</v>
      </c>
      <c r="AD2915">
        <v>-1.119529209597</v>
      </c>
      <c r="AE2915">
        <v>-15.186400000000001</v>
      </c>
      <c r="AF2915">
        <v>-6.3764824804867803</v>
      </c>
      <c r="AG2915">
        <v>-1.119529209597</v>
      </c>
      <c r="AH2915">
        <v>14.810775377012799</v>
      </c>
      <c r="AI2915">
        <v>93.971545228081894</v>
      </c>
      <c r="AJ2915">
        <v>113.293325906115</v>
      </c>
      <c r="AK2915">
        <v>16.163908615907999</v>
      </c>
      <c r="AL2915">
        <v>89.194157008637902</v>
      </c>
      <c r="AM2915">
        <v>92.834354821896994</v>
      </c>
      <c r="AN2915">
        <v>1.0000000168332801</v>
      </c>
    </row>
    <row r="2916" spans="1:40" x14ac:dyDescent="0.25">
      <c r="A2916" t="str">
        <f>"20190312160350240"</f>
        <v>20190312160350240</v>
      </c>
      <c r="B2916" t="str">
        <f>"1552377830227368"</f>
        <v>1552377830227368</v>
      </c>
      <c r="C2916" t="s">
        <v>40</v>
      </c>
      <c r="D2916">
        <v>5.5596620000000003</v>
      </c>
      <c r="E2916">
        <v>0.34593160000000001</v>
      </c>
      <c r="F2916" t="s">
        <v>49</v>
      </c>
      <c r="G2916">
        <v>-492.85309999999998</v>
      </c>
      <c r="H2916">
        <v>1.0827020000000001</v>
      </c>
      <c r="I2916">
        <v>276.30799999999999</v>
      </c>
      <c r="J2916">
        <v>-492.58730000000003</v>
      </c>
      <c r="K2916">
        <v>1.1195120000000001</v>
      </c>
      <c r="L2916">
        <v>277.25880000000001</v>
      </c>
      <c r="M2916">
        <v>-0.68522299999999903</v>
      </c>
      <c r="N2916">
        <v>0</v>
      </c>
      <c r="O2916">
        <v>-0.72819820000000002</v>
      </c>
      <c r="P2916">
        <v>-0.64914510000000003</v>
      </c>
      <c r="Q2916">
        <v>9.1550500000000005E-4</v>
      </c>
      <c r="R2916">
        <v>-0.76066409999999995</v>
      </c>
      <c r="S2916">
        <v>-1.020996</v>
      </c>
      <c r="T2916">
        <v>-0.1084348</v>
      </c>
      <c r="U2916">
        <v>-3.0840450000000001</v>
      </c>
      <c r="V2916">
        <v>-4.885772E-2</v>
      </c>
      <c r="W2916">
        <v>1.379143E-2</v>
      </c>
      <c r="X2916">
        <v>0.99871049999999995</v>
      </c>
      <c r="Y2916">
        <v>-0.42174060000000002</v>
      </c>
      <c r="Z2916">
        <v>1.9240569999999999E-2</v>
      </c>
      <c r="AA2916">
        <v>0.9065124</v>
      </c>
      <c r="AB2916">
        <v>25</v>
      </c>
      <c r="AC2916">
        <v>-0.26579999999995602</v>
      </c>
      <c r="AD2916">
        <v>-3.6810000000000002E-2</v>
      </c>
      <c r="AE2916">
        <v>-0.95080000000001497</v>
      </c>
      <c r="AF2916">
        <v>-0.45736419847886001</v>
      </c>
      <c r="AG2916">
        <v>-3.6810000000000002E-2</v>
      </c>
      <c r="AH2916">
        <v>0.87337503875068001</v>
      </c>
      <c r="AI2916">
        <v>92.138263544324204</v>
      </c>
      <c r="AJ2916">
        <v>117.639902406533</v>
      </c>
      <c r="AK2916">
        <v>0.98657029372618099</v>
      </c>
      <c r="AL2916">
        <v>89.209784193431702</v>
      </c>
      <c r="AM2916">
        <v>92.800722716074404</v>
      </c>
      <c r="AN2916">
        <v>0.99999997157764597</v>
      </c>
    </row>
    <row r="2917" spans="1:40" x14ac:dyDescent="0.25">
      <c r="A2917" t="str">
        <f>"20190312160350251"</f>
        <v>20190312160350251</v>
      </c>
      <c r="B2917" t="str">
        <f>"1552377830247863"</f>
        <v>1552377830247863</v>
      </c>
      <c r="C2917" t="s">
        <v>40</v>
      </c>
      <c r="D2917">
        <v>5.6766550000000002</v>
      </c>
      <c r="E2917">
        <v>0.346647599999999</v>
      </c>
      <c r="F2917" t="s">
        <v>44</v>
      </c>
      <c r="G2917">
        <v>-501.61270000000002</v>
      </c>
      <c r="H2917">
        <v>0.12575330000000001</v>
      </c>
      <c r="I2917">
        <v>249.47239999999999</v>
      </c>
      <c r="J2917">
        <v>-492.66520000000003</v>
      </c>
      <c r="K2917">
        <v>1.1195029999999999</v>
      </c>
      <c r="L2917">
        <v>277.1651</v>
      </c>
      <c r="M2917">
        <v>-0.67991639999999998</v>
      </c>
      <c r="N2917">
        <v>0</v>
      </c>
      <c r="O2917">
        <v>-0.73315540000000001</v>
      </c>
      <c r="P2917">
        <v>-0.64380280000000001</v>
      </c>
      <c r="Q2917">
        <v>1.1619390000000001E-3</v>
      </c>
      <c r="R2917">
        <v>-0.765190699999999</v>
      </c>
      <c r="S2917">
        <v>-1.0030209999999999</v>
      </c>
      <c r="T2917">
        <v>-0.1104393</v>
      </c>
      <c r="U2917">
        <v>-3.0879819999999998</v>
      </c>
      <c r="V2917">
        <v>-4.8603239999999999E-2</v>
      </c>
      <c r="W2917">
        <v>1.4048420000000001E-2</v>
      </c>
      <c r="X2917">
        <v>0.99871929999999998</v>
      </c>
      <c r="Y2917">
        <v>-0.42026859999999999</v>
      </c>
      <c r="Z2917">
        <v>1.9835229999999999E-2</v>
      </c>
      <c r="AA2917">
        <v>0.90718290000000001</v>
      </c>
      <c r="AB2917">
        <v>25</v>
      </c>
      <c r="AC2917">
        <v>-8.9474999999999891</v>
      </c>
      <c r="AD2917">
        <v>-0.99374969999999996</v>
      </c>
      <c r="AE2917">
        <v>-27.692699999999999</v>
      </c>
      <c r="AF2917">
        <v>-12.255730458051399</v>
      </c>
      <c r="AG2917">
        <v>-0.99374969999999996</v>
      </c>
      <c r="AH2917">
        <v>26.358467948699701</v>
      </c>
      <c r="AI2917">
        <v>91.957985362675899</v>
      </c>
      <c r="AJ2917">
        <v>114.9367169739</v>
      </c>
      <c r="AK2917">
        <v>29.085379490893501</v>
      </c>
      <c r="AL2917">
        <v>89.195058295709899</v>
      </c>
      <c r="AM2917">
        <v>92.786133425002205</v>
      </c>
      <c r="AN2917">
        <v>0.99999993661774</v>
      </c>
    </row>
    <row r="2918" spans="1:40" x14ac:dyDescent="0.25">
      <c r="A2918" t="str">
        <f>"20190312160350262"</f>
        <v>20190312160350262</v>
      </c>
      <c r="B2918" t="str">
        <f>"1552377830257623"</f>
        <v>1552377830257623</v>
      </c>
      <c r="C2918" t="s">
        <v>40</v>
      </c>
      <c r="D2918">
        <v>5.5584569999999998</v>
      </c>
      <c r="E2918">
        <v>0.346647599999999</v>
      </c>
      <c r="F2918" t="s">
        <v>49</v>
      </c>
      <c r="G2918">
        <v>-492.9898</v>
      </c>
      <c r="H2918">
        <v>1.0580700000000001</v>
      </c>
      <c r="I2918">
        <v>276.14240000000001</v>
      </c>
      <c r="J2918">
        <v>-492.74250000000001</v>
      </c>
      <c r="K2918">
        <v>1.1194949999999999</v>
      </c>
      <c r="L2918">
        <v>277.07060000000001</v>
      </c>
      <c r="M2918">
        <v>-0.67456419999999995</v>
      </c>
      <c r="N2918">
        <v>0</v>
      </c>
      <c r="O2918">
        <v>-0.73808280000000004</v>
      </c>
      <c r="P2918">
        <v>-0.63860699999999904</v>
      </c>
      <c r="Q2918">
        <v>8.6874139999999897E-4</v>
      </c>
      <c r="R2918">
        <v>-0.76953269999999996</v>
      </c>
      <c r="S2918">
        <v>-0.98153690000000005</v>
      </c>
      <c r="T2918">
        <v>-0.18585450000000001</v>
      </c>
      <c r="U2918">
        <v>-3.0950319999999998</v>
      </c>
      <c r="V2918">
        <v>-4.8092910000000003E-2</v>
      </c>
      <c r="W2918">
        <v>1.3770920000000001E-2</v>
      </c>
      <c r="X2918">
        <v>0.99874790000000002</v>
      </c>
      <c r="Y2918">
        <v>-0.4200933</v>
      </c>
      <c r="Z2918">
        <v>3.3703230000000001E-2</v>
      </c>
      <c r="AA2918">
        <v>0.90685490000000002</v>
      </c>
      <c r="AB2918">
        <v>25</v>
      </c>
      <c r="AC2918">
        <v>-0.247299999999995</v>
      </c>
      <c r="AD2918">
        <v>-6.1425E-2</v>
      </c>
      <c r="AE2918">
        <v>-0.92820000000000402</v>
      </c>
      <c r="AF2918">
        <v>-0.44183958729133899</v>
      </c>
      <c r="AG2918">
        <v>-6.1425E-2</v>
      </c>
      <c r="AH2918">
        <v>0.848522410594026</v>
      </c>
      <c r="AI2918">
        <v>93.673762572614805</v>
      </c>
      <c r="AJ2918">
        <v>117.50673498783399</v>
      </c>
      <c r="AK2918">
        <v>0.95863733121711803</v>
      </c>
      <c r="AL2918">
        <v>89.210959437891901</v>
      </c>
      <c r="AM2918">
        <v>92.756845801846794</v>
      </c>
      <c r="AN2918">
        <v>0.99999996699216098</v>
      </c>
    </row>
    <row r="2919" spans="1:40" x14ac:dyDescent="0.25">
      <c r="A2919" t="str">
        <f>"20190312160350274"</f>
        <v>20190312160350274</v>
      </c>
      <c r="B2919" t="str">
        <f>"1552377830267384"</f>
        <v>1552377830267384</v>
      </c>
      <c r="C2919" t="s">
        <v>40</v>
      </c>
      <c r="D2919">
        <v>5.5791599999999999</v>
      </c>
      <c r="E2919">
        <v>0.31431959999999998</v>
      </c>
      <c r="F2919" t="s">
        <v>41</v>
      </c>
      <c r="G2919">
        <v>-498.49509999999998</v>
      </c>
      <c r="H2919" s="1">
        <v>-5.42136E-6</v>
      </c>
      <c r="I2919">
        <v>258.48970000000003</v>
      </c>
      <c r="J2919">
        <v>-492.81740000000002</v>
      </c>
      <c r="K2919">
        <v>1.1194919999999999</v>
      </c>
      <c r="L2919">
        <v>276.9776</v>
      </c>
      <c r="M2919">
        <v>-0.66929229999999995</v>
      </c>
      <c r="N2919">
        <v>0</v>
      </c>
      <c r="O2919">
        <v>-0.74286669999999999</v>
      </c>
      <c r="P2919">
        <v>-0.63346800000000003</v>
      </c>
      <c r="Q2919">
        <v>7.3989289999999903E-4</v>
      </c>
      <c r="R2919">
        <v>-0.77376849999999997</v>
      </c>
      <c r="S2919">
        <v>-0.96029659999999994</v>
      </c>
      <c r="T2919">
        <v>-0.1868814</v>
      </c>
      <c r="U2919">
        <v>-3.1017760000000001</v>
      </c>
      <c r="V2919">
        <v>-4.7630550000000001E-2</v>
      </c>
      <c r="W2919">
        <v>1.365649E-2</v>
      </c>
      <c r="X2919">
        <v>0.99877169999999904</v>
      </c>
      <c r="Y2919">
        <v>-0.4198616</v>
      </c>
      <c r="Z2919">
        <v>3.423474E-2</v>
      </c>
      <c r="AA2919">
        <v>0.90694220000000003</v>
      </c>
      <c r="AB2919">
        <v>25</v>
      </c>
      <c r="AC2919">
        <v>-5.6776999999999598</v>
      </c>
      <c r="AD2919">
        <v>-1.11949742136</v>
      </c>
      <c r="AE2919">
        <v>-18.4878999999999</v>
      </c>
      <c r="AF2919">
        <v>-8.1295983880453004</v>
      </c>
      <c r="AG2919">
        <v>-1.11949742136</v>
      </c>
      <c r="AH2919">
        <v>17.477252261676</v>
      </c>
      <c r="AI2919">
        <v>93.323935473989707</v>
      </c>
      <c r="AJ2919">
        <v>114.945640561099</v>
      </c>
      <c r="AK2919">
        <v>19.3079773939582</v>
      </c>
      <c r="AL2919">
        <v>89.217516467005595</v>
      </c>
      <c r="AM2919">
        <v>92.730317123550606</v>
      </c>
      <c r="AN2919">
        <v>1.0000000388666499</v>
      </c>
    </row>
    <row r="2920" spans="1:40" x14ac:dyDescent="0.25">
      <c r="A2920" t="str">
        <f>"20190312160350284"</f>
        <v>20190312160350284</v>
      </c>
      <c r="B2920" t="str">
        <f>"1552377830277145"</f>
        <v>1552377830277145</v>
      </c>
      <c r="C2920" t="s">
        <v>40</v>
      </c>
      <c r="D2920">
        <v>5.6019030000000001</v>
      </c>
      <c r="E2920">
        <v>0.31272719999999998</v>
      </c>
      <c r="F2920" t="s">
        <v>41</v>
      </c>
      <c r="G2920">
        <v>-502.6302</v>
      </c>
      <c r="H2920">
        <v>7.9985630000000002E-2</v>
      </c>
      <c r="I2920">
        <v>234.03190000000001</v>
      </c>
      <c r="J2920">
        <v>-492.89359999999999</v>
      </c>
      <c r="K2920">
        <v>1.1194839999999999</v>
      </c>
      <c r="L2920">
        <v>276.88200000000001</v>
      </c>
      <c r="M2920">
        <v>-0.66386780000000001</v>
      </c>
      <c r="N2920">
        <v>0</v>
      </c>
      <c r="O2920">
        <v>-0.74771840000000001</v>
      </c>
      <c r="P2920">
        <v>-0.62823189999999995</v>
      </c>
      <c r="Q2920">
        <v>3.5469419999999998E-4</v>
      </c>
      <c r="R2920">
        <v>-0.77802629999999995</v>
      </c>
      <c r="S2920">
        <v>-0.74630739999999995</v>
      </c>
      <c r="T2920">
        <v>-7.9059000000000004E-2</v>
      </c>
      <c r="U2920">
        <v>-3.2662049999999998</v>
      </c>
      <c r="V2920">
        <v>-4.709261E-2</v>
      </c>
      <c r="W2920">
        <v>1.3287449999999999E-2</v>
      </c>
      <c r="X2920">
        <v>0.99880210000000003</v>
      </c>
      <c r="Y2920">
        <v>-0.48069240000000002</v>
      </c>
      <c r="Z2920">
        <v>1.3630130000000001E-2</v>
      </c>
      <c r="AA2920">
        <v>0.87678339999999999</v>
      </c>
      <c r="AB2920">
        <v>25</v>
      </c>
      <c r="AC2920">
        <v>-9.7366000000000099</v>
      </c>
      <c r="AD2920">
        <v>-1.03949837</v>
      </c>
      <c r="AE2920">
        <v>-42.850099999999998</v>
      </c>
      <c r="AF2920">
        <v>-21.156809661037499</v>
      </c>
      <c r="AG2920">
        <v>-1.03949837</v>
      </c>
      <c r="AH2920">
        <v>38.4858747271293</v>
      </c>
      <c r="AI2920">
        <v>91.355891029427298</v>
      </c>
      <c r="AJ2920">
        <v>118.79888075015801</v>
      </c>
      <c r="AK2920">
        <v>43.930100220769901</v>
      </c>
      <c r="AL2920">
        <v>89.238662754151505</v>
      </c>
      <c r="AM2920">
        <v>92.699444721743305</v>
      </c>
      <c r="AN2920">
        <v>0.999999952604261</v>
      </c>
    </row>
    <row r="2921" spans="1:40" x14ac:dyDescent="0.25">
      <c r="A2921" t="str">
        <f>"20190312160350295"</f>
        <v>20190312160350295</v>
      </c>
      <c r="B2921" t="str">
        <f>"1552377830287879"</f>
        <v>1552377830287879</v>
      </c>
      <c r="C2921" t="s">
        <v>40</v>
      </c>
      <c r="D2921">
        <v>5.6971339999999904</v>
      </c>
      <c r="E2921">
        <v>0.31293959999999998</v>
      </c>
      <c r="F2921" t="s">
        <v>59</v>
      </c>
      <c r="G2921">
        <v>-503.42759999999998</v>
      </c>
      <c r="H2921">
        <v>7.9999909999999994E-2</v>
      </c>
      <c r="I2921">
        <v>228.54859999999999</v>
      </c>
      <c r="J2921">
        <v>-492.96480000000003</v>
      </c>
      <c r="K2921">
        <v>1.1194759999999999</v>
      </c>
      <c r="L2921">
        <v>276.79079999999999</v>
      </c>
      <c r="M2921">
        <v>-0.65869919999999904</v>
      </c>
      <c r="N2921">
        <v>0</v>
      </c>
      <c r="O2921">
        <v>-0.75227549999999999</v>
      </c>
      <c r="P2921">
        <v>-0.62339549999999999</v>
      </c>
      <c r="Q2921" s="1">
        <v>-5.381182E-5</v>
      </c>
      <c r="R2921">
        <v>-0.78190669999999995</v>
      </c>
      <c r="S2921">
        <v>-0.71463009999999905</v>
      </c>
      <c r="T2921">
        <v>-7.0519209999999999E-2</v>
      </c>
      <c r="U2921">
        <v>-3.2789609999999998</v>
      </c>
      <c r="V2921">
        <v>-4.6393200000000002E-2</v>
      </c>
      <c r="W2921">
        <v>1.289791E-2</v>
      </c>
      <c r="X2921">
        <v>0.99883999999999995</v>
      </c>
      <c r="Y2921">
        <v>-0.48345529999999998</v>
      </c>
      <c r="Z2921">
        <v>1.2238580000000001E-2</v>
      </c>
      <c r="AA2921">
        <v>0.87528349999999899</v>
      </c>
      <c r="AB2921">
        <v>25</v>
      </c>
      <c r="AC2921">
        <v>-10.4627999999999</v>
      </c>
      <c r="AD2921">
        <v>-1.03947609</v>
      </c>
      <c r="AE2921">
        <v>-48.242199999999997</v>
      </c>
      <c r="AF2921">
        <v>-23.897948022874299</v>
      </c>
      <c r="AG2921">
        <v>-1.03947609</v>
      </c>
      <c r="AH2921">
        <v>43.168374307989097</v>
      </c>
      <c r="AI2921">
        <v>91.206861038454207</v>
      </c>
      <c r="AJ2921">
        <v>118.968848657747</v>
      </c>
      <c r="AK2921">
        <v>49.352821303754702</v>
      </c>
      <c r="AL2921">
        <v>89.260983712858803</v>
      </c>
      <c r="AM2921">
        <v>92.659310336396203</v>
      </c>
      <c r="AN2921">
        <v>1.0000000153443001</v>
      </c>
    </row>
    <row r="2922" spans="1:40" x14ac:dyDescent="0.25">
      <c r="A2922" t="str">
        <f>"20190312160350306"</f>
        <v>20190312160350306</v>
      </c>
      <c r="B2922" t="str">
        <f>"1552377830297640"</f>
        <v>1552377830297640</v>
      </c>
      <c r="C2922" t="s">
        <v>40</v>
      </c>
      <c r="D2922">
        <v>5.6970660000000004</v>
      </c>
      <c r="E2922">
        <v>0.31454300000000002</v>
      </c>
      <c r="F2922" t="s">
        <v>59</v>
      </c>
      <c r="G2922">
        <v>-503.36110000000002</v>
      </c>
      <c r="H2922">
        <v>7.999995E-2</v>
      </c>
      <c r="I2922">
        <v>227.75909999999999</v>
      </c>
      <c r="J2922">
        <v>-493.03890000000001</v>
      </c>
      <c r="K2922">
        <v>1.1194660000000001</v>
      </c>
      <c r="L2922">
        <v>276.69510000000002</v>
      </c>
      <c r="M2922">
        <v>-0.65325949999999999</v>
      </c>
      <c r="N2922">
        <v>0</v>
      </c>
      <c r="O2922">
        <v>-0.75700369999999995</v>
      </c>
      <c r="P2922">
        <v>-0.61860280000000001</v>
      </c>
      <c r="Q2922">
        <v>-9.1254710000000002E-4</v>
      </c>
      <c r="R2922">
        <v>-0.78570340000000005</v>
      </c>
      <c r="S2922">
        <v>-0.69589230000000002</v>
      </c>
      <c r="T2922">
        <v>-6.9579009999999997E-2</v>
      </c>
      <c r="U2922">
        <v>-3.2820130000000001</v>
      </c>
      <c r="V2922">
        <v>-4.5280569999999999E-2</v>
      </c>
      <c r="W2922">
        <v>1.2068280000000001E-2</v>
      </c>
      <c r="X2922">
        <v>0.99890140000000005</v>
      </c>
      <c r="Y2922">
        <v>-0.4820912</v>
      </c>
      <c r="Z2922">
        <v>1.2217280000000001E-2</v>
      </c>
      <c r="AA2922">
        <v>0.87603589999999998</v>
      </c>
      <c r="AB2922">
        <v>25</v>
      </c>
      <c r="AC2922">
        <v>-10.3222</v>
      </c>
      <c r="AD2922">
        <v>-1.0394660499999999</v>
      </c>
      <c r="AE2922">
        <v>-48.936</v>
      </c>
      <c r="AF2922">
        <v>-24.145917511349001</v>
      </c>
      <c r="AG2922">
        <v>-1.0394660499999999</v>
      </c>
      <c r="AH2922">
        <v>43.773222367830201</v>
      </c>
      <c r="AI2922">
        <v>91.191178321838294</v>
      </c>
      <c r="AJ2922">
        <v>118.88173894149899</v>
      </c>
      <c r="AK2922">
        <v>50.002008145648396</v>
      </c>
      <c r="AL2922">
        <v>89.308521697648999</v>
      </c>
      <c r="AM2922">
        <v>92.595462099446195</v>
      </c>
      <c r="AN2922">
        <v>0.99999999016182095</v>
      </c>
    </row>
    <row r="2923" spans="1:40" x14ac:dyDescent="0.25">
      <c r="A2923" t="str">
        <f>"20190312160350318"</f>
        <v>20190312160350318</v>
      </c>
      <c r="B2923" t="str">
        <f>"1552377830307401"</f>
        <v>1552377830307401</v>
      </c>
      <c r="C2923" t="s">
        <v>40</v>
      </c>
      <c r="D2923">
        <v>5.7557939999999999</v>
      </c>
      <c r="E2923">
        <v>0.31649240000000001</v>
      </c>
      <c r="F2923" t="s">
        <v>41</v>
      </c>
      <c r="G2923">
        <v>-501.60899999999998</v>
      </c>
      <c r="H2923">
        <v>7.9986589999999996E-2</v>
      </c>
      <c r="I2923">
        <v>235.67019999999999</v>
      </c>
      <c r="J2923">
        <v>-493.10840000000002</v>
      </c>
      <c r="K2923">
        <v>1.119456</v>
      </c>
      <c r="L2923">
        <v>276.60329999999999</v>
      </c>
      <c r="M2923">
        <v>-0.64805459999999904</v>
      </c>
      <c r="N2923">
        <v>0</v>
      </c>
      <c r="O2923">
        <v>-0.76146440000000004</v>
      </c>
      <c r="P2923">
        <v>-0.61382309999999995</v>
      </c>
      <c r="Q2923">
        <v>-1.646986E-3</v>
      </c>
      <c r="R2923">
        <v>-0.78944199999999998</v>
      </c>
      <c r="S2923">
        <v>-0.68493649999999995</v>
      </c>
      <c r="T2923">
        <v>-8.3077670000000006E-2</v>
      </c>
      <c r="U2923">
        <v>-3.2788089999999999</v>
      </c>
      <c r="V2923">
        <v>-4.4476910000000001E-2</v>
      </c>
      <c r="W2923">
        <v>1.1354980000000001E-2</v>
      </c>
      <c r="X2923">
        <v>0.99894590000000005</v>
      </c>
      <c r="Y2923">
        <v>-0.47871550000000002</v>
      </c>
      <c r="Z2923">
        <v>1.4786580000000001E-2</v>
      </c>
      <c r="AA2923">
        <v>0.87784549999999995</v>
      </c>
      <c r="AB2923">
        <v>25</v>
      </c>
      <c r="AC2923">
        <v>-8.5006000000000199</v>
      </c>
      <c r="AD2923">
        <v>-1.0394694099999999</v>
      </c>
      <c r="AE2923">
        <v>-40.933100000000003</v>
      </c>
      <c r="AF2923">
        <v>-20.0435659540899</v>
      </c>
      <c r="AG2923">
        <v>-1.0394694099999999</v>
      </c>
      <c r="AH2923">
        <v>36.658905449843999</v>
      </c>
      <c r="AI2923">
        <v>91.425180670633694</v>
      </c>
      <c r="AJ2923">
        <v>118.668005338547</v>
      </c>
      <c r="AK2923">
        <v>41.793544735890499</v>
      </c>
      <c r="AL2923">
        <v>89.349393601717296</v>
      </c>
      <c r="AM2923">
        <v>92.5493445737077</v>
      </c>
      <c r="AN2923">
        <v>1.0000000211103699</v>
      </c>
    </row>
    <row r="2924" spans="1:40" x14ac:dyDescent="0.25">
      <c r="A2924" t="str">
        <f>"20190312160350328"</f>
        <v>20190312160350328</v>
      </c>
      <c r="B2924" t="str">
        <f>"1552377830317161"</f>
        <v>1552377830317161</v>
      </c>
      <c r="C2924" t="s">
        <v>40</v>
      </c>
      <c r="D2924">
        <v>5.318975</v>
      </c>
      <c r="E2924">
        <v>0.31649240000000001</v>
      </c>
      <c r="F2924" t="s">
        <v>41</v>
      </c>
      <c r="G2924">
        <v>-500.46</v>
      </c>
      <c r="H2924">
        <v>7.9986420000000003E-2</v>
      </c>
      <c r="I2924">
        <v>241.02930000000001</v>
      </c>
      <c r="J2924">
        <v>-493.18220000000002</v>
      </c>
      <c r="K2924">
        <v>1.1194470000000001</v>
      </c>
      <c r="L2924">
        <v>276.5052</v>
      </c>
      <c r="M2924">
        <v>-0.64247379999999998</v>
      </c>
      <c r="N2924">
        <v>0</v>
      </c>
      <c r="O2924">
        <v>-0.7661789</v>
      </c>
      <c r="P2924">
        <v>-0.60872689999999996</v>
      </c>
      <c r="Q2924">
        <v>-2.2746530000000002E-3</v>
      </c>
      <c r="R2924">
        <v>-0.79337669999999905</v>
      </c>
      <c r="S2924">
        <v>-0.67657469999999997</v>
      </c>
      <c r="T2924">
        <v>-9.5662949999999997E-2</v>
      </c>
      <c r="U2924">
        <v>-3.273895</v>
      </c>
      <c r="V2924">
        <v>-4.3595490000000001E-2</v>
      </c>
      <c r="W2924">
        <v>1.074991E-2</v>
      </c>
      <c r="X2924">
        <v>0.99899139999999997</v>
      </c>
      <c r="Y2924">
        <v>-0.474186</v>
      </c>
      <c r="Z2924">
        <v>1.7284250000000001E-2</v>
      </c>
      <c r="AA2924">
        <v>0.88025499999999901</v>
      </c>
      <c r="AB2924">
        <v>25</v>
      </c>
      <c r="AC2924">
        <v>-7.2777999999999503</v>
      </c>
      <c r="AD2924">
        <v>-1.0394605800000001</v>
      </c>
      <c r="AE2924">
        <v>-35.475900000000003</v>
      </c>
      <c r="AF2924">
        <v>-17.203764952585399</v>
      </c>
      <c r="AG2924">
        <v>-1.0394605800000001</v>
      </c>
      <c r="AH2924">
        <v>31.833599168533901</v>
      </c>
      <c r="AI2924">
        <v>91.645446500238194</v>
      </c>
      <c r="AJ2924">
        <v>118.388024402708</v>
      </c>
      <c r="AK2924">
        <v>36.199834845811999</v>
      </c>
      <c r="AL2924">
        <v>89.384063646408194</v>
      </c>
      <c r="AM2924">
        <v>92.498774023027494</v>
      </c>
      <c r="AN2924">
        <v>0.99999997229365301</v>
      </c>
    </row>
    <row r="2925" spans="1:40" x14ac:dyDescent="0.25">
      <c r="A2925" t="str">
        <f>"20190312160350339"</f>
        <v>20190312160350339</v>
      </c>
      <c r="B2925" t="str">
        <f>"1552377830337657"</f>
        <v>1552377830337657</v>
      </c>
      <c r="C2925" t="s">
        <v>40</v>
      </c>
      <c r="D2925">
        <v>5.8094409999999996</v>
      </c>
      <c r="E2925">
        <v>0.31907170000000001</v>
      </c>
      <c r="F2925" t="s">
        <v>41</v>
      </c>
      <c r="G2925">
        <v>-500.20400000000001</v>
      </c>
      <c r="H2925">
        <v>7.9986299999999996E-2</v>
      </c>
      <c r="I2925">
        <v>241.3939</v>
      </c>
      <c r="J2925">
        <v>-493.25189999999998</v>
      </c>
      <c r="K2925">
        <v>1.119443</v>
      </c>
      <c r="L2925">
        <v>276.41030000000001</v>
      </c>
      <c r="M2925">
        <v>-0.63708560000000003</v>
      </c>
      <c r="N2925">
        <v>0</v>
      </c>
      <c r="O2925">
        <v>-0.77066509999999999</v>
      </c>
      <c r="P2925">
        <v>-0.60381839999999998</v>
      </c>
      <c r="Q2925">
        <v>-2.7834439999999999E-3</v>
      </c>
      <c r="R2925">
        <v>-0.79711739999999998</v>
      </c>
      <c r="S2925">
        <v>-0.65557860000000001</v>
      </c>
      <c r="T2925">
        <v>-9.7047449999999993E-2</v>
      </c>
      <c r="U2925">
        <v>-3.2781069999999999</v>
      </c>
      <c r="V2925">
        <v>-4.2743490000000002E-2</v>
      </c>
      <c r="W2925">
        <v>1.0263090000000001E-2</v>
      </c>
      <c r="X2925">
        <v>0.99903339999999996</v>
      </c>
      <c r="Y2925">
        <v>-0.47365210000000002</v>
      </c>
      <c r="Z2925">
        <v>1.7710090000000001E-2</v>
      </c>
      <c r="AA2925">
        <v>0.88053400000000004</v>
      </c>
      <c r="AB2925">
        <v>25</v>
      </c>
      <c r="AC2925">
        <v>-6.9521000000000299</v>
      </c>
      <c r="AD2925">
        <v>-1.0394566999999999</v>
      </c>
      <c r="AE2925">
        <v>-35.016399999999997</v>
      </c>
      <c r="AF2925">
        <v>-16.938015704638499</v>
      </c>
      <c r="AG2925">
        <v>-1.0394566999999999</v>
      </c>
      <c r="AH2925">
        <v>31.391485975913</v>
      </c>
      <c r="AI2925">
        <v>91.669197270416504</v>
      </c>
      <c r="AJ2925">
        <v>118.350125715277</v>
      </c>
      <c r="AK2925">
        <v>35.684761986283497</v>
      </c>
      <c r="AL2925">
        <v>89.411957955706299</v>
      </c>
      <c r="AM2925">
        <v>92.4498969417171</v>
      </c>
      <c r="AN2925">
        <v>1.0000000356346399</v>
      </c>
    </row>
    <row r="2926" spans="1:40" x14ac:dyDescent="0.25">
      <c r="A2926" t="str">
        <f>"20190312160350352"</f>
        <v>20190312160350352</v>
      </c>
      <c r="B2926" t="str">
        <f>"1552377830347416"</f>
        <v>1552377830347416</v>
      </c>
      <c r="C2926" t="s">
        <v>40</v>
      </c>
      <c r="D2926">
        <v>5.7184460000000001</v>
      </c>
      <c r="E2926">
        <v>0.31916679999999997</v>
      </c>
      <c r="F2926" t="s">
        <v>41</v>
      </c>
      <c r="G2926">
        <v>-499.69459999999998</v>
      </c>
      <c r="H2926" s="1">
        <v>-4.1132099999999997E-6</v>
      </c>
      <c r="I2926">
        <v>244.02029999999999</v>
      </c>
      <c r="J2926">
        <v>-493.3263</v>
      </c>
      <c r="K2926">
        <v>1.119434</v>
      </c>
      <c r="L2926">
        <v>276.3082</v>
      </c>
      <c r="M2926">
        <v>-0.63127089999999997</v>
      </c>
      <c r="N2926">
        <v>0</v>
      </c>
      <c r="O2926">
        <v>-0.77543530000000005</v>
      </c>
      <c r="P2926">
        <v>-0.59837320000000005</v>
      </c>
      <c r="Q2926">
        <v>-2.9245949999999999E-3</v>
      </c>
      <c r="R2926">
        <v>-0.80121229999999999</v>
      </c>
      <c r="S2926">
        <v>-0.65051269999999894</v>
      </c>
      <c r="T2926">
        <v>-0.1130295</v>
      </c>
      <c r="U2926">
        <v>-3.2703859999999998</v>
      </c>
      <c r="V2926">
        <v>-4.2032779999999999E-2</v>
      </c>
      <c r="W2926">
        <v>1.014055E-2</v>
      </c>
      <c r="X2926">
        <v>0.99906470000000003</v>
      </c>
      <c r="Y2926">
        <v>-0.4679391</v>
      </c>
      <c r="Z2926">
        <v>2.0961779999999999E-2</v>
      </c>
      <c r="AA2926">
        <v>0.88351209999999902</v>
      </c>
      <c r="AB2926">
        <v>25</v>
      </c>
      <c r="AC2926">
        <v>-6.3682999999999703</v>
      </c>
      <c r="AD2926">
        <v>-1.11943811321</v>
      </c>
      <c r="AE2926">
        <v>-32.2879</v>
      </c>
      <c r="AF2926">
        <v>-15.4278790981177</v>
      </c>
      <c r="AG2926">
        <v>-1.11943811321</v>
      </c>
      <c r="AH2926">
        <v>29.026579845678299</v>
      </c>
      <c r="AI2926">
        <v>91.950428870635704</v>
      </c>
      <c r="AJ2926">
        <v>117.99103209917899</v>
      </c>
      <c r="AK2926">
        <v>32.8909551806114</v>
      </c>
      <c r="AL2926">
        <v>89.418979284335705</v>
      </c>
      <c r="AM2926">
        <v>92.409134717091803</v>
      </c>
      <c r="AN2926">
        <v>0.99999993006745802</v>
      </c>
    </row>
    <row r="2927" spans="1:40" x14ac:dyDescent="0.25">
      <c r="A2927" t="str">
        <f>"20190312160350363"</f>
        <v>20190312160350363</v>
      </c>
      <c r="B2927" t="str">
        <f>"1552377830357176"</f>
        <v>1552377830357176</v>
      </c>
      <c r="C2927" t="s">
        <v>40</v>
      </c>
      <c r="D2927">
        <v>5.8827239999999996</v>
      </c>
      <c r="E2927">
        <v>0.31969619999999999</v>
      </c>
      <c r="F2927" t="s">
        <v>49</v>
      </c>
      <c r="G2927">
        <v>-493.53</v>
      </c>
      <c r="H2927">
        <v>1.083666</v>
      </c>
      <c r="I2927">
        <v>275.24770000000001</v>
      </c>
      <c r="J2927">
        <v>-493.39620000000002</v>
      </c>
      <c r="K2927">
        <v>1.119426</v>
      </c>
      <c r="L2927">
        <v>276.21050000000002</v>
      </c>
      <c r="M2927">
        <v>-0.62571290000000002</v>
      </c>
      <c r="N2927">
        <v>0</v>
      </c>
      <c r="O2927">
        <v>-0.77992709999999998</v>
      </c>
      <c r="P2927">
        <v>-0.5930396</v>
      </c>
      <c r="Q2927">
        <v>-3.2847319999999998E-3</v>
      </c>
      <c r="R2927">
        <v>-0.80516669999999901</v>
      </c>
      <c r="S2927">
        <v>-0.62911989999999995</v>
      </c>
      <c r="T2927">
        <v>-0.110446699999999</v>
      </c>
      <c r="U2927">
        <v>-3.2740779999999998</v>
      </c>
      <c r="V2927">
        <v>-4.1517459999999999E-2</v>
      </c>
      <c r="W2927">
        <v>9.7943809999999996E-3</v>
      </c>
      <c r="X2927">
        <v>0.99908980000000003</v>
      </c>
      <c r="Y2927">
        <v>-0.46737380000000001</v>
      </c>
      <c r="Z2927">
        <v>2.068764E-2</v>
      </c>
      <c r="AA2927">
        <v>0.88381769999999904</v>
      </c>
      <c r="AB2927">
        <v>25</v>
      </c>
      <c r="AC2927">
        <v>-0.13379999999995101</v>
      </c>
      <c r="AD2927">
        <v>-3.576E-2</v>
      </c>
      <c r="AE2927">
        <v>-0.96280000000001498</v>
      </c>
      <c r="AF2927">
        <v>-0.49745798071763597</v>
      </c>
      <c r="AG2927">
        <v>-3.576E-2</v>
      </c>
      <c r="AH2927">
        <v>0.833588306559228</v>
      </c>
      <c r="AI2927">
        <v>92.109703377872606</v>
      </c>
      <c r="AJ2927">
        <v>120.827357757885</v>
      </c>
      <c r="AK2927">
        <v>0.97139728484897003</v>
      </c>
      <c r="AL2927">
        <v>89.438814349331196</v>
      </c>
      <c r="AM2927">
        <v>92.379573282642596</v>
      </c>
      <c r="AN2927">
        <v>1.0000000289240301</v>
      </c>
    </row>
    <row r="2928" spans="1:40" x14ac:dyDescent="0.25">
      <c r="A2928" t="str">
        <f>"20190312160350374"</f>
        <v>20190312160350374</v>
      </c>
      <c r="B2928" t="str">
        <f>"1552377830367911"</f>
        <v>1552377830367911</v>
      </c>
      <c r="C2928" t="s">
        <v>40</v>
      </c>
      <c r="D2928">
        <v>5.7828900000000001</v>
      </c>
      <c r="E2928">
        <v>0.32029150000000001</v>
      </c>
      <c r="F2928" t="s">
        <v>41</v>
      </c>
      <c r="G2928">
        <v>-499.52670000000001</v>
      </c>
      <c r="H2928" s="1">
        <v>-3.8481270000000002E-6</v>
      </c>
      <c r="I2928">
        <v>243.3289</v>
      </c>
      <c r="J2928">
        <v>-493.46699999999998</v>
      </c>
      <c r="K2928">
        <v>1.119418</v>
      </c>
      <c r="L2928">
        <v>276.11</v>
      </c>
      <c r="M2928">
        <v>-0.61998489999999995</v>
      </c>
      <c r="N2928">
        <v>0</v>
      </c>
      <c r="O2928">
        <v>-0.78448799999999996</v>
      </c>
      <c r="P2928">
        <v>-0.58737119999999998</v>
      </c>
      <c r="Q2928">
        <v>-3.6626530000000001E-3</v>
      </c>
      <c r="R2928">
        <v>-0.80930939999999996</v>
      </c>
      <c r="S2928">
        <v>-0.61071779999999998</v>
      </c>
      <c r="T2928">
        <v>-0.1115165</v>
      </c>
      <c r="U2928">
        <v>-3.2756349999999999</v>
      </c>
      <c r="V2928">
        <v>-4.1206989999999999E-2</v>
      </c>
      <c r="W2928">
        <v>9.4253259999999995E-3</v>
      </c>
      <c r="X2928">
        <v>0.99910620000000006</v>
      </c>
      <c r="Y2928">
        <v>-0.46577229999999997</v>
      </c>
      <c r="Z2928">
        <v>2.1119700000000002E-2</v>
      </c>
      <c r="AA2928">
        <v>0.88465260000000001</v>
      </c>
      <c r="AB2928">
        <v>25</v>
      </c>
      <c r="AC2928">
        <v>-6.0597000000000198</v>
      </c>
      <c r="AD2928">
        <v>-1.119421848127</v>
      </c>
      <c r="AE2928">
        <v>-32.781100000000002</v>
      </c>
      <c r="AF2928">
        <v>-15.554022854324799</v>
      </c>
      <c r="AG2928">
        <v>-1.119421848127</v>
      </c>
      <c r="AH2928">
        <v>29.4430106540221</v>
      </c>
      <c r="AI2928">
        <v>91.925407488217303</v>
      </c>
      <c r="AJ2928">
        <v>117.84639883954701</v>
      </c>
      <c r="AK2928">
        <v>33.317737147048</v>
      </c>
      <c r="AL2928">
        <v>89.459960617524402</v>
      </c>
      <c r="AM2928">
        <v>92.361760196321995</v>
      </c>
      <c r="AN2928">
        <v>1.0000000258367501</v>
      </c>
    </row>
    <row r="2929" spans="1:40" x14ac:dyDescent="0.25">
      <c r="A2929" t="str">
        <f>"20190312160350384"</f>
        <v>20190312160350384</v>
      </c>
      <c r="B2929" t="str">
        <f>"1552377830377673"</f>
        <v>1552377830377673</v>
      </c>
      <c r="C2929" t="s">
        <v>40</v>
      </c>
      <c r="D2929">
        <v>5.7062269999999904</v>
      </c>
      <c r="E2929">
        <v>0.320521</v>
      </c>
      <c r="F2929" t="s">
        <v>49</v>
      </c>
      <c r="G2929">
        <v>-493.65480000000002</v>
      </c>
      <c r="H2929">
        <v>1.0832729999999999</v>
      </c>
      <c r="I2929">
        <v>275.06950000000001</v>
      </c>
      <c r="J2929">
        <v>-493.53410000000002</v>
      </c>
      <c r="K2929">
        <v>1.1194120000000001</v>
      </c>
      <c r="L2929">
        <v>276.01369999999997</v>
      </c>
      <c r="M2929">
        <v>-0.6144944</v>
      </c>
      <c r="N2929">
        <v>0</v>
      </c>
      <c r="O2929">
        <v>-0.78879619999999995</v>
      </c>
      <c r="P2929">
        <v>-0.58186719999999903</v>
      </c>
      <c r="Q2929">
        <v>-3.8248240000000001E-3</v>
      </c>
      <c r="R2929">
        <v>-0.81327530000000003</v>
      </c>
      <c r="S2929">
        <v>-0.59149169999999995</v>
      </c>
      <c r="T2929">
        <v>-0.1138396</v>
      </c>
      <c r="U2929">
        <v>-3.2771300000000001</v>
      </c>
      <c r="V2929">
        <v>-4.1007910000000002E-2</v>
      </c>
      <c r="W2929">
        <v>9.2689299999999999E-3</v>
      </c>
      <c r="X2929">
        <v>0.9991158</v>
      </c>
      <c r="Y2929">
        <v>-0.46469149999999998</v>
      </c>
      <c r="Z2929">
        <v>2.1779300000000001E-2</v>
      </c>
      <c r="AA2929">
        <v>0.88520480000000001</v>
      </c>
      <c r="AB2929">
        <v>25</v>
      </c>
      <c r="AC2929">
        <v>-0.120699999999999</v>
      </c>
      <c r="AD2929">
        <v>-3.6139000000000102E-2</v>
      </c>
      <c r="AE2929">
        <v>-0.94419999999996596</v>
      </c>
      <c r="AF2929">
        <v>-0.48434759699692898</v>
      </c>
      <c r="AG2929">
        <v>-3.6139000000000102E-2</v>
      </c>
      <c r="AH2929">
        <v>0.81785274795199703</v>
      </c>
      <c r="AI2929">
        <v>92.177365750878806</v>
      </c>
      <c r="AJ2929">
        <v>120.634805671219</v>
      </c>
      <c r="AK2929">
        <v>0.951200157364544</v>
      </c>
      <c r="AL2929">
        <v>89.468921810798506</v>
      </c>
      <c r="AM2929">
        <v>92.350340284227798</v>
      </c>
      <c r="AN2929">
        <v>0.999999971777776</v>
      </c>
    </row>
    <row r="2930" spans="1:40" x14ac:dyDescent="0.25">
      <c r="A2930" t="str">
        <f>"20190312160350396"</f>
        <v>20190312160350396</v>
      </c>
      <c r="B2930" t="str">
        <f>"1552377830387432"</f>
        <v>1552377830387432</v>
      </c>
      <c r="C2930" t="s">
        <v>40</v>
      </c>
      <c r="D2930">
        <v>5.8280599999999998</v>
      </c>
      <c r="E2930">
        <v>0.3215382</v>
      </c>
      <c r="F2930" t="s">
        <v>41</v>
      </c>
      <c r="G2930">
        <v>-499.2269</v>
      </c>
      <c r="H2930" s="1">
        <v>-3.7763479999999998E-6</v>
      </c>
      <c r="I2930">
        <v>243.27420000000001</v>
      </c>
      <c r="J2930">
        <v>-493.6001</v>
      </c>
      <c r="K2930">
        <v>1.1194059999999999</v>
      </c>
      <c r="L2930">
        <v>275.9169</v>
      </c>
      <c r="M2930">
        <v>-0.60897650000000003</v>
      </c>
      <c r="N2930">
        <v>0</v>
      </c>
      <c r="O2930">
        <v>-0.79306390000000004</v>
      </c>
      <c r="P2930">
        <v>-0.57634269999999999</v>
      </c>
      <c r="Q2930">
        <v>-4.2435750000000003E-3</v>
      </c>
      <c r="R2930">
        <v>-0.81719730000000002</v>
      </c>
      <c r="S2930">
        <v>-0.57037349999999998</v>
      </c>
      <c r="T2930">
        <v>-0.1121557</v>
      </c>
      <c r="U2930">
        <v>-3.2802120000000001</v>
      </c>
      <c r="V2930">
        <v>-4.0797010000000002E-2</v>
      </c>
      <c r="W2930">
        <v>8.8560059999999996E-3</v>
      </c>
      <c r="X2930">
        <v>0.99912820000000002</v>
      </c>
      <c r="Y2930">
        <v>-0.46418510000000002</v>
      </c>
      <c r="Z2930">
        <v>2.1657309999999999E-2</v>
      </c>
      <c r="AA2930">
        <v>0.88547339999999997</v>
      </c>
      <c r="AB2930">
        <v>25</v>
      </c>
      <c r="AC2930">
        <v>-5.6268000000000002</v>
      </c>
      <c r="AD2930">
        <v>-1.119409776348</v>
      </c>
      <c r="AE2930">
        <v>-32.642699999999898</v>
      </c>
      <c r="AF2930">
        <v>-15.4001581341675</v>
      </c>
      <c r="AG2930">
        <v>-1.119409776348</v>
      </c>
      <c r="AH2930">
        <v>29.283783929491801</v>
      </c>
      <c r="AI2930">
        <v>91.937749244983394</v>
      </c>
      <c r="AJ2930">
        <v>117.73960033798301</v>
      </c>
      <c r="AK2930">
        <v>33.105255625563601</v>
      </c>
      <c r="AL2930">
        <v>89.492581596173295</v>
      </c>
      <c r="AM2930">
        <v>92.3382371588757</v>
      </c>
      <c r="AN2930">
        <v>0.99999999245122595</v>
      </c>
    </row>
    <row r="2931" spans="1:40" x14ac:dyDescent="0.25">
      <c r="A2931" t="str">
        <f>"20190312160350407"</f>
        <v>20190312160350407</v>
      </c>
      <c r="B2931" t="str">
        <f>"1552377830397192"</f>
        <v>1552377830397192</v>
      </c>
      <c r="C2931" t="s">
        <v>40</v>
      </c>
      <c r="D2931">
        <v>5.8493950000000003</v>
      </c>
      <c r="E2931">
        <v>0.32244830000000002</v>
      </c>
      <c r="F2931" t="s">
        <v>49</v>
      </c>
      <c r="G2931">
        <v>-493.7713</v>
      </c>
      <c r="H2931">
        <v>1.0830040000000001</v>
      </c>
      <c r="I2931">
        <v>274.90449999999998</v>
      </c>
      <c r="J2931">
        <v>-493.66800000000001</v>
      </c>
      <c r="K2931">
        <v>1.119402</v>
      </c>
      <c r="L2931">
        <v>275.81659999999999</v>
      </c>
      <c r="M2931">
        <v>-0.60324449999999996</v>
      </c>
      <c r="N2931">
        <v>0</v>
      </c>
      <c r="O2931">
        <v>-0.79743260000000005</v>
      </c>
      <c r="P2931">
        <v>-0.57017609999999996</v>
      </c>
      <c r="Q2931">
        <v>-4.6370550000000002E-3</v>
      </c>
      <c r="R2931">
        <v>-0.82150939999999995</v>
      </c>
      <c r="S2931">
        <v>-0.55484009999999995</v>
      </c>
      <c r="T2931">
        <v>-0.117927</v>
      </c>
      <c r="U2931">
        <v>-3.2791440000000001</v>
      </c>
      <c r="V2931">
        <v>-4.1104439999999999E-2</v>
      </c>
      <c r="W2931">
        <v>8.4564299999999992E-3</v>
      </c>
      <c r="X2931">
        <v>0.99911899999999998</v>
      </c>
      <c r="Y2931">
        <v>-0.4618293</v>
      </c>
      <c r="Z2931">
        <v>2.303067E-2</v>
      </c>
      <c r="AA2931">
        <v>0.88666979999999995</v>
      </c>
      <c r="AB2931">
        <v>25</v>
      </c>
      <c r="AC2931">
        <v>-0.10329999999999</v>
      </c>
      <c r="AD2931">
        <v>-3.6397999999999903E-2</v>
      </c>
      <c r="AE2931">
        <v>-0.91210000000000901</v>
      </c>
      <c r="AF2931">
        <v>-0.46715617671599302</v>
      </c>
      <c r="AG2931">
        <v>-3.6397999999999903E-2</v>
      </c>
      <c r="AH2931">
        <v>0.78849160660350803</v>
      </c>
      <c r="AI2931">
        <v>92.274281673957205</v>
      </c>
      <c r="AJ2931">
        <v>120.645391432281</v>
      </c>
      <c r="AK2931">
        <v>0.91721247349351198</v>
      </c>
      <c r="AL2931">
        <v>89.515476442978297</v>
      </c>
      <c r="AM2931">
        <v>92.355859071807998</v>
      </c>
      <c r="AN2931">
        <v>0.99999993117852604</v>
      </c>
    </row>
    <row r="2932" spans="1:40" x14ac:dyDescent="0.25">
      <c r="A2932" t="str">
        <f>"20190312160350417"</f>
        <v>20190312160350417</v>
      </c>
      <c r="B2932" t="str">
        <f>"1552377830407928"</f>
        <v>1552377830407928</v>
      </c>
      <c r="C2932" t="s">
        <v>40</v>
      </c>
      <c r="D2932">
        <v>5.8217999999999996</v>
      </c>
      <c r="E2932">
        <v>0.32281320000000002</v>
      </c>
      <c r="F2932" t="s">
        <v>49</v>
      </c>
      <c r="G2932">
        <v>-493.8374</v>
      </c>
      <c r="H2932">
        <v>1.080398</v>
      </c>
      <c r="I2932">
        <v>274.78030000000001</v>
      </c>
      <c r="J2932">
        <v>-493.73250000000002</v>
      </c>
      <c r="K2932">
        <v>1.119397</v>
      </c>
      <c r="L2932">
        <v>275.71879999999999</v>
      </c>
      <c r="M2932">
        <v>-0.59766699999999995</v>
      </c>
      <c r="N2932">
        <v>0</v>
      </c>
      <c r="O2932">
        <v>-0.80162159999999905</v>
      </c>
      <c r="P2932">
        <v>-0.56402839999999999</v>
      </c>
      <c r="Q2932">
        <v>-5.1066749999999998E-3</v>
      </c>
      <c r="R2932">
        <v>-0.82573999999999903</v>
      </c>
      <c r="S2932">
        <v>-0.53561400000000003</v>
      </c>
      <c r="T2932">
        <v>-0.1234049</v>
      </c>
      <c r="U2932">
        <v>-3.2793580000000002</v>
      </c>
      <c r="V2932">
        <v>-4.157959E-2</v>
      </c>
      <c r="W2932">
        <v>7.9762730000000007E-3</v>
      </c>
      <c r="X2932">
        <v>0.99910339999999997</v>
      </c>
      <c r="Y2932">
        <v>-0.46071319999999999</v>
      </c>
      <c r="Z2932">
        <v>2.4341479999999999E-2</v>
      </c>
      <c r="AA2932">
        <v>0.88721519999999998</v>
      </c>
      <c r="AB2932">
        <v>25</v>
      </c>
      <c r="AC2932">
        <v>-0.104899999999986</v>
      </c>
      <c r="AD2932">
        <v>-3.8998999999999999E-2</v>
      </c>
      <c r="AE2932">
        <v>-0.93849999999997602</v>
      </c>
      <c r="AF2932">
        <v>-0.47605543750491103</v>
      </c>
      <c r="AG2932">
        <v>-3.8998999999999999E-2</v>
      </c>
      <c r="AH2932">
        <v>0.81370965366036796</v>
      </c>
      <c r="AI2932">
        <v>92.368853546351801</v>
      </c>
      <c r="AJ2932">
        <v>120.32948540159801</v>
      </c>
      <c r="AK2932">
        <v>0.94354284589469894</v>
      </c>
      <c r="AL2932">
        <v>89.5429883947604</v>
      </c>
      <c r="AM2932">
        <v>92.383097758876403</v>
      </c>
      <c r="AN2932">
        <v>1.0000000435635401</v>
      </c>
    </row>
    <row r="2933" spans="1:40" x14ac:dyDescent="0.25">
      <c r="A2933" t="str">
        <f>"20190312160350430"</f>
        <v>20190312160350430</v>
      </c>
      <c r="B2933" t="str">
        <f>"1552377830427448"</f>
        <v>1552377830427448</v>
      </c>
      <c r="C2933" t="s">
        <v>40</v>
      </c>
      <c r="D2933">
        <v>5.7732169999999998</v>
      </c>
      <c r="E2933">
        <v>0.32379580000000002</v>
      </c>
      <c r="F2933" t="s">
        <v>49</v>
      </c>
      <c r="G2933">
        <v>-493.88600000000002</v>
      </c>
      <c r="H2933">
        <v>1.0827279999999999</v>
      </c>
      <c r="I2933">
        <v>274.73860000000002</v>
      </c>
      <c r="J2933">
        <v>-493.79730000000001</v>
      </c>
      <c r="K2933">
        <v>1.1193919999999999</v>
      </c>
      <c r="L2933">
        <v>275.62</v>
      </c>
      <c r="M2933">
        <v>-0.59201419999999905</v>
      </c>
      <c r="N2933">
        <v>0</v>
      </c>
      <c r="O2933">
        <v>-0.8058052</v>
      </c>
      <c r="P2933">
        <v>-0.55812879999999998</v>
      </c>
      <c r="Q2933">
        <v>-5.6690630000000002E-3</v>
      </c>
      <c r="R2933">
        <v>-0.82973519999999901</v>
      </c>
      <c r="S2933">
        <v>-0.5137024</v>
      </c>
      <c r="T2933">
        <v>-0.1227367</v>
      </c>
      <c r="U2933">
        <v>-3.2814640000000002</v>
      </c>
      <c r="V2933">
        <v>-4.1657899999999998E-2</v>
      </c>
      <c r="W2933">
        <v>7.41266699999999E-3</v>
      </c>
      <c r="X2933">
        <v>0.9991044</v>
      </c>
      <c r="Y2933">
        <v>-0.46033849999999998</v>
      </c>
      <c r="Z2933">
        <v>2.4430190000000001E-2</v>
      </c>
      <c r="AA2933">
        <v>0.88740719999999995</v>
      </c>
      <c r="AB2933">
        <v>25</v>
      </c>
      <c r="AC2933">
        <v>-8.86999999999602E-2</v>
      </c>
      <c r="AD2933">
        <v>-3.6663999999999801E-2</v>
      </c>
      <c r="AE2933">
        <v>-0.88139999999998497</v>
      </c>
      <c r="AF2933">
        <v>-0.449600629912565</v>
      </c>
      <c r="AG2933">
        <v>-3.6663999999999801E-2</v>
      </c>
      <c r="AH2933">
        <v>0.76151908586829198</v>
      </c>
      <c r="AI2933">
        <v>92.374083564276503</v>
      </c>
      <c r="AJ2933">
        <v>120.557589027616</v>
      </c>
      <c r="AK2933">
        <v>0.88509677067282</v>
      </c>
      <c r="AL2933">
        <v>89.575281561570094</v>
      </c>
      <c r="AM2933">
        <v>92.387578451741106</v>
      </c>
      <c r="AN2933">
        <v>0.99999996518191003</v>
      </c>
    </row>
    <row r="2934" spans="1:40" x14ac:dyDescent="0.25">
      <c r="A2934" t="str">
        <f>"20190312160350441"</f>
        <v>20190312160350441</v>
      </c>
      <c r="B2934" t="str">
        <f>"1552377830437208"</f>
        <v>1552377830437208</v>
      </c>
      <c r="C2934" t="s">
        <v>40</v>
      </c>
      <c r="D2934">
        <v>5.8291180000000002</v>
      </c>
      <c r="E2934">
        <v>0.32440219999999997</v>
      </c>
      <c r="F2934" t="s">
        <v>49</v>
      </c>
      <c r="G2934">
        <v>-493.95119999999997</v>
      </c>
      <c r="H2934">
        <v>1.081234</v>
      </c>
      <c r="I2934">
        <v>274.6019</v>
      </c>
      <c r="J2934">
        <v>-493.86619999999999</v>
      </c>
      <c r="K2934">
        <v>1.1193770000000001</v>
      </c>
      <c r="L2934">
        <v>275.51249999999999</v>
      </c>
      <c r="M2934">
        <v>-0.5858698</v>
      </c>
      <c r="N2934">
        <v>0</v>
      </c>
      <c r="O2934">
        <v>-0.81028330000000004</v>
      </c>
      <c r="P2934">
        <v>-0.55140809999999996</v>
      </c>
      <c r="Q2934">
        <v>-5.693661E-3</v>
      </c>
      <c r="R2934">
        <v>-0.83421610000000002</v>
      </c>
      <c r="S2934">
        <v>-0.4964905</v>
      </c>
      <c r="T2934">
        <v>-0.1229992</v>
      </c>
      <c r="U2934">
        <v>-3.2808229999999998</v>
      </c>
      <c r="V2934">
        <v>-4.2130500000000001E-2</v>
      </c>
      <c r="W2934">
        <v>7.3773819999999896E-3</v>
      </c>
      <c r="X2934">
        <v>0.99908490000000005</v>
      </c>
      <c r="Y2934">
        <v>-0.45810960000000001</v>
      </c>
      <c r="Z2934">
        <v>2.475656E-2</v>
      </c>
      <c r="AA2934">
        <v>0.88855090000000003</v>
      </c>
      <c r="AB2934">
        <v>25</v>
      </c>
      <c r="AC2934">
        <v>-8.4999999999979495E-2</v>
      </c>
      <c r="AD2934">
        <v>-3.8143000000000003E-2</v>
      </c>
      <c r="AE2934">
        <v>-0.91059999999998797</v>
      </c>
      <c r="AF2934">
        <v>-0.46385801120860398</v>
      </c>
      <c r="AG2934">
        <v>-3.8143000000000003E-2</v>
      </c>
      <c r="AH2934">
        <v>0.78635291249838302</v>
      </c>
      <c r="AI2934">
        <v>92.392369380991894</v>
      </c>
      <c r="AJ2934">
        <v>120.535729049895</v>
      </c>
      <c r="AK2934">
        <v>0.91376695388161899</v>
      </c>
      <c r="AL2934">
        <v>89.577303322139699</v>
      </c>
      <c r="AM2934">
        <v>92.414680212609596</v>
      </c>
      <c r="AN2934">
        <v>1.0000000211017099</v>
      </c>
    </row>
    <row r="2935" spans="1:40" x14ac:dyDescent="0.25">
      <c r="A2935" t="str">
        <f>"20190312160350452"</f>
        <v>20190312160350452</v>
      </c>
      <c r="B2935" t="str">
        <f>"1552377830446968"</f>
        <v>1552377830446968</v>
      </c>
      <c r="C2935" t="s">
        <v>40</v>
      </c>
      <c r="D2935">
        <v>5.7684800000000003</v>
      </c>
      <c r="E2935">
        <v>0.324936</v>
      </c>
      <c r="F2935" t="s">
        <v>49</v>
      </c>
      <c r="G2935">
        <v>-494.00900000000001</v>
      </c>
      <c r="H2935">
        <v>1.082276</v>
      </c>
      <c r="I2935">
        <v>274.52330000000001</v>
      </c>
      <c r="J2935">
        <v>-493.9325</v>
      </c>
      <c r="K2935">
        <v>1.1193679999999999</v>
      </c>
      <c r="L2935">
        <v>275.40769999999998</v>
      </c>
      <c r="M2935">
        <v>-0.57987040000000001</v>
      </c>
      <c r="N2935">
        <v>0</v>
      </c>
      <c r="O2935">
        <v>-0.81458779999999997</v>
      </c>
      <c r="P2935">
        <v>-0.54537279999999999</v>
      </c>
      <c r="Q2935">
        <v>-6.0035210000000004E-3</v>
      </c>
      <c r="R2935">
        <v>-0.83817240000000004</v>
      </c>
      <c r="S2935">
        <v>-0.47421259999999998</v>
      </c>
      <c r="T2935">
        <v>-0.12313010000000001</v>
      </c>
      <c r="U2935">
        <v>-3.2819519999999902</v>
      </c>
      <c r="V2935">
        <v>-4.1955279999999998E-2</v>
      </c>
      <c r="W2935">
        <v>7.0722149999999998E-3</v>
      </c>
      <c r="X2935">
        <v>0.9990945</v>
      </c>
      <c r="Y2935">
        <v>-0.45749400000000001</v>
      </c>
      <c r="Z2935">
        <v>2.5020440000000001E-2</v>
      </c>
      <c r="AA2935">
        <v>0.8888606</v>
      </c>
      <c r="AB2935">
        <v>25</v>
      </c>
      <c r="AC2935">
        <v>-7.6500000000009893E-2</v>
      </c>
      <c r="AD2935">
        <v>-3.7091999999999903E-2</v>
      </c>
      <c r="AE2935">
        <v>-0.88439999999997099</v>
      </c>
      <c r="AF2935">
        <v>-0.44978052269388002</v>
      </c>
      <c r="AG2935">
        <v>-3.7091999999999903E-2</v>
      </c>
      <c r="AH2935">
        <v>0.76352383588008998</v>
      </c>
      <c r="AI2935">
        <v>92.396843170032696</v>
      </c>
      <c r="AJ2935">
        <v>120.501705408615</v>
      </c>
      <c r="AK2935">
        <v>0.88693121662044705</v>
      </c>
      <c r="AL2935">
        <v>89.594788567333296</v>
      </c>
      <c r="AM2935">
        <v>92.404626335256793</v>
      </c>
      <c r="AN2935">
        <v>1.00000004083756</v>
      </c>
    </row>
    <row r="2936" spans="1:40" x14ac:dyDescent="0.25">
      <c r="A2936" t="str">
        <f>"20190312160350475"</f>
        <v>20190312160350475</v>
      </c>
      <c r="B2936" t="str">
        <f>"1552377830467465"</f>
        <v>1552377830467465</v>
      </c>
      <c r="C2936" t="s">
        <v>40</v>
      </c>
      <c r="D2936">
        <v>5.933764</v>
      </c>
      <c r="E2936">
        <v>0.32560020000000001</v>
      </c>
      <c r="F2936" t="s">
        <v>49</v>
      </c>
      <c r="G2936">
        <v>-494.0684</v>
      </c>
      <c r="H2936">
        <v>1.082387</v>
      </c>
      <c r="I2936">
        <v>274.42540000000002</v>
      </c>
      <c r="J2936">
        <v>-494.05610000000001</v>
      </c>
      <c r="K2936">
        <v>1.1193580000000001</v>
      </c>
      <c r="L2936">
        <v>275.20729999999998</v>
      </c>
      <c r="M2936">
        <v>-0.5683996</v>
      </c>
      <c r="N2936">
        <v>0</v>
      </c>
      <c r="O2936">
        <v>-0.82263249999999999</v>
      </c>
      <c r="P2936">
        <v>-0.53376789999999996</v>
      </c>
      <c r="Q2936">
        <v>-6.5307259999999997E-3</v>
      </c>
      <c r="R2936">
        <v>-0.84560590000000002</v>
      </c>
      <c r="S2936">
        <v>-0.4539185</v>
      </c>
      <c r="T2936">
        <v>-0.12358760000000001</v>
      </c>
      <c r="U2936">
        <v>-3.28302</v>
      </c>
      <c r="V2936">
        <v>-4.1713409999999999E-2</v>
      </c>
      <c r="W2936">
        <v>6.5519979999999998E-3</v>
      </c>
      <c r="X2936">
        <v>0.99910810000000005</v>
      </c>
      <c r="Y2936">
        <v>-0.45045079999999998</v>
      </c>
      <c r="Z2936">
        <v>2.5618599999999998E-2</v>
      </c>
      <c r="AA2936">
        <v>0.89243359999999905</v>
      </c>
      <c r="AB2936">
        <v>25</v>
      </c>
      <c r="AC2936">
        <v>-1.22999999999819E-2</v>
      </c>
      <c r="AD2936">
        <v>-3.6970999999999997E-2</v>
      </c>
      <c r="AE2936">
        <v>-0.78189999999994997</v>
      </c>
      <c r="AF2936">
        <v>-0.43338749895901801</v>
      </c>
      <c r="AG2936">
        <v>-3.6970999999999997E-2</v>
      </c>
      <c r="AH2936">
        <v>0.64882170457274202</v>
      </c>
      <c r="AI2936">
        <v>92.7128377694318</v>
      </c>
      <c r="AJ2936">
        <v>123.741372445197</v>
      </c>
      <c r="AK2936">
        <v>0.78112814788588403</v>
      </c>
      <c r="AL2936">
        <v>89.624595468627007</v>
      </c>
      <c r="AM2936">
        <v>92.390747416077204</v>
      </c>
      <c r="AN2936">
        <v>0.99999996636861399</v>
      </c>
    </row>
    <row r="2937" spans="1:40" x14ac:dyDescent="0.25">
      <c r="A2937" t="str">
        <f>"20190312160350486"</f>
        <v>20190312160350486</v>
      </c>
      <c r="B2937" t="str">
        <f>"1552377830477224"</f>
        <v>1552377830477224</v>
      </c>
      <c r="C2937" t="s">
        <v>40</v>
      </c>
      <c r="D2937">
        <v>5.827814</v>
      </c>
      <c r="E2937">
        <v>0.32642059999999901</v>
      </c>
      <c r="F2937" t="s">
        <v>49</v>
      </c>
      <c r="G2937">
        <v>-494.17720000000003</v>
      </c>
      <c r="H2937">
        <v>1.0826309999999999</v>
      </c>
      <c r="I2937">
        <v>274.2448</v>
      </c>
      <c r="J2937">
        <v>-494.12270000000001</v>
      </c>
      <c r="K2937">
        <v>1.119351</v>
      </c>
      <c r="L2937">
        <v>275.09730000000002</v>
      </c>
      <c r="M2937">
        <v>-0.56207779999999996</v>
      </c>
      <c r="N2937">
        <v>0</v>
      </c>
      <c r="O2937">
        <v>-0.82696519999999996</v>
      </c>
      <c r="P2937">
        <v>-0.52763839999999995</v>
      </c>
      <c r="Q2937">
        <v>-6.3658600000000001E-3</v>
      </c>
      <c r="R2937">
        <v>-0.84944580000000003</v>
      </c>
      <c r="S2937">
        <v>-0.4129333</v>
      </c>
      <c r="T2937">
        <v>-0.12534960000000001</v>
      </c>
      <c r="U2937">
        <v>-3.2861940000000001</v>
      </c>
      <c r="V2937">
        <v>-4.1285540000000003E-2</v>
      </c>
      <c r="W2937">
        <v>6.726994E-3</v>
      </c>
      <c r="X2937">
        <v>0.99912480000000004</v>
      </c>
      <c r="Y2937">
        <v>-0.45466040000000002</v>
      </c>
      <c r="Z2937">
        <v>2.6168420000000001E-2</v>
      </c>
      <c r="AA2937">
        <v>0.89028039999999997</v>
      </c>
      <c r="AB2937">
        <v>25</v>
      </c>
      <c r="AC2937">
        <v>-5.4500000000018603E-2</v>
      </c>
      <c r="AD2937">
        <v>-3.6720000000000003E-2</v>
      </c>
      <c r="AE2937">
        <v>-0.85250000000002002</v>
      </c>
      <c r="AF2937">
        <v>-0.43334379446452898</v>
      </c>
      <c r="AG2937">
        <v>-3.6720000000000003E-2</v>
      </c>
      <c r="AH2937">
        <v>0.73433670407356899</v>
      </c>
      <c r="AI2937">
        <v>92.465918464078001</v>
      </c>
      <c r="AJ2937">
        <v>120.54553218487401</v>
      </c>
      <c r="AK2937">
        <v>0.85345509404452502</v>
      </c>
      <c r="AL2937">
        <v>89.6145687500169</v>
      </c>
      <c r="AM2937">
        <v>92.366213141012295</v>
      </c>
      <c r="AN2937">
        <v>1.0000000571181999</v>
      </c>
    </row>
    <row r="2938" spans="1:40" x14ac:dyDescent="0.25">
      <c r="A2938" t="str">
        <f>"20190312160350496"</f>
        <v>20190312160350496</v>
      </c>
      <c r="B2938" t="str">
        <f>"1552377830486984"</f>
        <v>1552377830486984</v>
      </c>
      <c r="C2938" t="s">
        <v>40</v>
      </c>
      <c r="D2938">
        <v>5.8236049999999997</v>
      </c>
      <c r="E2938">
        <v>0.32642059999999901</v>
      </c>
      <c r="F2938" t="s">
        <v>41</v>
      </c>
      <c r="G2938">
        <v>-497.58569999999997</v>
      </c>
      <c r="H2938" s="1">
        <v>-4.5060760000000001E-6</v>
      </c>
      <c r="I2938">
        <v>246.2741</v>
      </c>
      <c r="J2938">
        <v>-494.1771</v>
      </c>
      <c r="K2938">
        <v>1.1193470000000001</v>
      </c>
      <c r="L2938">
        <v>275.00510000000003</v>
      </c>
      <c r="M2938">
        <v>-0.55679489999999998</v>
      </c>
      <c r="N2938">
        <v>0</v>
      </c>
      <c r="O2938">
        <v>-0.83053109999999997</v>
      </c>
      <c r="P2938">
        <v>-0.52264460000000001</v>
      </c>
      <c r="Q2938">
        <v>-6.5561100000000004E-3</v>
      </c>
      <c r="R2938">
        <v>-0.85252539999999999</v>
      </c>
      <c r="S2938">
        <v>-0.39474490000000001</v>
      </c>
      <c r="T2938">
        <v>-0.1275963</v>
      </c>
      <c r="U2938">
        <v>-3.2855829999999999</v>
      </c>
      <c r="V2938">
        <v>-4.0774860000000003E-2</v>
      </c>
      <c r="W2938">
        <v>6.5491369999999896E-3</v>
      </c>
      <c r="X2938">
        <v>0.99914689999999995</v>
      </c>
      <c r="Y2938">
        <v>-0.45381909999999998</v>
      </c>
      <c r="Z2938">
        <v>2.6856560000000002E-2</v>
      </c>
      <c r="AA2938">
        <v>0.89068899999999995</v>
      </c>
      <c r="AB2938">
        <v>25</v>
      </c>
      <c r="AC2938">
        <v>-3.4085999999999701</v>
      </c>
      <c r="AD2938">
        <v>-1.119351506076</v>
      </c>
      <c r="AE2938">
        <v>-28.731000000000002</v>
      </c>
      <c r="AF2938">
        <v>-13.1479467991539</v>
      </c>
      <c r="AG2938">
        <v>-1.119351506076</v>
      </c>
      <c r="AH2938">
        <v>25.723921344475301</v>
      </c>
      <c r="AI2938">
        <v>92.218889610216493</v>
      </c>
      <c r="AJ2938">
        <v>117.072371235582</v>
      </c>
      <c r="AK2938">
        <v>28.910924962101902</v>
      </c>
      <c r="AL2938">
        <v>89.6247594095301</v>
      </c>
      <c r="AM2938">
        <v>92.336925373000099</v>
      </c>
      <c r="AN2938">
        <v>1.00000000409153</v>
      </c>
    </row>
    <row r="2939" spans="1:40" x14ac:dyDescent="0.25">
      <c r="A2939" t="str">
        <f>"20190312160350507"</f>
        <v>20190312160350507</v>
      </c>
      <c r="B2939" t="str">
        <f>"1552377830497720"</f>
        <v>1552377830497720</v>
      </c>
      <c r="C2939" t="s">
        <v>40</v>
      </c>
      <c r="D2939">
        <v>5.830184</v>
      </c>
      <c r="E2939">
        <v>0.34538930000000001</v>
      </c>
      <c r="F2939" t="s">
        <v>49</v>
      </c>
      <c r="G2939">
        <v>-494.28449999999998</v>
      </c>
      <c r="H2939">
        <v>1.082697</v>
      </c>
      <c r="I2939">
        <v>274.06319999999999</v>
      </c>
      <c r="J2939">
        <v>-494.23610000000002</v>
      </c>
      <c r="K2939">
        <v>1.1193409999999999</v>
      </c>
      <c r="L2939">
        <v>274.90460000000002</v>
      </c>
      <c r="M2939">
        <v>-0.55101940000000005</v>
      </c>
      <c r="N2939">
        <v>0</v>
      </c>
      <c r="O2939">
        <v>-0.83437439999999996</v>
      </c>
      <c r="P2939">
        <v>-0.51720429999999995</v>
      </c>
      <c r="Q2939">
        <v>-6.8036340000000002E-3</v>
      </c>
      <c r="R2939">
        <v>-0.85583529999999997</v>
      </c>
      <c r="S2939">
        <v>-0.375</v>
      </c>
      <c r="T2939">
        <v>-0.12793180000000001</v>
      </c>
      <c r="U2939">
        <v>-3.288116</v>
      </c>
      <c r="V2939">
        <v>-4.0199400000000003E-2</v>
      </c>
      <c r="W2939">
        <v>6.3154919999999998E-3</v>
      </c>
      <c r="X2939">
        <v>0.9991717</v>
      </c>
      <c r="Y2939">
        <v>-0.45299489999999998</v>
      </c>
      <c r="Z2939">
        <v>2.7137680000000001E-2</v>
      </c>
      <c r="AA2939">
        <v>0.8911</v>
      </c>
      <c r="AB2939">
        <v>25</v>
      </c>
      <c r="AC2939">
        <v>-4.8399999999958199E-2</v>
      </c>
      <c r="AD2939">
        <v>-3.6643999999999899E-2</v>
      </c>
      <c r="AE2939">
        <v>-0.84140000000002102</v>
      </c>
      <c r="AF2939">
        <v>-0.42248700182126298</v>
      </c>
      <c r="AG2939">
        <v>-3.6643999999999899E-2</v>
      </c>
      <c r="AH2939">
        <v>0.72740860874477298</v>
      </c>
      <c r="AI2939">
        <v>92.494315702286997</v>
      </c>
      <c r="AJ2939">
        <v>120.14849583273801</v>
      </c>
      <c r="AK2939">
        <v>0.84199841657803998</v>
      </c>
      <c r="AL2939">
        <v>89.638146550733296</v>
      </c>
      <c r="AM2939">
        <v>92.303922764990403</v>
      </c>
      <c r="AN2939">
        <v>0.99999998164022497</v>
      </c>
    </row>
    <row r="2940" spans="1:40" x14ac:dyDescent="0.25">
      <c r="A2940" t="str">
        <f>"20190312160350518"</f>
        <v>20190312160350518</v>
      </c>
      <c r="B2940" t="str">
        <f>"1552377830507480"</f>
        <v>1552377830507480</v>
      </c>
      <c r="C2940" t="s">
        <v>40</v>
      </c>
      <c r="D2940">
        <v>5.7729990000000004</v>
      </c>
      <c r="E2940">
        <v>0.34587679999999998</v>
      </c>
      <c r="F2940" t="s">
        <v>49</v>
      </c>
      <c r="G2940">
        <v>-494.39569999999998</v>
      </c>
      <c r="H2940">
        <v>1.055785</v>
      </c>
      <c r="I2940">
        <v>273.83449999999999</v>
      </c>
      <c r="J2940">
        <v>-494.29539999999997</v>
      </c>
      <c r="K2940">
        <v>1.1193360000000001</v>
      </c>
      <c r="L2940">
        <v>274.80059999999997</v>
      </c>
      <c r="M2940">
        <v>-0.54505609999999904</v>
      </c>
      <c r="N2940">
        <v>0</v>
      </c>
      <c r="O2940">
        <v>-0.83828199999999997</v>
      </c>
      <c r="P2940">
        <v>-0.51179370000000002</v>
      </c>
      <c r="Q2940">
        <v>-7.1993719999999999E-3</v>
      </c>
      <c r="R2940">
        <v>-0.85907840000000002</v>
      </c>
      <c r="S2940">
        <v>-0.4792786</v>
      </c>
      <c r="T2940">
        <v>-0.1908743</v>
      </c>
      <c r="U2940">
        <v>-3.2142029999999999</v>
      </c>
      <c r="V2940">
        <v>-3.9369500000000002E-2</v>
      </c>
      <c r="W2940">
        <v>5.9392739999999996E-3</v>
      </c>
      <c r="X2940">
        <v>0.99920710000000001</v>
      </c>
      <c r="Y2940">
        <v>-0.41561369999999997</v>
      </c>
      <c r="Z2940">
        <v>4.2208540000000003E-2</v>
      </c>
      <c r="AA2940">
        <v>0.90856130000000002</v>
      </c>
      <c r="AB2940">
        <v>25</v>
      </c>
      <c r="AC2940">
        <v>-0.100300000000004</v>
      </c>
      <c r="AD2940">
        <v>-6.3551000000000094E-2</v>
      </c>
      <c r="AE2940">
        <v>-0.96609999999998297</v>
      </c>
      <c r="AF2940">
        <v>-0.440656189848039</v>
      </c>
      <c r="AG2940">
        <v>-6.3551000000000094E-2</v>
      </c>
      <c r="AH2940">
        <v>0.86093294627704298</v>
      </c>
      <c r="AI2940">
        <v>93.759467197675207</v>
      </c>
      <c r="AJ2940">
        <v>117.104985991398</v>
      </c>
      <c r="AK2940">
        <v>0.96923791983065799</v>
      </c>
      <c r="AL2940">
        <v>89.659702676157394</v>
      </c>
      <c r="AM2940">
        <v>92.256329054311493</v>
      </c>
      <c r="AN2940">
        <v>1.00000003059815</v>
      </c>
    </row>
    <row r="2941" spans="1:40" x14ac:dyDescent="0.25">
      <c r="A2941" t="str">
        <f>"20190312160350529"</f>
        <v>20190312160350529</v>
      </c>
      <c r="B2941" t="str">
        <f>"1552377830527976"</f>
        <v>1552377830527976</v>
      </c>
      <c r="C2941" t="s">
        <v>40</v>
      </c>
      <c r="D2941">
        <v>5.7711059999999996</v>
      </c>
      <c r="E2941">
        <v>0.34570580000000001</v>
      </c>
      <c r="F2941" t="s">
        <v>41</v>
      </c>
      <c r="G2941">
        <v>-497.11419999999998</v>
      </c>
      <c r="H2941" s="1">
        <v>-4.0662430000000003E-6</v>
      </c>
      <c r="I2941">
        <v>255.22739999999999</v>
      </c>
      <c r="J2941">
        <v>-494.35559999999998</v>
      </c>
      <c r="K2941">
        <v>1.1193299999999999</v>
      </c>
      <c r="L2941">
        <v>274.69450000000001</v>
      </c>
      <c r="M2941">
        <v>-0.53895119999999996</v>
      </c>
      <c r="N2941">
        <v>0</v>
      </c>
      <c r="O2941">
        <v>-0.84221970000000002</v>
      </c>
      <c r="P2941">
        <v>-0.50624139999999995</v>
      </c>
      <c r="Q2941">
        <v>-7.3795340000000001E-3</v>
      </c>
      <c r="R2941">
        <v>-0.86236039999999903</v>
      </c>
      <c r="S2941">
        <v>-0.46295170000000002</v>
      </c>
      <c r="T2941">
        <v>-0.1838428</v>
      </c>
      <c r="U2941">
        <v>-3.2147519999999998</v>
      </c>
      <c r="V2941">
        <v>-3.8550500000000001E-2</v>
      </c>
      <c r="W2941">
        <v>5.7785830000000003E-3</v>
      </c>
      <c r="X2941">
        <v>0.99923989999999996</v>
      </c>
      <c r="Y2941">
        <v>-0.4135394</v>
      </c>
      <c r="Z2941">
        <v>4.1014750000000003E-2</v>
      </c>
      <c r="AA2941">
        <v>0.90956199999999998</v>
      </c>
      <c r="AB2941">
        <v>25</v>
      </c>
      <c r="AC2941">
        <v>-2.7585999999999999</v>
      </c>
      <c r="AD2941">
        <v>-1.119334066243</v>
      </c>
      <c r="AE2941">
        <v>-19.467099999999999</v>
      </c>
      <c r="AF2941">
        <v>-8.1428854270876894</v>
      </c>
      <c r="AG2941">
        <v>-1.119334066243</v>
      </c>
      <c r="AH2941">
        <v>17.826317215983</v>
      </c>
      <c r="AI2941">
        <v>93.268869508061996</v>
      </c>
      <c r="AJ2941">
        <v>114.550451818052</v>
      </c>
      <c r="AK2941">
        <v>19.630004516438099</v>
      </c>
      <c r="AL2941">
        <v>89.668909725124806</v>
      </c>
      <c r="AM2941">
        <v>92.209365412410904</v>
      </c>
      <c r="AN2941">
        <v>0.99999995541187303</v>
      </c>
    </row>
    <row r="2942" spans="1:40" x14ac:dyDescent="0.25">
      <c r="A2942" t="str">
        <f>"20190312160350542"</f>
        <v>20190312160350542</v>
      </c>
      <c r="B2942" t="str">
        <f>"1552377830537737"</f>
        <v>1552377830537737</v>
      </c>
      <c r="C2942" t="s">
        <v>40</v>
      </c>
      <c r="D2942">
        <v>5.7646990000000002</v>
      </c>
      <c r="E2942">
        <v>0.34570580000000001</v>
      </c>
      <c r="F2942" t="s">
        <v>49</v>
      </c>
      <c r="G2942">
        <v>-494.50580000000002</v>
      </c>
      <c r="H2942">
        <v>1.058567</v>
      </c>
      <c r="I2942">
        <v>273.59840000000003</v>
      </c>
      <c r="J2942">
        <v>-494.41629999999998</v>
      </c>
      <c r="K2942">
        <v>1.1193249999999999</v>
      </c>
      <c r="L2942">
        <v>274.58499999999998</v>
      </c>
      <c r="M2942">
        <v>-0.53265580000000001</v>
      </c>
      <c r="N2942">
        <v>0</v>
      </c>
      <c r="O2942">
        <v>-0.84621539999999995</v>
      </c>
      <c r="P2942">
        <v>-0.50051859999999904</v>
      </c>
      <c r="Q2942">
        <v>-7.4577559999999899E-3</v>
      </c>
      <c r="R2942">
        <v>-0.86569399999999996</v>
      </c>
      <c r="S2942">
        <v>-0.4408569</v>
      </c>
      <c r="T2942">
        <v>-0.17838619999999999</v>
      </c>
      <c r="U2942">
        <v>-3.2184750000000002</v>
      </c>
      <c r="V2942">
        <v>-3.7715230000000002E-2</v>
      </c>
      <c r="W2942">
        <v>5.719933E-3</v>
      </c>
      <c r="X2942">
        <v>0.99927220000000005</v>
      </c>
      <c r="Y2942">
        <v>-0.41301779999999999</v>
      </c>
      <c r="Z2942">
        <v>4.009563E-2</v>
      </c>
      <c r="AA2942">
        <v>0.90983990000000003</v>
      </c>
      <c r="AB2942">
        <v>25</v>
      </c>
      <c r="AC2942">
        <v>-8.95000000000436E-2</v>
      </c>
      <c r="AD2942">
        <v>-6.0757999999999798E-2</v>
      </c>
      <c r="AE2942">
        <v>-0.98659999999995296</v>
      </c>
      <c r="AF2942">
        <v>-0.44814061281234502</v>
      </c>
      <c r="AG2942">
        <v>-6.0757999999999798E-2</v>
      </c>
      <c r="AH2942">
        <v>0.87932825588997998</v>
      </c>
      <c r="AI2942">
        <v>93.522801205837894</v>
      </c>
      <c r="AJ2942">
        <v>117.005197893748</v>
      </c>
      <c r="AK2942">
        <v>0.98880722338701499</v>
      </c>
      <c r="AL2942">
        <v>89.672270206971405</v>
      </c>
      <c r="AM2942">
        <v>92.161471410693096</v>
      </c>
      <c r="AN2942">
        <v>1.0000000429501501</v>
      </c>
    </row>
    <row r="2943" spans="1:40" x14ac:dyDescent="0.25">
      <c r="A2943" t="str">
        <f>"20190312160350553"</f>
        <v>20190312160350553</v>
      </c>
      <c r="B2943" t="str">
        <f>"1552377830547497"</f>
        <v>1552377830547497</v>
      </c>
      <c r="C2943" t="s">
        <v>40</v>
      </c>
      <c r="D2943">
        <v>5.9693250000000004</v>
      </c>
      <c r="E2943">
        <v>0.3415396</v>
      </c>
      <c r="F2943" t="s">
        <v>41</v>
      </c>
      <c r="G2943">
        <v>-497.05450000000002</v>
      </c>
      <c r="H2943" s="1">
        <v>-3.7510810000000001E-6</v>
      </c>
      <c r="I2943">
        <v>254.33240000000001</v>
      </c>
      <c r="J2943">
        <v>-494.47390000000001</v>
      </c>
      <c r="K2943">
        <v>1.119319</v>
      </c>
      <c r="L2943">
        <v>274.4794</v>
      </c>
      <c r="M2943">
        <v>-0.52657679999999996</v>
      </c>
      <c r="N2943">
        <v>0</v>
      </c>
      <c r="O2943">
        <v>-0.85001150000000003</v>
      </c>
      <c r="P2943">
        <v>-0.49501970000000001</v>
      </c>
      <c r="Q2943">
        <v>-7.4302909999999899E-3</v>
      </c>
      <c r="R2943">
        <v>-0.86885000000000001</v>
      </c>
      <c r="S2943">
        <v>-0.41961670000000001</v>
      </c>
      <c r="T2943">
        <v>-0.17803440000000001</v>
      </c>
      <c r="U2943">
        <v>-3.2212830000000001</v>
      </c>
      <c r="V2943">
        <v>-3.6889930000000001E-2</v>
      </c>
      <c r="W2943">
        <v>5.766663E-3</v>
      </c>
      <c r="X2943">
        <v>0.99930269999999999</v>
      </c>
      <c r="Y2943">
        <v>-0.41249190000000002</v>
      </c>
      <c r="Z2943">
        <v>4.0305380000000002E-2</v>
      </c>
      <c r="AA2943">
        <v>0.91006920000000002</v>
      </c>
      <c r="AB2943">
        <v>25</v>
      </c>
      <c r="AC2943">
        <v>-2.5806</v>
      </c>
      <c r="AD2943">
        <v>-1.119322751081</v>
      </c>
      <c r="AE2943">
        <v>-20.146999999999899</v>
      </c>
      <c r="AF2943">
        <v>-8.3907521150970705</v>
      </c>
      <c r="AG2943">
        <v>-1.119322751081</v>
      </c>
      <c r="AH2943">
        <v>18.429920939845999</v>
      </c>
      <c r="AI2943">
        <v>93.163799772750096</v>
      </c>
      <c r="AJ2943">
        <v>114.47876751434301</v>
      </c>
      <c r="AK2943">
        <v>20.2810155151823</v>
      </c>
      <c r="AL2943">
        <v>89.669592718208804</v>
      </c>
      <c r="AM2943">
        <v>92.114152146553707</v>
      </c>
      <c r="AN2943">
        <v>1.0000000037824199</v>
      </c>
    </row>
    <row r="2944" spans="1:40" x14ac:dyDescent="0.25">
      <c r="A2944" t="str">
        <f>"20190312160350564"</f>
        <v>20190312160350564</v>
      </c>
      <c r="B2944" t="str">
        <f>"1552377830557256"</f>
        <v>1552377830557256</v>
      </c>
      <c r="C2944" t="s">
        <v>40</v>
      </c>
      <c r="D2944">
        <v>5.7620120000000004</v>
      </c>
      <c r="E2944">
        <v>0.34020260000000002</v>
      </c>
      <c r="F2944" t="s">
        <v>41</v>
      </c>
      <c r="G2944">
        <v>-496.90109999999999</v>
      </c>
      <c r="H2944" s="1">
        <v>-3.3655260000000001E-6</v>
      </c>
      <c r="I2944">
        <v>253.27930000000001</v>
      </c>
      <c r="J2944">
        <v>-494.5317</v>
      </c>
      <c r="K2944">
        <v>1.1193120000000001</v>
      </c>
      <c r="L2944">
        <v>274.37189999999998</v>
      </c>
      <c r="M2944">
        <v>-0.52038229999999996</v>
      </c>
      <c r="N2944">
        <v>0</v>
      </c>
      <c r="O2944">
        <v>-0.85381810000000002</v>
      </c>
      <c r="P2944">
        <v>-0.4893672</v>
      </c>
      <c r="Q2944">
        <v>-7.3391869999999996E-3</v>
      </c>
      <c r="R2944">
        <v>-0.87204729999999997</v>
      </c>
      <c r="S2944">
        <v>-0.37094120000000003</v>
      </c>
      <c r="T2944">
        <v>-0.171065299999999</v>
      </c>
      <c r="U2944">
        <v>-3.2399900000000001</v>
      </c>
      <c r="V2944">
        <v>-3.6115099999999997E-2</v>
      </c>
      <c r="W2944">
        <v>5.8758550000000001E-3</v>
      </c>
      <c r="X2944">
        <v>0.9993303</v>
      </c>
      <c r="Y2944">
        <v>-0.41999170000000002</v>
      </c>
      <c r="Z2944">
        <v>3.8733169999999997E-2</v>
      </c>
      <c r="AA2944">
        <v>0.90670099999999998</v>
      </c>
      <c r="AB2944">
        <v>24</v>
      </c>
      <c r="AC2944">
        <v>-2.3693999999999802</v>
      </c>
      <c r="AD2944">
        <v>-1.119315365526</v>
      </c>
      <c r="AE2944">
        <v>-21.092599999999901</v>
      </c>
      <c r="AF2944">
        <v>-8.9292286722055696</v>
      </c>
      <c r="AG2944">
        <v>-1.119315365526</v>
      </c>
      <c r="AH2944">
        <v>19.1907630555623</v>
      </c>
      <c r="AI2944">
        <v>93.027078940089297</v>
      </c>
      <c r="AJ2944">
        <v>114.95198612431101</v>
      </c>
      <c r="AK2944">
        <v>21.195975519489</v>
      </c>
      <c r="AL2944">
        <v>89.6633363490878</v>
      </c>
      <c r="AM2944">
        <v>92.069728765023697</v>
      </c>
      <c r="AN2944">
        <v>0.99999993730903802</v>
      </c>
    </row>
    <row r="2945" spans="1:40" x14ac:dyDescent="0.25">
      <c r="A2945" t="str">
        <f>"20190312160350575"</f>
        <v>20190312160350575</v>
      </c>
      <c r="B2945" t="str">
        <f>"1552377830567017"</f>
        <v>1552377830567017</v>
      </c>
      <c r="C2945" t="s">
        <v>40</v>
      </c>
      <c r="D2945">
        <v>5.7309710000000003</v>
      </c>
      <c r="E2945">
        <v>0.33902579999999999</v>
      </c>
      <c r="F2945" t="s">
        <v>41</v>
      </c>
      <c r="G2945">
        <v>-496.81869999999998</v>
      </c>
      <c r="H2945" s="1">
        <v>-3.0896839999999998E-6</v>
      </c>
      <c r="I2945">
        <v>252.56209999999999</v>
      </c>
      <c r="J2945">
        <v>-494.5865</v>
      </c>
      <c r="K2945">
        <v>1.119308</v>
      </c>
      <c r="L2945">
        <v>274.26760000000002</v>
      </c>
      <c r="M2945">
        <v>-0.51437549999999999</v>
      </c>
      <c r="N2945">
        <v>0</v>
      </c>
      <c r="O2945">
        <v>-0.85745020000000005</v>
      </c>
      <c r="P2945">
        <v>-0.48371419999999998</v>
      </c>
      <c r="Q2945">
        <v>-7.1706799999999996E-3</v>
      </c>
      <c r="R2945">
        <v>-0.875196999999999</v>
      </c>
      <c r="S2945">
        <v>-0.34054570000000001</v>
      </c>
      <c r="T2945">
        <v>-0.16667319999999999</v>
      </c>
      <c r="U2945">
        <v>-3.24762</v>
      </c>
      <c r="V2945">
        <v>-3.5570869999999997E-2</v>
      </c>
      <c r="W2945">
        <v>6.0575280000000004E-3</v>
      </c>
      <c r="X2945">
        <v>0.99934880000000004</v>
      </c>
      <c r="Y2945">
        <v>-0.42224299999999998</v>
      </c>
      <c r="Z2945">
        <v>3.7910149999999997E-2</v>
      </c>
      <c r="AA2945">
        <v>0.90568959999999998</v>
      </c>
      <c r="AB2945">
        <v>24</v>
      </c>
      <c r="AC2945">
        <v>-2.23219999999997</v>
      </c>
      <c r="AD2945">
        <v>-1.1193110896839999</v>
      </c>
      <c r="AE2945">
        <v>-21.705500000000001</v>
      </c>
      <c r="AF2945">
        <v>-9.2274070716731291</v>
      </c>
      <c r="AG2945">
        <v>-1.1193110896839999</v>
      </c>
      <c r="AH2945">
        <v>19.709656188035801</v>
      </c>
      <c r="AI2945">
        <v>92.9442720500017</v>
      </c>
      <c r="AJ2945">
        <v>115.087434311236</v>
      </c>
      <c r="AK2945">
        <v>21.7914764445283</v>
      </c>
      <c r="AL2945">
        <v>89.652927089514705</v>
      </c>
      <c r="AM2945">
        <v>92.038528170117402</v>
      </c>
      <c r="AN2945">
        <v>1.00000000224973</v>
      </c>
    </row>
    <row r="2946" spans="1:40" x14ac:dyDescent="0.25">
      <c r="A2946" t="str">
        <f>"20190312160350585"</f>
        <v>20190312160350585</v>
      </c>
      <c r="B2946" t="str">
        <f>"1552377830577752"</f>
        <v>1552377830577752</v>
      </c>
      <c r="C2946" t="s">
        <v>40</v>
      </c>
      <c r="D2946">
        <v>5.8790060000000004</v>
      </c>
      <c r="E2946">
        <v>0.33837729999999999</v>
      </c>
      <c r="F2946" t="s">
        <v>41</v>
      </c>
      <c r="G2946">
        <v>-496.78680000000003</v>
      </c>
      <c r="H2946" s="1">
        <v>-2.5495950000000002E-6</v>
      </c>
      <c r="I2946">
        <v>251.3229</v>
      </c>
      <c r="J2946">
        <v>-494.6379</v>
      </c>
      <c r="K2946">
        <v>1.1193040000000001</v>
      </c>
      <c r="L2946">
        <v>274.16899999999998</v>
      </c>
      <c r="M2946">
        <v>-0.5086851</v>
      </c>
      <c r="N2946">
        <v>0</v>
      </c>
      <c r="O2946">
        <v>-0.86083790000000004</v>
      </c>
      <c r="P2946">
        <v>-0.47853689999999999</v>
      </c>
      <c r="Q2946">
        <v>-7.4223319999999898E-3</v>
      </c>
      <c r="R2946">
        <v>-0.87803609999999899</v>
      </c>
      <c r="S2946">
        <v>-0.31204219999999999</v>
      </c>
      <c r="T2946">
        <v>-0.15874460000000001</v>
      </c>
      <c r="U2946">
        <v>-3.254089</v>
      </c>
      <c r="V2946">
        <v>-3.4847549999999998E-2</v>
      </c>
      <c r="W2946">
        <v>5.8229290000000001E-3</v>
      </c>
      <c r="X2946">
        <v>0.99937569999999998</v>
      </c>
      <c r="Y2946">
        <v>-0.42427510000000002</v>
      </c>
      <c r="Z2946">
        <v>3.6267460000000001E-2</v>
      </c>
      <c r="AA2946">
        <v>0.90480680000000002</v>
      </c>
      <c r="AB2946">
        <v>24</v>
      </c>
      <c r="AC2946">
        <v>-2.1489000000000198</v>
      </c>
      <c r="AD2946">
        <v>-1.1193065495950001</v>
      </c>
      <c r="AE2946">
        <v>-22.8461</v>
      </c>
      <c r="AF2946">
        <v>-9.7493849003419708</v>
      </c>
      <c r="AG2946">
        <v>-1.1193065495950001</v>
      </c>
      <c r="AH2946">
        <v>20.7126717392816</v>
      </c>
      <c r="AI2946">
        <v>92.799195707048497</v>
      </c>
      <c r="AJ2946">
        <v>115.206208257553</v>
      </c>
      <c r="AK2946">
        <v>22.919819450995199</v>
      </c>
      <c r="AL2946">
        <v>89.666368866506204</v>
      </c>
      <c r="AM2946">
        <v>91.997055684332693</v>
      </c>
      <c r="AN2946">
        <v>1.0000000239968101</v>
      </c>
    </row>
    <row r="2947" spans="1:40" x14ac:dyDescent="0.25">
      <c r="A2947" t="str">
        <f>"20190312160350597"</f>
        <v>20190312160350597</v>
      </c>
      <c r="B2947" t="str">
        <f>"1552377830587512"</f>
        <v>1552377830587512</v>
      </c>
      <c r="C2947" t="s">
        <v>40</v>
      </c>
      <c r="D2947">
        <v>5.8601359999999998</v>
      </c>
      <c r="E2947">
        <v>0.33838069999999998</v>
      </c>
      <c r="F2947" t="s">
        <v>41</v>
      </c>
      <c r="G2947">
        <v>-496.71879999999999</v>
      </c>
      <c r="H2947" s="1">
        <v>-2.253556E-6</v>
      </c>
      <c r="I2947">
        <v>250.67500000000001</v>
      </c>
      <c r="J2947">
        <v>-494.69349999999997</v>
      </c>
      <c r="K2947">
        <v>1.119302</v>
      </c>
      <c r="L2947">
        <v>274.05939999999998</v>
      </c>
      <c r="M2947">
        <v>-0.50236709999999996</v>
      </c>
      <c r="N2947">
        <v>0</v>
      </c>
      <c r="O2947">
        <v>-0.86454039999999999</v>
      </c>
      <c r="P2947">
        <v>-0.47268690000000002</v>
      </c>
      <c r="Q2947">
        <v>-7.6740539999999996E-3</v>
      </c>
      <c r="R2947">
        <v>-0.88119720000000001</v>
      </c>
      <c r="S2947">
        <v>-0.2885742</v>
      </c>
      <c r="T2947">
        <v>-0.15522420000000001</v>
      </c>
      <c r="U2947">
        <v>-3.2581180000000001</v>
      </c>
      <c r="V2947">
        <v>-3.4167570000000001E-2</v>
      </c>
      <c r="W2947">
        <v>5.5868979999999999E-3</v>
      </c>
      <c r="X2947">
        <v>0.99940050000000002</v>
      </c>
      <c r="Y2947">
        <v>-0.42421110000000001</v>
      </c>
      <c r="Z2947">
        <v>3.5687740000000003E-2</v>
      </c>
      <c r="AA2947">
        <v>0.90485979999999999</v>
      </c>
      <c r="AB2947">
        <v>24</v>
      </c>
      <c r="AC2947">
        <v>-2.0253000000000099</v>
      </c>
      <c r="AD2947">
        <v>-1.1193042535560001</v>
      </c>
      <c r="AE2947">
        <v>-23.3843999999999</v>
      </c>
      <c r="AF2947">
        <v>-9.9749019827188299</v>
      </c>
      <c r="AG2947">
        <v>-1.1193042535560001</v>
      </c>
      <c r="AH2947">
        <v>21.1881139099753</v>
      </c>
      <c r="AI2947">
        <v>92.736389372645604</v>
      </c>
      <c r="AJ2947">
        <v>115.210033512744</v>
      </c>
      <c r="AK2947">
        <v>23.445419225063201</v>
      </c>
      <c r="AL2947">
        <v>89.679892658047393</v>
      </c>
      <c r="AM2947">
        <v>91.958069235227796</v>
      </c>
      <c r="AN2947">
        <v>0.99999999783460802</v>
      </c>
    </row>
    <row r="2948" spans="1:40" x14ac:dyDescent="0.25">
      <c r="A2948" t="str">
        <f>"20190312160350608"</f>
        <v>20190312160350608</v>
      </c>
      <c r="B2948" t="str">
        <f>"1552377830597273"</f>
        <v>1552377830597273</v>
      </c>
      <c r="C2948" t="s">
        <v>40</v>
      </c>
      <c r="D2948">
        <v>5.7288100000000002</v>
      </c>
      <c r="E2948">
        <v>0.33800829999999998</v>
      </c>
      <c r="F2948" t="s">
        <v>41</v>
      </c>
      <c r="G2948">
        <v>-496.59980000000002</v>
      </c>
      <c r="H2948" s="1">
        <v>-2.2574830000000002E-6</v>
      </c>
      <c r="I2948">
        <v>250.75800000000001</v>
      </c>
      <c r="J2948">
        <v>-494.7466</v>
      </c>
      <c r="K2948">
        <v>1.1193029999999999</v>
      </c>
      <c r="L2948">
        <v>273.95389999999998</v>
      </c>
      <c r="M2948">
        <v>-0.49627710000000003</v>
      </c>
      <c r="N2948">
        <v>0</v>
      </c>
      <c r="O2948">
        <v>-0.8680504</v>
      </c>
      <c r="P2948">
        <v>-0.4670243</v>
      </c>
      <c r="Q2948">
        <v>-7.6297049999999996E-3</v>
      </c>
      <c r="R2948">
        <v>-0.88421139999999998</v>
      </c>
      <c r="S2948">
        <v>-0.26669310000000002</v>
      </c>
      <c r="T2948">
        <v>-0.15659629999999999</v>
      </c>
      <c r="U2948">
        <v>-3.259979</v>
      </c>
      <c r="V2948">
        <v>-3.35547E-2</v>
      </c>
      <c r="W2948">
        <v>5.6455469999999999E-3</v>
      </c>
      <c r="X2948">
        <v>0.99942089999999995</v>
      </c>
      <c r="Y2948">
        <v>-0.42392170000000001</v>
      </c>
      <c r="Z2948">
        <v>3.6239159999999999E-2</v>
      </c>
      <c r="AA2948">
        <v>0.90497349999999999</v>
      </c>
      <c r="AB2948">
        <v>24</v>
      </c>
      <c r="AC2948">
        <v>-1.85320000000001</v>
      </c>
      <c r="AD2948">
        <v>-1.119305257483</v>
      </c>
      <c r="AE2948">
        <v>-23.195899999999899</v>
      </c>
      <c r="AF2948">
        <v>-9.8810392670204799</v>
      </c>
      <c r="AG2948">
        <v>-1.119305257483</v>
      </c>
      <c r="AH2948">
        <v>21.0083833501828</v>
      </c>
      <c r="AI2948">
        <v>92.760233537763796</v>
      </c>
      <c r="AJ2948">
        <v>115.18938061931701</v>
      </c>
      <c r="AK2948">
        <v>23.243062454075801</v>
      </c>
      <c r="AL2948">
        <v>89.676532253512804</v>
      </c>
      <c r="AM2948">
        <v>91.922934374144603</v>
      </c>
      <c r="AN2948">
        <v>0.99999996272491298</v>
      </c>
    </row>
    <row r="2949" spans="1:40" x14ac:dyDescent="0.25">
      <c r="A2949" t="str">
        <f>"20190312160350619"</f>
        <v>20190312160350619</v>
      </c>
      <c r="B2949" t="str">
        <f>"1552377830607032"</f>
        <v>1552377830607032</v>
      </c>
      <c r="C2949" t="s">
        <v>40</v>
      </c>
      <c r="D2949">
        <v>5.7747400000000004</v>
      </c>
      <c r="E2949">
        <v>0.33799059999999997</v>
      </c>
      <c r="F2949" t="s">
        <v>49</v>
      </c>
      <c r="G2949">
        <v>-494.82409999999999</v>
      </c>
      <c r="H2949">
        <v>1.0711660000000001</v>
      </c>
      <c r="I2949">
        <v>272.91640000000001</v>
      </c>
      <c r="J2949">
        <v>-494.79820000000001</v>
      </c>
      <c r="K2949">
        <v>1.1192979999999999</v>
      </c>
      <c r="L2949">
        <v>273.84859999999998</v>
      </c>
      <c r="M2949">
        <v>-0.49020249999999999</v>
      </c>
      <c r="N2949">
        <v>0</v>
      </c>
      <c r="O2949">
        <v>-0.87149519999999903</v>
      </c>
      <c r="P2949">
        <v>-0.46147559999999899</v>
      </c>
      <c r="Q2949">
        <v>-7.4934349999999997E-3</v>
      </c>
      <c r="R2949">
        <v>-0.88712139999999995</v>
      </c>
      <c r="S2949">
        <v>-0.24301149999999999</v>
      </c>
      <c r="T2949">
        <v>-0.1513301</v>
      </c>
      <c r="U2949">
        <v>-3.263153</v>
      </c>
      <c r="V2949">
        <v>-3.2839819999999999E-2</v>
      </c>
      <c r="W2949">
        <v>5.797656E-3</v>
      </c>
      <c r="X2949">
        <v>0.99944379999999999</v>
      </c>
      <c r="Y2949">
        <v>-0.42419440000000003</v>
      </c>
      <c r="Z2949">
        <v>3.5226710000000001E-2</v>
      </c>
      <c r="AA2949">
        <v>0.90488570000000002</v>
      </c>
      <c r="AB2949">
        <v>24</v>
      </c>
      <c r="AC2949">
        <v>-2.58999999999787E-2</v>
      </c>
      <c r="AD2949">
        <v>-4.81319999999998E-2</v>
      </c>
      <c r="AE2949">
        <v>-0.93219999999996594</v>
      </c>
      <c r="AF2949">
        <v>-0.43328375939931102</v>
      </c>
      <c r="AG2949">
        <v>-4.81319999999998E-2</v>
      </c>
      <c r="AH2949">
        <v>0.82299325853432903</v>
      </c>
      <c r="AI2949">
        <v>92.962429394835596</v>
      </c>
      <c r="AJ2949">
        <v>117.76559535263701</v>
      </c>
      <c r="AK2949">
        <v>0.931326693043936</v>
      </c>
      <c r="AL2949">
        <v>89.667816915184403</v>
      </c>
      <c r="AM2949">
        <v>91.881953113423094</v>
      </c>
      <c r="AN2949">
        <v>0.99999998797558298</v>
      </c>
    </row>
    <row r="2950" spans="1:40" x14ac:dyDescent="0.25">
      <c r="A2950" t="str">
        <f>"20190312160350631"</f>
        <v>20190312160350631</v>
      </c>
      <c r="B2950" t="str">
        <f>"1552377830627528"</f>
        <v>1552377830627528</v>
      </c>
      <c r="C2950" t="s">
        <v>40</v>
      </c>
      <c r="D2950">
        <v>5.7346550000000001</v>
      </c>
      <c r="E2950">
        <v>0.3381943</v>
      </c>
      <c r="F2950" t="s">
        <v>41</v>
      </c>
      <c r="G2950">
        <v>-496.46969999999999</v>
      </c>
      <c r="H2950" s="1">
        <v>-5.3480939999999999E-6</v>
      </c>
      <c r="I2950">
        <v>249.33009999999999</v>
      </c>
      <c r="J2950">
        <v>-494.8528</v>
      </c>
      <c r="K2950">
        <v>1.1192930000000001</v>
      </c>
      <c r="L2950">
        <v>273.73579999999998</v>
      </c>
      <c r="M2950">
        <v>-0.48367939999999998</v>
      </c>
      <c r="N2950">
        <v>0</v>
      </c>
      <c r="O2950">
        <v>-0.87513269999999999</v>
      </c>
      <c r="P2950">
        <v>-0.45514569999999999</v>
      </c>
      <c r="Q2950">
        <v>-7.7042539999999998E-3</v>
      </c>
      <c r="R2950">
        <v>-0.89038379999999995</v>
      </c>
      <c r="S2950">
        <v>-0.2225647</v>
      </c>
      <c r="T2950">
        <v>-0.14903549999999999</v>
      </c>
      <c r="U2950">
        <v>-3.2646480000000002</v>
      </c>
      <c r="V2950">
        <v>-3.2487189999999999E-2</v>
      </c>
      <c r="W2950">
        <v>5.5950039999999998E-3</v>
      </c>
      <c r="X2950">
        <v>0.99945649999999997</v>
      </c>
      <c r="Y2950">
        <v>-0.42309950000000002</v>
      </c>
      <c r="Z2950">
        <v>3.493864E-2</v>
      </c>
      <c r="AA2950">
        <v>0.90540929999999997</v>
      </c>
      <c r="AB2950">
        <v>24</v>
      </c>
      <c r="AC2950">
        <v>-1.61689999999998</v>
      </c>
      <c r="AD2950">
        <v>-1.119298348094</v>
      </c>
      <c r="AE2950">
        <v>-24.4057</v>
      </c>
      <c r="AF2950">
        <v>-10.3688418872387</v>
      </c>
      <c r="AG2950">
        <v>-1.119298348094</v>
      </c>
      <c r="AH2950">
        <v>22.096195766167</v>
      </c>
      <c r="AI2950">
        <v>92.6256122247338</v>
      </c>
      <c r="AJ2950">
        <v>115.13874682952699</v>
      </c>
      <c r="AK2950">
        <v>24.433738523021301</v>
      </c>
      <c r="AL2950">
        <v>89.679428214613793</v>
      </c>
      <c r="AM2950">
        <v>91.8617355874498</v>
      </c>
      <c r="AN2950">
        <v>1.00000000848805</v>
      </c>
    </row>
    <row r="2951" spans="1:40" x14ac:dyDescent="0.25">
      <c r="A2951" t="str">
        <f>"20190312160350643"</f>
        <v>20190312160350643</v>
      </c>
      <c r="B2951" t="str">
        <f>"1552377830637292"</f>
        <v>1552377830637292</v>
      </c>
      <c r="C2951" t="s">
        <v>40</v>
      </c>
      <c r="D2951">
        <v>5.7333980000000002</v>
      </c>
      <c r="E2951">
        <v>0.33837899999999999</v>
      </c>
      <c r="F2951" t="s">
        <v>49</v>
      </c>
      <c r="G2951">
        <v>-494.91809999999998</v>
      </c>
      <c r="H2951">
        <v>1.072354</v>
      </c>
      <c r="I2951">
        <v>272.67779999999999</v>
      </c>
      <c r="J2951">
        <v>-494.90780000000001</v>
      </c>
      <c r="K2951">
        <v>1.1192879999999901</v>
      </c>
      <c r="L2951">
        <v>273.61970000000002</v>
      </c>
      <c r="M2951">
        <v>-0.47697400000000001</v>
      </c>
      <c r="N2951">
        <v>0</v>
      </c>
      <c r="O2951">
        <v>-0.87880519999999995</v>
      </c>
      <c r="P2951">
        <v>-0.44869799999999899</v>
      </c>
      <c r="Q2951">
        <v>-7.7424829999999997E-3</v>
      </c>
      <c r="R2951">
        <v>-0.89364979999999905</v>
      </c>
      <c r="S2951">
        <v>-0.20111080000000001</v>
      </c>
      <c r="T2951">
        <v>-0.1448564</v>
      </c>
      <c r="U2951">
        <v>-3.2652589999999999</v>
      </c>
      <c r="V2951">
        <v>-3.2068760000000002E-2</v>
      </c>
      <c r="W2951">
        <v>5.5654390000000001E-3</v>
      </c>
      <c r="X2951">
        <v>0.99947019999999998</v>
      </c>
      <c r="Y2951">
        <v>-0.4221066</v>
      </c>
      <c r="Z2951">
        <v>3.4209160000000002E-2</v>
      </c>
      <c r="AA2951">
        <v>0.9059005</v>
      </c>
      <c r="AB2951">
        <v>24</v>
      </c>
      <c r="AC2951">
        <v>-1.0299999999972401E-2</v>
      </c>
      <c r="AD2951">
        <v>-4.6933999999999802E-2</v>
      </c>
      <c r="AE2951">
        <v>-0.94190000000003204</v>
      </c>
      <c r="AF2951">
        <v>-0.43916324950182101</v>
      </c>
      <c r="AG2951">
        <v>-4.6933999999999802E-2</v>
      </c>
      <c r="AH2951">
        <v>0.83067929534268004</v>
      </c>
      <c r="AI2951">
        <v>92.859535574954606</v>
      </c>
      <c r="AJ2951">
        <v>117.86449759923001</v>
      </c>
      <c r="AK2951">
        <v>0.94079501049910397</v>
      </c>
      <c r="AL2951">
        <v>89.681122197581601</v>
      </c>
      <c r="AM2951">
        <v>91.837748096830794</v>
      </c>
      <c r="AN2951">
        <v>1.00000003008361</v>
      </c>
    </row>
    <row r="2952" spans="1:40" x14ac:dyDescent="0.25">
      <c r="A2952" t="str">
        <f>"20190312160350654"</f>
        <v>20190312160350654</v>
      </c>
      <c r="B2952" t="str">
        <f>"1552377830647049"</f>
        <v>1552377830647049</v>
      </c>
      <c r="C2952" t="s">
        <v>40</v>
      </c>
      <c r="D2952">
        <v>5.6950500000000002</v>
      </c>
      <c r="E2952">
        <v>0.33866099999999999</v>
      </c>
      <c r="F2952" t="s">
        <v>41</v>
      </c>
      <c r="G2952">
        <v>-496.31889999999999</v>
      </c>
      <c r="H2952" s="1">
        <v>-4.8449089999999996E-6</v>
      </c>
      <c r="I2952">
        <v>247.93010000000001</v>
      </c>
      <c r="J2952">
        <v>-494.95690000000002</v>
      </c>
      <c r="K2952">
        <v>1.1192799999999901</v>
      </c>
      <c r="L2952">
        <v>273.51369999999997</v>
      </c>
      <c r="M2952">
        <v>-0.47084690000000001</v>
      </c>
      <c r="N2952">
        <v>0</v>
      </c>
      <c r="O2952">
        <v>-0.88210330000000003</v>
      </c>
      <c r="P2952">
        <v>-0.44234250000000003</v>
      </c>
      <c r="Q2952">
        <v>-7.7382650000000002E-3</v>
      </c>
      <c r="R2952">
        <v>-0.89681319999999998</v>
      </c>
      <c r="S2952">
        <v>-0.17938229999999999</v>
      </c>
      <c r="T2952">
        <v>-0.142288</v>
      </c>
      <c r="U2952">
        <v>-3.2657470000000002</v>
      </c>
      <c r="V2952">
        <v>-3.2208880000000002E-2</v>
      </c>
      <c r="W2952">
        <v>5.5659180000000004E-3</v>
      </c>
      <c r="X2952">
        <v>0.99946559999999995</v>
      </c>
      <c r="Y2952">
        <v>-0.4218133</v>
      </c>
      <c r="Z2952">
        <v>3.3817359999999998E-2</v>
      </c>
      <c r="AA2952">
        <v>0.90605179999999996</v>
      </c>
      <c r="AB2952">
        <v>24</v>
      </c>
      <c r="AC2952">
        <v>-1.3619999999999599</v>
      </c>
      <c r="AD2952">
        <v>-1.1192848449089901</v>
      </c>
      <c r="AE2952">
        <v>-25.583599999999901</v>
      </c>
      <c r="AF2952">
        <v>-10.824941067548201</v>
      </c>
      <c r="AG2952">
        <v>-1.1192848449089901</v>
      </c>
      <c r="AH2952">
        <v>23.1667399952387</v>
      </c>
      <c r="AI2952">
        <v>92.506328709952101</v>
      </c>
      <c r="AJ2952">
        <v>115.044904917227</v>
      </c>
      <c r="AK2952">
        <v>25.595507216832601</v>
      </c>
      <c r="AL2952">
        <v>89.6810947232686</v>
      </c>
      <c r="AM2952">
        <v>91.845780829239104</v>
      </c>
      <c r="AN2952">
        <v>0.99999993848869595</v>
      </c>
    </row>
    <row r="2953" spans="1:40" x14ac:dyDescent="0.25">
      <c r="A2953" t="str">
        <f>"20190312160350665"</f>
        <v>20190312160350665</v>
      </c>
      <c r="B2953" t="str">
        <f>"1552377830657784"</f>
        <v>1552377830657784</v>
      </c>
      <c r="C2953" t="s">
        <v>40</v>
      </c>
      <c r="D2953">
        <v>5.6890309999999999</v>
      </c>
      <c r="E2953">
        <v>0.33895920000000002</v>
      </c>
      <c r="F2953" t="s">
        <v>41</v>
      </c>
      <c r="G2953">
        <v>-496.21839999999997</v>
      </c>
      <c r="H2953" s="1">
        <v>-4.6918730000000002E-6</v>
      </c>
      <c r="I2953">
        <v>247.53270000000001</v>
      </c>
      <c r="J2953">
        <v>-495.00940000000003</v>
      </c>
      <c r="K2953">
        <v>1.119273</v>
      </c>
      <c r="L2953">
        <v>273.39929999999998</v>
      </c>
      <c r="M2953">
        <v>-0.46422560000000002</v>
      </c>
      <c r="N2953">
        <v>0</v>
      </c>
      <c r="O2953">
        <v>-0.88560550000000005</v>
      </c>
      <c r="P2953">
        <v>-0.43538159999999998</v>
      </c>
      <c r="Q2953">
        <v>-7.8505329999999998E-3</v>
      </c>
      <c r="R2953">
        <v>-0.90021189999999995</v>
      </c>
      <c r="S2953">
        <v>-0.1585693</v>
      </c>
      <c r="T2953">
        <v>-0.14069279999999901</v>
      </c>
      <c r="U2953">
        <v>-3.2657780000000001</v>
      </c>
      <c r="V2953">
        <v>-3.2461009999999998E-2</v>
      </c>
      <c r="W2953">
        <v>5.4471869999999896E-3</v>
      </c>
      <c r="X2953">
        <v>0.99945810000000002</v>
      </c>
      <c r="Y2953">
        <v>-0.42078070000000001</v>
      </c>
      <c r="Z2953">
        <v>3.3674969999999999E-2</v>
      </c>
      <c r="AA2953">
        <v>0.90653709999999998</v>
      </c>
      <c r="AB2953">
        <v>24</v>
      </c>
      <c r="AC2953">
        <v>-1.2089999999999399</v>
      </c>
      <c r="AD2953">
        <v>-1.1192776918730001</v>
      </c>
      <c r="AE2953">
        <v>-25.866599999999899</v>
      </c>
      <c r="AF2953">
        <v>-10.917922936700799</v>
      </c>
      <c r="AG2953">
        <v>-1.1192776918730001</v>
      </c>
      <c r="AH2953">
        <v>23.4274000802071</v>
      </c>
      <c r="AI2953">
        <v>92.479628685912004</v>
      </c>
      <c r="AJ2953">
        <v>114.98703518625901</v>
      </c>
      <c r="AK2953">
        <v>25.870773052256201</v>
      </c>
      <c r="AL2953">
        <v>89.687897612916899</v>
      </c>
      <c r="AM2953">
        <v>91.860233375112898</v>
      </c>
      <c r="AN2953">
        <v>0.99999994133601899</v>
      </c>
    </row>
    <row r="2954" spans="1:40" x14ac:dyDescent="0.25">
      <c r="A2954" t="str">
        <f>"20190312160350677"</f>
        <v>20190312160350677</v>
      </c>
      <c r="B2954" t="str">
        <f>"1552377830667544"</f>
        <v>1552377830667544</v>
      </c>
      <c r="C2954" t="s">
        <v>40</v>
      </c>
      <c r="D2954">
        <v>5.6560370000000004</v>
      </c>
      <c r="E2954">
        <v>0.3393504</v>
      </c>
      <c r="F2954" t="s">
        <v>41</v>
      </c>
      <c r="G2954">
        <v>-496.08539999999999</v>
      </c>
      <c r="H2954" s="1">
        <v>-4.6288709999999997E-6</v>
      </c>
      <c r="I2954">
        <v>247.4169</v>
      </c>
      <c r="J2954">
        <v>-495.05739999999997</v>
      </c>
      <c r="K2954">
        <v>1.1192629999999999</v>
      </c>
      <c r="L2954">
        <v>273.29129999999998</v>
      </c>
      <c r="M2954">
        <v>-0.45799640000000003</v>
      </c>
      <c r="N2954">
        <v>0</v>
      </c>
      <c r="O2954">
        <v>-0.88884319999999895</v>
      </c>
      <c r="P2954">
        <v>-0.42909770000000003</v>
      </c>
      <c r="Q2954">
        <v>-7.8943650000000004E-3</v>
      </c>
      <c r="R2954">
        <v>-0.90322380000000002</v>
      </c>
      <c r="S2954">
        <v>-0.13525390000000001</v>
      </c>
      <c r="T2954">
        <v>-0.1406896</v>
      </c>
      <c r="U2954">
        <v>-3.2658999999999998</v>
      </c>
      <c r="V2954">
        <v>-3.2407159999999997E-2</v>
      </c>
      <c r="W2954">
        <v>5.403794E-3</v>
      </c>
      <c r="X2954">
        <v>0.99946020000000002</v>
      </c>
      <c r="Y2954">
        <v>-0.42087229999999998</v>
      </c>
      <c r="Z2954">
        <v>3.3880939999999998E-2</v>
      </c>
      <c r="AA2954">
        <v>0.90648700000000004</v>
      </c>
      <c r="AB2954">
        <v>24</v>
      </c>
      <c r="AC2954">
        <v>-1.02800000000002</v>
      </c>
      <c r="AD2954">
        <v>-1.119267628871</v>
      </c>
      <c r="AE2954">
        <v>-25.874399999999898</v>
      </c>
      <c r="AF2954">
        <v>-10.917332358486499</v>
      </c>
      <c r="AG2954">
        <v>-1.119267628871</v>
      </c>
      <c r="AH2954">
        <v>23.427648144004699</v>
      </c>
      <c r="AI2954">
        <v>92.479608778772004</v>
      </c>
      <c r="AJ2954">
        <v>114.98561625998801</v>
      </c>
      <c r="AK2954">
        <v>25.870748025714001</v>
      </c>
      <c r="AL2954">
        <v>89.690383921598695</v>
      </c>
      <c r="AM2954">
        <v>91.857145672712804</v>
      </c>
      <c r="AN2954">
        <v>1.0000000581964399</v>
      </c>
    </row>
    <row r="2955" spans="1:40" x14ac:dyDescent="0.25">
      <c r="A2955" t="str">
        <f>"20190312160350689"</f>
        <v>20190312160350689</v>
      </c>
      <c r="B2955" t="str">
        <f>"1552377830677305"</f>
        <v>1552377830677305</v>
      </c>
      <c r="C2955" t="s">
        <v>40</v>
      </c>
      <c r="D2955">
        <v>5.6268699999999896</v>
      </c>
      <c r="E2955">
        <v>0.33980290000000002</v>
      </c>
      <c r="F2955" t="s">
        <v>41</v>
      </c>
      <c r="G2955">
        <v>-495.97800000000001</v>
      </c>
      <c r="H2955" s="1">
        <v>-4.5588320000000003E-6</v>
      </c>
      <c r="I2955">
        <v>247.2671</v>
      </c>
      <c r="J2955">
        <v>-495.10579999999999</v>
      </c>
      <c r="K2955">
        <v>1.1192519999999999</v>
      </c>
      <c r="L2955">
        <v>273.18169999999998</v>
      </c>
      <c r="M2955">
        <v>-0.45165369999999999</v>
      </c>
      <c r="N2955">
        <v>0</v>
      </c>
      <c r="O2955">
        <v>-0.89208279999999995</v>
      </c>
      <c r="P2955">
        <v>-0.42269129999999999</v>
      </c>
      <c r="Q2955">
        <v>-7.7542749999999997E-3</v>
      </c>
      <c r="R2955">
        <v>-0.9062405</v>
      </c>
      <c r="S2955">
        <v>-0.115509</v>
      </c>
      <c r="T2955">
        <v>-0.1404358</v>
      </c>
      <c r="U2955">
        <v>-3.2652890000000001</v>
      </c>
      <c r="V2955">
        <v>-3.2369019999999998E-2</v>
      </c>
      <c r="W2955">
        <v>5.5430280000000002E-3</v>
      </c>
      <c r="X2955">
        <v>0.99946060000000003</v>
      </c>
      <c r="Y2955">
        <v>-0.41987770000000002</v>
      </c>
      <c r="Z2955">
        <v>3.4044379999999999E-2</v>
      </c>
      <c r="AA2955">
        <v>0.90694200000000003</v>
      </c>
      <c r="AB2955">
        <v>24</v>
      </c>
      <c r="AC2955">
        <v>-0.87220000000001996</v>
      </c>
      <c r="AD2955">
        <v>-1.119256558832</v>
      </c>
      <c r="AE2955">
        <v>-25.914599999999901</v>
      </c>
      <c r="AF2955">
        <v>-10.907104912935599</v>
      </c>
      <c r="AG2955">
        <v>-1.119256558832</v>
      </c>
      <c r="AH2955">
        <v>23.470487919296001</v>
      </c>
      <c r="AI2955">
        <v>92.476280665199894</v>
      </c>
      <c r="AJ2955">
        <v>114.925034347992</v>
      </c>
      <c r="AK2955">
        <v>25.905240319211401</v>
      </c>
      <c r="AL2955">
        <v>89.682406258677304</v>
      </c>
      <c r="AM2955">
        <v>91.854960783196105</v>
      </c>
      <c r="AN2955">
        <v>0.99999998478376395</v>
      </c>
    </row>
    <row r="2956" spans="1:40" x14ac:dyDescent="0.25">
      <c r="A2956" t="str">
        <f>"20190312160350699"</f>
        <v>20190312160350699</v>
      </c>
      <c r="B2956" t="str">
        <f>"1552377830687064"</f>
        <v>1552377830687064</v>
      </c>
      <c r="C2956" t="s">
        <v>40</v>
      </c>
      <c r="D2956">
        <v>5.6527260000000004</v>
      </c>
      <c r="E2956">
        <v>0.34033619999999998</v>
      </c>
      <c r="F2956" t="s">
        <v>49</v>
      </c>
      <c r="G2956">
        <v>-495.13709999999998</v>
      </c>
      <c r="H2956">
        <v>1.0736779999999999</v>
      </c>
      <c r="I2956">
        <v>272.11750000000001</v>
      </c>
      <c r="J2956">
        <v>-495.15449999999998</v>
      </c>
      <c r="K2956">
        <v>1.1192390000000001</v>
      </c>
      <c r="L2956">
        <v>273.06779999999998</v>
      </c>
      <c r="M2956">
        <v>-0.44508829999999999</v>
      </c>
      <c r="N2956">
        <v>0</v>
      </c>
      <c r="O2956">
        <v>-0.89537659999999997</v>
      </c>
      <c r="P2956">
        <v>-0.41623789999999999</v>
      </c>
      <c r="Q2956">
        <v>-7.8044880000000001E-3</v>
      </c>
      <c r="R2956">
        <v>-0.90922250000000004</v>
      </c>
      <c r="S2956">
        <v>-9.5550540000000003E-2</v>
      </c>
      <c r="T2956">
        <v>-0.13979549999999999</v>
      </c>
      <c r="U2956">
        <v>-3.264618</v>
      </c>
      <c r="V2956">
        <v>-3.2130730000000003E-2</v>
      </c>
      <c r="W2956">
        <v>5.4972529999999997E-3</v>
      </c>
      <c r="X2956">
        <v>0.99946860000000004</v>
      </c>
      <c r="Y2956">
        <v>-0.41874309999999998</v>
      </c>
      <c r="Z2956">
        <v>3.4118130000000003E-2</v>
      </c>
      <c r="AA2956">
        <v>0.90746360000000004</v>
      </c>
      <c r="AB2956">
        <v>24</v>
      </c>
      <c r="AC2956">
        <v>1.7400000000009099E-2</v>
      </c>
      <c r="AD2956">
        <v>-4.5560999999999699E-2</v>
      </c>
      <c r="AE2956">
        <v>-0.95029999999996995</v>
      </c>
      <c r="AF2956">
        <v>-0.43758470147286399</v>
      </c>
      <c r="AG2956">
        <v>-4.5560999999999699E-2</v>
      </c>
      <c r="AH2956">
        <v>0.84128184068694301</v>
      </c>
      <c r="AI2956">
        <v>92.750713214782294</v>
      </c>
      <c r="AJ2956">
        <v>117.480764903497</v>
      </c>
      <c r="AK2956">
        <v>0.94937416815168696</v>
      </c>
      <c r="AL2956">
        <v>89.685029031319701</v>
      </c>
      <c r="AM2956">
        <v>91.841299883432995</v>
      </c>
      <c r="AN2956">
        <v>1.0000000429934099</v>
      </c>
    </row>
    <row r="2957" spans="1:40" x14ac:dyDescent="0.25">
      <c r="A2957" t="str">
        <f>"20190312160350709"</f>
        <v>20190312160350709</v>
      </c>
      <c r="B2957" t="str">
        <f>"1552377830697800"</f>
        <v>1552377830697800</v>
      </c>
      <c r="C2957" t="s">
        <v>40</v>
      </c>
      <c r="D2957">
        <v>5.2356170000000004</v>
      </c>
      <c r="E2957">
        <v>0.34049499999999999</v>
      </c>
      <c r="F2957" t="s">
        <v>41</v>
      </c>
      <c r="G2957">
        <v>-495.76949999999999</v>
      </c>
      <c r="H2957" s="1">
        <v>-4.3580429999999997E-6</v>
      </c>
      <c r="I2957">
        <v>246.78579999999999</v>
      </c>
      <c r="J2957">
        <v>-495.19380000000001</v>
      </c>
      <c r="K2957">
        <v>1.1192249999999999</v>
      </c>
      <c r="L2957">
        <v>272.97550000000001</v>
      </c>
      <c r="M2957">
        <v>-0.43976159999999997</v>
      </c>
      <c r="N2957">
        <v>0</v>
      </c>
      <c r="O2957">
        <v>-0.89800489999999999</v>
      </c>
      <c r="P2957">
        <v>-0.41130109999999998</v>
      </c>
      <c r="Q2957">
        <v>-7.9408440000000007E-3</v>
      </c>
      <c r="R2957">
        <v>-0.91146499999999997</v>
      </c>
      <c r="S2957">
        <v>-7.6354980000000003E-2</v>
      </c>
      <c r="T2957">
        <v>-0.1389773</v>
      </c>
      <c r="U2957">
        <v>-3.263458</v>
      </c>
      <c r="V2957">
        <v>-3.1610319999999997E-2</v>
      </c>
      <c r="W2957">
        <v>5.3718480000000002E-3</v>
      </c>
      <c r="X2957">
        <v>0.99948590000000004</v>
      </c>
      <c r="Y2957">
        <v>-0.41867339999999997</v>
      </c>
      <c r="Z2957">
        <v>3.4098259999999998E-2</v>
      </c>
      <c r="AA2957">
        <v>0.90749650000000004</v>
      </c>
      <c r="AB2957">
        <v>24</v>
      </c>
      <c r="AC2957">
        <v>-0.575699999999983</v>
      </c>
      <c r="AD2957">
        <v>-1.1192293580429999</v>
      </c>
      <c r="AE2957">
        <v>-26.189699999999998</v>
      </c>
      <c r="AF2957">
        <v>-10.981280621127899</v>
      </c>
      <c r="AG2957">
        <v>-1.1192293580429999</v>
      </c>
      <c r="AH2957">
        <v>23.7306718651521</v>
      </c>
      <c r="AI2957">
        <v>92.450943735537905</v>
      </c>
      <c r="AJ2957">
        <v>114.8321655215</v>
      </c>
      <c r="AK2957">
        <v>26.172236924026699</v>
      </c>
      <c r="AL2957">
        <v>89.692214321646006</v>
      </c>
      <c r="AM2957">
        <v>91.811465703876706</v>
      </c>
      <c r="AN2957">
        <v>1.0000000666901201</v>
      </c>
    </row>
    <row r="2958" spans="1:40" x14ac:dyDescent="0.25">
      <c r="A2958" t="str">
        <f>"20190312160350720"</f>
        <v>20190312160350720</v>
      </c>
      <c r="B2958" t="str">
        <f>"1552377830717321"</f>
        <v>1552377830717321</v>
      </c>
      <c r="C2958" t="s">
        <v>40</v>
      </c>
      <c r="D2958">
        <v>5.6858769999999996</v>
      </c>
      <c r="E2958">
        <v>0.34129290000000001</v>
      </c>
      <c r="F2958" t="s">
        <v>49</v>
      </c>
      <c r="G2958">
        <v>-495.21359999999999</v>
      </c>
      <c r="H2958">
        <v>1.0741000000000001</v>
      </c>
      <c r="I2958">
        <v>271.89550000000003</v>
      </c>
      <c r="J2958">
        <v>-495.23970000000003</v>
      </c>
      <c r="K2958">
        <v>1.1192059999999999</v>
      </c>
      <c r="L2958">
        <v>272.86439999999999</v>
      </c>
      <c r="M2958">
        <v>-0.43336550000000001</v>
      </c>
      <c r="N2958">
        <v>0</v>
      </c>
      <c r="O2958">
        <v>-0.90110919999999906</v>
      </c>
      <c r="P2958">
        <v>-0.40524860000000001</v>
      </c>
      <c r="Q2958">
        <v>-7.8056540000000004E-3</v>
      </c>
      <c r="R2958">
        <v>-0.91417349999999997</v>
      </c>
      <c r="S2958">
        <v>-5.9692380000000003E-2</v>
      </c>
      <c r="T2958">
        <v>-0.1363412</v>
      </c>
      <c r="U2958">
        <v>-3.2633359999999998</v>
      </c>
      <c r="V2958">
        <v>-3.1134180000000001E-2</v>
      </c>
      <c r="W2958">
        <v>5.5153729999999996E-3</v>
      </c>
      <c r="X2958">
        <v>0.99950000000000006</v>
      </c>
      <c r="Y2958">
        <v>-0.41684719999999997</v>
      </c>
      <c r="Z2958">
        <v>3.36645E-2</v>
      </c>
      <c r="AA2958">
        <v>0.90835299999999997</v>
      </c>
      <c r="AB2958">
        <v>24</v>
      </c>
      <c r="AC2958">
        <v>2.6100000000042201E-2</v>
      </c>
      <c r="AD2958">
        <v>-4.5105999999999799E-2</v>
      </c>
      <c r="AE2958">
        <v>-0.96889999999996201</v>
      </c>
      <c r="AF2958">
        <v>-0.44249206666145202</v>
      </c>
      <c r="AG2958">
        <v>-4.5105999999999799E-2</v>
      </c>
      <c r="AH2958">
        <v>0.85999608662271299</v>
      </c>
      <c r="AI2958">
        <v>92.670210063766504</v>
      </c>
      <c r="AJ2958">
        <v>117.22708878662</v>
      </c>
      <c r="AK2958">
        <v>0.96820816423985201</v>
      </c>
      <c r="AL2958">
        <v>89.683990803541505</v>
      </c>
      <c r="AM2958">
        <v>91.784172571401996</v>
      </c>
      <c r="AN2958">
        <v>1.0000000032517999</v>
      </c>
    </row>
    <row r="2959" spans="1:40" x14ac:dyDescent="0.25">
      <c r="A2959" t="str">
        <f>"20190312160350733"</f>
        <v>20190312160350733</v>
      </c>
      <c r="B2959" t="str">
        <f>"1552377830727080"</f>
        <v>1552377830727080</v>
      </c>
      <c r="C2959" t="s">
        <v>40</v>
      </c>
      <c r="D2959">
        <v>5.6319239999999997</v>
      </c>
      <c r="E2959">
        <v>0.34174959999999999</v>
      </c>
      <c r="F2959" t="s">
        <v>41</v>
      </c>
      <c r="G2959">
        <v>-495.6078</v>
      </c>
      <c r="H2959" s="1">
        <v>-3.9474380000000003E-6</v>
      </c>
      <c r="I2959">
        <v>245.6635</v>
      </c>
      <c r="J2959">
        <v>-495.2928</v>
      </c>
      <c r="K2959">
        <v>1.119183</v>
      </c>
      <c r="L2959">
        <v>272.73349999999999</v>
      </c>
      <c r="M2959">
        <v>-0.42582989999999998</v>
      </c>
      <c r="N2959">
        <v>0</v>
      </c>
      <c r="O2959">
        <v>-0.90469460000000002</v>
      </c>
      <c r="P2959">
        <v>-0.39807090000000001</v>
      </c>
      <c r="Q2959">
        <v>-7.7655329999999998E-3</v>
      </c>
      <c r="R2959">
        <v>-0.91732190000000002</v>
      </c>
      <c r="S2959">
        <v>-4.4128420000000002E-2</v>
      </c>
      <c r="T2959">
        <v>-0.13417509999999999</v>
      </c>
      <c r="U2959">
        <v>-3.2609560000000002</v>
      </c>
      <c r="V2959">
        <v>-3.0627060000000001E-2</v>
      </c>
      <c r="W2959">
        <v>5.5644869999999999E-3</v>
      </c>
      <c r="X2959">
        <v>0.99951540000000005</v>
      </c>
      <c r="Y2959">
        <v>-0.41358149999999999</v>
      </c>
      <c r="Z2959">
        <v>3.3405049999999999E-2</v>
      </c>
      <c r="AA2959">
        <v>0.9098541</v>
      </c>
      <c r="AB2959">
        <v>24</v>
      </c>
      <c r="AC2959">
        <v>-0.314999999999997</v>
      </c>
      <c r="AD2959">
        <v>-1.1191869474380001</v>
      </c>
      <c r="AE2959">
        <v>-27.07</v>
      </c>
      <c r="AF2959">
        <v>-11.2241584205977</v>
      </c>
      <c r="AG2959">
        <v>-1.1191869474380001</v>
      </c>
      <c r="AH2959">
        <v>24.584622057003301</v>
      </c>
      <c r="AI2959">
        <v>92.371380006346996</v>
      </c>
      <c r="AJ2959">
        <v>114.539163351054</v>
      </c>
      <c r="AK2959">
        <v>27.048806874974701</v>
      </c>
      <c r="AL2959">
        <v>89.681176736831503</v>
      </c>
      <c r="AM2959">
        <v>91.755102899091597</v>
      </c>
      <c r="AN2959">
        <v>1.0000000075784801</v>
      </c>
    </row>
    <row r="2960" spans="1:40" x14ac:dyDescent="0.25">
      <c r="A2960" t="str">
        <f>"20190312160350743"</f>
        <v>20190312160350743</v>
      </c>
      <c r="B2960" t="str">
        <f>"1552377830737878"</f>
        <v>1552377830737878</v>
      </c>
      <c r="C2960" t="s">
        <v>40</v>
      </c>
      <c r="D2960">
        <v>5.6311299999999997</v>
      </c>
      <c r="E2960">
        <v>0.3419972</v>
      </c>
      <c r="F2960" t="s">
        <v>41</v>
      </c>
      <c r="G2960">
        <v>-495.47489999999999</v>
      </c>
      <c r="H2960" s="1">
        <v>-3.8534439999999998E-6</v>
      </c>
      <c r="I2960">
        <v>245.45650000000001</v>
      </c>
      <c r="J2960">
        <v>-495.334</v>
      </c>
      <c r="K2960">
        <v>1.119159</v>
      </c>
      <c r="L2960">
        <v>272.6302</v>
      </c>
      <c r="M2960">
        <v>-0.41988340000000002</v>
      </c>
      <c r="N2960">
        <v>0</v>
      </c>
      <c r="O2960">
        <v>-0.90746970000000005</v>
      </c>
      <c r="P2960">
        <v>-0.39219599999999999</v>
      </c>
      <c r="Q2960">
        <v>-7.8294839999999994E-3</v>
      </c>
      <c r="R2960">
        <v>-0.91984840000000001</v>
      </c>
      <c r="S2960">
        <v>-2.1759029999999999E-2</v>
      </c>
      <c r="T2960">
        <v>-0.13375209999999901</v>
      </c>
      <c r="U2960">
        <v>-3.259827</v>
      </c>
      <c r="V2960">
        <v>-3.0457870000000001E-2</v>
      </c>
      <c r="W2960">
        <v>5.5020219999999996E-3</v>
      </c>
      <c r="X2960">
        <v>0.99952090000000005</v>
      </c>
      <c r="Y2960">
        <v>-0.41384520000000002</v>
      </c>
      <c r="Z2960">
        <v>3.347762E-2</v>
      </c>
      <c r="AA2960">
        <v>0.90973150000000003</v>
      </c>
      <c r="AB2960">
        <v>24</v>
      </c>
      <c r="AC2960">
        <v>-0.14089999999998701</v>
      </c>
      <c r="AD2960">
        <v>-1.1191628534439999</v>
      </c>
      <c r="AE2960">
        <v>-27.1737</v>
      </c>
      <c r="AF2960">
        <v>-11.263926774747601</v>
      </c>
      <c r="AG2960">
        <v>-1.1191628534439999</v>
      </c>
      <c r="AH2960">
        <v>24.679041439031302</v>
      </c>
      <c r="AI2960">
        <v>92.362387462054102</v>
      </c>
      <c r="AJ2960">
        <v>114.532748176843</v>
      </c>
      <c r="AK2960">
        <v>27.151126279195701</v>
      </c>
      <c r="AL2960">
        <v>89.684755767492405</v>
      </c>
      <c r="AM2960">
        <v>91.745403775380794</v>
      </c>
      <c r="AN2960">
        <v>0.99999999181391697</v>
      </c>
    </row>
    <row r="2961" spans="1:40" x14ac:dyDescent="0.25">
      <c r="A2961" t="str">
        <f>"20190312160350754"</f>
        <v>20190312160350754</v>
      </c>
      <c r="B2961" t="str">
        <f>"1552377830747639"</f>
        <v>1552377830747639</v>
      </c>
      <c r="C2961" t="s">
        <v>40</v>
      </c>
      <c r="D2961">
        <v>5.5285960000000003</v>
      </c>
      <c r="E2961">
        <v>0.3419972</v>
      </c>
      <c r="F2961" t="s">
        <v>41</v>
      </c>
      <c r="G2961">
        <v>-495.35820000000001</v>
      </c>
      <c r="H2961" s="1">
        <v>-3.715285E-6</v>
      </c>
      <c r="I2961">
        <v>245.1113</v>
      </c>
      <c r="J2961">
        <v>-495.37430000000001</v>
      </c>
      <c r="K2961">
        <v>1.119138</v>
      </c>
      <c r="L2961">
        <v>272.5265</v>
      </c>
      <c r="M2961">
        <v>-0.41393550000000001</v>
      </c>
      <c r="N2961">
        <v>0</v>
      </c>
      <c r="O2961">
        <v>-0.91019839999999996</v>
      </c>
      <c r="P2961">
        <v>-0.38630179999999997</v>
      </c>
      <c r="Q2961">
        <v>-7.8751310000000005E-3</v>
      </c>
      <c r="R2961">
        <v>-0.92233929999999997</v>
      </c>
      <c r="S2961">
        <v>-2.8686520000000002E-3</v>
      </c>
      <c r="T2961">
        <v>-0.13254270000000001</v>
      </c>
      <c r="U2961">
        <v>-3.259064</v>
      </c>
      <c r="V2961">
        <v>-3.0311080000000001E-2</v>
      </c>
      <c r="W2961">
        <v>5.4567230000000001E-3</v>
      </c>
      <c r="X2961">
        <v>0.99952560000000001</v>
      </c>
      <c r="Y2961">
        <v>-0.41315930000000001</v>
      </c>
      <c r="Z2961">
        <v>3.3353689999999998E-2</v>
      </c>
      <c r="AA2961">
        <v>0.91004779999999996</v>
      </c>
      <c r="AB2961">
        <v>24</v>
      </c>
      <c r="AC2961">
        <v>1.60999999999944E-2</v>
      </c>
      <c r="AD2961">
        <v>-1.1191417152850001</v>
      </c>
      <c r="AE2961">
        <v>-27.415199999999999</v>
      </c>
      <c r="AF2961">
        <v>-11.3449883561844</v>
      </c>
      <c r="AG2961">
        <v>-1.1191417152850001</v>
      </c>
      <c r="AH2961">
        <v>24.907548669225999</v>
      </c>
      <c r="AI2961">
        <v>92.341517846776597</v>
      </c>
      <c r="AJ2961">
        <v>114.488502780499</v>
      </c>
      <c r="AK2961">
        <v>27.392466476947899</v>
      </c>
      <c r="AL2961">
        <v>89.687351244682702</v>
      </c>
      <c r="AM2961">
        <v>91.736988902440999</v>
      </c>
      <c r="AN2961">
        <v>0.99999998122601197</v>
      </c>
    </row>
    <row r="2962" spans="1:40" x14ac:dyDescent="0.25">
      <c r="A2962" t="str">
        <f>"20190312160350765"</f>
        <v>20190312160350765</v>
      </c>
      <c r="B2962" t="str">
        <f>"1552377830757399"</f>
        <v>1552377830757399</v>
      </c>
      <c r="C2962" t="s">
        <v>40</v>
      </c>
      <c r="D2962">
        <v>5.5128649999999997</v>
      </c>
      <c r="E2962">
        <v>0.33608680000000002</v>
      </c>
      <c r="F2962" t="s">
        <v>41</v>
      </c>
      <c r="G2962">
        <v>-495.22829999999999</v>
      </c>
      <c r="H2962" s="1">
        <v>-3.6988550000000001E-6</v>
      </c>
      <c r="I2962">
        <v>245.13079999999999</v>
      </c>
      <c r="J2962">
        <v>-495.41660000000002</v>
      </c>
      <c r="K2962">
        <v>1.1191139999999999</v>
      </c>
      <c r="L2962">
        <v>272.41669999999999</v>
      </c>
      <c r="M2962">
        <v>-0.40763660000000002</v>
      </c>
      <c r="N2962">
        <v>0</v>
      </c>
      <c r="O2962">
        <v>-0.91303679999999998</v>
      </c>
      <c r="P2962">
        <v>-0.38006869999999998</v>
      </c>
      <c r="Q2962">
        <v>-7.8412229999999996E-3</v>
      </c>
      <c r="R2962">
        <v>-0.92492529999999995</v>
      </c>
      <c r="S2962">
        <v>1.7364500000000001E-2</v>
      </c>
      <c r="T2962">
        <v>-0.13312099999999999</v>
      </c>
      <c r="U2962">
        <v>-3.2586979999999999</v>
      </c>
      <c r="V2962">
        <v>-3.015046E-2</v>
      </c>
      <c r="W2962">
        <v>5.4915320000000004E-3</v>
      </c>
      <c r="X2962">
        <v>0.99953029999999998</v>
      </c>
      <c r="Y2962">
        <v>-0.41251739999999998</v>
      </c>
      <c r="Z2962">
        <v>3.3679830000000001E-2</v>
      </c>
      <c r="AA2962">
        <v>0.91032690000000005</v>
      </c>
      <c r="AB2962">
        <v>24</v>
      </c>
      <c r="AC2962">
        <v>0.188300000000026</v>
      </c>
      <c r="AD2962">
        <v>-1.119117698855</v>
      </c>
      <c r="AE2962">
        <v>-27.285900000000002</v>
      </c>
      <c r="AF2962">
        <v>-11.2767957199669</v>
      </c>
      <c r="AG2962">
        <v>-1.119117698855</v>
      </c>
      <c r="AH2962">
        <v>24.7969984301022</v>
      </c>
      <c r="AI2962">
        <v>92.352531990188197</v>
      </c>
      <c r="AJ2962">
        <v>114.45435742302099</v>
      </c>
      <c r="AK2962">
        <v>27.263706227808601</v>
      </c>
      <c r="AL2962">
        <v>89.685356816250703</v>
      </c>
      <c r="AM2962">
        <v>91.727781981708503</v>
      </c>
      <c r="AN2962">
        <v>1.00000001389</v>
      </c>
    </row>
    <row r="2963" spans="1:40" x14ac:dyDescent="0.25">
      <c r="A2963" t="str">
        <f>"20190312160350776"</f>
        <v>20190312160350776</v>
      </c>
      <c r="B2963" t="str">
        <f>"1552377830767159"</f>
        <v>1552377830767159</v>
      </c>
      <c r="C2963" t="s">
        <v>40</v>
      </c>
      <c r="D2963">
        <v>5.5785519999999904</v>
      </c>
      <c r="E2963">
        <v>0.33856730000000002</v>
      </c>
      <c r="F2963" t="s">
        <v>45</v>
      </c>
      <c r="G2963">
        <v>0</v>
      </c>
      <c r="H2963">
        <v>0</v>
      </c>
      <c r="I2963">
        <v>0</v>
      </c>
      <c r="J2963">
        <v>-495.45760000000001</v>
      </c>
      <c r="K2963">
        <v>1.1190869999999999</v>
      </c>
      <c r="L2963">
        <v>272.3064</v>
      </c>
      <c r="M2963">
        <v>-0.40134229999999999</v>
      </c>
      <c r="N2963">
        <v>0</v>
      </c>
      <c r="O2963">
        <v>-0.91582110000000005</v>
      </c>
      <c r="P2963">
        <v>-0.374083</v>
      </c>
      <c r="Q2963">
        <v>-8.0847750000000006E-3</v>
      </c>
      <c r="R2963">
        <v>-0.92736010000000002</v>
      </c>
      <c r="S2963">
        <v>7.1807860000000001E-2</v>
      </c>
      <c r="T2963">
        <v>3.9279459999999999E-3</v>
      </c>
      <c r="U2963">
        <v>-3.2730410000000001</v>
      </c>
      <c r="V2963">
        <v>-2.9723449999999998E-2</v>
      </c>
      <c r="W2963">
        <v>5.2540699999999996E-3</v>
      </c>
      <c r="X2963">
        <v>0.99954430000000005</v>
      </c>
      <c r="Y2963">
        <v>-0.42137459999999999</v>
      </c>
      <c r="Z2963">
        <v>-9.924942999999999E-4</v>
      </c>
      <c r="AA2963">
        <v>0.90688619999999998</v>
      </c>
      <c r="AB2963">
        <v>24</v>
      </c>
      <c r="AC2963">
        <v>7.1807860000000001E-2</v>
      </c>
      <c r="AD2963">
        <v>3.9279459999999999E-3</v>
      </c>
      <c r="AE2963">
        <v>-3.2730410000000001</v>
      </c>
      <c r="AF2963">
        <v>-1.3795062178587301</v>
      </c>
      <c r="AG2963">
        <v>3.9279459999999999E-3</v>
      </c>
      <c r="AH2963">
        <v>2.9689872842225</v>
      </c>
      <c r="AI2963">
        <v>89.931256345134699</v>
      </c>
      <c r="AJ2963">
        <v>114.92140186902</v>
      </c>
      <c r="AK2963">
        <v>3.2738262519177201</v>
      </c>
      <c r="AL2963">
        <v>89.698962563092394</v>
      </c>
      <c r="AM2963">
        <v>91.703302708939802</v>
      </c>
      <c r="AN2963">
        <v>0.99999994819697702</v>
      </c>
    </row>
    <row r="2964" spans="1:40" x14ac:dyDescent="0.25">
      <c r="A2964" t="str">
        <f>"20190312160350787"</f>
        <v>20190312160350787</v>
      </c>
      <c r="B2964" t="str">
        <f>"1552377830777896"</f>
        <v>1552377830777896</v>
      </c>
      <c r="C2964" t="s">
        <v>40</v>
      </c>
      <c r="D2964">
        <v>5.5444589999999998</v>
      </c>
      <c r="E2964">
        <v>0.34061979999999997</v>
      </c>
      <c r="F2964" t="s">
        <v>45</v>
      </c>
      <c r="G2964">
        <v>0</v>
      </c>
      <c r="H2964">
        <v>0</v>
      </c>
      <c r="I2964">
        <v>0</v>
      </c>
      <c r="J2964">
        <v>-495.4975</v>
      </c>
      <c r="K2964">
        <v>1.1190610000000001</v>
      </c>
      <c r="L2964">
        <v>272.19869999999997</v>
      </c>
      <c r="M2964">
        <v>-0.39518379999999997</v>
      </c>
      <c r="N2964">
        <v>0</v>
      </c>
      <c r="O2964">
        <v>-0.91849550000000002</v>
      </c>
      <c r="P2964">
        <v>-0.36802010000000002</v>
      </c>
      <c r="Q2964">
        <v>-8.5180150000000003E-3</v>
      </c>
      <c r="R2964">
        <v>-0.92977949999999998</v>
      </c>
      <c r="S2964">
        <v>7.5439450000000005E-2</v>
      </c>
      <c r="T2964">
        <v>-6.9081780000000001E-3</v>
      </c>
      <c r="U2964">
        <v>-3.2653500000000002</v>
      </c>
      <c r="V2964">
        <v>-2.9526670000000001E-2</v>
      </c>
      <c r="W2964">
        <v>4.8215840000000003E-3</v>
      </c>
      <c r="X2964">
        <v>0.99955240000000001</v>
      </c>
      <c r="Y2964">
        <v>-0.41633350000000002</v>
      </c>
      <c r="Z2964">
        <v>1.7605559999999999E-3</v>
      </c>
      <c r="AA2964">
        <v>0.90921030000000003</v>
      </c>
      <c r="AB2964">
        <v>24</v>
      </c>
      <c r="AC2964">
        <v>7.5439450000000005E-2</v>
      </c>
      <c r="AD2964">
        <v>-6.9081780000000001E-3</v>
      </c>
      <c r="AE2964">
        <v>-3.2653500000000002</v>
      </c>
      <c r="AF2964">
        <v>-1.35983125510226</v>
      </c>
      <c r="AG2964">
        <v>-6.9081780000000001E-3</v>
      </c>
      <c r="AH2964">
        <v>2.9696742659014199</v>
      </c>
      <c r="AI2964">
        <v>90.121183038360897</v>
      </c>
      <c r="AJ2964">
        <v>114.603321106233</v>
      </c>
      <c r="AK2964">
        <v>3.2662140179163801</v>
      </c>
      <c r="AL2964">
        <v>89.723742525815695</v>
      </c>
      <c r="AM2964">
        <v>91.692019101630606</v>
      </c>
      <c r="AN2964">
        <v>1.0000000361296499</v>
      </c>
    </row>
    <row r="2965" spans="1:40" x14ac:dyDescent="0.25">
      <c r="A2965" t="str">
        <f>"20190312160350799"</f>
        <v>20190312160350799</v>
      </c>
      <c r="B2965" t="str">
        <f>"1552377830787655"</f>
        <v>1552377830787655</v>
      </c>
      <c r="C2965" t="s">
        <v>40</v>
      </c>
      <c r="D2965">
        <v>5.5459709999999998</v>
      </c>
      <c r="E2965">
        <v>0.34218799999999999</v>
      </c>
      <c r="F2965" t="s">
        <v>43</v>
      </c>
      <c r="G2965">
        <v>-490.22550000000001</v>
      </c>
      <c r="H2965">
        <v>-0.05</v>
      </c>
      <c r="I2965">
        <v>62.993020000000001</v>
      </c>
      <c r="J2965">
        <v>-495.54</v>
      </c>
      <c r="K2965">
        <v>1.1190290000000001</v>
      </c>
      <c r="L2965">
        <v>272.07940000000002</v>
      </c>
      <c r="M2965">
        <v>-0.3884088</v>
      </c>
      <c r="N2965">
        <v>0</v>
      </c>
      <c r="O2965">
        <v>-0.92138089999999995</v>
      </c>
      <c r="P2965">
        <v>-0.36137229999999998</v>
      </c>
      <c r="Q2965">
        <v>-8.4810270000000004E-3</v>
      </c>
      <c r="R2965">
        <v>-0.93238330000000003</v>
      </c>
      <c r="S2965">
        <v>8.2122799999999996E-2</v>
      </c>
      <c r="T2965">
        <v>-1.8210770000000001E-2</v>
      </c>
      <c r="U2965">
        <v>-3.2588499999999998</v>
      </c>
      <c r="V2965">
        <v>-2.930265E-2</v>
      </c>
      <c r="W2965">
        <v>4.8582999999999899E-3</v>
      </c>
      <c r="X2965">
        <v>0.99955879999999997</v>
      </c>
      <c r="Y2965">
        <v>-0.41153659999999997</v>
      </c>
      <c r="Z2965">
        <v>4.6803510000000001E-3</v>
      </c>
      <c r="AA2965">
        <v>0.9113812</v>
      </c>
      <c r="AB2965">
        <v>24</v>
      </c>
      <c r="AC2965">
        <v>5.3144999999999998</v>
      </c>
      <c r="AD2965">
        <v>-1.1690290000000001</v>
      </c>
      <c r="AE2965">
        <v>-209.08637999999999</v>
      </c>
      <c r="AF2965">
        <v>-86.113411468495997</v>
      </c>
      <c r="AG2965">
        <v>-1.1690290000000001</v>
      </c>
      <c r="AH2965">
        <v>190.59670891042001</v>
      </c>
      <c r="AI2965">
        <v>90.320251353032802</v>
      </c>
      <c r="AJ2965">
        <v>114.313906476677</v>
      </c>
      <c r="AK2965">
        <v>209.15064358263101</v>
      </c>
      <c r="AL2965">
        <v>89.721638825343504</v>
      </c>
      <c r="AM2965">
        <v>91.679178318839007</v>
      </c>
      <c r="AN2965">
        <v>1.00000002151667</v>
      </c>
    </row>
    <row r="2966" spans="1:40" x14ac:dyDescent="0.25">
      <c r="A2966" t="str">
        <f>"20190312160350810"</f>
        <v>20190312160350810</v>
      </c>
      <c r="B2966" t="str">
        <f>"1552377830807175"</f>
        <v>1552377830807175</v>
      </c>
      <c r="C2966" t="s">
        <v>40</v>
      </c>
      <c r="D2966">
        <v>5.5479329999999996</v>
      </c>
      <c r="E2966">
        <v>0.34546900000000003</v>
      </c>
      <c r="F2966" t="s">
        <v>81</v>
      </c>
      <c r="G2966">
        <v>-491.41129999999998</v>
      </c>
      <c r="H2966">
        <v>5.1412359999999997E-2</v>
      </c>
      <c r="I2966">
        <v>129.61490000000001</v>
      </c>
      <c r="J2966">
        <v>-495.57769999999999</v>
      </c>
      <c r="K2966">
        <v>1.118994</v>
      </c>
      <c r="L2966">
        <v>271.97269999999997</v>
      </c>
      <c r="M2966">
        <v>-0.38235059999999998</v>
      </c>
      <c r="N2966">
        <v>0</v>
      </c>
      <c r="O2966">
        <v>-0.9239115</v>
      </c>
      <c r="P2966">
        <v>-0.35524440000000002</v>
      </c>
      <c r="Q2966">
        <v>-8.3349510000000002E-3</v>
      </c>
      <c r="R2966">
        <v>-0.93473660000000003</v>
      </c>
      <c r="S2966">
        <v>9.4299320000000006E-2</v>
      </c>
      <c r="T2966">
        <v>-2.4384019999999999E-2</v>
      </c>
      <c r="U2966">
        <v>-3.2538450000000001</v>
      </c>
      <c r="V2966">
        <v>-2.9303579999999999E-2</v>
      </c>
      <c r="W2966">
        <v>4.9994419999999998E-3</v>
      </c>
      <c r="X2966">
        <v>0.99955799999999995</v>
      </c>
      <c r="Y2966">
        <v>-0.40899350000000001</v>
      </c>
      <c r="Z2966">
        <v>6.3087669999999998E-3</v>
      </c>
      <c r="AA2966">
        <v>0.91251550000000003</v>
      </c>
      <c r="AB2966">
        <v>24</v>
      </c>
      <c r="AC2966">
        <v>4.1664000000000003</v>
      </c>
      <c r="AD2966">
        <v>-1.06758164</v>
      </c>
      <c r="AE2966">
        <v>-142.357799999999</v>
      </c>
      <c r="AF2966">
        <v>-58.282399582335401</v>
      </c>
      <c r="AG2966">
        <v>-1.06758164</v>
      </c>
      <c r="AH2966">
        <v>129.93838824505499</v>
      </c>
      <c r="AI2966">
        <v>90.429509533320498</v>
      </c>
      <c r="AJ2966">
        <v>114.158081785805</v>
      </c>
      <c r="AK2966">
        <v>142.414755455169</v>
      </c>
      <c r="AL2966">
        <v>89.713551864389402</v>
      </c>
      <c r="AM2966">
        <v>91.679232924867804</v>
      </c>
      <c r="AN2966">
        <v>0.99999994479256205</v>
      </c>
    </row>
    <row r="2967" spans="1:40" x14ac:dyDescent="0.25">
      <c r="A2967" t="str">
        <f>"20190312160350820"</f>
        <v>20190312160350820</v>
      </c>
      <c r="B2967" t="str">
        <f>"1552377830817911"</f>
        <v>1552377830817911</v>
      </c>
      <c r="C2967" t="s">
        <v>40</v>
      </c>
      <c r="D2967">
        <v>5.5188040000000003</v>
      </c>
      <c r="E2967">
        <v>0.34567880000000001</v>
      </c>
      <c r="F2967" t="s">
        <v>41</v>
      </c>
      <c r="G2967">
        <v>-492.98930000000001</v>
      </c>
      <c r="H2967" s="1">
        <v>-1.4822399999999901E-6</v>
      </c>
      <c r="I2967">
        <v>181.1902</v>
      </c>
      <c r="J2967">
        <v>-495.61750000000001</v>
      </c>
      <c r="K2967">
        <v>1.1189639999999901</v>
      </c>
      <c r="L2967">
        <v>271.85669999999999</v>
      </c>
      <c r="M2967">
        <v>-0.37578669999999997</v>
      </c>
      <c r="N2967">
        <v>0</v>
      </c>
      <c r="O2967">
        <v>-0.92660070000000005</v>
      </c>
      <c r="P2967">
        <v>-0.34838980000000003</v>
      </c>
      <c r="Q2967">
        <v>-8.6661610000000004E-3</v>
      </c>
      <c r="R2967">
        <v>-0.93730979999999997</v>
      </c>
      <c r="S2967">
        <v>9.2498780000000003E-2</v>
      </c>
      <c r="T2967">
        <v>-3.9988759999999998E-2</v>
      </c>
      <c r="U2967">
        <v>-3.2442319999999998</v>
      </c>
      <c r="V2967">
        <v>-2.9523359999999998E-2</v>
      </c>
      <c r="W2967">
        <v>4.6575540000000004E-3</v>
      </c>
      <c r="X2967">
        <v>0.99955329999999998</v>
      </c>
      <c r="Y2967">
        <v>-0.40207870000000001</v>
      </c>
      <c r="Z2967">
        <v>1.044516E-2</v>
      </c>
      <c r="AA2967">
        <v>0.91554550000000001</v>
      </c>
      <c r="AB2967">
        <v>24</v>
      </c>
      <c r="AC2967">
        <v>2.6281999999999899</v>
      </c>
      <c r="AD2967">
        <v>-1.1189654822399999</v>
      </c>
      <c r="AE2967">
        <v>-90.6664999999999</v>
      </c>
      <c r="AF2967">
        <v>-36.504570326670098</v>
      </c>
      <c r="AG2967">
        <v>-1.1189654822399999</v>
      </c>
      <c r="AH2967">
        <v>83.019482091780304</v>
      </c>
      <c r="AI2967">
        <v>90.706893739961998</v>
      </c>
      <c r="AJ2967">
        <v>113.735614994168</v>
      </c>
      <c r="AK2967">
        <v>90.697685446061399</v>
      </c>
      <c r="AL2967">
        <v>89.733140864282205</v>
      </c>
      <c r="AM2967">
        <v>91.691828010633699</v>
      </c>
      <c r="AN2967">
        <v>1.00000006056791</v>
      </c>
    </row>
    <row r="2968" spans="1:40" x14ac:dyDescent="0.25">
      <c r="A2968" t="str">
        <f>"20190312160350833"</f>
        <v>20190312160350833</v>
      </c>
      <c r="B2968" t="str">
        <f>"1552377830827672"</f>
        <v>1552377830827672</v>
      </c>
      <c r="C2968" t="s">
        <v>40</v>
      </c>
      <c r="D2968">
        <v>5.4833689999999997</v>
      </c>
      <c r="E2968">
        <v>0.34477360000000001</v>
      </c>
      <c r="F2968" t="s">
        <v>41</v>
      </c>
      <c r="G2968">
        <v>-492.76389999999998</v>
      </c>
      <c r="H2968" s="1">
        <v>-1.3402359999999901E-6</v>
      </c>
      <c r="I2968">
        <v>190.999</v>
      </c>
      <c r="J2968">
        <v>-495.65769999999998</v>
      </c>
      <c r="K2968">
        <v>1.11893</v>
      </c>
      <c r="L2968">
        <v>271.73700000000002</v>
      </c>
      <c r="M2968">
        <v>-0.3690348</v>
      </c>
      <c r="N2968">
        <v>0</v>
      </c>
      <c r="O2968">
        <v>-0.92931039999999998</v>
      </c>
      <c r="P2968">
        <v>-0.34113640000000001</v>
      </c>
      <c r="Q2968">
        <v>-8.2872090000000002E-3</v>
      </c>
      <c r="R2968">
        <v>-0.93997739999999996</v>
      </c>
      <c r="S2968">
        <v>0.114440899999999</v>
      </c>
      <c r="T2968">
        <v>-4.487526E-2</v>
      </c>
      <c r="U2968">
        <v>-3.242737</v>
      </c>
      <c r="V2968">
        <v>-2.9983240000000001E-2</v>
      </c>
      <c r="W2968">
        <v>5.0204230000000004E-3</v>
      </c>
      <c r="X2968">
        <v>0.99953780000000003</v>
      </c>
      <c r="Y2968">
        <v>-0.40161659999999999</v>
      </c>
      <c r="Z2968">
        <v>1.1782590000000001E-2</v>
      </c>
      <c r="AA2968">
        <v>0.91573210000000005</v>
      </c>
      <c r="AB2968">
        <v>24</v>
      </c>
      <c r="AC2968">
        <v>2.8937999999999899</v>
      </c>
      <c r="AD2968">
        <v>-1.1189313402359999</v>
      </c>
      <c r="AE2968">
        <v>-80.738</v>
      </c>
      <c r="AF2968">
        <v>-32.481315321245198</v>
      </c>
      <c r="AG2968">
        <v>-1.1189313402359999</v>
      </c>
      <c r="AH2968">
        <v>73.955794790188904</v>
      </c>
      <c r="AI2968">
        <v>90.793642338210901</v>
      </c>
      <c r="AJ2968">
        <v>113.711035873559</v>
      </c>
      <c r="AK2968">
        <v>80.782098483456494</v>
      </c>
      <c r="AL2968">
        <v>89.712349744230593</v>
      </c>
      <c r="AM2968">
        <v>91.718192260147802</v>
      </c>
      <c r="AN2968">
        <v>1.00000000647841</v>
      </c>
    </row>
    <row r="2969" spans="1:40" x14ac:dyDescent="0.25">
      <c r="A2969" t="str">
        <f>"20190312160350844"</f>
        <v>20190312160350844</v>
      </c>
      <c r="B2969" t="str">
        <f>"1552377830837431"</f>
        <v>1552377830837431</v>
      </c>
      <c r="C2969" t="s">
        <v>40</v>
      </c>
      <c r="D2969">
        <v>5.4984349999999997</v>
      </c>
      <c r="E2969">
        <v>0.34453640000000002</v>
      </c>
      <c r="F2969" t="s">
        <v>41</v>
      </c>
      <c r="G2969">
        <v>-491.92239999999998</v>
      </c>
      <c r="H2969" s="1">
        <v>-4.5126099999999996E-6</v>
      </c>
      <c r="I2969">
        <v>189.24529999999999</v>
      </c>
      <c r="J2969">
        <v>-495.69580000000002</v>
      </c>
      <c r="K2969">
        <v>1.1189039999999999</v>
      </c>
      <c r="L2969">
        <v>271.62139999999999</v>
      </c>
      <c r="M2969">
        <v>-0.3625196</v>
      </c>
      <c r="N2969">
        <v>0</v>
      </c>
      <c r="O2969">
        <v>-0.93187149999999996</v>
      </c>
      <c r="P2969">
        <v>-0.33416699999999999</v>
      </c>
      <c r="Q2969">
        <v>-7.7242530000000004E-3</v>
      </c>
      <c r="R2969">
        <v>-0.9424823</v>
      </c>
      <c r="S2969">
        <v>0.1469116</v>
      </c>
      <c r="T2969">
        <v>-4.4008730000000003E-2</v>
      </c>
      <c r="U2969">
        <v>-3.2444760000000001</v>
      </c>
      <c r="V2969">
        <v>-3.0400190000000001E-2</v>
      </c>
      <c r="W2969">
        <v>5.5687779999999999E-3</v>
      </c>
      <c r="X2969">
        <v>0.99952229999999997</v>
      </c>
      <c r="Y2969">
        <v>-0.40433570000000002</v>
      </c>
      <c r="Z2969">
        <v>1.158987E-2</v>
      </c>
      <c r="AA2969">
        <v>0.91453720000000005</v>
      </c>
      <c r="AB2969">
        <v>24</v>
      </c>
      <c r="AC2969">
        <v>3.7734000000000298</v>
      </c>
      <c r="AD2969">
        <v>-1.11890851261</v>
      </c>
      <c r="AE2969">
        <v>-82.376099999999994</v>
      </c>
      <c r="AF2969">
        <v>-33.376385569056502</v>
      </c>
      <c r="AG2969">
        <v>-1.11890851261</v>
      </c>
      <c r="AH2969">
        <v>75.389482448934501</v>
      </c>
      <c r="AI2969">
        <v>90.777524558668901</v>
      </c>
      <c r="AJ2969">
        <v>113.87990097696201</v>
      </c>
      <c r="AK2969">
        <v>82.454891509431505</v>
      </c>
      <c r="AL2969">
        <v>89.680930876177001</v>
      </c>
      <c r="AM2969">
        <v>91.742097993701904</v>
      </c>
      <c r="AN2969">
        <v>1.00000000551886</v>
      </c>
    </row>
    <row r="2970" spans="1:40" x14ac:dyDescent="0.25">
      <c r="A2970" t="str">
        <f>"20190312160350856"</f>
        <v>20190312160350856</v>
      </c>
      <c r="B2970" t="str">
        <f>"1552377830847191"</f>
        <v>1552377830847191</v>
      </c>
      <c r="C2970" t="s">
        <v>40</v>
      </c>
      <c r="D2970">
        <v>5.4732279999999998</v>
      </c>
      <c r="E2970">
        <v>0.34423300000000001</v>
      </c>
      <c r="F2970" t="s">
        <v>41</v>
      </c>
      <c r="G2970">
        <v>-491.33109999999999</v>
      </c>
      <c r="H2970" s="1">
        <v>-4.5116470000000004E-6</v>
      </c>
      <c r="I2970">
        <v>189.5506</v>
      </c>
      <c r="J2970">
        <v>-495.73239999999998</v>
      </c>
      <c r="K2970">
        <v>1.118873</v>
      </c>
      <c r="L2970">
        <v>271.50709999999998</v>
      </c>
      <c r="M2970">
        <v>-0.3561124</v>
      </c>
      <c r="N2970">
        <v>0</v>
      </c>
      <c r="O2970">
        <v>-0.93433909999999998</v>
      </c>
      <c r="P2970">
        <v>-0.32717249999999998</v>
      </c>
      <c r="Q2970">
        <v>-7.6122539999999997E-3</v>
      </c>
      <c r="R2970">
        <v>-0.94493419999999895</v>
      </c>
      <c r="S2970">
        <v>0.1725159</v>
      </c>
      <c r="T2970">
        <v>-4.4224739999999998E-2</v>
      </c>
      <c r="U2970">
        <v>-3.2438349999999998</v>
      </c>
      <c r="V2970">
        <v>-3.0946850000000001E-2</v>
      </c>
      <c r="W2970">
        <v>5.6622360000000002E-3</v>
      </c>
      <c r="X2970">
        <v>0.99950499999999998</v>
      </c>
      <c r="Y2970">
        <v>-0.40526440000000002</v>
      </c>
      <c r="Z2970">
        <v>1.169396E-2</v>
      </c>
      <c r="AA2970">
        <v>0.91412470000000001</v>
      </c>
      <c r="AB2970">
        <v>24</v>
      </c>
      <c r="AC2970">
        <v>4.4012999999999902</v>
      </c>
      <c r="AD2970">
        <v>-1.118877511647</v>
      </c>
      <c r="AE2970">
        <v>-81.956499999999906</v>
      </c>
      <c r="AF2970">
        <v>-33.295082034227498</v>
      </c>
      <c r="AG2970">
        <v>-1.118877511647</v>
      </c>
      <c r="AH2970">
        <v>75.001158459682799</v>
      </c>
      <c r="AI2970">
        <v>90.781178379428795</v>
      </c>
      <c r="AJ2970">
        <v>113.937754417728</v>
      </c>
      <c r="AK2970">
        <v>82.066973532880198</v>
      </c>
      <c r="AL2970">
        <v>89.675576043206704</v>
      </c>
      <c r="AM2970">
        <v>91.773435464965203</v>
      </c>
      <c r="AN2970">
        <v>1.00000000673322</v>
      </c>
    </row>
    <row r="2971" spans="1:40" x14ac:dyDescent="0.25">
      <c r="A2971" t="str">
        <f>"20190312160350868"</f>
        <v>20190312160350868</v>
      </c>
      <c r="B2971" t="str">
        <f>"1552377830857927"</f>
        <v>1552377830857927</v>
      </c>
      <c r="C2971" t="s">
        <v>40</v>
      </c>
      <c r="D2971">
        <v>5.4940350000000002</v>
      </c>
      <c r="E2971">
        <v>0.3441495</v>
      </c>
      <c r="F2971" t="s">
        <v>41</v>
      </c>
      <c r="G2971">
        <v>-490.68389999999999</v>
      </c>
      <c r="H2971" s="1">
        <v>-4.3077710000000003E-6</v>
      </c>
      <c r="I2971">
        <v>189.28890000000001</v>
      </c>
      <c r="J2971">
        <v>-495.77260000000001</v>
      </c>
      <c r="K2971">
        <v>1.118838</v>
      </c>
      <c r="L2971">
        <v>271.37950000000001</v>
      </c>
      <c r="M2971">
        <v>-0.34896199999999999</v>
      </c>
      <c r="N2971">
        <v>0</v>
      </c>
      <c r="O2971">
        <v>-0.93703329999999996</v>
      </c>
      <c r="P2971">
        <v>-0.31955289999999997</v>
      </c>
      <c r="Q2971">
        <v>-7.48058199999999E-3</v>
      </c>
      <c r="R2971">
        <v>-0.94753909999999997</v>
      </c>
      <c r="S2971">
        <v>0.19915769999999999</v>
      </c>
      <c r="T2971">
        <v>-4.4138789999999997E-2</v>
      </c>
      <c r="U2971">
        <v>-3.243439</v>
      </c>
      <c r="V2971">
        <v>-3.1359560000000002E-2</v>
      </c>
      <c r="W2971">
        <v>5.7785830000000003E-3</v>
      </c>
      <c r="X2971">
        <v>0.99949149999999998</v>
      </c>
      <c r="Y2971">
        <v>-0.40576830000000003</v>
      </c>
      <c r="Z2971">
        <v>1.1722979999999999E-2</v>
      </c>
      <c r="AA2971">
        <v>0.91390079999999996</v>
      </c>
      <c r="AB2971">
        <v>24</v>
      </c>
      <c r="AC2971">
        <v>5.08870000000001</v>
      </c>
      <c r="AD2971">
        <v>-1.1188423077709999</v>
      </c>
      <c r="AE2971">
        <v>-82.090599999999995</v>
      </c>
      <c r="AF2971">
        <v>-33.411842168780602</v>
      </c>
      <c r="AG2971">
        <v>-1.1188423077709999</v>
      </c>
      <c r="AH2971">
        <v>75.139253107033895</v>
      </c>
      <c r="AI2971">
        <v>90.779504865905494</v>
      </c>
      <c r="AJ2971">
        <v>113.97306997979101</v>
      </c>
      <c r="AK2971">
        <v>82.240563973650296</v>
      </c>
      <c r="AL2971">
        <v>89.6689097519059</v>
      </c>
      <c r="AM2971">
        <v>91.797095012210505</v>
      </c>
      <c r="AN2971">
        <v>1.0000000362985599</v>
      </c>
    </row>
    <row r="2972" spans="1:40" x14ac:dyDescent="0.25">
      <c r="A2972" t="str">
        <f>"20190312160350880"</f>
        <v>20190312160350880</v>
      </c>
      <c r="B2972" t="str">
        <f>"1552377830877447"</f>
        <v>1552377830877447</v>
      </c>
      <c r="C2972" t="s">
        <v>40</v>
      </c>
      <c r="D2972">
        <v>5.4911539999999999</v>
      </c>
      <c r="E2972">
        <v>0.34512930000000003</v>
      </c>
      <c r="F2972" t="s">
        <v>41</v>
      </c>
      <c r="G2972">
        <v>-490.02879999999999</v>
      </c>
      <c r="H2972" s="1">
        <v>-3.9700729999999998E-6</v>
      </c>
      <c r="I2972">
        <v>188.82560000000001</v>
      </c>
      <c r="J2972">
        <v>-495.80939999999998</v>
      </c>
      <c r="K2972">
        <v>1.1188070000000001</v>
      </c>
      <c r="L2972">
        <v>271.25830000000002</v>
      </c>
      <c r="M2972">
        <v>-0.3422095</v>
      </c>
      <c r="N2972">
        <v>0</v>
      </c>
      <c r="O2972">
        <v>-0.93952049999999998</v>
      </c>
      <c r="P2972">
        <v>-0.31260660000000001</v>
      </c>
      <c r="Q2972">
        <v>-7.3782169999999899E-3</v>
      </c>
      <c r="R2972">
        <v>-0.94985439999999999</v>
      </c>
      <c r="S2972">
        <v>0.22555539999999999</v>
      </c>
      <c r="T2972">
        <v>-4.3936370000000002E-2</v>
      </c>
      <c r="U2972">
        <v>-3.2418520000000002</v>
      </c>
      <c r="V2972">
        <v>-3.1486790000000001E-2</v>
      </c>
      <c r="W2972">
        <v>5.8710869999999997E-3</v>
      </c>
      <c r="X2972">
        <v>0.99948689999999996</v>
      </c>
      <c r="Y2972">
        <v>-0.40662769999999998</v>
      </c>
      <c r="Z2972">
        <v>1.1719419999999999E-2</v>
      </c>
      <c r="AA2972">
        <v>0.91351879999999996</v>
      </c>
      <c r="AB2972">
        <v>24</v>
      </c>
      <c r="AC2972">
        <v>5.78059999999999</v>
      </c>
      <c r="AD2972">
        <v>-1.11881097007299</v>
      </c>
      <c r="AE2972">
        <v>-82.432699999999997</v>
      </c>
      <c r="AF2972">
        <v>-33.637340920603599</v>
      </c>
      <c r="AG2972">
        <v>-1.11881097007299</v>
      </c>
      <c r="AH2972">
        <v>75.462519661512403</v>
      </c>
      <c r="AI2972">
        <v>90.775831969403697</v>
      </c>
      <c r="AJ2972">
        <v>114.02487400077</v>
      </c>
      <c r="AK2972">
        <v>82.627563898857801</v>
      </c>
      <c r="AL2972">
        <v>89.663609552920704</v>
      </c>
      <c r="AM2972">
        <v>91.804389559992302</v>
      </c>
      <c r="AN2972">
        <v>0.99999997543933705</v>
      </c>
    </row>
    <row r="2973" spans="1:40" x14ac:dyDescent="0.25">
      <c r="A2973" t="str">
        <f>"20190312160350892"</f>
        <v>20190312160350892</v>
      </c>
      <c r="B2973" t="str">
        <f>"1552377830887207"</f>
        <v>1552377830887207</v>
      </c>
      <c r="C2973" t="s">
        <v>40</v>
      </c>
      <c r="D2973">
        <v>5.5341420000000001</v>
      </c>
      <c r="E2973">
        <v>0.34576800000000002</v>
      </c>
      <c r="F2973" t="s">
        <v>41</v>
      </c>
      <c r="G2973">
        <v>-489.94439999999997</v>
      </c>
      <c r="H2973" s="1">
        <v>-1.4149269999999999E-6</v>
      </c>
      <c r="I2973">
        <v>192.90799999999999</v>
      </c>
      <c r="J2973">
        <v>-495.84500000000003</v>
      </c>
      <c r="K2973">
        <v>1.1187739999999999</v>
      </c>
      <c r="L2973">
        <v>271.13900000000001</v>
      </c>
      <c r="M2973">
        <v>-0.33557490000000001</v>
      </c>
      <c r="N2973">
        <v>0</v>
      </c>
      <c r="O2973">
        <v>-0.94191060000000004</v>
      </c>
      <c r="P2973">
        <v>-0.305759</v>
      </c>
      <c r="Q2973">
        <v>-7.0189500000000004E-3</v>
      </c>
      <c r="R2973">
        <v>-0.95208320000000002</v>
      </c>
      <c r="S2973">
        <v>0.24237059999999999</v>
      </c>
      <c r="T2973">
        <v>-4.6234730000000002E-2</v>
      </c>
      <c r="U2973">
        <v>-3.2378230000000001</v>
      </c>
      <c r="V2973">
        <v>-3.1642570000000002E-2</v>
      </c>
      <c r="W2973">
        <v>6.2206029999999999E-3</v>
      </c>
      <c r="X2973">
        <v>0.99947989999999998</v>
      </c>
      <c r="Y2973">
        <v>-0.40498129999999999</v>
      </c>
      <c r="Z2973">
        <v>1.240163E-2</v>
      </c>
      <c r="AA2973">
        <v>0.91424090000000002</v>
      </c>
      <c r="AB2973">
        <v>24</v>
      </c>
      <c r="AC2973">
        <v>5.9006000000000496</v>
      </c>
      <c r="AD2973">
        <v>-1.1187754149269999</v>
      </c>
      <c r="AE2973">
        <v>-78.230999999999995</v>
      </c>
      <c r="AF2973">
        <v>-31.806814047900499</v>
      </c>
      <c r="AG2973">
        <v>-1.1187754149269999</v>
      </c>
      <c r="AH2973">
        <v>71.698887495043607</v>
      </c>
      <c r="AI2973">
        <v>90.817172379389206</v>
      </c>
      <c r="AJ2973">
        <v>113.922866881931</v>
      </c>
      <c r="AK2973">
        <v>78.445239156584194</v>
      </c>
      <c r="AL2973">
        <v>89.643583406726904</v>
      </c>
      <c r="AM2973">
        <v>91.813323472253003</v>
      </c>
      <c r="AN2973">
        <v>1.00000000932094</v>
      </c>
    </row>
    <row r="2974" spans="1:40" x14ac:dyDescent="0.25">
      <c r="A2974" t="str">
        <f>"20190312160350903"</f>
        <v>20190312160350903</v>
      </c>
      <c r="B2974" t="str">
        <f>"1552377830896967"</f>
        <v>1552377830896967</v>
      </c>
      <c r="C2974" t="s">
        <v>40</v>
      </c>
      <c r="D2974">
        <v>5.5121900000000004</v>
      </c>
      <c r="E2974">
        <v>0.34576800000000002</v>
      </c>
      <c r="F2974" t="s">
        <v>41</v>
      </c>
      <c r="G2974">
        <v>-489.75900000000001</v>
      </c>
      <c r="H2974" s="1">
        <v>-2.6220609999999998E-6</v>
      </c>
      <c r="I2974">
        <v>195.64519999999999</v>
      </c>
      <c r="J2974">
        <v>-495.87920000000003</v>
      </c>
      <c r="K2974">
        <v>1.1187450000000001</v>
      </c>
      <c r="L2974">
        <v>271.02100000000002</v>
      </c>
      <c r="M2974">
        <v>-0.32902880000000001</v>
      </c>
      <c r="N2974">
        <v>0</v>
      </c>
      <c r="O2974">
        <v>-0.94421730000000004</v>
      </c>
      <c r="P2974">
        <v>-0.29921249999999999</v>
      </c>
      <c r="Q2974">
        <v>-6.8403229999999997E-3</v>
      </c>
      <c r="R2974">
        <v>-0.95416219999999996</v>
      </c>
      <c r="S2974">
        <v>0.26074219999999998</v>
      </c>
      <c r="T2974">
        <v>-4.7931670000000003E-2</v>
      </c>
      <c r="U2974">
        <v>-3.234375</v>
      </c>
      <c r="V2974">
        <v>-3.157343E-2</v>
      </c>
      <c r="W2974">
        <v>6.3941689999999999E-3</v>
      </c>
      <c r="X2974">
        <v>0.99948099999999995</v>
      </c>
      <c r="Y2974">
        <v>-0.40386810000000001</v>
      </c>
      <c r="Z2974">
        <v>1.2922299999999901E-2</v>
      </c>
      <c r="AA2974">
        <v>0.91472600000000004</v>
      </c>
      <c r="AB2974">
        <v>24</v>
      </c>
      <c r="AC2974">
        <v>6.1202000000000103</v>
      </c>
      <c r="AD2974">
        <v>-1.118747622061</v>
      </c>
      <c r="AE2974">
        <v>-75.375799999999899</v>
      </c>
      <c r="AF2974">
        <v>-30.575878875106199</v>
      </c>
      <c r="AG2974">
        <v>-1.118747622061</v>
      </c>
      <c r="AH2974">
        <v>69.148979267281604</v>
      </c>
      <c r="AI2974">
        <v>90.847733340557795</v>
      </c>
      <c r="AJ2974">
        <v>113.85376693336001</v>
      </c>
      <c r="AK2974">
        <v>75.615588994161598</v>
      </c>
      <c r="AL2974">
        <v>89.633638612944395</v>
      </c>
      <c r="AM2974">
        <v>91.809361950587103</v>
      </c>
      <c r="AN2974">
        <v>1.0000000181200801</v>
      </c>
    </row>
    <row r="2975" spans="1:40" x14ac:dyDescent="0.25">
      <c r="A2975" t="str">
        <f>"20190312160350914"</f>
        <v>20190312160350914</v>
      </c>
      <c r="B2975" t="str">
        <f>"1552377830907702"</f>
        <v>1552377830907702</v>
      </c>
      <c r="C2975" t="s">
        <v>40</v>
      </c>
      <c r="D2975">
        <v>5.5505810000000002</v>
      </c>
      <c r="E2975">
        <v>0.36010059999999999</v>
      </c>
      <c r="F2975" t="s">
        <v>41</v>
      </c>
      <c r="G2975">
        <v>-489.23790000000002</v>
      </c>
      <c r="H2975" s="1">
        <v>-2.5023019999999998E-6</v>
      </c>
      <c r="I2975">
        <v>195.1506</v>
      </c>
      <c r="J2975">
        <v>-495.91129999999998</v>
      </c>
      <c r="K2975">
        <v>1.1187229999999999</v>
      </c>
      <c r="L2975">
        <v>270.90719999999999</v>
      </c>
      <c r="M2975">
        <v>-0.32273350000000001</v>
      </c>
      <c r="N2975">
        <v>0</v>
      </c>
      <c r="O2975">
        <v>-0.94638770000000005</v>
      </c>
      <c r="P2975">
        <v>-0.29301569999999999</v>
      </c>
      <c r="Q2975">
        <v>-6.4459139999999996E-3</v>
      </c>
      <c r="R2975">
        <v>-0.95608590000000004</v>
      </c>
      <c r="S2975">
        <v>0.28295900000000002</v>
      </c>
      <c r="T2975">
        <v>-4.7665480000000003E-2</v>
      </c>
      <c r="U2975">
        <v>-3.2325439999999999</v>
      </c>
      <c r="V2975">
        <v>-3.1410349999999997E-2</v>
      </c>
      <c r="W2975">
        <v>6.786121E-3</v>
      </c>
      <c r="X2975">
        <v>0.99948349999999997</v>
      </c>
      <c r="Y2975">
        <v>-0.40405999999999997</v>
      </c>
      <c r="Z2975">
        <v>1.2901269999999999E-2</v>
      </c>
      <c r="AA2975">
        <v>0.9146415</v>
      </c>
      <c r="AB2975">
        <v>24</v>
      </c>
      <c r="AC2975">
        <v>6.6733999999999503</v>
      </c>
      <c r="AD2975">
        <v>-1.118725502302</v>
      </c>
      <c r="AE2975">
        <v>-75.756599999999906</v>
      </c>
      <c r="AF2975">
        <v>-30.7611352909205</v>
      </c>
      <c r="AG2975">
        <v>-1.118725502302</v>
      </c>
      <c r="AH2975">
        <v>69.533063973113897</v>
      </c>
      <c r="AI2975">
        <v>90.842965502483395</v>
      </c>
      <c r="AJ2975">
        <v>113.86439712202601</v>
      </c>
      <c r="AK2975">
        <v>76.041738385080194</v>
      </c>
      <c r="AL2975">
        <v>89.611180909176497</v>
      </c>
      <c r="AM2975">
        <v>91.8000180753628</v>
      </c>
      <c r="AN2975">
        <v>0.99999996414879899</v>
      </c>
    </row>
    <row r="2976" spans="1:40" x14ac:dyDescent="0.25">
      <c r="A2976" t="str">
        <f>"20190312160350925"</f>
        <v>20190312160350925</v>
      </c>
      <c r="B2976" t="str">
        <f>"1552377830917463"</f>
        <v>1552377830917463</v>
      </c>
      <c r="C2976" t="s">
        <v>40</v>
      </c>
      <c r="D2976">
        <v>5.5137330000000002</v>
      </c>
      <c r="E2976">
        <v>0.36044609999999999</v>
      </c>
      <c r="F2976" t="s">
        <v>41</v>
      </c>
      <c r="G2976">
        <v>-493.64670000000001</v>
      </c>
      <c r="H2976" s="1">
        <v>-3.038016E-6</v>
      </c>
      <c r="I2976">
        <v>234.40899999999999</v>
      </c>
      <c r="J2976">
        <v>-495.94099999999997</v>
      </c>
      <c r="K2976">
        <v>1.118698</v>
      </c>
      <c r="L2976">
        <v>270.80070000000001</v>
      </c>
      <c r="M2976">
        <v>-0.31684299999999999</v>
      </c>
      <c r="N2976">
        <v>0</v>
      </c>
      <c r="O2976">
        <v>-0.9483762</v>
      </c>
      <c r="P2976">
        <v>-0.28698220000000002</v>
      </c>
      <c r="Q2976">
        <v>-6.0874589999999999E-3</v>
      </c>
      <c r="R2976">
        <v>-0.95791689999999996</v>
      </c>
      <c r="S2976">
        <v>0.1984253</v>
      </c>
      <c r="T2976">
        <v>-9.8022700000000004E-2</v>
      </c>
      <c r="U2976">
        <v>-3.1979679999999999</v>
      </c>
      <c r="V2976">
        <v>-3.1505119999999998E-2</v>
      </c>
      <c r="W2976">
        <v>7.1365869999999998E-3</v>
      </c>
      <c r="X2976">
        <v>0.99947810000000004</v>
      </c>
      <c r="Y2976">
        <v>-0.3749728</v>
      </c>
      <c r="Z2976">
        <v>2.7117510000000001E-2</v>
      </c>
      <c r="AA2976">
        <v>0.92663910000000005</v>
      </c>
      <c r="AB2976">
        <v>24</v>
      </c>
      <c r="AC2976">
        <v>2.2942999999999598</v>
      </c>
      <c r="AD2976">
        <v>-1.1187010380159901</v>
      </c>
      <c r="AE2976">
        <v>-36.391699999999901</v>
      </c>
      <c r="AF2976">
        <v>-13.6947483785884</v>
      </c>
      <c r="AG2976">
        <v>-1.1187010380159901</v>
      </c>
      <c r="AH2976">
        <v>33.757577721718</v>
      </c>
      <c r="AI2976">
        <v>91.758915947084503</v>
      </c>
      <c r="AJ2976">
        <v>112.081373054233</v>
      </c>
      <c r="AK2976">
        <v>36.4468335909052</v>
      </c>
      <c r="AL2976">
        <v>89.591100208845006</v>
      </c>
      <c r="AM2976">
        <v>91.8054551740276</v>
      </c>
      <c r="AN2976">
        <v>0.99999998791991596</v>
      </c>
    </row>
    <row r="2977" spans="1:40" x14ac:dyDescent="0.25">
      <c r="A2977" t="str">
        <f>"20190312160350935"</f>
        <v>20190312160350935</v>
      </c>
      <c r="B2977" t="str">
        <f>"1552377830927223"</f>
        <v>1552377830927223</v>
      </c>
      <c r="C2977" t="s">
        <v>40</v>
      </c>
      <c r="D2977">
        <v>5.5250579999999996</v>
      </c>
      <c r="E2977">
        <v>0.36122569999999998</v>
      </c>
      <c r="F2977" t="s">
        <v>41</v>
      </c>
      <c r="G2977">
        <v>-493.72500000000002</v>
      </c>
      <c r="H2977" s="1">
        <v>-4.4780140000000001E-6</v>
      </c>
      <c r="I2977">
        <v>238.20400000000001</v>
      </c>
      <c r="J2977">
        <v>-495.9676</v>
      </c>
      <c r="K2977">
        <v>1.118679</v>
      </c>
      <c r="L2977">
        <v>270.7013</v>
      </c>
      <c r="M2977">
        <v>-0.31137090000000001</v>
      </c>
      <c r="N2977">
        <v>0</v>
      </c>
      <c r="O2977">
        <v>-0.9501868</v>
      </c>
      <c r="P2977">
        <v>-0.28150439999999999</v>
      </c>
      <c r="Q2977">
        <v>-5.8691119999999897E-3</v>
      </c>
      <c r="R2977">
        <v>-0.95954200000000001</v>
      </c>
      <c r="S2977">
        <v>0.21728520000000001</v>
      </c>
      <c r="T2977">
        <v>-0.109692</v>
      </c>
      <c r="U2977">
        <v>-3.1961979999999999</v>
      </c>
      <c r="V2977">
        <v>-3.1458840000000002E-2</v>
      </c>
      <c r="W2977">
        <v>7.35068099999999E-3</v>
      </c>
      <c r="X2977">
        <v>0.99947799999999998</v>
      </c>
      <c r="Y2977">
        <v>-0.37509749999999997</v>
      </c>
      <c r="Z2977">
        <v>3.0445050000000001E-2</v>
      </c>
      <c r="AA2977">
        <v>0.92648529999999996</v>
      </c>
      <c r="AB2977">
        <v>24</v>
      </c>
      <c r="AC2977">
        <v>2.2425999999999799</v>
      </c>
      <c r="AD2977">
        <v>-1.118683478014</v>
      </c>
      <c r="AE2977">
        <v>-32.497300000000003</v>
      </c>
      <c r="AF2977">
        <v>-12.23635459067</v>
      </c>
      <c r="AG2977">
        <v>-1.118683478014</v>
      </c>
      <c r="AH2977">
        <v>30.147585373038702</v>
      </c>
      <c r="AI2977">
        <v>91.969208854013999</v>
      </c>
      <c r="AJ2977">
        <v>112.091335555675</v>
      </c>
      <c r="AK2977">
        <v>32.555440869649601</v>
      </c>
      <c r="AL2977">
        <v>89.578833201648294</v>
      </c>
      <c r="AM2977">
        <v>91.802804950588893</v>
      </c>
      <c r="AN2977">
        <v>0.99999998180465399</v>
      </c>
    </row>
    <row r="2978" spans="1:40" x14ac:dyDescent="0.25">
      <c r="A2978" t="str">
        <f>"20190312160350944"</f>
        <v>20190312160350944</v>
      </c>
      <c r="B2978" t="str">
        <f>"1552377830936983"</f>
        <v>1552377830936983</v>
      </c>
      <c r="C2978" t="s">
        <v>40</v>
      </c>
      <c r="D2978">
        <v>5.5271499999999998</v>
      </c>
      <c r="E2978">
        <v>0.36228460000000001</v>
      </c>
      <c r="F2978" t="s">
        <v>41</v>
      </c>
      <c r="G2978">
        <v>-493.76639999999998</v>
      </c>
      <c r="H2978" s="1">
        <v>-1.2409189999999999E-6</v>
      </c>
      <c r="I2978">
        <v>240.14570000000001</v>
      </c>
      <c r="J2978">
        <v>-495.9957</v>
      </c>
      <c r="K2978">
        <v>1.1186609999999999</v>
      </c>
      <c r="L2978">
        <v>270.59550000000002</v>
      </c>
      <c r="M2978">
        <v>-0.30554209999999998</v>
      </c>
      <c r="N2978">
        <v>0</v>
      </c>
      <c r="O2978">
        <v>-0.95207739999999996</v>
      </c>
      <c r="P2978">
        <v>-0.27565820000000002</v>
      </c>
      <c r="Q2978">
        <v>-5.3280539999999996E-3</v>
      </c>
      <c r="R2978">
        <v>-0.96124109999999996</v>
      </c>
      <c r="S2978">
        <v>0.23004150000000001</v>
      </c>
      <c r="T2978">
        <v>-0.11690970000000001</v>
      </c>
      <c r="U2978">
        <v>-3.1932680000000002</v>
      </c>
      <c r="V2978">
        <v>-3.1429640000000002E-2</v>
      </c>
      <c r="W2978">
        <v>7.8871069999999904E-3</v>
      </c>
      <c r="X2978">
        <v>0.9994748</v>
      </c>
      <c r="Y2978">
        <v>-0.3731507</v>
      </c>
      <c r="Z2978">
        <v>3.2588899999999997E-2</v>
      </c>
      <c r="AA2978">
        <v>0.92719819999999997</v>
      </c>
      <c r="AB2978">
        <v>24</v>
      </c>
      <c r="AC2978">
        <v>2.2293000000000198</v>
      </c>
      <c r="AD2978">
        <v>-1.1186622409189999</v>
      </c>
      <c r="AE2978">
        <v>-30.4498</v>
      </c>
      <c r="AF2978">
        <v>-11.4119424745447</v>
      </c>
      <c r="AG2978">
        <v>-1.1186622409189999</v>
      </c>
      <c r="AH2978">
        <v>28.274191200067001</v>
      </c>
      <c r="AI2978">
        <v>92.1011847740143</v>
      </c>
      <c r="AJ2978">
        <v>111.97983747161101</v>
      </c>
      <c r="AK2978">
        <v>30.5108787855991</v>
      </c>
      <c r="AL2978">
        <v>89.548097349474403</v>
      </c>
      <c r="AM2978">
        <v>91.801138458054496</v>
      </c>
      <c r="AN2978">
        <v>0.99999995228119798</v>
      </c>
    </row>
    <row r="2979" spans="1:40" x14ac:dyDescent="0.25">
      <c r="A2979" t="str">
        <f>"20190312160350956"</f>
        <v>20190312160350956</v>
      </c>
      <c r="B2979" t="str">
        <f>"1552377830947719"</f>
        <v>1552377830947719</v>
      </c>
      <c r="C2979" t="s">
        <v>40</v>
      </c>
      <c r="D2979">
        <v>5.5557420000000004</v>
      </c>
      <c r="E2979">
        <v>0.36354930000000002</v>
      </c>
      <c r="F2979" t="s">
        <v>41</v>
      </c>
      <c r="G2979">
        <v>-493.75540000000001</v>
      </c>
      <c r="H2979" s="1">
        <v>-1.6305000000000001E-6</v>
      </c>
      <c r="I2979">
        <v>241.06059999999999</v>
      </c>
      <c r="J2979">
        <v>-496.02480000000003</v>
      </c>
      <c r="K2979">
        <v>1.1186389999999999</v>
      </c>
      <c r="L2979">
        <v>270.48140000000001</v>
      </c>
      <c r="M2979">
        <v>-0.29927880000000001</v>
      </c>
      <c r="N2979">
        <v>0</v>
      </c>
      <c r="O2979">
        <v>-0.95406480000000005</v>
      </c>
      <c r="P2979">
        <v>-0.26937990000000001</v>
      </c>
      <c r="Q2979">
        <v>-4.7652199999999997E-3</v>
      </c>
      <c r="R2979">
        <v>-0.96302239999999995</v>
      </c>
      <c r="S2979">
        <v>0.2419434</v>
      </c>
      <c r="T2979">
        <v>-0.120813</v>
      </c>
      <c r="U2979">
        <v>-3.1896969999999998</v>
      </c>
      <c r="V2979">
        <v>-3.1395659999999999E-2</v>
      </c>
      <c r="W2979">
        <v>8.4449869999999993E-3</v>
      </c>
      <c r="X2979">
        <v>0.99947140000000001</v>
      </c>
      <c r="Y2979">
        <v>-0.37056410000000001</v>
      </c>
      <c r="Z2979">
        <v>3.3840719999999998E-2</v>
      </c>
      <c r="AA2979">
        <v>0.92819019999999997</v>
      </c>
      <c r="AB2979">
        <v>24</v>
      </c>
      <c r="AC2979">
        <v>2.2694000000000099</v>
      </c>
      <c r="AD2979">
        <v>-1.1186406304999901</v>
      </c>
      <c r="AE2979">
        <v>-29.4208</v>
      </c>
      <c r="AF2979">
        <v>-10.9554882688854</v>
      </c>
      <c r="AG2979">
        <v>-1.1186406304999901</v>
      </c>
      <c r="AH2979">
        <v>27.353493320514701</v>
      </c>
      <c r="AI2979">
        <v>92.174131123659507</v>
      </c>
      <c r="AJ2979">
        <v>111.82684934324899</v>
      </c>
      <c r="AK2979">
        <v>29.487076438761001</v>
      </c>
      <c r="AL2979">
        <v>89.516132155831798</v>
      </c>
      <c r="AM2979">
        <v>91.799198563133203</v>
      </c>
      <c r="AN2979">
        <v>1.0000000423451101</v>
      </c>
    </row>
    <row r="2980" spans="1:40" x14ac:dyDescent="0.25">
      <c r="A2980" t="str">
        <f>"20190312160350966"</f>
        <v>20190312160350966</v>
      </c>
      <c r="B2980" t="str">
        <f>"1552377830957480"</f>
        <v>1552377830957480</v>
      </c>
      <c r="C2980" t="s">
        <v>40</v>
      </c>
      <c r="D2980">
        <v>5.5326940000000002</v>
      </c>
      <c r="E2980">
        <v>0.36463600000000002</v>
      </c>
      <c r="F2980" t="s">
        <v>41</v>
      </c>
      <c r="G2980">
        <v>-493.78699999999998</v>
      </c>
      <c r="H2980" s="1">
        <v>-2.1967890000000002E-6</v>
      </c>
      <c r="I2980">
        <v>242.36109999999999</v>
      </c>
      <c r="J2980">
        <v>-496.05270000000002</v>
      </c>
      <c r="K2980">
        <v>1.1186199999999999</v>
      </c>
      <c r="L2980">
        <v>270.37110000000001</v>
      </c>
      <c r="M2980">
        <v>-0.29322280000000001</v>
      </c>
      <c r="N2980">
        <v>0</v>
      </c>
      <c r="O2980">
        <v>-0.9559436</v>
      </c>
      <c r="P2980">
        <v>-0.2631908</v>
      </c>
      <c r="Q2980">
        <v>-4.3331480000000002E-3</v>
      </c>
      <c r="R2980">
        <v>-0.96473419999999999</v>
      </c>
      <c r="S2980">
        <v>0.2535095</v>
      </c>
      <c r="T2980">
        <v>-0.12672059999999999</v>
      </c>
      <c r="U2980">
        <v>-3.185486</v>
      </c>
      <c r="V2980">
        <v>-3.1484190000000002E-2</v>
      </c>
      <c r="W2980">
        <v>8.8693580000000008E-3</v>
      </c>
      <c r="X2980">
        <v>0.99946489999999999</v>
      </c>
      <c r="Y2980">
        <v>-0.36810989999999999</v>
      </c>
      <c r="Z2980">
        <v>3.5666059999999999E-2</v>
      </c>
      <c r="AA2980">
        <v>0.92909799999999998</v>
      </c>
      <c r="AB2980">
        <v>24</v>
      </c>
      <c r="AC2980">
        <v>2.26570000000003</v>
      </c>
      <c r="AD2980">
        <v>-1.118622196789</v>
      </c>
      <c r="AE2980">
        <v>-28.01</v>
      </c>
      <c r="AF2980">
        <v>-10.363627957766701</v>
      </c>
      <c r="AG2980">
        <v>-1.118622196789</v>
      </c>
      <c r="AH2980">
        <v>26.072821416389999</v>
      </c>
      <c r="AI2980">
        <v>92.2831500123323</v>
      </c>
      <c r="AJ2980">
        <v>111.677216333045</v>
      </c>
      <c r="AK2980">
        <v>28.079318308625599</v>
      </c>
      <c r="AL2980">
        <v>89.491816558249795</v>
      </c>
      <c r="AM2980">
        <v>91.804280350545397</v>
      </c>
      <c r="AN2980">
        <v>1.0000000030316401</v>
      </c>
    </row>
    <row r="2981" spans="1:40" x14ac:dyDescent="0.25">
      <c r="A2981" t="str">
        <f>"20190312160350978"</f>
        <v>20190312160350978</v>
      </c>
      <c r="B2981" t="str">
        <f>"1552377830967239"</f>
        <v>1552377830967239</v>
      </c>
      <c r="C2981" t="s">
        <v>40</v>
      </c>
      <c r="D2981">
        <v>5.559723</v>
      </c>
      <c r="E2981">
        <v>0.36463600000000002</v>
      </c>
      <c r="F2981" t="s">
        <v>41</v>
      </c>
      <c r="G2981">
        <v>-493.75619999999998</v>
      </c>
      <c r="H2981" s="1">
        <v>-2.4200600000000001E-6</v>
      </c>
      <c r="I2981">
        <v>242.9006</v>
      </c>
      <c r="J2981">
        <v>-496.08109999999999</v>
      </c>
      <c r="K2981">
        <v>1.1186</v>
      </c>
      <c r="L2981">
        <v>270.2534</v>
      </c>
      <c r="M2981">
        <v>-0.28678340000000002</v>
      </c>
      <c r="N2981">
        <v>0</v>
      </c>
      <c r="O2981">
        <v>-0.95789500000000005</v>
      </c>
      <c r="P2981">
        <v>-0.2565769</v>
      </c>
      <c r="Q2981">
        <v>-4.0256240000000002E-3</v>
      </c>
      <c r="R2981">
        <v>-0.96651560000000003</v>
      </c>
      <c r="S2981">
        <v>0.26599119999999998</v>
      </c>
      <c r="T2981">
        <v>-0.1295617</v>
      </c>
      <c r="U2981">
        <v>-3.181702</v>
      </c>
      <c r="V2981">
        <v>-3.1610399999999997E-2</v>
      </c>
      <c r="W2981">
        <v>9.1683219999999996E-3</v>
      </c>
      <c r="X2981">
        <v>0.99945819999999996</v>
      </c>
      <c r="Y2981">
        <v>-0.36555700000000002</v>
      </c>
      <c r="Z2981">
        <v>3.6641279999999998E-2</v>
      </c>
      <c r="AA2981">
        <v>0.93006750000000005</v>
      </c>
      <c r="AB2981">
        <v>24</v>
      </c>
      <c r="AC2981">
        <v>2.3249000000000102</v>
      </c>
      <c r="AD2981">
        <v>-1.11860242006</v>
      </c>
      <c r="AE2981">
        <v>-27.352799999999998</v>
      </c>
      <c r="AF2981">
        <v>-10.055611644426699</v>
      </c>
      <c r="AG2981">
        <v>-1.11860242006</v>
      </c>
      <c r="AH2981">
        <v>25.4944931063322</v>
      </c>
      <c r="AI2981">
        <v>92.337292085588402</v>
      </c>
      <c r="AJ2981">
        <v>111.52541111106299</v>
      </c>
      <c r="AK2981">
        <v>27.428739957688801</v>
      </c>
      <c r="AL2981">
        <v>89.474686476403406</v>
      </c>
      <c r="AM2981">
        <v>91.811520456791598</v>
      </c>
      <c r="AN2981">
        <v>0.99999998453184702</v>
      </c>
    </row>
    <row r="2982" spans="1:40" x14ac:dyDescent="0.25">
      <c r="A2982" t="str">
        <f>"20190312160350989"</f>
        <v>20190312160350989</v>
      </c>
      <c r="B2982" t="str">
        <f>"1552377830977975"</f>
        <v>1552377830977975</v>
      </c>
      <c r="C2982" t="s">
        <v>40</v>
      </c>
      <c r="D2982">
        <v>5.5769659999999996</v>
      </c>
      <c r="E2982">
        <v>0.37581409999999998</v>
      </c>
      <c r="F2982" t="s">
        <v>41</v>
      </c>
      <c r="G2982">
        <v>-493.57679999999999</v>
      </c>
      <c r="H2982" s="1">
        <v>-2.2405859999999998E-6</v>
      </c>
      <c r="I2982">
        <v>242.59360000000001</v>
      </c>
      <c r="J2982">
        <v>-496.10879999999997</v>
      </c>
      <c r="K2982">
        <v>1.1185799999999999</v>
      </c>
      <c r="L2982">
        <v>270.137</v>
      </c>
      <c r="M2982">
        <v>-0.280414</v>
      </c>
      <c r="N2982">
        <v>0</v>
      </c>
      <c r="O2982">
        <v>-0.95977939999999995</v>
      </c>
      <c r="P2982">
        <v>-0.25015720000000002</v>
      </c>
      <c r="Q2982">
        <v>-3.793341E-3</v>
      </c>
      <c r="R2982">
        <v>-0.96819829999999996</v>
      </c>
      <c r="S2982">
        <v>0.28790280000000001</v>
      </c>
      <c r="T2982">
        <v>-0.12859489999999901</v>
      </c>
      <c r="U2982">
        <v>-3.1797789999999999</v>
      </c>
      <c r="V2982">
        <v>-3.1608419999999998E-2</v>
      </c>
      <c r="W2982">
        <v>9.39481E-3</v>
      </c>
      <c r="X2982">
        <v>0.99945620000000002</v>
      </c>
      <c r="Y2982">
        <v>-0.3657823</v>
      </c>
      <c r="Z2982">
        <v>3.6491370000000002E-2</v>
      </c>
      <c r="AA2982">
        <v>0.92998479999999994</v>
      </c>
      <c r="AB2982">
        <v>24</v>
      </c>
      <c r="AC2982">
        <v>2.53199999999998</v>
      </c>
      <c r="AD2982">
        <v>-1.118582240586</v>
      </c>
      <c r="AE2982">
        <v>-27.543399999999899</v>
      </c>
      <c r="AF2982">
        <v>-10.1381080206794</v>
      </c>
      <c r="AG2982">
        <v>-1.118582240586</v>
      </c>
      <c r="AH2982">
        <v>25.686034076546701</v>
      </c>
      <c r="AI2982">
        <v>92.319626187638406</v>
      </c>
      <c r="AJ2982">
        <v>111.538822193276</v>
      </c>
      <c r="AK2982">
        <v>27.637018780060899</v>
      </c>
      <c r="AL2982">
        <v>89.461709132557701</v>
      </c>
      <c r="AM2982">
        <v>91.811410685441203</v>
      </c>
      <c r="AN2982">
        <v>1.0000000251941299</v>
      </c>
    </row>
    <row r="2983" spans="1:40" x14ac:dyDescent="0.25">
      <c r="A2983" t="str">
        <f>"20190312160351000"</f>
        <v>20190312160351000</v>
      </c>
      <c r="B2983" t="str">
        <f>"1552377830997494"</f>
        <v>1552377830997494</v>
      </c>
      <c r="C2983" t="s">
        <v>40</v>
      </c>
      <c r="D2983">
        <v>5.5456479999999999</v>
      </c>
      <c r="E2983">
        <v>0.37881049999999999</v>
      </c>
      <c r="F2983" t="s">
        <v>41</v>
      </c>
      <c r="G2983">
        <v>-494.78300000000002</v>
      </c>
      <c r="H2983" s="1">
        <v>-2.2011719999999999E-6</v>
      </c>
      <c r="I2983">
        <v>251.75360000000001</v>
      </c>
      <c r="J2983">
        <v>-496.13529999999997</v>
      </c>
      <c r="K2983">
        <v>1.118563</v>
      </c>
      <c r="L2983">
        <v>270.02089999999998</v>
      </c>
      <c r="M2983">
        <v>-0.27407769999999998</v>
      </c>
      <c r="N2983">
        <v>0</v>
      </c>
      <c r="O2983">
        <v>-0.96160780000000001</v>
      </c>
      <c r="P2983">
        <v>-0.2438777</v>
      </c>
      <c r="Q2983">
        <v>-3.8386430000000001E-3</v>
      </c>
      <c r="R2983">
        <v>-0.96979839999999995</v>
      </c>
      <c r="S2983">
        <v>0.22766110000000001</v>
      </c>
      <c r="T2983">
        <v>-0.19207350000000001</v>
      </c>
      <c r="U2983">
        <v>-3.156647</v>
      </c>
      <c r="V2983">
        <v>-3.1491680000000001E-2</v>
      </c>
      <c r="W2983">
        <v>9.3466520000000004E-3</v>
      </c>
      <c r="X2983">
        <v>0.99946029999999997</v>
      </c>
      <c r="Y2983">
        <v>-0.3424432</v>
      </c>
      <c r="Z2983">
        <v>5.5327969999999997E-2</v>
      </c>
      <c r="AA2983">
        <v>0.93790810000000002</v>
      </c>
      <c r="AB2983">
        <v>24</v>
      </c>
      <c r="AC2983">
        <v>1.3522999999999501</v>
      </c>
      <c r="AD2983">
        <v>-1.118565201172</v>
      </c>
      <c r="AE2983">
        <v>-18.267299999999899</v>
      </c>
      <c r="AF2983">
        <v>-6.2842126385127202</v>
      </c>
      <c r="AG2983">
        <v>-1.118565201172</v>
      </c>
      <c r="AH2983">
        <v>17.1331021096859</v>
      </c>
      <c r="AI2983">
        <v>93.507489057767202</v>
      </c>
      <c r="AJ2983">
        <v>110.14242053409301</v>
      </c>
      <c r="AK2983">
        <v>18.283481738887701</v>
      </c>
      <c r="AL2983">
        <v>89.4644684841643</v>
      </c>
      <c r="AM2983">
        <v>91.804717600590806</v>
      </c>
      <c r="AN2983">
        <v>0.99999998854446004</v>
      </c>
    </row>
    <row r="2984" spans="1:40" x14ac:dyDescent="0.25">
      <c r="A2984" t="str">
        <f>"20190312160351012"</f>
        <v>20190312160351012</v>
      </c>
      <c r="B2984" t="str">
        <f>"1552377831007254"</f>
        <v>1552377831007254</v>
      </c>
      <c r="C2984" t="s">
        <v>40</v>
      </c>
      <c r="D2984">
        <v>5.5815340000000004</v>
      </c>
      <c r="E2984">
        <v>0.37958540000000002</v>
      </c>
      <c r="F2984" t="s">
        <v>41</v>
      </c>
      <c r="G2984">
        <v>-494.99</v>
      </c>
      <c r="H2984" s="1">
        <v>-3.2869470000000001E-6</v>
      </c>
      <c r="I2984">
        <v>254.15620000000001</v>
      </c>
      <c r="J2984">
        <v>-496.16109999999998</v>
      </c>
      <c r="K2984">
        <v>1.11854599999999</v>
      </c>
      <c r="L2984">
        <v>269.90550000000002</v>
      </c>
      <c r="M2984">
        <v>-0.26778249999999998</v>
      </c>
      <c r="N2984">
        <v>0</v>
      </c>
      <c r="O2984">
        <v>-0.96337989999999996</v>
      </c>
      <c r="P2984">
        <v>-0.2374976</v>
      </c>
      <c r="Q2984">
        <v>-3.8415569999999998E-3</v>
      </c>
      <c r="R2984">
        <v>-0.97138080000000004</v>
      </c>
      <c r="S2984">
        <v>0.22738649999999999</v>
      </c>
      <c r="T2984">
        <v>-0.22207959999999999</v>
      </c>
      <c r="U2984">
        <v>-3.1497799999999998</v>
      </c>
      <c r="V2984">
        <v>-3.1524089999999998E-2</v>
      </c>
      <c r="W2984">
        <v>9.3375939999999994E-3</v>
      </c>
      <c r="X2984">
        <v>0.9994594</v>
      </c>
      <c r="Y2984">
        <v>-0.33631250000000001</v>
      </c>
      <c r="Z2984">
        <v>6.4336149999999995E-2</v>
      </c>
      <c r="AA2984">
        <v>0.93955029999999995</v>
      </c>
      <c r="AB2984">
        <v>24</v>
      </c>
      <c r="AC2984">
        <v>1.1710999999999601</v>
      </c>
      <c r="AD2984">
        <v>-1.11854928694699</v>
      </c>
      <c r="AE2984">
        <v>-15.7493</v>
      </c>
      <c r="AF2984">
        <v>-5.3194291421153199</v>
      </c>
      <c r="AG2984">
        <v>-1.11854928694699</v>
      </c>
      <c r="AH2984">
        <v>14.786209724494899</v>
      </c>
      <c r="AI2984">
        <v>94.0715559271774</v>
      </c>
      <c r="AJ2984">
        <v>109.786504244873</v>
      </c>
      <c r="AK2984">
        <v>15.753713115391699</v>
      </c>
      <c r="AL2984">
        <v>89.464987511805006</v>
      </c>
      <c r="AM2984">
        <v>91.806575340620796</v>
      </c>
      <c r="AN2984">
        <v>1.00000002558019</v>
      </c>
    </row>
    <row r="2985" spans="1:40" x14ac:dyDescent="0.25">
      <c r="A2985" t="str">
        <f>"20190312160351022"</f>
        <v>20190312160351022</v>
      </c>
      <c r="B2985" t="str">
        <f>"1552377831017990"</f>
        <v>1552377831017990</v>
      </c>
      <c r="C2985" t="s">
        <v>40</v>
      </c>
      <c r="D2985">
        <v>5.5411210000000004</v>
      </c>
      <c r="E2985">
        <v>0.3802297</v>
      </c>
      <c r="F2985" t="s">
        <v>41</v>
      </c>
      <c r="G2985">
        <v>-494.90210000000002</v>
      </c>
      <c r="H2985" s="1">
        <v>-2.9718340000000002E-6</v>
      </c>
      <c r="I2985">
        <v>253.4761</v>
      </c>
      <c r="J2985">
        <v>-496.18689999999998</v>
      </c>
      <c r="K2985">
        <v>1.11853</v>
      </c>
      <c r="L2985">
        <v>269.78629999999998</v>
      </c>
      <c r="M2985">
        <v>-0.26128469999999998</v>
      </c>
      <c r="N2985">
        <v>0</v>
      </c>
      <c r="O2985">
        <v>-0.96516239999999998</v>
      </c>
      <c r="P2985">
        <v>-0.2311135</v>
      </c>
      <c r="Q2985">
        <v>-3.7277289999999999E-3</v>
      </c>
      <c r="R2985">
        <v>-0.97291930000000004</v>
      </c>
      <c r="S2985">
        <v>0.24111940000000001</v>
      </c>
      <c r="T2985">
        <v>-0.21421760000000001</v>
      </c>
      <c r="U2985">
        <v>-3.1464539999999999</v>
      </c>
      <c r="V2985">
        <v>-3.1354859999999998E-2</v>
      </c>
      <c r="W2985">
        <v>9.4496440000000001E-3</v>
      </c>
      <c r="X2985">
        <v>0.99946360000000001</v>
      </c>
      <c r="Y2985">
        <v>-0.33412789999999998</v>
      </c>
      <c r="Z2985">
        <v>6.2331959999999999E-2</v>
      </c>
      <c r="AA2985">
        <v>0.94046439999999998</v>
      </c>
      <c r="AB2985">
        <v>24</v>
      </c>
      <c r="AC2985">
        <v>1.28479999999996</v>
      </c>
      <c r="AD2985">
        <v>-1.118532971834</v>
      </c>
      <c r="AE2985">
        <v>-16.310199999999899</v>
      </c>
      <c r="AF2985">
        <v>-5.47657643897442</v>
      </c>
      <c r="AG2985">
        <v>-1.118532971834</v>
      </c>
      <c r="AH2985">
        <v>15.3360897289697</v>
      </c>
      <c r="AI2985">
        <v>93.929275355702202</v>
      </c>
      <c r="AJ2985">
        <v>109.651841091658</v>
      </c>
      <c r="AK2985">
        <v>16.322979313716601</v>
      </c>
      <c r="AL2985">
        <v>89.458567198587801</v>
      </c>
      <c r="AM2985">
        <v>91.796875975437501</v>
      </c>
      <c r="AN2985">
        <v>0.99999995537115205</v>
      </c>
    </row>
    <row r="2986" spans="1:40" x14ac:dyDescent="0.25">
      <c r="A2986" t="str">
        <f>"20190312160351034"</f>
        <v>20190312160351034</v>
      </c>
      <c r="B2986" t="str">
        <f>"1552377831027751"</f>
        <v>1552377831027751</v>
      </c>
      <c r="C2986" t="s">
        <v>40</v>
      </c>
      <c r="D2986">
        <v>5.5797549999999996</v>
      </c>
      <c r="E2986">
        <v>0.38133270000000002</v>
      </c>
      <c r="F2986" t="s">
        <v>41</v>
      </c>
      <c r="G2986">
        <v>-494.81560000000002</v>
      </c>
      <c r="H2986" s="1">
        <v>-2.7337339999999999E-6</v>
      </c>
      <c r="I2986">
        <v>252.97470000000001</v>
      </c>
      <c r="J2986">
        <v>-496.21120000000002</v>
      </c>
      <c r="K2986">
        <v>1.1185160000000001</v>
      </c>
      <c r="L2986">
        <v>269.66930000000002</v>
      </c>
      <c r="M2986">
        <v>-0.25492379999999998</v>
      </c>
      <c r="N2986">
        <v>0</v>
      </c>
      <c r="O2986">
        <v>-0.96686229999999995</v>
      </c>
      <c r="P2986">
        <v>-0.2248474</v>
      </c>
      <c r="Q2986">
        <v>-3.7878450000000002E-3</v>
      </c>
      <c r="R2986">
        <v>-0.9743868</v>
      </c>
      <c r="S2986">
        <v>0.25640869999999999</v>
      </c>
      <c r="T2986">
        <v>-0.20915590000000001</v>
      </c>
      <c r="U2986">
        <v>-3.1436160000000002</v>
      </c>
      <c r="V2986">
        <v>-3.12038E-2</v>
      </c>
      <c r="W2986">
        <v>9.3876580000000001E-3</v>
      </c>
      <c r="X2986">
        <v>0.99946900000000005</v>
      </c>
      <c r="Y2986">
        <v>-0.332539799999999</v>
      </c>
      <c r="Z2986">
        <v>6.1096089999999999E-2</v>
      </c>
      <c r="AA2986">
        <v>0.94110819999999995</v>
      </c>
      <c r="AB2986">
        <v>24</v>
      </c>
      <c r="AC2986">
        <v>1.3956</v>
      </c>
      <c r="AD2986">
        <v>-1.1185187337339999</v>
      </c>
      <c r="AE2986">
        <v>-16.694600000000001</v>
      </c>
      <c r="AF2986">
        <v>-5.5808619242502102</v>
      </c>
      <c r="AG2986">
        <v>-1.1185187337339999</v>
      </c>
      <c r="AH2986">
        <v>15.7170548240156</v>
      </c>
      <c r="AI2986">
        <v>93.836714660712204</v>
      </c>
      <c r="AJ2986">
        <v>109.54909506109701</v>
      </c>
      <c r="AK2986">
        <v>16.7159479634382</v>
      </c>
      <c r="AL2986">
        <v>89.462118939939302</v>
      </c>
      <c r="AM2986">
        <v>91.788215048104405</v>
      </c>
      <c r="AN2986">
        <v>1.0000000436090799</v>
      </c>
    </row>
    <row r="2987" spans="1:40" x14ac:dyDescent="0.25">
      <c r="A2987" t="str">
        <f>"20190312160351045"</f>
        <v>20190312160351045</v>
      </c>
      <c r="B2987" t="str">
        <f>"1552377831037511"</f>
        <v>1552377831037511</v>
      </c>
      <c r="C2987" t="s">
        <v>40</v>
      </c>
      <c r="D2987">
        <v>5.5806769999999997</v>
      </c>
      <c r="E2987">
        <v>0.38241350000000002</v>
      </c>
      <c r="F2987" t="s">
        <v>41</v>
      </c>
      <c r="G2987">
        <v>-494.7851</v>
      </c>
      <c r="H2987" s="1">
        <v>-2.7169030000000001E-6</v>
      </c>
      <c r="I2987">
        <v>252.95439999999999</v>
      </c>
      <c r="J2987">
        <v>-496.23559999999998</v>
      </c>
      <c r="K2987">
        <v>1.1184970000000001</v>
      </c>
      <c r="L2987">
        <v>269.54969999999997</v>
      </c>
      <c r="M2987">
        <v>-0.24841640000000001</v>
      </c>
      <c r="N2987">
        <v>0</v>
      </c>
      <c r="O2987">
        <v>-0.96855480000000005</v>
      </c>
      <c r="P2987">
        <v>-0.21829299999999999</v>
      </c>
      <c r="Q2987">
        <v>-3.7795250000000002E-3</v>
      </c>
      <c r="R2987">
        <v>-0.97587599999999997</v>
      </c>
      <c r="S2987">
        <v>0.26788329999999999</v>
      </c>
      <c r="T2987">
        <v>-0.2101094</v>
      </c>
      <c r="U2987">
        <v>-3.1398320000000002</v>
      </c>
      <c r="V2987">
        <v>-3.1200470000000001E-2</v>
      </c>
      <c r="W2987">
        <v>9.3905189999999999E-3</v>
      </c>
      <c r="X2987">
        <v>0.99946900000000005</v>
      </c>
      <c r="Y2987">
        <v>-0.3297021</v>
      </c>
      <c r="Z2987">
        <v>6.1640180000000003E-2</v>
      </c>
      <c r="AA2987">
        <v>0.94207059999999998</v>
      </c>
      <c r="AB2987">
        <v>24</v>
      </c>
      <c r="AC2987">
        <v>1.4504999999999699</v>
      </c>
      <c r="AD2987">
        <v>-1.11849971690299</v>
      </c>
      <c r="AE2987">
        <v>-16.595299999999899</v>
      </c>
      <c r="AF2987">
        <v>-5.5031521452390697</v>
      </c>
      <c r="AG2987">
        <v>-1.11849971690299</v>
      </c>
      <c r="AH2987">
        <v>15.644103809867101</v>
      </c>
      <c r="AI2987">
        <v>93.858487026124493</v>
      </c>
      <c r="AJ2987">
        <v>109.380426356342</v>
      </c>
      <c r="AK2987">
        <v>16.6214833623314</v>
      </c>
      <c r="AL2987">
        <v>89.461954968042704</v>
      </c>
      <c r="AM2987">
        <v>91.788024337660602</v>
      </c>
      <c r="AN2987">
        <v>0.99999996656815404</v>
      </c>
    </row>
    <row r="2988" spans="1:40" x14ac:dyDescent="0.25">
      <c r="A2988" t="str">
        <f>"20190312160351057"</f>
        <v>20190312160351057</v>
      </c>
      <c r="B2988" t="str">
        <f>"1552377831047271"</f>
        <v>1552377831047271</v>
      </c>
      <c r="C2988" t="s">
        <v>40</v>
      </c>
      <c r="D2988">
        <v>5.5720330000000002</v>
      </c>
      <c r="E2988">
        <v>0.38335780000000003</v>
      </c>
      <c r="F2988" t="s">
        <v>41</v>
      </c>
      <c r="G2988">
        <v>-494.74700000000001</v>
      </c>
      <c r="H2988" s="1">
        <v>-2.6944329999999998E-6</v>
      </c>
      <c r="I2988">
        <v>252.92570000000001</v>
      </c>
      <c r="J2988">
        <v>-496.2568</v>
      </c>
      <c r="K2988">
        <v>1.118482</v>
      </c>
      <c r="L2988">
        <v>269.44029999999998</v>
      </c>
      <c r="M2988">
        <v>-0.24247920000000001</v>
      </c>
      <c r="N2988">
        <v>0</v>
      </c>
      <c r="O2988">
        <v>-0.97005810000000003</v>
      </c>
      <c r="P2988">
        <v>-0.21258949999999999</v>
      </c>
      <c r="Q2988">
        <v>-3.3829020000000001E-3</v>
      </c>
      <c r="R2988">
        <v>-0.9771358</v>
      </c>
      <c r="S2988">
        <v>0.28082279999999998</v>
      </c>
      <c r="T2988">
        <v>-0.21100749999999999</v>
      </c>
      <c r="U2988">
        <v>-3.1361690000000002</v>
      </c>
      <c r="V2988">
        <v>-3.0923929999999999E-2</v>
      </c>
      <c r="W2988">
        <v>9.7886580000000004E-3</v>
      </c>
      <c r="X2988">
        <v>0.99947379999999997</v>
      </c>
      <c r="Y2988">
        <v>-0.32786759999999998</v>
      </c>
      <c r="Z2988">
        <v>6.2135749999999997E-2</v>
      </c>
      <c r="AA2988">
        <v>0.94267809999999996</v>
      </c>
      <c r="AB2988">
        <v>24</v>
      </c>
      <c r="AC2988">
        <v>1.50980000000004</v>
      </c>
      <c r="AD2988">
        <v>-1.118484694433</v>
      </c>
      <c r="AE2988">
        <v>-16.514599999999898</v>
      </c>
      <c r="AF2988">
        <v>-5.4447954212826497</v>
      </c>
      <c r="AG2988">
        <v>-1.118484694433</v>
      </c>
      <c r="AH2988">
        <v>15.5846291350716</v>
      </c>
      <c r="AI2988">
        <v>93.876012123882006</v>
      </c>
      <c r="AJ2988">
        <v>109.257861642744</v>
      </c>
      <c r="AK2988">
        <v>16.546222241618299</v>
      </c>
      <c r="AL2988">
        <v>89.439142248122295</v>
      </c>
      <c r="AM2988">
        <v>91.772178136812798</v>
      </c>
      <c r="AN2988">
        <v>0.99999999207926205</v>
      </c>
    </row>
    <row r="2989" spans="1:40" x14ac:dyDescent="0.25">
      <c r="A2989" t="str">
        <f>"20190312160351069"</f>
        <v>20190312160351069</v>
      </c>
      <c r="B2989" t="str">
        <f>"1552377831058008"</f>
        <v>1552377831058008</v>
      </c>
      <c r="C2989" t="s">
        <v>40</v>
      </c>
      <c r="D2989">
        <v>5.5735590000000004</v>
      </c>
      <c r="E2989">
        <v>0.38335780000000003</v>
      </c>
      <c r="F2989" t="s">
        <v>41</v>
      </c>
      <c r="G2989">
        <v>-494.70440000000002</v>
      </c>
      <c r="H2989" s="1">
        <v>-2.609993E-6</v>
      </c>
      <c r="I2989">
        <v>252.7552</v>
      </c>
      <c r="J2989">
        <v>-496.28109999999998</v>
      </c>
      <c r="K2989">
        <v>1.1184639999999999</v>
      </c>
      <c r="L2989">
        <v>269.31299999999999</v>
      </c>
      <c r="M2989">
        <v>-0.2355778</v>
      </c>
      <c r="N2989">
        <v>0</v>
      </c>
      <c r="O2989">
        <v>-0.97175750000000005</v>
      </c>
      <c r="P2989">
        <v>-0.20601929999999999</v>
      </c>
      <c r="Q2989">
        <v>-3.0501819999999998E-3</v>
      </c>
      <c r="R2989">
        <v>-0.97854350000000001</v>
      </c>
      <c r="S2989">
        <v>0.29147339999999999</v>
      </c>
      <c r="T2989">
        <v>-0.2100109</v>
      </c>
      <c r="U2989">
        <v>-3.1328429999999998</v>
      </c>
      <c r="V2989">
        <v>-3.054161E-2</v>
      </c>
      <c r="W2989">
        <v>1.0124340000000001E-2</v>
      </c>
      <c r="X2989">
        <v>0.99948219999999999</v>
      </c>
      <c r="Y2989">
        <v>-0.32441910000000002</v>
      </c>
      <c r="Z2989">
        <v>6.2109419999999999E-2</v>
      </c>
      <c r="AA2989">
        <v>0.94387220000000005</v>
      </c>
      <c r="AB2989">
        <v>24</v>
      </c>
      <c r="AC2989">
        <v>1.57669999999995</v>
      </c>
      <c r="AD2989">
        <v>-1.1184666099929901</v>
      </c>
      <c r="AE2989">
        <v>-16.557799999999901</v>
      </c>
      <c r="AF2989">
        <v>-5.4088792059111697</v>
      </c>
      <c r="AG2989">
        <v>-1.1184666099929901</v>
      </c>
      <c r="AH2989">
        <v>15.6494627013957</v>
      </c>
      <c r="AI2989">
        <v>93.8644087351461</v>
      </c>
      <c r="AJ2989">
        <v>109.06653922020701</v>
      </c>
      <c r="AK2989">
        <v>16.5955603901822</v>
      </c>
      <c r="AL2989">
        <v>89.419908125725598</v>
      </c>
      <c r="AM2989">
        <v>91.750267283936793</v>
      </c>
      <c r="AN2989">
        <v>0.999999980159333</v>
      </c>
    </row>
    <row r="2990" spans="1:40" x14ac:dyDescent="0.25">
      <c r="A2990" t="str">
        <f>"20190312160351081"</f>
        <v>20190312160351081</v>
      </c>
      <c r="B2990" t="str">
        <f>"1552377831077527"</f>
        <v>1552377831077527</v>
      </c>
      <c r="C2990" t="s">
        <v>40</v>
      </c>
      <c r="D2990">
        <v>5.6017479999999997</v>
      </c>
      <c r="E2990">
        <v>0.3973758</v>
      </c>
      <c r="F2990" t="s">
        <v>41</v>
      </c>
      <c r="G2990">
        <v>-494.61149999999998</v>
      </c>
      <c r="H2990" s="1">
        <v>-2.5159759999999999E-6</v>
      </c>
      <c r="I2990">
        <v>252.59370000000001</v>
      </c>
      <c r="J2990">
        <v>-496.30439999999999</v>
      </c>
      <c r="K2990">
        <v>1.1184430000000001</v>
      </c>
      <c r="L2990">
        <v>269.18380000000002</v>
      </c>
      <c r="M2990">
        <v>-0.22858790000000001</v>
      </c>
      <c r="N2990">
        <v>0</v>
      </c>
      <c r="O2990">
        <v>-0.9734256</v>
      </c>
      <c r="P2990">
        <v>-0.1994137</v>
      </c>
      <c r="Q2990">
        <v>-2.9138440000000001E-3</v>
      </c>
      <c r="R2990">
        <v>-0.97991130000000004</v>
      </c>
      <c r="S2990">
        <v>0.3126526</v>
      </c>
      <c r="T2990">
        <v>-0.2094483</v>
      </c>
      <c r="U2990">
        <v>-3.1309200000000001</v>
      </c>
      <c r="V2990">
        <v>-3.0103100000000001E-2</v>
      </c>
      <c r="W2990">
        <v>1.026357E-2</v>
      </c>
      <c r="X2990">
        <v>0.99949410000000005</v>
      </c>
      <c r="Y2990">
        <v>-0.32400139999999999</v>
      </c>
      <c r="Z2990">
        <v>6.2132899999999998E-2</v>
      </c>
      <c r="AA2990">
        <v>0.94401409999999997</v>
      </c>
      <c r="AB2990">
        <v>24</v>
      </c>
      <c r="AC2990">
        <v>1.6929000000000001</v>
      </c>
      <c r="AD2990">
        <v>-1.1184455159760001</v>
      </c>
      <c r="AE2990">
        <v>-16.5901</v>
      </c>
      <c r="AF2990">
        <v>-5.4163621343806003</v>
      </c>
      <c r="AG2990">
        <v>-1.1184455159760001</v>
      </c>
      <c r="AH2990">
        <v>15.693160569831299</v>
      </c>
      <c r="AI2990">
        <v>93.854183946859095</v>
      </c>
      <c r="AJ2990">
        <v>109.04168282355</v>
      </c>
      <c r="AK2990">
        <v>16.639206345660501</v>
      </c>
      <c r="AL2990">
        <v>89.411930429397302</v>
      </c>
      <c r="AM2990">
        <v>91.725132083919306</v>
      </c>
      <c r="AN2990">
        <v>0.99999999671678197</v>
      </c>
    </row>
    <row r="2991" spans="1:40" x14ac:dyDescent="0.25">
      <c r="A2991" t="str">
        <f>"20190312160351102"</f>
        <v>20190312160351102</v>
      </c>
      <c r="B2991" t="str">
        <f>"1552377831098024"</f>
        <v>1552377831098024</v>
      </c>
      <c r="C2991" t="s">
        <v>40</v>
      </c>
      <c r="D2991">
        <v>5.5894089999999998</v>
      </c>
      <c r="E2991">
        <v>0.39983600000000002</v>
      </c>
      <c r="F2991" t="s">
        <v>41</v>
      </c>
      <c r="G2991">
        <v>-494.88889999999998</v>
      </c>
      <c r="H2991" s="1">
        <v>-5.0407690000000003E-6</v>
      </c>
      <c r="I2991">
        <v>249.251</v>
      </c>
      <c r="J2991">
        <v>-496.34219999999999</v>
      </c>
      <c r="K2991">
        <v>1.1184080000000001</v>
      </c>
      <c r="L2991">
        <v>268.96370000000002</v>
      </c>
      <c r="M2991">
        <v>-0.21669930000000001</v>
      </c>
      <c r="N2991">
        <v>0</v>
      </c>
      <c r="O2991">
        <v>-0.97614120000000004</v>
      </c>
      <c r="P2991">
        <v>-0.18867200000000001</v>
      </c>
      <c r="Q2991">
        <v>-2.7491960000000002E-3</v>
      </c>
      <c r="R2991">
        <v>-0.98203669999999998</v>
      </c>
      <c r="S2991">
        <v>0.22055050000000001</v>
      </c>
      <c r="T2991">
        <v>-0.17427110000000001</v>
      </c>
      <c r="U2991">
        <v>-3.1058349999999999</v>
      </c>
      <c r="V2991">
        <v>-2.8860529999999999E-2</v>
      </c>
      <c r="W2991">
        <v>1.0444749999999999E-2</v>
      </c>
      <c r="X2991">
        <v>0.99952890000000005</v>
      </c>
      <c r="Y2991">
        <v>-0.2852171</v>
      </c>
      <c r="Z2991">
        <v>5.2791320000000003E-2</v>
      </c>
      <c r="AA2991">
        <v>0.95700799999999997</v>
      </c>
      <c r="AB2991">
        <v>24</v>
      </c>
      <c r="AC2991">
        <v>1.45330000000001</v>
      </c>
      <c r="AD2991">
        <v>-1.1184130407690001</v>
      </c>
      <c r="AE2991">
        <v>-19.712700000000002</v>
      </c>
      <c r="AF2991">
        <v>-5.67273285902706</v>
      </c>
      <c r="AG2991">
        <v>-1.1184130407690001</v>
      </c>
      <c r="AH2991">
        <v>18.868836515424</v>
      </c>
      <c r="AI2991">
        <v>93.248808310421794</v>
      </c>
      <c r="AJ2991">
        <v>106.73289615245599</v>
      </c>
      <c r="AK2991">
        <v>19.734835628032101</v>
      </c>
      <c r="AL2991">
        <v>89.401549038923207</v>
      </c>
      <c r="AM2991">
        <v>91.653906408290297</v>
      </c>
      <c r="AN2991">
        <v>1.00000002246482</v>
      </c>
    </row>
    <row r="2992" spans="1:40" x14ac:dyDescent="0.25">
      <c r="A2992" t="str">
        <f>"20190312160351114"</f>
        <v>20190312160351114</v>
      </c>
      <c r="B2992" t="str">
        <f>"1552377831107784"</f>
        <v>1552377831107784</v>
      </c>
      <c r="C2992" t="s">
        <v>40</v>
      </c>
      <c r="D2992">
        <v>5.5947469999999999</v>
      </c>
      <c r="E2992">
        <v>0.40098149999999999</v>
      </c>
      <c r="F2992" t="s">
        <v>41</v>
      </c>
      <c r="G2992">
        <v>-494.7398</v>
      </c>
      <c r="H2992" s="1">
        <v>-4.5212559999999999E-6</v>
      </c>
      <c r="I2992">
        <v>247.8021</v>
      </c>
      <c r="J2992">
        <v>-496.36369999999999</v>
      </c>
      <c r="K2992">
        <v>1.1183879999999999</v>
      </c>
      <c r="L2992">
        <v>268.83030000000002</v>
      </c>
      <c r="M2992">
        <v>-0.2095178</v>
      </c>
      <c r="N2992">
        <v>0</v>
      </c>
      <c r="O2992">
        <v>-0.97770769999999996</v>
      </c>
      <c r="P2992">
        <v>-0.18204600000000001</v>
      </c>
      <c r="Q2992">
        <v>-2.1266290000000001E-3</v>
      </c>
      <c r="R2992">
        <v>-0.9832881</v>
      </c>
      <c r="S2992">
        <v>0.23471069999999999</v>
      </c>
      <c r="T2992">
        <v>-0.16381319999999999</v>
      </c>
      <c r="U2992">
        <v>-3.0995180000000002</v>
      </c>
      <c r="V2992">
        <v>-2.8264580000000001E-2</v>
      </c>
      <c r="W2992">
        <v>1.1073670000000001E-2</v>
      </c>
      <c r="X2992">
        <v>0.99953910000000001</v>
      </c>
      <c r="Y2992">
        <v>-0.28266999999999998</v>
      </c>
      <c r="Z2992">
        <v>4.9868509999999998E-2</v>
      </c>
      <c r="AA2992">
        <v>0.95792010000000005</v>
      </c>
      <c r="AB2992">
        <v>24</v>
      </c>
      <c r="AC2992">
        <v>1.6238999999999899</v>
      </c>
      <c r="AD2992">
        <v>-1.118392521256</v>
      </c>
      <c r="AE2992">
        <v>-21.028199999999998</v>
      </c>
      <c r="AF2992">
        <v>-5.9772435387308702</v>
      </c>
      <c r="AG2992">
        <v>-1.118392521256</v>
      </c>
      <c r="AH2992">
        <v>20.164417038073999</v>
      </c>
      <c r="AI2992">
        <v>93.043927218729394</v>
      </c>
      <c r="AJ2992">
        <v>106.511156422825</v>
      </c>
      <c r="AK2992">
        <v>21.0613854396682</v>
      </c>
      <c r="AL2992">
        <v>89.365512453597304</v>
      </c>
      <c r="AM2992">
        <v>91.619756248659201</v>
      </c>
      <c r="AN2992">
        <v>0.99999996253932699</v>
      </c>
    </row>
    <row r="2993" spans="1:40" x14ac:dyDescent="0.25">
      <c r="A2993" t="str">
        <f>"20190312160351125"</f>
        <v>20190312160351125</v>
      </c>
      <c r="B2993" t="str">
        <f>"1552377831117543"</f>
        <v>1552377831117543</v>
      </c>
      <c r="C2993" t="s">
        <v>40</v>
      </c>
      <c r="D2993">
        <v>5.597963</v>
      </c>
      <c r="E2993">
        <v>0.40208169999999999</v>
      </c>
      <c r="F2993" t="s">
        <v>41</v>
      </c>
      <c r="G2993">
        <v>-494.6533</v>
      </c>
      <c r="H2993" s="1">
        <v>-4.3485080000000002E-6</v>
      </c>
      <c r="I2993">
        <v>247.33949999999999</v>
      </c>
      <c r="J2993">
        <v>-496.3811</v>
      </c>
      <c r="K2993">
        <v>1.118371</v>
      </c>
      <c r="L2993">
        <v>268.71929999999998</v>
      </c>
      <c r="M2993">
        <v>-0.20354620000000001</v>
      </c>
      <c r="N2993">
        <v>0</v>
      </c>
      <c r="O2993">
        <v>-0.97896859999999997</v>
      </c>
      <c r="P2993">
        <v>-0.1764898</v>
      </c>
      <c r="Q2993">
        <v>-1.5981610000000001E-3</v>
      </c>
      <c r="R2993">
        <v>-0.98430139999999999</v>
      </c>
      <c r="S2993">
        <v>0.24642939999999999</v>
      </c>
      <c r="T2993">
        <v>-0.16113229999999901</v>
      </c>
      <c r="U2993">
        <v>-3.0962830000000001</v>
      </c>
      <c r="V2993">
        <v>-2.7819239999999999E-2</v>
      </c>
      <c r="W2993">
        <v>1.160626E-2</v>
      </c>
      <c r="X2993">
        <v>0.99954560000000003</v>
      </c>
      <c r="Y2993">
        <v>-0.28049679999999999</v>
      </c>
      <c r="Z2993">
        <v>4.9213159999999999E-2</v>
      </c>
      <c r="AA2993">
        <v>0.95859249999999996</v>
      </c>
      <c r="AB2993">
        <v>24</v>
      </c>
      <c r="AC2993">
        <v>1.7278</v>
      </c>
      <c r="AD2993">
        <v>-1.1183753485079999</v>
      </c>
      <c r="AE2993">
        <v>-21.3797999999999</v>
      </c>
      <c r="AF2993">
        <v>-6.0274254581531501</v>
      </c>
      <c r="AG2993">
        <v>-1.1183753485079999</v>
      </c>
      <c r="AH2993">
        <v>20.524617424072101</v>
      </c>
      <c r="AI2993">
        <v>92.992794055738202</v>
      </c>
      <c r="AJ2993">
        <v>106.365831173326</v>
      </c>
      <c r="AK2993">
        <v>21.4205635191576</v>
      </c>
      <c r="AL2993">
        <v>89.334995362830497</v>
      </c>
      <c r="AM2993">
        <v>91.594238095382494</v>
      </c>
      <c r="AN2993">
        <v>1.0000000109323599</v>
      </c>
    </row>
    <row r="2994" spans="1:40" x14ac:dyDescent="0.25">
      <c r="A2994" t="str">
        <f>"20190312160351136"</f>
        <v>20190312160351136</v>
      </c>
      <c r="B2994" t="str">
        <f>"1552377831127303"</f>
        <v>1552377831127303</v>
      </c>
      <c r="C2994" t="s">
        <v>40</v>
      </c>
      <c r="D2994">
        <v>5.5888479999999996</v>
      </c>
      <c r="E2994">
        <v>0.40301290000000001</v>
      </c>
      <c r="F2994" t="s">
        <v>41</v>
      </c>
      <c r="G2994">
        <v>-494.59960000000001</v>
      </c>
      <c r="H2994" s="1">
        <v>-4.268833E-6</v>
      </c>
      <c r="I2994">
        <v>247.13339999999999</v>
      </c>
      <c r="J2994">
        <v>-496.39749999999998</v>
      </c>
      <c r="K2994">
        <v>1.1183510000000001</v>
      </c>
      <c r="L2994">
        <v>268.6078</v>
      </c>
      <c r="M2994">
        <v>-0.197573</v>
      </c>
      <c r="N2994">
        <v>0</v>
      </c>
      <c r="O2994">
        <v>-0.98019160000000005</v>
      </c>
      <c r="P2994">
        <v>-0.17096020000000001</v>
      </c>
      <c r="Q2994">
        <v>-9.8280279999999991E-4</v>
      </c>
      <c r="R2994">
        <v>-0.98527770000000003</v>
      </c>
      <c r="S2994">
        <v>0.25531009999999998</v>
      </c>
      <c r="T2994">
        <v>-0.16026979999999999</v>
      </c>
      <c r="U2994">
        <v>-3.0933839999999999</v>
      </c>
      <c r="V2994">
        <v>-2.734909E-2</v>
      </c>
      <c r="W2994">
        <v>1.22261E-2</v>
      </c>
      <c r="X2994">
        <v>0.99955119999999997</v>
      </c>
      <c r="Y2994">
        <v>-0.27744859999999999</v>
      </c>
      <c r="Z2994">
        <v>4.9108230000000003E-2</v>
      </c>
      <c r="AA2994">
        <v>0.95948460000000002</v>
      </c>
      <c r="AB2994">
        <v>24</v>
      </c>
      <c r="AC2994">
        <v>1.7978999999999601</v>
      </c>
      <c r="AD2994">
        <v>-1.1183552688330001</v>
      </c>
      <c r="AE2994">
        <v>-21.474399999999999</v>
      </c>
      <c r="AF2994">
        <v>-5.9894852279822803</v>
      </c>
      <c r="AG2994">
        <v>-1.1183552688330001</v>
      </c>
      <c r="AH2994">
        <v>20.640179237410401</v>
      </c>
      <c r="AI2994">
        <v>92.978798758605507</v>
      </c>
      <c r="AJ2994">
        <v>106.18197390247499</v>
      </c>
      <c r="AK2994">
        <v>21.520726074088898</v>
      </c>
      <c r="AL2994">
        <v>89.299478635420201</v>
      </c>
      <c r="AM2994">
        <v>91.567299971436299</v>
      </c>
      <c r="AN2994">
        <v>1.00000002583323</v>
      </c>
    </row>
    <row r="2995" spans="1:40" x14ac:dyDescent="0.25">
      <c r="A2995" t="str">
        <f>"20190312160351146"</f>
        <v>20190312160351146</v>
      </c>
      <c r="B2995" t="str">
        <f>"1552377831138039"</f>
        <v>1552377831138039</v>
      </c>
      <c r="C2995" t="s">
        <v>40</v>
      </c>
      <c r="D2995">
        <v>5.6080059999999996</v>
      </c>
      <c r="E2995">
        <v>0.40391929999999998</v>
      </c>
      <c r="F2995" t="s">
        <v>41</v>
      </c>
      <c r="G2995">
        <v>-494.52010000000001</v>
      </c>
      <c r="H2995" s="1">
        <v>-4.1159249999999999E-6</v>
      </c>
      <c r="I2995">
        <v>246.72550000000001</v>
      </c>
      <c r="J2995">
        <v>-496.4144</v>
      </c>
      <c r="K2995">
        <v>1.118325</v>
      </c>
      <c r="L2995">
        <v>268.49160000000001</v>
      </c>
      <c r="M2995">
        <v>-0.19134000000000001</v>
      </c>
      <c r="N2995">
        <v>0</v>
      </c>
      <c r="O2995">
        <v>-0.98142759999999996</v>
      </c>
      <c r="P2995">
        <v>-0.16502069999999999</v>
      </c>
      <c r="Q2995">
        <v>-8.7605979999999897E-4</v>
      </c>
      <c r="R2995">
        <v>-0.98629009999999995</v>
      </c>
      <c r="S2995">
        <v>0.26516719999999999</v>
      </c>
      <c r="T2995">
        <v>-0.15795680000000001</v>
      </c>
      <c r="U2995">
        <v>-3.090668</v>
      </c>
      <c r="V2995">
        <v>-2.7020659999999998E-2</v>
      </c>
      <c r="W2995">
        <v>1.2334339999999999E-2</v>
      </c>
      <c r="X2995">
        <v>0.99955879999999997</v>
      </c>
      <c r="Y2995">
        <v>-0.27445259999999999</v>
      </c>
      <c r="Z2995">
        <v>4.8553739999999998E-2</v>
      </c>
      <c r="AA2995">
        <v>0.96037410000000001</v>
      </c>
      <c r="AB2995">
        <v>24</v>
      </c>
      <c r="AC2995">
        <v>1.8942999999999801</v>
      </c>
      <c r="AD2995">
        <v>-1.118329115925</v>
      </c>
      <c r="AE2995">
        <v>-21.766099999999899</v>
      </c>
      <c r="AF2995">
        <v>-6.0086701153048301</v>
      </c>
      <c r="AG2995">
        <v>-1.118329115925</v>
      </c>
      <c r="AH2995">
        <v>20.946499494552199</v>
      </c>
      <c r="AI2995">
        <v>92.937843455723794</v>
      </c>
      <c r="AJ2995">
        <v>106.005959806951</v>
      </c>
      <c r="AK2995">
        <v>21.819959157646402</v>
      </c>
      <c r="AL2995">
        <v>89.293276470963903</v>
      </c>
      <c r="AM2995">
        <v>91.548476016636698</v>
      </c>
      <c r="AN2995">
        <v>1.00000002333375</v>
      </c>
    </row>
    <row r="2996" spans="1:40" x14ac:dyDescent="0.25">
      <c r="A2996" t="str">
        <f>"20190312160351157"</f>
        <v>20190312160351157</v>
      </c>
      <c r="B2996" t="str">
        <f>"1552377831147800"</f>
        <v>1552377831147800</v>
      </c>
      <c r="C2996" t="s">
        <v>40</v>
      </c>
      <c r="D2996">
        <v>5.566179</v>
      </c>
      <c r="E2996">
        <v>0.40472540000000001</v>
      </c>
      <c r="F2996" t="s">
        <v>41</v>
      </c>
      <c r="G2996">
        <v>-494.4461</v>
      </c>
      <c r="H2996" s="1">
        <v>-4.0374079999999999E-6</v>
      </c>
      <c r="I2996">
        <v>246.5334</v>
      </c>
      <c r="J2996">
        <v>-496.42840000000001</v>
      </c>
      <c r="K2996">
        <v>1.1183000000000001</v>
      </c>
      <c r="L2996">
        <v>268.38709999999998</v>
      </c>
      <c r="M2996">
        <v>-0.18576880000000001</v>
      </c>
      <c r="N2996">
        <v>0</v>
      </c>
      <c r="O2996">
        <v>-0.98249730000000002</v>
      </c>
      <c r="P2996">
        <v>-0.16001029999999999</v>
      </c>
      <c r="Q2996">
        <v>-1.0938199999999999E-3</v>
      </c>
      <c r="R2996">
        <v>-0.98711499999999996</v>
      </c>
      <c r="S2996">
        <v>0.2767944</v>
      </c>
      <c r="T2996">
        <v>-0.15726409999999999</v>
      </c>
      <c r="U2996">
        <v>-3.08786</v>
      </c>
      <c r="V2996">
        <v>-2.642017E-2</v>
      </c>
      <c r="W2996">
        <v>1.212359E-2</v>
      </c>
      <c r="X2996">
        <v>0.99957739999999995</v>
      </c>
      <c r="Y2996">
        <v>-0.27266030000000002</v>
      </c>
      <c r="Z2996">
        <v>4.8471630000000002E-2</v>
      </c>
      <c r="AA2996">
        <v>0.96088859999999998</v>
      </c>
      <c r="AB2996">
        <v>24</v>
      </c>
      <c r="AC2996">
        <v>1.9823</v>
      </c>
      <c r="AD2996">
        <v>-1.118304037408</v>
      </c>
      <c r="AE2996">
        <v>-21.8536999999999</v>
      </c>
      <c r="AF2996">
        <v>-5.9923442999366596</v>
      </c>
      <c r="AG2996">
        <v>-1.118304037408</v>
      </c>
      <c r="AH2996">
        <v>21.050273861155802</v>
      </c>
      <c r="AI2996">
        <v>92.925008812569004</v>
      </c>
      <c r="AJ2996">
        <v>105.88996963865</v>
      </c>
      <c r="AK2996">
        <v>21.915127737677601</v>
      </c>
      <c r="AL2996">
        <v>89.305352437960096</v>
      </c>
      <c r="AM2996">
        <v>91.514051707791197</v>
      </c>
      <c r="AN2996">
        <v>0.99999999270403805</v>
      </c>
    </row>
    <row r="2997" spans="1:40" x14ac:dyDescent="0.25">
      <c r="A2997" t="str">
        <f>"20190312160351168"</f>
        <v>20190312160351168</v>
      </c>
      <c r="B2997" t="str">
        <f>"1552377831157559"</f>
        <v>1552377831157559</v>
      </c>
      <c r="C2997" t="s">
        <v>40</v>
      </c>
      <c r="D2997">
        <v>5.5661389999999997</v>
      </c>
      <c r="E2997">
        <v>0.4055686</v>
      </c>
      <c r="F2997" t="s">
        <v>41</v>
      </c>
      <c r="G2997">
        <v>-494.42950000000002</v>
      </c>
      <c r="H2997" s="1">
        <v>-4.1234820000000003E-6</v>
      </c>
      <c r="I2997">
        <v>246.79490000000001</v>
      </c>
      <c r="J2997">
        <v>-496.4436</v>
      </c>
      <c r="K2997">
        <v>1.1182730000000001</v>
      </c>
      <c r="L2997">
        <v>268.27269999999999</v>
      </c>
      <c r="M2997">
        <v>-0.17967420000000001</v>
      </c>
      <c r="N2997">
        <v>0</v>
      </c>
      <c r="O2997">
        <v>-0.98363040000000002</v>
      </c>
      <c r="P2997">
        <v>-0.15450710000000001</v>
      </c>
      <c r="Q2997">
        <v>-1.563741E-3</v>
      </c>
      <c r="R2997">
        <v>-0.98799090000000001</v>
      </c>
      <c r="S2997">
        <v>0.28561399999999998</v>
      </c>
      <c r="T2997">
        <v>-0.15979270000000001</v>
      </c>
      <c r="U2997">
        <v>-3.0852659999999998</v>
      </c>
      <c r="V2997">
        <v>-2.5783049999999998E-2</v>
      </c>
      <c r="W2997">
        <v>1.1661090000000001E-2</v>
      </c>
      <c r="X2997">
        <v>0.99959960000000003</v>
      </c>
      <c r="Y2997">
        <v>-0.26948630000000001</v>
      </c>
      <c r="Z2997">
        <v>4.9394699999999903E-2</v>
      </c>
      <c r="AA2997">
        <v>0.96173660000000005</v>
      </c>
      <c r="AB2997">
        <v>24</v>
      </c>
      <c r="AC2997">
        <v>2.01409999999998</v>
      </c>
      <c r="AD2997">
        <v>-1.1182771234819999</v>
      </c>
      <c r="AE2997">
        <v>-21.477799999999899</v>
      </c>
      <c r="AF2997">
        <v>-5.8250331564182503</v>
      </c>
      <c r="AG2997">
        <v>-1.1182771234819999</v>
      </c>
      <c r="AH2997">
        <v>20.7106358834879</v>
      </c>
      <c r="AI2997">
        <v>92.975472245738302</v>
      </c>
      <c r="AJ2997">
        <v>105.70906548932901</v>
      </c>
      <c r="AK2997">
        <v>21.543258660116699</v>
      </c>
      <c r="AL2997">
        <v>89.3318536511064</v>
      </c>
      <c r="AM2997">
        <v>91.477524073132102</v>
      </c>
      <c r="AN2997">
        <v>1.0000000535037199</v>
      </c>
    </row>
    <row r="2998" spans="1:40" x14ac:dyDescent="0.25">
      <c r="A2998" t="str">
        <f>"20190312160351179"</f>
        <v>20190312160351179</v>
      </c>
      <c r="B2998" t="str">
        <f>"1552377831167319"</f>
        <v>1552377831167319</v>
      </c>
      <c r="C2998" t="s">
        <v>40</v>
      </c>
      <c r="D2998">
        <v>5.6248529999999999</v>
      </c>
      <c r="E2998">
        <v>0.4055686</v>
      </c>
      <c r="F2998" t="s">
        <v>41</v>
      </c>
      <c r="G2998">
        <v>-494.38830000000002</v>
      </c>
      <c r="H2998" s="1">
        <v>-4.1617390000000003E-6</v>
      </c>
      <c r="I2998">
        <v>246.9288</v>
      </c>
      <c r="J2998">
        <v>-496.4581</v>
      </c>
      <c r="K2998">
        <v>1.118244</v>
      </c>
      <c r="L2998">
        <v>268.15469999999999</v>
      </c>
      <c r="M2998">
        <v>-0.17341770000000001</v>
      </c>
      <c r="N2998">
        <v>0</v>
      </c>
      <c r="O2998">
        <v>-0.98475250000000003</v>
      </c>
      <c r="P2998">
        <v>-0.1486237</v>
      </c>
      <c r="Q2998">
        <v>-2.2453579999999998E-3</v>
      </c>
      <c r="R2998">
        <v>-0.98889139999999998</v>
      </c>
      <c r="S2998">
        <v>0.29684450000000001</v>
      </c>
      <c r="T2998">
        <v>-0.1615115</v>
      </c>
      <c r="U2998">
        <v>-3.0826720000000001</v>
      </c>
      <c r="V2998">
        <v>-2.5362829999999999E-2</v>
      </c>
      <c r="W2998">
        <v>1.0981640000000001E-2</v>
      </c>
      <c r="X2998">
        <v>0.99961800000000001</v>
      </c>
      <c r="Y2998">
        <v>-0.26690779999999997</v>
      </c>
      <c r="Z2998">
        <v>5.0064600000000001E-2</v>
      </c>
      <c r="AA2998">
        <v>0.96242079999999997</v>
      </c>
      <c r="AB2998">
        <v>24</v>
      </c>
      <c r="AC2998">
        <v>2.0697999999999799</v>
      </c>
      <c r="AD2998">
        <v>-1.1182481617389901</v>
      </c>
      <c r="AE2998">
        <v>-21.225899999999999</v>
      </c>
      <c r="AF2998">
        <v>-5.7040449323422804</v>
      </c>
      <c r="AG2998">
        <v>-1.1182481617389901</v>
      </c>
      <c r="AH2998">
        <v>20.488926101327898</v>
      </c>
      <c r="AI2998">
        <v>93.009763262385206</v>
      </c>
      <c r="AJ2998">
        <v>105.55701551022899</v>
      </c>
      <c r="AK2998">
        <v>21.2974810793927</v>
      </c>
      <c r="AL2998">
        <v>89.370785733477106</v>
      </c>
      <c r="AM2998">
        <v>91.453426608777903</v>
      </c>
      <c r="AN2998">
        <v>1.00000000774334</v>
      </c>
    </row>
    <row r="2999" spans="1:40" x14ac:dyDescent="0.25">
      <c r="A2999" t="str">
        <f>"20190312160351191"</f>
        <v>20190312160351191</v>
      </c>
      <c r="B2999" t="str">
        <f>"1552377831187816"</f>
        <v>1552377831187816</v>
      </c>
      <c r="C2999" t="s">
        <v>40</v>
      </c>
      <c r="D2999">
        <v>5.6050899999999997</v>
      </c>
      <c r="E2999">
        <v>0.41757640000000001</v>
      </c>
      <c r="F2999" t="s">
        <v>41</v>
      </c>
      <c r="G2999">
        <v>-494.30430000000001</v>
      </c>
      <c r="H2999" s="1">
        <v>-4.1995780000000002E-6</v>
      </c>
      <c r="I2999">
        <v>247.0838</v>
      </c>
      <c r="J2999">
        <v>-496.47239999999999</v>
      </c>
      <c r="K2999">
        <v>1.1182099999999999</v>
      </c>
      <c r="L2999">
        <v>268.03539999999998</v>
      </c>
      <c r="M2999">
        <v>-0.16710459999999999</v>
      </c>
      <c r="N2999">
        <v>0</v>
      </c>
      <c r="O2999">
        <v>-0.98584369999999999</v>
      </c>
      <c r="P2999">
        <v>-0.14272170000000001</v>
      </c>
      <c r="Q2999">
        <v>-2.4421170000000002E-3</v>
      </c>
      <c r="R2999">
        <v>-0.98975999999999997</v>
      </c>
      <c r="S2999">
        <v>0.31491089999999999</v>
      </c>
      <c r="T2999">
        <v>-0.1634951</v>
      </c>
      <c r="U2999">
        <v>-3.0806879999999999</v>
      </c>
      <c r="V2999">
        <v>-2.491674E-2</v>
      </c>
      <c r="W2999">
        <v>1.0787100000000001E-2</v>
      </c>
      <c r="X2999">
        <v>0.9996313</v>
      </c>
      <c r="Y2999">
        <v>-0.2663777</v>
      </c>
      <c r="Z2999">
        <v>5.0786049999999999E-2</v>
      </c>
      <c r="AA2999">
        <v>0.96252979999999999</v>
      </c>
      <c r="AB2999">
        <v>24</v>
      </c>
      <c r="AC2999">
        <v>2.1680999999999799</v>
      </c>
      <c r="AD2999">
        <v>-1.1182141995779999</v>
      </c>
      <c r="AE2999">
        <v>-20.9515999999999</v>
      </c>
      <c r="AF2999">
        <v>-5.6231993140125898</v>
      </c>
      <c r="AG2999">
        <v>-1.1182141995779999</v>
      </c>
      <c r="AH2999">
        <v>20.2375778234086</v>
      </c>
      <c r="AI2999">
        <v>93.047403557080003</v>
      </c>
      <c r="AJ2999">
        <v>105.528447474045</v>
      </c>
      <c r="AK2999">
        <v>21.034027899567199</v>
      </c>
      <c r="AL2999">
        <v>89.381932691766394</v>
      </c>
      <c r="AM2999">
        <v>91.427854939620602</v>
      </c>
      <c r="AN2999">
        <v>0.99999997069916302</v>
      </c>
    </row>
    <row r="3000" spans="1:40" x14ac:dyDescent="0.25">
      <c r="A3000" t="str">
        <f>"20190312160351201"</f>
        <v>20190312160351201</v>
      </c>
      <c r="B3000" t="str">
        <f>"1552377831197575"</f>
        <v>1552377831197575</v>
      </c>
      <c r="C3000" t="s">
        <v>40</v>
      </c>
      <c r="D3000">
        <v>5.6416199999999996</v>
      </c>
      <c r="E3000">
        <v>0.41827750000000002</v>
      </c>
      <c r="F3000" t="s">
        <v>41</v>
      </c>
      <c r="G3000">
        <v>-495.01150000000001</v>
      </c>
      <c r="H3000" s="1">
        <v>-5.1151730000000001E-6</v>
      </c>
      <c r="I3000">
        <v>249.4057</v>
      </c>
      <c r="J3000">
        <v>-496.48540000000003</v>
      </c>
      <c r="K3000">
        <v>1.118177</v>
      </c>
      <c r="L3000">
        <v>267.91789999999997</v>
      </c>
      <c r="M3000">
        <v>-0.16091629999999901</v>
      </c>
      <c r="N3000">
        <v>0</v>
      </c>
      <c r="O3000">
        <v>-0.98687270000000005</v>
      </c>
      <c r="P3000">
        <v>-0.13689579999999901</v>
      </c>
      <c r="Q3000">
        <v>-2.485353E-3</v>
      </c>
      <c r="R3000">
        <v>-0.99058239999999997</v>
      </c>
      <c r="S3000">
        <v>0.2403564</v>
      </c>
      <c r="T3000">
        <v>-0.18398600000000001</v>
      </c>
      <c r="U3000">
        <v>-3.0652469999999998</v>
      </c>
      <c r="V3000">
        <v>-2.452445E-2</v>
      </c>
      <c r="W3000">
        <v>1.074467E-2</v>
      </c>
      <c r="X3000">
        <v>0.99964149999999996</v>
      </c>
      <c r="Y3000">
        <v>-0.237457</v>
      </c>
      <c r="Z3000">
        <v>5.7796609999999998E-2</v>
      </c>
      <c r="AA3000">
        <v>0.96967720000000002</v>
      </c>
      <c r="AB3000">
        <v>24</v>
      </c>
      <c r="AC3000">
        <v>1.47390000000001</v>
      </c>
      <c r="AD3000">
        <v>-1.118182115173</v>
      </c>
      <c r="AE3000">
        <v>-18.512199999999901</v>
      </c>
      <c r="AF3000">
        <v>-4.4178668317840497</v>
      </c>
      <c r="AG3000">
        <v>-1.118182115173</v>
      </c>
      <c r="AH3000">
        <v>17.968562933856301</v>
      </c>
      <c r="AI3000">
        <v>93.458189978524601</v>
      </c>
      <c r="AJ3000">
        <v>103.81312424340599</v>
      </c>
      <c r="AK3000">
        <v>18.537452157565401</v>
      </c>
      <c r="AL3000">
        <v>89.3843639184268</v>
      </c>
      <c r="AM3000">
        <v>91.405369496495396</v>
      </c>
      <c r="AN3000">
        <v>1.0000000125517301</v>
      </c>
    </row>
    <row r="3001" spans="1:40" x14ac:dyDescent="0.25">
      <c r="A3001" t="str">
        <f>"20190312160351215"</f>
        <v>20190312160351215</v>
      </c>
      <c r="B3001" t="str">
        <f>"1552377831207339"</f>
        <v>1552377831207339</v>
      </c>
      <c r="C3001" t="s">
        <v>40</v>
      </c>
      <c r="D3001">
        <v>5.6127099999999999</v>
      </c>
      <c r="E3001">
        <v>0.41894039999999999</v>
      </c>
      <c r="F3001" t="s">
        <v>41</v>
      </c>
      <c r="G3001">
        <v>-494.92149999999998</v>
      </c>
      <c r="H3001" s="1">
        <v>-4.9274249999999997E-6</v>
      </c>
      <c r="I3001">
        <v>248.90090000000001</v>
      </c>
      <c r="J3001">
        <v>-496.49979999999999</v>
      </c>
      <c r="K3001">
        <v>1.118133</v>
      </c>
      <c r="L3001">
        <v>267.78140000000002</v>
      </c>
      <c r="M3001">
        <v>-0.15374889999999999</v>
      </c>
      <c r="N3001">
        <v>0</v>
      </c>
      <c r="O3001">
        <v>-0.98801510000000003</v>
      </c>
      <c r="P3001">
        <v>-0.12990399999999999</v>
      </c>
      <c r="Q3001">
        <v>-2.631446E-3</v>
      </c>
      <c r="R3001">
        <v>-0.9915235</v>
      </c>
      <c r="S3001">
        <v>0.25189210000000001</v>
      </c>
      <c r="T3001">
        <v>-0.18009530000000001</v>
      </c>
      <c r="U3001">
        <v>-3.062897</v>
      </c>
      <c r="V3001">
        <v>-2.4316669999999999E-2</v>
      </c>
      <c r="W3001">
        <v>1.0593999999999999E-2</v>
      </c>
      <c r="X3001">
        <v>0.99964819999999999</v>
      </c>
      <c r="Y3001">
        <v>-0.234097</v>
      </c>
      <c r="Z3001">
        <v>5.6737679999999999E-2</v>
      </c>
      <c r="AA3001">
        <v>0.97055630000000004</v>
      </c>
      <c r="AB3001">
        <v>24</v>
      </c>
      <c r="AC3001">
        <v>1.57830000000001</v>
      </c>
      <c r="AD3001">
        <v>-1.1181379274250001</v>
      </c>
      <c r="AE3001">
        <v>-18.880500000000001</v>
      </c>
      <c r="AF3001">
        <v>-4.4471696012953101</v>
      </c>
      <c r="AG3001">
        <v>-1.1181379274250001</v>
      </c>
      <c r="AH3001">
        <v>18.3493741496772</v>
      </c>
      <c r="AI3001">
        <v>93.389185957211694</v>
      </c>
      <c r="AJ3001">
        <v>103.623563373282</v>
      </c>
      <c r="AK3001">
        <v>18.913674459825899</v>
      </c>
      <c r="AL3001">
        <v>89.392997174514306</v>
      </c>
      <c r="AM3001">
        <v>91.393458077255701</v>
      </c>
      <c r="AN3001">
        <v>1.00000002851956</v>
      </c>
    </row>
    <row r="3002" spans="1:40" x14ac:dyDescent="0.25">
      <c r="A3002" t="str">
        <f>"20190312160351224"</f>
        <v>20190312160351224</v>
      </c>
      <c r="B3002" t="str">
        <f>"1552377831217096"</f>
        <v>1552377831217096</v>
      </c>
      <c r="C3002" t="s">
        <v>40</v>
      </c>
      <c r="D3002">
        <v>5.6468069999999999</v>
      </c>
      <c r="E3002">
        <v>0.41969590000000001</v>
      </c>
      <c r="F3002" t="s">
        <v>41</v>
      </c>
      <c r="G3002">
        <v>-494.8014</v>
      </c>
      <c r="H3002" s="1">
        <v>-4.7314439999999997E-6</v>
      </c>
      <c r="I3002">
        <v>248.38759999999999</v>
      </c>
      <c r="J3002">
        <v>-496.5111</v>
      </c>
      <c r="K3002">
        <v>1.118099</v>
      </c>
      <c r="L3002">
        <v>267.66860000000003</v>
      </c>
      <c r="M3002">
        <v>-0.147844899999999</v>
      </c>
      <c r="N3002">
        <v>0</v>
      </c>
      <c r="O3002">
        <v>-0.98891560000000001</v>
      </c>
      <c r="P3002">
        <v>-0.124075</v>
      </c>
      <c r="Q3002">
        <v>-2.581833E-3</v>
      </c>
      <c r="R3002">
        <v>-0.99226939999999997</v>
      </c>
      <c r="S3002">
        <v>0.2680054</v>
      </c>
      <c r="T3002">
        <v>-0.1764405</v>
      </c>
      <c r="U3002">
        <v>-3.0603030000000002</v>
      </c>
      <c r="V3002">
        <v>-2.4220370000000001E-2</v>
      </c>
      <c r="W3002">
        <v>1.063882E-2</v>
      </c>
      <c r="X3002">
        <v>0.99965009999999999</v>
      </c>
      <c r="Y3002">
        <v>-0.2334367</v>
      </c>
      <c r="Z3002">
        <v>5.5706800000000001E-2</v>
      </c>
      <c r="AA3002">
        <v>0.97077500000000005</v>
      </c>
      <c r="AB3002">
        <v>24</v>
      </c>
      <c r="AC3002">
        <v>1.70969999999999</v>
      </c>
      <c r="AD3002">
        <v>-1.1181037314440001</v>
      </c>
      <c r="AE3002">
        <v>-19.280999999999999</v>
      </c>
      <c r="AF3002">
        <v>-4.5266693922713204</v>
      </c>
      <c r="AG3002">
        <v>-1.1181037314440001</v>
      </c>
      <c r="AH3002">
        <v>18.7537048540025</v>
      </c>
      <c r="AI3002">
        <v>93.316924316514999</v>
      </c>
      <c r="AJ3002">
        <v>103.57018335808201</v>
      </c>
      <c r="AK3002">
        <v>19.324656206314</v>
      </c>
      <c r="AL3002">
        <v>89.3904290562472</v>
      </c>
      <c r="AM3002">
        <v>91.387939166101006</v>
      </c>
      <c r="AN3002">
        <v>1.0000000666219599</v>
      </c>
    </row>
    <row r="3003" spans="1:40" x14ac:dyDescent="0.25">
      <c r="A3003" t="str">
        <f>"20190312160351236"</f>
        <v>20190312160351236</v>
      </c>
      <c r="B3003" t="str">
        <f>"1552377831227831"</f>
        <v>1552377831227831</v>
      </c>
      <c r="C3003" t="s">
        <v>40</v>
      </c>
      <c r="D3003">
        <v>5.6219859999999997</v>
      </c>
      <c r="E3003">
        <v>0.41981309999999999</v>
      </c>
      <c r="F3003" t="s">
        <v>41</v>
      </c>
      <c r="G3003">
        <v>-494.70589999999999</v>
      </c>
      <c r="H3003" s="1">
        <v>-4.5630670000000001E-6</v>
      </c>
      <c r="I3003">
        <v>247.9426</v>
      </c>
      <c r="J3003">
        <v>-496.52170000000001</v>
      </c>
      <c r="K3003">
        <v>1.118061</v>
      </c>
      <c r="L3003">
        <v>267.55279999999999</v>
      </c>
      <c r="M3003">
        <v>-0.14182529999999999</v>
      </c>
      <c r="N3003">
        <v>0</v>
      </c>
      <c r="O3003">
        <v>-0.98979720000000004</v>
      </c>
      <c r="P3003">
        <v>-0.1179529</v>
      </c>
      <c r="Q3003">
        <v>-2.71887E-3</v>
      </c>
      <c r="R3003">
        <v>-0.9930158</v>
      </c>
      <c r="S3003">
        <v>0.27984619999999999</v>
      </c>
      <c r="T3003">
        <v>-0.1733285</v>
      </c>
      <c r="U3003">
        <v>-3.057922</v>
      </c>
      <c r="V3003">
        <v>-2.430001E-2</v>
      </c>
      <c r="W3003">
        <v>1.049196E-2</v>
      </c>
      <c r="X3003">
        <v>0.99964960000000003</v>
      </c>
      <c r="Y3003">
        <v>-0.23131959999999999</v>
      </c>
      <c r="Z3003">
        <v>5.4849370000000001E-2</v>
      </c>
      <c r="AA3003">
        <v>0.97133040000000004</v>
      </c>
      <c r="AB3003">
        <v>24</v>
      </c>
      <c r="AC3003">
        <v>1.8158000000000201</v>
      </c>
      <c r="AD3003">
        <v>-1.118065563067</v>
      </c>
      <c r="AE3003">
        <v>-19.610199999999899</v>
      </c>
      <c r="AF3003">
        <v>-4.5642140555628901</v>
      </c>
      <c r="AG3003">
        <v>-1.118065563067</v>
      </c>
      <c r="AH3003">
        <v>19.092849912924301</v>
      </c>
      <c r="AI3003">
        <v>93.259737287878494</v>
      </c>
      <c r="AJ3003">
        <v>103.44444951426701</v>
      </c>
      <c r="AK3003">
        <v>19.662630504227199</v>
      </c>
      <c r="AL3003">
        <v>89.398843911788504</v>
      </c>
      <c r="AM3003">
        <v>91.392501808520095</v>
      </c>
      <c r="AN3003">
        <v>0.99999994724539898</v>
      </c>
    </row>
    <row r="3004" spans="1:40" x14ac:dyDescent="0.25">
      <c r="A3004" t="str">
        <f>"20190312160351249"</f>
        <v>20190312160351249</v>
      </c>
      <c r="B3004" t="str">
        <f>"1552377831237591"</f>
        <v>1552377831237591</v>
      </c>
      <c r="C3004" t="s">
        <v>40</v>
      </c>
      <c r="D3004">
        <v>5.60243</v>
      </c>
      <c r="E3004">
        <v>0.42015010000000003</v>
      </c>
      <c r="F3004" t="s">
        <v>41</v>
      </c>
      <c r="G3004">
        <v>-494.51589999999999</v>
      </c>
      <c r="H3004" s="1">
        <v>-4.1782159999999997E-6</v>
      </c>
      <c r="I3004">
        <v>246.91069999999999</v>
      </c>
      <c r="J3004">
        <v>-496.53370000000001</v>
      </c>
      <c r="K3004">
        <v>1.118018</v>
      </c>
      <c r="L3004">
        <v>267.41640000000001</v>
      </c>
      <c r="M3004">
        <v>-0.13475000000000001</v>
      </c>
      <c r="N3004">
        <v>0</v>
      </c>
      <c r="O3004">
        <v>-0.99078529999999998</v>
      </c>
      <c r="P3004">
        <v>-0.11074929999999999</v>
      </c>
      <c r="Q3004">
        <v>-2.8185490000000001E-3</v>
      </c>
      <c r="R3004">
        <v>-0.99384470000000003</v>
      </c>
      <c r="S3004">
        <v>0.29693599999999998</v>
      </c>
      <c r="T3004">
        <v>-0.16552130000000001</v>
      </c>
      <c r="U3004">
        <v>-3.0559080000000001</v>
      </c>
      <c r="V3004">
        <v>-2.440252E-2</v>
      </c>
      <c r="W3004">
        <v>1.038182E-2</v>
      </c>
      <c r="X3004">
        <v>0.99964830000000005</v>
      </c>
      <c r="Y3004">
        <v>-0.22982379999999999</v>
      </c>
      <c r="Z3004">
        <v>5.2496370000000001E-2</v>
      </c>
      <c r="AA3004">
        <v>0.9718154</v>
      </c>
      <c r="AB3004">
        <v>24</v>
      </c>
      <c r="AC3004">
        <v>2.0178000000000198</v>
      </c>
      <c r="AD3004">
        <v>-1.118022178216</v>
      </c>
      <c r="AE3004">
        <v>-20.505700000000001</v>
      </c>
      <c r="AF3004">
        <v>-4.7488133868586599</v>
      </c>
      <c r="AG3004">
        <v>-1.118022178216</v>
      </c>
      <c r="AH3004">
        <v>19.987873095518601</v>
      </c>
      <c r="AI3004">
        <v>93.114974764894498</v>
      </c>
      <c r="AJ3004">
        <v>103.364813691706</v>
      </c>
      <c r="AK3004">
        <v>20.574651225640402</v>
      </c>
      <c r="AL3004">
        <v>89.405154841077604</v>
      </c>
      <c r="AM3004">
        <v>91.398375591010407</v>
      </c>
      <c r="AN3004">
        <v>0.99999999443087595</v>
      </c>
    </row>
    <row r="3005" spans="1:40" x14ac:dyDescent="0.25">
      <c r="A3005" t="str">
        <f>"20190312160351259"</f>
        <v>20190312160351259</v>
      </c>
      <c r="B3005" t="str">
        <f>"1552377831247351"</f>
        <v>1552377831247351</v>
      </c>
      <c r="C3005" t="s">
        <v>40</v>
      </c>
      <c r="D3005">
        <v>5.6489379999999896</v>
      </c>
      <c r="E3005">
        <v>0.42087409999999997</v>
      </c>
      <c r="F3005" t="s">
        <v>41</v>
      </c>
      <c r="G3005">
        <v>-494.34890000000001</v>
      </c>
      <c r="H3005" s="1">
        <v>-3.9415579999999998E-6</v>
      </c>
      <c r="I3005">
        <v>246.30240000000001</v>
      </c>
      <c r="J3005">
        <v>-496.54239999999999</v>
      </c>
      <c r="K3005">
        <v>1.1179730000000001</v>
      </c>
      <c r="L3005">
        <v>267.3066</v>
      </c>
      <c r="M3005">
        <v>-0.12910969999999999</v>
      </c>
      <c r="N3005">
        <v>0</v>
      </c>
      <c r="O3005">
        <v>-0.99153630000000004</v>
      </c>
      <c r="P3005">
        <v>-0.10478179999999999</v>
      </c>
      <c r="Q3005">
        <v>-2.991905E-3</v>
      </c>
      <c r="R3005">
        <v>-0.99449069999999995</v>
      </c>
      <c r="S3005">
        <v>0.31594850000000002</v>
      </c>
      <c r="T3005">
        <v>-0.16167960000000001</v>
      </c>
      <c r="U3005">
        <v>-3.0533450000000002</v>
      </c>
      <c r="V3005">
        <v>-2.4710019999999999E-2</v>
      </c>
      <c r="W3005">
        <v>1.019395E-2</v>
      </c>
      <c r="X3005">
        <v>0.9996427</v>
      </c>
      <c r="Y3005">
        <v>-0.2303616</v>
      </c>
      <c r="Z3005">
        <v>5.1364359999999998E-2</v>
      </c>
      <c r="AA3005">
        <v>0.97174850000000002</v>
      </c>
      <c r="AB3005">
        <v>24</v>
      </c>
      <c r="AC3005">
        <v>2.19349999999997</v>
      </c>
      <c r="AD3005">
        <v>-1.1179769415580001</v>
      </c>
      <c r="AE3005">
        <v>-21.004200000000001</v>
      </c>
      <c r="AF3005">
        <v>-4.8735783613699803</v>
      </c>
      <c r="AG3005">
        <v>-1.1179769415580001</v>
      </c>
      <c r="AH3005">
        <v>20.487723594003</v>
      </c>
      <c r="AI3005">
        <v>93.038798332536203</v>
      </c>
      <c r="AJ3005">
        <v>103.38071716854</v>
      </c>
      <c r="AK3005">
        <v>21.089060115390101</v>
      </c>
      <c r="AL3005">
        <v>89.415919580768104</v>
      </c>
      <c r="AM3005">
        <v>91.415997541895095</v>
      </c>
      <c r="AN3005">
        <v>1.0000000146841399</v>
      </c>
    </row>
    <row r="3006" spans="1:40" x14ac:dyDescent="0.25">
      <c r="A3006" t="str">
        <f>"20190312160351272"</f>
        <v>20190312160351272</v>
      </c>
      <c r="B3006" t="str">
        <f>"1552377831267847"</f>
        <v>1552377831267847</v>
      </c>
      <c r="C3006" t="s">
        <v>40</v>
      </c>
      <c r="D3006">
        <v>5.6330869999999997</v>
      </c>
      <c r="E3006">
        <v>0.42214600000000002</v>
      </c>
      <c r="F3006" t="s">
        <v>41</v>
      </c>
      <c r="G3006">
        <v>-494.28149999999999</v>
      </c>
      <c r="H3006" s="1">
        <v>-3.928756E-6</v>
      </c>
      <c r="I3006">
        <v>246.29990000000001</v>
      </c>
      <c r="J3006">
        <v>-496.55220000000003</v>
      </c>
      <c r="K3006">
        <v>1.1179190000000001</v>
      </c>
      <c r="L3006">
        <v>267.17579999999998</v>
      </c>
      <c r="M3006">
        <v>-0.1224104</v>
      </c>
      <c r="N3006">
        <v>0</v>
      </c>
      <c r="O3006">
        <v>-0.99238570000000004</v>
      </c>
      <c r="P3006">
        <v>-9.7796980000000006E-2</v>
      </c>
      <c r="Q3006">
        <v>-3.228781E-3</v>
      </c>
      <c r="R3006">
        <v>-0.99520140000000001</v>
      </c>
      <c r="S3006">
        <v>0.32833859999999998</v>
      </c>
      <c r="T3006">
        <v>-0.1623608</v>
      </c>
      <c r="U3006">
        <v>-3.050751</v>
      </c>
      <c r="V3006">
        <v>-2.4970820000000001E-2</v>
      </c>
      <c r="W3006">
        <v>9.9421939999999997E-3</v>
      </c>
      <c r="X3006">
        <v>0.99963869999999999</v>
      </c>
      <c r="Y3006">
        <v>-0.22777510000000001</v>
      </c>
      <c r="Z3006">
        <v>5.1696510000000001E-2</v>
      </c>
      <c r="AA3006">
        <v>0.97234050000000005</v>
      </c>
      <c r="AB3006">
        <v>24</v>
      </c>
      <c r="AC3006">
        <v>2.2707000000000299</v>
      </c>
      <c r="AD3006">
        <v>-1.117922928756</v>
      </c>
      <c r="AE3006">
        <v>-20.875899999999898</v>
      </c>
      <c r="AF3006">
        <v>-4.79569373282522</v>
      </c>
      <c r="AG3006">
        <v>-1.117922928756</v>
      </c>
      <c r="AH3006">
        <v>20.3831225176373</v>
      </c>
      <c r="AI3006">
        <v>93.0559923794181</v>
      </c>
      <c r="AJ3006">
        <v>103.239627392485</v>
      </c>
      <c r="AK3006">
        <v>20.969504372366799</v>
      </c>
      <c r="AL3006">
        <v>89.430344836734307</v>
      </c>
      <c r="AM3006">
        <v>91.430942120931604</v>
      </c>
      <c r="AN3006">
        <v>0.99999995980534695</v>
      </c>
    </row>
    <row r="3007" spans="1:40" x14ac:dyDescent="0.25">
      <c r="A3007" t="str">
        <f>"20190312160351285"</f>
        <v>20190312160351285</v>
      </c>
      <c r="B3007" t="str">
        <f>"1552377831277607"</f>
        <v>1552377831277607</v>
      </c>
      <c r="C3007" t="s">
        <v>40</v>
      </c>
      <c r="D3007">
        <v>5.6289309999999997</v>
      </c>
      <c r="E3007">
        <v>0.42281279999999999</v>
      </c>
      <c r="F3007" t="s">
        <v>41</v>
      </c>
      <c r="G3007">
        <v>-494.17540000000002</v>
      </c>
      <c r="H3007" s="1">
        <v>-3.7496390000000001E-6</v>
      </c>
      <c r="I3007">
        <v>245.8289</v>
      </c>
      <c r="J3007">
        <v>-496.5616</v>
      </c>
      <c r="K3007">
        <v>1.1178600000000001</v>
      </c>
      <c r="L3007">
        <v>267.03789999999998</v>
      </c>
      <c r="M3007">
        <v>-0.1153984</v>
      </c>
      <c r="N3007">
        <v>0</v>
      </c>
      <c r="O3007">
        <v>-0.99322560000000004</v>
      </c>
      <c r="P3007">
        <v>-9.0360430000000005E-2</v>
      </c>
      <c r="Q3007">
        <v>-3.4799200000000001E-3</v>
      </c>
      <c r="R3007">
        <v>-0.99590310000000004</v>
      </c>
      <c r="S3007">
        <v>0.3392944</v>
      </c>
      <c r="T3007">
        <v>-0.159585</v>
      </c>
      <c r="U3007">
        <v>-3.0473020000000002</v>
      </c>
      <c r="V3007">
        <v>-2.5370810000000001E-2</v>
      </c>
      <c r="W3007">
        <v>9.6718399999999993E-3</v>
      </c>
      <c r="X3007">
        <v>0.9996313</v>
      </c>
      <c r="Y3007">
        <v>-0.22447300000000001</v>
      </c>
      <c r="Z3007">
        <v>5.0948019999999997E-2</v>
      </c>
      <c r="AA3007">
        <v>0.9731476</v>
      </c>
      <c r="AB3007">
        <v>24</v>
      </c>
      <c r="AC3007">
        <v>2.3861999999999699</v>
      </c>
      <c r="AD3007">
        <v>-1.117863749639</v>
      </c>
      <c r="AE3007">
        <v>-21.2089999999999</v>
      </c>
      <c r="AF3007">
        <v>-4.8047869583318104</v>
      </c>
      <c r="AG3007">
        <v>-1.117863749639</v>
      </c>
      <c r="AH3007">
        <v>20.735010532446999</v>
      </c>
      <c r="AI3007">
        <v>93.006427914577301</v>
      </c>
      <c r="AJ3007">
        <v>103.04651111618</v>
      </c>
      <c r="AK3007">
        <v>21.313757502101801</v>
      </c>
      <c r="AL3007">
        <v>89.445835736290803</v>
      </c>
      <c r="AM3007">
        <v>91.453864373982299</v>
      </c>
      <c r="AN3007">
        <v>0.99999997921436501</v>
      </c>
    </row>
    <row r="3008" spans="1:40" x14ac:dyDescent="0.25">
      <c r="A3008" t="str">
        <f>"20190312160351298"</f>
        <v>20190312160351298</v>
      </c>
      <c r="B3008" t="str">
        <f>"1552377831287367"</f>
        <v>1552377831287367</v>
      </c>
      <c r="C3008" t="s">
        <v>40</v>
      </c>
      <c r="D3008">
        <v>5.5464599999999997</v>
      </c>
      <c r="E3008">
        <v>0.42281279999999999</v>
      </c>
      <c r="F3008" t="s">
        <v>41</v>
      </c>
      <c r="G3008">
        <v>-494.0693</v>
      </c>
      <c r="H3008" s="1">
        <v>-3.7025569999999998E-6</v>
      </c>
      <c r="I3008">
        <v>245.7458</v>
      </c>
      <c r="J3008">
        <v>-496.56950000000001</v>
      </c>
      <c r="K3008">
        <v>1.117796</v>
      </c>
      <c r="L3008">
        <v>266.90710000000001</v>
      </c>
      <c r="M3008">
        <v>-0.1088099</v>
      </c>
      <c r="N3008">
        <v>0</v>
      </c>
      <c r="O3008">
        <v>-0.99396910000000005</v>
      </c>
      <c r="P3008">
        <v>-8.3388879999999999E-2</v>
      </c>
      <c r="Q3008">
        <v>-3.2008610000000002E-3</v>
      </c>
      <c r="R3008">
        <v>-0.99651190000000001</v>
      </c>
      <c r="S3008">
        <v>0.35632320000000001</v>
      </c>
      <c r="T3008">
        <v>-0.1598204</v>
      </c>
      <c r="U3008">
        <v>-3.0441280000000002</v>
      </c>
      <c r="V3008">
        <v>-2.5741099999999999E-2</v>
      </c>
      <c r="W3008">
        <v>9.9321800000000005E-3</v>
      </c>
      <c r="X3008">
        <v>0.99961929999999999</v>
      </c>
      <c r="Y3008">
        <v>-0.22349579999999999</v>
      </c>
      <c r="Z3008">
        <v>5.1123830000000002E-2</v>
      </c>
      <c r="AA3008">
        <v>0.97336319999999998</v>
      </c>
      <c r="AB3008">
        <v>24</v>
      </c>
      <c r="AC3008">
        <v>2.5002</v>
      </c>
      <c r="AD3008">
        <v>-1.1177997025569999</v>
      </c>
      <c r="AE3008">
        <v>-21.161300000000001</v>
      </c>
      <c r="AF3008">
        <v>-4.7749854164398204</v>
      </c>
      <c r="AG3008">
        <v>-1.1177997025569999</v>
      </c>
      <c r="AH3008">
        <v>20.7065800411537</v>
      </c>
      <c r="AI3008">
        <v>93.011115327420299</v>
      </c>
      <c r="AJ3008">
        <v>102.985536765777</v>
      </c>
      <c r="AK3008">
        <v>21.279389533136399</v>
      </c>
      <c r="AL3008">
        <v>89.430918647148204</v>
      </c>
      <c r="AM3008">
        <v>91.475092090363802</v>
      </c>
      <c r="AN3008">
        <v>0.99999999868062595</v>
      </c>
    </row>
    <row r="3009" spans="1:40" x14ac:dyDescent="0.25">
      <c r="A3009" t="str">
        <f>"20190312160351311"</f>
        <v>20190312160351311</v>
      </c>
      <c r="B3009" t="str">
        <f>"1552377831307863"</f>
        <v>1552377831307863</v>
      </c>
      <c r="C3009" t="s">
        <v>40</v>
      </c>
      <c r="D3009">
        <v>5.6538789999999999</v>
      </c>
      <c r="E3009">
        <v>0.4278576</v>
      </c>
      <c r="F3009" t="s">
        <v>41</v>
      </c>
      <c r="G3009">
        <v>-493.91340000000002</v>
      </c>
      <c r="H3009" s="1">
        <v>-3.5893640000000002E-6</v>
      </c>
      <c r="I3009">
        <v>245.52879999999999</v>
      </c>
      <c r="J3009">
        <v>-496.57760000000002</v>
      </c>
      <c r="K3009">
        <v>1.117723</v>
      </c>
      <c r="L3009">
        <v>266.75979999999998</v>
      </c>
      <c r="M3009">
        <v>-0.1014341</v>
      </c>
      <c r="N3009">
        <v>0</v>
      </c>
      <c r="O3009">
        <v>-0.99474929999999995</v>
      </c>
      <c r="P3009">
        <v>-7.6059420000000003E-2</v>
      </c>
      <c r="Q3009">
        <v>-3.4789869999999998E-3</v>
      </c>
      <c r="R3009">
        <v>-0.99709760000000003</v>
      </c>
      <c r="S3009">
        <v>0.37789919999999999</v>
      </c>
      <c r="T3009">
        <v>-0.15903619999999999</v>
      </c>
      <c r="U3009">
        <v>-3.0416259999999999</v>
      </c>
      <c r="V3009">
        <v>-2.5668719999999999E-2</v>
      </c>
      <c r="W3009">
        <v>9.6432310000000004E-3</v>
      </c>
      <c r="X3009">
        <v>0.99962399999999996</v>
      </c>
      <c r="Y3009">
        <v>-0.22316520000000001</v>
      </c>
      <c r="Z3009">
        <v>5.0956540000000002E-2</v>
      </c>
      <c r="AA3009">
        <v>0.97344790000000003</v>
      </c>
      <c r="AB3009">
        <v>24</v>
      </c>
      <c r="AC3009">
        <v>2.6641999999999899</v>
      </c>
      <c r="AD3009">
        <v>-1.117726589364</v>
      </c>
      <c r="AE3009">
        <v>-21.230999999999899</v>
      </c>
      <c r="AF3009">
        <v>-4.7911295356316899</v>
      </c>
      <c r="AG3009">
        <v>-1.117726589364</v>
      </c>
      <c r="AH3009">
        <v>20.794469568023601</v>
      </c>
      <c r="AI3009">
        <v>92.998346003842499</v>
      </c>
      <c r="AJ3009">
        <v>102.974748575917</v>
      </c>
      <c r="AK3009">
        <v>21.368532929783299</v>
      </c>
      <c r="AL3009">
        <v>89.447475003761895</v>
      </c>
      <c r="AM3009">
        <v>91.470939270908303</v>
      </c>
      <c r="AN3009">
        <v>1.0000000082332701</v>
      </c>
    </row>
    <row r="3010" spans="1:40" x14ac:dyDescent="0.25">
      <c r="A3010" t="str">
        <f>"20190312160351325"</f>
        <v>20190312160351325</v>
      </c>
      <c r="B3010" t="str">
        <f>"1552377831317623"</f>
        <v>1552377831317623</v>
      </c>
      <c r="C3010" t="s">
        <v>40</v>
      </c>
      <c r="D3010">
        <v>5.5794139999999999</v>
      </c>
      <c r="E3010">
        <v>0.4278576</v>
      </c>
      <c r="F3010" t="s">
        <v>41</v>
      </c>
      <c r="G3010">
        <v>-492.77190000000002</v>
      </c>
      <c r="H3010" s="1">
        <v>-2.7466460000000001E-6</v>
      </c>
      <c r="I3010">
        <v>234.2724</v>
      </c>
      <c r="J3010">
        <v>-496.5849</v>
      </c>
      <c r="K3010">
        <v>1.117637</v>
      </c>
      <c r="L3010">
        <v>266.61</v>
      </c>
      <c r="M3010">
        <v>-9.4011460000000005E-2</v>
      </c>
      <c r="N3010">
        <v>0</v>
      </c>
      <c r="O3010">
        <v>-0.99547830000000004</v>
      </c>
      <c r="P3010">
        <v>-6.8701499999999999E-2</v>
      </c>
      <c r="Q3010">
        <v>-3.828148E-3</v>
      </c>
      <c r="R3010">
        <v>-0.99763009999999996</v>
      </c>
      <c r="S3010">
        <v>0.35559079999999998</v>
      </c>
      <c r="T3010">
        <v>-0.1044358</v>
      </c>
      <c r="U3010">
        <v>-3.0354920000000001</v>
      </c>
      <c r="V3010">
        <v>-2.557825E-2</v>
      </c>
      <c r="W3010">
        <v>9.2822800000000004E-3</v>
      </c>
      <c r="X3010">
        <v>0.99962969999999896</v>
      </c>
      <c r="Y3010">
        <v>-0.20914820000000001</v>
      </c>
      <c r="Z3010">
        <v>3.3660490000000001E-2</v>
      </c>
      <c r="AA3010">
        <v>0.97730450000000002</v>
      </c>
      <c r="AB3010">
        <v>24</v>
      </c>
      <c r="AC3010">
        <v>3.8129999999999802</v>
      </c>
      <c r="AD3010">
        <v>-1.117639746646</v>
      </c>
      <c r="AE3010">
        <v>-32.337600000000002</v>
      </c>
      <c r="AF3010">
        <v>-6.8284506947432</v>
      </c>
      <c r="AG3010">
        <v>-1.117639746646</v>
      </c>
      <c r="AH3010">
        <v>31.798392641667402</v>
      </c>
      <c r="AI3010">
        <v>91.968153210714107</v>
      </c>
      <c r="AJ3010">
        <v>102.11975068384599</v>
      </c>
      <c r="AK3010">
        <v>32.542505006337002</v>
      </c>
      <c r="AL3010">
        <v>89.468156879522496</v>
      </c>
      <c r="AM3010">
        <v>91.465748822658099</v>
      </c>
      <c r="AN3010">
        <v>0.99999997235857496</v>
      </c>
    </row>
    <row r="3011" spans="1:40" x14ac:dyDescent="0.25">
      <c r="A3011" t="str">
        <f>"20190312160351337"</f>
        <v>20190312160351337</v>
      </c>
      <c r="B3011" t="str">
        <f>"1552377831327384"</f>
        <v>1552377831327384</v>
      </c>
      <c r="C3011" t="s">
        <v>40</v>
      </c>
      <c r="D3011">
        <v>5.6466430000000001</v>
      </c>
      <c r="E3011">
        <v>0.40188089999999999</v>
      </c>
      <c r="F3011" t="s">
        <v>41</v>
      </c>
      <c r="G3011">
        <v>-492.58069999999998</v>
      </c>
      <c r="H3011" s="1">
        <v>-2.7842010000000002E-6</v>
      </c>
      <c r="I3011">
        <v>234.4785</v>
      </c>
      <c r="J3011">
        <v>-496.58980000000003</v>
      </c>
      <c r="K3011">
        <v>1.117564</v>
      </c>
      <c r="L3011">
        <v>266.48649999999998</v>
      </c>
      <c r="M3011">
        <v>-8.79746E-2</v>
      </c>
      <c r="N3011">
        <v>0</v>
      </c>
      <c r="O3011">
        <v>-0.99603030000000004</v>
      </c>
      <c r="P3011">
        <v>-6.2762170000000006E-2</v>
      </c>
      <c r="Q3011">
        <v>-4.0029230000000002E-3</v>
      </c>
      <c r="R3011">
        <v>-0.99802089999999999</v>
      </c>
      <c r="S3011">
        <v>0.37792969999999998</v>
      </c>
      <c r="T3011">
        <v>-0.1054881</v>
      </c>
      <c r="U3011">
        <v>-3.032715</v>
      </c>
      <c r="V3011">
        <v>-2.546294E-2</v>
      </c>
      <c r="W3011">
        <v>9.0972770000000008E-3</v>
      </c>
      <c r="X3011">
        <v>0.99963440000000003</v>
      </c>
      <c r="Y3011">
        <v>-0.2104164</v>
      </c>
      <c r="Z3011">
        <v>3.4039140000000002E-2</v>
      </c>
      <c r="AA3011">
        <v>0.97701910000000003</v>
      </c>
      <c r="AB3011">
        <v>24</v>
      </c>
      <c r="AC3011">
        <v>4.0091000000000401</v>
      </c>
      <c r="AD3011">
        <v>-1.117566784201</v>
      </c>
      <c r="AE3011">
        <v>-32.007999999999903</v>
      </c>
      <c r="AF3011">
        <v>-6.8015394679701702</v>
      </c>
      <c r="AG3011">
        <v>-1.117566784201</v>
      </c>
      <c r="AH3011">
        <v>31.493341940927099</v>
      </c>
      <c r="AI3011">
        <v>91.986571566754407</v>
      </c>
      <c r="AJ3011">
        <v>102.186856068821</v>
      </c>
      <c r="AK3011">
        <v>32.238803967573901</v>
      </c>
      <c r="AL3011">
        <v>89.478757247401205</v>
      </c>
      <c r="AM3011">
        <v>91.459137046391803</v>
      </c>
      <c r="AN3011">
        <v>1.0000000277128001</v>
      </c>
    </row>
    <row r="3012" spans="1:40" x14ac:dyDescent="0.25">
      <c r="A3012" t="str">
        <f>"20190312160351349"</f>
        <v>20190312160351349</v>
      </c>
      <c r="B3012" t="str">
        <f>"1552377831337651"</f>
        <v>1552377831337651</v>
      </c>
      <c r="C3012" t="s">
        <v>40</v>
      </c>
      <c r="D3012">
        <v>5.6280089999999996</v>
      </c>
      <c r="E3012">
        <v>0.40109929999999999</v>
      </c>
      <c r="F3012" t="s">
        <v>41</v>
      </c>
      <c r="G3012">
        <v>-491.08969999999999</v>
      </c>
      <c r="H3012" s="1">
        <v>-4.2135520000000001E-6</v>
      </c>
      <c r="I3012">
        <v>238.8005</v>
      </c>
      <c r="J3012">
        <v>-496.59440000000001</v>
      </c>
      <c r="K3012">
        <v>1.1174949999999999</v>
      </c>
      <c r="L3012">
        <v>266.36320000000001</v>
      </c>
      <c r="M3012">
        <v>-8.1970680000000004E-2</v>
      </c>
      <c r="N3012">
        <v>0</v>
      </c>
      <c r="O3012">
        <v>-0.99654259999999995</v>
      </c>
      <c r="P3012">
        <v>-5.7011149999999997E-2</v>
      </c>
      <c r="Q3012">
        <v>-4.1721479999999997E-3</v>
      </c>
      <c r="R3012">
        <v>-0.99836499999999995</v>
      </c>
      <c r="S3012">
        <v>0.60461430000000005</v>
      </c>
      <c r="T3012">
        <v>-0.12285160000000001</v>
      </c>
      <c r="U3012">
        <v>-3.0434570000000001</v>
      </c>
      <c r="V3012">
        <v>-2.5193190000000001E-2</v>
      </c>
      <c r="W3012">
        <v>8.9208540000000006E-3</v>
      </c>
      <c r="X3012">
        <v>0.99964280000000005</v>
      </c>
      <c r="Y3012">
        <v>-0.27445380000000003</v>
      </c>
      <c r="Z3012">
        <v>3.8974109999999999E-2</v>
      </c>
      <c r="AA3012">
        <v>0.9608101</v>
      </c>
      <c r="AB3012">
        <v>24</v>
      </c>
      <c r="AC3012">
        <v>5.5047000000000104</v>
      </c>
      <c r="AD3012">
        <v>-1.1174992135519899</v>
      </c>
      <c r="AE3012">
        <v>-27.5627</v>
      </c>
      <c r="AF3012">
        <v>-7.73348784605228</v>
      </c>
      <c r="AG3012">
        <v>-1.1174992135519899</v>
      </c>
      <c r="AH3012">
        <v>26.976019347595098</v>
      </c>
      <c r="AI3012">
        <v>92.280403709517003</v>
      </c>
      <c r="AJ3012">
        <v>105.99654338398</v>
      </c>
      <c r="AK3012">
        <v>28.084893779381702</v>
      </c>
      <c r="AL3012">
        <v>89.488865938060101</v>
      </c>
      <c r="AM3012">
        <v>91.443673650600402</v>
      </c>
      <c r="AN3012">
        <v>1.0000000030251499</v>
      </c>
    </row>
    <row r="3013" spans="1:40" x14ac:dyDescent="0.25">
      <c r="A3013" t="str">
        <f>"20190312160351361"</f>
        <v>20190312160351361</v>
      </c>
      <c r="B3013" t="str">
        <f>"1552377831357171"</f>
        <v>1552377831357171</v>
      </c>
      <c r="C3013" t="s">
        <v>40</v>
      </c>
      <c r="D3013">
        <v>5.6006799999999997</v>
      </c>
      <c r="E3013">
        <v>0.40217380000000003</v>
      </c>
      <c r="F3013" t="s">
        <v>41</v>
      </c>
      <c r="G3013">
        <v>-491.24590000000001</v>
      </c>
      <c r="H3013" s="1">
        <v>-7.2715649999999996E-7</v>
      </c>
      <c r="I3013">
        <v>240.51140000000001</v>
      </c>
      <c r="J3013">
        <v>-496.59820000000002</v>
      </c>
      <c r="K3013">
        <v>1.1174109999999999</v>
      </c>
      <c r="L3013">
        <v>266.23200000000003</v>
      </c>
      <c r="M3013">
        <v>-7.5680979999999995E-2</v>
      </c>
      <c r="N3013">
        <v>0</v>
      </c>
      <c r="O3013">
        <v>-0.99704009999999998</v>
      </c>
      <c r="P3013">
        <v>-5.1194669999999998E-2</v>
      </c>
      <c r="Q3013">
        <v>-4.1637039999999998E-3</v>
      </c>
      <c r="R3013">
        <v>-0.99868000000000001</v>
      </c>
      <c r="S3013">
        <v>0.62899780000000005</v>
      </c>
      <c r="T3013">
        <v>-0.13142089999999901</v>
      </c>
      <c r="U3013">
        <v>-3.0402529999999999</v>
      </c>
      <c r="V3013">
        <v>-2.4706510000000001E-2</v>
      </c>
      <c r="W3013">
        <v>8.9241900000000002E-3</v>
      </c>
      <c r="X3013">
        <v>0.99965490000000001</v>
      </c>
      <c r="Y3013">
        <v>-0.27595839999999999</v>
      </c>
      <c r="Z3013">
        <v>4.1720800000000002E-2</v>
      </c>
      <c r="AA3013">
        <v>0.96026369999999905</v>
      </c>
      <c r="AB3013">
        <v>24</v>
      </c>
      <c r="AC3013">
        <v>5.3523000000000103</v>
      </c>
      <c r="AD3013">
        <v>-1.1174117271565001</v>
      </c>
      <c r="AE3013">
        <v>-25.720600000000001</v>
      </c>
      <c r="AF3013">
        <v>-7.2705331340146397</v>
      </c>
      <c r="AG3013">
        <v>-1.1174117271565001</v>
      </c>
      <c r="AH3013">
        <v>25.1961360091362</v>
      </c>
      <c r="AI3013">
        <v>92.4398989758608</v>
      </c>
      <c r="AJ3013">
        <v>106.095890197664</v>
      </c>
      <c r="AK3013">
        <v>26.2479433634653</v>
      </c>
      <c r="AL3013">
        <v>89.488674782999595</v>
      </c>
      <c r="AM3013">
        <v>91.415779213012797</v>
      </c>
      <c r="AN3013">
        <v>0.99999998594877304</v>
      </c>
    </row>
    <row r="3014" spans="1:40" x14ac:dyDescent="0.25">
      <c r="A3014" t="str">
        <f>"20190312160351373"</f>
        <v>20190312160351373</v>
      </c>
      <c r="B3014" t="str">
        <f>"1552377831367907"</f>
        <v>1552377831367907</v>
      </c>
      <c r="C3014" t="s">
        <v>40</v>
      </c>
      <c r="D3014">
        <v>5.6104269999999996</v>
      </c>
      <c r="E3014">
        <v>0.4030338</v>
      </c>
      <c r="F3014" t="s">
        <v>41</v>
      </c>
      <c r="G3014">
        <v>-491.73739999999998</v>
      </c>
      <c r="H3014" s="1">
        <v>-1.9858760000000001E-6</v>
      </c>
      <c r="I3014">
        <v>243.14070000000001</v>
      </c>
      <c r="J3014">
        <v>-496.60140000000001</v>
      </c>
      <c r="K3014">
        <v>1.117326</v>
      </c>
      <c r="L3014">
        <v>266.10109999999997</v>
      </c>
      <c r="M3014">
        <v>-6.9460320000000006E-2</v>
      </c>
      <c r="N3014">
        <v>0</v>
      </c>
      <c r="O3014">
        <v>-0.99749299999999996</v>
      </c>
      <c r="P3014">
        <v>-4.5395919999999999E-2</v>
      </c>
      <c r="Q3014">
        <v>-4.3410469999999998E-3</v>
      </c>
      <c r="R3014">
        <v>-0.9989595</v>
      </c>
      <c r="S3014">
        <v>0.63912959999999996</v>
      </c>
      <c r="T3014">
        <v>-0.1469231</v>
      </c>
      <c r="U3014">
        <v>-3.0361630000000002</v>
      </c>
      <c r="V3014">
        <v>-2.426944E-2</v>
      </c>
      <c r="W3014">
        <v>8.7406159999999997E-3</v>
      </c>
      <c r="X3014">
        <v>0.99966719999999998</v>
      </c>
      <c r="Y3014">
        <v>-0.27324340000000003</v>
      </c>
      <c r="Z3014">
        <v>4.6728209999999999E-2</v>
      </c>
      <c r="AA3014">
        <v>0.96080929999999998</v>
      </c>
      <c r="AB3014">
        <v>24</v>
      </c>
      <c r="AC3014">
        <v>4.8640000000000301</v>
      </c>
      <c r="AD3014">
        <v>-1.1173279858759999</v>
      </c>
      <c r="AE3014">
        <v>-22.9603999999999</v>
      </c>
      <c r="AF3014">
        <v>-6.4326535800887896</v>
      </c>
      <c r="AG3014">
        <v>-1.1173279858759999</v>
      </c>
      <c r="AH3014">
        <v>22.516017656873199</v>
      </c>
      <c r="AI3014">
        <v>92.731776047151399</v>
      </c>
      <c r="AJ3014">
        <v>105.944232944048</v>
      </c>
      <c r="AK3014">
        <v>23.443517334949501</v>
      </c>
      <c r="AL3014">
        <v>89.499193194589495</v>
      </c>
      <c r="AM3014">
        <v>91.390726220282801</v>
      </c>
      <c r="AN3014">
        <v>0.99999995742090497</v>
      </c>
    </row>
    <row r="3015" spans="1:40" x14ac:dyDescent="0.25">
      <c r="A3015" t="str">
        <f>"20190312160351386"</f>
        <v>20190312160351386</v>
      </c>
      <c r="B3015" t="str">
        <f>"1552377831377667"</f>
        <v>1552377831377667</v>
      </c>
      <c r="C3015" t="s">
        <v>40</v>
      </c>
      <c r="D3015">
        <v>5.5832290000000002</v>
      </c>
      <c r="E3015">
        <v>0.40359250000000002</v>
      </c>
      <c r="F3015" t="s">
        <v>41</v>
      </c>
      <c r="G3015">
        <v>-491.73930000000001</v>
      </c>
      <c r="H3015" s="1">
        <v>-2.1125929999999999E-6</v>
      </c>
      <c r="I3015">
        <v>243.4348</v>
      </c>
      <c r="J3015">
        <v>-496.60419999999999</v>
      </c>
      <c r="K3015">
        <v>1.1172340000000001</v>
      </c>
      <c r="L3015">
        <v>265.95859999999999</v>
      </c>
      <c r="M3015">
        <v>-6.2750379999999994E-2</v>
      </c>
      <c r="N3015">
        <v>0</v>
      </c>
      <c r="O3015">
        <v>-0.99793799999999999</v>
      </c>
      <c r="P3015">
        <v>-3.919649E-2</v>
      </c>
      <c r="Q3015">
        <v>-4.4522720000000002E-3</v>
      </c>
      <c r="R3015">
        <v>-0.99922200000000005</v>
      </c>
      <c r="S3015">
        <v>0.65039060000000004</v>
      </c>
      <c r="T3015">
        <v>-0.1494625</v>
      </c>
      <c r="U3015">
        <v>-3.0320130000000001</v>
      </c>
      <c r="V3015">
        <v>-2.374511E-2</v>
      </c>
      <c r="W3015">
        <v>8.6228420000000004E-3</v>
      </c>
      <c r="X3015">
        <v>0.99968089999999998</v>
      </c>
      <c r="Y3015">
        <v>-0.27044380000000001</v>
      </c>
      <c r="Z3015">
        <v>4.763117E-2</v>
      </c>
      <c r="AA3015">
        <v>0.96155679999999999</v>
      </c>
      <c r="AB3015">
        <v>24</v>
      </c>
      <c r="AC3015">
        <v>4.8648999999999702</v>
      </c>
      <c r="AD3015">
        <v>-1.1172361125929999</v>
      </c>
      <c r="AE3015">
        <v>-22.523799999999898</v>
      </c>
      <c r="AF3015">
        <v>-6.2541147098302803</v>
      </c>
      <c r="AG3015">
        <v>-1.1172361125929999</v>
      </c>
      <c r="AH3015">
        <v>22.122097770573401</v>
      </c>
      <c r="AI3015">
        <v>92.782294312182401</v>
      </c>
      <c r="AJ3015">
        <v>105.786071706123</v>
      </c>
      <c r="AK3015">
        <v>23.016285041374701</v>
      </c>
      <c r="AL3015">
        <v>89.505941444489395</v>
      </c>
      <c r="AM3015">
        <v>91.360673005142999</v>
      </c>
      <c r="AN3015">
        <v>1.00000004273893</v>
      </c>
    </row>
    <row r="3016" spans="1:40" x14ac:dyDescent="0.25">
      <c r="A3016" t="str">
        <f>"20190312160351399"</f>
        <v>20190312160351399</v>
      </c>
      <c r="B3016" t="str">
        <f>"1552377831387426"</f>
        <v>1552377831387426</v>
      </c>
      <c r="C3016" t="s">
        <v>40</v>
      </c>
      <c r="D3016">
        <v>5.5546170000000004</v>
      </c>
      <c r="E3016">
        <v>0.40408319999999998</v>
      </c>
      <c r="F3016" t="s">
        <v>41</v>
      </c>
      <c r="G3016">
        <v>-491.66199999999998</v>
      </c>
      <c r="H3016" s="1">
        <v>-2.0850369999999999E-6</v>
      </c>
      <c r="I3016">
        <v>243.4186</v>
      </c>
      <c r="J3016">
        <v>-496.60559999999998</v>
      </c>
      <c r="K3016">
        <v>1.1171500000000001</v>
      </c>
      <c r="L3016">
        <v>265.83629999999999</v>
      </c>
      <c r="M3016">
        <v>-5.709914E-2</v>
      </c>
      <c r="N3016">
        <v>0</v>
      </c>
      <c r="O3016">
        <v>-0.99827750000000004</v>
      </c>
      <c r="P3016">
        <v>-3.4146219999999998E-2</v>
      </c>
      <c r="Q3016">
        <v>-4.3456969999999999E-3</v>
      </c>
      <c r="R3016">
        <v>-0.99940739999999995</v>
      </c>
      <c r="S3016">
        <v>0.66387940000000001</v>
      </c>
      <c r="T3016">
        <v>-0.15007379999999901</v>
      </c>
      <c r="U3016">
        <v>-3.0277099999999999</v>
      </c>
      <c r="V3016">
        <v>-2.3136360000000002E-2</v>
      </c>
      <c r="W3016">
        <v>8.7253580000000008E-3</v>
      </c>
      <c r="X3016">
        <v>0.99969419999999998</v>
      </c>
      <c r="Y3016">
        <v>-0.26936169999999998</v>
      </c>
      <c r="Z3016">
        <v>4.7901920000000001E-2</v>
      </c>
      <c r="AA3016">
        <v>0.96184700000000001</v>
      </c>
      <c r="AB3016">
        <v>24</v>
      </c>
      <c r="AC3016">
        <v>4.9436</v>
      </c>
      <c r="AD3016">
        <v>-1.117152085037</v>
      </c>
      <c r="AE3016">
        <v>-22.4177</v>
      </c>
      <c r="AF3016">
        <v>-6.2009955664552603</v>
      </c>
      <c r="AG3016">
        <v>-1.117152085037</v>
      </c>
      <c r="AH3016">
        <v>22.0466072115406</v>
      </c>
      <c r="AI3016">
        <v>92.7926461740051</v>
      </c>
      <c r="AJ3016">
        <v>105.709570548036</v>
      </c>
      <c r="AK3016">
        <v>22.929310158316</v>
      </c>
      <c r="AL3016">
        <v>89.500067447393107</v>
      </c>
      <c r="AM3016">
        <v>91.325784607397594</v>
      </c>
      <c r="AN3016">
        <v>0.99999995826995802</v>
      </c>
    </row>
    <row r="3017" spans="1:40" x14ac:dyDescent="0.25">
      <c r="A3017" t="str">
        <f>"20190312160351416"</f>
        <v>20190312160351416</v>
      </c>
      <c r="B3017" t="str">
        <f>"1552377831407922"</f>
        <v>1552377831407922</v>
      </c>
      <c r="C3017" t="s">
        <v>40</v>
      </c>
      <c r="D3017">
        <v>5.5733379999999997</v>
      </c>
      <c r="E3017">
        <v>0.40578710000000001</v>
      </c>
      <c r="F3017" t="s">
        <v>41</v>
      </c>
      <c r="G3017">
        <v>-491.57580000000002</v>
      </c>
      <c r="H3017" s="1">
        <v>-2.0203489999999998E-6</v>
      </c>
      <c r="I3017">
        <v>243.3212</v>
      </c>
      <c r="J3017">
        <v>-496.60680000000002</v>
      </c>
      <c r="K3017">
        <v>1.1170119999999999</v>
      </c>
      <c r="L3017">
        <v>265.64100000000002</v>
      </c>
      <c r="M3017">
        <v>-4.8185899999999997E-2</v>
      </c>
      <c r="N3017">
        <v>0</v>
      </c>
      <c r="O3017">
        <v>-0.99874790000000002</v>
      </c>
      <c r="P3017">
        <v>-2.634013E-2</v>
      </c>
      <c r="Q3017">
        <v>-4.3549879999999997E-3</v>
      </c>
      <c r="R3017">
        <v>-0.99964370000000002</v>
      </c>
      <c r="S3017">
        <v>0.67559809999999998</v>
      </c>
      <c r="T3017">
        <v>-0.15005599999999999</v>
      </c>
      <c r="U3017">
        <v>-3.0242309999999999</v>
      </c>
      <c r="V3017">
        <v>-2.2016600000000001E-2</v>
      </c>
      <c r="W3017">
        <v>8.7115309999999998E-3</v>
      </c>
      <c r="X3017">
        <v>0.99971969999999999</v>
      </c>
      <c r="Y3017">
        <v>-0.26454620000000001</v>
      </c>
      <c r="Z3017">
        <v>4.7997409999999997E-2</v>
      </c>
      <c r="AA3017">
        <v>0.96317790000000003</v>
      </c>
      <c r="AB3017">
        <v>24</v>
      </c>
      <c r="AC3017">
        <v>5.0309999999999997</v>
      </c>
      <c r="AD3017">
        <v>-1.117014020349</v>
      </c>
      <c r="AE3017">
        <v>-22.319799999999901</v>
      </c>
      <c r="AF3017">
        <v>-6.0862452106308496</v>
      </c>
      <c r="AG3017">
        <v>-1.117014020349</v>
      </c>
      <c r="AH3017">
        <v>21.998988730242001</v>
      </c>
      <c r="AI3017">
        <v>92.801669762735898</v>
      </c>
      <c r="AJ3017">
        <v>105.46464966983299</v>
      </c>
      <c r="AK3017">
        <v>22.8526936320185</v>
      </c>
      <c r="AL3017">
        <v>89.500859752071605</v>
      </c>
      <c r="AM3017">
        <v>91.261608010462695</v>
      </c>
      <c r="AN3017">
        <v>1.000000050008</v>
      </c>
    </row>
    <row r="3018" spans="1:40" x14ac:dyDescent="0.25">
      <c r="A3018" t="str">
        <f>"20190312160351430"</f>
        <v>20190312160351430</v>
      </c>
      <c r="B3018" t="str">
        <f>"1552377831417682"</f>
        <v>1552377831417682</v>
      </c>
      <c r="C3018" t="s">
        <v>40</v>
      </c>
      <c r="D3018">
        <v>5.5674479999999997</v>
      </c>
      <c r="E3018">
        <v>0.40663589999999999</v>
      </c>
      <c r="F3018" t="s">
        <v>41</v>
      </c>
      <c r="G3018">
        <v>-491.64929999999998</v>
      </c>
      <c r="H3018" s="1">
        <v>-2.2546399999999998E-6</v>
      </c>
      <c r="I3018">
        <v>243.8218</v>
      </c>
      <c r="J3018">
        <v>-496.60680000000002</v>
      </c>
      <c r="K3018">
        <v>1.1169070000000001</v>
      </c>
      <c r="L3018">
        <v>265.50279999999998</v>
      </c>
      <c r="M3018">
        <v>-4.1975720000000001E-2</v>
      </c>
      <c r="N3018">
        <v>0</v>
      </c>
      <c r="O3018">
        <v>-0.99902860000000004</v>
      </c>
      <c r="P3018">
        <v>-2.0562859999999999E-2</v>
      </c>
      <c r="Q3018">
        <v>-4.376558E-3</v>
      </c>
      <c r="R3018">
        <v>-0.99977950000000004</v>
      </c>
      <c r="S3018">
        <v>0.68582149999999997</v>
      </c>
      <c r="T3018">
        <v>-0.15453039999999901</v>
      </c>
      <c r="U3018">
        <v>-3.0185240000000002</v>
      </c>
      <c r="V3018">
        <v>-2.1575649999999998E-2</v>
      </c>
      <c r="W3018">
        <v>8.6800609999999993E-3</v>
      </c>
      <c r="X3018">
        <v>0.99972950000000005</v>
      </c>
      <c r="Y3018">
        <v>-0.26202540000000002</v>
      </c>
      <c r="Z3018">
        <v>4.9536450000000003E-2</v>
      </c>
      <c r="AA3018">
        <v>0.9637888</v>
      </c>
      <c r="AB3018">
        <v>24</v>
      </c>
      <c r="AC3018">
        <v>4.9575000000000298</v>
      </c>
      <c r="AD3018">
        <v>-1.1169092546399999</v>
      </c>
      <c r="AE3018">
        <v>-21.680999999999901</v>
      </c>
      <c r="AF3018">
        <v>-5.8485372982813804</v>
      </c>
      <c r="AG3018">
        <v>-1.1169092546399999</v>
      </c>
      <c r="AH3018">
        <v>21.399804040687901</v>
      </c>
      <c r="AI3018">
        <v>92.882186968994304</v>
      </c>
      <c r="AJ3018">
        <v>105.28558470621</v>
      </c>
      <c r="AK3018">
        <v>22.212710050606901</v>
      </c>
      <c r="AL3018">
        <v>89.502662874892096</v>
      </c>
      <c r="AM3018">
        <v>91.236336244378094</v>
      </c>
      <c r="AN3018">
        <v>0.99999996265106705</v>
      </c>
    </row>
    <row r="3019" spans="1:40" x14ac:dyDescent="0.25">
      <c r="A3019" t="str">
        <f>"20190312160351443"</f>
        <v>20190312160351443</v>
      </c>
      <c r="B3019" t="str">
        <f>"1552377831437710"</f>
        <v>1552377831437710</v>
      </c>
      <c r="C3019" t="s">
        <v>40</v>
      </c>
      <c r="D3019">
        <v>5.6084589999999999</v>
      </c>
      <c r="E3019">
        <v>0.40762110000000001</v>
      </c>
      <c r="F3019" t="s">
        <v>41</v>
      </c>
      <c r="G3019">
        <v>-491.69569999999999</v>
      </c>
      <c r="H3019" s="1">
        <v>-2.4532530000000001E-6</v>
      </c>
      <c r="I3019">
        <v>244.256</v>
      </c>
      <c r="J3019">
        <v>-496.60590000000002</v>
      </c>
      <c r="K3019">
        <v>1.1168</v>
      </c>
      <c r="L3019">
        <v>265.36130000000003</v>
      </c>
      <c r="M3019">
        <v>-3.5724190000000003E-2</v>
      </c>
      <c r="N3019">
        <v>0</v>
      </c>
      <c r="O3019">
        <v>-0.99927189999999999</v>
      </c>
      <c r="P3019">
        <v>-1.468589E-2</v>
      </c>
      <c r="Q3019">
        <v>-4.4632220000000002E-3</v>
      </c>
      <c r="R3019">
        <v>-0.99988220000000005</v>
      </c>
      <c r="S3019">
        <v>0.6967468</v>
      </c>
      <c r="T3019">
        <v>-0.1584573</v>
      </c>
      <c r="U3019">
        <v>-3.014313</v>
      </c>
      <c r="V3019">
        <v>-2.1192869999999999E-2</v>
      </c>
      <c r="W3019">
        <v>8.5813599999999997E-3</v>
      </c>
      <c r="X3019">
        <v>0.99973860000000003</v>
      </c>
      <c r="Y3019">
        <v>-0.25958130000000001</v>
      </c>
      <c r="Z3019">
        <v>5.0876699999999997E-2</v>
      </c>
      <c r="AA3019">
        <v>0.96438009999999996</v>
      </c>
      <c r="AB3019">
        <v>24</v>
      </c>
      <c r="AC3019">
        <v>4.9102000000000299</v>
      </c>
      <c r="AD3019">
        <v>-1.1168024532529901</v>
      </c>
      <c r="AE3019">
        <v>-21.1053</v>
      </c>
      <c r="AF3019">
        <v>-5.6461048696649998</v>
      </c>
      <c r="AG3019">
        <v>-1.1168024532529901</v>
      </c>
      <c r="AH3019">
        <v>20.860984171121501</v>
      </c>
      <c r="AI3019">
        <v>92.958195737723699</v>
      </c>
      <c r="AJ3019">
        <v>105.144484667212</v>
      </c>
      <c r="AK3019">
        <v>21.6403883631193</v>
      </c>
      <c r="AL3019">
        <v>89.5083182661009</v>
      </c>
      <c r="AM3019">
        <v>91.214397613955896</v>
      </c>
      <c r="AN3019">
        <v>1.0000000229041199</v>
      </c>
    </row>
    <row r="3020" spans="1:40" x14ac:dyDescent="0.25">
      <c r="A3020" t="str">
        <f>"20190312160351459"</f>
        <v>20190312160351459</v>
      </c>
      <c r="B3020" t="str">
        <f>"1552377831447471"</f>
        <v>1552377831447471</v>
      </c>
      <c r="C3020" t="s">
        <v>40</v>
      </c>
      <c r="D3020">
        <v>5.5794990000000002</v>
      </c>
      <c r="E3020">
        <v>0.40855560000000002</v>
      </c>
      <c r="F3020" t="s">
        <v>41</v>
      </c>
      <c r="G3020">
        <v>-491.45490000000001</v>
      </c>
      <c r="H3020" s="1">
        <v>-2.022641E-6</v>
      </c>
      <c r="I3020">
        <v>243.4016</v>
      </c>
      <c r="J3020">
        <v>-496.6037</v>
      </c>
      <c r="K3020">
        <v>1.1166750000000001</v>
      </c>
      <c r="L3020">
        <v>265.1943</v>
      </c>
      <c r="M3020">
        <v>-2.8463659999999998E-2</v>
      </c>
      <c r="N3020">
        <v>0</v>
      </c>
      <c r="O3020">
        <v>-0.99950559999999999</v>
      </c>
      <c r="P3020">
        <v>-8.3888690000000002E-3</v>
      </c>
      <c r="Q3020">
        <v>-5.3858159999999999E-3</v>
      </c>
      <c r="R3020">
        <v>-0.99995060000000002</v>
      </c>
      <c r="S3020">
        <v>0.70605469999999904</v>
      </c>
      <c r="T3020">
        <v>-0.1530811</v>
      </c>
      <c r="U3020">
        <v>-3.01004</v>
      </c>
      <c r="V3020">
        <v>-2.020717E-2</v>
      </c>
      <c r="W3020">
        <v>7.6525100000000004E-3</v>
      </c>
      <c r="X3020">
        <v>0.9997665</v>
      </c>
      <c r="Y3020">
        <v>-0.25571169999999999</v>
      </c>
      <c r="Z3020">
        <v>4.9249179999999997E-2</v>
      </c>
      <c r="AA3020">
        <v>0.96549779999999996</v>
      </c>
      <c r="AB3020">
        <v>24</v>
      </c>
      <c r="AC3020">
        <v>5.1487999999999898</v>
      </c>
      <c r="AD3020">
        <v>-1.1166770226410001</v>
      </c>
      <c r="AE3020">
        <v>-21.7927</v>
      </c>
      <c r="AF3020">
        <v>-5.7527627645969597</v>
      </c>
      <c r="AG3020">
        <v>-1.1166770226410001</v>
      </c>
      <c r="AH3020">
        <v>21.5836274137286</v>
      </c>
      <c r="AI3020">
        <v>92.861946363734802</v>
      </c>
      <c r="AJ3020">
        <v>104.924301056312</v>
      </c>
      <c r="AK3020">
        <v>22.365022229662198</v>
      </c>
      <c r="AL3020">
        <v>89.561539182778603</v>
      </c>
      <c r="AM3020">
        <v>91.157898305088295</v>
      </c>
      <c r="AN3020">
        <v>0.99999997257547901</v>
      </c>
    </row>
    <row r="3021" spans="1:40" x14ac:dyDescent="0.25">
      <c r="A3021" t="str">
        <f>"20190312160351471"</f>
        <v>20190312160351471</v>
      </c>
      <c r="B3021" t="str">
        <f>"1552377831467966"</f>
        <v>1552377831467966</v>
      </c>
      <c r="C3021" t="s">
        <v>40</v>
      </c>
      <c r="D3021">
        <v>5.6047149999999997</v>
      </c>
      <c r="E3021">
        <v>0.41001090000000001</v>
      </c>
      <c r="F3021" t="s">
        <v>41</v>
      </c>
      <c r="G3021">
        <v>-491.4477</v>
      </c>
      <c r="H3021" s="1">
        <v>-2.1039810000000002E-6</v>
      </c>
      <c r="I3021">
        <v>243.59559999999999</v>
      </c>
      <c r="J3021">
        <v>-496.60140000000001</v>
      </c>
      <c r="K3021">
        <v>1.116579</v>
      </c>
      <c r="L3021">
        <v>265.06360000000001</v>
      </c>
      <c r="M3021">
        <v>-2.2860390000000001E-2</v>
      </c>
      <c r="N3021">
        <v>0</v>
      </c>
      <c r="O3021">
        <v>-0.99964960000000003</v>
      </c>
      <c r="P3021">
        <v>-3.368682E-3</v>
      </c>
      <c r="Q3021">
        <v>-5.5902230000000001E-3</v>
      </c>
      <c r="R3021">
        <v>-0.99997899999999995</v>
      </c>
      <c r="S3021">
        <v>0.71743769999999996</v>
      </c>
      <c r="T3021">
        <v>-0.15538150000000001</v>
      </c>
      <c r="U3021">
        <v>-3.0053709999999998</v>
      </c>
      <c r="V3021">
        <v>-1.9616539999999998E-2</v>
      </c>
      <c r="W3021">
        <v>7.4398479999999998E-3</v>
      </c>
      <c r="X3021">
        <v>0.99977990000000005</v>
      </c>
      <c r="Y3021">
        <v>-0.25407940000000001</v>
      </c>
      <c r="Z3021">
        <v>5.0063259999999998E-2</v>
      </c>
      <c r="AA3021">
        <v>0.96588680000000005</v>
      </c>
      <c r="AB3021">
        <v>24</v>
      </c>
      <c r="AC3021">
        <v>5.1537000000000104</v>
      </c>
      <c r="AD3021">
        <v>-1.1165811039810001</v>
      </c>
      <c r="AE3021">
        <v>-21.468</v>
      </c>
      <c r="AF3021">
        <v>-5.6287663366976801</v>
      </c>
      <c r="AG3021">
        <v>-1.1165811039810001</v>
      </c>
      <c r="AH3021">
        <v>21.2901072034674</v>
      </c>
      <c r="AI3021">
        <v>92.902631574510707</v>
      </c>
      <c r="AJ3021">
        <v>104.809250356551</v>
      </c>
      <c r="AK3021">
        <v>22.049907677131898</v>
      </c>
      <c r="AL3021">
        <v>89.573724178625397</v>
      </c>
      <c r="AM3021">
        <v>91.124048155561397</v>
      </c>
      <c r="AN3021">
        <v>1.0000000042119199</v>
      </c>
    </row>
    <row r="3022" spans="1:40" x14ac:dyDescent="0.25">
      <c r="A3022" t="str">
        <f>"20190312160351496"</f>
        <v>20190312160351496</v>
      </c>
      <c r="B3022" t="str">
        <f>"1552377831487486"</f>
        <v>1552377831487486</v>
      </c>
      <c r="C3022" t="s">
        <v>40</v>
      </c>
      <c r="D3022">
        <v>5.5308479999999998</v>
      </c>
      <c r="E3022">
        <v>0.41119040000000001</v>
      </c>
      <c r="F3022" t="s">
        <v>41</v>
      </c>
      <c r="G3022">
        <v>-491.38170000000002</v>
      </c>
      <c r="H3022" s="1">
        <v>-1.9694050000000001E-6</v>
      </c>
      <c r="I3022">
        <v>243.3229</v>
      </c>
      <c r="J3022">
        <v>-496.59460000000001</v>
      </c>
      <c r="K3022">
        <v>1.116376</v>
      </c>
      <c r="L3022">
        <v>264.80020000000002</v>
      </c>
      <c r="M3022">
        <v>-1.183474E-2</v>
      </c>
      <c r="N3022">
        <v>0</v>
      </c>
      <c r="O3022">
        <v>-0.99984150000000005</v>
      </c>
      <c r="P3022">
        <v>6.5198299999999999E-3</v>
      </c>
      <c r="Q3022">
        <v>-5.9161369999999897E-3</v>
      </c>
      <c r="R3022">
        <v>-0.99996130000000005</v>
      </c>
      <c r="S3022">
        <v>0.72064209999999995</v>
      </c>
      <c r="T3022">
        <v>-0.1541565</v>
      </c>
      <c r="U3022">
        <v>-3.0015559999999999</v>
      </c>
      <c r="V3022">
        <v>-1.8468120000000001E-2</v>
      </c>
      <c r="W3022">
        <v>7.0955799999999998E-3</v>
      </c>
      <c r="X3022">
        <v>0.99980429999999998</v>
      </c>
      <c r="Y3022">
        <v>-0.24465770000000001</v>
      </c>
      <c r="Z3022">
        <v>4.9800659999999997E-2</v>
      </c>
      <c r="AA3022">
        <v>0.96832969999999896</v>
      </c>
      <c r="AB3022">
        <v>24</v>
      </c>
      <c r="AC3022">
        <v>5.2128999999999897</v>
      </c>
      <c r="AD3022">
        <v>-1.116377969405</v>
      </c>
      <c r="AE3022">
        <v>-21.4773</v>
      </c>
      <c r="AF3022">
        <v>-5.4528224774966496</v>
      </c>
      <c r="AG3022">
        <v>-1.116377969405</v>
      </c>
      <c r="AH3022">
        <v>21.359596831671102</v>
      </c>
      <c r="AI3022">
        <v>92.899080361927403</v>
      </c>
      <c r="AJ3022">
        <v>104.320978306735</v>
      </c>
      <c r="AK3022">
        <v>22.072878143848801</v>
      </c>
      <c r="AL3022">
        <v>89.593449812895102</v>
      </c>
      <c r="AM3022">
        <v>91.058232104039803</v>
      </c>
      <c r="AN3022">
        <v>1.00000002850518</v>
      </c>
    </row>
    <row r="3023" spans="1:40" x14ac:dyDescent="0.25">
      <c r="A3023" t="str">
        <f>"20190312160351508"</f>
        <v>20190312160351508</v>
      </c>
      <c r="B3023" t="str">
        <f>"1552377831497246"</f>
        <v>1552377831497246</v>
      </c>
      <c r="C3023" t="s">
        <v>40</v>
      </c>
      <c r="D3023">
        <v>5.5220320000000003</v>
      </c>
      <c r="E3023">
        <v>0.41186089999999997</v>
      </c>
      <c r="F3023" t="s">
        <v>41</v>
      </c>
      <c r="G3023">
        <v>-491.17129999999997</v>
      </c>
      <c r="H3023" s="1">
        <v>-1.7201230000000001E-6</v>
      </c>
      <c r="I3023">
        <v>242.8723</v>
      </c>
      <c r="J3023">
        <v>-496.59039999999999</v>
      </c>
      <c r="K3023">
        <v>1.116274</v>
      </c>
      <c r="L3023">
        <v>264.6662</v>
      </c>
      <c r="M3023">
        <v>-6.330769E-3</v>
      </c>
      <c r="N3023">
        <v>0</v>
      </c>
      <c r="O3023">
        <v>-0.999892</v>
      </c>
      <c r="P3023">
        <v>1.1572239999999999E-2</v>
      </c>
      <c r="Q3023">
        <v>-5.7905539999999998E-3</v>
      </c>
      <c r="R3023">
        <v>-0.99991669999999999</v>
      </c>
      <c r="S3023">
        <v>0.74060059999999905</v>
      </c>
      <c r="T3023">
        <v>-0.15244969999999999</v>
      </c>
      <c r="U3023">
        <v>-2.994415</v>
      </c>
      <c r="V3023">
        <v>-1.8016150000000002E-2</v>
      </c>
      <c r="W3023">
        <v>7.2095409999999999E-3</v>
      </c>
      <c r="X3023">
        <v>0.99981169999999997</v>
      </c>
      <c r="Y3023">
        <v>-0.24594199999999999</v>
      </c>
      <c r="Z3023">
        <v>4.9321900000000002E-2</v>
      </c>
      <c r="AA3023">
        <v>0.96802889999999997</v>
      </c>
      <c r="AB3023">
        <v>24</v>
      </c>
      <c r="AC3023">
        <v>5.41910000000001</v>
      </c>
      <c r="AD3023">
        <v>-1.116275720123</v>
      </c>
      <c r="AE3023">
        <v>-21.793900000000001</v>
      </c>
      <c r="AF3023">
        <v>-5.5432799209621404</v>
      </c>
      <c r="AG3023">
        <v>-1.116275720123</v>
      </c>
      <c r="AH3023">
        <v>21.705525389226</v>
      </c>
      <c r="AI3023">
        <v>92.852625272155706</v>
      </c>
      <c r="AJ3023">
        <v>104.32629749369001</v>
      </c>
      <c r="AK3023">
        <v>22.4299767317716</v>
      </c>
      <c r="AL3023">
        <v>89.586920148830202</v>
      </c>
      <c r="AM3023">
        <v>91.0323320428177</v>
      </c>
      <c r="AN3023">
        <v>0.99999999729957101</v>
      </c>
    </row>
    <row r="3024" spans="1:40" x14ac:dyDescent="0.25">
      <c r="A3024" t="str">
        <f>"20190312160351522"</f>
        <v>20190312160351522</v>
      </c>
      <c r="B3024" t="str">
        <f>"1552377831517743"</f>
        <v>1552377831517743</v>
      </c>
      <c r="C3024" t="s">
        <v>40</v>
      </c>
      <c r="D3024">
        <v>5.5336699999999999</v>
      </c>
      <c r="E3024">
        <v>0.42691630000000003</v>
      </c>
      <c r="F3024" t="s">
        <v>41</v>
      </c>
      <c r="G3024">
        <v>-491.01319999999998</v>
      </c>
      <c r="H3024" s="1">
        <v>-1.490822E-6</v>
      </c>
      <c r="I3024">
        <v>242.4359</v>
      </c>
      <c r="J3024">
        <v>-496.5849</v>
      </c>
      <c r="K3024">
        <v>1.1161749999999999</v>
      </c>
      <c r="L3024">
        <v>264.52510000000001</v>
      </c>
      <c r="M3024">
        <v>-6.4973020000000002E-4</v>
      </c>
      <c r="N3024">
        <v>0</v>
      </c>
      <c r="O3024">
        <v>-0.99991209999999997</v>
      </c>
      <c r="P3024">
        <v>1.6815569999999998E-2</v>
      </c>
      <c r="Q3024">
        <v>-6.0163700000000001E-3</v>
      </c>
      <c r="R3024">
        <v>-0.99984059999999997</v>
      </c>
      <c r="S3024">
        <v>0.75030520000000001</v>
      </c>
      <c r="T3024">
        <v>-0.15017339999999901</v>
      </c>
      <c r="U3024">
        <v>-2.9906619999999999</v>
      </c>
      <c r="V3024">
        <v>-1.7572810000000001E-2</v>
      </c>
      <c r="W3024">
        <v>6.9701759999999998E-3</v>
      </c>
      <c r="X3024">
        <v>0.99982130000000002</v>
      </c>
      <c r="Y3024">
        <v>-0.2436835</v>
      </c>
      <c r="Z3024">
        <v>4.8643140000000001E-2</v>
      </c>
      <c r="AA3024">
        <v>0.9686342</v>
      </c>
      <c r="AB3024">
        <v>24</v>
      </c>
      <c r="AC3024">
        <v>5.5717000000000203</v>
      </c>
      <c r="AD3024">
        <v>-1.116176490822</v>
      </c>
      <c r="AE3024">
        <v>-22.089200000000002</v>
      </c>
      <c r="AF3024">
        <v>-5.5726743970441097</v>
      </c>
      <c r="AG3024">
        <v>-1.116176490822</v>
      </c>
      <c r="AH3024">
        <v>22.032683480887599</v>
      </c>
      <c r="AI3024">
        <v>92.811733160112794</v>
      </c>
      <c r="AJ3024">
        <v>104.194008081897</v>
      </c>
      <c r="AK3024">
        <v>22.753893980220401</v>
      </c>
      <c r="AL3024">
        <v>89.600635102726102</v>
      </c>
      <c r="AM3024">
        <v>91.006924127257605</v>
      </c>
      <c r="AN3024">
        <v>1.0000000094692201</v>
      </c>
    </row>
    <row r="3025" spans="1:40" x14ac:dyDescent="0.25">
      <c r="A3025" t="str">
        <f>"20190312160351537"</f>
        <v>20190312160351537</v>
      </c>
      <c r="B3025" t="str">
        <f>"1552377831527502"</f>
        <v>1552377831527502</v>
      </c>
      <c r="C3025" t="s">
        <v>40</v>
      </c>
      <c r="D3025">
        <v>5.5011070000000002</v>
      </c>
      <c r="E3025">
        <v>0.4278227</v>
      </c>
      <c r="F3025" t="s">
        <v>41</v>
      </c>
      <c r="G3025">
        <v>-490.25259999999997</v>
      </c>
      <c r="H3025" s="1">
        <v>-2.4222310000000001E-6</v>
      </c>
      <c r="I3025">
        <v>235.0787</v>
      </c>
      <c r="J3025">
        <v>-496.5779</v>
      </c>
      <c r="K3025">
        <v>1.1160570000000001</v>
      </c>
      <c r="L3025">
        <v>264.36320000000001</v>
      </c>
      <c r="M3025">
        <v>5.7679239999999998E-3</v>
      </c>
      <c r="N3025">
        <v>0</v>
      </c>
      <c r="O3025">
        <v>-0.99989600000000001</v>
      </c>
      <c r="P3025">
        <v>2.2818089999999999E-2</v>
      </c>
      <c r="Q3025">
        <v>-5.8516820000000004E-3</v>
      </c>
      <c r="R3025">
        <v>-0.99972280000000002</v>
      </c>
      <c r="S3025">
        <v>0.64276119999999903</v>
      </c>
      <c r="T3025">
        <v>-0.11329839999999999</v>
      </c>
      <c r="U3025">
        <v>-2.9889830000000002</v>
      </c>
      <c r="V3025">
        <v>-1.7158489999999998E-2</v>
      </c>
      <c r="W3025">
        <v>7.1179909999999997E-3</v>
      </c>
      <c r="X3025">
        <v>0.99982740000000003</v>
      </c>
      <c r="Y3025">
        <v>-0.20444999999999999</v>
      </c>
      <c r="Z3025">
        <v>3.7054219999999999E-2</v>
      </c>
      <c r="AA3025">
        <v>0.97817549999999998</v>
      </c>
      <c r="AB3025">
        <v>24</v>
      </c>
      <c r="AC3025">
        <v>6.3253000000000199</v>
      </c>
      <c r="AD3025">
        <v>-1.1160594222310001</v>
      </c>
      <c r="AE3025">
        <v>-29.284500000000001</v>
      </c>
      <c r="AF3025">
        <v>-6.1477380107312296</v>
      </c>
      <c r="AG3025">
        <v>-1.1160594222310001</v>
      </c>
      <c r="AH3025">
        <v>29.2798681069462</v>
      </c>
      <c r="AI3025">
        <v>92.136345770442603</v>
      </c>
      <c r="AJ3025">
        <v>101.857840657764</v>
      </c>
      <c r="AK3025">
        <v>29.939120689203701</v>
      </c>
      <c r="AL3025">
        <v>89.592165694681398</v>
      </c>
      <c r="AM3025">
        <v>90.983182260528693</v>
      </c>
      <c r="AN3025">
        <v>0.99999995468285696</v>
      </c>
    </row>
    <row r="3026" spans="1:40" x14ac:dyDescent="0.25">
      <c r="A3026" t="str">
        <f>"20190312160351549"</f>
        <v>20190312160351549</v>
      </c>
      <c r="B3026" t="str">
        <f>"1552377831537264"</f>
        <v>1552377831537264</v>
      </c>
      <c r="C3026" t="s">
        <v>40</v>
      </c>
      <c r="D3026">
        <v>5.5546230000000003</v>
      </c>
      <c r="E3026">
        <v>0.42637910000000001</v>
      </c>
      <c r="F3026" t="s">
        <v>41</v>
      </c>
      <c r="G3026">
        <v>-490.13560000000001</v>
      </c>
      <c r="H3026" s="1">
        <v>-2.3274229999999999E-6</v>
      </c>
      <c r="I3026">
        <v>234.93029999999999</v>
      </c>
      <c r="J3026">
        <v>-496.57190000000003</v>
      </c>
      <c r="K3026">
        <v>1.115964</v>
      </c>
      <c r="L3026">
        <v>264.23649999999998</v>
      </c>
      <c r="M3026">
        <v>1.0723669999999999E-2</v>
      </c>
      <c r="N3026">
        <v>0</v>
      </c>
      <c r="O3026">
        <v>-0.9998553</v>
      </c>
      <c r="P3026">
        <v>2.7617559999999999E-2</v>
      </c>
      <c r="Q3026">
        <v>-5.9714649999999996E-3</v>
      </c>
      <c r="R3026">
        <v>-0.99960079999999996</v>
      </c>
      <c r="S3026">
        <v>0.65341190000000005</v>
      </c>
      <c r="T3026">
        <v>-0.1131964</v>
      </c>
      <c r="U3026">
        <v>-2.9852289999999999</v>
      </c>
      <c r="V3026">
        <v>-1.6999739999999999E-2</v>
      </c>
      <c r="W3026">
        <v>6.9825709999999999E-3</v>
      </c>
      <c r="X3026">
        <v>0.99983109999999997</v>
      </c>
      <c r="Y3026">
        <v>-0.2031839</v>
      </c>
      <c r="Z3026">
        <v>3.7055129999999999E-2</v>
      </c>
      <c r="AA3026">
        <v>0.97843919999999995</v>
      </c>
      <c r="AB3026">
        <v>24</v>
      </c>
      <c r="AC3026">
        <v>6.4363000000000099</v>
      </c>
      <c r="AD3026">
        <v>-1.1159663274230001</v>
      </c>
      <c r="AE3026">
        <v>-29.306199999999901</v>
      </c>
      <c r="AF3026">
        <v>-6.1131759016924496</v>
      </c>
      <c r="AG3026">
        <v>-1.1159663274230001</v>
      </c>
      <c r="AH3026">
        <v>29.3329642830114</v>
      </c>
      <c r="AI3026">
        <v>92.132970024254206</v>
      </c>
      <c r="AJ3026">
        <v>101.772298172823</v>
      </c>
      <c r="AK3026">
        <v>29.983980624283301</v>
      </c>
      <c r="AL3026">
        <v>89.599924895670497</v>
      </c>
      <c r="AM3026">
        <v>90.974084035103999</v>
      </c>
      <c r="AN3026">
        <v>0.99999998799252299</v>
      </c>
    </row>
    <row r="3027" spans="1:40" x14ac:dyDescent="0.25">
      <c r="A3027" t="str">
        <f>"20190312160351560"</f>
        <v>20190312160351560</v>
      </c>
      <c r="B3027" t="str">
        <f>"1552377831557759"</f>
        <v>1552377831557759</v>
      </c>
      <c r="C3027" t="s">
        <v>40</v>
      </c>
      <c r="D3027">
        <v>5.538233</v>
      </c>
      <c r="E3027">
        <v>0.39258379999999998</v>
      </c>
      <c r="F3027" t="s">
        <v>41</v>
      </c>
      <c r="G3027">
        <v>-489.6105</v>
      </c>
      <c r="H3027" s="1">
        <v>-1.7953199999999999E-6</v>
      </c>
      <c r="I3027">
        <v>233.6566</v>
      </c>
      <c r="J3027">
        <v>-496.5652</v>
      </c>
      <c r="K3027">
        <v>1.1158650000000001</v>
      </c>
      <c r="L3027">
        <v>264.11160000000001</v>
      </c>
      <c r="M3027">
        <v>1.5499199999999999E-2</v>
      </c>
      <c r="N3027">
        <v>0</v>
      </c>
      <c r="O3027">
        <v>-0.99979309999999999</v>
      </c>
      <c r="P3027">
        <v>3.2400909999999998E-2</v>
      </c>
      <c r="Q3027">
        <v>-6.0253939999999999E-3</v>
      </c>
      <c r="R3027">
        <v>-0.99945709999999999</v>
      </c>
      <c r="S3027">
        <v>0.67880249999999998</v>
      </c>
      <c r="T3027">
        <v>-0.10881689999999899</v>
      </c>
      <c r="U3027">
        <v>-2.9818120000000001</v>
      </c>
      <c r="V3027">
        <v>-1.7006429999999999E-2</v>
      </c>
      <c r="W3027">
        <v>6.9110489999999998E-3</v>
      </c>
      <c r="X3027">
        <v>0.99983149999999998</v>
      </c>
      <c r="Y3027">
        <v>-0.2066875</v>
      </c>
      <c r="Z3027">
        <v>3.5614E-2</v>
      </c>
      <c r="AA3027">
        <v>0.97775860000000003</v>
      </c>
      <c r="AB3027">
        <v>24</v>
      </c>
      <c r="AC3027">
        <v>6.9546999999999999</v>
      </c>
      <c r="AD3027">
        <v>-1.1158667953200001</v>
      </c>
      <c r="AE3027">
        <v>-30.454999999999998</v>
      </c>
      <c r="AF3027">
        <v>-6.47353551143516</v>
      </c>
      <c r="AG3027">
        <v>-1.1158667953200001</v>
      </c>
      <c r="AH3027">
        <v>30.520200782655401</v>
      </c>
      <c r="AI3027">
        <v>92.048361566427701</v>
      </c>
      <c r="AJ3027">
        <v>101.975330365242</v>
      </c>
      <c r="AK3027">
        <v>31.219136383575801</v>
      </c>
      <c r="AL3027">
        <v>89.604022910011096</v>
      </c>
      <c r="AM3027">
        <v>90.974466908002796</v>
      </c>
      <c r="AN3027">
        <v>1.0000000048259301</v>
      </c>
    </row>
    <row r="3028" spans="1:40" x14ac:dyDescent="0.25">
      <c r="A3028" t="str">
        <f>"20190312160351571"</f>
        <v>20190312160351571</v>
      </c>
      <c r="B3028" t="str">
        <f>"1552377831567519"</f>
        <v>1552377831567519</v>
      </c>
      <c r="C3028" t="s">
        <v>40</v>
      </c>
      <c r="D3028">
        <v>5.45716</v>
      </c>
      <c r="E3028">
        <v>0.38235649999999999</v>
      </c>
      <c r="F3028" t="s">
        <v>41</v>
      </c>
      <c r="G3028">
        <v>-490.33679999999998</v>
      </c>
      <c r="H3028" s="1">
        <v>-2.4140699999999999E-6</v>
      </c>
      <c r="I3028">
        <v>245.00749999999999</v>
      </c>
      <c r="J3028">
        <v>-496.55919999999998</v>
      </c>
      <c r="K3028">
        <v>1.115785</v>
      </c>
      <c r="L3028">
        <v>264.005</v>
      </c>
      <c r="M3028">
        <v>1.9530499999999999E-2</v>
      </c>
      <c r="N3028">
        <v>0</v>
      </c>
      <c r="O3028">
        <v>-0.99972260000000002</v>
      </c>
      <c r="P3028">
        <v>3.6374950000000003E-2</v>
      </c>
      <c r="Q3028">
        <v>-6.6972719999999998E-3</v>
      </c>
      <c r="R3028">
        <v>-0.99931590000000003</v>
      </c>
      <c r="S3028">
        <v>0.96804809999999997</v>
      </c>
      <c r="T3028">
        <v>-0.1734328</v>
      </c>
      <c r="U3028">
        <v>-2.9692379999999998</v>
      </c>
      <c r="V3028">
        <v>-1.6939280000000001E-2</v>
      </c>
      <c r="W3028">
        <v>6.2248929999999996E-3</v>
      </c>
      <c r="X3028">
        <v>0.99983719999999998</v>
      </c>
      <c r="Y3028">
        <v>-0.2908598</v>
      </c>
      <c r="Z3028">
        <v>5.5598109999999999E-2</v>
      </c>
      <c r="AA3028">
        <v>0.95514889999999997</v>
      </c>
      <c r="AB3028">
        <v>24</v>
      </c>
      <c r="AC3028">
        <v>6.2223999999999897</v>
      </c>
      <c r="AD3028">
        <v>-1.1157874140699999</v>
      </c>
      <c r="AE3028">
        <v>-18.997499999999999</v>
      </c>
      <c r="AF3028">
        <v>-5.8319812344748003</v>
      </c>
      <c r="AG3028">
        <v>-1.1157874140699999</v>
      </c>
      <c r="AH3028">
        <v>19.056045955025201</v>
      </c>
      <c r="AI3028">
        <v>93.204618991354593</v>
      </c>
      <c r="AJ3028">
        <v>107.01639579524</v>
      </c>
      <c r="AK3028">
        <v>19.9597062631867</v>
      </c>
      <c r="AL3028">
        <v>89.643337620260496</v>
      </c>
      <c r="AM3028">
        <v>90.970614424230703</v>
      </c>
      <c r="AN3028">
        <v>1.0000000575018</v>
      </c>
    </row>
    <row r="3029" spans="1:40" x14ac:dyDescent="0.25">
      <c r="A3029" t="str">
        <f>"20190312160351583"</f>
        <v>20190312160351583</v>
      </c>
      <c r="B3029" t="str">
        <f>"1552377831577281"</f>
        <v>1552377831577281</v>
      </c>
      <c r="C3029" t="s">
        <v>40</v>
      </c>
      <c r="D3029">
        <v>5.4543419999999996</v>
      </c>
      <c r="E3029">
        <v>0.37765349999999998</v>
      </c>
      <c r="F3029" t="s">
        <v>41</v>
      </c>
      <c r="G3029">
        <v>-488.14120000000003</v>
      </c>
      <c r="H3029" s="1">
        <v>-7.7276219999999897E-7</v>
      </c>
      <c r="I3029">
        <v>240.46549999999999</v>
      </c>
      <c r="J3029">
        <v>-496.55149999999998</v>
      </c>
      <c r="K3029">
        <v>1.1156820000000001</v>
      </c>
      <c r="L3029">
        <v>263.87689999999998</v>
      </c>
      <c r="M3029">
        <v>2.428953E-2</v>
      </c>
      <c r="N3029">
        <v>0</v>
      </c>
      <c r="O3029">
        <v>-0.99961880000000003</v>
      </c>
      <c r="P3029">
        <v>4.0642190000000002E-2</v>
      </c>
      <c r="Q3029">
        <v>-7.2066169999999898E-3</v>
      </c>
      <c r="R3029">
        <v>-0.99914800000000004</v>
      </c>
      <c r="S3029">
        <v>1.0594479999999999</v>
      </c>
      <c r="T3029">
        <v>-0.14042679999999999</v>
      </c>
      <c r="U3029">
        <v>-2.962555</v>
      </c>
      <c r="V3029">
        <v>-1.6440639999999999E-2</v>
      </c>
      <c r="W3029">
        <v>5.7032439999999997E-3</v>
      </c>
      <c r="X3029">
        <v>0.99984859999999998</v>
      </c>
      <c r="Y3029">
        <v>-0.31341980000000003</v>
      </c>
      <c r="Z3029">
        <v>4.4749129999999998E-2</v>
      </c>
      <c r="AA3029">
        <v>0.94855970000000001</v>
      </c>
      <c r="AB3029">
        <v>24</v>
      </c>
      <c r="AC3029">
        <v>8.4102999999999497</v>
      </c>
      <c r="AD3029">
        <v>-1.1156827727621901</v>
      </c>
      <c r="AE3029">
        <v>-23.411399999999901</v>
      </c>
      <c r="AF3029">
        <v>-7.8233809039402198</v>
      </c>
      <c r="AG3029">
        <v>-1.1156827727621901</v>
      </c>
      <c r="AH3029">
        <v>23.5613985660361</v>
      </c>
      <c r="AI3029">
        <v>92.573116135797207</v>
      </c>
      <c r="AJ3029">
        <v>108.36834922612</v>
      </c>
      <c r="AK3029">
        <v>24.851348840760799</v>
      </c>
      <c r="AL3029">
        <v>89.673226425036901</v>
      </c>
      <c r="AM3029">
        <v>90.942037026313102</v>
      </c>
      <c r="AN3029">
        <v>1.0000000222788401</v>
      </c>
    </row>
    <row r="3030" spans="1:40" x14ac:dyDescent="0.25">
      <c r="A3030" t="str">
        <f>"20190312160351593"</f>
        <v>20190312160351593</v>
      </c>
      <c r="B3030" t="str">
        <f>"1552377831588015"</f>
        <v>1552377831588015</v>
      </c>
      <c r="C3030" t="s">
        <v>40</v>
      </c>
      <c r="D3030">
        <v>3.452086</v>
      </c>
      <c r="E3030">
        <v>0.37676480000000001</v>
      </c>
      <c r="F3030" t="s">
        <v>41</v>
      </c>
      <c r="G3030">
        <v>-486.91090000000003</v>
      </c>
      <c r="H3030" s="1">
        <v>-4.2086179999999999E-6</v>
      </c>
      <c r="I3030">
        <v>238.16589999999999</v>
      </c>
      <c r="J3030">
        <v>-496.54419999999999</v>
      </c>
      <c r="K3030">
        <v>1.115588</v>
      </c>
      <c r="L3030">
        <v>263.7638</v>
      </c>
      <c r="M3030">
        <v>2.8415349999999999E-2</v>
      </c>
      <c r="N3030">
        <v>0</v>
      </c>
      <c r="O3030">
        <v>-0.99951020000000002</v>
      </c>
      <c r="P3030">
        <v>4.4545769999999998E-2</v>
      </c>
      <c r="Q3030">
        <v>-7.7119739999999999E-3</v>
      </c>
      <c r="R3030">
        <v>-0.99897749999999996</v>
      </c>
      <c r="S3030">
        <v>1.108582</v>
      </c>
      <c r="T3030">
        <v>-0.12829399999999999</v>
      </c>
      <c r="U3030">
        <v>-2.9565429999999999</v>
      </c>
      <c r="V3030">
        <v>-1.6211840000000002E-2</v>
      </c>
      <c r="W3030">
        <v>5.1844530000000003E-3</v>
      </c>
      <c r="X3030">
        <v>0.99985520000000006</v>
      </c>
      <c r="Y3030">
        <v>-0.32404759999999999</v>
      </c>
      <c r="Z3030">
        <v>4.0773240000000002E-2</v>
      </c>
      <c r="AA3030">
        <v>0.94516180000000005</v>
      </c>
      <c r="AB3030">
        <v>24</v>
      </c>
      <c r="AC3030">
        <v>9.6332999999999593</v>
      </c>
      <c r="AD3030">
        <v>-1.1155922086179999</v>
      </c>
      <c r="AE3030">
        <v>-25.597899999999999</v>
      </c>
      <c r="AF3030">
        <v>-8.8871878674047302</v>
      </c>
      <c r="AG3030">
        <v>-1.1155922086179999</v>
      </c>
      <c r="AH3030">
        <v>25.818364609548301</v>
      </c>
      <c r="AI3030">
        <v>92.339604244367706</v>
      </c>
      <c r="AJ3030">
        <v>108.994468526053</v>
      </c>
      <c r="AK3030">
        <v>27.327908907892201</v>
      </c>
      <c r="AL3030">
        <v>89.702951411609405</v>
      </c>
      <c r="AM3030">
        <v>90.928923131108206</v>
      </c>
      <c r="AN3030">
        <v>1.00000006163806</v>
      </c>
    </row>
    <row r="3031" spans="1:40" x14ac:dyDescent="0.25">
      <c r="A3031" t="str">
        <f>"20190312160351605"</f>
        <v>20190312160351605</v>
      </c>
      <c r="B3031" t="str">
        <f>"1552377831597775"</f>
        <v>1552377831597775</v>
      </c>
      <c r="C3031" t="s">
        <v>40</v>
      </c>
      <c r="D3031">
        <v>5.4748150000000004</v>
      </c>
      <c r="E3031">
        <v>0.37569150000000001</v>
      </c>
      <c r="F3031" t="s">
        <v>41</v>
      </c>
      <c r="G3031">
        <v>-486.30689999999998</v>
      </c>
      <c r="H3031" s="1">
        <v>-3.786404E-6</v>
      </c>
      <c r="I3031">
        <v>236.93190000000001</v>
      </c>
      <c r="J3031">
        <v>-496.53570000000002</v>
      </c>
      <c r="K3031">
        <v>1.1154740000000001</v>
      </c>
      <c r="L3031">
        <v>263.6377</v>
      </c>
      <c r="M3031">
        <v>3.2958510000000003E-2</v>
      </c>
      <c r="N3031">
        <v>0</v>
      </c>
      <c r="O3031">
        <v>-0.99937089999999995</v>
      </c>
      <c r="P3031">
        <v>4.8514250000000002E-2</v>
      </c>
      <c r="Q3031">
        <v>-8.0694859999999903E-3</v>
      </c>
      <c r="R3031">
        <v>-0.99879010000000001</v>
      </c>
      <c r="S3031">
        <v>1.1262509999999999</v>
      </c>
      <c r="T3031">
        <v>-0.1227317</v>
      </c>
      <c r="U3031">
        <v>-2.9519039999999999</v>
      </c>
      <c r="V3031">
        <v>-1.5633069999999999E-2</v>
      </c>
      <c r="W3031">
        <v>4.8158630000000001E-3</v>
      </c>
      <c r="X3031">
        <v>0.99986620000000004</v>
      </c>
      <c r="Y3031">
        <v>-0.32520909999999997</v>
      </c>
      <c r="Z3031">
        <v>3.90094E-2</v>
      </c>
      <c r="AA3031">
        <v>0.94483720000000004</v>
      </c>
      <c r="AB3031">
        <v>24</v>
      </c>
      <c r="AC3031">
        <v>10.2288</v>
      </c>
      <c r="AD3031">
        <v>-1.115477786404</v>
      </c>
      <c r="AE3031">
        <v>-26.705799999999901</v>
      </c>
      <c r="AF3031">
        <v>-9.3287897145957306</v>
      </c>
      <c r="AG3031">
        <v>-1.115477786404</v>
      </c>
      <c r="AH3031">
        <v>26.9873835720263</v>
      </c>
      <c r="AI3031">
        <v>92.237134130731803</v>
      </c>
      <c r="AJ3031">
        <v>109.068847654818</v>
      </c>
      <c r="AK3031">
        <v>28.5760298203719</v>
      </c>
      <c r="AL3031">
        <v>89.724070309252397</v>
      </c>
      <c r="AM3031">
        <v>90.895755806838395</v>
      </c>
      <c r="AN3031">
        <v>1.00000000165824</v>
      </c>
    </row>
    <row r="3032" spans="1:40" x14ac:dyDescent="0.25">
      <c r="A3032" t="str">
        <f>"20190312160351617"</f>
        <v>20190312160351617</v>
      </c>
      <c r="B3032" t="str">
        <f>"1552377831607535"</f>
        <v>1552377831607535</v>
      </c>
      <c r="C3032" t="s">
        <v>40</v>
      </c>
      <c r="D3032">
        <v>5.2313539999999996</v>
      </c>
      <c r="E3032">
        <v>0.37421500000000002</v>
      </c>
      <c r="F3032" t="s">
        <v>41</v>
      </c>
      <c r="G3032">
        <v>-486.1508</v>
      </c>
      <c r="H3032" s="1">
        <v>-3.824523E-6</v>
      </c>
      <c r="I3032">
        <v>236.9562</v>
      </c>
      <c r="J3032">
        <v>-496.52699999999999</v>
      </c>
      <c r="K3032">
        <v>1.1153679999999999</v>
      </c>
      <c r="L3032">
        <v>263.51780000000002</v>
      </c>
      <c r="M3032">
        <v>3.7156740000000001E-2</v>
      </c>
      <c r="N3032">
        <v>0</v>
      </c>
      <c r="O3032">
        <v>-0.99922409999999995</v>
      </c>
      <c r="P3032">
        <v>5.230576E-2</v>
      </c>
      <c r="Q3032">
        <v>-8.0397939999999994E-3</v>
      </c>
      <c r="R3032">
        <v>-0.99859889999999996</v>
      </c>
      <c r="S3032">
        <v>1.147003</v>
      </c>
      <c r="T3032">
        <v>-0.1232029</v>
      </c>
      <c r="U3032">
        <v>-2.94693</v>
      </c>
      <c r="V3032">
        <v>-1.5227330000000001E-2</v>
      </c>
      <c r="W3032">
        <v>4.8330279999999996E-3</v>
      </c>
      <c r="X3032">
        <v>0.99987239999999999</v>
      </c>
      <c r="Y3032">
        <v>-0.32755679999999998</v>
      </c>
      <c r="Z3032">
        <v>3.9147500000000002E-2</v>
      </c>
      <c r="AA3032">
        <v>0.94402019999999998</v>
      </c>
      <c r="AB3032">
        <v>24</v>
      </c>
      <c r="AC3032">
        <v>10.3761999999999</v>
      </c>
      <c r="AD3032">
        <v>-1.115371824523</v>
      </c>
      <c r="AE3032">
        <v>-26.561599999999999</v>
      </c>
      <c r="AF3032">
        <v>-9.3676756502883904</v>
      </c>
      <c r="AG3032">
        <v>-1.115371824523</v>
      </c>
      <c r="AH3032">
        <v>26.887699108387402</v>
      </c>
      <c r="AI3032">
        <v>92.243312402727199</v>
      </c>
      <c r="AJ3032">
        <v>109.208339127763</v>
      </c>
      <c r="AK3032">
        <v>28.494662039391201</v>
      </c>
      <c r="AL3032">
        <v>89.723086821665703</v>
      </c>
      <c r="AM3032">
        <v>90.872505633117001</v>
      </c>
      <c r="AN3032">
        <v>1.00000002301016</v>
      </c>
    </row>
    <row r="3033" spans="1:40" x14ac:dyDescent="0.25">
      <c r="A3033" t="str">
        <f>"20190312160351629"</f>
        <v>20190312160351629</v>
      </c>
      <c r="B3033" t="str">
        <f>"1552377831617296"</f>
        <v>1552377831617296</v>
      </c>
      <c r="C3033" t="s">
        <v>40</v>
      </c>
      <c r="D3033">
        <v>5.4762180000000003</v>
      </c>
      <c r="E3033">
        <v>0.3733592</v>
      </c>
      <c r="F3033" t="s">
        <v>41</v>
      </c>
      <c r="G3033">
        <v>-485.23570000000001</v>
      </c>
      <c r="H3033" s="1">
        <v>-3.1960450000000002E-6</v>
      </c>
      <c r="I3033">
        <v>235.1129</v>
      </c>
      <c r="J3033">
        <v>-496.517</v>
      </c>
      <c r="K3033">
        <v>1.1152489999999999</v>
      </c>
      <c r="L3033">
        <v>263.38290000000001</v>
      </c>
      <c r="M3033">
        <v>4.1823140000000002E-2</v>
      </c>
      <c r="N3033">
        <v>0</v>
      </c>
      <c r="O3033">
        <v>-0.99903989999999998</v>
      </c>
      <c r="P3033">
        <v>5.6794589999999999E-2</v>
      </c>
      <c r="Q3033">
        <v>-8.1305860000000004E-3</v>
      </c>
      <c r="R3033">
        <v>-0.99835309999999999</v>
      </c>
      <c r="S3033">
        <v>1.169495</v>
      </c>
      <c r="T3033">
        <v>-0.1155236</v>
      </c>
      <c r="U3033">
        <v>-2.9420169999999999</v>
      </c>
      <c r="V3033">
        <v>-1.50495E-2</v>
      </c>
      <c r="W3033">
        <v>4.7243110000000001E-3</v>
      </c>
      <c r="X3033">
        <v>0.99987559999999998</v>
      </c>
      <c r="Y3033">
        <v>-0.329959</v>
      </c>
      <c r="Z3033">
        <v>3.6692309999999999E-2</v>
      </c>
      <c r="AA3033">
        <v>0.94328190000000001</v>
      </c>
      <c r="AB3033">
        <v>24</v>
      </c>
      <c r="AC3033">
        <v>11.2812999999999</v>
      </c>
      <c r="AD3033">
        <v>-1.1152521960449999</v>
      </c>
      <c r="AE3033">
        <v>-28.27</v>
      </c>
      <c r="AF3033">
        <v>-10.0754603184307</v>
      </c>
      <c r="AG3033">
        <v>-1.1152521960449999</v>
      </c>
      <c r="AH3033">
        <v>28.678618422073299</v>
      </c>
      <c r="AI3033">
        <v>92.101213263577904</v>
      </c>
      <c r="AJ3033">
        <v>109.357551906198</v>
      </c>
      <c r="AK3033">
        <v>30.417459504171902</v>
      </c>
      <c r="AL3033">
        <v>89.729315914664497</v>
      </c>
      <c r="AM3033">
        <v>90.862315000426193</v>
      </c>
      <c r="AN3033">
        <v>1.00000001102001</v>
      </c>
    </row>
    <row r="3034" spans="1:40" x14ac:dyDescent="0.25">
      <c r="A3034" t="str">
        <f>"20190312160351641"</f>
        <v>20190312160351641</v>
      </c>
      <c r="B3034" t="str">
        <f>"1552377831637791"</f>
        <v>1552377831637791</v>
      </c>
      <c r="C3034" t="s">
        <v>40</v>
      </c>
      <c r="D3034">
        <v>5.4734920000000002</v>
      </c>
      <c r="E3034">
        <v>0.37264740000000002</v>
      </c>
      <c r="F3034" t="s">
        <v>41</v>
      </c>
      <c r="G3034">
        <v>-484.53050000000002</v>
      </c>
      <c r="H3034" s="1">
        <v>-2.8590819999999998E-6</v>
      </c>
      <c r="I3034">
        <v>233.7731</v>
      </c>
      <c r="J3034">
        <v>-496.50700000000001</v>
      </c>
      <c r="K3034">
        <v>1.1151340000000001</v>
      </c>
      <c r="L3034">
        <v>263.25670000000002</v>
      </c>
      <c r="M3034">
        <v>4.6057010000000002E-2</v>
      </c>
      <c r="N3034">
        <v>0</v>
      </c>
      <c r="O3034">
        <v>-0.99885389999999996</v>
      </c>
      <c r="P3034">
        <v>6.103066E-2</v>
      </c>
      <c r="Q3034">
        <v>-7.8863019999999995E-3</v>
      </c>
      <c r="R3034">
        <v>-0.99810480000000001</v>
      </c>
      <c r="S3034">
        <v>1.18869</v>
      </c>
      <c r="T3034">
        <v>-0.1105984</v>
      </c>
      <c r="U3034">
        <v>-2.9363709999999998</v>
      </c>
      <c r="V3034">
        <v>-1.5056160000000001E-2</v>
      </c>
      <c r="W3034">
        <v>4.9498520000000002E-3</v>
      </c>
      <c r="X3034">
        <v>0.99987440000000005</v>
      </c>
      <c r="Y3034">
        <v>-0.33191130000000002</v>
      </c>
      <c r="Z3034">
        <v>3.512912E-2</v>
      </c>
      <c r="AA3034">
        <v>0.9426563</v>
      </c>
      <c r="AB3034">
        <v>24</v>
      </c>
      <c r="AC3034">
        <v>11.9764999999999</v>
      </c>
      <c r="AD3034">
        <v>-1.1151368590819899</v>
      </c>
      <c r="AE3034">
        <v>-29.483599999999999</v>
      </c>
      <c r="AF3034">
        <v>-10.5927399279902</v>
      </c>
      <c r="AG3034">
        <v>-1.1151368590819899</v>
      </c>
      <c r="AH3034">
        <v>29.967158606517302</v>
      </c>
      <c r="AI3034">
        <v>92.009375603024694</v>
      </c>
      <c r="AJ3034">
        <v>109.467395613354</v>
      </c>
      <c r="AK3034">
        <v>31.803777516903299</v>
      </c>
      <c r="AL3034">
        <v>89.716393213743103</v>
      </c>
      <c r="AM3034">
        <v>90.862697586526593</v>
      </c>
      <c r="AN3034">
        <v>1.0000000023820601</v>
      </c>
    </row>
    <row r="3035" spans="1:40" x14ac:dyDescent="0.25">
      <c r="A3035" t="str">
        <f>"20190312160351653"</f>
        <v>20190312160351653</v>
      </c>
      <c r="B3035" t="str">
        <f>"1552377831647551"</f>
        <v>1552377831647551</v>
      </c>
      <c r="C3035" t="s">
        <v>40</v>
      </c>
      <c r="D3035">
        <v>5.4702609999999998</v>
      </c>
      <c r="E3035">
        <v>0.37259769999999998</v>
      </c>
      <c r="F3035" t="s">
        <v>41</v>
      </c>
      <c r="G3035">
        <v>-484.13159999999999</v>
      </c>
      <c r="H3035" s="1">
        <v>-2.7703139999999999E-6</v>
      </c>
      <c r="I3035">
        <v>233.2004</v>
      </c>
      <c r="J3035">
        <v>-496.4966</v>
      </c>
      <c r="K3035">
        <v>1.11502099999999</v>
      </c>
      <c r="L3035">
        <v>263.13170000000002</v>
      </c>
      <c r="M3035">
        <v>5.0177939999999997E-2</v>
      </c>
      <c r="N3035">
        <v>0</v>
      </c>
      <c r="O3035">
        <v>-0.99865590000000004</v>
      </c>
      <c r="P3035">
        <v>6.5350060000000001E-2</v>
      </c>
      <c r="Q3035">
        <v>-7.9113180000000005E-3</v>
      </c>
      <c r="R3035">
        <v>-0.99783100000000002</v>
      </c>
      <c r="S3035">
        <v>1.2068479999999999</v>
      </c>
      <c r="T3035">
        <v>-0.1087481</v>
      </c>
      <c r="U3035">
        <v>-2.9310909999999999</v>
      </c>
      <c r="V3035">
        <v>-1.5255929999999999E-2</v>
      </c>
      <c r="W3035">
        <v>4.9035989999999998E-3</v>
      </c>
      <c r="X3035">
        <v>0.99987159999999997</v>
      </c>
      <c r="Y3035">
        <v>-0.33362140000000001</v>
      </c>
      <c r="Z3035">
        <v>3.4539540000000001E-2</v>
      </c>
      <c r="AA3035">
        <v>0.94207419999999997</v>
      </c>
      <c r="AB3035">
        <v>24</v>
      </c>
      <c r="AC3035">
        <v>12.365</v>
      </c>
      <c r="AD3035">
        <v>-1.11502377031399</v>
      </c>
      <c r="AE3035">
        <v>-29.9313</v>
      </c>
      <c r="AF3035">
        <v>-10.834559631085501</v>
      </c>
      <c r="AG3035">
        <v>-1.11502377031399</v>
      </c>
      <c r="AH3035">
        <v>30.477961231854199</v>
      </c>
      <c r="AI3035">
        <v>91.974276611830803</v>
      </c>
      <c r="AJ3035">
        <v>109.56970645560899</v>
      </c>
      <c r="AK3035">
        <v>32.365677518913799</v>
      </c>
      <c r="AL3035">
        <v>89.719043347646902</v>
      </c>
      <c r="AM3035">
        <v>90.8741448200973</v>
      </c>
      <c r="AN3035">
        <v>1.00000000258493</v>
      </c>
    </row>
    <row r="3036" spans="1:40" x14ac:dyDescent="0.25">
      <c r="A3036" t="str">
        <f>"20190312160351665"</f>
        <v>20190312160351665</v>
      </c>
      <c r="B3036" t="str">
        <f>"1552377831657311"</f>
        <v>1552377831657311</v>
      </c>
      <c r="C3036" t="s">
        <v>40</v>
      </c>
      <c r="D3036">
        <v>5.4727509999999997</v>
      </c>
      <c r="E3036">
        <v>0.37276550000000003</v>
      </c>
      <c r="F3036" t="s">
        <v>41</v>
      </c>
      <c r="G3036">
        <v>-484.08760000000001</v>
      </c>
      <c r="H3036" s="1">
        <v>-2.8371080000000001E-6</v>
      </c>
      <c r="I3036">
        <v>233.3623</v>
      </c>
      <c r="J3036">
        <v>-496.48599999999999</v>
      </c>
      <c r="K3036">
        <v>1.1149100000000001</v>
      </c>
      <c r="L3036">
        <v>263.00720000000001</v>
      </c>
      <c r="M3036">
        <v>5.4210080000000001E-2</v>
      </c>
      <c r="N3036">
        <v>0</v>
      </c>
      <c r="O3036">
        <v>-0.99844540000000004</v>
      </c>
      <c r="P3036">
        <v>6.9529789999999994E-2</v>
      </c>
      <c r="Q3036">
        <v>-7.6168750000000004E-3</v>
      </c>
      <c r="R3036">
        <v>-0.99755090000000002</v>
      </c>
      <c r="S3036">
        <v>1.2195739999999999</v>
      </c>
      <c r="T3036">
        <v>-0.1095865</v>
      </c>
      <c r="U3036">
        <v>-2.9257810000000002</v>
      </c>
      <c r="V3036">
        <v>-1.540943E-2</v>
      </c>
      <c r="W3036">
        <v>5.1777769999999997E-3</v>
      </c>
      <c r="X3036">
        <v>0.99986790000000003</v>
      </c>
      <c r="Y3036">
        <v>-0.33390950000000003</v>
      </c>
      <c r="Z3036">
        <v>3.4822840000000001E-2</v>
      </c>
      <c r="AA3036">
        <v>0.94196170000000001</v>
      </c>
      <c r="AB3036">
        <v>24</v>
      </c>
      <c r="AC3036">
        <v>12.398399999999899</v>
      </c>
      <c r="AD3036">
        <v>-1.1149128371079999</v>
      </c>
      <c r="AE3036">
        <v>-29.6449</v>
      </c>
      <c r="AF3036">
        <v>-10.7600247594946</v>
      </c>
      <c r="AG3036">
        <v>-1.1149128371079999</v>
      </c>
      <c r="AH3036">
        <v>30.237075033363801</v>
      </c>
      <c r="AI3036">
        <v>91.989564059530494</v>
      </c>
      <c r="AJ3036">
        <v>109.58837328011801</v>
      </c>
      <c r="AK3036">
        <v>32.113889051819299</v>
      </c>
      <c r="AL3036">
        <v>89.703333916532699</v>
      </c>
      <c r="AM3036">
        <v>90.882942050520299</v>
      </c>
      <c r="AN3036">
        <v>1.00000003867899</v>
      </c>
    </row>
    <row r="3037" spans="1:40" x14ac:dyDescent="0.25">
      <c r="A3037" t="str">
        <f>"20190312160351676"</f>
        <v>20190312160351676</v>
      </c>
      <c r="B3037" t="str">
        <f>"1552377831668046"</f>
        <v>1552377831668046</v>
      </c>
      <c r="C3037" t="s">
        <v>40</v>
      </c>
      <c r="D3037">
        <v>5.4554729999999996</v>
      </c>
      <c r="E3037">
        <v>0.37325399999999997</v>
      </c>
      <c r="F3037" t="s">
        <v>41</v>
      </c>
      <c r="G3037">
        <v>-483.9427</v>
      </c>
      <c r="H3037" s="1">
        <v>-2.8323189999999999E-6</v>
      </c>
      <c r="I3037">
        <v>233.23490000000001</v>
      </c>
      <c r="J3037">
        <v>-496.47539999999998</v>
      </c>
      <c r="K3037">
        <v>1.1148049999999901</v>
      </c>
      <c r="L3037">
        <v>262.88920000000002</v>
      </c>
      <c r="M3037">
        <v>5.7914849999999997E-2</v>
      </c>
      <c r="N3037">
        <v>0</v>
      </c>
      <c r="O3037">
        <v>-0.99823740000000005</v>
      </c>
      <c r="P3037">
        <v>7.3787130000000006E-2</v>
      </c>
      <c r="Q3037">
        <v>-7.6721539999999996E-3</v>
      </c>
      <c r="R3037">
        <v>-0.99724460000000004</v>
      </c>
      <c r="S3037">
        <v>1.2305600000000001</v>
      </c>
      <c r="T3037">
        <v>-0.1093785</v>
      </c>
      <c r="U3037">
        <v>-2.9208069999999999</v>
      </c>
      <c r="V3037">
        <v>-1.5964880000000001E-2</v>
      </c>
      <c r="W3037">
        <v>5.0981459999999996E-3</v>
      </c>
      <c r="X3037">
        <v>0.99985959999999996</v>
      </c>
      <c r="Y3037">
        <v>-0.33399519999999999</v>
      </c>
      <c r="Z3037">
        <v>3.4775449999999999E-2</v>
      </c>
      <c r="AA3037">
        <v>0.94193309999999997</v>
      </c>
      <c r="AB3037">
        <v>24</v>
      </c>
      <c r="AC3037">
        <v>12.532699999999901</v>
      </c>
      <c r="AD3037">
        <v>-1.1148078323189901</v>
      </c>
      <c r="AE3037">
        <v>-29.654299999999999</v>
      </c>
      <c r="AF3037">
        <v>-10.7811644388629</v>
      </c>
      <c r="AG3037">
        <v>-1.1148078323189901</v>
      </c>
      <c r="AH3037">
        <v>30.2940826180544</v>
      </c>
      <c r="AI3037">
        <v>91.985618556651204</v>
      </c>
      <c r="AJ3037">
        <v>109.58980560783699</v>
      </c>
      <c r="AK3037">
        <v>32.174644439842801</v>
      </c>
      <c r="AL3037">
        <v>89.707896498382496</v>
      </c>
      <c r="AM3037">
        <v>90.9147709545</v>
      </c>
      <c r="AN3037">
        <v>1.0000000440990999</v>
      </c>
    </row>
    <row r="3038" spans="1:40" x14ac:dyDescent="0.25">
      <c r="A3038" t="str">
        <f>"20190312160351689"</f>
        <v>20190312160351689</v>
      </c>
      <c r="B3038" t="str">
        <f>"1552377831677807"</f>
        <v>1552377831677807</v>
      </c>
      <c r="C3038" t="s">
        <v>40</v>
      </c>
      <c r="D3038">
        <v>5.4428960000000002</v>
      </c>
      <c r="E3038">
        <v>0.37393500000000002</v>
      </c>
      <c r="F3038" t="s">
        <v>41</v>
      </c>
      <c r="G3038">
        <v>-484.0566</v>
      </c>
      <c r="H3038" s="1">
        <v>-2.949389E-6</v>
      </c>
      <c r="I3038">
        <v>233.66800000000001</v>
      </c>
      <c r="J3038">
        <v>-496.4633</v>
      </c>
      <c r="K3038">
        <v>1.1146910000000001</v>
      </c>
      <c r="L3038">
        <v>262.75740000000002</v>
      </c>
      <c r="M3038">
        <v>6.1996530000000001E-2</v>
      </c>
      <c r="N3038">
        <v>0</v>
      </c>
      <c r="O3038">
        <v>-0.99799260000000001</v>
      </c>
      <c r="P3038">
        <v>7.8281509999999999E-2</v>
      </c>
      <c r="Q3038">
        <v>-7.4815069999999897E-3</v>
      </c>
      <c r="R3038">
        <v>-0.99690350000000005</v>
      </c>
      <c r="S3038">
        <v>1.2391970000000001</v>
      </c>
      <c r="T3038">
        <v>-0.1112399</v>
      </c>
      <c r="U3038">
        <v>-2.9158019999999998</v>
      </c>
      <c r="V3038">
        <v>-1.638299E-2</v>
      </c>
      <c r="W3038">
        <v>5.2655130000000003E-3</v>
      </c>
      <c r="X3038">
        <v>0.99985190000000002</v>
      </c>
      <c r="Y3038">
        <v>-0.33307629999999999</v>
      </c>
      <c r="Z3038">
        <v>3.5395370000000002E-2</v>
      </c>
      <c r="AA3038">
        <v>0.9422353</v>
      </c>
      <c r="AB3038">
        <v>24</v>
      </c>
      <c r="AC3038">
        <v>12.406700000000001</v>
      </c>
      <c r="AD3038">
        <v>-1.11469394938899</v>
      </c>
      <c r="AE3038">
        <v>-29.089400000000001</v>
      </c>
      <c r="AF3038">
        <v>-10.566110120511</v>
      </c>
      <c r="AG3038">
        <v>-1.11469394938899</v>
      </c>
      <c r="AH3038">
        <v>29.765689182231899</v>
      </c>
      <c r="AI3038">
        <v>92.021209710615395</v>
      </c>
      <c r="AJ3038">
        <v>109.543649389463</v>
      </c>
      <c r="AK3038">
        <v>31.6050862706117</v>
      </c>
      <c r="AL3038">
        <v>89.698306926458699</v>
      </c>
      <c r="AM3038">
        <v>90.938731216579299</v>
      </c>
      <c r="AN3038">
        <v>0.99999997496105097</v>
      </c>
    </row>
    <row r="3039" spans="1:40" x14ac:dyDescent="0.25">
      <c r="A3039" t="str">
        <f>"20190312160351707"</f>
        <v>20190312160351707</v>
      </c>
      <c r="B3039" t="str">
        <f>"1552377831697327"</f>
        <v>1552377831697327</v>
      </c>
      <c r="C3039" t="s">
        <v>40</v>
      </c>
      <c r="D3039">
        <v>5.4904010000000003</v>
      </c>
      <c r="E3039">
        <v>0.37519930000000001</v>
      </c>
      <c r="F3039" t="s">
        <v>41</v>
      </c>
      <c r="G3039">
        <v>-484.41730000000001</v>
      </c>
      <c r="H3039" s="1">
        <v>-3.1876959999999999E-6</v>
      </c>
      <c r="I3039">
        <v>234.65029999999999</v>
      </c>
      <c r="J3039">
        <v>-496.44470000000001</v>
      </c>
      <c r="K3039">
        <v>1.114522</v>
      </c>
      <c r="L3039">
        <v>262.5643</v>
      </c>
      <c r="M3039">
        <v>6.776422E-2</v>
      </c>
      <c r="N3039">
        <v>0</v>
      </c>
      <c r="O3039">
        <v>-0.99761809999999995</v>
      </c>
      <c r="P3039">
        <v>8.5268689999999994E-2</v>
      </c>
      <c r="Q3039">
        <v>-7.1714810000000004E-3</v>
      </c>
      <c r="R3039">
        <v>-0.99633249999999995</v>
      </c>
      <c r="S3039">
        <v>1.2473749999999999</v>
      </c>
      <c r="T3039">
        <v>-0.11542769999999999</v>
      </c>
      <c r="U3039">
        <v>-2.9105219999999998</v>
      </c>
      <c r="V3039">
        <v>-1.761397E-2</v>
      </c>
      <c r="W3039">
        <v>5.5349240000000001E-3</v>
      </c>
      <c r="X3039">
        <v>0.99982950000000004</v>
      </c>
      <c r="Y3039">
        <v>-0.33046009999999998</v>
      </c>
      <c r="Z3039">
        <v>3.6764089999999999E-2</v>
      </c>
      <c r="AA3039">
        <v>0.94310369999999999</v>
      </c>
      <c r="AB3039">
        <v>24</v>
      </c>
      <c r="AC3039">
        <v>12.0274</v>
      </c>
      <c r="AD3039">
        <v>-1.1145251876960001</v>
      </c>
      <c r="AE3039">
        <v>-27.914000000000001</v>
      </c>
      <c r="AF3039">
        <v>-10.0944486550826</v>
      </c>
      <c r="AG3039">
        <v>-1.1145251876960001</v>
      </c>
      <c r="AH3039">
        <v>28.6264304766758</v>
      </c>
      <c r="AI3039">
        <v>92.102811456542497</v>
      </c>
      <c r="AJ3039">
        <v>109.424019731708</v>
      </c>
      <c r="AK3039">
        <v>30.3745383813493</v>
      </c>
      <c r="AL3039">
        <v>89.6828705823728</v>
      </c>
      <c r="AM3039">
        <v>91.009273837110101</v>
      </c>
      <c r="AN3039">
        <v>0.99999995819654697</v>
      </c>
    </row>
    <row r="3040" spans="1:40" x14ac:dyDescent="0.25">
      <c r="A3040" t="str">
        <f>"20190312160351723"</f>
        <v>20190312160351723</v>
      </c>
      <c r="B3040" t="str">
        <f>"1552377831717825"</f>
        <v>1552377831717825</v>
      </c>
      <c r="C3040" t="s">
        <v>40</v>
      </c>
      <c r="D3040">
        <v>5.4599780000000004</v>
      </c>
      <c r="E3040">
        <v>0.37637359999999997</v>
      </c>
      <c r="F3040" t="s">
        <v>41</v>
      </c>
      <c r="G3040">
        <v>-484.64</v>
      </c>
      <c r="H3040" s="1">
        <v>-3.3924119999999998E-6</v>
      </c>
      <c r="I3040">
        <v>235.32429999999999</v>
      </c>
      <c r="J3040">
        <v>-496.42689999999999</v>
      </c>
      <c r="K3040">
        <v>1.1143730000000001</v>
      </c>
      <c r="L3040">
        <v>262.3886</v>
      </c>
      <c r="M3040">
        <v>7.2808529999999996E-2</v>
      </c>
      <c r="N3040">
        <v>0</v>
      </c>
      <c r="O3040">
        <v>-0.99726289999999995</v>
      </c>
      <c r="P3040">
        <v>9.0779650000000003E-2</v>
      </c>
      <c r="Q3040">
        <v>-7.0957989999999999E-3</v>
      </c>
      <c r="R3040">
        <v>-0.99584600000000001</v>
      </c>
      <c r="S3040">
        <v>1.257843</v>
      </c>
      <c r="T3040">
        <v>-0.11875810000000001</v>
      </c>
      <c r="U3040">
        <v>-2.9025569999999998</v>
      </c>
      <c r="V3040">
        <v>-1.8087369999999998E-2</v>
      </c>
      <c r="W3040">
        <v>5.5816520000000003E-3</v>
      </c>
      <c r="X3040">
        <v>0.99982079999999995</v>
      </c>
      <c r="Y3040">
        <v>-0.3294745</v>
      </c>
      <c r="Z3040">
        <v>3.7878630000000003E-2</v>
      </c>
      <c r="AA3040">
        <v>0.94340429999999997</v>
      </c>
      <c r="AB3040">
        <v>24</v>
      </c>
      <c r="AC3040">
        <v>11.786899999999999</v>
      </c>
      <c r="AD3040">
        <v>-1.114376392412</v>
      </c>
      <c r="AE3040">
        <v>-27.064299999999999</v>
      </c>
      <c r="AF3040">
        <v>-9.7710119512808102</v>
      </c>
      <c r="AG3040">
        <v>-1.114376392412</v>
      </c>
      <c r="AH3040">
        <v>27.811082344495301</v>
      </c>
      <c r="AI3040">
        <v>92.164988691876999</v>
      </c>
      <c r="AJ3040">
        <v>109.358170038184</v>
      </c>
      <c r="AK3040">
        <v>29.498657774013001</v>
      </c>
      <c r="AL3040">
        <v>89.680193227477105</v>
      </c>
      <c r="AM3040">
        <v>91.036402655724103</v>
      </c>
      <c r="AN3040">
        <v>0.99999996995260199</v>
      </c>
    </row>
    <row r="3041" spans="1:40" x14ac:dyDescent="0.25">
      <c r="A3041" t="str">
        <f>"20190312160351741"</f>
        <v>20190312160351741</v>
      </c>
      <c r="B3041" t="str">
        <f>"1552377831737343"</f>
        <v>1552377831737343</v>
      </c>
      <c r="C3041" t="s">
        <v>40</v>
      </c>
      <c r="D3041">
        <v>5.4886489999999997</v>
      </c>
      <c r="E3041">
        <v>0.37760640000000001</v>
      </c>
      <c r="F3041" t="s">
        <v>41</v>
      </c>
      <c r="G3041">
        <v>-484.9128</v>
      </c>
      <c r="H3041" s="1">
        <v>-3.6452930000000001E-6</v>
      </c>
      <c r="I3041">
        <v>236.0265</v>
      </c>
      <c r="J3041">
        <v>-496.40899999999999</v>
      </c>
      <c r="K3041">
        <v>1.1142289999999999</v>
      </c>
      <c r="L3041">
        <v>262.21800000000002</v>
      </c>
      <c r="M3041">
        <v>7.7537659999999994E-2</v>
      </c>
      <c r="N3041">
        <v>0</v>
      </c>
      <c r="O3041">
        <v>-0.99690679999999998</v>
      </c>
      <c r="P3041">
        <v>9.6615309999999996E-2</v>
      </c>
      <c r="Q3041">
        <v>-6.7914899999999999E-3</v>
      </c>
      <c r="R3041">
        <v>-0.99529869999999998</v>
      </c>
      <c r="S3041">
        <v>1.265045</v>
      </c>
      <c r="T3041">
        <v>-0.1224349</v>
      </c>
      <c r="U3041">
        <v>-2.8963619999999999</v>
      </c>
      <c r="V3041">
        <v>-1.9206750000000002E-2</v>
      </c>
      <c r="W3041">
        <v>5.8515379999999999E-3</v>
      </c>
      <c r="X3041">
        <v>0.99979839999999998</v>
      </c>
      <c r="Y3041">
        <v>-0.32768530000000001</v>
      </c>
      <c r="Z3041">
        <v>3.9098599999999997E-2</v>
      </c>
      <c r="AA3041">
        <v>0.94397750000000002</v>
      </c>
      <c r="AB3041">
        <v>24</v>
      </c>
      <c r="AC3041">
        <v>11.4961999999999</v>
      </c>
      <c r="AD3041">
        <v>-1.114232645293</v>
      </c>
      <c r="AE3041">
        <v>-26.191500000000001</v>
      </c>
      <c r="AF3041">
        <v>-9.4163003943083101</v>
      </c>
      <c r="AG3041">
        <v>-1.114232645293</v>
      </c>
      <c r="AH3041">
        <v>26.963182030323299</v>
      </c>
      <c r="AI3041">
        <v>92.234181417861606</v>
      </c>
      <c r="AJ3041">
        <v>109.25063581433</v>
      </c>
      <c r="AK3041">
        <v>28.581837112124798</v>
      </c>
      <c r="AL3041">
        <v>89.664729652328901</v>
      </c>
      <c r="AM3041">
        <v>91.100552239560898</v>
      </c>
      <c r="AN3041">
        <v>0.99999999019254304</v>
      </c>
    </row>
    <row r="3042" spans="1:40" x14ac:dyDescent="0.25">
      <c r="A3042" t="str">
        <f>"20190312160351753"</f>
        <v>20190312160351753</v>
      </c>
      <c r="B3042" t="str">
        <f>"1552377831748079"</f>
        <v>1552377831748079</v>
      </c>
      <c r="C3042" t="s">
        <v>40</v>
      </c>
      <c r="D3042">
        <v>5.5153610000000004</v>
      </c>
      <c r="E3042">
        <v>0.3782161</v>
      </c>
      <c r="F3042" t="s">
        <v>41</v>
      </c>
      <c r="G3042">
        <v>-485.02210000000002</v>
      </c>
      <c r="H3042" s="1">
        <v>-3.7670020000000002E-6</v>
      </c>
      <c r="I3042">
        <v>236.3554</v>
      </c>
      <c r="J3042">
        <v>-496.39359999999999</v>
      </c>
      <c r="K3042">
        <v>1.114104</v>
      </c>
      <c r="L3042">
        <v>262.07569999999998</v>
      </c>
      <c r="M3042">
        <v>8.1369159999999996E-2</v>
      </c>
      <c r="N3042">
        <v>0</v>
      </c>
      <c r="O3042">
        <v>-0.99660170000000003</v>
      </c>
      <c r="P3042">
        <v>0.1008706</v>
      </c>
      <c r="Q3042">
        <v>-6.5365249999999996E-3</v>
      </c>
      <c r="R3042">
        <v>-0.99487820000000005</v>
      </c>
      <c r="S3042">
        <v>1.2723390000000001</v>
      </c>
      <c r="T3042">
        <v>-0.12450070000000001</v>
      </c>
      <c r="U3042">
        <v>-2.8898009999999998</v>
      </c>
      <c r="V3042">
        <v>-1.9639119999999999E-2</v>
      </c>
      <c r="W3042">
        <v>6.0842300000000004E-3</v>
      </c>
      <c r="X3042">
        <v>0.99978860000000003</v>
      </c>
      <c r="Y3042">
        <v>-0.32682610000000001</v>
      </c>
      <c r="Z3042">
        <v>3.9807950000000002E-2</v>
      </c>
      <c r="AA3042">
        <v>0.94424580000000002</v>
      </c>
      <c r="AB3042">
        <v>24</v>
      </c>
      <c r="AC3042">
        <v>11.3714999999999</v>
      </c>
      <c r="AD3042">
        <v>-1.1141077670020001</v>
      </c>
      <c r="AE3042">
        <v>-25.720299999999899</v>
      </c>
      <c r="AF3042">
        <v>-9.2262945855680805</v>
      </c>
      <c r="AG3042">
        <v>-1.1141077670020001</v>
      </c>
      <c r="AH3042">
        <v>26.518742287395501</v>
      </c>
      <c r="AI3042">
        <v>92.272257347257707</v>
      </c>
      <c r="AJ3042">
        <v>109.18360324002001</v>
      </c>
      <c r="AK3042">
        <v>28.0999900427291</v>
      </c>
      <c r="AL3042">
        <v>89.651397141241404</v>
      </c>
      <c r="AM3042">
        <v>91.125331890500604</v>
      </c>
      <c r="AN3042">
        <v>0.99999997878951297</v>
      </c>
    </row>
    <row r="3043" spans="1:40" x14ac:dyDescent="0.25">
      <c r="A3043" t="str">
        <f>"20190312160351764"</f>
        <v>20190312160351764</v>
      </c>
      <c r="B3043" t="str">
        <f>"1552377831748079"</f>
        <v>1552377831748079</v>
      </c>
      <c r="C3043" t="s">
        <v>40</v>
      </c>
      <c r="D3043">
        <v>5.5153610000000004</v>
      </c>
      <c r="E3043">
        <v>0.3782161</v>
      </c>
      <c r="F3043" t="s">
        <v>41</v>
      </c>
      <c r="G3043">
        <v>-485.13380000000001</v>
      </c>
      <c r="H3043" s="1">
        <v>-3.8951960000000003E-6</v>
      </c>
      <c r="I3043">
        <v>236.70050000000001</v>
      </c>
      <c r="J3043">
        <v>-496.37950000000001</v>
      </c>
      <c r="K3043">
        <v>1.11399</v>
      </c>
      <c r="L3043">
        <v>261.94850000000002</v>
      </c>
      <c r="M3043">
        <v>8.4704280000000007E-2</v>
      </c>
      <c r="N3043">
        <v>0</v>
      </c>
      <c r="O3043">
        <v>-0.99632410000000005</v>
      </c>
      <c r="P3043">
        <v>0.1047782</v>
      </c>
      <c r="Q3043">
        <v>-6.3640490000000001E-3</v>
      </c>
      <c r="R3043">
        <v>-0.99447540000000001</v>
      </c>
      <c r="S3043">
        <v>1.28009</v>
      </c>
      <c r="T3043">
        <v>-0.12665950000000001</v>
      </c>
      <c r="U3043">
        <v>-2.884827</v>
      </c>
      <c r="V3043">
        <v>-2.022024E-2</v>
      </c>
      <c r="W3043">
        <v>6.2353840000000001E-3</v>
      </c>
      <c r="X3043">
        <v>0.99977609999999995</v>
      </c>
      <c r="Y3043">
        <v>-0.32637379999999999</v>
      </c>
      <c r="Z3043">
        <v>4.0525779999999997E-2</v>
      </c>
      <c r="AA3043">
        <v>0.94437159999999998</v>
      </c>
      <c r="AB3043">
        <v>24</v>
      </c>
      <c r="AC3043">
        <v>11.245699999999999</v>
      </c>
      <c r="AD3043">
        <v>-1.113993895196</v>
      </c>
      <c r="AE3043">
        <v>-25.248000000000001</v>
      </c>
      <c r="AF3043">
        <v>-9.0517849441964096</v>
      </c>
      <c r="AG3043">
        <v>-1.113993895196</v>
      </c>
      <c r="AH3043">
        <v>26.0675378926876</v>
      </c>
      <c r="AI3043">
        <v>92.311791164534597</v>
      </c>
      <c r="AJ3043">
        <v>109.14922903836199</v>
      </c>
      <c r="AK3043">
        <v>27.616884778360099</v>
      </c>
      <c r="AL3043">
        <v>89.642736495963902</v>
      </c>
      <c r="AM3043">
        <v>91.1586359072883</v>
      </c>
      <c r="AN3043">
        <v>0.99999999412524698</v>
      </c>
    </row>
    <row r="3044" spans="1:40" x14ac:dyDescent="0.25">
      <c r="A3044" t="str">
        <f>"20190312160351777"</f>
        <v>20190312160351777</v>
      </c>
      <c r="B3044" t="str">
        <f>"1552377831767598"</f>
        <v>1552377831767598</v>
      </c>
      <c r="C3044" t="s">
        <v>40</v>
      </c>
      <c r="D3044">
        <v>5.4986030000000001</v>
      </c>
      <c r="E3044">
        <v>0.3794611</v>
      </c>
      <c r="F3044" t="s">
        <v>41</v>
      </c>
      <c r="G3044">
        <v>-485.01069999999999</v>
      </c>
      <c r="H3044" s="1">
        <v>-3.8731229999999998E-6</v>
      </c>
      <c r="I3044">
        <v>236.59809999999999</v>
      </c>
      <c r="J3044">
        <v>-496.36509999999998</v>
      </c>
      <c r="K3044">
        <v>1.11388</v>
      </c>
      <c r="L3044">
        <v>261.82229999999998</v>
      </c>
      <c r="M3044">
        <v>8.7893689999999997E-2</v>
      </c>
      <c r="N3044">
        <v>0</v>
      </c>
      <c r="O3044">
        <v>-0.99604800000000004</v>
      </c>
      <c r="P3044">
        <v>0.1082489</v>
      </c>
      <c r="Q3044">
        <v>-6.4254869999999997E-3</v>
      </c>
      <c r="R3044">
        <v>-0.99410299999999996</v>
      </c>
      <c r="S3044">
        <v>1.291504</v>
      </c>
      <c r="T3044">
        <v>-0.12655069999999999</v>
      </c>
      <c r="U3044">
        <v>-2.8798219999999999</v>
      </c>
      <c r="V3044">
        <v>-2.0506770000000001E-2</v>
      </c>
      <c r="W3044">
        <v>6.1562309999999999E-3</v>
      </c>
      <c r="X3044">
        <v>0.99977079999999996</v>
      </c>
      <c r="Y3044">
        <v>-0.32707709999999901</v>
      </c>
      <c r="Z3044">
        <v>4.0501750000000003E-2</v>
      </c>
      <c r="AA3044">
        <v>0.94412929999999995</v>
      </c>
      <c r="AB3044">
        <v>24</v>
      </c>
      <c r="AC3044">
        <v>11.354399999999901</v>
      </c>
      <c r="AD3044">
        <v>-1.1138838731229901</v>
      </c>
      <c r="AE3044">
        <v>-25.2242</v>
      </c>
      <c r="AF3044">
        <v>-9.0785001796961193</v>
      </c>
      <c r="AG3044">
        <v>-1.1138838731229901</v>
      </c>
      <c r="AH3044">
        <v>26.0823320934809</v>
      </c>
      <c r="AI3044">
        <v>92.309661264981898</v>
      </c>
      <c r="AJ3044">
        <v>109.191518753753</v>
      </c>
      <c r="AK3044">
        <v>27.639608358842001</v>
      </c>
      <c r="AL3044">
        <v>89.647271731940506</v>
      </c>
      <c r="AM3044">
        <v>91.175055961496497</v>
      </c>
      <c r="AN3044">
        <v>1.0000000396642901</v>
      </c>
    </row>
    <row r="3045" spans="1:40" x14ac:dyDescent="0.25">
      <c r="A3045" t="str">
        <f>"20190312160351789"</f>
        <v>20190312160351789</v>
      </c>
      <c r="B3045" t="str">
        <f>"1552377831777361"</f>
        <v>1552377831777361</v>
      </c>
      <c r="C3045" t="s">
        <v>40</v>
      </c>
      <c r="D3045">
        <v>5.495031</v>
      </c>
      <c r="E3045">
        <v>0.3801022</v>
      </c>
      <c r="F3045" t="s">
        <v>41</v>
      </c>
      <c r="G3045">
        <v>-485.32859999999999</v>
      </c>
      <c r="H3045" s="1">
        <v>-4.0953490000000003E-6</v>
      </c>
      <c r="I3045">
        <v>237.24760000000001</v>
      </c>
      <c r="J3045">
        <v>-496.35050000000001</v>
      </c>
      <c r="K3045">
        <v>1.113772</v>
      </c>
      <c r="L3045">
        <v>261.69659999999999</v>
      </c>
      <c r="M3045">
        <v>9.1025750000000002E-2</v>
      </c>
      <c r="N3045">
        <v>0</v>
      </c>
      <c r="O3045">
        <v>-0.99576699999999996</v>
      </c>
      <c r="P3045">
        <v>0.1116215</v>
      </c>
      <c r="Q3045">
        <v>-6.4054560000000003E-3</v>
      </c>
      <c r="R3045">
        <v>-0.99373020000000001</v>
      </c>
      <c r="S3045">
        <v>1.2917179999999999</v>
      </c>
      <c r="T3045">
        <v>-0.13037000000000001</v>
      </c>
      <c r="U3045">
        <v>-2.8762509999999999</v>
      </c>
      <c r="V3045">
        <v>-2.0753230000000001E-2</v>
      </c>
      <c r="W3045">
        <v>6.1600459999999998E-3</v>
      </c>
      <c r="X3045">
        <v>0.99976560000000003</v>
      </c>
      <c r="Y3045">
        <v>-0.3245789</v>
      </c>
      <c r="Z3045">
        <v>4.1768979999999997E-2</v>
      </c>
      <c r="AA3045">
        <v>0.94493590000000005</v>
      </c>
      <c r="AB3045">
        <v>24</v>
      </c>
      <c r="AC3045">
        <v>11.0219</v>
      </c>
      <c r="AD3045">
        <v>-1.1137760953489999</v>
      </c>
      <c r="AE3045">
        <v>-24.448999999999899</v>
      </c>
      <c r="AF3045">
        <v>-8.7353999567763108</v>
      </c>
      <c r="AG3045">
        <v>-1.1137760953489999</v>
      </c>
      <c r="AH3045">
        <v>25.307194188854801</v>
      </c>
      <c r="AI3045">
        <v>92.382225653984094</v>
      </c>
      <c r="AJ3045">
        <v>109.043372294264</v>
      </c>
      <c r="AK3045">
        <v>26.7955553647956</v>
      </c>
      <c r="AL3045">
        <v>89.647053112346498</v>
      </c>
      <c r="AM3045">
        <v>91.189180488447505</v>
      </c>
      <c r="AN3045">
        <v>0.999999948832756</v>
      </c>
    </row>
    <row r="3046" spans="1:40" x14ac:dyDescent="0.25">
      <c r="A3046" t="str">
        <f>"20190312160351805"</f>
        <v>20190312160351805</v>
      </c>
      <c r="B3046" t="str">
        <f>"1552377831797855"</f>
        <v>1552377831797855</v>
      </c>
      <c r="C3046" t="s">
        <v>40</v>
      </c>
      <c r="D3046">
        <v>5.5076029999999996</v>
      </c>
      <c r="E3046">
        <v>0.39672459999999998</v>
      </c>
      <c r="F3046" t="s">
        <v>41</v>
      </c>
      <c r="G3046">
        <v>-485.41969999999998</v>
      </c>
      <c r="H3046" s="1">
        <v>-4.1785389999999999E-6</v>
      </c>
      <c r="I3046">
        <v>237.47919999999999</v>
      </c>
      <c r="J3046">
        <v>-496.32859999999999</v>
      </c>
      <c r="K3046">
        <v>1.113612</v>
      </c>
      <c r="L3046">
        <v>261.51249999999999</v>
      </c>
      <c r="M3046">
        <v>9.5426250000000004E-2</v>
      </c>
      <c r="N3046">
        <v>0</v>
      </c>
      <c r="O3046">
        <v>-0.9953552</v>
      </c>
      <c r="P3046">
        <v>0.1160006</v>
      </c>
      <c r="Q3046">
        <v>-6.0676890000000002E-3</v>
      </c>
      <c r="R3046">
        <v>-0.99323079999999997</v>
      </c>
      <c r="S3046">
        <v>1.2965089999999999</v>
      </c>
      <c r="T3046">
        <v>-0.13210549999999999</v>
      </c>
      <c r="U3046">
        <v>-2.8724370000000001</v>
      </c>
      <c r="V3046">
        <v>-2.0741269999999999E-2</v>
      </c>
      <c r="W3046">
        <v>6.4780899999999997E-3</v>
      </c>
      <c r="X3046">
        <v>0.99976390000000004</v>
      </c>
      <c r="Y3046">
        <v>-0.32216660000000003</v>
      </c>
      <c r="Z3046">
        <v>4.2352590000000002E-2</v>
      </c>
      <c r="AA3046">
        <v>0.9457352</v>
      </c>
      <c r="AB3046">
        <v>24</v>
      </c>
      <c r="AC3046">
        <v>10.908899999999999</v>
      </c>
      <c r="AD3046">
        <v>-1.113616178539</v>
      </c>
      <c r="AE3046">
        <v>-24.033300000000001</v>
      </c>
      <c r="AF3046">
        <v>-8.5502940545982096</v>
      </c>
      <c r="AG3046">
        <v>-1.113616178539</v>
      </c>
      <c r="AH3046">
        <v>24.920321132685299</v>
      </c>
      <c r="AI3046">
        <v>92.420356499399702</v>
      </c>
      <c r="AJ3046">
        <v>108.93736580927001</v>
      </c>
      <c r="AK3046">
        <v>26.369870586890698</v>
      </c>
      <c r="AL3046">
        <v>89.628830191622001</v>
      </c>
      <c r="AM3046">
        <v>91.188497385650606</v>
      </c>
      <c r="AN3046">
        <v>1.00000001083723</v>
      </c>
    </row>
    <row r="3047" spans="1:40" x14ac:dyDescent="0.25">
      <c r="A3047" t="str">
        <f>"20190312160351819"</f>
        <v>20190312160351819</v>
      </c>
      <c r="B3047" t="str">
        <f>"1552377831807614"</f>
        <v>1552377831807614</v>
      </c>
      <c r="C3047" t="s">
        <v>40</v>
      </c>
      <c r="D3047">
        <v>5.5072809999999999</v>
      </c>
      <c r="E3047">
        <v>0.39762750000000002</v>
      </c>
      <c r="F3047" t="s">
        <v>41</v>
      </c>
      <c r="G3047">
        <v>-488.57339999999999</v>
      </c>
      <c r="H3047" s="1">
        <v>-1.5140959999999999E-6</v>
      </c>
      <c r="I3047">
        <v>242.57230000000001</v>
      </c>
      <c r="J3047">
        <v>-496.31209999999999</v>
      </c>
      <c r="K3047">
        <v>1.1135029999999999</v>
      </c>
      <c r="L3047">
        <v>261.37779999999998</v>
      </c>
      <c r="M3047">
        <v>9.8504900000000006E-2</v>
      </c>
      <c r="N3047">
        <v>0</v>
      </c>
      <c r="O3047">
        <v>-0.99505549999999998</v>
      </c>
      <c r="P3047">
        <v>0.1190577</v>
      </c>
      <c r="Q3047">
        <v>-5.8969390000000003E-3</v>
      </c>
      <c r="R3047">
        <v>-0.99286989999999997</v>
      </c>
      <c r="S3047">
        <v>1.1799010000000001</v>
      </c>
      <c r="T3047">
        <v>-0.1694291</v>
      </c>
      <c r="U3047">
        <v>-2.8816220000000001</v>
      </c>
      <c r="V3047">
        <v>-2.0726000000000001E-2</v>
      </c>
      <c r="W3047">
        <v>6.634488E-3</v>
      </c>
      <c r="X3047">
        <v>0.99976319999999996</v>
      </c>
      <c r="Y3047">
        <v>-0.28534330000000002</v>
      </c>
      <c r="Z3047">
        <v>5.4848090000000002E-2</v>
      </c>
      <c r="AA3047">
        <v>0.95685469999999895</v>
      </c>
      <c r="AB3047">
        <v>24</v>
      </c>
      <c r="AC3047">
        <v>7.7386999999999899</v>
      </c>
      <c r="AD3047">
        <v>-1.113504514096</v>
      </c>
      <c r="AE3047">
        <v>-18.805499999999899</v>
      </c>
      <c r="AF3047">
        <v>-5.8309909535301596</v>
      </c>
      <c r="AG3047">
        <v>-1.113504514096</v>
      </c>
      <c r="AH3047">
        <v>19.418166135202402</v>
      </c>
      <c r="AI3047">
        <v>93.1435686412199</v>
      </c>
      <c r="AJ3047">
        <v>106.71424283696101</v>
      </c>
      <c r="AK3047">
        <v>20.305307775490199</v>
      </c>
      <c r="AL3047">
        <v>89.619869057190201</v>
      </c>
      <c r="AM3047">
        <v>91.187623479990506</v>
      </c>
      <c r="AN3047">
        <v>1.00000001979063</v>
      </c>
    </row>
    <row r="3048" spans="1:40" x14ac:dyDescent="0.25">
      <c r="A3048" t="str">
        <f>"20190312160351832"</f>
        <v>20190312160351832</v>
      </c>
      <c r="B3048" t="str">
        <f>"1552377831827135"</f>
        <v>1552377831827135</v>
      </c>
      <c r="C3048" t="s">
        <v>40</v>
      </c>
      <c r="D3048">
        <v>5.5073699999999999</v>
      </c>
      <c r="E3048">
        <v>0.39849699999999999</v>
      </c>
      <c r="F3048" t="s">
        <v>41</v>
      </c>
      <c r="G3048">
        <v>-488.54610000000002</v>
      </c>
      <c r="H3048" s="1">
        <v>-1.4710810000000001E-6</v>
      </c>
      <c r="I3048">
        <v>242.46080000000001</v>
      </c>
      <c r="J3048">
        <v>-496.29559999999998</v>
      </c>
      <c r="K3048">
        <v>1.1133949999999999</v>
      </c>
      <c r="L3048">
        <v>261.24560000000002</v>
      </c>
      <c r="M3048">
        <v>0.1014616</v>
      </c>
      <c r="N3048">
        <v>0</v>
      </c>
      <c r="O3048">
        <v>-0.9947587</v>
      </c>
      <c r="P3048">
        <v>0.1222068</v>
      </c>
      <c r="Q3048">
        <v>-5.554926E-3</v>
      </c>
      <c r="R3048">
        <v>-0.99248930000000002</v>
      </c>
      <c r="S3048">
        <v>1.181824</v>
      </c>
      <c r="T3048">
        <v>-0.16945389999999999</v>
      </c>
      <c r="U3048">
        <v>-2.8788149999999999</v>
      </c>
      <c r="V3048">
        <v>-2.0927129999999999E-2</v>
      </c>
      <c r="W3048">
        <v>6.9615909999999996E-3</v>
      </c>
      <c r="X3048">
        <v>0.9997568</v>
      </c>
      <c r="Y3048">
        <v>-0.28336820000000001</v>
      </c>
      <c r="Z3048">
        <v>5.4890439999999999E-2</v>
      </c>
      <c r="AA3048">
        <v>0.95743900000000004</v>
      </c>
      <c r="AB3048">
        <v>24</v>
      </c>
      <c r="AC3048">
        <v>7.7494999999999497</v>
      </c>
      <c r="AD3048">
        <v>-1.113396471081</v>
      </c>
      <c r="AE3048">
        <v>-18.784800000000001</v>
      </c>
      <c r="AF3048">
        <v>-5.78604244841822</v>
      </c>
      <c r="AG3048">
        <v>-1.113396471081</v>
      </c>
      <c r="AH3048">
        <v>19.415895316735099</v>
      </c>
      <c r="AI3048">
        <v>93.145595716839793</v>
      </c>
      <c r="AJ3048">
        <v>106.59434290534</v>
      </c>
      <c r="AK3048">
        <v>20.290266875207099</v>
      </c>
      <c r="AL3048">
        <v>89.6011270086411</v>
      </c>
      <c r="AM3048">
        <v>91.199152783919004</v>
      </c>
      <c r="AN3048">
        <v>1.0000000338327599</v>
      </c>
    </row>
    <row r="3049" spans="1:40" x14ac:dyDescent="0.25">
      <c r="A3049" t="str">
        <f>"20190312160351844"</f>
        <v>20190312160351844</v>
      </c>
      <c r="B3049" t="str">
        <f>"1552377831837871"</f>
        <v>1552377831837871</v>
      </c>
      <c r="C3049" t="s">
        <v>40</v>
      </c>
      <c r="D3049">
        <v>5.5282099999999996</v>
      </c>
      <c r="E3049">
        <v>0.39906609999999998</v>
      </c>
      <c r="F3049" t="s">
        <v>41</v>
      </c>
      <c r="G3049">
        <v>-488.39620000000002</v>
      </c>
      <c r="H3049" s="1">
        <v>-1.3212210000000001E-6</v>
      </c>
      <c r="I3049">
        <v>242.04939999999999</v>
      </c>
      <c r="J3049">
        <v>-496.27839999999998</v>
      </c>
      <c r="K3049">
        <v>1.113283</v>
      </c>
      <c r="L3049">
        <v>261.10930000000002</v>
      </c>
      <c r="M3049">
        <v>0.10440530000000001</v>
      </c>
      <c r="N3049">
        <v>0</v>
      </c>
      <c r="O3049">
        <v>-0.99445410000000001</v>
      </c>
      <c r="P3049">
        <v>0.12534909999999999</v>
      </c>
      <c r="Q3049">
        <v>-5.3830309999999999E-3</v>
      </c>
      <c r="R3049">
        <v>-0.99209820000000004</v>
      </c>
      <c r="S3049">
        <v>1.1835329999999999</v>
      </c>
      <c r="T3049">
        <v>-0.16681409999999999</v>
      </c>
      <c r="U3049">
        <v>-2.8760680000000001</v>
      </c>
      <c r="V3049">
        <v>-2.1133519999999999E-2</v>
      </c>
      <c r="W3049">
        <v>7.1179900000000003E-3</v>
      </c>
      <c r="X3049">
        <v>0.99975130000000001</v>
      </c>
      <c r="Y3049">
        <v>-0.2813544</v>
      </c>
      <c r="Z3049">
        <v>5.4071099999999997E-2</v>
      </c>
      <c r="AA3049">
        <v>0.95807929999999997</v>
      </c>
      <c r="AB3049">
        <v>24</v>
      </c>
      <c r="AC3049">
        <v>7.8821999999999504</v>
      </c>
      <c r="AD3049">
        <v>-1.113284321221</v>
      </c>
      <c r="AE3049">
        <v>-19.059899999999999</v>
      </c>
      <c r="AF3049">
        <v>-5.8320099596328498</v>
      </c>
      <c r="AG3049">
        <v>-1.113284321221</v>
      </c>
      <c r="AH3049">
        <v>19.721270535951099</v>
      </c>
      <c r="AI3049">
        <v>93.098597889973405</v>
      </c>
      <c r="AJ3049">
        <v>106.474097881592</v>
      </c>
      <c r="AK3049">
        <v>20.595636763676598</v>
      </c>
      <c r="AL3049">
        <v>89.592165760938002</v>
      </c>
      <c r="AM3049">
        <v>91.210982364935305</v>
      </c>
      <c r="AN3049">
        <v>0.99999997665046003</v>
      </c>
    </row>
    <row r="3050" spans="1:40" x14ac:dyDescent="0.25">
      <c r="A3050" t="str">
        <f>"20190312160351856"</f>
        <v>20190312160351856</v>
      </c>
      <c r="B3050" t="str">
        <f>"1552377831847631"</f>
        <v>1552377831847631</v>
      </c>
      <c r="C3050" t="s">
        <v>40</v>
      </c>
      <c r="D3050">
        <v>5.5438589999999897</v>
      </c>
      <c r="E3050">
        <v>0.3995899</v>
      </c>
      <c r="F3050" t="s">
        <v>41</v>
      </c>
      <c r="G3050">
        <v>-488.40620000000001</v>
      </c>
      <c r="H3050" s="1">
        <v>-1.330355E-6</v>
      </c>
      <c r="I3050">
        <v>242.07480000000001</v>
      </c>
      <c r="J3050">
        <v>-496.26229999999998</v>
      </c>
      <c r="K3050">
        <v>1.1131789999999999</v>
      </c>
      <c r="L3050">
        <v>260.9853</v>
      </c>
      <c r="M3050">
        <v>0.10697950000000001</v>
      </c>
      <c r="N3050">
        <v>0</v>
      </c>
      <c r="O3050">
        <v>-0.99418070000000003</v>
      </c>
      <c r="P3050">
        <v>0.12809389999999901</v>
      </c>
      <c r="Q3050">
        <v>-5.2995380000000003E-3</v>
      </c>
      <c r="R3050">
        <v>-0.99174799999999996</v>
      </c>
      <c r="S3050">
        <v>1.1881409999999999</v>
      </c>
      <c r="T3050">
        <v>-0.16802719999999999</v>
      </c>
      <c r="U3050">
        <v>-2.8728639999999999</v>
      </c>
      <c r="V3050">
        <v>-2.13099E-2</v>
      </c>
      <c r="W3050">
        <v>7.1885600000000001E-3</v>
      </c>
      <c r="X3050">
        <v>0.9997471</v>
      </c>
      <c r="Y3050">
        <v>-0.28055069999999999</v>
      </c>
      <c r="Z3050">
        <v>5.4486939999999998E-2</v>
      </c>
      <c r="AA3050">
        <v>0.95829149999999996</v>
      </c>
      <c r="AB3050">
        <v>24</v>
      </c>
      <c r="AC3050">
        <v>7.8560999999999597</v>
      </c>
      <c r="AD3050">
        <v>-1.1131803303550001</v>
      </c>
      <c r="AE3050">
        <v>-18.9104999999999</v>
      </c>
      <c r="AF3050">
        <v>-5.77075709009448</v>
      </c>
      <c r="AG3050">
        <v>-1.1131803303550001</v>
      </c>
      <c r="AH3050">
        <v>19.584592971489901</v>
      </c>
      <c r="AI3050">
        <v>93.120788572160293</v>
      </c>
      <c r="AJ3050">
        <v>106.418031397432</v>
      </c>
      <c r="AK3050">
        <v>20.447422568619601</v>
      </c>
      <c r="AL3050">
        <v>89.588122314390105</v>
      </c>
      <c r="AM3050">
        <v>91.221091284133394</v>
      </c>
      <c r="AN3050">
        <v>1.0000000255956401</v>
      </c>
    </row>
    <row r="3051" spans="1:40" x14ac:dyDescent="0.25">
      <c r="A3051" t="str">
        <f>"20190312160351873"</f>
        <v>20190312160351873</v>
      </c>
      <c r="B3051" t="str">
        <f>"1552377831867151"</f>
        <v>1552377831867151</v>
      </c>
      <c r="C3051" t="s">
        <v>40</v>
      </c>
      <c r="D3051">
        <v>5.4861250000000004</v>
      </c>
      <c r="E3051">
        <v>0.4004472</v>
      </c>
      <c r="F3051" t="s">
        <v>41</v>
      </c>
      <c r="G3051">
        <v>-488.51670000000001</v>
      </c>
      <c r="H3051" s="1">
        <v>-1.420678E-6</v>
      </c>
      <c r="I3051">
        <v>242.33109999999999</v>
      </c>
      <c r="J3051">
        <v>-496.23849999999999</v>
      </c>
      <c r="K3051">
        <v>1.1130230000000001</v>
      </c>
      <c r="L3051">
        <v>260.80349999999999</v>
      </c>
      <c r="M3051">
        <v>0.11062950000000001</v>
      </c>
      <c r="N3051">
        <v>0</v>
      </c>
      <c r="O3051">
        <v>-0.99378140000000004</v>
      </c>
      <c r="P3051">
        <v>0.1320605</v>
      </c>
      <c r="Q3051">
        <v>-6.004433E-3</v>
      </c>
      <c r="R3051">
        <v>-0.99122359999999998</v>
      </c>
      <c r="S3051">
        <v>1.1917420000000001</v>
      </c>
      <c r="T3051">
        <v>-0.17127290000000001</v>
      </c>
      <c r="U3051">
        <v>-2.870117</v>
      </c>
      <c r="V3051">
        <v>-2.163083E-2</v>
      </c>
      <c r="W3051">
        <v>6.4647380000000003E-3</v>
      </c>
      <c r="X3051">
        <v>0.99974510000000005</v>
      </c>
      <c r="Y3051">
        <v>-0.27835300000000002</v>
      </c>
      <c r="Z3051">
        <v>5.5556710000000002E-2</v>
      </c>
      <c r="AA3051">
        <v>0.95887069999999996</v>
      </c>
      <c r="AB3051">
        <v>24</v>
      </c>
      <c r="AC3051">
        <v>7.7217999999999698</v>
      </c>
      <c r="AD3051">
        <v>-1.11302442067799</v>
      </c>
      <c r="AE3051">
        <v>-18.4724</v>
      </c>
      <c r="AF3051">
        <v>-5.6132907259978397</v>
      </c>
      <c r="AG3051">
        <v>-1.11302442067799</v>
      </c>
      <c r="AH3051">
        <v>19.154125297465299</v>
      </c>
      <c r="AI3051">
        <v>93.191712799316306</v>
      </c>
      <c r="AJ3051">
        <v>106.333702930375</v>
      </c>
      <c r="AK3051">
        <v>19.9907071422348</v>
      </c>
      <c r="AL3051">
        <v>89.629595207721295</v>
      </c>
      <c r="AM3051">
        <v>91.239477869858504</v>
      </c>
      <c r="AN3051">
        <v>0.99999997530895302</v>
      </c>
    </row>
    <row r="3052" spans="1:40" x14ac:dyDescent="0.25">
      <c r="A3052" t="str">
        <f>"20190312160351886"</f>
        <v>20190312160351886</v>
      </c>
      <c r="B3052" t="str">
        <f>"1552377831877887"</f>
        <v>1552377831877887</v>
      </c>
      <c r="C3052" t="s">
        <v>40</v>
      </c>
      <c r="D3052">
        <v>5.5142369999999996</v>
      </c>
      <c r="E3052">
        <v>0.40079189999999998</v>
      </c>
      <c r="F3052" t="s">
        <v>41</v>
      </c>
      <c r="G3052">
        <v>-488.59089999999998</v>
      </c>
      <c r="H3052" s="1">
        <v>-1.47252E-6</v>
      </c>
      <c r="I3052">
        <v>242.48259999999999</v>
      </c>
      <c r="J3052">
        <v>-496.21929999999998</v>
      </c>
      <c r="K3052">
        <v>1.1129009999999999</v>
      </c>
      <c r="L3052">
        <v>260.65929999999997</v>
      </c>
      <c r="M3052">
        <v>0.11341859999999999</v>
      </c>
      <c r="N3052">
        <v>0</v>
      </c>
      <c r="O3052">
        <v>-0.99346730000000005</v>
      </c>
      <c r="P3052">
        <v>0.13442000000000001</v>
      </c>
      <c r="Q3052">
        <v>-6.8034519999999998E-3</v>
      </c>
      <c r="R3052">
        <v>-0.99090109999999998</v>
      </c>
      <c r="S3052">
        <v>1.1963809999999999</v>
      </c>
      <c r="T3052">
        <v>-0.17412159999999999</v>
      </c>
      <c r="U3052">
        <v>-2.8661189999999999</v>
      </c>
      <c r="V3052">
        <v>-2.1198080000000001E-2</v>
      </c>
      <c r="W3052">
        <v>5.6565139999999996E-3</v>
      </c>
      <c r="X3052">
        <v>0.99975930000000002</v>
      </c>
      <c r="Y3052">
        <v>-0.27743250000000003</v>
      </c>
      <c r="Z3052">
        <v>5.6514019999999998E-2</v>
      </c>
      <c r="AA3052">
        <v>0.95908150000000003</v>
      </c>
      <c r="AB3052">
        <v>24</v>
      </c>
      <c r="AC3052">
        <v>7.6283999999999903</v>
      </c>
      <c r="AD3052">
        <v>-1.1129024725200001</v>
      </c>
      <c r="AE3052">
        <v>-18.176699999999901</v>
      </c>
      <c r="AF3052">
        <v>-5.4998985437721499</v>
      </c>
      <c r="AG3052">
        <v>-1.1129024725200001</v>
      </c>
      <c r="AH3052">
        <v>18.864535895590599</v>
      </c>
      <c r="AI3052">
        <v>93.241567729659593</v>
      </c>
      <c r="AJ3052">
        <v>106.253884803365</v>
      </c>
      <c r="AK3052">
        <v>19.681416373349599</v>
      </c>
      <c r="AL3052">
        <v>89.675903894778202</v>
      </c>
      <c r="AM3052">
        <v>91.214670926140698</v>
      </c>
      <c r="AN3052">
        <v>1.0000000063414001</v>
      </c>
    </row>
    <row r="3053" spans="1:40" x14ac:dyDescent="0.25">
      <c r="A3053" t="str">
        <f>"20190312160351901"</f>
        <v>20190312160351901</v>
      </c>
      <c r="B3053" t="str">
        <f>"1552377831887647"</f>
        <v>1552377831887647</v>
      </c>
      <c r="C3053" t="s">
        <v>40</v>
      </c>
      <c r="D3053">
        <v>5.5027379999999999</v>
      </c>
      <c r="E3053">
        <v>0.40116239999999997</v>
      </c>
      <c r="F3053" t="s">
        <v>41</v>
      </c>
      <c r="G3053">
        <v>-488.6551</v>
      </c>
      <c r="H3053" s="1">
        <v>-1.518455E-6</v>
      </c>
      <c r="I3053">
        <v>242.61619999999999</v>
      </c>
      <c r="J3053">
        <v>-496.19920000000002</v>
      </c>
      <c r="K3053">
        <v>1.1127849999999999</v>
      </c>
      <c r="L3053">
        <v>260.51229999999998</v>
      </c>
      <c r="M3053">
        <v>0.116116</v>
      </c>
      <c r="N3053">
        <v>0</v>
      </c>
      <c r="O3053">
        <v>-0.99315569999999997</v>
      </c>
      <c r="P3053">
        <v>0.13653860000000001</v>
      </c>
      <c r="Q3053">
        <v>-7.2981109999999899E-3</v>
      </c>
      <c r="R3053">
        <v>-0.99060789999999999</v>
      </c>
      <c r="S3053">
        <v>1.2004699999999999</v>
      </c>
      <c r="T3053">
        <v>-0.1766211</v>
      </c>
      <c r="U3053">
        <v>-2.8634949999999999</v>
      </c>
      <c r="V3053">
        <v>-2.061605E-2</v>
      </c>
      <c r="W3053">
        <v>5.1539350000000001E-3</v>
      </c>
      <c r="X3053">
        <v>0.99977419999999995</v>
      </c>
      <c r="Y3053">
        <v>-0.27628340000000001</v>
      </c>
      <c r="Z3053">
        <v>5.7338239999999999E-2</v>
      </c>
      <c r="AA3053">
        <v>0.9593642</v>
      </c>
      <c r="AB3053">
        <v>24</v>
      </c>
      <c r="AC3053">
        <v>7.54410000000001</v>
      </c>
      <c r="AD3053">
        <v>-1.1127865184550001</v>
      </c>
      <c r="AE3053">
        <v>-17.896099999999901</v>
      </c>
      <c r="AF3053">
        <v>-5.3971535632411198</v>
      </c>
      <c r="AG3053">
        <v>-1.1127865184550001</v>
      </c>
      <c r="AH3053">
        <v>18.590054560032399</v>
      </c>
      <c r="AI3053">
        <v>93.290059082482202</v>
      </c>
      <c r="AJ3053">
        <v>106.189322653838</v>
      </c>
      <c r="AK3053">
        <v>19.389628386481402</v>
      </c>
      <c r="AL3053">
        <v>89.704699974509495</v>
      </c>
      <c r="AM3053">
        <v>91.181312015653702</v>
      </c>
      <c r="AN3053">
        <v>1.00000001777461</v>
      </c>
    </row>
    <row r="3054" spans="1:40" x14ac:dyDescent="0.25">
      <c r="A3054" t="str">
        <f>"20190312160351919"</f>
        <v>20190312160351919</v>
      </c>
      <c r="B3054" t="str">
        <f>"1552377831907167"</f>
        <v>1552377831907167</v>
      </c>
      <c r="C3054" t="s">
        <v>40</v>
      </c>
      <c r="D3054">
        <v>5.5126939999999998</v>
      </c>
      <c r="E3054">
        <v>0.40795700000000001</v>
      </c>
      <c r="F3054" t="s">
        <v>41</v>
      </c>
      <c r="G3054">
        <v>-488.6927</v>
      </c>
      <c r="H3054" s="1">
        <v>-1.533967E-6</v>
      </c>
      <c r="I3054">
        <v>242.6679</v>
      </c>
      <c r="J3054">
        <v>-496.17230000000001</v>
      </c>
      <c r="K3054">
        <v>1.11263</v>
      </c>
      <c r="L3054">
        <v>260.31689999999998</v>
      </c>
      <c r="M3054">
        <v>0.11955689999999999</v>
      </c>
      <c r="N3054">
        <v>0</v>
      </c>
      <c r="O3054">
        <v>-0.99274790000000002</v>
      </c>
      <c r="P3054">
        <v>0.1385517</v>
      </c>
      <c r="Q3054">
        <v>-7.9600769999999994E-3</v>
      </c>
      <c r="R3054">
        <v>-0.99032359999999997</v>
      </c>
      <c r="S3054">
        <v>1.2036439999999999</v>
      </c>
      <c r="T3054">
        <v>-0.1784308</v>
      </c>
      <c r="U3054">
        <v>-2.8612669999999998</v>
      </c>
      <c r="V3054">
        <v>-1.9177799999999998E-2</v>
      </c>
      <c r="W3054">
        <v>4.4858939999999998E-3</v>
      </c>
      <c r="X3054">
        <v>0.99980599999999997</v>
      </c>
      <c r="Y3054">
        <v>-0.27411029999999997</v>
      </c>
      <c r="Z3054">
        <v>5.7935720000000003E-2</v>
      </c>
      <c r="AA3054">
        <v>0.95995160000000002</v>
      </c>
      <c r="AB3054">
        <v>24</v>
      </c>
      <c r="AC3054">
        <v>7.4795999999999996</v>
      </c>
      <c r="AD3054">
        <v>-1.1126315339669901</v>
      </c>
      <c r="AE3054">
        <v>-17.648999999999901</v>
      </c>
      <c r="AF3054">
        <v>-5.2978672208496</v>
      </c>
      <c r="AG3054">
        <v>-1.1126315339669901</v>
      </c>
      <c r="AH3054">
        <v>18.354857093171599</v>
      </c>
      <c r="AI3054">
        <v>93.333160184712995</v>
      </c>
      <c r="AJ3054">
        <v>106.100028659914</v>
      </c>
      <c r="AK3054">
        <v>19.136512872801099</v>
      </c>
      <c r="AL3054">
        <v>89.742976337859204</v>
      </c>
      <c r="AM3054">
        <v>91.098885452235507</v>
      </c>
      <c r="AN3054">
        <v>0.99999997444690902</v>
      </c>
    </row>
    <row r="3055" spans="1:40" x14ac:dyDescent="0.25">
      <c r="A3055" t="str">
        <f>"20190312160351933"</f>
        <v>20190312160351933</v>
      </c>
      <c r="B3055" t="str">
        <f>"1552377831927663"</f>
        <v>1552377831927663</v>
      </c>
      <c r="C3055" t="s">
        <v>40</v>
      </c>
      <c r="D3055">
        <v>5.4985920000000004</v>
      </c>
      <c r="E3055">
        <v>0.40751019999999999</v>
      </c>
      <c r="F3055" t="s">
        <v>41</v>
      </c>
      <c r="G3055">
        <v>-490.12150000000003</v>
      </c>
      <c r="H3055" s="1">
        <v>-2.4998720000000001E-6</v>
      </c>
      <c r="I3055">
        <v>245.34100000000001</v>
      </c>
      <c r="J3055">
        <v>-496.15170000000001</v>
      </c>
      <c r="K3055">
        <v>1.11252</v>
      </c>
      <c r="L3055">
        <v>260.16919999999999</v>
      </c>
      <c r="M3055">
        <v>0.12203650000000001</v>
      </c>
      <c r="N3055">
        <v>0</v>
      </c>
      <c r="O3055">
        <v>-0.99244619999999995</v>
      </c>
      <c r="P3055">
        <v>0.14020769999999999</v>
      </c>
      <c r="Q3055">
        <v>-7.8300179999999994E-3</v>
      </c>
      <c r="R3055">
        <v>-0.99009130000000001</v>
      </c>
      <c r="S3055">
        <v>1.157837</v>
      </c>
      <c r="T3055">
        <v>-0.2129046</v>
      </c>
      <c r="U3055">
        <v>-2.8656619999999999</v>
      </c>
      <c r="V3055">
        <v>-1.8351590000000001E-2</v>
      </c>
      <c r="W3055">
        <v>4.6098709999999998E-3</v>
      </c>
      <c r="X3055">
        <v>0.99982090000000001</v>
      </c>
      <c r="Y3055">
        <v>-0.25775419999999999</v>
      </c>
      <c r="Z3055">
        <v>6.9310490000000002E-2</v>
      </c>
      <c r="AA3055">
        <v>0.9637213</v>
      </c>
      <c r="AB3055">
        <v>24</v>
      </c>
      <c r="AC3055">
        <v>6.0301999999999696</v>
      </c>
      <c r="AD3055">
        <v>-1.112522499872</v>
      </c>
      <c r="AE3055">
        <v>-14.828200000000001</v>
      </c>
      <c r="AF3055">
        <v>-4.15532514791862</v>
      </c>
      <c r="AG3055">
        <v>-1.112522499872</v>
      </c>
      <c r="AH3055">
        <v>15.379028193329701</v>
      </c>
      <c r="AI3055">
        <v>93.994819331799206</v>
      </c>
      <c r="AJ3055">
        <v>105.119948647513</v>
      </c>
      <c r="AK3055">
        <v>15.9693124951851</v>
      </c>
      <c r="AL3055">
        <v>89.735872894122906</v>
      </c>
      <c r="AM3055">
        <v>91.051538928376004</v>
      </c>
      <c r="AN3055">
        <v>0.99999993192148495</v>
      </c>
    </row>
    <row r="3056" spans="1:40" x14ac:dyDescent="0.25">
      <c r="A3056" t="str">
        <f>"20190312160351946"</f>
        <v>20190312160351946</v>
      </c>
      <c r="B3056" t="str">
        <f>"1552377831937423"</f>
        <v>1552377831937423</v>
      </c>
      <c r="C3056" t="s">
        <v>40</v>
      </c>
      <c r="D3056">
        <v>5.5108110000000003</v>
      </c>
      <c r="E3056">
        <v>0.40799679999999999</v>
      </c>
      <c r="F3056" t="s">
        <v>41</v>
      </c>
      <c r="G3056">
        <v>-489.6354</v>
      </c>
      <c r="H3056" s="1">
        <v>-2.0057900000000001E-6</v>
      </c>
      <c r="I3056">
        <v>244.1576</v>
      </c>
      <c r="J3056">
        <v>-496.13229999999999</v>
      </c>
      <c r="K3056">
        <v>1.112422</v>
      </c>
      <c r="L3056">
        <v>260.0324</v>
      </c>
      <c r="M3056">
        <v>0.12425600000000001</v>
      </c>
      <c r="N3056">
        <v>0</v>
      </c>
      <c r="O3056">
        <v>-0.99217100000000003</v>
      </c>
      <c r="P3056">
        <v>0.14185710000000001</v>
      </c>
      <c r="Q3056">
        <v>-7.344387E-3</v>
      </c>
      <c r="R3056">
        <v>-0.98986019999999997</v>
      </c>
      <c r="S3056">
        <v>1.1653439999999999</v>
      </c>
      <c r="T3056">
        <v>-0.1989592</v>
      </c>
      <c r="U3056">
        <v>-2.863464</v>
      </c>
      <c r="V3056">
        <v>-1.77822999999999E-2</v>
      </c>
      <c r="W3056">
        <v>5.0895630000000001E-3</v>
      </c>
      <c r="X3056">
        <v>0.99982890000000002</v>
      </c>
      <c r="Y3056">
        <v>-0.258135</v>
      </c>
      <c r="Z3056">
        <v>6.4775949999999999E-2</v>
      </c>
      <c r="AA3056">
        <v>0.96393479999999998</v>
      </c>
      <c r="AB3056">
        <v>24</v>
      </c>
      <c r="AC3056">
        <v>6.4968999999999797</v>
      </c>
      <c r="AD3056">
        <v>-1.1124240057899999</v>
      </c>
      <c r="AE3056">
        <v>-15.874799999999899</v>
      </c>
      <c r="AF3056">
        <v>-4.4551099502022904</v>
      </c>
      <c r="AG3056">
        <v>-1.1124240057899999</v>
      </c>
      <c r="AH3056">
        <v>16.489740239771699</v>
      </c>
      <c r="AI3056">
        <v>93.726212037426706</v>
      </c>
      <c r="AJ3056">
        <v>105.11890199088501</v>
      </c>
      <c r="AK3056">
        <v>17.1171558680815</v>
      </c>
      <c r="AL3056">
        <v>89.708388253263095</v>
      </c>
      <c r="AM3056">
        <v>91.018917670144702</v>
      </c>
      <c r="AN3056">
        <v>0.99999997156001497</v>
      </c>
    </row>
    <row r="3057" spans="1:40" x14ac:dyDescent="0.25">
      <c r="A3057" t="str">
        <f>"20190312160351963"</f>
        <v>20190312160351963</v>
      </c>
      <c r="B3057" t="str">
        <f>"1552377831957920"</f>
        <v>1552377831957920</v>
      </c>
      <c r="C3057" t="s">
        <v>40</v>
      </c>
      <c r="D3057">
        <v>5.5033050000000001</v>
      </c>
      <c r="E3057">
        <v>0.40841280000000002</v>
      </c>
      <c r="F3057" t="s">
        <v>41</v>
      </c>
      <c r="G3057">
        <v>-489.48070000000001</v>
      </c>
      <c r="H3057" s="1">
        <v>-1.837562E-6</v>
      </c>
      <c r="I3057">
        <v>243.70150000000001</v>
      </c>
      <c r="J3057">
        <v>-496.1069</v>
      </c>
      <c r="K3057">
        <v>1.1123000000000001</v>
      </c>
      <c r="L3057">
        <v>259.85559999999998</v>
      </c>
      <c r="M3057">
        <v>0.1269718</v>
      </c>
      <c r="N3057">
        <v>0</v>
      </c>
      <c r="O3057">
        <v>-0.99182740000000003</v>
      </c>
      <c r="P3057">
        <v>0.14292579999999999</v>
      </c>
      <c r="Q3057">
        <v>-6.9334940000000001E-3</v>
      </c>
      <c r="R3057">
        <v>-0.98970919999999896</v>
      </c>
      <c r="S3057">
        <v>1.1657709999999999</v>
      </c>
      <c r="T3057">
        <v>-0.19496720000000001</v>
      </c>
      <c r="U3057">
        <v>-2.8622130000000001</v>
      </c>
      <c r="V3057">
        <v>-1.612504E-2</v>
      </c>
      <c r="W3057">
        <v>5.4967769999999996E-3</v>
      </c>
      <c r="X3057">
        <v>0.99985489999999999</v>
      </c>
      <c r="Y3057">
        <v>-0.2557914</v>
      </c>
      <c r="Z3057">
        <v>6.3492779999999999E-2</v>
      </c>
      <c r="AA3057">
        <v>0.96464470000000002</v>
      </c>
      <c r="AB3057">
        <v>24</v>
      </c>
      <c r="AC3057">
        <v>6.6261999999999803</v>
      </c>
      <c r="AD3057">
        <v>-1.112301837562</v>
      </c>
      <c r="AE3057">
        <v>-16.1540999999999</v>
      </c>
      <c r="AF3057">
        <v>-4.5030110161567096</v>
      </c>
      <c r="AG3057">
        <v>-1.112301837562</v>
      </c>
      <c r="AH3057">
        <v>16.796574535108601</v>
      </c>
      <c r="AI3057">
        <v>93.659836736050906</v>
      </c>
      <c r="AJ3057">
        <v>105.007582194458</v>
      </c>
      <c r="AK3057">
        <v>17.425247192017999</v>
      </c>
      <c r="AL3057">
        <v>89.685056299252494</v>
      </c>
      <c r="AM3057">
        <v>90.923950714723006</v>
      </c>
      <c r="AN3057">
        <v>1.0000000262631901</v>
      </c>
    </row>
    <row r="3058" spans="1:40" x14ac:dyDescent="0.25">
      <c r="A3058" t="str">
        <f>"20190312160351975"</f>
        <v>20190312160351975</v>
      </c>
      <c r="B3058" t="str">
        <f>"1552377831967678"</f>
        <v>1552377831967678</v>
      </c>
      <c r="C3058" t="s">
        <v>40</v>
      </c>
      <c r="D3058">
        <v>5.5028129999999997</v>
      </c>
      <c r="E3058">
        <v>0.40860550000000001</v>
      </c>
      <c r="F3058" t="s">
        <v>41</v>
      </c>
      <c r="G3058">
        <v>-489.3152</v>
      </c>
      <c r="H3058" s="1">
        <v>-1.6420469999999999E-6</v>
      </c>
      <c r="I3058">
        <v>243.1772</v>
      </c>
      <c r="J3058">
        <v>-496.08730000000003</v>
      </c>
      <c r="K3058">
        <v>1.112217</v>
      </c>
      <c r="L3058">
        <v>259.72070000000002</v>
      </c>
      <c r="M3058">
        <v>0.12895680000000001</v>
      </c>
      <c r="N3058">
        <v>0</v>
      </c>
      <c r="O3058">
        <v>-0.99157139999999999</v>
      </c>
      <c r="P3058">
        <v>0.14403379999999999</v>
      </c>
      <c r="Q3058">
        <v>-7.2224359999999996E-3</v>
      </c>
      <c r="R3058">
        <v>-0.98954660000000005</v>
      </c>
      <c r="S3058">
        <v>1.1652830000000001</v>
      </c>
      <c r="T3058">
        <v>-0.1908426</v>
      </c>
      <c r="U3058">
        <v>-2.8615719999999998</v>
      </c>
      <c r="V3058">
        <v>-1.524065E-2</v>
      </c>
      <c r="W3058">
        <v>5.2035270000000003E-3</v>
      </c>
      <c r="X3058">
        <v>0.99987029999999999</v>
      </c>
      <c r="Y3058">
        <v>-0.25382199999999999</v>
      </c>
      <c r="Z3058">
        <v>6.2162149999999999E-2</v>
      </c>
      <c r="AA3058">
        <v>0.96525139999999998</v>
      </c>
      <c r="AB3058">
        <v>24</v>
      </c>
      <c r="AC3058">
        <v>6.7721000000000204</v>
      </c>
      <c r="AD3058">
        <v>-1.1122186420469999</v>
      </c>
      <c r="AE3058">
        <v>-16.543500000000002</v>
      </c>
      <c r="AF3058">
        <v>-4.5643126875768596</v>
      </c>
      <c r="AG3058">
        <v>-1.1122186420469999</v>
      </c>
      <c r="AH3058">
        <v>17.2120891304921</v>
      </c>
      <c r="AI3058">
        <v>93.574031982981893</v>
      </c>
      <c r="AJ3058">
        <v>104.85189701944201</v>
      </c>
      <c r="AK3058">
        <v>17.841692544534499</v>
      </c>
      <c r="AL3058">
        <v>89.701858514525796</v>
      </c>
      <c r="AM3058">
        <v>90.8732705669712</v>
      </c>
      <c r="AN3058">
        <v>0.99999998546387603</v>
      </c>
    </row>
    <row r="3059" spans="1:40" x14ac:dyDescent="0.25">
      <c r="A3059" t="str">
        <f>"20190312160351990"</f>
        <v>20190312160351990</v>
      </c>
      <c r="B3059" t="str">
        <f>"1552377831977439"</f>
        <v>1552377831977439</v>
      </c>
      <c r="C3059" t="s">
        <v>40</v>
      </c>
      <c r="D3059">
        <v>5.510904</v>
      </c>
      <c r="E3059">
        <v>0.40876810000000002</v>
      </c>
      <c r="F3059" t="s">
        <v>41</v>
      </c>
      <c r="G3059">
        <v>-489.23790000000002</v>
      </c>
      <c r="H3059" s="1">
        <v>-1.5520440000000001E-6</v>
      </c>
      <c r="I3059">
        <v>242.93549999999999</v>
      </c>
      <c r="J3059">
        <v>-496.06650000000002</v>
      </c>
      <c r="K3059">
        <v>1.1121289999999999</v>
      </c>
      <c r="L3059">
        <v>259.57889999999998</v>
      </c>
      <c r="M3059">
        <v>0.1309862</v>
      </c>
      <c r="N3059">
        <v>0</v>
      </c>
      <c r="O3059">
        <v>-0.99130560000000001</v>
      </c>
      <c r="P3059">
        <v>0.14486940000000001</v>
      </c>
      <c r="Q3059">
        <v>-7.2864610000000002E-3</v>
      </c>
      <c r="R3059">
        <v>-0.98942430000000003</v>
      </c>
      <c r="S3059">
        <v>1.1672359999999999</v>
      </c>
      <c r="T3059">
        <v>-0.18953819999999999</v>
      </c>
      <c r="U3059">
        <v>-2.8604430000000001</v>
      </c>
      <c r="V3059">
        <v>-1.403679E-2</v>
      </c>
      <c r="W3059">
        <v>5.1362919999999998E-3</v>
      </c>
      <c r="X3059">
        <v>0.99988829999999995</v>
      </c>
      <c r="Y3059">
        <v>-0.25255040000000001</v>
      </c>
      <c r="Z3059">
        <v>6.173944E-2</v>
      </c>
      <c r="AA3059">
        <v>0.96561200000000003</v>
      </c>
      <c r="AB3059">
        <v>24</v>
      </c>
      <c r="AC3059">
        <v>6.82859999999999</v>
      </c>
      <c r="AD3059">
        <v>-1.1121305520439999</v>
      </c>
      <c r="AE3059">
        <v>-16.6433999999999</v>
      </c>
      <c r="AF3059">
        <v>-4.5720581439166201</v>
      </c>
      <c r="AG3059">
        <v>-1.1121305520439999</v>
      </c>
      <c r="AH3059">
        <v>17.328279364206701</v>
      </c>
      <c r="AI3059">
        <v>93.551013656566496</v>
      </c>
      <c r="AJ3059">
        <v>104.780617052773</v>
      </c>
      <c r="AK3059">
        <v>17.9557738836324</v>
      </c>
      <c r="AL3059">
        <v>89.705710855823099</v>
      </c>
      <c r="AM3059">
        <v>90.804285837306594</v>
      </c>
      <c r="AN3059">
        <v>1.00000001272295</v>
      </c>
    </row>
    <row r="3060" spans="1:40" x14ac:dyDescent="0.25">
      <c r="A3060" t="str">
        <f>"20190312160352003"</f>
        <v>20190312160352003</v>
      </c>
      <c r="B3060" t="str">
        <f>"1552377831997935"</f>
        <v>1552377831997935</v>
      </c>
      <c r="C3060" t="s">
        <v>40</v>
      </c>
      <c r="D3060">
        <v>5.5014510000000003</v>
      </c>
      <c r="E3060">
        <v>0.40903929999999999</v>
      </c>
      <c r="F3060" t="s">
        <v>41</v>
      </c>
      <c r="G3060">
        <v>-489.18860000000001</v>
      </c>
      <c r="H3060" s="1">
        <v>-1.47585E-6</v>
      </c>
      <c r="I3060">
        <v>242.73750000000001</v>
      </c>
      <c r="J3060">
        <v>-496.04360000000003</v>
      </c>
      <c r="K3060">
        <v>1.112039</v>
      </c>
      <c r="L3060">
        <v>259.42500000000001</v>
      </c>
      <c r="M3060">
        <v>0.13308490000000001</v>
      </c>
      <c r="N3060">
        <v>0</v>
      </c>
      <c r="O3060">
        <v>-0.99102599999999996</v>
      </c>
      <c r="P3060">
        <v>0.14589639999999901</v>
      </c>
      <c r="Q3060">
        <v>-7.3214400000000002E-3</v>
      </c>
      <c r="R3060">
        <v>-0.98927279999999995</v>
      </c>
      <c r="S3060">
        <v>1.1678470000000001</v>
      </c>
      <c r="T3060">
        <v>-0.18883639999999999</v>
      </c>
      <c r="U3060">
        <v>-2.8596189999999999</v>
      </c>
      <c r="V3060">
        <v>-1.295639E-2</v>
      </c>
      <c r="W3060">
        <v>5.0962389999999998E-3</v>
      </c>
      <c r="X3060">
        <v>0.99990310000000004</v>
      </c>
      <c r="Y3060">
        <v>-0.25078060000000002</v>
      </c>
      <c r="Z3060">
        <v>6.151409E-2</v>
      </c>
      <c r="AA3060">
        <v>0.96608749999999999</v>
      </c>
      <c r="AB3060">
        <v>24</v>
      </c>
      <c r="AC3060">
        <v>6.8550000000000102</v>
      </c>
      <c r="AD3060">
        <v>-1.11204047585</v>
      </c>
      <c r="AE3060">
        <v>-16.6875</v>
      </c>
      <c r="AF3060">
        <v>-4.5556756100368103</v>
      </c>
      <c r="AG3060">
        <v>-1.11204047585</v>
      </c>
      <c r="AH3060">
        <v>17.385346071902902</v>
      </c>
      <c r="AI3060">
        <v>93.540671721751195</v>
      </c>
      <c r="AJ3060">
        <v>104.68370429458299</v>
      </c>
      <c r="AK3060">
        <v>18.006695208273001</v>
      </c>
      <c r="AL3060">
        <v>89.708005757137997</v>
      </c>
      <c r="AM3060">
        <v>90.742376858427505</v>
      </c>
      <c r="AN3060">
        <v>1.00000002454169</v>
      </c>
    </row>
    <row r="3061" spans="1:40" x14ac:dyDescent="0.25">
      <c r="A3061" t="str">
        <f>"20190312160352018"</f>
        <v>20190312160352018</v>
      </c>
      <c r="B3061" t="str">
        <f>"1552377832007694"</f>
        <v>1552377832007694</v>
      </c>
      <c r="C3061" t="s">
        <v>40</v>
      </c>
      <c r="D3061">
        <v>5.503717</v>
      </c>
      <c r="E3061">
        <v>0.40919220000000001</v>
      </c>
      <c r="F3061" t="s">
        <v>41</v>
      </c>
      <c r="G3061">
        <v>-489.14269999999999</v>
      </c>
      <c r="H3061" s="1">
        <v>-1.403425E-6</v>
      </c>
      <c r="I3061">
        <v>242.5497</v>
      </c>
      <c r="J3061">
        <v>-496.02069999999998</v>
      </c>
      <c r="K3061">
        <v>1.111953</v>
      </c>
      <c r="L3061">
        <v>259.27190000000002</v>
      </c>
      <c r="M3061">
        <v>0.13509560000000001</v>
      </c>
      <c r="N3061">
        <v>0</v>
      </c>
      <c r="O3061">
        <v>-0.99075400000000002</v>
      </c>
      <c r="P3061">
        <v>0.14588509999999999</v>
      </c>
      <c r="Q3061">
        <v>-7.513601E-3</v>
      </c>
      <c r="R3061">
        <v>-0.98927299999999996</v>
      </c>
      <c r="S3061">
        <v>1.1690370000000001</v>
      </c>
      <c r="T3061">
        <v>-0.1883832</v>
      </c>
      <c r="U3061">
        <v>-2.8587340000000001</v>
      </c>
      <c r="V3061">
        <v>-1.091428E-2</v>
      </c>
      <c r="W3061">
        <v>4.9045520000000004E-3</v>
      </c>
      <c r="X3061">
        <v>0.99992840000000005</v>
      </c>
      <c r="Y3061">
        <v>-0.24926899999999999</v>
      </c>
      <c r="Z3061">
        <v>6.1366860000000002E-2</v>
      </c>
      <c r="AA3061">
        <v>0.96648800000000001</v>
      </c>
      <c r="AB3061">
        <v>24</v>
      </c>
      <c r="AC3061">
        <v>6.8779999999999797</v>
      </c>
      <c r="AD3061">
        <v>-1.111954403425</v>
      </c>
      <c r="AE3061">
        <v>-16.722200000000001</v>
      </c>
      <c r="AF3061">
        <v>-4.5385009668671401</v>
      </c>
      <c r="AG3061">
        <v>-1.111954403425</v>
      </c>
      <c r="AH3061">
        <v>17.4322097979781</v>
      </c>
      <c r="AI3061">
        <v>93.532360088232295</v>
      </c>
      <c r="AJ3061">
        <v>104.593075740915</v>
      </c>
      <c r="AK3061">
        <v>18.047614026853299</v>
      </c>
      <c r="AL3061">
        <v>89.718988740753801</v>
      </c>
      <c r="AM3061">
        <v>90.625362124003203</v>
      </c>
      <c r="AN3061">
        <v>0.99999999063239897</v>
      </c>
    </row>
    <row r="3062" spans="1:40" x14ac:dyDescent="0.25">
      <c r="A3062" t="str">
        <f>"20190312160352030"</f>
        <v>20190312160352030</v>
      </c>
      <c r="B3062" t="str">
        <f>"1552377832017455"</f>
        <v>1552377832017455</v>
      </c>
      <c r="C3062" t="s">
        <v>40</v>
      </c>
      <c r="D3062">
        <v>5.5400369999999999</v>
      </c>
      <c r="E3062">
        <v>0.40938180000000002</v>
      </c>
      <c r="F3062" t="s">
        <v>41</v>
      </c>
      <c r="G3062">
        <v>-489.1592</v>
      </c>
      <c r="H3062" s="1">
        <v>-1.3639660000000001E-6</v>
      </c>
      <c r="I3062">
        <v>242.46459999999999</v>
      </c>
      <c r="J3062">
        <v>-496.00200000000001</v>
      </c>
      <c r="K3062">
        <v>1.1118939999999999</v>
      </c>
      <c r="L3062">
        <v>259.14789999999999</v>
      </c>
      <c r="M3062">
        <v>0.1366841</v>
      </c>
      <c r="N3062">
        <v>0</v>
      </c>
      <c r="O3062">
        <v>-0.99053650000000004</v>
      </c>
      <c r="P3062">
        <v>0.14663180000000001</v>
      </c>
      <c r="Q3062">
        <v>-7.4775500000000003E-3</v>
      </c>
      <c r="R3062">
        <v>-0.98916320000000002</v>
      </c>
      <c r="S3062">
        <v>1.1671450000000001</v>
      </c>
      <c r="T3062">
        <v>-0.18914529999999999</v>
      </c>
      <c r="U3062">
        <v>-2.8589479999999998</v>
      </c>
      <c r="V3062">
        <v>-1.006509E-2</v>
      </c>
      <c r="W3062">
        <v>4.9364999999999999E-3</v>
      </c>
      <c r="X3062">
        <v>0.99993719999999997</v>
      </c>
      <c r="Y3062">
        <v>-0.24713640000000001</v>
      </c>
      <c r="Z3062">
        <v>6.1614170000000003E-2</v>
      </c>
      <c r="AA3062">
        <v>0.96701979999999998</v>
      </c>
      <c r="AB3062">
        <v>24</v>
      </c>
      <c r="AC3062">
        <v>6.8427999999999498</v>
      </c>
      <c r="AD3062">
        <v>-1.1118953639659901</v>
      </c>
      <c r="AE3062">
        <v>-16.683299999999999</v>
      </c>
      <c r="AF3062">
        <v>-4.4810119760819802</v>
      </c>
      <c r="AG3062">
        <v>-1.1118953639659901</v>
      </c>
      <c r="AH3062">
        <v>17.3959291436841</v>
      </c>
      <c r="AI3062">
        <v>93.541888099104099</v>
      </c>
      <c r="AJ3062">
        <v>104.444784265205</v>
      </c>
      <c r="AK3062">
        <v>17.998170195947001</v>
      </c>
      <c r="AL3062">
        <v>89.717158246836505</v>
      </c>
      <c r="AM3062">
        <v>90.576703919199005</v>
      </c>
      <c r="AN3062">
        <v>1.0000000395063899</v>
      </c>
    </row>
    <row r="3063" spans="1:40" x14ac:dyDescent="0.25">
      <c r="A3063" t="str">
        <f>"20190312160352042"</f>
        <v>20190312160352042</v>
      </c>
      <c r="B3063" t="str">
        <f>"1552377832037951"</f>
        <v>1552377832037951</v>
      </c>
      <c r="C3063" t="s">
        <v>40</v>
      </c>
      <c r="D3063">
        <v>5.531771</v>
      </c>
      <c r="E3063">
        <v>0.40979759999999998</v>
      </c>
      <c r="F3063" t="s">
        <v>41</v>
      </c>
      <c r="G3063">
        <v>-489.13920000000002</v>
      </c>
      <c r="H3063" s="1">
        <v>-1.3199540000000001E-6</v>
      </c>
      <c r="I3063">
        <v>242.3537</v>
      </c>
      <c r="J3063">
        <v>-495.9819</v>
      </c>
      <c r="K3063">
        <v>1.1118399999999999</v>
      </c>
      <c r="L3063">
        <v>259.01639999999998</v>
      </c>
      <c r="M3063">
        <v>0.13830719999999999</v>
      </c>
      <c r="N3063">
        <v>0</v>
      </c>
      <c r="O3063">
        <v>-0.9903111</v>
      </c>
      <c r="P3063">
        <v>0.14796519999999999</v>
      </c>
      <c r="Q3063">
        <v>-7.4826889999999998E-3</v>
      </c>
      <c r="R3063">
        <v>-0.98896430000000002</v>
      </c>
      <c r="S3063">
        <v>1.1680299999999999</v>
      </c>
      <c r="T3063">
        <v>-0.18924160000000001</v>
      </c>
      <c r="U3063">
        <v>-2.8583370000000001</v>
      </c>
      <c r="V3063">
        <v>-9.7737580000000004E-3</v>
      </c>
      <c r="W3063">
        <v>4.9245799999999996E-3</v>
      </c>
      <c r="X3063">
        <v>0.9999401</v>
      </c>
      <c r="Y3063">
        <v>-0.2458765</v>
      </c>
      <c r="Z3063">
        <v>6.1643110000000001E-2</v>
      </c>
      <c r="AA3063">
        <v>0.96733910000000001</v>
      </c>
      <c r="AB3063">
        <v>24</v>
      </c>
      <c r="AC3063">
        <v>6.8426999999999696</v>
      </c>
      <c r="AD3063">
        <v>-1.111841319954</v>
      </c>
      <c r="AE3063">
        <v>-16.662699999999901</v>
      </c>
      <c r="AF3063">
        <v>-4.4552032078850798</v>
      </c>
      <c r="AG3063">
        <v>-1.111841319954</v>
      </c>
      <c r="AH3063">
        <v>17.3827775276133</v>
      </c>
      <c r="AI3063">
        <v>93.545488463258806</v>
      </c>
      <c r="AJ3063">
        <v>104.37545865289</v>
      </c>
      <c r="AK3063">
        <v>17.979042836558499</v>
      </c>
      <c r="AL3063">
        <v>89.717841207034795</v>
      </c>
      <c r="AM3063">
        <v>90.560010795486704</v>
      </c>
      <c r="AN3063">
        <v>0.99999999071081402</v>
      </c>
    </row>
    <row r="3064" spans="1:40" x14ac:dyDescent="0.25">
      <c r="A3064" t="str">
        <f>"20190312160352055"</f>
        <v>20190312160352055</v>
      </c>
      <c r="B3064" t="str">
        <f>"1552377832047711"</f>
        <v>1552377832047711</v>
      </c>
      <c r="C3064" t="s">
        <v>40</v>
      </c>
      <c r="D3064">
        <v>5.5311029999999999</v>
      </c>
      <c r="E3064">
        <v>0.41004800000000002</v>
      </c>
      <c r="F3064" t="s">
        <v>41</v>
      </c>
      <c r="G3064">
        <v>-489.13979999999998</v>
      </c>
      <c r="H3064" s="1">
        <v>-1.289019E-6</v>
      </c>
      <c r="I3064">
        <v>242.2818</v>
      </c>
      <c r="J3064">
        <v>-495.96019999999999</v>
      </c>
      <c r="K3064">
        <v>1.111783</v>
      </c>
      <c r="L3064">
        <v>258.87549999999999</v>
      </c>
      <c r="M3064">
        <v>0.13999389999999901</v>
      </c>
      <c r="N3064">
        <v>0</v>
      </c>
      <c r="O3064">
        <v>-0.99007449999999997</v>
      </c>
      <c r="P3064">
        <v>0.149464299999999</v>
      </c>
      <c r="Q3064">
        <v>-7.2963069999999897E-3</v>
      </c>
      <c r="R3064">
        <v>-0.98874070000000003</v>
      </c>
      <c r="S3064">
        <v>1.1682129999999999</v>
      </c>
      <c r="T3064">
        <v>-0.1898349</v>
      </c>
      <c r="U3064">
        <v>-2.8572389999999999</v>
      </c>
      <c r="V3064">
        <v>-9.5858880000000007E-3</v>
      </c>
      <c r="W3064">
        <v>5.1038689999999996E-3</v>
      </c>
      <c r="X3064">
        <v>0.99994110000000003</v>
      </c>
      <c r="Y3064">
        <v>-0.24440390000000001</v>
      </c>
      <c r="Z3064">
        <v>6.1846350000000001E-2</v>
      </c>
      <c r="AA3064">
        <v>0.96769919999999998</v>
      </c>
      <c r="AB3064">
        <v>24</v>
      </c>
      <c r="AC3064">
        <v>6.8204000000000002</v>
      </c>
      <c r="AD3064">
        <v>-1.1117842890189999</v>
      </c>
      <c r="AE3064">
        <v>-16.593699999999899</v>
      </c>
      <c r="AF3064">
        <v>-4.4130814487125196</v>
      </c>
      <c r="AG3064">
        <v>-1.1117842890189999</v>
      </c>
      <c r="AH3064">
        <v>17.318645653662902</v>
      </c>
      <c r="AI3064">
        <v>93.559664816560499</v>
      </c>
      <c r="AJ3064">
        <v>104.295694399963</v>
      </c>
      <c r="AK3064">
        <v>17.9066144051693</v>
      </c>
      <c r="AL3064">
        <v>89.707568598280105</v>
      </c>
      <c r="AM3064">
        <v>90.549246452041103</v>
      </c>
      <c r="AN3064">
        <v>1.0000000710983601</v>
      </c>
    </row>
    <row r="3065" spans="1:40" x14ac:dyDescent="0.25">
      <c r="A3065" t="str">
        <f>"20190312160352068"</f>
        <v>20190312160352068</v>
      </c>
      <c r="B3065" t="str">
        <f>"1552377832057472"</f>
        <v>1552377832057472</v>
      </c>
      <c r="C3065" t="s">
        <v>40</v>
      </c>
      <c r="D3065">
        <v>5.5190429999999999</v>
      </c>
      <c r="E3065">
        <v>0.41025699999999998</v>
      </c>
      <c r="F3065" t="s">
        <v>41</v>
      </c>
      <c r="G3065">
        <v>-489.09609999999998</v>
      </c>
      <c r="H3065" s="1">
        <v>-1.234386E-6</v>
      </c>
      <c r="I3065">
        <v>242.13640000000001</v>
      </c>
      <c r="J3065">
        <v>-495.94029999999998</v>
      </c>
      <c r="K3065">
        <v>1.1117319999999999</v>
      </c>
      <c r="L3065">
        <v>258.74709999999999</v>
      </c>
      <c r="M3065">
        <v>0.14150009999999999</v>
      </c>
      <c r="N3065">
        <v>0</v>
      </c>
      <c r="O3065">
        <v>-0.98986039999999997</v>
      </c>
      <c r="P3065">
        <v>0.15073510000000001</v>
      </c>
      <c r="Q3065">
        <v>-7.2436949999999996E-3</v>
      </c>
      <c r="R3065">
        <v>-0.98854790000000003</v>
      </c>
      <c r="S3065">
        <v>1.1710510000000001</v>
      </c>
      <c r="T3065">
        <v>-0.18967429999999999</v>
      </c>
      <c r="U3065">
        <v>-2.8557429999999999</v>
      </c>
      <c r="V3065">
        <v>-9.3493889999999996E-3</v>
      </c>
      <c r="W3065">
        <v>5.1505980000000002E-3</v>
      </c>
      <c r="X3065">
        <v>0.99994300000000003</v>
      </c>
      <c r="Y3065">
        <v>-0.24393100000000001</v>
      </c>
      <c r="Z3065">
        <v>6.1796589999999998E-2</v>
      </c>
      <c r="AA3065">
        <v>0.96782170000000001</v>
      </c>
      <c r="AB3065">
        <v>24</v>
      </c>
      <c r="AC3065">
        <v>6.8441999999999998</v>
      </c>
      <c r="AD3065">
        <v>-1.111733234386</v>
      </c>
      <c r="AE3065">
        <v>-16.610699999999898</v>
      </c>
      <c r="AF3065">
        <v>-4.4078486617336097</v>
      </c>
      <c r="AG3065">
        <v>-1.111733234386</v>
      </c>
      <c r="AH3065">
        <v>17.345648537972899</v>
      </c>
      <c r="AI3065">
        <v>93.554566420956405</v>
      </c>
      <c r="AJ3065">
        <v>104.258114534106</v>
      </c>
      <c r="AK3065">
        <v>17.931441766128799</v>
      </c>
      <c r="AL3065">
        <v>89.704891159401498</v>
      </c>
      <c r="AM3065">
        <v>90.535695456269295</v>
      </c>
      <c r="AN3065">
        <v>0.99999997149171505</v>
      </c>
    </row>
    <row r="3066" spans="1:40" x14ac:dyDescent="0.25">
      <c r="A3066" t="str">
        <f>"20190312160352087"</f>
        <v>20190312160352087</v>
      </c>
      <c r="B3066" t="str">
        <f>"1552377832077966"</f>
        <v>1552377832077966</v>
      </c>
      <c r="C3066" t="s">
        <v>40</v>
      </c>
      <c r="D3066">
        <v>5.544632</v>
      </c>
      <c r="E3066">
        <v>0.41046460000000001</v>
      </c>
      <c r="F3066" t="s">
        <v>41</v>
      </c>
      <c r="G3066">
        <v>-489.06119999999999</v>
      </c>
      <c r="H3066" s="1">
        <v>-1.1858139999999999E-6</v>
      </c>
      <c r="I3066">
        <v>242.0087</v>
      </c>
      <c r="J3066">
        <v>-495.90800000000002</v>
      </c>
      <c r="K3066">
        <v>1.1116539999999999</v>
      </c>
      <c r="L3066">
        <v>258.54050000000001</v>
      </c>
      <c r="M3066">
        <v>0.14381939999999999</v>
      </c>
      <c r="N3066">
        <v>0</v>
      </c>
      <c r="O3066">
        <v>-0.98952629999999997</v>
      </c>
      <c r="P3066">
        <v>0.153714299999999</v>
      </c>
      <c r="Q3066">
        <v>-7.003558E-3</v>
      </c>
      <c r="R3066">
        <v>-0.9880911</v>
      </c>
      <c r="S3066">
        <v>1.173157</v>
      </c>
      <c r="T3066">
        <v>-0.1895918</v>
      </c>
      <c r="U3066">
        <v>-2.8545069999999999</v>
      </c>
      <c r="V3066">
        <v>-1.002025E-2</v>
      </c>
      <c r="W3066">
        <v>5.3770930000000003E-3</v>
      </c>
      <c r="X3066">
        <v>0.99993529999999997</v>
      </c>
      <c r="Y3066">
        <v>-0.24241689999999999</v>
      </c>
      <c r="Z3066">
        <v>6.1766830000000002E-2</v>
      </c>
      <c r="AA3066">
        <v>0.96820399999999995</v>
      </c>
      <c r="AB3066">
        <v>24</v>
      </c>
      <c r="AC3066">
        <v>6.8468000000000302</v>
      </c>
      <c r="AD3066">
        <v>-1.111655185814</v>
      </c>
      <c r="AE3066">
        <v>-16.5318</v>
      </c>
      <c r="AF3066">
        <v>-4.3809242525860004</v>
      </c>
      <c r="AG3066">
        <v>-1.111655185814</v>
      </c>
      <c r="AH3066">
        <v>17.277999460766001</v>
      </c>
      <c r="AI3066">
        <v>93.568676111402596</v>
      </c>
      <c r="AJ3066">
        <v>104.227790895629</v>
      </c>
      <c r="AK3066">
        <v>17.859382406042801</v>
      </c>
      <c r="AL3066">
        <v>89.691913768511895</v>
      </c>
      <c r="AM3066">
        <v>90.574135965081794</v>
      </c>
      <c r="AN3066">
        <v>0.99999996136264002</v>
      </c>
    </row>
    <row r="3067" spans="1:40" x14ac:dyDescent="0.25">
      <c r="A3067" t="str">
        <f>"20190312160352101"</f>
        <v>20190312160352101</v>
      </c>
      <c r="B3067" t="str">
        <f>"1552377832097487"</f>
        <v>1552377832097487</v>
      </c>
      <c r="C3067" t="s">
        <v>40</v>
      </c>
      <c r="D3067">
        <v>5.7862280000000004</v>
      </c>
      <c r="E3067">
        <v>0.427093</v>
      </c>
      <c r="F3067" t="s">
        <v>41</v>
      </c>
      <c r="G3067">
        <v>-488.94929999999999</v>
      </c>
      <c r="H3067" s="1">
        <v>-1.0852359999999999E-6</v>
      </c>
      <c r="I3067">
        <v>241.72800000000001</v>
      </c>
      <c r="J3067">
        <v>-495.88490000000002</v>
      </c>
      <c r="K3067">
        <v>1.1116060000000001</v>
      </c>
      <c r="L3067">
        <v>258.39420000000001</v>
      </c>
      <c r="M3067">
        <v>0.1453951</v>
      </c>
      <c r="N3067">
        <v>0</v>
      </c>
      <c r="O3067">
        <v>-0.98929599999999995</v>
      </c>
      <c r="P3067">
        <v>0.15577249999999901</v>
      </c>
      <c r="Q3067">
        <v>-6.7437720000000003E-3</v>
      </c>
      <c r="R3067">
        <v>-0.98777040000000005</v>
      </c>
      <c r="S3067">
        <v>1.180145</v>
      </c>
      <c r="T3067">
        <v>-0.188528</v>
      </c>
      <c r="U3067">
        <v>-2.8512569999999999</v>
      </c>
      <c r="V3067">
        <v>-1.0511339999999999E-2</v>
      </c>
      <c r="W3067">
        <v>5.6279049999999999E-3</v>
      </c>
      <c r="X3067">
        <v>0.99992890000000001</v>
      </c>
      <c r="Y3067">
        <v>-0.24329580000000001</v>
      </c>
      <c r="Z3067">
        <v>6.1430169999999999E-2</v>
      </c>
      <c r="AA3067">
        <v>0.96800489999999995</v>
      </c>
      <c r="AB3067">
        <v>24</v>
      </c>
      <c r="AC3067">
        <v>6.9356000000000204</v>
      </c>
      <c r="AD3067">
        <v>-1.1116070852359901</v>
      </c>
      <c r="AE3067">
        <v>-16.6662</v>
      </c>
      <c r="AF3067">
        <v>-4.4217514506505102</v>
      </c>
      <c r="AG3067">
        <v>-1.1116070852359901</v>
      </c>
      <c r="AH3067">
        <v>17.431452304191598</v>
      </c>
      <c r="AI3067">
        <v>93.537095210732105</v>
      </c>
      <c r="AJ3067">
        <v>104.23371562737</v>
      </c>
      <c r="AK3067">
        <v>18.017854634683498</v>
      </c>
      <c r="AL3067">
        <v>89.677543088392099</v>
      </c>
      <c r="AM3067">
        <v>90.602276058451594</v>
      </c>
      <c r="AN3067">
        <v>0.999999983319247</v>
      </c>
    </row>
    <row r="3068" spans="1:40" x14ac:dyDescent="0.25">
      <c r="A3068" t="str">
        <f>"20190312160352120"</f>
        <v>20190312160352120</v>
      </c>
      <c r="B3068" t="str">
        <f>"1552377832107247"</f>
        <v>1552377832107247</v>
      </c>
      <c r="C3068" t="s">
        <v>40</v>
      </c>
      <c r="D3068">
        <v>5.5371899999999998</v>
      </c>
      <c r="E3068">
        <v>0.43934839999999997</v>
      </c>
      <c r="F3068" t="s">
        <v>41</v>
      </c>
      <c r="G3068">
        <v>-489.48309999999998</v>
      </c>
      <c r="H3068" s="1">
        <v>-6.649491E-7</v>
      </c>
      <c r="I3068">
        <v>240.9691</v>
      </c>
      <c r="J3068">
        <v>-495.85390000000001</v>
      </c>
      <c r="K3068">
        <v>1.111545</v>
      </c>
      <c r="L3068">
        <v>258.20030000000003</v>
      </c>
      <c r="M3068">
        <v>0.14743319999999999</v>
      </c>
      <c r="N3068">
        <v>0</v>
      </c>
      <c r="O3068">
        <v>-0.98899420000000005</v>
      </c>
      <c r="P3068">
        <v>0.159252</v>
      </c>
      <c r="Q3068">
        <v>-6.1423370000000003E-3</v>
      </c>
      <c r="R3068">
        <v>-0.98721899999999996</v>
      </c>
      <c r="S3068">
        <v>1.05426</v>
      </c>
      <c r="T3068">
        <v>-0.18306169999999999</v>
      </c>
      <c r="U3068">
        <v>-2.8696139999999999</v>
      </c>
      <c r="V3068">
        <v>-1.19746E-2</v>
      </c>
      <c r="W3068">
        <v>6.2153579999999998E-3</v>
      </c>
      <c r="X3068">
        <v>0.99990900000000005</v>
      </c>
      <c r="Y3068">
        <v>-0.20205609999999999</v>
      </c>
      <c r="Z3068">
        <v>6.0021230000000002E-2</v>
      </c>
      <c r="AA3068">
        <v>0.97753299999999999</v>
      </c>
      <c r="AB3068">
        <v>24</v>
      </c>
      <c r="AC3068">
        <v>6.3708000000000302</v>
      </c>
      <c r="AD3068">
        <v>-1.1115456649491</v>
      </c>
      <c r="AE3068">
        <v>-17.231200000000001</v>
      </c>
      <c r="AF3068">
        <v>-3.746806315158</v>
      </c>
      <c r="AG3068">
        <v>-1.1115456649491</v>
      </c>
      <c r="AH3068">
        <v>17.916618661964101</v>
      </c>
      <c r="AI3068">
        <v>93.4750908713564</v>
      </c>
      <c r="AJ3068">
        <v>101.811734284596</v>
      </c>
      <c r="AK3068">
        <v>18.337920154881701</v>
      </c>
      <c r="AL3068">
        <v>89.643883930919998</v>
      </c>
      <c r="AM3068">
        <v>90.686123682218096</v>
      </c>
      <c r="AN3068">
        <v>1.0000000150006101</v>
      </c>
    </row>
    <row r="3069" spans="1:40" x14ac:dyDescent="0.25">
      <c r="A3069" t="str">
        <f>"20190312160352142"</f>
        <v>20190312160352142</v>
      </c>
      <c r="B3069" t="str">
        <f>"1552377832137503"</f>
        <v>1552377832137503</v>
      </c>
      <c r="C3069" t="s">
        <v>40</v>
      </c>
      <c r="D3069">
        <v>5.5261069999999997</v>
      </c>
      <c r="E3069">
        <v>0.46072439999999998</v>
      </c>
      <c r="F3069" t="s">
        <v>41</v>
      </c>
      <c r="G3069">
        <v>-489.3227</v>
      </c>
      <c r="H3069" s="1">
        <v>-4.0207359999999996E-6</v>
      </c>
      <c r="I3069">
        <v>238.7251</v>
      </c>
      <c r="J3069">
        <v>-495.81700000000001</v>
      </c>
      <c r="K3069">
        <v>1.111478</v>
      </c>
      <c r="L3069">
        <v>257.97129999999999</v>
      </c>
      <c r="M3069">
        <v>0.149742299999999</v>
      </c>
      <c r="N3069">
        <v>0</v>
      </c>
      <c r="O3069">
        <v>-0.98864759999999996</v>
      </c>
      <c r="P3069">
        <v>0.1624951</v>
      </c>
      <c r="Q3069">
        <v>-5.7760880000000004E-3</v>
      </c>
      <c r="R3069">
        <v>-0.98669280000000004</v>
      </c>
      <c r="S3069">
        <v>0.96649169999999995</v>
      </c>
      <c r="T3069">
        <v>-0.16448550000000001</v>
      </c>
      <c r="U3069">
        <v>-2.8819119999999998</v>
      </c>
      <c r="V3069">
        <v>-1.2925290000000001E-2</v>
      </c>
      <c r="W3069">
        <v>6.5691639999999997E-3</v>
      </c>
      <c r="X3069">
        <v>0.99989490000000003</v>
      </c>
      <c r="Y3069">
        <v>-0.1719231</v>
      </c>
      <c r="Z3069">
        <v>5.4127000000000002E-2</v>
      </c>
      <c r="AA3069">
        <v>0.98362229999999995</v>
      </c>
      <c r="AB3069">
        <v>24</v>
      </c>
      <c r="AC3069">
        <v>6.4942999999999502</v>
      </c>
      <c r="AD3069">
        <v>-1.1114820207360001</v>
      </c>
      <c r="AE3069">
        <v>-19.246199999999899</v>
      </c>
      <c r="AF3069">
        <v>-3.52831034079728</v>
      </c>
      <c r="AG3069">
        <v>-1.1114820207360001</v>
      </c>
      <c r="AH3069">
        <v>19.942001942655899</v>
      </c>
      <c r="AI3069">
        <v>93.141431086803095</v>
      </c>
      <c r="AJ3069">
        <v>100.033426996779</v>
      </c>
      <c r="AK3069">
        <v>20.282204210200799</v>
      </c>
      <c r="AL3069">
        <v>89.623611926019507</v>
      </c>
      <c r="AM3069">
        <v>90.740601158286594</v>
      </c>
      <c r="AN3069">
        <v>1.0000000140416201</v>
      </c>
    </row>
    <row r="3070" spans="1:40" x14ac:dyDescent="0.25">
      <c r="A3070" t="str">
        <f>"20190312160352156"</f>
        <v>20190312160352156</v>
      </c>
      <c r="B3070" t="str">
        <f>"1552377832147263"</f>
        <v>1552377832147263</v>
      </c>
      <c r="C3070" t="s">
        <v>40</v>
      </c>
      <c r="D3070">
        <v>5.5596930000000002</v>
      </c>
      <c r="E3070">
        <v>0.46413199999999999</v>
      </c>
      <c r="F3070" t="s">
        <v>41</v>
      </c>
      <c r="G3070">
        <v>-489.98250000000002</v>
      </c>
      <c r="H3070" s="1">
        <v>-3.1515389999999998E-6</v>
      </c>
      <c r="I3070">
        <v>236.94630000000001</v>
      </c>
      <c r="J3070">
        <v>-495.79270000000002</v>
      </c>
      <c r="K3070">
        <v>1.111432</v>
      </c>
      <c r="L3070">
        <v>257.82240000000002</v>
      </c>
      <c r="M3070">
        <v>0.1511767</v>
      </c>
      <c r="N3070">
        <v>0</v>
      </c>
      <c r="O3070">
        <v>-0.98842929999999996</v>
      </c>
      <c r="P3070">
        <v>0.16420650000000001</v>
      </c>
      <c r="Q3070">
        <v>-5.8133450000000001E-3</v>
      </c>
      <c r="R3070">
        <v>-0.98640910000000004</v>
      </c>
      <c r="S3070">
        <v>0.8066101</v>
      </c>
      <c r="T3070">
        <v>-0.15366150000000001</v>
      </c>
      <c r="U3070">
        <v>-2.9066930000000002</v>
      </c>
      <c r="V3070">
        <v>-1.3208030000000001E-2</v>
      </c>
      <c r="W3070">
        <v>6.5257719999999896E-3</v>
      </c>
      <c r="X3070">
        <v>0.99989150000000004</v>
      </c>
      <c r="Y3070">
        <v>-0.1182917</v>
      </c>
      <c r="Z3070">
        <v>5.0746560000000003E-2</v>
      </c>
      <c r="AA3070">
        <v>0.99168129999999999</v>
      </c>
      <c r="AB3070">
        <v>24</v>
      </c>
      <c r="AC3070">
        <v>5.8102</v>
      </c>
      <c r="AD3070">
        <v>-1.111435151539</v>
      </c>
      <c r="AE3070">
        <v>-20.876100000000001</v>
      </c>
      <c r="AF3070">
        <v>-2.5804018900921002</v>
      </c>
      <c r="AG3070">
        <v>-1.111435151539</v>
      </c>
      <c r="AH3070">
        <v>21.458113617034201</v>
      </c>
      <c r="AI3070">
        <v>92.943846709507994</v>
      </c>
      <c r="AJ3070">
        <v>96.857061337933004</v>
      </c>
      <c r="AK3070">
        <v>21.6412661831977</v>
      </c>
      <c r="AL3070">
        <v>89.626098161750903</v>
      </c>
      <c r="AM3070">
        <v>90.756802476440399</v>
      </c>
      <c r="AN3070">
        <v>1.00000002476446</v>
      </c>
    </row>
    <row r="3071" spans="1:40" x14ac:dyDescent="0.25">
      <c r="A3071" t="str">
        <f>"20190312160352168"</f>
        <v>20190312160352168</v>
      </c>
      <c r="B3071" t="str">
        <f>"1552377832157999"</f>
        <v>1552377832157999</v>
      </c>
      <c r="C3071" t="s">
        <v>40</v>
      </c>
      <c r="D3071">
        <v>5.4295849999999897</v>
      </c>
      <c r="E3071">
        <v>0.4671901</v>
      </c>
      <c r="F3071" t="s">
        <v>41</v>
      </c>
      <c r="G3071">
        <v>-490.54509999999999</v>
      </c>
      <c r="H3071" s="1">
        <v>-3.9260089999999998E-6</v>
      </c>
      <c r="I3071">
        <v>238.40260000000001</v>
      </c>
      <c r="J3071">
        <v>-495.77050000000003</v>
      </c>
      <c r="K3071">
        <v>1.111391</v>
      </c>
      <c r="L3071">
        <v>257.6866</v>
      </c>
      <c r="M3071">
        <v>0.1524517</v>
      </c>
      <c r="N3071">
        <v>0</v>
      </c>
      <c r="O3071">
        <v>-0.98823340000000004</v>
      </c>
      <c r="P3071">
        <v>0.16545299999999999</v>
      </c>
      <c r="Q3071">
        <v>-5.9459630000000003E-3</v>
      </c>
      <c r="R3071">
        <v>-0.98619979999999996</v>
      </c>
      <c r="S3071">
        <v>0.78619380000000005</v>
      </c>
      <c r="T3071">
        <v>-0.16651540000000001</v>
      </c>
      <c r="U3071">
        <v>-2.9094699999999998</v>
      </c>
      <c r="V3071">
        <v>-1.3180860000000001E-2</v>
      </c>
      <c r="W3071">
        <v>6.3889230000000003E-3</v>
      </c>
      <c r="X3071">
        <v>0.99989269999999997</v>
      </c>
      <c r="Y3071">
        <v>-0.1102301</v>
      </c>
      <c r="Z3071">
        <v>5.498782E-2</v>
      </c>
      <c r="AA3071">
        <v>0.99238380000000004</v>
      </c>
      <c r="AB3071">
        <v>24</v>
      </c>
      <c r="AC3071">
        <v>5.2254000000000298</v>
      </c>
      <c r="AD3071">
        <v>-1.1113949260089999</v>
      </c>
      <c r="AE3071">
        <v>-19.283999999999899</v>
      </c>
      <c r="AF3071">
        <v>-2.2173453712165698</v>
      </c>
      <c r="AG3071">
        <v>-1.1113949260089999</v>
      </c>
      <c r="AH3071">
        <v>19.7939855163856</v>
      </c>
      <c r="AI3071">
        <v>93.193741052071104</v>
      </c>
      <c r="AJ3071">
        <v>96.391693107246496</v>
      </c>
      <c r="AK3071">
        <v>19.948776448687202</v>
      </c>
      <c r="AL3071">
        <v>89.633939179684106</v>
      </c>
      <c r="AM3071">
        <v>90.755244945957401</v>
      </c>
      <c r="AN3071">
        <v>0.99999998246036403</v>
      </c>
    </row>
    <row r="3072" spans="1:40" x14ac:dyDescent="0.25">
      <c r="A3072" t="str">
        <f>"20190312160352188"</f>
        <v>20190312160352188</v>
      </c>
      <c r="B3072" t="str">
        <f>"1552377832177519"</f>
        <v>1552377832177519</v>
      </c>
      <c r="C3072" t="s">
        <v>40</v>
      </c>
      <c r="D3072">
        <v>5.5699509999999997</v>
      </c>
      <c r="E3072">
        <v>0.47115679999999999</v>
      </c>
      <c r="F3072" t="s">
        <v>41</v>
      </c>
      <c r="G3072">
        <v>-490.68060000000003</v>
      </c>
      <c r="H3072" s="1">
        <v>-3.928133E-6</v>
      </c>
      <c r="I3072">
        <v>238.3235</v>
      </c>
      <c r="J3072">
        <v>-495.73719999999997</v>
      </c>
      <c r="K3072">
        <v>1.1113150000000001</v>
      </c>
      <c r="L3072">
        <v>257.48489999999998</v>
      </c>
      <c r="M3072">
        <v>0.15424860000000001</v>
      </c>
      <c r="N3072">
        <v>0</v>
      </c>
      <c r="O3072">
        <v>-0.98795460000000002</v>
      </c>
      <c r="P3072">
        <v>0.16682669999999999</v>
      </c>
      <c r="Q3072">
        <v>-5.2844980000000003E-3</v>
      </c>
      <c r="R3072">
        <v>-0.98597219999999997</v>
      </c>
      <c r="S3072">
        <v>0.76559449999999996</v>
      </c>
      <c r="T3072">
        <v>-0.16717109999999999</v>
      </c>
      <c r="U3072">
        <v>-2.912506</v>
      </c>
      <c r="V3072">
        <v>-1.275599E-2</v>
      </c>
      <c r="W3072">
        <v>7.0455129999999998E-3</v>
      </c>
      <c r="X3072">
        <v>0.99989380000000005</v>
      </c>
      <c r="Y3072">
        <v>-0.1016011</v>
      </c>
      <c r="Z3072">
        <v>5.5199890000000001E-2</v>
      </c>
      <c r="AA3072">
        <v>0.99329259999999997</v>
      </c>
      <c r="AB3072">
        <v>24</v>
      </c>
      <c r="AC3072">
        <v>5.05659999999994</v>
      </c>
      <c r="AD3072">
        <v>-1.111318928133</v>
      </c>
      <c r="AE3072">
        <v>-19.161399999999901</v>
      </c>
      <c r="AF3072">
        <v>-2.03383239041472</v>
      </c>
      <c r="AG3072">
        <v>-1.111318928133</v>
      </c>
      <c r="AH3072">
        <v>19.650280473696299</v>
      </c>
      <c r="AI3072">
        <v>93.219743480305297</v>
      </c>
      <c r="AJ3072">
        <v>95.909155112941804</v>
      </c>
      <c r="AK3072">
        <v>19.786485960050001</v>
      </c>
      <c r="AL3072">
        <v>89.596318493906594</v>
      </c>
      <c r="AM3072">
        <v>90.730902366857805</v>
      </c>
      <c r="AN3072">
        <v>0.99999998290637604</v>
      </c>
    </row>
    <row r="3073" spans="1:40" x14ac:dyDescent="0.25">
      <c r="A3073" t="str">
        <f>"20190312160352200"</f>
        <v>20190312160352200</v>
      </c>
      <c r="B3073" t="str">
        <f>"1552377832198014"</f>
        <v>1552377832198014</v>
      </c>
      <c r="C3073" t="s">
        <v>40</v>
      </c>
      <c r="D3073">
        <v>5.5115550000000004</v>
      </c>
      <c r="E3073">
        <v>0.47377920000000001</v>
      </c>
      <c r="F3073" t="s">
        <v>41</v>
      </c>
      <c r="G3073">
        <v>-490.77229999999997</v>
      </c>
      <c r="H3073" s="1">
        <v>-3.7582049999999998E-6</v>
      </c>
      <c r="I3073">
        <v>237.87049999999999</v>
      </c>
      <c r="J3073">
        <v>-495.714</v>
      </c>
      <c r="K3073">
        <v>1.1112599999999999</v>
      </c>
      <c r="L3073">
        <v>257.34530000000001</v>
      </c>
      <c r="M3073">
        <v>0.15542449999999999</v>
      </c>
      <c r="N3073">
        <v>0</v>
      </c>
      <c r="O3073">
        <v>-0.9877705</v>
      </c>
      <c r="P3073">
        <v>0.16795660000000001</v>
      </c>
      <c r="Q3073">
        <v>-4.9723600000000003E-3</v>
      </c>
      <c r="R3073">
        <v>-0.98578220000000005</v>
      </c>
      <c r="S3073">
        <v>0.73834230000000001</v>
      </c>
      <c r="T3073">
        <v>-0.1652671</v>
      </c>
      <c r="U3073">
        <v>-2.9169010000000002</v>
      </c>
      <c r="V3073">
        <v>-1.271162E-2</v>
      </c>
      <c r="W3073">
        <v>7.3540189999999998E-3</v>
      </c>
      <c r="X3073">
        <v>0.99989220000000001</v>
      </c>
      <c r="Y3073">
        <v>-9.1350360000000005E-2</v>
      </c>
      <c r="Z3073">
        <v>5.4568400000000003E-2</v>
      </c>
      <c r="AA3073">
        <v>0.99432259999999995</v>
      </c>
      <c r="AB3073">
        <v>24</v>
      </c>
      <c r="AC3073">
        <v>4.9417000000000204</v>
      </c>
      <c r="AD3073">
        <v>-1.111263758205</v>
      </c>
      <c r="AE3073">
        <v>-19.474799999999998</v>
      </c>
      <c r="AF3073">
        <v>-1.8488901253510299</v>
      </c>
      <c r="AG3073">
        <v>-1.111263758205</v>
      </c>
      <c r="AH3073">
        <v>19.945207742118601</v>
      </c>
      <c r="AI3073">
        <v>93.175398814335395</v>
      </c>
      <c r="AJ3073">
        <v>95.296095577699404</v>
      </c>
      <c r="AK3073">
        <v>20.0615207228213</v>
      </c>
      <c r="AL3073">
        <v>89.578641967368597</v>
      </c>
      <c r="AM3073">
        <v>90.728361460769904</v>
      </c>
      <c r="AN3073">
        <v>1.00000003924965</v>
      </c>
    </row>
    <row r="3074" spans="1:40" x14ac:dyDescent="0.25">
      <c r="A3074" t="str">
        <f>"20190312160352214"</f>
        <v>20190312160352214</v>
      </c>
      <c r="B3074" t="str">
        <f>"1552377832207775"</f>
        <v>1552377832207775</v>
      </c>
      <c r="C3074" t="s">
        <v>40</v>
      </c>
      <c r="D3074">
        <v>5.5289979999999996</v>
      </c>
      <c r="E3074">
        <v>0.47517350000000003</v>
      </c>
      <c r="F3074" t="s">
        <v>41</v>
      </c>
      <c r="G3074">
        <v>-491.04599999999999</v>
      </c>
      <c r="H3074" s="1">
        <v>-4.0776510000000001E-6</v>
      </c>
      <c r="I3074">
        <v>238.44550000000001</v>
      </c>
      <c r="J3074">
        <v>-495.69119999999998</v>
      </c>
      <c r="K3074">
        <v>1.1112059999999999</v>
      </c>
      <c r="L3074">
        <v>257.2088</v>
      </c>
      <c r="M3074">
        <v>0.15653880000000001</v>
      </c>
      <c r="N3074">
        <v>0</v>
      </c>
      <c r="O3074">
        <v>-0.98759459999999999</v>
      </c>
      <c r="P3074">
        <v>0.16838719999999999</v>
      </c>
      <c r="Q3074">
        <v>-4.7156339999999998E-3</v>
      </c>
      <c r="R3074">
        <v>-0.98570999999999998</v>
      </c>
      <c r="S3074">
        <v>0.72109990000000002</v>
      </c>
      <c r="T3074">
        <v>-0.1716635</v>
      </c>
      <c r="U3074">
        <v>-2.9195709999999999</v>
      </c>
      <c r="V3074">
        <v>-1.2019780000000001E-2</v>
      </c>
      <c r="W3074">
        <v>7.6091190000000001E-3</v>
      </c>
      <c r="X3074">
        <v>0.99989879999999998</v>
      </c>
      <c r="Y3074">
        <v>-8.4453070000000005E-2</v>
      </c>
      <c r="Z3074">
        <v>5.6665590000000002E-2</v>
      </c>
      <c r="AA3074">
        <v>0.99481489999999995</v>
      </c>
      <c r="AB3074">
        <v>24</v>
      </c>
      <c r="AC3074">
        <v>4.6451999999999796</v>
      </c>
      <c r="AD3074">
        <v>-1.1112100776510001</v>
      </c>
      <c r="AE3074">
        <v>-18.763299999999902</v>
      </c>
      <c r="AF3074">
        <v>-1.64507924460138</v>
      </c>
      <c r="AG3074">
        <v>-1.1112100776510001</v>
      </c>
      <c r="AH3074">
        <v>19.195719232247601</v>
      </c>
      <c r="AI3074">
        <v>93.300992275130497</v>
      </c>
      <c r="AJ3074">
        <v>94.898298004969803</v>
      </c>
      <c r="AK3074">
        <v>19.298101212320699</v>
      </c>
      <c r="AL3074">
        <v>89.564025384880097</v>
      </c>
      <c r="AM3074">
        <v>90.688719193385296</v>
      </c>
      <c r="AN3074">
        <v>0.99999999202232204</v>
      </c>
    </row>
    <row r="3075" spans="1:40" x14ac:dyDescent="0.25">
      <c r="A3075" t="str">
        <f>"20190312160352231"</f>
        <v>20190312160352231</v>
      </c>
      <c r="B3075" t="str">
        <f>"1552377832227295"</f>
        <v>1552377832227295</v>
      </c>
      <c r="C3075" t="s">
        <v>40</v>
      </c>
      <c r="D3075">
        <v>5.4951780000000001</v>
      </c>
      <c r="E3075">
        <v>0.4776357</v>
      </c>
      <c r="F3075" t="s">
        <v>41</v>
      </c>
      <c r="G3075">
        <v>-491.12009999999998</v>
      </c>
      <c r="H3075" s="1">
        <v>-4.1017729999999997E-6</v>
      </c>
      <c r="I3075">
        <v>238.4562</v>
      </c>
      <c r="J3075">
        <v>-495.66129999999998</v>
      </c>
      <c r="K3075">
        <v>1.111132</v>
      </c>
      <c r="L3075">
        <v>257.03030000000001</v>
      </c>
      <c r="M3075">
        <v>0.157924799999999</v>
      </c>
      <c r="N3075">
        <v>0</v>
      </c>
      <c r="O3075">
        <v>-0.98737399999999997</v>
      </c>
      <c r="P3075">
        <v>0.16833190000000001</v>
      </c>
      <c r="Q3075">
        <v>-4.7478370000000004E-3</v>
      </c>
      <c r="R3075">
        <v>-0.98571929999999996</v>
      </c>
      <c r="S3075">
        <v>0.71203609999999995</v>
      </c>
      <c r="T3075">
        <v>-0.17308950000000001</v>
      </c>
      <c r="U3075">
        <v>-2.921036</v>
      </c>
      <c r="V3075">
        <v>-1.055889E-2</v>
      </c>
      <c r="W3075">
        <v>7.5771719999999897E-3</v>
      </c>
      <c r="X3075">
        <v>0.99991549999999996</v>
      </c>
      <c r="Y3075">
        <v>-8.0019649999999998E-2</v>
      </c>
      <c r="Z3075">
        <v>5.7119209999999997E-2</v>
      </c>
      <c r="AA3075">
        <v>0.99515540000000002</v>
      </c>
      <c r="AB3075">
        <v>24</v>
      </c>
      <c r="AC3075">
        <v>4.5411999999999999</v>
      </c>
      <c r="AD3075">
        <v>-1.1111361017729999</v>
      </c>
      <c r="AE3075">
        <v>-18.574100000000001</v>
      </c>
      <c r="AF3075">
        <v>-1.54545122649973</v>
      </c>
      <c r="AG3075">
        <v>-1.1111361017729999</v>
      </c>
      <c r="AH3075">
        <v>18.994064152395602</v>
      </c>
      <c r="AI3075">
        <v>93.336934888806098</v>
      </c>
      <c r="AJ3075">
        <v>94.6516217601188</v>
      </c>
      <c r="AK3075">
        <v>19.089198934357501</v>
      </c>
      <c r="AL3075">
        <v>89.565855850040194</v>
      </c>
      <c r="AM3075">
        <v>90.605008471163799</v>
      </c>
      <c r="AN3075">
        <v>0.99999995541689801</v>
      </c>
    </row>
    <row r="3076" spans="1:40" x14ac:dyDescent="0.25">
      <c r="A3076" t="str">
        <f>"20190312160352243"</f>
        <v>20190312160352243</v>
      </c>
      <c r="B3076" t="str">
        <f>"1552377832238031"</f>
        <v>1552377832238031</v>
      </c>
      <c r="C3076" t="s">
        <v>40</v>
      </c>
      <c r="D3076">
        <v>5.4872569999999996</v>
      </c>
      <c r="E3076">
        <v>0.47823339999999998</v>
      </c>
      <c r="F3076" t="s">
        <v>41</v>
      </c>
      <c r="G3076">
        <v>-491.2758</v>
      </c>
      <c r="H3076" s="1">
        <v>-4.1473080000000003E-6</v>
      </c>
      <c r="I3076">
        <v>238.50880000000001</v>
      </c>
      <c r="J3076">
        <v>-495.63819999999998</v>
      </c>
      <c r="K3076">
        <v>1.1110709999999999</v>
      </c>
      <c r="L3076">
        <v>256.89350000000002</v>
      </c>
      <c r="M3076">
        <v>0.15891050000000001</v>
      </c>
      <c r="N3076">
        <v>0</v>
      </c>
      <c r="O3076">
        <v>-0.98721590000000004</v>
      </c>
      <c r="P3076">
        <v>0.1681618</v>
      </c>
      <c r="Q3076">
        <v>-4.8655870000000002E-3</v>
      </c>
      <c r="R3076">
        <v>-0.98574740000000005</v>
      </c>
      <c r="S3076">
        <v>0.69241330000000001</v>
      </c>
      <c r="T3076">
        <v>-0.17543800000000001</v>
      </c>
      <c r="U3076">
        <v>-2.9243769999999998</v>
      </c>
      <c r="V3076">
        <v>-9.38692E-3</v>
      </c>
      <c r="W3076">
        <v>7.4593960000000001E-3</v>
      </c>
      <c r="X3076">
        <v>0.99992809999999999</v>
      </c>
      <c r="Y3076">
        <v>-7.2436749999999994E-2</v>
      </c>
      <c r="Z3076">
        <v>5.7875080000000002E-2</v>
      </c>
      <c r="AA3076">
        <v>0.99569240000000003</v>
      </c>
      <c r="AB3076">
        <v>24</v>
      </c>
      <c r="AC3076">
        <v>4.3623999999999796</v>
      </c>
      <c r="AD3076">
        <v>-1.1110751473079901</v>
      </c>
      <c r="AE3076">
        <v>-18.384699999999999</v>
      </c>
      <c r="AF3076">
        <v>-1.3804410804568099</v>
      </c>
      <c r="AG3076">
        <v>-1.1110751473079901</v>
      </c>
      <c r="AH3076">
        <v>18.7794004409735</v>
      </c>
      <c r="AI3076">
        <v>93.376843199748393</v>
      </c>
      <c r="AJ3076">
        <v>94.204151701664401</v>
      </c>
      <c r="AK3076">
        <v>18.862820215493102</v>
      </c>
      <c r="AL3076">
        <v>89.572604119736695</v>
      </c>
      <c r="AM3076">
        <v>90.537853772018195</v>
      </c>
      <c r="AN3076">
        <v>0.99999998101269005</v>
      </c>
    </row>
    <row r="3077" spans="1:40" x14ac:dyDescent="0.25">
      <c r="A3077" t="str">
        <f>"20190312160352256"</f>
        <v>20190312160352256</v>
      </c>
      <c r="B3077" t="str">
        <f>"1552377832247791"</f>
        <v>1552377832247791</v>
      </c>
      <c r="C3077" t="s">
        <v>40</v>
      </c>
      <c r="D3077">
        <v>5.4947309999999998</v>
      </c>
      <c r="E3077">
        <v>0.479097</v>
      </c>
      <c r="F3077" t="s">
        <v>41</v>
      </c>
      <c r="G3077">
        <v>-491.34339999999997</v>
      </c>
      <c r="H3077" s="1">
        <v>-4.1939410000000003E-6</v>
      </c>
      <c r="I3077">
        <v>238.61060000000001</v>
      </c>
      <c r="J3077">
        <v>-495.61669999999998</v>
      </c>
      <c r="K3077">
        <v>1.1110089999999999</v>
      </c>
      <c r="L3077">
        <v>256.76639999999998</v>
      </c>
      <c r="M3077">
        <v>0.1597624</v>
      </c>
      <c r="N3077">
        <v>0</v>
      </c>
      <c r="O3077">
        <v>-0.98707849999999997</v>
      </c>
      <c r="P3077">
        <v>0.1674158</v>
      </c>
      <c r="Q3077">
        <v>-5.0033530000000003E-3</v>
      </c>
      <c r="R3077">
        <v>-0.98587420000000003</v>
      </c>
      <c r="S3077">
        <v>0.68716429999999995</v>
      </c>
      <c r="T3077">
        <v>-0.17777299999999999</v>
      </c>
      <c r="U3077">
        <v>-2.925278</v>
      </c>
      <c r="V3077">
        <v>-7.7653109999999996E-3</v>
      </c>
      <c r="W3077">
        <v>7.3230250000000004E-3</v>
      </c>
      <c r="X3077">
        <v>0.99994300000000003</v>
      </c>
      <c r="Y3077">
        <v>-6.9804329999999998E-2</v>
      </c>
      <c r="Z3077">
        <v>5.8630370000000001E-2</v>
      </c>
      <c r="AA3077">
        <v>0.99583630000000001</v>
      </c>
      <c r="AB3077">
        <v>24</v>
      </c>
      <c r="AC3077">
        <v>4.2732999999999999</v>
      </c>
      <c r="AD3077">
        <v>-1.111013193941</v>
      </c>
      <c r="AE3077">
        <v>-18.1557999999999</v>
      </c>
      <c r="AF3077">
        <v>-1.3129102301631399</v>
      </c>
      <c r="AG3077">
        <v>-1.111013193941</v>
      </c>
      <c r="AH3077">
        <v>18.539547173517199</v>
      </c>
      <c r="AI3077">
        <v>93.420896744496901</v>
      </c>
      <c r="AJ3077">
        <v>94.0507376652278</v>
      </c>
      <c r="AK3077">
        <v>18.6191539278413</v>
      </c>
      <c r="AL3077">
        <v>89.580417809354103</v>
      </c>
      <c r="AM3077">
        <v>90.444935964669497</v>
      </c>
      <c r="AN3077">
        <v>0.99999996499953803</v>
      </c>
    </row>
    <row r="3078" spans="1:40" x14ac:dyDescent="0.25">
      <c r="A3078" t="str">
        <f>"20190312160352277"</f>
        <v>20190312160352277</v>
      </c>
      <c r="B3078" t="str">
        <f>"1552377832267311"</f>
        <v>1552377832267311</v>
      </c>
      <c r="C3078" t="s">
        <v>40</v>
      </c>
      <c r="D3078">
        <v>5.4934209999999997</v>
      </c>
      <c r="E3078">
        <v>0.48036200000000001</v>
      </c>
      <c r="F3078" t="s">
        <v>41</v>
      </c>
      <c r="G3078">
        <v>-491.41629999999998</v>
      </c>
      <c r="H3078" s="1">
        <v>-4.2184229999999997E-6</v>
      </c>
      <c r="I3078">
        <v>238.6446</v>
      </c>
      <c r="J3078">
        <v>-495.57979999999998</v>
      </c>
      <c r="K3078">
        <v>1.1109070000000001</v>
      </c>
      <c r="L3078">
        <v>256.54860000000002</v>
      </c>
      <c r="M3078">
        <v>0.1611069</v>
      </c>
      <c r="N3078">
        <v>0</v>
      </c>
      <c r="O3078">
        <v>-0.98685999999999996</v>
      </c>
      <c r="P3078">
        <v>0.165884</v>
      </c>
      <c r="Q3078">
        <v>-5.0489869999999996E-3</v>
      </c>
      <c r="R3078">
        <v>-0.98613260000000003</v>
      </c>
      <c r="S3078">
        <v>0.67840579999999995</v>
      </c>
      <c r="T3078">
        <v>-0.179441299999999</v>
      </c>
      <c r="U3078">
        <v>-2.9268800000000001</v>
      </c>
      <c r="V3078">
        <v>-4.848158E-3</v>
      </c>
      <c r="W3078">
        <v>7.2796340000000001E-3</v>
      </c>
      <c r="X3078">
        <v>0.99996169999999995</v>
      </c>
      <c r="Y3078">
        <v>-6.5490039999999999E-2</v>
      </c>
      <c r="Z3078">
        <v>5.915608E-2</v>
      </c>
      <c r="AA3078">
        <v>0.99609820000000004</v>
      </c>
      <c r="AB3078">
        <v>24</v>
      </c>
      <c r="AC3078">
        <v>4.1634999999999902</v>
      </c>
      <c r="AD3078">
        <v>-1.1109112184229999</v>
      </c>
      <c r="AE3078">
        <v>-17.904</v>
      </c>
      <c r="AF3078">
        <v>-1.2199707755829501</v>
      </c>
      <c r="AG3078">
        <v>-1.1109112184229999</v>
      </c>
      <c r="AH3078">
        <v>18.2741574172308</v>
      </c>
      <c r="AI3078">
        <v>93.471100744550796</v>
      </c>
      <c r="AJ3078">
        <v>93.819361370648707</v>
      </c>
      <c r="AK3078">
        <v>18.3484953535222</v>
      </c>
      <c r="AL3078">
        <v>89.582903990451101</v>
      </c>
      <c r="AM3078">
        <v>90.277787454571396</v>
      </c>
      <c r="AN3078">
        <v>0.99999994958702698</v>
      </c>
    </row>
    <row r="3079" spans="1:40" x14ac:dyDescent="0.25">
      <c r="A3079" t="str">
        <f>"20190312160352290"</f>
        <v>20190312160352290</v>
      </c>
      <c r="B3079" t="str">
        <f>"1552377832287807"</f>
        <v>1552377832287807</v>
      </c>
      <c r="C3079" t="s">
        <v>40</v>
      </c>
      <c r="D3079">
        <v>5.4953849999999997</v>
      </c>
      <c r="E3079">
        <v>0.48163060000000002</v>
      </c>
      <c r="F3079" t="s">
        <v>41</v>
      </c>
      <c r="G3079">
        <v>-491.5856</v>
      </c>
      <c r="H3079" s="1">
        <v>-4.3503459999999997E-6</v>
      </c>
      <c r="I3079">
        <v>238.94399999999999</v>
      </c>
      <c r="J3079">
        <v>-495.5557</v>
      </c>
      <c r="K3079">
        <v>1.110832</v>
      </c>
      <c r="L3079">
        <v>256.40719999999999</v>
      </c>
      <c r="M3079">
        <v>0.16190199999999999</v>
      </c>
      <c r="N3079">
        <v>0</v>
      </c>
      <c r="O3079">
        <v>-0.98673</v>
      </c>
      <c r="P3079">
        <v>0.165434</v>
      </c>
      <c r="Q3079">
        <v>-5.0378719999999997E-3</v>
      </c>
      <c r="R3079">
        <v>-0.98620830000000004</v>
      </c>
      <c r="S3079">
        <v>0.66464230000000002</v>
      </c>
      <c r="T3079">
        <v>-0.1848581</v>
      </c>
      <c r="U3079">
        <v>-2.929443</v>
      </c>
      <c r="V3079">
        <v>-3.584584E-3</v>
      </c>
      <c r="W3079">
        <v>7.2901240000000003E-3</v>
      </c>
      <c r="X3079">
        <v>0.99996700000000005</v>
      </c>
      <c r="Y3079">
        <v>-6.0023340000000001E-2</v>
      </c>
      <c r="Z3079">
        <v>6.0913299999999997E-2</v>
      </c>
      <c r="AA3079">
        <v>0.99633669999999996</v>
      </c>
      <c r="AB3079">
        <v>24</v>
      </c>
      <c r="AC3079">
        <v>3.9701</v>
      </c>
      <c r="AD3079">
        <v>-1.1108363503459999</v>
      </c>
      <c r="AE3079">
        <v>-17.463199999999901</v>
      </c>
      <c r="AF3079">
        <v>-1.0859941783018501</v>
      </c>
      <c r="AG3079">
        <v>-1.1108363503459999</v>
      </c>
      <c r="AH3079">
        <v>17.807074997559798</v>
      </c>
      <c r="AI3079">
        <v>93.562982199300293</v>
      </c>
      <c r="AJ3079">
        <v>93.489956172737195</v>
      </c>
      <c r="AK3079">
        <v>17.8747100877546</v>
      </c>
      <c r="AL3079">
        <v>89.582302962017096</v>
      </c>
      <c r="AM3079">
        <v>90.205387432578405</v>
      </c>
      <c r="AN3079">
        <v>0.99999999811969398</v>
      </c>
    </row>
    <row r="3080" spans="1:40" x14ac:dyDescent="0.25">
      <c r="A3080" t="str">
        <f>"20190312160352322"</f>
        <v>20190312160352322</v>
      </c>
      <c r="B3080" t="str">
        <f>"1552377832318064"</f>
        <v>1552377832318064</v>
      </c>
      <c r="C3080" t="s">
        <v>40</v>
      </c>
      <c r="D3080">
        <v>5.697114</v>
      </c>
      <c r="E3080">
        <v>0.48207260000000002</v>
      </c>
      <c r="F3080" t="s">
        <v>41</v>
      </c>
      <c r="G3080">
        <v>-491.72370000000001</v>
      </c>
      <c r="H3080" s="1">
        <v>-4.4672469999999996E-6</v>
      </c>
      <c r="I3080">
        <v>239.21549999999999</v>
      </c>
      <c r="J3080">
        <v>-495.49860000000001</v>
      </c>
      <c r="K3080">
        <v>1.1106590000000001</v>
      </c>
      <c r="L3080">
        <v>256.07260000000002</v>
      </c>
      <c r="M3080">
        <v>0.1634958</v>
      </c>
      <c r="N3080">
        <v>0</v>
      </c>
      <c r="O3080">
        <v>-0.98646719999999999</v>
      </c>
      <c r="P3080">
        <v>0.1636891</v>
      </c>
      <c r="Q3080">
        <v>-4.7248200000000002E-3</v>
      </c>
      <c r="R3080">
        <v>-0.98650079999999996</v>
      </c>
      <c r="S3080">
        <v>0.65341190000000005</v>
      </c>
      <c r="T3080">
        <v>-0.18941040000000001</v>
      </c>
      <c r="U3080">
        <v>-2.931381</v>
      </c>
      <c r="V3080">
        <v>-1.9723000000000001E-4</v>
      </c>
      <c r="W3080">
        <v>7.6005369999999897E-3</v>
      </c>
      <c r="X3080">
        <v>0.9999711</v>
      </c>
      <c r="Y3080">
        <v>-5.4614280000000001E-2</v>
      </c>
      <c r="Z3080">
        <v>6.2378030000000001E-2</v>
      </c>
      <c r="AA3080">
        <v>0.99655720000000003</v>
      </c>
      <c r="AB3080">
        <v>24</v>
      </c>
      <c r="AC3080">
        <v>3.7749000000000001</v>
      </c>
      <c r="AD3080">
        <v>-1.1106634672469999</v>
      </c>
      <c r="AE3080">
        <v>-16.857099999999999</v>
      </c>
      <c r="AF3080">
        <v>-0.96383902562628199</v>
      </c>
      <c r="AG3080">
        <v>-1.1106634672469999</v>
      </c>
      <c r="AH3080">
        <v>17.176459827852099</v>
      </c>
      <c r="AI3080">
        <v>93.6939115194279</v>
      </c>
      <c r="AJ3080">
        <v>93.211724391934595</v>
      </c>
      <c r="AK3080">
        <v>17.239296134779298</v>
      </c>
      <c r="AL3080">
        <v>89.564517116676896</v>
      </c>
      <c r="AM3080">
        <v>90.011300773039096</v>
      </c>
      <c r="AN3080">
        <v>1.00000000394878</v>
      </c>
    </row>
    <row r="3081" spans="1:40" x14ac:dyDescent="0.25">
      <c r="A3081" t="str">
        <f>"20190312160352355"</f>
        <v>20190312160352355</v>
      </c>
      <c r="B3081" t="str">
        <f>"1552377832347343"</f>
        <v>1552377832347343</v>
      </c>
      <c r="C3081" t="s">
        <v>40</v>
      </c>
      <c r="D3081">
        <v>5.3846420000000004</v>
      </c>
      <c r="E3081">
        <v>0.48223189999999999</v>
      </c>
      <c r="F3081" t="s">
        <v>41</v>
      </c>
      <c r="G3081">
        <v>-491.6062</v>
      </c>
      <c r="H3081" s="1">
        <v>-4.1487749999999999E-6</v>
      </c>
      <c r="I3081">
        <v>238.3409</v>
      </c>
      <c r="J3081">
        <v>-495.43900000000002</v>
      </c>
      <c r="K3081">
        <v>1.110495</v>
      </c>
      <c r="L3081">
        <v>255.7236</v>
      </c>
      <c r="M3081">
        <v>0.16477320000000001</v>
      </c>
      <c r="N3081">
        <v>0</v>
      </c>
      <c r="O3081">
        <v>-0.98625459999999998</v>
      </c>
      <c r="P3081">
        <v>0.1621156</v>
      </c>
      <c r="Q3081">
        <v>-4.8926220000000001E-3</v>
      </c>
      <c r="R3081">
        <v>-0.98675979999999996</v>
      </c>
      <c r="S3081">
        <v>0.64392090000000002</v>
      </c>
      <c r="T3081">
        <v>-0.18373600000000001</v>
      </c>
      <c r="U3081">
        <v>-2.9333339999999999</v>
      </c>
      <c r="V3081">
        <v>2.6958279999999999E-3</v>
      </c>
      <c r="W3081">
        <v>7.4284040000000004E-3</v>
      </c>
      <c r="X3081">
        <v>0.99996879999999999</v>
      </c>
      <c r="Y3081">
        <v>-5.0130840000000003E-2</v>
      </c>
      <c r="Z3081">
        <v>6.0485650000000002E-2</v>
      </c>
      <c r="AA3081">
        <v>0.99690939999999995</v>
      </c>
      <c r="AB3081">
        <v>24</v>
      </c>
      <c r="AC3081">
        <v>3.8328000000000202</v>
      </c>
      <c r="AD3081">
        <v>-1.110499148775</v>
      </c>
      <c r="AE3081">
        <v>-17.3827</v>
      </c>
      <c r="AF3081">
        <v>-0.91243170646528704</v>
      </c>
      <c r="AG3081">
        <v>-1.110499148775</v>
      </c>
      <c r="AH3081">
        <v>17.707738188758</v>
      </c>
      <c r="AI3081">
        <v>93.583728688073094</v>
      </c>
      <c r="AJ3081">
        <v>92.949687382758697</v>
      </c>
      <c r="AK3081">
        <v>17.765971173566399</v>
      </c>
      <c r="AL3081">
        <v>89.574379898415998</v>
      </c>
      <c r="AM3081">
        <v>89.845535988229003</v>
      </c>
      <c r="AN3081">
        <v>1.00000002482401</v>
      </c>
    </row>
    <row r="3082" spans="1:40" x14ac:dyDescent="0.25">
      <c r="A3082" t="str">
        <f>"20190312160352378"</f>
        <v>20190312160352378</v>
      </c>
      <c r="B3082" t="str">
        <f>"1552377832367839"</f>
        <v>1552377832367839</v>
      </c>
      <c r="C3082" t="s">
        <v>40</v>
      </c>
      <c r="D3082">
        <v>5.4388880000000004</v>
      </c>
      <c r="E3082">
        <v>0.48238959999999997</v>
      </c>
      <c r="F3082" t="s">
        <v>41</v>
      </c>
      <c r="G3082">
        <v>-491.4855</v>
      </c>
      <c r="H3082" s="1">
        <v>-3.8055199999999999E-6</v>
      </c>
      <c r="I3082">
        <v>237.5385</v>
      </c>
      <c r="J3082">
        <v>-495.3974</v>
      </c>
      <c r="K3082">
        <v>1.1103879999999999</v>
      </c>
      <c r="L3082">
        <v>255.48050000000001</v>
      </c>
      <c r="M3082">
        <v>0.1654524</v>
      </c>
      <c r="N3082">
        <v>0</v>
      </c>
      <c r="O3082">
        <v>-0.98614120000000005</v>
      </c>
      <c r="P3082">
        <v>0.1622101</v>
      </c>
      <c r="Q3082">
        <v>-3.9558340000000001E-3</v>
      </c>
      <c r="R3082">
        <v>-0.98674859999999998</v>
      </c>
      <c r="S3082">
        <v>0.63797000000000004</v>
      </c>
      <c r="T3082">
        <v>-0.17920059999999999</v>
      </c>
      <c r="U3082">
        <v>-2.9345249999999998</v>
      </c>
      <c r="V3082">
        <v>3.2905109999999999E-3</v>
      </c>
      <c r="W3082">
        <v>8.3601149999999996E-3</v>
      </c>
      <c r="X3082">
        <v>0.99995959999999995</v>
      </c>
      <c r="Y3082">
        <v>-4.7447959999999997E-2</v>
      </c>
      <c r="Z3082">
        <v>5.898101E-2</v>
      </c>
      <c r="AA3082">
        <v>0.99713090000000004</v>
      </c>
      <c r="AB3082">
        <v>24</v>
      </c>
      <c r="AC3082">
        <v>3.9119000000000002</v>
      </c>
      <c r="AD3082">
        <v>-1.1103918055199999</v>
      </c>
      <c r="AE3082">
        <v>-17.942</v>
      </c>
      <c r="AF3082">
        <v>-0.88596659752749096</v>
      </c>
      <c r="AG3082">
        <v>-1.1103918055199999</v>
      </c>
      <c r="AH3082">
        <v>18.275144528882699</v>
      </c>
      <c r="AI3082">
        <v>93.472929587931205</v>
      </c>
      <c r="AJ3082">
        <v>92.775487488614104</v>
      </c>
      <c r="AK3082">
        <v>18.330270437864499</v>
      </c>
      <c r="AL3082">
        <v>89.520995095402597</v>
      </c>
      <c r="AM3082">
        <v>89.811460670762699</v>
      </c>
      <c r="AN3082">
        <v>0.999999960308806</v>
      </c>
    </row>
    <row r="3083" spans="1:40" x14ac:dyDescent="0.25">
      <c r="A3083" t="str">
        <f>"20190312160352392"</f>
        <v>20190312160352392</v>
      </c>
      <c r="B3083" t="str">
        <f>"1552377832387360"</f>
        <v>1552377832387360</v>
      </c>
      <c r="C3083" t="s">
        <v>40</v>
      </c>
      <c r="D3083">
        <v>5.5010430000000001</v>
      </c>
      <c r="E3083">
        <v>0.48274810000000001</v>
      </c>
      <c r="F3083" t="s">
        <v>41</v>
      </c>
      <c r="G3083">
        <v>-491.35390000000001</v>
      </c>
      <c r="H3083" s="1">
        <v>-3.4775070000000001E-6</v>
      </c>
      <c r="I3083">
        <v>236.85560000000001</v>
      </c>
      <c r="J3083">
        <v>-495.37189999999998</v>
      </c>
      <c r="K3083">
        <v>1.1103289999999999</v>
      </c>
      <c r="L3083">
        <v>255.33189999999999</v>
      </c>
      <c r="M3083">
        <v>0.1657981</v>
      </c>
      <c r="N3083">
        <v>0</v>
      </c>
      <c r="O3083">
        <v>-0.98608309999999999</v>
      </c>
      <c r="P3083">
        <v>0.1626599</v>
      </c>
      <c r="Q3083">
        <v>-3.6652960000000002E-3</v>
      </c>
      <c r="R3083">
        <v>-0.98667559999999999</v>
      </c>
      <c r="S3083">
        <v>0.63717650000000003</v>
      </c>
      <c r="T3083">
        <v>-0.1749742</v>
      </c>
      <c r="U3083">
        <v>-2.9348909999999999</v>
      </c>
      <c r="V3083">
        <v>3.186389E-3</v>
      </c>
      <c r="W3083">
        <v>8.6471589999999997E-3</v>
      </c>
      <c r="X3083">
        <v>0.9999576</v>
      </c>
      <c r="Y3083">
        <v>-4.683201E-2</v>
      </c>
      <c r="Z3083">
        <v>5.758514E-2</v>
      </c>
      <c r="AA3083">
        <v>0.99724159999999995</v>
      </c>
      <c r="AB3083">
        <v>24</v>
      </c>
      <c r="AC3083">
        <v>4.0179999999999696</v>
      </c>
      <c r="AD3083">
        <v>-1.110332477507</v>
      </c>
      <c r="AE3083">
        <v>-18.476299999999899</v>
      </c>
      <c r="AF3083">
        <v>-0.89572562016880597</v>
      </c>
      <c r="AG3083">
        <v>-1.110332477507</v>
      </c>
      <c r="AH3083">
        <v>18.821867074653301</v>
      </c>
      <c r="AI3083">
        <v>93.372250675862503</v>
      </c>
      <c r="AJ3083">
        <v>92.724629087433399</v>
      </c>
      <c r="AK3083">
        <v>18.875853431650501</v>
      </c>
      <c r="AL3083">
        <v>89.504548141724001</v>
      </c>
      <c r="AM3083">
        <v>89.817426235205005</v>
      </c>
      <c r="AN3083">
        <v>1.0000000641156901</v>
      </c>
    </row>
    <row r="3084" spans="1:40" x14ac:dyDescent="0.25">
      <c r="A3084" t="str">
        <f>"20190312160352410"</f>
        <v>20190312160352410</v>
      </c>
      <c r="B3084" t="str">
        <f>"1552377832397121"</f>
        <v>1552377832397121</v>
      </c>
      <c r="C3084" t="s">
        <v>40</v>
      </c>
      <c r="D3084">
        <v>5.4904519999999897</v>
      </c>
      <c r="E3084">
        <v>0.48287340000000001</v>
      </c>
      <c r="F3084" t="s">
        <v>41</v>
      </c>
      <c r="G3084">
        <v>-491.2373</v>
      </c>
      <c r="H3084" s="1">
        <v>-3.1829460000000001E-6</v>
      </c>
      <c r="I3084">
        <v>236.24119999999999</v>
      </c>
      <c r="J3084">
        <v>-495.34019999999998</v>
      </c>
      <c r="K3084">
        <v>1.110255</v>
      </c>
      <c r="L3084">
        <v>255.14660000000001</v>
      </c>
      <c r="M3084">
        <v>0.16615820000000001</v>
      </c>
      <c r="N3084">
        <v>0</v>
      </c>
      <c r="O3084">
        <v>-0.98602259999999997</v>
      </c>
      <c r="P3084">
        <v>0.163379</v>
      </c>
      <c r="Q3084">
        <v>-3.2886040000000001E-3</v>
      </c>
      <c r="R3084">
        <v>-0.98655820000000005</v>
      </c>
      <c r="S3084">
        <v>0.63568119999999995</v>
      </c>
      <c r="T3084">
        <v>-0.1707082</v>
      </c>
      <c r="U3084">
        <v>-2.9351039999999999</v>
      </c>
      <c r="V3084">
        <v>2.824156E-3</v>
      </c>
      <c r="W3084">
        <v>9.0200309999999995E-3</v>
      </c>
      <c r="X3084">
        <v>0.99995540000000005</v>
      </c>
      <c r="Y3084">
        <v>-4.5984039999999997E-2</v>
      </c>
      <c r="Z3084">
        <v>5.6180720000000003E-2</v>
      </c>
      <c r="AA3084">
        <v>0.9973611</v>
      </c>
      <c r="AB3084">
        <v>24</v>
      </c>
      <c r="AC3084">
        <v>4.1028999999999698</v>
      </c>
      <c r="AD3084">
        <v>-1.1102581829459901</v>
      </c>
      <c r="AE3084">
        <v>-18.9054</v>
      </c>
      <c r="AF3084">
        <v>-0.90136426461388997</v>
      </c>
      <c r="AG3084">
        <v>-1.1102581829459901</v>
      </c>
      <c r="AH3084">
        <v>19.260899786580001</v>
      </c>
      <c r="AI3084">
        <v>93.295457631237994</v>
      </c>
      <c r="AJ3084">
        <v>92.679351303143207</v>
      </c>
      <c r="AK3084">
        <v>19.313917038213699</v>
      </c>
      <c r="AL3084">
        <v>89.483183320213399</v>
      </c>
      <c r="AM3084">
        <v>89.838180993619105</v>
      </c>
      <c r="AN3084">
        <v>1.00000006940275</v>
      </c>
    </row>
    <row r="3085" spans="1:40" x14ac:dyDescent="0.25">
      <c r="A3085" t="str">
        <f>"20190312160352435"</f>
        <v>20190312160352435</v>
      </c>
      <c r="B3085" t="str">
        <f>"1552377832427376"</f>
        <v>1552377832427376</v>
      </c>
      <c r="C3085" t="s">
        <v>40</v>
      </c>
      <c r="D3085">
        <v>5.4806309999999998</v>
      </c>
      <c r="E3085">
        <v>0.48315839999999999</v>
      </c>
      <c r="F3085" t="s">
        <v>41</v>
      </c>
      <c r="G3085">
        <v>-491.1422</v>
      </c>
      <c r="H3085" s="1">
        <v>-2.9652250000000001E-6</v>
      </c>
      <c r="I3085">
        <v>235.7927</v>
      </c>
      <c r="J3085">
        <v>-495.2937</v>
      </c>
      <c r="K3085">
        <v>1.110161</v>
      </c>
      <c r="L3085">
        <v>254.87389999999999</v>
      </c>
      <c r="M3085">
        <v>0.1665441</v>
      </c>
      <c r="N3085">
        <v>0</v>
      </c>
      <c r="O3085">
        <v>-0.98595739999999998</v>
      </c>
      <c r="P3085">
        <v>0.16438369999999999</v>
      </c>
      <c r="Q3085">
        <v>-2.9510280000000001E-3</v>
      </c>
      <c r="R3085">
        <v>-0.9863923</v>
      </c>
      <c r="S3085">
        <v>0.63659670000000002</v>
      </c>
      <c r="T3085">
        <v>-0.16836229999999999</v>
      </c>
      <c r="U3085">
        <v>-2.9348749999999999</v>
      </c>
      <c r="V3085">
        <v>2.1991950000000001E-3</v>
      </c>
      <c r="W3085">
        <v>9.3523740000000001E-3</v>
      </c>
      <c r="X3085">
        <v>0.99995389999999995</v>
      </c>
      <c r="Y3085">
        <v>-4.5915589999999999E-2</v>
      </c>
      <c r="Z3085">
        <v>5.5408180000000001E-2</v>
      </c>
      <c r="AA3085">
        <v>0.9974075</v>
      </c>
      <c r="AB3085">
        <v>24</v>
      </c>
      <c r="AC3085">
        <v>4.1514999999999898</v>
      </c>
      <c r="AD3085">
        <v>-1.1101639652249999</v>
      </c>
      <c r="AE3085">
        <v>-19.0811999999999</v>
      </c>
      <c r="AF3085">
        <v>-0.912460903632626</v>
      </c>
      <c r="AG3085">
        <v>-1.1101639652249999</v>
      </c>
      <c r="AH3085">
        <v>19.443290142187799</v>
      </c>
      <c r="AI3085">
        <v>93.264314831426304</v>
      </c>
      <c r="AJ3085">
        <v>92.686882159893003</v>
      </c>
      <c r="AK3085">
        <v>19.496322229683201</v>
      </c>
      <c r="AL3085">
        <v>89.464140657781797</v>
      </c>
      <c r="AM3085">
        <v>89.873989802260397</v>
      </c>
      <c r="AN3085">
        <v>1.0000000527416399</v>
      </c>
    </row>
    <row r="3086" spans="1:40" x14ac:dyDescent="0.25">
      <c r="A3086" t="str">
        <f>"20190312160352447"</f>
        <v>20190312160352447</v>
      </c>
      <c r="B3086" t="str">
        <f>"1552377832437136"</f>
        <v>1552377832437136</v>
      </c>
      <c r="C3086" t="s">
        <v>40</v>
      </c>
      <c r="D3086">
        <v>5.4701899999999997</v>
      </c>
      <c r="E3086">
        <v>0.48330339999999999</v>
      </c>
      <c r="F3086" t="s">
        <v>41</v>
      </c>
      <c r="G3086">
        <v>-490.99959999999999</v>
      </c>
      <c r="H3086" s="1">
        <v>-2.6277069999999998E-6</v>
      </c>
      <c r="I3086">
        <v>235.09440000000001</v>
      </c>
      <c r="J3086">
        <v>-495.2715</v>
      </c>
      <c r="K3086">
        <v>1.110123</v>
      </c>
      <c r="L3086">
        <v>254.74440000000001</v>
      </c>
      <c r="M3086">
        <v>0.1666887</v>
      </c>
      <c r="N3086">
        <v>0</v>
      </c>
      <c r="O3086">
        <v>-0.98593310000000001</v>
      </c>
      <c r="P3086">
        <v>0.1650172</v>
      </c>
      <c r="Q3086">
        <v>-3.1402320000000002E-3</v>
      </c>
      <c r="R3086">
        <v>-0.9862862</v>
      </c>
      <c r="S3086">
        <v>0.63711549999999995</v>
      </c>
      <c r="T3086">
        <v>-0.16471659999999999</v>
      </c>
      <c r="U3086">
        <v>-2.934723</v>
      </c>
      <c r="V3086">
        <v>1.7044629999999901E-3</v>
      </c>
      <c r="W3086">
        <v>9.1611699999999997E-3</v>
      </c>
      <c r="X3086">
        <v>0.99995659999999997</v>
      </c>
      <c r="Y3086">
        <v>-4.5962389999999999E-2</v>
      </c>
      <c r="Z3086">
        <v>5.4211710000000003E-2</v>
      </c>
      <c r="AA3086">
        <v>0.99747110000000005</v>
      </c>
      <c r="AB3086">
        <v>24</v>
      </c>
      <c r="AC3086">
        <v>4.2719000000000102</v>
      </c>
      <c r="AD3086">
        <v>-1.110125627707</v>
      </c>
      <c r="AE3086">
        <v>-19.649999999999999</v>
      </c>
      <c r="AF3086">
        <v>-0.93359998923773502</v>
      </c>
      <c r="AG3086">
        <v>-1.110125627707</v>
      </c>
      <c r="AH3086">
        <v>20.0261450304092</v>
      </c>
      <c r="AI3086">
        <v>93.169441108323198</v>
      </c>
      <c r="AJ3086">
        <v>92.669142660783294</v>
      </c>
      <c r="AK3086">
        <v>20.0786073378653</v>
      </c>
      <c r="AL3086">
        <v>89.475096290107999</v>
      </c>
      <c r="AM3086">
        <v>89.902337319783797</v>
      </c>
      <c r="AN3086">
        <v>1.00000001705672</v>
      </c>
    </row>
    <row r="3087" spans="1:40" x14ac:dyDescent="0.25">
      <c r="A3087" t="str">
        <f>"20190312160352459"</f>
        <v>20190312160352459</v>
      </c>
      <c r="B3087" t="str">
        <f>"1552377832447872"</f>
        <v>1552377832447872</v>
      </c>
      <c r="C3087" t="s">
        <v>40</v>
      </c>
      <c r="D3087">
        <v>5.4290960000000004</v>
      </c>
      <c r="E3087">
        <v>0.48348669999999999</v>
      </c>
      <c r="F3087" t="s">
        <v>41</v>
      </c>
      <c r="G3087">
        <v>-490.95350000000002</v>
      </c>
      <c r="H3087" s="1">
        <v>-2.5211610000000001E-6</v>
      </c>
      <c r="I3087">
        <v>234.87459999999999</v>
      </c>
      <c r="J3087">
        <v>-495.2509</v>
      </c>
      <c r="K3087">
        <v>1.1100829999999999</v>
      </c>
      <c r="L3087">
        <v>254.62299999999999</v>
      </c>
      <c r="M3087">
        <v>0.16677620000000001</v>
      </c>
      <c r="N3087">
        <v>0</v>
      </c>
      <c r="O3087">
        <v>-0.98591799999999996</v>
      </c>
      <c r="P3087">
        <v>0.1652679</v>
      </c>
      <c r="Q3087">
        <v>-3.0394810000000001E-3</v>
      </c>
      <c r="R3087">
        <v>-0.98624409999999896</v>
      </c>
      <c r="S3087">
        <v>0.63772580000000001</v>
      </c>
      <c r="T3087">
        <v>-0.16395119999999999</v>
      </c>
      <c r="U3087">
        <v>-2.9345089999999998</v>
      </c>
      <c r="V3087">
        <v>1.5399140000000001E-3</v>
      </c>
      <c r="W3087">
        <v>9.2603479999999998E-3</v>
      </c>
      <c r="X3087">
        <v>0.99995599999999996</v>
      </c>
      <c r="Y3087">
        <v>-4.6089720000000001E-2</v>
      </c>
      <c r="Z3087">
        <v>5.3961820000000001E-2</v>
      </c>
      <c r="AA3087">
        <v>0.99747870000000005</v>
      </c>
      <c r="AB3087">
        <v>24</v>
      </c>
      <c r="AC3087">
        <v>4.2973999999999801</v>
      </c>
      <c r="AD3087">
        <v>-1.1100855211609999</v>
      </c>
      <c r="AE3087">
        <v>-19.7484</v>
      </c>
      <c r="AF3087">
        <v>-0.94055479357204197</v>
      </c>
      <c r="AG3087">
        <v>-1.1100855211609999</v>
      </c>
      <c r="AH3087">
        <v>20.127812462762201</v>
      </c>
      <c r="AI3087">
        <v>93.153334533792304</v>
      </c>
      <c r="AJ3087">
        <v>92.675434635638695</v>
      </c>
      <c r="AK3087">
        <v>20.180331209376298</v>
      </c>
      <c r="AL3087">
        <v>89.469413593048102</v>
      </c>
      <c r="AM3087">
        <v>89.911765614421398</v>
      </c>
      <c r="AN3087">
        <v>1.0000000636580999</v>
      </c>
    </row>
    <row r="3088" spans="1:40" x14ac:dyDescent="0.25">
      <c r="A3088" t="str">
        <f>"20190312160352477"</f>
        <v>20190312160352477</v>
      </c>
      <c r="B3088" t="str">
        <f>"1552377832467395"</f>
        <v>1552377832467395</v>
      </c>
      <c r="C3088" t="s">
        <v>40</v>
      </c>
      <c r="D3088">
        <v>5.394298</v>
      </c>
      <c r="E3088">
        <v>0.483761</v>
      </c>
      <c r="F3088" t="s">
        <v>41</v>
      </c>
      <c r="G3088">
        <v>-490.89870000000002</v>
      </c>
      <c r="H3088" s="1">
        <v>-2.3736550000000001E-6</v>
      </c>
      <c r="I3088">
        <v>234.56479999999999</v>
      </c>
      <c r="J3088">
        <v>-495.2192</v>
      </c>
      <c r="K3088">
        <v>1.1100270000000001</v>
      </c>
      <c r="L3088">
        <v>254.43709999999999</v>
      </c>
      <c r="M3088">
        <v>0.16687289999999999</v>
      </c>
      <c r="N3088">
        <v>0</v>
      </c>
      <c r="O3088">
        <v>-0.98590199999999995</v>
      </c>
      <c r="P3088">
        <v>0.16586129999999999</v>
      </c>
      <c r="Q3088">
        <v>-3.2535749999999999E-3</v>
      </c>
      <c r="R3088">
        <v>-0.98614409999999997</v>
      </c>
      <c r="S3088">
        <v>0.63674929999999996</v>
      </c>
      <c r="T3088">
        <v>-0.16241159999999999</v>
      </c>
      <c r="U3088">
        <v>-2.934631</v>
      </c>
      <c r="V3088">
        <v>1.037481E-3</v>
      </c>
      <c r="W3088">
        <v>9.0433969999999999E-3</v>
      </c>
      <c r="X3088">
        <v>0.99995860000000003</v>
      </c>
      <c r="Y3088">
        <v>-4.5671999999999997E-2</v>
      </c>
      <c r="Z3088">
        <v>5.3455469999999998E-2</v>
      </c>
      <c r="AA3088">
        <v>0.9975252</v>
      </c>
      <c r="AB3088">
        <v>24</v>
      </c>
      <c r="AC3088">
        <v>4.3204999999999796</v>
      </c>
      <c r="AD3088">
        <v>-1.110029373655</v>
      </c>
      <c r="AE3088">
        <v>-19.872299999999999</v>
      </c>
      <c r="AF3088">
        <v>-0.94070968905395702</v>
      </c>
      <c r="AG3088">
        <v>-1.110029373655</v>
      </c>
      <c r="AH3088">
        <v>20.254301562731001</v>
      </c>
      <c r="AI3088">
        <v>93.133564305785299</v>
      </c>
      <c r="AJ3088">
        <v>92.659187694816495</v>
      </c>
      <c r="AK3088">
        <v>20.306497278543699</v>
      </c>
      <c r="AL3088">
        <v>89.481844472386101</v>
      </c>
      <c r="AM3088">
        <v>89.940554277651401</v>
      </c>
      <c r="AN3088">
        <v>1.0000000305550401</v>
      </c>
    </row>
    <row r="3089" spans="1:40" x14ac:dyDescent="0.25">
      <c r="A3089" t="str">
        <f>"20190312160352490"</f>
        <v>20190312160352490</v>
      </c>
      <c r="B3089" t="str">
        <f>"1552377832487890"</f>
        <v>1552377832487890</v>
      </c>
      <c r="C3089" t="s">
        <v>40</v>
      </c>
      <c r="D3089">
        <v>5.4722109999999997</v>
      </c>
      <c r="E3089">
        <v>0.48394140000000002</v>
      </c>
      <c r="F3089" t="s">
        <v>41</v>
      </c>
      <c r="G3089">
        <v>-490.81979999999999</v>
      </c>
      <c r="H3089" s="1">
        <v>-2.1770169999999999E-6</v>
      </c>
      <c r="I3089">
        <v>234.15530000000001</v>
      </c>
      <c r="J3089">
        <v>-495.19540000000001</v>
      </c>
      <c r="K3089">
        <v>1.1099889999999999</v>
      </c>
      <c r="L3089">
        <v>254.2971</v>
      </c>
      <c r="M3089">
        <v>0.166913899999999</v>
      </c>
      <c r="N3089">
        <v>0</v>
      </c>
      <c r="O3089">
        <v>-0.98589519999999997</v>
      </c>
      <c r="P3089">
        <v>0.16580339999999999</v>
      </c>
      <c r="Q3089">
        <v>-3.2885420000000002E-3</v>
      </c>
      <c r="R3089">
        <v>-0.98615399999999998</v>
      </c>
      <c r="S3089">
        <v>0.63653559999999998</v>
      </c>
      <c r="T3089">
        <v>-0.1606089</v>
      </c>
      <c r="U3089">
        <v>-2.934555</v>
      </c>
      <c r="V3089">
        <v>1.138607E-3</v>
      </c>
      <c r="W3089">
        <v>9.007157E-3</v>
      </c>
      <c r="X3089">
        <v>0.99995880000000004</v>
      </c>
      <c r="Y3089">
        <v>-4.5573280000000001E-2</v>
      </c>
      <c r="Z3089">
        <v>5.2865160000000001E-2</v>
      </c>
      <c r="AA3089">
        <v>0.99756120000000004</v>
      </c>
      <c r="AB3089">
        <v>24</v>
      </c>
      <c r="AC3089">
        <v>4.3756000000000199</v>
      </c>
      <c r="AD3089">
        <v>-1.1099911770169999</v>
      </c>
      <c r="AE3089">
        <v>-20.1417999999999</v>
      </c>
      <c r="AF3089">
        <v>-0.94925528935580195</v>
      </c>
      <c r="AG3089">
        <v>-1.1099911770169999</v>
      </c>
      <c r="AH3089">
        <v>20.530061237258799</v>
      </c>
      <c r="AI3089">
        <v>93.091479932613098</v>
      </c>
      <c r="AJ3089">
        <v>92.647318583502894</v>
      </c>
      <c r="AK3089">
        <v>20.581947925865101</v>
      </c>
      <c r="AL3089">
        <v>89.483920947142806</v>
      </c>
      <c r="AM3089">
        <v>89.934759964680595</v>
      </c>
      <c r="AN3089">
        <v>1.00000001350028</v>
      </c>
    </row>
    <row r="3090" spans="1:40" x14ac:dyDescent="0.25">
      <c r="A3090" t="str">
        <f>"20190312160352504"</f>
        <v>20190312160352504</v>
      </c>
      <c r="B3090" t="str">
        <f>"1552377832497648"</f>
        <v>1552377832497648</v>
      </c>
      <c r="C3090" t="s">
        <v>40</v>
      </c>
      <c r="D3090">
        <v>5.5625720000000003</v>
      </c>
      <c r="E3090">
        <v>0.48394140000000002</v>
      </c>
      <c r="F3090" t="s">
        <v>41</v>
      </c>
      <c r="G3090">
        <v>-490.78539999999998</v>
      </c>
      <c r="H3090" s="1">
        <v>-2.0608670000000002E-6</v>
      </c>
      <c r="I3090">
        <v>233.9059</v>
      </c>
      <c r="J3090">
        <v>-495.17079999999999</v>
      </c>
      <c r="K3090">
        <v>1.109955</v>
      </c>
      <c r="L3090">
        <v>254.15260000000001</v>
      </c>
      <c r="M3090">
        <v>0.1669243</v>
      </c>
      <c r="N3090">
        <v>0</v>
      </c>
      <c r="O3090">
        <v>-0.98589309999999997</v>
      </c>
      <c r="P3090">
        <v>0.16580810000000001</v>
      </c>
      <c r="Q3090">
        <v>-3.1764110000000001E-3</v>
      </c>
      <c r="R3090">
        <v>-0.98615319999999995</v>
      </c>
      <c r="S3090">
        <v>0.6347351</v>
      </c>
      <c r="T3090">
        <v>-0.15976129999999999</v>
      </c>
      <c r="U3090">
        <v>-2.9349059999999998</v>
      </c>
      <c r="V3090">
        <v>1.1451709999999999E-3</v>
      </c>
      <c r="W3090">
        <v>9.1182550000000005E-3</v>
      </c>
      <c r="X3090">
        <v>0.99995780000000001</v>
      </c>
      <c r="Y3090">
        <v>-4.4956570000000001E-2</v>
      </c>
      <c r="Z3090">
        <v>5.2584800000000001E-2</v>
      </c>
      <c r="AA3090">
        <v>0.99760400000000005</v>
      </c>
      <c r="AB3090">
        <v>24</v>
      </c>
      <c r="AC3090">
        <v>4.3853999999999997</v>
      </c>
      <c r="AD3090">
        <v>-1.109957060867</v>
      </c>
      <c r="AE3090">
        <v>-20.246700000000001</v>
      </c>
      <c r="AF3090">
        <v>-0.94123863774913497</v>
      </c>
      <c r="AG3090">
        <v>-1.109957060867</v>
      </c>
      <c r="AH3090">
        <v>20.635436131043001</v>
      </c>
      <c r="AI3090">
        <v>93.075717190744797</v>
      </c>
      <c r="AJ3090">
        <v>92.611606926352394</v>
      </c>
      <c r="AK3090">
        <v>20.6866903870222</v>
      </c>
      <c r="AL3090">
        <v>89.477555246807398</v>
      </c>
      <c r="AM3090">
        <v>89.934383794559906</v>
      </c>
      <c r="AN3090">
        <v>1.0000000278858501</v>
      </c>
    </row>
    <row r="3091" spans="1:40" x14ac:dyDescent="0.25">
      <c r="A3091" t="str">
        <f>"20190312160352523"</f>
        <v>20190312160352523</v>
      </c>
      <c r="B3091" t="str">
        <f>"1552377832517167"</f>
        <v>1552377832517167</v>
      </c>
      <c r="C3091" t="s">
        <v>40</v>
      </c>
      <c r="D3091">
        <v>5.4636649999999998</v>
      </c>
      <c r="E3091">
        <v>0.4817343</v>
      </c>
      <c r="F3091" t="s">
        <v>41</v>
      </c>
      <c r="G3091">
        <v>-490.75349999999997</v>
      </c>
      <c r="H3091" s="1">
        <v>-1.9758589999999999E-6</v>
      </c>
      <c r="I3091">
        <v>233.72749999999999</v>
      </c>
      <c r="J3091">
        <v>-495.13900000000001</v>
      </c>
      <c r="K3091">
        <v>1.1099270000000001</v>
      </c>
      <c r="L3091">
        <v>253.96459999999999</v>
      </c>
      <c r="M3091">
        <v>0.166905</v>
      </c>
      <c r="N3091">
        <v>0</v>
      </c>
      <c r="O3091">
        <v>-0.98589649999999995</v>
      </c>
      <c r="P3091">
        <v>0.165749799999999</v>
      </c>
      <c r="Q3091">
        <v>-2.7080009999999998E-3</v>
      </c>
      <c r="R3091">
        <v>-0.98616440000000005</v>
      </c>
      <c r="S3091">
        <v>0.6347351</v>
      </c>
      <c r="T3091">
        <v>-0.15949140000000001</v>
      </c>
      <c r="U3091">
        <v>-2.9349059999999998</v>
      </c>
      <c r="V3091">
        <v>1.185853E-3</v>
      </c>
      <c r="W3091">
        <v>9.5845819999999995E-3</v>
      </c>
      <c r="X3091">
        <v>0.99995339999999999</v>
      </c>
      <c r="Y3091">
        <v>-4.4977099999999999E-2</v>
      </c>
      <c r="Z3091">
        <v>5.2496460000000002E-2</v>
      </c>
      <c r="AA3091">
        <v>0.99760769999999999</v>
      </c>
      <c r="AB3091">
        <v>24</v>
      </c>
      <c r="AC3091">
        <v>4.3855000000000297</v>
      </c>
      <c r="AD3091">
        <v>-1.1099289758589901</v>
      </c>
      <c r="AE3091">
        <v>-20.237100000000002</v>
      </c>
      <c r="AF3091">
        <v>-0.94333688721963604</v>
      </c>
      <c r="AG3091">
        <v>-1.1099289758589901</v>
      </c>
      <c r="AH3091">
        <v>20.625945693800102</v>
      </c>
      <c r="AI3091">
        <v>93.077034786679107</v>
      </c>
      <c r="AJ3091">
        <v>92.618623399938301</v>
      </c>
      <c r="AK3091">
        <v>20.677317586617299</v>
      </c>
      <c r="AL3091">
        <v>89.450835514633795</v>
      </c>
      <c r="AM3091">
        <v>89.932052493474998</v>
      </c>
      <c r="AN3091">
        <v>1.0000000363154999</v>
      </c>
    </row>
    <row r="3092" spans="1:40" x14ac:dyDescent="0.25">
      <c r="A3092" t="str">
        <f>"20190312160352536"</f>
        <v>20190312160352536</v>
      </c>
      <c r="B3092" t="str">
        <f>"1552377832527903"</f>
        <v>1552377832527903</v>
      </c>
      <c r="C3092" t="s">
        <v>40</v>
      </c>
      <c r="D3092">
        <v>5.4700439999999997</v>
      </c>
      <c r="E3092">
        <v>0.41018710000000003</v>
      </c>
      <c r="F3092" t="s">
        <v>41</v>
      </c>
      <c r="G3092">
        <v>-490.46559999999999</v>
      </c>
      <c r="H3092" s="1">
        <v>-1.5514680000000001E-6</v>
      </c>
      <c r="I3092">
        <v>232.91679999999999</v>
      </c>
      <c r="J3092">
        <v>-495.11290000000002</v>
      </c>
      <c r="K3092">
        <v>1.1099129999999999</v>
      </c>
      <c r="L3092">
        <v>253.81039999999999</v>
      </c>
      <c r="M3092">
        <v>0.1668694</v>
      </c>
      <c r="N3092">
        <v>0</v>
      </c>
      <c r="O3092">
        <v>-0.98590250000000001</v>
      </c>
      <c r="P3092">
        <v>0.165290299999999</v>
      </c>
      <c r="Q3092">
        <v>-2.2441869999999999E-3</v>
      </c>
      <c r="R3092">
        <v>-0.98624279999999998</v>
      </c>
      <c r="S3092">
        <v>0.65106200000000003</v>
      </c>
      <c r="T3092">
        <v>-0.15462799999999999</v>
      </c>
      <c r="U3092">
        <v>-2.9322360000000001</v>
      </c>
      <c r="V3092">
        <v>1.6164059999999999E-3</v>
      </c>
      <c r="W3092">
        <v>1.004709E-2</v>
      </c>
      <c r="X3092">
        <v>0.99994819999999995</v>
      </c>
      <c r="Y3092">
        <v>-5.0518319999999999E-2</v>
      </c>
      <c r="Z3092">
        <v>5.0909030000000001E-2</v>
      </c>
      <c r="AA3092">
        <v>0.9974248</v>
      </c>
      <c r="AB3092">
        <v>24</v>
      </c>
      <c r="AC3092">
        <v>4.6473000000000297</v>
      </c>
      <c r="AD3092">
        <v>-1.109914551468</v>
      </c>
      <c r="AE3092">
        <v>-20.8935999999999</v>
      </c>
      <c r="AF3092">
        <v>-1.09242735044666</v>
      </c>
      <c r="AG3092">
        <v>-1.109914551468</v>
      </c>
      <c r="AH3092">
        <v>21.318832102079298</v>
      </c>
      <c r="AI3092">
        <v>92.976380375968404</v>
      </c>
      <c r="AJ3092">
        <v>92.933405481208098</v>
      </c>
      <c r="AK3092">
        <v>21.375638236651799</v>
      </c>
      <c r="AL3092">
        <v>89.424334449669601</v>
      </c>
      <c r="AM3092">
        <v>89.907382041277302</v>
      </c>
      <c r="AN3092">
        <v>0.99999997973453203</v>
      </c>
    </row>
    <row r="3093" spans="1:40" x14ac:dyDescent="0.25">
      <c r="A3093" t="str">
        <f>"20190312160352550"</f>
        <v>20190312160352550</v>
      </c>
      <c r="B3093" t="str">
        <f>"1552377832537663"</f>
        <v>1552377832537663</v>
      </c>
      <c r="C3093" t="s">
        <v>40</v>
      </c>
      <c r="D3093">
        <v>5.4856009999999999</v>
      </c>
      <c r="E3093">
        <v>0.40958739999999999</v>
      </c>
      <c r="F3093" t="s">
        <v>41</v>
      </c>
      <c r="G3093">
        <v>-485.88979999999998</v>
      </c>
      <c r="H3093" s="1">
        <v>-1.9797650000000002E-6</v>
      </c>
      <c r="I3093">
        <v>232.25200000000001</v>
      </c>
      <c r="J3093">
        <v>-495.08909999999997</v>
      </c>
      <c r="K3093">
        <v>1.1099049999999999</v>
      </c>
      <c r="L3093">
        <v>253.67019999999999</v>
      </c>
      <c r="M3093">
        <v>0.166828799999999</v>
      </c>
      <c r="N3093">
        <v>0</v>
      </c>
      <c r="O3093">
        <v>-0.98590929999999999</v>
      </c>
      <c r="P3093">
        <v>0.1650692</v>
      </c>
      <c r="Q3093">
        <v>-1.631864E-3</v>
      </c>
      <c r="R3093">
        <v>-0.98628070000000001</v>
      </c>
      <c r="S3093">
        <v>1.214172</v>
      </c>
      <c r="T3093">
        <v>-0.14611489999999999</v>
      </c>
      <c r="U3093">
        <v>-2.8380580000000002</v>
      </c>
      <c r="V3093">
        <v>1.8000189999999999E-3</v>
      </c>
      <c r="W3093">
        <v>1.065836E-2</v>
      </c>
      <c r="X3093">
        <v>0.99994159999999999</v>
      </c>
      <c r="Y3093">
        <v>-0.23397889999999999</v>
      </c>
      <c r="Z3093">
        <v>4.7555800000000002E-2</v>
      </c>
      <c r="AA3093">
        <v>0.97107790000000005</v>
      </c>
      <c r="AB3093">
        <v>24</v>
      </c>
      <c r="AC3093">
        <v>9.1992999999999903</v>
      </c>
      <c r="AD3093">
        <v>-1.1099069797650001</v>
      </c>
      <c r="AE3093">
        <v>-21.418199999999899</v>
      </c>
      <c r="AF3093">
        <v>-5.4844837116552299</v>
      </c>
      <c r="AG3093">
        <v>-1.1099069797650001</v>
      </c>
      <c r="AH3093">
        <v>22.601579956886201</v>
      </c>
      <c r="AI3093">
        <v>92.732228067359102</v>
      </c>
      <c r="AJ3093">
        <v>103.63971475574699</v>
      </c>
      <c r="AK3093">
        <v>23.283961682554398</v>
      </c>
      <c r="AL3093">
        <v>89.389309406094398</v>
      </c>
      <c r="AM3093">
        <v>89.896860596314696</v>
      </c>
      <c r="AN3093">
        <v>1.00000002205842</v>
      </c>
    </row>
    <row r="3094" spans="1:40" x14ac:dyDescent="0.25">
      <c r="A3094" t="str">
        <f>"20190312160352566"</f>
        <v>20190312160352566</v>
      </c>
      <c r="B3094" t="str">
        <f>"1552377832557183"</f>
        <v>1552377832557183</v>
      </c>
      <c r="C3094" t="s">
        <v>40</v>
      </c>
      <c r="D3094">
        <v>5.4423059999999897</v>
      </c>
      <c r="E3094">
        <v>0.4080589</v>
      </c>
      <c r="F3094" t="s">
        <v>41</v>
      </c>
      <c r="G3094">
        <v>-486.06549999999999</v>
      </c>
      <c r="H3094" s="1">
        <v>-2.0703520000000001E-6</v>
      </c>
      <c r="I3094">
        <v>232.65559999999999</v>
      </c>
      <c r="J3094">
        <v>-495.05840000000001</v>
      </c>
      <c r="K3094">
        <v>1.109912</v>
      </c>
      <c r="L3094">
        <v>253.48820000000001</v>
      </c>
      <c r="M3094">
        <v>0.16677169999999999</v>
      </c>
      <c r="N3094">
        <v>0</v>
      </c>
      <c r="O3094">
        <v>-0.98591910000000005</v>
      </c>
      <c r="P3094">
        <v>0.16455229999999901</v>
      </c>
      <c r="Q3094">
        <v>-3.7119820000000001E-4</v>
      </c>
      <c r="R3094">
        <v>-0.98636829999999998</v>
      </c>
      <c r="S3094">
        <v>1.218445</v>
      </c>
      <c r="T3094">
        <v>-0.149868</v>
      </c>
      <c r="U3094">
        <v>-2.837555</v>
      </c>
      <c r="V3094">
        <v>2.266868E-3</v>
      </c>
      <c r="W3094">
        <v>1.191761E-2</v>
      </c>
      <c r="X3094">
        <v>0.99992639999999999</v>
      </c>
      <c r="Y3094">
        <v>-0.2353094</v>
      </c>
      <c r="Z3094">
        <v>4.8761039999999999E-2</v>
      </c>
      <c r="AA3094">
        <v>0.97069660000000002</v>
      </c>
      <c r="AB3094">
        <v>24</v>
      </c>
      <c r="AC3094">
        <v>8.9929000000000094</v>
      </c>
      <c r="AD3094">
        <v>-1.1099140703520001</v>
      </c>
      <c r="AE3094">
        <v>-20.832599999999999</v>
      </c>
      <c r="AF3094">
        <v>-5.37951878861531</v>
      </c>
      <c r="AG3094">
        <v>-1.1099140703520001</v>
      </c>
      <c r="AH3094">
        <v>21.9880705563669</v>
      </c>
      <c r="AI3094">
        <v>92.807072478104004</v>
      </c>
      <c r="AJ3094">
        <v>103.74771881712</v>
      </c>
      <c r="AK3094">
        <v>22.663767966346601</v>
      </c>
      <c r="AL3094">
        <v>89.317155071418298</v>
      </c>
      <c r="AM3094">
        <v>89.870108693392993</v>
      </c>
      <c r="AN3094">
        <v>0.9999999867678</v>
      </c>
    </row>
    <row r="3095" spans="1:40" x14ac:dyDescent="0.25">
      <c r="A3095" t="str">
        <f>"20190312160352578"</f>
        <v>20190312160352578</v>
      </c>
      <c r="B3095" t="str">
        <f>"1552377832567920"</f>
        <v>1552377832567920</v>
      </c>
      <c r="C3095" t="s">
        <v>40</v>
      </c>
      <c r="D3095">
        <v>5.4419909999999998</v>
      </c>
      <c r="E3095">
        <v>0.40795039999999999</v>
      </c>
      <c r="F3095" t="s">
        <v>41</v>
      </c>
      <c r="G3095">
        <v>-485.16120000000001</v>
      </c>
      <c r="H3095" s="1">
        <v>-1.622005E-6</v>
      </c>
      <c r="I3095">
        <v>230.631</v>
      </c>
      <c r="J3095">
        <v>-495.03739999999999</v>
      </c>
      <c r="K3095">
        <v>1.109923</v>
      </c>
      <c r="L3095">
        <v>253.36369999999999</v>
      </c>
      <c r="M3095">
        <v>0.16674</v>
      </c>
      <c r="N3095">
        <v>0</v>
      </c>
      <c r="O3095">
        <v>-0.98592449999999998</v>
      </c>
      <c r="P3095">
        <v>0.1643963</v>
      </c>
      <c r="Q3095">
        <v>1.833173E-4</v>
      </c>
      <c r="R3095">
        <v>-0.98639460000000001</v>
      </c>
      <c r="S3095">
        <v>1.2282409999999999</v>
      </c>
      <c r="T3095">
        <v>-0.1377398</v>
      </c>
      <c r="U3095">
        <v>-2.8365629999999999</v>
      </c>
      <c r="V3095">
        <v>2.3928640000000002E-3</v>
      </c>
      <c r="W3095">
        <v>1.247118E-2</v>
      </c>
      <c r="X3095">
        <v>0.99991940000000001</v>
      </c>
      <c r="Y3095">
        <v>-0.23836370000000001</v>
      </c>
      <c r="Z3095">
        <v>4.4791959999999999E-2</v>
      </c>
      <c r="AA3095">
        <v>0.97014250000000002</v>
      </c>
      <c r="AB3095">
        <v>24</v>
      </c>
      <c r="AC3095">
        <v>9.8761999999999794</v>
      </c>
      <c r="AD3095">
        <v>-1.1099246220049901</v>
      </c>
      <c r="AE3095">
        <v>-22.732700000000001</v>
      </c>
      <c r="AF3095">
        <v>-5.9352826705775898</v>
      </c>
      <c r="AG3095">
        <v>-1.1099246220049901</v>
      </c>
      <c r="AH3095">
        <v>24.013140604996899</v>
      </c>
      <c r="AI3095">
        <v>92.569208789003298</v>
      </c>
      <c r="AJ3095">
        <v>103.883431301063</v>
      </c>
      <c r="AK3095">
        <v>24.760663051734799</v>
      </c>
      <c r="AL3095">
        <v>89.285435519269399</v>
      </c>
      <c r="AM3095">
        <v>89.862888202352494</v>
      </c>
      <c r="AN3095">
        <v>1.0000000313125299</v>
      </c>
    </row>
    <row r="3096" spans="1:40" x14ac:dyDescent="0.25">
      <c r="A3096" t="str">
        <f>"20190312160352590"</f>
        <v>20190312160352590</v>
      </c>
      <c r="B3096" t="str">
        <f>"1552377832587440"</f>
        <v>1552377832587440</v>
      </c>
      <c r="C3096" t="s">
        <v>40</v>
      </c>
      <c r="D3096">
        <v>5.3996240000000002</v>
      </c>
      <c r="E3096">
        <v>0.40791670000000002</v>
      </c>
      <c r="F3096" t="s">
        <v>41</v>
      </c>
      <c r="G3096">
        <v>-484.84280000000001</v>
      </c>
      <c r="H3096" s="1">
        <v>-1.4316589999999999E-6</v>
      </c>
      <c r="I3096">
        <v>229.8228</v>
      </c>
      <c r="J3096">
        <v>-495.01749999999998</v>
      </c>
      <c r="K3096">
        <v>1.109934</v>
      </c>
      <c r="L3096">
        <v>253.24590000000001</v>
      </c>
      <c r="M3096">
        <v>0.1667131</v>
      </c>
      <c r="N3096">
        <v>0</v>
      </c>
      <c r="O3096">
        <v>-0.9859291</v>
      </c>
      <c r="P3096">
        <v>0.16414179999999901</v>
      </c>
      <c r="Q3096">
        <v>6.9809189999999995E-4</v>
      </c>
      <c r="R3096">
        <v>-0.98643689999999995</v>
      </c>
      <c r="S3096">
        <v>1.228424</v>
      </c>
      <c r="T3096">
        <v>-0.13374420000000001</v>
      </c>
      <c r="U3096">
        <v>-2.8366389999999999</v>
      </c>
      <c r="V3096">
        <v>2.6234850000000001E-3</v>
      </c>
      <c r="W3096">
        <v>1.2985170000000001E-2</v>
      </c>
      <c r="X3096">
        <v>0.99991229999999998</v>
      </c>
      <c r="Y3096">
        <v>-0.23845649999999999</v>
      </c>
      <c r="Z3096">
        <v>4.3493450000000003E-2</v>
      </c>
      <c r="AA3096">
        <v>0.97017869999999995</v>
      </c>
      <c r="AB3096">
        <v>24</v>
      </c>
      <c r="AC3096">
        <v>10.1746999999999</v>
      </c>
      <c r="AD3096">
        <v>-1.109935431659</v>
      </c>
      <c r="AE3096">
        <v>-23.423100000000002</v>
      </c>
      <c r="AF3096">
        <v>-6.1155041126217098</v>
      </c>
      <c r="AG3096">
        <v>-1.109935431659</v>
      </c>
      <c r="AH3096">
        <v>24.744894298885601</v>
      </c>
      <c r="AI3096">
        <v>92.493369092711006</v>
      </c>
      <c r="AJ3096">
        <v>103.88202437899901</v>
      </c>
      <c r="AK3096">
        <v>25.5135481867373</v>
      </c>
      <c r="AL3096">
        <v>89.255983692131196</v>
      </c>
      <c r="AM3096">
        <v>89.8496725430807</v>
      </c>
      <c r="AN3096">
        <v>1.00000005250238</v>
      </c>
    </row>
    <row r="3097" spans="1:40" x14ac:dyDescent="0.25">
      <c r="A3097" t="str">
        <f>"20190312160352602"</f>
        <v>20190312160352602</v>
      </c>
      <c r="B3097" t="str">
        <f>"1552377832597200"</f>
        <v>1552377832597200</v>
      </c>
      <c r="C3097" t="s">
        <v>40</v>
      </c>
      <c r="D3097">
        <v>5.4196070000000001</v>
      </c>
      <c r="E3097">
        <v>0.40795999999999999</v>
      </c>
      <c r="F3097" t="s">
        <v>59</v>
      </c>
      <c r="G3097">
        <v>-484.67349999999999</v>
      </c>
      <c r="H3097" s="1">
        <v>5.1421640000000004E-6</v>
      </c>
      <c r="I3097">
        <v>229.34299999999999</v>
      </c>
      <c r="J3097">
        <v>-494.99630000000002</v>
      </c>
      <c r="K3097">
        <v>1.1099460000000001</v>
      </c>
      <c r="L3097">
        <v>253.12039999999999</v>
      </c>
      <c r="M3097">
        <v>0.16669310000000001</v>
      </c>
      <c r="N3097">
        <v>0</v>
      </c>
      <c r="O3097">
        <v>-0.98593220000000004</v>
      </c>
      <c r="P3097">
        <v>0.16406699999999999</v>
      </c>
      <c r="Q3097">
        <v>1.1410890000000001E-3</v>
      </c>
      <c r="R3097">
        <v>-0.98644829999999994</v>
      </c>
      <c r="S3097">
        <v>1.2277530000000001</v>
      </c>
      <c r="T3097">
        <v>-0.13173979999999999</v>
      </c>
      <c r="U3097">
        <v>-2.8370820000000001</v>
      </c>
      <c r="V3097">
        <v>2.6786990000000001E-3</v>
      </c>
      <c r="W3097">
        <v>1.342716E-2</v>
      </c>
      <c r="X3097">
        <v>0.99990619999999997</v>
      </c>
      <c r="Y3097">
        <v>-0.2382388</v>
      </c>
      <c r="Z3097">
        <v>4.2840059999999999E-2</v>
      </c>
      <c r="AA3097">
        <v>0.97026129999999999</v>
      </c>
      <c r="AB3097">
        <v>24</v>
      </c>
      <c r="AC3097">
        <v>10.322800000000001</v>
      </c>
      <c r="AD3097">
        <v>-1.1099408578359999</v>
      </c>
      <c r="AE3097">
        <v>-23.7774</v>
      </c>
      <c r="AF3097">
        <v>-6.2031485258323098</v>
      </c>
      <c r="AG3097">
        <v>-1.1099408578359999</v>
      </c>
      <c r="AH3097">
        <v>25.119488876869099</v>
      </c>
      <c r="AI3097">
        <v>92.456356772010395</v>
      </c>
      <c r="AJ3097">
        <v>103.871418338564</v>
      </c>
      <c r="AK3097">
        <v>25.897871375396502</v>
      </c>
      <c r="AL3097">
        <v>89.230657233768895</v>
      </c>
      <c r="AM3097">
        <v>89.846507822305597</v>
      </c>
      <c r="AN3097">
        <v>0.99999993642621698</v>
      </c>
    </row>
    <row r="3098" spans="1:40" x14ac:dyDescent="0.25">
      <c r="A3098" t="str">
        <f>"20190312160352614"</f>
        <v>20190312160352614</v>
      </c>
      <c r="B3098" t="str">
        <f>"1552377832607935"</f>
        <v>1552377832607935</v>
      </c>
      <c r="C3098" t="s">
        <v>40</v>
      </c>
      <c r="D3098">
        <v>5.4047260000000001</v>
      </c>
      <c r="E3098">
        <v>0.40820960000000001</v>
      </c>
      <c r="F3098" t="s">
        <v>59</v>
      </c>
      <c r="G3098">
        <v>-484.60129999999998</v>
      </c>
      <c r="H3098" s="1">
        <v>5.0445970000000001E-6</v>
      </c>
      <c r="I3098">
        <v>229.09010000000001</v>
      </c>
      <c r="J3098">
        <v>-494.97480000000002</v>
      </c>
      <c r="K3098">
        <v>1.1099600000000001</v>
      </c>
      <c r="L3098">
        <v>252.9931</v>
      </c>
      <c r="M3098">
        <v>0.1666801</v>
      </c>
      <c r="N3098">
        <v>0</v>
      </c>
      <c r="O3098">
        <v>-0.98593459999999999</v>
      </c>
      <c r="P3098">
        <v>0.16403000000000001</v>
      </c>
      <c r="Q3098">
        <v>1.318535E-3</v>
      </c>
      <c r="R3098">
        <v>-0.98645479999999997</v>
      </c>
      <c r="S3098">
        <v>1.227325</v>
      </c>
      <c r="T3098">
        <v>-0.1310491</v>
      </c>
      <c r="U3098">
        <v>-2.8372190000000002</v>
      </c>
      <c r="V3098">
        <v>2.7026770000000001E-3</v>
      </c>
      <c r="W3098">
        <v>1.3604049999999999E-2</v>
      </c>
      <c r="X3098">
        <v>0.99990380000000001</v>
      </c>
      <c r="Y3098">
        <v>-0.2381153</v>
      </c>
      <c r="Z3098">
        <v>4.2616029999999999E-2</v>
      </c>
      <c r="AA3098">
        <v>0.97030150000000004</v>
      </c>
      <c r="AB3098">
        <v>24</v>
      </c>
      <c r="AC3098">
        <v>10.3735</v>
      </c>
      <c r="AD3098">
        <v>-1.1099549554029999</v>
      </c>
      <c r="AE3098">
        <v>-23.902999999999899</v>
      </c>
      <c r="AF3098">
        <v>-6.2325994147206503</v>
      </c>
      <c r="AG3098">
        <v>-1.1099549554029999</v>
      </c>
      <c r="AH3098">
        <v>25.2519366802116</v>
      </c>
      <c r="AI3098">
        <v>92.4435929394797</v>
      </c>
      <c r="AJ3098">
        <v>103.86445389124999</v>
      </c>
      <c r="AK3098">
        <v>26.033393969454199</v>
      </c>
      <c r="AL3098">
        <v>89.220521300133299</v>
      </c>
      <c r="AM3098">
        <v>89.845133493462697</v>
      </c>
      <c r="AN3098">
        <v>0.99999999194690403</v>
      </c>
    </row>
    <row r="3099" spans="1:40" x14ac:dyDescent="0.25">
      <c r="A3099" t="str">
        <f>"20190312160352626"</f>
        <v>20190312160352626</v>
      </c>
      <c r="B3099" t="str">
        <f>"1552377832617695"</f>
        <v>1552377832617695</v>
      </c>
      <c r="C3099" t="s">
        <v>40</v>
      </c>
      <c r="D3099">
        <v>5.4022670000000002</v>
      </c>
      <c r="E3099">
        <v>0.4082906</v>
      </c>
      <c r="F3099" t="s">
        <v>59</v>
      </c>
      <c r="G3099">
        <v>-484.72649999999999</v>
      </c>
      <c r="H3099" s="1">
        <v>5.1328229999999998E-6</v>
      </c>
      <c r="I3099">
        <v>229.26730000000001</v>
      </c>
      <c r="J3099">
        <v>-494.9529</v>
      </c>
      <c r="K3099">
        <v>1.109972</v>
      </c>
      <c r="L3099">
        <v>252.863</v>
      </c>
      <c r="M3099">
        <v>0.16667199999999999</v>
      </c>
      <c r="N3099">
        <v>0</v>
      </c>
      <c r="O3099">
        <v>-0.98593620000000004</v>
      </c>
      <c r="P3099">
        <v>0.1639668</v>
      </c>
      <c r="Q3099">
        <v>1.6411430000000001E-3</v>
      </c>
      <c r="R3099">
        <v>-0.98646460000000002</v>
      </c>
      <c r="S3099">
        <v>1.2256769999999999</v>
      </c>
      <c r="T3099">
        <v>-0.132748799999999</v>
      </c>
      <c r="U3099">
        <v>-2.8375699999999999</v>
      </c>
      <c r="V3099">
        <v>2.7580439999999999E-3</v>
      </c>
      <c r="W3099">
        <v>1.392636E-2</v>
      </c>
      <c r="X3099">
        <v>0.99989919999999999</v>
      </c>
      <c r="Y3099">
        <v>-0.23759520000000001</v>
      </c>
      <c r="Z3099">
        <v>4.3170479999999997E-2</v>
      </c>
      <c r="AA3099">
        <v>0.9704045</v>
      </c>
      <c r="AB3099">
        <v>24</v>
      </c>
      <c r="AC3099">
        <v>10.2264</v>
      </c>
      <c r="AD3099">
        <v>-1.109966867177</v>
      </c>
      <c r="AE3099">
        <v>-23.595699999999901</v>
      </c>
      <c r="AF3099">
        <v>-6.1388612175872801</v>
      </c>
      <c r="AG3099">
        <v>-1.109966867177</v>
      </c>
      <c r="AH3099">
        <v>24.923754010987899</v>
      </c>
      <c r="AI3099">
        <v>92.476049355982497</v>
      </c>
      <c r="AJ3099">
        <v>103.836851036399</v>
      </c>
      <c r="AK3099">
        <v>25.692628466065202</v>
      </c>
      <c r="AL3099">
        <v>89.202052538043205</v>
      </c>
      <c r="AM3099">
        <v>89.841960189441394</v>
      </c>
      <c r="AN3099">
        <v>0.99999998023509695</v>
      </c>
    </row>
    <row r="3100" spans="1:40" x14ac:dyDescent="0.25">
      <c r="A3100" t="str">
        <f>"20190312160352638"</f>
        <v>20190312160352638</v>
      </c>
      <c r="B3100" t="str">
        <f>"1552377832627456"</f>
        <v>1552377832627456</v>
      </c>
      <c r="C3100" t="s">
        <v>40</v>
      </c>
      <c r="D3100">
        <v>5.39663</v>
      </c>
      <c r="E3100">
        <v>0.40835399999999999</v>
      </c>
      <c r="F3100" t="s">
        <v>59</v>
      </c>
      <c r="G3100">
        <v>-484.76729999999998</v>
      </c>
      <c r="H3100" s="1">
        <v>5.1468719999999999E-6</v>
      </c>
      <c r="I3100">
        <v>229.27760000000001</v>
      </c>
      <c r="J3100">
        <v>-494.9323</v>
      </c>
      <c r="K3100">
        <v>1.1099859999999999</v>
      </c>
      <c r="L3100">
        <v>252.74160000000001</v>
      </c>
      <c r="M3100">
        <v>0.16667290000000001</v>
      </c>
      <c r="N3100">
        <v>0</v>
      </c>
      <c r="O3100">
        <v>-0.98593569999999997</v>
      </c>
      <c r="P3100">
        <v>0.16398699999999999</v>
      </c>
      <c r="Q3100">
        <v>1.968746E-3</v>
      </c>
      <c r="R3100">
        <v>-0.98646040000000002</v>
      </c>
      <c r="S3100">
        <v>1.2254940000000001</v>
      </c>
      <c r="T3100">
        <v>-0.13354849999999999</v>
      </c>
      <c r="U3100">
        <v>-2.8377379999999999</v>
      </c>
      <c r="V3100">
        <v>2.7380479999999999E-3</v>
      </c>
      <c r="W3100">
        <v>1.425391E-2</v>
      </c>
      <c r="X3100">
        <v>0.99989470000000003</v>
      </c>
      <c r="Y3100">
        <v>-0.23751610000000001</v>
      </c>
      <c r="Z3100">
        <v>4.3428609999999999E-2</v>
      </c>
      <c r="AA3100">
        <v>0.97041230000000001</v>
      </c>
      <c r="AB3100">
        <v>24</v>
      </c>
      <c r="AC3100">
        <v>10.164999999999999</v>
      </c>
      <c r="AD3100">
        <v>-1.109980853128</v>
      </c>
      <c r="AE3100">
        <v>-23.463999999999999</v>
      </c>
      <c r="AF3100">
        <v>-6.1001907093368999</v>
      </c>
      <c r="AG3100">
        <v>-1.109980853128</v>
      </c>
      <c r="AH3100">
        <v>24.783402232533099</v>
      </c>
      <c r="AI3100">
        <v>92.490180834916998</v>
      </c>
      <c r="AJ3100">
        <v>103.82791186841099</v>
      </c>
      <c r="AK3100">
        <v>25.5472388019551</v>
      </c>
      <c r="AL3100">
        <v>89.1832834913927</v>
      </c>
      <c r="AM3100">
        <v>89.843105276596901</v>
      </c>
      <c r="AN3100">
        <v>1.00000004097261</v>
      </c>
    </row>
    <row r="3101" spans="1:40" x14ac:dyDescent="0.25">
      <c r="A3101" t="str">
        <f>"20190312160352655"</f>
        <v>20190312160352655</v>
      </c>
      <c r="B3101" t="str">
        <f>"1552377832647951"</f>
        <v>1552377832647951</v>
      </c>
      <c r="C3101" t="s">
        <v>40</v>
      </c>
      <c r="D3101">
        <v>5.382403</v>
      </c>
      <c r="E3101">
        <v>0.40838449999999998</v>
      </c>
      <c r="F3101" t="s">
        <v>59</v>
      </c>
      <c r="G3101">
        <v>-484.75130000000001</v>
      </c>
      <c r="H3101" s="1">
        <v>5.0998029999999997E-6</v>
      </c>
      <c r="I3101">
        <v>229.13939999999999</v>
      </c>
      <c r="J3101">
        <v>-494.9008</v>
      </c>
      <c r="K3101">
        <v>1.110006</v>
      </c>
      <c r="L3101">
        <v>252.5547</v>
      </c>
      <c r="M3101">
        <v>0.16667850000000001</v>
      </c>
      <c r="N3101">
        <v>0</v>
      </c>
      <c r="O3101">
        <v>-0.98593489999999995</v>
      </c>
      <c r="P3101">
        <v>0.16493099999999999</v>
      </c>
      <c r="Q3101">
        <v>2.4523359999999998E-3</v>
      </c>
      <c r="R3101">
        <v>-0.98630220000000002</v>
      </c>
      <c r="S3101">
        <v>1.2241519999999999</v>
      </c>
      <c r="T3101">
        <v>-0.13346240000000001</v>
      </c>
      <c r="U3101">
        <v>-2.8378909999999999</v>
      </c>
      <c r="V3101">
        <v>1.7860459999999999E-3</v>
      </c>
      <c r="W3101">
        <v>1.4736900000000001E-2</v>
      </c>
      <c r="X3101">
        <v>0.99988980000000005</v>
      </c>
      <c r="Y3101">
        <v>-0.23710500000000001</v>
      </c>
      <c r="Z3101">
        <v>4.3404619999999998E-2</v>
      </c>
      <c r="AA3101">
        <v>0.97051390000000004</v>
      </c>
      <c r="AB3101">
        <v>24</v>
      </c>
      <c r="AC3101">
        <v>10.1494999999999</v>
      </c>
      <c r="AD3101">
        <v>-1.1100009001969999</v>
      </c>
      <c r="AE3101">
        <v>-23.415299999999998</v>
      </c>
      <c r="AF3101">
        <v>-6.0928526138809298</v>
      </c>
      <c r="AG3101">
        <v>-1.1100009001969999</v>
      </c>
      <c r="AH3101">
        <v>24.7327423148093</v>
      </c>
      <c r="AI3101">
        <v>92.495199985864801</v>
      </c>
      <c r="AJ3101">
        <v>103.83911953464499</v>
      </c>
      <c r="AK3101">
        <v>25.496342823700601</v>
      </c>
      <c r="AL3101">
        <v>89.155607252190606</v>
      </c>
      <c r="AM3101">
        <v>89.897655932703898</v>
      </c>
      <c r="AN3101">
        <v>0.99999998916298105</v>
      </c>
    </row>
    <row r="3102" spans="1:40" x14ac:dyDescent="0.25">
      <c r="A3102" t="str">
        <f>"20190312160352668"</f>
        <v>20190312160352668</v>
      </c>
      <c r="B3102" t="str">
        <f>"1552377832657711"</f>
        <v>1552377832657711</v>
      </c>
      <c r="C3102" t="s">
        <v>40</v>
      </c>
      <c r="D3102">
        <v>5.4279510000000002</v>
      </c>
      <c r="E3102">
        <v>0.40837879999999999</v>
      </c>
      <c r="F3102" t="s">
        <v>59</v>
      </c>
      <c r="G3102">
        <v>-484.84339999999997</v>
      </c>
      <c r="H3102" s="1">
        <v>5.1738320000000004E-6</v>
      </c>
      <c r="I3102">
        <v>229.29929999999999</v>
      </c>
      <c r="J3102">
        <v>-494.87990000000002</v>
      </c>
      <c r="K3102">
        <v>1.1100179999999999</v>
      </c>
      <c r="L3102">
        <v>252.4315</v>
      </c>
      <c r="M3102">
        <v>0.16668459999999999</v>
      </c>
      <c r="N3102">
        <v>0</v>
      </c>
      <c r="O3102">
        <v>-0.98593399999999998</v>
      </c>
      <c r="P3102">
        <v>0.16549059999999999</v>
      </c>
      <c r="Q3102">
        <v>2.7985200000000001E-3</v>
      </c>
      <c r="R3102">
        <v>-0.98620770000000002</v>
      </c>
      <c r="S3102">
        <v>1.2268680000000001</v>
      </c>
      <c r="T3102">
        <v>-0.13540529999999901</v>
      </c>
      <c r="U3102">
        <v>-2.8368380000000002</v>
      </c>
      <c r="V3102">
        <v>1.224396E-3</v>
      </c>
      <c r="W3102">
        <v>1.508257E-2</v>
      </c>
      <c r="X3102">
        <v>0.99988549999999998</v>
      </c>
      <c r="Y3102">
        <v>-0.23800189999999999</v>
      </c>
      <c r="Z3102">
        <v>4.4037140000000002E-2</v>
      </c>
      <c r="AA3102">
        <v>0.97026590000000001</v>
      </c>
      <c r="AB3102">
        <v>24</v>
      </c>
      <c r="AC3102">
        <v>10.0365</v>
      </c>
      <c r="AD3102">
        <v>-1.110012826168</v>
      </c>
      <c r="AE3102">
        <v>-23.132200000000001</v>
      </c>
      <c r="AF3102">
        <v>-6.0283174515214704</v>
      </c>
      <c r="AG3102">
        <v>-1.110012826168</v>
      </c>
      <c r="AH3102">
        <v>24.434244112258799</v>
      </c>
      <c r="AI3102">
        <v>92.525454285941393</v>
      </c>
      <c r="AJ3102">
        <v>103.85901258725799</v>
      </c>
      <c r="AK3102">
        <v>25.191368067416001</v>
      </c>
      <c r="AL3102">
        <v>89.135799625742607</v>
      </c>
      <c r="AM3102">
        <v>89.929839278409005</v>
      </c>
      <c r="AN3102">
        <v>0.99999999808680895</v>
      </c>
    </row>
    <row r="3103" spans="1:40" x14ac:dyDescent="0.25">
      <c r="A3103" t="str">
        <f>"20190312160352680"</f>
        <v>20190312160352680</v>
      </c>
      <c r="B3103" t="str">
        <f>"1552377832667472"</f>
        <v>1552377832667472</v>
      </c>
      <c r="C3103" t="s">
        <v>40</v>
      </c>
      <c r="D3103">
        <v>5.4016679999999999</v>
      </c>
      <c r="E3103">
        <v>0.40842719999999999</v>
      </c>
      <c r="F3103" t="s">
        <v>59</v>
      </c>
      <c r="G3103">
        <v>-484.82299999999998</v>
      </c>
      <c r="H3103" s="1">
        <v>5.145121E-6</v>
      </c>
      <c r="I3103">
        <v>229.2242</v>
      </c>
      <c r="J3103">
        <v>-494.85730000000001</v>
      </c>
      <c r="K3103">
        <v>1.110026</v>
      </c>
      <c r="L3103">
        <v>252.29769999999999</v>
      </c>
      <c r="M3103">
        <v>0.16669229999999999</v>
      </c>
      <c r="N3103">
        <v>0</v>
      </c>
      <c r="O3103">
        <v>-0.98593249999999999</v>
      </c>
      <c r="P3103">
        <v>0.16601450000000001</v>
      </c>
      <c r="Q3103">
        <v>3.2668300000000001E-3</v>
      </c>
      <c r="R3103">
        <v>-0.98611789999999999</v>
      </c>
      <c r="S3103">
        <v>1.229034</v>
      </c>
      <c r="T3103">
        <v>-0.13565289999999999</v>
      </c>
      <c r="U3103">
        <v>-2.8361360000000002</v>
      </c>
      <c r="V3103">
        <v>7.0046690000000005E-4</v>
      </c>
      <c r="W3103">
        <v>1.555077E-2</v>
      </c>
      <c r="X3103">
        <v>0.99987879999999996</v>
      </c>
      <c r="Y3103">
        <v>-0.23870449999999999</v>
      </c>
      <c r="Z3103">
        <v>4.4117099999999999E-2</v>
      </c>
      <c r="AA3103">
        <v>0.9700896</v>
      </c>
      <c r="AB3103">
        <v>24</v>
      </c>
      <c r="AC3103">
        <v>10.034299999999901</v>
      </c>
      <c r="AD3103">
        <v>-1.110020854879</v>
      </c>
      <c r="AE3103">
        <v>-23.073499999999999</v>
      </c>
      <c r="AF3103">
        <v>-6.0356764496755</v>
      </c>
      <c r="AG3103">
        <v>-1.110020854879</v>
      </c>
      <c r="AH3103">
        <v>24.375952733479199</v>
      </c>
      <c r="AI3103">
        <v>92.530978789520603</v>
      </c>
      <c r="AJ3103">
        <v>103.907171529498</v>
      </c>
      <c r="AK3103">
        <v>25.136598977750499</v>
      </c>
      <c r="AL3103">
        <v>89.1089705655572</v>
      </c>
      <c r="AM3103">
        <v>89.959861344701807</v>
      </c>
      <c r="AN3103">
        <v>0.99999996589545403</v>
      </c>
    </row>
    <row r="3104" spans="1:40" x14ac:dyDescent="0.25">
      <c r="A3104" t="str">
        <f>"20190312160352691"</f>
        <v>20190312160352691</v>
      </c>
      <c r="B3104" t="str">
        <f>"1552377832687967"</f>
        <v>1552377832687967</v>
      </c>
      <c r="C3104" t="s">
        <v>40</v>
      </c>
      <c r="D3104">
        <v>5.3858300000000003</v>
      </c>
      <c r="E3104">
        <v>0.40838459999999899</v>
      </c>
      <c r="F3104" t="s">
        <v>59</v>
      </c>
      <c r="G3104">
        <v>-484.83179999999999</v>
      </c>
      <c r="H3104" s="1">
        <v>5.1364280000000004E-6</v>
      </c>
      <c r="I3104">
        <v>229.1885</v>
      </c>
      <c r="J3104">
        <v>-494.8372</v>
      </c>
      <c r="K3104">
        <v>1.1100319999999999</v>
      </c>
      <c r="L3104">
        <v>252.1789</v>
      </c>
      <c r="M3104">
        <v>0.16669900000000001</v>
      </c>
      <c r="N3104">
        <v>0</v>
      </c>
      <c r="O3104">
        <v>-0.98593149999999996</v>
      </c>
      <c r="P3104">
        <v>0.16654229999999901</v>
      </c>
      <c r="Q3104">
        <v>3.682748E-3</v>
      </c>
      <c r="R3104">
        <v>-0.98602769999999995</v>
      </c>
      <c r="S3104">
        <v>1.230164</v>
      </c>
      <c r="T3104">
        <v>-0.13620360000000001</v>
      </c>
      <c r="U3104">
        <v>-2.8355869999999999</v>
      </c>
      <c r="V3104">
        <v>1.71513699999999E-4</v>
      </c>
      <c r="W3104">
        <v>1.5966040000000001E-2</v>
      </c>
      <c r="X3104">
        <v>0.99987250000000005</v>
      </c>
      <c r="Y3104">
        <v>-0.23908840000000001</v>
      </c>
      <c r="Z3104">
        <v>4.4298120000000003E-2</v>
      </c>
      <c r="AA3104">
        <v>0.96998680000000004</v>
      </c>
      <c r="AB3104">
        <v>24</v>
      </c>
      <c r="AC3104">
        <v>10.0054</v>
      </c>
      <c r="AD3104">
        <v>-1.1100268635720001</v>
      </c>
      <c r="AE3104">
        <v>-22.990399999999902</v>
      </c>
      <c r="AF3104">
        <v>-6.0208158315262796</v>
      </c>
      <c r="AG3104">
        <v>-1.1100268635720001</v>
      </c>
      <c r="AH3104">
        <v>24.2890758330118</v>
      </c>
      <c r="AI3104">
        <v>92.539871336988199</v>
      </c>
      <c r="AJ3104">
        <v>103.92195289195401</v>
      </c>
      <c r="AK3104">
        <v>25.0487841568569</v>
      </c>
      <c r="AL3104">
        <v>89.085174404365404</v>
      </c>
      <c r="AM3104">
        <v>89.990171735854005</v>
      </c>
      <c r="AN3104">
        <v>0.99999998005323998</v>
      </c>
    </row>
    <row r="3105" spans="1:40" x14ac:dyDescent="0.25">
      <c r="A3105" t="str">
        <f>"20190312160352705"</f>
        <v>20190312160352705</v>
      </c>
      <c r="B3105" t="str">
        <f>"1552377832697728"</f>
        <v>1552377832697728</v>
      </c>
      <c r="C3105" t="s">
        <v>40</v>
      </c>
      <c r="D3105">
        <v>5.3977029999999999</v>
      </c>
      <c r="E3105">
        <v>0.40833120000000001</v>
      </c>
      <c r="F3105" t="s">
        <v>59</v>
      </c>
      <c r="G3105">
        <v>-484.90309999999999</v>
      </c>
      <c r="H3105" s="1">
        <v>5.1943340000000001E-6</v>
      </c>
      <c r="I3105">
        <v>229.3142</v>
      </c>
      <c r="J3105">
        <v>-494.81180000000001</v>
      </c>
      <c r="K3105">
        <v>1.1100380000000001</v>
      </c>
      <c r="L3105">
        <v>252.02879999999999</v>
      </c>
      <c r="M3105">
        <v>0.16670699999999999</v>
      </c>
      <c r="N3105">
        <v>0</v>
      </c>
      <c r="O3105">
        <v>-0.98593010000000003</v>
      </c>
      <c r="P3105">
        <v>0.1673074</v>
      </c>
      <c r="Q3105">
        <v>4.1310690000000002E-3</v>
      </c>
      <c r="R3105">
        <v>-0.9858962</v>
      </c>
      <c r="S3105">
        <v>1.2317199999999999</v>
      </c>
      <c r="T3105">
        <v>-0.137632</v>
      </c>
      <c r="U3105">
        <v>-2.834991</v>
      </c>
      <c r="V3105">
        <v>-5.9722149999999995E-4</v>
      </c>
      <c r="W3105">
        <v>1.6414209999999999E-2</v>
      </c>
      <c r="X3105">
        <v>0.99986509999999995</v>
      </c>
      <c r="Y3105">
        <v>-0.23959449999999999</v>
      </c>
      <c r="Z3105">
        <v>4.4762639999999999E-2</v>
      </c>
      <c r="AA3105">
        <v>0.96984060000000005</v>
      </c>
      <c r="AB3105">
        <v>24</v>
      </c>
      <c r="AC3105">
        <v>9.9087000000000103</v>
      </c>
      <c r="AD3105">
        <v>-1.1100328056659901</v>
      </c>
      <c r="AE3105">
        <v>-22.714599999999901</v>
      </c>
      <c r="AF3105">
        <v>-5.9710732575121703</v>
      </c>
      <c r="AG3105">
        <v>-1.1100328056659901</v>
      </c>
      <c r="AH3105">
        <v>24.0005150794142</v>
      </c>
      <c r="AI3105">
        <v>92.569836528649603</v>
      </c>
      <c r="AJ3105">
        <v>103.970941659516</v>
      </c>
      <c r="AK3105">
        <v>24.7570315820258</v>
      </c>
      <c r="AL3105">
        <v>89.059492807386405</v>
      </c>
      <c r="AM3105">
        <v>90.034222883982096</v>
      </c>
      <c r="AN3105">
        <v>1.0000000005807199</v>
      </c>
    </row>
    <row r="3106" spans="1:40" x14ac:dyDescent="0.25">
      <c r="A3106" t="str">
        <f>"20190312160352719"</f>
        <v>20190312160352719</v>
      </c>
      <c r="B3106" t="str">
        <f>"1552377832707488"</f>
        <v>1552377832707488</v>
      </c>
      <c r="C3106" t="s">
        <v>40</v>
      </c>
      <c r="D3106">
        <v>5.4628519999999998</v>
      </c>
      <c r="E3106">
        <v>0.4083987</v>
      </c>
      <c r="F3106" t="s">
        <v>59</v>
      </c>
      <c r="G3106">
        <v>-484.78680000000003</v>
      </c>
      <c r="H3106" s="1">
        <v>5.0701510000000003E-6</v>
      </c>
      <c r="I3106">
        <v>229.01320000000001</v>
      </c>
      <c r="J3106">
        <v>-494.78919999999999</v>
      </c>
      <c r="K3106">
        <v>1.1100410000000001</v>
      </c>
      <c r="L3106">
        <v>251.89529999999999</v>
      </c>
      <c r="M3106">
        <v>0.166713</v>
      </c>
      <c r="N3106">
        <v>0</v>
      </c>
      <c r="O3106">
        <v>-0.9859291</v>
      </c>
      <c r="P3106">
        <v>0.16815550000000001</v>
      </c>
      <c r="Q3106">
        <v>4.2365859999999997E-3</v>
      </c>
      <c r="R3106">
        <v>-0.98575190000000001</v>
      </c>
      <c r="S3106">
        <v>1.2344059999999999</v>
      </c>
      <c r="T3106">
        <v>-0.1366811</v>
      </c>
      <c r="U3106">
        <v>-2.8339690000000002</v>
      </c>
      <c r="V3106">
        <v>-1.4511189999999901E-3</v>
      </c>
      <c r="W3106">
        <v>1.6519570000000001E-2</v>
      </c>
      <c r="X3106">
        <v>0.99986249999999999</v>
      </c>
      <c r="Y3106">
        <v>-0.24049480000000001</v>
      </c>
      <c r="Z3106">
        <v>4.4455509999999997E-2</v>
      </c>
      <c r="AA3106">
        <v>0.96963189999999999</v>
      </c>
      <c r="AB3106">
        <v>24</v>
      </c>
      <c r="AC3106">
        <v>10.0023999999999</v>
      </c>
      <c r="AD3106">
        <v>-1.1100359298489999</v>
      </c>
      <c r="AE3106">
        <v>-22.882099999999902</v>
      </c>
      <c r="AF3106">
        <v>-6.0354442519599996</v>
      </c>
      <c r="AG3106">
        <v>-1.1100359298489999</v>
      </c>
      <c r="AH3106">
        <v>24.181704731445699</v>
      </c>
      <c r="AI3106">
        <v>92.550137081206898</v>
      </c>
      <c r="AJ3106">
        <v>104.013981502665</v>
      </c>
      <c r="AK3106">
        <v>24.948218589768999</v>
      </c>
      <c r="AL3106">
        <v>89.053455314759006</v>
      </c>
      <c r="AM3106">
        <v>90.083154369621695</v>
      </c>
      <c r="AN3106">
        <v>1.00000001042279</v>
      </c>
    </row>
    <row r="3107" spans="1:40" x14ac:dyDescent="0.25">
      <c r="A3107" t="str">
        <f>"20190312160352735"</f>
        <v>20190312160352735</v>
      </c>
      <c r="B3107" t="str">
        <f>"1552377832727984"</f>
        <v>1552377832727984</v>
      </c>
      <c r="C3107" t="s">
        <v>40</v>
      </c>
      <c r="D3107">
        <v>5.455241</v>
      </c>
      <c r="E3107">
        <v>0.4084933</v>
      </c>
      <c r="F3107" t="s">
        <v>59</v>
      </c>
      <c r="G3107">
        <v>-484.84879999999998</v>
      </c>
      <c r="H3107" s="1">
        <v>5.1187520000000004E-6</v>
      </c>
      <c r="I3107">
        <v>229.11689999999999</v>
      </c>
      <c r="J3107">
        <v>-494.75920000000002</v>
      </c>
      <c r="K3107">
        <v>1.1100410000000001</v>
      </c>
      <c r="L3107">
        <v>251.7176</v>
      </c>
      <c r="M3107">
        <v>0.16671920000000001</v>
      </c>
      <c r="N3107">
        <v>0</v>
      </c>
      <c r="O3107">
        <v>-0.98592789999999997</v>
      </c>
      <c r="P3107">
        <v>0.16968629999999901</v>
      </c>
      <c r="Q3107">
        <v>4.3116259999999998E-3</v>
      </c>
      <c r="R3107">
        <v>-0.98548880000000005</v>
      </c>
      <c r="S3107">
        <v>1.2363280000000001</v>
      </c>
      <c r="T3107">
        <v>-0.1380594</v>
      </c>
      <c r="U3107">
        <v>-2.8330380000000002</v>
      </c>
      <c r="V3107">
        <v>-2.998237E-3</v>
      </c>
      <c r="W3107">
        <v>1.659395E-2</v>
      </c>
      <c r="X3107">
        <v>0.99985780000000002</v>
      </c>
      <c r="Y3107">
        <v>-0.2411499</v>
      </c>
      <c r="Z3107">
        <v>4.4906700000000001E-2</v>
      </c>
      <c r="AA3107">
        <v>0.96944830000000004</v>
      </c>
      <c r="AB3107">
        <v>24</v>
      </c>
      <c r="AC3107">
        <v>9.9104000000000294</v>
      </c>
      <c r="AD3107">
        <v>-1.110035881248</v>
      </c>
      <c r="AE3107">
        <v>-22.6007</v>
      </c>
      <c r="AF3107">
        <v>-5.9913002187453097</v>
      </c>
      <c r="AG3107">
        <v>-1.110035881248</v>
      </c>
      <c r="AH3107">
        <v>23.888388182348098</v>
      </c>
      <c r="AI3107">
        <v>92.580668654013493</v>
      </c>
      <c r="AJ3107">
        <v>104.07958433783401</v>
      </c>
      <c r="AK3107">
        <v>24.653254306872899</v>
      </c>
      <c r="AL3107">
        <v>89.049193045751394</v>
      </c>
      <c r="AM3107">
        <v>90.171810242599307</v>
      </c>
      <c r="AN3107">
        <v>0.99999998441127502</v>
      </c>
    </row>
    <row r="3108" spans="1:40" x14ac:dyDescent="0.25">
      <c r="A3108" t="str">
        <f>"20190312160352750"</f>
        <v>20190312160352750</v>
      </c>
      <c r="B3108" t="str">
        <f>"1552377832737744"</f>
        <v>1552377832737744</v>
      </c>
      <c r="C3108" t="s">
        <v>40</v>
      </c>
      <c r="D3108">
        <v>5.4392250000000004</v>
      </c>
      <c r="E3108">
        <v>0.40853850000000003</v>
      </c>
      <c r="F3108" t="s">
        <v>59</v>
      </c>
      <c r="G3108">
        <v>-484.99610000000001</v>
      </c>
      <c r="H3108" s="1">
        <v>5.2539989999999998E-6</v>
      </c>
      <c r="I3108">
        <v>229.42699999999999</v>
      </c>
      <c r="J3108">
        <v>-494.73399999999998</v>
      </c>
      <c r="K3108">
        <v>1.1100460000000001</v>
      </c>
      <c r="L3108">
        <v>251.56890000000001</v>
      </c>
      <c r="M3108">
        <v>0.1667227</v>
      </c>
      <c r="N3108">
        <v>0</v>
      </c>
      <c r="O3108">
        <v>-0.98592740000000001</v>
      </c>
      <c r="P3108">
        <v>0.17044579999999901</v>
      </c>
      <c r="Q3108">
        <v>4.0669219999999997E-3</v>
      </c>
      <c r="R3108">
        <v>-0.98535899999999998</v>
      </c>
      <c r="S3108">
        <v>1.240051</v>
      </c>
      <c r="T3108">
        <v>-0.14099</v>
      </c>
      <c r="U3108">
        <v>-2.831223</v>
      </c>
      <c r="V3108">
        <v>-3.7653729999999998E-3</v>
      </c>
      <c r="W3108">
        <v>1.6348890000000001E-2</v>
      </c>
      <c r="X3108">
        <v>0.99985930000000001</v>
      </c>
      <c r="Y3108">
        <v>-0.2424268</v>
      </c>
      <c r="Z3108">
        <v>4.5865660000000003E-2</v>
      </c>
      <c r="AA3108">
        <v>0.96908490000000003</v>
      </c>
      <c r="AB3108">
        <v>24</v>
      </c>
      <c r="AC3108">
        <v>9.7379000000000193</v>
      </c>
      <c r="AD3108">
        <v>-1.11004074600099</v>
      </c>
      <c r="AE3108">
        <v>-22.1419</v>
      </c>
      <c r="AF3108">
        <v>-5.8973307255628198</v>
      </c>
      <c r="AG3108">
        <v>-1.11004074600099</v>
      </c>
      <c r="AH3108">
        <v>23.406309075364302</v>
      </c>
      <c r="AI3108">
        <v>92.633042277849199</v>
      </c>
      <c r="AJ3108">
        <v>104.14160558193301</v>
      </c>
      <c r="AK3108">
        <v>24.163319405163101</v>
      </c>
      <c r="AL3108">
        <v>89.063235908791299</v>
      </c>
      <c r="AM3108">
        <v>90.215769320067906</v>
      </c>
      <c r="AN3108">
        <v>1.0000000420172701</v>
      </c>
    </row>
    <row r="3109" spans="1:40" x14ac:dyDescent="0.25">
      <c r="A3109" t="str">
        <f>"20190312160352768"</f>
        <v>20190312160352768</v>
      </c>
      <c r="B3109" t="str">
        <f>"1552377832757267"</f>
        <v>1552377832757267</v>
      </c>
      <c r="C3109" t="s">
        <v>40</v>
      </c>
      <c r="D3109">
        <v>5.453532</v>
      </c>
      <c r="E3109">
        <v>0.40851110000000002</v>
      </c>
      <c r="F3109" t="s">
        <v>41</v>
      </c>
      <c r="G3109">
        <v>-485.10320000000002</v>
      </c>
      <c r="H3109" s="1">
        <v>-1.29311E-6</v>
      </c>
      <c r="I3109">
        <v>229.61920000000001</v>
      </c>
      <c r="J3109">
        <v>-494.70260000000002</v>
      </c>
      <c r="K3109">
        <v>1.1100460000000001</v>
      </c>
      <c r="L3109">
        <v>251.38319999999999</v>
      </c>
      <c r="M3109">
        <v>0.16672439999999999</v>
      </c>
      <c r="N3109">
        <v>0</v>
      </c>
      <c r="O3109">
        <v>-0.9859272</v>
      </c>
      <c r="P3109">
        <v>0.17187859999999999</v>
      </c>
      <c r="Q3109">
        <v>3.3207570000000001E-3</v>
      </c>
      <c r="R3109">
        <v>-0.98511300000000002</v>
      </c>
      <c r="S3109">
        <v>1.2418819999999999</v>
      </c>
      <c r="T3109">
        <v>-0.14313870000000001</v>
      </c>
      <c r="U3109">
        <v>-2.830368</v>
      </c>
      <c r="V3109">
        <v>-5.2176729999999999E-3</v>
      </c>
      <c r="W3109">
        <v>1.560226E-2</v>
      </c>
      <c r="X3109">
        <v>0.99986459999999999</v>
      </c>
      <c r="Y3109">
        <v>-0.24304529999999999</v>
      </c>
      <c r="Z3109">
        <v>4.6566410000000003E-2</v>
      </c>
      <c r="AA3109">
        <v>0.9688966</v>
      </c>
      <c r="AB3109">
        <v>24</v>
      </c>
      <c r="AC3109">
        <v>9.5993999999999993</v>
      </c>
      <c r="AD3109">
        <v>-1.1100472931099901</v>
      </c>
      <c r="AE3109">
        <v>-21.7639999999999</v>
      </c>
      <c r="AF3109">
        <v>-5.82347702405505</v>
      </c>
      <c r="AG3109">
        <v>-1.1100472931099901</v>
      </c>
      <c r="AH3109">
        <v>23.009800274045801</v>
      </c>
      <c r="AI3109">
        <v>92.677646951360501</v>
      </c>
      <c r="AJ3109">
        <v>104.202579947966</v>
      </c>
      <c r="AK3109">
        <v>23.761228888551098</v>
      </c>
      <c r="AL3109">
        <v>89.106020021510403</v>
      </c>
      <c r="AM3109">
        <v>90.298988411231207</v>
      </c>
      <c r="AN3109">
        <v>0.99999993648089902</v>
      </c>
    </row>
    <row r="3110" spans="1:40" x14ac:dyDescent="0.25">
      <c r="A3110" t="str">
        <f>"20190312160352779"</f>
        <v>20190312160352779</v>
      </c>
      <c r="B3110" t="str">
        <f>"1552377832768000"</f>
        <v>1552377832768000</v>
      </c>
      <c r="C3110" t="s">
        <v>40</v>
      </c>
      <c r="D3110">
        <v>5.5022539999999998</v>
      </c>
      <c r="E3110">
        <v>0.40851110000000002</v>
      </c>
      <c r="F3110" t="s">
        <v>41</v>
      </c>
      <c r="G3110">
        <v>-485.29230000000001</v>
      </c>
      <c r="H3110" s="1">
        <v>-1.3845179999999999E-6</v>
      </c>
      <c r="I3110">
        <v>230.03569999999999</v>
      </c>
      <c r="J3110">
        <v>-494.68</v>
      </c>
      <c r="K3110">
        <v>1.110044</v>
      </c>
      <c r="L3110">
        <v>251.24940000000001</v>
      </c>
      <c r="M3110">
        <v>0.16672379999999901</v>
      </c>
      <c r="N3110">
        <v>0</v>
      </c>
      <c r="O3110">
        <v>-0.9859272</v>
      </c>
      <c r="P3110">
        <v>0.1721693</v>
      </c>
      <c r="Q3110">
        <v>2.501989E-3</v>
      </c>
      <c r="R3110">
        <v>-0.9850643</v>
      </c>
      <c r="S3110">
        <v>1.2467649999999999</v>
      </c>
      <c r="T3110">
        <v>-0.14706839999999999</v>
      </c>
      <c r="U3110">
        <v>-2.8282929999999999</v>
      </c>
      <c r="V3110">
        <v>-5.5128629999999998E-3</v>
      </c>
      <c r="W3110">
        <v>1.4783620000000001E-2</v>
      </c>
      <c r="X3110">
        <v>0.99987550000000003</v>
      </c>
      <c r="Y3110">
        <v>-0.24468390000000001</v>
      </c>
      <c r="Z3110">
        <v>4.7847830000000001E-2</v>
      </c>
      <c r="AA3110">
        <v>0.96842159999999999</v>
      </c>
      <c r="AB3110">
        <v>24</v>
      </c>
      <c r="AC3110">
        <v>9.3876999999999899</v>
      </c>
      <c r="AD3110">
        <v>-1.1100453845180001</v>
      </c>
      <c r="AE3110">
        <v>-21.213699999999999</v>
      </c>
      <c r="AF3110">
        <v>-5.7061258417178697</v>
      </c>
      <c r="AG3110">
        <v>-1.1100453845180001</v>
      </c>
      <c r="AH3110">
        <v>22.430651878225898</v>
      </c>
      <c r="AI3110">
        <v>92.745821583306196</v>
      </c>
      <c r="AJ3110">
        <v>104.272712077908</v>
      </c>
      <c r="AK3110">
        <v>23.171668402585301</v>
      </c>
      <c r="AL3110">
        <v>89.152930095027699</v>
      </c>
      <c r="AM3110">
        <v>90.315899911859503</v>
      </c>
      <c r="AN3110">
        <v>0.99999998128950496</v>
      </c>
    </row>
    <row r="3111" spans="1:40" x14ac:dyDescent="0.25">
      <c r="A3111" t="str">
        <f>"20190312160352793"</f>
        <v>20190312160352793</v>
      </c>
      <c r="B3111" t="str">
        <f>"1552377832787520"</f>
        <v>1552377832787520</v>
      </c>
      <c r="C3111" t="s">
        <v>40</v>
      </c>
      <c r="D3111">
        <v>5.475657</v>
      </c>
      <c r="E3111">
        <v>0.4084875</v>
      </c>
      <c r="F3111" t="s">
        <v>41</v>
      </c>
      <c r="G3111">
        <v>-485.42649999999998</v>
      </c>
      <c r="H3111" s="1">
        <v>-1.4280820000000001E-6</v>
      </c>
      <c r="I3111">
        <v>230.2687</v>
      </c>
      <c r="J3111">
        <v>-494.65800000000002</v>
      </c>
      <c r="K3111">
        <v>1.1100399999999999</v>
      </c>
      <c r="L3111">
        <v>251.11949999999999</v>
      </c>
      <c r="M3111">
        <v>0.16672290000000001</v>
      </c>
      <c r="N3111">
        <v>0</v>
      </c>
      <c r="O3111">
        <v>-0.98592740000000001</v>
      </c>
      <c r="P3111">
        <v>0.17254259999999999</v>
      </c>
      <c r="Q3111">
        <v>1.7431180000000001E-3</v>
      </c>
      <c r="R3111">
        <v>-0.98500080000000001</v>
      </c>
      <c r="S3111">
        <v>1.247223</v>
      </c>
      <c r="T3111">
        <v>-0.149617</v>
      </c>
      <c r="U3111">
        <v>-2.8278810000000001</v>
      </c>
      <c r="V3111">
        <v>-5.8924420000000003E-3</v>
      </c>
      <c r="W3111">
        <v>1.4024099999999999E-2</v>
      </c>
      <c r="X3111">
        <v>0.99988429999999995</v>
      </c>
      <c r="Y3111">
        <v>-0.24485190000000001</v>
      </c>
      <c r="Z3111">
        <v>4.8678869999999999E-2</v>
      </c>
      <c r="AA3111">
        <v>0.96833769999999997</v>
      </c>
      <c r="AB3111">
        <v>24</v>
      </c>
      <c r="AC3111">
        <v>9.2315000000000396</v>
      </c>
      <c r="AD3111">
        <v>-1.1100414280819999</v>
      </c>
      <c r="AE3111">
        <v>-20.8507999999999</v>
      </c>
      <c r="AF3111">
        <v>-5.6124069228520499</v>
      </c>
      <c r="AG3111">
        <v>-1.1100414280819999</v>
      </c>
      <c r="AH3111">
        <v>22.0458996116094</v>
      </c>
      <c r="AI3111">
        <v>92.793531621408405</v>
      </c>
      <c r="AJ3111">
        <v>104.282861349973</v>
      </c>
      <c r="AK3111">
        <v>22.776149655393802</v>
      </c>
      <c r="AL3111">
        <v>89.196451921248496</v>
      </c>
      <c r="AM3111">
        <v>90.337647215190401</v>
      </c>
      <c r="AN3111">
        <v>1.0000000048200099</v>
      </c>
    </row>
    <row r="3112" spans="1:40" x14ac:dyDescent="0.25">
      <c r="A3112" t="str">
        <f>"20190312160352805"</f>
        <v>20190312160352805</v>
      </c>
      <c r="B3112" t="str">
        <f>"1552377832797280"</f>
        <v>1552377832797280</v>
      </c>
      <c r="C3112" t="s">
        <v>40</v>
      </c>
      <c r="D3112">
        <v>5.4602740000000001</v>
      </c>
      <c r="E3112">
        <v>0.40844819999999998</v>
      </c>
      <c r="F3112" t="s">
        <v>41</v>
      </c>
      <c r="G3112">
        <v>-485.64819999999997</v>
      </c>
      <c r="H3112" s="1">
        <v>-1.520397E-6</v>
      </c>
      <c r="I3112">
        <v>230.7132</v>
      </c>
      <c r="J3112">
        <v>-494.63549999999998</v>
      </c>
      <c r="K3112">
        <v>1.110036</v>
      </c>
      <c r="L3112">
        <v>250.98650000000001</v>
      </c>
      <c r="M3112">
        <v>0.16672129999999999</v>
      </c>
      <c r="N3112">
        <v>0</v>
      </c>
      <c r="O3112">
        <v>-0.98592769999999996</v>
      </c>
      <c r="P3112">
        <v>0.1726654</v>
      </c>
      <c r="Q3112">
        <v>9.21947E-4</v>
      </c>
      <c r="R3112">
        <v>-0.98498030000000003</v>
      </c>
      <c r="S3112">
        <v>1.2483219999999999</v>
      </c>
      <c r="T3112">
        <v>-0.15379689999999999</v>
      </c>
      <c r="U3112">
        <v>-2.8273009999999998</v>
      </c>
      <c r="V3112">
        <v>-6.0183789999999999E-3</v>
      </c>
      <c r="W3112">
        <v>1.3203060000000001E-2</v>
      </c>
      <c r="X3112">
        <v>0.99989470000000003</v>
      </c>
      <c r="Y3112">
        <v>-0.2452143</v>
      </c>
      <c r="Z3112">
        <v>5.0038590000000001E-2</v>
      </c>
      <c r="AA3112">
        <v>0.9681767</v>
      </c>
      <c r="AB3112">
        <v>24</v>
      </c>
      <c r="AC3112">
        <v>8.9872999999999994</v>
      </c>
      <c r="AD3112">
        <v>-1.1100375203970001</v>
      </c>
      <c r="AE3112">
        <v>-20.273299999999999</v>
      </c>
      <c r="AF3112">
        <v>-5.4675504683737399</v>
      </c>
      <c r="AG3112">
        <v>-1.1100375203970001</v>
      </c>
      <c r="AH3112">
        <v>21.434295196483799</v>
      </c>
      <c r="AI3112">
        <v>92.872752973379605</v>
      </c>
      <c r="AJ3112">
        <v>104.310082580669</v>
      </c>
      <c r="AK3112">
        <v>22.148483062975401</v>
      </c>
      <c r="AL3112">
        <v>89.2434983873964</v>
      </c>
      <c r="AM3112">
        <v>90.344859865845805</v>
      </c>
      <c r="AN3112">
        <v>0.99999997638362004</v>
      </c>
    </row>
    <row r="3113" spans="1:40" x14ac:dyDescent="0.25">
      <c r="A3113" t="str">
        <f>"20190312160352816"</f>
        <v>20190312160352816</v>
      </c>
      <c r="B3113" t="str">
        <f>"1552377832808016"</f>
        <v>1552377832808016</v>
      </c>
      <c r="C3113" t="s">
        <v>40</v>
      </c>
      <c r="D3113">
        <v>5.4625810000000001</v>
      </c>
      <c r="E3113">
        <v>0.40846460000000001</v>
      </c>
      <c r="F3113" t="s">
        <v>41</v>
      </c>
      <c r="G3113">
        <v>-485.81319999999999</v>
      </c>
      <c r="H3113" s="1">
        <v>-1.582597E-6</v>
      </c>
      <c r="I3113">
        <v>231.02510000000001</v>
      </c>
      <c r="J3113">
        <v>-494.61489999999998</v>
      </c>
      <c r="K3113">
        <v>1.110036</v>
      </c>
      <c r="L3113">
        <v>250.8648</v>
      </c>
      <c r="M3113">
        <v>0.16672029999999999</v>
      </c>
      <c r="N3113">
        <v>0</v>
      </c>
      <c r="O3113">
        <v>-0.98592769999999996</v>
      </c>
      <c r="P3113">
        <v>0.17297580000000001</v>
      </c>
      <c r="Q3113">
        <v>1.246319E-4</v>
      </c>
      <c r="R3113">
        <v>-0.98492610000000003</v>
      </c>
      <c r="S3113">
        <v>1.24939</v>
      </c>
      <c r="T3113">
        <v>-0.157200799999999</v>
      </c>
      <c r="U3113">
        <v>-2.826889</v>
      </c>
      <c r="V3113">
        <v>-6.3345540000000001E-3</v>
      </c>
      <c r="W3113">
        <v>1.2405859999999999E-2</v>
      </c>
      <c r="X3113">
        <v>0.99990299999999999</v>
      </c>
      <c r="Y3113">
        <v>-0.24555060000000001</v>
      </c>
      <c r="Z3113">
        <v>5.1143899999999999E-2</v>
      </c>
      <c r="AA3113">
        <v>0.9680337</v>
      </c>
      <c r="AB3113">
        <v>24</v>
      </c>
      <c r="AC3113">
        <v>8.8016999999999808</v>
      </c>
      <c r="AD3113">
        <v>-1.1100375825969999</v>
      </c>
      <c r="AE3113">
        <v>-19.839700000000001</v>
      </c>
      <c r="AF3113">
        <v>-5.3565535614419</v>
      </c>
      <c r="AG3113">
        <v>-1.1100375825969999</v>
      </c>
      <c r="AH3113">
        <v>20.9746566425979</v>
      </c>
      <c r="AI3113">
        <v>92.935388475362402</v>
      </c>
      <c r="AJ3113">
        <v>104.32611038766601</v>
      </c>
      <c r="AK3113">
        <v>21.676278988014801</v>
      </c>
      <c r="AL3113">
        <v>89.289178361459406</v>
      </c>
      <c r="AM3113">
        <v>90.362973562352295</v>
      </c>
      <c r="AN3113">
        <v>1.0000000206728501</v>
      </c>
    </row>
    <row r="3114" spans="1:40" x14ac:dyDescent="0.25">
      <c r="A3114" t="str">
        <f>"20190312160352834"</f>
        <v>20190312160352834</v>
      </c>
      <c r="B3114" t="str">
        <f>"1552377832827536"</f>
        <v>1552377832827536</v>
      </c>
      <c r="C3114" t="s">
        <v>40</v>
      </c>
      <c r="D3114">
        <v>5.4754259999999997</v>
      </c>
      <c r="E3114">
        <v>0.40841830000000001</v>
      </c>
      <c r="F3114" t="s">
        <v>41</v>
      </c>
      <c r="G3114">
        <v>-485.97269999999997</v>
      </c>
      <c r="H3114" s="1">
        <v>-1.64197999999999E-6</v>
      </c>
      <c r="I3114">
        <v>231.32419999999999</v>
      </c>
      <c r="J3114">
        <v>-494.58319999999998</v>
      </c>
      <c r="K3114">
        <v>1.1100380000000001</v>
      </c>
      <c r="L3114">
        <v>250.6773</v>
      </c>
      <c r="M3114">
        <v>0.16672590000000001</v>
      </c>
      <c r="N3114">
        <v>0</v>
      </c>
      <c r="O3114">
        <v>-0.98592690000000005</v>
      </c>
      <c r="P3114">
        <v>0.1737696</v>
      </c>
      <c r="Q3114">
        <v>-5.5811649999999995E-4</v>
      </c>
      <c r="R3114">
        <v>-0.98478650000000001</v>
      </c>
      <c r="S3114">
        <v>1.2500309999999999</v>
      </c>
      <c r="T3114">
        <v>-0.16055820000000001</v>
      </c>
      <c r="U3114">
        <v>-2.8263850000000001</v>
      </c>
      <c r="V3114">
        <v>-7.135143E-3</v>
      </c>
      <c r="W3114">
        <v>1.17226E-2</v>
      </c>
      <c r="X3114">
        <v>0.99990579999999996</v>
      </c>
      <c r="Y3114">
        <v>-0.2457695</v>
      </c>
      <c r="Z3114">
        <v>5.2237720000000001E-2</v>
      </c>
      <c r="AA3114">
        <v>0.96791970000000005</v>
      </c>
      <c r="AB3114">
        <v>24</v>
      </c>
      <c r="AC3114">
        <v>8.6105</v>
      </c>
      <c r="AD3114">
        <v>-1.1100396419799901</v>
      </c>
      <c r="AE3114">
        <v>-19.353100000000001</v>
      </c>
      <c r="AF3114">
        <v>-5.2486429487622699</v>
      </c>
      <c r="AG3114">
        <v>-1.1100396419799901</v>
      </c>
      <c r="AH3114">
        <v>20.461687995368401</v>
      </c>
      <c r="AI3114">
        <v>93.008035750127604</v>
      </c>
      <c r="AJ3114">
        <v>104.386797153801</v>
      </c>
      <c r="AK3114">
        <v>21.153276730335701</v>
      </c>
      <c r="AL3114">
        <v>89.328329090393098</v>
      </c>
      <c r="AM3114">
        <v>90.408845154637902</v>
      </c>
      <c r="AN3114">
        <v>0.999999969245014</v>
      </c>
    </row>
    <row r="3115" spans="1:40" x14ac:dyDescent="0.25">
      <c r="A3115" t="str">
        <f>"20190312160352848"</f>
        <v>20190312160352848</v>
      </c>
      <c r="B3115" t="str">
        <f>"1552377832837296"</f>
        <v>1552377832837296</v>
      </c>
      <c r="C3115" t="s">
        <v>40</v>
      </c>
      <c r="D3115">
        <v>5.4818470000000001</v>
      </c>
      <c r="E3115">
        <v>0.40842250000000002</v>
      </c>
      <c r="F3115" t="s">
        <v>41</v>
      </c>
      <c r="G3115">
        <v>-486.1112</v>
      </c>
      <c r="H3115" s="1">
        <v>-1.688762E-6</v>
      </c>
      <c r="I3115">
        <v>231.5701</v>
      </c>
      <c r="J3115">
        <v>-494.5609</v>
      </c>
      <c r="K3115">
        <v>1.1100490000000001</v>
      </c>
      <c r="L3115">
        <v>250.54509999999999</v>
      </c>
      <c r="M3115">
        <v>0.16673659999999901</v>
      </c>
      <c r="N3115">
        <v>0</v>
      </c>
      <c r="O3115">
        <v>-0.98592500000000005</v>
      </c>
      <c r="P3115">
        <v>0.17398829999999901</v>
      </c>
      <c r="Q3115">
        <v>-2.9405719999999998E-4</v>
      </c>
      <c r="R3115">
        <v>-0.98474790000000001</v>
      </c>
      <c r="S3115">
        <v>1.252686</v>
      </c>
      <c r="T3115">
        <v>-0.164133</v>
      </c>
      <c r="U3115">
        <v>-2.8252410000000001</v>
      </c>
      <c r="V3115">
        <v>-7.3468149999999996E-3</v>
      </c>
      <c r="W3115">
        <v>1.1986749999999999E-2</v>
      </c>
      <c r="X3115">
        <v>0.99990120000000005</v>
      </c>
      <c r="Y3115">
        <v>-0.2466391</v>
      </c>
      <c r="Z3115">
        <v>5.3401150000000001E-2</v>
      </c>
      <c r="AA3115">
        <v>0.96763500000000002</v>
      </c>
      <c r="AB3115">
        <v>24</v>
      </c>
      <c r="AC3115">
        <v>8.4497</v>
      </c>
      <c r="AD3115">
        <v>-1.1100506887620001</v>
      </c>
      <c r="AE3115">
        <v>-18.974999999999898</v>
      </c>
      <c r="AF3115">
        <v>-5.15261728287153</v>
      </c>
      <c r="AG3115">
        <v>-1.1100506887620001</v>
      </c>
      <c r="AH3115">
        <v>20.0610239687113</v>
      </c>
      <c r="AI3115">
        <v>93.067781779265999</v>
      </c>
      <c r="AJ3115">
        <v>104.40488124501699</v>
      </c>
      <c r="AK3115">
        <v>20.741898661129799</v>
      </c>
      <c r="AL3115">
        <v>89.3131933904981</v>
      </c>
      <c r="AM3115">
        <v>90.420975509956406</v>
      </c>
      <c r="AN3115">
        <v>1.00000003381382</v>
      </c>
    </row>
    <row r="3116" spans="1:40" x14ac:dyDescent="0.25">
      <c r="A3116" t="str">
        <f>"20190312160352858"</f>
        <v>20190312160352858</v>
      </c>
      <c r="B3116" t="str">
        <f>"1552377832848031"</f>
        <v>1552377832848031</v>
      </c>
      <c r="C3116" t="s">
        <v>40</v>
      </c>
      <c r="D3116">
        <v>5.5292700000000004</v>
      </c>
      <c r="E3116">
        <v>0.40840769999999998</v>
      </c>
      <c r="F3116" t="s">
        <v>41</v>
      </c>
      <c r="G3116">
        <v>-486.0557</v>
      </c>
      <c r="H3116" s="1">
        <v>-1.634171E-6</v>
      </c>
      <c r="I3116">
        <v>231.36619999999999</v>
      </c>
      <c r="J3116">
        <v>-494.54</v>
      </c>
      <c r="K3116">
        <v>1.110063</v>
      </c>
      <c r="L3116">
        <v>250.42179999999999</v>
      </c>
      <c r="M3116">
        <v>0.1667612</v>
      </c>
      <c r="N3116">
        <v>0</v>
      </c>
      <c r="O3116">
        <v>-0.98592080000000004</v>
      </c>
      <c r="P3116">
        <v>0.17425599999999999</v>
      </c>
      <c r="Q3116">
        <v>1.287572E-4</v>
      </c>
      <c r="R3116">
        <v>-0.98470029999999997</v>
      </c>
      <c r="S3116">
        <v>1.2528079999999999</v>
      </c>
      <c r="T3116">
        <v>-0.16350999999999999</v>
      </c>
      <c r="U3116">
        <v>-2.825043</v>
      </c>
      <c r="V3116">
        <v>-7.593753E-3</v>
      </c>
      <c r="W3116">
        <v>1.24092E-2</v>
      </c>
      <c r="X3116">
        <v>0.99989410000000001</v>
      </c>
      <c r="Y3116">
        <v>-0.24667939999999999</v>
      </c>
      <c r="Z3116">
        <v>5.3201409999999998E-2</v>
      </c>
      <c r="AA3116">
        <v>0.96763569999999999</v>
      </c>
      <c r="AB3116">
        <v>24</v>
      </c>
      <c r="AC3116">
        <v>8.4843000000000099</v>
      </c>
      <c r="AD3116">
        <v>-1.1100646341709901</v>
      </c>
      <c r="AE3116">
        <v>-19.055599999999998</v>
      </c>
      <c r="AF3116">
        <v>-5.1728544479296996</v>
      </c>
      <c r="AG3116">
        <v>-1.1100646341709901</v>
      </c>
      <c r="AH3116">
        <v>20.146631426447499</v>
      </c>
      <c r="AI3116">
        <v>93.054872985363303</v>
      </c>
      <c r="AJ3116">
        <v>104.400209946562</v>
      </c>
      <c r="AK3116">
        <v>20.8297245412565</v>
      </c>
      <c r="AL3116">
        <v>89.288986915970497</v>
      </c>
      <c r="AM3116">
        <v>90.4351277129403</v>
      </c>
      <c r="AN3116">
        <v>0.99999993227203499</v>
      </c>
    </row>
    <row r="3117" spans="1:40" x14ac:dyDescent="0.25">
      <c r="A3117" t="str">
        <f>"20190312160352878"</f>
        <v>20190312160352878</v>
      </c>
      <c r="B3117" t="str">
        <f>"1552377832867553"</f>
        <v>1552377832867553</v>
      </c>
      <c r="C3117" t="s">
        <v>40</v>
      </c>
      <c r="D3117">
        <v>5.5073019999999904</v>
      </c>
      <c r="E3117">
        <v>0.40841759999999999</v>
      </c>
      <c r="F3117" t="s">
        <v>41</v>
      </c>
      <c r="G3117">
        <v>-485.97930000000002</v>
      </c>
      <c r="H3117" s="1">
        <v>-1.5755589999999999E-6</v>
      </c>
      <c r="I3117">
        <v>231.1343</v>
      </c>
      <c r="J3117">
        <v>-494.5059</v>
      </c>
      <c r="K3117">
        <v>1.1100859999999999</v>
      </c>
      <c r="L3117">
        <v>250.22049999999999</v>
      </c>
      <c r="M3117">
        <v>0.1668203</v>
      </c>
      <c r="N3117">
        <v>0</v>
      </c>
      <c r="O3117">
        <v>-0.98591099999999998</v>
      </c>
      <c r="P3117">
        <v>0.17468120000000001</v>
      </c>
      <c r="Q3117">
        <v>6.8182270000000003E-4</v>
      </c>
      <c r="R3117">
        <v>-0.98462470000000002</v>
      </c>
      <c r="S3117">
        <v>1.253754</v>
      </c>
      <c r="T3117">
        <v>-0.1625751</v>
      </c>
      <c r="U3117">
        <v>-2.8247680000000002</v>
      </c>
      <c r="V3117">
        <v>-7.9660679999999998E-3</v>
      </c>
      <c r="W3117">
        <v>1.296133E-2</v>
      </c>
      <c r="X3117">
        <v>0.9998842</v>
      </c>
      <c r="Y3117">
        <v>-0.2469336</v>
      </c>
      <c r="Z3117">
        <v>5.2896819999999997E-2</v>
      </c>
      <c r="AA3117">
        <v>0.96758759999999999</v>
      </c>
      <c r="AB3117">
        <v>24</v>
      </c>
      <c r="AC3117">
        <v>8.52659999999997</v>
      </c>
      <c r="AD3117">
        <v>-1.1100875755589901</v>
      </c>
      <c r="AE3117">
        <v>-19.086199999999899</v>
      </c>
      <c r="AF3117">
        <v>-5.2082090490796498</v>
      </c>
      <c r="AG3117">
        <v>-1.1100875755589901</v>
      </c>
      <c r="AH3117">
        <v>20.1843081068019</v>
      </c>
      <c r="AI3117">
        <v>93.048309696166001</v>
      </c>
      <c r="AJ3117">
        <v>104.468578406958</v>
      </c>
      <c r="AK3117">
        <v>20.8749617885791</v>
      </c>
      <c r="AL3117">
        <v>89.257349650291104</v>
      </c>
      <c r="AM3117">
        <v>90.456465277944304</v>
      </c>
      <c r="AN3117">
        <v>0.99999993386219199</v>
      </c>
    </row>
    <row r="3118" spans="1:40" x14ac:dyDescent="0.25">
      <c r="A3118" t="str">
        <f>"20190312160352890"</f>
        <v>20190312160352890</v>
      </c>
      <c r="B3118" t="str">
        <f>"1552377832877312"</f>
        <v>1552377832877312</v>
      </c>
      <c r="C3118" t="s">
        <v>40</v>
      </c>
      <c r="D3118">
        <v>5.5090240000000001</v>
      </c>
      <c r="E3118">
        <v>0.40840670000000001</v>
      </c>
      <c r="F3118" t="s">
        <v>41</v>
      </c>
      <c r="G3118">
        <v>-485.90629999999999</v>
      </c>
      <c r="H3118" s="1">
        <v>-1.50335E-6</v>
      </c>
      <c r="I3118">
        <v>230.86490000000001</v>
      </c>
      <c r="J3118">
        <v>-494.48570000000001</v>
      </c>
      <c r="K3118">
        <v>1.110107</v>
      </c>
      <c r="L3118">
        <v>250.1009</v>
      </c>
      <c r="M3118">
        <v>0.16686979999999901</v>
      </c>
      <c r="N3118">
        <v>0</v>
      </c>
      <c r="O3118">
        <v>-0.98590259999999996</v>
      </c>
      <c r="P3118">
        <v>0.174574799999999</v>
      </c>
      <c r="Q3118">
        <v>1.1747319999999999E-3</v>
      </c>
      <c r="R3118">
        <v>-0.98464359999999995</v>
      </c>
      <c r="S3118">
        <v>1.2548520000000001</v>
      </c>
      <c r="T3118">
        <v>-0.1619823</v>
      </c>
      <c r="U3118">
        <v>-2.824341</v>
      </c>
      <c r="V3118">
        <v>-7.8082009999999999E-3</v>
      </c>
      <c r="W3118">
        <v>1.345386E-2</v>
      </c>
      <c r="X3118">
        <v>0.99987899999999996</v>
      </c>
      <c r="Y3118">
        <v>-0.2472578</v>
      </c>
      <c r="Z3118">
        <v>5.2704880000000003E-2</v>
      </c>
      <c r="AA3118">
        <v>0.96751529999999997</v>
      </c>
      <c r="AB3118">
        <v>24</v>
      </c>
      <c r="AC3118">
        <v>8.5794000000000192</v>
      </c>
      <c r="AD3118">
        <v>-1.11010850335</v>
      </c>
      <c r="AE3118">
        <v>-19.235999999999901</v>
      </c>
      <c r="AF3118">
        <v>-5.2343999549820603</v>
      </c>
      <c r="AG3118">
        <v>-1.11010850335</v>
      </c>
      <c r="AH3118">
        <v>20.3414947236814</v>
      </c>
      <c r="AI3118">
        <v>93.025370425877597</v>
      </c>
      <c r="AJ3118">
        <v>104.43062703998601</v>
      </c>
      <c r="AK3118">
        <v>21.033489757324801</v>
      </c>
      <c r="AL3118">
        <v>89.229127342930397</v>
      </c>
      <c r="AM3118">
        <v>90.447422007191406</v>
      </c>
      <c r="AN3118">
        <v>0.999999994496377</v>
      </c>
    </row>
    <row r="3119" spans="1:40" x14ac:dyDescent="0.25">
      <c r="A3119" t="str">
        <f>"20190312160352901"</f>
        <v>20190312160352901</v>
      </c>
      <c r="B3119" t="str">
        <f>"1552377832897808"</f>
        <v>1552377832897808</v>
      </c>
      <c r="C3119" t="s">
        <v>40</v>
      </c>
      <c r="D3119">
        <v>5.5301799999999997</v>
      </c>
      <c r="E3119">
        <v>0.40838249999999998</v>
      </c>
      <c r="F3119" t="s">
        <v>41</v>
      </c>
      <c r="G3119">
        <v>-485.83589999999998</v>
      </c>
      <c r="H3119" s="1">
        <v>-1.4444139999999899E-6</v>
      </c>
      <c r="I3119">
        <v>230.63679999999999</v>
      </c>
      <c r="J3119">
        <v>-494.46449999999999</v>
      </c>
      <c r="K3119">
        <v>1.1101350000000001</v>
      </c>
      <c r="L3119">
        <v>249.97669999999999</v>
      </c>
      <c r="M3119">
        <v>0.16694479999999901</v>
      </c>
      <c r="N3119">
        <v>0</v>
      </c>
      <c r="O3119">
        <v>-0.98588989999999999</v>
      </c>
      <c r="P3119">
        <v>0.17471220000000001</v>
      </c>
      <c r="Q3119">
        <v>1.5538710000000001E-3</v>
      </c>
      <c r="R3119">
        <v>-0.98461869999999996</v>
      </c>
      <c r="S3119">
        <v>1.2551570000000001</v>
      </c>
      <c r="T3119">
        <v>-0.16108729999999999</v>
      </c>
      <c r="U3119">
        <v>-2.8244319999999998</v>
      </c>
      <c r="V3119">
        <v>-7.8725269999999903E-3</v>
      </c>
      <c r="W3119">
        <v>1.383243E-2</v>
      </c>
      <c r="X3119">
        <v>0.99987329999999996</v>
      </c>
      <c r="Y3119">
        <v>-0.24726609999999999</v>
      </c>
      <c r="Z3119">
        <v>5.2410810000000002E-2</v>
      </c>
      <c r="AA3119">
        <v>0.96752910000000003</v>
      </c>
      <c r="AB3119">
        <v>24</v>
      </c>
      <c r="AC3119">
        <v>8.6286000000000005</v>
      </c>
      <c r="AD3119">
        <v>-1.1101364444140001</v>
      </c>
      <c r="AE3119">
        <v>-19.3399</v>
      </c>
      <c r="AF3119">
        <v>-5.2640858543826301</v>
      </c>
      <c r="AG3119">
        <v>-1.1101364444140001</v>
      </c>
      <c r="AH3119">
        <v>20.452852779094201</v>
      </c>
      <c r="AI3119">
        <v>93.008967845996594</v>
      </c>
      <c r="AJ3119">
        <v>104.43333466057</v>
      </c>
      <c r="AK3119">
        <v>21.148574174417298</v>
      </c>
      <c r="AL3119">
        <v>89.207434836634206</v>
      </c>
      <c r="AM3119">
        <v>90.451110406422401</v>
      </c>
      <c r="AN3119">
        <v>0.99999996442697903</v>
      </c>
    </row>
    <row r="3120" spans="1:40" x14ac:dyDescent="0.25">
      <c r="A3120" t="str">
        <f>"20190312160352915"</f>
        <v>20190312160352915</v>
      </c>
      <c r="B3120" t="str">
        <f>"1552377832907570"</f>
        <v>1552377832907570</v>
      </c>
      <c r="C3120" t="s">
        <v>40</v>
      </c>
      <c r="D3120">
        <v>5.5751359999999996</v>
      </c>
      <c r="E3120">
        <v>0.40841319999999998</v>
      </c>
      <c r="F3120" t="s">
        <v>41</v>
      </c>
      <c r="G3120">
        <v>-485.75880000000001</v>
      </c>
      <c r="H3120" s="1">
        <v>-1.3832989999999999E-6</v>
      </c>
      <c r="I3120">
        <v>230.39689999999999</v>
      </c>
      <c r="J3120">
        <v>-494.4409</v>
      </c>
      <c r="K3120">
        <v>1.1101719999999999</v>
      </c>
      <c r="L3120">
        <v>249.83789999999999</v>
      </c>
      <c r="M3120">
        <v>0.16705200000000001</v>
      </c>
      <c r="N3120">
        <v>0</v>
      </c>
      <c r="O3120">
        <v>-0.98587170000000002</v>
      </c>
      <c r="P3120">
        <v>0.17496389999999901</v>
      </c>
      <c r="Q3120">
        <v>2.7741020000000001E-3</v>
      </c>
      <c r="R3120">
        <v>-0.98457099999999997</v>
      </c>
      <c r="S3120">
        <v>1.255768</v>
      </c>
      <c r="T3120">
        <v>-0.16013229999999901</v>
      </c>
      <c r="U3120">
        <v>-2.8243100000000001</v>
      </c>
      <c r="V3120">
        <v>-8.0216149999999993E-3</v>
      </c>
      <c r="W3120">
        <v>1.5052050000000001E-2</v>
      </c>
      <c r="X3120">
        <v>0.99985449999999998</v>
      </c>
      <c r="Y3120">
        <v>-0.24735750000000001</v>
      </c>
      <c r="Z3120">
        <v>5.2098770000000003E-2</v>
      </c>
      <c r="AA3120">
        <v>0.96752260000000001</v>
      </c>
      <c r="AB3120">
        <v>24</v>
      </c>
      <c r="AC3120">
        <v>8.6820999999999895</v>
      </c>
      <c r="AD3120">
        <v>-1.1101733832989999</v>
      </c>
      <c r="AE3120">
        <v>-19.440999999999999</v>
      </c>
      <c r="AF3120">
        <v>-5.2977756162190497</v>
      </c>
      <c r="AG3120">
        <v>-1.1101733832989999</v>
      </c>
      <c r="AH3120">
        <v>20.562343278642199</v>
      </c>
      <c r="AI3120">
        <v>92.992880977734899</v>
      </c>
      <c r="AJ3120">
        <v>104.447731778441</v>
      </c>
      <c r="AK3120">
        <v>21.262851937816599</v>
      </c>
      <c r="AL3120">
        <v>89.137548463654596</v>
      </c>
      <c r="AM3120">
        <v>90.459661704713596</v>
      </c>
      <c r="AN3120">
        <v>0.99999996584332895</v>
      </c>
    </row>
    <row r="3121" spans="1:40" x14ac:dyDescent="0.25">
      <c r="A3121" t="str">
        <f>"20190312160352929"</f>
        <v>20190312160352929</v>
      </c>
      <c r="B3121" t="str">
        <f>"1552377832917328"</f>
        <v>1552377832917328</v>
      </c>
      <c r="C3121" t="s">
        <v>40</v>
      </c>
      <c r="D3121">
        <v>5.5808939999999998</v>
      </c>
      <c r="E3121">
        <v>0.40844459999999999</v>
      </c>
      <c r="F3121" t="s">
        <v>41</v>
      </c>
      <c r="G3121">
        <v>-485.55840000000001</v>
      </c>
      <c r="H3121" s="1">
        <v>-1.2573790000000001E-6</v>
      </c>
      <c r="I3121">
        <v>229.87020000000001</v>
      </c>
      <c r="J3121">
        <v>-494.41579999999999</v>
      </c>
      <c r="K3121">
        <v>1.1102129999999999</v>
      </c>
      <c r="L3121">
        <v>249.69059999999999</v>
      </c>
      <c r="M3121">
        <v>0.16719000000000001</v>
      </c>
      <c r="N3121">
        <v>0</v>
      </c>
      <c r="O3121">
        <v>-0.98584839999999996</v>
      </c>
      <c r="P3121">
        <v>0.17542669999999999</v>
      </c>
      <c r="Q3121">
        <v>4.3269609999999998E-3</v>
      </c>
      <c r="R3121">
        <v>-0.98448310000000006</v>
      </c>
      <c r="S3121">
        <v>1.2563169999999999</v>
      </c>
      <c r="T3121">
        <v>-0.1570204</v>
      </c>
      <c r="U3121">
        <v>-2.8241879999999999</v>
      </c>
      <c r="V3121">
        <v>-8.3537179999999996E-3</v>
      </c>
      <c r="W3121">
        <v>1.6603960000000001E-2</v>
      </c>
      <c r="X3121">
        <v>0.99982729999999997</v>
      </c>
      <c r="Y3121">
        <v>-0.24741589999999999</v>
      </c>
      <c r="Z3121">
        <v>5.1087019999999997E-2</v>
      </c>
      <c r="AA3121">
        <v>0.96756160000000002</v>
      </c>
      <c r="AB3121">
        <v>24</v>
      </c>
      <c r="AC3121">
        <v>8.8573999999999806</v>
      </c>
      <c r="AD3121">
        <v>-1.1102142573789999</v>
      </c>
      <c r="AE3121">
        <v>-19.8203999999999</v>
      </c>
      <c r="AF3121">
        <v>-5.4045542379539198</v>
      </c>
      <c r="AG3121">
        <v>-1.1102142573789999</v>
      </c>
      <c r="AH3121">
        <v>20.9675241722259</v>
      </c>
      <c r="AI3121">
        <v>92.9351753380151</v>
      </c>
      <c r="AJ3121">
        <v>104.45384565923</v>
      </c>
      <c r="AK3121">
        <v>21.681301900973299</v>
      </c>
      <c r="AL3121">
        <v>89.048619501182799</v>
      </c>
      <c r="AM3121">
        <v>90.4787043197652</v>
      </c>
      <c r="AN3121">
        <v>1.0000000529586901</v>
      </c>
    </row>
    <row r="3122" spans="1:40" x14ac:dyDescent="0.25">
      <c r="A3122" t="str">
        <f>"20190312160352946"</f>
        <v>20190312160352946</v>
      </c>
      <c r="B3122" t="str">
        <f>"1552377832937824"</f>
        <v>1552377832937824</v>
      </c>
      <c r="C3122" t="s">
        <v>40</v>
      </c>
      <c r="D3122">
        <v>5.5845089999999997</v>
      </c>
      <c r="E3122">
        <v>0.40845550000000003</v>
      </c>
      <c r="F3122" t="s">
        <v>59</v>
      </c>
      <c r="G3122">
        <v>-485.28809999999999</v>
      </c>
      <c r="H3122" s="1">
        <v>5.258604E-6</v>
      </c>
      <c r="I3122">
        <v>229.191</v>
      </c>
      <c r="J3122">
        <v>-494.38330000000002</v>
      </c>
      <c r="K3122">
        <v>1.1102719999999999</v>
      </c>
      <c r="L3122">
        <v>249.5</v>
      </c>
      <c r="M3122">
        <v>0.16742689999999999</v>
      </c>
      <c r="N3122">
        <v>0</v>
      </c>
      <c r="O3122">
        <v>-0.98580809999999996</v>
      </c>
      <c r="P3122">
        <v>0.17665169999999999</v>
      </c>
      <c r="Q3122">
        <v>6.8549219999999899E-3</v>
      </c>
      <c r="R3122">
        <v>-0.98424979999999995</v>
      </c>
      <c r="S3122">
        <v>1.257385</v>
      </c>
      <c r="T3122">
        <v>-0.15293689999999999</v>
      </c>
      <c r="U3122">
        <v>-2.8239290000000001</v>
      </c>
      <c r="V3122">
        <v>-9.3635339999999997E-3</v>
      </c>
      <c r="W3122">
        <v>1.9129839999999999E-2</v>
      </c>
      <c r="X3122">
        <v>0.99977309999999997</v>
      </c>
      <c r="Y3122">
        <v>-0.24754899999999999</v>
      </c>
      <c r="Z3122">
        <v>4.9758520000000001E-2</v>
      </c>
      <c r="AA3122">
        <v>0.96759680000000003</v>
      </c>
      <c r="AB3122">
        <v>24</v>
      </c>
      <c r="AC3122">
        <v>9.0952000000000304</v>
      </c>
      <c r="AD3122">
        <v>-1.1102667413959999</v>
      </c>
      <c r="AE3122">
        <v>-20.309000000000001</v>
      </c>
      <c r="AF3122">
        <v>-5.5524459277651097</v>
      </c>
      <c r="AG3122">
        <v>-1.1102667413959999</v>
      </c>
      <c r="AH3122">
        <v>21.491679303492401</v>
      </c>
      <c r="AI3122">
        <v>92.863434371881297</v>
      </c>
      <c r="AJ3122">
        <v>104.48580513389901</v>
      </c>
      <c r="AK3122">
        <v>22.2250900403569</v>
      </c>
      <c r="AL3122">
        <v>88.903873976760195</v>
      </c>
      <c r="AM3122">
        <v>90.536597048018905</v>
      </c>
      <c r="AN3122">
        <v>0.99999993901549999</v>
      </c>
    </row>
    <row r="3123" spans="1:40" x14ac:dyDescent="0.25">
      <c r="A3123" t="str">
        <f>"20190312160352960"</f>
        <v>20190312160352960</v>
      </c>
      <c r="B3123" t="str">
        <f>"1552377832957344"</f>
        <v>1552377832957344</v>
      </c>
      <c r="C3123" t="s">
        <v>40</v>
      </c>
      <c r="D3123">
        <v>5.5905899999999997</v>
      </c>
      <c r="E3123">
        <v>0.40845160000000003</v>
      </c>
      <c r="F3123" t="s">
        <v>59</v>
      </c>
      <c r="G3123">
        <v>-484.93290000000002</v>
      </c>
      <c r="H3123" s="1">
        <v>4.9004499999999998E-6</v>
      </c>
      <c r="I3123">
        <v>228.3399</v>
      </c>
      <c r="J3123">
        <v>-494.3605</v>
      </c>
      <c r="K3123">
        <v>1.1103160000000001</v>
      </c>
      <c r="L3123">
        <v>249.36689999999999</v>
      </c>
      <c r="M3123">
        <v>0.16764039999999999</v>
      </c>
      <c r="N3123">
        <v>0</v>
      </c>
      <c r="O3123">
        <v>-0.98577170000000003</v>
      </c>
      <c r="P3123">
        <v>0.1775166</v>
      </c>
      <c r="Q3123">
        <v>7.2097059999999998E-3</v>
      </c>
      <c r="R3123">
        <v>-0.9840913</v>
      </c>
      <c r="S3123">
        <v>1.2606809999999999</v>
      </c>
      <c r="T3123">
        <v>-0.14810950000000001</v>
      </c>
      <c r="U3123">
        <v>-2.8227540000000002</v>
      </c>
      <c r="V3123">
        <v>-1.002802E-2</v>
      </c>
      <c r="W3123">
        <v>1.9483589999999999E-2</v>
      </c>
      <c r="X3123">
        <v>0.99975990000000003</v>
      </c>
      <c r="Y3123">
        <v>-0.24846270000000001</v>
      </c>
      <c r="Z3123">
        <v>4.8190690000000001E-2</v>
      </c>
      <c r="AA3123">
        <v>0.96744200000000002</v>
      </c>
      <c r="AB3123">
        <v>24</v>
      </c>
      <c r="AC3123">
        <v>9.4275999999999804</v>
      </c>
      <c r="AD3123">
        <v>-1.1103110995500001</v>
      </c>
      <c r="AE3123">
        <v>-21.026999999999902</v>
      </c>
      <c r="AF3123">
        <v>-5.7555597555292897</v>
      </c>
      <c r="AG3123">
        <v>-1.1103110995500001</v>
      </c>
      <c r="AH3123">
        <v>22.258276679475301</v>
      </c>
      <c r="AI3123">
        <v>92.764928797687702</v>
      </c>
      <c r="AJ3123">
        <v>104.498016713954</v>
      </c>
      <c r="AK3123">
        <v>23.017170538042301</v>
      </c>
      <c r="AL3123">
        <v>88.883601899190595</v>
      </c>
      <c r="AM3123">
        <v>90.574681936330705</v>
      </c>
      <c r="AN3123">
        <v>1.0000000145562</v>
      </c>
    </row>
    <row r="3124" spans="1:40" x14ac:dyDescent="0.25">
      <c r="A3124" t="str">
        <f>"20190312160352972"</f>
        <v>20190312160352972</v>
      </c>
      <c r="B3124" t="str">
        <f>"1552377832968080"</f>
        <v>1552377832968080</v>
      </c>
      <c r="C3124" t="s">
        <v>40</v>
      </c>
      <c r="D3124">
        <v>5.5963050000000001</v>
      </c>
      <c r="E3124">
        <v>0.40845979999999998</v>
      </c>
      <c r="F3124" t="s">
        <v>59</v>
      </c>
      <c r="G3124">
        <v>-484.93630000000002</v>
      </c>
      <c r="H3124" s="1">
        <v>4.8915700000000003E-6</v>
      </c>
      <c r="I3124">
        <v>228.30840000000001</v>
      </c>
      <c r="J3124">
        <v>-494.3383</v>
      </c>
      <c r="K3124">
        <v>1.110355</v>
      </c>
      <c r="L3124">
        <v>249.2379</v>
      </c>
      <c r="M3124">
        <v>0.16786879999999901</v>
      </c>
      <c r="N3124">
        <v>0</v>
      </c>
      <c r="O3124">
        <v>-0.98573319999999998</v>
      </c>
      <c r="P3124">
        <v>0.17837420000000001</v>
      </c>
      <c r="Q3124">
        <v>7.1707469999999999E-3</v>
      </c>
      <c r="R3124">
        <v>-0.98393710000000001</v>
      </c>
      <c r="S3124">
        <v>1.2628170000000001</v>
      </c>
      <c r="T3124">
        <v>-0.14877899999999999</v>
      </c>
      <c r="U3124">
        <v>-2.821793</v>
      </c>
      <c r="V3124">
        <v>-1.0669700000000001E-2</v>
      </c>
      <c r="W3124">
        <v>1.9443539999999999E-2</v>
      </c>
      <c r="X3124">
        <v>0.99975400000000003</v>
      </c>
      <c r="Y3124">
        <v>-0.24896699999999999</v>
      </c>
      <c r="Z3124">
        <v>4.8409779999999999E-2</v>
      </c>
      <c r="AA3124">
        <v>0.96730139999999998</v>
      </c>
      <c r="AB3124">
        <v>24</v>
      </c>
      <c r="AC3124">
        <v>9.4019999999999797</v>
      </c>
      <c r="AD3124">
        <v>-1.11035010843</v>
      </c>
      <c r="AE3124">
        <v>-20.929499999999901</v>
      </c>
      <c r="AF3124">
        <v>-5.7414395681812298</v>
      </c>
      <c r="AG3124">
        <v>-1.11035010843</v>
      </c>
      <c r="AH3124">
        <v>22.158978453298701</v>
      </c>
      <c r="AI3124">
        <v>92.777046179264403</v>
      </c>
      <c r="AJ3124">
        <v>104.52602148206</v>
      </c>
      <c r="AK3124">
        <v>22.9176205521456</v>
      </c>
      <c r="AL3124">
        <v>88.885896988199704</v>
      </c>
      <c r="AM3124">
        <v>90.611455988613599</v>
      </c>
      <c r="AN3124">
        <v>0.99999997713091004</v>
      </c>
    </row>
    <row r="3125" spans="1:40" x14ac:dyDescent="0.25">
      <c r="A3125" t="str">
        <f>"20190312160352984"</f>
        <v>20190312160352984</v>
      </c>
      <c r="B3125" t="str">
        <f>"1552377832977840"</f>
        <v>1552377832977840</v>
      </c>
      <c r="C3125" t="s">
        <v>40</v>
      </c>
      <c r="D3125">
        <v>5.6196140000000003</v>
      </c>
      <c r="E3125">
        <v>0.40846789999999999</v>
      </c>
      <c r="F3125" t="s">
        <v>59</v>
      </c>
      <c r="G3125">
        <v>-484.97710000000001</v>
      </c>
      <c r="H3125" s="1">
        <v>4.922582E-6</v>
      </c>
      <c r="I3125">
        <v>228.3734</v>
      </c>
      <c r="J3125">
        <v>-494.3159</v>
      </c>
      <c r="K3125">
        <v>1.1103970000000001</v>
      </c>
      <c r="L3125">
        <v>249.1078</v>
      </c>
      <c r="M3125">
        <v>0.168131</v>
      </c>
      <c r="N3125">
        <v>0</v>
      </c>
      <c r="O3125">
        <v>-0.98568829999999996</v>
      </c>
      <c r="P3125">
        <v>0.179290899999999</v>
      </c>
      <c r="Q3125">
        <v>7.2810359999999899E-3</v>
      </c>
      <c r="R3125">
        <v>-0.98376949999999996</v>
      </c>
      <c r="S3125">
        <v>1.265533</v>
      </c>
      <c r="T3125">
        <v>-0.150107399999999</v>
      </c>
      <c r="U3125">
        <v>-2.8206479999999998</v>
      </c>
      <c r="V3125">
        <v>-1.133756E-2</v>
      </c>
      <c r="W3125">
        <v>1.9552719999999999E-2</v>
      </c>
      <c r="X3125">
        <v>0.99974450000000004</v>
      </c>
      <c r="Y3125">
        <v>-0.2496227</v>
      </c>
      <c r="Z3125">
        <v>4.8842259999999998E-2</v>
      </c>
      <c r="AA3125">
        <v>0.96711060000000004</v>
      </c>
      <c r="AB3125">
        <v>24</v>
      </c>
      <c r="AC3125">
        <v>9.3387999999999902</v>
      </c>
      <c r="AD3125">
        <v>-1.1103920774179901</v>
      </c>
      <c r="AE3125">
        <v>-20.734399999999901</v>
      </c>
      <c r="AF3125">
        <v>-5.7058767047899499</v>
      </c>
      <c r="AG3125">
        <v>-1.1103920774179901</v>
      </c>
      <c r="AH3125">
        <v>21.957102493837802</v>
      </c>
      <c r="AI3125">
        <v>92.802125176866497</v>
      </c>
      <c r="AJ3125">
        <v>104.56695678436</v>
      </c>
      <c r="AK3125">
        <v>22.713527895524201</v>
      </c>
      <c r="AL3125">
        <v>88.879640223069103</v>
      </c>
      <c r="AM3125">
        <v>90.649732499540605</v>
      </c>
      <c r="AN3125">
        <v>0.99999995720320001</v>
      </c>
    </row>
    <row r="3126" spans="1:40" x14ac:dyDescent="0.25">
      <c r="A3126" t="str">
        <f>"20190312160353002"</f>
        <v>20190312160353002</v>
      </c>
      <c r="B3126" t="str">
        <f>"1552377832997360"</f>
        <v>1552377832997360</v>
      </c>
      <c r="C3126" t="s">
        <v>40</v>
      </c>
      <c r="D3126">
        <v>5.6286800000000001</v>
      </c>
      <c r="E3126">
        <v>0.40848299999999998</v>
      </c>
      <c r="F3126" t="s">
        <v>59</v>
      </c>
      <c r="G3126">
        <v>-484.95839999999998</v>
      </c>
      <c r="H3126" s="1">
        <v>4.8940290000000002E-6</v>
      </c>
      <c r="I3126">
        <v>228.29730000000001</v>
      </c>
      <c r="J3126">
        <v>-494.28530000000001</v>
      </c>
      <c r="K3126">
        <v>1.1104590000000001</v>
      </c>
      <c r="L3126">
        <v>248.93129999999999</v>
      </c>
      <c r="M3126">
        <v>0.16854630000000001</v>
      </c>
      <c r="N3126">
        <v>0</v>
      </c>
      <c r="O3126">
        <v>-0.98561739999999998</v>
      </c>
      <c r="P3126">
        <v>0.18118989999999999</v>
      </c>
      <c r="Q3126">
        <v>8.3700589999999991E-3</v>
      </c>
      <c r="R3126">
        <v>-0.98341270000000003</v>
      </c>
      <c r="S3126">
        <v>1.267822</v>
      </c>
      <c r="T3126">
        <v>-0.15044440000000001</v>
      </c>
      <c r="U3126">
        <v>-2.8195649999999999</v>
      </c>
      <c r="V3126">
        <v>-1.2851309999999999E-2</v>
      </c>
      <c r="W3126">
        <v>2.0638730000000001E-2</v>
      </c>
      <c r="X3126">
        <v>0.99970440000000005</v>
      </c>
      <c r="Y3126">
        <v>-0.25000450000000002</v>
      </c>
      <c r="Z3126">
        <v>4.8953200000000002E-2</v>
      </c>
      <c r="AA3126">
        <v>0.96700640000000004</v>
      </c>
      <c r="AB3126">
        <v>24</v>
      </c>
      <c r="AC3126">
        <v>9.3269000000000197</v>
      </c>
      <c r="AD3126">
        <v>-1.110454105971</v>
      </c>
      <c r="AE3126">
        <v>-20.633999999999901</v>
      </c>
      <c r="AF3126">
        <v>-5.7016887683286104</v>
      </c>
      <c r="AG3126">
        <v>-1.110454105971</v>
      </c>
      <c r="AH3126">
        <v>21.8583260141191</v>
      </c>
      <c r="AI3126">
        <v>92.814251149943701</v>
      </c>
      <c r="AJ3126">
        <v>104.619688017812</v>
      </c>
      <c r="AK3126">
        <v>22.617001995664001</v>
      </c>
      <c r="AL3126">
        <v>88.817403910901703</v>
      </c>
      <c r="AM3126">
        <v>90.736502978289394</v>
      </c>
      <c r="AN3126">
        <v>1.00000000036204</v>
      </c>
    </row>
    <row r="3127" spans="1:40" x14ac:dyDescent="0.25">
      <c r="A3127" t="str">
        <f>"20190312160353023"</f>
        <v>20190312160353023</v>
      </c>
      <c r="B3127" t="str">
        <f>"1552377833017856"</f>
        <v>1552377833017856</v>
      </c>
      <c r="C3127" t="s">
        <v>40</v>
      </c>
      <c r="D3127">
        <v>5.6657640000000002</v>
      </c>
      <c r="E3127">
        <v>0.40849449999999998</v>
      </c>
      <c r="F3127" t="s">
        <v>59</v>
      </c>
      <c r="G3127">
        <v>-484.75729999999999</v>
      </c>
      <c r="H3127" s="1">
        <v>4.7013500000000003E-6</v>
      </c>
      <c r="I3127">
        <v>227.84800000000001</v>
      </c>
      <c r="J3127">
        <v>-494.24430000000001</v>
      </c>
      <c r="K3127">
        <v>1.110549</v>
      </c>
      <c r="L3127">
        <v>248.6953</v>
      </c>
      <c r="M3127">
        <v>0.16919110000000001</v>
      </c>
      <c r="N3127">
        <v>0</v>
      </c>
      <c r="O3127">
        <v>-0.98550689999999996</v>
      </c>
      <c r="P3127">
        <v>0.18379590000000001</v>
      </c>
      <c r="Q3127">
        <v>9.3220040000000001E-3</v>
      </c>
      <c r="R3127">
        <v>-0.98292040000000003</v>
      </c>
      <c r="S3127">
        <v>1.273193</v>
      </c>
      <c r="T3127">
        <v>-0.14838599999999999</v>
      </c>
      <c r="U3127">
        <v>-2.8172760000000001</v>
      </c>
      <c r="V3127">
        <v>-1.485359E-2</v>
      </c>
      <c r="W3127">
        <v>2.158647E-2</v>
      </c>
      <c r="X3127">
        <v>0.99965660000000001</v>
      </c>
      <c r="Y3127">
        <v>-0.25121009999999999</v>
      </c>
      <c r="Z3127">
        <v>4.8286820000000001E-2</v>
      </c>
      <c r="AA3127">
        <v>0.96672740000000001</v>
      </c>
      <c r="AB3127">
        <v>24</v>
      </c>
      <c r="AC3127">
        <v>9.4870000000000196</v>
      </c>
      <c r="AD3127">
        <v>-1.11054429865</v>
      </c>
      <c r="AE3127">
        <v>-20.847300000000001</v>
      </c>
      <c r="AF3127">
        <v>-5.8091079993050396</v>
      </c>
      <c r="AG3127">
        <v>-1.11054429865</v>
      </c>
      <c r="AH3127">
        <v>22.099986520472399</v>
      </c>
      <c r="AI3127">
        <v>92.7823846039297</v>
      </c>
      <c r="AJ3127">
        <v>104.727369942054</v>
      </c>
      <c r="AK3127">
        <v>22.877684511154499</v>
      </c>
      <c r="AL3127">
        <v>88.763090252302007</v>
      </c>
      <c r="AM3127">
        <v>90.851277723012203</v>
      </c>
      <c r="AN3127">
        <v>0.99999996137325298</v>
      </c>
    </row>
    <row r="3128" spans="1:40" x14ac:dyDescent="0.25">
      <c r="A3128" t="str">
        <f>"20190312160353035"</f>
        <v>20190312160353035</v>
      </c>
      <c r="B3128" t="str">
        <f>"1552377833027616"</f>
        <v>1552377833027616</v>
      </c>
      <c r="C3128" t="s">
        <v>40</v>
      </c>
      <c r="D3128">
        <v>5.610525</v>
      </c>
      <c r="E3128">
        <v>0.4101842</v>
      </c>
      <c r="F3128" t="s">
        <v>59</v>
      </c>
      <c r="G3128">
        <v>-484.53750000000002</v>
      </c>
      <c r="H3128" s="1">
        <v>4.4913230000000001E-6</v>
      </c>
      <c r="I3128">
        <v>227.35890000000001</v>
      </c>
      <c r="J3128">
        <v>-494.22309999999999</v>
      </c>
      <c r="K3128">
        <v>1.1105940000000001</v>
      </c>
      <c r="L3128">
        <v>248.5737</v>
      </c>
      <c r="M3128">
        <v>0.1695759</v>
      </c>
      <c r="N3128">
        <v>0</v>
      </c>
      <c r="O3128">
        <v>-0.98544089999999995</v>
      </c>
      <c r="P3128">
        <v>0.18488979999999999</v>
      </c>
      <c r="Q3128">
        <v>9.6316600000000002E-3</v>
      </c>
      <c r="R3128">
        <v>-0.98271229999999998</v>
      </c>
      <c r="S3128">
        <v>1.280273</v>
      </c>
      <c r="T3128">
        <v>-0.1464741</v>
      </c>
      <c r="U3128">
        <v>-2.8141479999999999</v>
      </c>
      <c r="V3128">
        <v>-1.557945E-2</v>
      </c>
      <c r="W3128">
        <v>2.1894440000000001E-2</v>
      </c>
      <c r="X3128">
        <v>0.9996389</v>
      </c>
      <c r="Y3128">
        <v>-0.25326419999999999</v>
      </c>
      <c r="Z3128">
        <v>4.7672739999999998E-2</v>
      </c>
      <c r="AA3128">
        <v>0.96622180000000002</v>
      </c>
      <c r="AB3128">
        <v>24</v>
      </c>
      <c r="AC3128">
        <v>9.68559999999996</v>
      </c>
      <c r="AD3128">
        <v>-1.1105895086769999</v>
      </c>
      <c r="AE3128">
        <v>-21.2148</v>
      </c>
      <c r="AF3128">
        <v>-5.9340571240241502</v>
      </c>
      <c r="AG3128">
        <v>-1.1105895086769999</v>
      </c>
      <c r="AH3128">
        <v>22.499046655735899</v>
      </c>
      <c r="AI3128">
        <v>92.732621834665807</v>
      </c>
      <c r="AJ3128">
        <v>104.77512794878901</v>
      </c>
      <c r="AK3128">
        <v>23.294925271933099</v>
      </c>
      <c r="AL3128">
        <v>88.745440757437805</v>
      </c>
      <c r="AM3128">
        <v>90.892886891893994</v>
      </c>
      <c r="AN3128">
        <v>1.00000000807921</v>
      </c>
    </row>
    <row r="3129" spans="1:40" x14ac:dyDescent="0.25">
      <c r="A3129" t="str">
        <f>"20190312160353048"</f>
        <v>20190312160353048</v>
      </c>
      <c r="B3129" t="str">
        <f>"1552377833037377"</f>
        <v>1552377833037377</v>
      </c>
      <c r="C3129" t="s">
        <v>40</v>
      </c>
      <c r="D3129">
        <v>5.6493659999999997</v>
      </c>
      <c r="E3129">
        <v>0.41035519999999998</v>
      </c>
      <c r="F3129" t="s">
        <v>41</v>
      </c>
      <c r="G3129">
        <v>-488.05070000000001</v>
      </c>
      <c r="H3129" s="1">
        <v>-2.6276169999999999E-6</v>
      </c>
      <c r="I3129">
        <v>234.95179999999999</v>
      </c>
      <c r="J3129">
        <v>-494.20049999999998</v>
      </c>
      <c r="K3129">
        <v>1.110635</v>
      </c>
      <c r="L3129">
        <v>248.4452</v>
      </c>
      <c r="M3129">
        <v>0.1700024</v>
      </c>
      <c r="N3129">
        <v>0</v>
      </c>
      <c r="O3129">
        <v>-0.9853674</v>
      </c>
      <c r="P3129">
        <v>0.18619230000000001</v>
      </c>
      <c r="Q3129">
        <v>1.001868E-2</v>
      </c>
      <c r="R3129">
        <v>-0.98246270000000002</v>
      </c>
      <c r="S3129">
        <v>1.2755430000000001</v>
      </c>
      <c r="T3129">
        <v>-0.22950980000000001</v>
      </c>
      <c r="U3129">
        <v>-2.8150330000000001</v>
      </c>
      <c r="V3129">
        <v>-1.6475440000000001E-2</v>
      </c>
      <c r="W3129">
        <v>2.2278679999999999E-2</v>
      </c>
      <c r="X3129">
        <v>0.99961599999999995</v>
      </c>
      <c r="Y3129">
        <v>-0.25069829999999999</v>
      </c>
      <c r="Z3129">
        <v>7.4589290000000003E-2</v>
      </c>
      <c r="AA3129">
        <v>0.96518740000000003</v>
      </c>
      <c r="AB3129">
        <v>24</v>
      </c>
      <c r="AC3129">
        <v>6.1497999999999697</v>
      </c>
      <c r="AD3129">
        <v>-1.110637627617</v>
      </c>
      <c r="AE3129">
        <v>-13.493399999999999</v>
      </c>
      <c r="AF3129">
        <v>-3.7451759207275499</v>
      </c>
      <c r="AG3129">
        <v>-1.110637627617</v>
      </c>
      <c r="AH3129">
        <v>14.262507270015099</v>
      </c>
      <c r="AI3129">
        <v>94.307255580655706</v>
      </c>
      <c r="AJ3129">
        <v>104.713068379653</v>
      </c>
      <c r="AK3129">
        <v>14.7877980864059</v>
      </c>
      <c r="AL3129">
        <v>88.723419998662806</v>
      </c>
      <c r="AM3129">
        <v>90.944250307302894</v>
      </c>
      <c r="AN3129">
        <v>0.99999996358086696</v>
      </c>
    </row>
    <row r="3130" spans="1:40" x14ac:dyDescent="0.25">
      <c r="A3130" t="str">
        <f>"20190312160353060"</f>
        <v>20190312160353060</v>
      </c>
      <c r="B3130" t="str">
        <f>"1552377833047642"</f>
        <v>1552377833047642</v>
      </c>
      <c r="C3130" t="s">
        <v>40</v>
      </c>
      <c r="D3130">
        <v>5.6628150000000002</v>
      </c>
      <c r="E3130">
        <v>0.41031450000000003</v>
      </c>
      <c r="F3130" t="s">
        <v>41</v>
      </c>
      <c r="G3130">
        <v>-487.7799</v>
      </c>
      <c r="H3130" s="1">
        <v>-2.3986729999999999E-6</v>
      </c>
      <c r="I3130">
        <v>234.30619999999999</v>
      </c>
      <c r="J3130">
        <v>-494.178</v>
      </c>
      <c r="K3130">
        <v>1.1106830000000001</v>
      </c>
      <c r="L3130">
        <v>248.3175</v>
      </c>
      <c r="M3130">
        <v>0.17048489999999999</v>
      </c>
      <c r="N3130">
        <v>0</v>
      </c>
      <c r="O3130">
        <v>-0.98528389999999999</v>
      </c>
      <c r="P3130">
        <v>0.18752759999999999</v>
      </c>
      <c r="Q3130">
        <v>1.069464E-2</v>
      </c>
      <c r="R3130">
        <v>-0.98220130000000005</v>
      </c>
      <c r="S3130">
        <v>1.277679</v>
      </c>
      <c r="T3130">
        <v>-0.22101399999999999</v>
      </c>
      <c r="U3130">
        <v>-2.8136290000000002</v>
      </c>
      <c r="V3130">
        <v>-1.7349349999999999E-2</v>
      </c>
      <c r="W3130">
        <v>2.2951800000000001E-2</v>
      </c>
      <c r="X3130">
        <v>0.99958599999999997</v>
      </c>
      <c r="Y3130">
        <v>-0.25109680000000001</v>
      </c>
      <c r="Z3130">
        <v>7.1852319999999997E-2</v>
      </c>
      <c r="AA3130">
        <v>0.96529149999999997</v>
      </c>
      <c r="AB3130">
        <v>24</v>
      </c>
      <c r="AC3130">
        <v>6.3981000000000501</v>
      </c>
      <c r="AD3130">
        <v>-1.1106853986730001</v>
      </c>
      <c r="AE3130">
        <v>-14.0113</v>
      </c>
      <c r="AF3130">
        <v>-3.8952706258513898</v>
      </c>
      <c r="AG3130">
        <v>-1.1106853986730001</v>
      </c>
      <c r="AH3130">
        <v>14.8199508940841</v>
      </c>
      <c r="AI3130">
        <v>94.145739724002198</v>
      </c>
      <c r="AJ3130">
        <v>104.726508094761</v>
      </c>
      <c r="AK3130">
        <v>15.363518470926801</v>
      </c>
      <c r="AL3130">
        <v>88.684843214397404</v>
      </c>
      <c r="AM3130">
        <v>90.994356395465402</v>
      </c>
      <c r="AN3130">
        <v>0.99999997823233</v>
      </c>
    </row>
    <row r="3131" spans="1:40" x14ac:dyDescent="0.25">
      <c r="A3131" t="str">
        <f>"20190312160353072"</f>
        <v>20190312160353072</v>
      </c>
      <c r="B3131" t="str">
        <f>"1552377833067162"</f>
        <v>1552377833067162</v>
      </c>
      <c r="C3131" t="s">
        <v>40</v>
      </c>
      <c r="D3131">
        <v>5.7083680000000001</v>
      </c>
      <c r="E3131">
        <v>0.38957360000000002</v>
      </c>
      <c r="F3131" t="s">
        <v>41</v>
      </c>
      <c r="G3131">
        <v>-487.5856</v>
      </c>
      <c r="H3131" s="1">
        <v>-2.2386059999999998E-6</v>
      </c>
      <c r="I3131">
        <v>233.8527</v>
      </c>
      <c r="J3131">
        <v>-494.15629999999999</v>
      </c>
      <c r="K3131">
        <v>1.1107320000000001</v>
      </c>
      <c r="L3131">
        <v>248.1951</v>
      </c>
      <c r="M3131">
        <v>0.17097219999999999</v>
      </c>
      <c r="N3131">
        <v>0</v>
      </c>
      <c r="O3131">
        <v>-0.98519939999999995</v>
      </c>
      <c r="P3131">
        <v>0.18872449999999999</v>
      </c>
      <c r="Q3131">
        <v>1.149699E-2</v>
      </c>
      <c r="R3131">
        <v>-0.98196289999999997</v>
      </c>
      <c r="S3131">
        <v>1.2815859999999999</v>
      </c>
      <c r="T3131">
        <v>-0.21592059999999999</v>
      </c>
      <c r="U3131">
        <v>-2.8120120000000002</v>
      </c>
      <c r="V3131">
        <v>-1.8078259999999999E-2</v>
      </c>
      <c r="W3131">
        <v>2.3751709999999999E-2</v>
      </c>
      <c r="X3131">
        <v>0.99955439999999995</v>
      </c>
      <c r="Y3131">
        <v>-0.25198690000000001</v>
      </c>
      <c r="Z3131">
        <v>7.0205139999999999E-2</v>
      </c>
      <c r="AA3131">
        <v>0.96518079999999995</v>
      </c>
      <c r="AB3131">
        <v>24</v>
      </c>
      <c r="AC3131">
        <v>6.57069999999998</v>
      </c>
      <c r="AD3131">
        <v>-1.110734238606</v>
      </c>
      <c r="AE3131">
        <v>-14.3423999999999</v>
      </c>
      <c r="AF3131">
        <v>-4.0017635734383497</v>
      </c>
      <c r="AG3131">
        <v>-1.110734238606</v>
      </c>
      <c r="AH3131">
        <v>15.1794331359993</v>
      </c>
      <c r="AI3131">
        <v>94.047281678758296</v>
      </c>
      <c r="AJ3131">
        <v>104.768891552036</v>
      </c>
      <c r="AK3131">
        <v>15.7373133849708</v>
      </c>
      <c r="AL3131">
        <v>88.638999250353905</v>
      </c>
      <c r="AM3131">
        <v>91.036156789808999</v>
      </c>
      <c r="AN3131">
        <v>0.99999998288595504</v>
      </c>
    </row>
    <row r="3132" spans="1:40" x14ac:dyDescent="0.25">
      <c r="A3132" t="str">
        <f>"20190312160353083"</f>
        <v>20190312160353083</v>
      </c>
      <c r="B3132" t="str">
        <f>"1552377833077898"</f>
        <v>1552377833077898</v>
      </c>
      <c r="C3132" t="s">
        <v>40</v>
      </c>
      <c r="D3132">
        <v>5.665451</v>
      </c>
      <c r="E3132">
        <v>0.38299640000000001</v>
      </c>
      <c r="F3132" t="s">
        <v>59</v>
      </c>
      <c r="G3132">
        <v>-481.53539999999998</v>
      </c>
      <c r="H3132" s="1">
        <v>2.986988E-6</v>
      </c>
      <c r="I3132">
        <v>223.87569999999999</v>
      </c>
      <c r="J3132">
        <v>-494.13380000000001</v>
      </c>
      <c r="K3132">
        <v>1.1107899999999999</v>
      </c>
      <c r="L3132">
        <v>248.06870000000001</v>
      </c>
      <c r="M3132">
        <v>0.1715122</v>
      </c>
      <c r="N3132">
        <v>0</v>
      </c>
      <c r="O3132">
        <v>-0.98510540000000002</v>
      </c>
      <c r="P3132">
        <v>0.1901024</v>
      </c>
      <c r="Q3132">
        <v>1.226374E-2</v>
      </c>
      <c r="R3132">
        <v>-0.98168770000000005</v>
      </c>
      <c r="S3132">
        <v>1.4424129999999999</v>
      </c>
      <c r="T3132">
        <v>-0.12694259999999999</v>
      </c>
      <c r="U3132">
        <v>-2.779404</v>
      </c>
      <c r="V3132">
        <v>-1.8939170000000002E-2</v>
      </c>
      <c r="W3132">
        <v>2.4515390000000001E-2</v>
      </c>
      <c r="X3132">
        <v>0.99952010000000002</v>
      </c>
      <c r="Y3132">
        <v>-0.30116890000000002</v>
      </c>
      <c r="Z3132">
        <v>4.0977189999999997E-2</v>
      </c>
      <c r="AA3132">
        <v>0.95268989999999998</v>
      </c>
      <c r="AB3132">
        <v>24</v>
      </c>
      <c r="AC3132">
        <v>12.5984</v>
      </c>
      <c r="AD3132">
        <v>-1.1107870130119999</v>
      </c>
      <c r="AE3132">
        <v>-24.193000000000001</v>
      </c>
      <c r="AF3132">
        <v>-8.2483020941308691</v>
      </c>
      <c r="AG3132">
        <v>-1.1107870130119999</v>
      </c>
      <c r="AH3132">
        <v>25.952357763030498</v>
      </c>
      <c r="AI3132">
        <v>92.335822141466096</v>
      </c>
      <c r="AJ3132">
        <v>107.631545558952</v>
      </c>
      <c r="AK3132">
        <v>27.2542328581204</v>
      </c>
      <c r="AL3132">
        <v>88.595230972944705</v>
      </c>
      <c r="AM3132">
        <v>91.085525612493896</v>
      </c>
      <c r="AN3132">
        <v>1.0000000634055699</v>
      </c>
    </row>
    <row r="3133" spans="1:40" x14ac:dyDescent="0.25">
      <c r="A3133" t="str">
        <f>"20190312160353102"</f>
        <v>20190312160353102</v>
      </c>
      <c r="B3133" t="str">
        <f>"1552377833097418"</f>
        <v>1552377833097418</v>
      </c>
      <c r="C3133" t="s">
        <v>40</v>
      </c>
      <c r="D3133">
        <v>5.6574929999999997</v>
      </c>
      <c r="E3133">
        <v>0.37876660000000001</v>
      </c>
      <c r="F3133" t="s">
        <v>59</v>
      </c>
      <c r="G3133">
        <v>-478.96319999999997</v>
      </c>
      <c r="H3133" s="1">
        <v>2.2575290000000002E-6</v>
      </c>
      <c r="I3133">
        <v>220.0343</v>
      </c>
      <c r="J3133">
        <v>-494.10070000000002</v>
      </c>
      <c r="K3133">
        <v>1.1108739999999999</v>
      </c>
      <c r="L3133">
        <v>247.8843</v>
      </c>
      <c r="M3133">
        <v>0.17238619999999999</v>
      </c>
      <c r="N3133">
        <v>0</v>
      </c>
      <c r="O3133">
        <v>-0.98495319999999997</v>
      </c>
      <c r="P3133">
        <v>0.19251190000000001</v>
      </c>
      <c r="Q3133">
        <v>1.4156999999999999E-2</v>
      </c>
      <c r="R3133">
        <v>-0.98119310000000004</v>
      </c>
      <c r="S3133">
        <v>1.497528</v>
      </c>
      <c r="T3133">
        <v>-0.10964889999999999</v>
      </c>
      <c r="U3133">
        <v>-2.7673489999999998</v>
      </c>
      <c r="V3133">
        <v>-2.051859E-2</v>
      </c>
      <c r="W3133">
        <v>2.640209E-2</v>
      </c>
      <c r="X3133">
        <v>0.99944080000000002</v>
      </c>
      <c r="Y3133">
        <v>-0.31687949999999998</v>
      </c>
      <c r="Z3133">
        <v>3.5281800000000002E-2</v>
      </c>
      <c r="AA3133">
        <v>0.94780929999999997</v>
      </c>
      <c r="AB3133">
        <v>24</v>
      </c>
      <c r="AC3133">
        <v>15.137499999999999</v>
      </c>
      <c r="AD3133">
        <v>-1.110871742471</v>
      </c>
      <c r="AE3133">
        <v>-27.849999999999898</v>
      </c>
      <c r="AF3133">
        <v>-10.097131492967099</v>
      </c>
      <c r="AG3133">
        <v>-1.110871742471</v>
      </c>
      <c r="AH3133">
        <v>30.005846250946401</v>
      </c>
      <c r="AI3133">
        <v>92.0095967734769</v>
      </c>
      <c r="AJ3133">
        <v>108.598368069111</v>
      </c>
      <c r="AK3133">
        <v>31.6786506917501</v>
      </c>
      <c r="AL3133">
        <v>88.487095867846705</v>
      </c>
      <c r="AM3133">
        <v>91.176121167805803</v>
      </c>
      <c r="AN3133">
        <v>0.99999999779829796</v>
      </c>
    </row>
    <row r="3134" spans="1:40" x14ac:dyDescent="0.25">
      <c r="A3134" t="str">
        <f>"20190312160353114"</f>
        <v>20190312160353114</v>
      </c>
      <c r="B3134" t="str">
        <f>"1552377833108154"</f>
        <v>1552377833108154</v>
      </c>
      <c r="C3134" t="s">
        <v>40</v>
      </c>
      <c r="D3134">
        <v>5.6886749999999999</v>
      </c>
      <c r="E3134">
        <v>0.37764740000000002</v>
      </c>
      <c r="F3134" t="s">
        <v>59</v>
      </c>
      <c r="G3134">
        <v>-479.69729999999998</v>
      </c>
      <c r="H3134">
        <v>8.0000370000000001E-2</v>
      </c>
      <c r="I3134">
        <v>222.0591</v>
      </c>
      <c r="J3134">
        <v>-494.07850000000002</v>
      </c>
      <c r="K3134">
        <v>1.1109329999999999</v>
      </c>
      <c r="L3134">
        <v>247.76140000000001</v>
      </c>
      <c r="M3134">
        <v>0.1730274</v>
      </c>
      <c r="N3134">
        <v>0</v>
      </c>
      <c r="O3134">
        <v>-0.98484070000000001</v>
      </c>
      <c r="P3134">
        <v>0.1938841</v>
      </c>
      <c r="Q3134">
        <v>1.466376E-2</v>
      </c>
      <c r="R3134">
        <v>-0.98091499999999998</v>
      </c>
      <c r="S3134">
        <v>1.5378419999999999</v>
      </c>
      <c r="T3134">
        <v>-0.1100655</v>
      </c>
      <c r="U3134">
        <v>-2.757339</v>
      </c>
      <c r="V3134">
        <v>-2.127223E-2</v>
      </c>
      <c r="W3134">
        <v>2.6905450000000001E-2</v>
      </c>
      <c r="X3134">
        <v>0.99941159999999996</v>
      </c>
      <c r="Y3134">
        <v>-0.3283124</v>
      </c>
      <c r="Z3134">
        <v>3.5333620000000003E-2</v>
      </c>
      <c r="AA3134">
        <v>0.94390810000000003</v>
      </c>
      <c r="AB3134">
        <v>24</v>
      </c>
      <c r="AC3134">
        <v>14.3812</v>
      </c>
      <c r="AD3134">
        <v>-1.0309326299999999</v>
      </c>
      <c r="AE3134">
        <v>-25.702300000000001</v>
      </c>
      <c r="AF3134">
        <v>-9.7048283219700195</v>
      </c>
      <c r="AG3134">
        <v>-1.0309326299999999</v>
      </c>
      <c r="AH3134">
        <v>27.769078164702201</v>
      </c>
      <c r="AI3134">
        <v>92.007199304204505</v>
      </c>
      <c r="AJ3134">
        <v>109.263666663126</v>
      </c>
      <c r="AK3134">
        <v>29.434133535129799</v>
      </c>
      <c r="AL3134">
        <v>88.4582451844026</v>
      </c>
      <c r="AM3134">
        <v>91.219342454231807</v>
      </c>
      <c r="AN3134">
        <v>0.99999997861171697</v>
      </c>
    </row>
    <row r="3135" spans="1:40" x14ac:dyDescent="0.25">
      <c r="A3135" t="str">
        <f>"20190312160353126"</f>
        <v>20190312160353126</v>
      </c>
      <c r="B3135" t="str">
        <f>"1552377833117914"</f>
        <v>1552377833117914</v>
      </c>
      <c r="C3135" t="s">
        <v>40</v>
      </c>
      <c r="D3135">
        <v>5.6975619999999996</v>
      </c>
      <c r="E3135">
        <v>0.37695659999999998</v>
      </c>
      <c r="F3135" t="s">
        <v>59</v>
      </c>
      <c r="G3135">
        <v>-479.04379999999998</v>
      </c>
      <c r="H3135">
        <v>8.0000299999999996E-2</v>
      </c>
      <c r="I3135">
        <v>221.05029999999999</v>
      </c>
      <c r="J3135">
        <v>-494.05360000000002</v>
      </c>
      <c r="K3135">
        <v>1.1109990000000001</v>
      </c>
      <c r="L3135">
        <v>247.624</v>
      </c>
      <c r="M3135">
        <v>0.17378660000000001</v>
      </c>
      <c r="N3135">
        <v>0</v>
      </c>
      <c r="O3135">
        <v>-0.98470659999999999</v>
      </c>
      <c r="P3135">
        <v>0.19533690000000001</v>
      </c>
      <c r="Q3135">
        <v>1.549035E-2</v>
      </c>
      <c r="R3135">
        <v>-0.98061399999999999</v>
      </c>
      <c r="S3135">
        <v>1.5499270000000001</v>
      </c>
      <c r="T3135">
        <v>-0.1062789</v>
      </c>
      <c r="U3135">
        <v>-2.753647</v>
      </c>
      <c r="V3135">
        <v>-2.199038E-2</v>
      </c>
      <c r="W3135">
        <v>2.772817E-2</v>
      </c>
      <c r="X3135">
        <v>0.99937359999999997</v>
      </c>
      <c r="Y3135">
        <v>-0.33129380000000003</v>
      </c>
      <c r="Z3135">
        <v>3.4099749999999998E-2</v>
      </c>
      <c r="AA3135">
        <v>0.94291130000000001</v>
      </c>
      <c r="AB3135">
        <v>24</v>
      </c>
      <c r="AC3135">
        <v>15.0098</v>
      </c>
      <c r="AD3135">
        <v>-1.0309986999999901</v>
      </c>
      <c r="AE3135">
        <v>-26.573699999999999</v>
      </c>
      <c r="AF3135">
        <v>-10.1512797009172</v>
      </c>
      <c r="AG3135">
        <v>-1.0309986999999901</v>
      </c>
      <c r="AH3135">
        <v>28.745171161001899</v>
      </c>
      <c r="AI3135">
        <v>91.936999426528303</v>
      </c>
      <c r="AJ3135">
        <v>109.450536179495</v>
      </c>
      <c r="AK3135">
        <v>30.502398314902301</v>
      </c>
      <c r="AL3135">
        <v>88.411089251330793</v>
      </c>
      <c r="AM3135">
        <v>91.260542276785898</v>
      </c>
      <c r="AN3135">
        <v>1.00000001030052</v>
      </c>
    </row>
    <row r="3136" spans="1:40" x14ac:dyDescent="0.25">
      <c r="A3136" t="str">
        <f>"20190312160353140"</f>
        <v>20190312160353140</v>
      </c>
      <c r="B3136" t="str">
        <f>"1552377833127674"</f>
        <v>1552377833127674</v>
      </c>
      <c r="C3136" t="s">
        <v>40</v>
      </c>
      <c r="D3136">
        <v>5.6789440000000004</v>
      </c>
      <c r="E3136">
        <v>0.37634410000000001</v>
      </c>
      <c r="F3136" t="s">
        <v>59</v>
      </c>
      <c r="G3136">
        <v>-477.286</v>
      </c>
      <c r="H3136" s="1">
        <v>2.8777730000000001E-6</v>
      </c>
      <c r="I3136">
        <v>218.05619999999999</v>
      </c>
      <c r="J3136">
        <v>-494.02879999999999</v>
      </c>
      <c r="K3136">
        <v>1.111076</v>
      </c>
      <c r="L3136">
        <v>247.48849999999999</v>
      </c>
      <c r="M3136">
        <v>0.1746345</v>
      </c>
      <c r="N3136">
        <v>0</v>
      </c>
      <c r="O3136">
        <v>-0.98455669999999995</v>
      </c>
      <c r="P3136">
        <v>0.1971396</v>
      </c>
      <c r="Q3136">
        <v>1.5942419999999999E-2</v>
      </c>
      <c r="R3136">
        <v>-0.98024560000000005</v>
      </c>
      <c r="S3136">
        <v>1.559631</v>
      </c>
      <c r="T3136">
        <v>-0.1033385</v>
      </c>
      <c r="U3136">
        <v>-2.750229</v>
      </c>
      <c r="V3136">
        <v>-2.297509E-2</v>
      </c>
      <c r="W3136">
        <v>2.8175269999999999E-2</v>
      </c>
      <c r="X3136">
        <v>0.99933890000000003</v>
      </c>
      <c r="Y3136">
        <v>-0.333518599999999</v>
      </c>
      <c r="Z3136">
        <v>3.3145210000000001E-2</v>
      </c>
      <c r="AA3136">
        <v>0.94216069999999996</v>
      </c>
      <c r="AB3136">
        <v>24</v>
      </c>
      <c r="AC3136">
        <v>16.7427999999999</v>
      </c>
      <c r="AD3136">
        <v>-1.1110731222270001</v>
      </c>
      <c r="AE3136">
        <v>-29.432300000000001</v>
      </c>
      <c r="AF3136">
        <v>-11.332995095595701</v>
      </c>
      <c r="AG3136">
        <v>-1.1110731222270001</v>
      </c>
      <c r="AH3136">
        <v>31.869732850837099</v>
      </c>
      <c r="AI3136">
        <v>91.881369050509093</v>
      </c>
      <c r="AJ3136">
        <v>109.57557495973199</v>
      </c>
      <c r="AK3136">
        <v>33.843036703337603</v>
      </c>
      <c r="AL3136">
        <v>88.385462228272303</v>
      </c>
      <c r="AM3136">
        <v>91.317014517812495</v>
      </c>
      <c r="AN3136">
        <v>0.99999996882664499</v>
      </c>
    </row>
    <row r="3137" spans="1:40" x14ac:dyDescent="0.25">
      <c r="A3137" t="str">
        <f>"20190312160353154"</f>
        <v>20190312160353154</v>
      </c>
      <c r="B3137" t="str">
        <f>"1552377833147703"</f>
        <v>1552377833147703</v>
      </c>
      <c r="C3137" t="s">
        <v>40</v>
      </c>
      <c r="D3137">
        <v>5.7159849999999999</v>
      </c>
      <c r="E3137">
        <v>0.37628220000000001</v>
      </c>
      <c r="F3137" t="s">
        <v>59</v>
      </c>
      <c r="G3137">
        <v>-477.1003</v>
      </c>
      <c r="H3137" s="1">
        <v>2.951415E-6</v>
      </c>
      <c r="I3137">
        <v>217.85659999999999</v>
      </c>
      <c r="J3137">
        <v>-494.00200000000001</v>
      </c>
      <c r="K3137">
        <v>1.1111629999999999</v>
      </c>
      <c r="L3137">
        <v>247.3433</v>
      </c>
      <c r="M3137">
        <v>0.17560419999999999</v>
      </c>
      <c r="N3137">
        <v>0</v>
      </c>
      <c r="O3137">
        <v>-0.98438440000000005</v>
      </c>
      <c r="P3137">
        <v>0.1990982</v>
      </c>
      <c r="Q3137">
        <v>1.686849E-2</v>
      </c>
      <c r="R3137">
        <v>-0.9798346</v>
      </c>
      <c r="S3137">
        <v>1.5690919999999999</v>
      </c>
      <c r="T3137">
        <v>-0.1029843</v>
      </c>
      <c r="U3137">
        <v>-2.7465519999999999</v>
      </c>
      <c r="V3137">
        <v>-2.3998490000000001E-2</v>
      </c>
      <c r="W3137">
        <v>2.9095659999999999E-2</v>
      </c>
      <c r="X3137">
        <v>0.99928850000000002</v>
      </c>
      <c r="Y3137">
        <v>-0.33558270000000001</v>
      </c>
      <c r="Z3137">
        <v>3.3022500000000003E-2</v>
      </c>
      <c r="AA3137">
        <v>0.94143180000000004</v>
      </c>
      <c r="AB3137">
        <v>24</v>
      </c>
      <c r="AC3137">
        <v>16.901699999999899</v>
      </c>
      <c r="AD3137">
        <v>-1.1111600485849999</v>
      </c>
      <c r="AE3137">
        <v>-29.486699999999999</v>
      </c>
      <c r="AF3137">
        <v>-11.448407241237501</v>
      </c>
      <c r="AG3137">
        <v>-1.1111600485849999</v>
      </c>
      <c r="AH3137">
        <v>31.962501647561499</v>
      </c>
      <c r="AI3137">
        <v>91.874529270944606</v>
      </c>
      <c r="AJ3137">
        <v>109.706633043831</v>
      </c>
      <c r="AK3137">
        <v>33.9691362354883</v>
      </c>
      <c r="AL3137">
        <v>88.332706172723704</v>
      </c>
      <c r="AM3137">
        <v>91.375726767569802</v>
      </c>
      <c r="AN3137">
        <v>0.99999999559268204</v>
      </c>
    </row>
    <row r="3138" spans="1:40" x14ac:dyDescent="0.25">
      <c r="A3138" t="str">
        <f>"20190312160353170"</f>
        <v>20190312160353170</v>
      </c>
      <c r="B3138" t="str">
        <f>"1552377833157463"</f>
        <v>1552377833157463</v>
      </c>
      <c r="C3138" t="s">
        <v>40</v>
      </c>
      <c r="D3138">
        <v>5.6986720000000002</v>
      </c>
      <c r="E3138">
        <v>0.37613200000000002</v>
      </c>
      <c r="F3138" t="s">
        <v>59</v>
      </c>
      <c r="G3138">
        <v>-478.93959999999998</v>
      </c>
      <c r="H3138">
        <v>8.0000390000000005E-2</v>
      </c>
      <c r="I3138">
        <v>221.12370000000001</v>
      </c>
      <c r="J3138">
        <v>-493.97120000000001</v>
      </c>
      <c r="K3138">
        <v>1.111273</v>
      </c>
      <c r="L3138">
        <v>247.17760000000001</v>
      </c>
      <c r="M3138">
        <v>0.17680699999999999</v>
      </c>
      <c r="N3138">
        <v>0</v>
      </c>
      <c r="O3138">
        <v>-0.98416879999999995</v>
      </c>
      <c r="P3138">
        <v>0.20197860000000001</v>
      </c>
      <c r="Q3138">
        <v>1.8483400000000001E-2</v>
      </c>
      <c r="R3138">
        <v>-0.97921570000000002</v>
      </c>
      <c r="S3138">
        <v>1.5759890000000001</v>
      </c>
      <c r="T3138">
        <v>-0.1078908</v>
      </c>
      <c r="U3138">
        <v>-2.7433619999999999</v>
      </c>
      <c r="V3138">
        <v>-2.573309E-2</v>
      </c>
      <c r="W3138">
        <v>3.0701409999999998E-2</v>
      </c>
      <c r="X3138">
        <v>0.99919729999999995</v>
      </c>
      <c r="Y3138">
        <v>-0.3366575</v>
      </c>
      <c r="Z3138">
        <v>3.4590170000000003E-2</v>
      </c>
      <c r="AA3138">
        <v>0.94099160000000004</v>
      </c>
      <c r="AB3138">
        <v>24</v>
      </c>
      <c r="AC3138">
        <v>15.031599999999999</v>
      </c>
      <c r="AD3138">
        <v>-1.03127261</v>
      </c>
      <c r="AE3138">
        <v>-26.053899999999999</v>
      </c>
      <c r="AF3138">
        <v>-10.175927722656001</v>
      </c>
      <c r="AG3138">
        <v>-1.03127261</v>
      </c>
      <c r="AH3138">
        <v>28.268036665990401</v>
      </c>
      <c r="AI3138">
        <v>91.965940704619499</v>
      </c>
      <c r="AJ3138">
        <v>109.797861695566</v>
      </c>
      <c r="AK3138">
        <v>30.061519009568201</v>
      </c>
      <c r="AL3138">
        <v>88.240662334255106</v>
      </c>
      <c r="AM3138">
        <v>91.475255800528004</v>
      </c>
      <c r="AN3138">
        <v>1.00000000641211</v>
      </c>
    </row>
    <row r="3139" spans="1:40" x14ac:dyDescent="0.25">
      <c r="A3139" t="str">
        <f>"20190312160353181"</f>
        <v>20190312160353181</v>
      </c>
      <c r="B3139" t="str">
        <f>"1552377833167223"</f>
        <v>1552377833167223</v>
      </c>
      <c r="C3139" t="s">
        <v>40</v>
      </c>
      <c r="D3139">
        <v>5.7200280000000001</v>
      </c>
      <c r="E3139">
        <v>0.37617669999999997</v>
      </c>
      <c r="F3139" t="s">
        <v>59</v>
      </c>
      <c r="G3139">
        <v>-476.9246</v>
      </c>
      <c r="H3139" s="1">
        <v>3.0234000000000001E-6</v>
      </c>
      <c r="I3139">
        <v>217.7217</v>
      </c>
      <c r="J3139">
        <v>-493.94740000000002</v>
      </c>
      <c r="K3139">
        <v>1.111362</v>
      </c>
      <c r="L3139">
        <v>247.05099999999999</v>
      </c>
      <c r="M3139">
        <v>0.17781459999999999</v>
      </c>
      <c r="N3139">
        <v>0</v>
      </c>
      <c r="O3139">
        <v>-0.98398750000000001</v>
      </c>
      <c r="P3139">
        <v>0.2039704</v>
      </c>
      <c r="Q3139">
        <v>1.9781569999999998E-2</v>
      </c>
      <c r="R3139">
        <v>-0.97877740000000002</v>
      </c>
      <c r="S3139">
        <v>1.5849299999999999</v>
      </c>
      <c r="T3139">
        <v>-0.103322</v>
      </c>
      <c r="U3139">
        <v>-2.7387079999999999</v>
      </c>
      <c r="V3139">
        <v>-2.6757329999999999E-2</v>
      </c>
      <c r="W3139">
        <v>3.1993479999999998E-2</v>
      </c>
      <c r="X3139">
        <v>0.99912979999999996</v>
      </c>
      <c r="Y3139">
        <v>-0.33871289999999998</v>
      </c>
      <c r="Z3139">
        <v>3.3128699999999997E-2</v>
      </c>
      <c r="AA3139">
        <v>0.94030639999999999</v>
      </c>
      <c r="AB3139">
        <v>24</v>
      </c>
      <c r="AC3139">
        <v>17.0228</v>
      </c>
      <c r="AD3139">
        <v>-1.1113589766</v>
      </c>
      <c r="AE3139">
        <v>-29.3292999999999</v>
      </c>
      <c r="AF3139">
        <v>-11.523536525542299</v>
      </c>
      <c r="AG3139">
        <v>-1.1113589766</v>
      </c>
      <c r="AH3139">
        <v>31.854754758174099</v>
      </c>
      <c r="AI3139">
        <v>91.879064253132398</v>
      </c>
      <c r="AJ3139">
        <v>109.887716266296</v>
      </c>
      <c r="AK3139">
        <v>33.893250265116201</v>
      </c>
      <c r="AL3139">
        <v>88.166595663266804</v>
      </c>
      <c r="AM3139">
        <v>91.534050658516904</v>
      </c>
      <c r="AN3139">
        <v>0.99999994735963804</v>
      </c>
    </row>
    <row r="3140" spans="1:40" x14ac:dyDescent="0.25">
      <c r="A3140" t="str">
        <f>"20190312160353194"</f>
        <v>20190312160353194</v>
      </c>
      <c r="B3140" t="str">
        <f>"1552377833187719"</f>
        <v>1552377833187719</v>
      </c>
      <c r="C3140" t="s">
        <v>40</v>
      </c>
      <c r="D3140">
        <v>5.7079040000000001</v>
      </c>
      <c r="E3140">
        <v>0.37591079999999999</v>
      </c>
      <c r="F3140" t="s">
        <v>59</v>
      </c>
      <c r="G3140">
        <v>-476.58749999999998</v>
      </c>
      <c r="H3140" s="1">
        <v>3.1498840000000001E-6</v>
      </c>
      <c r="I3140">
        <v>217.1951</v>
      </c>
      <c r="J3140">
        <v>-493.9239</v>
      </c>
      <c r="K3140">
        <v>1.111448</v>
      </c>
      <c r="L3140">
        <v>246.92699999999999</v>
      </c>
      <c r="M3140">
        <v>0.1788556</v>
      </c>
      <c r="N3140">
        <v>0</v>
      </c>
      <c r="O3140">
        <v>-0.98379850000000002</v>
      </c>
      <c r="P3140">
        <v>0.20590149999999999</v>
      </c>
      <c r="Q3140">
        <v>2.109898E-2</v>
      </c>
      <c r="R3140">
        <v>-0.97834549999999998</v>
      </c>
      <c r="S3140">
        <v>1.5906370000000001</v>
      </c>
      <c r="T3140">
        <v>-0.1018304</v>
      </c>
      <c r="U3140">
        <v>-2.735611</v>
      </c>
      <c r="V3140">
        <v>-2.7687529999999998E-2</v>
      </c>
      <c r="W3140">
        <v>3.3304559999999997E-2</v>
      </c>
      <c r="X3140">
        <v>0.99906159999999999</v>
      </c>
      <c r="Y3140">
        <v>-0.33965390000000001</v>
      </c>
      <c r="Z3140">
        <v>3.2651739999999999E-2</v>
      </c>
      <c r="AA3140">
        <v>0.93998349999999997</v>
      </c>
      <c r="AB3140">
        <v>24</v>
      </c>
      <c r="AC3140">
        <v>17.336400000000001</v>
      </c>
      <c r="AD3140">
        <v>-1.1114448501159999</v>
      </c>
      <c r="AE3140">
        <v>-29.7319</v>
      </c>
      <c r="AF3140">
        <v>-11.726465797515701</v>
      </c>
      <c r="AG3140">
        <v>-1.1114448501159999</v>
      </c>
      <c r="AH3140">
        <v>32.319651646791598</v>
      </c>
      <c r="AI3140">
        <v>91.851559862166894</v>
      </c>
      <c r="AJ3140">
        <v>109.942175489626</v>
      </c>
      <c r="AK3140">
        <v>34.399203367594303</v>
      </c>
      <c r="AL3140">
        <v>88.0914362140701</v>
      </c>
      <c r="AM3140">
        <v>91.5874623417279</v>
      </c>
      <c r="AN3140">
        <v>0.99999993681442501</v>
      </c>
    </row>
    <row r="3141" spans="1:40" x14ac:dyDescent="0.25">
      <c r="A3141" t="str">
        <f>"20190312160353206"</f>
        <v>20190312160353206</v>
      </c>
      <c r="B3141" t="str">
        <f>"1552377833197479"</f>
        <v>1552377833197479</v>
      </c>
      <c r="C3141" t="s">
        <v>40</v>
      </c>
      <c r="D3141">
        <v>5.7182620000000002</v>
      </c>
      <c r="E3141">
        <v>0.37586829999999999</v>
      </c>
      <c r="F3141" t="s">
        <v>59</v>
      </c>
      <c r="G3141">
        <v>-476.28739999999999</v>
      </c>
      <c r="H3141" s="1">
        <v>3.2646029999999999E-6</v>
      </c>
      <c r="I3141">
        <v>216.77549999999999</v>
      </c>
      <c r="J3141">
        <v>-493.89940000000001</v>
      </c>
      <c r="K3141">
        <v>1.111532</v>
      </c>
      <c r="L3141">
        <v>246.7987</v>
      </c>
      <c r="M3141">
        <v>0.17997650000000001</v>
      </c>
      <c r="N3141">
        <v>0</v>
      </c>
      <c r="O3141">
        <v>-0.98359419999999997</v>
      </c>
      <c r="P3141">
        <v>0.2080642</v>
      </c>
      <c r="Q3141">
        <v>2.2536879999999999E-2</v>
      </c>
      <c r="R3141">
        <v>-0.97785569999999999</v>
      </c>
      <c r="S3141">
        <v>1.5981449999999999</v>
      </c>
      <c r="T3141">
        <v>-0.1007147</v>
      </c>
      <c r="U3141">
        <v>-2.732208</v>
      </c>
      <c r="V3141">
        <v>-2.8775619999999998E-2</v>
      </c>
      <c r="W3141">
        <v>3.4735670000000003E-2</v>
      </c>
      <c r="X3141">
        <v>0.99898220000000004</v>
      </c>
      <c r="Y3141">
        <v>-0.34102310000000002</v>
      </c>
      <c r="Z3141">
        <v>3.2289799999999903E-2</v>
      </c>
      <c r="AA3141">
        <v>0.93950020000000001</v>
      </c>
      <c r="AB3141">
        <v>24</v>
      </c>
      <c r="AC3141">
        <v>17.611999999999998</v>
      </c>
      <c r="AD3141">
        <v>-1.111528735397</v>
      </c>
      <c r="AE3141">
        <v>-30.023199999999999</v>
      </c>
      <c r="AF3141">
        <v>-11.908346623035399</v>
      </c>
      <c r="AG3141">
        <v>-1.111528735397</v>
      </c>
      <c r="AH3141">
        <v>32.669544613023099</v>
      </c>
      <c r="AI3141">
        <v>91.830892919803304</v>
      </c>
      <c r="AJ3141">
        <v>110.027258845232</v>
      </c>
      <c r="AK3141">
        <v>34.789989374046598</v>
      </c>
      <c r="AL3141">
        <v>88.009392312145707</v>
      </c>
      <c r="AM3141">
        <v>91.649945125036496</v>
      </c>
      <c r="AN3141">
        <v>1.00000001949678</v>
      </c>
    </row>
    <row r="3142" spans="1:40" x14ac:dyDescent="0.25">
      <c r="A3142" t="str">
        <f>"20190312160353217"</f>
        <v>20190312160353217</v>
      </c>
      <c r="B3142" t="str">
        <f>"1552377833207239"</f>
        <v>1552377833207239</v>
      </c>
      <c r="C3142" t="s">
        <v>40</v>
      </c>
      <c r="D3142">
        <v>5.6904219999999999</v>
      </c>
      <c r="E3142">
        <v>0.37580400000000003</v>
      </c>
      <c r="F3142" t="s">
        <v>59</v>
      </c>
      <c r="G3142">
        <v>-475.7672</v>
      </c>
      <c r="H3142" s="1">
        <v>3.4599870000000002E-6</v>
      </c>
      <c r="I3142">
        <v>215.96709999999999</v>
      </c>
      <c r="J3142">
        <v>-493.87569999999999</v>
      </c>
      <c r="K3142">
        <v>1.1116079999999999</v>
      </c>
      <c r="L3142">
        <v>246.67580000000001</v>
      </c>
      <c r="M3142">
        <v>0.18114279999999999</v>
      </c>
      <c r="N3142">
        <v>0</v>
      </c>
      <c r="O3142">
        <v>-0.98338000000000003</v>
      </c>
      <c r="P3142">
        <v>0.21001130000000001</v>
      </c>
      <c r="Q3142">
        <v>2.3815940000000001E-2</v>
      </c>
      <c r="R3142">
        <v>-0.97740890000000002</v>
      </c>
      <c r="S3142">
        <v>1.604797</v>
      </c>
      <c r="T3142">
        <v>-9.8376039999999998E-2</v>
      </c>
      <c r="U3142">
        <v>-2.7287599999999999</v>
      </c>
      <c r="V3142">
        <v>-2.9595980000000001E-2</v>
      </c>
      <c r="W3142">
        <v>3.6008989999999998E-2</v>
      </c>
      <c r="X3142">
        <v>0.9989131</v>
      </c>
      <c r="Y3142">
        <v>-0.34214139999999998</v>
      </c>
      <c r="Z3142">
        <v>3.1539999999999999E-2</v>
      </c>
      <c r="AA3142">
        <v>0.93911900000000004</v>
      </c>
      <c r="AB3142">
        <v>24</v>
      </c>
      <c r="AC3142">
        <v>18.1084999999999</v>
      </c>
      <c r="AD3142">
        <v>-1.1116045400129999</v>
      </c>
      <c r="AE3142">
        <v>-30.7087</v>
      </c>
      <c r="AF3142">
        <v>-12.2339074653617</v>
      </c>
      <c r="AG3142">
        <v>-1.1116045400129999</v>
      </c>
      <c r="AH3142">
        <v>33.448554620419799</v>
      </c>
      <c r="AI3142">
        <v>91.787685622625801</v>
      </c>
      <c r="AJ3142">
        <v>110.09014192040701</v>
      </c>
      <c r="AK3142">
        <v>35.6329898088782</v>
      </c>
      <c r="AL3142">
        <v>87.936390671424803</v>
      </c>
      <c r="AM3142">
        <v>91.697073369197696</v>
      </c>
      <c r="AN3142">
        <v>0.99999997537229401</v>
      </c>
    </row>
    <row r="3143" spans="1:40" x14ac:dyDescent="0.25">
      <c r="A3143" t="str">
        <f>"20190312160353230"</f>
        <v>20190312160353230</v>
      </c>
      <c r="B3143" t="str">
        <f>"1552377833217976"</f>
        <v>1552377833217976</v>
      </c>
      <c r="C3143" t="s">
        <v>40</v>
      </c>
      <c r="D3143">
        <v>5.7222369999999998</v>
      </c>
      <c r="E3143">
        <v>0.3758533</v>
      </c>
      <c r="F3143" t="s">
        <v>59</v>
      </c>
      <c r="G3143">
        <v>-475.1429</v>
      </c>
      <c r="H3143" s="1">
        <v>3.6933380000000001E-6</v>
      </c>
      <c r="I3143">
        <v>214.9725</v>
      </c>
      <c r="J3143">
        <v>-493.85149999999999</v>
      </c>
      <c r="K3143">
        <v>1.111685</v>
      </c>
      <c r="L3143">
        <v>246.5513</v>
      </c>
      <c r="M3143">
        <v>0.18235699999999999</v>
      </c>
      <c r="N3143">
        <v>0</v>
      </c>
      <c r="O3143">
        <v>-0.98315549999999996</v>
      </c>
      <c r="P3143">
        <v>0.21180180000000001</v>
      </c>
      <c r="Q3143">
        <v>2.476099E-2</v>
      </c>
      <c r="R3143">
        <v>-0.97699919999999996</v>
      </c>
      <c r="S3143">
        <v>1.6105039999999999</v>
      </c>
      <c r="T3143">
        <v>-9.5567579999999999E-2</v>
      </c>
      <c r="U3143">
        <v>-2.725616</v>
      </c>
      <c r="V3143">
        <v>-3.020749E-2</v>
      </c>
      <c r="W3143">
        <v>3.69482E-2</v>
      </c>
      <c r="X3143">
        <v>0.99886050000000004</v>
      </c>
      <c r="Y3143">
        <v>-0.34292729999999999</v>
      </c>
      <c r="Z3143">
        <v>3.0640629999999999E-2</v>
      </c>
      <c r="AA3143">
        <v>0.93886210000000003</v>
      </c>
      <c r="AB3143">
        <v>24</v>
      </c>
      <c r="AC3143">
        <v>18.708599999999901</v>
      </c>
      <c r="AD3143">
        <v>-1.1116813066619999</v>
      </c>
      <c r="AE3143">
        <v>-31.578800000000001</v>
      </c>
      <c r="AF3143">
        <v>-12.6242226001907</v>
      </c>
      <c r="AG3143">
        <v>-1.1116813066619999</v>
      </c>
      <c r="AH3143">
        <v>34.429537511831697</v>
      </c>
      <c r="AI3143">
        <v>91.736388514648894</v>
      </c>
      <c r="AJ3143">
        <v>110.136389750712</v>
      </c>
      <c r="AK3143">
        <v>36.687871086578099</v>
      </c>
      <c r="AL3143">
        <v>87.882542069480294</v>
      </c>
      <c r="AM3143">
        <v>91.7322081898063</v>
      </c>
      <c r="AN3143">
        <v>0.99999998019779401</v>
      </c>
    </row>
    <row r="3144" spans="1:40" x14ac:dyDescent="0.25">
      <c r="A3144" t="str">
        <f>"20190312160353247"</f>
        <v>20190312160353247</v>
      </c>
      <c r="B3144" t="str">
        <f>"1552377833237496"</f>
        <v>1552377833237496</v>
      </c>
      <c r="C3144" t="s">
        <v>40</v>
      </c>
      <c r="D3144">
        <v>5.4048809999999996</v>
      </c>
      <c r="E3144">
        <v>0.3757838</v>
      </c>
      <c r="F3144" t="s">
        <v>59</v>
      </c>
      <c r="G3144">
        <v>-474.81569999999999</v>
      </c>
      <c r="H3144" s="1">
        <v>3.8161779999999998E-6</v>
      </c>
      <c r="I3144">
        <v>214.46350000000001</v>
      </c>
      <c r="J3144">
        <v>-493.81560000000002</v>
      </c>
      <c r="K3144">
        <v>1.1117969999999999</v>
      </c>
      <c r="L3144">
        <v>246.36879999999999</v>
      </c>
      <c r="M3144">
        <v>0.1842492</v>
      </c>
      <c r="N3144">
        <v>0</v>
      </c>
      <c r="O3144">
        <v>-0.98280250000000002</v>
      </c>
      <c r="P3144">
        <v>0.2142867</v>
      </c>
      <c r="Q3144">
        <v>2.5683149999999998E-2</v>
      </c>
      <c r="R3144">
        <v>-0.97643329999999995</v>
      </c>
      <c r="S3144">
        <v>1.6152949999999999</v>
      </c>
      <c r="T3144">
        <v>-9.4332810000000003E-2</v>
      </c>
      <c r="U3144">
        <v>-2.722839</v>
      </c>
      <c r="V3144">
        <v>-3.0843229999999999E-2</v>
      </c>
      <c r="W3144">
        <v>3.7864519999999999E-2</v>
      </c>
      <c r="X3144">
        <v>0.99880679999999999</v>
      </c>
      <c r="Y3144">
        <v>-0.3427675</v>
      </c>
      <c r="Z3144">
        <v>3.0243579999999999E-2</v>
      </c>
      <c r="AA3144">
        <v>0.93893329999999997</v>
      </c>
      <c r="AB3144">
        <v>24</v>
      </c>
      <c r="AC3144">
        <v>18.9999</v>
      </c>
      <c r="AD3144">
        <v>-1.1117931838220001</v>
      </c>
      <c r="AE3144">
        <v>-31.905299999999901</v>
      </c>
      <c r="AF3144">
        <v>-12.784132701664401</v>
      </c>
      <c r="AG3144">
        <v>-1.1117931838220001</v>
      </c>
      <c r="AH3144">
        <v>34.828744897045198</v>
      </c>
      <c r="AI3144">
        <v>91.716455087791203</v>
      </c>
      <c r="AJ3144">
        <v>110.156012178891</v>
      </c>
      <c r="AK3144">
        <v>37.117537689356602</v>
      </c>
      <c r="AL3144">
        <v>87.830004126231401</v>
      </c>
      <c r="AM3144">
        <v>91.768735964971299</v>
      </c>
      <c r="AN3144">
        <v>1.00000002521895</v>
      </c>
    </row>
    <row r="3145" spans="1:40" x14ac:dyDescent="0.25">
      <c r="A3145" t="str">
        <f>"20190312160353262"</f>
        <v>20190312160353262</v>
      </c>
      <c r="B3145" t="str">
        <f>"1552377833257522"</f>
        <v>1552377833257522</v>
      </c>
      <c r="C3145" t="s">
        <v>40</v>
      </c>
      <c r="D3145">
        <v>5.730359</v>
      </c>
      <c r="E3145">
        <v>0.37594830000000001</v>
      </c>
      <c r="F3145" t="s">
        <v>59</v>
      </c>
      <c r="G3145">
        <v>-474.6617</v>
      </c>
      <c r="H3145" s="1">
        <v>3.8762469999999997E-6</v>
      </c>
      <c r="I3145">
        <v>214.2749</v>
      </c>
      <c r="J3145">
        <v>-493.78570000000002</v>
      </c>
      <c r="K3145">
        <v>1.1118779999999999</v>
      </c>
      <c r="L3145">
        <v>246.2192</v>
      </c>
      <c r="M3145">
        <v>0.18589829999999999</v>
      </c>
      <c r="N3145">
        <v>0</v>
      </c>
      <c r="O3145">
        <v>-0.98249189999999997</v>
      </c>
      <c r="P3145">
        <v>0.21606139999999999</v>
      </c>
      <c r="Q3145">
        <v>2.604683E-2</v>
      </c>
      <c r="R3145">
        <v>-0.97603280000000003</v>
      </c>
      <c r="S3145">
        <v>1.6225889999999901</v>
      </c>
      <c r="T3145">
        <v>-9.4183680000000006E-2</v>
      </c>
      <c r="U3145">
        <v>-2.7187809999999999</v>
      </c>
      <c r="V3145">
        <v>-3.0992829999999999E-2</v>
      </c>
      <c r="W3145">
        <v>3.8225229999999999E-2</v>
      </c>
      <c r="X3145">
        <v>0.99878840000000002</v>
      </c>
      <c r="Y3145">
        <v>-0.34366609999999997</v>
      </c>
      <c r="Z3145">
        <v>3.0195670000000001E-2</v>
      </c>
      <c r="AA3145">
        <v>0.9386063</v>
      </c>
      <c r="AB3145">
        <v>24</v>
      </c>
      <c r="AC3145">
        <v>19.123999999999999</v>
      </c>
      <c r="AD3145">
        <v>-1.1118741237530001</v>
      </c>
      <c r="AE3145">
        <v>-31.944299999999998</v>
      </c>
      <c r="AF3145">
        <v>-12.8403057746806</v>
      </c>
      <c r="AG3145">
        <v>-1.1118741237530001</v>
      </c>
      <c r="AH3145">
        <v>34.911645646668703</v>
      </c>
      <c r="AI3145">
        <v>91.712097729907498</v>
      </c>
      <c r="AJ3145">
        <v>110.19323661212</v>
      </c>
      <c r="AK3145">
        <v>37.2146841745692</v>
      </c>
      <c r="AL3145">
        <v>87.809321928427707</v>
      </c>
      <c r="AM3145">
        <v>91.777342159218094</v>
      </c>
      <c r="AN3145">
        <v>0.99999999584725996</v>
      </c>
    </row>
    <row r="3146" spans="1:40" x14ac:dyDescent="0.25">
      <c r="A3146" t="str">
        <f>"20190312160353280"</f>
        <v>20190312160353280</v>
      </c>
      <c r="B3146" t="str">
        <f>"1552377833267286"</f>
        <v>1552377833267286</v>
      </c>
      <c r="C3146" t="s">
        <v>40</v>
      </c>
      <c r="D3146">
        <v>5.757015</v>
      </c>
      <c r="E3146">
        <v>0.37611810000000001</v>
      </c>
      <c r="F3146" t="s">
        <v>59</v>
      </c>
      <c r="G3146">
        <v>-475.28629999999998</v>
      </c>
      <c r="H3146" s="1">
        <v>3.6451259999999999E-6</v>
      </c>
      <c r="I3146">
        <v>215.32419999999999</v>
      </c>
      <c r="J3146">
        <v>-493.7482</v>
      </c>
      <c r="K3146">
        <v>1.111969</v>
      </c>
      <c r="L3146">
        <v>246.0335</v>
      </c>
      <c r="M3146">
        <v>0.18801709999999999</v>
      </c>
      <c r="N3146">
        <v>0</v>
      </c>
      <c r="O3146">
        <v>-0.98208850000000003</v>
      </c>
      <c r="P3146">
        <v>0.2183551</v>
      </c>
      <c r="Q3146">
        <v>2.771098E-2</v>
      </c>
      <c r="R3146">
        <v>-0.97547600000000001</v>
      </c>
      <c r="S3146">
        <v>1.6264339999999999</v>
      </c>
      <c r="T3146">
        <v>-9.7753999999999994E-2</v>
      </c>
      <c r="U3146">
        <v>-2.7162320000000002</v>
      </c>
      <c r="V3146">
        <v>-3.1209879999999999E-2</v>
      </c>
      <c r="W3146">
        <v>3.9885730000000001E-2</v>
      </c>
      <c r="X3146">
        <v>0.99871670000000001</v>
      </c>
      <c r="Y3146">
        <v>-0.34298830000000002</v>
      </c>
      <c r="Z3146">
        <v>3.1338400000000002E-2</v>
      </c>
      <c r="AA3146">
        <v>0.93881680000000001</v>
      </c>
      <c r="AB3146">
        <v>24</v>
      </c>
      <c r="AC3146">
        <v>18.4619</v>
      </c>
      <c r="AD3146">
        <v>-1.1119653548740001</v>
      </c>
      <c r="AE3146">
        <v>-30.709299999999999</v>
      </c>
      <c r="AF3146">
        <v>-12.346393623069</v>
      </c>
      <c r="AG3146">
        <v>-1.1119653548740001</v>
      </c>
      <c r="AH3146">
        <v>33.6005960731747</v>
      </c>
      <c r="AI3146">
        <v>91.779205968678198</v>
      </c>
      <c r="AJ3146">
        <v>110.175637666944</v>
      </c>
      <c r="AK3146">
        <v>35.814382012242497</v>
      </c>
      <c r="AL3146">
        <v>87.714109613155898</v>
      </c>
      <c r="AM3146">
        <v>91.789909641081906</v>
      </c>
      <c r="AN3146">
        <v>0.99999998746306795</v>
      </c>
    </row>
    <row r="3147" spans="1:40" x14ac:dyDescent="0.25">
      <c r="A3147" t="str">
        <f>"20190312160353293"</f>
        <v>20190312160353293</v>
      </c>
      <c r="B3147" t="str">
        <f>"1552377833287777"</f>
        <v>1552377833287777</v>
      </c>
      <c r="C3147" t="s">
        <v>40</v>
      </c>
      <c r="D3147">
        <v>5.764062</v>
      </c>
      <c r="E3147">
        <v>0.3762548</v>
      </c>
      <c r="F3147" t="s">
        <v>59</v>
      </c>
      <c r="G3147">
        <v>-475.0009</v>
      </c>
      <c r="H3147" s="1">
        <v>3.7513789999999998E-6</v>
      </c>
      <c r="I3147">
        <v>214.85990000000001</v>
      </c>
      <c r="J3147">
        <v>-493.72250000000003</v>
      </c>
      <c r="K3147">
        <v>1.1120239999999999</v>
      </c>
      <c r="L3147">
        <v>245.9074</v>
      </c>
      <c r="M3147">
        <v>0.1895</v>
      </c>
      <c r="N3147">
        <v>0</v>
      </c>
      <c r="O3147">
        <v>-0.9818036</v>
      </c>
      <c r="P3147">
        <v>0.21971850000000001</v>
      </c>
      <c r="Q3147">
        <v>2.8919150000000001E-2</v>
      </c>
      <c r="R3147">
        <v>-0.97513470000000002</v>
      </c>
      <c r="S3147">
        <v>1.6315309999999901</v>
      </c>
      <c r="T3147">
        <v>-9.6771960000000004E-2</v>
      </c>
      <c r="U3147">
        <v>-2.7129669999999999</v>
      </c>
      <c r="V3147">
        <v>-3.1115009999999999E-2</v>
      </c>
      <c r="W3147">
        <v>4.109256E-2</v>
      </c>
      <c r="X3147">
        <v>0.99867079999999997</v>
      </c>
      <c r="Y3147">
        <v>-0.34336909999999998</v>
      </c>
      <c r="Z3147">
        <v>3.1026120000000001E-2</v>
      </c>
      <c r="AA3147">
        <v>0.93868799999999997</v>
      </c>
      <c r="AB3147">
        <v>24</v>
      </c>
      <c r="AC3147">
        <v>18.721599999999999</v>
      </c>
      <c r="AD3147">
        <v>-1.11202024862099</v>
      </c>
      <c r="AE3147">
        <v>-31.0474999999999</v>
      </c>
      <c r="AF3147">
        <v>-12.486632416352199</v>
      </c>
      <c r="AG3147">
        <v>-1.11202024862099</v>
      </c>
      <c r="AH3147">
        <v>34.000880595975502</v>
      </c>
      <c r="AI3147">
        <v>91.7584742495103</v>
      </c>
      <c r="AJ3147">
        <v>110.165475880099</v>
      </c>
      <c r="AK3147">
        <v>36.238273405837496</v>
      </c>
      <c r="AL3147">
        <v>87.644906752594196</v>
      </c>
      <c r="AM3147">
        <v>91.784554262983093</v>
      </c>
      <c r="AN3147">
        <v>1.00000005455364</v>
      </c>
    </row>
    <row r="3148" spans="1:40" x14ac:dyDescent="0.25">
      <c r="A3148" t="str">
        <f>"20190312160353306"</f>
        <v>20190312160353306</v>
      </c>
      <c r="B3148" t="str">
        <f>"1552377833297537"</f>
        <v>1552377833297537</v>
      </c>
      <c r="C3148" t="s">
        <v>40</v>
      </c>
      <c r="D3148">
        <v>5.7584739999999996</v>
      </c>
      <c r="E3148">
        <v>0.37639420000000001</v>
      </c>
      <c r="F3148" t="s">
        <v>59</v>
      </c>
      <c r="G3148">
        <v>-474.91640000000001</v>
      </c>
      <c r="H3148" s="1">
        <v>3.7827140000000002E-6</v>
      </c>
      <c r="I3148">
        <v>214.71850000000001</v>
      </c>
      <c r="J3148">
        <v>-493.69240000000002</v>
      </c>
      <c r="K3148">
        <v>1.1120840000000001</v>
      </c>
      <c r="L3148">
        <v>245.76130000000001</v>
      </c>
      <c r="M3148">
        <v>0.1912597</v>
      </c>
      <c r="N3148">
        <v>0</v>
      </c>
      <c r="O3148">
        <v>-0.98146219999999995</v>
      </c>
      <c r="P3148">
        <v>0.2217529</v>
      </c>
      <c r="Q3148">
        <v>3.051833E-2</v>
      </c>
      <c r="R3148">
        <v>-0.97462539999999998</v>
      </c>
      <c r="S3148">
        <v>1.634674</v>
      </c>
      <c r="T3148">
        <v>-9.6659540000000002E-2</v>
      </c>
      <c r="U3148">
        <v>-2.711014</v>
      </c>
      <c r="V3148">
        <v>-3.143054E-2</v>
      </c>
      <c r="W3148">
        <v>4.2688570000000002E-2</v>
      </c>
      <c r="X3148">
        <v>0.99859390000000003</v>
      </c>
      <c r="Y3148">
        <v>-0.34278330000000001</v>
      </c>
      <c r="Z3148">
        <v>3.0987839999999999E-2</v>
      </c>
      <c r="AA3148">
        <v>0.9389033</v>
      </c>
      <c r="AB3148">
        <v>24</v>
      </c>
      <c r="AC3148">
        <v>18.776</v>
      </c>
      <c r="AD3148">
        <v>-1.112080217286</v>
      </c>
      <c r="AE3148">
        <v>-31.0428</v>
      </c>
      <c r="AF3148">
        <v>-12.479918649797</v>
      </c>
      <c r="AG3148">
        <v>-1.112080217286</v>
      </c>
      <c r="AH3148">
        <v>34.029035768026297</v>
      </c>
      <c r="AI3148">
        <v>91.757399567355705</v>
      </c>
      <c r="AJ3148">
        <v>110.140170443591</v>
      </c>
      <c r="AK3148">
        <v>36.262382260640898</v>
      </c>
      <c r="AL3148">
        <v>87.553381600276495</v>
      </c>
      <c r="AM3148">
        <v>91.8027778547943</v>
      </c>
      <c r="AN3148">
        <v>0.99999998498527298</v>
      </c>
    </row>
    <row r="3149" spans="1:40" x14ac:dyDescent="0.25">
      <c r="A3149" t="str">
        <f>"20190312160353319"</f>
        <v>20190312160353319</v>
      </c>
      <c r="B3149" t="str">
        <f>"1552377833307297"</f>
        <v>1552377833307297</v>
      </c>
      <c r="C3149" t="s">
        <v>40</v>
      </c>
      <c r="D3149">
        <v>5.7521719999999998</v>
      </c>
      <c r="E3149">
        <v>0.37650410000000001</v>
      </c>
      <c r="F3149" t="s">
        <v>59</v>
      </c>
      <c r="G3149">
        <v>-474.43329999999997</v>
      </c>
      <c r="H3149" s="1">
        <v>3.9629160000000002E-6</v>
      </c>
      <c r="I3149">
        <v>213.94059999999999</v>
      </c>
      <c r="J3149">
        <v>-493.66570000000002</v>
      </c>
      <c r="K3149">
        <v>1.1121270000000001</v>
      </c>
      <c r="L3149">
        <v>245.6337</v>
      </c>
      <c r="M3149">
        <v>0.19284809999999999</v>
      </c>
      <c r="N3149">
        <v>0</v>
      </c>
      <c r="O3149">
        <v>-0.9811512</v>
      </c>
      <c r="P3149">
        <v>0.22367970000000001</v>
      </c>
      <c r="Q3149">
        <v>3.1509570000000001E-2</v>
      </c>
      <c r="R3149">
        <v>-0.97415309999999999</v>
      </c>
      <c r="S3149">
        <v>1.6390690000000001</v>
      </c>
      <c r="T3149">
        <v>-9.4645019999999996E-2</v>
      </c>
      <c r="U3149">
        <v>-2.708145</v>
      </c>
      <c r="V3149">
        <v>-3.1803909999999998E-2</v>
      </c>
      <c r="W3149">
        <v>4.3677090000000002E-2</v>
      </c>
      <c r="X3149">
        <v>0.99853930000000002</v>
      </c>
      <c r="Y3149">
        <v>-0.34282859999999998</v>
      </c>
      <c r="Z3149">
        <v>3.034357E-2</v>
      </c>
      <c r="AA3149">
        <v>0.93890779999999996</v>
      </c>
      <c r="AB3149">
        <v>24</v>
      </c>
      <c r="AC3149">
        <v>19.232399999999998</v>
      </c>
      <c r="AD3149">
        <v>-1.1121230370840001</v>
      </c>
      <c r="AE3149">
        <v>-31.693100000000001</v>
      </c>
      <c r="AF3149">
        <v>-12.7474356165865</v>
      </c>
      <c r="AG3149">
        <v>-1.1121230370840001</v>
      </c>
      <c r="AH3149">
        <v>34.776002968196401</v>
      </c>
      <c r="AI3149">
        <v>91.719843475545701</v>
      </c>
      <c r="AJ3149">
        <v>110.130834599458</v>
      </c>
      <c r="AK3149">
        <v>37.055422206373997</v>
      </c>
      <c r="AL3149">
        <v>87.496690616642397</v>
      </c>
      <c r="AM3149">
        <v>91.8242787266351</v>
      </c>
      <c r="AN3149">
        <v>0.99999995526332197</v>
      </c>
    </row>
    <row r="3150" spans="1:40" x14ac:dyDescent="0.25">
      <c r="A3150" t="str">
        <f>"20190312160353338"</f>
        <v>20190312160353338</v>
      </c>
      <c r="B3150" t="str">
        <f>"1552377833327794"</f>
        <v>1552377833327794</v>
      </c>
      <c r="C3150" t="s">
        <v>40</v>
      </c>
      <c r="D3150">
        <v>5.7413220000000003</v>
      </c>
      <c r="E3150">
        <v>0.37602010000000002</v>
      </c>
      <c r="F3150" t="s">
        <v>59</v>
      </c>
      <c r="G3150">
        <v>-474.26780000000002</v>
      </c>
      <c r="H3150" s="1">
        <v>4.025798E-6</v>
      </c>
      <c r="I3150">
        <v>213.7003</v>
      </c>
      <c r="J3150">
        <v>-493.6234</v>
      </c>
      <c r="K3150">
        <v>1.112188</v>
      </c>
      <c r="L3150">
        <v>245.43360000000001</v>
      </c>
      <c r="M3150">
        <v>0.19538739999999999</v>
      </c>
      <c r="N3150">
        <v>0</v>
      </c>
      <c r="O3150">
        <v>-0.98064859999999998</v>
      </c>
      <c r="P3150">
        <v>0.22655429999999999</v>
      </c>
      <c r="Q3150">
        <v>3.2940650000000002E-2</v>
      </c>
      <c r="R3150">
        <v>-0.97344129999999995</v>
      </c>
      <c r="S3150">
        <v>1.6433409999999999</v>
      </c>
      <c r="T3150">
        <v>-9.4216350000000004E-2</v>
      </c>
      <c r="U3150">
        <v>-2.7053219999999998</v>
      </c>
      <c r="V3150">
        <v>-3.218849E-2</v>
      </c>
      <c r="W3150">
        <v>4.5105230000000003E-2</v>
      </c>
      <c r="X3150">
        <v>0.99846349999999995</v>
      </c>
      <c r="Y3150">
        <v>-0.34191660000000001</v>
      </c>
      <c r="Z3150">
        <v>3.0203649999999999E-2</v>
      </c>
      <c r="AA3150">
        <v>0.93924479999999999</v>
      </c>
      <c r="AB3150">
        <v>24</v>
      </c>
      <c r="AC3150">
        <v>19.3555999999999</v>
      </c>
      <c r="AD3150">
        <v>-1.1121839742020001</v>
      </c>
      <c r="AE3150">
        <v>-31.7333</v>
      </c>
      <c r="AF3150">
        <v>-12.7702941052169</v>
      </c>
      <c r="AG3150">
        <v>-1.1121839742020001</v>
      </c>
      <c r="AH3150">
        <v>34.872490312860997</v>
      </c>
      <c r="AI3150">
        <v>91.7153803140896</v>
      </c>
      <c r="AJ3150">
        <v>110.112713437745</v>
      </c>
      <c r="AK3150">
        <v>37.1538415960826</v>
      </c>
      <c r="AL3150">
        <v>87.414783509579493</v>
      </c>
      <c r="AM3150">
        <v>91.846463206025405</v>
      </c>
      <c r="AN3150">
        <v>0.99999997074704094</v>
      </c>
    </row>
    <row r="3151" spans="1:40" x14ac:dyDescent="0.25">
      <c r="A3151" t="str">
        <f>"20190312160353353"</f>
        <v>20190312160353353</v>
      </c>
      <c r="B3151" t="str">
        <f>"1552377833347821"</f>
        <v>1552377833347821</v>
      </c>
      <c r="C3151" t="s">
        <v>40</v>
      </c>
      <c r="D3151">
        <v>5.7598599999999998</v>
      </c>
      <c r="E3151">
        <v>0.37631910000000002</v>
      </c>
      <c r="F3151" t="s">
        <v>59</v>
      </c>
      <c r="G3151">
        <v>-472.75119999999998</v>
      </c>
      <c r="H3151" s="1">
        <v>4.5972160000000002E-6</v>
      </c>
      <c r="I3151">
        <v>211.38630000000001</v>
      </c>
      <c r="J3151">
        <v>-493.5908</v>
      </c>
      <c r="K3151">
        <v>1.112223</v>
      </c>
      <c r="L3151">
        <v>245.2807</v>
      </c>
      <c r="M3151">
        <v>0.19737109999999999</v>
      </c>
      <c r="N3151">
        <v>0</v>
      </c>
      <c r="O3151">
        <v>-0.98025139999999999</v>
      </c>
      <c r="P3151">
        <v>0.2287159</v>
      </c>
      <c r="Q3151">
        <v>3.3279879999999998E-2</v>
      </c>
      <c r="R3151">
        <v>-0.97292429999999996</v>
      </c>
      <c r="S3151">
        <v>1.6549990000000001</v>
      </c>
      <c r="T3151">
        <v>-8.8187219999999997E-2</v>
      </c>
      <c r="U3151">
        <v>-2.6996769999999999</v>
      </c>
      <c r="V3151">
        <v>-3.2394619999999999E-2</v>
      </c>
      <c r="W3151">
        <v>4.5442969999999999E-2</v>
      </c>
      <c r="X3151">
        <v>0.99844160000000004</v>
      </c>
      <c r="Y3151">
        <v>-0.34386939999999999</v>
      </c>
      <c r="Z3151">
        <v>2.8265729999999999E-2</v>
      </c>
      <c r="AA3151">
        <v>0.93859199999999998</v>
      </c>
      <c r="AB3151">
        <v>24</v>
      </c>
      <c r="AC3151">
        <v>20.839600000000001</v>
      </c>
      <c r="AD3151">
        <v>-1.1122184027840001</v>
      </c>
      <c r="AE3151">
        <v>-33.894399999999898</v>
      </c>
      <c r="AF3151">
        <v>-13.7285878552446</v>
      </c>
      <c r="AG3151">
        <v>-1.1122184027840001</v>
      </c>
      <c r="AH3151">
        <v>37.311847880409502</v>
      </c>
      <c r="AI3151">
        <v>91.602440283387807</v>
      </c>
      <c r="AJ3151">
        <v>110.200677391778</v>
      </c>
      <c r="AK3151">
        <v>39.772919763646797</v>
      </c>
      <c r="AL3151">
        <v>87.395412780601802</v>
      </c>
      <c r="AM3151">
        <v>91.858320131625007</v>
      </c>
      <c r="AN3151">
        <v>1.00000005176896</v>
      </c>
    </row>
    <row r="3152" spans="1:40" x14ac:dyDescent="0.25">
      <c r="A3152" t="str">
        <f>"20190312160353373"</f>
        <v>20190312160353373</v>
      </c>
      <c r="B3152" t="str">
        <f>"1552377833367341"</f>
        <v>1552377833367341</v>
      </c>
      <c r="C3152" t="s">
        <v>40</v>
      </c>
      <c r="D3152">
        <v>5.4497309999999999</v>
      </c>
      <c r="E3152">
        <v>0.37623250000000003</v>
      </c>
      <c r="F3152" t="s">
        <v>59</v>
      </c>
      <c r="G3152">
        <v>-473.6551</v>
      </c>
      <c r="H3152" s="1">
        <v>4.2614329999999998E-6</v>
      </c>
      <c r="I3152">
        <v>212.87440000000001</v>
      </c>
      <c r="J3152">
        <v>-493.54820000000001</v>
      </c>
      <c r="K3152">
        <v>1.1122719999999999</v>
      </c>
      <c r="L3152">
        <v>245.08420000000001</v>
      </c>
      <c r="M3152">
        <v>0.19996939999999999</v>
      </c>
      <c r="N3152">
        <v>0</v>
      </c>
      <c r="O3152">
        <v>-0.9797247</v>
      </c>
      <c r="P3152">
        <v>0.23165959999999999</v>
      </c>
      <c r="Q3152">
        <v>3.4484630000000002E-2</v>
      </c>
      <c r="R3152">
        <v>-0.97218599999999999</v>
      </c>
      <c r="S3152">
        <v>1.658936</v>
      </c>
      <c r="T3152">
        <v>-9.2552540000000003E-2</v>
      </c>
      <c r="U3152">
        <v>-2.6966709999999998</v>
      </c>
      <c r="V3152">
        <v>-3.2788440000000002E-2</v>
      </c>
      <c r="W3152">
        <v>4.6645220000000001E-2</v>
      </c>
      <c r="X3152">
        <v>0.99837330000000002</v>
      </c>
      <c r="Y3152">
        <v>-0.34281889999999998</v>
      </c>
      <c r="Z3152">
        <v>2.9663189999999999E-2</v>
      </c>
      <c r="AA3152">
        <v>0.93893309999999996</v>
      </c>
      <c r="AB3152">
        <v>24</v>
      </c>
      <c r="AC3152">
        <v>19.8931</v>
      </c>
      <c r="AD3152">
        <v>-1.1122677385669999</v>
      </c>
      <c r="AE3152">
        <v>-32.209800000000001</v>
      </c>
      <c r="AF3152">
        <v>-13.0385224351165</v>
      </c>
      <c r="AG3152">
        <v>-1.1122677385669999</v>
      </c>
      <c r="AH3152">
        <v>35.506795086520903</v>
      </c>
      <c r="AI3152">
        <v>91.684329895788807</v>
      </c>
      <c r="AJ3152">
        <v>110.163842654218</v>
      </c>
      <c r="AK3152">
        <v>37.841415197234298</v>
      </c>
      <c r="AL3152">
        <v>87.326455795145506</v>
      </c>
      <c r="AM3152">
        <v>91.881024101568102</v>
      </c>
      <c r="AN3152">
        <v>1.0000000522496799</v>
      </c>
    </row>
    <row r="3153" spans="1:40" x14ac:dyDescent="0.25">
      <c r="A3153" t="str">
        <f>"20190312160353393"</f>
        <v>20190312160353393</v>
      </c>
      <c r="B3153" t="str">
        <f>"1552377833387839"</f>
        <v>1552377833387839</v>
      </c>
      <c r="C3153" t="s">
        <v>40</v>
      </c>
      <c r="D3153">
        <v>5.7630720000000002</v>
      </c>
      <c r="E3153">
        <v>0.37610680000000002</v>
      </c>
      <c r="F3153" t="s">
        <v>59</v>
      </c>
      <c r="G3153">
        <v>-472.98790000000002</v>
      </c>
      <c r="H3153" s="1">
        <v>4.5145529999999997E-6</v>
      </c>
      <c r="I3153">
        <v>211.89699999999999</v>
      </c>
      <c r="J3153">
        <v>-493.50110000000001</v>
      </c>
      <c r="K3153">
        <v>1.112311</v>
      </c>
      <c r="L3153">
        <v>244.87010000000001</v>
      </c>
      <c r="M3153">
        <v>0.2028585</v>
      </c>
      <c r="N3153">
        <v>0</v>
      </c>
      <c r="O3153">
        <v>-0.97913030000000001</v>
      </c>
      <c r="P3153">
        <v>0.23465369999999999</v>
      </c>
      <c r="Q3153">
        <v>3.5041919999999997E-2</v>
      </c>
      <c r="R3153">
        <v>-0.97144730000000001</v>
      </c>
      <c r="S3153">
        <v>1.6675720000000001</v>
      </c>
      <c r="T3153">
        <v>-9.0212109999999998E-2</v>
      </c>
      <c r="U3153">
        <v>-2.6916959999999999</v>
      </c>
      <c r="V3153">
        <v>-3.2930389999999997E-2</v>
      </c>
      <c r="W3153">
        <v>4.7202510000000003E-2</v>
      </c>
      <c r="X3153">
        <v>0.99834239999999996</v>
      </c>
      <c r="Y3153">
        <v>-0.34301379999999998</v>
      </c>
      <c r="Z3153">
        <v>2.890914E-2</v>
      </c>
      <c r="AA3153">
        <v>0.93888539999999998</v>
      </c>
      <c r="AB3153">
        <v>24</v>
      </c>
      <c r="AC3153">
        <v>20.513199999999902</v>
      </c>
      <c r="AD3153">
        <v>-1.1123064854469999</v>
      </c>
      <c r="AE3153">
        <v>-32.973099999999903</v>
      </c>
      <c r="AF3153">
        <v>-13.386259678491299</v>
      </c>
      <c r="AG3153">
        <v>-1.1123064854469999</v>
      </c>
      <c r="AH3153">
        <v>36.4191342577938</v>
      </c>
      <c r="AI3153">
        <v>91.642030680589201</v>
      </c>
      <c r="AJ3153">
        <v>110.181467886023</v>
      </c>
      <c r="AK3153">
        <v>38.817296582641902</v>
      </c>
      <c r="AL3153">
        <v>87.294490126506105</v>
      </c>
      <c r="AM3153">
        <v>91.889220103704602</v>
      </c>
      <c r="AN3153">
        <v>1.0000000175868</v>
      </c>
    </row>
    <row r="3154" spans="1:40" x14ac:dyDescent="0.25">
      <c r="A3154" t="str">
        <f>"20190312160353406"</f>
        <v>20190312160353406</v>
      </c>
      <c r="B3154" t="str">
        <f>"1552377833397597"</f>
        <v>1552377833397597</v>
      </c>
      <c r="C3154" t="s">
        <v>40</v>
      </c>
      <c r="D3154">
        <v>5.5009370000000004</v>
      </c>
      <c r="E3154">
        <v>0.37582870000000002</v>
      </c>
      <c r="F3154" t="s">
        <v>59</v>
      </c>
      <c r="G3154">
        <v>-472.7593</v>
      </c>
      <c r="H3154" s="1">
        <v>4.6042989999999999E-6</v>
      </c>
      <c r="I3154">
        <v>211.63079999999999</v>
      </c>
      <c r="J3154">
        <v>-493.46969999999999</v>
      </c>
      <c r="K3154">
        <v>1.1123369999999999</v>
      </c>
      <c r="L3154">
        <v>244.72890000000001</v>
      </c>
      <c r="M3154">
        <v>0.20478740000000001</v>
      </c>
      <c r="N3154">
        <v>0</v>
      </c>
      <c r="O3154">
        <v>-0.97872870000000001</v>
      </c>
      <c r="P3154">
        <v>0.23690269999999999</v>
      </c>
      <c r="Q3154">
        <v>3.4636E-2</v>
      </c>
      <c r="R3154">
        <v>-0.97091620000000001</v>
      </c>
      <c r="S3154">
        <v>1.6763920000000001</v>
      </c>
      <c r="T3154">
        <v>-8.9898820000000004E-2</v>
      </c>
      <c r="U3154">
        <v>-2.6864620000000001</v>
      </c>
      <c r="V3154">
        <v>-3.3272839999999998E-2</v>
      </c>
      <c r="W3154">
        <v>4.6795259999999998E-2</v>
      </c>
      <c r="X3154">
        <v>0.99835019999999997</v>
      </c>
      <c r="Y3154">
        <v>-0.34420469999999997</v>
      </c>
      <c r="Z3154">
        <v>2.880899E-2</v>
      </c>
      <c r="AA3154">
        <v>0.93845250000000002</v>
      </c>
      <c r="AB3154">
        <v>24</v>
      </c>
      <c r="AC3154">
        <v>20.7104</v>
      </c>
      <c r="AD3154">
        <v>-1.1123323957009901</v>
      </c>
      <c r="AE3154">
        <v>-33.098100000000002</v>
      </c>
      <c r="AF3154">
        <v>-13.481873657911301</v>
      </c>
      <c r="AG3154">
        <v>-1.1123323957009901</v>
      </c>
      <c r="AH3154">
        <v>36.608365399064503</v>
      </c>
      <c r="AI3154">
        <v>91.633208967356197</v>
      </c>
      <c r="AJ3154">
        <v>110.217391604577</v>
      </c>
      <c r="AK3154">
        <v>39.0278185129253</v>
      </c>
      <c r="AL3154">
        <v>87.317849598994897</v>
      </c>
      <c r="AM3154">
        <v>91.908837135726102</v>
      </c>
      <c r="AN3154">
        <v>1.0000000000400799</v>
      </c>
    </row>
    <row r="3155" spans="1:40" x14ac:dyDescent="0.25">
      <c r="A3155" t="str">
        <f>"20190312160353420"</f>
        <v>20190312160353420</v>
      </c>
      <c r="B3155" t="str">
        <f>"1552377833407357"</f>
        <v>1552377833407357</v>
      </c>
      <c r="C3155" t="s">
        <v>40</v>
      </c>
      <c r="D3155">
        <v>5.4383929999999996</v>
      </c>
      <c r="E3155">
        <v>0.37573450000000003</v>
      </c>
      <c r="F3155" t="s">
        <v>59</v>
      </c>
      <c r="G3155">
        <v>-472.56630000000001</v>
      </c>
      <c r="H3155" s="1">
        <v>4.6819830000000004E-6</v>
      </c>
      <c r="I3155">
        <v>211.44980000000001</v>
      </c>
      <c r="J3155">
        <v>-493.43970000000002</v>
      </c>
      <c r="K3155">
        <v>1.1123559999999999</v>
      </c>
      <c r="L3155">
        <v>244.59559999999999</v>
      </c>
      <c r="M3155">
        <v>0.20664080000000001</v>
      </c>
      <c r="N3155">
        <v>0</v>
      </c>
      <c r="O3155">
        <v>-0.97833899999999996</v>
      </c>
      <c r="P3155">
        <v>0.2389201</v>
      </c>
      <c r="Q3155">
        <v>3.4175669999999998E-2</v>
      </c>
      <c r="R3155">
        <v>-0.97043780000000002</v>
      </c>
      <c r="S3155">
        <v>1.6846620000000001</v>
      </c>
      <c r="T3155">
        <v>-8.9645740000000002E-2</v>
      </c>
      <c r="U3155">
        <v>-2.6820529999999998</v>
      </c>
      <c r="V3155">
        <v>-3.3453980000000001E-2</v>
      </c>
      <c r="W3155">
        <v>4.633466E-2</v>
      </c>
      <c r="X3155">
        <v>0.99836559999999996</v>
      </c>
      <c r="Y3155">
        <v>-0.34519809999999901</v>
      </c>
      <c r="Z3155">
        <v>2.8723530000000001E-2</v>
      </c>
      <c r="AA3155">
        <v>0.93809019999999999</v>
      </c>
      <c r="AB3155">
        <v>24</v>
      </c>
      <c r="AC3155">
        <v>20.8734</v>
      </c>
      <c r="AD3155">
        <v>-1.1123513180169999</v>
      </c>
      <c r="AE3155">
        <v>-33.145799999999902</v>
      </c>
      <c r="AF3155">
        <v>-13.5620840858851</v>
      </c>
      <c r="AG3155">
        <v>-1.1123513180169999</v>
      </c>
      <c r="AH3155">
        <v>36.714317367155502</v>
      </c>
      <c r="AI3155">
        <v>91.627933230089795</v>
      </c>
      <c r="AJ3155">
        <v>110.273976208986</v>
      </c>
      <c r="AK3155">
        <v>39.154930084773902</v>
      </c>
      <c r="AL3155">
        <v>87.344268614189602</v>
      </c>
      <c r="AM3155">
        <v>91.919191664818996</v>
      </c>
      <c r="AN3155">
        <v>0.99999997037925703</v>
      </c>
    </row>
    <row r="3156" spans="1:40" x14ac:dyDescent="0.25">
      <c r="A3156" t="str">
        <f>"20190312160353438"</f>
        <v>20190312160353438</v>
      </c>
      <c r="B3156" t="str">
        <f>"1552377833427854"</f>
        <v>1552377833427854</v>
      </c>
      <c r="C3156" t="s">
        <v>40</v>
      </c>
      <c r="D3156">
        <v>5.4927020000000004</v>
      </c>
      <c r="E3156">
        <v>0.37563410000000003</v>
      </c>
      <c r="F3156" t="s">
        <v>59</v>
      </c>
      <c r="G3156">
        <v>-472.85919999999999</v>
      </c>
      <c r="H3156" s="1">
        <v>4.5760340000000004E-6</v>
      </c>
      <c r="I3156">
        <v>211.99709999999999</v>
      </c>
      <c r="J3156">
        <v>-493.39620000000002</v>
      </c>
      <c r="K3156">
        <v>1.1123829999999999</v>
      </c>
      <c r="L3156">
        <v>244.40479999999999</v>
      </c>
      <c r="M3156">
        <v>0.20932799999999999</v>
      </c>
      <c r="N3156">
        <v>0</v>
      </c>
      <c r="O3156">
        <v>-0.97776759999999996</v>
      </c>
      <c r="P3156">
        <v>0.24204059999999999</v>
      </c>
      <c r="Q3156">
        <v>3.4092249999999998E-2</v>
      </c>
      <c r="R3156">
        <v>-0.9696671</v>
      </c>
      <c r="S3156">
        <v>1.69088699999999</v>
      </c>
      <c r="T3156">
        <v>-9.1390250000000006E-2</v>
      </c>
      <c r="U3156">
        <v>-2.6782840000000001</v>
      </c>
      <c r="V3156">
        <v>-3.3924919999999997E-2</v>
      </c>
      <c r="W3156">
        <v>4.6249400000000003E-2</v>
      </c>
      <c r="X3156">
        <v>0.99835370000000001</v>
      </c>
      <c r="Y3156">
        <v>-0.34476610000000002</v>
      </c>
      <c r="Z3156">
        <v>2.9276770000000001E-2</v>
      </c>
      <c r="AA3156">
        <v>0.93823190000000001</v>
      </c>
      <c r="AB3156">
        <v>24</v>
      </c>
      <c r="AC3156">
        <v>20.536999999999999</v>
      </c>
      <c r="AD3156">
        <v>-1.112378423966</v>
      </c>
      <c r="AE3156">
        <v>-32.407699999999998</v>
      </c>
      <c r="AF3156">
        <v>-13.286418324903201</v>
      </c>
      <c r="AG3156">
        <v>-1.112378423966</v>
      </c>
      <c r="AH3156">
        <v>35.9586821479039</v>
      </c>
      <c r="AI3156">
        <v>91.662112090705705</v>
      </c>
      <c r="AJ3156">
        <v>110.278830120517</v>
      </c>
      <c r="AK3156">
        <v>38.350920712238597</v>
      </c>
      <c r="AL3156">
        <v>87.349158996915193</v>
      </c>
      <c r="AM3156">
        <v>91.946211151073896</v>
      </c>
      <c r="AN3156">
        <v>1.0000000087505201</v>
      </c>
    </row>
    <row r="3157" spans="1:40" x14ac:dyDescent="0.25">
      <c r="A3157" t="str">
        <f>"20190312160353451"</f>
        <v>20190312160353451</v>
      </c>
      <c r="B3157" t="str">
        <f>"1552377833447880"</f>
        <v>1552377833447880</v>
      </c>
      <c r="C3157" t="s">
        <v>40</v>
      </c>
      <c r="D3157">
        <v>5.7459920000000002</v>
      </c>
      <c r="E3157">
        <v>0.3754441</v>
      </c>
      <c r="F3157" t="s">
        <v>59</v>
      </c>
      <c r="G3157">
        <v>-472.65210000000002</v>
      </c>
      <c r="H3157" s="1">
        <v>4.6592350000000001E-6</v>
      </c>
      <c r="I3157">
        <v>211.79949999999999</v>
      </c>
      <c r="J3157">
        <v>-493.3655</v>
      </c>
      <c r="K3157">
        <v>1.112411</v>
      </c>
      <c r="L3157">
        <v>244.27109999999999</v>
      </c>
      <c r="M3157">
        <v>0.21123839999999999</v>
      </c>
      <c r="N3157">
        <v>0</v>
      </c>
      <c r="O3157">
        <v>-0.97735660000000002</v>
      </c>
      <c r="P3157">
        <v>0.24412039999999999</v>
      </c>
      <c r="Q3157">
        <v>3.4206939999999998E-2</v>
      </c>
      <c r="R3157">
        <v>-0.96914129999999998</v>
      </c>
      <c r="S3157">
        <v>1.700348</v>
      </c>
      <c r="T3157">
        <v>-9.1178889999999999E-2</v>
      </c>
      <c r="U3157">
        <v>-2.672577</v>
      </c>
      <c r="V3157">
        <v>-3.4120400000000002E-2</v>
      </c>
      <c r="W3157">
        <v>4.6364200000000001E-2</v>
      </c>
      <c r="X3157">
        <v>0.9983417</v>
      </c>
      <c r="Y3157">
        <v>-0.34620430000000002</v>
      </c>
      <c r="Z3157">
        <v>2.920963E-2</v>
      </c>
      <c r="AA3157">
        <v>0.93770430000000005</v>
      </c>
      <c r="AB3157">
        <v>24</v>
      </c>
      <c r="AC3157">
        <v>20.713399999999901</v>
      </c>
      <c r="AD3157">
        <v>-1.112406340765</v>
      </c>
      <c r="AE3157">
        <v>-32.471599999999903</v>
      </c>
      <c r="AF3157">
        <v>-13.3749925267142</v>
      </c>
      <c r="AG3157">
        <v>-1.112406340765</v>
      </c>
      <c r="AH3157">
        <v>36.084449816754301</v>
      </c>
      <c r="AI3157">
        <v>91.655735180785598</v>
      </c>
      <c r="AJ3157">
        <v>110.337631029923</v>
      </c>
      <c r="AK3157">
        <v>38.499550536785399</v>
      </c>
      <c r="AL3157">
        <v>87.342574342287406</v>
      </c>
      <c r="AM3157">
        <v>91.957440295193393</v>
      </c>
      <c r="AN3157">
        <v>0.99999999534834505</v>
      </c>
    </row>
    <row r="3158" spans="1:40" x14ac:dyDescent="0.25">
      <c r="A3158" t="str">
        <f>"20190312160353464"</f>
        <v>20190312160353464</v>
      </c>
      <c r="B3158" t="str">
        <f>"1552377833457640"</f>
        <v>1552377833457640</v>
      </c>
      <c r="C3158" t="s">
        <v>40</v>
      </c>
      <c r="D3158">
        <v>5.3943029999999998</v>
      </c>
      <c r="E3158">
        <v>0.3754576</v>
      </c>
      <c r="F3158" t="s">
        <v>59</v>
      </c>
      <c r="G3158">
        <v>-472.25830000000002</v>
      </c>
      <c r="H3158" s="1">
        <v>4.811222E-6</v>
      </c>
      <c r="I3158">
        <v>211.28200000000001</v>
      </c>
      <c r="J3158">
        <v>-493.33569999999997</v>
      </c>
      <c r="K3158">
        <v>1.112436</v>
      </c>
      <c r="L3158">
        <v>244.14279999999999</v>
      </c>
      <c r="M3158">
        <v>0.21309529999999999</v>
      </c>
      <c r="N3158">
        <v>0</v>
      </c>
      <c r="O3158">
        <v>-0.97695339999999997</v>
      </c>
      <c r="P3158">
        <v>0.24590190000000001</v>
      </c>
      <c r="Q3158">
        <v>3.4842320000000003E-2</v>
      </c>
      <c r="R3158">
        <v>-0.96866870000000005</v>
      </c>
      <c r="S3158">
        <v>1.7074279999999999</v>
      </c>
      <c r="T3158">
        <v>-8.9986090000000005E-2</v>
      </c>
      <c r="U3158">
        <v>-2.6685940000000001</v>
      </c>
      <c r="V3158">
        <v>-3.40694E-2</v>
      </c>
      <c r="W3158">
        <v>4.6999609999999997E-2</v>
      </c>
      <c r="X3158">
        <v>0.99831369999999997</v>
      </c>
      <c r="Y3158">
        <v>-0.34682839999999998</v>
      </c>
      <c r="Z3158">
        <v>2.882376E-2</v>
      </c>
      <c r="AA3158">
        <v>0.93748560000000003</v>
      </c>
      <c r="AB3158">
        <v>24</v>
      </c>
      <c r="AC3158">
        <v>21.077399999999901</v>
      </c>
      <c r="AD3158">
        <v>-1.1124311887780001</v>
      </c>
      <c r="AE3158">
        <v>-32.860799999999898</v>
      </c>
      <c r="AF3158">
        <v>-13.5791657188239</v>
      </c>
      <c r="AG3158">
        <v>-1.1124311887780001</v>
      </c>
      <c r="AH3158">
        <v>36.568062987251999</v>
      </c>
      <c r="AI3158">
        <v>91.633523640151594</v>
      </c>
      <c r="AJ3158">
        <v>110.371949675574</v>
      </c>
      <c r="AK3158">
        <v>39.0237680831654</v>
      </c>
      <c r="AL3158">
        <v>87.306128216450105</v>
      </c>
      <c r="AM3158">
        <v>91.954571542878796</v>
      </c>
      <c r="AN3158">
        <v>0.99999996548210002</v>
      </c>
    </row>
    <row r="3159" spans="1:40" x14ac:dyDescent="0.25">
      <c r="A3159" t="str">
        <f>"20190312160353483"</f>
        <v>20190312160353483</v>
      </c>
      <c r="B3159" t="str">
        <f>"1552377833478136"</f>
        <v>1552377833478136</v>
      </c>
      <c r="C3159" t="s">
        <v>40</v>
      </c>
      <c r="D3159">
        <v>8.4605130000000006</v>
      </c>
      <c r="E3159">
        <v>0.37547170000000002</v>
      </c>
      <c r="F3159" t="s">
        <v>59</v>
      </c>
      <c r="G3159">
        <v>-471.6456</v>
      </c>
      <c r="H3159" s="1">
        <v>5.0438220000000001E-6</v>
      </c>
      <c r="I3159">
        <v>210.38740000000001</v>
      </c>
      <c r="J3159">
        <v>-493.2903</v>
      </c>
      <c r="K3159">
        <v>1.1124810000000001</v>
      </c>
      <c r="L3159">
        <v>243.94970000000001</v>
      </c>
      <c r="M3159">
        <v>0.21593409999999999</v>
      </c>
      <c r="N3159">
        <v>0</v>
      </c>
      <c r="O3159">
        <v>-0.97632989999999997</v>
      </c>
      <c r="P3159">
        <v>0.24883849999999999</v>
      </c>
      <c r="Q3159">
        <v>3.6795300000000003E-2</v>
      </c>
      <c r="R3159">
        <v>-0.96784619999999999</v>
      </c>
      <c r="S3159">
        <v>1.7127079999999999</v>
      </c>
      <c r="T3159">
        <v>-8.7840799999999997E-2</v>
      </c>
      <c r="U3159">
        <v>-2.6654209999999998</v>
      </c>
      <c r="V3159">
        <v>-3.4225180000000001E-2</v>
      </c>
      <c r="W3159">
        <v>4.8951439999999999E-2</v>
      </c>
      <c r="X3159">
        <v>0.99821459999999995</v>
      </c>
      <c r="Y3159">
        <v>-0.34593499999999999</v>
      </c>
      <c r="Z3159">
        <v>2.8129390000000001E-2</v>
      </c>
      <c r="AA3159">
        <v>0.93783669999999997</v>
      </c>
      <c r="AB3159">
        <v>24</v>
      </c>
      <c r="AC3159">
        <v>21.6447</v>
      </c>
      <c r="AD3159">
        <v>-1.112475956178</v>
      </c>
      <c r="AE3159">
        <v>-33.562299999999901</v>
      </c>
      <c r="AF3159">
        <v>-13.875414011225301</v>
      </c>
      <c r="AG3159">
        <v>-1.112475956178</v>
      </c>
      <c r="AH3159">
        <v>37.4155258939658</v>
      </c>
      <c r="AI3159">
        <v>91.596864523767493</v>
      </c>
      <c r="AJ3159">
        <v>110.34711880318601</v>
      </c>
      <c r="AK3159">
        <v>39.921000672052401</v>
      </c>
      <c r="AL3159">
        <v>87.194167740653398</v>
      </c>
      <c r="AM3159">
        <v>91.963696486278906</v>
      </c>
      <c r="AN3159">
        <v>0.99999999703863196</v>
      </c>
    </row>
    <row r="3160" spans="1:40" x14ac:dyDescent="0.25">
      <c r="A3160" t="str">
        <f>"20190312160353495"</f>
        <v>20190312160353495</v>
      </c>
      <c r="B3160" t="str">
        <f>"1552377833487897"</f>
        <v>1552377833487897</v>
      </c>
      <c r="C3160" t="s">
        <v>40</v>
      </c>
      <c r="D3160">
        <v>5.7133859999999999</v>
      </c>
      <c r="E3160">
        <v>0.37548239999999999</v>
      </c>
      <c r="F3160" t="s">
        <v>59</v>
      </c>
      <c r="G3160">
        <v>-471.07650000000001</v>
      </c>
      <c r="H3160">
        <v>6.1337299999999997E-2</v>
      </c>
      <c r="I3160">
        <v>209.60499999999999</v>
      </c>
      <c r="J3160">
        <v>-493.26010000000002</v>
      </c>
      <c r="K3160">
        <v>1.112511</v>
      </c>
      <c r="L3160">
        <v>243.82310000000001</v>
      </c>
      <c r="M3160">
        <v>0.21782679999999999</v>
      </c>
      <c r="N3160">
        <v>0</v>
      </c>
      <c r="O3160">
        <v>-0.97590929999999998</v>
      </c>
      <c r="P3160">
        <v>0.250531</v>
      </c>
      <c r="Q3160">
        <v>3.788586E-2</v>
      </c>
      <c r="R3160">
        <v>-0.96736710000000004</v>
      </c>
      <c r="S3160">
        <v>1.7207030000000001</v>
      </c>
      <c r="T3160">
        <v>-8.1422809999999998E-2</v>
      </c>
      <c r="U3160">
        <v>-2.6603850000000002</v>
      </c>
      <c r="V3160">
        <v>-3.4053409999999999E-2</v>
      </c>
      <c r="W3160">
        <v>5.0043009999999999E-2</v>
      </c>
      <c r="X3160">
        <v>0.99816629999999995</v>
      </c>
      <c r="Y3160">
        <v>-0.34694309999999901</v>
      </c>
      <c r="Z3160">
        <v>2.6075660000000001E-2</v>
      </c>
      <c r="AA3160">
        <v>0.93752369999999996</v>
      </c>
      <c r="AB3160">
        <v>24</v>
      </c>
      <c r="AC3160">
        <v>22.183599999999998</v>
      </c>
      <c r="AD3160">
        <v>-1.0511736999999901</v>
      </c>
      <c r="AE3160">
        <v>-34.2181</v>
      </c>
      <c r="AF3160">
        <v>-14.187218393711699</v>
      </c>
      <c r="AG3160">
        <v>-1.0511736999999901</v>
      </c>
      <c r="AH3160">
        <v>38.203476008641701</v>
      </c>
      <c r="AI3160">
        <v>91.477557594437698</v>
      </c>
      <c r="AJ3160">
        <v>110.37295035925</v>
      </c>
      <c r="AK3160">
        <v>40.766257015346703</v>
      </c>
      <c r="AL3160">
        <v>87.131548493623995</v>
      </c>
      <c r="AM3160">
        <v>91.953943177035697</v>
      </c>
      <c r="AN3160">
        <v>0.99999995001908704</v>
      </c>
    </row>
    <row r="3161" spans="1:40" x14ac:dyDescent="0.25">
      <c r="A3161" t="str">
        <f>"20190312160353506"</f>
        <v>20190312160353506</v>
      </c>
      <c r="B3161" t="str">
        <f>"1552377833497658"</f>
        <v>1552377833497658</v>
      </c>
      <c r="C3161" t="s">
        <v>40</v>
      </c>
      <c r="D3161">
        <v>5.4952360000000002</v>
      </c>
      <c r="E3161">
        <v>0.37552410000000003</v>
      </c>
      <c r="F3161" t="s">
        <v>59</v>
      </c>
      <c r="G3161">
        <v>-470.43419999999998</v>
      </c>
      <c r="H3161">
        <v>8.0000329999999995E-2</v>
      </c>
      <c r="I3161">
        <v>208.66309999999999</v>
      </c>
      <c r="J3161">
        <v>-493.23200000000003</v>
      </c>
      <c r="K3161">
        <v>1.1125370000000001</v>
      </c>
      <c r="L3161">
        <v>243.70580000000001</v>
      </c>
      <c r="M3161">
        <v>0.21959020000000001</v>
      </c>
      <c r="N3161">
        <v>0</v>
      </c>
      <c r="O3161">
        <v>-0.97551370000000004</v>
      </c>
      <c r="P3161">
        <v>0.2521389</v>
      </c>
      <c r="Q3161">
        <v>3.8909300000000001E-2</v>
      </c>
      <c r="R3161">
        <v>-0.96690830000000005</v>
      </c>
      <c r="S3161">
        <v>1.72522</v>
      </c>
      <c r="T3161">
        <v>-7.8038930000000006E-2</v>
      </c>
      <c r="U3161">
        <v>-2.6574550000000001</v>
      </c>
      <c r="V3161">
        <v>-3.392647E-2</v>
      </c>
      <c r="W3161">
        <v>5.1066889999999997E-2</v>
      </c>
      <c r="X3161">
        <v>0.99811879999999997</v>
      </c>
      <c r="Y3161">
        <v>-0.34685640000000001</v>
      </c>
      <c r="Z3161">
        <v>2.4990419999999999E-2</v>
      </c>
      <c r="AA3161">
        <v>0.93758529999999995</v>
      </c>
      <c r="AB3161">
        <v>24</v>
      </c>
      <c r="AC3161">
        <v>22.797799999999899</v>
      </c>
      <c r="AD3161">
        <v>-1.03253667</v>
      </c>
      <c r="AE3161">
        <v>-35.042700000000004</v>
      </c>
      <c r="AF3161">
        <v>-14.536779142856201</v>
      </c>
      <c r="AG3161">
        <v>-1.03253667</v>
      </c>
      <c r="AH3161">
        <v>39.169915059875002</v>
      </c>
      <c r="AI3161">
        <v>91.415687292497594</v>
      </c>
      <c r="AJ3161">
        <v>110.36094897274501</v>
      </c>
      <c r="AK3161">
        <v>41.793137302922098</v>
      </c>
      <c r="AL3161">
        <v>87.072809479270006</v>
      </c>
      <c r="AM3161">
        <v>91.946757698517402</v>
      </c>
      <c r="AN3161">
        <v>0.99999998576718596</v>
      </c>
    </row>
    <row r="3162" spans="1:40" x14ac:dyDescent="0.25">
      <c r="A3162" t="str">
        <f>"20190312160353519"</f>
        <v>20190312160353519</v>
      </c>
      <c r="B3162" t="str">
        <f>"1552377833507417"</f>
        <v>1552377833507417</v>
      </c>
      <c r="C3162" t="s">
        <v>40</v>
      </c>
      <c r="D3162">
        <v>5.7309559999999999</v>
      </c>
      <c r="E3162">
        <v>0.37566699999999997</v>
      </c>
      <c r="F3162" t="s">
        <v>70</v>
      </c>
      <c r="G3162">
        <v>-469.34719999999999</v>
      </c>
      <c r="H3162">
        <v>8.0000520000000006E-2</v>
      </c>
      <c r="I3162">
        <v>207.03370000000001</v>
      </c>
      <c r="J3162">
        <v>-493.20299999999997</v>
      </c>
      <c r="K3162">
        <v>1.1125620000000001</v>
      </c>
      <c r="L3162">
        <v>243.58670000000001</v>
      </c>
      <c r="M3162">
        <v>0.221418</v>
      </c>
      <c r="N3162">
        <v>0</v>
      </c>
      <c r="O3162">
        <v>-0.97510070000000004</v>
      </c>
      <c r="P3162">
        <v>0.25374279999999999</v>
      </c>
      <c r="Q3162">
        <v>3.9306099999999997E-2</v>
      </c>
      <c r="R3162">
        <v>-0.96647300000000003</v>
      </c>
      <c r="S3162">
        <v>1.729095</v>
      </c>
      <c r="T3162">
        <v>-7.4748640000000005E-2</v>
      </c>
      <c r="U3162">
        <v>-2.6548159999999998</v>
      </c>
      <c r="V3162">
        <v>-3.3719699999999901E-2</v>
      </c>
      <c r="W3162">
        <v>5.1465480000000001E-2</v>
      </c>
      <c r="X3162">
        <v>0.99810529999999997</v>
      </c>
      <c r="Y3162">
        <v>-0.34650039999999999</v>
      </c>
      <c r="Z3162">
        <v>2.3935040000000001E-2</v>
      </c>
      <c r="AA3162">
        <v>0.93774440000000003</v>
      </c>
      <c r="AB3162">
        <v>24</v>
      </c>
      <c r="AC3162">
        <v>23.855799999999999</v>
      </c>
      <c r="AD3162">
        <v>-1.03256148</v>
      </c>
      <c r="AE3162">
        <v>-36.552999999999997</v>
      </c>
      <c r="AF3162">
        <v>-15.160989053224499</v>
      </c>
      <c r="AG3162">
        <v>-1.03256148</v>
      </c>
      <c r="AH3162">
        <v>40.9051932614667</v>
      </c>
      <c r="AI3162">
        <v>91.3559002999732</v>
      </c>
      <c r="AJ3162">
        <v>110.336583093404</v>
      </c>
      <c r="AK3162">
        <v>43.636642951078599</v>
      </c>
      <c r="AL3162">
        <v>87.049941783544497</v>
      </c>
      <c r="AM3162">
        <v>91.934928086605495</v>
      </c>
      <c r="AN3162">
        <v>0.999999951843904</v>
      </c>
    </row>
    <row r="3163" spans="1:40" x14ac:dyDescent="0.25">
      <c r="A3163" t="str">
        <f>"20190312160353530"</f>
        <v>20190312160353530</v>
      </c>
      <c r="B3163" t="str">
        <f>"1552377833518153"</f>
        <v>1552377833518153</v>
      </c>
      <c r="C3163" t="s">
        <v>40</v>
      </c>
      <c r="D3163">
        <v>5.713654</v>
      </c>
      <c r="E3163">
        <v>0.37583909999999998</v>
      </c>
      <c r="F3163" t="s">
        <v>70</v>
      </c>
      <c r="G3163">
        <v>-469.18119999999999</v>
      </c>
      <c r="H3163">
        <v>8.0000569999999993E-2</v>
      </c>
      <c r="I3163">
        <v>206.82929999999999</v>
      </c>
      <c r="J3163">
        <v>-493.17309999999998</v>
      </c>
      <c r="K3163">
        <v>1.112587</v>
      </c>
      <c r="L3163">
        <v>243.46440000000001</v>
      </c>
      <c r="M3163">
        <v>0.2233057</v>
      </c>
      <c r="N3163">
        <v>0</v>
      </c>
      <c r="O3163">
        <v>-0.97467020000000004</v>
      </c>
      <c r="P3163">
        <v>0.25533549999999999</v>
      </c>
      <c r="Q3163">
        <v>3.9616800000000001E-2</v>
      </c>
      <c r="R3163">
        <v>-0.96604080000000003</v>
      </c>
      <c r="S3163">
        <v>1.7331540000000001</v>
      </c>
      <c r="T3163">
        <v>-7.449865E-2</v>
      </c>
      <c r="U3163">
        <v>-2.6520229999999998</v>
      </c>
      <c r="V3163">
        <v>-3.3439789999999997E-2</v>
      </c>
      <c r="W3163">
        <v>5.177739E-2</v>
      </c>
      <c r="X3163">
        <v>0.99809859999999995</v>
      </c>
      <c r="Y3163">
        <v>-0.34614289999999998</v>
      </c>
      <c r="Z3163">
        <v>2.3852729999999999E-2</v>
      </c>
      <c r="AA3163">
        <v>0.93787849999999995</v>
      </c>
      <c r="AB3163">
        <v>24</v>
      </c>
      <c r="AC3163">
        <v>23.991899999999902</v>
      </c>
      <c r="AD3163">
        <v>-1.0325864300000001</v>
      </c>
      <c r="AE3163">
        <v>-36.635100000000001</v>
      </c>
      <c r="AF3163">
        <v>-15.1960744270782</v>
      </c>
      <c r="AG3163">
        <v>-1.0325864300000001</v>
      </c>
      <c r="AH3163">
        <v>41.044980780460499</v>
      </c>
      <c r="AI3163">
        <v>91.351496151534704</v>
      </c>
      <c r="AJ3163">
        <v>110.316053224699</v>
      </c>
      <c r="AK3163">
        <v>43.779873914814999</v>
      </c>
      <c r="AL3163">
        <v>87.032046840607094</v>
      </c>
      <c r="AM3163">
        <v>91.918891018847503</v>
      </c>
      <c r="AN3163">
        <v>0.99999996649620704</v>
      </c>
    </row>
    <row r="3164" spans="1:40" x14ac:dyDescent="0.25">
      <c r="A3164" t="str">
        <f>"20190312160353550"</f>
        <v>20190312160353550</v>
      </c>
      <c r="B3164" t="str">
        <f>"1552377833537673"</f>
        <v>1552377833537673</v>
      </c>
      <c r="C3164" t="s">
        <v>40</v>
      </c>
      <c r="D3164">
        <v>5.706188</v>
      </c>
      <c r="E3164">
        <v>0.37614340000000002</v>
      </c>
      <c r="F3164" t="s">
        <v>70</v>
      </c>
      <c r="G3164">
        <v>-469.28769999999997</v>
      </c>
      <c r="H3164">
        <v>8.0000539999999995E-2</v>
      </c>
      <c r="I3164">
        <v>207.0162</v>
      </c>
      <c r="J3164">
        <v>-493.12450000000001</v>
      </c>
      <c r="K3164">
        <v>1.112622</v>
      </c>
      <c r="L3164">
        <v>243.2679</v>
      </c>
      <c r="M3164">
        <v>0.2263828</v>
      </c>
      <c r="N3164">
        <v>0</v>
      </c>
      <c r="O3164">
        <v>-0.97396000000000005</v>
      </c>
      <c r="P3164">
        <v>0.2579766</v>
      </c>
      <c r="Q3164">
        <v>4.0110640000000003E-2</v>
      </c>
      <c r="R3164">
        <v>-0.96531840000000002</v>
      </c>
      <c r="S3164">
        <v>1.736359</v>
      </c>
      <c r="T3164">
        <v>-7.50643E-2</v>
      </c>
      <c r="U3164">
        <v>-2.6496119999999999</v>
      </c>
      <c r="V3164">
        <v>-3.302915E-2</v>
      </c>
      <c r="W3164">
        <v>5.2275009999999997E-2</v>
      </c>
      <c r="X3164">
        <v>0.99808640000000004</v>
      </c>
      <c r="Y3164">
        <v>-0.34436159999999999</v>
      </c>
      <c r="Z3164">
        <v>2.4026680000000002E-2</v>
      </c>
      <c r="AA3164">
        <v>0.93852959999999996</v>
      </c>
      <c r="AB3164">
        <v>24</v>
      </c>
      <c r="AC3164">
        <v>23.8368</v>
      </c>
      <c r="AD3164">
        <v>-1.0326214600000001</v>
      </c>
      <c r="AE3164">
        <v>-36.2517</v>
      </c>
      <c r="AF3164">
        <v>-15.001976680399</v>
      </c>
      <c r="AG3164">
        <v>-1.0326214600000001</v>
      </c>
      <c r="AH3164">
        <v>40.684010119085301</v>
      </c>
      <c r="AI3164">
        <v>91.364187719123805</v>
      </c>
      <c r="AJ3164">
        <v>110.241139996737</v>
      </c>
      <c r="AK3164">
        <v>43.374120057572597</v>
      </c>
      <c r="AL3164">
        <v>87.003496843992394</v>
      </c>
      <c r="AM3164">
        <v>91.895367516839599</v>
      </c>
      <c r="AN3164">
        <v>1.0000000316425901</v>
      </c>
    </row>
    <row r="3165" spans="1:40" x14ac:dyDescent="0.25">
      <c r="A3165" t="str">
        <f>"20190312160353572"</f>
        <v>20190312160353572</v>
      </c>
      <c r="B3165" t="str">
        <f>"1552377833567460"</f>
        <v>1552377833567460</v>
      </c>
      <c r="C3165" t="s">
        <v>40</v>
      </c>
      <c r="D3165">
        <v>5.7441019999999998</v>
      </c>
      <c r="E3165">
        <v>0.37656250000000002</v>
      </c>
      <c r="F3165" t="s">
        <v>70</v>
      </c>
      <c r="G3165">
        <v>-469.23739999999998</v>
      </c>
      <c r="H3165">
        <v>8.0000559999999998E-2</v>
      </c>
      <c r="I3165">
        <v>206.98859999999999</v>
      </c>
      <c r="J3165">
        <v>-493.06849999999997</v>
      </c>
      <c r="K3165">
        <v>1.112657</v>
      </c>
      <c r="L3165">
        <v>243.04499999999999</v>
      </c>
      <c r="M3165">
        <v>0.22992660000000001</v>
      </c>
      <c r="N3165">
        <v>0</v>
      </c>
      <c r="O3165">
        <v>-0.97312949999999998</v>
      </c>
      <c r="P3165">
        <v>0.26154640000000001</v>
      </c>
      <c r="Q3165">
        <v>4.0756420000000002E-2</v>
      </c>
      <c r="R3165">
        <v>-0.96433020000000003</v>
      </c>
      <c r="S3165">
        <v>1.7418209999999901</v>
      </c>
      <c r="T3165">
        <v>-7.5297589999999998E-2</v>
      </c>
      <c r="U3165">
        <v>-2.6454469999999999</v>
      </c>
      <c r="V3165">
        <v>-3.3102739999999999E-2</v>
      </c>
      <c r="W3165">
        <v>5.2920710000000003E-2</v>
      </c>
      <c r="X3165">
        <v>0.99804990000000005</v>
      </c>
      <c r="Y3165">
        <v>-0.34297329999999998</v>
      </c>
      <c r="Z3165">
        <v>2.4096050000000001E-2</v>
      </c>
      <c r="AA3165">
        <v>0.93903599999999998</v>
      </c>
      <c r="AB3165">
        <v>24</v>
      </c>
      <c r="AC3165">
        <v>23.8310999999999</v>
      </c>
      <c r="AD3165">
        <v>-1.03265644</v>
      </c>
      <c r="AE3165">
        <v>-36.056399999999996</v>
      </c>
      <c r="AF3165">
        <v>-14.8930569845246</v>
      </c>
      <c r="AG3165">
        <v>-1.03265644</v>
      </c>
      <c r="AH3165">
        <v>40.546901584297402</v>
      </c>
      <c r="AI3165">
        <v>91.369483807706601</v>
      </c>
      <c r="AJ3165">
        <v>110.168507906629</v>
      </c>
      <c r="AK3165">
        <v>43.207878375986802</v>
      </c>
      <c r="AL3165">
        <v>86.966449575647403</v>
      </c>
      <c r="AM3165">
        <v>91.899656785222902</v>
      </c>
      <c r="AN3165">
        <v>0.99999999791620997</v>
      </c>
    </row>
    <row r="3166" spans="1:40" x14ac:dyDescent="0.25">
      <c r="A3166" t="str">
        <f>"20190312160353593"</f>
        <v>20190312160353593</v>
      </c>
      <c r="B3166" t="str">
        <f>"1552377833587956"</f>
        <v>1552377833587956</v>
      </c>
      <c r="C3166" t="s">
        <v>40</v>
      </c>
      <c r="D3166">
        <v>5.7158559999999996</v>
      </c>
      <c r="E3166">
        <v>0.37685689999999999</v>
      </c>
      <c r="F3166" t="s">
        <v>70</v>
      </c>
      <c r="G3166">
        <v>-469.87959999999998</v>
      </c>
      <c r="H3166">
        <v>8.000032E-2</v>
      </c>
      <c r="I3166">
        <v>208.03700000000001</v>
      </c>
      <c r="J3166">
        <v>-493.01220000000001</v>
      </c>
      <c r="K3166">
        <v>1.1126799999999999</v>
      </c>
      <c r="L3166">
        <v>242.82480000000001</v>
      </c>
      <c r="M3166">
        <v>0.2334666</v>
      </c>
      <c r="N3166">
        <v>0</v>
      </c>
      <c r="O3166">
        <v>-0.97228619999999999</v>
      </c>
      <c r="P3166">
        <v>0.26531450000000001</v>
      </c>
      <c r="Q3166">
        <v>4.1057040000000003E-2</v>
      </c>
      <c r="R3166">
        <v>-0.96328769999999997</v>
      </c>
      <c r="S3166">
        <v>1.748688</v>
      </c>
      <c r="T3166">
        <v>-7.787347E-2</v>
      </c>
      <c r="U3166">
        <v>-2.6399840000000001</v>
      </c>
      <c r="V3166">
        <v>-3.3380140000000003E-2</v>
      </c>
      <c r="W3166">
        <v>5.3221169999999998E-2</v>
      </c>
      <c r="X3166">
        <v>0.99802469999999999</v>
      </c>
      <c r="Y3166">
        <v>-0.34213480000000002</v>
      </c>
      <c r="Z3166">
        <v>2.4917999999999999E-2</v>
      </c>
      <c r="AA3166">
        <v>0.93932040000000006</v>
      </c>
      <c r="AB3166">
        <v>24</v>
      </c>
      <c r="AC3166">
        <v>23.1326</v>
      </c>
      <c r="AD3166">
        <v>-1.03267968</v>
      </c>
      <c r="AE3166">
        <v>-34.787799999999997</v>
      </c>
      <c r="AF3166">
        <v>-14.3620414265043</v>
      </c>
      <c r="AG3166">
        <v>-1.03267968</v>
      </c>
      <c r="AH3166">
        <v>39.203431945059997</v>
      </c>
      <c r="AI3166">
        <v>91.416866532769504</v>
      </c>
      <c r="AJ3166">
        <v>110.120133284297</v>
      </c>
      <c r="AK3166">
        <v>41.7641441613385</v>
      </c>
      <c r="AL3166">
        <v>86.949210240805499</v>
      </c>
      <c r="AM3166">
        <v>91.915612375062395</v>
      </c>
      <c r="AN3166">
        <v>1.0000000142463299</v>
      </c>
    </row>
    <row r="3167" spans="1:40" x14ac:dyDescent="0.25">
      <c r="A3167" t="str">
        <f>"20190312160353605"</f>
        <v>20190312160353605</v>
      </c>
      <c r="B3167" t="str">
        <f>"1552377833597716"</f>
        <v>1552377833597716</v>
      </c>
      <c r="C3167" t="s">
        <v>40</v>
      </c>
      <c r="D3167">
        <v>5.7472960000000004</v>
      </c>
      <c r="E3167">
        <v>0.37704409999999999</v>
      </c>
      <c r="F3167" t="s">
        <v>59</v>
      </c>
      <c r="G3167">
        <v>-470.34980000000002</v>
      </c>
      <c r="H3167">
        <v>8.0000349999999998E-2</v>
      </c>
      <c r="I3167">
        <v>208.85390000000001</v>
      </c>
      <c r="J3167">
        <v>-492.98099999999999</v>
      </c>
      <c r="K3167">
        <v>1.112689</v>
      </c>
      <c r="L3167">
        <v>242.70419999999999</v>
      </c>
      <c r="M3167">
        <v>0.2354144</v>
      </c>
      <c r="N3167">
        <v>0</v>
      </c>
      <c r="O3167">
        <v>-0.97181620000000002</v>
      </c>
      <c r="P3167">
        <v>0.2676462</v>
      </c>
      <c r="Q3167">
        <v>4.0636529999999997E-2</v>
      </c>
      <c r="R3167">
        <v>-0.96265999999999996</v>
      </c>
      <c r="S3167">
        <v>1.75705</v>
      </c>
      <c r="T3167">
        <v>-8.0065250000000004E-2</v>
      </c>
      <c r="U3167">
        <v>-2.6338200000000001</v>
      </c>
      <c r="V3167">
        <v>-3.379207E-2</v>
      </c>
      <c r="W3167">
        <v>5.2798810000000002E-2</v>
      </c>
      <c r="X3167">
        <v>0.99803330000000001</v>
      </c>
      <c r="Y3167">
        <v>-0.34331990000000001</v>
      </c>
      <c r="Z3167">
        <v>2.5623679999999999E-2</v>
      </c>
      <c r="AA3167">
        <v>0.93886890000000001</v>
      </c>
      <c r="AB3167">
        <v>24</v>
      </c>
      <c r="AC3167">
        <v>22.6311999999999</v>
      </c>
      <c r="AD3167">
        <v>-1.0326886500000001</v>
      </c>
      <c r="AE3167">
        <v>-33.850299999999898</v>
      </c>
      <c r="AF3167">
        <v>-14.016578502178801</v>
      </c>
      <c r="AG3167">
        <v>-1.0326886500000001</v>
      </c>
      <c r="AH3167">
        <v>38.2023391299374</v>
      </c>
      <c r="AI3167">
        <v>91.453730761307597</v>
      </c>
      <c r="AJ3167">
        <v>110.1482725993</v>
      </c>
      <c r="AK3167">
        <v>40.705646214675497</v>
      </c>
      <c r="AL3167">
        <v>86.973443846309394</v>
      </c>
      <c r="AM3167">
        <v>91.9392174890625</v>
      </c>
      <c r="AN3167">
        <v>1.00000004312059</v>
      </c>
    </row>
    <row r="3168" spans="1:40" x14ac:dyDescent="0.25">
      <c r="A3168" t="str">
        <f>"20190312160353617"</f>
        <v>20190312160353617</v>
      </c>
      <c r="B3168" t="str">
        <f>"1552377833607476"</f>
        <v>1552377833607476</v>
      </c>
      <c r="C3168" t="s">
        <v>40</v>
      </c>
      <c r="D3168">
        <v>5.7632099999999999</v>
      </c>
      <c r="E3168">
        <v>0.37721389999999999</v>
      </c>
      <c r="F3168" t="s">
        <v>59</v>
      </c>
      <c r="G3168">
        <v>-470.80340000000001</v>
      </c>
      <c r="H3168">
        <v>6.6477110000000006E-2</v>
      </c>
      <c r="I3168">
        <v>209.59979999999999</v>
      </c>
      <c r="J3168">
        <v>-492.95119999999997</v>
      </c>
      <c r="K3168">
        <v>1.1126860000000001</v>
      </c>
      <c r="L3168">
        <v>242.5898</v>
      </c>
      <c r="M3168">
        <v>0.23727019999999999</v>
      </c>
      <c r="N3168">
        <v>0</v>
      </c>
      <c r="O3168">
        <v>-0.97136480000000003</v>
      </c>
      <c r="P3168">
        <v>0.26958259999999901</v>
      </c>
      <c r="Q3168">
        <v>4.0471279999999998E-2</v>
      </c>
      <c r="R3168">
        <v>-0.96212660000000005</v>
      </c>
      <c r="S3168">
        <v>1.7619020000000001</v>
      </c>
      <c r="T3168">
        <v>-8.3116170000000003E-2</v>
      </c>
      <c r="U3168">
        <v>-2.6299739999999998</v>
      </c>
      <c r="V3168">
        <v>-3.3891829999999998E-2</v>
      </c>
      <c r="W3168">
        <v>5.2634060000000003E-2</v>
      </c>
      <c r="X3168">
        <v>0.9980386</v>
      </c>
      <c r="Y3168">
        <v>-0.34334150000000002</v>
      </c>
      <c r="Z3168">
        <v>2.6600510000000001E-2</v>
      </c>
      <c r="AA3168">
        <v>0.93883380000000005</v>
      </c>
      <c r="AB3168">
        <v>24</v>
      </c>
      <c r="AC3168">
        <v>22.147799999999901</v>
      </c>
      <c r="AD3168">
        <v>-1.0462088899999999</v>
      </c>
      <c r="AE3168">
        <v>-32.99</v>
      </c>
      <c r="AF3168">
        <v>-13.677616372883101</v>
      </c>
      <c r="AG3168">
        <v>-1.0462088899999999</v>
      </c>
      <c r="AH3168">
        <v>37.277354029188899</v>
      </c>
      <c r="AI3168">
        <v>91.509277243202206</v>
      </c>
      <c r="AJ3168">
        <v>110.14883924905899</v>
      </c>
      <c r="AK3168">
        <v>39.7211891325368</v>
      </c>
      <c r="AL3168">
        <v>86.982896410757903</v>
      </c>
      <c r="AM3168">
        <v>91.944927681572096</v>
      </c>
      <c r="AN3168">
        <v>1.00000002375139</v>
      </c>
    </row>
    <row r="3169" spans="1:40" x14ac:dyDescent="0.25">
      <c r="A3169" t="str">
        <f>"20190312160353638"</f>
        <v>20190312160353638</v>
      </c>
      <c r="B3169" t="str">
        <f>"1552377833627971"</f>
        <v>1552377833627971</v>
      </c>
      <c r="C3169" t="s">
        <v>40</v>
      </c>
      <c r="D3169">
        <v>5.7478400000000001</v>
      </c>
      <c r="E3169">
        <v>0.3775425</v>
      </c>
      <c r="F3169" t="s">
        <v>59</v>
      </c>
      <c r="G3169">
        <v>-470.7842</v>
      </c>
      <c r="H3169">
        <v>3.842785E-2</v>
      </c>
      <c r="I3169">
        <v>209.6163</v>
      </c>
      <c r="J3169">
        <v>-492.89420000000001</v>
      </c>
      <c r="K3169">
        <v>1.112689</v>
      </c>
      <c r="L3169">
        <v>242.3741</v>
      </c>
      <c r="M3169">
        <v>0.24077180000000001</v>
      </c>
      <c r="N3169">
        <v>0</v>
      </c>
      <c r="O3169">
        <v>-0.970503</v>
      </c>
      <c r="P3169">
        <v>0.27368949999999997</v>
      </c>
      <c r="Q3169">
        <v>3.9873939999999997E-2</v>
      </c>
      <c r="R3169">
        <v>-0.9609917</v>
      </c>
      <c r="S3169">
        <v>1.7659609999999999</v>
      </c>
      <c r="T3169">
        <v>-8.5582259999999993E-2</v>
      </c>
      <c r="U3169">
        <v>-2.6268769999999999</v>
      </c>
      <c r="V3169">
        <v>-3.4545850000000003E-2</v>
      </c>
      <c r="W3169">
        <v>5.2034539999999997E-2</v>
      </c>
      <c r="X3169">
        <v>0.99804760000000003</v>
      </c>
      <c r="Y3169">
        <v>-0.34145350000000002</v>
      </c>
      <c r="Z3169">
        <v>2.7378639999999999E-2</v>
      </c>
      <c r="AA3169">
        <v>0.93949990000000005</v>
      </c>
      <c r="AB3169">
        <v>24</v>
      </c>
      <c r="AC3169">
        <v>22.11</v>
      </c>
      <c r="AD3169">
        <v>-1.0742611500000001</v>
      </c>
      <c r="AE3169">
        <v>-32.757800000000003</v>
      </c>
      <c r="AF3169">
        <v>-13.5616841120783</v>
      </c>
      <c r="AG3169">
        <v>-1.0742611500000001</v>
      </c>
      <c r="AH3169">
        <v>37.090440363103397</v>
      </c>
      <c r="AI3169">
        <v>91.558174219762606</v>
      </c>
      <c r="AJ3169">
        <v>110.08434594032499</v>
      </c>
      <c r="AK3169">
        <v>39.506633358249097</v>
      </c>
      <c r="AL3169">
        <v>87.017293473637395</v>
      </c>
      <c r="AM3169">
        <v>91.982411961505704</v>
      </c>
      <c r="AN3169">
        <v>1.00000001048549</v>
      </c>
    </row>
    <row r="3170" spans="1:40" x14ac:dyDescent="0.25">
      <c r="A3170" t="str">
        <f>"20190312160353649"</f>
        <v>20190312160353649</v>
      </c>
      <c r="B3170" t="str">
        <f>"1552377833647998"</f>
        <v>1552377833647998</v>
      </c>
      <c r="C3170" t="s">
        <v>40</v>
      </c>
      <c r="D3170">
        <v>5.7373570000000003</v>
      </c>
      <c r="E3170">
        <v>0.37786389999999997</v>
      </c>
      <c r="F3170" t="s">
        <v>59</v>
      </c>
      <c r="G3170">
        <v>-471.0677</v>
      </c>
      <c r="H3170" s="1">
        <v>5.289727E-6</v>
      </c>
      <c r="I3170">
        <v>210.15049999999999</v>
      </c>
      <c r="J3170">
        <v>-492.86250000000001</v>
      </c>
      <c r="K3170">
        <v>1.1126879999999999</v>
      </c>
      <c r="L3170">
        <v>242.25479999999999</v>
      </c>
      <c r="M3170">
        <v>0.2427088</v>
      </c>
      <c r="N3170">
        <v>0</v>
      </c>
      <c r="O3170">
        <v>-0.9700204</v>
      </c>
      <c r="P3170">
        <v>0.27608369999999999</v>
      </c>
      <c r="Q3170">
        <v>3.9838199999999997E-2</v>
      </c>
      <c r="R3170">
        <v>-0.96030800000000005</v>
      </c>
      <c r="S3170">
        <v>1.7747189999999999</v>
      </c>
      <c r="T3170">
        <v>-9.0472819999999995E-2</v>
      </c>
      <c r="U3170">
        <v>-2.620117</v>
      </c>
      <c r="V3170">
        <v>-3.5040380000000003E-2</v>
      </c>
      <c r="W3170">
        <v>5.199645E-2</v>
      </c>
      <c r="X3170">
        <v>0.99803229999999998</v>
      </c>
      <c r="Y3170">
        <v>-0.34282899999999999</v>
      </c>
      <c r="Z3170">
        <v>2.8949630000000001E-2</v>
      </c>
      <c r="AA3170">
        <v>0.93895169999999994</v>
      </c>
      <c r="AB3170">
        <v>24</v>
      </c>
      <c r="AC3170">
        <v>21.794799999999999</v>
      </c>
      <c r="AD3170">
        <v>-1.1126827102729999</v>
      </c>
      <c r="AE3170">
        <v>-32.104299999999903</v>
      </c>
      <c r="AF3170">
        <v>-13.3394565299457</v>
      </c>
      <c r="AG3170">
        <v>-1.1126827102729999</v>
      </c>
      <c r="AH3170">
        <v>36.4044668967775</v>
      </c>
      <c r="AI3170">
        <v>91.643851572893396</v>
      </c>
      <c r="AJ3170">
        <v>110.12402722998399</v>
      </c>
      <c r="AK3170">
        <v>38.787425454219303</v>
      </c>
      <c r="AL3170">
        <v>87.019478693848399</v>
      </c>
      <c r="AM3170">
        <v>92.010798210897306</v>
      </c>
      <c r="AN3170">
        <v>0.99999996544321701</v>
      </c>
    </row>
    <row r="3171" spans="1:40" x14ac:dyDescent="0.25">
      <c r="A3171" t="str">
        <f>"20190312160353665"</f>
        <v>20190312160353665</v>
      </c>
      <c r="B3171" t="str">
        <f>"1552377833657758"</f>
        <v>1552377833657758</v>
      </c>
      <c r="C3171" t="s">
        <v>40</v>
      </c>
      <c r="D3171">
        <v>5.7403760000000004</v>
      </c>
      <c r="E3171">
        <v>0.37801689999999999</v>
      </c>
      <c r="F3171" t="s">
        <v>59</v>
      </c>
      <c r="G3171">
        <v>-471.66860000000003</v>
      </c>
      <c r="H3171" s="1">
        <v>5.0643279999999999E-6</v>
      </c>
      <c r="I3171">
        <v>211.08940000000001</v>
      </c>
      <c r="J3171">
        <v>-492.81959999999998</v>
      </c>
      <c r="K3171">
        <v>1.1126849999999999</v>
      </c>
      <c r="L3171">
        <v>242.0958</v>
      </c>
      <c r="M3171">
        <v>0.2452877</v>
      </c>
      <c r="N3171">
        <v>0</v>
      </c>
      <c r="O3171">
        <v>-0.96937150000000005</v>
      </c>
      <c r="P3171">
        <v>0.27913270000000001</v>
      </c>
      <c r="Q3171">
        <v>3.9710490000000001E-2</v>
      </c>
      <c r="R3171">
        <v>-0.95943149999999999</v>
      </c>
      <c r="S3171">
        <v>1.779236</v>
      </c>
      <c r="T3171">
        <v>-9.341025E-2</v>
      </c>
      <c r="U3171">
        <v>-2.6163479999999999</v>
      </c>
      <c r="V3171">
        <v>-3.5554099999999998E-2</v>
      </c>
      <c r="W3171">
        <v>5.1866919999999997E-2</v>
      </c>
      <c r="X3171">
        <v>0.99802089999999999</v>
      </c>
      <c r="Y3171">
        <v>-0.34205200000000002</v>
      </c>
      <c r="Z3171">
        <v>2.9885519999999999E-2</v>
      </c>
      <c r="AA3171">
        <v>0.93920559999999997</v>
      </c>
      <c r="AB3171">
        <v>24</v>
      </c>
      <c r="AC3171">
        <v>21.1509999999999</v>
      </c>
      <c r="AD3171">
        <v>-1.1126799356720001</v>
      </c>
      <c r="AE3171">
        <v>-31.0063999999999</v>
      </c>
      <c r="AF3171">
        <v>-12.887348065368601</v>
      </c>
      <c r="AG3171">
        <v>-1.1126799356720001</v>
      </c>
      <c r="AH3171">
        <v>35.216545100460799</v>
      </c>
      <c r="AI3171">
        <v>91.699527646136005</v>
      </c>
      <c r="AJ3171">
        <v>110.099889014787</v>
      </c>
      <c r="AK3171">
        <v>37.517020745389601</v>
      </c>
      <c r="AL3171">
        <v>87.026910329626503</v>
      </c>
      <c r="AM3171">
        <v>92.040276671954004</v>
      </c>
      <c r="AN3171">
        <v>0.99999999412695295</v>
      </c>
    </row>
    <row r="3172" spans="1:40" x14ac:dyDescent="0.25">
      <c r="A3172" t="str">
        <f>"20190312160353683"</f>
        <v>20190312160353683</v>
      </c>
      <c r="B3172" t="str">
        <f>"1552377833677279"</f>
        <v>1552377833677279</v>
      </c>
      <c r="C3172" t="s">
        <v>40</v>
      </c>
      <c r="D3172">
        <v>5.4937040000000001</v>
      </c>
      <c r="E3172">
        <v>0.37820130000000002</v>
      </c>
      <c r="F3172" t="s">
        <v>59</v>
      </c>
      <c r="G3172">
        <v>-471.9778</v>
      </c>
      <c r="H3172" s="1">
        <v>4.9509259999999998E-6</v>
      </c>
      <c r="I3172">
        <v>211.6326</v>
      </c>
      <c r="J3172">
        <v>-492.77199999999999</v>
      </c>
      <c r="K3172">
        <v>1.1126769999999999</v>
      </c>
      <c r="L3172">
        <v>241.92099999999999</v>
      </c>
      <c r="M3172">
        <v>0.24811739999999999</v>
      </c>
      <c r="N3172">
        <v>0</v>
      </c>
      <c r="O3172">
        <v>-0.96865089999999998</v>
      </c>
      <c r="P3172">
        <v>0.28292450000000002</v>
      </c>
      <c r="Q3172">
        <v>3.9416069999999997E-2</v>
      </c>
      <c r="R3172">
        <v>-0.95833219999999997</v>
      </c>
      <c r="S3172">
        <v>1.7864070000000001</v>
      </c>
      <c r="T3172">
        <v>-9.537089E-2</v>
      </c>
      <c r="U3172">
        <v>-2.611084</v>
      </c>
      <c r="V3172">
        <v>-3.6581639999999999E-2</v>
      </c>
      <c r="W3172">
        <v>5.156786E-2</v>
      </c>
      <c r="X3172">
        <v>0.99799930000000003</v>
      </c>
      <c r="Y3172">
        <v>-0.34193649999999998</v>
      </c>
      <c r="Z3172">
        <v>3.05081E-2</v>
      </c>
      <c r="AA3172">
        <v>0.9392277</v>
      </c>
      <c r="AB3172">
        <v>24</v>
      </c>
      <c r="AC3172">
        <v>20.794199999999901</v>
      </c>
      <c r="AD3172">
        <v>-1.1126720490740001</v>
      </c>
      <c r="AE3172">
        <v>-30.288399999999999</v>
      </c>
      <c r="AF3172">
        <v>-12.6166366562982</v>
      </c>
      <c r="AG3172">
        <v>-1.1126720490740001</v>
      </c>
      <c r="AH3172">
        <v>34.469315803694599</v>
      </c>
      <c r="AI3172">
        <v>91.736291140978096</v>
      </c>
      <c r="AJ3172">
        <v>110.103896785686</v>
      </c>
      <c r="AK3172">
        <v>36.722626425416102</v>
      </c>
      <c r="AL3172">
        <v>87.044068278029798</v>
      </c>
      <c r="AM3172">
        <v>92.0992355685013</v>
      </c>
      <c r="AN3172">
        <v>1.00000003168527</v>
      </c>
    </row>
    <row r="3173" spans="1:40" x14ac:dyDescent="0.25">
      <c r="A3173" t="str">
        <f>"20190312160353694"</f>
        <v>20190312160353694</v>
      </c>
      <c r="B3173" t="str">
        <f>"1552377833688016"</f>
        <v>1552377833688016</v>
      </c>
      <c r="C3173" t="s">
        <v>40</v>
      </c>
      <c r="D3173">
        <v>5.7495799999999999</v>
      </c>
      <c r="E3173">
        <v>0.37825730000000002</v>
      </c>
      <c r="F3173" t="s">
        <v>59</v>
      </c>
      <c r="G3173">
        <v>-472.44740000000002</v>
      </c>
      <c r="H3173" s="1">
        <v>4.7778950000000001E-6</v>
      </c>
      <c r="I3173">
        <v>212.4383</v>
      </c>
      <c r="J3173">
        <v>-492.74</v>
      </c>
      <c r="K3173">
        <v>1.1126720000000001</v>
      </c>
      <c r="L3173">
        <v>241.8049</v>
      </c>
      <c r="M3173">
        <v>0.24999350000000001</v>
      </c>
      <c r="N3173">
        <v>0</v>
      </c>
      <c r="O3173">
        <v>-0.96816840000000004</v>
      </c>
      <c r="P3173">
        <v>0.28530820000000001</v>
      </c>
      <c r="Q3173">
        <v>3.9225900000000001E-2</v>
      </c>
      <c r="R3173">
        <v>-0.95763299999999996</v>
      </c>
      <c r="S3173">
        <v>1.7954410000000001</v>
      </c>
      <c r="T3173">
        <v>-9.8291989999999996E-2</v>
      </c>
      <c r="U3173">
        <v>-2.6044619999999998</v>
      </c>
      <c r="V3173">
        <v>-3.7128309999999998E-2</v>
      </c>
      <c r="W3173">
        <v>5.1374990000000002E-2</v>
      </c>
      <c r="X3173">
        <v>0.99798900000000001</v>
      </c>
      <c r="Y3173">
        <v>-0.34342260000000002</v>
      </c>
      <c r="Z3173">
        <v>3.1446740000000001E-2</v>
      </c>
      <c r="AA3173">
        <v>0.9386544</v>
      </c>
      <c r="AB3173">
        <v>24</v>
      </c>
      <c r="AC3173">
        <v>20.2926</v>
      </c>
      <c r="AD3173">
        <v>-1.11266722210499</v>
      </c>
      <c r="AE3173">
        <v>-29.366599999999998</v>
      </c>
      <c r="AF3173">
        <v>-12.2941923263677</v>
      </c>
      <c r="AG3173">
        <v>-1.11266722210499</v>
      </c>
      <c r="AH3173">
        <v>33.474874050346202</v>
      </c>
      <c r="AI3173">
        <v>91.787114048409805</v>
      </c>
      <c r="AJ3173">
        <v>110.16658116873499</v>
      </c>
      <c r="AK3173">
        <v>35.678458290562503</v>
      </c>
      <c r="AL3173">
        <v>87.055133407842206</v>
      </c>
      <c r="AM3173">
        <v>92.130599469465807</v>
      </c>
      <c r="AN3173">
        <v>0.99999997256097695</v>
      </c>
    </row>
    <row r="3174" spans="1:40" x14ac:dyDescent="0.25">
      <c r="A3174" t="str">
        <f>"20190312160353709"</f>
        <v>20190312160353709</v>
      </c>
      <c r="B3174" t="str">
        <f>"1552377833697775"</f>
        <v>1552377833697775</v>
      </c>
      <c r="C3174" t="s">
        <v>40</v>
      </c>
      <c r="D3174">
        <v>5.5456709999999996</v>
      </c>
      <c r="E3174">
        <v>0.37834489999999998</v>
      </c>
      <c r="F3174" t="s">
        <v>59</v>
      </c>
      <c r="G3174">
        <v>-472.60270000000003</v>
      </c>
      <c r="H3174" s="1">
        <v>4.7218789999999997E-6</v>
      </c>
      <c r="I3174">
        <v>212.73159999999999</v>
      </c>
      <c r="J3174">
        <v>-492.69959999999998</v>
      </c>
      <c r="K3174">
        <v>1.112665</v>
      </c>
      <c r="L3174">
        <v>241.65860000000001</v>
      </c>
      <c r="M3174">
        <v>0.25235279999999999</v>
      </c>
      <c r="N3174">
        <v>0</v>
      </c>
      <c r="O3174">
        <v>-0.96755610000000003</v>
      </c>
      <c r="P3174">
        <v>0.28829569999999999</v>
      </c>
      <c r="Q3174">
        <v>3.8828050000000003E-2</v>
      </c>
      <c r="R3174">
        <v>-0.9567542</v>
      </c>
      <c r="S3174">
        <v>1.8010250000000001</v>
      </c>
      <c r="T3174">
        <v>-9.9513889999999994E-2</v>
      </c>
      <c r="U3174">
        <v>-2.6002350000000001</v>
      </c>
      <c r="V3174">
        <v>-3.7803400000000001E-2</v>
      </c>
      <c r="W3174">
        <v>5.0974510000000001E-2</v>
      </c>
      <c r="X3174">
        <v>0.99798419999999999</v>
      </c>
      <c r="Y3174">
        <v>-0.34320260000000002</v>
      </c>
      <c r="Z3174">
        <v>3.1833279999999999E-2</v>
      </c>
      <c r="AA3174">
        <v>0.93872180000000005</v>
      </c>
      <c r="AB3174">
        <v>24</v>
      </c>
      <c r="AC3174">
        <v>20.096899999999899</v>
      </c>
      <c r="AD3174">
        <v>-1.112660278121</v>
      </c>
      <c r="AE3174">
        <v>-28.927</v>
      </c>
      <c r="AF3174">
        <v>-12.133891475733</v>
      </c>
      <c r="AG3174">
        <v>-1.112660278121</v>
      </c>
      <c r="AH3174">
        <v>33.029578738993898</v>
      </c>
      <c r="AI3174">
        <v>91.811122689577203</v>
      </c>
      <c r="AJ3174">
        <v>110.171535061105</v>
      </c>
      <c r="AK3174">
        <v>35.2054314973524</v>
      </c>
      <c r="AL3174">
        <v>87.078109350899297</v>
      </c>
      <c r="AM3174">
        <v>92.169313094867306</v>
      </c>
      <c r="AN3174">
        <v>0.99999998058546902</v>
      </c>
    </row>
    <row r="3175" spans="1:40" x14ac:dyDescent="0.25">
      <c r="A3175" t="str">
        <f>"20190312160353727"</f>
        <v>20190312160353727</v>
      </c>
      <c r="B3175" t="str">
        <f>"1552377833717312"</f>
        <v>1552377833717312</v>
      </c>
      <c r="C3175" t="s">
        <v>40</v>
      </c>
      <c r="D3175">
        <v>5.7661949999999997</v>
      </c>
      <c r="E3175">
        <v>0.3785752</v>
      </c>
      <c r="F3175" t="s">
        <v>59</v>
      </c>
      <c r="G3175">
        <v>-472.83429999999998</v>
      </c>
      <c r="H3175" s="1">
        <v>4.6378839999999997E-6</v>
      </c>
      <c r="I3175">
        <v>213.1593</v>
      </c>
      <c r="J3175">
        <v>-492.64859999999999</v>
      </c>
      <c r="K3175">
        <v>1.112654</v>
      </c>
      <c r="L3175">
        <v>241.4768</v>
      </c>
      <c r="M3175">
        <v>0.2552797</v>
      </c>
      <c r="N3175">
        <v>0</v>
      </c>
      <c r="O3175">
        <v>-0.96678810000000004</v>
      </c>
      <c r="P3175">
        <v>0.29174800000000001</v>
      </c>
      <c r="Q3175">
        <v>3.8112729999999997E-2</v>
      </c>
      <c r="R3175">
        <v>-0.95573600000000003</v>
      </c>
      <c r="S3175">
        <v>1.808624</v>
      </c>
      <c r="T3175">
        <v>-0.1013013</v>
      </c>
      <c r="U3175">
        <v>-2.5946959999999999</v>
      </c>
      <c r="V3175">
        <v>-3.8373940000000002E-2</v>
      </c>
      <c r="W3175">
        <v>5.0256830000000002E-2</v>
      </c>
      <c r="X3175">
        <v>0.99799879999999996</v>
      </c>
      <c r="Y3175">
        <v>-0.34313969999999999</v>
      </c>
      <c r="Z3175">
        <v>3.2398419999999997E-2</v>
      </c>
      <c r="AA3175">
        <v>0.93872549999999999</v>
      </c>
      <c r="AB3175">
        <v>24</v>
      </c>
      <c r="AC3175">
        <v>19.814299999999999</v>
      </c>
      <c r="AD3175">
        <v>-1.1126493621160001</v>
      </c>
      <c r="AE3175">
        <v>-28.3174999999999</v>
      </c>
      <c r="AF3175">
        <v>-11.915909489239301</v>
      </c>
      <c r="AG3175">
        <v>-1.1126493621160001</v>
      </c>
      <c r="AH3175">
        <v>32.404108666778399</v>
      </c>
      <c r="AI3175">
        <v>91.845821865443796</v>
      </c>
      <c r="AJ3175">
        <v>110.189906074362</v>
      </c>
      <c r="AK3175">
        <v>34.543496436335801</v>
      </c>
      <c r="AL3175">
        <v>87.119282093324301</v>
      </c>
      <c r="AM3175">
        <v>92.201988831634793</v>
      </c>
      <c r="AN3175">
        <v>0.99999995651710505</v>
      </c>
    </row>
    <row r="3176" spans="1:40" x14ac:dyDescent="0.25">
      <c r="A3176" t="str">
        <f>"20190312160353739"</f>
        <v>20190312160353739</v>
      </c>
      <c r="B3176" t="str">
        <f>"1552377833728031"</f>
        <v>1552377833728031</v>
      </c>
      <c r="C3176" t="s">
        <v>40</v>
      </c>
      <c r="D3176">
        <v>5.7538119999999999</v>
      </c>
      <c r="E3176">
        <v>0.3785752</v>
      </c>
      <c r="F3176" t="s">
        <v>59</v>
      </c>
      <c r="G3176">
        <v>-473.46109999999999</v>
      </c>
      <c r="H3176" s="1">
        <v>4.4021510000000001E-6</v>
      </c>
      <c r="I3176">
        <v>214.1259</v>
      </c>
      <c r="J3176">
        <v>-492.61419999999998</v>
      </c>
      <c r="K3176">
        <v>1.112643</v>
      </c>
      <c r="L3176">
        <v>241.3553</v>
      </c>
      <c r="M3176">
        <v>0.25723020000000002</v>
      </c>
      <c r="N3176">
        <v>0</v>
      </c>
      <c r="O3176">
        <v>-0.96627070000000004</v>
      </c>
      <c r="P3176">
        <v>0.29402699999999998</v>
      </c>
      <c r="Q3176">
        <v>3.7616280000000002E-2</v>
      </c>
      <c r="R3176">
        <v>-0.95505660000000003</v>
      </c>
      <c r="S3176">
        <v>1.816101</v>
      </c>
      <c r="T3176">
        <v>-0.1053125</v>
      </c>
      <c r="U3176">
        <v>-2.5887600000000002</v>
      </c>
      <c r="V3176">
        <v>-3.8732759999999998E-2</v>
      </c>
      <c r="W3176">
        <v>4.9758690000000001E-2</v>
      </c>
      <c r="X3176">
        <v>0.99800990000000001</v>
      </c>
      <c r="Y3176">
        <v>-0.34404759999999901</v>
      </c>
      <c r="Z3176">
        <v>3.3684690000000003E-2</v>
      </c>
      <c r="AA3176">
        <v>0.93834779999999995</v>
      </c>
      <c r="AB3176">
        <v>24</v>
      </c>
      <c r="AC3176">
        <v>19.153099999999899</v>
      </c>
      <c r="AD3176">
        <v>-1.1126385978489901</v>
      </c>
      <c r="AE3176">
        <v>-27.229399999999998</v>
      </c>
      <c r="AF3176">
        <v>-11.490903132204</v>
      </c>
      <c r="AG3176">
        <v>-1.1126385978489901</v>
      </c>
      <c r="AH3176">
        <v>31.205269141201999</v>
      </c>
      <c r="AI3176">
        <v>91.916348865719002</v>
      </c>
      <c r="AJ3176">
        <v>110.215522717711</v>
      </c>
      <c r="AK3176">
        <v>33.272325461529903</v>
      </c>
      <c r="AL3176">
        <v>87.147859171260606</v>
      </c>
      <c r="AM3176">
        <v>92.222533536845901</v>
      </c>
      <c r="AN3176">
        <v>0.99999995721287005</v>
      </c>
    </row>
    <row r="3177" spans="1:40" x14ac:dyDescent="0.25">
      <c r="A3177" t="str">
        <f>"20190312160353752"</f>
        <v>20190312160353752</v>
      </c>
      <c r="B3177" t="str">
        <f>"1552377833748057"</f>
        <v>1552377833748057</v>
      </c>
      <c r="C3177" t="s">
        <v>40</v>
      </c>
      <c r="D3177">
        <v>5.7740499999999999</v>
      </c>
      <c r="E3177">
        <v>0.39009349999999998</v>
      </c>
      <c r="F3177" t="s">
        <v>59</v>
      </c>
      <c r="G3177">
        <v>-473.67329999999998</v>
      </c>
      <c r="H3177" s="1">
        <v>4.3242E-6</v>
      </c>
      <c r="I3177">
        <v>214.49590000000001</v>
      </c>
      <c r="J3177">
        <v>-492.5761</v>
      </c>
      <c r="K3177">
        <v>1.1126370000000001</v>
      </c>
      <c r="L3177">
        <v>241.2216</v>
      </c>
      <c r="M3177">
        <v>0.25937690000000002</v>
      </c>
      <c r="N3177">
        <v>0</v>
      </c>
      <c r="O3177">
        <v>-0.96569680000000002</v>
      </c>
      <c r="P3177">
        <v>0.29626140000000001</v>
      </c>
      <c r="Q3177">
        <v>3.7252880000000002E-2</v>
      </c>
      <c r="R3177">
        <v>-0.95438020000000001</v>
      </c>
      <c r="S3177">
        <v>1.8224180000000001</v>
      </c>
      <c r="T3177">
        <v>-0.107054</v>
      </c>
      <c r="U3177">
        <v>-2.58432</v>
      </c>
      <c r="V3177">
        <v>-3.8843870000000003E-2</v>
      </c>
      <c r="W3177">
        <v>4.939578E-2</v>
      </c>
      <c r="X3177">
        <v>0.99802360000000001</v>
      </c>
      <c r="Y3177">
        <v>-0.34424139999999998</v>
      </c>
      <c r="Z3177">
        <v>3.4235519999999998E-2</v>
      </c>
      <c r="AA3177">
        <v>0.9382568</v>
      </c>
      <c r="AB3177">
        <v>24</v>
      </c>
      <c r="AC3177">
        <v>18.902799999999999</v>
      </c>
      <c r="AD3177">
        <v>-1.1126326758</v>
      </c>
      <c r="AE3177">
        <v>-26.7256999999999</v>
      </c>
      <c r="AF3177">
        <v>-11.3101461412309</v>
      </c>
      <c r="AG3177">
        <v>-1.1126326758</v>
      </c>
      <c r="AH3177">
        <v>30.6787852353551</v>
      </c>
      <c r="AI3177">
        <v>91.948930076480394</v>
      </c>
      <c r="AJ3177">
        <v>110.237085894865</v>
      </c>
      <c r="AK3177">
        <v>32.7161308947789</v>
      </c>
      <c r="AL3177">
        <v>87.168677957806395</v>
      </c>
      <c r="AM3177">
        <v>92.2288721788873</v>
      </c>
      <c r="AN3177">
        <v>0.99999994773767098</v>
      </c>
    </row>
    <row r="3178" spans="1:40" x14ac:dyDescent="0.25">
      <c r="A3178" t="str">
        <f>"20190312160353774"</f>
        <v>20190312160353774</v>
      </c>
      <c r="B3178" t="str">
        <f>"1552377833767577"</f>
        <v>1552377833767577</v>
      </c>
      <c r="C3178" t="s">
        <v>40</v>
      </c>
      <c r="D3178">
        <v>4.5849390000000003</v>
      </c>
      <c r="E3178">
        <v>0.38981959999999999</v>
      </c>
      <c r="F3178" t="s">
        <v>59</v>
      </c>
      <c r="G3178">
        <v>-483.1841</v>
      </c>
      <c r="H3178" s="1">
        <v>4.1502980000000003E-6</v>
      </c>
      <c r="I3178">
        <v>227.18680000000001</v>
      </c>
      <c r="J3178">
        <v>-492.51549999999997</v>
      </c>
      <c r="K3178">
        <v>1.1126259999999999</v>
      </c>
      <c r="L3178">
        <v>241.01169999999999</v>
      </c>
      <c r="M3178">
        <v>0.26274389999999997</v>
      </c>
      <c r="N3178">
        <v>0</v>
      </c>
      <c r="O3178">
        <v>-0.96478609999999998</v>
      </c>
      <c r="P3178">
        <v>0.30018030000000001</v>
      </c>
      <c r="Q3178">
        <v>3.6880450000000002E-2</v>
      </c>
      <c r="R3178">
        <v>-0.95316939999999994</v>
      </c>
      <c r="S3178">
        <v>1.7461850000000001</v>
      </c>
      <c r="T3178">
        <v>-0.20686289999999999</v>
      </c>
      <c r="U3178">
        <v>-2.6093899999999999</v>
      </c>
      <c r="V3178">
        <v>-3.9457079999999999E-2</v>
      </c>
      <c r="W3178">
        <v>4.902049E-2</v>
      </c>
      <c r="X3178">
        <v>0.99801810000000002</v>
      </c>
      <c r="Y3178">
        <v>-0.31698019999999999</v>
      </c>
      <c r="Z3178">
        <v>6.6251169999999998E-2</v>
      </c>
      <c r="AA3178">
        <v>0.94611540000000005</v>
      </c>
      <c r="AB3178">
        <v>24</v>
      </c>
      <c r="AC3178">
        <v>9.3313999999999702</v>
      </c>
      <c r="AD3178">
        <v>-1.112621849702</v>
      </c>
      <c r="AE3178">
        <v>-13.8248999999999</v>
      </c>
      <c r="AF3178">
        <v>-5.3470161210546898</v>
      </c>
      <c r="AG3178">
        <v>-1.112621849702</v>
      </c>
      <c r="AH3178">
        <v>15.7210965785357</v>
      </c>
      <c r="AI3178">
        <v>93.833266011205097</v>
      </c>
      <c r="AJ3178">
        <v>108.784054769815</v>
      </c>
      <c r="AK3178">
        <v>16.642757776609699</v>
      </c>
      <c r="AL3178">
        <v>87.1902067165734</v>
      </c>
      <c r="AM3178">
        <v>92.264034473800905</v>
      </c>
      <c r="AN3178">
        <v>0.99999999876478796</v>
      </c>
    </row>
    <row r="3179" spans="1:40" x14ac:dyDescent="0.25">
      <c r="A3179" t="str">
        <f>"20190312160353795"</f>
        <v>20190312160353795</v>
      </c>
      <c r="B3179" t="str">
        <f>"1552377833788075"</f>
        <v>1552377833788075</v>
      </c>
      <c r="C3179" t="s">
        <v>40</v>
      </c>
      <c r="D3179">
        <v>5.8021060000000002</v>
      </c>
      <c r="E3179">
        <v>0.38856990000000002</v>
      </c>
      <c r="F3179" t="s">
        <v>59</v>
      </c>
      <c r="G3179">
        <v>-481.8886</v>
      </c>
      <c r="H3179" s="1">
        <v>3.442682E-6</v>
      </c>
      <c r="I3179">
        <v>225.28550000000001</v>
      </c>
      <c r="J3179">
        <v>-492.4511</v>
      </c>
      <c r="K3179">
        <v>1.1126210000000001</v>
      </c>
      <c r="L3179">
        <v>240.7911</v>
      </c>
      <c r="M3179">
        <v>0.2662813</v>
      </c>
      <c r="N3179">
        <v>0</v>
      </c>
      <c r="O3179">
        <v>-0.96381570000000005</v>
      </c>
      <c r="P3179">
        <v>0.30401660000000003</v>
      </c>
      <c r="Q3179">
        <v>3.693167E-2</v>
      </c>
      <c r="R3179">
        <v>-0.95195079999999999</v>
      </c>
      <c r="S3179">
        <v>1.7576290000000001</v>
      </c>
      <c r="T3179">
        <v>-0.1840212</v>
      </c>
      <c r="U3179">
        <v>-2.6010279999999999</v>
      </c>
      <c r="V3179">
        <v>-3.9815789999999997E-2</v>
      </c>
      <c r="W3179">
        <v>4.9070500000000003E-2</v>
      </c>
      <c r="X3179">
        <v>0.99800140000000004</v>
      </c>
      <c r="Y3179">
        <v>-0.31803219999999999</v>
      </c>
      <c r="Z3179">
        <v>5.8957000000000002E-2</v>
      </c>
      <c r="AA3179">
        <v>0.946245</v>
      </c>
      <c r="AB3179">
        <v>24</v>
      </c>
      <c r="AC3179">
        <v>10.5625</v>
      </c>
      <c r="AD3179">
        <v>-1.1126175573179999</v>
      </c>
      <c r="AE3179">
        <v>-15.5055999999999</v>
      </c>
      <c r="AF3179">
        <v>-6.0307072432753301</v>
      </c>
      <c r="AG3179">
        <v>-1.1126175573179999</v>
      </c>
      <c r="AH3179">
        <v>17.696264353339402</v>
      </c>
      <c r="AI3179">
        <v>93.405776337970593</v>
      </c>
      <c r="AJ3179">
        <v>108.81858904126899</v>
      </c>
      <c r="AK3179">
        <v>18.7287244559318</v>
      </c>
      <c r="AL3179">
        <v>87.187337913374506</v>
      </c>
      <c r="AM3179">
        <v>92.284633614672501</v>
      </c>
      <c r="AN3179">
        <v>1.00000000275276</v>
      </c>
    </row>
    <row r="3180" spans="1:40" x14ac:dyDescent="0.25">
      <c r="A3180" t="str">
        <f>"20190312160353807"</f>
        <v>20190312160353807</v>
      </c>
      <c r="B3180" t="str">
        <f>"1552377833797833"</f>
        <v>1552377833797833</v>
      </c>
      <c r="C3180" t="s">
        <v>40</v>
      </c>
      <c r="D3180">
        <v>5.799277</v>
      </c>
      <c r="E3180">
        <v>0.38826579999999999</v>
      </c>
      <c r="F3180" t="s">
        <v>59</v>
      </c>
      <c r="G3180">
        <v>-480.79829999999998</v>
      </c>
      <c r="H3180" s="1">
        <v>2.8339859999999999E-6</v>
      </c>
      <c r="I3180">
        <v>223.7944</v>
      </c>
      <c r="J3180">
        <v>-492.41640000000001</v>
      </c>
      <c r="K3180">
        <v>1.1126229999999999</v>
      </c>
      <c r="L3180">
        <v>240.67330000000001</v>
      </c>
      <c r="M3180">
        <v>0.2681711</v>
      </c>
      <c r="N3180">
        <v>0</v>
      </c>
      <c r="O3180">
        <v>-0.96329180000000003</v>
      </c>
      <c r="P3180">
        <v>0.3060717</v>
      </c>
      <c r="Q3180">
        <v>3.7238680000000003E-2</v>
      </c>
      <c r="R3180">
        <v>-0.95128009999999996</v>
      </c>
      <c r="S3180">
        <v>1.776184</v>
      </c>
      <c r="T3180">
        <v>-0.16959160000000001</v>
      </c>
      <c r="U3180">
        <v>-2.5907439999999999</v>
      </c>
      <c r="V3180">
        <v>-4.0018390000000001E-2</v>
      </c>
      <c r="W3180">
        <v>4.9376259999999998E-2</v>
      </c>
      <c r="X3180">
        <v>0.99797820000000004</v>
      </c>
      <c r="Y3180">
        <v>-0.32268750000000002</v>
      </c>
      <c r="Z3180">
        <v>5.433872E-2</v>
      </c>
      <c r="AA3180">
        <v>0.94494449999999997</v>
      </c>
      <c r="AB3180">
        <v>24</v>
      </c>
      <c r="AC3180">
        <v>11.6181</v>
      </c>
      <c r="AD3180">
        <v>-1.1126201660139901</v>
      </c>
      <c r="AE3180">
        <v>-16.878900000000002</v>
      </c>
      <c r="AF3180">
        <v>-6.6461031048631396</v>
      </c>
      <c r="AG3180">
        <v>-1.1126201660139901</v>
      </c>
      <c r="AH3180">
        <v>19.3194690788172</v>
      </c>
      <c r="AI3180">
        <v>93.117152268770894</v>
      </c>
      <c r="AJ3180">
        <v>108.98376266146801</v>
      </c>
      <c r="AK3180">
        <v>20.460950505821302</v>
      </c>
      <c r="AL3180">
        <v>87.169797849460906</v>
      </c>
      <c r="AM3180">
        <v>92.296299732011505</v>
      </c>
      <c r="AN3180">
        <v>0.99999998713250904</v>
      </c>
    </row>
    <row r="3181" spans="1:40" x14ac:dyDescent="0.25">
      <c r="A3181" t="str">
        <f>"20190312160353828"</f>
        <v>20190312160353828</v>
      </c>
      <c r="B3181" t="str">
        <f>"1552377833817357"</f>
        <v>1552377833817357</v>
      </c>
      <c r="C3181" t="s">
        <v>40</v>
      </c>
      <c r="D3181">
        <v>5.0759699999999999</v>
      </c>
      <c r="E3181">
        <v>0.38787870000000002</v>
      </c>
      <c r="F3181" t="s">
        <v>59</v>
      </c>
      <c r="G3181">
        <v>-480.41640000000001</v>
      </c>
      <c r="H3181" s="1">
        <v>2.6507700000000001E-6</v>
      </c>
      <c r="I3181">
        <v>223.27209999999999</v>
      </c>
      <c r="J3181">
        <v>-492.35449999999997</v>
      </c>
      <c r="K3181">
        <v>1.112619</v>
      </c>
      <c r="L3181">
        <v>240.4658</v>
      </c>
      <c r="M3181">
        <v>0.27149780000000001</v>
      </c>
      <c r="N3181">
        <v>0</v>
      </c>
      <c r="O3181">
        <v>-0.96235950000000003</v>
      </c>
      <c r="P3181">
        <v>0.30929459999999998</v>
      </c>
      <c r="Q3181">
        <v>3.675163E-2</v>
      </c>
      <c r="R3181">
        <v>-0.9502564</v>
      </c>
      <c r="S3181">
        <v>1.7835080000000001</v>
      </c>
      <c r="T3181">
        <v>-0.1653637</v>
      </c>
      <c r="U3181">
        <v>-2.5862579999999999</v>
      </c>
      <c r="V3181">
        <v>-3.9945109999999999E-2</v>
      </c>
      <c r="W3181">
        <v>4.889048E-2</v>
      </c>
      <c r="X3181">
        <v>0.99800509999999998</v>
      </c>
      <c r="Y3181">
        <v>-0.32204070000000001</v>
      </c>
      <c r="Z3181">
        <v>5.2955040000000002E-2</v>
      </c>
      <c r="AA3181">
        <v>0.94524370000000002</v>
      </c>
      <c r="AB3181">
        <v>24</v>
      </c>
      <c r="AC3181">
        <v>11.938099999999899</v>
      </c>
      <c r="AD3181">
        <v>-1.1126163492299901</v>
      </c>
      <c r="AE3181">
        <v>-17.1937</v>
      </c>
      <c r="AF3181">
        <v>-6.8019963292567098</v>
      </c>
      <c r="AG3181">
        <v>-1.1126163492299901</v>
      </c>
      <c r="AH3181">
        <v>19.733449275238801</v>
      </c>
      <c r="AI3181">
        <v>93.051232772195803</v>
      </c>
      <c r="AJ3181">
        <v>109.01875162608</v>
      </c>
      <c r="AK3181">
        <v>20.902490031147501</v>
      </c>
      <c r="AL3181">
        <v>87.197664785560704</v>
      </c>
      <c r="AM3181">
        <v>92.292037618206706</v>
      </c>
      <c r="AN3181">
        <v>1.0000000352367699</v>
      </c>
    </row>
    <row r="3182" spans="1:40" x14ac:dyDescent="0.25">
      <c r="A3182" t="str">
        <f>"20190312160353839"</f>
        <v>20190312160353839</v>
      </c>
      <c r="B3182" t="str">
        <f>"1552377833837849"</f>
        <v>1552377833837849</v>
      </c>
      <c r="C3182" t="s">
        <v>40</v>
      </c>
      <c r="D3182">
        <v>5.7969530000000002</v>
      </c>
      <c r="E3182">
        <v>0.3874552</v>
      </c>
      <c r="F3182" t="s">
        <v>59</v>
      </c>
      <c r="G3182">
        <v>-480.04790000000003</v>
      </c>
      <c r="H3182" s="1">
        <v>2.4780619999999998E-6</v>
      </c>
      <c r="I3182">
        <v>222.78659999999999</v>
      </c>
      <c r="J3182">
        <v>-492.3168</v>
      </c>
      <c r="K3182">
        <v>1.1126149999999999</v>
      </c>
      <c r="L3182">
        <v>240.3409</v>
      </c>
      <c r="M3182">
        <v>0.27350370000000002</v>
      </c>
      <c r="N3182">
        <v>0</v>
      </c>
      <c r="O3182">
        <v>-0.96179130000000002</v>
      </c>
      <c r="P3182">
        <v>0.31118089999999998</v>
      </c>
      <c r="Q3182">
        <v>3.6484059999999999E-2</v>
      </c>
      <c r="R3182">
        <v>-0.9496502</v>
      </c>
      <c r="S3182">
        <v>1.795258</v>
      </c>
      <c r="T3182">
        <v>-0.16230530000000001</v>
      </c>
      <c r="U3182">
        <v>-2.5789949999999999</v>
      </c>
      <c r="V3182">
        <v>-3.9841410000000001E-2</v>
      </c>
      <c r="W3182">
        <v>4.8624229999999997E-2</v>
      </c>
      <c r="X3182">
        <v>0.99802219999999997</v>
      </c>
      <c r="Y3182">
        <v>-0.32424649999999999</v>
      </c>
      <c r="Z3182">
        <v>5.1970969999999998E-2</v>
      </c>
      <c r="AA3182">
        <v>0.94454400000000005</v>
      </c>
      <c r="AB3182">
        <v>24</v>
      </c>
      <c r="AC3182">
        <v>12.268899999999901</v>
      </c>
      <c r="AD3182">
        <v>-1.1126125219380001</v>
      </c>
      <c r="AE3182">
        <v>-17.554300000000001</v>
      </c>
      <c r="AF3182">
        <v>-6.9806518061399698</v>
      </c>
      <c r="AG3182">
        <v>-1.1126125219380001</v>
      </c>
      <c r="AH3182">
        <v>20.1862336665308</v>
      </c>
      <c r="AI3182">
        <v>92.981879892812998</v>
      </c>
      <c r="AJ3182">
        <v>109.076024849612</v>
      </c>
      <c r="AK3182">
        <v>21.388114360605002</v>
      </c>
      <c r="AL3182">
        <v>87.212937804901102</v>
      </c>
      <c r="AM3182">
        <v>92.2860545387163</v>
      </c>
      <c r="AN3182">
        <v>0.99999998269335999</v>
      </c>
    </row>
    <row r="3183" spans="1:40" x14ac:dyDescent="0.25">
      <c r="A3183" t="str">
        <f>"20190312160353852"</f>
        <v>20190312160353852</v>
      </c>
      <c r="B3183" t="str">
        <f>"1552377833848117"</f>
        <v>1552377833848117</v>
      </c>
      <c r="C3183" t="s">
        <v>40</v>
      </c>
      <c r="D3183">
        <v>5.6706919999999998</v>
      </c>
      <c r="E3183">
        <v>0.388181</v>
      </c>
      <c r="F3183" t="s">
        <v>59</v>
      </c>
      <c r="G3183">
        <v>-479.89769999999999</v>
      </c>
      <c r="H3183">
        <v>1.6534E-2</v>
      </c>
      <c r="I3183">
        <v>222.6087</v>
      </c>
      <c r="J3183">
        <v>-492.28019999999998</v>
      </c>
      <c r="K3183">
        <v>1.1126119999999999</v>
      </c>
      <c r="L3183">
        <v>240.2201</v>
      </c>
      <c r="M3183">
        <v>0.2754412</v>
      </c>
      <c r="N3183">
        <v>0</v>
      </c>
      <c r="O3183">
        <v>-0.96123809999999998</v>
      </c>
      <c r="P3183">
        <v>0.31308619999999998</v>
      </c>
      <c r="Q3183">
        <v>3.6196329999999999E-2</v>
      </c>
      <c r="R3183">
        <v>-0.94903470000000001</v>
      </c>
      <c r="S3183">
        <v>1.8030090000000001</v>
      </c>
      <c r="T3183">
        <v>-0.1591293</v>
      </c>
      <c r="U3183">
        <v>-2.5743559999999999</v>
      </c>
      <c r="V3183">
        <v>-3.9828160000000001E-2</v>
      </c>
      <c r="W3183">
        <v>4.8336570000000002E-2</v>
      </c>
      <c r="X3183">
        <v>0.9980367</v>
      </c>
      <c r="Y3183">
        <v>-0.32507989999999998</v>
      </c>
      <c r="Z3183">
        <v>5.0940899999999997E-2</v>
      </c>
      <c r="AA3183">
        <v>0.94431350000000003</v>
      </c>
      <c r="AB3183">
        <v>24</v>
      </c>
      <c r="AC3183">
        <v>12.382499999999901</v>
      </c>
      <c r="AD3183">
        <v>-1.0960780000000001</v>
      </c>
      <c r="AE3183">
        <v>-17.6114</v>
      </c>
      <c r="AF3183">
        <v>-7.0339343936803296</v>
      </c>
      <c r="AG3183">
        <v>-1.0960780000000001</v>
      </c>
      <c r="AH3183">
        <v>20.288371526614</v>
      </c>
      <c r="AI3183">
        <v>92.922082528439205</v>
      </c>
      <c r="AJ3183">
        <v>109.12132031066599</v>
      </c>
      <c r="AK3183">
        <v>21.501061351444999</v>
      </c>
      <c r="AL3183">
        <v>87.229438906014394</v>
      </c>
      <c r="AM3183">
        <v>92.285261908321104</v>
      </c>
      <c r="AN3183">
        <v>0.99999998043761995</v>
      </c>
    </row>
    <row r="3184" spans="1:40" x14ac:dyDescent="0.25">
      <c r="A3184" t="str">
        <f>"20190312160353873"</f>
        <v>20190312160353873</v>
      </c>
      <c r="B3184" t="str">
        <f>"1552377833867637"</f>
        <v>1552377833867637</v>
      </c>
      <c r="C3184" t="s">
        <v>40</v>
      </c>
      <c r="D3184">
        <v>5.4031330000000004</v>
      </c>
      <c r="E3184">
        <v>0.38811479999999998</v>
      </c>
      <c r="F3184" t="s">
        <v>59</v>
      </c>
      <c r="G3184">
        <v>-480.46289999999999</v>
      </c>
      <c r="H3184" s="1">
        <v>2.6786379999999998E-6</v>
      </c>
      <c r="I3184">
        <v>223.36080000000001</v>
      </c>
      <c r="J3184">
        <v>-492.21780000000001</v>
      </c>
      <c r="K3184">
        <v>1.112611</v>
      </c>
      <c r="L3184">
        <v>240.0164</v>
      </c>
      <c r="M3184">
        <v>0.27871269999999998</v>
      </c>
      <c r="N3184">
        <v>0</v>
      </c>
      <c r="O3184">
        <v>-0.9602946</v>
      </c>
      <c r="P3184">
        <v>0.31640659999999998</v>
      </c>
      <c r="Q3184">
        <v>3.5389039999999997E-2</v>
      </c>
      <c r="R3184">
        <v>-0.94796340000000001</v>
      </c>
      <c r="S3184">
        <v>1.8032840000000001</v>
      </c>
      <c r="T3184">
        <v>-0.16978070000000001</v>
      </c>
      <c r="U3184">
        <v>-2.5726779999999998</v>
      </c>
      <c r="V3184">
        <v>-3.9910139999999997E-2</v>
      </c>
      <c r="W3184">
        <v>4.7530210000000003E-2</v>
      </c>
      <c r="X3184">
        <v>0.99807210000000002</v>
      </c>
      <c r="Y3184">
        <v>-0.32211050000000002</v>
      </c>
      <c r="Z3184">
        <v>5.4317079999999997E-2</v>
      </c>
      <c r="AA3184">
        <v>0.94514260000000005</v>
      </c>
      <c r="AB3184">
        <v>24</v>
      </c>
      <c r="AC3184">
        <v>11.754899999999999</v>
      </c>
      <c r="AD3184">
        <v>-1.1126083213619999</v>
      </c>
      <c r="AE3184">
        <v>-16.6555999999999</v>
      </c>
      <c r="AF3184">
        <v>-6.6268108203688696</v>
      </c>
      <c r="AG3184">
        <v>-1.1126083213619999</v>
      </c>
      <c r="AH3184">
        <v>19.214767427034801</v>
      </c>
      <c r="AI3184">
        <v>93.133232370980707</v>
      </c>
      <c r="AJ3184">
        <v>109.028348120245</v>
      </c>
      <c r="AK3184">
        <v>20.355829784137001</v>
      </c>
      <c r="AL3184">
        <v>87.275692958867793</v>
      </c>
      <c r="AM3184">
        <v>92.289879623094393</v>
      </c>
      <c r="AN3184">
        <v>0.99999992846793395</v>
      </c>
    </row>
    <row r="3185" spans="1:40" x14ac:dyDescent="0.25">
      <c r="A3185" t="str">
        <f>"20190312160353960"</f>
        <v>20190312160353960</v>
      </c>
      <c r="B3185" t="str">
        <f>"1552377833957934"</f>
        <v>1552377833957934</v>
      </c>
      <c r="C3185" t="s">
        <v>40</v>
      </c>
      <c r="D3185">
        <v>7.5024300000000004</v>
      </c>
      <c r="E3185">
        <v>0.41339559999999997</v>
      </c>
      <c r="F3185" t="s">
        <v>59</v>
      </c>
      <c r="G3185">
        <v>-480.93239999999997</v>
      </c>
      <c r="H3185" s="1">
        <v>2.9132220000000001E-6</v>
      </c>
      <c r="I3185">
        <v>224.04519999999999</v>
      </c>
      <c r="J3185">
        <v>-491.94319999999999</v>
      </c>
      <c r="K3185">
        <v>1.1125959999999999</v>
      </c>
      <c r="L3185">
        <v>239.1481</v>
      </c>
      <c r="M3185">
        <v>0.29266639999999999</v>
      </c>
      <c r="N3185">
        <v>0</v>
      </c>
      <c r="O3185">
        <v>-0.95613440000000005</v>
      </c>
      <c r="P3185">
        <v>0.33173190000000002</v>
      </c>
      <c r="Q3185">
        <v>3.5194299999999998E-2</v>
      </c>
      <c r="R3185">
        <v>-0.94271700000000003</v>
      </c>
      <c r="S3185">
        <v>1.8132630000000001</v>
      </c>
      <c r="T3185">
        <v>-0.17876639999999999</v>
      </c>
      <c r="U3185">
        <v>-2.566147</v>
      </c>
      <c r="V3185">
        <v>-4.1553359999999998E-2</v>
      </c>
      <c r="W3185">
        <v>4.7326359999999998E-2</v>
      </c>
      <c r="X3185">
        <v>0.99801479999999998</v>
      </c>
      <c r="Y3185">
        <v>-0.31180380000000002</v>
      </c>
      <c r="Z3185">
        <v>5.6978540000000001E-2</v>
      </c>
      <c r="AA3185">
        <v>0.94843650000000002</v>
      </c>
      <c r="AB3185">
        <v>23</v>
      </c>
      <c r="AC3185">
        <v>11.0108</v>
      </c>
      <c r="AD3185">
        <v>-1.1125930867779901</v>
      </c>
      <c r="AE3185">
        <v>-15.1029</v>
      </c>
      <c r="AF3185">
        <v>-6.0865940180542299</v>
      </c>
      <c r="AG3185">
        <v>-1.1125930867779901</v>
      </c>
      <c r="AH3185">
        <v>17.601876283460498</v>
      </c>
      <c r="AI3185">
        <v>93.418677456808396</v>
      </c>
      <c r="AJ3185">
        <v>109.074993537654</v>
      </c>
      <c r="AK3185">
        <v>18.6577206221877</v>
      </c>
      <c r="AL3185">
        <v>87.287386066856598</v>
      </c>
      <c r="AM3185">
        <v>92.384190907533906</v>
      </c>
      <c r="AN3185">
        <v>1.0000000035485801</v>
      </c>
    </row>
    <row r="3186" spans="1:40" x14ac:dyDescent="0.25">
      <c r="A3186" t="str">
        <f>"20190312160353975"</f>
        <v>20190312160353975</v>
      </c>
      <c r="B3186" t="str">
        <f>"1552377833967694"</f>
        <v>1552377833967694</v>
      </c>
      <c r="C3186" t="s">
        <v>40</v>
      </c>
      <c r="D3186">
        <v>5.2047410000000003</v>
      </c>
      <c r="E3186">
        <v>0.40852080000000002</v>
      </c>
      <c r="F3186" t="s">
        <v>41</v>
      </c>
      <c r="G3186">
        <v>-488.76839999999999</v>
      </c>
      <c r="H3186" s="1">
        <v>-2.1943290000000001E-6</v>
      </c>
      <c r="I3186">
        <v>234.23849999999999</v>
      </c>
      <c r="J3186">
        <v>-491.89510000000001</v>
      </c>
      <c r="K3186">
        <v>1.1125989999999999</v>
      </c>
      <c r="L3186">
        <v>239.00040000000001</v>
      </c>
      <c r="M3186">
        <v>0.29504130000000001</v>
      </c>
      <c r="N3186">
        <v>0</v>
      </c>
      <c r="O3186">
        <v>-0.95540440000000004</v>
      </c>
      <c r="P3186">
        <v>0.33451809999999998</v>
      </c>
      <c r="Q3186">
        <v>3.4887630000000003E-2</v>
      </c>
      <c r="R3186">
        <v>-0.94174349999999996</v>
      </c>
      <c r="S3186">
        <v>1.68808</v>
      </c>
      <c r="T3186">
        <v>-0.59156850000000005</v>
      </c>
      <c r="U3186">
        <v>-2.6103969999999999</v>
      </c>
      <c r="V3186">
        <v>-4.2019389999999997E-2</v>
      </c>
      <c r="W3186">
        <v>4.7016750000000003E-2</v>
      </c>
      <c r="X3186">
        <v>0.99800990000000001</v>
      </c>
      <c r="Y3186">
        <v>-0.26123459999999998</v>
      </c>
      <c r="Z3186">
        <v>0.1861688</v>
      </c>
      <c r="AA3186">
        <v>0.94715240000000001</v>
      </c>
      <c r="AB3186">
        <v>23</v>
      </c>
      <c r="AC3186">
        <v>3.12670000000002</v>
      </c>
      <c r="AD3186">
        <v>-1.112601194329</v>
      </c>
      <c r="AE3186">
        <v>-4.7619000000000202</v>
      </c>
      <c r="AF3186">
        <v>-1.5242830125408899</v>
      </c>
      <c r="AG3186">
        <v>-1.112601194329</v>
      </c>
      <c r="AH3186">
        <v>5.2713872870229297</v>
      </c>
      <c r="AI3186">
        <v>101.46177509847</v>
      </c>
      <c r="AJ3186">
        <v>106.127841109358</v>
      </c>
      <c r="AK3186">
        <v>5.5990038444110697</v>
      </c>
      <c r="AL3186">
        <v>87.3051451250074</v>
      </c>
      <c r="AM3186">
        <v>92.410910575225003</v>
      </c>
      <c r="AN3186">
        <v>0.99999998220727204</v>
      </c>
    </row>
    <row r="3187" spans="1:40" x14ac:dyDescent="0.25">
      <c r="A3187" t="str">
        <f>"20190312160353999"</f>
        <v>20190312160353999</v>
      </c>
      <c r="B3187" t="str">
        <f>"1552377833987214"</f>
        <v>1552377833987214</v>
      </c>
      <c r="C3187" t="s">
        <v>40</v>
      </c>
      <c r="D3187">
        <v>5.1927989999999999</v>
      </c>
      <c r="E3187">
        <v>0.40426079999999998</v>
      </c>
      <c r="F3187" t="s">
        <v>41</v>
      </c>
      <c r="G3187">
        <v>-488.52890000000002</v>
      </c>
      <c r="H3187" s="1">
        <v>-2.1174080000000001E-6</v>
      </c>
      <c r="I3187">
        <v>233.96019999999999</v>
      </c>
      <c r="J3187">
        <v>-491.81740000000002</v>
      </c>
      <c r="K3187">
        <v>1.1125959999999999</v>
      </c>
      <c r="L3187">
        <v>238.76419999999999</v>
      </c>
      <c r="M3187">
        <v>0.29883850000000001</v>
      </c>
      <c r="N3187">
        <v>0</v>
      </c>
      <c r="O3187">
        <v>-0.95422340000000005</v>
      </c>
      <c r="P3187">
        <v>0.33904679999999998</v>
      </c>
      <c r="Q3187">
        <v>3.5164840000000003E-2</v>
      </c>
      <c r="R3187">
        <v>-0.94011210000000001</v>
      </c>
      <c r="S3187">
        <v>1.7310490000000001</v>
      </c>
      <c r="T3187">
        <v>-0.57214929999999997</v>
      </c>
      <c r="U3187">
        <v>-2.5918580000000002</v>
      </c>
      <c r="V3187">
        <v>-4.2858760000000003E-2</v>
      </c>
      <c r="W3187">
        <v>4.7288719999999999E-2</v>
      </c>
      <c r="X3187">
        <v>0.9979614</v>
      </c>
      <c r="Y3187">
        <v>-0.2720767</v>
      </c>
      <c r="Z3187">
        <v>0.17998810000000001</v>
      </c>
      <c r="AA3187">
        <v>0.94529280000000004</v>
      </c>
      <c r="AB3187">
        <v>23</v>
      </c>
      <c r="AC3187">
        <v>3.2884999999999902</v>
      </c>
      <c r="AD3187">
        <v>-1.112598117408</v>
      </c>
      <c r="AE3187">
        <v>-4.8040000000000003</v>
      </c>
      <c r="AF3187">
        <v>-1.6424848352158701</v>
      </c>
      <c r="AG3187">
        <v>-1.112598117408</v>
      </c>
      <c r="AH3187">
        <v>5.3710762982198696</v>
      </c>
      <c r="AI3187">
        <v>101.204721470287</v>
      </c>
      <c r="AJ3187">
        <v>107.003726744164</v>
      </c>
      <c r="AK3187">
        <v>5.7257393938314403</v>
      </c>
      <c r="AL3187">
        <v>87.289545158523595</v>
      </c>
      <c r="AM3187">
        <v>92.459131209444806</v>
      </c>
      <c r="AN3187">
        <v>1.0000000261189601</v>
      </c>
    </row>
    <row r="3188" spans="1:40" x14ac:dyDescent="0.25">
      <c r="A3188" t="str">
        <f>"20190312160354018"</f>
        <v>20190312160354018</v>
      </c>
      <c r="B3188" t="str">
        <f>"1552377834007710"</f>
        <v>1552377834007710</v>
      </c>
      <c r="C3188" t="s">
        <v>40</v>
      </c>
      <c r="D3188">
        <v>5.1725960000000004</v>
      </c>
      <c r="E3188">
        <v>0.328675299999999</v>
      </c>
      <c r="F3188" t="s">
        <v>41</v>
      </c>
      <c r="G3188">
        <v>-487.92520000000002</v>
      </c>
      <c r="H3188" s="1">
        <v>-1.8617290000000001E-6</v>
      </c>
      <c r="I3188">
        <v>233.1146</v>
      </c>
      <c r="J3188">
        <v>-491.75420000000003</v>
      </c>
      <c r="K3188">
        <v>1.1126039999999999</v>
      </c>
      <c r="L3188">
        <v>238.5745</v>
      </c>
      <c r="M3188">
        <v>0.3018884</v>
      </c>
      <c r="N3188">
        <v>0</v>
      </c>
      <c r="O3188">
        <v>-0.95326270000000002</v>
      </c>
      <c r="P3188">
        <v>0.34242119999999998</v>
      </c>
      <c r="Q3188">
        <v>3.55392E-2</v>
      </c>
      <c r="R3188">
        <v>-0.93887419999999999</v>
      </c>
      <c r="S3188">
        <v>1.771423</v>
      </c>
      <c r="T3188">
        <v>-0.50636099999999995</v>
      </c>
      <c r="U3188">
        <v>-2.5712280000000001</v>
      </c>
      <c r="V3188">
        <v>-4.3258190000000002E-2</v>
      </c>
      <c r="W3188">
        <v>4.7660710000000002E-2</v>
      </c>
      <c r="X3188">
        <v>0.99792639999999999</v>
      </c>
      <c r="Y3188">
        <v>-0.2846767</v>
      </c>
      <c r="Z3188">
        <v>0.1597826</v>
      </c>
      <c r="AA3188">
        <v>0.94521359999999999</v>
      </c>
      <c r="AB3188">
        <v>23</v>
      </c>
      <c r="AC3188">
        <v>3.8290000000000002</v>
      </c>
      <c r="AD3188">
        <v>-1.112605861729</v>
      </c>
      <c r="AE3188">
        <v>-5.4599000000000002</v>
      </c>
      <c r="AF3188">
        <v>-1.94770101202561</v>
      </c>
      <c r="AG3188">
        <v>-1.112605861729</v>
      </c>
      <c r="AH3188">
        <v>6.1888682878109798</v>
      </c>
      <c r="AI3188">
        <v>99.730646804561303</v>
      </c>
      <c r="AJ3188">
        <v>107.4693293147</v>
      </c>
      <c r="AK3188">
        <v>6.5828201949978604</v>
      </c>
      <c r="AL3188">
        <v>87.268207453777805</v>
      </c>
      <c r="AM3188">
        <v>92.482107942752407</v>
      </c>
      <c r="AN3188">
        <v>0.99999995704836897</v>
      </c>
    </row>
    <row r="3189" spans="1:40" x14ac:dyDescent="0.25">
      <c r="A3189" t="str">
        <f>"20190312160354031"</f>
        <v>20190312160354031</v>
      </c>
      <c r="B3189" t="str">
        <f>"1552377834027231"</f>
        <v>1552377834027231</v>
      </c>
      <c r="C3189" t="s">
        <v>40</v>
      </c>
      <c r="D3189">
        <v>5.269787</v>
      </c>
      <c r="E3189">
        <v>0.38615579999999999</v>
      </c>
      <c r="F3189" t="s">
        <v>70</v>
      </c>
      <c r="G3189">
        <v>-463.13029999999998</v>
      </c>
      <c r="H3189">
        <v>1.8980839999999999E-2</v>
      </c>
      <c r="I3189">
        <v>209.6163</v>
      </c>
      <c r="J3189">
        <v>-491.71080000000001</v>
      </c>
      <c r="K3189">
        <v>1.112603</v>
      </c>
      <c r="L3189">
        <v>238.44540000000001</v>
      </c>
      <c r="M3189">
        <v>0.30396430000000002</v>
      </c>
      <c r="N3189">
        <v>0</v>
      </c>
      <c r="O3189">
        <v>-0.95260279999999997</v>
      </c>
      <c r="P3189">
        <v>0.34450360000000002</v>
      </c>
      <c r="Q3189">
        <v>3.597703E-2</v>
      </c>
      <c r="R3189">
        <v>-0.93809529999999997</v>
      </c>
      <c r="S3189">
        <v>2.3239749999999999</v>
      </c>
      <c r="T3189">
        <v>-8.8791369999999994E-2</v>
      </c>
      <c r="U3189">
        <v>-2.3511199999999999</v>
      </c>
      <c r="V3189">
        <v>-4.3306299999999999E-2</v>
      </c>
      <c r="W3189">
        <v>4.809795E-2</v>
      </c>
      <c r="X3189">
        <v>0.9979034</v>
      </c>
      <c r="Y3189">
        <v>-0.45325090000000001</v>
      </c>
      <c r="Z3189">
        <v>2.753545E-2</v>
      </c>
      <c r="AA3189">
        <v>0.89095759999999902</v>
      </c>
      <c r="AB3189">
        <v>23</v>
      </c>
      <c r="AC3189">
        <v>28.580500000000001</v>
      </c>
      <c r="AD3189">
        <v>-1.09362216</v>
      </c>
      <c r="AE3189">
        <v>-28.8291</v>
      </c>
      <c r="AF3189">
        <v>-18.450874590777602</v>
      </c>
      <c r="AG3189">
        <v>-1.09362216</v>
      </c>
      <c r="AH3189">
        <v>36.126690915913102</v>
      </c>
      <c r="AI3189">
        <v>91.544280657501403</v>
      </c>
      <c r="AJ3189">
        <v>117.05462563022201</v>
      </c>
      <c r="AK3189">
        <v>40.580396488050297</v>
      </c>
      <c r="AL3189">
        <v>87.243126860810904</v>
      </c>
      <c r="AM3189">
        <v>92.484922184243302</v>
      </c>
      <c r="AN3189">
        <v>1.0000000220727201</v>
      </c>
    </row>
    <row r="3190" spans="1:40" x14ac:dyDescent="0.25">
      <c r="A3190" t="str">
        <f>"20190312160354044"</f>
        <v>20190312160354044</v>
      </c>
      <c r="B3190" t="str">
        <f>"1552377834037967"</f>
        <v>1552377834037967</v>
      </c>
      <c r="C3190" t="s">
        <v>40</v>
      </c>
      <c r="D3190">
        <v>5.6349780000000003</v>
      </c>
      <c r="E3190">
        <v>0.39360299999999998</v>
      </c>
      <c r="F3190" t="s">
        <v>59</v>
      </c>
      <c r="G3190">
        <v>-482.55759999999998</v>
      </c>
      <c r="H3190" s="1">
        <v>3.8402010000000003E-6</v>
      </c>
      <c r="I3190">
        <v>226.41249999999999</v>
      </c>
      <c r="J3190">
        <v>-491.6653</v>
      </c>
      <c r="K3190">
        <v>1.112601</v>
      </c>
      <c r="L3190">
        <v>238.3109</v>
      </c>
      <c r="M3190">
        <v>0.30612810000000001</v>
      </c>
      <c r="N3190">
        <v>0</v>
      </c>
      <c r="O3190">
        <v>-0.95190989999999998</v>
      </c>
      <c r="P3190">
        <v>0.34655239999999998</v>
      </c>
      <c r="Q3190">
        <v>3.6124169999999997E-2</v>
      </c>
      <c r="R3190">
        <v>-0.93733509999999998</v>
      </c>
      <c r="S3190">
        <v>1.906738</v>
      </c>
      <c r="T3190">
        <v>-0.23176910000000001</v>
      </c>
      <c r="U3190">
        <v>-2.5066220000000001</v>
      </c>
      <c r="V3190">
        <v>-4.322177E-2</v>
      </c>
      <c r="W3190">
        <v>4.8245120000000002E-2</v>
      </c>
      <c r="X3190">
        <v>0.99789989999999995</v>
      </c>
      <c r="Y3190">
        <v>-0.33098300000000003</v>
      </c>
      <c r="Z3190">
        <v>7.3710510000000007E-2</v>
      </c>
      <c r="AA3190">
        <v>0.94075350000000002</v>
      </c>
      <c r="AB3190">
        <v>23</v>
      </c>
      <c r="AC3190">
        <v>9.1077000000000208</v>
      </c>
      <c r="AD3190">
        <v>-1.1125971597990001</v>
      </c>
      <c r="AE3190">
        <v>-11.898400000000001</v>
      </c>
      <c r="AF3190">
        <v>-5.0000928278915104</v>
      </c>
      <c r="AG3190">
        <v>-1.1125971597990001</v>
      </c>
      <c r="AH3190">
        <v>14.0380117441831</v>
      </c>
      <c r="AI3190">
        <v>94.269861951335301</v>
      </c>
      <c r="AJ3190">
        <v>109.60500461790301</v>
      </c>
      <c r="AK3190">
        <v>14.943378950469899</v>
      </c>
      <c r="AL3190">
        <v>87.2346846735459</v>
      </c>
      <c r="AM3190">
        <v>92.480086589626396</v>
      </c>
      <c r="AN3190">
        <v>0.99999996171287697</v>
      </c>
    </row>
    <row r="3191" spans="1:40" x14ac:dyDescent="0.25">
      <c r="A3191" t="str">
        <f>"20190312160354057"</f>
        <v>20190312160354057</v>
      </c>
      <c r="B3191" t="str">
        <f>"1552377834047727"</f>
        <v>1552377834047727</v>
      </c>
      <c r="C3191" t="s">
        <v>40</v>
      </c>
      <c r="D3191">
        <v>8.8706499999999995</v>
      </c>
      <c r="E3191">
        <v>0.39360299999999998</v>
      </c>
      <c r="F3191" t="s">
        <v>59</v>
      </c>
      <c r="G3191">
        <v>-483.44670000000002</v>
      </c>
      <c r="H3191" s="1">
        <v>4.2001029999999997E-6</v>
      </c>
      <c r="I3191">
        <v>227.14869999999999</v>
      </c>
      <c r="J3191">
        <v>-491.62479999999999</v>
      </c>
      <c r="K3191">
        <v>1.112601</v>
      </c>
      <c r="L3191">
        <v>238.19220000000001</v>
      </c>
      <c r="M3191">
        <v>0.30803560000000002</v>
      </c>
      <c r="N3191">
        <v>0</v>
      </c>
      <c r="O3191">
        <v>-0.95129419999999998</v>
      </c>
      <c r="P3191">
        <v>0.3484795</v>
      </c>
      <c r="Q3191">
        <v>3.6131740000000002E-2</v>
      </c>
      <c r="R3191">
        <v>-0.93661989999999995</v>
      </c>
      <c r="S3191">
        <v>1.85791</v>
      </c>
      <c r="T3191">
        <v>-0.25151570000000001</v>
      </c>
      <c r="U3191">
        <v>-2.5233460000000001</v>
      </c>
      <c r="V3191">
        <v>-4.3273619999999999E-2</v>
      </c>
      <c r="W3191">
        <v>4.8252740000000002E-2</v>
      </c>
      <c r="X3191">
        <v>0.99789729999999999</v>
      </c>
      <c r="Y3191">
        <v>-0.31402740000000001</v>
      </c>
      <c r="Z3191">
        <v>8.0107349999999994E-2</v>
      </c>
      <c r="AA3191">
        <v>0.94602839999999999</v>
      </c>
      <c r="AB3191">
        <v>23</v>
      </c>
      <c r="AC3191">
        <v>8.1780999999999704</v>
      </c>
      <c r="AD3191">
        <v>-1.1125967998970001</v>
      </c>
      <c r="AE3191">
        <v>-11.0435</v>
      </c>
      <c r="AF3191">
        <v>-4.34981024960695</v>
      </c>
      <c r="AG3191">
        <v>-1.1125967998970001</v>
      </c>
      <c r="AH3191">
        <v>12.940933179596</v>
      </c>
      <c r="AI3191">
        <v>94.658993310795907</v>
      </c>
      <c r="AJ3191">
        <v>108.578939185037</v>
      </c>
      <c r="AK3191">
        <v>13.697681278431601</v>
      </c>
      <c r="AL3191">
        <v>87.234247613553705</v>
      </c>
      <c r="AM3191">
        <v>92.483064508207406</v>
      </c>
      <c r="AN3191">
        <v>0.99999997722635003</v>
      </c>
    </row>
    <row r="3192" spans="1:40" x14ac:dyDescent="0.25">
      <c r="A3192" t="str">
        <f>"20190312160354076"</f>
        <v>20190312160354076</v>
      </c>
      <c r="B3192" t="str">
        <f>"1552377834067246"</f>
        <v>1552377834067246</v>
      </c>
      <c r="C3192" t="s">
        <v>40</v>
      </c>
      <c r="D3192">
        <v>3.3685849999999999</v>
      </c>
      <c r="E3192">
        <v>0.32226179999999999</v>
      </c>
      <c r="F3192" t="s">
        <v>59</v>
      </c>
      <c r="G3192">
        <v>-483.37670000000003</v>
      </c>
      <c r="H3192" s="1">
        <v>4.1601490000000001E-6</v>
      </c>
      <c r="I3192">
        <v>227.03809999999999</v>
      </c>
      <c r="J3192">
        <v>-491.5625</v>
      </c>
      <c r="K3192">
        <v>1.1125989999999999</v>
      </c>
      <c r="L3192">
        <v>238.0111</v>
      </c>
      <c r="M3192">
        <v>0.31094909999999998</v>
      </c>
      <c r="N3192">
        <v>0</v>
      </c>
      <c r="O3192">
        <v>-0.95034600000000002</v>
      </c>
      <c r="P3192">
        <v>0.35152610000000001</v>
      </c>
      <c r="Q3192">
        <v>3.6502729999999997E-2</v>
      </c>
      <c r="R3192">
        <v>-0.93546640000000003</v>
      </c>
      <c r="S3192">
        <v>1.8630979999999999</v>
      </c>
      <c r="T3192">
        <v>-0.25131629999999999</v>
      </c>
      <c r="U3192">
        <v>-2.5195159999999999</v>
      </c>
      <c r="V3192">
        <v>-4.3470790000000002E-2</v>
      </c>
      <c r="W3192">
        <v>4.8621860000000003E-2</v>
      </c>
      <c r="X3192">
        <v>0.99787090000000001</v>
      </c>
      <c r="Y3192">
        <v>-0.31307069999999998</v>
      </c>
      <c r="Z3192">
        <v>7.9993380000000003E-2</v>
      </c>
      <c r="AA3192">
        <v>0.94635499999999995</v>
      </c>
      <c r="AB3192">
        <v>23</v>
      </c>
      <c r="AC3192">
        <v>8.1857999999999702</v>
      </c>
      <c r="AD3192">
        <v>-1.1125948398509999</v>
      </c>
      <c r="AE3192">
        <v>-10.973000000000001</v>
      </c>
      <c r="AF3192">
        <v>-4.3389733886990403</v>
      </c>
      <c r="AG3192">
        <v>-1.1125948398509999</v>
      </c>
      <c r="AH3192">
        <v>12.8893731447366</v>
      </c>
      <c r="AI3192">
        <v>94.676830534087102</v>
      </c>
      <c r="AJ3192">
        <v>108.604871598638</v>
      </c>
      <c r="AK3192">
        <v>13.6455303088505</v>
      </c>
      <c r="AL3192">
        <v>87.213073983367394</v>
      </c>
      <c r="AM3192">
        <v>92.494429884004404</v>
      </c>
      <c r="AN3192">
        <v>1.00000006395994</v>
      </c>
    </row>
    <row r="3193" spans="1:40" x14ac:dyDescent="0.25">
      <c r="A3193" t="str">
        <f>"20190312160354089"</f>
        <v>20190312160354089</v>
      </c>
      <c r="B3193" t="str">
        <f>"1552377834087742"</f>
        <v>1552377834087742</v>
      </c>
      <c r="C3193" t="s">
        <v>40</v>
      </c>
      <c r="D3193">
        <v>5.5946350000000002</v>
      </c>
      <c r="E3193">
        <v>0.4062307</v>
      </c>
      <c r="F3193" t="s">
        <v>82</v>
      </c>
      <c r="G3193">
        <v>-452.41430000000003</v>
      </c>
      <c r="H3193">
        <v>3.7621380000000002</v>
      </c>
      <c r="I3193">
        <v>200.07560000000001</v>
      </c>
      <c r="J3193">
        <v>-491.51369999999997</v>
      </c>
      <c r="K3193">
        <v>1.112598</v>
      </c>
      <c r="L3193">
        <v>237.87049999999999</v>
      </c>
      <c r="M3193">
        <v>0.3132103</v>
      </c>
      <c r="N3193">
        <v>0</v>
      </c>
      <c r="O3193">
        <v>-0.94960310000000003</v>
      </c>
      <c r="P3193">
        <v>0.35402790000000001</v>
      </c>
      <c r="Q3193">
        <v>3.655899E-2</v>
      </c>
      <c r="R3193">
        <v>-0.93452020000000002</v>
      </c>
      <c r="S3193">
        <v>2.3800349999999999</v>
      </c>
      <c r="T3193">
        <v>0.16108120000000001</v>
      </c>
      <c r="U3193">
        <v>-2.306305</v>
      </c>
      <c r="V3193">
        <v>-4.3766630000000001E-2</v>
      </c>
      <c r="W3193">
        <v>4.8676629999999999E-2</v>
      </c>
      <c r="X3193">
        <v>0.99785520000000005</v>
      </c>
      <c r="Y3193">
        <v>-0.4631055</v>
      </c>
      <c r="Z3193">
        <v>-4.984301E-2</v>
      </c>
      <c r="AA3193">
        <v>0.88490059999999904</v>
      </c>
      <c r="AB3193">
        <v>23</v>
      </c>
      <c r="AC3193">
        <v>39.099399999999903</v>
      </c>
      <c r="AD3193">
        <v>2.64954</v>
      </c>
      <c r="AE3193">
        <v>-37.794899999999899</v>
      </c>
      <c r="AF3193">
        <v>-25.233197336423402</v>
      </c>
      <c r="AG3193">
        <v>2.64954</v>
      </c>
      <c r="AH3193">
        <v>48.026170059543503</v>
      </c>
      <c r="AI3193">
        <v>87.2040056872451</v>
      </c>
      <c r="AJ3193">
        <v>117.71766766563201</v>
      </c>
      <c r="AK3193">
        <v>54.3161791791238</v>
      </c>
      <c r="AL3193">
        <v>87.209931900578994</v>
      </c>
      <c r="AM3193">
        <v>92.511423501608306</v>
      </c>
      <c r="AN3193">
        <v>0.99999996618837605</v>
      </c>
    </row>
    <row r="3194" spans="1:40" x14ac:dyDescent="0.25">
      <c r="A3194" t="str">
        <f>"20190312160354112"</f>
        <v>20190312160354112</v>
      </c>
      <c r="B3194" t="str">
        <f>"1552377834107263"</f>
        <v>1552377834107263</v>
      </c>
      <c r="C3194" t="s">
        <v>40</v>
      </c>
      <c r="D3194">
        <v>5.606687</v>
      </c>
      <c r="E3194">
        <v>0.33081680000000002</v>
      </c>
      <c r="F3194" t="s">
        <v>59</v>
      </c>
      <c r="G3194">
        <v>-484.721</v>
      </c>
      <c r="H3194" s="1">
        <v>4.7978010000000003E-6</v>
      </c>
      <c r="I3194">
        <v>228.19059999999999</v>
      </c>
      <c r="J3194">
        <v>-491.43680000000001</v>
      </c>
      <c r="K3194">
        <v>1.1126</v>
      </c>
      <c r="L3194">
        <v>237.6507</v>
      </c>
      <c r="M3194">
        <v>0.31674469999999999</v>
      </c>
      <c r="N3194">
        <v>0</v>
      </c>
      <c r="O3194">
        <v>-0.94843</v>
      </c>
      <c r="P3194">
        <v>0.357404</v>
      </c>
      <c r="Q3194">
        <v>3.6849279999999998E-2</v>
      </c>
      <c r="R3194">
        <v>-0.93322289999999997</v>
      </c>
      <c r="S3194">
        <v>1.7859499999999999</v>
      </c>
      <c r="T3194">
        <v>-0.29252539999999999</v>
      </c>
      <c r="U3194">
        <v>-2.5450590000000002</v>
      </c>
      <c r="V3194">
        <v>-4.3662760000000002E-2</v>
      </c>
      <c r="W3194">
        <v>4.8967150000000001E-2</v>
      </c>
      <c r="X3194">
        <v>0.9978456</v>
      </c>
      <c r="Y3194">
        <v>-0.28293230000000003</v>
      </c>
      <c r="Z3194">
        <v>9.3163770000000007E-2</v>
      </c>
      <c r="AA3194">
        <v>0.95460460000000003</v>
      </c>
      <c r="AB3194">
        <v>23</v>
      </c>
      <c r="AC3194">
        <v>6.7157999999999998</v>
      </c>
      <c r="AD3194">
        <v>-1.112595202199</v>
      </c>
      <c r="AE3194">
        <v>-9.4601000000000095</v>
      </c>
      <c r="AF3194">
        <v>-3.3425470340858099</v>
      </c>
      <c r="AG3194">
        <v>-1.112595202199</v>
      </c>
      <c r="AH3194">
        <v>10.9991292653805</v>
      </c>
      <c r="AI3194">
        <v>95.528025180789896</v>
      </c>
      <c r="AJ3194">
        <v>106.903605481977</v>
      </c>
      <c r="AK3194">
        <v>11.5495165853633</v>
      </c>
      <c r="AL3194">
        <v>87.193266635563802</v>
      </c>
      <c r="AM3194">
        <v>92.505494895291505</v>
      </c>
      <c r="AN3194">
        <v>1.0000000299146401</v>
      </c>
    </row>
    <row r="3195" spans="1:40" x14ac:dyDescent="0.25">
      <c r="A3195" t="str">
        <f>"20190312160354130"</f>
        <v>20190312160354130</v>
      </c>
      <c r="B3195" t="str">
        <f>"1552377834127759"</f>
        <v>1552377834127759</v>
      </c>
      <c r="C3195" t="s">
        <v>40</v>
      </c>
      <c r="D3195">
        <v>5.6110680000000004</v>
      </c>
      <c r="E3195">
        <v>0.37764150000000002</v>
      </c>
      <c r="F3195" t="s">
        <v>82</v>
      </c>
      <c r="G3195">
        <v>-453.66070000000002</v>
      </c>
      <c r="H3195">
        <v>4.7775550000000004</v>
      </c>
      <c r="I3195">
        <v>200.0753</v>
      </c>
      <c r="J3195">
        <v>-491.37360000000001</v>
      </c>
      <c r="K3195">
        <v>1.1125959999999999</v>
      </c>
      <c r="L3195">
        <v>237.47219999999999</v>
      </c>
      <c r="M3195">
        <v>0.31961509999999999</v>
      </c>
      <c r="N3195">
        <v>0</v>
      </c>
      <c r="O3195">
        <v>-0.9474669</v>
      </c>
      <c r="P3195">
        <v>0.35990830000000001</v>
      </c>
      <c r="Q3195">
        <v>3.6861970000000001E-2</v>
      </c>
      <c r="R3195">
        <v>-0.93225959999999997</v>
      </c>
      <c r="S3195">
        <v>2.326965</v>
      </c>
      <c r="T3195">
        <v>0.2257584</v>
      </c>
      <c r="U3195">
        <v>-2.3146059999999999</v>
      </c>
      <c r="V3195">
        <v>-4.332014E-2</v>
      </c>
      <c r="W3195">
        <v>4.8981919999999998E-2</v>
      </c>
      <c r="X3195">
        <v>0.99785979999999996</v>
      </c>
      <c r="Y3195">
        <v>-0.44457079999999999</v>
      </c>
      <c r="Z3195">
        <v>-7.0183430000000005E-2</v>
      </c>
      <c r="AA3195">
        <v>0.89298999999999995</v>
      </c>
      <c r="AB3195">
        <v>23</v>
      </c>
      <c r="AC3195">
        <v>37.712899999999898</v>
      </c>
      <c r="AD3195">
        <v>3.6649590000000001</v>
      </c>
      <c r="AE3195">
        <v>-37.396899999999903</v>
      </c>
      <c r="AF3195">
        <v>-23.668223444986801</v>
      </c>
      <c r="AG3195">
        <v>3.6649590000000001</v>
      </c>
      <c r="AH3195">
        <v>47.264500142646497</v>
      </c>
      <c r="AI3195">
        <v>86.033797091328296</v>
      </c>
      <c r="AJ3195">
        <v>116.59992716089801</v>
      </c>
      <c r="AK3195">
        <v>52.986316150943502</v>
      </c>
      <c r="AL3195">
        <v>87.192419337238803</v>
      </c>
      <c r="AM3195">
        <v>92.485823803041896</v>
      </c>
      <c r="AN3195">
        <v>1.0000000217362699</v>
      </c>
    </row>
    <row r="3196" spans="1:40" x14ac:dyDescent="0.25">
      <c r="A3196" t="str">
        <f>"20190312160354144"</f>
        <v>20190312160354144</v>
      </c>
      <c r="B3196" t="str">
        <f>"1552377834137519"</f>
        <v>1552377834137519</v>
      </c>
      <c r="C3196" t="s">
        <v>40</v>
      </c>
      <c r="D3196">
        <v>4.5497560000000004</v>
      </c>
      <c r="E3196">
        <v>0.37764150000000002</v>
      </c>
      <c r="F3196" t="s">
        <v>59</v>
      </c>
      <c r="G3196">
        <v>-480.65449999999998</v>
      </c>
      <c r="H3196" s="1">
        <v>2.95492E-6</v>
      </c>
      <c r="I3196">
        <v>224.40270000000001</v>
      </c>
      <c r="J3196">
        <v>-491.32330000000002</v>
      </c>
      <c r="K3196">
        <v>1.112595</v>
      </c>
      <c r="L3196">
        <v>237.3314</v>
      </c>
      <c r="M3196">
        <v>0.32188109999999998</v>
      </c>
      <c r="N3196">
        <v>0</v>
      </c>
      <c r="O3196">
        <v>-0.94669899999999996</v>
      </c>
      <c r="P3196">
        <v>0.3618113</v>
      </c>
      <c r="Q3196">
        <v>3.6738340000000001E-2</v>
      </c>
      <c r="R3196">
        <v>-0.93152710000000005</v>
      </c>
      <c r="S3196">
        <v>2.0097049999999999</v>
      </c>
      <c r="T3196">
        <v>-0.20859829999999999</v>
      </c>
      <c r="U3196">
        <v>-2.4503940000000002</v>
      </c>
      <c r="V3196">
        <v>-4.2967810000000002E-2</v>
      </c>
      <c r="W3196">
        <v>4.8860939999999999E-2</v>
      </c>
      <c r="X3196">
        <v>0.99788089999999996</v>
      </c>
      <c r="Y3196">
        <v>-0.35005770000000003</v>
      </c>
      <c r="Z3196">
        <v>6.6017889999999996E-2</v>
      </c>
      <c r="AA3196">
        <v>0.93439890000000003</v>
      </c>
      <c r="AB3196">
        <v>23</v>
      </c>
      <c r="AC3196">
        <v>10.668799999999999</v>
      </c>
      <c r="AD3196">
        <v>-1.11259204507999</v>
      </c>
      <c r="AE3196">
        <v>-12.9286999999999</v>
      </c>
      <c r="AF3196">
        <v>-5.9130436435952101</v>
      </c>
      <c r="AG3196">
        <v>-1.11259204507999</v>
      </c>
      <c r="AH3196">
        <v>15.6061217110061</v>
      </c>
      <c r="AI3196">
        <v>93.814099535713893</v>
      </c>
      <c r="AJ3196">
        <v>110.751326062033</v>
      </c>
      <c r="AK3196">
        <v>16.7258177990965</v>
      </c>
      <c r="AL3196">
        <v>87.199359109776694</v>
      </c>
      <c r="AM3196">
        <v>92.4655791612728</v>
      </c>
      <c r="AN3196">
        <v>0.999999957369343</v>
      </c>
    </row>
    <row r="3197" spans="1:40" x14ac:dyDescent="0.25">
      <c r="A3197" t="str">
        <f>"20190312160354222"</f>
        <v>20190312160354222</v>
      </c>
      <c r="B3197" t="str">
        <f>"1552377834217551"</f>
        <v>1552377834217551</v>
      </c>
      <c r="C3197" t="s">
        <v>40</v>
      </c>
      <c r="D3197">
        <v>7.7926310000000001</v>
      </c>
      <c r="E3197">
        <v>0.44625930000000003</v>
      </c>
      <c r="F3197" t="s">
        <v>59</v>
      </c>
      <c r="G3197">
        <v>-480.58390000000003</v>
      </c>
      <c r="H3197" s="1">
        <v>2.9063130000000002E-6</v>
      </c>
      <c r="I3197">
        <v>224.29349999999999</v>
      </c>
      <c r="J3197">
        <v>-491.04360000000003</v>
      </c>
      <c r="K3197">
        <v>1.1126119999999999</v>
      </c>
      <c r="L3197">
        <v>236.56720000000001</v>
      </c>
      <c r="M3197">
        <v>0.33424340000000002</v>
      </c>
      <c r="N3197">
        <v>0</v>
      </c>
      <c r="O3197">
        <v>-0.9424053</v>
      </c>
      <c r="P3197">
        <v>0.37099919999999997</v>
      </c>
      <c r="Q3197">
        <v>3.6843170000000001E-2</v>
      </c>
      <c r="R3197">
        <v>-0.92790220000000001</v>
      </c>
      <c r="S3197">
        <v>2.014923</v>
      </c>
      <c r="T3197">
        <v>-0.20874490000000001</v>
      </c>
      <c r="U3197">
        <v>-2.446167</v>
      </c>
      <c r="V3197">
        <v>-3.9771229999999998E-2</v>
      </c>
      <c r="W3197">
        <v>4.8983829999999999E-2</v>
      </c>
      <c r="X3197">
        <v>0.99800739999999999</v>
      </c>
      <c r="Y3197">
        <v>-0.33976659999999997</v>
      </c>
      <c r="Z3197">
        <v>6.5804020000000005E-2</v>
      </c>
      <c r="AA3197">
        <v>0.93820490000000001</v>
      </c>
      <c r="AB3197">
        <v>23</v>
      </c>
      <c r="AC3197">
        <v>10.4596999999999</v>
      </c>
      <c r="AD3197">
        <v>-1.1126090936869999</v>
      </c>
      <c r="AE3197">
        <v>-12.2737</v>
      </c>
      <c r="AF3197">
        <v>-5.7280485674809203</v>
      </c>
      <c r="AG3197">
        <v>-1.1126090936869999</v>
      </c>
      <c r="AH3197">
        <v>14.9926736772601</v>
      </c>
      <c r="AI3197">
        <v>93.965571740741694</v>
      </c>
      <c r="AJ3197">
        <v>110.90968227411</v>
      </c>
      <c r="AK3197">
        <v>16.088154132142801</v>
      </c>
      <c r="AL3197">
        <v>87.192309620897703</v>
      </c>
      <c r="AM3197">
        <v>92.282065757359405</v>
      </c>
      <c r="AN3197">
        <v>0.99999996839597005</v>
      </c>
    </row>
    <row r="3198" spans="1:40" x14ac:dyDescent="0.25">
      <c r="A3198" t="str">
        <f>"20190312160354236"</f>
        <v>20190312160354236</v>
      </c>
      <c r="B3198" t="str">
        <f>"1552377834227311"</f>
        <v>1552377834227311</v>
      </c>
      <c r="C3198" t="s">
        <v>40</v>
      </c>
      <c r="D3198">
        <v>5.3873530000000001</v>
      </c>
      <c r="E3198">
        <v>0.39485759999999998</v>
      </c>
      <c r="F3198" t="s">
        <v>41</v>
      </c>
      <c r="G3198">
        <v>-489.10340000000002</v>
      </c>
      <c r="H3198" s="1">
        <v>-1.7359589999999999E-6</v>
      </c>
      <c r="I3198">
        <v>233.30860000000001</v>
      </c>
      <c r="J3198">
        <v>-490.9973</v>
      </c>
      <c r="K3198">
        <v>1.1126229999999999</v>
      </c>
      <c r="L3198">
        <v>236.4436</v>
      </c>
      <c r="M3198">
        <v>0.3362638</v>
      </c>
      <c r="N3198">
        <v>0</v>
      </c>
      <c r="O3198">
        <v>-0.94168649999999998</v>
      </c>
      <c r="P3198">
        <v>0.37268639999999997</v>
      </c>
      <c r="Q3198">
        <v>3.6935530000000001E-2</v>
      </c>
      <c r="R3198">
        <v>-0.92722249999999995</v>
      </c>
      <c r="S3198">
        <v>1.5720829999999999</v>
      </c>
      <c r="T3198">
        <v>-0.90149100000000004</v>
      </c>
      <c r="U3198">
        <v>-2.6403050000000001</v>
      </c>
      <c r="V3198">
        <v>-3.9449350000000001E-2</v>
      </c>
      <c r="W3198">
        <v>4.9077639999999999E-2</v>
      </c>
      <c r="X3198">
        <v>0.9980156</v>
      </c>
      <c r="Y3198">
        <v>-0.17212729999999901</v>
      </c>
      <c r="Z3198">
        <v>0.27413300000000002</v>
      </c>
      <c r="AA3198">
        <v>0.94616239999999996</v>
      </c>
      <c r="AB3198">
        <v>23</v>
      </c>
      <c r="AC3198">
        <v>1.8938999999999699</v>
      </c>
      <c r="AD3198">
        <v>-1.112624735959</v>
      </c>
      <c r="AE3198">
        <v>-3.13499999999999</v>
      </c>
      <c r="AF3198">
        <v>-0.66771286873313096</v>
      </c>
      <c r="AG3198">
        <v>-1.112624735959</v>
      </c>
      <c r="AH3198">
        <v>3.2860755229321099</v>
      </c>
      <c r="AI3198">
        <v>108.356212843496</v>
      </c>
      <c r="AJ3198">
        <v>101.485822200147</v>
      </c>
      <c r="AK3198">
        <v>3.5329968327969401</v>
      </c>
      <c r="AL3198">
        <v>87.186928325626397</v>
      </c>
      <c r="AM3198">
        <v>92.263597054664302</v>
      </c>
      <c r="AN3198">
        <v>1.0000000019033699</v>
      </c>
    </row>
    <row r="3199" spans="1:40" x14ac:dyDescent="0.25">
      <c r="A3199" t="str">
        <f>"20190312160354254"</f>
        <v>20190312160354254</v>
      </c>
      <c r="B3199" t="str">
        <f>"1552377834247806"</f>
        <v>1552377834247806</v>
      </c>
      <c r="C3199" t="s">
        <v>40</v>
      </c>
      <c r="D3199">
        <v>5.4278979999999999</v>
      </c>
      <c r="E3199">
        <v>0.3967021</v>
      </c>
      <c r="F3199" t="s">
        <v>59</v>
      </c>
      <c r="G3199">
        <v>-485.60059999999999</v>
      </c>
      <c r="H3199" s="1">
        <v>5.4404779999999996E-6</v>
      </c>
      <c r="I3199">
        <v>229.50970000000001</v>
      </c>
      <c r="J3199">
        <v>-490.92779999999999</v>
      </c>
      <c r="K3199">
        <v>1.11263</v>
      </c>
      <c r="L3199">
        <v>236.25980000000001</v>
      </c>
      <c r="M3199">
        <v>0.33927940000000001</v>
      </c>
      <c r="N3199">
        <v>0</v>
      </c>
      <c r="O3199">
        <v>-0.9406042</v>
      </c>
      <c r="P3199">
        <v>0.37537880000000001</v>
      </c>
      <c r="Q3199">
        <v>3.7122849999999999E-2</v>
      </c>
      <c r="R3199">
        <v>-0.92612779999999995</v>
      </c>
      <c r="S3199">
        <v>1.927521</v>
      </c>
      <c r="T3199">
        <v>-0.3973892</v>
      </c>
      <c r="U3199">
        <v>-2.4765320000000002</v>
      </c>
      <c r="V3199">
        <v>-3.9155839999999997E-2</v>
      </c>
      <c r="W3199">
        <v>4.9266240000000003E-2</v>
      </c>
      <c r="X3199">
        <v>0.99801779999999995</v>
      </c>
      <c r="Y3199">
        <v>-0.3049577</v>
      </c>
      <c r="Z3199">
        <v>0.1249186</v>
      </c>
      <c r="AA3199">
        <v>0.94413780000000003</v>
      </c>
      <c r="AB3199">
        <v>23</v>
      </c>
      <c r="AC3199">
        <v>5.3272000000000004</v>
      </c>
      <c r="AD3199">
        <v>-1.1126245595219999</v>
      </c>
      <c r="AE3199">
        <v>-6.7500999999999998</v>
      </c>
      <c r="AF3199">
        <v>-2.6760239638352799</v>
      </c>
      <c r="AG3199">
        <v>-1.1126245595219999</v>
      </c>
      <c r="AH3199">
        <v>8.0228894324085491</v>
      </c>
      <c r="AI3199">
        <v>97.494571515556302</v>
      </c>
      <c r="AJ3199">
        <v>108.446051326071</v>
      </c>
      <c r="AK3199">
        <v>8.5302867777188496</v>
      </c>
      <c r="AL3199">
        <v>87.176109066885999</v>
      </c>
      <c r="AM3199">
        <v>92.246767876856097</v>
      </c>
      <c r="AN3199">
        <v>0.999999935663339</v>
      </c>
    </row>
    <row r="3200" spans="1:40" x14ac:dyDescent="0.25">
      <c r="A3200" t="str">
        <f>"20190312160354277"</f>
        <v>20190312160354277</v>
      </c>
      <c r="B3200" t="str">
        <f>"1552377834267342"</f>
        <v>1552377834267342</v>
      </c>
      <c r="C3200" t="s">
        <v>40</v>
      </c>
      <c r="D3200">
        <v>5.3183400000000001</v>
      </c>
      <c r="E3200">
        <v>0.39458539999999998</v>
      </c>
      <c r="F3200" t="s">
        <v>59</v>
      </c>
      <c r="G3200">
        <v>-485.10039999999998</v>
      </c>
      <c r="H3200" s="1">
        <v>5.0696639999999998E-6</v>
      </c>
      <c r="I3200">
        <v>228.7423</v>
      </c>
      <c r="J3200">
        <v>-490.84539999999998</v>
      </c>
      <c r="K3200">
        <v>1.1126499999999999</v>
      </c>
      <c r="L3200">
        <v>236.04419999999999</v>
      </c>
      <c r="M3200">
        <v>0.34284290000000001</v>
      </c>
      <c r="N3200">
        <v>0</v>
      </c>
      <c r="O3200">
        <v>-0.93931109999999896</v>
      </c>
      <c r="P3200">
        <v>0.37842409999999999</v>
      </c>
      <c r="Q3200">
        <v>3.7266029999999999E-2</v>
      </c>
      <c r="R3200">
        <v>-0.92488190000000003</v>
      </c>
      <c r="S3200">
        <v>1.9193420000000001</v>
      </c>
      <c r="T3200">
        <v>-0.36646469999999998</v>
      </c>
      <c r="U3200">
        <v>-2.4760439999999999</v>
      </c>
      <c r="V3200">
        <v>-3.866062E-2</v>
      </c>
      <c r="W3200">
        <v>4.9411509999999999E-2</v>
      </c>
      <c r="X3200">
        <v>0.99802999999999997</v>
      </c>
      <c r="Y3200">
        <v>-0.3002322</v>
      </c>
      <c r="Z3200">
        <v>0.115332</v>
      </c>
      <c r="AA3200">
        <v>0.94686809999999999</v>
      </c>
      <c r="AB3200">
        <v>23</v>
      </c>
      <c r="AC3200">
        <v>5.7450000000000001</v>
      </c>
      <c r="AD3200">
        <v>-1.112644930336</v>
      </c>
      <c r="AE3200">
        <v>-7.3018999999999803</v>
      </c>
      <c r="AF3200">
        <v>-2.8522546426020701</v>
      </c>
      <c r="AG3200">
        <v>-1.112644930336</v>
      </c>
      <c r="AH3200">
        <v>8.7042355578997803</v>
      </c>
      <c r="AI3200">
        <v>96.925929915446801</v>
      </c>
      <c r="AJ3200">
        <v>108.14323674703201</v>
      </c>
      <c r="AK3200">
        <v>9.2269741483681607</v>
      </c>
      <c r="AL3200">
        <v>87.167775772243004</v>
      </c>
      <c r="AM3200">
        <v>92.2183535611358</v>
      </c>
      <c r="AN3200">
        <v>1.0000000108796301</v>
      </c>
    </row>
    <row r="3201" spans="1:40" x14ac:dyDescent="0.25">
      <c r="A3201" t="str">
        <f>"20190312160354289"</f>
        <v>20190312160354289</v>
      </c>
      <c r="B3201" t="str">
        <f>"1552377834278063"</f>
        <v>1552377834278063</v>
      </c>
      <c r="C3201" t="s">
        <v>40</v>
      </c>
      <c r="D3201">
        <v>5.5740400000000001</v>
      </c>
      <c r="E3201">
        <v>0.39585789999999998</v>
      </c>
      <c r="F3201" t="s">
        <v>59</v>
      </c>
      <c r="G3201">
        <v>-484.49950000000001</v>
      </c>
      <c r="H3201" s="1">
        <v>4.678768E-6</v>
      </c>
      <c r="I3201">
        <v>227.9966</v>
      </c>
      <c r="J3201">
        <v>-490.7978</v>
      </c>
      <c r="K3201">
        <v>1.11266</v>
      </c>
      <c r="L3201">
        <v>235.9205</v>
      </c>
      <c r="M3201">
        <v>0.34489740000000002</v>
      </c>
      <c r="N3201">
        <v>0</v>
      </c>
      <c r="O3201">
        <v>-0.93855869999999997</v>
      </c>
      <c r="P3201">
        <v>0.38012099999999999</v>
      </c>
      <c r="Q3201">
        <v>3.7459569999999998E-2</v>
      </c>
      <c r="R3201">
        <v>-0.9241781</v>
      </c>
      <c r="S3201">
        <v>1.9420170000000001</v>
      </c>
      <c r="T3201">
        <v>-0.34050239999999998</v>
      </c>
      <c r="U3201">
        <v>-2.4628139999999998</v>
      </c>
      <c r="V3201">
        <v>-3.8313310000000003E-2</v>
      </c>
      <c r="W3201">
        <v>4.960676E-2</v>
      </c>
      <c r="X3201">
        <v>0.99803370000000002</v>
      </c>
      <c r="Y3201">
        <v>-0.3065908</v>
      </c>
      <c r="Z3201">
        <v>0.10721269999999999</v>
      </c>
      <c r="AA3201">
        <v>0.94578410000000002</v>
      </c>
      <c r="AB3201">
        <v>23</v>
      </c>
      <c r="AC3201">
        <v>6.2982999999999798</v>
      </c>
      <c r="AD3201">
        <v>-1.1126553212320001</v>
      </c>
      <c r="AE3201">
        <v>-7.9238999999999997</v>
      </c>
      <c r="AF3201">
        <v>-3.14068606330413</v>
      </c>
      <c r="AG3201">
        <v>-1.1126553212320001</v>
      </c>
      <c r="AH3201">
        <v>9.4953160092057303</v>
      </c>
      <c r="AI3201">
        <v>96.348146425786595</v>
      </c>
      <c r="AJ3201">
        <v>108.302232949871</v>
      </c>
      <c r="AK3201">
        <v>10.0629487192759</v>
      </c>
      <c r="AL3201">
        <v>87.156575014174706</v>
      </c>
      <c r="AM3201">
        <v>92.198436349461701</v>
      </c>
      <c r="AN3201">
        <v>1.0000000033482701</v>
      </c>
    </row>
    <row r="3202" spans="1:40" x14ac:dyDescent="0.25">
      <c r="A3202" t="str">
        <f>"20190312160354304"</f>
        <v>20190312160354304</v>
      </c>
      <c r="B3202" t="str">
        <f>"1552377834297583"</f>
        <v>1552377834297583</v>
      </c>
      <c r="C3202" t="s">
        <v>40</v>
      </c>
      <c r="D3202">
        <v>5.4347839999999996</v>
      </c>
      <c r="E3202">
        <v>0.3948487</v>
      </c>
      <c r="F3202" t="s">
        <v>59</v>
      </c>
      <c r="G3202">
        <v>-484.40480000000002</v>
      </c>
      <c r="H3202" s="1">
        <v>4.5909469999999998E-6</v>
      </c>
      <c r="I3202">
        <v>227.7944</v>
      </c>
      <c r="J3202">
        <v>-490.74110000000002</v>
      </c>
      <c r="K3202">
        <v>1.112673</v>
      </c>
      <c r="L3202">
        <v>235.77440000000001</v>
      </c>
      <c r="M3202">
        <v>0.34733589999999998</v>
      </c>
      <c r="N3202">
        <v>0</v>
      </c>
      <c r="O3202">
        <v>-0.93765900000000002</v>
      </c>
      <c r="P3202">
        <v>0.3820305</v>
      </c>
      <c r="Q3202">
        <v>3.7357380000000003E-2</v>
      </c>
      <c r="R3202">
        <v>-0.92339459999999995</v>
      </c>
      <c r="S3202">
        <v>1.937622</v>
      </c>
      <c r="T3202">
        <v>-0.33723039999999999</v>
      </c>
      <c r="U3202">
        <v>-2.4628909999999999</v>
      </c>
      <c r="V3202">
        <v>-3.7781439999999999E-2</v>
      </c>
      <c r="W3202">
        <v>4.9507700000000002E-2</v>
      </c>
      <c r="X3202">
        <v>0.99805889999999997</v>
      </c>
      <c r="Y3202">
        <v>-0.30313119999999999</v>
      </c>
      <c r="Z3202">
        <v>0.10615819999999999</v>
      </c>
      <c r="AA3202">
        <v>0.94701740000000001</v>
      </c>
      <c r="AB3202">
        <v>23</v>
      </c>
      <c r="AC3202">
        <v>6.3362999999999898</v>
      </c>
      <c r="AD3202">
        <v>-1.1126684090529999</v>
      </c>
      <c r="AE3202">
        <v>-7.9800000000000102</v>
      </c>
      <c r="AF3202">
        <v>-3.1324409223093101</v>
      </c>
      <c r="AG3202">
        <v>-1.1126684090529999</v>
      </c>
      <c r="AH3202">
        <v>9.5699760568534096</v>
      </c>
      <c r="AI3202">
        <v>96.305483147823495</v>
      </c>
      <c r="AJ3202">
        <v>108.124287016888</v>
      </c>
      <c r="AK3202">
        <v>10.1308765094146</v>
      </c>
      <c r="AL3202">
        <v>87.162257731746493</v>
      </c>
      <c r="AM3202">
        <v>92.167892029715205</v>
      </c>
      <c r="AN3202">
        <v>1.0000000087184799</v>
      </c>
    </row>
    <row r="3203" spans="1:40" x14ac:dyDescent="0.25">
      <c r="A3203" t="str">
        <f>"20190312160354320"</f>
        <v>20190312160354320</v>
      </c>
      <c r="B3203" t="str">
        <f>"1552377834318079"</f>
        <v>1552377834318079</v>
      </c>
      <c r="C3203" t="s">
        <v>40</v>
      </c>
      <c r="D3203">
        <v>5.6440859999999997</v>
      </c>
      <c r="E3203">
        <v>0.3964646</v>
      </c>
      <c r="F3203" t="s">
        <v>59</v>
      </c>
      <c r="G3203">
        <v>-483.62880000000001</v>
      </c>
      <c r="H3203" s="1">
        <v>4.1651180000000002E-6</v>
      </c>
      <c r="I3203">
        <v>226.80779999999999</v>
      </c>
      <c r="J3203">
        <v>-490.6823</v>
      </c>
      <c r="K3203">
        <v>1.1126879999999999</v>
      </c>
      <c r="L3203">
        <v>235.62450000000001</v>
      </c>
      <c r="M3203">
        <v>0.34985450000000001</v>
      </c>
      <c r="N3203">
        <v>0</v>
      </c>
      <c r="O3203">
        <v>-0.93672230000000001</v>
      </c>
      <c r="P3203">
        <v>0.38364510000000002</v>
      </c>
      <c r="Q3203">
        <v>3.7673320000000003E-2</v>
      </c>
      <c r="R3203">
        <v>-0.92271199999999998</v>
      </c>
      <c r="S3203">
        <v>1.947632</v>
      </c>
      <c r="T3203">
        <v>-0.30469299999999999</v>
      </c>
      <c r="U3203">
        <v>-2.4554140000000002</v>
      </c>
      <c r="V3203">
        <v>-3.6851849999999998E-2</v>
      </c>
      <c r="W3203">
        <v>4.9829169999999999E-2</v>
      </c>
      <c r="X3203">
        <v>0.99807760000000001</v>
      </c>
      <c r="Y3203">
        <v>-0.30502170000000001</v>
      </c>
      <c r="Z3203">
        <v>9.597928E-2</v>
      </c>
      <c r="AA3203">
        <v>0.94749660000000002</v>
      </c>
      <c r="AB3203">
        <v>23</v>
      </c>
      <c r="AC3203">
        <v>7.0534999999999801</v>
      </c>
      <c r="AD3203">
        <v>-1.1126838348819901</v>
      </c>
      <c r="AE3203">
        <v>-8.8167000000000204</v>
      </c>
      <c r="AF3203">
        <v>-3.48899541496273</v>
      </c>
      <c r="AG3203">
        <v>-1.1126838348819901</v>
      </c>
      <c r="AH3203">
        <v>10.6241446721275</v>
      </c>
      <c r="AI3203">
        <v>95.682417218505705</v>
      </c>
      <c r="AJ3203">
        <v>108.18030823132599</v>
      </c>
      <c r="AK3203">
        <v>11.237597800968601</v>
      </c>
      <c r="AL3203">
        <v>87.143815929296295</v>
      </c>
      <c r="AM3203">
        <v>92.114561777389198</v>
      </c>
      <c r="AN3203">
        <v>0.99999995032653399</v>
      </c>
    </row>
    <row r="3204" spans="1:40" x14ac:dyDescent="0.25">
      <c r="A3204" t="str">
        <f>"20190312160354335"</f>
        <v>20190312160354335</v>
      </c>
      <c r="B3204" t="str">
        <f>"1552377834327839"</f>
        <v>1552377834327839</v>
      </c>
      <c r="C3204" t="s">
        <v>40</v>
      </c>
      <c r="D3204">
        <v>5.675173</v>
      </c>
      <c r="E3204">
        <v>0.39774999999999999</v>
      </c>
      <c r="F3204" t="s">
        <v>59</v>
      </c>
      <c r="G3204">
        <v>-483.19459999999998</v>
      </c>
      <c r="H3204" s="1">
        <v>3.9216300000000003E-6</v>
      </c>
      <c r="I3204">
        <v>226.142</v>
      </c>
      <c r="J3204">
        <v>-490.62240000000003</v>
      </c>
      <c r="K3204">
        <v>1.112698</v>
      </c>
      <c r="L3204">
        <v>235.47280000000001</v>
      </c>
      <c r="M3204">
        <v>0.3524159</v>
      </c>
      <c r="N3204">
        <v>0</v>
      </c>
      <c r="O3204">
        <v>-0.93576150000000002</v>
      </c>
      <c r="P3204">
        <v>0.38583089999999998</v>
      </c>
      <c r="Q3204">
        <v>3.7859480000000001E-2</v>
      </c>
      <c r="R3204">
        <v>-0.92179250000000001</v>
      </c>
      <c r="S3204">
        <v>1.9397580000000001</v>
      </c>
      <c r="T3204">
        <v>-0.28824929999999999</v>
      </c>
      <c r="U3204">
        <v>-2.456528</v>
      </c>
      <c r="V3204">
        <v>-3.6492190000000001E-2</v>
      </c>
      <c r="W3204">
        <v>5.0017289999999999E-2</v>
      </c>
      <c r="X3204">
        <v>0.99808140000000001</v>
      </c>
      <c r="Y3204">
        <v>-0.30065009999999998</v>
      </c>
      <c r="Z3204">
        <v>9.0828370000000005E-2</v>
      </c>
      <c r="AA3204">
        <v>0.94939969999999996</v>
      </c>
      <c r="AB3204">
        <v>23</v>
      </c>
      <c r="AC3204">
        <v>7.4278000000000404</v>
      </c>
      <c r="AD3204">
        <v>-1.1126940783699999</v>
      </c>
      <c r="AE3204">
        <v>-9.3308</v>
      </c>
      <c r="AF3204">
        <v>-3.6310020946486299</v>
      </c>
      <c r="AG3204">
        <v>-1.1126940783699999</v>
      </c>
      <c r="AH3204">
        <v>11.252006422277599</v>
      </c>
      <c r="AI3204">
        <v>95.376260256740494</v>
      </c>
      <c r="AJ3204">
        <v>107.88479639373701</v>
      </c>
      <c r="AK3204">
        <v>11.875601578461501</v>
      </c>
      <c r="AL3204">
        <v>87.133023974863505</v>
      </c>
      <c r="AM3204">
        <v>92.093934957091093</v>
      </c>
      <c r="AN3204">
        <v>0.99999994512794799</v>
      </c>
    </row>
    <row r="3205" spans="1:40" x14ac:dyDescent="0.25">
      <c r="A3205" t="str">
        <f>"20190312160354357"</f>
        <v>20190312160354357</v>
      </c>
      <c r="B3205" t="str">
        <f>"1552377834347359"</f>
        <v>1552377834347359</v>
      </c>
      <c r="C3205" t="s">
        <v>40</v>
      </c>
      <c r="D3205">
        <v>5.6235650000000001</v>
      </c>
      <c r="E3205">
        <v>0.39925870000000002</v>
      </c>
      <c r="F3205" t="s">
        <v>59</v>
      </c>
      <c r="G3205">
        <v>-483.24130000000002</v>
      </c>
      <c r="H3205" s="1">
        <v>3.9255379999999997E-6</v>
      </c>
      <c r="I3205">
        <v>226.11279999999999</v>
      </c>
      <c r="J3205">
        <v>-490.54109999999997</v>
      </c>
      <c r="K3205">
        <v>1.112706</v>
      </c>
      <c r="L3205">
        <v>235.2688</v>
      </c>
      <c r="M3205">
        <v>0.355879</v>
      </c>
      <c r="N3205">
        <v>0</v>
      </c>
      <c r="O3205">
        <v>-0.93444989999999994</v>
      </c>
      <c r="P3205">
        <v>0.38852170000000003</v>
      </c>
      <c r="Q3205">
        <v>3.791783E-2</v>
      </c>
      <c r="R3205">
        <v>-0.92065909999999995</v>
      </c>
      <c r="S3205">
        <v>1.9366760000000001</v>
      </c>
      <c r="T3205">
        <v>-0.29195300000000002</v>
      </c>
      <c r="U3205">
        <v>-2.4559169999999999</v>
      </c>
      <c r="V3205">
        <v>-3.5713929999999998E-2</v>
      </c>
      <c r="W3205">
        <v>5.0080149999999997E-2</v>
      </c>
      <c r="X3205">
        <v>0.99810650000000001</v>
      </c>
      <c r="Y3205">
        <v>-0.29642970000000002</v>
      </c>
      <c r="Z3205">
        <v>9.1909149999999995E-2</v>
      </c>
      <c r="AA3205">
        <v>0.95062199999999997</v>
      </c>
      <c r="AB3205">
        <v>23</v>
      </c>
      <c r="AC3205">
        <v>7.2997999999999399</v>
      </c>
      <c r="AD3205">
        <v>-1.112702074462</v>
      </c>
      <c r="AE3205">
        <v>-9.1560000000000006</v>
      </c>
      <c r="AF3205">
        <v>-3.5312576425450302</v>
      </c>
      <c r="AG3205">
        <v>-1.112702074462</v>
      </c>
      <c r="AH3205">
        <v>11.0547077067832</v>
      </c>
      <c r="AI3205">
        <v>95.476843022227001</v>
      </c>
      <c r="AJ3205">
        <v>107.715287980735</v>
      </c>
      <c r="AK3205">
        <v>11.658235240676699</v>
      </c>
      <c r="AL3205">
        <v>87.129418131853996</v>
      </c>
      <c r="AM3205">
        <v>92.049265118450407</v>
      </c>
      <c r="AN3205">
        <v>1.00000004578115</v>
      </c>
    </row>
    <row r="3206" spans="1:40" x14ac:dyDescent="0.25">
      <c r="A3206" t="str">
        <f>"20190312160354379"</f>
        <v>20190312160354379</v>
      </c>
      <c r="B3206" t="str">
        <f>"1552377834367855"</f>
        <v>1552377834367855</v>
      </c>
      <c r="C3206" t="s">
        <v>40</v>
      </c>
      <c r="D3206">
        <v>4.517963</v>
      </c>
      <c r="E3206">
        <v>0.39852959999999998</v>
      </c>
      <c r="F3206" t="s">
        <v>59</v>
      </c>
      <c r="G3206">
        <v>-483.33780000000002</v>
      </c>
      <c r="H3206" s="1">
        <v>3.9486980000000004E-6</v>
      </c>
      <c r="I3206">
        <v>226.1208</v>
      </c>
      <c r="J3206">
        <v>-490.45819999999998</v>
      </c>
      <c r="K3206">
        <v>1.112716</v>
      </c>
      <c r="L3206">
        <v>235.06299999999999</v>
      </c>
      <c r="M3206">
        <v>0.35939389999999999</v>
      </c>
      <c r="N3206">
        <v>0</v>
      </c>
      <c r="O3206">
        <v>-0.93310380000000004</v>
      </c>
      <c r="P3206">
        <v>0.39123380000000002</v>
      </c>
      <c r="Q3206">
        <v>3.7859539999999997E-2</v>
      </c>
      <c r="R3206">
        <v>-0.91951260000000001</v>
      </c>
      <c r="S3206">
        <v>1.933136</v>
      </c>
      <c r="T3206">
        <v>-0.29861409999999899</v>
      </c>
      <c r="U3206">
        <v>-2.4550480000000001</v>
      </c>
      <c r="V3206">
        <v>-3.4898739999999998E-2</v>
      </c>
      <c r="W3206">
        <v>5.002682E-2</v>
      </c>
      <c r="X3206">
        <v>0.99813799999999997</v>
      </c>
      <c r="Y3206">
        <v>-0.29202600000000001</v>
      </c>
      <c r="Z3206">
        <v>9.3917329999999993E-2</v>
      </c>
      <c r="AA3206">
        <v>0.95178799999999997</v>
      </c>
      <c r="AB3206">
        <v>23</v>
      </c>
      <c r="AC3206">
        <v>7.1203999999999601</v>
      </c>
      <c r="AD3206">
        <v>-1.1127120513019999</v>
      </c>
      <c r="AE3206">
        <v>-8.9421999999999802</v>
      </c>
      <c r="AF3206">
        <v>-3.3983612023693901</v>
      </c>
      <c r="AG3206">
        <v>-1.1127120513019999</v>
      </c>
      <c r="AH3206">
        <v>10.801512808858901</v>
      </c>
      <c r="AI3206">
        <v>95.6121965889579</v>
      </c>
      <c r="AJ3206">
        <v>107.46456620147499</v>
      </c>
      <c r="AK3206">
        <v>11.3780343614714</v>
      </c>
      <c r="AL3206">
        <v>87.132477522164393</v>
      </c>
      <c r="AM3206">
        <v>92.002464902055095</v>
      </c>
      <c r="AN3206">
        <v>1.00000003590844</v>
      </c>
    </row>
    <row r="3207" spans="1:40" x14ac:dyDescent="0.25">
      <c r="A3207" t="str">
        <f>"20190312160354404"</f>
        <v>20190312160354404</v>
      </c>
      <c r="B3207" t="str">
        <f>"1552377834398110"</f>
        <v>1552377834398110</v>
      </c>
      <c r="C3207" t="s">
        <v>40</v>
      </c>
      <c r="D3207">
        <v>5.6325180000000001</v>
      </c>
      <c r="E3207">
        <v>0.3979336</v>
      </c>
      <c r="F3207" t="s">
        <v>59</v>
      </c>
      <c r="G3207">
        <v>-482.68310000000002</v>
      </c>
      <c r="H3207" s="1">
        <v>3.618002E-6</v>
      </c>
      <c r="I3207">
        <v>225.2816</v>
      </c>
      <c r="J3207">
        <v>-490.36189999999999</v>
      </c>
      <c r="K3207">
        <v>1.112727</v>
      </c>
      <c r="L3207">
        <v>234.827</v>
      </c>
      <c r="M3207">
        <v>0.36344609999999999</v>
      </c>
      <c r="N3207">
        <v>0</v>
      </c>
      <c r="O3207">
        <v>-0.9315329</v>
      </c>
      <c r="P3207">
        <v>0.3943354</v>
      </c>
      <c r="Q3207">
        <v>3.6919399999999998E-2</v>
      </c>
      <c r="R3207">
        <v>-0.91822479999999995</v>
      </c>
      <c r="S3207">
        <v>1.944763</v>
      </c>
      <c r="T3207">
        <v>-0.27832269999999998</v>
      </c>
      <c r="U3207">
        <v>-2.446625</v>
      </c>
      <c r="V3207">
        <v>-3.3911749999999997E-2</v>
      </c>
      <c r="W3207">
        <v>4.9093360000000003E-2</v>
      </c>
      <c r="X3207">
        <v>0.99821839999999995</v>
      </c>
      <c r="Y3207">
        <v>-0.29262339999999998</v>
      </c>
      <c r="Z3207">
        <v>8.7490799999999994E-2</v>
      </c>
      <c r="AA3207">
        <v>0.95221690000000003</v>
      </c>
      <c r="AB3207">
        <v>23</v>
      </c>
      <c r="AC3207">
        <v>7.6787999999999599</v>
      </c>
      <c r="AD3207">
        <v>-1.112723381998</v>
      </c>
      <c r="AE3207">
        <v>-9.5454000000000008</v>
      </c>
      <c r="AF3207">
        <v>-3.6539537587806601</v>
      </c>
      <c r="AG3207">
        <v>-1.112723381998</v>
      </c>
      <c r="AH3207">
        <v>11.587978971356501</v>
      </c>
      <c r="AI3207">
        <v>95.232496533224605</v>
      </c>
      <c r="AJ3207">
        <v>107.501250352721</v>
      </c>
      <c r="AK3207">
        <v>12.2012617395396</v>
      </c>
      <c r="AL3207">
        <v>87.186026739157896</v>
      </c>
      <c r="AM3207">
        <v>91.945719680090093</v>
      </c>
      <c r="AN3207">
        <v>1.00000006944135</v>
      </c>
    </row>
    <row r="3208" spans="1:40" x14ac:dyDescent="0.25">
      <c r="A3208" t="str">
        <f>"20190312160354423"</f>
        <v>20190312160354423</v>
      </c>
      <c r="B3208" t="str">
        <f>"1552377834417631"</f>
        <v>1552377834417631</v>
      </c>
      <c r="C3208" t="s">
        <v>40</v>
      </c>
      <c r="D3208">
        <v>5.4800829999999996</v>
      </c>
      <c r="E3208">
        <v>0.39775739999999998</v>
      </c>
      <c r="F3208" t="s">
        <v>59</v>
      </c>
      <c r="G3208">
        <v>-482.1318</v>
      </c>
      <c r="H3208" s="1">
        <v>3.3356930000000001E-6</v>
      </c>
      <c r="I3208">
        <v>224.5744</v>
      </c>
      <c r="J3208">
        <v>-490.28390000000002</v>
      </c>
      <c r="K3208">
        <v>1.1127260000000001</v>
      </c>
      <c r="L3208">
        <v>234.6379</v>
      </c>
      <c r="M3208">
        <v>0.36670900000000001</v>
      </c>
      <c r="N3208">
        <v>0</v>
      </c>
      <c r="O3208">
        <v>-0.93025310000000005</v>
      </c>
      <c r="P3208">
        <v>0.39711170000000001</v>
      </c>
      <c r="Q3208">
        <v>3.5882629999999999E-2</v>
      </c>
      <c r="R3208">
        <v>-0.91706880000000002</v>
      </c>
      <c r="S3208">
        <v>1.956696</v>
      </c>
      <c r="T3208">
        <v>-0.26454699999999998</v>
      </c>
      <c r="U3208">
        <v>-2.4375149999999999</v>
      </c>
      <c r="V3208">
        <v>-3.3411730000000001E-2</v>
      </c>
      <c r="W3208">
        <v>4.8060800000000001E-2</v>
      </c>
      <c r="X3208">
        <v>0.99828539999999999</v>
      </c>
      <c r="Y3208">
        <v>-0.2940914</v>
      </c>
      <c r="Z3208">
        <v>8.3138210000000004E-2</v>
      </c>
      <c r="AA3208">
        <v>0.95215459999999996</v>
      </c>
      <c r="AB3208">
        <v>23</v>
      </c>
      <c r="AC3208">
        <v>8.1521000000000097</v>
      </c>
      <c r="AD3208">
        <v>-1.1127226643070001</v>
      </c>
      <c r="AE3208">
        <v>-10.063499999999999</v>
      </c>
      <c r="AF3208">
        <v>-3.8649095424782098</v>
      </c>
      <c r="AG3208">
        <v>-1.1127226643070001</v>
      </c>
      <c r="AH3208">
        <v>12.261488055039401</v>
      </c>
      <c r="AI3208">
        <v>94.946708734212393</v>
      </c>
      <c r="AJ3208">
        <v>107.495227687949</v>
      </c>
      <c r="AK3208">
        <v>12.904253826668</v>
      </c>
      <c r="AL3208">
        <v>87.245257697897102</v>
      </c>
      <c r="AM3208">
        <v>91.916923545334001</v>
      </c>
      <c r="AN3208">
        <v>0.99999996202569497</v>
      </c>
    </row>
    <row r="3209" spans="1:40" x14ac:dyDescent="0.25">
      <c r="A3209" t="str">
        <f>"20190312160354443"</f>
        <v>20190312160354443</v>
      </c>
      <c r="B3209" t="str">
        <f>"1552377834438126"</f>
        <v>1552377834438126</v>
      </c>
      <c r="C3209" t="s">
        <v>40</v>
      </c>
      <c r="D3209">
        <v>5.6435969999999998</v>
      </c>
      <c r="E3209">
        <v>0.39799489999999998</v>
      </c>
      <c r="F3209" t="s">
        <v>59</v>
      </c>
      <c r="G3209">
        <v>-481.96010000000001</v>
      </c>
      <c r="H3209" s="1">
        <v>3.226486E-6</v>
      </c>
      <c r="I3209">
        <v>224.34479999999999</v>
      </c>
      <c r="J3209">
        <v>-490.2</v>
      </c>
      <c r="K3209">
        <v>1.11273</v>
      </c>
      <c r="L3209">
        <v>234.43639999999999</v>
      </c>
      <c r="M3209">
        <v>0.37020029999999998</v>
      </c>
      <c r="N3209">
        <v>0</v>
      </c>
      <c r="O3209">
        <v>-0.92886939999999996</v>
      </c>
      <c r="P3209">
        <v>0.40043089999999998</v>
      </c>
      <c r="Q3209">
        <v>3.4235910000000001E-2</v>
      </c>
      <c r="R3209">
        <v>-0.91568720000000003</v>
      </c>
      <c r="S3209">
        <v>1.9654849999999999</v>
      </c>
      <c r="T3209">
        <v>-0.26274309999999901</v>
      </c>
      <c r="U3209">
        <v>-2.430466</v>
      </c>
      <c r="V3209">
        <v>-3.3246289999999998E-2</v>
      </c>
      <c r="W3209">
        <v>4.6416119999999998E-2</v>
      </c>
      <c r="X3209">
        <v>0.99836879999999995</v>
      </c>
      <c r="Y3209">
        <v>-0.29396870000000003</v>
      </c>
      <c r="Z3209">
        <v>8.2500690000000002E-2</v>
      </c>
      <c r="AA3209">
        <v>0.95224790000000004</v>
      </c>
      <c r="AB3209">
        <v>23</v>
      </c>
      <c r="AC3209">
        <v>8.2398999999999702</v>
      </c>
      <c r="AD3209">
        <v>-1.1127267735140001</v>
      </c>
      <c r="AE3209">
        <v>-10.0916</v>
      </c>
      <c r="AF3209">
        <v>-3.8898034997734401</v>
      </c>
      <c r="AG3209">
        <v>-1.1127267735140001</v>
      </c>
      <c r="AH3209">
        <v>12.3351645353941</v>
      </c>
      <c r="AI3209">
        <v>94.917135958409204</v>
      </c>
      <c r="AJ3209">
        <v>107.50228590179699</v>
      </c>
      <c r="AK3209">
        <v>12.981718540108201</v>
      </c>
      <c r="AL3209">
        <v>87.339596395330801</v>
      </c>
      <c r="AM3209">
        <v>91.907279600406994</v>
      </c>
      <c r="AN3209">
        <v>1.0000000164040199</v>
      </c>
    </row>
    <row r="3210" spans="1:40" x14ac:dyDescent="0.25">
      <c r="A3210" t="str">
        <f>"20190312160354458"</f>
        <v>20190312160354458</v>
      </c>
      <c r="B3210" t="str">
        <f>"1552377834447887"</f>
        <v>1552377834447887</v>
      </c>
      <c r="C3210" t="s">
        <v>40</v>
      </c>
      <c r="D3210">
        <v>5.7076580000000003</v>
      </c>
      <c r="E3210">
        <v>0.39804800000000001</v>
      </c>
      <c r="F3210" t="s">
        <v>59</v>
      </c>
      <c r="G3210">
        <v>-481.96140000000003</v>
      </c>
      <c r="H3210" s="1">
        <v>3.2170150000000001E-6</v>
      </c>
      <c r="I3210">
        <v>224.3133</v>
      </c>
      <c r="J3210">
        <v>-490.14190000000002</v>
      </c>
      <c r="K3210">
        <v>1.112733</v>
      </c>
      <c r="L3210">
        <v>234.29859999999999</v>
      </c>
      <c r="M3210">
        <v>0.37259720000000002</v>
      </c>
      <c r="N3210">
        <v>0</v>
      </c>
      <c r="O3210">
        <v>-0.92791040000000002</v>
      </c>
      <c r="P3210">
        <v>0.40258769999999999</v>
      </c>
      <c r="Q3210">
        <v>3.3674490000000001E-2</v>
      </c>
      <c r="R3210">
        <v>-0.91476179999999996</v>
      </c>
      <c r="S3210">
        <v>1.9724729999999999</v>
      </c>
      <c r="T3210">
        <v>-0.2664089</v>
      </c>
      <c r="U3210">
        <v>-2.4236759999999999</v>
      </c>
      <c r="V3210">
        <v>-3.301101E-2</v>
      </c>
      <c r="W3210">
        <v>4.5856429999999997E-2</v>
      </c>
      <c r="X3210">
        <v>0.99840249999999997</v>
      </c>
      <c r="Y3210">
        <v>-0.29439500000000002</v>
      </c>
      <c r="Z3210">
        <v>8.3624210000000004E-2</v>
      </c>
      <c r="AA3210">
        <v>0.95201820000000004</v>
      </c>
      <c r="AB3210">
        <v>23</v>
      </c>
      <c r="AC3210">
        <v>8.1804999999999897</v>
      </c>
      <c r="AD3210">
        <v>-1.112729782985</v>
      </c>
      <c r="AE3210">
        <v>-9.9852999999999899</v>
      </c>
      <c r="AF3210">
        <v>-3.8420242600505201</v>
      </c>
      <c r="AG3210">
        <v>-1.112729782985</v>
      </c>
      <c r="AH3210">
        <v>12.223610002668799</v>
      </c>
      <c r="AI3210">
        <v>94.963258886994495</v>
      </c>
      <c r="AJ3210">
        <v>107.4485460861</v>
      </c>
      <c r="AK3210">
        <v>12.8614135880199</v>
      </c>
      <c r="AL3210">
        <v>87.371698530247897</v>
      </c>
      <c r="AM3210">
        <v>91.893727998994095</v>
      </c>
      <c r="AN3210">
        <v>1.0000000454799001</v>
      </c>
    </row>
    <row r="3211" spans="1:40" x14ac:dyDescent="0.25">
      <c r="A3211" t="str">
        <f>"20190312160354478"</f>
        <v>20190312160354478</v>
      </c>
      <c r="B3211" t="str">
        <f>"1552377834467410"</f>
        <v>1552377834467410</v>
      </c>
      <c r="C3211" t="s">
        <v>40</v>
      </c>
      <c r="D3211">
        <v>5.6830429999999996</v>
      </c>
      <c r="E3211">
        <v>0.39829249999999999</v>
      </c>
      <c r="F3211" t="s">
        <v>59</v>
      </c>
      <c r="G3211">
        <v>-481.93950000000001</v>
      </c>
      <c r="H3211" s="1">
        <v>3.1974979999999998E-6</v>
      </c>
      <c r="I3211">
        <v>224.26589999999999</v>
      </c>
      <c r="J3211">
        <v>-490.06349999999998</v>
      </c>
      <c r="K3211">
        <v>1.1127389999999999</v>
      </c>
      <c r="L3211">
        <v>234.114</v>
      </c>
      <c r="M3211">
        <v>0.37581540000000002</v>
      </c>
      <c r="N3211">
        <v>0</v>
      </c>
      <c r="O3211">
        <v>-0.92661170000000004</v>
      </c>
      <c r="P3211">
        <v>0.40546549999999998</v>
      </c>
      <c r="Q3211">
        <v>3.2842099999999999E-2</v>
      </c>
      <c r="R3211">
        <v>-0.91352029999999995</v>
      </c>
      <c r="S3211">
        <v>1.977692</v>
      </c>
      <c r="T3211">
        <v>-0.26829309999999901</v>
      </c>
      <c r="U3211">
        <v>-2.419006</v>
      </c>
      <c r="V3211">
        <v>-3.2673279999999999E-2</v>
      </c>
      <c r="W3211">
        <v>4.5026629999999998E-2</v>
      </c>
      <c r="X3211">
        <v>0.99845139999999999</v>
      </c>
      <c r="Y3211">
        <v>-0.29317969999999999</v>
      </c>
      <c r="Z3211">
        <v>8.4130120000000003E-2</v>
      </c>
      <c r="AA3211">
        <v>0.95234859999999999</v>
      </c>
      <c r="AB3211">
        <v>23</v>
      </c>
      <c r="AC3211">
        <v>8.1239999999999597</v>
      </c>
      <c r="AD3211">
        <v>-1.112735802502</v>
      </c>
      <c r="AE3211">
        <v>-9.8481000000000094</v>
      </c>
      <c r="AF3211">
        <v>-3.7981652424184702</v>
      </c>
      <c r="AG3211">
        <v>-1.112735802502</v>
      </c>
      <c r="AH3211">
        <v>12.087595477678301</v>
      </c>
      <c r="AI3211">
        <v>95.018981750477096</v>
      </c>
      <c r="AJ3211">
        <v>107.443765956734</v>
      </c>
      <c r="AK3211">
        <v>12.7190488876674</v>
      </c>
      <c r="AL3211">
        <v>87.419291792835395</v>
      </c>
      <c r="AM3211">
        <v>91.8742757496764</v>
      </c>
      <c r="AN3211">
        <v>1.00000006939853</v>
      </c>
    </row>
    <row r="3212" spans="1:40" x14ac:dyDescent="0.25">
      <c r="A3212" t="str">
        <f>"20190312160354501"</f>
        <v>20190312160354501</v>
      </c>
      <c r="B3212" t="str">
        <f>"1552377834497663"</f>
        <v>1552377834497663</v>
      </c>
      <c r="C3212" t="s">
        <v>40</v>
      </c>
      <c r="D3212">
        <v>5.7416869999999998</v>
      </c>
      <c r="E3212">
        <v>0.39851959999999997</v>
      </c>
      <c r="F3212" t="s">
        <v>59</v>
      </c>
      <c r="G3212">
        <v>-481.94369999999998</v>
      </c>
      <c r="H3212" s="1">
        <v>3.188008E-6</v>
      </c>
      <c r="I3212">
        <v>224.23230000000001</v>
      </c>
      <c r="J3212">
        <v>-489.96780000000001</v>
      </c>
      <c r="K3212">
        <v>1.1127400000000001</v>
      </c>
      <c r="L3212">
        <v>233.89070000000001</v>
      </c>
      <c r="M3212">
        <v>0.37971670000000002</v>
      </c>
      <c r="N3212">
        <v>0</v>
      </c>
      <c r="O3212">
        <v>-0.9250197</v>
      </c>
      <c r="P3212">
        <v>0.40908489999999997</v>
      </c>
      <c r="Q3212">
        <v>3.2386600000000001E-2</v>
      </c>
      <c r="R3212">
        <v>-0.91192169999999895</v>
      </c>
      <c r="S3212">
        <v>1.983185</v>
      </c>
      <c r="T3212">
        <v>-0.27177499999999999</v>
      </c>
      <c r="U3212">
        <v>-2.413513</v>
      </c>
      <c r="V3212">
        <v>-3.241637E-2</v>
      </c>
      <c r="W3212">
        <v>4.4573620000000001E-2</v>
      </c>
      <c r="X3212">
        <v>0.99848000000000003</v>
      </c>
      <c r="Y3212">
        <v>-0.29144930000000002</v>
      </c>
      <c r="Z3212">
        <v>8.5118109999999997E-2</v>
      </c>
      <c r="AA3212">
        <v>0.95279179999999997</v>
      </c>
      <c r="AB3212">
        <v>23</v>
      </c>
      <c r="AC3212">
        <v>8.0241000000000309</v>
      </c>
      <c r="AD3212">
        <v>-1.112736811992</v>
      </c>
      <c r="AE3212">
        <v>-9.6584000000000003</v>
      </c>
      <c r="AF3212">
        <v>-3.7260232433338998</v>
      </c>
      <c r="AG3212">
        <v>-1.112736811992</v>
      </c>
      <c r="AH3212">
        <v>11.8886552430611</v>
      </c>
      <c r="AI3212">
        <v>95.103707128999702</v>
      </c>
      <c r="AJ3212">
        <v>107.401511904682</v>
      </c>
      <c r="AK3212">
        <v>12.5084593739992</v>
      </c>
      <c r="AL3212">
        <v>87.445273183347297</v>
      </c>
      <c r="AM3212">
        <v>91.859495480654701</v>
      </c>
      <c r="AN3212">
        <v>0.99999996952194004</v>
      </c>
    </row>
    <row r="3213" spans="1:40" x14ac:dyDescent="0.25">
      <c r="A3213" t="str">
        <f>"20190312160354515"</f>
        <v>20190312160354515</v>
      </c>
      <c r="B3213" t="str">
        <f>"1552377834507423"</f>
        <v>1552377834507423</v>
      </c>
      <c r="C3213" t="s">
        <v>40</v>
      </c>
      <c r="D3213">
        <v>5.7225479999999997</v>
      </c>
      <c r="E3213">
        <v>0.39862999999999998</v>
      </c>
      <c r="F3213" t="s">
        <v>59</v>
      </c>
      <c r="G3213">
        <v>-481.87</v>
      </c>
      <c r="H3213" s="1">
        <v>3.1319879999999999E-6</v>
      </c>
      <c r="I3213">
        <v>224.10429999999999</v>
      </c>
      <c r="J3213">
        <v>-489.91199999999998</v>
      </c>
      <c r="K3213">
        <v>1.1127359999999999</v>
      </c>
      <c r="L3213">
        <v>233.7619</v>
      </c>
      <c r="M3213">
        <v>0.3819707</v>
      </c>
      <c r="N3213">
        <v>0</v>
      </c>
      <c r="O3213">
        <v>-0.92409129999999995</v>
      </c>
      <c r="P3213">
        <v>0.41109630000000003</v>
      </c>
      <c r="Q3213">
        <v>3.227356E-2</v>
      </c>
      <c r="R3213">
        <v>-0.91102050000000001</v>
      </c>
      <c r="S3213">
        <v>1.9910890000000001</v>
      </c>
      <c r="T3213">
        <v>-0.27360020000000002</v>
      </c>
      <c r="U3213">
        <v>-2.4062960000000002</v>
      </c>
      <c r="V3213">
        <v>-3.2183709999999997E-2</v>
      </c>
      <c r="W3213">
        <v>4.4462630000000003E-2</v>
      </c>
      <c r="X3213">
        <v>0.99849250000000001</v>
      </c>
      <c r="Y3213">
        <v>-0.29234569999999999</v>
      </c>
      <c r="Z3213">
        <v>8.5665169999999999E-2</v>
      </c>
      <c r="AA3213">
        <v>0.95246810000000004</v>
      </c>
      <c r="AB3213">
        <v>23</v>
      </c>
      <c r="AC3213">
        <v>8.0419999999999696</v>
      </c>
      <c r="AD3213">
        <v>-1.1127328680120001</v>
      </c>
      <c r="AE3213">
        <v>-9.6576000000000004</v>
      </c>
      <c r="AF3213">
        <v>-3.7137957313121199</v>
      </c>
      <c r="AG3213">
        <v>-1.1127328680120001</v>
      </c>
      <c r="AH3213">
        <v>11.903914997986901</v>
      </c>
      <c r="AI3213">
        <v>95.099245322522805</v>
      </c>
      <c r="AJ3213">
        <v>107.326931592134</v>
      </c>
      <c r="AK3213">
        <v>12.519330870648099</v>
      </c>
      <c r="AL3213">
        <v>87.451638817052</v>
      </c>
      <c r="AM3213">
        <v>91.846135612264803</v>
      </c>
      <c r="AN3213">
        <v>0.99999999460606503</v>
      </c>
    </row>
    <row r="3214" spans="1:40" x14ac:dyDescent="0.25">
      <c r="A3214" t="str">
        <f>"20190312160354534"</f>
        <v>20190312160354534</v>
      </c>
      <c r="B3214" t="str">
        <f>"1552377834527919"</f>
        <v>1552377834527919</v>
      </c>
      <c r="C3214" t="s">
        <v>40</v>
      </c>
      <c r="D3214">
        <v>5.7441509999999996</v>
      </c>
      <c r="E3214">
        <v>0.39882240000000002</v>
      </c>
      <c r="F3214" t="s">
        <v>59</v>
      </c>
      <c r="G3214">
        <v>-481.82380000000001</v>
      </c>
      <c r="H3214" s="1">
        <v>3.0983679999999998E-6</v>
      </c>
      <c r="I3214">
        <v>224.02879999999999</v>
      </c>
      <c r="J3214">
        <v>-489.83150000000001</v>
      </c>
      <c r="K3214">
        <v>1.112733</v>
      </c>
      <c r="L3214">
        <v>233.57749999999999</v>
      </c>
      <c r="M3214">
        <v>0.3852006</v>
      </c>
      <c r="N3214">
        <v>0</v>
      </c>
      <c r="O3214">
        <v>-0.9227495</v>
      </c>
      <c r="P3214">
        <v>0.41429270000000001</v>
      </c>
      <c r="Q3214">
        <v>3.144566E-2</v>
      </c>
      <c r="R3214">
        <v>-0.90960059999999998</v>
      </c>
      <c r="S3214">
        <v>1.996094</v>
      </c>
      <c r="T3214">
        <v>-0.27461210000000003</v>
      </c>
      <c r="U3214">
        <v>-2.4020389999999998</v>
      </c>
      <c r="V3214">
        <v>-3.2181080000000001E-2</v>
      </c>
      <c r="W3214">
        <v>4.3635170000000001E-2</v>
      </c>
      <c r="X3214">
        <v>0.99852909999999995</v>
      </c>
      <c r="Y3214">
        <v>-0.29099039999999998</v>
      </c>
      <c r="Z3214">
        <v>8.5882819999999999E-2</v>
      </c>
      <c r="AA3214">
        <v>0.95286340000000003</v>
      </c>
      <c r="AB3214">
        <v>23</v>
      </c>
      <c r="AC3214">
        <v>8.0076999999999998</v>
      </c>
      <c r="AD3214">
        <v>-1.112729901632</v>
      </c>
      <c r="AE3214">
        <v>-9.5486999999999895</v>
      </c>
      <c r="AF3214">
        <v>-3.68186728777206</v>
      </c>
      <c r="AG3214">
        <v>-1.112729901632</v>
      </c>
      <c r="AH3214">
        <v>11.802446844108699</v>
      </c>
      <c r="AI3214">
        <v>95.142870441710997</v>
      </c>
      <c r="AJ3214">
        <v>107.325726919609</v>
      </c>
      <c r="AK3214">
        <v>12.413382539290501</v>
      </c>
      <c r="AL3214">
        <v>87.499094876753304</v>
      </c>
      <c r="AM3214">
        <v>91.845917237714602</v>
      </c>
      <c r="AN3214">
        <v>1.0000000067588499</v>
      </c>
    </row>
    <row r="3215" spans="1:40" x14ac:dyDescent="0.25">
      <c r="A3215" t="str">
        <f>"20190312160354556"</f>
        <v>20190312160354556</v>
      </c>
      <c r="B3215" t="str">
        <f>"1552377834547442"</f>
        <v>1552377834547442</v>
      </c>
      <c r="C3215" t="s">
        <v>40</v>
      </c>
      <c r="D3215">
        <v>5.7013540000000003</v>
      </c>
      <c r="E3215">
        <v>0.39896589999999998</v>
      </c>
      <c r="F3215" t="s">
        <v>59</v>
      </c>
      <c r="G3215">
        <v>-481.815</v>
      </c>
      <c r="H3215" s="1">
        <v>3.0845089999999999E-6</v>
      </c>
      <c r="I3215">
        <v>223.99029999999999</v>
      </c>
      <c r="J3215">
        <v>-489.74110000000002</v>
      </c>
      <c r="K3215">
        <v>1.1127359999999999</v>
      </c>
      <c r="L3215">
        <v>233.3725</v>
      </c>
      <c r="M3215">
        <v>0.38879219999999998</v>
      </c>
      <c r="N3215">
        <v>0</v>
      </c>
      <c r="O3215">
        <v>-0.92124209999999995</v>
      </c>
      <c r="P3215">
        <v>0.4177729</v>
      </c>
      <c r="Q3215">
        <v>3.068301E-2</v>
      </c>
      <c r="R3215">
        <v>-0.90803339999999999</v>
      </c>
      <c r="S3215">
        <v>2.0030209999999999</v>
      </c>
      <c r="T3215">
        <v>-0.27803119999999998</v>
      </c>
      <c r="U3215">
        <v>-2.3954770000000001</v>
      </c>
      <c r="V3215">
        <v>-3.2100240000000002E-2</v>
      </c>
      <c r="W3215">
        <v>4.2874370000000002E-2</v>
      </c>
      <c r="X3215">
        <v>0.99856469999999997</v>
      </c>
      <c r="Y3215">
        <v>-0.29011009999999998</v>
      </c>
      <c r="Z3215">
        <v>8.6859350000000002E-2</v>
      </c>
      <c r="AA3215">
        <v>0.95304330000000004</v>
      </c>
      <c r="AB3215">
        <v>23</v>
      </c>
      <c r="AC3215">
        <v>7.9261000000000097</v>
      </c>
      <c r="AD3215">
        <v>-1.112732915491</v>
      </c>
      <c r="AE3215">
        <v>-9.3822000000000099</v>
      </c>
      <c r="AF3215">
        <v>-3.6246601282431401</v>
      </c>
      <c r="AG3215">
        <v>-1.112732915491</v>
      </c>
      <c r="AH3215">
        <v>11.6303218634673</v>
      </c>
      <c r="AI3215">
        <v>95.219025393014505</v>
      </c>
      <c r="AJ3215">
        <v>107.309961113424</v>
      </c>
      <c r="AK3215">
        <v>12.2327724672021</v>
      </c>
      <c r="AL3215">
        <v>87.542726445125695</v>
      </c>
      <c r="AM3215">
        <v>91.841217826183595</v>
      </c>
      <c r="AN3215">
        <v>1.0000000485485201</v>
      </c>
    </row>
    <row r="3216" spans="1:40" x14ac:dyDescent="0.25">
      <c r="A3216" t="str">
        <f>"20190312160354579"</f>
        <v>20190312160354579</v>
      </c>
      <c r="B3216" t="str">
        <f>"1552377834567935"</f>
        <v>1552377834567935</v>
      </c>
      <c r="C3216" t="s">
        <v>40</v>
      </c>
      <c r="D3216">
        <v>5.7166410000000001</v>
      </c>
      <c r="E3216">
        <v>0.39898709999999998</v>
      </c>
      <c r="F3216" t="s">
        <v>59</v>
      </c>
      <c r="G3216">
        <v>-481.7749</v>
      </c>
      <c r="H3216" s="1">
        <v>3.0520409999999998E-6</v>
      </c>
      <c r="I3216">
        <v>223.9143</v>
      </c>
      <c r="J3216">
        <v>-489.64060000000001</v>
      </c>
      <c r="K3216">
        <v>1.1127339999999999</v>
      </c>
      <c r="L3216">
        <v>233.1472</v>
      </c>
      <c r="M3216">
        <v>0.39273839999999999</v>
      </c>
      <c r="N3216">
        <v>0</v>
      </c>
      <c r="O3216">
        <v>-0.91956680000000002</v>
      </c>
      <c r="P3216">
        <v>0.421929</v>
      </c>
      <c r="Q3216">
        <v>3.030559E-2</v>
      </c>
      <c r="R3216">
        <v>-0.90612250000000005</v>
      </c>
      <c r="S3216">
        <v>2.0112610000000002</v>
      </c>
      <c r="T3216">
        <v>-0.28093620000000002</v>
      </c>
      <c r="U3216">
        <v>-2.3879549999999998</v>
      </c>
      <c r="V3216">
        <v>-3.2386459999999999E-2</v>
      </c>
      <c r="W3216">
        <v>4.249563E-2</v>
      </c>
      <c r="X3216">
        <v>0.9985716</v>
      </c>
      <c r="Y3216">
        <v>-0.2893597</v>
      </c>
      <c r="Z3216">
        <v>8.7662130000000005E-2</v>
      </c>
      <c r="AA3216">
        <v>0.95319799999999999</v>
      </c>
      <c r="AB3216">
        <v>23</v>
      </c>
      <c r="AC3216">
        <v>7.8657000000000004</v>
      </c>
      <c r="AD3216">
        <v>-1.112730947959</v>
      </c>
      <c r="AE3216">
        <v>-9.2329000000000008</v>
      </c>
      <c r="AF3216">
        <v>-3.5770930774651202</v>
      </c>
      <c r="AG3216">
        <v>-1.112730947959</v>
      </c>
      <c r="AH3216">
        <v>11.483669229454099</v>
      </c>
      <c r="AI3216">
        <v>95.285532763152901</v>
      </c>
      <c r="AJ3216">
        <v>107.30149364504101</v>
      </c>
      <c r="AK3216">
        <v>12.0792559381324</v>
      </c>
      <c r="AL3216">
        <v>87.564446327515697</v>
      </c>
      <c r="AM3216">
        <v>91.857610663794702</v>
      </c>
      <c r="AN3216">
        <v>1.0000000008434899</v>
      </c>
    </row>
    <row r="3217" spans="1:40" x14ac:dyDescent="0.25">
      <c r="A3217" t="str">
        <f>"20190312160354602"</f>
        <v>20190312160354602</v>
      </c>
      <c r="B3217" t="str">
        <f>"1552377834597215"</f>
        <v>1552377834597215</v>
      </c>
      <c r="C3217" t="s">
        <v>40</v>
      </c>
      <c r="D3217">
        <v>5.5416080000000001</v>
      </c>
      <c r="E3217">
        <v>0.39898400000000001</v>
      </c>
      <c r="F3217" t="s">
        <v>59</v>
      </c>
      <c r="G3217">
        <v>-481.62349999999998</v>
      </c>
      <c r="H3217" s="1">
        <v>2.962937E-6</v>
      </c>
      <c r="I3217">
        <v>223.71549999999999</v>
      </c>
      <c r="J3217">
        <v>-489.54829999999998</v>
      </c>
      <c r="K3217">
        <v>1.112733</v>
      </c>
      <c r="L3217">
        <v>232.94239999999999</v>
      </c>
      <c r="M3217">
        <v>0.39632420000000002</v>
      </c>
      <c r="N3217">
        <v>0</v>
      </c>
      <c r="O3217">
        <v>-0.91802689999999998</v>
      </c>
      <c r="P3217">
        <v>0.4258555</v>
      </c>
      <c r="Q3217">
        <v>3.011409E-2</v>
      </c>
      <c r="R3217">
        <v>-0.90429009999999999</v>
      </c>
      <c r="S3217">
        <v>2.0219420000000001</v>
      </c>
      <c r="T3217">
        <v>-0.28063519999999997</v>
      </c>
      <c r="U3217">
        <v>-2.378708</v>
      </c>
      <c r="V3217">
        <v>-3.2817159999999998E-2</v>
      </c>
      <c r="W3217">
        <v>4.2301730000000003E-2</v>
      </c>
      <c r="X3217">
        <v>0.99856579999999995</v>
      </c>
      <c r="Y3217">
        <v>-0.2899465</v>
      </c>
      <c r="Z3217">
        <v>8.7494660000000002E-2</v>
      </c>
      <c r="AA3217">
        <v>0.95303499999999997</v>
      </c>
      <c r="AB3217">
        <v>23</v>
      </c>
      <c r="AC3217">
        <v>7.9248000000000003</v>
      </c>
      <c r="AD3217">
        <v>-1.112730037063</v>
      </c>
      <c r="AE3217">
        <v>-9.2269000000000005</v>
      </c>
      <c r="AF3217">
        <v>-3.5885793762760101</v>
      </c>
      <c r="AG3217">
        <v>-1.112730037063</v>
      </c>
      <c r="AH3217">
        <v>11.5158432451626</v>
      </c>
      <c r="AI3217">
        <v>95.270655299137005</v>
      </c>
      <c r="AJ3217">
        <v>107.308134439368</v>
      </c>
      <c r="AK3217">
        <v>12.1132454661157</v>
      </c>
      <c r="AL3217">
        <v>87.575566048134803</v>
      </c>
      <c r="AM3217">
        <v>91.882307866632601</v>
      </c>
      <c r="AN3217">
        <v>1.00000002964054</v>
      </c>
    </row>
    <row r="3218" spans="1:40" x14ac:dyDescent="0.25">
      <c r="A3218" t="str">
        <f>"20190312160354623"</f>
        <v>20190312160354623</v>
      </c>
      <c r="B3218" t="str">
        <f>"1552377834617711"</f>
        <v>1552377834617711</v>
      </c>
      <c r="C3218" t="s">
        <v>40</v>
      </c>
      <c r="D3218">
        <v>5.4904809999999999</v>
      </c>
      <c r="E3218">
        <v>0.39915260000000002</v>
      </c>
      <c r="F3218" t="s">
        <v>59</v>
      </c>
      <c r="G3218">
        <v>-481.50720000000001</v>
      </c>
      <c r="H3218" s="1">
        <v>2.9093499999999999E-6</v>
      </c>
      <c r="I3218">
        <v>223.56649999999999</v>
      </c>
      <c r="J3218">
        <v>-489.4554</v>
      </c>
      <c r="K3218">
        <v>1.11273</v>
      </c>
      <c r="L3218">
        <v>232.73840000000001</v>
      </c>
      <c r="M3218">
        <v>0.39989360000000002</v>
      </c>
      <c r="N3218">
        <v>0</v>
      </c>
      <c r="O3218">
        <v>-0.91647780000000001</v>
      </c>
      <c r="P3218">
        <v>0.43045610000000001</v>
      </c>
      <c r="Q3218">
        <v>3.0553139999999999E-2</v>
      </c>
      <c r="R3218">
        <v>-0.90209459999999997</v>
      </c>
      <c r="S3218">
        <v>2.0323790000000002</v>
      </c>
      <c r="T3218">
        <v>-0.28124250000000001</v>
      </c>
      <c r="U3218">
        <v>-2.3697659999999998</v>
      </c>
      <c r="V3218">
        <v>-3.4026430000000003E-2</v>
      </c>
      <c r="W3218">
        <v>4.2732880000000001E-2</v>
      </c>
      <c r="X3218">
        <v>0.99850700000000003</v>
      </c>
      <c r="Y3218">
        <v>-0.29041040000000001</v>
      </c>
      <c r="Z3218">
        <v>8.7601239999999997E-2</v>
      </c>
      <c r="AA3218">
        <v>0.95288399999999995</v>
      </c>
      <c r="AB3218">
        <v>23</v>
      </c>
      <c r="AC3218">
        <v>7.9481999999999804</v>
      </c>
      <c r="AD3218">
        <v>-1.11272709065</v>
      </c>
      <c r="AE3218">
        <v>-9.1719000000000204</v>
      </c>
      <c r="AF3218">
        <v>-3.5866932355183301</v>
      </c>
      <c r="AG3218">
        <v>-1.11272709065</v>
      </c>
      <c r="AH3218">
        <v>11.488595145544901</v>
      </c>
      <c r="AI3218">
        <v>95.282213011992098</v>
      </c>
      <c r="AJ3218">
        <v>107.338154008019</v>
      </c>
      <c r="AK3218">
        <v>12.086784037212601</v>
      </c>
      <c r="AL3218">
        <v>87.550840696661894</v>
      </c>
      <c r="AM3218">
        <v>91.951730635365095</v>
      </c>
      <c r="AN3218">
        <v>1.0000000630103101</v>
      </c>
    </row>
    <row r="3219" spans="1:40" x14ac:dyDescent="0.25">
      <c r="A3219" t="str">
        <f>"20190312160354649"</f>
        <v>20190312160354649</v>
      </c>
      <c r="B3219" t="str">
        <f>"1552377834637231"</f>
        <v>1552377834637231</v>
      </c>
      <c r="C3219" t="s">
        <v>40</v>
      </c>
      <c r="D3219">
        <v>5.6209720000000001</v>
      </c>
      <c r="E3219">
        <v>0.39901059999999999</v>
      </c>
      <c r="F3219" t="s">
        <v>59</v>
      </c>
      <c r="G3219">
        <v>-481.39240000000001</v>
      </c>
      <c r="H3219" s="1">
        <v>2.8573979999999999E-6</v>
      </c>
      <c r="I3219">
        <v>223.42359999999999</v>
      </c>
      <c r="J3219">
        <v>-489.34219999999999</v>
      </c>
      <c r="K3219">
        <v>1.1127229999999999</v>
      </c>
      <c r="L3219">
        <v>232.49270000000001</v>
      </c>
      <c r="M3219">
        <v>0.40418969999999999</v>
      </c>
      <c r="N3219">
        <v>0</v>
      </c>
      <c r="O3219">
        <v>-0.91459120000000005</v>
      </c>
      <c r="P3219">
        <v>0.43625039999999998</v>
      </c>
      <c r="Q3219">
        <v>3.0757E-2</v>
      </c>
      <c r="R3219">
        <v>-0.89929939999999997</v>
      </c>
      <c r="S3219">
        <v>2.0430299999999999</v>
      </c>
      <c r="T3219">
        <v>-0.2819487</v>
      </c>
      <c r="U3219">
        <v>-2.3602289999999999</v>
      </c>
      <c r="V3219">
        <v>-3.5768689999999999E-2</v>
      </c>
      <c r="W3219">
        <v>4.2925350000000001E-2</v>
      </c>
      <c r="X3219">
        <v>0.99843780000000004</v>
      </c>
      <c r="Y3219">
        <v>-0.29027509999999901</v>
      </c>
      <c r="Z3219">
        <v>8.7712929999999995E-2</v>
      </c>
      <c r="AA3219">
        <v>0.95291490000000001</v>
      </c>
      <c r="AB3219">
        <v>23</v>
      </c>
      <c r="AC3219">
        <v>7.9497999999999802</v>
      </c>
      <c r="AD3219">
        <v>-1.1127201426019999</v>
      </c>
      <c r="AE3219">
        <v>-9.0691000000000095</v>
      </c>
      <c r="AF3219">
        <v>-3.5750243564317201</v>
      </c>
      <c r="AG3219">
        <v>-1.1127201426019999</v>
      </c>
      <c r="AH3219">
        <v>11.411488423977101</v>
      </c>
      <c r="AI3219">
        <v>95.316030768572404</v>
      </c>
      <c r="AJ3219">
        <v>107.394882339842</v>
      </c>
      <c r="AK3219">
        <v>12.0100380230621</v>
      </c>
      <c r="AL3219">
        <v>87.539802726527199</v>
      </c>
      <c r="AM3219">
        <v>92.0517241184169</v>
      </c>
      <c r="AN3219">
        <v>1.0000000126628801</v>
      </c>
    </row>
    <row r="3220" spans="1:40" x14ac:dyDescent="0.25">
      <c r="A3220" t="str">
        <f>"20190312160354668"</f>
        <v>20190312160354668</v>
      </c>
      <c r="B3220" t="str">
        <f>"1552377834657727"</f>
        <v>1552377834657727</v>
      </c>
      <c r="C3220" t="s">
        <v>40</v>
      </c>
      <c r="D3220">
        <v>5.7127100000000004</v>
      </c>
      <c r="E3220">
        <v>0.39905990000000002</v>
      </c>
      <c r="F3220" t="s">
        <v>59</v>
      </c>
      <c r="G3220">
        <v>-481.15940000000001</v>
      </c>
      <c r="H3220" s="1">
        <v>2.7594319999999998E-6</v>
      </c>
      <c r="I3220">
        <v>223.16749999999999</v>
      </c>
      <c r="J3220">
        <v>-489.25990000000002</v>
      </c>
      <c r="K3220">
        <v>1.112717</v>
      </c>
      <c r="L3220">
        <v>232.316</v>
      </c>
      <c r="M3220">
        <v>0.40727829999999998</v>
      </c>
      <c r="N3220">
        <v>0</v>
      </c>
      <c r="O3220">
        <v>-0.91322020000000004</v>
      </c>
      <c r="P3220">
        <v>0.44067980000000001</v>
      </c>
      <c r="Q3220">
        <v>3.0507360000000001E-2</v>
      </c>
      <c r="R3220">
        <v>-0.89714590000000005</v>
      </c>
      <c r="S3220">
        <v>2.059113</v>
      </c>
      <c r="T3220">
        <v>-0.28000229999999998</v>
      </c>
      <c r="U3220">
        <v>-2.3465729999999998</v>
      </c>
      <c r="V3220">
        <v>-3.7313510000000001E-2</v>
      </c>
      <c r="W3220">
        <v>4.2665710000000003E-2</v>
      </c>
      <c r="X3220">
        <v>0.99839239999999996</v>
      </c>
      <c r="Y3220">
        <v>-0.29351840000000001</v>
      </c>
      <c r="Z3220">
        <v>8.708639E-2</v>
      </c>
      <c r="AA3220">
        <v>0.9519784</v>
      </c>
      <c r="AB3220">
        <v>23</v>
      </c>
      <c r="AC3220">
        <v>8.1005000000000091</v>
      </c>
      <c r="AD3220">
        <v>-1.1127142405679999</v>
      </c>
      <c r="AE3220">
        <v>-9.1484999999999808</v>
      </c>
      <c r="AF3220">
        <v>-3.6416389120766599</v>
      </c>
      <c r="AG3220">
        <v>-1.1127142405679999</v>
      </c>
      <c r="AH3220">
        <v>11.5587982086863</v>
      </c>
      <c r="AI3220">
        <v>95.245992634787001</v>
      </c>
      <c r="AJ3220">
        <v>107.487211757849</v>
      </c>
      <c r="AK3220">
        <v>12.169859612018699</v>
      </c>
      <c r="AL3220">
        <v>87.554692668280495</v>
      </c>
      <c r="AM3220">
        <v>92.140352907635702</v>
      </c>
      <c r="AN3220">
        <v>1.0000000226080401</v>
      </c>
    </row>
    <row r="3221" spans="1:40" x14ac:dyDescent="0.25">
      <c r="A3221" t="str">
        <f>"20190312160354688"</f>
        <v>20190312160354688</v>
      </c>
      <c r="B3221" t="str">
        <f>"1552377834677247"</f>
        <v>1552377834677247</v>
      </c>
      <c r="C3221" t="s">
        <v>40</v>
      </c>
      <c r="D3221">
        <v>4.5948190000000002</v>
      </c>
      <c r="E3221">
        <v>0.39911419999999997</v>
      </c>
      <c r="F3221" t="s">
        <v>59</v>
      </c>
      <c r="G3221">
        <v>-481.06970000000001</v>
      </c>
      <c r="H3221" s="1">
        <v>2.7221019999999998E-6</v>
      </c>
      <c r="I3221">
        <v>223.07060000000001</v>
      </c>
      <c r="J3221">
        <v>-489.16770000000002</v>
      </c>
      <c r="K3221">
        <v>1.112717</v>
      </c>
      <c r="L3221">
        <v>232.1198</v>
      </c>
      <c r="M3221">
        <v>0.41070689999999999</v>
      </c>
      <c r="N3221">
        <v>0</v>
      </c>
      <c r="O3221">
        <v>-0.91168320000000003</v>
      </c>
      <c r="P3221">
        <v>0.44468259999999998</v>
      </c>
      <c r="Q3221">
        <v>2.9691599999999999E-2</v>
      </c>
      <c r="R3221">
        <v>-0.89519649999999995</v>
      </c>
      <c r="S3221">
        <v>2.0700069999999999</v>
      </c>
      <c r="T3221">
        <v>-0.2812288</v>
      </c>
      <c r="U3221">
        <v>-2.3367</v>
      </c>
      <c r="V3221">
        <v>-3.8005120000000003E-2</v>
      </c>
      <c r="W3221">
        <v>4.184628E-2</v>
      </c>
      <c r="X3221">
        <v>0.99840099999999998</v>
      </c>
      <c r="Y3221">
        <v>-0.29438880000000001</v>
      </c>
      <c r="Z3221">
        <v>8.7396749999999995E-2</v>
      </c>
      <c r="AA3221">
        <v>0.95168109999999995</v>
      </c>
      <c r="AB3221">
        <v>23</v>
      </c>
      <c r="AC3221">
        <v>8.0980000000000096</v>
      </c>
      <c r="AD3221">
        <v>-1.1127142778979999</v>
      </c>
      <c r="AE3221">
        <v>-9.0491999999999795</v>
      </c>
      <c r="AF3221">
        <v>-3.6359951434496498</v>
      </c>
      <c r="AG3221">
        <v>-1.1127142778979999</v>
      </c>
      <c r="AH3221">
        <v>11.480406731521001</v>
      </c>
      <c r="AI3221">
        <v>95.279109134666896</v>
      </c>
      <c r="AJ3221">
        <v>107.57367643171</v>
      </c>
      <c r="AK3221">
        <v>12.093731122717299</v>
      </c>
      <c r="AL3221">
        <v>87.601684535747395</v>
      </c>
      <c r="AM3221">
        <v>92.179967895509606</v>
      </c>
      <c r="AN3221">
        <v>1.00000002854852</v>
      </c>
    </row>
    <row r="3222" spans="1:40" x14ac:dyDescent="0.25">
      <c r="A3222" t="str">
        <f>"20190312160354702"</f>
        <v>20190312160354702</v>
      </c>
      <c r="B3222" t="str">
        <f>"1552377834697743"</f>
        <v>1552377834697743</v>
      </c>
      <c r="C3222" t="s">
        <v>40</v>
      </c>
      <c r="D3222">
        <v>3.521906</v>
      </c>
      <c r="E3222">
        <v>0.39899319999999999</v>
      </c>
      <c r="F3222" t="s">
        <v>59</v>
      </c>
      <c r="G3222">
        <v>-480.9348</v>
      </c>
      <c r="H3222" s="1">
        <v>2.6619409999999999E-6</v>
      </c>
      <c r="I3222">
        <v>222.9067</v>
      </c>
      <c r="J3222">
        <v>-489.10640000000001</v>
      </c>
      <c r="K3222">
        <v>1.112716</v>
      </c>
      <c r="L3222">
        <v>231.9905</v>
      </c>
      <c r="M3222">
        <v>0.41296690000000003</v>
      </c>
      <c r="N3222">
        <v>0</v>
      </c>
      <c r="O3222">
        <v>-0.91066179999999997</v>
      </c>
      <c r="P3222">
        <v>0.44716149999999999</v>
      </c>
      <c r="Q3222">
        <v>2.929851E-2</v>
      </c>
      <c r="R3222">
        <v>-0.89397369999999898</v>
      </c>
      <c r="S3222">
        <v>2.0797729999999999</v>
      </c>
      <c r="T3222">
        <v>-0.28109149999999999</v>
      </c>
      <c r="U3222">
        <v>-2.3274080000000001</v>
      </c>
      <c r="V3222">
        <v>-3.8287580000000002E-2</v>
      </c>
      <c r="W3222">
        <v>4.145132E-2</v>
      </c>
      <c r="X3222">
        <v>0.99840660000000003</v>
      </c>
      <c r="Y3222">
        <v>-0.29612899999999998</v>
      </c>
      <c r="Z3222">
        <v>8.7340790000000001E-2</v>
      </c>
      <c r="AA3222">
        <v>0.95114620000000005</v>
      </c>
      <c r="AB3222">
        <v>23</v>
      </c>
      <c r="AC3222">
        <v>8.1716000000000104</v>
      </c>
      <c r="AD3222">
        <v>-1.112713338059</v>
      </c>
      <c r="AE3222">
        <v>-9.0837999999999894</v>
      </c>
      <c r="AF3222">
        <v>-3.66018286799412</v>
      </c>
      <c r="AG3222">
        <v>-1.112713338059</v>
      </c>
      <c r="AH3222">
        <v>11.551958118195399</v>
      </c>
      <c r="AI3222">
        <v>95.246391157269898</v>
      </c>
      <c r="AJ3222">
        <v>107.580556978727</v>
      </c>
      <c r="AK3222">
        <v>12.1689278888648</v>
      </c>
      <c r="AL3222">
        <v>87.6243335297209</v>
      </c>
      <c r="AM3222">
        <v>92.196141645994899</v>
      </c>
      <c r="AN3222">
        <v>0.99999994481777799</v>
      </c>
    </row>
    <row r="3223" spans="1:40" x14ac:dyDescent="0.25">
      <c r="A3223" t="str">
        <f>"20190312160354723"</f>
        <v>20190312160354723</v>
      </c>
      <c r="B3223" t="str">
        <f>"1552377834717263"</f>
        <v>1552377834717263</v>
      </c>
      <c r="C3223" t="s">
        <v>40</v>
      </c>
      <c r="D3223">
        <v>5.6085830000000003</v>
      </c>
      <c r="E3223">
        <v>0.39897680000000002</v>
      </c>
      <c r="F3223" t="s">
        <v>59</v>
      </c>
      <c r="G3223">
        <v>-480.84609999999998</v>
      </c>
      <c r="H3223" s="1">
        <v>2.6232230000000001E-6</v>
      </c>
      <c r="I3223">
        <v>222.80279999999999</v>
      </c>
      <c r="J3223">
        <v>-489.01569999999998</v>
      </c>
      <c r="K3223">
        <v>1.1127089999999999</v>
      </c>
      <c r="L3223">
        <v>231.80070000000001</v>
      </c>
      <c r="M3223">
        <v>0.41628520000000002</v>
      </c>
      <c r="N3223">
        <v>0</v>
      </c>
      <c r="O3223">
        <v>-0.9091496</v>
      </c>
      <c r="P3223">
        <v>0.45070349999999998</v>
      </c>
      <c r="Q3223">
        <v>2.8678619999999998E-2</v>
      </c>
      <c r="R3223">
        <v>-0.89221329999999999</v>
      </c>
      <c r="S3223">
        <v>2.0868530000000001</v>
      </c>
      <c r="T3223">
        <v>-0.28110990000000002</v>
      </c>
      <c r="U3223">
        <v>-2.3211520000000001</v>
      </c>
      <c r="V3223">
        <v>-3.8594209999999997E-2</v>
      </c>
      <c r="W3223">
        <v>4.083005E-2</v>
      </c>
      <c r="X3223">
        <v>0.99842050000000004</v>
      </c>
      <c r="Y3223">
        <v>-0.29552979999999901</v>
      </c>
      <c r="Z3223">
        <v>8.7242600000000003E-2</v>
      </c>
      <c r="AA3223">
        <v>0.95134160000000001</v>
      </c>
      <c r="AB3223">
        <v>23</v>
      </c>
      <c r="AC3223">
        <v>8.1696000000000009</v>
      </c>
      <c r="AD3223">
        <v>-1.112706376777</v>
      </c>
      <c r="AE3223">
        <v>-8.9979000000000102</v>
      </c>
      <c r="AF3223">
        <v>-3.65137164991223</v>
      </c>
      <c r="AG3223">
        <v>-1.112706376777</v>
      </c>
      <c r="AH3223">
        <v>11.4859311057445</v>
      </c>
      <c r="AI3223">
        <v>95.274752953821405</v>
      </c>
      <c r="AJ3223">
        <v>107.635433969478</v>
      </c>
      <c r="AK3223">
        <v>12.103604577670801</v>
      </c>
      <c r="AL3223">
        <v>87.659960090997501</v>
      </c>
      <c r="AM3223">
        <v>92.213681453550393</v>
      </c>
      <c r="AN3223">
        <v>1.00000005042438</v>
      </c>
    </row>
    <row r="3224" spans="1:40" x14ac:dyDescent="0.25">
      <c r="A3224" t="str">
        <f>"20190312160354757"</f>
        <v>20190312160354757</v>
      </c>
      <c r="B3224" t="str">
        <f>"1552377834747522"</f>
        <v>1552377834747522</v>
      </c>
      <c r="C3224" t="s">
        <v>40</v>
      </c>
      <c r="D3224">
        <v>5.6107959999999997</v>
      </c>
      <c r="E3224">
        <v>0.39882200000000001</v>
      </c>
      <c r="F3224" t="s">
        <v>59</v>
      </c>
      <c r="G3224">
        <v>-480.79790000000003</v>
      </c>
      <c r="H3224" s="1">
        <v>2.599099E-6</v>
      </c>
      <c r="I3224">
        <v>222.73230000000001</v>
      </c>
      <c r="J3224">
        <v>-488.86340000000001</v>
      </c>
      <c r="K3224">
        <v>1.112706</v>
      </c>
      <c r="L3224">
        <v>231.48570000000001</v>
      </c>
      <c r="M3224">
        <v>0.42179470000000002</v>
      </c>
      <c r="N3224">
        <v>0</v>
      </c>
      <c r="O3224">
        <v>-0.90660660000000004</v>
      </c>
      <c r="P3224">
        <v>0.4553915</v>
      </c>
      <c r="Q3224">
        <v>2.8566319999999999E-2</v>
      </c>
      <c r="R3224">
        <v>-0.88983289999999904</v>
      </c>
      <c r="S3224">
        <v>2.0958559999999999</v>
      </c>
      <c r="T3224">
        <v>-0.2837827</v>
      </c>
      <c r="U3224">
        <v>-2.312805</v>
      </c>
      <c r="V3224">
        <v>-3.77855E-2</v>
      </c>
      <c r="W3224">
        <v>4.0723330000000002E-2</v>
      </c>
      <c r="X3224">
        <v>0.9984558</v>
      </c>
      <c r="Y3224">
        <v>-0.29343010000000003</v>
      </c>
      <c r="Z3224">
        <v>8.7873740000000006E-2</v>
      </c>
      <c r="AA3224">
        <v>0.95193329999999998</v>
      </c>
      <c r="AB3224">
        <v>23</v>
      </c>
      <c r="AC3224">
        <v>8.0654999999999806</v>
      </c>
      <c r="AD3224">
        <v>-1.112703400901</v>
      </c>
      <c r="AE3224">
        <v>-8.7533999999999992</v>
      </c>
      <c r="AF3224">
        <v>-3.5890112456003802</v>
      </c>
      <c r="AG3224">
        <v>-1.112703400901</v>
      </c>
      <c r="AH3224">
        <v>11.2405145870484</v>
      </c>
      <c r="AI3224">
        <v>95.387074468347805</v>
      </c>
      <c r="AJ3224">
        <v>107.70788919451</v>
      </c>
      <c r="AK3224">
        <v>11.8519314358914</v>
      </c>
      <c r="AL3224">
        <v>87.666079806348705</v>
      </c>
      <c r="AM3224">
        <v>92.167263731869099</v>
      </c>
      <c r="AN3224">
        <v>1.0000000590850799</v>
      </c>
    </row>
    <row r="3225" spans="1:40" x14ac:dyDescent="0.25">
      <c r="A3225" t="str">
        <f>"20190312160354780"</f>
        <v>20190312160354780</v>
      </c>
      <c r="B3225" t="str">
        <f>"1552377834777775"</f>
        <v>1552377834777775</v>
      </c>
      <c r="C3225" t="s">
        <v>40</v>
      </c>
      <c r="D3225">
        <v>5.3894029999999997</v>
      </c>
      <c r="E3225">
        <v>0.39872990000000003</v>
      </c>
      <c r="F3225" t="s">
        <v>59</v>
      </c>
      <c r="G3225">
        <v>-480.61180000000002</v>
      </c>
      <c r="H3225" s="1">
        <v>2.5097689999999999E-6</v>
      </c>
      <c r="I3225">
        <v>222.4776</v>
      </c>
      <c r="J3225">
        <v>-488.75920000000002</v>
      </c>
      <c r="K3225">
        <v>1.112706</v>
      </c>
      <c r="L3225">
        <v>231.27279999999999</v>
      </c>
      <c r="M3225">
        <v>0.42551820000000001</v>
      </c>
      <c r="N3225">
        <v>0</v>
      </c>
      <c r="O3225">
        <v>-0.90486500000000003</v>
      </c>
      <c r="P3225">
        <v>0.45922879999999999</v>
      </c>
      <c r="Q3225">
        <v>2.7958449999999999E-2</v>
      </c>
      <c r="R3225">
        <v>-0.887878099999999</v>
      </c>
      <c r="S3225">
        <v>2.1083069999999999</v>
      </c>
      <c r="T3225">
        <v>-0.28429759999999998</v>
      </c>
      <c r="U3225">
        <v>-2.3015750000000001</v>
      </c>
      <c r="V3225">
        <v>-3.7979249999999999E-2</v>
      </c>
      <c r="W3225">
        <v>4.011443E-2</v>
      </c>
      <c r="X3225">
        <v>0.99847300000000005</v>
      </c>
      <c r="Y3225">
        <v>-0.29460799999999998</v>
      </c>
      <c r="Z3225">
        <v>8.7947410000000004E-2</v>
      </c>
      <c r="AA3225">
        <v>0.95156260000000004</v>
      </c>
      <c r="AB3225">
        <v>23</v>
      </c>
      <c r="AC3225">
        <v>8.1473999999999993</v>
      </c>
      <c r="AD3225">
        <v>-1.112703490231</v>
      </c>
      <c r="AE3225">
        <v>-8.7951999999999906</v>
      </c>
      <c r="AF3225">
        <v>-3.59905669217174</v>
      </c>
      <c r="AG3225">
        <v>-1.112703490231</v>
      </c>
      <c r="AH3225">
        <v>11.3286306987766</v>
      </c>
      <c r="AI3225">
        <v>95.347871319547593</v>
      </c>
      <c r="AJ3225">
        <v>107.62482609111601</v>
      </c>
      <c r="AK3225">
        <v>11.9385590269472</v>
      </c>
      <c r="AL3225">
        <v>87.700995512594304</v>
      </c>
      <c r="AM3225">
        <v>92.178328486968297</v>
      </c>
      <c r="AN3225">
        <v>0.99999996132689295</v>
      </c>
    </row>
    <row r="3226" spans="1:40" x14ac:dyDescent="0.25">
      <c r="A3226" t="str">
        <f>"20190312160354803"</f>
        <v>20190312160354803</v>
      </c>
      <c r="B3226" t="str">
        <f>"1552377834797295"</f>
        <v>1552377834797295</v>
      </c>
      <c r="C3226" t="s">
        <v>40</v>
      </c>
      <c r="D3226">
        <v>8.4792880000000004</v>
      </c>
      <c r="E3226">
        <v>0.39869549999999998</v>
      </c>
      <c r="F3226" t="s">
        <v>59</v>
      </c>
      <c r="G3226">
        <v>-480.51</v>
      </c>
      <c r="H3226" s="1">
        <v>2.462241E-6</v>
      </c>
      <c r="I3226">
        <v>222.3443</v>
      </c>
      <c r="J3226">
        <v>-488.65839999999997</v>
      </c>
      <c r="K3226">
        <v>1.1127020000000001</v>
      </c>
      <c r="L3226">
        <v>231.0692</v>
      </c>
      <c r="M3226">
        <v>0.4290793</v>
      </c>
      <c r="N3226">
        <v>0</v>
      </c>
      <c r="O3226">
        <v>-0.90318169999999998</v>
      </c>
      <c r="P3226">
        <v>0.46256639999999999</v>
      </c>
      <c r="Q3226">
        <v>2.746316E-2</v>
      </c>
      <c r="R3226">
        <v>-0.88615929999999998</v>
      </c>
      <c r="S3226">
        <v>2.11795</v>
      </c>
      <c r="T3226">
        <v>-0.28568379999999999</v>
      </c>
      <c r="U3226">
        <v>-2.2923740000000001</v>
      </c>
      <c r="V3226">
        <v>-3.7793359999999998E-2</v>
      </c>
      <c r="W3226">
        <v>3.9620820000000001E-2</v>
      </c>
      <c r="X3226">
        <v>0.99849980000000005</v>
      </c>
      <c r="Y3226">
        <v>-0.29488340000000002</v>
      </c>
      <c r="Z3226">
        <v>8.8281799999999994E-2</v>
      </c>
      <c r="AA3226">
        <v>0.95144629999999997</v>
      </c>
      <c r="AB3226">
        <v>23</v>
      </c>
      <c r="AC3226">
        <v>8.1483999999999792</v>
      </c>
      <c r="AD3226">
        <v>-1.1126995377590001</v>
      </c>
      <c r="AE3226">
        <v>-8.7248999999999892</v>
      </c>
      <c r="AF3226">
        <v>-3.5849467194101101</v>
      </c>
      <c r="AG3226">
        <v>-1.1126995377590001</v>
      </c>
      <c r="AH3226">
        <v>11.279368606349401</v>
      </c>
      <c r="AI3226">
        <v>95.370862155850801</v>
      </c>
      <c r="AJ3226">
        <v>107.63193312851401</v>
      </c>
      <c r="AK3226">
        <v>11.887560700170599</v>
      </c>
      <c r="AL3226">
        <v>87.729299872077206</v>
      </c>
      <c r="AM3226">
        <v>92.167618696415602</v>
      </c>
      <c r="AN3226">
        <v>0.99999999901880099</v>
      </c>
    </row>
    <row r="3227" spans="1:40" x14ac:dyDescent="0.25">
      <c r="A3227" t="str">
        <f>"20190312160354825"</f>
        <v>20190312160354825</v>
      </c>
      <c r="B3227" t="str">
        <f>"1552377834817790"</f>
        <v>1552377834817790</v>
      </c>
      <c r="C3227" t="s">
        <v>40</v>
      </c>
      <c r="D3227">
        <v>5.5157480000000003</v>
      </c>
      <c r="E3227">
        <v>0.39862940000000002</v>
      </c>
      <c r="F3227" t="s">
        <v>59</v>
      </c>
      <c r="G3227">
        <v>-480.38229999999999</v>
      </c>
      <c r="H3227" s="1">
        <v>2.403976E-6</v>
      </c>
      <c r="I3227">
        <v>222.1832</v>
      </c>
      <c r="J3227">
        <v>-488.55189999999999</v>
      </c>
      <c r="K3227">
        <v>1.112692</v>
      </c>
      <c r="L3227">
        <v>230.8561</v>
      </c>
      <c r="M3227">
        <v>0.43280760000000001</v>
      </c>
      <c r="N3227">
        <v>0</v>
      </c>
      <c r="O3227">
        <v>-0.90140129999999996</v>
      </c>
      <c r="P3227">
        <v>0.46663900000000003</v>
      </c>
      <c r="Q3227">
        <v>2.7695500000000001E-2</v>
      </c>
      <c r="R3227">
        <v>-0.88401469999999904</v>
      </c>
      <c r="S3227">
        <v>2.127167</v>
      </c>
      <c r="T3227">
        <v>-0.28598950000000001</v>
      </c>
      <c r="U3227">
        <v>-2.2839049999999999</v>
      </c>
      <c r="V3227">
        <v>-3.826628E-2</v>
      </c>
      <c r="W3227">
        <v>3.9849519999999999E-2</v>
      </c>
      <c r="X3227">
        <v>0.99847269999999999</v>
      </c>
      <c r="Y3227">
        <v>-0.29475059999999997</v>
      </c>
      <c r="Z3227">
        <v>8.8260560000000002E-2</v>
      </c>
      <c r="AA3227">
        <v>0.95148940000000004</v>
      </c>
      <c r="AB3227">
        <v>23</v>
      </c>
      <c r="AC3227">
        <v>8.1696000000000009</v>
      </c>
      <c r="AD3227">
        <v>-1.112689596024</v>
      </c>
      <c r="AE3227">
        <v>-8.6728999999999896</v>
      </c>
      <c r="AF3227">
        <v>-3.57945057473618</v>
      </c>
      <c r="AG3227">
        <v>-1.112689596024</v>
      </c>
      <c r="AH3227">
        <v>11.2563295940827</v>
      </c>
      <c r="AI3227">
        <v>95.381492104143007</v>
      </c>
      <c r="AJ3227">
        <v>107.64037631148901</v>
      </c>
      <c r="AK3227">
        <v>11.864042333231099</v>
      </c>
      <c r="AL3227">
        <v>87.716186001398398</v>
      </c>
      <c r="AM3227">
        <v>92.194775928073199</v>
      </c>
      <c r="AN3227">
        <v>1.0000000125372699</v>
      </c>
    </row>
    <row r="3228" spans="1:40" x14ac:dyDescent="0.25">
      <c r="A3228" t="str">
        <f>"20190312160354847"</f>
        <v>20190312160354847</v>
      </c>
      <c r="B3228" t="str">
        <f>"1552377834837315"</f>
        <v>1552377834837315</v>
      </c>
      <c r="C3228" t="s">
        <v>40</v>
      </c>
      <c r="D3228">
        <v>5.4566780000000001</v>
      </c>
      <c r="E3228">
        <v>0.39872390000000002</v>
      </c>
      <c r="F3228" t="s">
        <v>59</v>
      </c>
      <c r="G3228">
        <v>-480.24880000000002</v>
      </c>
      <c r="H3228" s="1">
        <v>2.3446669999999999E-6</v>
      </c>
      <c r="I3228">
        <v>222.02199999999999</v>
      </c>
      <c r="J3228">
        <v>-488.45069999999998</v>
      </c>
      <c r="K3228">
        <v>1.112689</v>
      </c>
      <c r="L3228">
        <v>230.65549999999999</v>
      </c>
      <c r="M3228">
        <v>0.43631769999999998</v>
      </c>
      <c r="N3228">
        <v>0</v>
      </c>
      <c r="O3228">
        <v>-0.89970759999999905</v>
      </c>
      <c r="P3228">
        <v>0.47127079999999999</v>
      </c>
      <c r="Q3228">
        <v>2.82115E-2</v>
      </c>
      <c r="R3228">
        <v>-0.88153749999999997</v>
      </c>
      <c r="S3228">
        <v>2.1375730000000002</v>
      </c>
      <c r="T3228">
        <v>-0.28645389999999998</v>
      </c>
      <c r="U3228">
        <v>-2.2742770000000001</v>
      </c>
      <c r="V3228">
        <v>-3.962425E-2</v>
      </c>
      <c r="W3228">
        <v>4.0356950000000003E-2</v>
      </c>
      <c r="X3228">
        <v>0.99839929999999999</v>
      </c>
      <c r="Y3228">
        <v>-0.29534369999999999</v>
      </c>
      <c r="Z3228">
        <v>8.8307499999999997E-2</v>
      </c>
      <c r="AA3228">
        <v>0.95130119999999896</v>
      </c>
      <c r="AB3228">
        <v>23</v>
      </c>
      <c r="AC3228">
        <v>8.2018999999999593</v>
      </c>
      <c r="AD3228">
        <v>-1.1126866553329999</v>
      </c>
      <c r="AE3228">
        <v>-8.6334999999999695</v>
      </c>
      <c r="AF3228">
        <v>-3.5813719717321102</v>
      </c>
      <c r="AG3228">
        <v>-1.1126866553329999</v>
      </c>
      <c r="AH3228">
        <v>11.2489186748893</v>
      </c>
      <c r="AI3228">
        <v>95.384414302220904</v>
      </c>
      <c r="AJ3228">
        <v>107.66016299269</v>
      </c>
      <c r="AK3228">
        <v>11.857591161240901</v>
      </c>
      <c r="AL3228">
        <v>87.687088883060596</v>
      </c>
      <c r="AM3228">
        <v>92.272749407287805</v>
      </c>
      <c r="AN3228">
        <v>0.99999996342092601</v>
      </c>
    </row>
    <row r="3229" spans="1:40" x14ac:dyDescent="0.25">
      <c r="A3229" t="str">
        <f>"20190312160354869"</f>
        <v>20190312160354869</v>
      </c>
      <c r="B3229" t="str">
        <f>"1552377834857806"</f>
        <v>1552377834857806</v>
      </c>
      <c r="C3229" t="s">
        <v>40</v>
      </c>
      <c r="D3229">
        <v>5.5686720000000003</v>
      </c>
      <c r="E3229">
        <v>0.41681560000000001</v>
      </c>
      <c r="F3229" t="s">
        <v>59</v>
      </c>
      <c r="G3229">
        <v>-480.10820000000001</v>
      </c>
      <c r="H3229" s="1">
        <v>2.2848109999999998E-6</v>
      </c>
      <c r="I3229">
        <v>221.86420000000001</v>
      </c>
      <c r="J3229">
        <v>-488.3503</v>
      </c>
      <c r="K3229">
        <v>1.112684</v>
      </c>
      <c r="L3229">
        <v>230.45859999999999</v>
      </c>
      <c r="M3229">
        <v>0.4397645</v>
      </c>
      <c r="N3229">
        <v>0</v>
      </c>
      <c r="O3229">
        <v>-0.89802749999999998</v>
      </c>
      <c r="P3229">
        <v>0.47496309999999903</v>
      </c>
      <c r="Q3229">
        <v>2.7690949999999999E-2</v>
      </c>
      <c r="R3229">
        <v>-0.87957019999999997</v>
      </c>
      <c r="S3229">
        <v>2.1482540000000001</v>
      </c>
      <c r="T3229">
        <v>-0.28652420000000001</v>
      </c>
      <c r="U3229">
        <v>-2.2638400000000001</v>
      </c>
      <c r="V3229">
        <v>-3.9971670000000001E-2</v>
      </c>
      <c r="W3229">
        <v>3.9834269999999998E-2</v>
      </c>
      <c r="X3229">
        <v>0.99840649999999997</v>
      </c>
      <c r="Y3229">
        <v>-0.29623369999999999</v>
      </c>
      <c r="Z3229">
        <v>8.8249999999999995E-2</v>
      </c>
      <c r="AA3229">
        <v>0.95102969999999998</v>
      </c>
      <c r="AB3229">
        <v>23</v>
      </c>
      <c r="AC3229">
        <v>8.24209999999999</v>
      </c>
      <c r="AD3229">
        <v>-1.1126817151890001</v>
      </c>
      <c r="AE3229">
        <v>-8.5943999999999701</v>
      </c>
      <c r="AF3229">
        <v>-3.5910445678959499</v>
      </c>
      <c r="AG3229">
        <v>-1.1126817151890001</v>
      </c>
      <c r="AH3229">
        <v>11.2452771243683</v>
      </c>
      <c r="AI3229">
        <v>95.384631331760801</v>
      </c>
      <c r="AJ3229">
        <v>107.710259652625</v>
      </c>
      <c r="AK3229">
        <v>11.857062000840401</v>
      </c>
      <c r="AL3229">
        <v>87.717060476487703</v>
      </c>
      <c r="AM3229">
        <v>92.292638875301904</v>
      </c>
      <c r="AN3229">
        <v>1.0000000213556299</v>
      </c>
    </row>
    <row r="3230" spans="1:40" x14ac:dyDescent="0.25">
      <c r="A3230" t="str">
        <f>"20190312160354890"</f>
        <v>20190312160354890</v>
      </c>
      <c r="B3230" t="str">
        <f>"1552377834877327"</f>
        <v>1552377834877327</v>
      </c>
      <c r="C3230" t="s">
        <v>40</v>
      </c>
      <c r="D3230">
        <v>5.9619799999999996</v>
      </c>
      <c r="E3230">
        <v>0.41590830000000001</v>
      </c>
      <c r="F3230" t="s">
        <v>59</v>
      </c>
      <c r="G3230">
        <v>-480.5258</v>
      </c>
      <c r="H3230" s="1">
        <v>2.2800300000000002E-6</v>
      </c>
      <c r="I3230">
        <v>221.50749999999999</v>
      </c>
      <c r="J3230">
        <v>-488.25049999999999</v>
      </c>
      <c r="K3230">
        <v>1.1126830000000001</v>
      </c>
      <c r="L3230">
        <v>230.26490000000001</v>
      </c>
      <c r="M3230">
        <v>0.44315729999999998</v>
      </c>
      <c r="N3230">
        <v>0</v>
      </c>
      <c r="O3230">
        <v>-0.89635830000000005</v>
      </c>
      <c r="P3230">
        <v>0.47845939999999998</v>
      </c>
      <c r="Q3230">
        <v>2.6487159999999999E-2</v>
      </c>
      <c r="R3230">
        <v>-0.87771010000000005</v>
      </c>
      <c r="S3230">
        <v>2.0308229999999998</v>
      </c>
      <c r="T3230">
        <v>-0.28879199999999999</v>
      </c>
      <c r="U3230">
        <v>-2.3232270000000002</v>
      </c>
      <c r="V3230">
        <v>-4.0145430000000003E-2</v>
      </c>
      <c r="W3230">
        <v>3.8629759999999999E-2</v>
      </c>
      <c r="X3230">
        <v>0.99844679999999997</v>
      </c>
      <c r="Y3230">
        <v>-0.25342130000000002</v>
      </c>
      <c r="Z3230">
        <v>8.8901740000000007E-2</v>
      </c>
      <c r="AA3230">
        <v>0.96326219999999996</v>
      </c>
      <c r="AB3230">
        <v>23</v>
      </c>
      <c r="AC3230">
        <v>7.7246999999999799</v>
      </c>
      <c r="AD3230">
        <v>-1.11268071997</v>
      </c>
      <c r="AE3230">
        <v>-8.7574000000000094</v>
      </c>
      <c r="AF3230">
        <v>-3.0160436044560601</v>
      </c>
      <c r="AG3230">
        <v>-1.11268071997</v>
      </c>
      <c r="AH3230">
        <v>11.172453934494699</v>
      </c>
      <c r="AI3230">
        <v>95.492083020293904</v>
      </c>
      <c r="AJ3230">
        <v>105.107094549509</v>
      </c>
      <c r="AK3230">
        <v>11.625760376292799</v>
      </c>
      <c r="AL3230">
        <v>87.7861268620738</v>
      </c>
      <c r="AM3230">
        <v>92.302501614170694</v>
      </c>
      <c r="AN3230">
        <v>0.99999996316888995</v>
      </c>
    </row>
    <row r="3231" spans="1:40" x14ac:dyDescent="0.25">
      <c r="A3231" t="str">
        <f>"20190312160354913"</f>
        <v>20190312160354913</v>
      </c>
      <c r="B3231" t="str">
        <f>"1552377834907583"</f>
        <v>1552377834907583</v>
      </c>
      <c r="C3231" t="s">
        <v>40</v>
      </c>
      <c r="D3231">
        <v>5.5180870000000004</v>
      </c>
      <c r="E3231">
        <v>0.41506720000000003</v>
      </c>
      <c r="F3231" t="s">
        <v>59</v>
      </c>
      <c r="G3231">
        <v>-479.67700000000002</v>
      </c>
      <c r="H3231" s="1">
        <v>2.0728299999999999E-6</v>
      </c>
      <c r="I3231">
        <v>220.57550000000001</v>
      </c>
      <c r="J3231">
        <v>-488.14109999999999</v>
      </c>
      <c r="K3231">
        <v>1.112687</v>
      </c>
      <c r="L3231">
        <v>230.05430000000001</v>
      </c>
      <c r="M3231">
        <v>0.44684370000000001</v>
      </c>
      <c r="N3231">
        <v>0</v>
      </c>
      <c r="O3231">
        <v>-0.89452609999999999</v>
      </c>
      <c r="P3231">
        <v>0.4822977</v>
      </c>
      <c r="Q3231">
        <v>2.6990360000000001E-2</v>
      </c>
      <c r="R3231">
        <v>-0.87559159999999903</v>
      </c>
      <c r="S3231">
        <v>2.045013</v>
      </c>
      <c r="T3231">
        <v>-0.26540330000000001</v>
      </c>
      <c r="U3231">
        <v>-2.3111570000000001</v>
      </c>
      <c r="V3231">
        <v>-4.0416010000000002E-2</v>
      </c>
      <c r="W3231">
        <v>3.9130529999999997E-2</v>
      </c>
      <c r="X3231">
        <v>0.99841639999999998</v>
      </c>
      <c r="Y3231">
        <v>-0.25570409999999999</v>
      </c>
      <c r="Z3231">
        <v>8.1671969999999997E-2</v>
      </c>
      <c r="AA3231">
        <v>0.96329909999999996</v>
      </c>
      <c r="AB3231">
        <v>23</v>
      </c>
      <c r="AC3231">
        <v>8.4641000000000304</v>
      </c>
      <c r="AD3231">
        <v>-1.1126849271699999</v>
      </c>
      <c r="AE3231">
        <v>-9.4787999999999997</v>
      </c>
      <c r="AF3231">
        <v>-3.3106910708719699</v>
      </c>
      <c r="AG3231">
        <v>-1.1126849271699999</v>
      </c>
      <c r="AH3231">
        <v>12.168813186237401</v>
      </c>
      <c r="AI3231">
        <v>95.042170877796906</v>
      </c>
      <c r="AJ3231">
        <v>105.21971941305</v>
      </c>
      <c r="AK3231">
        <v>12.6601247022076</v>
      </c>
      <c r="AL3231">
        <v>87.757413180026404</v>
      </c>
      <c r="AM3231">
        <v>92.318074094204505</v>
      </c>
      <c r="AN3231">
        <v>0.99999998001568002</v>
      </c>
    </row>
    <row r="3232" spans="1:40" x14ac:dyDescent="0.25">
      <c r="A3232" t="str">
        <f>"20190312160354935"</f>
        <v>20190312160354935</v>
      </c>
      <c r="B3232" t="str">
        <f>"1552377834928080"</f>
        <v>1552377834928080</v>
      </c>
      <c r="C3232" t="s">
        <v>40</v>
      </c>
      <c r="D3232">
        <v>5.5561530000000001</v>
      </c>
      <c r="E3232">
        <v>0.41497640000000002</v>
      </c>
      <c r="F3232" t="s">
        <v>59</v>
      </c>
      <c r="G3232">
        <v>-478.84190000000001</v>
      </c>
      <c r="H3232" s="1">
        <v>2.2636959999999999E-6</v>
      </c>
      <c r="I3232">
        <v>219.6747</v>
      </c>
      <c r="J3232">
        <v>-488.03050000000002</v>
      </c>
      <c r="K3232">
        <v>1.1126830000000001</v>
      </c>
      <c r="L3232">
        <v>229.84360000000001</v>
      </c>
      <c r="M3232">
        <v>0.45053310000000002</v>
      </c>
      <c r="N3232">
        <v>0</v>
      </c>
      <c r="O3232">
        <v>-0.89267359999999896</v>
      </c>
      <c r="P3232">
        <v>0.48595329999999898</v>
      </c>
      <c r="Q3232">
        <v>2.743924E-2</v>
      </c>
      <c r="R3232">
        <v>-0.873554099999999</v>
      </c>
      <c r="S3232">
        <v>2.0598450000000001</v>
      </c>
      <c r="T3232">
        <v>-0.24646870000000001</v>
      </c>
      <c r="U3232">
        <v>-2.2991790000000001</v>
      </c>
      <c r="V3232">
        <v>-4.0476239999999997E-2</v>
      </c>
      <c r="W3232">
        <v>3.9578889999999999E-2</v>
      </c>
      <c r="X3232">
        <v>0.99839630000000001</v>
      </c>
      <c r="Y3232">
        <v>-0.25799670000000002</v>
      </c>
      <c r="Z3232">
        <v>7.5790650000000001E-2</v>
      </c>
      <c r="AA3232">
        <v>0.96316840000000004</v>
      </c>
      <c r="AB3232">
        <v>23</v>
      </c>
      <c r="AC3232">
        <v>9.1885999999999992</v>
      </c>
      <c r="AD3232">
        <v>-1.1126807363040001</v>
      </c>
      <c r="AE3232">
        <v>-10.168900000000001</v>
      </c>
      <c r="AF3232">
        <v>-3.5975610202816801</v>
      </c>
      <c r="AG3232">
        <v>-1.1126807363040001</v>
      </c>
      <c r="AH3232">
        <v>13.131740261057899</v>
      </c>
      <c r="AI3232">
        <v>94.671881865879399</v>
      </c>
      <c r="AJ3232">
        <v>105.320795621267</v>
      </c>
      <c r="AK3232">
        <v>13.661006771079601</v>
      </c>
      <c r="AL3232">
        <v>87.731704156787501</v>
      </c>
      <c r="AM3232">
        <v>92.321571516078095</v>
      </c>
      <c r="AN3232">
        <v>0.99999999319592903</v>
      </c>
    </row>
    <row r="3233" spans="1:40" x14ac:dyDescent="0.25">
      <c r="A3233" t="str">
        <f>"20190312160354958"</f>
        <v>20190312160354958</v>
      </c>
      <c r="B3233" t="str">
        <f>"1552377834947603"</f>
        <v>1552377834947603</v>
      </c>
      <c r="C3233" t="s">
        <v>40</v>
      </c>
      <c r="D3233">
        <v>5.4756299999999998</v>
      </c>
      <c r="E3233">
        <v>0.4150587</v>
      </c>
      <c r="F3233" t="s">
        <v>59</v>
      </c>
      <c r="G3233">
        <v>-478.42570000000001</v>
      </c>
      <c r="H3233" s="1">
        <v>2.4229530000000001E-6</v>
      </c>
      <c r="I3233">
        <v>219.2132</v>
      </c>
      <c r="J3233">
        <v>-487.92320000000001</v>
      </c>
      <c r="K3233">
        <v>1.1126879999999999</v>
      </c>
      <c r="L3233">
        <v>229.6412</v>
      </c>
      <c r="M3233">
        <v>0.45407720000000001</v>
      </c>
      <c r="N3233">
        <v>0</v>
      </c>
      <c r="O3233">
        <v>-0.89087619999999901</v>
      </c>
      <c r="P3233">
        <v>0.48930079999999998</v>
      </c>
      <c r="Q3233">
        <v>2.733532E-2</v>
      </c>
      <c r="R3233">
        <v>-0.87168679999999998</v>
      </c>
      <c r="S3233">
        <v>2.0695800000000002</v>
      </c>
      <c r="T3233">
        <v>-0.23975150000000001</v>
      </c>
      <c r="U3233">
        <v>-2.290543</v>
      </c>
      <c r="V3233">
        <v>-4.0335959999999997E-2</v>
      </c>
      <c r="W3233">
        <v>3.9475499999999997E-2</v>
      </c>
      <c r="X3233">
        <v>0.99840609999999996</v>
      </c>
      <c r="Y3233">
        <v>-0.2583357</v>
      </c>
      <c r="Z3233">
        <v>7.3637229999999998E-2</v>
      </c>
      <c r="AA3233">
        <v>0.96324460000000001</v>
      </c>
      <c r="AB3233">
        <v>23</v>
      </c>
      <c r="AC3233">
        <v>9.4975000000000005</v>
      </c>
      <c r="AD3233">
        <v>-1.1126855770470001</v>
      </c>
      <c r="AE3233">
        <v>-10.4279999999999</v>
      </c>
      <c r="AF3233">
        <v>-3.7032199569366702</v>
      </c>
      <c r="AG3233">
        <v>-1.1126855770470001</v>
      </c>
      <c r="AH3233">
        <v>13.5195649923247</v>
      </c>
      <c r="AI3233">
        <v>94.538501346105207</v>
      </c>
      <c r="AJ3233">
        <v>105.318472838011</v>
      </c>
      <c r="AK3233">
        <v>14.0616693470055</v>
      </c>
      <c r="AL3233">
        <v>87.737632667237904</v>
      </c>
      <c r="AM3233">
        <v>92.313511633762204</v>
      </c>
      <c r="AN3233">
        <v>1.0000000226432899</v>
      </c>
    </row>
    <row r="3234" spans="1:40" x14ac:dyDescent="0.25">
      <c r="A3234" t="str">
        <f>"20190312160354981"</f>
        <v>20190312160354981</v>
      </c>
      <c r="B3234" t="str">
        <f>"1552377834968095"</f>
        <v>1552377834968095</v>
      </c>
      <c r="C3234" t="s">
        <v>40</v>
      </c>
      <c r="D3234">
        <v>5.4976269999999996</v>
      </c>
      <c r="E3234">
        <v>0.41506470000000001</v>
      </c>
      <c r="F3234" t="s">
        <v>59</v>
      </c>
      <c r="G3234">
        <v>-478.13099999999997</v>
      </c>
      <c r="H3234" s="1">
        <v>2.539155E-6</v>
      </c>
      <c r="I3234">
        <v>218.88220000000001</v>
      </c>
      <c r="J3234">
        <v>-487.8143</v>
      </c>
      <c r="K3234">
        <v>1.1126860000000001</v>
      </c>
      <c r="L3234">
        <v>229.4376</v>
      </c>
      <c r="M3234">
        <v>0.45764369999999999</v>
      </c>
      <c r="N3234">
        <v>0</v>
      </c>
      <c r="O3234">
        <v>-0.88904910000000004</v>
      </c>
      <c r="P3234">
        <v>0.49292459999999999</v>
      </c>
      <c r="Q3234">
        <v>2.6957419999999999E-2</v>
      </c>
      <c r="R3234">
        <v>-0.86965419999999904</v>
      </c>
      <c r="S3234">
        <v>2.0776370000000002</v>
      </c>
      <c r="T3234">
        <v>-0.2360806</v>
      </c>
      <c r="U3234">
        <v>-2.2827609999999998</v>
      </c>
      <c r="V3234">
        <v>-4.048272E-2</v>
      </c>
      <c r="W3234">
        <v>3.909671E-2</v>
      </c>
      <c r="X3234">
        <v>0.9984151</v>
      </c>
      <c r="Y3234">
        <v>-0.2580229</v>
      </c>
      <c r="Z3234">
        <v>7.2414699999999999E-2</v>
      </c>
      <c r="AA3234">
        <v>0.96342110000000003</v>
      </c>
      <c r="AB3234">
        <v>23</v>
      </c>
      <c r="AC3234">
        <v>9.6833000000000293</v>
      </c>
      <c r="AD3234">
        <v>-1.112683460845</v>
      </c>
      <c r="AE3234">
        <v>-10.555399999999899</v>
      </c>
      <c r="AF3234">
        <v>-3.7559444764418299</v>
      </c>
      <c r="AG3234">
        <v>-1.112683460845</v>
      </c>
      <c r="AH3234">
        <v>13.733963466866401</v>
      </c>
      <c r="AI3234">
        <v>94.468427504041401</v>
      </c>
      <c r="AJ3234">
        <v>105.29517627433999</v>
      </c>
      <c r="AK3234">
        <v>14.2816993352812</v>
      </c>
      <c r="AL3234">
        <v>87.759352581278506</v>
      </c>
      <c r="AM3234">
        <v>92.321899104833506</v>
      </c>
      <c r="AN3234">
        <v>1.0000000576297099</v>
      </c>
    </row>
    <row r="3235" spans="1:40" x14ac:dyDescent="0.25">
      <c r="A3235" t="str">
        <f>"20190312160355004"</f>
        <v>20190312160355004</v>
      </c>
      <c r="B3235" t="str">
        <f>"1552377834997376"</f>
        <v>1552377834997376</v>
      </c>
      <c r="C3235" t="s">
        <v>40</v>
      </c>
      <c r="D3235">
        <v>5.3146690000000003</v>
      </c>
      <c r="E3235">
        <v>0.41526190000000002</v>
      </c>
      <c r="F3235" t="s">
        <v>59</v>
      </c>
      <c r="G3235">
        <v>-477.8399</v>
      </c>
      <c r="H3235" s="1">
        <v>2.6545090000000002E-6</v>
      </c>
      <c r="I3235">
        <v>218.5685</v>
      </c>
      <c r="J3235">
        <v>-487.70319999999998</v>
      </c>
      <c r="K3235">
        <v>1.1126830000000001</v>
      </c>
      <c r="L3235">
        <v>229.2319</v>
      </c>
      <c r="M3235">
        <v>0.46124490000000001</v>
      </c>
      <c r="N3235">
        <v>0</v>
      </c>
      <c r="O3235">
        <v>-0.88718629999999998</v>
      </c>
      <c r="P3235">
        <v>0.49703029999999998</v>
      </c>
      <c r="Q3235">
        <v>2.697389E-2</v>
      </c>
      <c r="R3235">
        <v>-0.86731389999999997</v>
      </c>
      <c r="S3235">
        <v>2.0868530000000001</v>
      </c>
      <c r="T3235">
        <v>-0.23279830000000001</v>
      </c>
      <c r="U3235">
        <v>-2.2740480000000001</v>
      </c>
      <c r="V3235">
        <v>-4.1154919999999998E-2</v>
      </c>
      <c r="W3235">
        <v>3.9108619999999997E-2</v>
      </c>
      <c r="X3235">
        <v>0.99838709999999997</v>
      </c>
      <c r="Y3235">
        <v>-0.25812160000000001</v>
      </c>
      <c r="Z3235">
        <v>7.1315329999999996E-2</v>
      </c>
      <c r="AA3235">
        <v>0.96347669999999996</v>
      </c>
      <c r="AB3235">
        <v>23</v>
      </c>
      <c r="AC3235">
        <v>9.8632999999999793</v>
      </c>
      <c r="AD3235">
        <v>-1.1126803454909999</v>
      </c>
      <c r="AE3235">
        <v>-10.6633999999999</v>
      </c>
      <c r="AF3235">
        <v>-3.8100834298938002</v>
      </c>
      <c r="AG3235">
        <v>-1.1126803454909999</v>
      </c>
      <c r="AH3235">
        <v>13.9291622237567</v>
      </c>
      <c r="AI3235">
        <v>94.405983809133303</v>
      </c>
      <c r="AJ3235">
        <v>105.298070618574</v>
      </c>
      <c r="AK3235">
        <v>14.4836581549595</v>
      </c>
      <c r="AL3235">
        <v>87.758669551682601</v>
      </c>
      <c r="AM3235">
        <v>92.360476217875004</v>
      </c>
      <c r="AN3235">
        <v>1.0000000065224599</v>
      </c>
    </row>
    <row r="3236" spans="1:40" x14ac:dyDescent="0.25">
      <c r="A3236" t="str">
        <f>"20190312160355026"</f>
        <v>20190312160355026</v>
      </c>
      <c r="B3236" t="str">
        <f>"1552377835017872"</f>
        <v>1552377835017872</v>
      </c>
      <c r="C3236" t="s">
        <v>40</v>
      </c>
      <c r="D3236">
        <v>5.4655800000000001</v>
      </c>
      <c r="E3236">
        <v>0.41561160000000003</v>
      </c>
      <c r="F3236" t="s">
        <v>59</v>
      </c>
      <c r="G3236">
        <v>-477.65769999999998</v>
      </c>
      <c r="H3236" s="1">
        <v>2.7268150000000001E-6</v>
      </c>
      <c r="I3236">
        <v>218.374</v>
      </c>
      <c r="J3236">
        <v>-487.58969999999999</v>
      </c>
      <c r="K3236">
        <v>1.1126799999999999</v>
      </c>
      <c r="L3236">
        <v>229.02379999999999</v>
      </c>
      <c r="M3236">
        <v>0.46489029999999998</v>
      </c>
      <c r="N3236">
        <v>0</v>
      </c>
      <c r="O3236">
        <v>-0.885281599999999</v>
      </c>
      <c r="P3236">
        <v>0.5007125</v>
      </c>
      <c r="Q3236">
        <v>2.7543379999999999E-2</v>
      </c>
      <c r="R3236">
        <v>-0.86517569999999999</v>
      </c>
      <c r="S3236">
        <v>2.0957029999999999</v>
      </c>
      <c r="T3236">
        <v>-0.23212930000000001</v>
      </c>
      <c r="U3236">
        <v>-2.2652130000000001</v>
      </c>
      <c r="V3236">
        <v>-4.1303479999999997E-2</v>
      </c>
      <c r="W3236">
        <v>3.9676570000000001E-2</v>
      </c>
      <c r="X3236">
        <v>0.99835850000000004</v>
      </c>
      <c r="Y3236">
        <v>-0.25806289999999998</v>
      </c>
      <c r="Z3236">
        <v>7.1015129999999996E-2</v>
      </c>
      <c r="AA3236">
        <v>0.9635146</v>
      </c>
      <c r="AB3236">
        <v>23</v>
      </c>
      <c r="AC3236">
        <v>9.9320000000000093</v>
      </c>
      <c r="AD3236">
        <v>-1.1126772731850001</v>
      </c>
      <c r="AE3236">
        <v>-10.6497999999999</v>
      </c>
      <c r="AF3236">
        <v>-3.81962354723967</v>
      </c>
      <c r="AG3236">
        <v>-1.1126772731850001</v>
      </c>
      <c r="AH3236">
        <v>13.964911553887699</v>
      </c>
      <c r="AI3236">
        <v>94.394755938401403</v>
      </c>
      <c r="AJ3236">
        <v>105.297160209312</v>
      </c>
      <c r="AK3236">
        <v>14.5205485249283</v>
      </c>
      <c r="AL3236">
        <v>87.726103009667099</v>
      </c>
      <c r="AM3236">
        <v>92.369055102592696</v>
      </c>
      <c r="AN3236">
        <v>0.999999951094661</v>
      </c>
    </row>
    <row r="3237" spans="1:40" x14ac:dyDescent="0.25">
      <c r="A3237" t="str">
        <f>"20190312160355049"</f>
        <v>20190312160355049</v>
      </c>
      <c r="B3237" t="str">
        <f>"1552377835037396"</f>
        <v>1552377835037396</v>
      </c>
      <c r="C3237" t="s">
        <v>40</v>
      </c>
      <c r="D3237">
        <v>5.4743959999999996</v>
      </c>
      <c r="E3237">
        <v>0.41610190000000002</v>
      </c>
      <c r="F3237" t="s">
        <v>59</v>
      </c>
      <c r="G3237">
        <v>-477.48630000000003</v>
      </c>
      <c r="H3237" s="1">
        <v>2.7941850000000001E-6</v>
      </c>
      <c r="I3237">
        <v>218.17590000000001</v>
      </c>
      <c r="J3237">
        <v>-487.4821</v>
      </c>
      <c r="K3237">
        <v>1.1126830000000001</v>
      </c>
      <c r="L3237">
        <v>228.82849999999999</v>
      </c>
      <c r="M3237">
        <v>0.46831210000000001</v>
      </c>
      <c r="N3237">
        <v>0</v>
      </c>
      <c r="O3237">
        <v>-0.88347640000000005</v>
      </c>
      <c r="P3237">
        <v>0.50385009999999997</v>
      </c>
      <c r="Q3237">
        <v>2.7826469999999999E-2</v>
      </c>
      <c r="R3237">
        <v>-0.86334319999999898</v>
      </c>
      <c r="S3237">
        <v>2.1029360000000001</v>
      </c>
      <c r="T3237">
        <v>-0.2315933</v>
      </c>
      <c r="U3237">
        <v>-2.257889</v>
      </c>
      <c r="V3237">
        <v>-4.1071169999999997E-2</v>
      </c>
      <c r="W3237">
        <v>3.9961490000000002E-2</v>
      </c>
      <c r="X3237">
        <v>0.99835680000000004</v>
      </c>
      <c r="Y3237">
        <v>-0.25754850000000001</v>
      </c>
      <c r="Z3237">
        <v>7.0751460000000002E-2</v>
      </c>
      <c r="AA3237">
        <v>0.96367159999999996</v>
      </c>
      <c r="AB3237">
        <v>23</v>
      </c>
      <c r="AC3237">
        <v>9.9957999999999707</v>
      </c>
      <c r="AD3237">
        <v>-1.112680205815</v>
      </c>
      <c r="AE3237">
        <v>-10.6525999999999</v>
      </c>
      <c r="AF3237">
        <v>-3.82044110163833</v>
      </c>
      <c r="AG3237">
        <v>-1.112680205815</v>
      </c>
      <c r="AH3237">
        <v>14.0122590218851</v>
      </c>
      <c r="AI3237">
        <v>94.380935564360797</v>
      </c>
      <c r="AJ3237">
        <v>105.250992706915</v>
      </c>
      <c r="AK3237">
        <v>14.5663046222404</v>
      </c>
      <c r="AL3237">
        <v>87.709765520899197</v>
      </c>
      <c r="AM3237">
        <v>92.3557494947176</v>
      </c>
      <c r="AN3237">
        <v>1.0000000308972099</v>
      </c>
    </row>
    <row r="3238" spans="1:40" x14ac:dyDescent="0.25">
      <c r="A3238" t="str">
        <f>"20190312160355069"</f>
        <v>20190312160355069</v>
      </c>
      <c r="B3238" t="str">
        <f>"1552377835057887"</f>
        <v>1552377835057887</v>
      </c>
      <c r="C3238" t="s">
        <v>40</v>
      </c>
      <c r="D3238">
        <v>5.4822989999999896</v>
      </c>
      <c r="E3238">
        <v>0.41664699999999999</v>
      </c>
      <c r="F3238" t="s">
        <v>59</v>
      </c>
      <c r="G3238">
        <v>-477.4649</v>
      </c>
      <c r="H3238" s="1">
        <v>2.8015280000000001E-6</v>
      </c>
      <c r="I3238">
        <v>218.12690000000001</v>
      </c>
      <c r="J3238">
        <v>-487.3766</v>
      </c>
      <c r="K3238">
        <v>1.112681</v>
      </c>
      <c r="L3238">
        <v>228.63890000000001</v>
      </c>
      <c r="M3238">
        <v>0.47163519999999998</v>
      </c>
      <c r="N3238">
        <v>0</v>
      </c>
      <c r="O3238">
        <v>-0.88170659999999901</v>
      </c>
      <c r="P3238">
        <v>0.50684090000000004</v>
      </c>
      <c r="Q3238">
        <v>2.8263650000000001E-2</v>
      </c>
      <c r="R3238">
        <v>-0.86157619999999902</v>
      </c>
      <c r="S3238">
        <v>2.1081240000000001</v>
      </c>
      <c r="T3238">
        <v>-0.23416409999999999</v>
      </c>
      <c r="U3238">
        <v>-2.252151</v>
      </c>
      <c r="V3238">
        <v>-4.0783390000000003E-2</v>
      </c>
      <c r="W3238">
        <v>4.0399829999999998E-2</v>
      </c>
      <c r="X3238">
        <v>0.99835090000000004</v>
      </c>
      <c r="Y3238">
        <v>-0.25627889999999998</v>
      </c>
      <c r="Z3238">
        <v>7.1423479999999998E-2</v>
      </c>
      <c r="AA3238">
        <v>0.9639605</v>
      </c>
      <c r="AB3238">
        <v>23</v>
      </c>
      <c r="AC3238">
        <v>9.9116999999999909</v>
      </c>
      <c r="AD3238">
        <v>-1.112678198472</v>
      </c>
      <c r="AE3238">
        <v>-10.512</v>
      </c>
      <c r="AF3238">
        <v>-3.7593760124250299</v>
      </c>
      <c r="AG3238">
        <v>-1.112678198472</v>
      </c>
      <c r="AH3238">
        <v>13.862062723889499</v>
      </c>
      <c r="AI3238">
        <v>94.429828265267702</v>
      </c>
      <c r="AJ3238">
        <v>105.173579729567</v>
      </c>
      <c r="AK3238">
        <v>14.4058232578773</v>
      </c>
      <c r="AL3238">
        <v>87.684630062285393</v>
      </c>
      <c r="AM3238">
        <v>92.339275294957403</v>
      </c>
      <c r="AN3238">
        <v>0.99999997534736496</v>
      </c>
    </row>
    <row r="3239" spans="1:40" x14ac:dyDescent="0.25">
      <c r="A3239" t="str">
        <f>"20190312160355091"</f>
        <v>20190312160355091</v>
      </c>
      <c r="B3239" t="str">
        <f>"1552377835077407"</f>
        <v>1552377835077407</v>
      </c>
      <c r="C3239" t="s">
        <v>40</v>
      </c>
      <c r="D3239">
        <v>5.4404309999999896</v>
      </c>
      <c r="E3239">
        <v>0.41708479999999998</v>
      </c>
      <c r="F3239" t="s">
        <v>59</v>
      </c>
      <c r="G3239">
        <v>-477.51280000000003</v>
      </c>
      <c r="H3239" s="1">
        <v>2.7809719999999998E-6</v>
      </c>
      <c r="I3239">
        <v>218.14330000000001</v>
      </c>
      <c r="J3239">
        <v>-487.26600000000002</v>
      </c>
      <c r="K3239">
        <v>1.1126879999999999</v>
      </c>
      <c r="L3239">
        <v>228.44159999999999</v>
      </c>
      <c r="M3239">
        <v>0.47509230000000002</v>
      </c>
      <c r="N3239">
        <v>0</v>
      </c>
      <c r="O3239">
        <v>-0.87984869999999904</v>
      </c>
      <c r="P3239">
        <v>0.51031859999999996</v>
      </c>
      <c r="Q3239">
        <v>2.8007480000000001E-2</v>
      </c>
      <c r="R3239">
        <v>-0.8595294</v>
      </c>
      <c r="S3239">
        <v>2.1120909999999999</v>
      </c>
      <c r="T3239">
        <v>-0.23825299999999999</v>
      </c>
      <c r="U3239">
        <v>-2.24736</v>
      </c>
      <c r="V3239">
        <v>-4.0893789999999999E-2</v>
      </c>
      <c r="W3239">
        <v>4.0143020000000001E-2</v>
      </c>
      <c r="X3239">
        <v>0.99835680000000004</v>
      </c>
      <c r="Y3239">
        <v>-0.2543492</v>
      </c>
      <c r="Z3239">
        <v>7.2537409999999997E-2</v>
      </c>
      <c r="AA3239">
        <v>0.96438829999999998</v>
      </c>
      <c r="AB3239">
        <v>23</v>
      </c>
      <c r="AC3239">
        <v>9.7531999999999304</v>
      </c>
      <c r="AD3239">
        <v>-1.1126852190280001</v>
      </c>
      <c r="AE3239">
        <v>-10.2982999999999</v>
      </c>
      <c r="AF3239">
        <v>-3.66641731411484</v>
      </c>
      <c r="AG3239">
        <v>-1.1126852190280001</v>
      </c>
      <c r="AH3239">
        <v>13.611899634087701</v>
      </c>
      <c r="AI3239">
        <v>94.5130243549456</v>
      </c>
      <c r="AJ3239">
        <v>105.075062333334</v>
      </c>
      <c r="AK3239">
        <v>14.140880310870401</v>
      </c>
      <c r="AL3239">
        <v>87.699356268618303</v>
      </c>
      <c r="AM3239">
        <v>92.345586767021899</v>
      </c>
      <c r="AN3239">
        <v>1.0000000321107601</v>
      </c>
    </row>
    <row r="3240" spans="1:40" x14ac:dyDescent="0.25">
      <c r="A3240" t="str">
        <f>"20190312160355114"</f>
        <v>20190312160355114</v>
      </c>
      <c r="B3240" t="str">
        <f>"1552377835107663"</f>
        <v>1552377835107663</v>
      </c>
      <c r="C3240" t="s">
        <v>40</v>
      </c>
      <c r="D3240">
        <v>5.4404830000000004</v>
      </c>
      <c r="E3240">
        <v>0.41710190000000003</v>
      </c>
      <c r="F3240" t="s">
        <v>59</v>
      </c>
      <c r="G3240">
        <v>-477.59989999999999</v>
      </c>
      <c r="H3240" s="1">
        <v>2.7454719999999999E-6</v>
      </c>
      <c r="I3240">
        <v>218.21469999999999</v>
      </c>
      <c r="J3240">
        <v>-487.14870000000002</v>
      </c>
      <c r="K3240">
        <v>1.1126830000000001</v>
      </c>
      <c r="L3240">
        <v>228.23429999999999</v>
      </c>
      <c r="M3240">
        <v>0.47872579999999998</v>
      </c>
      <c r="N3240">
        <v>0</v>
      </c>
      <c r="O3240">
        <v>-0.87787709999999997</v>
      </c>
      <c r="P3240">
        <v>0.51334199999999996</v>
      </c>
      <c r="Q3240">
        <v>2.7481780000000001E-2</v>
      </c>
      <c r="R3240">
        <v>-0.85774430000000002</v>
      </c>
      <c r="S3240">
        <v>2.1178889999999999</v>
      </c>
      <c r="T3240">
        <v>-0.2437954</v>
      </c>
      <c r="U3240">
        <v>-2.2407680000000001</v>
      </c>
      <c r="V3240">
        <v>-4.0269560000000003E-2</v>
      </c>
      <c r="W3240">
        <v>3.9621780000000002E-2</v>
      </c>
      <c r="X3240">
        <v>0.99840300000000004</v>
      </c>
      <c r="Y3240">
        <v>-0.25299369999999999</v>
      </c>
      <c r="Z3240">
        <v>7.4090690000000001E-2</v>
      </c>
      <c r="AA3240">
        <v>0.96462669999999995</v>
      </c>
      <c r="AB3240">
        <v>23</v>
      </c>
      <c r="AC3240">
        <v>9.5488000000000195</v>
      </c>
      <c r="AD3240">
        <v>-1.1126802545279999</v>
      </c>
      <c r="AE3240">
        <v>-10.019599999999899</v>
      </c>
      <c r="AF3240">
        <v>-3.5632787906474599</v>
      </c>
      <c r="AG3240">
        <v>-1.1126802545279999</v>
      </c>
      <c r="AH3240">
        <v>13.2824204601815</v>
      </c>
      <c r="AI3240">
        <v>94.625723534617293</v>
      </c>
      <c r="AJ3240">
        <v>105.017163763605</v>
      </c>
      <c r="AK3240">
        <v>13.7970180245494</v>
      </c>
      <c r="AL3240">
        <v>87.729244910424896</v>
      </c>
      <c r="AM3240">
        <v>92.309714483346298</v>
      </c>
      <c r="AN3240">
        <v>1.00000003666098</v>
      </c>
    </row>
    <row r="3241" spans="1:40" x14ac:dyDescent="0.25">
      <c r="A3241" t="str">
        <f>"20190312160355137"</f>
        <v>20190312160355137</v>
      </c>
      <c r="B3241" t="str">
        <f>"1552377835128160"</f>
        <v>1552377835128160</v>
      </c>
      <c r="C3241" t="s">
        <v>40</v>
      </c>
      <c r="D3241">
        <v>5.4543239999999997</v>
      </c>
      <c r="E3241">
        <v>0.38279079999999999</v>
      </c>
      <c r="F3241" t="s">
        <v>59</v>
      </c>
      <c r="G3241">
        <v>-477.69639999999998</v>
      </c>
      <c r="H3241" s="1">
        <v>2.7066029999999999E-6</v>
      </c>
      <c r="I3241">
        <v>218.30439999999999</v>
      </c>
      <c r="J3241">
        <v>-487.03129999999999</v>
      </c>
      <c r="K3241">
        <v>1.1126819999999999</v>
      </c>
      <c r="L3241">
        <v>228.02889999999999</v>
      </c>
      <c r="M3241">
        <v>0.48233150000000002</v>
      </c>
      <c r="N3241">
        <v>0</v>
      </c>
      <c r="O3241">
        <v>-0.87590129999999999</v>
      </c>
      <c r="P3241">
        <v>0.51559480000000002</v>
      </c>
      <c r="Q3241">
        <v>2.6566019999999999E-2</v>
      </c>
      <c r="R3241">
        <v>-0.85642109999999905</v>
      </c>
      <c r="S3241">
        <v>2.1258849999999998</v>
      </c>
      <c r="T3241">
        <v>-0.25024990000000003</v>
      </c>
      <c r="U3241">
        <v>-2.2333069999999999</v>
      </c>
      <c r="V3241">
        <v>-3.8768379999999998E-2</v>
      </c>
      <c r="W3241">
        <v>3.8716E-2</v>
      </c>
      <c r="X3241">
        <v>0.99849790000000005</v>
      </c>
      <c r="Y3241">
        <v>-0.25232860000000001</v>
      </c>
      <c r="Z3241">
        <v>7.5903699999999893E-2</v>
      </c>
      <c r="AA3241">
        <v>0.96465999999999996</v>
      </c>
      <c r="AB3241">
        <v>23</v>
      </c>
      <c r="AC3241">
        <v>9.3348999999999993</v>
      </c>
      <c r="AD3241">
        <v>-1.112679293397</v>
      </c>
      <c r="AE3241">
        <v>-9.7245000000000008</v>
      </c>
      <c r="AF3241">
        <v>-3.4626924496603402</v>
      </c>
      <c r="AG3241">
        <v>-1.112679293397</v>
      </c>
      <c r="AH3241">
        <v>12.933096587452001</v>
      </c>
      <c r="AI3241">
        <v>94.750724689010795</v>
      </c>
      <c r="AJ3241">
        <v>104.988755163593</v>
      </c>
      <c r="AK3241">
        <v>13.434778805445699</v>
      </c>
      <c r="AL3241">
        <v>87.781182025673999</v>
      </c>
      <c r="AM3241">
        <v>92.223489269429294</v>
      </c>
      <c r="AN3241">
        <v>0.999999986124117</v>
      </c>
    </row>
    <row r="3242" spans="1:40" x14ac:dyDescent="0.25">
      <c r="A3242" t="str">
        <f>"20190312160355158"</f>
        <v>20190312160355158</v>
      </c>
      <c r="B3242" t="str">
        <f>"1552377835147679"</f>
        <v>1552377835147679</v>
      </c>
      <c r="C3242" t="s">
        <v>40</v>
      </c>
      <c r="D3242">
        <v>5.2975349999999999</v>
      </c>
      <c r="E3242">
        <v>0.37574760000000001</v>
      </c>
      <c r="F3242" t="s">
        <v>59</v>
      </c>
      <c r="G3242">
        <v>-475.65519999999998</v>
      </c>
      <c r="H3242" s="1">
        <v>3.5985360000000001E-6</v>
      </c>
      <c r="I3242">
        <v>218.00059999999999</v>
      </c>
      <c r="J3242">
        <v>-486.92380000000003</v>
      </c>
      <c r="K3242">
        <v>1.112687</v>
      </c>
      <c r="L3242">
        <v>227.8426</v>
      </c>
      <c r="M3242">
        <v>0.48561019999999999</v>
      </c>
      <c r="N3242">
        <v>0</v>
      </c>
      <c r="O3242">
        <v>-0.87408779999999997</v>
      </c>
      <c r="P3242">
        <v>0.51787780000000005</v>
      </c>
      <c r="Q3242">
        <v>2.669388E-2</v>
      </c>
      <c r="R3242">
        <v>-0.85503819999999997</v>
      </c>
      <c r="S3242">
        <v>2.3660580000000002</v>
      </c>
      <c r="T3242">
        <v>-0.23142119999999999</v>
      </c>
      <c r="U3242">
        <v>-2.0857239999999999</v>
      </c>
      <c r="V3242">
        <v>-3.7693560000000001E-2</v>
      </c>
      <c r="W3242">
        <v>3.8849889999999998E-2</v>
      </c>
      <c r="X3242">
        <v>0.99853380000000003</v>
      </c>
      <c r="Y3242">
        <v>-0.33253310000000003</v>
      </c>
      <c r="Z3242">
        <v>7.0079089999999997E-2</v>
      </c>
      <c r="AA3242">
        <v>0.94048430000000005</v>
      </c>
      <c r="AB3242">
        <v>23</v>
      </c>
      <c r="AC3242">
        <v>11.268599999999999</v>
      </c>
      <c r="AD3242">
        <v>-1.1126834014639999</v>
      </c>
      <c r="AE3242">
        <v>-9.8420000000000094</v>
      </c>
      <c r="AF3242">
        <v>-5.0428673277675902</v>
      </c>
      <c r="AG3242">
        <v>-1.1126834014639999</v>
      </c>
      <c r="AH3242">
        <v>13.998573592691899</v>
      </c>
      <c r="AI3242">
        <v>94.276683172832506</v>
      </c>
      <c r="AJ3242">
        <v>109.811125467203</v>
      </c>
      <c r="AK3242">
        <v>14.9207452182312</v>
      </c>
      <c r="AL3242">
        <v>87.773504801903101</v>
      </c>
      <c r="AM3242">
        <v>92.161826614674297</v>
      </c>
      <c r="AN3242">
        <v>0.99999993408045995</v>
      </c>
    </row>
    <row r="3243" spans="1:40" x14ac:dyDescent="0.25">
      <c r="A3243" t="str">
        <f>"20190312160355181"</f>
        <v>20190312160355181</v>
      </c>
      <c r="B3243" t="str">
        <f>"1552377835177936"</f>
        <v>1552377835177936</v>
      </c>
      <c r="C3243" t="s">
        <v>40</v>
      </c>
      <c r="D3243">
        <v>5.311833</v>
      </c>
      <c r="E3243">
        <v>0.36992019999999998</v>
      </c>
      <c r="F3243" t="s">
        <v>59</v>
      </c>
      <c r="G3243">
        <v>-472.68740000000003</v>
      </c>
      <c r="H3243" s="1">
        <v>4.8169399999999998E-6</v>
      </c>
      <c r="I3243">
        <v>215.76609999999999</v>
      </c>
      <c r="J3243">
        <v>-486.8066</v>
      </c>
      <c r="K3243">
        <v>1.1127069999999999</v>
      </c>
      <c r="L3243">
        <v>227.6413</v>
      </c>
      <c r="M3243">
        <v>0.48917729999999998</v>
      </c>
      <c r="N3243">
        <v>0</v>
      </c>
      <c r="O3243">
        <v>-0.87209639999999999</v>
      </c>
      <c r="P3243">
        <v>0.52059999999999995</v>
      </c>
      <c r="Q3243">
        <v>2.7836E-2</v>
      </c>
      <c r="R3243">
        <v>-0.85334690000000002</v>
      </c>
      <c r="S3243">
        <v>2.4171749999999999</v>
      </c>
      <c r="T3243">
        <v>-0.18892039999999999</v>
      </c>
      <c r="U3243">
        <v>-2.050446</v>
      </c>
      <c r="V3243">
        <v>-3.6821979999999997E-2</v>
      </c>
      <c r="W3243">
        <v>3.9996740000000003E-2</v>
      </c>
      <c r="X3243">
        <v>0.99852110000000005</v>
      </c>
      <c r="Y3243">
        <v>-0.3472344</v>
      </c>
      <c r="Z3243">
        <v>5.7123649999999998E-2</v>
      </c>
      <c r="AA3243">
        <v>0.93603689999999995</v>
      </c>
      <c r="AB3243">
        <v>23</v>
      </c>
      <c r="AC3243">
        <v>14.1191999999999</v>
      </c>
      <c r="AD3243">
        <v>-1.1127021830599999</v>
      </c>
      <c r="AE3243">
        <v>-11.8752</v>
      </c>
      <c r="AF3243">
        <v>-6.4811490498535003</v>
      </c>
      <c r="AG3243">
        <v>-1.1127021830599999</v>
      </c>
      <c r="AH3243">
        <v>17.2018639689087</v>
      </c>
      <c r="AI3243">
        <v>93.463951832448501</v>
      </c>
      <c r="AJ3243">
        <v>110.64491198853599</v>
      </c>
      <c r="AK3243">
        <v>18.415958382865799</v>
      </c>
      <c r="AL3243">
        <v>87.707744140182299</v>
      </c>
      <c r="AM3243">
        <v>92.111911802076705</v>
      </c>
      <c r="AN3243">
        <v>0.99999999228347902</v>
      </c>
    </row>
    <row r="3244" spans="1:40" x14ac:dyDescent="0.25">
      <c r="A3244" t="str">
        <f>"20190312160355204"</f>
        <v>20190312160355204</v>
      </c>
      <c r="B3244" t="str">
        <f>"1552377835197456"</f>
        <v>1552377835197456</v>
      </c>
      <c r="C3244" t="s">
        <v>40</v>
      </c>
      <c r="D3244">
        <v>5.3395919999999997</v>
      </c>
      <c r="E3244">
        <v>0.36736619999999998</v>
      </c>
      <c r="F3244" t="s">
        <v>70</v>
      </c>
      <c r="G3244">
        <v>-469.61700000000002</v>
      </c>
      <c r="H3244" s="1">
        <v>3.6276269999999999E-6</v>
      </c>
      <c r="I3244">
        <v>213.5472</v>
      </c>
      <c r="J3244">
        <v>-486.68650000000002</v>
      </c>
      <c r="K3244">
        <v>1.112735</v>
      </c>
      <c r="L3244">
        <v>227.43700000000001</v>
      </c>
      <c r="M3244">
        <v>0.49283559999999998</v>
      </c>
      <c r="N3244">
        <v>0</v>
      </c>
      <c r="O3244">
        <v>-0.87003419999999898</v>
      </c>
      <c r="P3244">
        <v>0.52334320000000001</v>
      </c>
      <c r="Q3244">
        <v>2.8004850000000001E-2</v>
      </c>
      <c r="R3244">
        <v>-0.85166169999999997</v>
      </c>
      <c r="S3244">
        <v>2.4620669999999998</v>
      </c>
      <c r="T3244">
        <v>-0.15937200000000001</v>
      </c>
      <c r="U3244">
        <v>-2.0186920000000002</v>
      </c>
      <c r="V3244">
        <v>-3.5847549999999999E-2</v>
      </c>
      <c r="W3244">
        <v>4.0171119999999998E-2</v>
      </c>
      <c r="X3244">
        <v>0.99854960000000004</v>
      </c>
      <c r="Y3244">
        <v>-0.35934050000000001</v>
      </c>
      <c r="Z3244">
        <v>4.8090569999999999E-2</v>
      </c>
      <c r="AA3244">
        <v>0.93196659999999998</v>
      </c>
      <c r="AB3244">
        <v>23</v>
      </c>
      <c r="AC3244">
        <v>17.069500000000001</v>
      </c>
      <c r="AD3244">
        <v>-1.1127313723729999</v>
      </c>
      <c r="AE3244">
        <v>-13.889799999999999</v>
      </c>
      <c r="AF3244">
        <v>-7.9858585706983503</v>
      </c>
      <c r="AG3244">
        <v>-1.1127313723729999</v>
      </c>
      <c r="AH3244">
        <v>20.4463580963575</v>
      </c>
      <c r="AI3244">
        <v>92.9019877891389</v>
      </c>
      <c r="AJ3244">
        <v>111.334427837158</v>
      </c>
      <c r="AK3244">
        <v>21.978754915207102</v>
      </c>
      <c r="AL3244">
        <v>87.697744963494202</v>
      </c>
      <c r="AM3244">
        <v>92.056013695543697</v>
      </c>
      <c r="AN3244">
        <v>1.0000000346916</v>
      </c>
    </row>
    <row r="3245" spans="1:40" x14ac:dyDescent="0.25">
      <c r="A3245" t="str">
        <f>"20190312160355229"</f>
        <v>20190312160355229</v>
      </c>
      <c r="B3245" t="str">
        <f>"1552377835217953"</f>
        <v>1552377835217953</v>
      </c>
      <c r="C3245" t="s">
        <v>40</v>
      </c>
      <c r="D3245">
        <v>5.2772030000000001</v>
      </c>
      <c r="E3245">
        <v>0.36586390000000002</v>
      </c>
      <c r="F3245" t="s">
        <v>70</v>
      </c>
      <c r="G3245">
        <v>-466.86309999999997</v>
      </c>
      <c r="H3245" s="1">
        <v>2.2522709999999999E-6</v>
      </c>
      <c r="I3245">
        <v>211.48570000000001</v>
      </c>
      <c r="J3245">
        <v>-486.55680000000001</v>
      </c>
      <c r="K3245">
        <v>1.1127769999999999</v>
      </c>
      <c r="L3245">
        <v>227.21860000000001</v>
      </c>
      <c r="M3245">
        <v>0.4968108</v>
      </c>
      <c r="N3245">
        <v>0</v>
      </c>
      <c r="O3245">
        <v>-0.86777039999999905</v>
      </c>
      <c r="P3245">
        <v>0.52719839999999996</v>
      </c>
      <c r="Q3245">
        <v>2.7633069999999999E-2</v>
      </c>
      <c r="R3245">
        <v>-0.84929279999999996</v>
      </c>
      <c r="S3245">
        <v>2.4853209999999999</v>
      </c>
      <c r="T3245">
        <v>-0.13950679999999999</v>
      </c>
      <c r="U3245">
        <v>-1.9998629999999999</v>
      </c>
      <c r="V3245">
        <v>-3.5801430000000002E-2</v>
      </c>
      <c r="W3245">
        <v>3.979854E-2</v>
      </c>
      <c r="X3245">
        <v>0.99856619999999996</v>
      </c>
      <c r="Y3245">
        <v>-0.36386940000000001</v>
      </c>
      <c r="Z3245">
        <v>4.2013010000000003E-2</v>
      </c>
      <c r="AA3245">
        <v>0.93050200000000005</v>
      </c>
      <c r="AB3245">
        <v>23</v>
      </c>
      <c r="AC3245">
        <v>19.6937</v>
      </c>
      <c r="AD3245">
        <v>-1.112774747729</v>
      </c>
      <c r="AE3245">
        <v>-15.732900000000001</v>
      </c>
      <c r="AF3245">
        <v>-9.2560083115348402</v>
      </c>
      <c r="AG3245">
        <v>-1.112774747729</v>
      </c>
      <c r="AH3245">
        <v>23.392797139027898</v>
      </c>
      <c r="AI3245">
        <v>92.532681059601302</v>
      </c>
      <c r="AJ3245">
        <v>111.587601119925</v>
      </c>
      <c r="AK3245">
        <v>25.182035570821</v>
      </c>
      <c r="AL3245">
        <v>87.719109369745993</v>
      </c>
      <c r="AM3245">
        <v>92.053336672059004</v>
      </c>
      <c r="AN3245">
        <v>1.0000000609793001</v>
      </c>
    </row>
    <row r="3246" spans="1:40" x14ac:dyDescent="0.25">
      <c r="A3246" t="str">
        <f>"20190312160355248"</f>
        <v>20190312160355248</v>
      </c>
      <c r="B3246" t="str">
        <f>"1552377835237475"</f>
        <v>1552377835237475</v>
      </c>
      <c r="C3246" t="s">
        <v>40</v>
      </c>
      <c r="D3246">
        <v>5.2348429999999997</v>
      </c>
      <c r="E3246">
        <v>0.36443219999999998</v>
      </c>
      <c r="F3246" t="s">
        <v>70</v>
      </c>
      <c r="G3246">
        <v>-464.75049999999999</v>
      </c>
      <c r="H3246" s="1">
        <v>1.1947810000000001E-6</v>
      </c>
      <c r="I3246">
        <v>209.95939999999999</v>
      </c>
      <c r="J3246">
        <v>-486.45609999999999</v>
      </c>
      <c r="K3246">
        <v>1.1128119999999999</v>
      </c>
      <c r="L3246">
        <v>227.05070000000001</v>
      </c>
      <c r="M3246">
        <v>0.49992019999999998</v>
      </c>
      <c r="N3246">
        <v>0</v>
      </c>
      <c r="O3246">
        <v>-0.86598269999999899</v>
      </c>
      <c r="P3246">
        <v>0.53093679999999999</v>
      </c>
      <c r="Q3246">
        <v>2.7470390000000001E-2</v>
      </c>
      <c r="R3246">
        <v>-0.84696610000000006</v>
      </c>
      <c r="S3246">
        <v>2.5042110000000002</v>
      </c>
      <c r="T3246">
        <v>-0.12779019999999999</v>
      </c>
      <c r="U3246">
        <v>-1.9820249999999999</v>
      </c>
      <c r="V3246">
        <v>-3.662207E-2</v>
      </c>
      <c r="W3246">
        <v>3.9629400000000002E-2</v>
      </c>
      <c r="X3246">
        <v>0.99854310000000002</v>
      </c>
      <c r="Y3246">
        <v>-0.36815130000000001</v>
      </c>
      <c r="Z3246">
        <v>3.8445220000000002E-2</v>
      </c>
      <c r="AA3246">
        <v>0.92897070000000004</v>
      </c>
      <c r="AB3246">
        <v>23</v>
      </c>
      <c r="AC3246">
        <v>21.7056</v>
      </c>
      <c r="AD3246">
        <v>-1.112810805219</v>
      </c>
      <c r="AE3246">
        <v>-17.0913</v>
      </c>
      <c r="AF3246">
        <v>-10.236567669463</v>
      </c>
      <c r="AG3246">
        <v>-1.112810805219</v>
      </c>
      <c r="AH3246">
        <v>25.612255038930499</v>
      </c>
      <c r="AI3246">
        <v>92.3103639368952</v>
      </c>
      <c r="AJ3246">
        <v>111.78533500089</v>
      </c>
      <c r="AK3246">
        <v>27.604587910688501</v>
      </c>
      <c r="AL3246">
        <v>87.728807876388998</v>
      </c>
      <c r="AM3246">
        <v>92.100410095989602</v>
      </c>
      <c r="AN3246">
        <v>0.99999999395652694</v>
      </c>
    </row>
    <row r="3247" spans="1:40" x14ac:dyDescent="0.25">
      <c r="A3247" t="str">
        <f>"20190312160355270"</f>
        <v>20190312160355270</v>
      </c>
      <c r="B3247" t="str">
        <f>"1552377835257969"</f>
        <v>1552377835257969</v>
      </c>
      <c r="C3247" t="s">
        <v>40</v>
      </c>
      <c r="D3247">
        <v>5.2872199999999996</v>
      </c>
      <c r="E3247">
        <v>0.36365019999999998</v>
      </c>
      <c r="F3247" t="s">
        <v>70</v>
      </c>
      <c r="G3247">
        <v>-464.06529999999998</v>
      </c>
      <c r="H3247">
        <v>6.331059E-2</v>
      </c>
      <c r="I3247">
        <v>209.60300000000001</v>
      </c>
      <c r="J3247">
        <v>-486.34160000000003</v>
      </c>
      <c r="K3247">
        <v>1.112857</v>
      </c>
      <c r="L3247">
        <v>226.86179999999999</v>
      </c>
      <c r="M3247">
        <v>0.50347509999999995</v>
      </c>
      <c r="N3247">
        <v>0</v>
      </c>
      <c r="O3247">
        <v>-0.86392080000000004</v>
      </c>
      <c r="P3247">
        <v>0.53500709999999996</v>
      </c>
      <c r="Q3247">
        <v>2.7777619999999999E-2</v>
      </c>
      <c r="R3247">
        <v>-0.84439109999999995</v>
      </c>
      <c r="S3247">
        <v>2.5217589999999999</v>
      </c>
      <c r="T3247">
        <v>-0.1181997</v>
      </c>
      <c r="U3247">
        <v>-1.965042</v>
      </c>
      <c r="V3247">
        <v>-3.7335340000000002E-2</v>
      </c>
      <c r="W3247">
        <v>3.993099E-2</v>
      </c>
      <c r="X3247">
        <v>0.99850470000000002</v>
      </c>
      <c r="Y3247">
        <v>-0.37145869999999998</v>
      </c>
      <c r="Z3247">
        <v>3.5509779999999998E-2</v>
      </c>
      <c r="AA3247">
        <v>0.92777010000000004</v>
      </c>
      <c r="AB3247">
        <v>23</v>
      </c>
      <c r="AC3247">
        <v>22.276299999999999</v>
      </c>
      <c r="AD3247">
        <v>-1.04954641</v>
      </c>
      <c r="AE3247">
        <v>-17.258800000000001</v>
      </c>
      <c r="AF3247">
        <v>-10.541770839363901</v>
      </c>
      <c r="AG3247">
        <v>-1.04954641</v>
      </c>
      <c r="AH3247">
        <v>26.091612962587998</v>
      </c>
      <c r="AI3247">
        <v>92.1359325322167</v>
      </c>
      <c r="AJ3247">
        <v>112.000141448364</v>
      </c>
      <c r="AK3247">
        <v>28.160304456555501</v>
      </c>
      <c r="AL3247">
        <v>87.711514421684797</v>
      </c>
      <c r="AM3247">
        <v>92.141363301984299</v>
      </c>
      <c r="AN3247">
        <v>1.0000000237486899</v>
      </c>
    </row>
    <row r="3248" spans="1:40" x14ac:dyDescent="0.25">
      <c r="A3248" t="str">
        <f>"20190312160355283"</f>
        <v>20190312160355283</v>
      </c>
      <c r="B3248" t="str">
        <f>"1552377835277487"</f>
        <v>1552377835277487</v>
      </c>
      <c r="C3248" t="s">
        <v>40</v>
      </c>
      <c r="D3248">
        <v>5.3077719999999999</v>
      </c>
      <c r="E3248">
        <v>0.36372280000000001</v>
      </c>
      <c r="F3248" t="s">
        <v>70</v>
      </c>
      <c r="G3248">
        <v>-462.779</v>
      </c>
      <c r="H3248">
        <v>8.0000899999999903E-2</v>
      </c>
      <c r="I3248">
        <v>208.74930000000001</v>
      </c>
      <c r="J3248">
        <v>-486.26749999999998</v>
      </c>
      <c r="K3248">
        <v>1.112886</v>
      </c>
      <c r="L3248">
        <v>226.7405</v>
      </c>
      <c r="M3248">
        <v>0.50579049999999903</v>
      </c>
      <c r="N3248">
        <v>0</v>
      </c>
      <c r="O3248">
        <v>-0.86256710000000003</v>
      </c>
      <c r="P3248">
        <v>0.53766150000000001</v>
      </c>
      <c r="Q3248">
        <v>2.7831080000000001E-2</v>
      </c>
      <c r="R3248">
        <v>-0.84270129999999999</v>
      </c>
      <c r="S3248">
        <v>2.5362239999999998</v>
      </c>
      <c r="T3248">
        <v>-0.1111742</v>
      </c>
      <c r="U3248">
        <v>-1.9495849999999999</v>
      </c>
      <c r="V3248">
        <v>-3.780377E-2</v>
      </c>
      <c r="W3248">
        <v>3.9980549999999997E-2</v>
      </c>
      <c r="X3248">
        <v>0.99848510000000001</v>
      </c>
      <c r="Y3248">
        <v>-0.37514599999999998</v>
      </c>
      <c r="Z3248">
        <v>3.3385409999999997E-2</v>
      </c>
      <c r="AA3248">
        <v>0.92636430000000003</v>
      </c>
      <c r="AB3248">
        <v>23</v>
      </c>
      <c r="AC3248">
        <v>23.488499999999899</v>
      </c>
      <c r="AD3248">
        <v>-1.0328850999999999</v>
      </c>
      <c r="AE3248">
        <v>-17.9911999999999</v>
      </c>
      <c r="AF3248">
        <v>-11.1479024946421</v>
      </c>
      <c r="AG3248">
        <v>-1.0328850999999999</v>
      </c>
      <c r="AH3248">
        <v>27.367633632187701</v>
      </c>
      <c r="AI3248">
        <v>92.001821395909602</v>
      </c>
      <c r="AJ3248">
        <v>112.16298060227901</v>
      </c>
      <c r="AK3248">
        <v>29.569070872881699</v>
      </c>
      <c r="AL3248">
        <v>87.708672592850604</v>
      </c>
      <c r="AM3248">
        <v>92.168247077483599</v>
      </c>
      <c r="AN3248">
        <v>1.0000000321632601</v>
      </c>
    </row>
    <row r="3249" spans="1:40" x14ac:dyDescent="0.25">
      <c r="A3249" t="str">
        <f>"20190312160355303"</f>
        <v>20190312160355303</v>
      </c>
      <c r="B3249" t="str">
        <f>"1552377835297983"</f>
        <v>1552377835297983</v>
      </c>
      <c r="C3249" t="s">
        <v>40</v>
      </c>
      <c r="D3249">
        <v>5.258381</v>
      </c>
      <c r="E3249">
        <v>0.36402220000000002</v>
      </c>
      <c r="F3249" t="s">
        <v>70</v>
      </c>
      <c r="G3249">
        <v>-463.03019999999998</v>
      </c>
      <c r="H3249">
        <v>8.000082E-2</v>
      </c>
      <c r="I3249">
        <v>208.98830000000001</v>
      </c>
      <c r="J3249">
        <v>-486.1567</v>
      </c>
      <c r="K3249">
        <v>1.1129290000000001</v>
      </c>
      <c r="L3249">
        <v>226.56059999999999</v>
      </c>
      <c r="M3249">
        <v>0.50926939999999998</v>
      </c>
      <c r="N3249">
        <v>0</v>
      </c>
      <c r="O3249">
        <v>-0.8605178</v>
      </c>
      <c r="P3249">
        <v>0.54137279999999999</v>
      </c>
      <c r="Q3249">
        <v>2.768052E-2</v>
      </c>
      <c r="R3249">
        <v>-0.84032689999999999</v>
      </c>
      <c r="S3249">
        <v>2.5419309999999999</v>
      </c>
      <c r="T3249">
        <v>-0.1129874</v>
      </c>
      <c r="U3249">
        <v>-1.94191</v>
      </c>
      <c r="V3249">
        <v>-3.8175849999999997E-2</v>
      </c>
      <c r="W3249">
        <v>3.9826649999999998E-2</v>
      </c>
      <c r="X3249">
        <v>0.99847699999999995</v>
      </c>
      <c r="Y3249">
        <v>-0.37415720000000002</v>
      </c>
      <c r="Z3249">
        <v>3.3872470000000002E-2</v>
      </c>
      <c r="AA3249">
        <v>0.92674650000000003</v>
      </c>
      <c r="AB3249">
        <v>23</v>
      </c>
      <c r="AC3249">
        <v>23.1265</v>
      </c>
      <c r="AD3249">
        <v>-1.0329281800000001</v>
      </c>
      <c r="AE3249">
        <v>-17.572299999999899</v>
      </c>
      <c r="AF3249">
        <v>-10.938738080069299</v>
      </c>
      <c r="AG3249">
        <v>-1.0329281800000001</v>
      </c>
      <c r="AH3249">
        <v>26.866985294606899</v>
      </c>
      <c r="AI3249">
        <v>92.039316344678994</v>
      </c>
      <c r="AJ3249">
        <v>112.15341228475199</v>
      </c>
      <c r="AK3249">
        <v>29.026846715239699</v>
      </c>
      <c r="AL3249">
        <v>87.717497227950105</v>
      </c>
      <c r="AM3249">
        <v>92.189584917557497</v>
      </c>
      <c r="AN3249">
        <v>0.99999993855122005</v>
      </c>
    </row>
    <row r="3250" spans="1:40" x14ac:dyDescent="0.25">
      <c r="A3250" t="str">
        <f>"20190312160355327"</f>
        <v>20190312160355327</v>
      </c>
      <c r="B3250" t="str">
        <f>"1552377835317504"</f>
        <v>1552377835317504</v>
      </c>
      <c r="C3250" t="s">
        <v>40</v>
      </c>
      <c r="D3250">
        <v>5.3002159999999998</v>
      </c>
      <c r="E3250">
        <v>0.36409970000000003</v>
      </c>
      <c r="F3250" t="s">
        <v>70</v>
      </c>
      <c r="G3250">
        <v>-463.53899999999999</v>
      </c>
      <c r="H3250">
        <v>8.0000650000000006E-2</v>
      </c>
      <c r="I3250">
        <v>209.42</v>
      </c>
      <c r="J3250">
        <v>-486.03300000000002</v>
      </c>
      <c r="K3250">
        <v>1.112981</v>
      </c>
      <c r="L3250">
        <v>226.36150000000001</v>
      </c>
      <c r="M3250">
        <v>0.51319490000000001</v>
      </c>
      <c r="N3250">
        <v>0</v>
      </c>
      <c r="O3250">
        <v>-0.85818220000000001</v>
      </c>
      <c r="P3250">
        <v>0.54507850000000002</v>
      </c>
      <c r="Q3250">
        <v>2.7345439999999999E-2</v>
      </c>
      <c r="R3250">
        <v>-0.83793899999999999</v>
      </c>
      <c r="S3250">
        <v>2.5489809999999999</v>
      </c>
      <c r="T3250">
        <v>-0.11640929999999999</v>
      </c>
      <c r="U3250">
        <v>-1.9317169999999999</v>
      </c>
      <c r="V3250">
        <v>-3.8021149999999997E-2</v>
      </c>
      <c r="W3250">
        <v>3.9492659999999999E-2</v>
      </c>
      <c r="X3250">
        <v>0.99849619999999994</v>
      </c>
      <c r="Y3250">
        <v>-0.37347740000000001</v>
      </c>
      <c r="Z3250">
        <v>3.4839090000000003E-2</v>
      </c>
      <c r="AA3250">
        <v>0.92698480000000005</v>
      </c>
      <c r="AB3250">
        <v>23</v>
      </c>
      <c r="AC3250">
        <v>22.494</v>
      </c>
      <c r="AD3250">
        <v>-1.0329803500000001</v>
      </c>
      <c r="AE3250">
        <v>-16.941500000000001</v>
      </c>
      <c r="AF3250">
        <v>-10.596219464460299</v>
      </c>
      <c r="AG3250">
        <v>-1.0329803500000001</v>
      </c>
      <c r="AH3250">
        <v>26.049660155748001</v>
      </c>
      <c r="AI3250">
        <v>92.103625382631193</v>
      </c>
      <c r="AJ3250">
        <v>112.135015425926</v>
      </c>
      <c r="AK3250">
        <v>28.141281235445899</v>
      </c>
      <c r="AL3250">
        <v>87.736648584560598</v>
      </c>
      <c r="AM3250">
        <v>92.180678753864996</v>
      </c>
      <c r="AN3250">
        <v>0.99999996972781802</v>
      </c>
    </row>
    <row r="3251" spans="1:40" x14ac:dyDescent="0.25">
      <c r="A3251" t="str">
        <f>"20190312160355350"</f>
        <v>20190312160355350</v>
      </c>
      <c r="B3251" t="str">
        <f>"1552377835338000"</f>
        <v>1552377835338000</v>
      </c>
      <c r="C3251" t="s">
        <v>40</v>
      </c>
      <c r="D3251">
        <v>5.3206030000000002</v>
      </c>
      <c r="E3251">
        <v>0.36431229999999998</v>
      </c>
      <c r="F3251" t="s">
        <v>70</v>
      </c>
      <c r="G3251">
        <v>-463.5754</v>
      </c>
      <c r="H3251">
        <v>8.0000639999999998E-2</v>
      </c>
      <c r="I3251">
        <v>209.49100000000001</v>
      </c>
      <c r="J3251">
        <v>-485.91070000000002</v>
      </c>
      <c r="K3251">
        <v>1.1130329999999999</v>
      </c>
      <c r="L3251">
        <v>226.16730000000001</v>
      </c>
      <c r="M3251">
        <v>0.51711490000000004</v>
      </c>
      <c r="N3251">
        <v>0</v>
      </c>
      <c r="O3251">
        <v>-0.85582579999999997</v>
      </c>
      <c r="P3251">
        <v>0.5488189</v>
      </c>
      <c r="Q3251">
        <v>2.6745990000000001E-2</v>
      </c>
      <c r="R3251">
        <v>-0.83551330000000001</v>
      </c>
      <c r="S3251">
        <v>2.5568849999999999</v>
      </c>
      <c r="T3251">
        <v>-0.11760909999999999</v>
      </c>
      <c r="U3251">
        <v>-1.920776</v>
      </c>
      <c r="V3251">
        <v>-3.7909190000000002E-2</v>
      </c>
      <c r="W3251">
        <v>3.8893730000000001E-2</v>
      </c>
      <c r="X3251">
        <v>0.99852399999999997</v>
      </c>
      <c r="Y3251">
        <v>-0.37313570000000001</v>
      </c>
      <c r="Z3251">
        <v>3.5138589999999997E-2</v>
      </c>
      <c r="AA3251">
        <v>0.92711109999999997</v>
      </c>
      <c r="AB3251">
        <v>23</v>
      </c>
      <c r="AC3251">
        <v>22.3353</v>
      </c>
      <c r="AD3251">
        <v>-1.03303236</v>
      </c>
      <c r="AE3251">
        <v>-16.676300000000001</v>
      </c>
      <c r="AF3251">
        <v>-10.477981283272801</v>
      </c>
      <c r="AG3251">
        <v>-1.03303236</v>
      </c>
      <c r="AH3251">
        <v>25.788497308875002</v>
      </c>
      <c r="AI3251">
        <v>92.125361310479306</v>
      </c>
      <c r="AJ3251">
        <v>112.11212623398799</v>
      </c>
      <c r="AK3251">
        <v>27.855014648699701</v>
      </c>
      <c r="AL3251">
        <v>87.770991210255005</v>
      </c>
      <c r="AM3251">
        <v>92.174203055940694</v>
      </c>
      <c r="AN3251">
        <v>1.00000000374788</v>
      </c>
    </row>
    <row r="3252" spans="1:40" x14ac:dyDescent="0.25">
      <c r="A3252" t="str">
        <f>"20190312160355365"</f>
        <v>20190312160355365</v>
      </c>
      <c r="B3252" t="str">
        <f>"1552377835357519"</f>
        <v>1552377835357519</v>
      </c>
      <c r="C3252" t="s">
        <v>40</v>
      </c>
      <c r="D3252">
        <v>5.3480910000000002</v>
      </c>
      <c r="E3252">
        <v>0.36407040000000002</v>
      </c>
      <c r="F3252" t="s">
        <v>70</v>
      </c>
      <c r="G3252">
        <v>-463.6782</v>
      </c>
      <c r="H3252">
        <v>6.2212719999999999E-2</v>
      </c>
      <c r="I3252">
        <v>209.60409999999999</v>
      </c>
      <c r="J3252">
        <v>-485.8261</v>
      </c>
      <c r="K3252">
        <v>1.1130770000000001</v>
      </c>
      <c r="L3252">
        <v>226.03399999999999</v>
      </c>
      <c r="M3252">
        <v>0.51985429999999999</v>
      </c>
      <c r="N3252">
        <v>0</v>
      </c>
      <c r="O3252">
        <v>-0.854164699999999</v>
      </c>
      <c r="P3252">
        <v>0.55134159999999999</v>
      </c>
      <c r="Q3252">
        <v>2.6684010000000001E-2</v>
      </c>
      <c r="R3252">
        <v>-0.83385290000000001</v>
      </c>
      <c r="S3252">
        <v>2.5640559999999999</v>
      </c>
      <c r="T3252">
        <v>-0.12119000000000001</v>
      </c>
      <c r="U3252">
        <v>-1.9102170000000001</v>
      </c>
      <c r="V3252">
        <v>-3.7730260000000002E-2</v>
      </c>
      <c r="W3252">
        <v>3.883226E-2</v>
      </c>
      <c r="X3252">
        <v>0.99853320000000001</v>
      </c>
      <c r="Y3252">
        <v>-0.37382579999999999</v>
      </c>
      <c r="Z3252">
        <v>3.6178630000000003E-2</v>
      </c>
      <c r="AA3252">
        <v>0.92679299999999998</v>
      </c>
      <c r="AB3252">
        <v>23</v>
      </c>
      <c r="AC3252">
        <v>22.1479</v>
      </c>
      <c r="AD3252">
        <v>-1.0508642800000001</v>
      </c>
      <c r="AE3252">
        <v>-16.4299</v>
      </c>
      <c r="AF3252">
        <v>-10.3625522461804</v>
      </c>
      <c r="AG3252">
        <v>-1.0508642800000001</v>
      </c>
      <c r="AH3252">
        <v>25.512443424401798</v>
      </c>
      <c r="AI3252">
        <v>92.185482900152095</v>
      </c>
      <c r="AJ3252">
        <v>112.105828310673</v>
      </c>
      <c r="AK3252">
        <v>27.5566974485895</v>
      </c>
      <c r="AL3252">
        <v>87.774515912347098</v>
      </c>
      <c r="AM3252">
        <v>92.163930756969705</v>
      </c>
      <c r="AN3252">
        <v>1.0000000342193001</v>
      </c>
    </row>
    <row r="3253" spans="1:40" x14ac:dyDescent="0.25">
      <c r="A3253" t="str">
        <f>"20190312160355384"</f>
        <v>20190312160355384</v>
      </c>
      <c r="B3253" t="str">
        <f>"1552377835378016"</f>
        <v>1552377835378016</v>
      </c>
      <c r="C3253" t="s">
        <v>40</v>
      </c>
      <c r="D3253">
        <v>5.3726520000000004</v>
      </c>
      <c r="E3253">
        <v>0.36401309999999998</v>
      </c>
      <c r="F3253" t="s">
        <v>70</v>
      </c>
      <c r="G3253">
        <v>-463.45870000000002</v>
      </c>
      <c r="H3253">
        <v>8.0000669999999996E-2</v>
      </c>
      <c r="I3253">
        <v>209.49279999999999</v>
      </c>
      <c r="J3253">
        <v>-485.71960000000001</v>
      </c>
      <c r="K3253">
        <v>1.11313</v>
      </c>
      <c r="L3253">
        <v>225.86770000000001</v>
      </c>
      <c r="M3253">
        <v>0.52332309999999904</v>
      </c>
      <c r="N3253">
        <v>0</v>
      </c>
      <c r="O3253">
        <v>-0.85204389999999997</v>
      </c>
      <c r="P3253">
        <v>0.55458989999999997</v>
      </c>
      <c r="Q3253">
        <v>2.634185E-2</v>
      </c>
      <c r="R3253">
        <v>-0.83170719999999998</v>
      </c>
      <c r="S3253">
        <v>2.5711979999999999</v>
      </c>
      <c r="T3253">
        <v>-0.1187555</v>
      </c>
      <c r="U3253">
        <v>-1.9014740000000001</v>
      </c>
      <c r="V3253">
        <v>-3.756172E-2</v>
      </c>
      <c r="W3253">
        <v>3.8492060000000002E-2</v>
      </c>
      <c r="X3253">
        <v>0.99855269999999996</v>
      </c>
      <c r="Y3253">
        <v>-0.37334859999999997</v>
      </c>
      <c r="Z3253">
        <v>3.5388000000000003E-2</v>
      </c>
      <c r="AA3253">
        <v>0.9270159</v>
      </c>
      <c r="AB3253">
        <v>23</v>
      </c>
      <c r="AC3253">
        <v>22.2608999999999</v>
      </c>
      <c r="AD3253">
        <v>-1.03312933</v>
      </c>
      <c r="AE3253">
        <v>-16.3749</v>
      </c>
      <c r="AF3253">
        <v>-10.384188656263399</v>
      </c>
      <c r="AG3253">
        <v>-1.03312933</v>
      </c>
      <c r="AH3253">
        <v>25.568015162656401</v>
      </c>
      <c r="AI3253">
        <v>92.143996042398499</v>
      </c>
      <c r="AJ3253">
        <v>112.104028755513</v>
      </c>
      <c r="AK3253">
        <v>27.615613873662198</v>
      </c>
      <c r="AL3253">
        <v>87.794022462609703</v>
      </c>
      <c r="AM3253">
        <v>92.1542316380378</v>
      </c>
      <c r="AN3253">
        <v>1.0000000080848399</v>
      </c>
    </row>
    <row r="3254" spans="1:40" x14ac:dyDescent="0.25">
      <c r="A3254" t="str">
        <f>"20190312160355407"</f>
        <v>20190312160355407</v>
      </c>
      <c r="B3254" t="str">
        <f>"1552377835397535"</f>
        <v>1552377835397535</v>
      </c>
      <c r="C3254" t="s">
        <v>40</v>
      </c>
      <c r="D3254">
        <v>5.3834920000000004</v>
      </c>
      <c r="E3254">
        <v>0.36436689999999999</v>
      </c>
      <c r="F3254" t="s">
        <v>70</v>
      </c>
      <c r="G3254">
        <v>-463.29250000000002</v>
      </c>
      <c r="H3254">
        <v>8.0000719999999997E-2</v>
      </c>
      <c r="I3254">
        <v>209.42</v>
      </c>
      <c r="J3254">
        <v>-485.59629999999999</v>
      </c>
      <c r="K3254">
        <v>1.113194</v>
      </c>
      <c r="L3254">
        <v>225.6772</v>
      </c>
      <c r="M3254">
        <v>0.52737270000000003</v>
      </c>
      <c r="N3254">
        <v>0</v>
      </c>
      <c r="O3254">
        <v>-0.84954319999999905</v>
      </c>
      <c r="P3254">
        <v>0.55856249999999996</v>
      </c>
      <c r="Q3254">
        <v>2.614646E-2</v>
      </c>
      <c r="R3254">
        <v>-0.82905059999999997</v>
      </c>
      <c r="S3254">
        <v>2.5787960000000001</v>
      </c>
      <c r="T3254">
        <v>-0.11879480000000001</v>
      </c>
      <c r="U3254">
        <v>-1.891251</v>
      </c>
      <c r="V3254">
        <v>-3.7587719999999998E-2</v>
      </c>
      <c r="W3254">
        <v>3.8296209999999997E-2</v>
      </c>
      <c r="X3254">
        <v>0.99855919999999998</v>
      </c>
      <c r="Y3254">
        <v>-0.37262679999999998</v>
      </c>
      <c r="Z3254">
        <v>3.5327520000000001E-2</v>
      </c>
      <c r="AA3254">
        <v>0.92730860000000004</v>
      </c>
      <c r="AB3254">
        <v>23</v>
      </c>
      <c r="AC3254">
        <v>22.303799999999899</v>
      </c>
      <c r="AD3254">
        <v>-1.0331932800000001</v>
      </c>
      <c r="AE3254">
        <v>-16.257200000000001</v>
      </c>
      <c r="AF3254">
        <v>-10.360720079990299</v>
      </c>
      <c r="AG3254">
        <v>-1.0331932800000001</v>
      </c>
      <c r="AH3254">
        <v>25.5397930376616</v>
      </c>
      <c r="AI3254">
        <v>92.1468470859825</v>
      </c>
      <c r="AJ3254">
        <v>112.080903643306</v>
      </c>
      <c r="AK3254">
        <v>27.580664193168701</v>
      </c>
      <c r="AL3254">
        <v>87.805252006840703</v>
      </c>
      <c r="AM3254">
        <v>92.155707358885707</v>
      </c>
      <c r="AN3254">
        <v>0.9999999561499</v>
      </c>
    </row>
    <row r="3255" spans="1:40" x14ac:dyDescent="0.25">
      <c r="A3255" t="str">
        <f>"20190312160355430"</f>
        <v>20190312160355430</v>
      </c>
      <c r="B3255" t="str">
        <f>"1552377835418032"</f>
        <v>1552377835418032</v>
      </c>
      <c r="C3255" t="s">
        <v>40</v>
      </c>
      <c r="D3255">
        <v>5.3895609999999996</v>
      </c>
      <c r="E3255">
        <v>0.36472949999999998</v>
      </c>
      <c r="F3255" t="s">
        <v>70</v>
      </c>
      <c r="G3255">
        <v>-463.48559999999998</v>
      </c>
      <c r="H3255">
        <v>7.2646230000000006E-2</v>
      </c>
      <c r="I3255">
        <v>209.59370000000001</v>
      </c>
      <c r="J3255">
        <v>-485.4683</v>
      </c>
      <c r="K3255">
        <v>1.113267</v>
      </c>
      <c r="L3255">
        <v>225.48179999999999</v>
      </c>
      <c r="M3255">
        <v>0.53163359999999904</v>
      </c>
      <c r="N3255">
        <v>0</v>
      </c>
      <c r="O3255">
        <v>-0.84688299999999905</v>
      </c>
      <c r="P3255">
        <v>0.5630058</v>
      </c>
      <c r="Q3255">
        <v>2.5744E-2</v>
      </c>
      <c r="R3255">
        <v>-0.82605169999999895</v>
      </c>
      <c r="S3255">
        <v>2.5853579999999998</v>
      </c>
      <c r="T3255">
        <v>-0.12166929999999999</v>
      </c>
      <c r="U3255">
        <v>-1.8806149999999999</v>
      </c>
      <c r="V3255">
        <v>-3.7930180000000001E-2</v>
      </c>
      <c r="W3255">
        <v>3.7891670000000002E-2</v>
      </c>
      <c r="X3255">
        <v>0.9985617</v>
      </c>
      <c r="Y3255">
        <v>-0.37155129999999997</v>
      </c>
      <c r="Z3255">
        <v>3.6110450000000002E-2</v>
      </c>
      <c r="AA3255">
        <v>0.92770989999999998</v>
      </c>
      <c r="AB3255">
        <v>23</v>
      </c>
      <c r="AC3255">
        <v>21.982700000000001</v>
      </c>
      <c r="AD3255">
        <v>-1.0406207700000001</v>
      </c>
      <c r="AE3255">
        <v>-15.8880999999999</v>
      </c>
      <c r="AF3255">
        <v>-10.155965527797401</v>
      </c>
      <c r="AG3255">
        <v>-1.0406207700000001</v>
      </c>
      <c r="AH3255">
        <v>25.1070941077502</v>
      </c>
      <c r="AI3255">
        <v>92.200384499890404</v>
      </c>
      <c r="AJ3255">
        <v>112.023618376263</v>
      </c>
      <c r="AK3255">
        <v>27.103370674589399</v>
      </c>
      <c r="AL3255">
        <v>87.828447315179403</v>
      </c>
      <c r="AM3255">
        <v>92.175323685594606</v>
      </c>
      <c r="AN3255">
        <v>0.99999997295855503</v>
      </c>
    </row>
    <row r="3256" spans="1:40" x14ac:dyDescent="0.25">
      <c r="A3256" t="str">
        <f>"20190312160355449"</f>
        <v>20190312160355449</v>
      </c>
      <c r="B3256" t="str">
        <f>"1552377835437553"</f>
        <v>1552377835437553</v>
      </c>
      <c r="C3256" t="s">
        <v>40</v>
      </c>
      <c r="D3256">
        <v>5.3555149999999996</v>
      </c>
      <c r="E3256">
        <v>0.36504750000000002</v>
      </c>
      <c r="F3256" t="s">
        <v>70</v>
      </c>
      <c r="G3256">
        <v>-463.43860000000001</v>
      </c>
      <c r="H3256">
        <v>5.3956980000000002E-2</v>
      </c>
      <c r="I3256">
        <v>209.61240000000001</v>
      </c>
      <c r="J3256">
        <v>-485.35500000000002</v>
      </c>
      <c r="K3256">
        <v>1.113327</v>
      </c>
      <c r="L3256">
        <v>225.3108</v>
      </c>
      <c r="M3256">
        <v>0.53545120000000002</v>
      </c>
      <c r="N3256">
        <v>0</v>
      </c>
      <c r="O3256">
        <v>-0.84447450000000002</v>
      </c>
      <c r="P3256">
        <v>0.56703559999999997</v>
      </c>
      <c r="Q3256">
        <v>2.4919199999999999E-2</v>
      </c>
      <c r="R3256">
        <v>-0.82331650000000001</v>
      </c>
      <c r="S3256">
        <v>2.5932919999999999</v>
      </c>
      <c r="T3256">
        <v>-0.1246997</v>
      </c>
      <c r="U3256">
        <v>-1.8681179999999999</v>
      </c>
      <c r="V3256">
        <v>-3.828848E-2</v>
      </c>
      <c r="W3256">
        <v>3.7064470000000002E-2</v>
      </c>
      <c r="X3256">
        <v>0.99857910000000005</v>
      </c>
      <c r="Y3256">
        <v>-0.37161919999999998</v>
      </c>
      <c r="Z3256">
        <v>3.6954819999999999E-2</v>
      </c>
      <c r="AA3256">
        <v>0.92764939999999996</v>
      </c>
      <c r="AB3256">
        <v>23</v>
      </c>
      <c r="AC3256">
        <v>21.916399999999999</v>
      </c>
      <c r="AD3256">
        <v>-1.05937002</v>
      </c>
      <c r="AE3256">
        <v>-15.6983999999999</v>
      </c>
      <c r="AF3256">
        <v>-10.087319278247801</v>
      </c>
      <c r="AG3256">
        <v>-1.05937002</v>
      </c>
      <c r="AH3256">
        <v>24.9554603221499</v>
      </c>
      <c r="AI3256">
        <v>92.253815373021496</v>
      </c>
      <c r="AJ3256">
        <v>112.009194698594</v>
      </c>
      <c r="AK3256">
        <v>26.937915193106299</v>
      </c>
      <c r="AL3256">
        <v>87.875875766594802</v>
      </c>
      <c r="AM3256">
        <v>92.195814207652703</v>
      </c>
      <c r="AN3256">
        <v>1.0000000007969501</v>
      </c>
    </row>
    <row r="3257" spans="1:40" x14ac:dyDescent="0.25">
      <c r="A3257" t="str">
        <f>"20190312160355472"</f>
        <v>20190312160355472</v>
      </c>
      <c r="B3257" t="str">
        <f>"1552377835467339"</f>
        <v>1552377835467339</v>
      </c>
      <c r="C3257" t="s">
        <v>40</v>
      </c>
      <c r="D3257">
        <v>5.3472089999999897</v>
      </c>
      <c r="E3257">
        <v>0.36581849999999999</v>
      </c>
      <c r="F3257" t="s">
        <v>70</v>
      </c>
      <c r="G3257">
        <v>-463.37599999999998</v>
      </c>
      <c r="H3257">
        <v>2.5819740000000001E-2</v>
      </c>
      <c r="I3257">
        <v>209.6163</v>
      </c>
      <c r="J3257">
        <v>-485.23009999999999</v>
      </c>
      <c r="K3257">
        <v>1.1133959999999901</v>
      </c>
      <c r="L3257">
        <v>225.12459999999999</v>
      </c>
      <c r="M3257">
        <v>0.539695699999999</v>
      </c>
      <c r="N3257">
        <v>0</v>
      </c>
      <c r="O3257">
        <v>-0.84176799999999996</v>
      </c>
      <c r="P3257">
        <v>0.57160319999999998</v>
      </c>
      <c r="Q3257">
        <v>2.443646E-2</v>
      </c>
      <c r="R3257">
        <v>-0.82016619999999996</v>
      </c>
      <c r="S3257">
        <v>2.6003419999999999</v>
      </c>
      <c r="T3257">
        <v>-0.12866369999999999</v>
      </c>
      <c r="U3257">
        <v>-1.856827</v>
      </c>
      <c r="V3257">
        <v>-3.8806269999999997E-2</v>
      </c>
      <c r="W3257">
        <v>3.6578899999999998E-2</v>
      </c>
      <c r="X3257">
        <v>0.99857700000000005</v>
      </c>
      <c r="Y3257">
        <v>-0.37076189999999998</v>
      </c>
      <c r="Z3257">
        <v>3.8051920000000003E-2</v>
      </c>
      <c r="AA3257">
        <v>0.92794810000000005</v>
      </c>
      <c r="AB3257">
        <v>23</v>
      </c>
      <c r="AC3257">
        <v>21.854099999999999</v>
      </c>
      <c r="AD3257">
        <v>-1.0875762600000001</v>
      </c>
      <c r="AE3257">
        <v>-15.508299999999901</v>
      </c>
      <c r="AF3257">
        <v>-10.010608467648</v>
      </c>
      <c r="AG3257">
        <v>-1.0875762600000001</v>
      </c>
      <c r="AH3257">
        <v>24.810017363072198</v>
      </c>
      <c r="AI3257">
        <v>92.327892068117094</v>
      </c>
      <c r="AJ3257">
        <v>111.97361195361999</v>
      </c>
      <c r="AK3257">
        <v>26.775587119049501</v>
      </c>
      <c r="AL3257">
        <v>87.903715722336997</v>
      </c>
      <c r="AM3257">
        <v>92.225484073165106</v>
      </c>
      <c r="AN3257">
        <v>0.999999983722761</v>
      </c>
    </row>
    <row r="3258" spans="1:40" x14ac:dyDescent="0.25">
      <c r="A3258" t="str">
        <f>"20190312160355494"</f>
        <v>20190312160355494</v>
      </c>
      <c r="B3258" t="str">
        <f>"1552377835487835"</f>
        <v>1552377835487835</v>
      </c>
      <c r="C3258" t="s">
        <v>40</v>
      </c>
      <c r="D3258">
        <v>5.8065920000000002</v>
      </c>
      <c r="E3258">
        <v>0.2696692</v>
      </c>
      <c r="F3258" t="s">
        <v>70</v>
      </c>
      <c r="G3258">
        <v>-463.81920000000002</v>
      </c>
      <c r="H3258" s="1">
        <v>6.9931719999999899E-7</v>
      </c>
      <c r="I3258">
        <v>209.95599999999999</v>
      </c>
      <c r="J3258">
        <v>-485.1001</v>
      </c>
      <c r="K3258">
        <v>1.1134660000000001</v>
      </c>
      <c r="L3258">
        <v>224.93299999999999</v>
      </c>
      <c r="M3258">
        <v>0.54415950000000002</v>
      </c>
      <c r="N3258">
        <v>0</v>
      </c>
      <c r="O3258">
        <v>-0.83888929999999995</v>
      </c>
      <c r="P3258">
        <v>0.57622669999999998</v>
      </c>
      <c r="Q3258">
        <v>2.4649850000000001E-2</v>
      </c>
      <c r="R3258">
        <v>-0.81691829999999999</v>
      </c>
      <c r="S3258">
        <v>2.6055600000000001</v>
      </c>
      <c r="T3258">
        <v>-0.13549240000000001</v>
      </c>
      <c r="U3258">
        <v>-1.845917</v>
      </c>
      <c r="V3258">
        <v>-3.9154040000000001E-2</v>
      </c>
      <c r="W3258">
        <v>3.6790950000000003E-2</v>
      </c>
      <c r="X3258">
        <v>0.99855570000000005</v>
      </c>
      <c r="Y3258">
        <v>-0.36921720000000002</v>
      </c>
      <c r="Z3258">
        <v>3.9989169999999997E-2</v>
      </c>
      <c r="AA3258">
        <v>0.92848240000000004</v>
      </c>
      <c r="AB3258">
        <v>23</v>
      </c>
      <c r="AC3258">
        <v>21.2808999999999</v>
      </c>
      <c r="AD3258">
        <v>-1.1134653006827999</v>
      </c>
      <c r="AE3258">
        <v>-14.977</v>
      </c>
      <c r="AF3258">
        <v>-9.6854630801572199</v>
      </c>
      <c r="AG3258">
        <v>-1.1134653006827999</v>
      </c>
      <c r="AH3258">
        <v>24.1019962193898</v>
      </c>
      <c r="AI3258">
        <v>92.454559292679704</v>
      </c>
      <c r="AJ3258">
        <v>111.892883387764</v>
      </c>
      <c r="AK3258">
        <v>25.999119635333699</v>
      </c>
      <c r="AL3258">
        <v>87.891558107057193</v>
      </c>
      <c r="AM3258">
        <v>92.245455708704398</v>
      </c>
      <c r="AN3258">
        <v>1.0000000494263499</v>
      </c>
    </row>
    <row r="3259" spans="1:40" x14ac:dyDescent="0.25">
      <c r="A3259" t="str">
        <f>"20190312160355517"</f>
        <v>20190312160355517</v>
      </c>
      <c r="B3259" t="str">
        <f>"1552377835507358"</f>
        <v>1552377835507358</v>
      </c>
      <c r="C3259" t="s">
        <v>40</v>
      </c>
      <c r="D3259">
        <v>6.1787049999999999</v>
      </c>
      <c r="E3259">
        <v>0.2473291</v>
      </c>
      <c r="F3259" t="s">
        <v>56</v>
      </c>
      <c r="G3259">
        <v>-168.875</v>
      </c>
      <c r="H3259">
        <v>50.468760000000003</v>
      </c>
      <c r="I3259">
        <v>87.468379999999996</v>
      </c>
      <c r="J3259">
        <v>-484.96870000000001</v>
      </c>
      <c r="K3259">
        <v>1.1135379999999999</v>
      </c>
      <c r="L3259">
        <v>224.74170000000001</v>
      </c>
      <c r="M3259">
        <v>0.54872580000000004</v>
      </c>
      <c r="N3259">
        <v>0</v>
      </c>
      <c r="O3259">
        <v>-0.83590929999999997</v>
      </c>
      <c r="P3259">
        <v>0.58113049999999999</v>
      </c>
      <c r="Q3259">
        <v>2.4316979999999998E-2</v>
      </c>
      <c r="R3259">
        <v>-0.81344719999999904</v>
      </c>
      <c r="S3259">
        <v>3.2078549999999999</v>
      </c>
      <c r="T3259">
        <v>0.50067070000000002</v>
      </c>
      <c r="U3259">
        <v>-1.3944700000000001</v>
      </c>
      <c r="V3259">
        <v>-3.9714470000000002E-2</v>
      </c>
      <c r="W3259">
        <v>3.6454529999999999E-2</v>
      </c>
      <c r="X3259">
        <v>0.99854589999999999</v>
      </c>
      <c r="Y3259">
        <v>-0.53732740000000001</v>
      </c>
      <c r="Z3259">
        <v>-0.1415206</v>
      </c>
      <c r="AA3259">
        <v>0.83141520000000002</v>
      </c>
      <c r="AB3259">
        <v>23</v>
      </c>
      <c r="AC3259">
        <v>316.09370000000001</v>
      </c>
      <c r="AD3259">
        <v>49.355221999999998</v>
      </c>
      <c r="AE3259">
        <v>-137.27331999999899</v>
      </c>
      <c r="AF3259">
        <v>-185.117893604014</v>
      </c>
      <c r="AG3259">
        <v>49.355221999999998</v>
      </c>
      <c r="AH3259">
        <v>282.42623649595799</v>
      </c>
      <c r="AI3259">
        <v>81.684738706357294</v>
      </c>
      <c r="AJ3259">
        <v>123.243066967061</v>
      </c>
      <c r="AK3259">
        <v>341.27577050286999</v>
      </c>
      <c r="AL3259">
        <v>87.910846478584503</v>
      </c>
      <c r="AM3259">
        <v>92.277584682292996</v>
      </c>
      <c r="AN3259">
        <v>1.00000004314585</v>
      </c>
    </row>
    <row r="3260" spans="1:40" x14ac:dyDescent="0.25">
      <c r="A3260" t="str">
        <f>"20190312160355539"</f>
        <v>20190312160355539</v>
      </c>
      <c r="B3260" t="str">
        <f>"1552377835527850"</f>
        <v>1552377835527850</v>
      </c>
      <c r="C3260" t="s">
        <v>40</v>
      </c>
      <c r="D3260">
        <v>7.6643829999999999</v>
      </c>
      <c r="E3260">
        <v>0.24150669999999999</v>
      </c>
      <c r="F3260" t="s">
        <v>65</v>
      </c>
      <c r="G3260">
        <v>-370.43549999999999</v>
      </c>
      <c r="H3260">
        <v>18.256789999999999</v>
      </c>
      <c r="I3260">
        <v>181.4066</v>
      </c>
      <c r="J3260">
        <v>-484.84070000000003</v>
      </c>
      <c r="K3260">
        <v>1.113618</v>
      </c>
      <c r="L3260">
        <v>224.55779999999999</v>
      </c>
      <c r="M3260">
        <v>0.55323679999999997</v>
      </c>
      <c r="N3260">
        <v>0</v>
      </c>
      <c r="O3260">
        <v>-0.83293069999999902</v>
      </c>
      <c r="P3260">
        <v>0.58596019999999904</v>
      </c>
      <c r="Q3260">
        <v>2.43571E-2</v>
      </c>
      <c r="R3260">
        <v>-0.80997410000000003</v>
      </c>
      <c r="S3260">
        <v>3.3612060000000001</v>
      </c>
      <c r="T3260">
        <v>0.50310469999999996</v>
      </c>
      <c r="U3260">
        <v>-1.2717590000000001</v>
      </c>
      <c r="V3260">
        <v>-4.0266259999999998E-2</v>
      </c>
      <c r="W3260">
        <v>3.649123E-2</v>
      </c>
      <c r="X3260">
        <v>0.99852240000000003</v>
      </c>
      <c r="Y3260">
        <v>-0.57275540000000003</v>
      </c>
      <c r="Z3260">
        <v>-0.14004559999999999</v>
      </c>
      <c r="AA3260">
        <v>0.80767469999999997</v>
      </c>
      <c r="AB3260">
        <v>23</v>
      </c>
      <c r="AC3260">
        <v>114.40519999999999</v>
      </c>
      <c r="AD3260">
        <v>17.143172</v>
      </c>
      <c r="AE3260">
        <v>-43.151199999999903</v>
      </c>
      <c r="AF3260">
        <v>-70.047380484188196</v>
      </c>
      <c r="AG3260">
        <v>17.143172</v>
      </c>
      <c r="AH3260">
        <v>97.329602273184193</v>
      </c>
      <c r="AI3260">
        <v>81.864086704337495</v>
      </c>
      <c r="AJ3260">
        <v>125.74228059397601</v>
      </c>
      <c r="AK3260">
        <v>121.134534042008</v>
      </c>
      <c r="AL3260">
        <v>87.908742196527399</v>
      </c>
      <c r="AM3260">
        <v>92.309249545992998</v>
      </c>
      <c r="AN3260">
        <v>0.99999998243152999</v>
      </c>
    </row>
    <row r="3261" spans="1:40" x14ac:dyDescent="0.25">
      <c r="A3261" t="str">
        <f>"20190312160355553"</f>
        <v>20190312160355553</v>
      </c>
      <c r="B3261" t="str">
        <f>"1552377835547371"</f>
        <v>1552377835547371</v>
      </c>
      <c r="C3261" t="s">
        <v>40</v>
      </c>
      <c r="D3261">
        <v>5.7748169999999996</v>
      </c>
      <c r="E3261">
        <v>0.23979639999999999</v>
      </c>
      <c r="F3261" t="s">
        <v>65</v>
      </c>
      <c r="G3261">
        <v>-368.28089999999997</v>
      </c>
      <c r="H3261">
        <v>17.89367</v>
      </c>
      <c r="I3261">
        <v>182.67339999999999</v>
      </c>
      <c r="J3261">
        <v>-484.75729999999999</v>
      </c>
      <c r="K3261">
        <v>1.113685</v>
      </c>
      <c r="L3261">
        <v>224.4392</v>
      </c>
      <c r="M3261">
        <v>0.55621790000000004</v>
      </c>
      <c r="N3261">
        <v>0</v>
      </c>
      <c r="O3261">
        <v>-0.83094279999999998</v>
      </c>
      <c r="P3261">
        <v>0.58919580000000005</v>
      </c>
      <c r="Q3261">
        <v>2.471278E-2</v>
      </c>
      <c r="R3261">
        <v>-0.80761269999999996</v>
      </c>
      <c r="S3261">
        <v>3.4071039999999999</v>
      </c>
      <c r="T3261">
        <v>0.49049130000000002</v>
      </c>
      <c r="U3261">
        <v>-1.2243040000000001</v>
      </c>
      <c r="V3261">
        <v>-4.0697589999999999E-2</v>
      </c>
      <c r="W3261">
        <v>3.6843849999999997E-2</v>
      </c>
      <c r="X3261">
        <v>0.99849200000000005</v>
      </c>
      <c r="Y3261">
        <v>-0.58392659999999996</v>
      </c>
      <c r="Z3261">
        <v>-0.13602210000000001</v>
      </c>
      <c r="AA3261">
        <v>0.80032979999999998</v>
      </c>
      <c r="AB3261">
        <v>23</v>
      </c>
      <c r="AC3261">
        <v>116.4764</v>
      </c>
      <c r="AD3261">
        <v>16.779985</v>
      </c>
      <c r="AE3261">
        <v>-41.765799999999999</v>
      </c>
      <c r="AF3261">
        <v>-72.231744064069304</v>
      </c>
      <c r="AG3261">
        <v>16.779985</v>
      </c>
      <c r="AH3261">
        <v>97.702275980149295</v>
      </c>
      <c r="AI3261">
        <v>82.137039461015505</v>
      </c>
      <c r="AJ3261">
        <v>126.475687979686</v>
      </c>
      <c r="AK3261">
        <v>122.65695038944401</v>
      </c>
      <c r="AL3261">
        <v>87.888525038983005</v>
      </c>
      <c r="AM3261">
        <v>92.334029872382501</v>
      </c>
      <c r="AN3261">
        <v>1.0000000185893101</v>
      </c>
    </row>
    <row r="3262" spans="1:40" x14ac:dyDescent="0.25">
      <c r="A3262" t="str">
        <f>"20190312160355574"</f>
        <v>20190312160355574</v>
      </c>
      <c r="B3262" t="str">
        <f>"1552377835567398"</f>
        <v>1552377835567398</v>
      </c>
      <c r="C3262" t="s">
        <v>40</v>
      </c>
      <c r="D3262">
        <v>5.7161400000000002</v>
      </c>
      <c r="E3262">
        <v>0.2873252</v>
      </c>
      <c r="F3262" t="s">
        <v>65</v>
      </c>
      <c r="G3262">
        <v>-367.8766</v>
      </c>
      <c r="H3262">
        <v>17.50685</v>
      </c>
      <c r="I3262">
        <v>183.38339999999999</v>
      </c>
      <c r="J3262">
        <v>-484.64030000000002</v>
      </c>
      <c r="K3262">
        <v>1.1137859999999999</v>
      </c>
      <c r="L3262">
        <v>224.27459999999999</v>
      </c>
      <c r="M3262">
        <v>0.56045940000000005</v>
      </c>
      <c r="N3262">
        <v>0</v>
      </c>
      <c r="O3262">
        <v>-0.82808760000000003</v>
      </c>
      <c r="P3262">
        <v>0.59328800000000004</v>
      </c>
      <c r="Q3262">
        <v>2.463748E-2</v>
      </c>
      <c r="R3262">
        <v>-0.80461329999999998</v>
      </c>
      <c r="S3262">
        <v>3.423279</v>
      </c>
      <c r="T3262">
        <v>0.48013519999999998</v>
      </c>
      <c r="U3262">
        <v>-1.202469</v>
      </c>
      <c r="V3262">
        <v>-4.0668169999999997E-2</v>
      </c>
      <c r="W3262">
        <v>3.6770459999999998E-2</v>
      </c>
      <c r="X3262">
        <v>0.99849589999999999</v>
      </c>
      <c r="Y3262">
        <v>-0.58599909999999999</v>
      </c>
      <c r="Z3262">
        <v>-0.13281080000000001</v>
      </c>
      <c r="AA3262">
        <v>0.79935369999999994</v>
      </c>
      <c r="AB3262">
        <v>23</v>
      </c>
      <c r="AC3262">
        <v>116.7637</v>
      </c>
      <c r="AD3262">
        <v>16.393063999999999</v>
      </c>
      <c r="AE3262">
        <v>-40.891199999999998</v>
      </c>
      <c r="AF3262">
        <v>-72.505461658118307</v>
      </c>
      <c r="AG3262">
        <v>16.393063999999999</v>
      </c>
      <c r="AH3262">
        <v>97.597005005598405</v>
      </c>
      <c r="AI3262">
        <v>82.321051861933796</v>
      </c>
      <c r="AJ3262">
        <v>126.608901735209</v>
      </c>
      <c r="AK3262">
        <v>122.682312920925</v>
      </c>
      <c r="AL3262">
        <v>87.892732818896505</v>
      </c>
      <c r="AM3262">
        <v>92.332335382892296</v>
      </c>
      <c r="AN3262">
        <v>1.0000000145482799</v>
      </c>
    </row>
    <row r="3263" spans="1:40" x14ac:dyDescent="0.25">
      <c r="A3263" t="str">
        <f>"20190312160355595"</f>
        <v>20190312160355595</v>
      </c>
      <c r="B3263" t="str">
        <f>"1552377835587895"</f>
        <v>1552377835587895</v>
      </c>
      <c r="C3263" t="s">
        <v>40</v>
      </c>
      <c r="D3263">
        <v>8.2900770000000001</v>
      </c>
      <c r="E3263">
        <v>0.2883925</v>
      </c>
      <c r="F3263" t="s">
        <v>63</v>
      </c>
      <c r="G3263">
        <v>-362.11009999999999</v>
      </c>
      <c r="H3263">
        <v>3.958555</v>
      </c>
      <c r="I3263">
        <v>169.529</v>
      </c>
      <c r="J3263">
        <v>-484.50490000000002</v>
      </c>
      <c r="K3263">
        <v>1.1139190000000001</v>
      </c>
      <c r="L3263">
        <v>224.08680000000001</v>
      </c>
      <c r="M3263">
        <v>0.56546649999999998</v>
      </c>
      <c r="N3263">
        <v>0</v>
      </c>
      <c r="O3263">
        <v>-0.82467639999999998</v>
      </c>
      <c r="P3263">
        <v>0.59839059999999999</v>
      </c>
      <c r="Q3263">
        <v>2.490175E-2</v>
      </c>
      <c r="R3263">
        <v>-0.80081789999999997</v>
      </c>
      <c r="S3263">
        <v>3.1468509999999998</v>
      </c>
      <c r="T3263">
        <v>7.3062420000000003E-2</v>
      </c>
      <c r="U3263">
        <v>-1.405991</v>
      </c>
      <c r="V3263">
        <v>-4.098392E-2</v>
      </c>
      <c r="W3263">
        <v>3.7033980000000001E-2</v>
      </c>
      <c r="X3263">
        <v>0.99847319999999995</v>
      </c>
      <c r="Y3263">
        <v>-0.52208189999999999</v>
      </c>
      <c r="Z3263">
        <v>-2.0857250000000001E-2</v>
      </c>
      <c r="AA3263">
        <v>0.85264030000000002</v>
      </c>
      <c r="AB3263">
        <v>23</v>
      </c>
      <c r="AC3263">
        <v>122.3948</v>
      </c>
      <c r="AD3263">
        <v>2.8446359999999999</v>
      </c>
      <c r="AE3263">
        <v>-54.557799999999901</v>
      </c>
      <c r="AF3263">
        <v>-70.059407939779007</v>
      </c>
      <c r="AG3263">
        <v>2.8446359999999999</v>
      </c>
      <c r="AH3263">
        <v>114.160181288785</v>
      </c>
      <c r="AI3263">
        <v>88.783359324117001</v>
      </c>
      <c r="AJ3263">
        <v>121.537187051892</v>
      </c>
      <c r="AK3263">
        <v>133.973727225651</v>
      </c>
      <c r="AL3263">
        <v>87.877623837505695</v>
      </c>
      <c r="AM3263">
        <v>92.350476913650795</v>
      </c>
      <c r="AN3263">
        <v>0.99999996424572202</v>
      </c>
    </row>
    <row r="3264" spans="1:40" x14ac:dyDescent="0.25">
      <c r="A3264" t="str">
        <f>"20190312160355639"</f>
        <v>20190312160355639</v>
      </c>
      <c r="B3264" t="str">
        <f>"1552377835627910"</f>
        <v>1552377835627910</v>
      </c>
      <c r="C3264" t="s">
        <v>40</v>
      </c>
      <c r="D3264">
        <v>5.9901339999999896</v>
      </c>
      <c r="E3264">
        <v>0.29543789999999998</v>
      </c>
      <c r="F3264" t="s">
        <v>63</v>
      </c>
      <c r="G3264">
        <v>-361.8596</v>
      </c>
      <c r="H3264">
        <v>3.7194989999999999</v>
      </c>
      <c r="I3264">
        <v>169.92330000000001</v>
      </c>
      <c r="J3264">
        <v>-484.24430000000001</v>
      </c>
      <c r="K3264">
        <v>1.1141719999999999</v>
      </c>
      <c r="L3264">
        <v>223.7329</v>
      </c>
      <c r="M3264">
        <v>0.575403</v>
      </c>
      <c r="N3264">
        <v>0</v>
      </c>
      <c r="O3264">
        <v>-0.81777369999999905</v>
      </c>
      <c r="P3264">
        <v>0.60900989999999999</v>
      </c>
      <c r="Q3264">
        <v>2.6290270000000001E-2</v>
      </c>
      <c r="R3264">
        <v>-0.79272690000000001</v>
      </c>
      <c r="S3264">
        <v>3.1493530000000001</v>
      </c>
      <c r="T3264">
        <v>6.6909789999999997E-2</v>
      </c>
      <c r="U3264">
        <v>-1.3908389999999999</v>
      </c>
      <c r="V3264">
        <v>-4.2272879999999999E-2</v>
      </c>
      <c r="W3264">
        <v>3.8415350000000001E-2</v>
      </c>
      <c r="X3264">
        <v>0.99836729999999996</v>
      </c>
      <c r="Y3264">
        <v>-0.5154647</v>
      </c>
      <c r="Z3264">
        <v>-1.8996409999999998E-2</v>
      </c>
      <c r="AA3264">
        <v>0.85670020000000002</v>
      </c>
      <c r="AB3264">
        <v>23</v>
      </c>
      <c r="AC3264">
        <v>122.3847</v>
      </c>
      <c r="AD3264">
        <v>2.6053269999999999</v>
      </c>
      <c r="AE3264">
        <v>-53.809599999999897</v>
      </c>
      <c r="AF3264">
        <v>-69.099987991283101</v>
      </c>
      <c r="AG3264">
        <v>2.6053269999999999</v>
      </c>
      <c r="AH3264">
        <v>114.390173431184</v>
      </c>
      <c r="AI3264">
        <v>88.883162192785207</v>
      </c>
      <c r="AJ3264">
        <v>121.135030674517</v>
      </c>
      <c r="AK3264">
        <v>133.66640507917</v>
      </c>
      <c r="AL3264">
        <v>87.798420858485898</v>
      </c>
      <c r="AM3264">
        <v>92.424570304111995</v>
      </c>
      <c r="AN3264">
        <v>1.0000000006042</v>
      </c>
    </row>
    <row r="3265" spans="1:40" x14ac:dyDescent="0.25">
      <c r="A3265" t="str">
        <f>"20190312160355661"</f>
        <v>20190312160355661</v>
      </c>
      <c r="B3265" t="str">
        <f>"1552377835658166"</f>
        <v>1552377835658166</v>
      </c>
      <c r="C3265" t="s">
        <v>40</v>
      </c>
      <c r="D3265">
        <v>5.9672419999999997</v>
      </c>
      <c r="E3265">
        <v>0.30182740000000002</v>
      </c>
      <c r="F3265" t="s">
        <v>83</v>
      </c>
      <c r="G3265">
        <v>-346.04270000000002</v>
      </c>
      <c r="H3265">
        <v>2.8865069999999999</v>
      </c>
      <c r="I3265">
        <v>162.5821</v>
      </c>
      <c r="J3265">
        <v>-484.10879999999997</v>
      </c>
      <c r="K3265">
        <v>1.1143270000000001</v>
      </c>
      <c r="L3265">
        <v>223.55289999999999</v>
      </c>
      <c r="M3265">
        <v>0.58073809999999904</v>
      </c>
      <c r="N3265">
        <v>0</v>
      </c>
      <c r="O3265">
        <v>-0.81399350000000004</v>
      </c>
      <c r="P3265">
        <v>0.61427959999999904</v>
      </c>
      <c r="Q3265">
        <v>2.656391E-2</v>
      </c>
      <c r="R3265">
        <v>-0.78864089999999998</v>
      </c>
      <c r="S3265">
        <v>3.124695</v>
      </c>
      <c r="T3265">
        <v>4.0073159999999997E-2</v>
      </c>
      <c r="U3265">
        <v>-1.3825989999999999</v>
      </c>
      <c r="V3265">
        <v>-4.2419529999999997E-2</v>
      </c>
      <c r="W3265">
        <v>3.869123E-2</v>
      </c>
      <c r="X3265">
        <v>0.99835039999999997</v>
      </c>
      <c r="Y3265">
        <v>-0.50936380000000003</v>
      </c>
      <c r="Z3265">
        <v>-1.1411370000000001E-2</v>
      </c>
      <c r="AA3265">
        <v>0.86047569999999995</v>
      </c>
      <c r="AB3265">
        <v>23</v>
      </c>
      <c r="AC3265">
        <v>138.06609999999901</v>
      </c>
      <c r="AD3265">
        <v>1.7721800000000001</v>
      </c>
      <c r="AE3265">
        <v>-60.970799999999997</v>
      </c>
      <c r="AF3265">
        <v>-76.9723050729704</v>
      </c>
      <c r="AG3265">
        <v>1.7721800000000001</v>
      </c>
      <c r="AH3265">
        <v>129.802429593775</v>
      </c>
      <c r="AI3265">
        <v>89.327183704362298</v>
      </c>
      <c r="AJ3265">
        <v>120.667765920603</v>
      </c>
      <c r="AK3265">
        <v>150.91900840731</v>
      </c>
      <c r="AL3265">
        <v>87.782602280514396</v>
      </c>
      <c r="AM3265">
        <v>92.433012492811301</v>
      </c>
      <c r="AN3265">
        <v>0.99999997449224598</v>
      </c>
    </row>
    <row r="3266" spans="1:40" x14ac:dyDescent="0.25">
      <c r="A3266" t="str">
        <f>"20190312160355674"</f>
        <v>20190312160355674</v>
      </c>
      <c r="B3266" t="str">
        <f>"1552377835667927"</f>
        <v>1552377835667927</v>
      </c>
      <c r="C3266" t="s">
        <v>40</v>
      </c>
      <c r="D3266">
        <v>5.828417</v>
      </c>
      <c r="E3266">
        <v>0.30240149999999999</v>
      </c>
      <c r="F3266" t="s">
        <v>84</v>
      </c>
      <c r="G3266">
        <v>-252.96</v>
      </c>
      <c r="H3266">
        <v>2.2175549999999999</v>
      </c>
      <c r="I3266">
        <v>119.5692</v>
      </c>
      <c r="J3266">
        <v>-484.02249999999998</v>
      </c>
      <c r="K3266">
        <v>1.1144240000000001</v>
      </c>
      <c r="L3266">
        <v>223.43989999999999</v>
      </c>
      <c r="M3266">
        <v>0.58420030000000001</v>
      </c>
      <c r="N3266">
        <v>0</v>
      </c>
      <c r="O3266">
        <v>-0.81151219999999902</v>
      </c>
      <c r="P3266">
        <v>0.61777760000000004</v>
      </c>
      <c r="Q3266">
        <v>2.6673740000000001E-2</v>
      </c>
      <c r="R3266">
        <v>-0.7859005</v>
      </c>
      <c r="S3266">
        <v>3.095367</v>
      </c>
      <c r="T3266">
        <v>1.4773959999999999E-2</v>
      </c>
      <c r="U3266">
        <v>-1.392471</v>
      </c>
      <c r="V3266">
        <v>-4.2615010000000002E-2</v>
      </c>
      <c r="W3266">
        <v>3.8802719999999999E-2</v>
      </c>
      <c r="X3266">
        <v>0.99833769999999999</v>
      </c>
      <c r="Y3266">
        <v>-0.50043359999999903</v>
      </c>
      <c r="Z3266">
        <v>-4.2146780000000003E-3</v>
      </c>
      <c r="AA3266">
        <v>0.86576469999999905</v>
      </c>
      <c r="AB3266">
        <v>23</v>
      </c>
      <c r="AC3266">
        <v>231.0625</v>
      </c>
      <c r="AD3266">
        <v>1.1031310000000001</v>
      </c>
      <c r="AE3266">
        <v>-103.8707</v>
      </c>
      <c r="AF3266">
        <v>-126.836356707753</v>
      </c>
      <c r="AG3266">
        <v>1.1031310000000001</v>
      </c>
      <c r="AH3266">
        <v>219.29228466833101</v>
      </c>
      <c r="AI3266">
        <v>89.750506788023003</v>
      </c>
      <c r="AJ3266">
        <v>120.044637915805</v>
      </c>
      <c r="AK3266">
        <v>253.33334639552601</v>
      </c>
      <c r="AL3266">
        <v>87.776209466976496</v>
      </c>
      <c r="AM3266">
        <v>92.444241923093102</v>
      </c>
      <c r="AN3266">
        <v>0.99999992669899096</v>
      </c>
    </row>
    <row r="3267" spans="1:40" x14ac:dyDescent="0.25">
      <c r="A3267" t="str">
        <f>"20190312160355687"</f>
        <v>20190312160355687</v>
      </c>
      <c r="B3267" t="str">
        <f>"1552377835677688"</f>
        <v>1552377835677688</v>
      </c>
      <c r="C3267" t="s">
        <v>40</v>
      </c>
      <c r="D3267">
        <v>5.8663109999999996</v>
      </c>
      <c r="E3267">
        <v>0.3029966</v>
      </c>
      <c r="F3267" t="s">
        <v>84</v>
      </c>
      <c r="G3267">
        <v>-251.07910000000001</v>
      </c>
      <c r="H3267">
        <v>2.365002</v>
      </c>
      <c r="I3267">
        <v>119.5692</v>
      </c>
      <c r="J3267">
        <v>-483.94479999999999</v>
      </c>
      <c r="K3267">
        <v>1.1145130000000001</v>
      </c>
      <c r="L3267">
        <v>223.33879999999999</v>
      </c>
      <c r="M3267">
        <v>0.58734319999999995</v>
      </c>
      <c r="N3267">
        <v>0</v>
      </c>
      <c r="O3267">
        <v>-0.80924030000000002</v>
      </c>
      <c r="P3267">
        <v>0.62070329999999996</v>
      </c>
      <c r="Q3267">
        <v>2.7154810000000001E-2</v>
      </c>
      <c r="R3267">
        <v>-0.78357540000000003</v>
      </c>
      <c r="S3267">
        <v>3.0980530000000002</v>
      </c>
      <c r="T3267">
        <v>1.6632560000000001E-2</v>
      </c>
      <c r="U3267">
        <v>-1.3814390000000001</v>
      </c>
      <c r="V3267">
        <v>-4.2487570000000002E-2</v>
      </c>
      <c r="W3267">
        <v>3.9288249999999997E-2</v>
      </c>
      <c r="X3267">
        <v>0.99832419999999999</v>
      </c>
      <c r="Y3267">
        <v>-0.49992219999999998</v>
      </c>
      <c r="Z3267">
        <v>-4.739844E-3</v>
      </c>
      <c r="AA3267">
        <v>0.86605730000000003</v>
      </c>
      <c r="AB3267">
        <v>23</v>
      </c>
      <c r="AC3267">
        <v>232.8657</v>
      </c>
      <c r="AD3267">
        <v>1.250489</v>
      </c>
      <c r="AE3267">
        <v>-103.7696</v>
      </c>
      <c r="AF3267">
        <v>-127.502952265128</v>
      </c>
      <c r="AG3267">
        <v>1.250489</v>
      </c>
      <c r="AH3267">
        <v>220.758768685891</v>
      </c>
      <c r="AI3267">
        <v>89.718958175600804</v>
      </c>
      <c r="AJ3267">
        <v>120.009307096744</v>
      </c>
      <c r="AK3267">
        <v>254.937248182319</v>
      </c>
      <c r="AL3267">
        <v>87.748369544611805</v>
      </c>
      <c r="AM3267">
        <v>92.4369741679523</v>
      </c>
      <c r="AN3267">
        <v>0.99999998424910297</v>
      </c>
    </row>
    <row r="3268" spans="1:40" x14ac:dyDescent="0.25">
      <c r="A3268" t="str">
        <f>"20190312160355705"</f>
        <v>20190312160355705</v>
      </c>
      <c r="B3268" t="str">
        <f>"1552377835698182"</f>
        <v>1552377835698182</v>
      </c>
      <c r="C3268" t="s">
        <v>40</v>
      </c>
      <c r="D3268">
        <v>5.9527760000000001</v>
      </c>
      <c r="E3268">
        <v>0.30488710000000002</v>
      </c>
      <c r="F3268" t="s">
        <v>84</v>
      </c>
      <c r="G3268">
        <v>-249.64250000000001</v>
      </c>
      <c r="H3268">
        <v>2.4762840000000002</v>
      </c>
      <c r="I3268">
        <v>119.5692</v>
      </c>
      <c r="J3268">
        <v>-483.82819999999998</v>
      </c>
      <c r="K3268">
        <v>1.114652</v>
      </c>
      <c r="L3268">
        <v>223.1893</v>
      </c>
      <c r="M3268">
        <v>0.59215150000000005</v>
      </c>
      <c r="N3268">
        <v>0</v>
      </c>
      <c r="O3268">
        <v>-0.80572809999999995</v>
      </c>
      <c r="P3268">
        <v>0.62514449999999999</v>
      </c>
      <c r="Q3268">
        <v>2.823051E-2</v>
      </c>
      <c r="R3268">
        <v>-0.77999869999999905</v>
      </c>
      <c r="S3268">
        <v>3.0994869999999999</v>
      </c>
      <c r="T3268">
        <v>1.801467E-2</v>
      </c>
      <c r="U3268">
        <v>-1.3727259999999999</v>
      </c>
      <c r="V3268">
        <v>-4.2261529999999999E-2</v>
      </c>
      <c r="W3268">
        <v>4.0372190000000002E-2</v>
      </c>
      <c r="X3268">
        <v>0.99829049999999997</v>
      </c>
      <c r="Y3268">
        <v>-0.4969421</v>
      </c>
      <c r="Z3268">
        <v>-5.1194639999999998E-3</v>
      </c>
      <c r="AA3268">
        <v>0.8677686</v>
      </c>
      <c r="AB3268">
        <v>23</v>
      </c>
      <c r="AC3268">
        <v>234.1857</v>
      </c>
      <c r="AD3268">
        <v>1.361632</v>
      </c>
      <c r="AE3268">
        <v>-103.62009999999999</v>
      </c>
      <c r="AF3268">
        <v>-127.33771465173</v>
      </c>
      <c r="AG3268">
        <v>1.361632</v>
      </c>
      <c r="AH3268">
        <v>222.17440381288401</v>
      </c>
      <c r="AI3268">
        <v>89.6953475759409</v>
      </c>
      <c r="AJ3268">
        <v>119.818878560196</v>
      </c>
      <c r="AK3268">
        <v>256.08243462611699</v>
      </c>
      <c r="AL3268">
        <v>87.686214920852393</v>
      </c>
      <c r="AM3268">
        <v>92.424106352328394</v>
      </c>
      <c r="AN3268">
        <v>0.99999993651679098</v>
      </c>
    </row>
    <row r="3269" spans="1:40" x14ac:dyDescent="0.25">
      <c r="A3269" t="str">
        <f>"20190312160355750"</f>
        <v>20190312160355750</v>
      </c>
      <c r="B3269" t="str">
        <f>"1552377835747958"</f>
        <v>1552377835747958</v>
      </c>
      <c r="C3269" t="s">
        <v>40</v>
      </c>
      <c r="D3269">
        <v>7.5952950000000001</v>
      </c>
      <c r="E3269">
        <v>0.26674209999999998</v>
      </c>
      <c r="F3269" t="s">
        <v>84</v>
      </c>
      <c r="G3269">
        <v>-247.63220000000001</v>
      </c>
      <c r="H3269">
        <v>1.953012</v>
      </c>
      <c r="I3269">
        <v>119.0955</v>
      </c>
      <c r="J3269">
        <v>-483.54880000000003</v>
      </c>
      <c r="K3269">
        <v>1.1149849999999999</v>
      </c>
      <c r="L3269">
        <v>222.8398</v>
      </c>
      <c r="M3269">
        <v>0.60400989999999999</v>
      </c>
      <c r="N3269">
        <v>0</v>
      </c>
      <c r="O3269">
        <v>-0.79687640000000004</v>
      </c>
      <c r="P3269">
        <v>0.63731719999999903</v>
      </c>
      <c r="Q3269">
        <v>2.932601E-2</v>
      </c>
      <c r="R3269">
        <v>-0.77004329999999999</v>
      </c>
      <c r="S3269">
        <v>3.0960079999999999</v>
      </c>
      <c r="T3269">
        <v>1.098943E-2</v>
      </c>
      <c r="U3269">
        <v>-1.364441</v>
      </c>
      <c r="V3269">
        <v>-4.3236829999999997E-2</v>
      </c>
      <c r="W3269">
        <v>4.1473240000000001E-2</v>
      </c>
      <c r="X3269">
        <v>0.99820359999999997</v>
      </c>
      <c r="Y3269">
        <v>-0.485649</v>
      </c>
      <c r="Z3269">
        <v>-3.0969560000000001E-3</v>
      </c>
      <c r="AA3269">
        <v>0.87414840000000005</v>
      </c>
      <c r="AB3269">
        <v>23</v>
      </c>
      <c r="AC3269">
        <v>235.91659999999999</v>
      </c>
      <c r="AD3269">
        <v>0.83802699999999897</v>
      </c>
      <c r="AE3269">
        <v>-103.7443</v>
      </c>
      <c r="AF3269">
        <v>-125.342491979564</v>
      </c>
      <c r="AG3269">
        <v>0.83802699999999897</v>
      </c>
      <c r="AH3269">
        <v>225.18298578305999</v>
      </c>
      <c r="AI3269">
        <v>89.813690143127005</v>
      </c>
      <c r="AJ3269">
        <v>119.101408355852</v>
      </c>
      <c r="AK3269">
        <v>257.718489191353</v>
      </c>
      <c r="AL3269">
        <v>87.623076513957699</v>
      </c>
      <c r="AM3269">
        <v>92.480195782671302</v>
      </c>
      <c r="AN3269">
        <v>0.99999994007875104</v>
      </c>
    </row>
    <row r="3270" spans="1:40" x14ac:dyDescent="0.25">
      <c r="A3270" t="str">
        <f>"20190312160355773"</f>
        <v>20190312160355773</v>
      </c>
      <c r="B3270" t="str">
        <f>"1552377835767986"</f>
        <v>1552377835767986</v>
      </c>
      <c r="C3270" t="s">
        <v>40</v>
      </c>
      <c r="D3270">
        <v>7.0465999999999998</v>
      </c>
      <c r="E3270">
        <v>0.26729130000000001</v>
      </c>
      <c r="F3270" t="s">
        <v>65</v>
      </c>
      <c r="G3270">
        <v>-355.04790000000003</v>
      </c>
      <c r="H3270">
        <v>7.7939059999999998</v>
      </c>
      <c r="I3270">
        <v>179.64279999999999</v>
      </c>
      <c r="J3270">
        <v>-483.40089999999998</v>
      </c>
      <c r="K3270">
        <v>1.1151489999999999</v>
      </c>
      <c r="L3270">
        <v>222.65979999999999</v>
      </c>
      <c r="M3270">
        <v>0.61044390000000004</v>
      </c>
      <c r="N3270">
        <v>0</v>
      </c>
      <c r="O3270">
        <v>-0.79195769999999999</v>
      </c>
      <c r="P3270">
        <v>0.6443683</v>
      </c>
      <c r="Q3270">
        <v>2.9232689999999999E-2</v>
      </c>
      <c r="R3270">
        <v>-0.76415630000000001</v>
      </c>
      <c r="S3270">
        <v>3.3418879999999902</v>
      </c>
      <c r="T3270">
        <v>0.17369789999999999</v>
      </c>
      <c r="U3270">
        <v>-1.123413</v>
      </c>
      <c r="V3270">
        <v>-4.434126E-2</v>
      </c>
      <c r="W3270">
        <v>4.137747E-2</v>
      </c>
      <c r="X3270">
        <v>0.99815920000000002</v>
      </c>
      <c r="Y3270">
        <v>-0.5548978</v>
      </c>
      <c r="Z3270">
        <v>-4.8092419999999997E-2</v>
      </c>
      <c r="AA3270">
        <v>0.83052719999999902</v>
      </c>
      <c r="AB3270">
        <v>23</v>
      </c>
      <c r="AC3270">
        <v>128.35299999999901</v>
      </c>
      <c r="AD3270">
        <v>6.6787570000000001</v>
      </c>
      <c r="AE3270">
        <v>-43.017000000000003</v>
      </c>
      <c r="AF3270">
        <v>-75.213678582376701</v>
      </c>
      <c r="AG3270">
        <v>6.6787570000000001</v>
      </c>
      <c r="AH3270">
        <v>112.156009827246</v>
      </c>
      <c r="AI3270">
        <v>87.1686148464225</v>
      </c>
      <c r="AJ3270">
        <v>123.84646010226901</v>
      </c>
      <c r="AK3270">
        <v>135.206041955703</v>
      </c>
      <c r="AL3270">
        <v>87.628568624206295</v>
      </c>
      <c r="AM3270">
        <v>92.543580064409397</v>
      </c>
      <c r="AN3270">
        <v>1.00000001545331</v>
      </c>
    </row>
    <row r="3271" spans="1:40" x14ac:dyDescent="0.25">
      <c r="A3271" t="str">
        <f>"20190312160355797"</f>
        <v>20190312160355797</v>
      </c>
      <c r="B3271" t="str">
        <f>"1552377835787507"</f>
        <v>1552377835787507</v>
      </c>
      <c r="C3271" t="s">
        <v>40</v>
      </c>
      <c r="D3271">
        <v>6.924855</v>
      </c>
      <c r="E3271">
        <v>0.26907629999999999</v>
      </c>
      <c r="F3271" t="s">
        <v>56</v>
      </c>
      <c r="G3271">
        <v>-158.30799999999999</v>
      </c>
      <c r="H3271">
        <v>17.653779999999902</v>
      </c>
      <c r="I3271">
        <v>116.3302</v>
      </c>
      <c r="J3271">
        <v>-483.2509</v>
      </c>
      <c r="K3271">
        <v>1.1153</v>
      </c>
      <c r="L3271">
        <v>222.48060000000001</v>
      </c>
      <c r="M3271">
        <v>0.61706159999999999</v>
      </c>
      <c r="N3271">
        <v>0</v>
      </c>
      <c r="O3271">
        <v>-0.78681219999999996</v>
      </c>
      <c r="P3271">
        <v>0.65181849999999997</v>
      </c>
      <c r="Q3271">
        <v>2.963412E-2</v>
      </c>
      <c r="R3271">
        <v>-0.75779589999999997</v>
      </c>
      <c r="S3271">
        <v>3.34903</v>
      </c>
      <c r="T3271">
        <v>0.1703771</v>
      </c>
      <c r="U3271">
        <v>-1.095383</v>
      </c>
      <c r="V3271">
        <v>-4.5775950000000003E-2</v>
      </c>
      <c r="W3271">
        <v>4.1772429999999999E-2</v>
      </c>
      <c r="X3271">
        <v>0.99807800000000002</v>
      </c>
      <c r="Y3271">
        <v>-0.55477980000000005</v>
      </c>
      <c r="Z3271">
        <v>-4.7047980000000003E-2</v>
      </c>
      <c r="AA3271">
        <v>0.83066589999999996</v>
      </c>
      <c r="AB3271">
        <v>23</v>
      </c>
      <c r="AC3271">
        <v>324.94290000000001</v>
      </c>
      <c r="AD3271">
        <v>16.5384799999999</v>
      </c>
      <c r="AE3271">
        <v>-106.1504</v>
      </c>
      <c r="AF3271">
        <v>-189.738947402863</v>
      </c>
      <c r="AG3271">
        <v>16.5384799999999</v>
      </c>
      <c r="AH3271">
        <v>283.38983675069198</v>
      </c>
      <c r="AI3271">
        <v>87.223687417550394</v>
      </c>
      <c r="AJ3271">
        <v>123.803627964085</v>
      </c>
      <c r="AK3271">
        <v>341.444269326403</v>
      </c>
      <c r="AL3271">
        <v>87.605919544565396</v>
      </c>
      <c r="AM3271">
        <v>92.625979175954001</v>
      </c>
      <c r="AN3271">
        <v>1.0000000337952499</v>
      </c>
    </row>
    <row r="3272" spans="1:40" x14ac:dyDescent="0.25">
      <c r="A3272" t="str">
        <f>"20190312160355819"</f>
        <v>20190312160355819</v>
      </c>
      <c r="B3272" t="str">
        <f>"1552377835808002"</f>
        <v>1552377835808002</v>
      </c>
      <c r="C3272" t="s">
        <v>40</v>
      </c>
      <c r="D3272">
        <v>5.9750699999999997</v>
      </c>
      <c r="E3272">
        <v>0.26447979999999999</v>
      </c>
      <c r="F3272" t="s">
        <v>56</v>
      </c>
      <c r="G3272">
        <v>-157.00129999999999</v>
      </c>
      <c r="H3272">
        <v>17.179359999999999</v>
      </c>
      <c r="I3272">
        <v>118.0869</v>
      </c>
      <c r="J3272">
        <v>-483.1069</v>
      </c>
      <c r="K3272">
        <v>1.115443</v>
      </c>
      <c r="L3272">
        <v>222.31180000000001</v>
      </c>
      <c r="M3272">
        <v>0.62349679999999996</v>
      </c>
      <c r="N3272">
        <v>0</v>
      </c>
      <c r="O3272">
        <v>-0.78172219999999903</v>
      </c>
      <c r="P3272">
        <v>0.65905049999999998</v>
      </c>
      <c r="Q3272">
        <v>2.9804219999999999E-2</v>
      </c>
      <c r="R3272">
        <v>-0.75150839999999997</v>
      </c>
      <c r="S3272">
        <v>3.3491209999999998</v>
      </c>
      <c r="T3272">
        <v>0.16490589999999999</v>
      </c>
      <c r="U3272">
        <v>-1.071655</v>
      </c>
      <c r="V3272">
        <v>-4.7172890000000002E-2</v>
      </c>
      <c r="W3272">
        <v>4.1935840000000002E-2</v>
      </c>
      <c r="X3272">
        <v>0.99800599999999995</v>
      </c>
      <c r="Y3272">
        <v>-0.55337069999999999</v>
      </c>
      <c r="Z3272">
        <v>-4.5458699999999998E-2</v>
      </c>
      <c r="AA3272">
        <v>0.83169369999999998</v>
      </c>
      <c r="AB3272">
        <v>23</v>
      </c>
      <c r="AC3272">
        <v>326.10559999999998</v>
      </c>
      <c r="AD3272">
        <v>16.063917</v>
      </c>
      <c r="AE3272">
        <v>-104.22490000000001</v>
      </c>
      <c r="AF3272">
        <v>-189.538200633244</v>
      </c>
      <c r="AG3272">
        <v>16.063917</v>
      </c>
      <c r="AH3272">
        <v>284.19810552056202</v>
      </c>
      <c r="AI3272">
        <v>87.307651232626597</v>
      </c>
      <c r="AJ3272">
        <v>123.70022679514901</v>
      </c>
      <c r="AK3272">
        <v>341.98149381237999</v>
      </c>
      <c r="AL3272">
        <v>87.596548395239694</v>
      </c>
      <c r="AM3272">
        <v>92.706193493058095</v>
      </c>
      <c r="AN3272">
        <v>0.999999936131726</v>
      </c>
    </row>
    <row r="3273" spans="1:40" x14ac:dyDescent="0.25">
      <c r="A3273" t="str">
        <f>"20190312160355840"</f>
        <v>20190312160355840</v>
      </c>
      <c r="B3273" t="str">
        <f>"1552377835838259"</f>
        <v>1552377835838259</v>
      </c>
      <c r="C3273" t="s">
        <v>40</v>
      </c>
      <c r="D3273">
        <v>5.9820289999999998</v>
      </c>
      <c r="E3273">
        <v>0.23226640000000001</v>
      </c>
      <c r="F3273" t="s">
        <v>56</v>
      </c>
      <c r="G3273">
        <v>-134.99979999999999</v>
      </c>
      <c r="H3273">
        <v>19.81193</v>
      </c>
      <c r="I3273">
        <v>117.9066</v>
      </c>
      <c r="J3273">
        <v>-482.96910000000003</v>
      </c>
      <c r="K3273">
        <v>1.115586</v>
      </c>
      <c r="L3273">
        <v>222.1532</v>
      </c>
      <c r="M3273">
        <v>0.62973330000000005</v>
      </c>
      <c r="N3273">
        <v>0</v>
      </c>
      <c r="O3273">
        <v>-0.77670620000000001</v>
      </c>
      <c r="P3273">
        <v>0.66554650000000004</v>
      </c>
      <c r="Q3273">
        <v>3.0443060000000001E-2</v>
      </c>
      <c r="R3273">
        <v>-0.74573500000000004</v>
      </c>
      <c r="S3273">
        <v>3.385834</v>
      </c>
      <c r="T3273">
        <v>0.18184980000000001</v>
      </c>
      <c r="U3273">
        <v>-1.0154879999999999</v>
      </c>
      <c r="V3273">
        <v>-4.7883969999999998E-2</v>
      </c>
      <c r="W3273">
        <v>4.2577099999999903E-2</v>
      </c>
      <c r="X3273">
        <v>0.99794510000000003</v>
      </c>
      <c r="Y3273">
        <v>-0.56165080000000001</v>
      </c>
      <c r="Z3273">
        <v>-4.9876919999999998E-2</v>
      </c>
      <c r="AA3273">
        <v>0.82586970000000004</v>
      </c>
      <c r="AB3273">
        <v>23</v>
      </c>
      <c r="AC3273">
        <v>347.96929999999998</v>
      </c>
      <c r="AD3273">
        <v>18.696344</v>
      </c>
      <c r="AE3273">
        <v>-104.2466</v>
      </c>
      <c r="AF3273">
        <v>-204.09839794411101</v>
      </c>
      <c r="AG3273">
        <v>18.696344</v>
      </c>
      <c r="AH3273">
        <v>299.32840328590299</v>
      </c>
      <c r="AI3273">
        <v>87.045809225734402</v>
      </c>
      <c r="AJ3273">
        <v>124.28829474861899</v>
      </c>
      <c r="AK3273">
        <v>362.77155667996902</v>
      </c>
      <c r="AL3273">
        <v>87.559774339853007</v>
      </c>
      <c r="AM3273">
        <v>92.7470917740836</v>
      </c>
      <c r="AN3273">
        <v>1.0000000533206801</v>
      </c>
    </row>
    <row r="3274" spans="1:40" x14ac:dyDescent="0.25">
      <c r="A3274" t="str">
        <f>"20190312160355863"</f>
        <v>20190312160355863</v>
      </c>
      <c r="B3274" t="str">
        <f>"1552377835857778"</f>
        <v>1552377835857778</v>
      </c>
      <c r="C3274" t="s">
        <v>40</v>
      </c>
      <c r="D3274">
        <v>6.943594</v>
      </c>
      <c r="E3274">
        <v>0.23258709999999999</v>
      </c>
      <c r="F3274" t="s">
        <v>45</v>
      </c>
      <c r="G3274">
        <v>0</v>
      </c>
      <c r="H3274">
        <v>0</v>
      </c>
      <c r="I3274">
        <v>0</v>
      </c>
      <c r="J3274">
        <v>-482.81439999999998</v>
      </c>
      <c r="K3274">
        <v>1.1157570000000001</v>
      </c>
      <c r="L3274">
        <v>221.9786</v>
      </c>
      <c r="M3274">
        <v>0.63681639999999995</v>
      </c>
      <c r="N3274">
        <v>0</v>
      </c>
      <c r="O3274">
        <v>-0.77090909999999901</v>
      </c>
      <c r="P3274">
        <v>0.67285799999999996</v>
      </c>
      <c r="Q3274">
        <v>3.0971769999999999E-2</v>
      </c>
      <c r="R3274">
        <v>-0.73912319999999998</v>
      </c>
      <c r="S3274">
        <v>3.567383</v>
      </c>
      <c r="T3274">
        <v>0.48376740000000001</v>
      </c>
      <c r="U3274">
        <v>-0.81929019999999997</v>
      </c>
      <c r="V3274">
        <v>-4.8616149999999997E-2</v>
      </c>
      <c r="W3274">
        <v>4.3110660000000002E-2</v>
      </c>
      <c r="X3274">
        <v>0.99788670000000002</v>
      </c>
      <c r="Y3274">
        <v>-0.59888969999999997</v>
      </c>
      <c r="Z3274">
        <v>-0.12921479999999999</v>
      </c>
      <c r="AA3274">
        <v>0.79033830000000005</v>
      </c>
      <c r="AB3274">
        <v>23</v>
      </c>
      <c r="AC3274">
        <v>3.567383</v>
      </c>
      <c r="AD3274">
        <v>0.48376740000000001</v>
      </c>
      <c r="AE3274">
        <v>-0.81929019999999997</v>
      </c>
      <c r="AF3274">
        <v>-2.1903123222072001</v>
      </c>
      <c r="AG3274">
        <v>0.48376740000000001</v>
      </c>
      <c r="AH3274">
        <v>2.8537541705651002</v>
      </c>
      <c r="AI3274">
        <v>82.341013647855107</v>
      </c>
      <c r="AJ3274">
        <v>127.50694621905301</v>
      </c>
      <c r="AK3274">
        <v>3.62979501241229</v>
      </c>
      <c r="AL3274">
        <v>87.529175284088595</v>
      </c>
      <c r="AM3274">
        <v>92.789193905175395</v>
      </c>
      <c r="AN3274">
        <v>0.999999962541673</v>
      </c>
    </row>
    <row r="3275" spans="1:40" x14ac:dyDescent="0.25">
      <c r="A3275" t="str">
        <f>"20190312160355887"</f>
        <v>20190312160355887</v>
      </c>
      <c r="B3275" t="str">
        <f>"1552377835878275"</f>
        <v>1552377835878275</v>
      </c>
      <c r="C3275" t="s">
        <v>40</v>
      </c>
      <c r="D3275">
        <v>6.9585480000000004</v>
      </c>
      <c r="E3275">
        <v>0.2335913</v>
      </c>
      <c r="F3275" t="s">
        <v>45</v>
      </c>
      <c r="G3275">
        <v>0</v>
      </c>
      <c r="H3275">
        <v>0</v>
      </c>
      <c r="I3275">
        <v>0</v>
      </c>
      <c r="J3275">
        <v>-482.65629999999999</v>
      </c>
      <c r="K3275">
        <v>1.115936</v>
      </c>
      <c r="L3275">
        <v>221.8039</v>
      </c>
      <c r="M3275">
        <v>0.64414079999999996</v>
      </c>
      <c r="N3275">
        <v>0</v>
      </c>
      <c r="O3275">
        <v>-0.7647988</v>
      </c>
      <c r="P3275">
        <v>0.68071809999999999</v>
      </c>
      <c r="Q3275">
        <v>3.162276E-2</v>
      </c>
      <c r="R3275">
        <v>-0.73186280000000004</v>
      </c>
      <c r="S3275">
        <v>3.575653</v>
      </c>
      <c r="T3275">
        <v>0.4508125</v>
      </c>
      <c r="U3275">
        <v>-0.78497309999999998</v>
      </c>
      <c r="V3275">
        <v>-4.9807129999999998E-2</v>
      </c>
      <c r="W3275">
        <v>4.3760449999999999E-2</v>
      </c>
      <c r="X3275">
        <v>0.99779969999999996</v>
      </c>
      <c r="Y3275">
        <v>-0.60025569999999995</v>
      </c>
      <c r="Z3275">
        <v>-0.12010800000000001</v>
      </c>
      <c r="AA3275">
        <v>0.79073839999999995</v>
      </c>
      <c r="AB3275">
        <v>23</v>
      </c>
      <c r="AC3275">
        <v>3.575653</v>
      </c>
      <c r="AD3275">
        <v>0.4508125</v>
      </c>
      <c r="AE3275">
        <v>-0.78497309999999998</v>
      </c>
      <c r="AF3275">
        <v>-2.1959056492785698</v>
      </c>
      <c r="AG3275">
        <v>0.4508125</v>
      </c>
      <c r="AH3275">
        <v>2.8604325196783602</v>
      </c>
      <c r="AI3275">
        <v>82.874233609022298</v>
      </c>
      <c r="AJ3275">
        <v>127.51283939422299</v>
      </c>
      <c r="AK3275">
        <v>3.6341859790499602</v>
      </c>
      <c r="AL3275">
        <v>87.491909942018196</v>
      </c>
      <c r="AM3275">
        <v>92.857659360880106</v>
      </c>
      <c r="AN3275">
        <v>0.999999984251564</v>
      </c>
    </row>
    <row r="3276" spans="1:40" x14ac:dyDescent="0.25">
      <c r="A3276" t="str">
        <f>"20190312160355908"</f>
        <v>20190312160355908</v>
      </c>
      <c r="B3276" t="str">
        <f>"1552377835897794"</f>
        <v>1552377835897794</v>
      </c>
      <c r="C3276" t="s">
        <v>40</v>
      </c>
      <c r="D3276">
        <v>7.0636850000000004</v>
      </c>
      <c r="E3276">
        <v>0.23525650000000001</v>
      </c>
      <c r="F3276" t="s">
        <v>45</v>
      </c>
      <c r="G3276">
        <v>0</v>
      </c>
      <c r="H3276">
        <v>0</v>
      </c>
      <c r="I3276">
        <v>0</v>
      </c>
      <c r="J3276">
        <v>-482.5127</v>
      </c>
      <c r="K3276">
        <v>1.116106</v>
      </c>
      <c r="L3276">
        <v>221.64859999999999</v>
      </c>
      <c r="M3276">
        <v>0.65087289999999998</v>
      </c>
      <c r="N3276">
        <v>0</v>
      </c>
      <c r="O3276">
        <v>-0.75907740000000001</v>
      </c>
      <c r="P3276">
        <v>0.68820239999999999</v>
      </c>
      <c r="Q3276">
        <v>3.1233739999999999E-2</v>
      </c>
      <c r="R3276">
        <v>-0.7248462</v>
      </c>
      <c r="S3276">
        <v>3.576965</v>
      </c>
      <c r="T3276">
        <v>0.46548319999999999</v>
      </c>
      <c r="U3276">
        <v>-0.75198359999999997</v>
      </c>
      <c r="V3276">
        <v>-5.1246269999999997E-2</v>
      </c>
      <c r="W3276">
        <v>4.3365529999999999E-2</v>
      </c>
      <c r="X3276">
        <v>0.99774410000000002</v>
      </c>
      <c r="Y3276">
        <v>-0.59969209999999995</v>
      </c>
      <c r="Z3276">
        <v>-0.1237033</v>
      </c>
      <c r="AA3276">
        <v>0.79061169999999903</v>
      </c>
      <c r="AB3276">
        <v>23</v>
      </c>
      <c r="AC3276">
        <v>3.576965</v>
      </c>
      <c r="AD3276">
        <v>0.46548319999999999</v>
      </c>
      <c r="AE3276">
        <v>-0.75198359999999997</v>
      </c>
      <c r="AF3276">
        <v>-2.19040830001738</v>
      </c>
      <c r="AG3276">
        <v>0.46548319999999999</v>
      </c>
      <c r="AH3276">
        <v>2.85293512780598</v>
      </c>
      <c r="AI3276">
        <v>82.626043469462303</v>
      </c>
      <c r="AJ3276">
        <v>127.51610280970201</v>
      </c>
      <c r="AK3276">
        <v>3.6268170582118699</v>
      </c>
      <c r="AL3276">
        <v>87.5145587796261</v>
      </c>
      <c r="AM3276">
        <v>92.940250014088505</v>
      </c>
      <c r="AN3276">
        <v>1.0000000192329499</v>
      </c>
    </row>
    <row r="3277" spans="1:40" x14ac:dyDescent="0.25">
      <c r="A3277" t="str">
        <f>"20190312160355929"</f>
        <v>20190312160355929</v>
      </c>
      <c r="B3277" t="str">
        <f>"1552377835917314"</f>
        <v>1552377835917314</v>
      </c>
      <c r="C3277" t="s">
        <v>40</v>
      </c>
      <c r="D3277">
        <v>6.0689950000000001</v>
      </c>
      <c r="E3277">
        <v>0.23899490000000001</v>
      </c>
      <c r="F3277" t="s">
        <v>45</v>
      </c>
      <c r="G3277">
        <v>0</v>
      </c>
      <c r="H3277">
        <v>0</v>
      </c>
      <c r="I3277">
        <v>0</v>
      </c>
      <c r="J3277">
        <v>-482.36529999999999</v>
      </c>
      <c r="K3277">
        <v>1.1162799999999999</v>
      </c>
      <c r="L3277">
        <v>221.49250000000001</v>
      </c>
      <c r="M3277">
        <v>0.65786080000000002</v>
      </c>
      <c r="N3277">
        <v>0</v>
      </c>
      <c r="O3277">
        <v>-0.75302880000000005</v>
      </c>
      <c r="P3277">
        <v>0.69631949999999998</v>
      </c>
      <c r="Q3277">
        <v>3.136419E-2</v>
      </c>
      <c r="R3277">
        <v>-0.71704619999999997</v>
      </c>
      <c r="S3277">
        <v>3.5733640000000002</v>
      </c>
      <c r="T3277">
        <v>0.48458240000000002</v>
      </c>
      <c r="U3277">
        <v>-0.72529600000000005</v>
      </c>
      <c r="V3277">
        <v>-5.3281679999999998E-2</v>
      </c>
      <c r="W3277">
        <v>4.3481289999999999E-2</v>
      </c>
      <c r="X3277">
        <v>0.99763239999999997</v>
      </c>
      <c r="Y3277">
        <v>-0.59706919999999897</v>
      </c>
      <c r="Z3277">
        <v>-0.1283956</v>
      </c>
      <c r="AA3277">
        <v>0.79184779999999999</v>
      </c>
      <c r="AB3277">
        <v>23</v>
      </c>
      <c r="AC3277">
        <v>3.5733640000000002</v>
      </c>
      <c r="AD3277">
        <v>0.48458240000000002</v>
      </c>
      <c r="AE3277">
        <v>-0.72529600000000005</v>
      </c>
      <c r="AF3277">
        <v>-2.17546313912489</v>
      </c>
      <c r="AG3277">
        <v>0.48458240000000002</v>
      </c>
      <c r="AH3277">
        <v>2.8469036168548301</v>
      </c>
      <c r="AI3277">
        <v>82.297658024647006</v>
      </c>
      <c r="AJ3277">
        <v>127.385276044878</v>
      </c>
      <c r="AK3277">
        <v>3.6155663699816101</v>
      </c>
      <c r="AL3277">
        <v>87.507919867370404</v>
      </c>
      <c r="AM3277">
        <v>93.057155823526102</v>
      </c>
      <c r="AN3277">
        <v>0.99999998276672297</v>
      </c>
    </row>
    <row r="3278" spans="1:40" x14ac:dyDescent="0.25">
      <c r="A3278" t="str">
        <f>"20190312160355952"</f>
        <v>20190312160355952</v>
      </c>
      <c r="B3278" t="str">
        <f>"1552377835947570"</f>
        <v>1552377835947570</v>
      </c>
      <c r="C3278" t="s">
        <v>40</v>
      </c>
      <c r="D3278">
        <v>7.0835929999999996</v>
      </c>
      <c r="E3278">
        <v>0.23960110000000001</v>
      </c>
      <c r="F3278" t="s">
        <v>45</v>
      </c>
      <c r="G3278">
        <v>0</v>
      </c>
      <c r="H3278">
        <v>0</v>
      </c>
      <c r="I3278">
        <v>0</v>
      </c>
      <c r="J3278">
        <v>-482.2056</v>
      </c>
      <c r="K3278">
        <v>1.1164400000000001</v>
      </c>
      <c r="L3278">
        <v>221.3272</v>
      </c>
      <c r="M3278">
        <v>0.66547199999999995</v>
      </c>
      <c r="N3278">
        <v>0</v>
      </c>
      <c r="O3278">
        <v>-0.74631049999999999</v>
      </c>
      <c r="P3278">
        <v>0.70556240000000003</v>
      </c>
      <c r="Q3278">
        <v>3.261004E-2</v>
      </c>
      <c r="R3278">
        <v>-0.70789740000000001</v>
      </c>
      <c r="S3278">
        <v>3.5627439999999999</v>
      </c>
      <c r="T3278">
        <v>0.44224449999999998</v>
      </c>
      <c r="U3278">
        <v>-0.70474239999999999</v>
      </c>
      <c r="V3278">
        <v>-5.6168820000000001E-2</v>
      </c>
      <c r="W3278">
        <v>4.4700810000000001E-2</v>
      </c>
      <c r="X3278">
        <v>0.99742010000000003</v>
      </c>
      <c r="Y3278">
        <v>-0.59456850000000006</v>
      </c>
      <c r="Z3278">
        <v>-0.117095699999999</v>
      </c>
      <c r="AA3278">
        <v>0.79547270000000003</v>
      </c>
      <c r="AB3278">
        <v>23</v>
      </c>
      <c r="AC3278">
        <v>3.5627439999999999</v>
      </c>
      <c r="AD3278">
        <v>0.44224449999999998</v>
      </c>
      <c r="AE3278">
        <v>-0.70474239999999999</v>
      </c>
      <c r="AF3278">
        <v>-2.1581097832506599</v>
      </c>
      <c r="AG3278">
        <v>0.44224449999999998</v>
      </c>
      <c r="AH3278">
        <v>2.8547749150817001</v>
      </c>
      <c r="AI3278">
        <v>82.955306119095994</v>
      </c>
      <c r="AJ3278">
        <v>127.088002744075</v>
      </c>
      <c r="AK3278">
        <v>3.6059337001839298</v>
      </c>
      <c r="AL3278">
        <v>87.437978481993895</v>
      </c>
      <c r="AM3278">
        <v>93.2231562310849</v>
      </c>
      <c r="AN3278">
        <v>0.99999997731942902</v>
      </c>
    </row>
    <row r="3279" spans="1:40" x14ac:dyDescent="0.25">
      <c r="A3279" t="str">
        <f>"20190312160355974"</f>
        <v>20190312160355974</v>
      </c>
      <c r="B3279" t="str">
        <f>"1552377835968066"</f>
        <v>1552377835968066</v>
      </c>
      <c r="C3279" t="s">
        <v>40</v>
      </c>
      <c r="D3279">
        <v>6.0534460000000001</v>
      </c>
      <c r="E3279">
        <v>0.27818929999999997</v>
      </c>
      <c r="F3279" t="s">
        <v>55</v>
      </c>
      <c r="G3279">
        <v>-156.8407</v>
      </c>
      <c r="H3279">
        <v>42.1751</v>
      </c>
      <c r="I3279">
        <v>161.0044</v>
      </c>
      <c r="J3279">
        <v>-482.04419999999999</v>
      </c>
      <c r="K3279">
        <v>1.1165750000000001</v>
      </c>
      <c r="L3279">
        <v>221.16380000000001</v>
      </c>
      <c r="M3279">
        <v>0.67318469999999997</v>
      </c>
      <c r="N3279">
        <v>0</v>
      </c>
      <c r="O3279">
        <v>-0.73936020000000002</v>
      </c>
      <c r="P3279">
        <v>0.7149681</v>
      </c>
      <c r="Q3279">
        <v>3.3765249999999997E-2</v>
      </c>
      <c r="R3279">
        <v>-0.69834180000000001</v>
      </c>
      <c r="S3279">
        <v>3.5675349999999999</v>
      </c>
      <c r="T3279">
        <v>0.45019749999999997</v>
      </c>
      <c r="U3279">
        <v>-0.66142270000000003</v>
      </c>
      <c r="V3279">
        <v>-5.9225119999999999E-2</v>
      </c>
      <c r="W3279">
        <v>4.5824999999999998E-2</v>
      </c>
      <c r="X3279">
        <v>0.99719230000000003</v>
      </c>
      <c r="Y3279">
        <v>-0.5954914</v>
      </c>
      <c r="Z3279">
        <v>-0.11881129999999999</v>
      </c>
      <c r="AA3279">
        <v>0.79452749999999905</v>
      </c>
      <c r="AB3279">
        <v>23</v>
      </c>
      <c r="AC3279">
        <v>325.20350000000002</v>
      </c>
      <c r="AD3279">
        <v>41.058525000000003</v>
      </c>
      <c r="AE3279">
        <v>-60.159399999999998</v>
      </c>
      <c r="AF3279">
        <v>-196.92583285862099</v>
      </c>
      <c r="AG3279">
        <v>41.058525000000003</v>
      </c>
      <c r="AH3279">
        <v>259.425246782702</v>
      </c>
      <c r="AI3279">
        <v>82.815081932696799</v>
      </c>
      <c r="AJ3279">
        <v>127.20159078800801</v>
      </c>
      <c r="AK3279">
        <v>328.27891310668002</v>
      </c>
      <c r="AL3279">
        <v>87.373501149689901</v>
      </c>
      <c r="AM3279">
        <v>93.398911068581796</v>
      </c>
      <c r="AN3279">
        <v>1.0000000143216501</v>
      </c>
    </row>
    <row r="3280" spans="1:40" x14ac:dyDescent="0.25">
      <c r="A3280" t="str">
        <f>"20190312160355999"</f>
        <v>20190312160355999</v>
      </c>
      <c r="B3280" t="str">
        <f>"1552377835987586"</f>
        <v>1552377835987586</v>
      </c>
      <c r="C3280" t="s">
        <v>40</v>
      </c>
      <c r="D3280">
        <v>5.8426629999999999</v>
      </c>
      <c r="E3280">
        <v>0.27999990000000002</v>
      </c>
      <c r="F3280" t="s">
        <v>83</v>
      </c>
      <c r="G3280">
        <v>-362.9033</v>
      </c>
      <c r="H3280">
        <v>5.8469920000000002</v>
      </c>
      <c r="I3280">
        <v>191.98500000000001</v>
      </c>
      <c r="J3280">
        <v>-481.87549999999999</v>
      </c>
      <c r="K3280">
        <v>1.1167039999999999</v>
      </c>
      <c r="L3280">
        <v>220.99700000000001</v>
      </c>
      <c r="M3280">
        <v>0.68125669999999905</v>
      </c>
      <c r="N3280">
        <v>0</v>
      </c>
      <c r="O3280">
        <v>-0.73192860000000004</v>
      </c>
      <c r="P3280">
        <v>0.72410019999999997</v>
      </c>
      <c r="Q3280">
        <v>3.470003E-2</v>
      </c>
      <c r="R3280">
        <v>-0.68882140000000003</v>
      </c>
      <c r="S3280">
        <v>3.3809200000000001</v>
      </c>
      <c r="T3280">
        <v>0.1342399</v>
      </c>
      <c r="U3280">
        <v>-0.82801819999999904</v>
      </c>
      <c r="V3280">
        <v>-6.1474300000000003E-2</v>
      </c>
      <c r="W3280">
        <v>4.6741919999999999E-2</v>
      </c>
      <c r="X3280">
        <v>0.99701360000000006</v>
      </c>
      <c r="Y3280">
        <v>-0.54809730000000001</v>
      </c>
      <c r="Z3280">
        <v>-3.6055520000000001E-2</v>
      </c>
      <c r="AA3280">
        <v>0.83563709999999902</v>
      </c>
      <c r="AB3280">
        <v>23</v>
      </c>
      <c r="AC3280">
        <v>118.9722</v>
      </c>
      <c r="AD3280">
        <v>4.7302879999999998</v>
      </c>
      <c r="AE3280">
        <v>-29.011999999999901</v>
      </c>
      <c r="AF3280">
        <v>-67.219954482250699</v>
      </c>
      <c r="AG3280">
        <v>4.7302879999999998</v>
      </c>
      <c r="AH3280">
        <v>102.141602435595</v>
      </c>
      <c r="AI3280">
        <v>87.7845989722138</v>
      </c>
      <c r="AJ3280">
        <v>123.349136141983</v>
      </c>
      <c r="AK3280">
        <v>122.367499170613</v>
      </c>
      <c r="AL3280">
        <v>87.320909124044704</v>
      </c>
      <c r="AM3280">
        <v>93.5283014663204</v>
      </c>
      <c r="AN3280">
        <v>1.0000000076153599</v>
      </c>
    </row>
    <row r="3281" spans="1:40" x14ac:dyDescent="0.25">
      <c r="A3281" t="str">
        <f>"20190312160356021"</f>
        <v>20190312160356021</v>
      </c>
      <c r="B3281" t="str">
        <f>"1552377836017842"</f>
        <v>1552377836017842</v>
      </c>
      <c r="C3281" t="s">
        <v>40</v>
      </c>
      <c r="D3281">
        <v>6.0399200000000004</v>
      </c>
      <c r="E3281">
        <v>0.2893289</v>
      </c>
      <c r="F3281" t="s">
        <v>83</v>
      </c>
      <c r="G3281">
        <v>-348.96910000000003</v>
      </c>
      <c r="H3281">
        <v>6.4030889999999996</v>
      </c>
      <c r="I3281">
        <v>189.80119999999999</v>
      </c>
      <c r="J3281">
        <v>-481.71379999999999</v>
      </c>
      <c r="K3281">
        <v>1.1168229999999999</v>
      </c>
      <c r="L3281">
        <v>220.8407</v>
      </c>
      <c r="M3281">
        <v>0.68900069999999902</v>
      </c>
      <c r="N3281">
        <v>0</v>
      </c>
      <c r="O3281">
        <v>-0.72464280000000003</v>
      </c>
      <c r="P3281">
        <v>0.73283489999999996</v>
      </c>
      <c r="Q3281">
        <v>3.4450050000000003E-2</v>
      </c>
      <c r="R3281">
        <v>-0.67953379999999997</v>
      </c>
      <c r="S3281">
        <v>3.381561</v>
      </c>
      <c r="T3281">
        <v>0.1345046</v>
      </c>
      <c r="U3281">
        <v>-0.79371639999999999</v>
      </c>
      <c r="V3281">
        <v>-6.3602919999999993E-2</v>
      </c>
      <c r="W3281">
        <v>4.6474700000000001E-2</v>
      </c>
      <c r="X3281">
        <v>0.99689260000000002</v>
      </c>
      <c r="Y3281">
        <v>-0.54725649999999904</v>
      </c>
      <c r="Z3281">
        <v>-3.5996220000000002E-2</v>
      </c>
      <c r="AA3281">
        <v>0.83619049999999995</v>
      </c>
      <c r="AB3281">
        <v>23</v>
      </c>
      <c r="AC3281">
        <v>132.744699999999</v>
      </c>
      <c r="AD3281">
        <v>5.2862660000000004</v>
      </c>
      <c r="AE3281">
        <v>-31.0395</v>
      </c>
      <c r="AF3281">
        <v>-74.700322327619006</v>
      </c>
      <c r="AG3281">
        <v>5.2862660000000004</v>
      </c>
      <c r="AH3281">
        <v>113.792373953256</v>
      </c>
      <c r="AI3281">
        <v>87.776028012187794</v>
      </c>
      <c r="AJ3281">
        <v>123.283360855924</v>
      </c>
      <c r="AK3281">
        <v>136.223298792793</v>
      </c>
      <c r="AL3281">
        <v>87.336236452302202</v>
      </c>
      <c r="AM3281">
        <v>93.650590113276095</v>
      </c>
      <c r="AN3281">
        <v>1.0000000425536799</v>
      </c>
    </row>
    <row r="3282" spans="1:40" x14ac:dyDescent="0.25">
      <c r="A3282" t="str">
        <f>"20190312160356042"</f>
        <v>20190312160356042</v>
      </c>
      <c r="B3282" t="str">
        <f>"1552377836037364"</f>
        <v>1552377836037364</v>
      </c>
      <c r="C3282" t="s">
        <v>40</v>
      </c>
      <c r="D3282">
        <v>5.7919519999999904</v>
      </c>
      <c r="E3282">
        <v>0.29216249999999999</v>
      </c>
      <c r="F3282" t="s">
        <v>67</v>
      </c>
      <c r="G3282">
        <v>-366.33499999999998</v>
      </c>
      <c r="H3282">
        <v>4.0354199999999896</v>
      </c>
      <c r="I3282">
        <v>193.09469999999999</v>
      </c>
      <c r="J3282">
        <v>-481.56060000000002</v>
      </c>
      <c r="K3282">
        <v>1.116932</v>
      </c>
      <c r="L3282">
        <v>220.696</v>
      </c>
      <c r="M3282">
        <v>0.69633330000000004</v>
      </c>
      <c r="N3282">
        <v>0</v>
      </c>
      <c r="O3282">
        <v>-0.71759869999999903</v>
      </c>
      <c r="P3282">
        <v>0.74065700000000001</v>
      </c>
      <c r="Q3282">
        <v>3.394312E-2</v>
      </c>
      <c r="R3282">
        <v>-0.67102499999999998</v>
      </c>
      <c r="S3282">
        <v>3.344055</v>
      </c>
      <c r="T3282">
        <v>8.4590910000000005E-2</v>
      </c>
      <c r="U3282">
        <v>-0.80416869999999996</v>
      </c>
      <c r="V3282">
        <v>-6.500098E-2</v>
      </c>
      <c r="W3282">
        <v>4.5962179999999998E-2</v>
      </c>
      <c r="X3282">
        <v>0.99682610000000005</v>
      </c>
      <c r="Y3282">
        <v>-0.53461800000000004</v>
      </c>
      <c r="Z3282">
        <v>-2.2609359999999998E-2</v>
      </c>
      <c r="AA3282">
        <v>0.84479139999999997</v>
      </c>
      <c r="AB3282">
        <v>23</v>
      </c>
      <c r="AC3282">
        <v>115.2256</v>
      </c>
      <c r="AD3282">
        <v>2.9184879999999902</v>
      </c>
      <c r="AE3282">
        <v>-27.601299999999998</v>
      </c>
      <c r="AF3282">
        <v>-63.433010602994997</v>
      </c>
      <c r="AG3282">
        <v>2.9184879999999902</v>
      </c>
      <c r="AH3282">
        <v>99.990020348204496</v>
      </c>
      <c r="AI3282">
        <v>88.588140422867298</v>
      </c>
      <c r="AJ3282">
        <v>122.39077280877</v>
      </c>
      <c r="AK3282">
        <v>118.449434678263</v>
      </c>
      <c r="AL3282">
        <v>87.365632885180602</v>
      </c>
      <c r="AM3282">
        <v>93.730857971696395</v>
      </c>
      <c r="AN3282">
        <v>0.99999996151626003</v>
      </c>
    </row>
    <row r="3283" spans="1:40" x14ac:dyDescent="0.25">
      <c r="A3283" t="str">
        <f>"20190312160356064"</f>
        <v>20190312160356064</v>
      </c>
      <c r="B3283" t="str">
        <f>"1552377836057859"</f>
        <v>1552377836057859</v>
      </c>
      <c r="C3283" t="s">
        <v>40</v>
      </c>
      <c r="D3283">
        <v>5.8016529999999999</v>
      </c>
      <c r="E3283">
        <v>0.29409159999999901</v>
      </c>
      <c r="F3283" t="s">
        <v>67</v>
      </c>
      <c r="G3283">
        <v>-366.33499999999998</v>
      </c>
      <c r="H3283">
        <v>3.6998890000000002</v>
      </c>
      <c r="I3283">
        <v>193.6953</v>
      </c>
      <c r="J3283">
        <v>-481.39780000000002</v>
      </c>
      <c r="K3283">
        <v>1.1170639999999901</v>
      </c>
      <c r="L3283">
        <v>220.54570000000001</v>
      </c>
      <c r="M3283">
        <v>0.70411089999999998</v>
      </c>
      <c r="N3283">
        <v>0</v>
      </c>
      <c r="O3283">
        <v>-0.7099683</v>
      </c>
      <c r="P3283">
        <v>0.74871069999999995</v>
      </c>
      <c r="Q3283">
        <v>3.3271580000000002E-2</v>
      </c>
      <c r="R3283">
        <v>-0.66206169999999998</v>
      </c>
      <c r="S3283">
        <v>3.3383479999999999</v>
      </c>
      <c r="T3283">
        <v>7.4834590000000006E-2</v>
      </c>
      <c r="U3283">
        <v>-0.78227230000000003</v>
      </c>
      <c r="V3283">
        <v>-6.6164199999999895E-2</v>
      </c>
      <c r="W3283">
        <v>4.528911E-2</v>
      </c>
      <c r="X3283">
        <v>0.99678040000000001</v>
      </c>
      <c r="Y3283">
        <v>-0.53039219999999998</v>
      </c>
      <c r="Z3283">
        <v>-1.9905490000000001E-2</v>
      </c>
      <c r="AA3283">
        <v>0.84751869999999996</v>
      </c>
      <c r="AB3283">
        <v>23</v>
      </c>
      <c r="AC3283">
        <v>115.0628</v>
      </c>
      <c r="AD3283">
        <v>2.5828250000000001</v>
      </c>
      <c r="AE3283">
        <v>-26.8504</v>
      </c>
      <c r="AF3283">
        <v>-62.760717969457502</v>
      </c>
      <c r="AG3283">
        <v>2.5828250000000001</v>
      </c>
      <c r="AH3283">
        <v>100.04075065249501</v>
      </c>
      <c r="AI3283">
        <v>88.747126974118004</v>
      </c>
      <c r="AJ3283">
        <v>122.102167289809</v>
      </c>
      <c r="AK3283">
        <v>118.125909503957</v>
      </c>
      <c r="AL3283">
        <v>87.404237221771695</v>
      </c>
      <c r="AM3283">
        <v>93.797603204934006</v>
      </c>
      <c r="AN3283">
        <v>0.99999998533519596</v>
      </c>
    </row>
    <row r="3284" spans="1:40" x14ac:dyDescent="0.25">
      <c r="A3284" t="str">
        <f>"20190312160356087"</f>
        <v>20190312160356087</v>
      </c>
      <c r="B3284" t="str">
        <f>"1552377836077379"</f>
        <v>1552377836077379</v>
      </c>
      <c r="C3284" t="s">
        <v>40</v>
      </c>
      <c r="D3284">
        <v>5.927918</v>
      </c>
      <c r="E3284">
        <v>0.29689280000000001</v>
      </c>
      <c r="F3284" t="s">
        <v>67</v>
      </c>
      <c r="G3284">
        <v>-366.33499999999998</v>
      </c>
      <c r="H3284">
        <v>3.4647350000000001</v>
      </c>
      <c r="I3284">
        <v>194.56129999999999</v>
      </c>
      <c r="J3284">
        <v>-481.23390000000001</v>
      </c>
      <c r="K3284">
        <v>1.117202</v>
      </c>
      <c r="L3284">
        <v>220.39789999999999</v>
      </c>
      <c r="M3284">
        <v>0.71192809999999995</v>
      </c>
      <c r="N3284">
        <v>0</v>
      </c>
      <c r="O3284">
        <v>-0.70212859999999999</v>
      </c>
      <c r="P3284">
        <v>0.75643139999999998</v>
      </c>
      <c r="Q3284">
        <v>3.4167049999999997E-2</v>
      </c>
      <c r="R3284">
        <v>-0.65318030000000005</v>
      </c>
      <c r="S3284">
        <v>3.3374019999999902</v>
      </c>
      <c r="T3284">
        <v>6.8094730000000006E-2</v>
      </c>
      <c r="U3284">
        <v>-0.75367740000000005</v>
      </c>
      <c r="V3284">
        <v>-6.6893380000000002E-2</v>
      </c>
      <c r="W3284">
        <v>4.6189870000000001E-2</v>
      </c>
      <c r="X3284">
        <v>0.99669039999999998</v>
      </c>
      <c r="Y3284">
        <v>-0.52789249999999999</v>
      </c>
      <c r="Z3284">
        <v>-1.8018070000000001E-2</v>
      </c>
      <c r="AA3284">
        <v>0.84912009999999905</v>
      </c>
      <c r="AB3284">
        <v>23</v>
      </c>
      <c r="AC3284">
        <v>114.8989</v>
      </c>
      <c r="AD3284">
        <v>2.3475329999999901</v>
      </c>
      <c r="AE3284">
        <v>-25.836600000000001</v>
      </c>
      <c r="AF3284">
        <v>-62.260676328467099</v>
      </c>
      <c r="AG3284">
        <v>2.3475329999999901</v>
      </c>
      <c r="AH3284">
        <v>99.909359157503701</v>
      </c>
      <c r="AI3284">
        <v>88.857589351882595</v>
      </c>
      <c r="AJ3284">
        <v>121.929989013031</v>
      </c>
      <c r="AK3284">
        <v>117.744565799561</v>
      </c>
      <c r="AL3284">
        <v>87.352573416424207</v>
      </c>
      <c r="AM3284">
        <v>93.839676849276501</v>
      </c>
      <c r="AN3284">
        <v>0.99999999091530001</v>
      </c>
    </row>
    <row r="3285" spans="1:40" x14ac:dyDescent="0.25">
      <c r="A3285" t="str">
        <f>"20190312160356309"</f>
        <v>20190312160356309</v>
      </c>
      <c r="B3285" t="str">
        <f>"1552377836307714"</f>
        <v>1552377836307714</v>
      </c>
      <c r="C3285" t="s">
        <v>40</v>
      </c>
      <c r="D3285">
        <v>5.8993370000000001</v>
      </c>
      <c r="E3285">
        <v>0.37119249999999998</v>
      </c>
      <c r="F3285" t="s">
        <v>67</v>
      </c>
      <c r="G3285">
        <v>-366.14490000000001</v>
      </c>
      <c r="H3285">
        <v>3.3685719999999999</v>
      </c>
      <c r="I3285">
        <v>195.1473</v>
      </c>
      <c r="J3285">
        <v>-479.48939999999999</v>
      </c>
      <c r="K3285">
        <v>1.118193</v>
      </c>
      <c r="L3285">
        <v>219.035</v>
      </c>
      <c r="M3285">
        <v>0.79189679999999996</v>
      </c>
      <c r="N3285">
        <v>0</v>
      </c>
      <c r="O3285">
        <v>-0.61050459999999995</v>
      </c>
      <c r="P3285">
        <v>0.82866629999999997</v>
      </c>
      <c r="Q3285">
        <v>3.8873779999999997E-2</v>
      </c>
      <c r="R3285">
        <v>-0.55839169999999905</v>
      </c>
      <c r="S3285">
        <v>3.3318180000000002</v>
      </c>
      <c r="T3285">
        <v>6.5177440000000003E-2</v>
      </c>
      <c r="U3285">
        <v>-0.73100279999999995</v>
      </c>
      <c r="V3285">
        <v>-6.4723219999999998E-2</v>
      </c>
      <c r="W3285">
        <v>5.1148319999999997E-2</v>
      </c>
      <c r="X3285">
        <v>0.99659160000000002</v>
      </c>
      <c r="Y3285">
        <v>-0.42648330000000001</v>
      </c>
      <c r="Z3285">
        <v>-1.5053540000000001E-2</v>
      </c>
      <c r="AA3285">
        <v>0.90437009999999995</v>
      </c>
      <c r="AB3285">
        <v>23</v>
      </c>
      <c r="AC3285">
        <v>113.344499999999</v>
      </c>
      <c r="AD3285">
        <v>2.2503790000000001</v>
      </c>
      <c r="AE3285">
        <v>-23.887699999999899</v>
      </c>
      <c r="AF3285">
        <v>-50.266389590743202</v>
      </c>
      <c r="AG3285">
        <v>2.2503790000000001</v>
      </c>
      <c r="AH3285">
        <v>104.310906855569</v>
      </c>
      <c r="AI3285">
        <v>88.8866027953855</v>
      </c>
      <c r="AJ3285">
        <v>115.72895512571399</v>
      </c>
      <c r="AK3285">
        <v>115.812518395738</v>
      </c>
      <c r="AL3285">
        <v>87.068137912928904</v>
      </c>
      <c r="AM3285">
        <v>93.715831823397806</v>
      </c>
      <c r="AN3285">
        <v>1.00000003151827</v>
      </c>
    </row>
    <row r="3286" spans="1:40" x14ac:dyDescent="0.25">
      <c r="A3286" t="str">
        <f>"20190312160356336"</f>
        <v>20190312160356336</v>
      </c>
      <c r="B3286" t="str">
        <f>"1552377836328211"</f>
        <v>1552377836328211</v>
      </c>
      <c r="C3286" t="s">
        <v>40</v>
      </c>
      <c r="D3286">
        <v>3.5815350000000001</v>
      </c>
      <c r="E3286">
        <v>0.37198330000000002</v>
      </c>
      <c r="F3286" t="s">
        <v>70</v>
      </c>
      <c r="G3286">
        <v>-445.8981</v>
      </c>
      <c r="H3286" s="1">
        <v>1.7986240000000001E-6</v>
      </c>
      <c r="I3286">
        <v>210.11510000000001</v>
      </c>
      <c r="J3286">
        <v>-479.27910000000003</v>
      </c>
      <c r="K3286">
        <v>1.118269</v>
      </c>
      <c r="L3286">
        <v>218.8946</v>
      </c>
      <c r="M3286">
        <v>0.80091330000000005</v>
      </c>
      <c r="N3286">
        <v>0</v>
      </c>
      <c r="O3286">
        <v>-0.5986262</v>
      </c>
      <c r="P3286">
        <v>0.83722160000000001</v>
      </c>
      <c r="Q3286">
        <v>3.8987929999999997E-2</v>
      </c>
      <c r="R3286">
        <v>-0.54547250000000003</v>
      </c>
      <c r="S3286">
        <v>3.0749209999999998</v>
      </c>
      <c r="T3286">
        <v>-0.1023582</v>
      </c>
      <c r="U3286">
        <v>-0.81651309999999999</v>
      </c>
      <c r="V3286">
        <v>-6.5326300000000004E-2</v>
      </c>
      <c r="W3286">
        <v>5.1274519999999997E-2</v>
      </c>
      <c r="X3286">
        <v>0.99654569999999998</v>
      </c>
      <c r="Y3286">
        <v>-0.37260900000000002</v>
      </c>
      <c r="Z3286">
        <v>2.4234499999999999E-2</v>
      </c>
      <c r="AA3286">
        <v>0.92767189999999999</v>
      </c>
      <c r="AB3286">
        <v>23</v>
      </c>
      <c r="AC3286">
        <v>33.381</v>
      </c>
      <c r="AD3286">
        <v>-1.118267201376</v>
      </c>
      <c r="AE3286">
        <v>-8.7794999999999792</v>
      </c>
      <c r="AF3286">
        <v>-12.9387370140304</v>
      </c>
      <c r="AG3286">
        <v>-1.118267201376</v>
      </c>
      <c r="AH3286">
        <v>31.9603309586706</v>
      </c>
      <c r="AI3286">
        <v>91.857582722811202</v>
      </c>
      <c r="AJ3286">
        <v>112.03994307123</v>
      </c>
      <c r="AK3286">
        <v>34.4981766480443</v>
      </c>
      <c r="AL3286">
        <v>87.0608974956981</v>
      </c>
      <c r="AM3286">
        <v>93.750529202504694</v>
      </c>
      <c r="AN3286">
        <v>0.99999996703070404</v>
      </c>
    </row>
    <row r="3287" spans="1:40" x14ac:dyDescent="0.25">
      <c r="A3287" t="str">
        <f>"20190312160356356"</f>
        <v>20190312160356356</v>
      </c>
      <c r="B3287" t="str">
        <f>"1552377836347732"</f>
        <v>1552377836347732</v>
      </c>
      <c r="C3287" t="s">
        <v>40</v>
      </c>
      <c r="D3287">
        <v>5.9243990000000002</v>
      </c>
      <c r="E3287">
        <v>0.30773420000000001</v>
      </c>
      <c r="F3287" t="s">
        <v>70</v>
      </c>
      <c r="G3287">
        <v>-450.01710000000003</v>
      </c>
      <c r="H3287" s="1">
        <v>-1.393856E-6</v>
      </c>
      <c r="I3287">
        <v>211.5539</v>
      </c>
      <c r="J3287">
        <v>-479.11059999999998</v>
      </c>
      <c r="K3287">
        <v>1.1183299999999901</v>
      </c>
      <c r="L3287">
        <v>218.78530000000001</v>
      </c>
      <c r="M3287">
        <v>0.80801309999999904</v>
      </c>
      <c r="N3287">
        <v>0</v>
      </c>
      <c r="O3287">
        <v>-0.58900699999999995</v>
      </c>
      <c r="P3287">
        <v>0.84358389999999905</v>
      </c>
      <c r="Q3287">
        <v>3.9691499999999998E-2</v>
      </c>
      <c r="R3287">
        <v>-0.53552849999999996</v>
      </c>
      <c r="S3287">
        <v>3.0845950000000002</v>
      </c>
      <c r="T3287">
        <v>-0.1178799</v>
      </c>
      <c r="U3287">
        <v>-0.77380369999999998</v>
      </c>
      <c r="V3287">
        <v>-6.5203150000000001E-2</v>
      </c>
      <c r="W3287">
        <v>5.1998820000000001E-2</v>
      </c>
      <c r="X3287">
        <v>0.99651630000000002</v>
      </c>
      <c r="Y3287">
        <v>-0.37413659999999999</v>
      </c>
      <c r="Z3287">
        <v>2.7638260000000001E-2</v>
      </c>
      <c r="AA3287">
        <v>0.9269617</v>
      </c>
      <c r="AB3287">
        <v>23</v>
      </c>
      <c r="AC3287">
        <v>29.093499999999899</v>
      </c>
      <c r="AD3287">
        <v>-1.11833139385599</v>
      </c>
      <c r="AE3287">
        <v>-7.2313999999999998</v>
      </c>
      <c r="AF3287">
        <v>-11.278562048198999</v>
      </c>
      <c r="AG3287">
        <v>-1.11833139385599</v>
      </c>
      <c r="AH3287">
        <v>27.731260478486998</v>
      </c>
      <c r="AI3287">
        <v>92.1393498690108</v>
      </c>
      <c r="AJ3287">
        <v>112.132033673428</v>
      </c>
      <c r="AK3287">
        <v>29.957961124002601</v>
      </c>
      <c r="AL3287">
        <v>87.019342917786204</v>
      </c>
      <c r="AM3287">
        <v>93.743589137047096</v>
      </c>
      <c r="AN3287">
        <v>1.0000000321085001</v>
      </c>
    </row>
    <row r="3288" spans="1:40" x14ac:dyDescent="0.25">
      <c r="A3288" t="str">
        <f>"20190312160356379"</f>
        <v>20190312160356379</v>
      </c>
      <c r="B3288" t="str">
        <f>"1552377836368228"</f>
        <v>1552377836368228</v>
      </c>
      <c r="C3288" t="s">
        <v>40</v>
      </c>
      <c r="D3288">
        <v>5.9948449999999998</v>
      </c>
      <c r="E3288">
        <v>0.30840119999999999</v>
      </c>
      <c r="F3288" t="s">
        <v>55</v>
      </c>
      <c r="G3288">
        <v>-168.4298</v>
      </c>
      <c r="H3288">
        <v>40.917969999999997</v>
      </c>
      <c r="I3288">
        <v>189.13399999999999</v>
      </c>
      <c r="J3288">
        <v>-478.91609999999997</v>
      </c>
      <c r="K3288">
        <v>1.118384</v>
      </c>
      <c r="L3288">
        <v>218.66290000000001</v>
      </c>
      <c r="M3288">
        <v>0.81605340000000004</v>
      </c>
      <c r="N3288">
        <v>0</v>
      </c>
      <c r="O3288">
        <v>-0.57781559999999998</v>
      </c>
      <c r="P3288">
        <v>0.85045300000000001</v>
      </c>
      <c r="Q3288">
        <v>4.056978E-2</v>
      </c>
      <c r="R3288">
        <v>-0.52448470000000003</v>
      </c>
      <c r="S3288">
        <v>3.3341059999999998</v>
      </c>
      <c r="T3288">
        <v>0.42711460000000001</v>
      </c>
      <c r="U3288">
        <v>-0.31820680000000001</v>
      </c>
      <c r="V3288">
        <v>-6.4461599999999994E-2</v>
      </c>
      <c r="W3288">
        <v>5.291262E-2</v>
      </c>
      <c r="X3288">
        <v>0.99651639999999997</v>
      </c>
      <c r="Y3288">
        <v>-0.48966130000000002</v>
      </c>
      <c r="Z3288">
        <v>-0.1004997</v>
      </c>
      <c r="AA3288">
        <v>0.86610140000000002</v>
      </c>
      <c r="AB3288">
        <v>23</v>
      </c>
      <c r="AC3288">
        <v>310.48630000000003</v>
      </c>
      <c r="AD3288">
        <v>39.799585999999998</v>
      </c>
      <c r="AE3288">
        <v>-29.5289</v>
      </c>
      <c r="AF3288">
        <v>-152.83238657643099</v>
      </c>
      <c r="AG3288">
        <v>39.799585999999998</v>
      </c>
      <c r="AH3288">
        <v>266.12719023797001</v>
      </c>
      <c r="AI3288">
        <v>82.610732629615399</v>
      </c>
      <c r="AJ3288">
        <v>119.868029341488</v>
      </c>
      <c r="AK3288">
        <v>309.459895327933</v>
      </c>
      <c r="AL3288">
        <v>86.966913722834803</v>
      </c>
      <c r="AM3288">
        <v>93.701132256173807</v>
      </c>
      <c r="AN3288">
        <v>0.99999998934939205</v>
      </c>
    </row>
    <row r="3289" spans="1:40" x14ac:dyDescent="0.25">
      <c r="A3289" t="str">
        <f>"20190312160356402"</f>
        <v>20190312160356402</v>
      </c>
      <c r="B3289" t="str">
        <f>"1552377836397507"</f>
        <v>1552377836397507</v>
      </c>
      <c r="C3289" t="s">
        <v>40</v>
      </c>
      <c r="D3289">
        <v>3.5512260000000002</v>
      </c>
      <c r="E3289">
        <v>0.30878670000000003</v>
      </c>
      <c r="F3289" t="s">
        <v>55</v>
      </c>
      <c r="G3289">
        <v>-168.42930000000001</v>
      </c>
      <c r="H3289">
        <v>42.890709999999999</v>
      </c>
      <c r="I3289">
        <v>192.5737</v>
      </c>
      <c r="J3289">
        <v>-478.72469999999998</v>
      </c>
      <c r="K3289">
        <v>1.1184240000000001</v>
      </c>
      <c r="L3289">
        <v>218.5461</v>
      </c>
      <c r="M3289">
        <v>0.8238105</v>
      </c>
      <c r="N3289">
        <v>0</v>
      </c>
      <c r="O3289">
        <v>-0.56670050000000005</v>
      </c>
      <c r="P3289">
        <v>0.85714230000000002</v>
      </c>
      <c r="Q3289">
        <v>4.0415470000000002E-2</v>
      </c>
      <c r="R3289">
        <v>-0.51349179999999905</v>
      </c>
      <c r="S3289">
        <v>3.3333439999999999</v>
      </c>
      <c r="T3289">
        <v>0.44846239999999998</v>
      </c>
      <c r="U3289">
        <v>-0.28009030000000001</v>
      </c>
      <c r="V3289">
        <v>-6.3790109999999997E-2</v>
      </c>
      <c r="W3289">
        <v>5.2792140000000001E-2</v>
      </c>
      <c r="X3289">
        <v>0.99656599999999995</v>
      </c>
      <c r="Y3289">
        <v>-0.48695080000000002</v>
      </c>
      <c r="Z3289">
        <v>-0.10421859999999999</v>
      </c>
      <c r="AA3289">
        <v>0.8671894</v>
      </c>
      <c r="AB3289">
        <v>23</v>
      </c>
      <c r="AC3289">
        <v>310.29539999999997</v>
      </c>
      <c r="AD3289">
        <v>41.772286000000001</v>
      </c>
      <c r="AE3289">
        <v>-25.9724</v>
      </c>
      <c r="AF3289">
        <v>-151.73197013992899</v>
      </c>
      <c r="AG3289">
        <v>41.772286000000001</v>
      </c>
      <c r="AH3289">
        <v>265.58870511011497</v>
      </c>
      <c r="AI3289">
        <v>82.2234396879511</v>
      </c>
      <c r="AJ3289">
        <v>119.739513595812</v>
      </c>
      <c r="AK3289">
        <v>308.71487641880498</v>
      </c>
      <c r="AL3289">
        <v>86.9738263827807</v>
      </c>
      <c r="AM3289">
        <v>93.662501634468796</v>
      </c>
      <c r="AN3289">
        <v>0.99999999026779496</v>
      </c>
    </row>
    <row r="3290" spans="1:40" x14ac:dyDescent="0.25">
      <c r="A3290" t="str">
        <f>"20190312160356424"</f>
        <v>20190312160356424</v>
      </c>
      <c r="B3290" t="str">
        <f>"1552377836418003"</f>
        <v>1552377836418003</v>
      </c>
      <c r="C3290" t="s">
        <v>40</v>
      </c>
      <c r="D3290">
        <v>5.8347930000000003</v>
      </c>
      <c r="E3290">
        <v>0.30897570000000002</v>
      </c>
      <c r="F3290" t="s">
        <v>55</v>
      </c>
      <c r="G3290">
        <v>-168.42869999999999</v>
      </c>
      <c r="H3290">
        <v>44.62688</v>
      </c>
      <c r="I3290">
        <v>196.1525</v>
      </c>
      <c r="J3290">
        <v>-478.53840000000002</v>
      </c>
      <c r="K3290">
        <v>1.118452</v>
      </c>
      <c r="L3290">
        <v>218.4359</v>
      </c>
      <c r="M3290">
        <v>0.8311965</v>
      </c>
      <c r="N3290">
        <v>0</v>
      </c>
      <c r="O3290">
        <v>-0.55581000000000003</v>
      </c>
      <c r="P3290">
        <v>0.86408280000000004</v>
      </c>
      <c r="Q3290">
        <v>3.9508700000000001E-2</v>
      </c>
      <c r="R3290">
        <v>-0.50179669999999998</v>
      </c>
      <c r="S3290">
        <v>3.3338619999999999</v>
      </c>
      <c r="T3290">
        <v>0.46746120000000002</v>
      </c>
      <c r="U3290">
        <v>-0.2406006</v>
      </c>
      <c r="V3290">
        <v>-6.4228419999999994E-2</v>
      </c>
      <c r="W3290">
        <v>5.1895490000000002E-2</v>
      </c>
      <c r="X3290">
        <v>0.99658500000000005</v>
      </c>
      <c r="Y3290">
        <v>-0.48505320000000002</v>
      </c>
      <c r="Z3290">
        <v>-0.10729710000000001</v>
      </c>
      <c r="AA3290">
        <v>0.86787709999999996</v>
      </c>
      <c r="AB3290">
        <v>23</v>
      </c>
      <c r="AC3290">
        <v>310.10969999999998</v>
      </c>
      <c r="AD3290">
        <v>43.508428000000002</v>
      </c>
      <c r="AE3290">
        <v>-22.2834</v>
      </c>
      <c r="AF3290">
        <v>-150.899554811923</v>
      </c>
      <c r="AG3290">
        <v>43.508428000000002</v>
      </c>
      <c r="AH3290">
        <v>264.98360379191598</v>
      </c>
      <c r="AI3290">
        <v>81.879859085887404</v>
      </c>
      <c r="AJ3290">
        <v>119.660107470149</v>
      </c>
      <c r="AK3290">
        <v>308.02592298054901</v>
      </c>
      <c r="AL3290">
        <v>87.025271339184101</v>
      </c>
      <c r="AM3290">
        <v>93.687527838881707</v>
      </c>
      <c r="AN3290">
        <v>1.00000004702151</v>
      </c>
    </row>
    <row r="3291" spans="1:40" x14ac:dyDescent="0.25">
      <c r="A3291" t="str">
        <f>"20190312160356446"</f>
        <v>20190312160356446</v>
      </c>
      <c r="B3291" t="str">
        <f>"1552377836437523"</f>
        <v>1552377836437523</v>
      </c>
      <c r="C3291" t="s">
        <v>40</v>
      </c>
      <c r="D3291">
        <v>5.7359819999999999</v>
      </c>
      <c r="E3291">
        <v>0.35103879999999998</v>
      </c>
      <c r="F3291" t="s">
        <v>55</v>
      </c>
      <c r="G3291">
        <v>-168.42570000000001</v>
      </c>
      <c r="H3291">
        <v>39.77637</v>
      </c>
      <c r="I3291">
        <v>200.3715</v>
      </c>
      <c r="J3291">
        <v>-478.34949999999998</v>
      </c>
      <c r="K3291">
        <v>1.118474</v>
      </c>
      <c r="L3291">
        <v>218.32759999999999</v>
      </c>
      <c r="M3291">
        <v>0.83851569999999997</v>
      </c>
      <c r="N3291">
        <v>0</v>
      </c>
      <c r="O3291">
        <v>-0.54470459999999998</v>
      </c>
      <c r="P3291">
        <v>0.87091689999999999</v>
      </c>
      <c r="Q3291">
        <v>3.9115980000000002E-2</v>
      </c>
      <c r="R3291">
        <v>-0.4898711</v>
      </c>
      <c r="S3291">
        <v>3.3398439999999998</v>
      </c>
      <c r="T3291">
        <v>0.41633750000000003</v>
      </c>
      <c r="U3291">
        <v>-0.19454959999999999</v>
      </c>
      <c r="V3291">
        <v>-6.4678289999999999E-2</v>
      </c>
      <c r="W3291">
        <v>5.1510239999999999E-2</v>
      </c>
      <c r="X3291">
        <v>0.99657580000000001</v>
      </c>
      <c r="Y3291">
        <v>-0.48753679999999999</v>
      </c>
      <c r="Z3291">
        <v>-9.459534E-2</v>
      </c>
      <c r="AA3291">
        <v>0.86796299999999904</v>
      </c>
      <c r="AB3291">
        <v>23</v>
      </c>
      <c r="AC3291">
        <v>309.92380000000003</v>
      </c>
      <c r="AD3291">
        <v>38.657896000000001</v>
      </c>
      <c r="AE3291">
        <v>-17.9560999999999</v>
      </c>
      <c r="AF3291">
        <v>-151.426841446098</v>
      </c>
      <c r="AG3291">
        <v>38.657896000000001</v>
      </c>
      <c r="AH3291">
        <v>265.56419007525</v>
      </c>
      <c r="AI3291">
        <v>82.792878361777795</v>
      </c>
      <c r="AJ3291">
        <v>119.69213697398899</v>
      </c>
      <c r="AK3291">
        <v>308.13772940653001</v>
      </c>
      <c r="AL3291">
        <v>87.047373829285505</v>
      </c>
      <c r="AM3291">
        <v>93.713318267902196</v>
      </c>
      <c r="AN3291">
        <v>0.99999995558390997</v>
      </c>
    </row>
    <row r="3292" spans="1:40" x14ac:dyDescent="0.25">
      <c r="A3292" t="str">
        <f>"20190312160356469"</f>
        <v>20190312160356469</v>
      </c>
      <c r="B3292" t="str">
        <f>"1552377836458019"</f>
        <v>1552377836458019</v>
      </c>
      <c r="C3292" t="s">
        <v>40</v>
      </c>
      <c r="D3292">
        <v>5.693975</v>
      </c>
      <c r="E3292">
        <v>0.3397039</v>
      </c>
      <c r="F3292" t="s">
        <v>79</v>
      </c>
      <c r="G3292">
        <v>-437.20729999999998</v>
      </c>
      <c r="H3292" s="1">
        <v>5.5661680000000001E-6</v>
      </c>
      <c r="I3292">
        <v>212.86580000000001</v>
      </c>
      <c r="J3292">
        <v>-478.15589999999997</v>
      </c>
      <c r="K3292">
        <v>1.1185</v>
      </c>
      <c r="L3292">
        <v>218.22020000000001</v>
      </c>
      <c r="M3292">
        <v>0.84583249999999999</v>
      </c>
      <c r="N3292">
        <v>0</v>
      </c>
      <c r="O3292">
        <v>-0.53327159999999996</v>
      </c>
      <c r="P3292">
        <v>0.87772320000000004</v>
      </c>
      <c r="Q3292">
        <v>3.8898050000000003E-2</v>
      </c>
      <c r="R3292">
        <v>-0.47758650000000002</v>
      </c>
      <c r="S3292">
        <v>3.2088930000000002</v>
      </c>
      <c r="T3292">
        <v>-8.7235090000000001E-2</v>
      </c>
      <c r="U3292">
        <v>-0.42599490000000001</v>
      </c>
      <c r="V3292">
        <v>-6.5155630000000006E-2</v>
      </c>
      <c r="W3292">
        <v>5.1298799999999999E-2</v>
      </c>
      <c r="X3292">
        <v>0.99655570000000004</v>
      </c>
      <c r="Y3292">
        <v>-0.41703859999999898</v>
      </c>
      <c r="Z3292">
        <v>1.9349149999999999E-2</v>
      </c>
      <c r="AA3292">
        <v>0.90868280000000001</v>
      </c>
      <c r="AB3292">
        <v>23</v>
      </c>
      <c r="AC3292">
        <v>40.948599999999999</v>
      </c>
      <c r="AD3292">
        <v>-1.118494433832</v>
      </c>
      <c r="AE3292">
        <v>-5.3543999999999903</v>
      </c>
      <c r="AF3292">
        <v>-17.296745896974201</v>
      </c>
      <c r="AG3292">
        <v>-1.118494433832</v>
      </c>
      <c r="AH3292">
        <v>37.467061713834603</v>
      </c>
      <c r="AI3292">
        <v>91.552559169956297</v>
      </c>
      <c r="AJ3292">
        <v>114.780505645765</v>
      </c>
      <c r="AK3292">
        <v>41.282068285047103</v>
      </c>
      <c r="AL3292">
        <v>87.059504744818298</v>
      </c>
      <c r="AM3292">
        <v>93.7407210826062</v>
      </c>
      <c r="AN3292">
        <v>1.0000000431023099</v>
      </c>
    </row>
    <row r="3293" spans="1:40" x14ac:dyDescent="0.25">
      <c r="A3293" t="str">
        <f>"20190312160356490"</f>
        <v>20190312160356490</v>
      </c>
      <c r="B3293" t="str">
        <f>"1552377836488276"</f>
        <v>1552377836488276</v>
      </c>
      <c r="C3293" t="s">
        <v>40</v>
      </c>
      <c r="D3293">
        <v>5.902609</v>
      </c>
      <c r="E3293">
        <v>0.34607929999999998</v>
      </c>
      <c r="F3293" t="s">
        <v>44</v>
      </c>
      <c r="G3293">
        <v>-356.98070000000001</v>
      </c>
      <c r="H3293">
        <v>9.7384360000000003E-2</v>
      </c>
      <c r="I3293">
        <v>206.95249999999999</v>
      </c>
      <c r="J3293">
        <v>-477.96820000000002</v>
      </c>
      <c r="K3293">
        <v>1.1185080000000001</v>
      </c>
      <c r="L3293">
        <v>218.11949999999999</v>
      </c>
      <c r="M3293">
        <v>0.85274399999999995</v>
      </c>
      <c r="N3293">
        <v>0</v>
      </c>
      <c r="O3293">
        <v>-0.52214799999999995</v>
      </c>
      <c r="P3293">
        <v>0.88402689999999995</v>
      </c>
      <c r="Q3293">
        <v>3.938502E-2</v>
      </c>
      <c r="R3293">
        <v>-0.46577390000000002</v>
      </c>
      <c r="S3293">
        <v>3.2545169999999999</v>
      </c>
      <c r="T3293">
        <v>-2.7423739999999999E-2</v>
      </c>
      <c r="U3293">
        <v>-0.3026276</v>
      </c>
      <c r="V3293">
        <v>-6.5466629999999998E-2</v>
      </c>
      <c r="W3293">
        <v>5.1793110000000003E-2</v>
      </c>
      <c r="X3293">
        <v>0.99650970000000005</v>
      </c>
      <c r="Y3293">
        <v>-0.4409614</v>
      </c>
      <c r="Z3293">
        <v>6.0440279999999999E-3</v>
      </c>
      <c r="AA3293">
        <v>0.89750580000000002</v>
      </c>
      <c r="AB3293">
        <v>22</v>
      </c>
      <c r="AC3293">
        <v>120.9875</v>
      </c>
      <c r="AD3293">
        <v>-1.0211236400000001</v>
      </c>
      <c r="AE3293">
        <v>-11.167</v>
      </c>
      <c r="AF3293">
        <v>-53.6520738182952</v>
      </c>
      <c r="AG3293">
        <v>-1.0211236400000001</v>
      </c>
      <c r="AH3293">
        <v>109.004801977649</v>
      </c>
      <c r="AI3293">
        <v>90.481547187747694</v>
      </c>
      <c r="AJ3293">
        <v>116.20637326532299</v>
      </c>
      <c r="AK3293">
        <v>121.497467350881</v>
      </c>
      <c r="AL3293">
        <v>87.031145022641695</v>
      </c>
      <c r="AM3293">
        <v>93.758698186290303</v>
      </c>
      <c r="AN3293">
        <v>0.99999999404055895</v>
      </c>
    </row>
    <row r="3294" spans="1:40" x14ac:dyDescent="0.25">
      <c r="A3294" t="str">
        <f>"20190312160356511"</f>
        <v>20190312160356511</v>
      </c>
      <c r="B3294" t="str">
        <f>"1552377836507795"</f>
        <v>1552377836507795</v>
      </c>
      <c r="C3294" t="s">
        <v>40</v>
      </c>
      <c r="D3294">
        <v>5.801736</v>
      </c>
      <c r="E3294">
        <v>0.34510289999999999</v>
      </c>
      <c r="F3294" t="s">
        <v>79</v>
      </c>
      <c r="G3294">
        <v>-412.52820000000003</v>
      </c>
      <c r="H3294" s="1">
        <v>2.8837099999999999E-6</v>
      </c>
      <c r="I3294">
        <v>211.99119999999999</v>
      </c>
      <c r="J3294">
        <v>-477.78629999999998</v>
      </c>
      <c r="K3294">
        <v>1.118503</v>
      </c>
      <c r="L3294">
        <v>218.0249</v>
      </c>
      <c r="M3294">
        <v>0.85926749999999996</v>
      </c>
      <c r="N3294">
        <v>0</v>
      </c>
      <c r="O3294">
        <v>-0.51134139999999995</v>
      </c>
      <c r="P3294">
        <v>0.89009309999999997</v>
      </c>
      <c r="Q3294">
        <v>3.8970970000000001E-2</v>
      </c>
      <c r="R3294">
        <v>-0.45411020000000002</v>
      </c>
      <c r="S3294">
        <v>3.2362980000000001</v>
      </c>
      <c r="T3294">
        <v>-5.5315019999999999E-2</v>
      </c>
      <c r="U3294">
        <v>-0.30307009999999901</v>
      </c>
      <c r="V3294">
        <v>-6.5990720000000003E-2</v>
      </c>
      <c r="W3294">
        <v>5.1380240000000001E-2</v>
      </c>
      <c r="X3294">
        <v>0.99649650000000001</v>
      </c>
      <c r="Y3294">
        <v>-0.42890820000000002</v>
      </c>
      <c r="Z3294">
        <v>1.199719E-2</v>
      </c>
      <c r="AA3294">
        <v>0.90326839999999997</v>
      </c>
      <c r="AB3294">
        <v>22</v>
      </c>
      <c r="AC3294">
        <v>65.258099999999899</v>
      </c>
      <c r="AD3294">
        <v>-1.1185001162899999</v>
      </c>
      <c r="AE3294">
        <v>-6.0336999999999996</v>
      </c>
      <c r="AF3294">
        <v>-28.17906654403</v>
      </c>
      <c r="AG3294">
        <v>-1.1185001162899999</v>
      </c>
      <c r="AH3294">
        <v>59.147817945910397</v>
      </c>
      <c r="AI3294">
        <v>90.978047857404903</v>
      </c>
      <c r="AJ3294">
        <v>115.47395596342</v>
      </c>
      <c r="AK3294">
        <v>65.526904410063295</v>
      </c>
      <c r="AL3294">
        <v>87.054832256686595</v>
      </c>
      <c r="AM3294">
        <v>93.788751016135805</v>
      </c>
      <c r="AN3294">
        <v>0.99999998935041301</v>
      </c>
    </row>
    <row r="3295" spans="1:40" x14ac:dyDescent="0.25">
      <c r="A3295" t="str">
        <f>"20190312160356535"</f>
        <v>20190312160356535</v>
      </c>
      <c r="B3295" t="str">
        <f>"1552377836528290"</f>
        <v>1552377836528290</v>
      </c>
      <c r="C3295" t="s">
        <v>40</v>
      </c>
      <c r="D3295">
        <v>5.817291</v>
      </c>
      <c r="E3295">
        <v>0.34455150000000001</v>
      </c>
      <c r="F3295" t="s">
        <v>70</v>
      </c>
      <c r="G3295">
        <v>-383.6585</v>
      </c>
      <c r="H3295" s="1">
        <v>5.8364109999999896E-7</v>
      </c>
      <c r="I3295">
        <v>210.6455</v>
      </c>
      <c r="J3295">
        <v>-477.57979999999998</v>
      </c>
      <c r="K3295">
        <v>1.118482</v>
      </c>
      <c r="L3295">
        <v>217.92099999999999</v>
      </c>
      <c r="M3295">
        <v>0.86646049999999997</v>
      </c>
      <c r="N3295">
        <v>0</v>
      </c>
      <c r="O3295">
        <v>-0.49905539999999998</v>
      </c>
      <c r="P3295">
        <v>0.89570329999999998</v>
      </c>
      <c r="Q3295">
        <v>3.6862190000000003E-2</v>
      </c>
      <c r="R3295">
        <v>-0.4431215</v>
      </c>
      <c r="S3295">
        <v>3.242432</v>
      </c>
      <c r="T3295">
        <v>-3.852916E-2</v>
      </c>
      <c r="U3295">
        <v>-0.25419619999999998</v>
      </c>
      <c r="V3295">
        <v>-6.4066629999999999E-2</v>
      </c>
      <c r="W3295">
        <v>4.932483E-2</v>
      </c>
      <c r="X3295">
        <v>0.99672590000000005</v>
      </c>
      <c r="Y3295">
        <v>-0.42978769999999999</v>
      </c>
      <c r="Z3295">
        <v>8.2308150000000007E-3</v>
      </c>
      <c r="AA3295">
        <v>0.90289249999999999</v>
      </c>
      <c r="AB3295">
        <v>22</v>
      </c>
      <c r="AC3295">
        <v>93.921299999999903</v>
      </c>
      <c r="AD3295">
        <v>-1.1184814163588901</v>
      </c>
      <c r="AE3295">
        <v>-7.2754999999999903</v>
      </c>
      <c r="AF3295">
        <v>-40.566132583016604</v>
      </c>
      <c r="AG3295">
        <v>-1.1184814163588901</v>
      </c>
      <c r="AH3295">
        <v>85.0060639531454</v>
      </c>
      <c r="AI3295">
        <v>90.680344672244502</v>
      </c>
      <c r="AJ3295">
        <v>115.511156589066</v>
      </c>
      <c r="AK3295">
        <v>94.196035066386301</v>
      </c>
      <c r="AL3295">
        <v>87.172748190960107</v>
      </c>
      <c r="AM3295">
        <v>93.677746026026</v>
      </c>
      <c r="AN3295">
        <v>0.99999999583244703</v>
      </c>
    </row>
    <row r="3296" spans="1:40" x14ac:dyDescent="0.25">
      <c r="A3296" t="str">
        <f>"20190312160356556"</f>
        <v>20190312160356556</v>
      </c>
      <c r="B3296" t="str">
        <f>"1552377836547811"</f>
        <v>1552377836547811</v>
      </c>
      <c r="C3296" t="s">
        <v>40</v>
      </c>
      <c r="D3296">
        <v>5.8394919999999999</v>
      </c>
      <c r="E3296">
        <v>0.34512890000000002</v>
      </c>
      <c r="F3296" t="s">
        <v>70</v>
      </c>
      <c r="G3296">
        <v>-349.589</v>
      </c>
      <c r="H3296">
        <v>3.9037000000000002E-2</v>
      </c>
      <c r="I3296">
        <v>209.6163</v>
      </c>
      <c r="J3296">
        <v>-477.38619999999997</v>
      </c>
      <c r="K3296">
        <v>1.118452</v>
      </c>
      <c r="L3296">
        <v>217.82689999999999</v>
      </c>
      <c r="M3296">
        <v>0.87300100000000003</v>
      </c>
      <c r="N3296">
        <v>0</v>
      </c>
      <c r="O3296">
        <v>-0.4875235</v>
      </c>
      <c r="P3296">
        <v>0.90038269999999998</v>
      </c>
      <c r="Q3296">
        <v>3.5534349999999999E-2</v>
      </c>
      <c r="R3296">
        <v>-0.43364530000000001</v>
      </c>
      <c r="S3296">
        <v>3.2462460000000002</v>
      </c>
      <c r="T3296">
        <v>-2.7378079999999999E-2</v>
      </c>
      <c r="U3296">
        <v>-0.21063229999999999</v>
      </c>
      <c r="V3296">
        <v>-6.1364910000000002E-2</v>
      </c>
      <c r="W3296">
        <v>4.8063660000000001E-2</v>
      </c>
      <c r="X3296">
        <v>0.99695750000000005</v>
      </c>
      <c r="Y3296">
        <v>-0.42998459999999999</v>
      </c>
      <c r="Z3296">
        <v>5.7637359999999898E-3</v>
      </c>
      <c r="AA3296">
        <v>0.9028178</v>
      </c>
      <c r="AB3296">
        <v>22</v>
      </c>
      <c r="AC3296">
        <v>127.79719999999899</v>
      </c>
      <c r="AD3296">
        <v>-1.079415</v>
      </c>
      <c r="AE3296">
        <v>-8.2105999999999995</v>
      </c>
      <c r="AF3296">
        <v>-55.137600067458202</v>
      </c>
      <c r="AG3296">
        <v>-1.079415</v>
      </c>
      <c r="AH3296">
        <v>115.572718726484</v>
      </c>
      <c r="AI3296">
        <v>90.4829651999719</v>
      </c>
      <c r="AJ3296">
        <v>115.50494358926299</v>
      </c>
      <c r="AK3296">
        <v>128.056133753024</v>
      </c>
      <c r="AL3296">
        <v>87.245093780699193</v>
      </c>
      <c r="AM3296">
        <v>93.522236564407507</v>
      </c>
      <c r="AN3296">
        <v>1.00000001219907</v>
      </c>
    </row>
    <row r="3297" spans="1:40" x14ac:dyDescent="0.25">
      <c r="A3297" t="str">
        <f>"20190312160356580"</f>
        <v>20190312160356580</v>
      </c>
      <c r="B3297" t="str">
        <f>"1552377836568307"</f>
        <v>1552377836568307</v>
      </c>
      <c r="C3297" t="s">
        <v>40</v>
      </c>
      <c r="D3297">
        <v>5.873259</v>
      </c>
      <c r="E3297">
        <v>0.37151250000000002</v>
      </c>
      <c r="F3297" t="s">
        <v>79</v>
      </c>
      <c r="G3297">
        <v>-317.67349999999999</v>
      </c>
      <c r="H3297">
        <v>7.9999009999999995E-2</v>
      </c>
      <c r="I3297">
        <v>208.93690000000001</v>
      </c>
      <c r="J3297">
        <v>-477.18130000000002</v>
      </c>
      <c r="K3297">
        <v>1.11843</v>
      </c>
      <c r="L3297">
        <v>217.73070000000001</v>
      </c>
      <c r="M3297">
        <v>0.87970849999999901</v>
      </c>
      <c r="N3297">
        <v>0</v>
      </c>
      <c r="O3297">
        <v>-0.47531309999999899</v>
      </c>
      <c r="P3297">
        <v>0.90542029999999996</v>
      </c>
      <c r="Q3297">
        <v>3.5237739999999997E-2</v>
      </c>
      <c r="R3297">
        <v>-0.42305110000000001</v>
      </c>
      <c r="S3297">
        <v>3.2457280000000002</v>
      </c>
      <c r="T3297">
        <v>-2.1103739999999999E-2</v>
      </c>
      <c r="U3297">
        <v>-0.18066409999999999</v>
      </c>
      <c r="V3297">
        <v>-5.9168690000000003E-2</v>
      </c>
      <c r="W3297">
        <v>4.7821700000000002E-2</v>
      </c>
      <c r="X3297">
        <v>0.99710189999999999</v>
      </c>
      <c r="Y3297">
        <v>-0.42570999999999998</v>
      </c>
      <c r="Z3297">
        <v>4.3624190000000002E-3</v>
      </c>
      <c r="AA3297">
        <v>0.90484909999999996</v>
      </c>
      <c r="AB3297">
        <v>22</v>
      </c>
      <c r="AC3297">
        <v>159.5078</v>
      </c>
      <c r="AD3297">
        <v>-1.0384309899999999</v>
      </c>
      <c r="AE3297">
        <v>-8.7937999999999992</v>
      </c>
      <c r="AF3297">
        <v>-68.083772002010207</v>
      </c>
      <c r="AG3297">
        <v>-1.0384309899999999</v>
      </c>
      <c r="AH3297">
        <v>144.50782895090001</v>
      </c>
      <c r="AI3297">
        <v>90.372453090478004</v>
      </c>
      <c r="AJ3297">
        <v>115.22711494244901</v>
      </c>
      <c r="AK3297">
        <v>159.74664621532801</v>
      </c>
      <c r="AL3297">
        <v>87.258973059445793</v>
      </c>
      <c r="AM3297">
        <v>93.395987291407394</v>
      </c>
      <c r="AN3297">
        <v>1.0000000239254001</v>
      </c>
    </row>
    <row r="3298" spans="1:40" x14ac:dyDescent="0.25">
      <c r="A3298" t="str">
        <f>"20190312160356600"</f>
        <v>20190312160356600</v>
      </c>
      <c r="B3298" t="str">
        <f>"1552377836597587"</f>
        <v>1552377836597587</v>
      </c>
      <c r="C3298" t="s">
        <v>40</v>
      </c>
      <c r="D3298">
        <v>5.5778400000000001</v>
      </c>
      <c r="E3298">
        <v>0.36940539999999999</v>
      </c>
      <c r="F3298" t="s">
        <v>79</v>
      </c>
      <c r="G3298">
        <v>-435.3913</v>
      </c>
      <c r="H3298" s="1">
        <v>4.7180109999999996E-6</v>
      </c>
      <c r="I3298">
        <v>213.35589999999999</v>
      </c>
      <c r="J3298">
        <v>-476.99619999999999</v>
      </c>
      <c r="K3298">
        <v>1.1184069999999999</v>
      </c>
      <c r="L3298">
        <v>217.64670000000001</v>
      </c>
      <c r="M3298">
        <v>0.885582599999999</v>
      </c>
      <c r="N3298">
        <v>0</v>
      </c>
      <c r="O3298">
        <v>-0.46427689999999999</v>
      </c>
      <c r="P3298">
        <v>0.91024380000000005</v>
      </c>
      <c r="Q3298">
        <v>3.4726489999999999E-2</v>
      </c>
      <c r="R3298">
        <v>-0.41261370000000003</v>
      </c>
      <c r="S3298">
        <v>3.1619869999999999</v>
      </c>
      <c r="T3298">
        <v>-8.4624290000000005E-2</v>
      </c>
      <c r="U3298">
        <v>-0.33100889999999999</v>
      </c>
      <c r="V3298">
        <v>-5.8162030000000003E-2</v>
      </c>
      <c r="W3298">
        <v>4.7338249999999998E-2</v>
      </c>
      <c r="X3298">
        <v>0.99718419999999997</v>
      </c>
      <c r="Y3298">
        <v>-0.36930479999999999</v>
      </c>
      <c r="Z3298">
        <v>1.6868540000000001E-2</v>
      </c>
      <c r="AA3298">
        <v>0.92915519999999996</v>
      </c>
      <c r="AB3298">
        <v>22</v>
      </c>
      <c r="AC3298">
        <v>41.604900000000001</v>
      </c>
      <c r="AD3298">
        <v>-1.1184022819889901</v>
      </c>
      <c r="AE3298">
        <v>-4.2908000000000097</v>
      </c>
      <c r="AF3298">
        <v>-15.506726219993</v>
      </c>
      <c r="AG3298">
        <v>-1.1184022819889901</v>
      </c>
      <c r="AH3298">
        <v>38.8126415457522</v>
      </c>
      <c r="AI3298">
        <v>91.532800217788605</v>
      </c>
      <c r="AJ3298">
        <v>111.778078448806</v>
      </c>
      <c r="AK3298">
        <v>41.810650861774803</v>
      </c>
      <c r="AL3298">
        <v>87.286704127976606</v>
      </c>
      <c r="AM3298">
        <v>93.338066936886904</v>
      </c>
      <c r="AN3298">
        <v>1.0000000301882099</v>
      </c>
    </row>
    <row r="3299" spans="1:40" x14ac:dyDescent="0.25">
      <c r="A3299" t="str">
        <f>"20190312160356624"</f>
        <v>20190312160356624</v>
      </c>
      <c r="B3299" t="str">
        <f>"1552377836618083"</f>
        <v>1552377836618083</v>
      </c>
      <c r="C3299" t="s">
        <v>40</v>
      </c>
      <c r="D3299">
        <v>5.88028</v>
      </c>
      <c r="E3299">
        <v>0.37006679999999997</v>
      </c>
      <c r="F3299" t="s">
        <v>79</v>
      </c>
      <c r="G3299">
        <v>-412.56990000000002</v>
      </c>
      <c r="H3299" s="1">
        <v>2.8953780000000001E-6</v>
      </c>
      <c r="I3299">
        <v>211.94239999999999</v>
      </c>
      <c r="J3299">
        <v>-476.7799</v>
      </c>
      <c r="K3299">
        <v>1.1183829999999999</v>
      </c>
      <c r="L3299">
        <v>217.55189999999999</v>
      </c>
      <c r="M3299">
        <v>0.89222699999999999</v>
      </c>
      <c r="N3299">
        <v>0</v>
      </c>
      <c r="O3299">
        <v>-0.45137640000000001</v>
      </c>
      <c r="P3299">
        <v>0.91580720000000004</v>
      </c>
      <c r="Q3299">
        <v>3.3486130000000003E-2</v>
      </c>
      <c r="R3299">
        <v>-0.40022000000000002</v>
      </c>
      <c r="S3299">
        <v>3.1706850000000002</v>
      </c>
      <c r="T3299">
        <v>-5.5041310000000003E-2</v>
      </c>
      <c r="U3299">
        <v>-0.28073120000000001</v>
      </c>
      <c r="V3299">
        <v>-5.7220460000000001E-2</v>
      </c>
      <c r="W3299">
        <v>4.6124129999999999E-2</v>
      </c>
      <c r="X3299">
        <v>0.99729559999999995</v>
      </c>
      <c r="Y3299">
        <v>-0.37084539999999999</v>
      </c>
      <c r="Z3299">
        <v>1.077181E-2</v>
      </c>
      <c r="AA3299">
        <v>0.92863209999999996</v>
      </c>
      <c r="AB3299">
        <v>22</v>
      </c>
      <c r="AC3299">
        <v>64.209999999999894</v>
      </c>
      <c r="AD3299">
        <v>-1.1183801046220001</v>
      </c>
      <c r="AE3299">
        <v>-5.6094999999999899</v>
      </c>
      <c r="AF3299">
        <v>-23.9729958078042</v>
      </c>
      <c r="AG3299">
        <v>-1.1183801046220001</v>
      </c>
      <c r="AH3299">
        <v>59.809578191131102</v>
      </c>
      <c r="AI3299">
        <v>90.994364317416498</v>
      </c>
      <c r="AJ3299">
        <v>111.841999822643</v>
      </c>
      <c r="AK3299">
        <v>64.444867487337007</v>
      </c>
      <c r="AL3299">
        <v>87.356344256009805</v>
      </c>
      <c r="AM3299">
        <v>93.283781050057101</v>
      </c>
      <c r="AN3299">
        <v>1.00000006509511</v>
      </c>
    </row>
    <row r="3300" spans="1:40" x14ac:dyDescent="0.25">
      <c r="A3300" t="str">
        <f>"20190312160356648"</f>
        <v>20190312160356648</v>
      </c>
      <c r="B3300" t="str">
        <f>"1552377836637603"</f>
        <v>1552377836637603</v>
      </c>
      <c r="C3300" t="s">
        <v>40</v>
      </c>
      <c r="D3300">
        <v>5.8450300000000004</v>
      </c>
      <c r="E3300">
        <v>0.37069590000000002</v>
      </c>
      <c r="F3300" t="s">
        <v>79</v>
      </c>
      <c r="G3300">
        <v>-423.0197</v>
      </c>
      <c r="H3300" s="1">
        <v>3.530934E-6</v>
      </c>
      <c r="I3300">
        <v>213.44990000000001</v>
      </c>
      <c r="J3300">
        <v>-476.56819999999999</v>
      </c>
      <c r="K3300">
        <v>1.1183639999999999</v>
      </c>
      <c r="L3300">
        <v>217.46279999999999</v>
      </c>
      <c r="M3300">
        <v>0.89850779999999997</v>
      </c>
      <c r="N3300">
        <v>0</v>
      </c>
      <c r="O3300">
        <v>-0.43874099999999999</v>
      </c>
      <c r="P3300">
        <v>0.92092759999999996</v>
      </c>
      <c r="Q3300">
        <v>3.2161870000000002E-2</v>
      </c>
      <c r="R3300">
        <v>-0.38840520000000001</v>
      </c>
      <c r="S3300">
        <v>3.1724239999999999</v>
      </c>
      <c r="T3300">
        <v>-6.5996289999999999E-2</v>
      </c>
      <c r="U3300">
        <v>-0.24206539999999999</v>
      </c>
      <c r="V3300">
        <v>-5.5969690000000002E-2</v>
      </c>
      <c r="W3300">
        <v>4.4830380000000003E-2</v>
      </c>
      <c r="X3300">
        <v>0.99742549999999996</v>
      </c>
      <c r="Y3300">
        <v>-0.368977</v>
      </c>
      <c r="Z3300">
        <v>1.2664709999999999E-2</v>
      </c>
      <c r="AA3300">
        <v>0.92935219999999996</v>
      </c>
      <c r="AB3300">
        <v>22</v>
      </c>
      <c r="AC3300">
        <v>53.548499999999898</v>
      </c>
      <c r="AD3300">
        <v>-1.1183604690659901</v>
      </c>
      <c r="AE3300">
        <v>-4.0128999999999699</v>
      </c>
      <c r="AF3300">
        <v>-19.8815672472758</v>
      </c>
      <c r="AG3300">
        <v>-1.1183604690659901</v>
      </c>
      <c r="AH3300">
        <v>49.8574835780596</v>
      </c>
      <c r="AI3300">
        <v>91.193621288890796</v>
      </c>
      <c r="AJ3300">
        <v>111.740529828135</v>
      </c>
      <c r="AK3300">
        <v>53.6870199869876</v>
      </c>
      <c r="AL3300">
        <v>87.430547272703606</v>
      </c>
      <c r="AM3300">
        <v>93.211736093028307</v>
      </c>
      <c r="AN3300">
        <v>0.99999999860994504</v>
      </c>
    </row>
    <row r="3301" spans="1:40" x14ac:dyDescent="0.25">
      <c r="A3301" t="str">
        <f>"20190312160356669"</f>
        <v>20190312160356669</v>
      </c>
      <c r="B3301" t="str">
        <f>"1552377836658099"</f>
        <v>1552377836658099</v>
      </c>
      <c r="C3301" t="s">
        <v>40</v>
      </c>
      <c r="D3301">
        <v>9.7920750000000005</v>
      </c>
      <c r="E3301">
        <v>0.37204579999999998</v>
      </c>
      <c r="F3301" t="s">
        <v>79</v>
      </c>
      <c r="G3301">
        <v>-427.51209999999998</v>
      </c>
      <c r="H3301" s="1">
        <v>2.660731E-6</v>
      </c>
      <c r="I3301">
        <v>214.2885</v>
      </c>
      <c r="J3301">
        <v>-476.37430000000001</v>
      </c>
      <c r="K3301">
        <v>1.1183510000000001</v>
      </c>
      <c r="L3301">
        <v>217.3844</v>
      </c>
      <c r="M3301">
        <v>0.90406810000000004</v>
      </c>
      <c r="N3301">
        <v>0</v>
      </c>
      <c r="O3301">
        <v>-0.42716559999999998</v>
      </c>
      <c r="P3301">
        <v>0.92563799999999996</v>
      </c>
      <c r="Q3301">
        <v>3.2006479999999997E-2</v>
      </c>
      <c r="R3301">
        <v>-0.37705420000000001</v>
      </c>
      <c r="S3301">
        <v>3.1735229999999999</v>
      </c>
      <c r="T3301">
        <v>-7.2348830000000003E-2</v>
      </c>
      <c r="U3301">
        <v>-0.2053528</v>
      </c>
      <c r="V3301">
        <v>-5.5419749999999997E-2</v>
      </c>
      <c r="W3301">
        <v>4.4689380000000001E-2</v>
      </c>
      <c r="X3301">
        <v>0.99746250000000003</v>
      </c>
      <c r="Y3301">
        <v>-0.3677319</v>
      </c>
      <c r="Z3301">
        <v>1.3636550000000001E-2</v>
      </c>
      <c r="AA3301">
        <v>0.92983190000000004</v>
      </c>
      <c r="AB3301">
        <v>22</v>
      </c>
      <c r="AC3301">
        <v>48.862200000000001</v>
      </c>
      <c r="AD3301">
        <v>-1.1183483392689999</v>
      </c>
      <c r="AE3301">
        <v>-3.0958999999999999</v>
      </c>
      <c r="AF3301">
        <v>-18.0656416923614</v>
      </c>
      <c r="AG3301">
        <v>-1.1183483392689999</v>
      </c>
      <c r="AH3301">
        <v>45.477822355572499</v>
      </c>
      <c r="AI3301">
        <v>91.309205046414903</v>
      </c>
      <c r="AJ3301">
        <v>111.664989756693</v>
      </c>
      <c r="AK3301">
        <v>48.947425253732703</v>
      </c>
      <c r="AL3301">
        <v>87.438633994093607</v>
      </c>
      <c r="AM3301">
        <v>93.180125987882803</v>
      </c>
      <c r="AN3301">
        <v>0.99999996414054704</v>
      </c>
    </row>
    <row r="3302" spans="1:40" x14ac:dyDescent="0.25">
      <c r="A3302" t="str">
        <f>"20190312160356690"</f>
        <v>20190312160356690</v>
      </c>
      <c r="B3302" t="str">
        <f>"1552377836688355"</f>
        <v>1552377836688355</v>
      </c>
      <c r="C3302" t="s">
        <v>40</v>
      </c>
      <c r="D3302">
        <v>5.7244219999999997</v>
      </c>
      <c r="E3302">
        <v>0.36949660000000001</v>
      </c>
      <c r="F3302" t="s">
        <v>79</v>
      </c>
      <c r="G3302">
        <v>-430.81380000000001</v>
      </c>
      <c r="H3302" s="1">
        <v>2.5569859999999999E-6</v>
      </c>
      <c r="I3302">
        <v>214.85489999999999</v>
      </c>
      <c r="J3302">
        <v>-476.185</v>
      </c>
      <c r="K3302">
        <v>1.118339</v>
      </c>
      <c r="L3302">
        <v>217.31059999999999</v>
      </c>
      <c r="M3302">
        <v>0.90932329999999995</v>
      </c>
      <c r="N3302">
        <v>0</v>
      </c>
      <c r="O3302">
        <v>-0.4158615</v>
      </c>
      <c r="P3302">
        <v>0.93032210000000004</v>
      </c>
      <c r="Q3302">
        <v>3.1141519999999999E-2</v>
      </c>
      <c r="R3302">
        <v>-0.36541970000000001</v>
      </c>
      <c r="S3302">
        <v>3.171967</v>
      </c>
      <c r="T3302">
        <v>-7.7860470000000001E-2</v>
      </c>
      <c r="U3302">
        <v>-0.1761017</v>
      </c>
      <c r="V3302">
        <v>-5.5483709999999999E-2</v>
      </c>
      <c r="W3302">
        <v>4.3825719999999999E-2</v>
      </c>
      <c r="X3302">
        <v>0.99749730000000003</v>
      </c>
      <c r="Y3302">
        <v>-0.36462339999999999</v>
      </c>
      <c r="Z3302">
        <v>1.439934E-2</v>
      </c>
      <c r="AA3302">
        <v>0.93104370000000003</v>
      </c>
      <c r="AB3302">
        <v>22</v>
      </c>
      <c r="AC3302">
        <v>45.371199999999902</v>
      </c>
      <c r="AD3302">
        <v>-1.1183364430139999</v>
      </c>
      <c r="AE3302">
        <v>-2.4557000000000002</v>
      </c>
      <c r="AF3302">
        <v>-16.626621470660499</v>
      </c>
      <c r="AG3302">
        <v>-1.1183364430139999</v>
      </c>
      <c r="AH3302">
        <v>42.2567465461658</v>
      </c>
      <c r="AI3302">
        <v>91.410765641512597</v>
      </c>
      <c r="AJ3302">
        <v>111.47798421833799</v>
      </c>
      <c r="AK3302">
        <v>45.423868688116997</v>
      </c>
      <c r="AL3302">
        <v>87.488166693928505</v>
      </c>
      <c r="AM3302">
        <v>93.183677783670106</v>
      </c>
      <c r="AN3302">
        <v>0.99999999965808595</v>
      </c>
    </row>
    <row r="3303" spans="1:40" x14ac:dyDescent="0.25">
      <c r="A3303" t="str">
        <f>"20190312160356713"</f>
        <v>20190312160356713</v>
      </c>
      <c r="B3303" t="str">
        <f>"1552377836707875"</f>
        <v>1552377836707875</v>
      </c>
      <c r="C3303" t="s">
        <v>40</v>
      </c>
      <c r="D3303">
        <v>5.7523569999999999</v>
      </c>
      <c r="E3303">
        <v>0.36702289999999999</v>
      </c>
      <c r="F3303" t="s">
        <v>79</v>
      </c>
      <c r="G3303">
        <v>-429.57830000000001</v>
      </c>
      <c r="H3303" s="1">
        <v>2.181016E-6</v>
      </c>
      <c r="I3303">
        <v>215.58349999999999</v>
      </c>
      <c r="J3303">
        <v>-475.97280000000001</v>
      </c>
      <c r="K3303">
        <v>1.118325</v>
      </c>
      <c r="L3303">
        <v>217.2312</v>
      </c>
      <c r="M3303">
        <v>0.91501690000000002</v>
      </c>
      <c r="N3303">
        <v>0</v>
      </c>
      <c r="O3303">
        <v>-0.40317910000000001</v>
      </c>
      <c r="P3303">
        <v>0.93551419999999996</v>
      </c>
      <c r="Q3303">
        <v>2.9999990000000001E-2</v>
      </c>
      <c r="R3303">
        <v>-0.35201329999999997</v>
      </c>
      <c r="S3303">
        <v>3.180939</v>
      </c>
      <c r="T3303">
        <v>-7.6327199999999998E-2</v>
      </c>
      <c r="U3303">
        <v>-0.1178741</v>
      </c>
      <c r="V3303">
        <v>-5.5940740000000003E-2</v>
      </c>
      <c r="W3303">
        <v>4.2677619999999999E-2</v>
      </c>
      <c r="X3303">
        <v>0.99752160000000001</v>
      </c>
      <c r="Y3303">
        <v>-0.36883779999999999</v>
      </c>
      <c r="Z3303">
        <v>1.386125E-2</v>
      </c>
      <c r="AA3303">
        <v>0.92939039999999995</v>
      </c>
      <c r="AB3303">
        <v>22</v>
      </c>
      <c r="AC3303">
        <v>46.394500000000001</v>
      </c>
      <c r="AD3303">
        <v>-1.118322818984</v>
      </c>
      <c r="AE3303">
        <v>-1.6477000000000099</v>
      </c>
      <c r="AF3303">
        <v>-17.1892843431621</v>
      </c>
      <c r="AG3303">
        <v>-1.118322818984</v>
      </c>
      <c r="AH3303">
        <v>43.095172966678703</v>
      </c>
      <c r="AI3303">
        <v>91.380757679017407</v>
      </c>
      <c r="AJ3303">
        <v>111.74547362181799</v>
      </c>
      <c r="AK3303">
        <v>46.410301390806502</v>
      </c>
      <c r="AL3303">
        <v>87.554009705925196</v>
      </c>
      <c r="AM3303">
        <v>93.209769707815198</v>
      </c>
      <c r="AN3303">
        <v>1.0000000440535799</v>
      </c>
    </row>
    <row r="3304" spans="1:40" x14ac:dyDescent="0.25">
      <c r="A3304" t="str">
        <f>"20190312160356736"</f>
        <v>20190312160356736</v>
      </c>
      <c r="B3304" t="str">
        <f>"1552377836727395"</f>
        <v>1552377836727395</v>
      </c>
      <c r="C3304" t="s">
        <v>40</v>
      </c>
      <c r="D3304">
        <v>4.5505789999999999</v>
      </c>
      <c r="E3304">
        <v>0.36665560000000003</v>
      </c>
      <c r="F3304" t="s">
        <v>79</v>
      </c>
      <c r="G3304">
        <v>-429.92779999999999</v>
      </c>
      <c r="H3304" s="1">
        <v>2.0425829999999999E-6</v>
      </c>
      <c r="I3304">
        <v>216.4579</v>
      </c>
      <c r="J3304">
        <v>-475.76119999999997</v>
      </c>
      <c r="K3304">
        <v>1.118303</v>
      </c>
      <c r="L3304">
        <v>217.15520000000001</v>
      </c>
      <c r="M3304">
        <v>0.92049159999999997</v>
      </c>
      <c r="N3304">
        <v>0</v>
      </c>
      <c r="O3304">
        <v>-0.39051859999999999</v>
      </c>
      <c r="P3304">
        <v>0.94036010000000003</v>
      </c>
      <c r="Q3304">
        <v>2.8501809999999999E-2</v>
      </c>
      <c r="R3304">
        <v>-0.33898499999999998</v>
      </c>
      <c r="S3304">
        <v>3.1890869999999998</v>
      </c>
      <c r="T3304">
        <v>-7.7455159999999995E-2</v>
      </c>
      <c r="U3304">
        <v>-5.3558349999999998E-2</v>
      </c>
      <c r="V3304">
        <v>-5.6023690000000001E-2</v>
      </c>
      <c r="W3304">
        <v>4.1180229999999998E-2</v>
      </c>
      <c r="X3304">
        <v>0.99757980000000002</v>
      </c>
      <c r="Y3304">
        <v>-0.37482199999999999</v>
      </c>
      <c r="Z3304">
        <v>1.3830490000000001E-2</v>
      </c>
      <c r="AA3304">
        <v>0.92699370000000003</v>
      </c>
      <c r="AB3304">
        <v>22</v>
      </c>
      <c r="AC3304">
        <v>45.833399999999898</v>
      </c>
      <c r="AD3304">
        <v>-1.118300957417</v>
      </c>
      <c r="AE3304">
        <v>-0.69730000000001202</v>
      </c>
      <c r="AF3304">
        <v>-17.248313870644399</v>
      </c>
      <c r="AG3304">
        <v>-1.118300957417</v>
      </c>
      <c r="AH3304">
        <v>42.440352126836999</v>
      </c>
      <c r="AI3304">
        <v>91.398366997586805</v>
      </c>
      <c r="AJ3304">
        <v>112.117467634653</v>
      </c>
      <c r="AK3304">
        <v>45.825085019687002</v>
      </c>
      <c r="AL3304">
        <v>87.639879156134597</v>
      </c>
      <c r="AM3304">
        <v>93.214332096260506</v>
      </c>
      <c r="AN3304">
        <v>0.99999996127605295</v>
      </c>
    </row>
    <row r="3305" spans="1:40" x14ac:dyDescent="0.25">
      <c r="A3305" t="str">
        <f>"20190312160356758"</f>
        <v>20190312160356758</v>
      </c>
      <c r="B3305" t="str">
        <f>"1552377836747895"</f>
        <v>1552377836747895</v>
      </c>
      <c r="C3305" t="s">
        <v>40</v>
      </c>
      <c r="D3305">
        <v>8.4256639999999994</v>
      </c>
      <c r="E3305">
        <v>0.36611660000000001</v>
      </c>
      <c r="F3305" t="s">
        <v>79</v>
      </c>
      <c r="G3305">
        <v>-429.03789999999998</v>
      </c>
      <c r="H3305" s="1">
        <v>2.147423E-6</v>
      </c>
      <c r="I3305">
        <v>217.0642</v>
      </c>
      <c r="J3305">
        <v>-475.55680000000001</v>
      </c>
      <c r="K3305">
        <v>1.118271</v>
      </c>
      <c r="L3305">
        <v>217.0848</v>
      </c>
      <c r="M3305">
        <v>0.92558070000000003</v>
      </c>
      <c r="N3305">
        <v>0</v>
      </c>
      <c r="O3305">
        <v>-0.37829869999999999</v>
      </c>
      <c r="P3305">
        <v>0.94458529999999996</v>
      </c>
      <c r="Q3305">
        <v>2.7139549999999998E-2</v>
      </c>
      <c r="R3305">
        <v>-0.32714330000000003</v>
      </c>
      <c r="S3305">
        <v>3.1903380000000001</v>
      </c>
      <c r="T3305">
        <v>-7.6359389999999999E-2</v>
      </c>
      <c r="U3305">
        <v>-6.2103269999999999E-3</v>
      </c>
      <c r="V3305">
        <v>-5.533743E-2</v>
      </c>
      <c r="W3305">
        <v>3.9832369999999999E-2</v>
      </c>
      <c r="X3305">
        <v>0.99767289999999997</v>
      </c>
      <c r="Y3305">
        <v>-0.37632019999999999</v>
      </c>
      <c r="Z3305">
        <v>1.3381260000000001E-2</v>
      </c>
      <c r="AA3305">
        <v>0.92639300000000002</v>
      </c>
      <c r="AB3305">
        <v>22</v>
      </c>
      <c r="AC3305">
        <v>46.518900000000002</v>
      </c>
      <c r="AD3305">
        <v>-1.1182688525769999</v>
      </c>
      <c r="AE3305">
        <v>-2.06000000000017E-2</v>
      </c>
      <c r="AF3305">
        <v>-17.570493190514998</v>
      </c>
      <c r="AG3305">
        <v>-1.1182688525769999</v>
      </c>
      <c r="AH3305">
        <v>43.044016615893803</v>
      </c>
      <c r="AI3305">
        <v>91.377864608966405</v>
      </c>
      <c r="AJ3305">
        <v>112.205197801693</v>
      </c>
      <c r="AK3305">
        <v>46.505484865915797</v>
      </c>
      <c r="AL3305">
        <v>87.717169449536001</v>
      </c>
      <c r="AM3305">
        <v>93.174743636130799</v>
      </c>
      <c r="AN3305">
        <v>1.00000003212661</v>
      </c>
    </row>
    <row r="3306" spans="1:40" x14ac:dyDescent="0.25">
      <c r="A3306" t="str">
        <f>"20190312160356790"</f>
        <v>20190312160356790</v>
      </c>
      <c r="B3306" t="str">
        <f>"1552377836787907"</f>
        <v>1552377836787907</v>
      </c>
      <c r="C3306" t="s">
        <v>40</v>
      </c>
      <c r="D3306">
        <v>5.7240760000000002</v>
      </c>
      <c r="E3306">
        <v>0.37098740000000002</v>
      </c>
      <c r="F3306" t="s">
        <v>79</v>
      </c>
      <c r="G3306">
        <v>-429.07470000000001</v>
      </c>
      <c r="H3306" s="1">
        <v>2.090685E-6</v>
      </c>
      <c r="I3306">
        <v>217.6386</v>
      </c>
      <c r="J3306">
        <v>-475.25990000000002</v>
      </c>
      <c r="K3306">
        <v>1.1182179999999999</v>
      </c>
      <c r="L3306">
        <v>216.98779999999999</v>
      </c>
      <c r="M3306">
        <v>0.93262060000000002</v>
      </c>
      <c r="N3306">
        <v>0</v>
      </c>
      <c r="O3306">
        <v>-0.36059469999999999</v>
      </c>
      <c r="P3306">
        <v>0.95053829999999995</v>
      </c>
      <c r="Q3306">
        <v>2.5853620000000001E-2</v>
      </c>
      <c r="R3306">
        <v>-0.30952990000000002</v>
      </c>
      <c r="S3306">
        <v>3.1914060000000002</v>
      </c>
      <c r="T3306">
        <v>-7.6779009999999995E-2</v>
      </c>
      <c r="U3306">
        <v>3.80249E-2</v>
      </c>
      <c r="V3306">
        <v>-5.4854460000000001E-2</v>
      </c>
      <c r="W3306">
        <v>3.8556390000000003E-2</v>
      </c>
      <c r="X3306">
        <v>0.99774969999999996</v>
      </c>
      <c r="Y3306">
        <v>-0.37150719999999998</v>
      </c>
      <c r="Z3306">
        <v>1.299616E-2</v>
      </c>
      <c r="AA3306">
        <v>0.92833909999999997</v>
      </c>
      <c r="AB3306">
        <v>22</v>
      </c>
      <c r="AC3306">
        <v>46.185200000000002</v>
      </c>
      <c r="AD3306">
        <v>-1.1182159093149999</v>
      </c>
      <c r="AE3306">
        <v>0.65080000000000304</v>
      </c>
      <c r="AF3306">
        <v>-17.252618794538702</v>
      </c>
      <c r="AG3306">
        <v>-1.1182159093149999</v>
      </c>
      <c r="AH3306">
        <v>42.817575451934097</v>
      </c>
      <c r="AI3306">
        <v>91.387624293282499</v>
      </c>
      <c r="AJ3306">
        <v>111.946137594042</v>
      </c>
      <c r="AK3306">
        <v>46.176271283761999</v>
      </c>
      <c r="AL3306">
        <v>87.790333947423207</v>
      </c>
      <c r="AM3306">
        <v>93.146849525649998</v>
      </c>
      <c r="AN3306">
        <v>1.0000000354209</v>
      </c>
    </row>
    <row r="3307" spans="1:40" x14ac:dyDescent="0.25">
      <c r="A3307" t="str">
        <f>"20190312160356814"</f>
        <v>20190312160356814</v>
      </c>
      <c r="B3307" t="str">
        <f>"1552377836807428"</f>
        <v>1552377836807428</v>
      </c>
      <c r="C3307" t="s">
        <v>40</v>
      </c>
      <c r="D3307">
        <v>5.6977449999999896</v>
      </c>
      <c r="E3307">
        <v>0.3742568</v>
      </c>
      <c r="F3307" t="s">
        <v>79</v>
      </c>
      <c r="G3307">
        <v>-434.2013</v>
      </c>
      <c r="H3307" s="1">
        <v>3.8038849999999999E-6</v>
      </c>
      <c r="I3307">
        <v>217.77590000000001</v>
      </c>
      <c r="J3307">
        <v>-475.03960000000001</v>
      </c>
      <c r="K3307">
        <v>1.118155</v>
      </c>
      <c r="L3307">
        <v>216.92</v>
      </c>
      <c r="M3307">
        <v>0.9375753</v>
      </c>
      <c r="N3307">
        <v>0</v>
      </c>
      <c r="O3307">
        <v>-0.34750920000000002</v>
      </c>
      <c r="P3307">
        <v>0.95475520000000003</v>
      </c>
      <c r="Q3307">
        <v>2.4504689999999999E-2</v>
      </c>
      <c r="R3307">
        <v>-0.29638160000000002</v>
      </c>
      <c r="S3307">
        <v>3.1783450000000002</v>
      </c>
      <c r="T3307">
        <v>-8.6560960000000006E-2</v>
      </c>
      <c r="U3307">
        <v>6.1004639999999999E-2</v>
      </c>
      <c r="V3307">
        <v>-5.4644579999999998E-2</v>
      </c>
      <c r="W3307">
        <v>3.7209800000000001E-2</v>
      </c>
      <c r="X3307">
        <v>0.99781229999999999</v>
      </c>
      <c r="Y3307">
        <v>-0.36521179999999998</v>
      </c>
      <c r="Z3307">
        <v>1.429003E-2</v>
      </c>
      <c r="AA3307">
        <v>0.93081469999999999</v>
      </c>
      <c r="AB3307">
        <v>22</v>
      </c>
      <c r="AC3307">
        <v>40.838299999999997</v>
      </c>
      <c r="AD3307">
        <v>-1.1181511961149999</v>
      </c>
      <c r="AE3307">
        <v>0.85590000000001898</v>
      </c>
      <c r="AF3307">
        <v>-14.984351381603499</v>
      </c>
      <c r="AG3307">
        <v>-1.1181511961149999</v>
      </c>
      <c r="AH3307">
        <v>37.966706585658699</v>
      </c>
      <c r="AI3307">
        <v>91.569194778077701</v>
      </c>
      <c r="AJ3307">
        <v>111.537703229073</v>
      </c>
      <c r="AK3307">
        <v>40.831995510704999</v>
      </c>
      <c r="AL3307">
        <v>87.867543205685607</v>
      </c>
      <c r="AM3307">
        <v>93.1346370687302</v>
      </c>
      <c r="AN3307">
        <v>0.999999992685353</v>
      </c>
    </row>
    <row r="3308" spans="1:40" x14ac:dyDescent="0.25">
      <c r="A3308" t="str">
        <f>"20190312160356837"</f>
        <v>20190312160356837</v>
      </c>
      <c r="B3308" t="str">
        <f>"1552377836827924"</f>
        <v>1552377836827924</v>
      </c>
      <c r="C3308" t="s">
        <v>40</v>
      </c>
      <c r="D3308">
        <v>5.6851949999999896</v>
      </c>
      <c r="E3308">
        <v>0.37600889999999998</v>
      </c>
      <c r="F3308" t="s">
        <v>70</v>
      </c>
      <c r="G3308">
        <v>-446.95690000000002</v>
      </c>
      <c r="H3308" s="1">
        <v>2.0328599999999998E-6</v>
      </c>
      <c r="I3308">
        <v>217.6465</v>
      </c>
      <c r="J3308">
        <v>-474.82139999999998</v>
      </c>
      <c r="K3308">
        <v>1.11809</v>
      </c>
      <c r="L3308">
        <v>216.85589999999999</v>
      </c>
      <c r="M3308">
        <v>0.94225490000000001</v>
      </c>
      <c r="N3308">
        <v>0</v>
      </c>
      <c r="O3308">
        <v>-0.33461350000000001</v>
      </c>
      <c r="P3308">
        <v>0.95861370000000001</v>
      </c>
      <c r="Q3308">
        <v>2.3184199999999999E-2</v>
      </c>
      <c r="R3308">
        <v>-0.28376560000000001</v>
      </c>
      <c r="S3308">
        <v>3.170868</v>
      </c>
      <c r="T3308">
        <v>-0.1262527</v>
      </c>
      <c r="U3308">
        <v>8.203125E-2</v>
      </c>
      <c r="V3308">
        <v>-5.4093349999999998E-2</v>
      </c>
      <c r="W3308">
        <v>3.5896520000000001E-2</v>
      </c>
      <c r="X3308">
        <v>0.99789050000000001</v>
      </c>
      <c r="Y3308">
        <v>-0.35836170000000001</v>
      </c>
      <c r="Z3308">
        <v>2.0263900000000001E-2</v>
      </c>
      <c r="AA3308">
        <v>0.9333629</v>
      </c>
      <c r="AB3308">
        <v>22</v>
      </c>
      <c r="AC3308">
        <v>27.8644999999999</v>
      </c>
      <c r="AD3308">
        <v>-1.1180879671399999</v>
      </c>
      <c r="AE3308">
        <v>0.79060000000001196</v>
      </c>
      <c r="AF3308">
        <v>-10.0535646964346</v>
      </c>
      <c r="AG3308">
        <v>-1.1180879671399999</v>
      </c>
      <c r="AH3308">
        <v>25.951628556550101</v>
      </c>
      <c r="AI3308">
        <v>92.300579561251595</v>
      </c>
      <c r="AJ3308">
        <v>111.17618308122699</v>
      </c>
      <c r="AK3308">
        <v>27.8533895342166</v>
      </c>
      <c r="AL3308">
        <v>87.942839051005294</v>
      </c>
      <c r="AM3308">
        <v>93.102835669047096</v>
      </c>
      <c r="AN3308">
        <v>1.00000005032629</v>
      </c>
    </row>
    <row r="3309" spans="1:40" x14ac:dyDescent="0.25">
      <c r="A3309" t="str">
        <f>"20190312160356861"</f>
        <v>20190312160356861</v>
      </c>
      <c r="B3309" t="str">
        <f>"1552377836847443"</f>
        <v>1552377836847443</v>
      </c>
      <c r="C3309" t="s">
        <v>40</v>
      </c>
      <c r="D3309">
        <v>5.6657010000000003</v>
      </c>
      <c r="E3309">
        <v>0.37789050000000002</v>
      </c>
      <c r="F3309" t="s">
        <v>70</v>
      </c>
      <c r="G3309">
        <v>-447.02050000000003</v>
      </c>
      <c r="H3309" s="1">
        <v>2.058858E-6</v>
      </c>
      <c r="I3309">
        <v>217.8263</v>
      </c>
      <c r="J3309">
        <v>-474.6044</v>
      </c>
      <c r="K3309">
        <v>1.118017</v>
      </c>
      <c r="L3309">
        <v>216.7953</v>
      </c>
      <c r="M3309">
        <v>0.94668509999999995</v>
      </c>
      <c r="N3309">
        <v>0</v>
      </c>
      <c r="O3309">
        <v>-0.32186670000000001</v>
      </c>
      <c r="P3309">
        <v>0.96225490000000002</v>
      </c>
      <c r="Q3309">
        <v>2.1627070000000002E-2</v>
      </c>
      <c r="R3309">
        <v>-0.27128909999999901</v>
      </c>
      <c r="S3309">
        <v>3.165314</v>
      </c>
      <c r="T3309">
        <v>-0.12730150000000001</v>
      </c>
      <c r="U3309">
        <v>0.1104889</v>
      </c>
      <c r="V3309">
        <v>-5.3564290000000001E-2</v>
      </c>
      <c r="W3309">
        <v>3.434537E-2</v>
      </c>
      <c r="X3309">
        <v>0.99797360000000002</v>
      </c>
      <c r="Y3309">
        <v>-0.35418899999999998</v>
      </c>
      <c r="Z3309">
        <v>1.9895349999999999E-2</v>
      </c>
      <c r="AA3309">
        <v>0.93496219999999997</v>
      </c>
      <c r="AB3309">
        <v>22</v>
      </c>
      <c r="AC3309">
        <v>27.5838999999999</v>
      </c>
      <c r="AD3309">
        <v>-1.118014941142</v>
      </c>
      <c r="AE3309">
        <v>1.0309999999999999</v>
      </c>
      <c r="AF3309">
        <v>-9.8391621127414908</v>
      </c>
      <c r="AG3309">
        <v>-1.118014941142</v>
      </c>
      <c r="AH3309">
        <v>25.7416318940361</v>
      </c>
      <c r="AI3309">
        <v>92.323192524461405</v>
      </c>
      <c r="AJ3309">
        <v>110.918235816589</v>
      </c>
      <c r="AK3309">
        <v>27.580621476998701</v>
      </c>
      <c r="AL3309">
        <v>88.031768211162799</v>
      </c>
      <c r="AM3309">
        <v>93.072291462117093</v>
      </c>
      <c r="AN3309">
        <v>1.0000000219503</v>
      </c>
    </row>
    <row r="3310" spans="1:40" x14ac:dyDescent="0.25">
      <c r="A3310" t="str">
        <f>"20190312160356880"</f>
        <v>20190312160356880</v>
      </c>
      <c r="B3310" t="str">
        <f>"1552377836867938"</f>
        <v>1552377836867938</v>
      </c>
      <c r="C3310" t="s">
        <v>40</v>
      </c>
      <c r="D3310">
        <v>5.6743519999999998</v>
      </c>
      <c r="E3310">
        <v>0.3798552</v>
      </c>
      <c r="F3310" t="s">
        <v>70</v>
      </c>
      <c r="G3310">
        <v>-448.51080000000002</v>
      </c>
      <c r="H3310" s="1">
        <v>2.84729E-6</v>
      </c>
      <c r="I3310">
        <v>217.93279999999999</v>
      </c>
      <c r="J3310">
        <v>-474.41210000000001</v>
      </c>
      <c r="K3310">
        <v>1.117942</v>
      </c>
      <c r="L3310">
        <v>216.744</v>
      </c>
      <c r="M3310">
        <v>0.95042099999999996</v>
      </c>
      <c r="N3310">
        <v>0</v>
      </c>
      <c r="O3310">
        <v>-0.3106622</v>
      </c>
      <c r="P3310">
        <v>0.96510410000000002</v>
      </c>
      <c r="Q3310">
        <v>2.0562359999999998E-2</v>
      </c>
      <c r="R3310">
        <v>-0.26105820000000002</v>
      </c>
      <c r="S3310">
        <v>3.1596069999999998</v>
      </c>
      <c r="T3310">
        <v>-0.13537750000000001</v>
      </c>
      <c r="U3310">
        <v>0.13774110000000001</v>
      </c>
      <c r="V3310">
        <v>-5.2351679999999998E-2</v>
      </c>
      <c r="W3310">
        <v>3.3298840000000003E-2</v>
      </c>
      <c r="X3310">
        <v>0.9980734</v>
      </c>
      <c r="Y3310">
        <v>-0.35119339999999999</v>
      </c>
      <c r="Z3310">
        <v>2.0670000000000001E-2</v>
      </c>
      <c r="AA3310">
        <v>0.93607470000000004</v>
      </c>
      <c r="AB3310">
        <v>22</v>
      </c>
      <c r="AC3310">
        <v>25.9012999999999</v>
      </c>
      <c r="AD3310">
        <v>-1.11793915271</v>
      </c>
      <c r="AE3310">
        <v>1.1887999999999499</v>
      </c>
      <c r="AF3310">
        <v>-9.1602533463036497</v>
      </c>
      <c r="AG3310">
        <v>-1.11793915271</v>
      </c>
      <c r="AH3310">
        <v>24.205117696321601</v>
      </c>
      <c r="AI3310">
        <v>92.473426367085295</v>
      </c>
      <c r="AJ3310">
        <v>110.728789333997</v>
      </c>
      <c r="AK3310">
        <v>25.904589400536899</v>
      </c>
      <c r="AL3310">
        <v>88.091764270334096</v>
      </c>
      <c r="AM3310">
        <v>93.002568736779594</v>
      </c>
      <c r="AN3310">
        <v>1.00000001146586</v>
      </c>
    </row>
    <row r="3311" spans="1:40" x14ac:dyDescent="0.25">
      <c r="A3311" t="str">
        <f>"20190312160356903"</f>
        <v>20190312160356903</v>
      </c>
      <c r="B3311" t="str">
        <f>"1552377836898195"</f>
        <v>1552377836898195</v>
      </c>
      <c r="C3311" t="s">
        <v>40</v>
      </c>
      <c r="D3311">
        <v>5.6741780000000004</v>
      </c>
      <c r="E3311">
        <v>0.3829089</v>
      </c>
      <c r="F3311" t="s">
        <v>70</v>
      </c>
      <c r="G3311">
        <v>-448.80810000000002</v>
      </c>
      <c r="H3311" s="1">
        <v>3.0019570000000001E-6</v>
      </c>
      <c r="I3311">
        <v>218.0137</v>
      </c>
      <c r="J3311">
        <v>-474.20080000000002</v>
      </c>
      <c r="K3311">
        <v>1.117842</v>
      </c>
      <c r="L3311">
        <v>216.69040000000001</v>
      </c>
      <c r="M3311">
        <v>0.95432050000000002</v>
      </c>
      <c r="N3311">
        <v>0</v>
      </c>
      <c r="O3311">
        <v>-0.2984694</v>
      </c>
      <c r="P3311">
        <v>0.96803499999999998</v>
      </c>
      <c r="Q3311">
        <v>1.9556690000000002E-2</v>
      </c>
      <c r="R3311">
        <v>-0.2500522</v>
      </c>
      <c r="S3311">
        <v>3.1537169999999999</v>
      </c>
      <c r="T3311">
        <v>-0.13769979999999901</v>
      </c>
      <c r="U3311">
        <v>0.15638729999999901</v>
      </c>
      <c r="V3311">
        <v>-5.0917900000000002E-2</v>
      </c>
      <c r="W3311">
        <v>3.2312319999999999E-2</v>
      </c>
      <c r="X3311">
        <v>0.99817999999999996</v>
      </c>
      <c r="Y3311">
        <v>-0.34479359999999998</v>
      </c>
      <c r="Z3311">
        <v>2.0410359999999999E-2</v>
      </c>
      <c r="AA3311">
        <v>0.93845659999999997</v>
      </c>
      <c r="AB3311">
        <v>22</v>
      </c>
      <c r="AC3311">
        <v>25.392699999999898</v>
      </c>
      <c r="AD3311">
        <v>-1.1178389980429999</v>
      </c>
      <c r="AE3311">
        <v>1.3232999999999799</v>
      </c>
      <c r="AF3311">
        <v>-8.8255721462435304</v>
      </c>
      <c r="AG3311">
        <v>-1.1178389980429999</v>
      </c>
      <c r="AH3311">
        <v>23.7940688169667</v>
      </c>
      <c r="AI3311">
        <v>92.522098199218306</v>
      </c>
      <c r="AJ3311">
        <v>110.35056242002599</v>
      </c>
      <c r="AK3311">
        <v>25.402716362638099</v>
      </c>
      <c r="AL3311">
        <v>88.148318151835497</v>
      </c>
      <c r="AM3311">
        <v>92.920168988051898</v>
      </c>
      <c r="AN3311">
        <v>1.0000000154820901</v>
      </c>
    </row>
    <row r="3312" spans="1:40" x14ac:dyDescent="0.25">
      <c r="A3312" t="str">
        <f>"20190312160356925"</f>
        <v>20190312160356925</v>
      </c>
      <c r="B3312" t="str">
        <f>"1552377836917715"</f>
        <v>1552377836917715</v>
      </c>
      <c r="C3312" t="s">
        <v>40</v>
      </c>
      <c r="D3312">
        <v>5.6457050000000004</v>
      </c>
      <c r="E3312">
        <v>0.38466879999999998</v>
      </c>
      <c r="F3312" t="s">
        <v>70</v>
      </c>
      <c r="G3312">
        <v>-450.12459999999999</v>
      </c>
      <c r="H3312" s="1">
        <v>-1.6177180000000001E-6</v>
      </c>
      <c r="I3312">
        <v>217.98480000000001</v>
      </c>
      <c r="J3312">
        <v>-473.98970000000003</v>
      </c>
      <c r="K3312">
        <v>1.1177349999999999</v>
      </c>
      <c r="L3312">
        <v>216.63939999999999</v>
      </c>
      <c r="M3312">
        <v>0.95800419999999997</v>
      </c>
      <c r="N3312">
        <v>0</v>
      </c>
      <c r="O3312">
        <v>-0.28642679999999998</v>
      </c>
      <c r="P3312">
        <v>0.97074649999999996</v>
      </c>
      <c r="Q3312">
        <v>1.850328E-2</v>
      </c>
      <c r="R3312">
        <v>-0.23939299999999999</v>
      </c>
      <c r="S3312">
        <v>3.145721</v>
      </c>
      <c r="T3312">
        <v>-0.14605379999999901</v>
      </c>
      <c r="U3312">
        <v>0.16912839999999901</v>
      </c>
      <c r="V3312">
        <v>-4.929878E-2</v>
      </c>
      <c r="W3312">
        <v>3.127953E-2</v>
      </c>
      <c r="X3312">
        <v>0.99829420000000002</v>
      </c>
      <c r="Y3312">
        <v>-0.33681230000000001</v>
      </c>
      <c r="Z3312">
        <v>2.097568E-2</v>
      </c>
      <c r="AA3312">
        <v>0.94133809999999996</v>
      </c>
      <c r="AB3312">
        <v>22</v>
      </c>
      <c r="AC3312">
        <v>23.865100000000002</v>
      </c>
      <c r="AD3312">
        <v>-1.1177366177179999</v>
      </c>
      <c r="AE3312">
        <v>1.3454000000000099</v>
      </c>
      <c r="AF3312">
        <v>-8.10753728147969</v>
      </c>
      <c r="AG3312">
        <v>-1.1177366177179999</v>
      </c>
      <c r="AH3312">
        <v>22.430569314241499</v>
      </c>
      <c r="AI3312">
        <v>92.683124284659002</v>
      </c>
      <c r="AJ3312">
        <v>109.872407590436</v>
      </c>
      <c r="AK3312">
        <v>23.877016892362501</v>
      </c>
      <c r="AL3312">
        <v>88.207522648076903</v>
      </c>
      <c r="AM3312">
        <v>92.827141810925895</v>
      </c>
      <c r="AN3312">
        <v>1.0000000442300701</v>
      </c>
    </row>
    <row r="3313" spans="1:40" x14ac:dyDescent="0.25">
      <c r="A3313" t="str">
        <f>"20190312160356948"</f>
        <v>20190312160356948</v>
      </c>
      <c r="B3313" t="str">
        <f>"1552377836938212"</f>
        <v>1552377836938212</v>
      </c>
      <c r="C3313" t="s">
        <v>40</v>
      </c>
      <c r="D3313">
        <v>5.6223229999999997</v>
      </c>
      <c r="E3313">
        <v>0.3993874</v>
      </c>
      <c r="F3313" t="s">
        <v>70</v>
      </c>
      <c r="G3313">
        <v>-450.90449999999998</v>
      </c>
      <c r="H3313" s="1">
        <v>-1.2050229999999999E-6</v>
      </c>
      <c r="I3313">
        <v>218.03809999999999</v>
      </c>
      <c r="J3313">
        <v>-473.76850000000002</v>
      </c>
      <c r="K3313">
        <v>1.117613</v>
      </c>
      <c r="L3313">
        <v>216.5889</v>
      </c>
      <c r="M3313">
        <v>0.96163989999999999</v>
      </c>
      <c r="N3313">
        <v>0</v>
      </c>
      <c r="O3313">
        <v>-0.2739742</v>
      </c>
      <c r="P3313">
        <v>0.97359589999999996</v>
      </c>
      <c r="Q3313">
        <v>1.803948E-2</v>
      </c>
      <c r="R3313">
        <v>-0.22756570000000001</v>
      </c>
      <c r="S3313">
        <v>3.140228</v>
      </c>
      <c r="T3313">
        <v>-0.15204300000000001</v>
      </c>
      <c r="U3313">
        <v>0.19026180000000001</v>
      </c>
      <c r="V3313">
        <v>-4.8476419999999999E-2</v>
      </c>
      <c r="W3313">
        <v>3.08177E-2</v>
      </c>
      <c r="X3313">
        <v>0.99834880000000004</v>
      </c>
      <c r="Y3313">
        <v>-0.33095859999999999</v>
      </c>
      <c r="Z3313">
        <v>2.1144980000000001E-2</v>
      </c>
      <c r="AA3313">
        <v>0.94340829999999998</v>
      </c>
      <c r="AB3313">
        <v>22</v>
      </c>
      <c r="AC3313">
        <v>22.864000000000001</v>
      </c>
      <c r="AD3313">
        <v>-1.117614205023</v>
      </c>
      <c r="AE3313">
        <v>1.4491999999999901</v>
      </c>
      <c r="AF3313">
        <v>-7.6402878815876596</v>
      </c>
      <c r="AG3313">
        <v>-1.117614205023</v>
      </c>
      <c r="AH3313">
        <v>21.540646322573402</v>
      </c>
      <c r="AI3313">
        <v>92.799485405037302</v>
      </c>
      <c r="AJ3313">
        <v>109.529172130643</v>
      </c>
      <c r="AK3313">
        <v>22.882799313436301</v>
      </c>
      <c r="AL3313">
        <v>88.233996260474896</v>
      </c>
      <c r="AM3313">
        <v>92.779904660648199</v>
      </c>
      <c r="AN3313">
        <v>1.0000000101953701</v>
      </c>
    </row>
    <row r="3314" spans="1:40" x14ac:dyDescent="0.25">
      <c r="A3314" t="str">
        <f>"20190312160356972"</f>
        <v>20190312160356972</v>
      </c>
      <c r="B3314" t="str">
        <f>"1552377836968468"</f>
        <v>1552377836968468</v>
      </c>
      <c r="C3314" t="s">
        <v>40</v>
      </c>
      <c r="D3314">
        <v>5.6192830000000002</v>
      </c>
      <c r="E3314">
        <v>0.40143669999999998</v>
      </c>
      <c r="F3314" t="s">
        <v>70</v>
      </c>
      <c r="G3314">
        <v>-452.60559999999998</v>
      </c>
      <c r="H3314" s="1">
        <v>-2.7054279999999998E-7</v>
      </c>
      <c r="I3314">
        <v>217.36850000000001</v>
      </c>
      <c r="J3314">
        <v>-473.55180000000001</v>
      </c>
      <c r="K3314">
        <v>1.1174839999999999</v>
      </c>
      <c r="L3314">
        <v>216.54220000000001</v>
      </c>
      <c r="M3314">
        <v>0.96498189999999995</v>
      </c>
      <c r="N3314">
        <v>0</v>
      </c>
      <c r="O3314">
        <v>-0.26196160000000002</v>
      </c>
      <c r="P3314">
        <v>0.97606990000000005</v>
      </c>
      <c r="Q3314">
        <v>1.7676899999999999E-2</v>
      </c>
      <c r="R3314">
        <v>-0.21673780000000001</v>
      </c>
      <c r="S3314">
        <v>3.1111759999999999</v>
      </c>
      <c r="T3314">
        <v>-0.16430069999999999</v>
      </c>
      <c r="U3314">
        <v>0.1146088</v>
      </c>
      <c r="V3314">
        <v>-4.7101570000000002E-2</v>
      </c>
      <c r="W3314">
        <v>3.0465010000000001E-2</v>
      </c>
      <c r="X3314">
        <v>0.99842540000000002</v>
      </c>
      <c r="Y3314">
        <v>-0.29656270000000001</v>
      </c>
      <c r="Z3314">
        <v>2.1537529999999999E-2</v>
      </c>
      <c r="AA3314">
        <v>0.95477049999999997</v>
      </c>
      <c r="AB3314">
        <v>22</v>
      </c>
      <c r="AC3314">
        <v>20.946200000000001</v>
      </c>
      <c r="AD3314">
        <v>-1.1174842705428001</v>
      </c>
      <c r="AE3314">
        <v>0.82630000000000303</v>
      </c>
      <c r="AF3314">
        <v>-6.2672389289518096</v>
      </c>
      <c r="AG3314">
        <v>-1.1174842705428001</v>
      </c>
      <c r="AH3314">
        <v>19.941435412465498</v>
      </c>
      <c r="AI3314">
        <v>93.060133373717804</v>
      </c>
      <c r="AJ3314">
        <v>107.447007095784</v>
      </c>
      <c r="AK3314">
        <v>20.932938188343499</v>
      </c>
      <c r="AL3314">
        <v>88.254213344055401</v>
      </c>
      <c r="AM3314">
        <v>92.700974737138907</v>
      </c>
      <c r="AN3314">
        <v>0.99999997704796195</v>
      </c>
    </row>
    <row r="3315" spans="1:40" x14ac:dyDescent="0.25">
      <c r="A3315" t="str">
        <f>"20190312160356994"</f>
        <v>20190312160356994</v>
      </c>
      <c r="B3315" t="str">
        <f>"1552377836987988"</f>
        <v>1552377836987988</v>
      </c>
      <c r="C3315" t="s">
        <v>40</v>
      </c>
      <c r="D3315">
        <v>5.5986750000000001</v>
      </c>
      <c r="E3315">
        <v>0.40290720000000002</v>
      </c>
      <c r="F3315" t="s">
        <v>70</v>
      </c>
      <c r="G3315">
        <v>-452.73399999999998</v>
      </c>
      <c r="H3315" s="1">
        <v>-2.051339E-7</v>
      </c>
      <c r="I3315">
        <v>217.43549999999999</v>
      </c>
      <c r="J3315">
        <v>-473.32979999999998</v>
      </c>
      <c r="K3315">
        <v>1.1173660000000001</v>
      </c>
      <c r="L3315">
        <v>216.49709999999999</v>
      </c>
      <c r="M3315">
        <v>0.96820010000000001</v>
      </c>
      <c r="N3315">
        <v>0</v>
      </c>
      <c r="O3315">
        <v>-0.2498071</v>
      </c>
      <c r="P3315">
        <v>0.97850809999999999</v>
      </c>
      <c r="Q3315">
        <v>1.6875689999999999E-2</v>
      </c>
      <c r="R3315">
        <v>-0.20551849999999999</v>
      </c>
      <c r="S3315">
        <v>3.106201</v>
      </c>
      <c r="T3315">
        <v>-0.16673829999999901</v>
      </c>
      <c r="U3315">
        <v>0.1332855</v>
      </c>
      <c r="V3315">
        <v>-4.5988139999999997E-2</v>
      </c>
      <c r="W3315">
        <v>2.9667140000000002E-2</v>
      </c>
      <c r="X3315">
        <v>0.99850139999999998</v>
      </c>
      <c r="Y3315">
        <v>-0.2903386</v>
      </c>
      <c r="Z3315">
        <v>2.1088260000000001E-2</v>
      </c>
      <c r="AA3315">
        <v>0.95669159999999998</v>
      </c>
      <c r="AB3315">
        <v>22</v>
      </c>
      <c r="AC3315">
        <v>20.595799999999901</v>
      </c>
      <c r="AD3315">
        <v>-1.1173662051338999</v>
      </c>
      <c r="AE3315">
        <v>0.93840000000000101</v>
      </c>
      <c r="AF3315">
        <v>-6.0363660139883901</v>
      </c>
      <c r="AG3315">
        <v>-1.1173662051338999</v>
      </c>
      <c r="AH3315">
        <v>19.6505420149518</v>
      </c>
      <c r="AI3315">
        <v>93.111256078895494</v>
      </c>
      <c r="AJ3315">
        <v>107.076210468563</v>
      </c>
      <c r="AK3315">
        <v>20.587132470856499</v>
      </c>
      <c r="AL3315">
        <v>88.299948725195605</v>
      </c>
      <c r="AM3315">
        <v>92.637017408538696</v>
      </c>
      <c r="AN3315">
        <v>1.0000000470091901</v>
      </c>
    </row>
    <row r="3316" spans="1:40" x14ac:dyDescent="0.25">
      <c r="A3316" t="str">
        <f>"20190312160357016"</f>
        <v>20190312160357016</v>
      </c>
      <c r="B3316" t="str">
        <f>"1552377837007507"</f>
        <v>1552377837007507</v>
      </c>
      <c r="C3316" t="s">
        <v>40</v>
      </c>
      <c r="D3316">
        <v>5.637867</v>
      </c>
      <c r="E3316">
        <v>0.40362559999999997</v>
      </c>
      <c r="F3316" t="s">
        <v>70</v>
      </c>
      <c r="G3316">
        <v>-453.1884</v>
      </c>
      <c r="H3316" s="1">
        <v>3.2819269999999998E-8</v>
      </c>
      <c r="I3316">
        <v>217.52350000000001</v>
      </c>
      <c r="J3316">
        <v>-473.12270000000001</v>
      </c>
      <c r="K3316">
        <v>1.117259</v>
      </c>
      <c r="L3316">
        <v>216.45740000000001</v>
      </c>
      <c r="M3316">
        <v>0.97101800000000005</v>
      </c>
      <c r="N3316">
        <v>0</v>
      </c>
      <c r="O3316">
        <v>-0.23862050000000001</v>
      </c>
      <c r="P3316">
        <v>0.98064379999999995</v>
      </c>
      <c r="Q3316">
        <v>1.5781170000000001E-2</v>
      </c>
      <c r="R3316">
        <v>-0.1951639</v>
      </c>
      <c r="S3316">
        <v>3.1020810000000001</v>
      </c>
      <c r="T3316">
        <v>-0.17209070000000001</v>
      </c>
      <c r="U3316">
        <v>0.1580811</v>
      </c>
      <c r="V3316">
        <v>-4.5000640000000001E-2</v>
      </c>
      <c r="W3316">
        <v>2.8573270000000001E-2</v>
      </c>
      <c r="X3316">
        <v>0.99857830000000003</v>
      </c>
      <c r="Y3316">
        <v>-0.28695330000000002</v>
      </c>
      <c r="Z3316">
        <v>2.1091579999999999E-2</v>
      </c>
      <c r="AA3316">
        <v>0.95771240000000002</v>
      </c>
      <c r="AB3316">
        <v>22</v>
      </c>
      <c r="AC3316">
        <v>19.9343</v>
      </c>
      <c r="AD3316">
        <v>-1.11725896718073</v>
      </c>
      <c r="AE3316">
        <v>1.0661</v>
      </c>
      <c r="AF3316">
        <v>-5.7743815477003597</v>
      </c>
      <c r="AG3316">
        <v>-1.11725896718073</v>
      </c>
      <c r="AH3316">
        <v>19.0442786511713</v>
      </c>
      <c r="AI3316">
        <v>93.213348624136799</v>
      </c>
      <c r="AJ3316">
        <v>106.867734067534</v>
      </c>
      <c r="AK3316">
        <v>19.9317911689248</v>
      </c>
      <c r="AL3316">
        <v>88.362649463605706</v>
      </c>
      <c r="AM3316">
        <v>92.580271850671707</v>
      </c>
      <c r="AN3316">
        <v>1.00000005529489</v>
      </c>
    </row>
    <row r="3317" spans="1:40" x14ac:dyDescent="0.25">
      <c r="A3317" t="str">
        <f>"20190312160357038"</f>
        <v>20190312160357038</v>
      </c>
      <c r="B3317" t="str">
        <f>"1552377837028004"</f>
        <v>1552377837028004</v>
      </c>
      <c r="C3317" t="s">
        <v>40</v>
      </c>
      <c r="D3317">
        <v>5.6315770000000001</v>
      </c>
      <c r="E3317">
        <v>0.41207949999999999</v>
      </c>
      <c r="F3317" t="s">
        <v>70</v>
      </c>
      <c r="G3317">
        <v>-453.51799999999997</v>
      </c>
      <c r="H3317" s="1">
        <v>2.0358759999999999E-7</v>
      </c>
      <c r="I3317">
        <v>217.62979999999999</v>
      </c>
      <c r="J3317">
        <v>-472.90859999999998</v>
      </c>
      <c r="K3317">
        <v>1.1171500000000001</v>
      </c>
      <c r="L3317">
        <v>216.4187</v>
      </c>
      <c r="M3317">
        <v>0.97375049999999996</v>
      </c>
      <c r="N3317">
        <v>0</v>
      </c>
      <c r="O3317">
        <v>-0.2272141</v>
      </c>
      <c r="P3317">
        <v>0.98271739999999996</v>
      </c>
      <c r="Q3317">
        <v>1.5123259999999999E-2</v>
      </c>
      <c r="R3317">
        <v>-0.18449499999999999</v>
      </c>
      <c r="S3317">
        <v>3.0989689999999999</v>
      </c>
      <c r="T3317">
        <v>-0.17660770000000001</v>
      </c>
      <c r="U3317">
        <v>0.18533330000000001</v>
      </c>
      <c r="V3317">
        <v>-4.4121970000000003E-2</v>
      </c>
      <c r="W3317">
        <v>2.7912630000000001E-2</v>
      </c>
      <c r="X3317">
        <v>0.99863610000000003</v>
      </c>
      <c r="Y3317">
        <v>-0.28414139999999999</v>
      </c>
      <c r="Z3317">
        <v>2.0946900000000001E-2</v>
      </c>
      <c r="AA3317">
        <v>0.95855360000000001</v>
      </c>
      <c r="AB3317">
        <v>22</v>
      </c>
      <c r="AC3317">
        <v>19.3905999999999</v>
      </c>
      <c r="AD3317">
        <v>-1.1171497964124</v>
      </c>
      <c r="AE3317">
        <v>1.2110999999999801</v>
      </c>
      <c r="AF3317">
        <v>-5.5672328226920298</v>
      </c>
      <c r="AG3317">
        <v>-1.1171497964124</v>
      </c>
      <c r="AH3317">
        <v>18.546814492261699</v>
      </c>
      <c r="AI3317">
        <v>93.301792610831001</v>
      </c>
      <c r="AJ3317">
        <v>106.70828050551501</v>
      </c>
      <c r="AK3317">
        <v>19.396557240398501</v>
      </c>
      <c r="AL3317">
        <v>88.400516301799101</v>
      </c>
      <c r="AM3317">
        <v>92.529810051078698</v>
      </c>
      <c r="AN3317">
        <v>0.99999996168670302</v>
      </c>
    </row>
    <row r="3318" spans="1:40" x14ac:dyDescent="0.25">
      <c r="A3318" t="str">
        <f>"20190312160357061"</f>
        <v>20190312160357061</v>
      </c>
      <c r="B3318" t="str">
        <f>"1552377837058259"</f>
        <v>1552377837058259</v>
      </c>
      <c r="C3318" t="s">
        <v>40</v>
      </c>
      <c r="D3318">
        <v>5.6502980000000003</v>
      </c>
      <c r="E3318">
        <v>0.41379739999999998</v>
      </c>
      <c r="F3318" t="s">
        <v>70</v>
      </c>
      <c r="G3318">
        <v>-453.81569999999999</v>
      </c>
      <c r="H3318" s="1">
        <v>3.7369180000000002E-7</v>
      </c>
      <c r="I3318">
        <v>217.36279999999999</v>
      </c>
      <c r="J3318">
        <v>-472.69349999999997</v>
      </c>
      <c r="K3318">
        <v>1.117024</v>
      </c>
      <c r="L3318">
        <v>216.38220000000001</v>
      </c>
      <c r="M3318">
        <v>0.97631440000000003</v>
      </c>
      <c r="N3318">
        <v>0</v>
      </c>
      <c r="O3318">
        <v>-0.21593390000000001</v>
      </c>
      <c r="P3318">
        <v>0.984572</v>
      </c>
      <c r="Q3318">
        <v>1.4603130000000001E-2</v>
      </c>
      <c r="R3318">
        <v>-0.17437069999999999</v>
      </c>
      <c r="S3318">
        <v>3.0841370000000001</v>
      </c>
      <c r="T3318">
        <v>-0.18045649999999999</v>
      </c>
      <c r="U3318">
        <v>0.1524963</v>
      </c>
      <c r="V3318">
        <v>-4.2831609999999999E-2</v>
      </c>
      <c r="W3318">
        <v>2.739451E-2</v>
      </c>
      <c r="X3318">
        <v>0.9987066</v>
      </c>
      <c r="Y3318">
        <v>-0.26309480000000002</v>
      </c>
      <c r="Z3318">
        <v>2.0244430000000001E-2</v>
      </c>
      <c r="AA3318">
        <v>0.96455760000000001</v>
      </c>
      <c r="AB3318">
        <v>22</v>
      </c>
      <c r="AC3318">
        <v>18.877799999999901</v>
      </c>
      <c r="AD3318">
        <v>-1.1170236263081901</v>
      </c>
      <c r="AE3318">
        <v>0.98059999999998104</v>
      </c>
      <c r="AF3318">
        <v>-5.01667356587771</v>
      </c>
      <c r="AG3318">
        <v>-1.1170236263081901</v>
      </c>
      <c r="AH3318">
        <v>18.1571865123802</v>
      </c>
      <c r="AI3318">
        <v>93.393548536317994</v>
      </c>
      <c r="AJ3318">
        <v>105.445015385997</v>
      </c>
      <c r="AK3318">
        <v>18.870563783143002</v>
      </c>
      <c r="AL3318">
        <v>88.430213714904895</v>
      </c>
      <c r="AM3318">
        <v>92.455743808094795</v>
      </c>
      <c r="AN3318">
        <v>0.99999993943844401</v>
      </c>
    </row>
    <row r="3319" spans="1:40" x14ac:dyDescent="0.25">
      <c r="A3319" t="str">
        <f>"20190312160357081"</f>
        <v>20190312160357081</v>
      </c>
      <c r="B3319" t="str">
        <f>"1552377837077780"</f>
        <v>1552377837077780</v>
      </c>
      <c r="C3319" t="s">
        <v>40</v>
      </c>
      <c r="D3319">
        <v>5.5533760000000001</v>
      </c>
      <c r="E3319">
        <v>0.41485559999999999</v>
      </c>
      <c r="F3319" t="s">
        <v>70</v>
      </c>
      <c r="G3319">
        <v>-453.78899999999999</v>
      </c>
      <c r="H3319" s="1">
        <v>3.5642880000000001E-7</v>
      </c>
      <c r="I3319">
        <v>217.43219999999999</v>
      </c>
      <c r="J3319">
        <v>-472.49310000000003</v>
      </c>
      <c r="K3319">
        <v>1.116903</v>
      </c>
      <c r="L3319">
        <v>216.35040000000001</v>
      </c>
      <c r="M3319">
        <v>0.97854280000000005</v>
      </c>
      <c r="N3319">
        <v>0</v>
      </c>
      <c r="O3319">
        <v>-0.2056016</v>
      </c>
      <c r="P3319">
        <v>0.98609080000000005</v>
      </c>
      <c r="Q3319">
        <v>1.42504E-2</v>
      </c>
      <c r="R3319">
        <v>-0.16559589999999999</v>
      </c>
      <c r="S3319">
        <v>3.0800480000000001</v>
      </c>
      <c r="T3319">
        <v>-0.18199280000000001</v>
      </c>
      <c r="U3319">
        <v>0.17106629999999901</v>
      </c>
      <c r="V3319">
        <v>-4.1154219999999998E-2</v>
      </c>
      <c r="W3319">
        <v>2.7049879999999998E-2</v>
      </c>
      <c r="X3319">
        <v>0.99878659999999997</v>
      </c>
      <c r="Y3319">
        <v>-0.25876769999999999</v>
      </c>
      <c r="Z3319">
        <v>1.9713959999999999E-2</v>
      </c>
      <c r="AA3319">
        <v>0.9657384</v>
      </c>
      <c r="AB3319">
        <v>22</v>
      </c>
      <c r="AC3319">
        <v>18.7041</v>
      </c>
      <c r="AD3319">
        <v>-1.1169026435711999</v>
      </c>
      <c r="AE3319">
        <v>1.0817999999999801</v>
      </c>
      <c r="AF3319">
        <v>-4.8872578739490704</v>
      </c>
      <c r="AG3319">
        <v>-1.1169026435711999</v>
      </c>
      <c r="AH3319">
        <v>18.017953628508</v>
      </c>
      <c r="AI3319">
        <v>93.423728476205696</v>
      </c>
      <c r="AJ3319">
        <v>105.17597561635</v>
      </c>
      <c r="AK3319">
        <v>18.702390595877301</v>
      </c>
      <c r="AL3319">
        <v>88.449967004556797</v>
      </c>
      <c r="AM3319">
        <v>92.359493041608204</v>
      </c>
      <c r="AN3319">
        <v>1.0000000190856899</v>
      </c>
    </row>
    <row r="3320" spans="1:40" x14ac:dyDescent="0.25">
      <c r="A3320" t="str">
        <f>"20190312160357106"</f>
        <v>20190312160357106</v>
      </c>
      <c r="B3320" t="str">
        <f>"1552377837098276"</f>
        <v>1552377837098276</v>
      </c>
      <c r="C3320" t="s">
        <v>40</v>
      </c>
      <c r="D3320">
        <v>5.7141919999999997</v>
      </c>
      <c r="E3320">
        <v>0.41623909999999997</v>
      </c>
      <c r="F3320" t="s">
        <v>70</v>
      </c>
      <c r="G3320">
        <v>-453.85079999999999</v>
      </c>
      <c r="H3320" s="1">
        <v>3.8635999999999997E-7</v>
      </c>
      <c r="I3320">
        <v>217.50020000000001</v>
      </c>
      <c r="J3320">
        <v>-472.2586</v>
      </c>
      <c r="K3320">
        <v>1.116735</v>
      </c>
      <c r="L3320">
        <v>216.31540000000001</v>
      </c>
      <c r="M3320">
        <v>0.98096130000000004</v>
      </c>
      <c r="N3320">
        <v>0</v>
      </c>
      <c r="O3320">
        <v>-0.19373789999999999</v>
      </c>
      <c r="P3320">
        <v>0.98781649999999999</v>
      </c>
      <c r="Q3320">
        <v>1.328711E-2</v>
      </c>
      <c r="R3320">
        <v>-0.15505459999999999</v>
      </c>
      <c r="S3320">
        <v>3.0768430000000002</v>
      </c>
      <c r="T3320">
        <v>-0.1843407</v>
      </c>
      <c r="U3320">
        <v>0.18977359999999999</v>
      </c>
      <c r="V3320">
        <v>-3.970307E-2</v>
      </c>
      <c r="W3320">
        <v>2.6086060000000001E-2</v>
      </c>
      <c r="X3320">
        <v>0.99887099999999995</v>
      </c>
      <c r="Y3320">
        <v>-0.25298530000000002</v>
      </c>
      <c r="Z3320">
        <v>1.911332E-2</v>
      </c>
      <c r="AA3320">
        <v>0.96728130000000001</v>
      </c>
      <c r="AB3320">
        <v>22</v>
      </c>
      <c r="AC3320">
        <v>18.407800000000002</v>
      </c>
      <c r="AD3320">
        <v>-1.11673461363999</v>
      </c>
      <c r="AE3320">
        <v>1.1847999999999901</v>
      </c>
      <c r="AF3320">
        <v>-4.71168899530449</v>
      </c>
      <c r="AG3320">
        <v>-1.11673461363999</v>
      </c>
      <c r="AH3320">
        <v>17.764298248359601</v>
      </c>
      <c r="AI3320">
        <v>93.477188522227607</v>
      </c>
      <c r="AJ3320">
        <v>104.854733051853</v>
      </c>
      <c r="AK3320">
        <v>18.412425197198999</v>
      </c>
      <c r="AL3320">
        <v>88.505209363331304</v>
      </c>
      <c r="AM3320">
        <v>92.276191304506398</v>
      </c>
      <c r="AN3320">
        <v>1.0000000454673701</v>
      </c>
    </row>
    <row r="3321" spans="1:40" x14ac:dyDescent="0.25">
      <c r="A3321" t="str">
        <f>"20190312160357126"</f>
        <v>20190312160357126</v>
      </c>
      <c r="B3321" t="str">
        <f>"1552377837117796"</f>
        <v>1552377837117796</v>
      </c>
      <c r="C3321" t="s">
        <v>40</v>
      </c>
      <c r="D3321">
        <v>5.6142589999999997</v>
      </c>
      <c r="E3321">
        <v>0.4482237</v>
      </c>
      <c r="F3321" t="s">
        <v>70</v>
      </c>
      <c r="G3321">
        <v>-453.46069999999997</v>
      </c>
      <c r="H3321" s="1">
        <v>1.740612E-7</v>
      </c>
      <c r="I3321">
        <v>217.6078</v>
      </c>
      <c r="J3321">
        <v>-472.0557</v>
      </c>
      <c r="K3321">
        <v>1.116576</v>
      </c>
      <c r="L3321">
        <v>216.28739999999999</v>
      </c>
      <c r="M3321">
        <v>0.98288850000000005</v>
      </c>
      <c r="N3321">
        <v>0</v>
      </c>
      <c r="O3321">
        <v>-0.1837133</v>
      </c>
      <c r="P3321">
        <v>0.98918050000000002</v>
      </c>
      <c r="Q3321">
        <v>1.2792670000000001E-2</v>
      </c>
      <c r="R3321">
        <v>-0.14614469999999999</v>
      </c>
      <c r="S3321">
        <v>3.0726010000000001</v>
      </c>
      <c r="T3321">
        <v>-0.18253559999999999</v>
      </c>
      <c r="U3321">
        <v>0.21124270000000001</v>
      </c>
      <c r="V3321">
        <v>-3.8491360000000002E-2</v>
      </c>
      <c r="W3321">
        <v>2.5587929999999998E-2</v>
      </c>
      <c r="X3321">
        <v>0.99893129999999997</v>
      </c>
      <c r="Y3321">
        <v>-0.2499574</v>
      </c>
      <c r="Z3321">
        <v>1.827233E-2</v>
      </c>
      <c r="AA3321">
        <v>0.96808439999999996</v>
      </c>
      <c r="AB3321">
        <v>22</v>
      </c>
      <c r="AC3321">
        <v>18.594999999999999</v>
      </c>
      <c r="AD3321">
        <v>-1.1165758259387999</v>
      </c>
      <c r="AE3321">
        <v>1.3204</v>
      </c>
      <c r="AF3321">
        <v>-4.6975255276748902</v>
      </c>
      <c r="AG3321">
        <v>-1.1165758259387999</v>
      </c>
      <c r="AH3321">
        <v>17.9713829831624</v>
      </c>
      <c r="AI3321">
        <v>93.439976914283093</v>
      </c>
      <c r="AJ3321">
        <v>104.64874661451999</v>
      </c>
      <c r="AK3321">
        <v>18.6087101644829</v>
      </c>
      <c r="AL3321">
        <v>88.5337596239128</v>
      </c>
      <c r="AM3321">
        <v>92.206660214460697</v>
      </c>
      <c r="AN3321">
        <v>1.00000003453801</v>
      </c>
    </row>
    <row r="3322" spans="1:40" x14ac:dyDescent="0.25">
      <c r="A3322" t="str">
        <f>"20190312160357150"</f>
        <v>20190312160357150</v>
      </c>
      <c r="B3322" t="str">
        <f>"1552377837137318"</f>
        <v>1552377837137318</v>
      </c>
      <c r="C3322" t="s">
        <v>40</v>
      </c>
      <c r="D3322">
        <v>5.5614840000000001</v>
      </c>
      <c r="E3322">
        <v>0.45080130000000002</v>
      </c>
      <c r="F3322" t="s">
        <v>70</v>
      </c>
      <c r="G3322">
        <v>-456.41460000000001</v>
      </c>
      <c r="H3322" s="1">
        <v>1.806295E-6</v>
      </c>
      <c r="I3322">
        <v>216.22810000000001</v>
      </c>
      <c r="J3322">
        <v>-471.83670000000001</v>
      </c>
      <c r="K3322">
        <v>1.116384</v>
      </c>
      <c r="L3322">
        <v>216.25919999999999</v>
      </c>
      <c r="M3322">
        <v>0.98479749999999999</v>
      </c>
      <c r="N3322">
        <v>0</v>
      </c>
      <c r="O3322">
        <v>-0.17319209999999999</v>
      </c>
      <c r="P3322">
        <v>0.99046040000000002</v>
      </c>
      <c r="Q3322">
        <v>1.225031E-2</v>
      </c>
      <c r="R3322">
        <v>-0.13725329999999999</v>
      </c>
      <c r="S3322">
        <v>3.0339049999999999</v>
      </c>
      <c r="T3322">
        <v>-0.21658269999999999</v>
      </c>
      <c r="U3322">
        <v>-1.1489869999999999E-2</v>
      </c>
      <c r="V3322">
        <v>-3.6762259999999998E-2</v>
      </c>
      <c r="W3322">
        <v>2.5045939999999999E-2</v>
      </c>
      <c r="X3322">
        <v>0.99901010000000001</v>
      </c>
      <c r="Y3322">
        <v>-0.16861010000000001</v>
      </c>
      <c r="Z3322">
        <v>1.8311640000000001E-2</v>
      </c>
      <c r="AA3322">
        <v>0.98551270000000002</v>
      </c>
      <c r="AB3322">
        <v>22</v>
      </c>
      <c r="AC3322">
        <v>15.4221</v>
      </c>
      <c r="AD3322">
        <v>-1.116382193705</v>
      </c>
      <c r="AE3322">
        <v>-3.1099999999980799E-2</v>
      </c>
      <c r="AF3322">
        <v>-2.62682944137859</v>
      </c>
      <c r="AG3322">
        <v>-1.116382193705</v>
      </c>
      <c r="AH3322">
        <v>15.115182451578001</v>
      </c>
      <c r="AI3322">
        <v>94.161943032057493</v>
      </c>
      <c r="AJ3322">
        <v>99.858823647340301</v>
      </c>
      <c r="AK3322">
        <v>15.38230420519</v>
      </c>
      <c r="AL3322">
        <v>88.5648232287963</v>
      </c>
      <c r="AM3322">
        <v>92.107458534150695</v>
      </c>
      <c r="AN3322">
        <v>0.99999997138639996</v>
      </c>
    </row>
    <row r="3323" spans="1:40" x14ac:dyDescent="0.25">
      <c r="A3323" t="str">
        <f>"20190312160357170"</f>
        <v>20190312160357170</v>
      </c>
      <c r="B3323" t="str">
        <f>"1552377837157811"</f>
        <v>1552377837157811</v>
      </c>
      <c r="C3323" t="s">
        <v>40</v>
      </c>
      <c r="D3323">
        <v>5.5648030000000004</v>
      </c>
      <c r="E3323">
        <v>0.4539242</v>
      </c>
      <c r="F3323" t="s">
        <v>70</v>
      </c>
      <c r="G3323">
        <v>-455.61509999999998</v>
      </c>
      <c r="H3323" s="1">
        <v>1.380633E-6</v>
      </c>
      <c r="I3323">
        <v>216.2328</v>
      </c>
      <c r="J3323">
        <v>-471.63819999999998</v>
      </c>
      <c r="K3323">
        <v>1.116195</v>
      </c>
      <c r="L3323">
        <v>216.2353</v>
      </c>
      <c r="M3323">
        <v>0.98638159999999997</v>
      </c>
      <c r="N3323">
        <v>0</v>
      </c>
      <c r="O3323">
        <v>-0.1639322</v>
      </c>
      <c r="P3323">
        <v>0.9914771</v>
      </c>
      <c r="Q3323">
        <v>1.243227E-2</v>
      </c>
      <c r="R3323">
        <v>-0.1296861</v>
      </c>
      <c r="S3323">
        <v>3.0307620000000002</v>
      </c>
      <c r="T3323">
        <v>-0.20857980000000001</v>
      </c>
      <c r="U3323">
        <v>-4.9285889999999997E-3</v>
      </c>
      <c r="V3323">
        <v>-3.4994249999999998E-2</v>
      </c>
      <c r="W3323">
        <v>2.5228509999999999E-2</v>
      </c>
      <c r="X3323">
        <v>0.99906899999999998</v>
      </c>
      <c r="Y3323">
        <v>-0.161575</v>
      </c>
      <c r="Z3323">
        <v>1.678412E-2</v>
      </c>
      <c r="AA3323">
        <v>0.98671770000000003</v>
      </c>
      <c r="AB3323">
        <v>22</v>
      </c>
      <c r="AC3323">
        <v>16.023099999999999</v>
      </c>
      <c r="AD3323">
        <v>-1.1161936193669999</v>
      </c>
      <c r="AE3323">
        <v>-2.4999999999977202E-3</v>
      </c>
      <c r="AF3323">
        <v>-2.6117947771977401</v>
      </c>
      <c r="AG3323">
        <v>-1.1161936193669999</v>
      </c>
      <c r="AH3323">
        <v>15.730369122522999</v>
      </c>
      <c r="AI3323">
        <v>94.004148708289705</v>
      </c>
      <c r="AJ3323">
        <v>99.427115349742294</v>
      </c>
      <c r="AK3323">
        <v>15.984738749349001</v>
      </c>
      <c r="AL3323">
        <v>88.554359431010695</v>
      </c>
      <c r="AM3323">
        <v>92.006071112756402</v>
      </c>
      <c r="AN3323">
        <v>0.99999997100544002</v>
      </c>
    </row>
    <row r="3324" spans="1:40" x14ac:dyDescent="0.25">
      <c r="A3324" t="str">
        <f>"20190312160357192"</f>
        <v>20190312160357192</v>
      </c>
      <c r="B3324" t="str">
        <f>"1552377837188067"</f>
        <v>1552377837188067</v>
      </c>
      <c r="C3324" t="s">
        <v>40</v>
      </c>
      <c r="D3324">
        <v>5.4608449999999999</v>
      </c>
      <c r="E3324">
        <v>0.45704220000000001</v>
      </c>
      <c r="F3324" t="s">
        <v>70</v>
      </c>
      <c r="G3324">
        <v>-455.1413</v>
      </c>
      <c r="H3324" s="1">
        <v>1.1299270000000001E-6</v>
      </c>
      <c r="I3324">
        <v>216.1996</v>
      </c>
      <c r="J3324">
        <v>-471.4128</v>
      </c>
      <c r="K3324">
        <v>1.1159939999999999</v>
      </c>
      <c r="L3324">
        <v>216.21019999999999</v>
      </c>
      <c r="M3324">
        <v>0.98802730000000005</v>
      </c>
      <c r="N3324">
        <v>0</v>
      </c>
      <c r="O3324">
        <v>-0.15370710000000001</v>
      </c>
      <c r="P3324">
        <v>0.99255910000000003</v>
      </c>
      <c r="Q3324">
        <v>1.2827170000000001E-2</v>
      </c>
      <c r="R3324">
        <v>-0.1210857</v>
      </c>
      <c r="S3324">
        <v>3.0274960000000002</v>
      </c>
      <c r="T3324">
        <v>-0.20484260000000001</v>
      </c>
      <c r="U3324">
        <v>-6.5612789999999997E-3</v>
      </c>
      <c r="V3324">
        <v>-3.3299820000000001E-2</v>
      </c>
      <c r="W3324">
        <v>2.5616529999999998E-2</v>
      </c>
      <c r="X3324">
        <v>0.99911709999999998</v>
      </c>
      <c r="Y3324">
        <v>-0.15088460000000001</v>
      </c>
      <c r="Z3324">
        <v>1.5456080000000001E-2</v>
      </c>
      <c r="AA3324">
        <v>0.98843060000000005</v>
      </c>
      <c r="AB3324">
        <v>22</v>
      </c>
      <c r="AC3324">
        <v>16.2715</v>
      </c>
      <c r="AD3324">
        <v>-1.115992870073</v>
      </c>
      <c r="AE3324">
        <v>-1.05999999999824E-2</v>
      </c>
      <c r="AF3324">
        <v>-2.4791295841724801</v>
      </c>
      <c r="AG3324">
        <v>-1.115992870073</v>
      </c>
      <c r="AH3324">
        <v>16.004447101033499</v>
      </c>
      <c r="AI3324">
        <v>93.941926446261803</v>
      </c>
      <c r="AJ3324">
        <v>98.805280137054694</v>
      </c>
      <c r="AK3324">
        <v>16.233725715033898</v>
      </c>
      <c r="AL3324">
        <v>88.532120423733602</v>
      </c>
      <c r="AM3324">
        <v>91.908918528348295</v>
      </c>
      <c r="AN3324">
        <v>1.0000000320668401</v>
      </c>
    </row>
    <row r="3325" spans="1:40" x14ac:dyDescent="0.25">
      <c r="A3325" t="str">
        <f>"20190312160357216"</f>
        <v>20190312160357216</v>
      </c>
      <c r="B3325" t="str">
        <f>"1552377837207588"</f>
        <v>1552377837207588</v>
      </c>
      <c r="C3325" t="s">
        <v>40</v>
      </c>
      <c r="D3325">
        <v>5.5668139999999999</v>
      </c>
      <c r="E3325">
        <v>0.45925919999999998</v>
      </c>
      <c r="F3325" t="s">
        <v>70</v>
      </c>
      <c r="G3325">
        <v>-455.12990000000002</v>
      </c>
      <c r="H3325" s="1">
        <v>1.1244950000000001E-6</v>
      </c>
      <c r="I3325">
        <v>216.18530000000001</v>
      </c>
      <c r="J3325">
        <v>-471.18889999999999</v>
      </c>
      <c r="K3325">
        <v>1.1158030000000001</v>
      </c>
      <c r="L3325">
        <v>216.18719999999999</v>
      </c>
      <c r="M3325">
        <v>0.98951020000000001</v>
      </c>
      <c r="N3325">
        <v>0</v>
      </c>
      <c r="O3325">
        <v>-0.1438564</v>
      </c>
      <c r="P3325">
        <v>0.99353329999999995</v>
      </c>
      <c r="Q3325">
        <v>1.287115E-2</v>
      </c>
      <c r="R3325">
        <v>-0.11280949999999999</v>
      </c>
      <c r="S3325">
        <v>3.024597</v>
      </c>
      <c r="T3325">
        <v>-0.20729819999999999</v>
      </c>
      <c r="U3325">
        <v>-4.6386719999999999E-3</v>
      </c>
      <c r="V3325">
        <v>-3.1659930000000003E-2</v>
      </c>
      <c r="W3325">
        <v>2.5651810000000001E-2</v>
      </c>
      <c r="X3325">
        <v>0.99916950000000004</v>
      </c>
      <c r="Y3325">
        <v>-0.141683</v>
      </c>
      <c r="Z3325">
        <v>1.467241E-2</v>
      </c>
      <c r="AA3325">
        <v>0.98980330000000005</v>
      </c>
      <c r="AB3325">
        <v>22</v>
      </c>
      <c r="AC3325">
        <v>16.058999999999902</v>
      </c>
      <c r="AD3325">
        <v>-1.1158018755050001</v>
      </c>
      <c r="AE3325">
        <v>-1.8999999999778001E-3</v>
      </c>
      <c r="AF3325">
        <v>-2.2974205686780098</v>
      </c>
      <c r="AG3325">
        <v>-1.1158018755050001</v>
      </c>
      <c r="AH3325">
        <v>15.8158538135065</v>
      </c>
      <c r="AI3325">
        <v>93.993729514649999</v>
      </c>
      <c r="AJ3325">
        <v>98.265011048968901</v>
      </c>
      <c r="AK3325">
        <v>16.020748638717698</v>
      </c>
      <c r="AL3325">
        <v>88.530098358437201</v>
      </c>
      <c r="AM3325">
        <v>91.814880902987397</v>
      </c>
      <c r="AN3325">
        <v>1.00000002812706</v>
      </c>
    </row>
    <row r="3326" spans="1:40" x14ac:dyDescent="0.25">
      <c r="A3326" t="str">
        <f>"20190312160357240"</f>
        <v>20190312160357240</v>
      </c>
      <c r="B3326" t="str">
        <f>"1552377837228083"</f>
        <v>1552377837228083</v>
      </c>
      <c r="C3326" t="s">
        <v>40</v>
      </c>
      <c r="D3326">
        <v>5.579688</v>
      </c>
      <c r="E3326">
        <v>0.46075929999999998</v>
      </c>
      <c r="F3326" t="s">
        <v>70</v>
      </c>
      <c r="G3326">
        <v>-455.2099</v>
      </c>
      <c r="H3326" s="1">
        <v>1.166271E-6</v>
      </c>
      <c r="I3326">
        <v>216.20349999999999</v>
      </c>
      <c r="J3326">
        <v>-470.95010000000002</v>
      </c>
      <c r="K3326">
        <v>1.115586</v>
      </c>
      <c r="L3326">
        <v>216.16480000000001</v>
      </c>
      <c r="M3326">
        <v>0.99092970000000002</v>
      </c>
      <c r="N3326">
        <v>0</v>
      </c>
      <c r="O3326">
        <v>-0.1337344</v>
      </c>
      <c r="P3326">
        <v>0.99447640000000004</v>
      </c>
      <c r="Q3326">
        <v>1.24347E-2</v>
      </c>
      <c r="R3326">
        <v>-0.1042225</v>
      </c>
      <c r="S3326">
        <v>3.022583</v>
      </c>
      <c r="T3326">
        <v>-0.21106430000000001</v>
      </c>
      <c r="U3326">
        <v>3.0822750000000002E-3</v>
      </c>
      <c r="V3326">
        <v>-3.0059389999999998E-2</v>
      </c>
      <c r="W3326">
        <v>2.5202769999999999E-2</v>
      </c>
      <c r="X3326">
        <v>0.99923030000000002</v>
      </c>
      <c r="Y3326">
        <v>-0.1341058</v>
      </c>
      <c r="Z3326">
        <v>1.398364E-2</v>
      </c>
      <c r="AA3326">
        <v>0.99086830000000004</v>
      </c>
      <c r="AB3326">
        <v>22</v>
      </c>
      <c r="AC3326">
        <v>15.7402</v>
      </c>
      <c r="AD3326">
        <v>-1.115584833729</v>
      </c>
      <c r="AE3326">
        <v>3.8699999999977301E-2</v>
      </c>
      <c r="AF3326">
        <v>-2.1328274195914099</v>
      </c>
      <c r="AG3326">
        <v>-1.115584833729</v>
      </c>
      <c r="AH3326">
        <v>15.5156698756469</v>
      </c>
      <c r="AI3326">
        <v>94.074336275245898</v>
      </c>
      <c r="AJ3326">
        <v>97.826984626136493</v>
      </c>
      <c r="AK3326">
        <v>15.7012577207389</v>
      </c>
      <c r="AL3326">
        <v>88.555834691311404</v>
      </c>
      <c r="AM3326">
        <v>91.723083190723699</v>
      </c>
      <c r="AN3326">
        <v>0.99999996949046699</v>
      </c>
    </row>
    <row r="3327" spans="1:40" x14ac:dyDescent="0.25">
      <c r="A3327" t="str">
        <f>"20190312160357264"</f>
        <v>20190312160357264</v>
      </c>
      <c r="B3327" t="str">
        <f>"1552377837257364"</f>
        <v>1552377837257364</v>
      </c>
      <c r="C3327" t="s">
        <v>40</v>
      </c>
      <c r="D3327">
        <v>5.6665809999999999</v>
      </c>
      <c r="E3327">
        <v>0.46291779999999999</v>
      </c>
      <c r="F3327" t="s">
        <v>70</v>
      </c>
      <c r="G3327">
        <v>-455.35500000000002</v>
      </c>
      <c r="H3327" s="1">
        <v>1.241303E-6</v>
      </c>
      <c r="I3327">
        <v>216.25380000000001</v>
      </c>
      <c r="J3327">
        <v>-470.72300000000001</v>
      </c>
      <c r="K3327">
        <v>1.1153550000000001</v>
      </c>
      <c r="L3327">
        <v>216.14519999999999</v>
      </c>
      <c r="M3327">
        <v>0.99213099999999999</v>
      </c>
      <c r="N3327">
        <v>0</v>
      </c>
      <c r="O3327">
        <v>-0.1245161</v>
      </c>
      <c r="P3327">
        <v>0.99526760000000003</v>
      </c>
      <c r="Q3327">
        <v>1.1849459999999999E-2</v>
      </c>
      <c r="R3327">
        <v>-9.6449800000000002E-2</v>
      </c>
      <c r="S3327">
        <v>3.0211489999999999</v>
      </c>
      <c r="T3327">
        <v>-0.21611549999999999</v>
      </c>
      <c r="U3327">
        <v>1.7257689999999999E-2</v>
      </c>
      <c r="V3327">
        <v>-2.855413E-2</v>
      </c>
      <c r="W3327">
        <v>2.4600710000000001E-2</v>
      </c>
      <c r="X3327">
        <v>0.99928950000000005</v>
      </c>
      <c r="Y3327">
        <v>-0.12954450000000001</v>
      </c>
      <c r="Z3327">
        <v>1.350736E-2</v>
      </c>
      <c r="AA3327">
        <v>0.99148159999999996</v>
      </c>
      <c r="AB3327">
        <v>22</v>
      </c>
      <c r="AC3327">
        <v>15.367999999999901</v>
      </c>
      <c r="AD3327">
        <v>-1.1153537586969999</v>
      </c>
      <c r="AE3327">
        <v>0.108600000000024</v>
      </c>
      <c r="AF3327">
        <v>-2.0108910254415</v>
      </c>
      <c r="AG3327">
        <v>-1.1153537586969999</v>
      </c>
      <c r="AH3327">
        <v>15.1550330584982</v>
      </c>
      <c r="AI3327">
        <v>94.172724959628695</v>
      </c>
      <c r="AJ3327">
        <v>97.558311271075198</v>
      </c>
      <c r="AK3327">
        <v>15.328493850584801</v>
      </c>
      <c r="AL3327">
        <v>88.590340960012796</v>
      </c>
      <c r="AM3327">
        <v>91.636748992694294</v>
      </c>
      <c r="AN3327">
        <v>1.0000000190414</v>
      </c>
    </row>
    <row r="3328" spans="1:40" x14ac:dyDescent="0.25">
      <c r="A3328" t="str">
        <f>"20190312160357285"</f>
        <v>20190312160357285</v>
      </c>
      <c r="B3328" t="str">
        <f>"1552377837277390"</f>
        <v>1552377837277390</v>
      </c>
      <c r="C3328" t="s">
        <v>40</v>
      </c>
      <c r="D3328">
        <v>5.5517849999999997</v>
      </c>
      <c r="E3328">
        <v>0.47723660000000001</v>
      </c>
      <c r="F3328" t="s">
        <v>70</v>
      </c>
      <c r="G3328">
        <v>-455.75290000000001</v>
      </c>
      <c r="H3328" s="1">
        <v>1.452553E-6</v>
      </c>
      <c r="I3328">
        <v>216.2646</v>
      </c>
      <c r="J3328">
        <v>-470.5204</v>
      </c>
      <c r="K3328">
        <v>1.115097</v>
      </c>
      <c r="L3328">
        <v>216.1292</v>
      </c>
      <c r="M3328">
        <v>0.99308160000000001</v>
      </c>
      <c r="N3328">
        <v>0</v>
      </c>
      <c r="O3328">
        <v>-0.11669740000000001</v>
      </c>
      <c r="P3328">
        <v>0.99591629999999998</v>
      </c>
      <c r="Q3328">
        <v>1.175322E-2</v>
      </c>
      <c r="R3328">
        <v>-8.9516449999999997E-2</v>
      </c>
      <c r="S3328">
        <v>3.0192869999999998</v>
      </c>
      <c r="T3328">
        <v>-0.22495329999999999</v>
      </c>
      <c r="U3328">
        <v>2.4078370000000002E-2</v>
      </c>
      <c r="V3328">
        <v>-2.7625029999999998E-2</v>
      </c>
      <c r="W3328">
        <v>2.448202E-2</v>
      </c>
      <c r="X3328">
        <v>0.9993185</v>
      </c>
      <c r="Y3328">
        <v>-0.1239577</v>
      </c>
      <c r="Z3328">
        <v>1.328056E-2</v>
      </c>
      <c r="AA3328">
        <v>0.99219860000000004</v>
      </c>
      <c r="AB3328">
        <v>22</v>
      </c>
      <c r="AC3328">
        <v>14.767499999999901</v>
      </c>
      <c r="AD3328">
        <v>-1.1150955474469999</v>
      </c>
      <c r="AE3328">
        <v>0.13540000000000399</v>
      </c>
      <c r="AF3328">
        <v>-1.84741796270061</v>
      </c>
      <c r="AG3328">
        <v>-1.1150955474469999</v>
      </c>
      <c r="AH3328">
        <v>14.567726906613</v>
      </c>
      <c r="AI3328">
        <v>94.342559565790694</v>
      </c>
      <c r="AJ3328">
        <v>97.227430529522806</v>
      </c>
      <c r="AK3328">
        <v>14.726678458990801</v>
      </c>
      <c r="AL3328">
        <v>88.597143401226006</v>
      </c>
      <c r="AM3328">
        <v>91.583473767441703</v>
      </c>
      <c r="AN3328">
        <v>0.99999998801401502</v>
      </c>
    </row>
    <row r="3329" spans="1:40" x14ac:dyDescent="0.25">
      <c r="A3329" t="str">
        <f>"20190312160357306"</f>
        <v>20190312160357306</v>
      </c>
      <c r="B3329" t="str">
        <f>"1552377837297886"</f>
        <v>1552377837297886</v>
      </c>
      <c r="C3329" t="s">
        <v>40</v>
      </c>
      <c r="D3329">
        <v>5.6152220000000002</v>
      </c>
      <c r="E3329">
        <v>0.47771029999999998</v>
      </c>
      <c r="F3329" t="s">
        <v>70</v>
      </c>
      <c r="G3329">
        <v>-457.04559999999998</v>
      </c>
      <c r="H3329" s="1">
        <v>2.159561E-6</v>
      </c>
      <c r="I3329">
        <v>215.82749999999999</v>
      </c>
      <c r="J3329">
        <v>-470.30919999999998</v>
      </c>
      <c r="K3329">
        <v>1.114795</v>
      </c>
      <c r="L3329">
        <v>216.11359999999999</v>
      </c>
      <c r="M3329">
        <v>0.99395880000000003</v>
      </c>
      <c r="N3329">
        <v>0</v>
      </c>
      <c r="O3329">
        <v>-0.1089812</v>
      </c>
      <c r="P3329">
        <v>0.99643959999999998</v>
      </c>
      <c r="Q3329">
        <v>1.158434E-2</v>
      </c>
      <c r="R3329">
        <v>-8.3510689999999999E-2</v>
      </c>
      <c r="S3329">
        <v>3.0092159999999999</v>
      </c>
      <c r="T3329">
        <v>-0.24902440000000001</v>
      </c>
      <c r="U3329">
        <v>-6.7367549999999998E-2</v>
      </c>
      <c r="V3329">
        <v>-2.5866770000000001E-2</v>
      </c>
      <c r="W3329">
        <v>2.4298009999999998E-2</v>
      </c>
      <c r="X3329">
        <v>0.99936999999999998</v>
      </c>
      <c r="Y3329">
        <v>-8.6050089999999996E-2</v>
      </c>
      <c r="Z3329">
        <v>1.2540630000000001E-2</v>
      </c>
      <c r="AA3329">
        <v>0.99621190000000004</v>
      </c>
      <c r="AB3329">
        <v>22</v>
      </c>
      <c r="AC3329">
        <v>13.263599999999901</v>
      </c>
      <c r="AD3329">
        <v>-1.114792840439</v>
      </c>
      <c r="AE3329">
        <v>-0.28610000000000402</v>
      </c>
      <c r="AF3329">
        <v>-1.1530677984443001</v>
      </c>
      <c r="AG3329">
        <v>-1.114792840439</v>
      </c>
      <c r="AH3329">
        <v>13.1231065788597</v>
      </c>
      <c r="AI3329">
        <v>94.837006533322594</v>
      </c>
      <c r="AJ3329">
        <v>95.021424164064697</v>
      </c>
      <c r="AK3329">
        <v>13.2207509130538</v>
      </c>
      <c r="AL3329">
        <v>88.607689468149005</v>
      </c>
      <c r="AM3329">
        <v>91.482659999512805</v>
      </c>
      <c r="AN3329">
        <v>0.99999993999009396</v>
      </c>
    </row>
    <row r="3330" spans="1:40" x14ac:dyDescent="0.25">
      <c r="A3330" t="str">
        <f>"20190312160357328"</f>
        <v>20190312160357328</v>
      </c>
      <c r="B3330" t="str">
        <f>"1552377837318383"</f>
        <v>1552377837318383</v>
      </c>
      <c r="C3330" t="s">
        <v>40</v>
      </c>
      <c r="D3330">
        <v>5.6249859999999998</v>
      </c>
      <c r="E3330">
        <v>0.47763070000000002</v>
      </c>
      <c r="F3330" t="s">
        <v>70</v>
      </c>
      <c r="G3330">
        <v>-456.69209999999998</v>
      </c>
      <c r="H3330" s="1">
        <v>1.9695809999999999E-6</v>
      </c>
      <c r="I3330">
        <v>215.87039999999999</v>
      </c>
      <c r="J3330">
        <v>-470.09690000000001</v>
      </c>
      <c r="K3330">
        <v>1.1144510000000001</v>
      </c>
      <c r="L3330">
        <v>216.09909999999999</v>
      </c>
      <c r="M3330">
        <v>0.99472700000000003</v>
      </c>
      <c r="N3330">
        <v>0</v>
      </c>
      <c r="O3330">
        <v>-0.10173690000000001</v>
      </c>
      <c r="P3330">
        <v>0.99688929999999998</v>
      </c>
      <c r="Q3330">
        <v>1.173015E-2</v>
      </c>
      <c r="R3330">
        <v>-7.7938110000000005E-2</v>
      </c>
      <c r="S3330">
        <v>3.0090940000000002</v>
      </c>
      <c r="T3330">
        <v>-0.24634529999999999</v>
      </c>
      <c r="U3330">
        <v>-5.3741459999999998E-2</v>
      </c>
      <c r="V3330">
        <v>-2.4154470000000001E-2</v>
      </c>
      <c r="W3330">
        <v>2.4425760000000001E-2</v>
      </c>
      <c r="X3330">
        <v>0.99940980000000001</v>
      </c>
      <c r="Y3330">
        <v>-8.3347210000000005E-2</v>
      </c>
      <c r="Z3330">
        <v>1.170802E-2</v>
      </c>
      <c r="AA3330">
        <v>0.9964518</v>
      </c>
      <c r="AB3330">
        <v>22</v>
      </c>
      <c r="AC3330">
        <v>13.4048</v>
      </c>
      <c r="AD3330">
        <v>-1.114449030419</v>
      </c>
      <c r="AE3330">
        <v>-0.22870000000000301</v>
      </c>
      <c r="AF3330">
        <v>-1.1285657712982999</v>
      </c>
      <c r="AG3330">
        <v>-1.114449030419</v>
      </c>
      <c r="AH3330">
        <v>13.2668317198967</v>
      </c>
      <c r="AI3330">
        <v>94.784524776939406</v>
      </c>
      <c r="AJ3330">
        <v>94.862257873731707</v>
      </c>
      <c r="AK3330">
        <v>13.361305371317799</v>
      </c>
      <c r="AL3330">
        <v>88.600367845991101</v>
      </c>
      <c r="AM3330">
        <v>91.384496944179205</v>
      </c>
      <c r="AN3330">
        <v>1.0000000022542901</v>
      </c>
    </row>
    <row r="3331" spans="1:40" x14ac:dyDescent="0.25">
      <c r="A3331" t="str">
        <f>"20190312160357350"</f>
        <v>20190312160357350</v>
      </c>
      <c r="B3331" t="str">
        <f>"1552377837337906"</f>
        <v>1552377837337906</v>
      </c>
      <c r="C3331" t="s">
        <v>40</v>
      </c>
      <c r="D3331">
        <v>5.6564439999999996</v>
      </c>
      <c r="E3331">
        <v>0.47858630000000002</v>
      </c>
      <c r="F3331" t="s">
        <v>70</v>
      </c>
      <c r="G3331">
        <v>-456.45260000000002</v>
      </c>
      <c r="H3331" s="1">
        <v>1.839388E-6</v>
      </c>
      <c r="I3331">
        <v>215.93350000000001</v>
      </c>
      <c r="J3331">
        <v>-469.87470000000002</v>
      </c>
      <c r="K3331">
        <v>1.11409</v>
      </c>
      <c r="L3331">
        <v>216.08500000000001</v>
      </c>
      <c r="M3331">
        <v>0.9954191</v>
      </c>
      <c r="N3331">
        <v>0</v>
      </c>
      <c r="O3331">
        <v>-9.4734059999999995E-2</v>
      </c>
      <c r="P3331">
        <v>0.99732569999999998</v>
      </c>
      <c r="Q3331">
        <v>1.1919849999999999E-2</v>
      </c>
      <c r="R3331">
        <v>-7.2106439999999994E-2</v>
      </c>
      <c r="S3331">
        <v>3.0093990000000002</v>
      </c>
      <c r="T3331">
        <v>-0.24580350000000001</v>
      </c>
      <c r="U3331">
        <v>-3.6529539999999999E-2</v>
      </c>
      <c r="V3331">
        <v>-2.2944860000000001E-2</v>
      </c>
      <c r="W3331">
        <v>2.458832E-2</v>
      </c>
      <c r="X3331">
        <v>0.9994343</v>
      </c>
      <c r="Y3331">
        <v>-8.2064139999999994E-2</v>
      </c>
      <c r="Z3331">
        <v>1.106116E-2</v>
      </c>
      <c r="AA3331">
        <v>0.99656560000000005</v>
      </c>
      <c r="AB3331">
        <v>22</v>
      </c>
      <c r="AC3331">
        <v>13.4221</v>
      </c>
      <c r="AD3331">
        <v>-1.1140881606119999</v>
      </c>
      <c r="AE3331">
        <v>-0.151499999999998</v>
      </c>
      <c r="AF3331">
        <v>-1.11314897009346</v>
      </c>
      <c r="AG3331">
        <v>-1.1140881606119999</v>
      </c>
      <c r="AH3331">
        <v>13.2845644457951</v>
      </c>
      <c r="AI3331">
        <v>94.777135589718597</v>
      </c>
      <c r="AJ3331">
        <v>94.789776581797298</v>
      </c>
      <c r="AK3331">
        <v>13.3775911723194</v>
      </c>
      <c r="AL3331">
        <v>88.5910510230146</v>
      </c>
      <c r="AM3331">
        <v>91.315156730129402</v>
      </c>
      <c r="AN3331">
        <v>0.99999998604866502</v>
      </c>
    </row>
    <row r="3332" spans="1:40" x14ac:dyDescent="0.25">
      <c r="A3332" t="str">
        <f>"20190312160357373"</f>
        <v>20190312160357373</v>
      </c>
      <c r="B3332" t="str">
        <f>"1552377837367688"</f>
        <v>1552377837367688</v>
      </c>
      <c r="C3332" t="s">
        <v>40</v>
      </c>
      <c r="D3332">
        <v>5.6830689999999997</v>
      </c>
      <c r="E3332">
        <v>0.47981430000000003</v>
      </c>
      <c r="F3332" t="s">
        <v>70</v>
      </c>
      <c r="G3332">
        <v>-455.5326</v>
      </c>
      <c r="H3332" s="1">
        <v>1.3489999999999999E-6</v>
      </c>
      <c r="I3332">
        <v>215.952</v>
      </c>
      <c r="J3332">
        <v>-469.6576</v>
      </c>
      <c r="K3332">
        <v>1.113777</v>
      </c>
      <c r="L3332">
        <v>216.07210000000001</v>
      </c>
      <c r="M3332">
        <v>0.99600699999999998</v>
      </c>
      <c r="N3332">
        <v>0</v>
      </c>
      <c r="O3332">
        <v>-8.8346190000000005E-2</v>
      </c>
      <c r="P3332">
        <v>0.99768500000000004</v>
      </c>
      <c r="Q3332">
        <v>1.190095E-2</v>
      </c>
      <c r="R3332">
        <v>-6.6954230000000003E-2</v>
      </c>
      <c r="S3332">
        <v>3.0088200000000001</v>
      </c>
      <c r="T3332">
        <v>-0.23372390000000001</v>
      </c>
      <c r="U3332">
        <v>-2.7908329999999999E-2</v>
      </c>
      <c r="V3332">
        <v>-2.167577E-2</v>
      </c>
      <c r="W3332">
        <v>2.454303E-2</v>
      </c>
      <c r="X3332">
        <v>0.99946369999999896</v>
      </c>
      <c r="Y3332">
        <v>-7.8608540000000005E-2</v>
      </c>
      <c r="Z3332">
        <v>9.8938519999999999E-3</v>
      </c>
      <c r="AA3332">
        <v>0.99685650000000003</v>
      </c>
      <c r="AB3332">
        <v>22</v>
      </c>
      <c r="AC3332">
        <v>14.125</v>
      </c>
      <c r="AD3332">
        <v>-1.1137756509999901</v>
      </c>
      <c r="AE3332">
        <v>-0.12010000000000701</v>
      </c>
      <c r="AF3332">
        <v>-1.12139080341632</v>
      </c>
      <c r="AG3332">
        <v>-1.1137756509999901</v>
      </c>
      <c r="AH3332">
        <v>13.993372924013901</v>
      </c>
      <c r="AI3332">
        <v>94.536272345674107</v>
      </c>
      <c r="AJ3332">
        <v>94.581736553943998</v>
      </c>
      <c r="AK3332">
        <v>14.0823470815511</v>
      </c>
      <c r="AL3332">
        <v>88.593646672353202</v>
      </c>
      <c r="AM3332">
        <v>91.242401782504302</v>
      </c>
      <c r="AN3332">
        <v>0.99999994347218002</v>
      </c>
    </row>
    <row r="3333" spans="1:40" x14ac:dyDescent="0.25">
      <c r="A3333" t="str">
        <f>"20190312160357396"</f>
        <v>20190312160357396</v>
      </c>
      <c r="B3333" t="str">
        <f>"1552377837388185"</f>
        <v>1552377837388185</v>
      </c>
      <c r="C3333" t="s">
        <v>40</v>
      </c>
      <c r="D3333">
        <v>5.699058</v>
      </c>
      <c r="E3333">
        <v>0.48044949999999997</v>
      </c>
      <c r="F3333" t="s">
        <v>70</v>
      </c>
      <c r="G3333">
        <v>-454.98419999999999</v>
      </c>
      <c r="H3333" s="1">
        <v>1.0568650000000001E-6</v>
      </c>
      <c r="I3333">
        <v>215.959</v>
      </c>
      <c r="J3333">
        <v>-469.42860000000002</v>
      </c>
      <c r="K3333">
        <v>1.1134900000000001</v>
      </c>
      <c r="L3333">
        <v>216.05950000000001</v>
      </c>
      <c r="M3333">
        <v>0.99654160000000003</v>
      </c>
      <c r="N3333">
        <v>0</v>
      </c>
      <c r="O3333">
        <v>-8.2106799999999994E-2</v>
      </c>
      <c r="P3333">
        <v>0.99799539999999998</v>
      </c>
      <c r="Q3333">
        <v>1.085818E-2</v>
      </c>
      <c r="R3333">
        <v>-6.2352240000000003E-2</v>
      </c>
      <c r="S3333">
        <v>3.0080870000000002</v>
      </c>
      <c r="T3333">
        <v>-0.22832730000000001</v>
      </c>
      <c r="U3333">
        <v>-2.319336E-2</v>
      </c>
      <c r="V3333">
        <v>-2.0001069999999999E-2</v>
      </c>
      <c r="W3333">
        <v>2.347523E-2</v>
      </c>
      <c r="X3333">
        <v>0.99952430000000003</v>
      </c>
      <c r="Y3333">
        <v>-7.3978479999999999E-2</v>
      </c>
      <c r="Z3333">
        <v>9.0215520000000004E-3</v>
      </c>
      <c r="AA3333">
        <v>0.99721899999999997</v>
      </c>
      <c r="AB3333">
        <v>22</v>
      </c>
      <c r="AC3333">
        <v>14.4444</v>
      </c>
      <c r="AD3333">
        <v>-1.1134889431349999</v>
      </c>
      <c r="AE3333">
        <v>-0.10050000000001</v>
      </c>
      <c r="AF3333">
        <v>-1.07950500572105</v>
      </c>
      <c r="AG3333">
        <v>-1.1134889431349999</v>
      </c>
      <c r="AH3333">
        <v>14.3187874538018</v>
      </c>
      <c r="AI3333">
        <v>94.434078246308204</v>
      </c>
      <c r="AJ3333">
        <v>94.311419278159207</v>
      </c>
      <c r="AK3333">
        <v>14.402529737202901</v>
      </c>
      <c r="AL3333">
        <v>88.654844799220797</v>
      </c>
      <c r="AM3333">
        <v>91.146369302601798</v>
      </c>
      <c r="AN3333">
        <v>0.99999997775759297</v>
      </c>
    </row>
    <row r="3334" spans="1:40" x14ac:dyDescent="0.25">
      <c r="A3334" t="str">
        <f>"20190312160357420"</f>
        <v>20190312160357420</v>
      </c>
      <c r="B3334" t="str">
        <f>"1552377837407705"</f>
        <v>1552377837407705</v>
      </c>
      <c r="C3334" t="s">
        <v>40</v>
      </c>
      <c r="D3334">
        <v>5.6699419999999998</v>
      </c>
      <c r="E3334">
        <v>0.48089779999999999</v>
      </c>
      <c r="F3334" t="s">
        <v>70</v>
      </c>
      <c r="G3334">
        <v>-455.02089999999998</v>
      </c>
      <c r="H3334" s="1">
        <v>1.075057E-6</v>
      </c>
      <c r="I3334">
        <v>215.9896</v>
      </c>
      <c r="J3334">
        <v>-469.19420000000002</v>
      </c>
      <c r="K3334">
        <v>1.1132089999999999</v>
      </c>
      <c r="L3334">
        <v>216.04750000000001</v>
      </c>
      <c r="M3334">
        <v>0.99700639999999996</v>
      </c>
      <c r="N3334">
        <v>0</v>
      </c>
      <c r="O3334">
        <v>-7.6264380000000007E-2</v>
      </c>
      <c r="P3334">
        <v>0.99821389999999999</v>
      </c>
      <c r="Q3334">
        <v>1.051064E-2</v>
      </c>
      <c r="R3334">
        <v>-5.8811019999999999E-2</v>
      </c>
      <c r="S3334">
        <v>3.0076290000000001</v>
      </c>
      <c r="T3334">
        <v>-0.2324417</v>
      </c>
      <c r="U3334">
        <v>-1.45874E-2</v>
      </c>
      <c r="V3334">
        <v>-1.7669109999999998E-2</v>
      </c>
      <c r="W3334">
        <v>2.3105779999999999E-2</v>
      </c>
      <c r="X3334">
        <v>0.99957689999999999</v>
      </c>
      <c r="Y3334">
        <v>-7.0994959999999996E-2</v>
      </c>
      <c r="Z3334">
        <v>8.6204049999999994E-3</v>
      </c>
      <c r="AA3334">
        <v>0.99743939999999998</v>
      </c>
      <c r="AB3334">
        <v>22</v>
      </c>
      <c r="AC3334">
        <v>14.173299999999999</v>
      </c>
      <c r="AD3334">
        <v>-1.113207924943</v>
      </c>
      <c r="AE3334">
        <v>-5.7900000000017798E-2</v>
      </c>
      <c r="AF3334">
        <v>-1.0170004351836599</v>
      </c>
      <c r="AG3334">
        <v>-1.113207924943</v>
      </c>
      <c r="AH3334">
        <v>14.049760792242401</v>
      </c>
      <c r="AI3334">
        <v>94.518492186855894</v>
      </c>
      <c r="AJ3334">
        <v>94.140168693207002</v>
      </c>
      <c r="AK3334">
        <v>14.1304387790526</v>
      </c>
      <c r="AL3334">
        <v>88.676018534033304</v>
      </c>
      <c r="AM3334">
        <v>91.012688477169903</v>
      </c>
      <c r="AN3334">
        <v>1.0000000267656</v>
      </c>
    </row>
    <row r="3335" spans="1:40" x14ac:dyDescent="0.25">
      <c r="A3335" t="str">
        <f>"20190312160357444"</f>
        <v>20190312160357444</v>
      </c>
      <c r="B3335" t="str">
        <f>"1552377837437962"</f>
        <v>1552377837437962</v>
      </c>
      <c r="C3335" t="s">
        <v>40</v>
      </c>
      <c r="D3335">
        <v>5.7053539999999998</v>
      </c>
      <c r="E3335">
        <v>0.48202250000000002</v>
      </c>
      <c r="F3335" t="s">
        <v>70</v>
      </c>
      <c r="G3335">
        <v>-454.70319999999998</v>
      </c>
      <c r="H3335" s="1">
        <v>9.0495940000000002E-7</v>
      </c>
      <c r="I3335">
        <v>216.0127</v>
      </c>
      <c r="J3335">
        <v>-468.97430000000003</v>
      </c>
      <c r="K3335">
        <v>1.112924</v>
      </c>
      <c r="L3335">
        <v>216.0369</v>
      </c>
      <c r="M3335">
        <v>0.99737509999999996</v>
      </c>
      <c r="N3335">
        <v>0</v>
      </c>
      <c r="O3335">
        <v>-7.1290569999999998E-2</v>
      </c>
      <c r="P3335">
        <v>0.9983398</v>
      </c>
      <c r="Q3335">
        <v>1.138364E-2</v>
      </c>
      <c r="R3335">
        <v>-5.6465120000000001E-2</v>
      </c>
      <c r="S3335">
        <v>3.0074160000000001</v>
      </c>
      <c r="T3335">
        <v>-0.23103029999999999</v>
      </c>
      <c r="U3335">
        <v>-7.2174069999999899E-3</v>
      </c>
      <c r="V3335">
        <v>-1.5020560000000001E-2</v>
      </c>
      <c r="W3335">
        <v>2.39586E-2</v>
      </c>
      <c r="X3335">
        <v>0.99960009999999999</v>
      </c>
      <c r="Y3335">
        <v>-6.8490750000000003E-2</v>
      </c>
      <c r="Z3335">
        <v>8.0921889999999996E-3</v>
      </c>
      <c r="AA3335">
        <v>0.99761889999999998</v>
      </c>
      <c r="AB3335">
        <v>22</v>
      </c>
      <c r="AC3335">
        <v>14.271100000000001</v>
      </c>
      <c r="AD3335">
        <v>-1.1129230950405999</v>
      </c>
      <c r="AE3335">
        <v>-2.42000000000075E-2</v>
      </c>
      <c r="AF3335">
        <v>-0.98733360968017203</v>
      </c>
      <c r="AG3335">
        <v>-1.1129230950405999</v>
      </c>
      <c r="AH3335">
        <v>14.1504513526334</v>
      </c>
      <c r="AI3335">
        <v>94.486153511107105</v>
      </c>
      <c r="AJ3335">
        <v>93.991287100362399</v>
      </c>
      <c r="AK3335">
        <v>14.2284468216149</v>
      </c>
      <c r="AL3335">
        <v>88.6271419697906</v>
      </c>
      <c r="AM3335">
        <v>90.860894199325202</v>
      </c>
      <c r="AN3335">
        <v>0.99999999582834098</v>
      </c>
    </row>
    <row r="3336" spans="1:40" x14ac:dyDescent="0.25">
      <c r="A3336" t="str">
        <f>"20190312160357463"</f>
        <v>20190312160357463</v>
      </c>
      <c r="B3336" t="str">
        <f>"1552377837457480"</f>
        <v>1552377837457480</v>
      </c>
      <c r="C3336" t="s">
        <v>40</v>
      </c>
      <c r="D3336">
        <v>5.8067169999999999</v>
      </c>
      <c r="E3336">
        <v>0.48313159999999999</v>
      </c>
      <c r="F3336" t="s">
        <v>70</v>
      </c>
      <c r="G3336">
        <v>-454.01409999999998</v>
      </c>
      <c r="H3336" s="1">
        <v>5.3937410000000004E-7</v>
      </c>
      <c r="I3336">
        <v>215.98769999999999</v>
      </c>
      <c r="J3336">
        <v>-468.76979999999998</v>
      </c>
      <c r="K3336">
        <v>1.112614</v>
      </c>
      <c r="L3336">
        <v>216.02760000000001</v>
      </c>
      <c r="M3336">
        <v>0.99766410000000005</v>
      </c>
      <c r="N3336">
        <v>0</v>
      </c>
      <c r="O3336">
        <v>-6.7130999999999996E-2</v>
      </c>
      <c r="P3336">
        <v>0.99849960000000004</v>
      </c>
      <c r="Q3336">
        <v>1.1811830000000001E-2</v>
      </c>
      <c r="R3336">
        <v>-5.3466859999999998E-2</v>
      </c>
      <c r="S3336">
        <v>3.0069889999999999</v>
      </c>
      <c r="T3336">
        <v>-0.2236968</v>
      </c>
      <c r="U3336">
        <v>-9.8876950000000002E-3</v>
      </c>
      <c r="V3336">
        <v>-1.383738E-2</v>
      </c>
      <c r="W3336">
        <v>2.4359510000000001E-2</v>
      </c>
      <c r="X3336">
        <v>0.99960749999999998</v>
      </c>
      <c r="Y3336">
        <v>-6.3494469999999997E-2</v>
      </c>
      <c r="Z3336">
        <v>7.3430519999999897E-3</v>
      </c>
      <c r="AA3336">
        <v>0.99795520000000004</v>
      </c>
      <c r="AB3336">
        <v>22</v>
      </c>
      <c r="AC3336">
        <v>14.7556999999999</v>
      </c>
      <c r="AD3336">
        <v>-1.1126134606258999</v>
      </c>
      <c r="AE3336">
        <v>-3.9900000000017102E-2</v>
      </c>
      <c r="AF3336">
        <v>-0.94545869060344401</v>
      </c>
      <c r="AG3336">
        <v>-1.1126134606258999</v>
      </c>
      <c r="AH3336">
        <v>14.641841423154601</v>
      </c>
      <c r="AI3336">
        <v>94.336479886520905</v>
      </c>
      <c r="AJ3336">
        <v>93.694596113181902</v>
      </c>
      <c r="AK3336">
        <v>14.714459592836199</v>
      </c>
      <c r="AL3336">
        <v>88.604164826981304</v>
      </c>
      <c r="AM3336">
        <v>90.793084123661103</v>
      </c>
      <c r="AN3336">
        <v>1.0000000064344701</v>
      </c>
    </row>
    <row r="3337" spans="1:40" x14ac:dyDescent="0.25">
      <c r="A3337" t="str">
        <f>"20190312160357485"</f>
        <v>20190312160357485</v>
      </c>
      <c r="B3337" t="str">
        <f>"1552377837478484"</f>
        <v>1552377837478484</v>
      </c>
      <c r="C3337" t="s">
        <v>40</v>
      </c>
      <c r="D3337">
        <v>5.679411</v>
      </c>
      <c r="E3337">
        <v>0.48418949999999999</v>
      </c>
      <c r="F3337" t="s">
        <v>70</v>
      </c>
      <c r="G3337">
        <v>-453.38959999999997</v>
      </c>
      <c r="H3337" s="1">
        <v>2.077505E-7</v>
      </c>
      <c r="I3337">
        <v>215.97219999999999</v>
      </c>
      <c r="J3337">
        <v>-468.54880000000003</v>
      </c>
      <c r="K3337">
        <v>1.112244</v>
      </c>
      <c r="L3337">
        <v>216.01769999999999</v>
      </c>
      <c r="M3337">
        <v>0.99792559999999997</v>
      </c>
      <c r="N3337">
        <v>0</v>
      </c>
      <c r="O3337">
        <v>-6.3135839999999999E-2</v>
      </c>
      <c r="P3337">
        <v>0.9986737</v>
      </c>
      <c r="Q3337">
        <v>1.116383E-2</v>
      </c>
      <c r="R3337">
        <v>-5.0262000000000001E-2</v>
      </c>
      <c r="S3337">
        <v>3.0064700000000002</v>
      </c>
      <c r="T3337">
        <v>-0.2174912</v>
      </c>
      <c r="U3337">
        <v>-1.081848E-2</v>
      </c>
      <c r="V3337">
        <v>-1.3018699999999999E-2</v>
      </c>
      <c r="W3337">
        <v>2.368164E-2</v>
      </c>
      <c r="X3337">
        <v>0.99963480000000005</v>
      </c>
      <c r="Y3337">
        <v>-5.9229650000000002E-2</v>
      </c>
      <c r="Z3337">
        <v>6.6988560000000004E-3</v>
      </c>
      <c r="AA3337">
        <v>0.9982219</v>
      </c>
      <c r="AB3337">
        <v>22</v>
      </c>
      <c r="AC3337">
        <v>15.1592</v>
      </c>
      <c r="AD3337">
        <v>-1.1122437922495001</v>
      </c>
      <c r="AE3337">
        <v>-4.5500000000004003E-2</v>
      </c>
      <c r="AF3337">
        <v>-0.90687349278140394</v>
      </c>
      <c r="AG3337">
        <v>-1.1122437922495001</v>
      </c>
      <c r="AH3337">
        <v>15.0508026030626</v>
      </c>
      <c r="AI3337">
        <v>94.2188118640357</v>
      </c>
      <c r="AJ3337">
        <v>93.448140294112704</v>
      </c>
      <c r="AK3337">
        <v>15.119066266858701</v>
      </c>
      <c r="AL3337">
        <v>88.643015145638799</v>
      </c>
      <c r="AM3337">
        <v>90.746146890144104</v>
      </c>
      <c r="AN3337">
        <v>1.0000000199968999</v>
      </c>
    </row>
    <row r="3338" spans="1:40" x14ac:dyDescent="0.25">
      <c r="A3338" t="str">
        <f>"20190312160357506"</f>
        <v>20190312160357506</v>
      </c>
      <c r="B3338" t="str">
        <f>"1552377837498005"</f>
        <v>1552377837498005</v>
      </c>
      <c r="C3338" t="s">
        <v>40</v>
      </c>
      <c r="D3338">
        <v>5.6789779999999999</v>
      </c>
      <c r="E3338">
        <v>0.49482110000000001</v>
      </c>
      <c r="F3338" t="s">
        <v>70</v>
      </c>
      <c r="G3338">
        <v>-453.13159999999999</v>
      </c>
      <c r="H3338" s="1">
        <v>7.0904199999999995E-8</v>
      </c>
      <c r="I3338">
        <v>215.96119999999999</v>
      </c>
      <c r="J3338">
        <v>-468.33710000000002</v>
      </c>
      <c r="K3338">
        <v>1.1118889999999999</v>
      </c>
      <c r="L3338">
        <v>216.0086</v>
      </c>
      <c r="M3338">
        <v>0.99813019999999997</v>
      </c>
      <c r="N3338">
        <v>0</v>
      </c>
      <c r="O3338">
        <v>-5.9822729999999998E-2</v>
      </c>
      <c r="P3338">
        <v>0.99878080000000002</v>
      </c>
      <c r="Q3338">
        <v>9.5663910000000005E-3</v>
      </c>
      <c r="R3338">
        <v>-4.8432580000000003E-2</v>
      </c>
      <c r="S3338">
        <v>3.00589</v>
      </c>
      <c r="T3338">
        <v>-0.21685360000000001</v>
      </c>
      <c r="U3338">
        <v>-1.101685E-2</v>
      </c>
      <c r="V3338">
        <v>-1.150428E-2</v>
      </c>
      <c r="W3338">
        <v>2.2062249999999999E-2</v>
      </c>
      <c r="X3338">
        <v>0.99969039999999998</v>
      </c>
      <c r="Y3338">
        <v>-5.5868019999999997E-2</v>
      </c>
      <c r="Z3338">
        <v>6.3210760000000001E-3</v>
      </c>
      <c r="AA3338">
        <v>0.99841820000000003</v>
      </c>
      <c r="AB3338">
        <v>22</v>
      </c>
      <c r="AC3338">
        <v>15.205500000000001</v>
      </c>
      <c r="AD3338">
        <v>-1.1118889290957901</v>
      </c>
      <c r="AE3338">
        <v>-4.7400000000010302E-2</v>
      </c>
      <c r="AF3338">
        <v>-0.85780424538975397</v>
      </c>
      <c r="AG3338">
        <v>-1.1118889290957901</v>
      </c>
      <c r="AH3338">
        <v>15.1003558307187</v>
      </c>
      <c r="AI3338">
        <v>94.2045227075496</v>
      </c>
      <c r="AJ3338">
        <v>93.251300680925794</v>
      </c>
      <c r="AK3338">
        <v>15.165515860938401</v>
      </c>
      <c r="AL3338">
        <v>88.735823611381704</v>
      </c>
      <c r="AM3338">
        <v>90.6593217216233</v>
      </c>
      <c r="AN3338">
        <v>0.99999999359277003</v>
      </c>
    </row>
    <row r="3339" spans="1:40" x14ac:dyDescent="0.25">
      <c r="A3339" t="str">
        <f>"20190312160357530"</f>
        <v>20190312160357530</v>
      </c>
      <c r="B3339" t="str">
        <f>"1552377837517524"</f>
        <v>1552377837517524</v>
      </c>
      <c r="C3339" t="s">
        <v>40</v>
      </c>
      <c r="D3339">
        <v>5.7125969999999997</v>
      </c>
      <c r="E3339">
        <v>0.49471090000000001</v>
      </c>
      <c r="F3339" t="s">
        <v>70</v>
      </c>
      <c r="G3339">
        <v>-451.66059999999999</v>
      </c>
      <c r="H3339" s="1">
        <v>-6.9161359999999997E-7</v>
      </c>
      <c r="I3339">
        <v>215.49789999999999</v>
      </c>
      <c r="J3339">
        <v>-468.11840000000001</v>
      </c>
      <c r="K3339">
        <v>1.1115520000000001</v>
      </c>
      <c r="L3339">
        <v>215.9992</v>
      </c>
      <c r="M3339">
        <v>0.99829789999999996</v>
      </c>
      <c r="N3339">
        <v>0</v>
      </c>
      <c r="O3339">
        <v>-5.6965040000000002E-2</v>
      </c>
      <c r="P3339">
        <v>0.99878699999999998</v>
      </c>
      <c r="Q3339">
        <v>9.0117919999999994E-3</v>
      </c>
      <c r="R3339">
        <v>-4.8405289999999997E-2</v>
      </c>
      <c r="S3339">
        <v>3.001099</v>
      </c>
      <c r="T3339">
        <v>-0.20009550000000001</v>
      </c>
      <c r="U3339">
        <v>-9.1903689999999996E-2</v>
      </c>
      <c r="V3339">
        <v>-8.6489759999999992E-3</v>
      </c>
      <c r="W3339">
        <v>2.148922E-2</v>
      </c>
      <c r="X3339">
        <v>0.9997317</v>
      </c>
      <c r="Y3339">
        <v>-2.6199210000000001E-2</v>
      </c>
      <c r="Z3339">
        <v>4.6631550000000004E-3</v>
      </c>
      <c r="AA3339">
        <v>0.99964589999999998</v>
      </c>
      <c r="AB3339">
        <v>22</v>
      </c>
      <c r="AC3339">
        <v>16.457799999999999</v>
      </c>
      <c r="AD3339">
        <v>-1.1115526916136</v>
      </c>
      <c r="AE3339">
        <v>-0.50130000000001396</v>
      </c>
      <c r="AF3339">
        <v>-0.43512363925346698</v>
      </c>
      <c r="AG3339">
        <v>-1.1115526916136</v>
      </c>
      <c r="AH3339">
        <v>16.384957786286598</v>
      </c>
      <c r="AI3339">
        <v>93.879625667318606</v>
      </c>
      <c r="AJ3339">
        <v>91.521205620987203</v>
      </c>
      <c r="AK3339">
        <v>16.428381649635</v>
      </c>
      <c r="AL3339">
        <v>88.7686636464733</v>
      </c>
      <c r="AM3339">
        <v>90.495670447713593</v>
      </c>
      <c r="AN3339">
        <v>1.0000000316734701</v>
      </c>
    </row>
    <row r="3340" spans="1:40" x14ac:dyDescent="0.25">
      <c r="A3340" t="str">
        <f>"20190312160357550"</f>
        <v>20190312160357550</v>
      </c>
      <c r="B3340" t="str">
        <f>"1552377837538020"</f>
        <v>1552377837538020</v>
      </c>
      <c r="C3340" t="s">
        <v>40</v>
      </c>
      <c r="D3340">
        <v>5.8693770000000001</v>
      </c>
      <c r="E3340">
        <v>0.49410320000000002</v>
      </c>
      <c r="F3340" t="s">
        <v>70</v>
      </c>
      <c r="G3340">
        <v>-450.7946</v>
      </c>
      <c r="H3340" s="1">
        <v>-1.1513859999999999E-6</v>
      </c>
      <c r="I3340">
        <v>215.47300000000001</v>
      </c>
      <c r="J3340">
        <v>-467.90719999999999</v>
      </c>
      <c r="K3340">
        <v>1.1112569999999999</v>
      </c>
      <c r="L3340">
        <v>215.99010000000001</v>
      </c>
      <c r="M3340">
        <v>0.99842520000000001</v>
      </c>
      <c r="N3340">
        <v>0</v>
      </c>
      <c r="O3340">
        <v>-5.4695000000000001E-2</v>
      </c>
      <c r="P3340">
        <v>0.99876120000000002</v>
      </c>
      <c r="Q3340">
        <v>9.7290720000000001E-3</v>
      </c>
      <c r="R3340">
        <v>-4.8802779999999997E-2</v>
      </c>
      <c r="S3340">
        <v>3.001007</v>
      </c>
      <c r="T3340">
        <v>-0.1925547</v>
      </c>
      <c r="U3340">
        <v>-9.1156009999999996E-2</v>
      </c>
      <c r="V3340">
        <v>-5.9635549999999997E-3</v>
      </c>
      <c r="W3340">
        <v>2.2186190000000001E-2</v>
      </c>
      <c r="X3340">
        <v>0.99973610000000002</v>
      </c>
      <c r="Y3340">
        <v>-2.419642E-2</v>
      </c>
      <c r="Z3340">
        <v>4.2785219999999999E-3</v>
      </c>
      <c r="AA3340">
        <v>0.99969799999999998</v>
      </c>
      <c r="AB3340">
        <v>22</v>
      </c>
      <c r="AC3340">
        <v>17.112599999999901</v>
      </c>
      <c r="AD3340">
        <v>-1.111258151386</v>
      </c>
      <c r="AE3340">
        <v>-0.51710000000002698</v>
      </c>
      <c r="AF3340">
        <v>-0.41795973152493199</v>
      </c>
      <c r="AG3340">
        <v>-1.111258151386</v>
      </c>
      <c r="AH3340">
        <v>17.043459521241299</v>
      </c>
      <c r="AI3340">
        <v>93.729369026177906</v>
      </c>
      <c r="AJ3340">
        <v>91.404792835299503</v>
      </c>
      <c r="AK3340">
        <v>17.084762142575801</v>
      </c>
      <c r="AL3340">
        <v>88.728720680529094</v>
      </c>
      <c r="AM3340">
        <v>90.341772673571796</v>
      </c>
      <c r="AN3340">
        <v>1.0000000303290799</v>
      </c>
    </row>
    <row r="3341" spans="1:40" x14ac:dyDescent="0.25">
      <c r="A3341" t="str">
        <f>"20190312160357572"</f>
        <v>20190312160357572</v>
      </c>
      <c r="B3341" t="str">
        <f>"1552377837567577"</f>
        <v>1552377837567577</v>
      </c>
      <c r="C3341" t="s">
        <v>40</v>
      </c>
      <c r="D3341">
        <v>5.7908949999999999</v>
      </c>
      <c r="E3341">
        <v>0.49512289999999998</v>
      </c>
      <c r="F3341" t="s">
        <v>49</v>
      </c>
      <c r="G3341">
        <v>-467.02960000000002</v>
      </c>
      <c r="H3341">
        <v>1.0055449999999999</v>
      </c>
      <c r="I3341">
        <v>215.96709999999999</v>
      </c>
      <c r="J3341">
        <v>-467.69060000000002</v>
      </c>
      <c r="K3341">
        <v>1.1110089999999999</v>
      </c>
      <c r="L3341">
        <v>215.98089999999999</v>
      </c>
      <c r="M3341">
        <v>0.99852960000000002</v>
      </c>
      <c r="N3341">
        <v>0</v>
      </c>
      <c r="O3341">
        <v>-5.2762249999999997E-2</v>
      </c>
      <c r="P3341">
        <v>0.99872660000000002</v>
      </c>
      <c r="Q3341">
        <v>1.0011020000000001E-2</v>
      </c>
      <c r="R3341">
        <v>-4.9445790000000003E-2</v>
      </c>
      <c r="S3341">
        <v>3.0034480000000001</v>
      </c>
      <c r="T3341">
        <v>-0.36205320000000002</v>
      </c>
      <c r="U3341">
        <v>-7.7804570000000003E-2</v>
      </c>
      <c r="V3341">
        <v>-3.370685E-3</v>
      </c>
      <c r="W3341">
        <v>2.2446000000000001E-2</v>
      </c>
      <c r="X3341">
        <v>0.99974240000000003</v>
      </c>
      <c r="Y3341">
        <v>-2.6316659999999999E-2</v>
      </c>
      <c r="Z3341">
        <v>7.9136729999999995E-3</v>
      </c>
      <c r="AA3341">
        <v>0.99962229999999996</v>
      </c>
      <c r="AB3341">
        <v>22</v>
      </c>
      <c r="AC3341">
        <v>0.66100000000000103</v>
      </c>
      <c r="AD3341">
        <v>-0.105463999999999</v>
      </c>
      <c r="AE3341">
        <v>-1.3800000000003299E-2</v>
      </c>
      <c r="AF3341">
        <v>-2.0574243303945899E-2</v>
      </c>
      <c r="AG3341">
        <v>-0.105463999999999</v>
      </c>
      <c r="AH3341">
        <v>0.644409797252119</v>
      </c>
      <c r="AI3341">
        <v>99.289967170304806</v>
      </c>
      <c r="AJ3341">
        <v>91.828676434164805</v>
      </c>
      <c r="AK3341">
        <v>0.65330692754481501</v>
      </c>
      <c r="AL3341">
        <v>88.713830950053804</v>
      </c>
      <c r="AM3341">
        <v>90.193175054688595</v>
      </c>
      <c r="AN3341">
        <v>1.0000000253955601</v>
      </c>
    </row>
    <row r="3342" spans="1:40" x14ac:dyDescent="0.25">
      <c r="A3342" t="str">
        <f>"20190312160357597"</f>
        <v>20190312160357597</v>
      </c>
      <c r="B3342" t="str">
        <f>"1552377837588072"</f>
        <v>1552377837588072</v>
      </c>
      <c r="C3342" t="s">
        <v>40</v>
      </c>
      <c r="D3342">
        <v>5.790985</v>
      </c>
      <c r="E3342">
        <v>0.49685459999999898</v>
      </c>
      <c r="F3342" t="s">
        <v>70</v>
      </c>
      <c r="G3342">
        <v>-450.11799999999999</v>
      </c>
      <c r="H3342" s="1">
        <v>-1.508675E-6</v>
      </c>
      <c r="I3342">
        <v>215.41030000000001</v>
      </c>
      <c r="J3342">
        <v>-467.44779999999997</v>
      </c>
      <c r="K3342">
        <v>1.1107940000000001</v>
      </c>
      <c r="L3342">
        <v>215.97049999999999</v>
      </c>
      <c r="M3342">
        <v>0.99862099999999998</v>
      </c>
      <c r="N3342">
        <v>0</v>
      </c>
      <c r="O3342">
        <v>-5.101166E-2</v>
      </c>
      <c r="P3342">
        <v>0.9986621</v>
      </c>
      <c r="Q3342">
        <v>9.51807E-3</v>
      </c>
      <c r="R3342">
        <v>-5.082648E-2</v>
      </c>
      <c r="S3342">
        <v>3.0008849999999998</v>
      </c>
      <c r="T3342">
        <v>-0.18972919999999999</v>
      </c>
      <c r="U3342">
        <v>-9.7442630000000002E-2</v>
      </c>
      <c r="V3342">
        <v>-2.2293129999999999E-4</v>
      </c>
      <c r="W3342">
        <v>2.1929239999999999E-2</v>
      </c>
      <c r="X3342">
        <v>0.99975950000000002</v>
      </c>
      <c r="Y3342">
        <v>-1.8438380000000001E-2</v>
      </c>
      <c r="Z3342">
        <v>3.8017929999999999E-3</v>
      </c>
      <c r="AA3342">
        <v>0.99982280000000001</v>
      </c>
      <c r="AB3342">
        <v>22</v>
      </c>
      <c r="AC3342">
        <v>17.329799999999899</v>
      </c>
      <c r="AD3342">
        <v>-1.1107955086750001</v>
      </c>
      <c r="AE3342">
        <v>-0.56019999999998005</v>
      </c>
      <c r="AF3342">
        <v>-0.32329250898240602</v>
      </c>
      <c r="AG3342">
        <v>-1.1107955086750001</v>
      </c>
      <c r="AH3342">
        <v>17.264954389505402</v>
      </c>
      <c r="AI3342">
        <v>93.680588180365007</v>
      </c>
      <c r="AJ3342">
        <v>91.072758801022204</v>
      </c>
      <c r="AK3342">
        <v>17.303671135922599</v>
      </c>
      <c r="AL3342">
        <v>88.743446374775999</v>
      </c>
      <c r="AM3342">
        <v>90.012776095050498</v>
      </c>
      <c r="AN3342">
        <v>0.99999999955279595</v>
      </c>
    </row>
    <row r="3343" spans="1:40" x14ac:dyDescent="0.25">
      <c r="A3343" t="str">
        <f>"20190312160357618"</f>
        <v>20190312160357618</v>
      </c>
      <c r="B3343" t="str">
        <f>"1552377837607593"</f>
        <v>1552377837607593</v>
      </c>
      <c r="C3343" t="s">
        <v>40</v>
      </c>
      <c r="D3343">
        <v>5.6788210000000001</v>
      </c>
      <c r="E3343">
        <v>0.49732399999999999</v>
      </c>
      <c r="F3343" t="s">
        <v>70</v>
      </c>
      <c r="G3343">
        <v>-450.01600000000002</v>
      </c>
      <c r="H3343" s="1">
        <v>-1.5582439999999999E-6</v>
      </c>
      <c r="I3343">
        <v>215.3023</v>
      </c>
      <c r="J3343">
        <v>-467.23779999999999</v>
      </c>
      <c r="K3343">
        <v>1.110638</v>
      </c>
      <c r="L3343">
        <v>215.9615</v>
      </c>
      <c r="M3343">
        <v>0.99868179999999995</v>
      </c>
      <c r="N3343">
        <v>0</v>
      </c>
      <c r="O3343">
        <v>-4.9812219999999997E-2</v>
      </c>
      <c r="P3343">
        <v>0.99851380000000001</v>
      </c>
      <c r="Q3343">
        <v>8.8212510000000004E-3</v>
      </c>
      <c r="R3343">
        <v>-5.3780550000000003E-2</v>
      </c>
      <c r="S3343">
        <v>3.0000309999999999</v>
      </c>
      <c r="T3343">
        <v>-0.1911696</v>
      </c>
      <c r="U3343">
        <v>-0.1149902</v>
      </c>
      <c r="V3343">
        <v>3.9453700000000001E-3</v>
      </c>
      <c r="W3343">
        <v>2.1214150000000001E-2</v>
      </c>
      <c r="X3343">
        <v>0.99976719999999997</v>
      </c>
      <c r="Y3343">
        <v>-1.1401619999999999E-2</v>
      </c>
      <c r="Z3343">
        <v>3.5310580000000001E-3</v>
      </c>
      <c r="AA3343">
        <v>0.99992879999999995</v>
      </c>
      <c r="AB3343">
        <v>22</v>
      </c>
      <c r="AC3343">
        <v>17.221800000000002</v>
      </c>
      <c r="AD3343">
        <v>-1.1106395582439901</v>
      </c>
      <c r="AE3343">
        <v>-0.65919999999999801</v>
      </c>
      <c r="AF3343">
        <v>-0.19871510612855001</v>
      </c>
      <c r="AG3343">
        <v>-1.1106395582439901</v>
      </c>
      <c r="AH3343">
        <v>17.1619840111195</v>
      </c>
      <c r="AI3343">
        <v>93.702491443623998</v>
      </c>
      <c r="AJ3343">
        <v>90.663386478289596</v>
      </c>
      <c r="AK3343">
        <v>17.199032040195199</v>
      </c>
      <c r="AL3343">
        <v>88.784427587999204</v>
      </c>
      <c r="AM3343">
        <v>89.773895486696802</v>
      </c>
      <c r="AN3343">
        <v>1.0000000301502401</v>
      </c>
    </row>
    <row r="3344" spans="1:40" x14ac:dyDescent="0.25">
      <c r="A3344" t="str">
        <f>"20190312160357641"</f>
        <v>20190312160357641</v>
      </c>
      <c r="B3344" t="str">
        <f>"1552377837628090"</f>
        <v>1552377837628090</v>
      </c>
      <c r="C3344" t="s">
        <v>40</v>
      </c>
      <c r="D3344">
        <v>5.7437100000000001</v>
      </c>
      <c r="E3344">
        <v>0.49793189999999998</v>
      </c>
      <c r="F3344" t="s">
        <v>70</v>
      </c>
      <c r="G3344">
        <v>-450.00490000000002</v>
      </c>
      <c r="H3344" s="1">
        <v>-1.5610329999999901E-6</v>
      </c>
      <c r="I3344">
        <v>215.23009999999999</v>
      </c>
      <c r="J3344">
        <v>-467.01080000000002</v>
      </c>
      <c r="K3344">
        <v>1.1104700000000001</v>
      </c>
      <c r="L3344">
        <v>215.95169999999999</v>
      </c>
      <c r="M3344">
        <v>0.99873140000000005</v>
      </c>
      <c r="N3344">
        <v>0</v>
      </c>
      <c r="O3344">
        <v>-4.8810760000000002E-2</v>
      </c>
      <c r="P3344">
        <v>0.99835229999999997</v>
      </c>
      <c r="Q3344">
        <v>9.3409589999999994E-3</v>
      </c>
      <c r="R3344">
        <v>-5.6617220000000003E-2</v>
      </c>
      <c r="S3344">
        <v>2.9993289999999999</v>
      </c>
      <c r="T3344">
        <v>-0.19330240000000001</v>
      </c>
      <c r="U3344">
        <v>-0.12728879999999901</v>
      </c>
      <c r="V3344">
        <v>7.7974659999999899E-3</v>
      </c>
      <c r="W3344">
        <v>2.1713280000000001E-2</v>
      </c>
      <c r="X3344">
        <v>0.99973380000000001</v>
      </c>
      <c r="Y3344">
        <v>-6.306178E-3</v>
      </c>
      <c r="Z3344">
        <v>3.3425159999999998E-3</v>
      </c>
      <c r="AA3344">
        <v>0.99997449999999999</v>
      </c>
      <c r="AB3344">
        <v>22</v>
      </c>
      <c r="AC3344">
        <v>17.005899999999901</v>
      </c>
      <c r="AD3344">
        <v>-1.110471561033</v>
      </c>
      <c r="AE3344">
        <v>-0.72159999999999502</v>
      </c>
      <c r="AF3344">
        <v>-0.108931054193144</v>
      </c>
      <c r="AG3344">
        <v>-1.110471561033</v>
      </c>
      <c r="AH3344">
        <v>16.948711996576701</v>
      </c>
      <c r="AI3344">
        <v>93.748557134082006</v>
      </c>
      <c r="AJ3344">
        <v>90.368240591320003</v>
      </c>
      <c r="AK3344">
        <v>16.9854011258296</v>
      </c>
      <c r="AL3344">
        <v>88.755822880251401</v>
      </c>
      <c r="AM3344">
        <v>89.553128208969497</v>
      </c>
      <c r="AN3344">
        <v>0.99999996893340903</v>
      </c>
    </row>
    <row r="3345" spans="1:40" x14ac:dyDescent="0.25">
      <c r="A3345" t="str">
        <f>"20190312160357663"</f>
        <v>20190312160357663</v>
      </c>
      <c r="B3345" t="str">
        <f>"1552377837658345"</f>
        <v>1552377837658345</v>
      </c>
      <c r="C3345" t="s">
        <v>40</v>
      </c>
      <c r="D3345">
        <v>5.6591529999999999</v>
      </c>
      <c r="E3345">
        <v>0.4986235</v>
      </c>
      <c r="F3345" t="s">
        <v>70</v>
      </c>
      <c r="G3345">
        <v>-449.69779999999997</v>
      </c>
      <c r="H3345" s="1">
        <v>3.6009059999999999E-6</v>
      </c>
      <c r="I3345">
        <v>215.14179999999999</v>
      </c>
      <c r="J3345">
        <v>-466.78809999999999</v>
      </c>
      <c r="K3345">
        <v>1.1102939999999999</v>
      </c>
      <c r="L3345">
        <v>215.9419</v>
      </c>
      <c r="M3345">
        <v>0.9987665</v>
      </c>
      <c r="N3345">
        <v>0</v>
      </c>
      <c r="O3345">
        <v>-4.8095029999999997E-2</v>
      </c>
      <c r="P3345">
        <v>0.99822659999999996</v>
      </c>
      <c r="Q3345">
        <v>9.8842570000000005E-3</v>
      </c>
      <c r="R3345">
        <v>-5.8702850000000001E-2</v>
      </c>
      <c r="S3345">
        <v>2.99884</v>
      </c>
      <c r="T3345">
        <v>-0.19234689999999999</v>
      </c>
      <c r="U3345">
        <v>-0.14028929999999901</v>
      </c>
      <c r="V3345">
        <v>1.061229E-2</v>
      </c>
      <c r="W3345">
        <v>2.2235769999999998E-2</v>
      </c>
      <c r="X3345">
        <v>0.99969640000000004</v>
      </c>
      <c r="Y3345">
        <v>-1.2690430000000001E-3</v>
      </c>
      <c r="Z3345">
        <v>3.1191029999999998E-3</v>
      </c>
      <c r="AA3345">
        <v>0.9999943</v>
      </c>
      <c r="AB3345">
        <v>22</v>
      </c>
      <c r="AC3345">
        <v>17.090299999999999</v>
      </c>
      <c r="AD3345">
        <v>-1.1102903990940001</v>
      </c>
      <c r="AE3345">
        <v>-0.80010000000001402</v>
      </c>
      <c r="AF3345">
        <v>-2.2751340747349798E-2</v>
      </c>
      <c r="AG3345">
        <v>-1.1102903990940001</v>
      </c>
      <c r="AH3345">
        <v>17.037253140043301</v>
      </c>
      <c r="AI3345">
        <v>93.728598138490298</v>
      </c>
      <c r="AJ3345">
        <v>90.076512042024206</v>
      </c>
      <c r="AK3345">
        <v>17.073407889221802</v>
      </c>
      <c r="AL3345">
        <v>88.725879179514806</v>
      </c>
      <c r="AM3345">
        <v>89.391798760398601</v>
      </c>
      <c r="AN3345">
        <v>0.99999997116974804</v>
      </c>
    </row>
    <row r="3346" spans="1:40" x14ac:dyDescent="0.25">
      <c r="A3346" t="str">
        <f>"20190312160357687"</f>
        <v>20190312160357687</v>
      </c>
      <c r="B3346" t="str">
        <f>"1552377837678373"</f>
        <v>1552377837678373</v>
      </c>
      <c r="C3346" t="s">
        <v>40</v>
      </c>
      <c r="D3346">
        <v>5.5759860000000003</v>
      </c>
      <c r="E3346">
        <v>0.5014305</v>
      </c>
      <c r="F3346" t="s">
        <v>70</v>
      </c>
      <c r="G3346">
        <v>-449.08730000000003</v>
      </c>
      <c r="H3346" s="1">
        <v>3.280363E-6</v>
      </c>
      <c r="I3346">
        <v>215.0429</v>
      </c>
      <c r="J3346">
        <v>-466.56389999999999</v>
      </c>
      <c r="K3346">
        <v>1.110117</v>
      </c>
      <c r="L3346">
        <v>215.93190000000001</v>
      </c>
      <c r="M3346">
        <v>0.99878869999999997</v>
      </c>
      <c r="N3346">
        <v>0</v>
      </c>
      <c r="O3346">
        <v>-4.7633200000000001E-2</v>
      </c>
      <c r="P3346">
        <v>0.99811850000000002</v>
      </c>
      <c r="Q3346">
        <v>9.2154409999999996E-3</v>
      </c>
      <c r="R3346">
        <v>-6.0618819999999997E-2</v>
      </c>
      <c r="S3346">
        <v>2.99823</v>
      </c>
      <c r="T3346">
        <v>-0.1880646</v>
      </c>
      <c r="U3346">
        <v>-0.15228269999999999</v>
      </c>
      <c r="V3346">
        <v>1.3002970000000001E-2</v>
      </c>
      <c r="W3346">
        <v>2.1545950000000001E-2</v>
      </c>
      <c r="X3346">
        <v>0.99968330000000005</v>
      </c>
      <c r="Y3346">
        <v>3.179435E-3</v>
      </c>
      <c r="Z3346">
        <v>2.881878E-3</v>
      </c>
      <c r="AA3346">
        <v>0.99999079999999996</v>
      </c>
      <c r="AB3346">
        <v>22</v>
      </c>
      <c r="AC3346">
        <v>17.476599999999902</v>
      </c>
      <c r="AD3346">
        <v>-1.1101137196369999</v>
      </c>
      <c r="AE3346">
        <v>-0.88900000000001</v>
      </c>
      <c r="AF3346">
        <v>5.5238690869686503E-2</v>
      </c>
      <c r="AG3346">
        <v>-1.1101137196369999</v>
      </c>
      <c r="AH3346">
        <v>17.428967589228101</v>
      </c>
      <c r="AI3346">
        <v>93.644433263844206</v>
      </c>
      <c r="AJ3346">
        <v>89.818409596587202</v>
      </c>
      <c r="AK3346">
        <v>17.464372734508899</v>
      </c>
      <c r="AL3346">
        <v>88.765412468546202</v>
      </c>
      <c r="AM3346">
        <v>89.2547907007975</v>
      </c>
      <c r="AN3346">
        <v>1.0000000027445499</v>
      </c>
    </row>
    <row r="3347" spans="1:40" x14ac:dyDescent="0.25">
      <c r="A3347" t="str">
        <f>"20190312160357708"</f>
        <v>20190312160357708</v>
      </c>
      <c r="B3347" t="str">
        <f>"1552377837697894"</f>
        <v>1552377837697894</v>
      </c>
      <c r="C3347" t="s">
        <v>40</v>
      </c>
      <c r="D3347">
        <v>5.6438319999999997</v>
      </c>
      <c r="E3347">
        <v>0.50223679999999904</v>
      </c>
      <c r="F3347" t="s">
        <v>49</v>
      </c>
      <c r="G3347">
        <v>-465.82810000000001</v>
      </c>
      <c r="H3347">
        <v>1.037218</v>
      </c>
      <c r="I3347">
        <v>215.88890000000001</v>
      </c>
      <c r="J3347">
        <v>-466.3503</v>
      </c>
      <c r="K3347">
        <v>1.109961</v>
      </c>
      <c r="L3347">
        <v>215.9221</v>
      </c>
      <c r="M3347">
        <v>0.99879790000000002</v>
      </c>
      <c r="N3347">
        <v>0</v>
      </c>
      <c r="O3347">
        <v>-4.7445809999999998E-2</v>
      </c>
      <c r="P3347">
        <v>0.99798869999999895</v>
      </c>
      <c r="Q3347">
        <v>8.1047619999999997E-3</v>
      </c>
      <c r="R3347">
        <v>-6.2872460000000005E-2</v>
      </c>
      <c r="S3347">
        <v>2.997833</v>
      </c>
      <c r="T3347">
        <v>-0.29715390000000003</v>
      </c>
      <c r="U3347">
        <v>-0.1744995</v>
      </c>
      <c r="V3347">
        <v>1.5455440000000001E-2</v>
      </c>
      <c r="W3347">
        <v>2.0417049999999999E-2</v>
      </c>
      <c r="X3347">
        <v>0.99967209999999995</v>
      </c>
      <c r="Y3347">
        <v>1.0853990000000001E-2</v>
      </c>
      <c r="Z3347">
        <v>4.1487779999999997E-3</v>
      </c>
      <c r="AA3347">
        <v>0.9999325</v>
      </c>
      <c r="AB3347">
        <v>22</v>
      </c>
      <c r="AC3347">
        <v>0.522199999999998</v>
      </c>
      <c r="AD3347">
        <v>-7.2742999999999905E-2</v>
      </c>
      <c r="AE3347">
        <v>-3.3199999999993603E-2</v>
      </c>
      <c r="AF3347">
        <v>8.2255516500444603E-3</v>
      </c>
      <c r="AG3347">
        <v>-7.2742999999999905E-2</v>
      </c>
      <c r="AH3347">
        <v>0.51326739276677003</v>
      </c>
      <c r="AI3347">
        <v>98.065520167761505</v>
      </c>
      <c r="AJ3347">
        <v>89.081864424335905</v>
      </c>
      <c r="AK3347">
        <v>0.51846178280230604</v>
      </c>
      <c r="AL3347">
        <v>88.830107935816201</v>
      </c>
      <c r="AM3347">
        <v>89.114248624905002</v>
      </c>
      <c r="AN3347">
        <v>1.00000001703735</v>
      </c>
    </row>
    <row r="3348" spans="1:40" x14ac:dyDescent="0.25">
      <c r="A3348" t="str">
        <f>"20190312160357730"</f>
        <v>20190312160357730</v>
      </c>
      <c r="B3348" t="str">
        <f>"1552377837718389"</f>
        <v>1552377837718389</v>
      </c>
      <c r="C3348" t="s">
        <v>40</v>
      </c>
      <c r="D3348">
        <v>5.658156</v>
      </c>
      <c r="E3348">
        <v>0.50048499999999996</v>
      </c>
      <c r="F3348" t="s">
        <v>70</v>
      </c>
      <c r="G3348">
        <v>-448.10340000000002</v>
      </c>
      <c r="H3348" s="1">
        <v>2.770178E-6</v>
      </c>
      <c r="I3348">
        <v>214.7363</v>
      </c>
      <c r="J3348">
        <v>-466.13659999999999</v>
      </c>
      <c r="K3348">
        <v>1.109828</v>
      </c>
      <c r="L3348">
        <v>215.91200000000001</v>
      </c>
      <c r="M3348">
        <v>0.99879530000000005</v>
      </c>
      <c r="N3348">
        <v>0</v>
      </c>
      <c r="O3348">
        <v>-4.7504129999999999E-2</v>
      </c>
      <c r="P3348">
        <v>0.99785919999999895</v>
      </c>
      <c r="Q3348">
        <v>8.4622929999999992E-3</v>
      </c>
      <c r="R3348">
        <v>-6.4847479999999999E-2</v>
      </c>
      <c r="S3348">
        <v>2.9952390000000002</v>
      </c>
      <c r="T3348">
        <v>-0.18219959999999999</v>
      </c>
      <c r="U3348">
        <v>-0.19464110000000001</v>
      </c>
      <c r="V3348">
        <v>1.7383249999999999E-2</v>
      </c>
      <c r="W3348">
        <v>2.0757439999999999E-2</v>
      </c>
      <c r="X3348">
        <v>0.99963340000000001</v>
      </c>
      <c r="Y3348">
        <v>1.7421059999999999E-2</v>
      </c>
      <c r="Z3348">
        <v>2.353441E-3</v>
      </c>
      <c r="AA3348">
        <v>0.9998454</v>
      </c>
      <c r="AB3348">
        <v>22</v>
      </c>
      <c r="AC3348">
        <v>18.033199999999901</v>
      </c>
      <c r="AD3348">
        <v>-1.1098252298219999</v>
      </c>
      <c r="AE3348">
        <v>-1.1757</v>
      </c>
      <c r="AF3348">
        <v>0.316462630583489</v>
      </c>
      <c r="AG3348">
        <v>-1.1098252298219999</v>
      </c>
      <c r="AH3348">
        <v>18.000801836054599</v>
      </c>
      <c r="AI3348">
        <v>93.527516538868696</v>
      </c>
      <c r="AJ3348">
        <v>88.992816787682997</v>
      </c>
      <c r="AK3348">
        <v>18.037758380081801</v>
      </c>
      <c r="AL3348">
        <v>88.810600861022905</v>
      </c>
      <c r="AM3348">
        <v>89.003748291854194</v>
      </c>
      <c r="AN3348">
        <v>0.99999999154573704</v>
      </c>
    </row>
    <row r="3349" spans="1:40" x14ac:dyDescent="0.25">
      <c r="A3349" t="str">
        <f>"20190312160357752"</f>
        <v>20190312160357752</v>
      </c>
      <c r="B3349" t="str">
        <f>"1552377837747669"</f>
        <v>1552377837747669</v>
      </c>
      <c r="C3349" t="s">
        <v>40</v>
      </c>
      <c r="D3349">
        <v>5.5262279999999997</v>
      </c>
      <c r="E3349">
        <v>0.48258859999999998</v>
      </c>
      <c r="F3349" t="s">
        <v>70</v>
      </c>
      <c r="G3349">
        <v>-448.8347</v>
      </c>
      <c r="H3349" s="1">
        <v>3.1548989999999998E-6</v>
      </c>
      <c r="I3349">
        <v>214.83760000000001</v>
      </c>
      <c r="J3349">
        <v>-465.91239999999999</v>
      </c>
      <c r="K3349">
        <v>1.109718</v>
      </c>
      <c r="L3349">
        <v>215.90119999999999</v>
      </c>
      <c r="M3349">
        <v>0.99878250000000002</v>
      </c>
      <c r="N3349">
        <v>0</v>
      </c>
      <c r="O3349">
        <v>-4.7774270000000001E-2</v>
      </c>
      <c r="P3349">
        <v>0.99777470000000001</v>
      </c>
      <c r="Q3349">
        <v>9.4122089999999995E-3</v>
      </c>
      <c r="R3349">
        <v>-6.6009449999999997E-2</v>
      </c>
      <c r="S3349">
        <v>2.9959410000000002</v>
      </c>
      <c r="T3349">
        <v>-0.1921735</v>
      </c>
      <c r="U3349">
        <v>-0.1860504</v>
      </c>
      <c r="V3349">
        <v>1.8283589999999999E-2</v>
      </c>
      <c r="W3349">
        <v>2.1691829999999999E-2</v>
      </c>
      <c r="X3349">
        <v>0.99959750000000003</v>
      </c>
      <c r="Y3349">
        <v>1.429307E-2</v>
      </c>
      <c r="Z3349">
        <v>2.5991030000000002E-3</v>
      </c>
      <c r="AA3349">
        <v>0.99989450000000002</v>
      </c>
      <c r="AB3349">
        <v>22</v>
      </c>
      <c r="AC3349">
        <v>17.077699999999901</v>
      </c>
      <c r="AD3349">
        <v>-1.1097148451009999</v>
      </c>
      <c r="AE3349">
        <v>-1.0635999999999699</v>
      </c>
      <c r="AF3349">
        <v>0.24541678565125799</v>
      </c>
      <c r="AG3349">
        <v>-1.1097148451009999</v>
      </c>
      <c r="AH3349">
        <v>17.037352236174598</v>
      </c>
      <c r="AI3349">
        <v>93.7262669704063</v>
      </c>
      <c r="AJ3349">
        <v>89.174732468985894</v>
      </c>
      <c r="AK3349">
        <v>17.075217938743901</v>
      </c>
      <c r="AL3349">
        <v>88.7570521949294</v>
      </c>
      <c r="AM3349">
        <v>88.952122489424895</v>
      </c>
      <c r="AN3349">
        <v>0.99999999357914304</v>
      </c>
    </row>
    <row r="3350" spans="1:40" x14ac:dyDescent="0.25">
      <c r="A3350" t="str">
        <f>"20190312160357774"</f>
        <v>20190312160357774</v>
      </c>
      <c r="B3350" t="str">
        <f>"1552377837767577"</f>
        <v>1552377837767577</v>
      </c>
      <c r="C3350" t="s">
        <v>40</v>
      </c>
      <c r="D3350">
        <v>5.5926939999999998</v>
      </c>
      <c r="E3350">
        <v>0.48247849999999998</v>
      </c>
      <c r="F3350" t="s">
        <v>70</v>
      </c>
      <c r="G3350">
        <v>-449.99720000000002</v>
      </c>
      <c r="H3350" s="1">
        <v>-1.583761E-6</v>
      </c>
      <c r="I3350">
        <v>215.6568</v>
      </c>
      <c r="J3350">
        <v>-465.69690000000003</v>
      </c>
      <c r="K3350">
        <v>1.109626</v>
      </c>
      <c r="L3350">
        <v>215.8905</v>
      </c>
      <c r="M3350">
        <v>0.9987608</v>
      </c>
      <c r="N3350">
        <v>0</v>
      </c>
      <c r="O3350">
        <v>-4.8226150000000002E-2</v>
      </c>
      <c r="P3350">
        <v>0.99770210000000004</v>
      </c>
      <c r="Q3350">
        <v>9.6489100000000001E-3</v>
      </c>
      <c r="R3350">
        <v>-6.7063659999999997E-2</v>
      </c>
      <c r="S3350">
        <v>3.0056150000000001</v>
      </c>
      <c r="T3350">
        <v>-0.20957329999999999</v>
      </c>
      <c r="U3350">
        <v>-4.6142580000000002E-2</v>
      </c>
      <c r="V3350">
        <v>1.8892800000000001E-2</v>
      </c>
      <c r="W3350">
        <v>2.191589E-2</v>
      </c>
      <c r="X3350">
        <v>0.99958130000000001</v>
      </c>
      <c r="Y3350">
        <v>-3.269532E-2</v>
      </c>
      <c r="Z3350">
        <v>4.4957959999999998E-3</v>
      </c>
      <c r="AA3350">
        <v>0.99945530000000005</v>
      </c>
      <c r="AB3350">
        <v>22</v>
      </c>
      <c r="AC3350">
        <v>15.6997</v>
      </c>
      <c r="AD3350">
        <v>-1.1096275837609999</v>
      </c>
      <c r="AE3350">
        <v>-0.23369999999999799</v>
      </c>
      <c r="AF3350">
        <v>-0.52116241386121998</v>
      </c>
      <c r="AG3350">
        <v>-1.1096275837609999</v>
      </c>
      <c r="AH3350">
        <v>15.6147162884774</v>
      </c>
      <c r="AI3350">
        <v>94.062518637592106</v>
      </c>
      <c r="AJ3350">
        <v>91.9116150193572</v>
      </c>
      <c r="AK3350">
        <v>15.6627663075814</v>
      </c>
      <c r="AL3350">
        <v>88.744211470071207</v>
      </c>
      <c r="AM3350">
        <v>88.917197800267402</v>
      </c>
      <c r="AN3350">
        <v>1.00000000971801</v>
      </c>
    </row>
    <row r="3351" spans="1:40" x14ac:dyDescent="0.25">
      <c r="A3351" t="str">
        <f>"20190312160357797"</f>
        <v>20190312160357797</v>
      </c>
      <c r="B3351" t="str">
        <f>"1552377837788072"</f>
        <v>1552377837788072</v>
      </c>
      <c r="C3351" t="s">
        <v>40</v>
      </c>
      <c r="D3351">
        <v>5.5920110000000003</v>
      </c>
      <c r="E3351">
        <v>0.48246109999999998</v>
      </c>
      <c r="F3351" t="s">
        <v>70</v>
      </c>
      <c r="G3351">
        <v>-449.12970000000001</v>
      </c>
      <c r="H3351" s="1">
        <v>3.2778549999999998E-6</v>
      </c>
      <c r="I3351">
        <v>215.61709999999999</v>
      </c>
      <c r="J3351">
        <v>-465.4633</v>
      </c>
      <c r="K3351">
        <v>1.1095060000000001</v>
      </c>
      <c r="L3351">
        <v>215.8785</v>
      </c>
      <c r="M3351">
        <v>0.99872609999999995</v>
      </c>
      <c r="N3351">
        <v>0</v>
      </c>
      <c r="O3351">
        <v>-4.8942239999999998E-2</v>
      </c>
      <c r="P3351">
        <v>0.99759050000000005</v>
      </c>
      <c r="Q3351">
        <v>8.5306970000000003E-3</v>
      </c>
      <c r="R3351">
        <v>-6.8851999999999997E-2</v>
      </c>
      <c r="S3351">
        <v>3.005493</v>
      </c>
      <c r="T3351">
        <v>-0.20129949999999999</v>
      </c>
      <c r="U3351">
        <v>-4.9591059999999999E-2</v>
      </c>
      <c r="V3351">
        <v>1.9971599999999999E-2</v>
      </c>
      <c r="W3351">
        <v>2.0785089999999999E-2</v>
      </c>
      <c r="X3351">
        <v>0.99958449999999999</v>
      </c>
      <c r="Y3351">
        <v>-3.2279309999999999E-2</v>
      </c>
      <c r="Z3351">
        <v>4.3527649999999998E-3</v>
      </c>
      <c r="AA3351">
        <v>0.99946939999999995</v>
      </c>
      <c r="AB3351">
        <v>22</v>
      </c>
      <c r="AC3351">
        <v>16.333599999999901</v>
      </c>
      <c r="AD3351">
        <v>-1.10950272214499</v>
      </c>
      <c r="AE3351">
        <v>-0.26140000000000801</v>
      </c>
      <c r="AF3351">
        <v>-0.53590445585267499</v>
      </c>
      <c r="AG3351">
        <v>-1.10950272214499</v>
      </c>
      <c r="AH3351">
        <v>16.251848026066501</v>
      </c>
      <c r="AI3351">
        <v>93.903369356908499</v>
      </c>
      <c r="AJ3351">
        <v>91.8886431685454</v>
      </c>
      <c r="AK3351">
        <v>16.298489320750299</v>
      </c>
      <c r="AL3351">
        <v>88.809016335105596</v>
      </c>
      <c r="AM3351">
        <v>88.855388252530801</v>
      </c>
      <c r="AN3351">
        <v>1.00000002870655</v>
      </c>
    </row>
    <row r="3352" spans="1:40" x14ac:dyDescent="0.25">
      <c r="A3352" t="str">
        <f>"20190312160357831"</f>
        <v>20190312160357831</v>
      </c>
      <c r="B3352" t="str">
        <f>"1552377837828089"</f>
        <v>1552377837828089</v>
      </c>
      <c r="C3352" t="s">
        <v>40</v>
      </c>
      <c r="D3352">
        <v>5.568079</v>
      </c>
      <c r="E3352">
        <v>0.48248920000000001</v>
      </c>
      <c r="F3352" t="s">
        <v>70</v>
      </c>
      <c r="G3352">
        <v>-448.97289999999998</v>
      </c>
      <c r="H3352" s="1">
        <v>3.1961920000000002E-6</v>
      </c>
      <c r="I3352">
        <v>215.5763</v>
      </c>
      <c r="J3352">
        <v>-465.12520000000001</v>
      </c>
      <c r="K3352">
        <v>1.1092949999999999</v>
      </c>
      <c r="L3352">
        <v>215.8604</v>
      </c>
      <c r="M3352">
        <v>0.99865289999999995</v>
      </c>
      <c r="N3352">
        <v>0</v>
      </c>
      <c r="O3352">
        <v>-5.0413329999999999E-2</v>
      </c>
      <c r="P3352">
        <v>0.99743859999999995</v>
      </c>
      <c r="Q3352">
        <v>7.3221789999999998E-3</v>
      </c>
      <c r="R3352">
        <v>-7.1153400000000006E-2</v>
      </c>
      <c r="S3352">
        <v>3.0052189999999999</v>
      </c>
      <c r="T3352">
        <v>-0.20219719999999999</v>
      </c>
      <c r="U3352">
        <v>-5.5084229999999998E-2</v>
      </c>
      <c r="V3352">
        <v>2.081241E-2</v>
      </c>
      <c r="W3352">
        <v>1.9560350000000001E-2</v>
      </c>
      <c r="X3352">
        <v>0.99959200000000004</v>
      </c>
      <c r="Y3352">
        <v>-3.1919549999999998E-2</v>
      </c>
      <c r="Z3352">
        <v>4.4590869999999996E-3</v>
      </c>
      <c r="AA3352">
        <v>0.99948049999999999</v>
      </c>
      <c r="AB3352">
        <v>22</v>
      </c>
      <c r="AC3352">
        <v>16.1523</v>
      </c>
      <c r="AD3352">
        <v>-1.109291803808</v>
      </c>
      <c r="AE3352">
        <v>-0.28409999999999502</v>
      </c>
      <c r="AF3352">
        <v>-0.52812382966480498</v>
      </c>
      <c r="AG3352">
        <v>-1.109291803808</v>
      </c>
      <c r="AH3352">
        <v>16.070309082855101</v>
      </c>
      <c r="AI3352">
        <v>93.946591742537393</v>
      </c>
      <c r="AJ3352">
        <v>91.882252549022994</v>
      </c>
      <c r="AK3352">
        <v>16.1172043823968</v>
      </c>
      <c r="AL3352">
        <v>88.879202981462498</v>
      </c>
      <c r="AM3352">
        <v>88.807222362369401</v>
      </c>
      <c r="AN3352">
        <v>0.99999996508306399</v>
      </c>
    </row>
    <row r="3353" spans="1:40" x14ac:dyDescent="0.25">
      <c r="A3353" t="str">
        <f>"20190312160357854"</f>
        <v>20190312160357854</v>
      </c>
      <c r="B3353" t="str">
        <f>"1552377837847609"</f>
        <v>1552377837847609</v>
      </c>
      <c r="C3353" t="s">
        <v>40</v>
      </c>
      <c r="D3353">
        <v>5.5355179999999997</v>
      </c>
      <c r="E3353">
        <v>0.48241640000000002</v>
      </c>
      <c r="F3353" t="s">
        <v>70</v>
      </c>
      <c r="G3353">
        <v>-448.8972</v>
      </c>
      <c r="H3353" s="1">
        <v>3.1582199999999998E-6</v>
      </c>
      <c r="I3353">
        <v>215.5224</v>
      </c>
      <c r="J3353">
        <v>-464.9042</v>
      </c>
      <c r="K3353">
        <v>1.109145</v>
      </c>
      <c r="L3353">
        <v>215.84790000000001</v>
      </c>
      <c r="M3353">
        <v>0.99858780000000003</v>
      </c>
      <c r="N3353">
        <v>0</v>
      </c>
      <c r="O3353">
        <v>-5.168938E-2</v>
      </c>
      <c r="P3353">
        <v>0.99734279999999997</v>
      </c>
      <c r="Q3353">
        <v>7.2441999999999897E-3</v>
      </c>
      <c r="R3353">
        <v>-7.2493340000000003E-2</v>
      </c>
      <c r="S3353">
        <v>3.0047609999999998</v>
      </c>
      <c r="T3353">
        <v>-0.20539489999999999</v>
      </c>
      <c r="U3353">
        <v>-6.2576290000000007E-2</v>
      </c>
      <c r="V3353">
        <v>2.0885399999999998E-2</v>
      </c>
      <c r="W3353">
        <v>1.9473580000000001E-2</v>
      </c>
      <c r="X3353">
        <v>0.99959219999999904</v>
      </c>
      <c r="Y3353">
        <v>-3.0696649999999999E-2</v>
      </c>
      <c r="Z3353">
        <v>4.5752359999999999E-3</v>
      </c>
      <c r="AA3353">
        <v>0.99951829999999997</v>
      </c>
      <c r="AB3353">
        <v>22</v>
      </c>
      <c r="AC3353">
        <v>16.007000000000001</v>
      </c>
      <c r="AD3353">
        <v>-1.1091418417799901</v>
      </c>
      <c r="AE3353">
        <v>-0.32550000000000501</v>
      </c>
      <c r="AF3353">
        <v>-0.49998982780323498</v>
      </c>
      <c r="AG3353">
        <v>-1.1091418417799901</v>
      </c>
      <c r="AH3353">
        <v>15.9259918878705</v>
      </c>
      <c r="AI3353">
        <v>93.981890666496099</v>
      </c>
      <c r="AJ3353">
        <v>91.798186317889204</v>
      </c>
      <c r="AK3353">
        <v>15.9723950322301</v>
      </c>
      <c r="AL3353">
        <v>88.884175515021298</v>
      </c>
      <c r="AM3353">
        <v>88.803040695146507</v>
      </c>
      <c r="AN3353">
        <v>0.99999999327600797</v>
      </c>
    </row>
    <row r="3354" spans="1:40" x14ac:dyDescent="0.25">
      <c r="A3354" t="str">
        <f>"20190312160357877"</f>
        <v>20190312160357877</v>
      </c>
      <c r="B3354" t="str">
        <f>"1552377837867635"</f>
        <v>1552377837867635</v>
      </c>
      <c r="C3354" t="s">
        <v>40</v>
      </c>
      <c r="D3354">
        <v>5.5950519999999999</v>
      </c>
      <c r="E3354">
        <v>0.48227950000000003</v>
      </c>
      <c r="F3354" t="s">
        <v>70</v>
      </c>
      <c r="G3354">
        <v>-448.74090000000001</v>
      </c>
      <c r="H3354" s="1">
        <v>3.076464E-6</v>
      </c>
      <c r="I3354">
        <v>215.49039999999999</v>
      </c>
      <c r="J3354">
        <v>-464.678</v>
      </c>
      <c r="K3354">
        <v>1.108995</v>
      </c>
      <c r="L3354">
        <v>215.83449999999999</v>
      </c>
      <c r="M3354">
        <v>0.99850669999999997</v>
      </c>
      <c r="N3354">
        <v>0</v>
      </c>
      <c r="O3354">
        <v>-5.3229949999999998E-2</v>
      </c>
      <c r="P3354">
        <v>0.9972221</v>
      </c>
      <c r="Q3354">
        <v>8.0859179999999992E-3</v>
      </c>
      <c r="R3354">
        <v>-7.4046290000000001E-2</v>
      </c>
      <c r="S3354">
        <v>3.0046689999999998</v>
      </c>
      <c r="T3354">
        <v>-0.20618339999999999</v>
      </c>
      <c r="U3354">
        <v>-6.6452029999999995E-2</v>
      </c>
      <c r="V3354">
        <v>2.0909190000000001E-2</v>
      </c>
      <c r="W3354">
        <v>2.03074E-2</v>
      </c>
      <c r="X3354">
        <v>0.99957510000000005</v>
      </c>
      <c r="Y3354">
        <v>-3.0943740000000001E-2</v>
      </c>
      <c r="Z3354">
        <v>4.7067209999999996E-3</v>
      </c>
      <c r="AA3354">
        <v>0.99951000000000001</v>
      </c>
      <c r="AB3354">
        <v>22</v>
      </c>
      <c r="AC3354">
        <v>15.937099999999999</v>
      </c>
      <c r="AD3354">
        <v>-1.108991923536</v>
      </c>
      <c r="AE3354">
        <v>-0.34409999999999702</v>
      </c>
      <c r="AF3354">
        <v>-0.50235165047313002</v>
      </c>
      <c r="AG3354">
        <v>-1.108991923536</v>
      </c>
      <c r="AH3354">
        <v>15.8560783468255</v>
      </c>
      <c r="AI3354">
        <v>93.998816081950693</v>
      </c>
      <c r="AJ3354">
        <v>91.814635650379401</v>
      </c>
      <c r="AK3354">
        <v>15.9027494732159</v>
      </c>
      <c r="AL3354">
        <v>88.836391680721604</v>
      </c>
      <c r="AM3354">
        <v>88.801657174137503</v>
      </c>
      <c r="AN3354">
        <v>0.99999998263061296</v>
      </c>
    </row>
    <row r="3355" spans="1:40" x14ac:dyDescent="0.25">
      <c r="A3355" t="str">
        <f>"20190312160357899"</f>
        <v>20190312160357899</v>
      </c>
      <c r="B3355" t="str">
        <f>"1552377837888132"</f>
        <v>1552377837888132</v>
      </c>
      <c r="C3355" t="s">
        <v>40</v>
      </c>
      <c r="D3355">
        <v>5.5893800000000002</v>
      </c>
      <c r="E3355">
        <v>0.48216120000000001</v>
      </c>
      <c r="F3355" t="s">
        <v>70</v>
      </c>
      <c r="G3355">
        <v>-448.28</v>
      </c>
      <c r="H3355" s="1">
        <v>2.8329590000000002E-6</v>
      </c>
      <c r="I3355">
        <v>215.45070000000001</v>
      </c>
      <c r="J3355">
        <v>-464.4581</v>
      </c>
      <c r="K3355">
        <v>1.108857</v>
      </c>
      <c r="L3355">
        <v>215.82089999999999</v>
      </c>
      <c r="M3355">
        <v>0.99841210000000002</v>
      </c>
      <c r="N3355">
        <v>0</v>
      </c>
      <c r="O3355">
        <v>-5.4977940000000003E-2</v>
      </c>
      <c r="P3355">
        <v>0.99711749999999999</v>
      </c>
      <c r="Q3355">
        <v>9.1892480000000006E-3</v>
      </c>
      <c r="R3355">
        <v>-7.5316300000000003E-2</v>
      </c>
      <c r="S3355">
        <v>3.0048219999999999</v>
      </c>
      <c r="T3355">
        <v>-0.20321520000000001</v>
      </c>
      <c r="U3355">
        <v>-7.0327760000000003E-2</v>
      </c>
      <c r="V3355">
        <v>2.0442990000000001E-2</v>
      </c>
      <c r="W3355">
        <v>2.1405799999999999E-2</v>
      </c>
      <c r="X3355">
        <v>0.99956179999999994</v>
      </c>
      <c r="Y3355">
        <v>-3.1406799999999999E-2</v>
      </c>
      <c r="Z3355">
        <v>4.7723319999999998E-3</v>
      </c>
      <c r="AA3355">
        <v>0.99949529999999998</v>
      </c>
      <c r="AB3355">
        <v>22</v>
      </c>
      <c r="AC3355">
        <v>16.178100000000001</v>
      </c>
      <c r="AD3355">
        <v>-1.1088541670409999</v>
      </c>
      <c r="AE3355">
        <v>-0.37019999999998199</v>
      </c>
      <c r="AF3355">
        <v>-0.51743609100862098</v>
      </c>
      <c r="AG3355">
        <v>-1.1088541670409999</v>
      </c>
      <c r="AH3355">
        <v>16.0983950805383</v>
      </c>
      <c r="AI3355">
        <v>93.938270565967201</v>
      </c>
      <c r="AJ3355">
        <v>91.840972395923401</v>
      </c>
      <c r="AK3355">
        <v>16.144832666867199</v>
      </c>
      <c r="AL3355">
        <v>88.7734442696336</v>
      </c>
      <c r="AM3355">
        <v>88.828352806555401</v>
      </c>
      <c r="AN3355">
        <v>0.99999995806650899</v>
      </c>
    </row>
    <row r="3356" spans="1:40" x14ac:dyDescent="0.25">
      <c r="A3356" t="str">
        <f>"20190312160357920"</f>
        <v>20190312160357920</v>
      </c>
      <c r="B3356" t="str">
        <f>"1552377837907651"</f>
        <v>1552377837907651</v>
      </c>
      <c r="C3356" t="s">
        <v>40</v>
      </c>
      <c r="D3356">
        <v>5.6076600000000001</v>
      </c>
      <c r="E3356">
        <v>0.48210920000000002</v>
      </c>
      <c r="F3356" t="s">
        <v>70</v>
      </c>
      <c r="G3356">
        <v>-447.72190000000001</v>
      </c>
      <c r="H3356" s="1">
        <v>2.537635E-6</v>
      </c>
      <c r="I3356">
        <v>215.4117</v>
      </c>
      <c r="J3356">
        <v>-464.2457</v>
      </c>
      <c r="K3356">
        <v>1.10873</v>
      </c>
      <c r="L3356">
        <v>215.80719999999999</v>
      </c>
      <c r="M3356">
        <v>0.99830439999999998</v>
      </c>
      <c r="N3356">
        <v>0</v>
      </c>
      <c r="O3356">
        <v>-5.6899829999999998E-2</v>
      </c>
      <c r="P3356">
        <v>0.99708739999999996</v>
      </c>
      <c r="Q3356">
        <v>9.2465840000000004E-3</v>
      </c>
      <c r="R3356">
        <v>-7.5707849999999993E-2</v>
      </c>
      <c r="S3356">
        <v>3.0049440000000001</v>
      </c>
      <c r="T3356">
        <v>-0.1990913</v>
      </c>
      <c r="U3356">
        <v>-7.3471069999999999E-2</v>
      </c>
      <c r="V3356">
        <v>1.8918000000000001E-2</v>
      </c>
      <c r="W3356">
        <v>2.1463949999999999E-2</v>
      </c>
      <c r="X3356">
        <v>0.9995906</v>
      </c>
      <c r="Y3356">
        <v>-3.2288699999999997E-2</v>
      </c>
      <c r="Z3356">
        <v>4.8315930000000003E-3</v>
      </c>
      <c r="AA3356">
        <v>0.99946690000000005</v>
      </c>
      <c r="AB3356">
        <v>22</v>
      </c>
      <c r="AC3356">
        <v>16.523799999999898</v>
      </c>
      <c r="AD3356">
        <v>-1.1087274623649901</v>
      </c>
      <c r="AE3356">
        <v>-0.39549999999999802</v>
      </c>
      <c r="AF3356">
        <v>-0.542969940992301</v>
      </c>
      <c r="AG3356">
        <v>-1.1087274623649901</v>
      </c>
      <c r="AH3356">
        <v>16.4455316786044</v>
      </c>
      <c r="AI3356">
        <v>93.854845361306403</v>
      </c>
      <c r="AJ3356">
        <v>91.891005410893897</v>
      </c>
      <c r="AK3356">
        <v>16.4918041807016</v>
      </c>
      <c r="AL3356">
        <v>88.770111780919393</v>
      </c>
      <c r="AM3356">
        <v>88.915763943557707</v>
      </c>
      <c r="AN3356">
        <v>0.99999997974098098</v>
      </c>
    </row>
    <row r="3357" spans="1:40" x14ac:dyDescent="0.25">
      <c r="A3357" t="str">
        <f>"20190312160357941"</f>
        <v>20190312160357941</v>
      </c>
      <c r="B3357" t="str">
        <f>"1552377837928148"</f>
        <v>1552377837928148</v>
      </c>
      <c r="C3357" t="s">
        <v>40</v>
      </c>
      <c r="D3357">
        <v>5.6136330000000001</v>
      </c>
      <c r="E3357">
        <v>0.48218349999999999</v>
      </c>
      <c r="F3357" t="s">
        <v>70</v>
      </c>
      <c r="G3357">
        <v>-447.49349999999998</v>
      </c>
      <c r="H3357" s="1">
        <v>2.4169990000000001E-6</v>
      </c>
      <c r="I3357">
        <v>215.3913</v>
      </c>
      <c r="J3357">
        <v>-464.03609999999998</v>
      </c>
      <c r="K3357">
        <v>1.108609</v>
      </c>
      <c r="L3357">
        <v>215.7929</v>
      </c>
      <c r="M3357">
        <v>0.99818269999999998</v>
      </c>
      <c r="N3357">
        <v>0</v>
      </c>
      <c r="O3357">
        <v>-5.8995239999999997E-2</v>
      </c>
      <c r="P3357">
        <v>0.99704519999999996</v>
      </c>
      <c r="Q3357">
        <v>8.7258909999999995E-3</v>
      </c>
      <c r="R3357">
        <v>-7.6319899999999996E-2</v>
      </c>
      <c r="S3357">
        <v>3.0049130000000002</v>
      </c>
      <c r="T3357">
        <v>-0.19887669999999999</v>
      </c>
      <c r="U3357">
        <v>-7.4600219999999995E-2</v>
      </c>
      <c r="V3357">
        <v>1.7437109999999999E-2</v>
      </c>
      <c r="W3357">
        <v>2.094623E-2</v>
      </c>
      <c r="X3357">
        <v>0.99962850000000003</v>
      </c>
      <c r="Y3357">
        <v>-3.4003169999999999E-2</v>
      </c>
      <c r="Z3357">
        <v>5.0213760000000001E-3</v>
      </c>
      <c r="AA3357">
        <v>0.99940910000000005</v>
      </c>
      <c r="AB3357">
        <v>22</v>
      </c>
      <c r="AC3357">
        <v>16.542599999999901</v>
      </c>
      <c r="AD3357">
        <v>-1.1086065830009999</v>
      </c>
      <c r="AE3357">
        <v>-0.40160000000000201</v>
      </c>
      <c r="AF3357">
        <v>-0.57253808709369802</v>
      </c>
      <c r="AG3357">
        <v>-1.1086065830009999</v>
      </c>
      <c r="AH3357">
        <v>16.463581952485399</v>
      </c>
      <c r="AI3357">
        <v>93.849984466706104</v>
      </c>
      <c r="AJ3357">
        <v>91.991717330463501</v>
      </c>
      <c r="AK3357">
        <v>16.510794624222299</v>
      </c>
      <c r="AL3357">
        <v>88.799781609708504</v>
      </c>
      <c r="AM3357">
        <v>89.000657248005595</v>
      </c>
      <c r="AN3357">
        <v>0.99999996768430699</v>
      </c>
    </row>
    <row r="3358" spans="1:40" x14ac:dyDescent="0.25">
      <c r="A3358" t="str">
        <f>"20190312160357964"</f>
        <v>20190312160357964</v>
      </c>
      <c r="B3358" t="str">
        <f>"1552377837958404"</f>
        <v>1552377837958404</v>
      </c>
      <c r="C3358" t="s">
        <v>40</v>
      </c>
      <c r="D3358">
        <v>6.3228770000000001</v>
      </c>
      <c r="E3358">
        <v>0.48259999999999997</v>
      </c>
      <c r="F3358" t="s">
        <v>70</v>
      </c>
      <c r="G3358">
        <v>-450.52390000000003</v>
      </c>
      <c r="H3358" s="1">
        <v>-1.294688E-6</v>
      </c>
      <c r="I3358">
        <v>215.45529999999999</v>
      </c>
      <c r="J3358">
        <v>-463.8098</v>
      </c>
      <c r="K3358">
        <v>1.1084959999999999</v>
      </c>
      <c r="L3358">
        <v>215.77690000000001</v>
      </c>
      <c r="M3358">
        <v>0.99803549999999996</v>
      </c>
      <c r="N3358">
        <v>0</v>
      </c>
      <c r="O3358">
        <v>-6.1436159999999997E-2</v>
      </c>
      <c r="P3358">
        <v>0.99699130000000002</v>
      </c>
      <c r="Q3358">
        <v>8.7279160000000005E-3</v>
      </c>
      <c r="R3358">
        <v>-7.7021510000000001E-2</v>
      </c>
      <c r="S3358">
        <v>3.0053100000000001</v>
      </c>
      <c r="T3358">
        <v>-0.24657090000000001</v>
      </c>
      <c r="U3358">
        <v>-7.5103760000000006E-2</v>
      </c>
      <c r="V3358">
        <v>1.570125E-2</v>
      </c>
      <c r="W3358">
        <v>2.095433E-2</v>
      </c>
      <c r="X3358">
        <v>0.99965720000000002</v>
      </c>
      <c r="Y3358">
        <v>-3.6158839999999998E-2</v>
      </c>
      <c r="Z3358">
        <v>6.5089429999999997E-3</v>
      </c>
      <c r="AA3358">
        <v>0.99932489999999996</v>
      </c>
      <c r="AB3358">
        <v>22</v>
      </c>
      <c r="AC3358">
        <v>13.2858999999999</v>
      </c>
      <c r="AD3358">
        <v>-1.1084972946879901</v>
      </c>
      <c r="AE3358">
        <v>-0.32160000000001698</v>
      </c>
      <c r="AF3358">
        <v>-0.49188168661548898</v>
      </c>
      <c r="AG3358">
        <v>-1.1084972946879901</v>
      </c>
      <c r="AH3358">
        <v>13.188801903446</v>
      </c>
      <c r="AI3358">
        <v>94.8010030928248</v>
      </c>
      <c r="AJ3358">
        <v>92.1358792755438</v>
      </c>
      <c r="AK3358">
        <v>13.244440701452699</v>
      </c>
      <c r="AL3358">
        <v>88.799317529284906</v>
      </c>
      <c r="AM3358">
        <v>89.100150140317595</v>
      </c>
      <c r="AN3358">
        <v>1.00000006535457</v>
      </c>
    </row>
    <row r="3359" spans="1:40" x14ac:dyDescent="0.25">
      <c r="A3359" t="str">
        <f>"20190312160357987"</f>
        <v>20190312160357987</v>
      </c>
      <c r="B3359" t="str">
        <f>"1552377837977455"</f>
        <v>1552377837977455</v>
      </c>
      <c r="C3359" t="s">
        <v>40</v>
      </c>
      <c r="D3359">
        <v>5.5780909999999997</v>
      </c>
      <c r="E3359">
        <v>0.48064649999999998</v>
      </c>
      <c r="F3359" t="s">
        <v>70</v>
      </c>
      <c r="G3359">
        <v>-450.71940000000001</v>
      </c>
      <c r="H3359" s="1">
        <v>-1.189547E-6</v>
      </c>
      <c r="I3359">
        <v>215.43039999999999</v>
      </c>
      <c r="J3359">
        <v>-463.58690000000001</v>
      </c>
      <c r="K3359">
        <v>1.1084160000000001</v>
      </c>
      <c r="L3359">
        <v>215.7604</v>
      </c>
      <c r="M3359">
        <v>0.99787539999999997</v>
      </c>
      <c r="N3359">
        <v>0</v>
      </c>
      <c r="O3359">
        <v>-6.3983390000000001E-2</v>
      </c>
      <c r="P3359">
        <v>0.99690429999999997</v>
      </c>
      <c r="Q3359">
        <v>1.024313E-2</v>
      </c>
      <c r="R3359">
        <v>-7.7958070000000004E-2</v>
      </c>
      <c r="S3359">
        <v>3.005096</v>
      </c>
      <c r="T3359">
        <v>-0.2544729</v>
      </c>
      <c r="U3359">
        <v>-7.9544069999999995E-2</v>
      </c>
      <c r="V3359">
        <v>1.4099860000000001E-2</v>
      </c>
      <c r="W3359">
        <v>2.2475559999999999E-2</v>
      </c>
      <c r="X3359">
        <v>0.99964799999999998</v>
      </c>
      <c r="Y3359">
        <v>-3.7198090000000003E-2</v>
      </c>
      <c r="Z3359">
        <v>6.9758989999999998E-3</v>
      </c>
      <c r="AA3359">
        <v>0.99928360000000005</v>
      </c>
      <c r="AB3359">
        <v>22</v>
      </c>
      <c r="AC3359">
        <v>12.8675</v>
      </c>
      <c r="AD3359">
        <v>-1.1084171895469901</v>
      </c>
      <c r="AE3359">
        <v>-0.33000000000001201</v>
      </c>
      <c r="AF3359">
        <v>-0.49040808857944701</v>
      </c>
      <c r="AG3359">
        <v>-1.1084171895469901</v>
      </c>
      <c r="AH3359">
        <v>12.767569948226599</v>
      </c>
      <c r="AI3359">
        <v>94.958057702710803</v>
      </c>
      <c r="AJ3359">
        <v>92.199675243447402</v>
      </c>
      <c r="AK3359">
        <v>12.824972948988499</v>
      </c>
      <c r="AL3359">
        <v>88.712136878774302</v>
      </c>
      <c r="AM3359">
        <v>89.191906648712902</v>
      </c>
      <c r="AN3359">
        <v>1.00000004037666</v>
      </c>
    </row>
    <row r="3360" spans="1:40" x14ac:dyDescent="0.25">
      <c r="A3360" t="str">
        <f>"20190312160358009"</f>
        <v>20190312160358009</v>
      </c>
      <c r="B3360" t="str">
        <f>"1552377837997950"</f>
        <v>1552377837997950</v>
      </c>
      <c r="C3360" t="s">
        <v>40</v>
      </c>
      <c r="D3360">
        <v>5.5964130000000001</v>
      </c>
      <c r="E3360">
        <v>0.48110789999999998</v>
      </c>
      <c r="F3360" t="s">
        <v>70</v>
      </c>
      <c r="G3360">
        <v>-446.23500000000001</v>
      </c>
      <c r="H3360" s="1">
        <v>1.748629E-6</v>
      </c>
      <c r="I3360">
        <v>215.36</v>
      </c>
      <c r="J3360">
        <v>-463.36709999999999</v>
      </c>
      <c r="K3360">
        <v>1.10836</v>
      </c>
      <c r="L3360">
        <v>215.7433</v>
      </c>
      <c r="M3360">
        <v>0.99770429999999999</v>
      </c>
      <c r="N3360">
        <v>0</v>
      </c>
      <c r="O3360">
        <v>-6.659611E-2</v>
      </c>
      <c r="P3360">
        <v>0.99684729999999999</v>
      </c>
      <c r="Q3360">
        <v>1.086315E-2</v>
      </c>
      <c r="R3360">
        <v>-7.8597509999999995E-2</v>
      </c>
      <c r="S3360">
        <v>3.0058289999999999</v>
      </c>
      <c r="T3360">
        <v>-0.19200790000000001</v>
      </c>
      <c r="U3360">
        <v>-6.9351199999999905E-2</v>
      </c>
      <c r="V3360">
        <v>1.212919E-2</v>
      </c>
      <c r="W3360">
        <v>2.3105299999999999E-2</v>
      </c>
      <c r="X3360">
        <v>0.99965950000000003</v>
      </c>
      <c r="Y3360">
        <v>-4.3344809999999998E-2</v>
      </c>
      <c r="Z3360">
        <v>5.6291170000000003E-3</v>
      </c>
      <c r="AA3360">
        <v>0.9990443</v>
      </c>
      <c r="AB3360">
        <v>22</v>
      </c>
      <c r="AC3360">
        <v>17.132099999999902</v>
      </c>
      <c r="AD3360">
        <v>-1.108358251371</v>
      </c>
      <c r="AE3360">
        <v>-0.38329999999999098</v>
      </c>
      <c r="AF3360">
        <v>-0.75540834547859803</v>
      </c>
      <c r="AG3360">
        <v>-1.108358251371</v>
      </c>
      <c r="AH3360">
        <v>17.048270970471499</v>
      </c>
      <c r="AI3360">
        <v>93.716096351913194</v>
      </c>
      <c r="AJ3360">
        <v>92.537114605391196</v>
      </c>
      <c r="AK3360">
        <v>17.100954443083701</v>
      </c>
      <c r="AL3360">
        <v>88.676046066224401</v>
      </c>
      <c r="AM3360">
        <v>89.304846004139705</v>
      </c>
      <c r="AN3360">
        <v>1.0000000440391901</v>
      </c>
    </row>
    <row r="3361" spans="1:40" x14ac:dyDescent="0.25">
      <c r="A3361" t="str">
        <f>"20190312160358031"</f>
        <v>20190312160358031</v>
      </c>
      <c r="B3361" t="str">
        <f>"1552377838017471"</f>
        <v>1552377838017471</v>
      </c>
      <c r="C3361" t="s">
        <v>40</v>
      </c>
      <c r="D3361">
        <v>5.5346849999999996</v>
      </c>
      <c r="E3361">
        <v>0.48124339999999999</v>
      </c>
      <c r="F3361" t="s">
        <v>70</v>
      </c>
      <c r="G3361">
        <v>-445.9332</v>
      </c>
      <c r="H3361" s="1">
        <v>1.5903170000000001E-6</v>
      </c>
      <c r="I3361">
        <v>215.30840000000001</v>
      </c>
      <c r="J3361">
        <v>-463.15050000000002</v>
      </c>
      <c r="K3361">
        <v>1.1083350000000001</v>
      </c>
      <c r="L3361">
        <v>215.72579999999999</v>
      </c>
      <c r="M3361">
        <v>0.99752560000000001</v>
      </c>
      <c r="N3361">
        <v>0</v>
      </c>
      <c r="O3361">
        <v>-6.9221909999999998E-2</v>
      </c>
      <c r="P3361">
        <v>0.9967994</v>
      </c>
      <c r="Q3361">
        <v>1.0442399999999999E-2</v>
      </c>
      <c r="R3361">
        <v>-7.9259460000000004E-2</v>
      </c>
      <c r="S3361">
        <v>3.0056150000000001</v>
      </c>
      <c r="T3361">
        <v>-0.19108149999999999</v>
      </c>
      <c r="U3361">
        <v>-7.4981690000000004E-2</v>
      </c>
      <c r="V3361">
        <v>1.0160199999999999E-2</v>
      </c>
      <c r="W3361">
        <v>2.2693890000000001E-2</v>
      </c>
      <c r="X3361">
        <v>0.99969079999999999</v>
      </c>
      <c r="Y3361">
        <v>-4.4097619999999997E-2</v>
      </c>
      <c r="Z3361">
        <v>5.7925119999999997E-3</v>
      </c>
      <c r="AA3361">
        <v>0.99901039999999997</v>
      </c>
      <c r="AB3361">
        <v>22</v>
      </c>
      <c r="AC3361">
        <v>17.217300000000002</v>
      </c>
      <c r="AD3361">
        <v>-1.108333409683</v>
      </c>
      <c r="AE3361">
        <v>-0.417399999999986</v>
      </c>
      <c r="AF3361">
        <v>-0.77230726503786595</v>
      </c>
      <c r="AG3361">
        <v>-1.108333409683</v>
      </c>
      <c r="AH3361">
        <v>17.133929964260499</v>
      </c>
      <c r="AI3361">
        <v>93.697361432999998</v>
      </c>
      <c r="AJ3361">
        <v>92.580844870101004</v>
      </c>
      <c r="AK3361">
        <v>17.187100322009901</v>
      </c>
      <c r="AL3361">
        <v>88.699624207272706</v>
      </c>
      <c r="AM3361">
        <v>89.417703417293197</v>
      </c>
      <c r="AN3361">
        <v>0.99999996895600496</v>
      </c>
    </row>
    <row r="3362" spans="1:40" x14ac:dyDescent="0.25">
      <c r="A3362" t="str">
        <f>"20190312160358054"</f>
        <v>20190312160358054</v>
      </c>
      <c r="B3362" t="str">
        <f>"1552377838047727"</f>
        <v>1552377838047727</v>
      </c>
      <c r="C3362" t="s">
        <v>40</v>
      </c>
      <c r="D3362">
        <v>5.8900180000000004</v>
      </c>
      <c r="E3362">
        <v>0.4813636</v>
      </c>
      <c r="F3362" t="s">
        <v>70</v>
      </c>
      <c r="G3362">
        <v>-445.66669999999999</v>
      </c>
      <c r="H3362" s="1">
        <v>1.450064E-6</v>
      </c>
      <c r="I3362">
        <v>215.2724</v>
      </c>
      <c r="J3362">
        <v>-462.9271</v>
      </c>
      <c r="K3362">
        <v>1.1083419999999999</v>
      </c>
      <c r="L3362">
        <v>215.7072</v>
      </c>
      <c r="M3362">
        <v>0.99733309999999997</v>
      </c>
      <c r="N3362">
        <v>0</v>
      </c>
      <c r="O3362">
        <v>-7.1942549999999994E-2</v>
      </c>
      <c r="P3362">
        <v>0.99670029999999998</v>
      </c>
      <c r="Q3362">
        <v>1.0570889999999999E-2</v>
      </c>
      <c r="R3362">
        <v>-8.0480650000000001E-2</v>
      </c>
      <c r="S3362">
        <v>3.0054319999999999</v>
      </c>
      <c r="T3362">
        <v>-0.19052089999999999</v>
      </c>
      <c r="U3362">
        <v>-7.794189E-2</v>
      </c>
      <c r="V3362">
        <v>8.6584039999999998E-3</v>
      </c>
      <c r="W3362">
        <v>2.283023E-2</v>
      </c>
      <c r="X3362">
        <v>0.99970190000000003</v>
      </c>
      <c r="Y3362">
        <v>-4.5830070000000001E-2</v>
      </c>
      <c r="Z3362">
        <v>6.0025199999999999E-3</v>
      </c>
      <c r="AA3362">
        <v>0.99893120000000002</v>
      </c>
      <c r="AB3362">
        <v>22</v>
      </c>
      <c r="AC3362">
        <v>17.260400000000001</v>
      </c>
      <c r="AD3362">
        <v>-1.108340549936</v>
      </c>
      <c r="AE3362">
        <v>-0.43479999999999502</v>
      </c>
      <c r="AF3362">
        <v>-0.804861182555345</v>
      </c>
      <c r="AG3362">
        <v>-1.108340549936</v>
      </c>
      <c r="AH3362">
        <v>17.1761731155351</v>
      </c>
      <c r="AI3362">
        <v>93.688015902390703</v>
      </c>
      <c r="AJ3362">
        <v>92.682870043922307</v>
      </c>
      <c r="AK3362">
        <v>17.2307035025459</v>
      </c>
      <c r="AL3362">
        <v>88.691810566477201</v>
      </c>
      <c r="AM3362">
        <v>89.503774472439005</v>
      </c>
      <c r="AN3362">
        <v>1.0000000381126399</v>
      </c>
    </row>
    <row r="3363" spans="1:40" x14ac:dyDescent="0.25">
      <c r="A3363" t="str">
        <f>"20190312160358077"</f>
        <v>20190312160358077</v>
      </c>
      <c r="B3363" t="str">
        <f>"1552377838068223"</f>
        <v>1552377838068223</v>
      </c>
      <c r="C3363" t="s">
        <v>40</v>
      </c>
      <c r="D3363">
        <v>5.6658400000000002</v>
      </c>
      <c r="E3363">
        <v>0.48131230000000003</v>
      </c>
      <c r="F3363" t="s">
        <v>70</v>
      </c>
      <c r="G3363">
        <v>-445.5634</v>
      </c>
      <c r="H3363" s="1">
        <v>1.3969450000000001E-6</v>
      </c>
      <c r="I3363">
        <v>215.23009999999999</v>
      </c>
      <c r="J3363">
        <v>-462.69749999999999</v>
      </c>
      <c r="K3363">
        <v>1.1083609999999999</v>
      </c>
      <c r="L3363">
        <v>215.6874</v>
      </c>
      <c r="M3363">
        <v>0.99712849999999997</v>
      </c>
      <c r="N3363">
        <v>0</v>
      </c>
      <c r="O3363">
        <v>-7.4724310000000002E-2</v>
      </c>
      <c r="P3363">
        <v>0.99654960000000004</v>
      </c>
      <c r="Q3363">
        <v>1.15639E-2</v>
      </c>
      <c r="R3363">
        <v>-8.2190100000000002E-2</v>
      </c>
      <c r="S3363">
        <v>3.0053100000000001</v>
      </c>
      <c r="T3363">
        <v>-0.19183159999999999</v>
      </c>
      <c r="U3363">
        <v>-8.2565310000000003E-2</v>
      </c>
      <c r="V3363">
        <v>7.587824E-3</v>
      </c>
      <c r="W3363">
        <v>2.382894E-2</v>
      </c>
      <c r="X3363">
        <v>0.99968729999999995</v>
      </c>
      <c r="Y3363">
        <v>-4.7068449999999998E-2</v>
      </c>
      <c r="Z3363">
        <v>6.2601790000000003E-3</v>
      </c>
      <c r="AA3363">
        <v>0.99887199999999998</v>
      </c>
      <c r="AB3363">
        <v>22</v>
      </c>
      <c r="AC3363">
        <v>17.134099999999901</v>
      </c>
      <c r="AD3363">
        <v>-1.108359603055</v>
      </c>
      <c r="AE3363">
        <v>-0.45730000000000298</v>
      </c>
      <c r="AF3363">
        <v>-0.82097630324092497</v>
      </c>
      <c r="AG3363">
        <v>-1.108359603055</v>
      </c>
      <c r="AH3363">
        <v>17.049073489715202</v>
      </c>
      <c r="AI3363">
        <v>93.715269420946498</v>
      </c>
      <c r="AJ3363">
        <v>92.756875350379602</v>
      </c>
      <c r="AK3363">
        <v>17.104776232324099</v>
      </c>
      <c r="AL3363">
        <v>88.634573130148993</v>
      </c>
      <c r="AM3363">
        <v>89.565122071308807</v>
      </c>
      <c r="AN3363">
        <v>1.0000000456179301</v>
      </c>
    </row>
    <row r="3364" spans="1:40" x14ac:dyDescent="0.25">
      <c r="A3364" t="str">
        <f>"20190312160358121"</f>
        <v>20190312160358121</v>
      </c>
      <c r="B3364" t="str">
        <f>"1552377838108239"</f>
        <v>1552377838108239</v>
      </c>
      <c r="C3364" t="s">
        <v>40</v>
      </c>
      <c r="D3364">
        <v>5.6643160000000004</v>
      </c>
      <c r="E3364">
        <v>0.48111779999999998</v>
      </c>
      <c r="F3364" t="s">
        <v>70</v>
      </c>
      <c r="G3364">
        <v>-445.10680000000002</v>
      </c>
      <c r="H3364" s="1">
        <v>1.1563869999999999E-6</v>
      </c>
      <c r="I3364">
        <v>215.17439999999999</v>
      </c>
      <c r="J3364">
        <v>-462.25720000000001</v>
      </c>
      <c r="K3364">
        <v>1.1084179999999999</v>
      </c>
      <c r="L3364">
        <v>215.64760000000001</v>
      </c>
      <c r="M3364">
        <v>0.99672159999999999</v>
      </c>
      <c r="N3364">
        <v>0</v>
      </c>
      <c r="O3364">
        <v>-7.9969310000000002E-2</v>
      </c>
      <c r="P3364">
        <v>0.99621219999999999</v>
      </c>
      <c r="Q3364">
        <v>9.8063539999999998E-3</v>
      </c>
      <c r="R3364">
        <v>-8.6402859999999998E-2</v>
      </c>
      <c r="S3364">
        <v>3.0054020000000001</v>
      </c>
      <c r="T3364">
        <v>-0.18936439999999999</v>
      </c>
      <c r="U3364">
        <v>-8.7646479999999999E-2</v>
      </c>
      <c r="V3364">
        <v>6.5425290000000001E-3</v>
      </c>
      <c r="W3364">
        <v>2.20775E-2</v>
      </c>
      <c r="X3364">
        <v>0.99973489999999998</v>
      </c>
      <c r="Y3364">
        <v>-5.0625780000000002E-2</v>
      </c>
      <c r="Z3364">
        <v>6.6205219999999898E-3</v>
      </c>
      <c r="AA3364">
        <v>0.99869569999999996</v>
      </c>
      <c r="AB3364">
        <v>22</v>
      </c>
      <c r="AC3364">
        <v>17.150399999999902</v>
      </c>
      <c r="AD3364">
        <v>-1.108416843613</v>
      </c>
      <c r="AE3364">
        <v>-0.47320000000001899</v>
      </c>
      <c r="AF3364">
        <v>-0.89618446586885803</v>
      </c>
      <c r="AG3364">
        <v>-1.108416843613</v>
      </c>
      <c r="AH3364">
        <v>17.062095836226099</v>
      </c>
      <c r="AI3364">
        <v>93.711820434911701</v>
      </c>
      <c r="AJ3364">
        <v>93.006690722527907</v>
      </c>
      <c r="AK3364">
        <v>17.121531731145801</v>
      </c>
      <c r="AL3364">
        <v>88.734949703522304</v>
      </c>
      <c r="AM3364">
        <v>89.625046652103094</v>
      </c>
      <c r="AN3364">
        <v>1.00000004548498</v>
      </c>
    </row>
    <row r="3365" spans="1:40" x14ac:dyDescent="0.25">
      <c r="A3365" t="str">
        <f>"20190312160358142"</f>
        <v>20190312160358142</v>
      </c>
      <c r="B3365" t="str">
        <f>"1552377838127759"</f>
        <v>1552377838127759</v>
      </c>
      <c r="C3365" t="s">
        <v>40</v>
      </c>
      <c r="D3365">
        <v>5.6576570000000004</v>
      </c>
      <c r="E3365">
        <v>0.48213509999999998</v>
      </c>
      <c r="F3365" t="s">
        <v>70</v>
      </c>
      <c r="G3365">
        <v>-445.28809999999999</v>
      </c>
      <c r="H3365" s="1">
        <v>1.256516E-6</v>
      </c>
      <c r="I3365">
        <v>215.09100000000001</v>
      </c>
      <c r="J3365">
        <v>-462.05290000000002</v>
      </c>
      <c r="K3365">
        <v>1.1084369999999999</v>
      </c>
      <c r="L3365">
        <v>215.6284</v>
      </c>
      <c r="M3365">
        <v>0.99652689999999999</v>
      </c>
      <c r="N3365">
        <v>0</v>
      </c>
      <c r="O3365">
        <v>-8.2360100000000006E-2</v>
      </c>
      <c r="P3365">
        <v>0.99607460000000003</v>
      </c>
      <c r="Q3365">
        <v>8.6194410000000003E-3</v>
      </c>
      <c r="R3365">
        <v>-8.8098300000000004E-2</v>
      </c>
      <c r="S3365">
        <v>3.0048219999999999</v>
      </c>
      <c r="T3365">
        <v>-0.19627339999999999</v>
      </c>
      <c r="U3365">
        <v>-9.8556519999999995E-2</v>
      </c>
      <c r="V3365">
        <v>5.8385609999999999E-3</v>
      </c>
      <c r="W3365">
        <v>2.0894260000000001E-2</v>
      </c>
      <c r="X3365">
        <v>0.9997646</v>
      </c>
      <c r="Y3365">
        <v>-4.9371659999999998E-2</v>
      </c>
      <c r="Z3365">
        <v>6.9768900000000003E-3</v>
      </c>
      <c r="AA3365">
        <v>0.99875610000000004</v>
      </c>
      <c r="AB3365">
        <v>22</v>
      </c>
      <c r="AC3365">
        <v>16.764800000000001</v>
      </c>
      <c r="AD3365">
        <v>-1.108435743484</v>
      </c>
      <c r="AE3365">
        <v>-0.53740000000001897</v>
      </c>
      <c r="AF3365">
        <v>-0.84160559908196497</v>
      </c>
      <c r="AG3365">
        <v>-1.108435743484</v>
      </c>
      <c r="AH3365">
        <v>16.679261407654501</v>
      </c>
      <c r="AI3365">
        <v>93.797236772744299</v>
      </c>
      <c r="AJ3365">
        <v>92.888592395596305</v>
      </c>
      <c r="AK3365">
        <v>16.737224706823799</v>
      </c>
      <c r="AL3365">
        <v>88.8027599106683</v>
      </c>
      <c r="AM3365">
        <v>89.665400134357895</v>
      </c>
      <c r="AN3365">
        <v>0.99999995715432799</v>
      </c>
    </row>
    <row r="3366" spans="1:40" x14ac:dyDescent="0.25">
      <c r="A3366" t="str">
        <f>"20190312160358165"</f>
        <v>20190312160358165</v>
      </c>
      <c r="B3366" t="str">
        <f>"1552377838158015"</f>
        <v>1552377838158015</v>
      </c>
      <c r="C3366" t="s">
        <v>40</v>
      </c>
      <c r="D3366">
        <v>5.7461339999999996</v>
      </c>
      <c r="E3366">
        <v>0.4825295</v>
      </c>
      <c r="F3366" t="s">
        <v>70</v>
      </c>
      <c r="G3366">
        <v>-450.8424</v>
      </c>
      <c r="H3366" s="1">
        <v>-1.1152370000000001E-6</v>
      </c>
      <c r="I3366">
        <v>215.2276</v>
      </c>
      <c r="J3366">
        <v>-461.82670000000002</v>
      </c>
      <c r="K3366">
        <v>1.1084540000000001</v>
      </c>
      <c r="L3366">
        <v>215.60659999999999</v>
      </c>
      <c r="M3366">
        <v>0.99630640000000004</v>
      </c>
      <c r="N3366">
        <v>0</v>
      </c>
      <c r="O3366">
        <v>-8.4984699999999996E-2</v>
      </c>
      <c r="P3366">
        <v>0.99595489999999998</v>
      </c>
      <c r="Q3366">
        <v>7.5744969999999899E-3</v>
      </c>
      <c r="R3366">
        <v>-8.9535749999999997E-2</v>
      </c>
      <c r="S3366">
        <v>3.004883</v>
      </c>
      <c r="T3366">
        <v>-0.29710599999999998</v>
      </c>
      <c r="U3366">
        <v>-0.1074219</v>
      </c>
      <c r="V3366">
        <v>4.6415680000000004E-3</v>
      </c>
      <c r="W3366">
        <v>1.985402E-2</v>
      </c>
      <c r="X3366">
        <v>0.99979209999999996</v>
      </c>
      <c r="Y3366">
        <v>-4.8690070000000002E-2</v>
      </c>
      <c r="Z3366">
        <v>1.077005E-2</v>
      </c>
      <c r="AA3366">
        <v>0.99875590000000003</v>
      </c>
      <c r="AB3366">
        <v>22</v>
      </c>
      <c r="AC3366">
        <v>10.984299999999999</v>
      </c>
      <c r="AD3366">
        <v>-1.1084551152369999</v>
      </c>
      <c r="AE3366">
        <v>-0.37899999999999001</v>
      </c>
      <c r="AF3366">
        <v>-0.55034166575989596</v>
      </c>
      <c r="AG3366">
        <v>-1.1084551152369999</v>
      </c>
      <c r="AH3366">
        <v>10.866243851611801</v>
      </c>
      <c r="AI3366">
        <v>95.8171354098927</v>
      </c>
      <c r="AJ3366">
        <v>92.899376763478898</v>
      </c>
      <c r="AK3366">
        <v>10.936489570893301</v>
      </c>
      <c r="AL3366">
        <v>88.862373683267904</v>
      </c>
      <c r="AM3366">
        <v>89.734004353385302</v>
      </c>
      <c r="AN3366">
        <v>0.99999998474303398</v>
      </c>
    </row>
    <row r="3367" spans="1:40" x14ac:dyDescent="0.25">
      <c r="A3367" t="str">
        <f>"20190312160358188"</f>
        <v>20190312160358188</v>
      </c>
      <c r="B3367" t="str">
        <f>"1552377838177535"</f>
        <v>1552377838177535</v>
      </c>
      <c r="C3367" t="s">
        <v>40</v>
      </c>
      <c r="D3367">
        <v>5.6848530000000004</v>
      </c>
      <c r="E3367">
        <v>0.47901700000000003</v>
      </c>
      <c r="F3367" t="s">
        <v>49</v>
      </c>
      <c r="G3367">
        <v>-461.08190000000002</v>
      </c>
      <c r="H3367">
        <v>1.0232969999999999</v>
      </c>
      <c r="I3367">
        <v>215.57820000000001</v>
      </c>
      <c r="J3367">
        <v>-461.60680000000002</v>
      </c>
      <c r="K3367">
        <v>1.108466</v>
      </c>
      <c r="L3367">
        <v>215.5848</v>
      </c>
      <c r="M3367">
        <v>0.99608680000000005</v>
      </c>
      <c r="N3367">
        <v>0</v>
      </c>
      <c r="O3367">
        <v>-8.7521329999999994E-2</v>
      </c>
      <c r="P3367">
        <v>0.99584899999999998</v>
      </c>
      <c r="Q3367">
        <v>6.9918150000000002E-3</v>
      </c>
      <c r="R3367">
        <v>-9.0753059999999997E-2</v>
      </c>
      <c r="S3367">
        <v>3.0046080000000002</v>
      </c>
      <c r="T3367">
        <v>-0.34343119999999999</v>
      </c>
      <c r="U3367">
        <v>-0.11373900000000001</v>
      </c>
      <c r="V3367">
        <v>3.314142E-3</v>
      </c>
      <c r="W3367">
        <v>1.9276209999999998E-2</v>
      </c>
      <c r="X3367">
        <v>0.99980869999999999</v>
      </c>
      <c r="Y3367">
        <v>-4.8897530000000002E-2</v>
      </c>
      <c r="Z3367">
        <v>1.273932E-2</v>
      </c>
      <c r="AA3367">
        <v>0.99872260000000002</v>
      </c>
      <c r="AB3367">
        <v>22</v>
      </c>
      <c r="AC3367">
        <v>0.52490000000000203</v>
      </c>
      <c r="AD3367">
        <v>-8.5168999999999995E-2</v>
      </c>
      <c r="AE3367">
        <v>-6.5999999999917201E-3</v>
      </c>
      <c r="AF3367">
        <v>-3.8359009775664303E-2</v>
      </c>
      <c r="AG3367">
        <v>-8.5168999999999995E-2</v>
      </c>
      <c r="AH3367">
        <v>0.51003725873254202</v>
      </c>
      <c r="AI3367">
        <v>99.453899027481299</v>
      </c>
      <c r="AJ3367">
        <v>94.301018261704797</v>
      </c>
      <c r="AK3367">
        <v>0.51852018040513703</v>
      </c>
      <c r="AL3367">
        <v>88.895486109472202</v>
      </c>
      <c r="AM3367">
        <v>89.8100780140864</v>
      </c>
      <c r="AN3367">
        <v>0.99999999620242497</v>
      </c>
    </row>
    <row r="3368" spans="1:40" x14ac:dyDescent="0.25">
      <c r="A3368" t="str">
        <f>"20190312160358211"</f>
        <v>20190312160358211</v>
      </c>
      <c r="B3368" t="str">
        <f>"1552377838198031"</f>
        <v>1552377838198031</v>
      </c>
      <c r="C3368" t="s">
        <v>40</v>
      </c>
      <c r="D3368">
        <v>5.8413380000000004</v>
      </c>
      <c r="E3368">
        <v>0.47896919999999998</v>
      </c>
      <c r="F3368" t="s">
        <v>70</v>
      </c>
      <c r="G3368">
        <v>-445.54270000000002</v>
      </c>
      <c r="H3368" s="1">
        <v>1.392868E-6</v>
      </c>
      <c r="I3368">
        <v>215.07140000000001</v>
      </c>
      <c r="J3368">
        <v>-461.3777</v>
      </c>
      <c r="K3368">
        <v>1.108476</v>
      </c>
      <c r="L3368">
        <v>215.5615</v>
      </c>
      <c r="M3368">
        <v>0.9958515</v>
      </c>
      <c r="N3368">
        <v>0</v>
      </c>
      <c r="O3368">
        <v>-9.0159740000000002E-2</v>
      </c>
      <c r="P3368">
        <v>0.99563970000000002</v>
      </c>
      <c r="Q3368">
        <v>6.7489759999999899E-3</v>
      </c>
      <c r="R3368">
        <v>-9.3038480000000007E-2</v>
      </c>
      <c r="S3368">
        <v>3.0052490000000001</v>
      </c>
      <c r="T3368">
        <v>-0.20736979999999999</v>
      </c>
      <c r="U3368">
        <v>-9.605408E-2</v>
      </c>
      <c r="V3368">
        <v>2.9583320000000001E-3</v>
      </c>
      <c r="W3368">
        <v>1.9034969999999998E-2</v>
      </c>
      <c r="X3368">
        <v>0.99981450000000005</v>
      </c>
      <c r="Y3368">
        <v>-5.795372E-2</v>
      </c>
      <c r="Z3368">
        <v>8.2007669999999994E-3</v>
      </c>
      <c r="AA3368">
        <v>0.9982856</v>
      </c>
      <c r="AB3368">
        <v>22</v>
      </c>
      <c r="AC3368">
        <v>15.8349999999999</v>
      </c>
      <c r="AD3368">
        <v>-1.108474607132</v>
      </c>
      <c r="AE3368">
        <v>-0.49009999999998399</v>
      </c>
      <c r="AF3368">
        <v>-0.93510578029693903</v>
      </c>
      <c r="AG3368">
        <v>-1.108474607132</v>
      </c>
      <c r="AH3368">
        <v>15.7376458482965</v>
      </c>
      <c r="AI3368">
        <v>94.021880729166099</v>
      </c>
      <c r="AJ3368">
        <v>93.400425679975598</v>
      </c>
      <c r="AK3368">
        <v>15.804323320579201</v>
      </c>
      <c r="AL3368">
        <v>88.909310747542193</v>
      </c>
      <c r="AM3368">
        <v>89.830469108674507</v>
      </c>
      <c r="AN3368">
        <v>1.00000005811068</v>
      </c>
    </row>
    <row r="3369" spans="1:40" x14ac:dyDescent="0.25">
      <c r="A3369" t="str">
        <f>"20190312160358232"</f>
        <v>20190312160358232</v>
      </c>
      <c r="B3369" t="str">
        <f>"1552377838217550"</f>
        <v>1552377838217550</v>
      </c>
      <c r="C3369" t="s">
        <v>40</v>
      </c>
      <c r="D3369">
        <v>5.710553</v>
      </c>
      <c r="E3369">
        <v>0.4786242</v>
      </c>
      <c r="F3369" t="s">
        <v>70</v>
      </c>
      <c r="G3369">
        <v>-445.786</v>
      </c>
      <c r="H3369" s="1">
        <v>1.5240890000000001E-6</v>
      </c>
      <c r="I3369">
        <v>215.03110000000001</v>
      </c>
      <c r="J3369">
        <v>-461.17</v>
      </c>
      <c r="K3369">
        <v>1.1084860000000001</v>
      </c>
      <c r="L3369">
        <v>215.53980000000001</v>
      </c>
      <c r="M3369">
        <v>0.99563190000000001</v>
      </c>
      <c r="N3369">
        <v>0</v>
      </c>
      <c r="O3369">
        <v>-9.2553399999999994E-2</v>
      </c>
      <c r="P3369">
        <v>0.99548159999999997</v>
      </c>
      <c r="Q3369">
        <v>6.2646309999999997E-3</v>
      </c>
      <c r="R3369">
        <v>-9.4749310000000003E-2</v>
      </c>
      <c r="S3369">
        <v>3.0050050000000001</v>
      </c>
      <c r="T3369">
        <v>-0.21363779999999999</v>
      </c>
      <c r="U3369">
        <v>-0.10221860000000001</v>
      </c>
      <c r="V3369">
        <v>2.2703509999999999E-3</v>
      </c>
      <c r="W3369">
        <v>1.8553449999999999E-2</v>
      </c>
      <c r="X3369">
        <v>0.99982530000000003</v>
      </c>
      <c r="Y3369">
        <v>-5.8276889999999998E-2</v>
      </c>
      <c r="Z3369">
        <v>8.6290050000000004E-3</v>
      </c>
      <c r="AA3369">
        <v>0.99826320000000002</v>
      </c>
      <c r="AB3369">
        <v>22</v>
      </c>
      <c r="AC3369">
        <v>15.384</v>
      </c>
      <c r="AD3369">
        <v>-1.108484475911</v>
      </c>
      <c r="AE3369">
        <v>-0.50870000000000404</v>
      </c>
      <c r="AF3369">
        <v>-0.91269941421718304</v>
      </c>
      <c r="AG3369">
        <v>-1.108484475911</v>
      </c>
      <c r="AH3369">
        <v>15.285768602232199</v>
      </c>
      <c r="AI3369">
        <v>94.140333371782305</v>
      </c>
      <c r="AJ3369">
        <v>93.417022250734107</v>
      </c>
      <c r="AK3369">
        <v>15.3530609265721</v>
      </c>
      <c r="AL3369">
        <v>88.936904630250694</v>
      </c>
      <c r="AM3369">
        <v>89.869895964090503</v>
      </c>
      <c r="AN3369">
        <v>1.0000000077603199</v>
      </c>
    </row>
    <row r="3370" spans="1:40" x14ac:dyDescent="0.25">
      <c r="A3370" t="str">
        <f>"20190312160358257"</f>
        <v>20190312160358257</v>
      </c>
      <c r="B3370" t="str">
        <f>"1552377838247807"</f>
        <v>1552377838247807</v>
      </c>
      <c r="C3370" t="s">
        <v>40</v>
      </c>
      <c r="D3370">
        <v>5.7446210000000004</v>
      </c>
      <c r="E3370">
        <v>0.47817219999999999</v>
      </c>
      <c r="F3370" t="s">
        <v>70</v>
      </c>
      <c r="G3370">
        <v>-445.90750000000003</v>
      </c>
      <c r="H3370" s="1">
        <v>1.589738E-6</v>
      </c>
      <c r="I3370">
        <v>215.0087</v>
      </c>
      <c r="J3370">
        <v>-460.93009999999998</v>
      </c>
      <c r="K3370">
        <v>1.108487</v>
      </c>
      <c r="L3370">
        <v>215.51419999999999</v>
      </c>
      <c r="M3370">
        <v>0.99537030000000004</v>
      </c>
      <c r="N3370">
        <v>0</v>
      </c>
      <c r="O3370">
        <v>-9.5324400000000004E-2</v>
      </c>
      <c r="P3370">
        <v>0.99525269999999999</v>
      </c>
      <c r="Q3370">
        <v>7.0774389999999996E-3</v>
      </c>
      <c r="R3370">
        <v>-9.7066399999999997E-2</v>
      </c>
      <c r="S3370">
        <v>3.0050050000000001</v>
      </c>
      <c r="T3370">
        <v>-0.21824760000000001</v>
      </c>
      <c r="U3370">
        <v>-0.1045837</v>
      </c>
      <c r="V3370">
        <v>1.8180799999999999E-3</v>
      </c>
      <c r="W3370">
        <v>1.9368219999999998E-2</v>
      </c>
      <c r="X3370">
        <v>0.9998108</v>
      </c>
      <c r="Y3370">
        <v>-6.0241839999999998E-2</v>
      </c>
      <c r="Z3370">
        <v>9.0858840000000007E-3</v>
      </c>
      <c r="AA3370">
        <v>0.99814250000000004</v>
      </c>
      <c r="AB3370">
        <v>22</v>
      </c>
      <c r="AC3370">
        <v>15.022599999999899</v>
      </c>
      <c r="AD3370">
        <v>-1.1084854102619901</v>
      </c>
      <c r="AE3370">
        <v>-0.50549999999998296</v>
      </c>
      <c r="AF3370">
        <v>-0.923906231746218</v>
      </c>
      <c r="AG3370">
        <v>-1.1084854102619901</v>
      </c>
      <c r="AH3370">
        <v>14.9212218519058</v>
      </c>
      <c r="AI3370">
        <v>94.240560720944003</v>
      </c>
      <c r="AJ3370">
        <v>93.543170401549403</v>
      </c>
      <c r="AK3370">
        <v>14.990837340976499</v>
      </c>
      <c r="AL3370">
        <v>88.890213382991405</v>
      </c>
      <c r="AM3370">
        <v>89.895812091646903</v>
      </c>
      <c r="AN3370">
        <v>1.0000000345787401</v>
      </c>
    </row>
    <row r="3371" spans="1:40" x14ac:dyDescent="0.25">
      <c r="A3371" t="str">
        <f>"20190312160358280"</f>
        <v>20190312160358280</v>
      </c>
      <c r="B3371" t="str">
        <f>"1552377838268303"</f>
        <v>1552377838268303</v>
      </c>
      <c r="C3371" t="s">
        <v>40</v>
      </c>
      <c r="D3371">
        <v>5.7251219999999998</v>
      </c>
      <c r="E3371">
        <v>0.47848000000000002</v>
      </c>
      <c r="F3371" t="s">
        <v>70</v>
      </c>
      <c r="G3371">
        <v>-445.68680000000001</v>
      </c>
      <c r="H3371" s="1">
        <v>1.474216E-6</v>
      </c>
      <c r="I3371">
        <v>214.96440000000001</v>
      </c>
      <c r="J3371">
        <v>-460.7099</v>
      </c>
      <c r="K3371">
        <v>1.108493</v>
      </c>
      <c r="L3371">
        <v>215.49010000000001</v>
      </c>
      <c r="M3371">
        <v>0.99512330000000004</v>
      </c>
      <c r="N3371">
        <v>0</v>
      </c>
      <c r="O3371">
        <v>-9.7870280000000004E-2</v>
      </c>
      <c r="P3371">
        <v>0.99509539999999996</v>
      </c>
      <c r="Q3371">
        <v>7.0072750000000003E-3</v>
      </c>
      <c r="R3371">
        <v>-9.8672109999999993E-2</v>
      </c>
      <c r="S3371">
        <v>3.0053100000000001</v>
      </c>
      <c r="T3371">
        <v>-0.21854499999999999</v>
      </c>
      <c r="U3371">
        <v>-0.10839840000000001</v>
      </c>
      <c r="V3371">
        <v>8.7296759999999998E-4</v>
      </c>
      <c r="W3371">
        <v>1.9300999999999999E-2</v>
      </c>
      <c r="X3371">
        <v>0.99981330000000002</v>
      </c>
      <c r="Y3371">
        <v>-6.1522239999999999E-2</v>
      </c>
      <c r="Z3371">
        <v>9.3275130000000008E-3</v>
      </c>
      <c r="AA3371">
        <v>0.99806209999999995</v>
      </c>
      <c r="AB3371">
        <v>22</v>
      </c>
      <c r="AC3371">
        <v>15.023099999999999</v>
      </c>
      <c r="AD3371">
        <v>-1.108491525784</v>
      </c>
      <c r="AE3371">
        <v>-0.52569999999999995</v>
      </c>
      <c r="AF3371">
        <v>-0.94212722453284403</v>
      </c>
      <c r="AG3371">
        <v>-1.108491525784</v>
      </c>
      <c r="AH3371">
        <v>14.921282915625699</v>
      </c>
      <c r="AI3371">
        <v>94.240245458706198</v>
      </c>
      <c r="AJ3371">
        <v>93.612849668737894</v>
      </c>
      <c r="AK3371">
        <v>14.9920325846126</v>
      </c>
      <c r="AL3371">
        <v>88.894065445811705</v>
      </c>
      <c r="AM3371">
        <v>89.949973313596303</v>
      </c>
      <c r="AN3371">
        <v>0.99999996276515901</v>
      </c>
    </row>
    <row r="3372" spans="1:40" x14ac:dyDescent="0.25">
      <c r="A3372" t="str">
        <f>"20190312160358321"</f>
        <v>20190312160358321</v>
      </c>
      <c r="B3372" t="str">
        <f>"1552377838308319"</f>
        <v>1552377838308319</v>
      </c>
      <c r="C3372" t="s">
        <v>40</v>
      </c>
      <c r="D3372">
        <v>5.7626949999999999</v>
      </c>
      <c r="E3372">
        <v>0.47604259999999898</v>
      </c>
      <c r="F3372" t="s">
        <v>70</v>
      </c>
      <c r="G3372">
        <v>-449.46350000000001</v>
      </c>
      <c r="H3372" s="1">
        <v>3.4794920000000001E-6</v>
      </c>
      <c r="I3372">
        <v>215.06720000000001</v>
      </c>
      <c r="J3372">
        <v>-460.28879999999998</v>
      </c>
      <c r="K3372">
        <v>1.108514</v>
      </c>
      <c r="L3372">
        <v>215.4425</v>
      </c>
      <c r="M3372">
        <v>0.99463429999999997</v>
      </c>
      <c r="N3372">
        <v>0</v>
      </c>
      <c r="O3372">
        <v>-0.10272050000000001</v>
      </c>
      <c r="P3372">
        <v>0.99464730000000001</v>
      </c>
      <c r="Q3372">
        <v>7.0006010000000004E-3</v>
      </c>
      <c r="R3372">
        <v>-0.1030918</v>
      </c>
      <c r="S3372">
        <v>3.0056759999999998</v>
      </c>
      <c r="T3372">
        <v>-0.2962515</v>
      </c>
      <c r="U3372">
        <v>-0.1130371</v>
      </c>
      <c r="V3372">
        <v>4.3950599999999999E-4</v>
      </c>
      <c r="W3372">
        <v>1.929432E-2</v>
      </c>
      <c r="X3372">
        <v>0.99981370000000003</v>
      </c>
      <c r="Y3372">
        <v>-6.4466300000000004E-2</v>
      </c>
      <c r="Z3372">
        <v>1.324725E-2</v>
      </c>
      <c r="AA3372">
        <v>0.99783189999999999</v>
      </c>
      <c r="AB3372">
        <v>22</v>
      </c>
      <c r="AC3372">
        <v>10.825299999999899</v>
      </c>
      <c r="AD3372">
        <v>-1.1085105205079999</v>
      </c>
      <c r="AE3372">
        <v>-0.37529999999998098</v>
      </c>
      <c r="AF3372">
        <v>-0.73109293420506505</v>
      </c>
      <c r="AG3372">
        <v>-1.1085105205079999</v>
      </c>
      <c r="AH3372">
        <v>10.6945761084484</v>
      </c>
      <c r="AI3372">
        <v>95.903988671192707</v>
      </c>
      <c r="AJ3372">
        <v>93.910717897363597</v>
      </c>
      <c r="AK3372">
        <v>10.776699429413201</v>
      </c>
      <c r="AL3372">
        <v>88.894448238061898</v>
      </c>
      <c r="AM3372">
        <v>89.974813470500806</v>
      </c>
      <c r="AN3372">
        <v>0.99999994932873604</v>
      </c>
    </row>
    <row r="3373" spans="1:40" x14ac:dyDescent="0.25">
      <c r="A3373" t="str">
        <f>"20190312160358343"</f>
        <v>20190312160358343</v>
      </c>
      <c r="B3373" t="str">
        <f>"1552377838337599"</f>
        <v>1552377838337599</v>
      </c>
      <c r="C3373" t="s">
        <v>40</v>
      </c>
      <c r="D3373">
        <v>5.7760980000000002</v>
      </c>
      <c r="E3373">
        <v>0.47678540000000003</v>
      </c>
      <c r="F3373" t="s">
        <v>70</v>
      </c>
      <c r="G3373">
        <v>-445.40370000000001</v>
      </c>
      <c r="H3373" s="1">
        <v>1.3263990000000001E-6</v>
      </c>
      <c r="I3373">
        <v>214.89920000000001</v>
      </c>
      <c r="J3373">
        <v>-460.07389999999998</v>
      </c>
      <c r="K3373">
        <v>1.108536</v>
      </c>
      <c r="L3373">
        <v>215.41739999999999</v>
      </c>
      <c r="M3373">
        <v>0.9943786</v>
      </c>
      <c r="N3373">
        <v>0</v>
      </c>
      <c r="O3373">
        <v>-0.10516689999999999</v>
      </c>
      <c r="P3373">
        <v>0.9944944</v>
      </c>
      <c r="Q3373">
        <v>7.9599479999999997E-3</v>
      </c>
      <c r="R3373">
        <v>-0.1044892</v>
      </c>
      <c r="S3373">
        <v>3.0063170000000001</v>
      </c>
      <c r="T3373">
        <v>-0.22388359999999999</v>
      </c>
      <c r="U3373">
        <v>-0.1097412</v>
      </c>
      <c r="V3373">
        <v>-6.1195849999999997E-4</v>
      </c>
      <c r="W3373">
        <v>2.025687E-2</v>
      </c>
      <c r="X3373">
        <v>0.99979459999999998</v>
      </c>
      <c r="Y3373">
        <v>-6.8349320000000005E-2</v>
      </c>
      <c r="Z3373">
        <v>1.0345089999999999E-2</v>
      </c>
      <c r="AA3373">
        <v>0.99760780000000004</v>
      </c>
      <c r="AB3373">
        <v>22</v>
      </c>
      <c r="AC3373">
        <v>14.6701999999999</v>
      </c>
      <c r="AD3373">
        <v>-1.108534673601</v>
      </c>
      <c r="AE3373">
        <v>-0.51819999999997801</v>
      </c>
      <c r="AF3373">
        <v>-1.0217831345489801</v>
      </c>
      <c r="AG3373">
        <v>-1.108534673601</v>
      </c>
      <c r="AH3373">
        <v>14.560303054005599</v>
      </c>
      <c r="AI3373">
        <v>94.343119963020797</v>
      </c>
      <c r="AJ3373">
        <v>94.014204991882806</v>
      </c>
      <c r="AK3373">
        <v>14.6381458839946</v>
      </c>
      <c r="AL3373">
        <v>88.839287427652195</v>
      </c>
      <c r="AM3373">
        <v>90.035069838253193</v>
      </c>
      <c r="AN3373">
        <v>0.99999997873228097</v>
      </c>
    </row>
    <row r="3374" spans="1:40" x14ac:dyDescent="0.25">
      <c r="A3374" t="str">
        <f>"20190312160358367"</f>
        <v>20190312160358367</v>
      </c>
      <c r="B3374" t="str">
        <f>"1552377838358094"</f>
        <v>1552377838358094</v>
      </c>
      <c r="C3374" t="s">
        <v>40</v>
      </c>
      <c r="D3374">
        <v>5.7609219999999999</v>
      </c>
      <c r="E3374">
        <v>0.47639999999999999</v>
      </c>
      <c r="F3374" t="s">
        <v>70</v>
      </c>
      <c r="G3374">
        <v>-448.23509999999999</v>
      </c>
      <c r="H3374" s="1">
        <v>2.8308149999999998E-6</v>
      </c>
      <c r="I3374">
        <v>214.95320000000001</v>
      </c>
      <c r="J3374">
        <v>-459.84010000000001</v>
      </c>
      <c r="K3374">
        <v>1.1085640000000001</v>
      </c>
      <c r="L3374">
        <v>215.3896</v>
      </c>
      <c r="M3374">
        <v>0.99409780000000003</v>
      </c>
      <c r="N3374">
        <v>0</v>
      </c>
      <c r="O3374">
        <v>-0.1077897</v>
      </c>
      <c r="P3374">
        <v>0.99434659999999997</v>
      </c>
      <c r="Q3374">
        <v>8.8325790000000001E-3</v>
      </c>
      <c r="R3374">
        <v>-0.1058156</v>
      </c>
      <c r="S3374">
        <v>3.0064700000000002</v>
      </c>
      <c r="T3374">
        <v>-0.28151389999999998</v>
      </c>
      <c r="U3374">
        <v>-0.11788940000000001</v>
      </c>
      <c r="V3374">
        <v>-1.913421E-3</v>
      </c>
      <c r="W3374">
        <v>2.1132629999999999E-2</v>
      </c>
      <c r="X3374">
        <v>0.99977490000000002</v>
      </c>
      <c r="Y3374">
        <v>-6.7995979999999998E-2</v>
      </c>
      <c r="Z3374">
        <v>1.322313E-2</v>
      </c>
      <c r="AA3374">
        <v>0.99759799999999998</v>
      </c>
      <c r="AB3374">
        <v>22</v>
      </c>
      <c r="AC3374">
        <v>11.605</v>
      </c>
      <c r="AD3374">
        <v>-1.1085611691849999</v>
      </c>
      <c r="AE3374">
        <v>-0.43639999999999102</v>
      </c>
      <c r="AF3374">
        <v>-0.809758316758872</v>
      </c>
      <c r="AG3374">
        <v>-1.1085611691849999</v>
      </c>
      <c r="AH3374">
        <v>11.4798142713807</v>
      </c>
      <c r="AI3374">
        <v>95.502142121407502</v>
      </c>
      <c r="AJ3374">
        <v>94.034822661958799</v>
      </c>
      <c r="AK3374">
        <v>11.561606813189099</v>
      </c>
      <c r="AL3374">
        <v>88.789099411115302</v>
      </c>
      <c r="AM3374">
        <v>90.109655497331303</v>
      </c>
      <c r="AN3374">
        <v>1.0000000499503201</v>
      </c>
    </row>
    <row r="3375" spans="1:40" x14ac:dyDescent="0.25">
      <c r="A3375" t="str">
        <f>"20190312160358390"</f>
        <v>20190312160358390</v>
      </c>
      <c r="B3375" t="str">
        <f>"1552377838377614"</f>
        <v>1552377838377614</v>
      </c>
      <c r="C3375" t="s">
        <v>40</v>
      </c>
      <c r="D3375">
        <v>9.3395510000000002</v>
      </c>
      <c r="E3375">
        <v>0.47587360000000001</v>
      </c>
      <c r="F3375" t="s">
        <v>70</v>
      </c>
      <c r="G3375">
        <v>-448.32400000000001</v>
      </c>
      <c r="H3375" s="1">
        <v>2.8789620000000001E-6</v>
      </c>
      <c r="I3375">
        <v>214.93350000000001</v>
      </c>
      <c r="J3375">
        <v>-459.6223</v>
      </c>
      <c r="K3375">
        <v>1.108598</v>
      </c>
      <c r="L3375">
        <v>215.3631</v>
      </c>
      <c r="M3375">
        <v>0.99383569999999999</v>
      </c>
      <c r="N3375">
        <v>0</v>
      </c>
      <c r="O3375">
        <v>-0.1101799</v>
      </c>
      <c r="P3375">
        <v>0.99421619999999999</v>
      </c>
      <c r="Q3375">
        <v>9.2903949999999999E-3</v>
      </c>
      <c r="R3375">
        <v>-0.106994699999999</v>
      </c>
      <c r="S3375">
        <v>3.006958</v>
      </c>
      <c r="T3375">
        <v>-0.28945399999999999</v>
      </c>
      <c r="U3375">
        <v>-0.1190948</v>
      </c>
      <c r="V3375">
        <v>-3.1319099999999999E-3</v>
      </c>
      <c r="W3375">
        <v>2.1592670000000001E-2</v>
      </c>
      <c r="X3375">
        <v>0.99976189999999998</v>
      </c>
      <c r="Y3375">
        <v>-6.9938669999999994E-2</v>
      </c>
      <c r="Z3375">
        <v>1.3913490000000001E-2</v>
      </c>
      <c r="AA3375">
        <v>0.99745430000000002</v>
      </c>
      <c r="AB3375">
        <v>22</v>
      </c>
      <c r="AC3375">
        <v>11.2982999999999</v>
      </c>
      <c r="AD3375">
        <v>-1.1085951210380001</v>
      </c>
      <c r="AE3375">
        <v>-0.42959999999999299</v>
      </c>
      <c r="AF3375">
        <v>-0.81016677072173504</v>
      </c>
      <c r="AG3375">
        <v>-1.1085951210380001</v>
      </c>
      <c r="AH3375">
        <v>11.1694583119444</v>
      </c>
      <c r="AI3375">
        <v>95.653421848494801</v>
      </c>
      <c r="AJ3375">
        <v>94.148633231187006</v>
      </c>
      <c r="AK3375">
        <v>11.2535395463398</v>
      </c>
      <c r="AL3375">
        <v>88.762734927100894</v>
      </c>
      <c r="AM3375">
        <v>90.179487373764701</v>
      </c>
      <c r="AN3375">
        <v>0.99999995447479195</v>
      </c>
    </row>
    <row r="3376" spans="1:40" x14ac:dyDescent="0.25">
      <c r="A3376" t="str">
        <f>"20190312160358435"</f>
        <v>20190312160358435</v>
      </c>
      <c r="B3376" t="str">
        <f>"1552377838428367"</f>
        <v>1552377838428367</v>
      </c>
      <c r="C3376" t="s">
        <v>40</v>
      </c>
      <c r="D3376">
        <v>5.7985870000000004</v>
      </c>
      <c r="E3376">
        <v>0.47518820000000001</v>
      </c>
      <c r="F3376" t="s">
        <v>70</v>
      </c>
      <c r="G3376">
        <v>-447.4803</v>
      </c>
      <c r="H3376" s="1">
        <v>2.4322830000000002E-6</v>
      </c>
      <c r="I3376">
        <v>214.88050000000001</v>
      </c>
      <c r="J3376">
        <v>-459.18400000000003</v>
      </c>
      <c r="K3376">
        <v>1.1086739999999999</v>
      </c>
      <c r="L3376">
        <v>215.30840000000001</v>
      </c>
      <c r="M3376">
        <v>0.99330870000000004</v>
      </c>
      <c r="N3376">
        <v>0</v>
      </c>
      <c r="O3376">
        <v>-0.114835199999999</v>
      </c>
      <c r="P3376">
        <v>0.99393730000000002</v>
      </c>
      <c r="Q3376">
        <v>1.0847290000000001E-2</v>
      </c>
      <c r="R3376">
        <v>-0.10941529999999999</v>
      </c>
      <c r="S3376">
        <v>3.0071409999999998</v>
      </c>
      <c r="T3376">
        <v>-0.27455819999999997</v>
      </c>
      <c r="U3376">
        <v>-0.1195374</v>
      </c>
      <c r="V3376">
        <v>-5.3785109999999999E-3</v>
      </c>
      <c r="W3376">
        <v>2.3152490000000001E-2</v>
      </c>
      <c r="X3376">
        <v>0.99971750000000004</v>
      </c>
      <c r="Y3376">
        <v>-7.4512309999999998E-2</v>
      </c>
      <c r="Z3376">
        <v>1.382944E-2</v>
      </c>
      <c r="AA3376">
        <v>0.99712420000000002</v>
      </c>
      <c r="AB3376">
        <v>22</v>
      </c>
      <c r="AC3376">
        <v>11.7037</v>
      </c>
      <c r="AD3376">
        <v>-1.108671567717</v>
      </c>
      <c r="AE3376">
        <v>-0.42789999999999401</v>
      </c>
      <c r="AF3376">
        <v>-0.91086648662270797</v>
      </c>
      <c r="AG3376">
        <v>-1.108671567717</v>
      </c>
      <c r="AH3376">
        <v>11.571705303661499</v>
      </c>
      <c r="AI3376">
        <v>95.455962847705607</v>
      </c>
      <c r="AJ3376">
        <v>94.500755495187803</v>
      </c>
      <c r="AK3376">
        <v>11.6603256402343</v>
      </c>
      <c r="AL3376">
        <v>88.673341527097705</v>
      </c>
      <c r="AM3376">
        <v>90.308250087805504</v>
      </c>
      <c r="AN3376">
        <v>1.0000000229900099</v>
      </c>
    </row>
    <row r="3377" spans="1:40" x14ac:dyDescent="0.25">
      <c r="A3377" t="str">
        <f>"20190312160358458"</f>
        <v>20190312160358458</v>
      </c>
      <c r="B3377" t="str">
        <f>"1552377838447887"</f>
        <v>1552377838447887</v>
      </c>
      <c r="C3377" t="s">
        <v>40</v>
      </c>
      <c r="D3377">
        <v>5.7827960000000003</v>
      </c>
      <c r="E3377">
        <v>0.47507709999999997</v>
      </c>
      <c r="F3377" t="s">
        <v>70</v>
      </c>
      <c r="G3377">
        <v>-446.96100000000001</v>
      </c>
      <c r="H3377" s="1">
        <v>2.1588430000000001E-6</v>
      </c>
      <c r="I3377">
        <v>214.81489999999999</v>
      </c>
      <c r="J3377">
        <v>-458.95069999999998</v>
      </c>
      <c r="K3377">
        <v>1.1087149999999999</v>
      </c>
      <c r="L3377">
        <v>215.27860000000001</v>
      </c>
      <c r="M3377">
        <v>0.99303129999999995</v>
      </c>
      <c r="N3377">
        <v>0</v>
      </c>
      <c r="O3377">
        <v>-0.1172086</v>
      </c>
      <c r="P3377">
        <v>0.99386960000000002</v>
      </c>
      <c r="Q3377">
        <v>1.176141E-2</v>
      </c>
      <c r="R3377">
        <v>-0.1099316</v>
      </c>
      <c r="S3377">
        <v>3.0079039999999999</v>
      </c>
      <c r="T3377">
        <v>-0.27282830000000002</v>
      </c>
      <c r="U3377">
        <v>-0.1214447</v>
      </c>
      <c r="V3377">
        <v>-7.2470169999999997E-3</v>
      </c>
      <c r="W3377">
        <v>2.4070149999999998E-2</v>
      </c>
      <c r="X3377">
        <v>0.99968400000000002</v>
      </c>
      <c r="Y3377">
        <v>-7.6267470000000004E-2</v>
      </c>
      <c r="Z3377">
        <v>1.4031760000000001E-2</v>
      </c>
      <c r="AA3377">
        <v>0.99698869999999895</v>
      </c>
      <c r="AB3377">
        <v>22</v>
      </c>
      <c r="AC3377">
        <v>11.9896999999999</v>
      </c>
      <c r="AD3377">
        <v>-1.108712841157</v>
      </c>
      <c r="AE3377">
        <v>-0.46370000000001699</v>
      </c>
      <c r="AF3377">
        <v>-0.93689912701891598</v>
      </c>
      <c r="AG3377">
        <v>-1.108712841157</v>
      </c>
      <c r="AH3377">
        <v>11.8601343939154</v>
      </c>
      <c r="AI3377">
        <v>95.324130643506606</v>
      </c>
      <c r="AJ3377">
        <v>94.516738130635005</v>
      </c>
      <c r="AK3377">
        <v>11.948632222145401</v>
      </c>
      <c r="AL3377">
        <v>88.620748781553004</v>
      </c>
      <c r="AM3377">
        <v>90.415347464515307</v>
      </c>
      <c r="AN3377">
        <v>0.99999999561621</v>
      </c>
    </row>
    <row r="3378" spans="1:40" x14ac:dyDescent="0.25">
      <c r="A3378" t="str">
        <f>"20190312160358482"</f>
        <v>20190312160358482</v>
      </c>
      <c r="B3378" t="str">
        <f>"1552377838468383"</f>
        <v>1552377838468383</v>
      </c>
      <c r="C3378" t="s">
        <v>40</v>
      </c>
      <c r="D3378">
        <v>5.824954</v>
      </c>
      <c r="E3378">
        <v>0.47520659999999998</v>
      </c>
      <c r="F3378" t="s">
        <v>70</v>
      </c>
      <c r="G3378">
        <v>-446.74189999999999</v>
      </c>
      <c r="H3378" s="1">
        <v>2.0436280000000001E-6</v>
      </c>
      <c r="I3378">
        <v>214.78270000000001</v>
      </c>
      <c r="J3378">
        <v>-458.71949999999998</v>
      </c>
      <c r="K3378">
        <v>1.1087579999999999</v>
      </c>
      <c r="L3378">
        <v>215.24850000000001</v>
      </c>
      <c r="M3378">
        <v>0.99276019999999998</v>
      </c>
      <c r="N3378">
        <v>0</v>
      </c>
      <c r="O3378">
        <v>-0.1194844</v>
      </c>
      <c r="P3378">
        <v>0.99378259999999996</v>
      </c>
      <c r="Q3378">
        <v>1.229919E-2</v>
      </c>
      <c r="R3378">
        <v>-0.1106587</v>
      </c>
      <c r="S3378">
        <v>3.0082399999999998</v>
      </c>
      <c r="T3378">
        <v>-0.27318530000000002</v>
      </c>
      <c r="U3378">
        <v>-0.1221771</v>
      </c>
      <c r="V3378">
        <v>-8.8075649999999998E-3</v>
      </c>
      <c r="W3378">
        <v>2.460882E-2</v>
      </c>
      <c r="X3378">
        <v>0.9996583</v>
      </c>
      <c r="Y3378">
        <v>-7.8295260000000005E-2</v>
      </c>
      <c r="Z3378">
        <v>1.434506E-2</v>
      </c>
      <c r="AA3378">
        <v>0.99682700000000002</v>
      </c>
      <c r="AB3378">
        <v>22</v>
      </c>
      <c r="AC3378">
        <v>11.977599999999899</v>
      </c>
      <c r="AD3378">
        <v>-1.108755956372</v>
      </c>
      <c r="AE3378">
        <v>-0.46580000000000099</v>
      </c>
      <c r="AF3378">
        <v>-0.960562955489625</v>
      </c>
      <c r="AG3378">
        <v>-1.108755956372</v>
      </c>
      <c r="AH3378">
        <v>11.8460841448218</v>
      </c>
      <c r="AI3378">
        <v>95.329733725351304</v>
      </c>
      <c r="AJ3378">
        <v>94.635798084607899</v>
      </c>
      <c r="AK3378">
        <v>11.9365711378288</v>
      </c>
      <c r="AL3378">
        <v>88.589876041859299</v>
      </c>
      <c r="AM3378">
        <v>90.504795733924297</v>
      </c>
      <c r="AN3378">
        <v>0.99999994199095399</v>
      </c>
    </row>
    <row r="3379" spans="1:40" x14ac:dyDescent="0.25">
      <c r="A3379" t="str">
        <f>"20190312160358502"</f>
        <v>20190312160358502</v>
      </c>
      <c r="B3379" t="str">
        <f>"1552377838497663"</f>
        <v>1552377838497663</v>
      </c>
      <c r="C3379" t="s">
        <v>40</v>
      </c>
      <c r="D3379">
        <v>9.1239450000000009</v>
      </c>
      <c r="E3379">
        <v>0.47491860000000002</v>
      </c>
      <c r="F3379" t="s">
        <v>70</v>
      </c>
      <c r="G3379">
        <v>-446.755</v>
      </c>
      <c r="H3379" s="1">
        <v>2.0520859999999998E-6</v>
      </c>
      <c r="I3379">
        <v>214.7491</v>
      </c>
      <c r="J3379">
        <v>-458.51780000000002</v>
      </c>
      <c r="K3379">
        <v>1.10880499999999</v>
      </c>
      <c r="L3379">
        <v>215.22190000000001</v>
      </c>
      <c r="M3379">
        <v>0.99252739999999995</v>
      </c>
      <c r="N3379">
        <v>0</v>
      </c>
      <c r="O3379">
        <v>-0.1214023</v>
      </c>
      <c r="P3379">
        <v>0.99372380000000005</v>
      </c>
      <c r="Q3379">
        <v>1.2913620000000001E-2</v>
      </c>
      <c r="R3379">
        <v>-0.1111142</v>
      </c>
      <c r="S3379">
        <v>3.0082399999999998</v>
      </c>
      <c r="T3379">
        <v>-0.27877629999999998</v>
      </c>
      <c r="U3379">
        <v>-0.1255646</v>
      </c>
      <c r="V3379">
        <v>-1.028127E-2</v>
      </c>
      <c r="W3379">
        <v>2.5224219999999999E-2</v>
      </c>
      <c r="X3379">
        <v>0.99962899999999999</v>
      </c>
      <c r="Y3379">
        <v>-7.9055959999999995E-2</v>
      </c>
      <c r="Z3379">
        <v>1.4848129999999999E-2</v>
      </c>
      <c r="AA3379">
        <v>0.99675959999999997</v>
      </c>
      <c r="AB3379">
        <v>22</v>
      </c>
      <c r="AC3379">
        <v>11.7628</v>
      </c>
      <c r="AD3379">
        <v>-1.10880294791399</v>
      </c>
      <c r="AE3379">
        <v>-0.47280000000000599</v>
      </c>
      <c r="AF3379">
        <v>-0.95040503054689596</v>
      </c>
      <c r="AG3379">
        <v>-1.10880294791399</v>
      </c>
      <c r="AH3379">
        <v>11.630012185916801</v>
      </c>
      <c r="AI3379">
        <v>95.428120254784403</v>
      </c>
      <c r="AJ3379">
        <v>94.671831945181495</v>
      </c>
      <c r="AK3379">
        <v>11.7213436577879</v>
      </c>
      <c r="AL3379">
        <v>88.554605424839593</v>
      </c>
      <c r="AM3379">
        <v>90.589271228664202</v>
      </c>
      <c r="AN3379">
        <v>1.0000000517142</v>
      </c>
    </row>
    <row r="3380" spans="1:40" x14ac:dyDescent="0.25">
      <c r="A3380" t="str">
        <f>"20190312160358524"</f>
        <v>20190312160358524</v>
      </c>
      <c r="B3380" t="str">
        <f>"1552377838518159"</f>
        <v>1552377838518159</v>
      </c>
      <c r="C3380" t="s">
        <v>40</v>
      </c>
      <c r="D3380">
        <v>5.7884679999999999</v>
      </c>
      <c r="E3380">
        <v>0.47466920000000001</v>
      </c>
      <c r="F3380" t="s">
        <v>70</v>
      </c>
      <c r="G3380">
        <v>-446.41730000000001</v>
      </c>
      <c r="H3380" s="1">
        <v>1.873647E-6</v>
      </c>
      <c r="I3380">
        <v>214.7199</v>
      </c>
      <c r="J3380">
        <v>-458.30360000000002</v>
      </c>
      <c r="K3380">
        <v>1.1088639999999901</v>
      </c>
      <c r="L3380">
        <v>215.19329999999999</v>
      </c>
      <c r="M3380">
        <v>0.99228419999999895</v>
      </c>
      <c r="N3380">
        <v>0</v>
      </c>
      <c r="O3380">
        <v>-0.1233741</v>
      </c>
      <c r="P3380">
        <v>0.99362490000000003</v>
      </c>
      <c r="Q3380">
        <v>1.4068840000000001E-2</v>
      </c>
      <c r="R3380">
        <v>-0.111856399999999</v>
      </c>
      <c r="S3380">
        <v>3.0086059999999999</v>
      </c>
      <c r="T3380">
        <v>-0.27568700000000002</v>
      </c>
      <c r="U3380">
        <v>-0.124816899999999</v>
      </c>
      <c r="V3380">
        <v>-1.1518810000000001E-2</v>
      </c>
      <c r="W3380">
        <v>2.6379690000000001E-2</v>
      </c>
      <c r="X3380">
        <v>0.99958559999999996</v>
      </c>
      <c r="Y3380">
        <v>-8.129024E-2</v>
      </c>
      <c r="Z3380">
        <v>1.496371E-2</v>
      </c>
      <c r="AA3380">
        <v>0.99657819999999997</v>
      </c>
      <c r="AB3380">
        <v>22</v>
      </c>
      <c r="AC3380">
        <v>11.8863</v>
      </c>
      <c r="AD3380">
        <v>-1.1088621263530001</v>
      </c>
      <c r="AE3380">
        <v>-0.47339999999999799</v>
      </c>
      <c r="AF3380">
        <v>-0.98820286842443505</v>
      </c>
      <c r="AG3380">
        <v>-1.1088621263530001</v>
      </c>
      <c r="AH3380">
        <v>11.7517753625672</v>
      </c>
      <c r="AI3380">
        <v>95.371451899070195</v>
      </c>
      <c r="AJ3380">
        <v>94.8066748148524</v>
      </c>
      <c r="AK3380">
        <v>11.845266746539</v>
      </c>
      <c r="AL3380">
        <v>88.488379700536697</v>
      </c>
      <c r="AM3380">
        <v>90.660223583449806</v>
      </c>
      <c r="AN3380">
        <v>0.99999997137783503</v>
      </c>
    </row>
    <row r="3381" spans="1:40" x14ac:dyDescent="0.25">
      <c r="A3381" t="str">
        <f>"20190312160358548"</f>
        <v>20190312160358548</v>
      </c>
      <c r="B3381" t="str">
        <f>"1552377838537679"</f>
        <v>1552377838537679</v>
      </c>
      <c r="C3381" t="s">
        <v>40</v>
      </c>
      <c r="D3381">
        <v>5.7731760000000003</v>
      </c>
      <c r="E3381">
        <v>0.47463630000000001</v>
      </c>
      <c r="F3381" t="s">
        <v>70</v>
      </c>
      <c r="G3381">
        <v>-446.2047</v>
      </c>
      <c r="H3381" s="1">
        <v>1.761816E-6</v>
      </c>
      <c r="I3381">
        <v>214.68989999999999</v>
      </c>
      <c r="J3381">
        <v>-458.07420000000002</v>
      </c>
      <c r="K3381">
        <v>1.1089209999999901</v>
      </c>
      <c r="L3381">
        <v>215.16229999999999</v>
      </c>
      <c r="M3381">
        <v>0.9920291</v>
      </c>
      <c r="N3381">
        <v>0</v>
      </c>
      <c r="O3381">
        <v>-0.1254103</v>
      </c>
      <c r="P3381">
        <v>0.99351480000000003</v>
      </c>
      <c r="Q3381">
        <v>1.4867989999999999E-2</v>
      </c>
      <c r="R3381">
        <v>-0.1127269</v>
      </c>
      <c r="S3381">
        <v>3.009064</v>
      </c>
      <c r="T3381">
        <v>-0.27578000000000003</v>
      </c>
      <c r="U3381">
        <v>-0.12521360000000001</v>
      </c>
      <c r="V3381">
        <v>-1.2693919999999999E-2</v>
      </c>
      <c r="W3381">
        <v>2.7178109999999998E-2</v>
      </c>
      <c r="X3381">
        <v>0.99955000000000005</v>
      </c>
      <c r="Y3381">
        <v>-8.3193820000000002E-2</v>
      </c>
      <c r="Z3381">
        <v>1.523824E-2</v>
      </c>
      <c r="AA3381">
        <v>0.99641690000000005</v>
      </c>
      <c r="AB3381">
        <v>22</v>
      </c>
      <c r="AC3381">
        <v>11.8695</v>
      </c>
      <c r="AD3381">
        <v>-1.1089192381839901</v>
      </c>
      <c r="AE3381">
        <v>-0.47239999999999299</v>
      </c>
      <c r="AF3381">
        <v>-1.0111876785980101</v>
      </c>
      <c r="AG3381">
        <v>-1.1089192381839901</v>
      </c>
      <c r="AH3381">
        <v>11.732777475849099</v>
      </c>
      <c r="AI3381">
        <v>95.379426753544905</v>
      </c>
      <c r="AJ3381">
        <v>94.925856146109396</v>
      </c>
      <c r="AK3381">
        <v>11.8283671610225</v>
      </c>
      <c r="AL3381">
        <v>88.442617225480802</v>
      </c>
      <c r="AM3381">
        <v>90.727596363367397</v>
      </c>
      <c r="AN3381">
        <v>0.99999999388406902</v>
      </c>
    </row>
    <row r="3382" spans="1:40" x14ac:dyDescent="0.25">
      <c r="A3382" t="str">
        <f>"20190312160358568"</f>
        <v>20190312160358568</v>
      </c>
      <c r="B3382" t="str">
        <f>"1552377838558176"</f>
        <v>1552377838558176</v>
      </c>
      <c r="C3382" t="s">
        <v>40</v>
      </c>
      <c r="D3382">
        <v>5.8099170000000004</v>
      </c>
      <c r="E3382">
        <v>0.47434490000000001</v>
      </c>
      <c r="F3382" t="s">
        <v>70</v>
      </c>
      <c r="G3382">
        <v>-446</v>
      </c>
      <c r="H3382" s="1">
        <v>1.6547129999999999E-6</v>
      </c>
      <c r="I3382">
        <v>214.64850000000001</v>
      </c>
      <c r="J3382">
        <v>-457.87599999999998</v>
      </c>
      <c r="K3382">
        <v>1.1089610000000001</v>
      </c>
      <c r="L3382">
        <v>215.1352</v>
      </c>
      <c r="M3382">
        <v>0.99181299999999994</v>
      </c>
      <c r="N3382">
        <v>0</v>
      </c>
      <c r="O3382">
        <v>-0.12710830000000001</v>
      </c>
      <c r="P3382">
        <v>0.99340360000000005</v>
      </c>
      <c r="Q3382">
        <v>1.494974E-2</v>
      </c>
      <c r="R3382">
        <v>-0.1136926</v>
      </c>
      <c r="S3382">
        <v>3.0091860000000001</v>
      </c>
      <c r="T3382">
        <v>-0.27637119999999998</v>
      </c>
      <c r="U3382">
        <v>-0.12805179999999999</v>
      </c>
      <c r="V3382">
        <v>-1.343599E-2</v>
      </c>
      <c r="W3382">
        <v>2.7257710000000001E-2</v>
      </c>
      <c r="X3382">
        <v>0.99953809999999998</v>
      </c>
      <c r="Y3382">
        <v>-8.3949339999999997E-2</v>
      </c>
      <c r="Z3382">
        <v>1.5458700000000001E-2</v>
      </c>
      <c r="AA3382">
        <v>0.99635010000000002</v>
      </c>
      <c r="AB3382">
        <v>22</v>
      </c>
      <c r="AC3382">
        <v>11.8759999999999</v>
      </c>
      <c r="AD3382">
        <v>-1.1089593452869999</v>
      </c>
      <c r="AE3382">
        <v>-0.48669999999998398</v>
      </c>
      <c r="AF3382">
        <v>-1.0180381512152199</v>
      </c>
      <c r="AG3382">
        <v>-1.1089593452869999</v>
      </c>
      <c r="AH3382">
        <v>11.7393362807336</v>
      </c>
      <c r="AI3382">
        <v>95.376386615734106</v>
      </c>
      <c r="AJ3382">
        <v>94.956304549317807</v>
      </c>
      <c r="AK3382">
        <v>11.8354640305726</v>
      </c>
      <c r="AL3382">
        <v>88.438054739702295</v>
      </c>
      <c r="AM3382">
        <v>90.770134883621793</v>
      </c>
      <c r="AN3382">
        <v>0.99999996096666599</v>
      </c>
    </row>
    <row r="3383" spans="1:40" x14ac:dyDescent="0.25">
      <c r="A3383" t="str">
        <f>"20190312160358611"</f>
        <v>20190312160358611</v>
      </c>
      <c r="B3383" t="str">
        <f>"1552377838598191"</f>
        <v>1552377838598191</v>
      </c>
      <c r="C3383" t="s">
        <v>40</v>
      </c>
      <c r="D3383">
        <v>5.8762049999999997</v>
      </c>
      <c r="E3383">
        <v>0.47395120000000002</v>
      </c>
      <c r="F3383" t="s">
        <v>70</v>
      </c>
      <c r="G3383">
        <v>-445.96230000000003</v>
      </c>
      <c r="H3383" s="1">
        <v>1.6356649999999999E-6</v>
      </c>
      <c r="I3383">
        <v>214.62559999999999</v>
      </c>
      <c r="J3383">
        <v>-457.45749999999998</v>
      </c>
      <c r="K3383">
        <v>1.1090260000000001</v>
      </c>
      <c r="L3383">
        <v>215.077</v>
      </c>
      <c r="M3383">
        <v>0.99136460000000004</v>
      </c>
      <c r="N3383">
        <v>0</v>
      </c>
      <c r="O3383">
        <v>-0.13055839999999999</v>
      </c>
      <c r="P3383">
        <v>0.99320169999999997</v>
      </c>
      <c r="Q3383">
        <v>1.686754E-2</v>
      </c>
      <c r="R3383">
        <v>-0.11517769999999999</v>
      </c>
      <c r="S3383">
        <v>3.0093990000000002</v>
      </c>
      <c r="T3383">
        <v>-0.2801245</v>
      </c>
      <c r="U3383">
        <v>-0.1287384</v>
      </c>
      <c r="V3383">
        <v>-1.5414519999999999E-2</v>
      </c>
      <c r="W3383">
        <v>2.9174780000000001E-2</v>
      </c>
      <c r="X3383">
        <v>0.99945550000000005</v>
      </c>
      <c r="Y3383">
        <v>-8.713949E-2</v>
      </c>
      <c r="Z3383">
        <v>1.6132480000000001E-2</v>
      </c>
      <c r="AA3383">
        <v>0.99606550000000005</v>
      </c>
      <c r="AB3383">
        <v>22</v>
      </c>
      <c r="AC3383">
        <v>11.495199999999899</v>
      </c>
      <c r="AD3383">
        <v>-1.109024364335</v>
      </c>
      <c r="AE3383">
        <v>-0.45140000000000602</v>
      </c>
      <c r="AF3383">
        <v>-1.0436729431435601</v>
      </c>
      <c r="AG3383">
        <v>-1.109024364335</v>
      </c>
      <c r="AH3383">
        <v>11.3502481438511</v>
      </c>
      <c r="AI3383">
        <v>95.557317070001801</v>
      </c>
      <c r="AJ3383">
        <v>95.253662414809995</v>
      </c>
      <c r="AK3383">
        <v>11.451957089508101</v>
      </c>
      <c r="AL3383">
        <v>88.328171072673697</v>
      </c>
      <c r="AM3383">
        <v>90.883598041515597</v>
      </c>
      <c r="AN3383">
        <v>1.00000003584756</v>
      </c>
    </row>
    <row r="3384" spans="1:40" x14ac:dyDescent="0.25">
      <c r="A3384" t="str">
        <f>"20190312160358634"</f>
        <v>20190312160358634</v>
      </c>
      <c r="B3384" t="str">
        <f>"1552377838628447"</f>
        <v>1552377838628447</v>
      </c>
      <c r="C3384" t="s">
        <v>40</v>
      </c>
      <c r="D3384">
        <v>5.7629970000000004</v>
      </c>
      <c r="E3384">
        <v>0.47387940000000001</v>
      </c>
      <c r="F3384" t="s">
        <v>70</v>
      </c>
      <c r="G3384">
        <v>-445.60149999999999</v>
      </c>
      <c r="H3384" s="1">
        <v>1.4464489999999999E-6</v>
      </c>
      <c r="I3384">
        <v>214.5616</v>
      </c>
      <c r="J3384">
        <v>-457.23289999999997</v>
      </c>
      <c r="K3384">
        <v>1.1090469999999999</v>
      </c>
      <c r="L3384">
        <v>215.0453</v>
      </c>
      <c r="M3384">
        <v>0.99112699999999998</v>
      </c>
      <c r="N3384">
        <v>0</v>
      </c>
      <c r="O3384">
        <v>-0.13235179999999999</v>
      </c>
      <c r="P3384">
        <v>0.99306910000000004</v>
      </c>
      <c r="Q3384">
        <v>1.728271E-2</v>
      </c>
      <c r="R3384">
        <v>-0.116256</v>
      </c>
      <c r="S3384">
        <v>3.010132</v>
      </c>
      <c r="T3384">
        <v>-0.28157110000000002</v>
      </c>
      <c r="U3384">
        <v>-0.13085939999999999</v>
      </c>
      <c r="V3384">
        <v>-1.6137289999999999E-2</v>
      </c>
      <c r="W3384">
        <v>2.9588980000000001E-2</v>
      </c>
      <c r="X3384">
        <v>0.99943190000000004</v>
      </c>
      <c r="Y3384">
        <v>-8.8229870000000002E-2</v>
      </c>
      <c r="Z3384">
        <v>1.642797E-2</v>
      </c>
      <c r="AA3384">
        <v>0.99596459999999998</v>
      </c>
      <c r="AB3384">
        <v>22</v>
      </c>
      <c r="AC3384">
        <v>11.6313999999999</v>
      </c>
      <c r="AD3384">
        <v>-1.109045553551</v>
      </c>
      <c r="AE3384">
        <v>-0.48369999999999802</v>
      </c>
      <c r="AF3384">
        <v>-1.05057346843402</v>
      </c>
      <c r="AG3384">
        <v>-1.109045553551</v>
      </c>
      <c r="AH3384">
        <v>11.488814186984399</v>
      </c>
      <c r="AI3384">
        <v>95.491059173415906</v>
      </c>
      <c r="AJ3384">
        <v>95.224776502443206</v>
      </c>
      <c r="AK3384">
        <v>11.5899326173832</v>
      </c>
      <c r="AL3384">
        <v>88.304428886354003</v>
      </c>
      <c r="AM3384">
        <v>90.925043789556597</v>
      </c>
      <c r="AN3384">
        <v>1.0000000213017901</v>
      </c>
    </row>
    <row r="3385" spans="1:40" x14ac:dyDescent="0.25">
      <c r="A3385" t="str">
        <f>"20190312160358657"</f>
        <v>20190312160358657</v>
      </c>
      <c r="B3385" t="str">
        <f>"1552377838647967"</f>
        <v>1552377838647967</v>
      </c>
      <c r="C3385" t="s">
        <v>40</v>
      </c>
      <c r="D3385">
        <v>5.856382</v>
      </c>
      <c r="E3385">
        <v>0.47365400000000002</v>
      </c>
      <c r="F3385" t="s">
        <v>70</v>
      </c>
      <c r="G3385">
        <v>-445.57260000000002</v>
      </c>
      <c r="H3385" s="1">
        <v>1.432566E-6</v>
      </c>
      <c r="I3385">
        <v>214.52709999999999</v>
      </c>
      <c r="J3385">
        <v>-457.01100000000002</v>
      </c>
      <c r="K3385">
        <v>1.1090660000000001</v>
      </c>
      <c r="L3385">
        <v>215.01349999999999</v>
      </c>
      <c r="M3385">
        <v>0.99089309999999997</v>
      </c>
      <c r="N3385">
        <v>0</v>
      </c>
      <c r="O3385">
        <v>-0.1340914</v>
      </c>
      <c r="P3385">
        <v>0.99299420000000005</v>
      </c>
      <c r="Q3385">
        <v>1.7187979999999999E-2</v>
      </c>
      <c r="R3385">
        <v>-0.1169081</v>
      </c>
      <c r="S3385">
        <v>3.010284</v>
      </c>
      <c r="T3385">
        <v>-0.28631640000000003</v>
      </c>
      <c r="U3385">
        <v>-0.133773799999999</v>
      </c>
      <c r="V3385">
        <v>-1.7237720000000002E-2</v>
      </c>
      <c r="W3385">
        <v>2.949413E-2</v>
      </c>
      <c r="X3385">
        <v>0.99941630000000004</v>
      </c>
      <c r="Y3385">
        <v>-8.8974629999999999E-2</v>
      </c>
      <c r="Z3385">
        <v>1.690117E-2</v>
      </c>
      <c r="AA3385">
        <v>0.99589050000000001</v>
      </c>
      <c r="AB3385">
        <v>22</v>
      </c>
      <c r="AC3385">
        <v>11.4383999999999</v>
      </c>
      <c r="AD3385">
        <v>-1.1090645674339901</v>
      </c>
      <c r="AE3385">
        <v>-0.486400000000003</v>
      </c>
      <c r="AF3385">
        <v>-1.04212025815583</v>
      </c>
      <c r="AG3385">
        <v>-1.1090645674339901</v>
      </c>
      <c r="AH3385">
        <v>11.294322320575199</v>
      </c>
      <c r="AI3385">
        <v>95.584701634575893</v>
      </c>
      <c r="AJ3385">
        <v>95.271720067061807</v>
      </c>
      <c r="AK3385">
        <v>11.396392215444299</v>
      </c>
      <c r="AL3385">
        <v>88.309865713791098</v>
      </c>
      <c r="AM3385">
        <v>90.988127454632306</v>
      </c>
      <c r="AN3385">
        <v>0.99999999170047205</v>
      </c>
    </row>
    <row r="3386" spans="1:40" x14ac:dyDescent="0.25">
      <c r="A3386" t="str">
        <f>"20190312160358682"</f>
        <v>20190312160358682</v>
      </c>
      <c r="B3386" t="str">
        <f>"1552377838667487"</f>
        <v>1552377838667487</v>
      </c>
      <c r="C3386" t="s">
        <v>40</v>
      </c>
      <c r="D3386">
        <v>5.8718219999999999</v>
      </c>
      <c r="E3386">
        <v>0.4736204</v>
      </c>
      <c r="F3386" t="s">
        <v>70</v>
      </c>
      <c r="G3386">
        <v>-445.49919999999997</v>
      </c>
      <c r="H3386" s="1">
        <v>1.394639E-6</v>
      </c>
      <c r="I3386">
        <v>214.50110000000001</v>
      </c>
      <c r="J3386">
        <v>-456.77440000000001</v>
      </c>
      <c r="K3386">
        <v>1.109094</v>
      </c>
      <c r="L3386">
        <v>214.97929999999999</v>
      </c>
      <c r="M3386">
        <v>0.99064439999999998</v>
      </c>
      <c r="N3386">
        <v>0</v>
      </c>
      <c r="O3386">
        <v>-0.13591600000000001</v>
      </c>
      <c r="P3386">
        <v>0.99283949999999999</v>
      </c>
      <c r="Q3386">
        <v>1.768136E-2</v>
      </c>
      <c r="R3386">
        <v>-0.11814089999999999</v>
      </c>
      <c r="S3386">
        <v>3.0103759999999999</v>
      </c>
      <c r="T3386">
        <v>-0.29002339999999999</v>
      </c>
      <c r="U3386">
        <v>-0.13398740000000001</v>
      </c>
      <c r="V3386">
        <v>-1.783649E-2</v>
      </c>
      <c r="W3386">
        <v>2.9986479999999999E-2</v>
      </c>
      <c r="X3386">
        <v>0.99939109999999998</v>
      </c>
      <c r="Y3386">
        <v>-9.0697239999999998E-2</v>
      </c>
      <c r="Z3386">
        <v>1.737501E-2</v>
      </c>
      <c r="AA3386">
        <v>0.99572689999999997</v>
      </c>
      <c r="AB3386">
        <v>22</v>
      </c>
      <c r="AC3386">
        <v>11.2752</v>
      </c>
      <c r="AD3386">
        <v>-1.109092605361</v>
      </c>
      <c r="AE3386">
        <v>-0.47819999999998603</v>
      </c>
      <c r="AF3386">
        <v>-1.0487047748532801</v>
      </c>
      <c r="AG3386">
        <v>-1.109092605361</v>
      </c>
      <c r="AH3386">
        <v>11.1280746025711</v>
      </c>
      <c r="AI3386">
        <v>95.666711808152698</v>
      </c>
      <c r="AJ3386">
        <v>95.383628709736897</v>
      </c>
      <c r="AK3386">
        <v>11.232271029157699</v>
      </c>
      <c r="AL3386">
        <v>88.281643580884307</v>
      </c>
      <c r="AM3386">
        <v>91.022469693644098</v>
      </c>
      <c r="AN3386">
        <v>0.99999995005875897</v>
      </c>
    </row>
    <row r="3387" spans="1:40" x14ac:dyDescent="0.25">
      <c r="A3387" t="str">
        <f>"20190312160358703"</f>
        <v>20190312160358703</v>
      </c>
      <c r="B3387" t="str">
        <f>"1552377838697744"</f>
        <v>1552377838697744</v>
      </c>
      <c r="C3387" t="s">
        <v>40</v>
      </c>
      <c r="D3387">
        <v>5.7011289999999999</v>
      </c>
      <c r="E3387">
        <v>0.47391559999999999</v>
      </c>
      <c r="F3387" t="s">
        <v>70</v>
      </c>
      <c r="G3387">
        <v>-445.3768</v>
      </c>
      <c r="H3387" s="1">
        <v>1.3314099999999999E-6</v>
      </c>
      <c r="I3387">
        <v>214.45750000000001</v>
      </c>
      <c r="J3387">
        <v>-456.56270000000001</v>
      </c>
      <c r="K3387">
        <v>1.1091120000000001</v>
      </c>
      <c r="L3387">
        <v>214.94829999999999</v>
      </c>
      <c r="M3387">
        <v>0.99042300000000005</v>
      </c>
      <c r="N3387">
        <v>0</v>
      </c>
      <c r="O3387">
        <v>-0.13752059999999999</v>
      </c>
      <c r="P3387">
        <v>0.99271359999999997</v>
      </c>
      <c r="Q3387">
        <v>1.8587019999999999E-2</v>
      </c>
      <c r="R3387">
        <v>-0.11905499999999999</v>
      </c>
      <c r="S3387">
        <v>3.0104679999999999</v>
      </c>
      <c r="T3387">
        <v>-0.29294720000000002</v>
      </c>
      <c r="U3387">
        <v>-0.13781740000000001</v>
      </c>
      <c r="V3387">
        <v>-1.853221E-2</v>
      </c>
      <c r="W3387">
        <v>3.0891100000000001E-2</v>
      </c>
      <c r="X3387">
        <v>0.99935099999999999</v>
      </c>
      <c r="Y3387">
        <v>-9.1017650000000005E-2</v>
      </c>
      <c r="Z3387">
        <v>1.771793E-2</v>
      </c>
      <c r="AA3387">
        <v>0.99569169999999996</v>
      </c>
      <c r="AB3387">
        <v>22</v>
      </c>
      <c r="AC3387">
        <v>11.1859</v>
      </c>
      <c r="AD3387">
        <v>-1.1091106685900001</v>
      </c>
      <c r="AE3387">
        <v>-0.49079999999997798</v>
      </c>
      <c r="AF3387">
        <v>-1.04204627381472</v>
      </c>
      <c r="AG3387">
        <v>-1.1091106685900001</v>
      </c>
      <c r="AH3387">
        <v>11.038789485710099</v>
      </c>
      <c r="AI3387">
        <v>95.712252047304801</v>
      </c>
      <c r="AJ3387">
        <v>95.392661089620006</v>
      </c>
      <c r="AK3387">
        <v>11.143197935143</v>
      </c>
      <c r="AL3387">
        <v>88.229788838854205</v>
      </c>
      <c r="AM3387">
        <v>91.062385215375201</v>
      </c>
      <c r="AN3387">
        <v>1.0000000620338401</v>
      </c>
    </row>
    <row r="3388" spans="1:40" x14ac:dyDescent="0.25">
      <c r="A3388" t="str">
        <f>"20190312160358726"</f>
        <v>20190312160358726</v>
      </c>
      <c r="B3388" t="str">
        <f>"1552377838718239"</f>
        <v>1552377838718239</v>
      </c>
      <c r="C3388" t="s">
        <v>40</v>
      </c>
      <c r="D3388">
        <v>5.6617819999999996</v>
      </c>
      <c r="E3388">
        <v>0.47384419999999999</v>
      </c>
      <c r="F3388" t="s">
        <v>70</v>
      </c>
      <c r="G3388">
        <v>-445.2534</v>
      </c>
      <c r="H3388" s="1">
        <v>1.2677909999999999E-6</v>
      </c>
      <c r="I3388">
        <v>214.41059999999999</v>
      </c>
      <c r="J3388">
        <v>-456.34960000000001</v>
      </c>
      <c r="K3388">
        <v>1.1091299999999999</v>
      </c>
      <c r="L3388">
        <v>214.91679999999999</v>
      </c>
      <c r="M3388">
        <v>0.99020140000000001</v>
      </c>
      <c r="N3388">
        <v>0</v>
      </c>
      <c r="O3388">
        <v>-0.1391077</v>
      </c>
      <c r="P3388">
        <v>0.99251719999999999</v>
      </c>
      <c r="Q3388">
        <v>1.8749700000000001E-2</v>
      </c>
      <c r="R3388">
        <v>-0.1206573</v>
      </c>
      <c r="S3388">
        <v>3.010345</v>
      </c>
      <c r="T3388">
        <v>-0.29522659999999901</v>
      </c>
      <c r="U3388">
        <v>-0.14312739999999999</v>
      </c>
      <c r="V3388">
        <v>-1.8521630000000001E-2</v>
      </c>
      <c r="W3388">
        <v>3.1051240000000001E-2</v>
      </c>
      <c r="X3388">
        <v>0.99934619999999996</v>
      </c>
      <c r="Y3388">
        <v>-9.0835849999999996E-2</v>
      </c>
      <c r="Z3388">
        <v>1.7999649999999999E-2</v>
      </c>
      <c r="AA3388">
        <v>0.99570320000000001</v>
      </c>
      <c r="AB3388">
        <v>22</v>
      </c>
      <c r="AC3388">
        <v>11.0962</v>
      </c>
      <c r="AD3388">
        <v>-1.109128732209</v>
      </c>
      <c r="AE3388">
        <v>-0.50620000000000598</v>
      </c>
      <c r="AF3388">
        <v>-1.0321146246891699</v>
      </c>
      <c r="AG3388">
        <v>-1.109128732209</v>
      </c>
      <c r="AH3388">
        <v>10.9495484750763</v>
      </c>
      <c r="AI3388">
        <v>95.758663195806903</v>
      </c>
      <c r="AJ3388">
        <v>95.384842756825606</v>
      </c>
      <c r="AK3388">
        <v>11.0538698631364</v>
      </c>
      <c r="AL3388">
        <v>88.220609030525097</v>
      </c>
      <c r="AM3388">
        <v>91.061783939467404</v>
      </c>
      <c r="AN3388">
        <v>1.0000000288689099</v>
      </c>
    </row>
    <row r="3389" spans="1:40" x14ac:dyDescent="0.25">
      <c r="A3389" t="str">
        <f>"20190312160358746"</f>
        <v>20190312160358746</v>
      </c>
      <c r="B3389" t="str">
        <f>"1552377838737759"</f>
        <v>1552377838737759</v>
      </c>
      <c r="C3389" t="s">
        <v>40</v>
      </c>
      <c r="D3389">
        <v>5.6679149999999998</v>
      </c>
      <c r="E3389">
        <v>0.47375240000000002</v>
      </c>
      <c r="F3389" t="s">
        <v>70</v>
      </c>
      <c r="G3389">
        <v>-444.94709999999998</v>
      </c>
      <c r="H3389" s="1">
        <v>1.107117E-6</v>
      </c>
      <c r="I3389">
        <v>214.35830000000001</v>
      </c>
      <c r="J3389">
        <v>-456.14109999999999</v>
      </c>
      <c r="K3389">
        <v>1.1091439999999999</v>
      </c>
      <c r="L3389">
        <v>214.88570000000001</v>
      </c>
      <c r="M3389">
        <v>0.98998640000000004</v>
      </c>
      <c r="N3389">
        <v>0</v>
      </c>
      <c r="O3389">
        <v>-0.1406299</v>
      </c>
      <c r="P3389">
        <v>0.99232070000000006</v>
      </c>
      <c r="Q3389">
        <v>1.9349729999999999E-2</v>
      </c>
      <c r="R3389">
        <v>-0.1221695</v>
      </c>
      <c r="S3389">
        <v>3.0102540000000002</v>
      </c>
      <c r="T3389">
        <v>-0.29281040000000003</v>
      </c>
      <c r="U3389">
        <v>-0.14744570000000001</v>
      </c>
      <c r="V3389">
        <v>-1.8533669999999999E-2</v>
      </c>
      <c r="W3389">
        <v>3.164985E-2</v>
      </c>
      <c r="X3389">
        <v>0.99932719999999997</v>
      </c>
      <c r="Y3389">
        <v>-9.095056E-2</v>
      </c>
      <c r="Z3389">
        <v>1.8004470000000002E-2</v>
      </c>
      <c r="AA3389">
        <v>0.99569269999999999</v>
      </c>
      <c r="AB3389">
        <v>22</v>
      </c>
      <c r="AC3389">
        <v>11.194000000000001</v>
      </c>
      <c r="AD3389">
        <v>-1.1091428928829901</v>
      </c>
      <c r="AE3389">
        <v>-0.52739999999999998</v>
      </c>
      <c r="AF3389">
        <v>-1.04196436255327</v>
      </c>
      <c r="AG3389">
        <v>-1.1091428928829901</v>
      </c>
      <c r="AH3389">
        <v>11.0486825948975</v>
      </c>
      <c r="AI3389">
        <v>95.707384487127399</v>
      </c>
      <c r="AJ3389">
        <v>95.387439843830407</v>
      </c>
      <c r="AK3389">
        <v>11.1529939824451</v>
      </c>
      <c r="AL3389">
        <v>88.186294341469804</v>
      </c>
      <c r="AM3389">
        <v>91.062494190744104</v>
      </c>
      <c r="AN3389">
        <v>1.0000000312942601</v>
      </c>
    </row>
    <row r="3390" spans="1:40" x14ac:dyDescent="0.25">
      <c r="A3390" t="str">
        <f>"20190312160358769"</f>
        <v>20190312160358769</v>
      </c>
      <c r="B3390" t="str">
        <f>"1552377838758255"</f>
        <v>1552377838758255</v>
      </c>
      <c r="C3390" t="s">
        <v>40</v>
      </c>
      <c r="D3390">
        <v>5.7585329999999999</v>
      </c>
      <c r="E3390">
        <v>0.47351359999999998</v>
      </c>
      <c r="F3390" t="s">
        <v>70</v>
      </c>
      <c r="G3390">
        <v>-444.53149999999999</v>
      </c>
      <c r="H3390" s="1">
        <v>8.8840909999999896E-7</v>
      </c>
      <c r="I3390">
        <v>214.30109999999999</v>
      </c>
      <c r="J3390">
        <v>-455.92360000000002</v>
      </c>
      <c r="K3390">
        <v>1.1091629999999999</v>
      </c>
      <c r="L3390">
        <v>214.85290000000001</v>
      </c>
      <c r="M3390">
        <v>0.98976459999999999</v>
      </c>
      <c r="N3390">
        <v>0</v>
      </c>
      <c r="O3390">
        <v>-0.14218239999999999</v>
      </c>
      <c r="P3390">
        <v>0.9921198</v>
      </c>
      <c r="Q3390">
        <v>2.0355370000000001E-2</v>
      </c>
      <c r="R3390">
        <v>-0.1236294</v>
      </c>
      <c r="S3390">
        <v>3.0101619999999998</v>
      </c>
      <c r="T3390">
        <v>-0.2875798</v>
      </c>
      <c r="U3390">
        <v>-0.15156559999999999</v>
      </c>
      <c r="V3390">
        <v>-1.862695E-2</v>
      </c>
      <c r="W3390">
        <v>3.2652599999999997E-2</v>
      </c>
      <c r="X3390">
        <v>0.99929310000000005</v>
      </c>
      <c r="Y3390">
        <v>-9.118184E-2</v>
      </c>
      <c r="Z3390">
        <v>1.784146E-2</v>
      </c>
      <c r="AA3390">
        <v>0.99567439999999996</v>
      </c>
      <c r="AB3390">
        <v>22</v>
      </c>
      <c r="AC3390">
        <v>11.392099999999999</v>
      </c>
      <c r="AD3390">
        <v>-1.1091621115908901</v>
      </c>
      <c r="AE3390">
        <v>-0.55180000000001395</v>
      </c>
      <c r="AF3390">
        <v>-1.0636256792899901</v>
      </c>
      <c r="AG3390">
        <v>-1.1091621115908901</v>
      </c>
      <c r="AH3390">
        <v>11.2484271775882</v>
      </c>
      <c r="AI3390">
        <v>95.606652429362498</v>
      </c>
      <c r="AJ3390">
        <v>95.401697593427102</v>
      </c>
      <c r="AK3390">
        <v>11.3529139054667</v>
      </c>
      <c r="AL3390">
        <v>88.128811086063493</v>
      </c>
      <c r="AM3390">
        <v>91.067876921790997</v>
      </c>
      <c r="AN3390">
        <v>0.99999992763033296</v>
      </c>
    </row>
    <row r="3391" spans="1:40" x14ac:dyDescent="0.25">
      <c r="A3391" t="str">
        <f>"20190312160358790"</f>
        <v>20190312160358790</v>
      </c>
      <c r="B3391" t="str">
        <f>"1552377838777775"</f>
        <v>1552377838777775</v>
      </c>
      <c r="C3391" t="s">
        <v>40</v>
      </c>
      <c r="D3391">
        <v>5.8139710000000004</v>
      </c>
      <c r="E3391">
        <v>0.47333429999999999</v>
      </c>
      <c r="F3391" t="s">
        <v>70</v>
      </c>
      <c r="G3391">
        <v>-444.12670000000003</v>
      </c>
      <c r="H3391" s="1">
        <v>6.7538080000000005E-7</v>
      </c>
      <c r="I3391">
        <v>214.24690000000001</v>
      </c>
      <c r="J3391">
        <v>-455.71940000000001</v>
      </c>
      <c r="K3391">
        <v>1.1091799999999901</v>
      </c>
      <c r="L3391">
        <v>214.8218</v>
      </c>
      <c r="M3391">
        <v>0.98955899999999997</v>
      </c>
      <c r="N3391">
        <v>0</v>
      </c>
      <c r="O3391">
        <v>-0.14360789999999901</v>
      </c>
      <c r="P3391">
        <v>0.99189720000000003</v>
      </c>
      <c r="Q3391">
        <v>2.0349880000000001E-2</v>
      </c>
      <c r="R3391">
        <v>-0.12540509999999999</v>
      </c>
      <c r="S3391">
        <v>3.0103149999999999</v>
      </c>
      <c r="T3391">
        <v>-0.28303539999999999</v>
      </c>
      <c r="U3391">
        <v>-0.15463260000000001</v>
      </c>
      <c r="V3391">
        <v>-1.8278630000000001E-2</v>
      </c>
      <c r="W3391">
        <v>3.26445E-2</v>
      </c>
      <c r="X3391">
        <v>0.99929990000000002</v>
      </c>
      <c r="Y3391">
        <v>-9.1631829999999997E-2</v>
      </c>
      <c r="Z3391">
        <v>1.7712660000000002E-2</v>
      </c>
      <c r="AA3391">
        <v>0.99563539999999995</v>
      </c>
      <c r="AB3391">
        <v>22</v>
      </c>
      <c r="AC3391">
        <v>11.592699999999899</v>
      </c>
      <c r="AD3391">
        <v>-1.1091793246192001</v>
      </c>
      <c r="AE3391">
        <v>-0.57489999999998498</v>
      </c>
      <c r="AF3391">
        <v>-1.0860698736571699</v>
      </c>
      <c r="AG3391">
        <v>-1.1091793246192001</v>
      </c>
      <c r="AH3391">
        <v>11.4505195109461</v>
      </c>
      <c r="AI3391">
        <v>95.508248898507205</v>
      </c>
      <c r="AJ3391">
        <v>95.418235858161395</v>
      </c>
      <c r="AK3391">
        <v>11.5552682190932</v>
      </c>
      <c r="AL3391">
        <v>88.129275622745894</v>
      </c>
      <c r="AM3391">
        <v>91.047905216763894</v>
      </c>
      <c r="AN3391">
        <v>1.0000000309174599</v>
      </c>
    </row>
    <row r="3392" spans="1:40" x14ac:dyDescent="0.25">
      <c r="A3392" t="str">
        <f>"20190312160358811"</f>
        <v>20190312160358811</v>
      </c>
      <c r="B3392" t="str">
        <f>"1552377838808031"</f>
        <v>1552377838808031</v>
      </c>
      <c r="C3392" t="s">
        <v>40</v>
      </c>
      <c r="D3392">
        <v>5.7108140000000001</v>
      </c>
      <c r="E3392">
        <v>0.46655390000000002</v>
      </c>
      <c r="F3392" t="s">
        <v>70</v>
      </c>
      <c r="G3392">
        <v>-443.94850000000002</v>
      </c>
      <c r="H3392" s="1">
        <v>5.8260750000000004E-7</v>
      </c>
      <c r="I3392">
        <v>214.1994</v>
      </c>
      <c r="J3392">
        <v>-455.51170000000002</v>
      </c>
      <c r="K3392">
        <v>1.1092010000000001</v>
      </c>
      <c r="L3392">
        <v>214.78989999999999</v>
      </c>
      <c r="M3392">
        <v>0.98935130000000004</v>
      </c>
      <c r="N3392">
        <v>0</v>
      </c>
      <c r="O3392">
        <v>-0.14503139999999901</v>
      </c>
      <c r="P3392">
        <v>0.99168469999999997</v>
      </c>
      <c r="Q3392">
        <v>1.9973310000000001E-2</v>
      </c>
      <c r="R3392">
        <v>-0.127134199999999</v>
      </c>
      <c r="S3392">
        <v>3.0101930000000001</v>
      </c>
      <c r="T3392">
        <v>-0.28365240000000003</v>
      </c>
      <c r="U3392">
        <v>-0.15916440000000001</v>
      </c>
      <c r="V3392">
        <v>-1.7977690000000001E-2</v>
      </c>
      <c r="W3392">
        <v>3.226561E-2</v>
      </c>
      <c r="X3392">
        <v>0.99931760000000003</v>
      </c>
      <c r="Y3392">
        <v>-9.1557100000000002E-2</v>
      </c>
      <c r="Z3392">
        <v>1.787969E-2</v>
      </c>
      <c r="AA3392">
        <v>0.9956393</v>
      </c>
      <c r="AB3392">
        <v>22</v>
      </c>
      <c r="AC3392">
        <v>11.563199999999901</v>
      </c>
      <c r="AD3392">
        <v>-1.1092004173925001</v>
      </c>
      <c r="AE3392">
        <v>-0.59049999999999103</v>
      </c>
      <c r="AF3392">
        <v>-1.0829580153632401</v>
      </c>
      <c r="AG3392">
        <v>-1.1092004173925001</v>
      </c>
      <c r="AH3392">
        <v>11.4217468050314</v>
      </c>
      <c r="AI3392">
        <v>95.522160805167701</v>
      </c>
      <c r="AJ3392">
        <v>95.416332719359502</v>
      </c>
      <c r="AK3392">
        <v>11.5264662280869</v>
      </c>
      <c r="AL3392">
        <v>88.150995742891496</v>
      </c>
      <c r="AM3392">
        <v>91.030637970362804</v>
      </c>
      <c r="AN3392">
        <v>0.99999996629808297</v>
      </c>
    </row>
    <row r="3393" spans="1:40" x14ac:dyDescent="0.25">
      <c r="A3393" t="str">
        <f>"20190312160358836"</f>
        <v>20190312160358836</v>
      </c>
      <c r="B3393" t="str">
        <f>"1552377838827551"</f>
        <v>1552377838827551</v>
      </c>
      <c r="C3393" t="s">
        <v>40</v>
      </c>
      <c r="D3393">
        <v>5.7190139999999996</v>
      </c>
      <c r="E3393">
        <v>0.4663776</v>
      </c>
      <c r="F3393" t="s">
        <v>79</v>
      </c>
      <c r="G3393">
        <v>-432.59780000000001</v>
      </c>
      <c r="H3393" s="1">
        <v>3.4289330000000002E-6</v>
      </c>
      <c r="I3393">
        <v>213.93109999999999</v>
      </c>
      <c r="J3393">
        <v>-455.27760000000001</v>
      </c>
      <c r="K3393">
        <v>1.109224</v>
      </c>
      <c r="L3393">
        <v>214.75370000000001</v>
      </c>
      <c r="M3393">
        <v>0.98911939999999998</v>
      </c>
      <c r="N3393">
        <v>0</v>
      </c>
      <c r="O3393">
        <v>-0.14660379999999901</v>
      </c>
      <c r="P3393">
        <v>0.99138300000000001</v>
      </c>
      <c r="Q3393">
        <v>1.967677E-2</v>
      </c>
      <c r="R3393">
        <v>-0.12951079999999901</v>
      </c>
      <c r="S3393">
        <v>3.013611</v>
      </c>
      <c r="T3393">
        <v>-0.14588110000000001</v>
      </c>
      <c r="U3393">
        <v>-0.1129608</v>
      </c>
      <c r="V3393">
        <v>-1.7173029999999999E-2</v>
      </c>
      <c r="W3393">
        <v>3.1965830000000001E-2</v>
      </c>
      <c r="X3393">
        <v>0.99934140000000005</v>
      </c>
      <c r="Y3393">
        <v>-0.1091617</v>
      </c>
      <c r="Z3393">
        <v>9.7061179999999997E-3</v>
      </c>
      <c r="AA3393">
        <v>0.99397659999999999</v>
      </c>
      <c r="AB3393">
        <v>22</v>
      </c>
      <c r="AC3393">
        <v>22.6798</v>
      </c>
      <c r="AD3393">
        <v>-1.109220571067</v>
      </c>
      <c r="AE3393">
        <v>-0.82260000000002198</v>
      </c>
      <c r="AF3393">
        <v>-2.5054985603166799</v>
      </c>
      <c r="AG3393">
        <v>-1.109220571067</v>
      </c>
      <c r="AH3393">
        <v>22.5015671603831</v>
      </c>
      <c r="AI3393">
        <v>92.804819776270307</v>
      </c>
      <c r="AJ3393">
        <v>96.353583670047399</v>
      </c>
      <c r="AK3393">
        <v>22.667783702520602</v>
      </c>
      <c r="AL3393">
        <v>88.168180763098306</v>
      </c>
      <c r="AM3393">
        <v>90.984493691857907</v>
      </c>
      <c r="AN3393">
        <v>0.99999998050046401</v>
      </c>
    </row>
    <row r="3394" spans="1:40" x14ac:dyDescent="0.25">
      <c r="A3394" t="str">
        <f>"20190312160358870"</f>
        <v>20190312160358870</v>
      </c>
      <c r="B3394" t="str">
        <f>"1552377838857807"</f>
        <v>1552377838857807</v>
      </c>
      <c r="C3394" t="s">
        <v>40</v>
      </c>
      <c r="D3394">
        <v>5.7348080000000001</v>
      </c>
      <c r="E3394">
        <v>0.46698129999999999</v>
      </c>
      <c r="F3394" t="s">
        <v>79</v>
      </c>
      <c r="G3394">
        <v>-432.13010000000003</v>
      </c>
      <c r="H3394" s="1">
        <v>3.229517E-6</v>
      </c>
      <c r="I3394">
        <v>213.83930000000001</v>
      </c>
      <c r="J3394">
        <v>-454.94619999999998</v>
      </c>
      <c r="K3394">
        <v>1.1092599999999999</v>
      </c>
      <c r="L3394">
        <v>214.70179999999999</v>
      </c>
      <c r="M3394">
        <v>0.9887958</v>
      </c>
      <c r="N3394">
        <v>0</v>
      </c>
      <c r="O3394">
        <v>-0.14877079999999901</v>
      </c>
      <c r="P3394">
        <v>0.99117809999999995</v>
      </c>
      <c r="Q3394">
        <v>2.020069E-2</v>
      </c>
      <c r="R3394">
        <v>-0.1309903</v>
      </c>
      <c r="S3394">
        <v>3.0134280000000002</v>
      </c>
      <c r="T3394">
        <v>-0.14440239999999999</v>
      </c>
      <c r="U3394">
        <v>-0.1190338</v>
      </c>
      <c r="V3394">
        <v>-1.7871310000000001E-2</v>
      </c>
      <c r="W3394">
        <v>3.2488650000000001E-2</v>
      </c>
      <c r="X3394">
        <v>0.99931230000000004</v>
      </c>
      <c r="Y3394">
        <v>-0.1093406</v>
      </c>
      <c r="Z3394">
        <v>9.7148240000000004E-3</v>
      </c>
      <c r="AA3394">
        <v>0.99395690000000003</v>
      </c>
      <c r="AB3394">
        <v>22</v>
      </c>
      <c r="AC3394">
        <v>22.816099999999899</v>
      </c>
      <c r="AD3394">
        <v>-1.1092567704830001</v>
      </c>
      <c r="AE3394">
        <v>-0.86249999999998195</v>
      </c>
      <c r="AF3394">
        <v>-2.5357388335558899</v>
      </c>
      <c r="AG3394">
        <v>-1.1092567704830001</v>
      </c>
      <c r="AH3394">
        <v>22.637052328008199</v>
      </c>
      <c r="AI3394">
        <v>92.787944486128097</v>
      </c>
      <c r="AJ3394">
        <v>96.391467630310203</v>
      </c>
      <c r="AK3394">
        <v>22.8056256243026</v>
      </c>
      <c r="AL3394">
        <v>88.138209822322196</v>
      </c>
      <c r="AM3394">
        <v>91.0245460775064</v>
      </c>
      <c r="AN3394">
        <v>0.999999984515614</v>
      </c>
    </row>
    <row r="3395" spans="1:40" x14ac:dyDescent="0.25">
      <c r="A3395" t="str">
        <f>"20190312160358894"</f>
        <v>20190312160358894</v>
      </c>
      <c r="B3395" t="str">
        <f>"1552377838888063"</f>
        <v>1552377838888063</v>
      </c>
      <c r="C3395" t="s">
        <v>40</v>
      </c>
      <c r="D3395">
        <v>5.6984180000000002</v>
      </c>
      <c r="E3395">
        <v>0.46729080000000001</v>
      </c>
      <c r="F3395" t="s">
        <v>79</v>
      </c>
      <c r="G3395">
        <v>-432.76139999999998</v>
      </c>
      <c r="H3395" s="1">
        <v>3.5167550000000002E-6</v>
      </c>
      <c r="I3395">
        <v>213.75620000000001</v>
      </c>
      <c r="J3395">
        <v>-454.71129999999999</v>
      </c>
      <c r="K3395">
        <v>1.109278</v>
      </c>
      <c r="L3395">
        <v>214.66460000000001</v>
      </c>
      <c r="M3395">
        <v>0.98857099999999998</v>
      </c>
      <c r="N3395">
        <v>0</v>
      </c>
      <c r="O3395">
        <v>-0.15025749999999999</v>
      </c>
      <c r="P3395">
        <v>0.99105500000000002</v>
      </c>
      <c r="Q3395">
        <v>2.150024E-2</v>
      </c>
      <c r="R3395">
        <v>-0.13171150000000001</v>
      </c>
      <c r="S3395">
        <v>3.0127869999999999</v>
      </c>
      <c r="T3395">
        <v>-0.15064140000000001</v>
      </c>
      <c r="U3395">
        <v>-0.128418</v>
      </c>
      <c r="V3395">
        <v>-1.864149E-2</v>
      </c>
      <c r="W3395">
        <v>3.3786360000000001E-2</v>
      </c>
      <c r="X3395">
        <v>0.99925520000000001</v>
      </c>
      <c r="Y3395">
        <v>-0.10771020000000001</v>
      </c>
      <c r="Z3395">
        <v>1.016791E-2</v>
      </c>
      <c r="AA3395">
        <v>0.99413030000000002</v>
      </c>
      <c r="AB3395">
        <v>22</v>
      </c>
      <c r="AC3395">
        <v>21.9499</v>
      </c>
      <c r="AD3395">
        <v>-1.1092744832450001</v>
      </c>
      <c r="AE3395">
        <v>-0.90839999999999999</v>
      </c>
      <c r="AF3395">
        <v>-2.3941950984098801</v>
      </c>
      <c r="AG3395">
        <v>-1.1092744832450001</v>
      </c>
      <c r="AH3395">
        <v>21.781632869708002</v>
      </c>
      <c r="AI3395">
        <v>92.897962833474594</v>
      </c>
      <c r="AJ3395">
        <v>96.272660461317898</v>
      </c>
      <c r="AK3395">
        <v>21.940879438144101</v>
      </c>
      <c r="AL3395">
        <v>88.063815661458193</v>
      </c>
      <c r="AM3395">
        <v>91.0687508268676</v>
      </c>
      <c r="AN3395">
        <v>0.99999998899925402</v>
      </c>
    </row>
    <row r="3396" spans="1:40" x14ac:dyDescent="0.25">
      <c r="A3396" t="str">
        <f>"20190312160358915"</f>
        <v>20190312160358915</v>
      </c>
      <c r="B3396" t="str">
        <f>"1552377838907584"</f>
        <v>1552377838907584</v>
      </c>
      <c r="C3396" t="s">
        <v>40</v>
      </c>
      <c r="D3396">
        <v>5.8151869999999999</v>
      </c>
      <c r="E3396">
        <v>0.46665499999999999</v>
      </c>
      <c r="F3396" t="s">
        <v>70</v>
      </c>
      <c r="G3396">
        <v>-441.0335</v>
      </c>
      <c r="H3396" s="1">
        <v>-9.6277960000000003E-7</v>
      </c>
      <c r="I3396">
        <v>214.06659999999999</v>
      </c>
      <c r="J3396">
        <v>-454.51620000000003</v>
      </c>
      <c r="K3396">
        <v>1.109302</v>
      </c>
      <c r="L3396">
        <v>214.6335</v>
      </c>
      <c r="M3396">
        <v>0.98838700000000002</v>
      </c>
      <c r="N3396">
        <v>0</v>
      </c>
      <c r="O3396">
        <v>-0.15146319999999999</v>
      </c>
      <c r="P3396">
        <v>0.99097000000000002</v>
      </c>
      <c r="Q3396">
        <v>2.2174289999999999E-2</v>
      </c>
      <c r="R3396">
        <v>-0.13223679999999999</v>
      </c>
      <c r="S3396">
        <v>3.0148619999999999</v>
      </c>
      <c r="T3396">
        <v>-0.2445079</v>
      </c>
      <c r="U3396">
        <v>-0.13182070000000001</v>
      </c>
      <c r="V3396">
        <v>-1.9329559999999999E-2</v>
      </c>
      <c r="W3396">
        <v>3.4459749999999997E-2</v>
      </c>
      <c r="X3396">
        <v>0.99921910000000003</v>
      </c>
      <c r="Y3396">
        <v>-0.107308399999999</v>
      </c>
      <c r="Z3396">
        <v>1.6555230000000001E-2</v>
      </c>
      <c r="AA3396">
        <v>0.99408790000000002</v>
      </c>
      <c r="AB3396">
        <v>22</v>
      </c>
      <c r="AC3396">
        <v>13.482699999999999</v>
      </c>
      <c r="AD3396">
        <v>-1.1093029627796001</v>
      </c>
      <c r="AE3396">
        <v>-0.56690000000000396</v>
      </c>
      <c r="AF3396">
        <v>-1.4719807133809899</v>
      </c>
      <c r="AG3396">
        <v>-1.1093029627796001</v>
      </c>
      <c r="AH3396">
        <v>13.322967563043701</v>
      </c>
      <c r="AI3396">
        <v>94.730953051276401</v>
      </c>
      <c r="AJ3396">
        <v>96.304722012030894</v>
      </c>
      <c r="AK3396">
        <v>13.449860407071601</v>
      </c>
      <c r="AL3396">
        <v>88.025210712175394</v>
      </c>
      <c r="AM3396">
        <v>91.108229506886701</v>
      </c>
      <c r="AN3396">
        <v>0.99999995803233199</v>
      </c>
    </row>
    <row r="3397" spans="1:40" x14ac:dyDescent="0.25">
      <c r="A3397" t="str">
        <f>"20190312160358936"</f>
        <v>20190312160358936</v>
      </c>
      <c r="B3397" t="str">
        <f>"1552377838928079"</f>
        <v>1552377838928079</v>
      </c>
      <c r="C3397" t="s">
        <v>40</v>
      </c>
      <c r="D3397">
        <v>5.7384209999999998</v>
      </c>
      <c r="E3397">
        <v>0.46694550000000001</v>
      </c>
      <c r="F3397" t="s">
        <v>70</v>
      </c>
      <c r="G3397">
        <v>-440.84370000000001</v>
      </c>
      <c r="H3397" s="1">
        <v>-1.0631710000000001E-6</v>
      </c>
      <c r="I3397">
        <v>214.05240000000001</v>
      </c>
      <c r="J3397">
        <v>-454.29680000000002</v>
      </c>
      <c r="K3397">
        <v>1.1093280000000001</v>
      </c>
      <c r="L3397">
        <v>214.59829999999999</v>
      </c>
      <c r="M3397">
        <v>0.98818499999999998</v>
      </c>
      <c r="N3397">
        <v>0</v>
      </c>
      <c r="O3397">
        <v>-0.15277639999999901</v>
      </c>
      <c r="P3397">
        <v>0.99089490000000002</v>
      </c>
      <c r="Q3397">
        <v>2.183146E-2</v>
      </c>
      <c r="R3397">
        <v>-0.1328577</v>
      </c>
      <c r="S3397">
        <v>3.0157470000000002</v>
      </c>
      <c r="T3397">
        <v>-0.2446796</v>
      </c>
      <c r="U3397">
        <v>-0.1281738</v>
      </c>
      <c r="V3397">
        <v>-2.003543E-2</v>
      </c>
      <c r="W3397">
        <v>3.4115670000000001E-2</v>
      </c>
      <c r="X3397">
        <v>0.99921700000000002</v>
      </c>
      <c r="Y3397">
        <v>-0.1098283</v>
      </c>
      <c r="Z3397">
        <v>1.6769900000000001E-2</v>
      </c>
      <c r="AA3397">
        <v>0.9938091</v>
      </c>
      <c r="AB3397">
        <v>22</v>
      </c>
      <c r="AC3397">
        <v>13.453099999999999</v>
      </c>
      <c r="AD3397">
        <v>-1.109329063171</v>
      </c>
      <c r="AE3397">
        <v>-0.54589999999998895</v>
      </c>
      <c r="AF3397">
        <v>-1.50575798054678</v>
      </c>
      <c r="AG3397">
        <v>-1.109329063171</v>
      </c>
      <c r="AH3397">
        <v>13.288348797315701</v>
      </c>
      <c r="AI3397">
        <v>94.741856680414202</v>
      </c>
      <c r="AJ3397">
        <v>96.464847046021802</v>
      </c>
      <c r="AK3397">
        <v>13.419319350306001</v>
      </c>
      <c r="AL3397">
        <v>88.044936638235498</v>
      </c>
      <c r="AM3397">
        <v>91.148691199034999</v>
      </c>
      <c r="AN3397">
        <v>0.99999995524191498</v>
      </c>
    </row>
    <row r="3398" spans="1:40" x14ac:dyDescent="0.25">
      <c r="A3398" t="str">
        <f>"20190312160358959"</f>
        <v>20190312160358959</v>
      </c>
      <c r="B3398" t="str">
        <f>"1552377838947599"</f>
        <v>1552377838947599</v>
      </c>
      <c r="C3398" t="s">
        <v>40</v>
      </c>
      <c r="D3398">
        <v>5.7506250000000003</v>
      </c>
      <c r="E3398">
        <v>0.46668609999999999</v>
      </c>
      <c r="F3398" t="s">
        <v>70</v>
      </c>
      <c r="G3398">
        <v>-440.48790000000002</v>
      </c>
      <c r="H3398" s="1">
        <v>-1.2498380000000001E-6</v>
      </c>
      <c r="I3398">
        <v>213.99170000000001</v>
      </c>
      <c r="J3398">
        <v>-454.08920000000001</v>
      </c>
      <c r="K3398">
        <v>1.1093580000000001</v>
      </c>
      <c r="L3398">
        <v>214.56469999999999</v>
      </c>
      <c r="M3398">
        <v>0.98800030000000005</v>
      </c>
      <c r="N3398">
        <v>0</v>
      </c>
      <c r="O3398">
        <v>-0.153965299999999</v>
      </c>
      <c r="P3398">
        <v>0.99090109999999998</v>
      </c>
      <c r="Q3398">
        <v>2.148868E-2</v>
      </c>
      <c r="R3398">
        <v>-0.13286529999999999</v>
      </c>
      <c r="S3398">
        <v>3.0151370000000002</v>
      </c>
      <c r="T3398">
        <v>-0.2422203</v>
      </c>
      <c r="U3398">
        <v>-0.13244629999999999</v>
      </c>
      <c r="V3398">
        <v>-2.1234449999999998E-2</v>
      </c>
      <c r="W3398">
        <v>3.3772070000000001E-2</v>
      </c>
      <c r="X3398">
        <v>0.99920399999999998</v>
      </c>
      <c r="Y3398">
        <v>-0.1096239</v>
      </c>
      <c r="Z3398">
        <v>1.669052E-2</v>
      </c>
      <c r="AA3398">
        <v>0.99383299999999997</v>
      </c>
      <c r="AB3398">
        <v>22</v>
      </c>
      <c r="AC3398">
        <v>13.601299999999901</v>
      </c>
      <c r="AD3398">
        <v>-1.109359249838</v>
      </c>
      <c r="AE3398">
        <v>-0.57299999999997897</v>
      </c>
      <c r="AF3398">
        <v>-1.5180379221910201</v>
      </c>
      <c r="AG3398">
        <v>-1.109359249838</v>
      </c>
      <c r="AH3398">
        <v>13.4380875884848</v>
      </c>
      <c r="AI3398">
        <v>94.6895647189464</v>
      </c>
      <c r="AJ3398">
        <v>96.445113272477201</v>
      </c>
      <c r="AK3398">
        <v>13.5689835696783</v>
      </c>
      <c r="AL3398">
        <v>88.064634992347393</v>
      </c>
      <c r="AM3398">
        <v>91.217430335572203</v>
      </c>
      <c r="AN3398">
        <v>1.0000000440974399</v>
      </c>
    </row>
    <row r="3399" spans="1:40" x14ac:dyDescent="0.25">
      <c r="A3399" t="str">
        <f>"20190312160358980"</f>
        <v>20190312160358980</v>
      </c>
      <c r="B3399" t="str">
        <f>"1552377838968095"</f>
        <v>1552377838968095</v>
      </c>
      <c r="C3399" t="s">
        <v>40</v>
      </c>
      <c r="D3399">
        <v>5.733803</v>
      </c>
      <c r="E3399">
        <v>0.46680519999999998</v>
      </c>
      <c r="F3399" t="s">
        <v>70</v>
      </c>
      <c r="G3399">
        <v>-440.44439999999997</v>
      </c>
      <c r="H3399" s="1">
        <v>-1.2722080000000001E-6</v>
      </c>
      <c r="I3399">
        <v>213.9736</v>
      </c>
      <c r="J3399">
        <v>-453.88010000000003</v>
      </c>
      <c r="K3399">
        <v>1.109405</v>
      </c>
      <c r="L3399">
        <v>214.5307</v>
      </c>
      <c r="M3399">
        <v>0.98782219999999998</v>
      </c>
      <c r="N3399">
        <v>0</v>
      </c>
      <c r="O3399">
        <v>-0.15510309999999999</v>
      </c>
      <c r="P3399">
        <v>0.99082919999999997</v>
      </c>
      <c r="Q3399">
        <v>2.2169640000000001E-2</v>
      </c>
      <c r="R3399">
        <v>-0.13328880000000001</v>
      </c>
      <c r="S3399">
        <v>3.0153810000000001</v>
      </c>
      <c r="T3399">
        <v>-0.24515899999999999</v>
      </c>
      <c r="U3399">
        <v>-0.13063050000000001</v>
      </c>
      <c r="V3399">
        <v>-2.1958620000000002E-2</v>
      </c>
      <c r="W3399">
        <v>3.4450699999999897E-2</v>
      </c>
      <c r="X3399">
        <v>0.99916510000000003</v>
      </c>
      <c r="Y3399">
        <v>-0.11133949999999999</v>
      </c>
      <c r="Z3399">
        <v>1.705226E-2</v>
      </c>
      <c r="AA3399">
        <v>0.99363610000000002</v>
      </c>
      <c r="AB3399">
        <v>22</v>
      </c>
      <c r="AC3399">
        <v>13.435700000000001</v>
      </c>
      <c r="AD3399">
        <v>-1.109406272208</v>
      </c>
      <c r="AE3399">
        <v>-0.55709999999999105</v>
      </c>
      <c r="AF3399">
        <v>-1.5233497992259899</v>
      </c>
      <c r="AG3399">
        <v>-1.109406272208</v>
      </c>
      <c r="AH3399">
        <v>13.2691801183393</v>
      </c>
      <c r="AI3399">
        <v>94.748211745633398</v>
      </c>
      <c r="AJ3399">
        <v>96.549090789394</v>
      </c>
      <c r="AK3399">
        <v>13.402332554467799</v>
      </c>
      <c r="AL3399">
        <v>88.025729559621496</v>
      </c>
      <c r="AM3399">
        <v>91.258984880540595</v>
      </c>
      <c r="AN3399">
        <v>0.99999996439040095</v>
      </c>
    </row>
    <row r="3400" spans="1:40" x14ac:dyDescent="0.25">
      <c r="A3400" t="str">
        <f>"20190312160359003"</f>
        <v>20190312160359003</v>
      </c>
      <c r="B3400" t="str">
        <f>"1552377838998352"</f>
        <v>1552377838998352</v>
      </c>
      <c r="C3400" t="s">
        <v>40</v>
      </c>
      <c r="D3400">
        <v>5.7744999999999997</v>
      </c>
      <c r="E3400">
        <v>0.46679680000000001</v>
      </c>
      <c r="F3400" t="s">
        <v>70</v>
      </c>
      <c r="G3400">
        <v>-440.12920000000003</v>
      </c>
      <c r="H3400" s="1">
        <v>-1.437737E-6</v>
      </c>
      <c r="I3400">
        <v>213.9228</v>
      </c>
      <c r="J3400">
        <v>-453.6583</v>
      </c>
      <c r="K3400">
        <v>1.1094580000000001</v>
      </c>
      <c r="L3400">
        <v>214.49440000000001</v>
      </c>
      <c r="M3400">
        <v>0.98764350000000001</v>
      </c>
      <c r="N3400">
        <v>0</v>
      </c>
      <c r="O3400">
        <v>-0.15623870000000001</v>
      </c>
      <c r="P3400">
        <v>0.99066319999999997</v>
      </c>
      <c r="Q3400">
        <v>2.273499E-2</v>
      </c>
      <c r="R3400">
        <v>-0.1344243</v>
      </c>
      <c r="S3400">
        <v>3.0152890000000001</v>
      </c>
      <c r="T3400">
        <v>-0.2432694</v>
      </c>
      <c r="U3400">
        <v>-0.133300799999999</v>
      </c>
      <c r="V3400">
        <v>-2.1963440000000001E-2</v>
      </c>
      <c r="W3400">
        <v>3.5012069999999999E-2</v>
      </c>
      <c r="X3400">
        <v>0.99914550000000002</v>
      </c>
      <c r="Y3400">
        <v>-0.1116113</v>
      </c>
      <c r="Z3400">
        <v>1.7022610000000001E-2</v>
      </c>
      <c r="AA3400">
        <v>0.99360619999999999</v>
      </c>
      <c r="AB3400">
        <v>22</v>
      </c>
      <c r="AC3400">
        <v>13.5290999999999</v>
      </c>
      <c r="AD3400">
        <v>-1.109459437737</v>
      </c>
      <c r="AE3400">
        <v>-0.57160000000001698</v>
      </c>
      <c r="AF3400">
        <v>-1.53901673764015</v>
      </c>
      <c r="AG3400">
        <v>-1.109459437737</v>
      </c>
      <c r="AH3400">
        <v>13.362539769328199</v>
      </c>
      <c r="AI3400">
        <v>94.715215309294905</v>
      </c>
      <c r="AJ3400">
        <v>96.570033778736502</v>
      </c>
      <c r="AK3400">
        <v>13.4965529617602</v>
      </c>
      <c r="AL3400">
        <v>87.993546048710797</v>
      </c>
      <c r="AM3400">
        <v>91.259285838172801</v>
      </c>
      <c r="AN3400">
        <v>0.99999998395628398</v>
      </c>
    </row>
    <row r="3401" spans="1:40" x14ac:dyDescent="0.25">
      <c r="A3401" t="str">
        <f>"20190312160359024"</f>
        <v>20190312160359024</v>
      </c>
      <c r="B3401" t="str">
        <f>"1552377839017872"</f>
        <v>1552377839017872</v>
      </c>
      <c r="C3401" t="s">
        <v>40</v>
      </c>
      <c r="D3401">
        <v>5.9128119999999997</v>
      </c>
      <c r="E3401">
        <v>0.46691759999999899</v>
      </c>
      <c r="F3401" t="s">
        <v>79</v>
      </c>
      <c r="G3401">
        <v>-439.75670000000002</v>
      </c>
      <c r="H3401" s="1">
        <v>6.609468E-6</v>
      </c>
      <c r="I3401">
        <v>213.86349999999999</v>
      </c>
      <c r="J3401">
        <v>-453.45119999999997</v>
      </c>
      <c r="K3401">
        <v>1.109507</v>
      </c>
      <c r="L3401">
        <v>214.46039999999999</v>
      </c>
      <c r="M3401">
        <v>0.98748760000000002</v>
      </c>
      <c r="N3401">
        <v>0</v>
      </c>
      <c r="O3401">
        <v>-0.15722139999999901</v>
      </c>
      <c r="P3401">
        <v>0.99061949999999999</v>
      </c>
      <c r="Q3401">
        <v>2.2067199999999999E-2</v>
      </c>
      <c r="R3401">
        <v>-0.134857</v>
      </c>
      <c r="S3401">
        <v>3.015228</v>
      </c>
      <c r="T3401">
        <v>-0.2406374</v>
      </c>
      <c r="U3401">
        <v>-0.13684079999999901</v>
      </c>
      <c r="V3401">
        <v>-2.2529009999999999E-2</v>
      </c>
      <c r="W3401">
        <v>3.4340610000000001E-2</v>
      </c>
      <c r="X3401">
        <v>0.99915620000000005</v>
      </c>
      <c r="Y3401">
        <v>-0.11145099999999999</v>
      </c>
      <c r="Z3401">
        <v>1.690964E-2</v>
      </c>
      <c r="AA3401">
        <v>0.99362609999999996</v>
      </c>
      <c r="AB3401">
        <v>22</v>
      </c>
      <c r="AC3401">
        <v>13.6944999999999</v>
      </c>
      <c r="AD3401">
        <v>-1.109500390532</v>
      </c>
      <c r="AE3401">
        <v>-0.59690000000000498</v>
      </c>
      <c r="AF3401">
        <v>-1.5535759481000999</v>
      </c>
      <c r="AG3401">
        <v>-1.109500390532</v>
      </c>
      <c r="AH3401">
        <v>13.5293763400028</v>
      </c>
      <c r="AI3401">
        <v>94.657679612639996</v>
      </c>
      <c r="AJ3401">
        <v>96.550573298256097</v>
      </c>
      <c r="AK3401">
        <v>13.6634041692593</v>
      </c>
      <c r="AL3401">
        <v>88.032041003461501</v>
      </c>
      <c r="AM3401">
        <v>91.291688426529703</v>
      </c>
      <c r="AN3401">
        <v>0.99999997289259501</v>
      </c>
    </row>
    <row r="3402" spans="1:40" x14ac:dyDescent="0.25">
      <c r="A3402" t="str">
        <f>"20190312160359048"</f>
        <v>20190312160359048</v>
      </c>
      <c r="B3402" t="str">
        <f>"1552377839038367"</f>
        <v>1552377839038367</v>
      </c>
      <c r="C3402" t="s">
        <v>40</v>
      </c>
      <c r="D3402">
        <v>5.8788280000000004</v>
      </c>
      <c r="E3402">
        <v>0.46398329999999999</v>
      </c>
      <c r="F3402" t="s">
        <v>79</v>
      </c>
      <c r="G3402">
        <v>-439.73430000000002</v>
      </c>
      <c r="H3402" s="1">
        <v>6.6026909999999999E-6</v>
      </c>
      <c r="I3402">
        <v>213.82740000000001</v>
      </c>
      <c r="J3402">
        <v>-453.2296</v>
      </c>
      <c r="K3402">
        <v>1.1095600000000001</v>
      </c>
      <c r="L3402">
        <v>214.4239</v>
      </c>
      <c r="M3402">
        <v>0.98733309999999996</v>
      </c>
      <c r="N3402">
        <v>0</v>
      </c>
      <c r="O3402">
        <v>-0.15818859999999901</v>
      </c>
      <c r="P3402">
        <v>0.99061440000000001</v>
      </c>
      <c r="Q3402">
        <v>2.1976389999999998E-2</v>
      </c>
      <c r="R3402">
        <v>-0.13490829999999901</v>
      </c>
      <c r="S3402">
        <v>3.0148929999999998</v>
      </c>
      <c r="T3402">
        <v>-0.2438602</v>
      </c>
      <c r="U3402">
        <v>-0.13912959999999999</v>
      </c>
      <c r="V3402">
        <v>-2.3460979999999999E-2</v>
      </c>
      <c r="W3402">
        <v>3.4246720000000001E-2</v>
      </c>
      <c r="X3402">
        <v>0.99913799999999997</v>
      </c>
      <c r="Y3402">
        <v>-0.1116399</v>
      </c>
      <c r="Z3402">
        <v>1.7221589999999998E-2</v>
      </c>
      <c r="AA3402">
        <v>0.99359949999999997</v>
      </c>
      <c r="AB3402">
        <v>22</v>
      </c>
      <c r="AC3402">
        <v>13.495299999999901</v>
      </c>
      <c r="AD3402">
        <v>-1.1095533973089999</v>
      </c>
      <c r="AE3402">
        <v>-0.59649999999999104</v>
      </c>
      <c r="AF3402">
        <v>-1.5356140097892701</v>
      </c>
      <c r="AG3402">
        <v>-1.1095533973089999</v>
      </c>
      <c r="AH3402">
        <v>13.329790002991899</v>
      </c>
      <c r="AI3402">
        <v>94.727131301587605</v>
      </c>
      <c r="AJ3402">
        <v>96.571599909491795</v>
      </c>
      <c r="AK3402">
        <v>13.4637483878897</v>
      </c>
      <c r="AL3402">
        <v>88.037423722143302</v>
      </c>
      <c r="AM3402">
        <v>91.345127666704002</v>
      </c>
      <c r="AN3402">
        <v>0.99999999922865901</v>
      </c>
    </row>
    <row r="3403" spans="1:40" x14ac:dyDescent="0.25">
      <c r="A3403" t="str">
        <f>"20190312160359069"</f>
        <v>20190312160359069</v>
      </c>
      <c r="B3403" t="str">
        <f>"1552377839057890"</f>
        <v>1552377839057890</v>
      </c>
      <c r="C3403" t="s">
        <v>40</v>
      </c>
      <c r="D3403">
        <v>5.7488609999999998</v>
      </c>
      <c r="E3403">
        <v>0.46434799999999998</v>
      </c>
      <c r="F3403" t="s">
        <v>79</v>
      </c>
      <c r="G3403">
        <v>-429.19600000000003</v>
      </c>
      <c r="H3403" s="1">
        <v>2.4321899999999999E-6</v>
      </c>
      <c r="I3403">
        <v>213.4862</v>
      </c>
      <c r="J3403">
        <v>-453.01929999999999</v>
      </c>
      <c r="K3403">
        <v>1.109612</v>
      </c>
      <c r="L3403">
        <v>214.38919999999999</v>
      </c>
      <c r="M3403">
        <v>0.9871991</v>
      </c>
      <c r="N3403">
        <v>0</v>
      </c>
      <c r="O3403">
        <v>-0.15902239999999901</v>
      </c>
      <c r="P3403">
        <v>0.99064439999999998</v>
      </c>
      <c r="Q3403">
        <v>2.180238E-2</v>
      </c>
      <c r="R3403">
        <v>-0.13471659999999999</v>
      </c>
      <c r="S3403">
        <v>3.0155029999999998</v>
      </c>
      <c r="T3403">
        <v>-0.13921639999999999</v>
      </c>
      <c r="U3403">
        <v>-0.1176605</v>
      </c>
      <c r="V3403">
        <v>-2.4503529999999999E-2</v>
      </c>
      <c r="W3403">
        <v>3.4069450000000001E-2</v>
      </c>
      <c r="X3403">
        <v>0.99911899999999998</v>
      </c>
      <c r="Y3403">
        <v>-0.12012539999999999</v>
      </c>
      <c r="Z3403">
        <v>1.007663E-2</v>
      </c>
      <c r="AA3403">
        <v>0.99270760000000002</v>
      </c>
      <c r="AB3403">
        <v>22</v>
      </c>
      <c r="AC3403">
        <v>23.8233</v>
      </c>
      <c r="AD3403">
        <v>-1.10960956781</v>
      </c>
      <c r="AE3403">
        <v>-0.90299999999999103</v>
      </c>
      <c r="AF3403">
        <v>-2.8909519942622901</v>
      </c>
      <c r="AG3403">
        <v>-1.10960956781</v>
      </c>
      <c r="AH3403">
        <v>23.612558950315002</v>
      </c>
      <c r="AI3403">
        <v>92.670571862504303</v>
      </c>
      <c r="AJ3403">
        <v>96.980144762602094</v>
      </c>
      <c r="AK3403">
        <v>23.814738650848302</v>
      </c>
      <c r="AL3403">
        <v>88.047586405344106</v>
      </c>
      <c r="AM3403">
        <v>91.404905191712402</v>
      </c>
      <c r="AN3403">
        <v>0.99999996328338103</v>
      </c>
    </row>
    <row r="3404" spans="1:40" x14ac:dyDescent="0.25">
      <c r="A3404" t="str">
        <f>"20190312160359094"</f>
        <v>20190312160359094</v>
      </c>
      <c r="B3404" t="str">
        <f>"1552377839088144"</f>
        <v>1552377839088144</v>
      </c>
      <c r="C3404" t="s">
        <v>40</v>
      </c>
      <c r="D3404">
        <v>5.7996249999999998</v>
      </c>
      <c r="E3404">
        <v>0.4643447</v>
      </c>
      <c r="F3404" t="s">
        <v>79</v>
      </c>
      <c r="G3404">
        <v>-429.45609999999999</v>
      </c>
      <c r="H3404" s="1">
        <v>2.3889140000000001E-6</v>
      </c>
      <c r="I3404">
        <v>213.45339999999999</v>
      </c>
      <c r="J3404">
        <v>-452.78519999999997</v>
      </c>
      <c r="K3404">
        <v>1.109653</v>
      </c>
      <c r="L3404">
        <v>214.3503</v>
      </c>
      <c r="M3404">
        <v>0.98705909999999997</v>
      </c>
      <c r="N3404">
        <v>0</v>
      </c>
      <c r="O3404">
        <v>-0.1598888</v>
      </c>
      <c r="P3404">
        <v>0.9906334</v>
      </c>
      <c r="Q3404">
        <v>2.2020890000000001E-2</v>
      </c>
      <c r="R3404">
        <v>-0.1347612</v>
      </c>
      <c r="S3404">
        <v>3.0151370000000002</v>
      </c>
      <c r="T3404">
        <v>-0.14198469999999999</v>
      </c>
      <c r="U3404">
        <v>-0.1197357</v>
      </c>
      <c r="V3404">
        <v>-2.5338490000000002E-2</v>
      </c>
      <c r="W3404">
        <v>3.4285330000000003E-2</v>
      </c>
      <c r="X3404">
        <v>0.9990909</v>
      </c>
      <c r="Y3404">
        <v>-0.1202968</v>
      </c>
      <c r="Z3404">
        <v>1.0322120000000001E-2</v>
      </c>
      <c r="AA3404">
        <v>0.99268429999999996</v>
      </c>
      <c r="AB3404">
        <v>22</v>
      </c>
      <c r="AC3404">
        <v>23.329099999999901</v>
      </c>
      <c r="AD3404">
        <v>-1.109650611086</v>
      </c>
      <c r="AE3404">
        <v>-0.89690000000001602</v>
      </c>
      <c r="AF3404">
        <v>-2.83856913705523</v>
      </c>
      <c r="AG3404">
        <v>-1.109650611086</v>
      </c>
      <c r="AH3404">
        <v>23.120111001027698</v>
      </c>
      <c r="AI3404">
        <v>92.727357051965001</v>
      </c>
      <c r="AJ3404">
        <v>96.999454254273999</v>
      </c>
      <c r="AK3404">
        <v>23.320127184995499</v>
      </c>
      <c r="AL3404">
        <v>88.035210380551703</v>
      </c>
      <c r="AM3404">
        <v>91.452798127737395</v>
      </c>
      <c r="AN3404">
        <v>1.00000007469574</v>
      </c>
    </row>
    <row r="3405" spans="1:40" x14ac:dyDescent="0.25">
      <c r="A3405" t="str">
        <f>"20190312160359115"</f>
        <v>20190312160359115</v>
      </c>
      <c r="B3405" t="str">
        <f>"1552377839107664"</f>
        <v>1552377839107664</v>
      </c>
      <c r="C3405" t="s">
        <v>40</v>
      </c>
      <c r="D3405">
        <v>5.8111990000000002</v>
      </c>
      <c r="E3405">
        <v>0.46442749999999999</v>
      </c>
      <c r="F3405" t="s">
        <v>79</v>
      </c>
      <c r="G3405">
        <v>-429.25569999999999</v>
      </c>
      <c r="H3405" s="1">
        <v>2.4279000000000001E-6</v>
      </c>
      <c r="I3405">
        <v>213.41409999999999</v>
      </c>
      <c r="J3405">
        <v>-452.57889999999998</v>
      </c>
      <c r="K3405">
        <v>1.1096809999999999</v>
      </c>
      <c r="L3405">
        <v>214.316</v>
      </c>
      <c r="M3405">
        <v>0.98694320000000002</v>
      </c>
      <c r="N3405">
        <v>0</v>
      </c>
      <c r="O3405">
        <v>-0.16060350000000001</v>
      </c>
      <c r="P3405">
        <v>0.99072890000000002</v>
      </c>
      <c r="Q3405">
        <v>2.2747090000000001E-2</v>
      </c>
      <c r="R3405">
        <v>-0.13393769999999999</v>
      </c>
      <c r="S3405">
        <v>3.0151669999999999</v>
      </c>
      <c r="T3405">
        <v>-0.1421953</v>
      </c>
      <c r="U3405">
        <v>-0.1199646</v>
      </c>
      <c r="V3405">
        <v>-2.689134E-2</v>
      </c>
      <c r="W3405">
        <v>3.5009690000000003E-2</v>
      </c>
      <c r="X3405">
        <v>0.9990251</v>
      </c>
      <c r="Y3405">
        <v>-0.1209383</v>
      </c>
      <c r="Z3405">
        <v>1.038569E-2</v>
      </c>
      <c r="AA3405">
        <v>0.99260570000000004</v>
      </c>
      <c r="AB3405">
        <v>22</v>
      </c>
      <c r="AC3405">
        <v>23.3231999999999</v>
      </c>
      <c r="AD3405">
        <v>-1.1096785721</v>
      </c>
      <c r="AE3405">
        <v>-0.90189999999998305</v>
      </c>
      <c r="AF3405">
        <v>-2.8494365303062601</v>
      </c>
      <c r="AG3405">
        <v>-1.1096785721</v>
      </c>
      <c r="AH3405">
        <v>23.113012463066099</v>
      </c>
      <c r="AI3405">
        <v>92.728094386275998</v>
      </c>
      <c r="AJ3405">
        <v>97.028120431133104</v>
      </c>
      <c r="AK3405">
        <v>23.3144165741172</v>
      </c>
      <c r="AL3405">
        <v>87.993682501416501</v>
      </c>
      <c r="AM3405">
        <v>91.541891516699195</v>
      </c>
      <c r="AN3405">
        <v>0.99999998649544997</v>
      </c>
    </row>
    <row r="3406" spans="1:40" x14ac:dyDescent="0.25">
      <c r="A3406" t="str">
        <f>"20190312160359138"</f>
        <v>20190312160359138</v>
      </c>
      <c r="B3406" t="str">
        <f>"1552377839128161"</f>
        <v>1552377839128161</v>
      </c>
      <c r="C3406" t="s">
        <v>40</v>
      </c>
      <c r="D3406">
        <v>5.7819229999999999</v>
      </c>
      <c r="E3406">
        <v>0.464449</v>
      </c>
      <c r="F3406" t="s">
        <v>79</v>
      </c>
      <c r="G3406">
        <v>-428.767</v>
      </c>
      <c r="H3406" s="1">
        <v>2.5172580000000001E-6</v>
      </c>
      <c r="I3406">
        <v>213.38339999999999</v>
      </c>
      <c r="J3406">
        <v>-452.35989999999998</v>
      </c>
      <c r="K3406">
        <v>1.109707</v>
      </c>
      <c r="L3406">
        <v>214.27940000000001</v>
      </c>
      <c r="M3406">
        <v>0.98682829999999999</v>
      </c>
      <c r="N3406">
        <v>0</v>
      </c>
      <c r="O3406">
        <v>-0.16130729999999999</v>
      </c>
      <c r="P3406">
        <v>0.99072760000000004</v>
      </c>
      <c r="Q3406">
        <v>2.2920679999999999E-2</v>
      </c>
      <c r="R3406">
        <v>-0.13391649999999999</v>
      </c>
      <c r="S3406">
        <v>3.0153500000000002</v>
      </c>
      <c r="T3406">
        <v>-0.140520899999999</v>
      </c>
      <c r="U3406">
        <v>-0.11808780000000001</v>
      </c>
      <c r="V3406">
        <v>-2.7626680000000001E-2</v>
      </c>
      <c r="W3406">
        <v>3.5181249999999997E-2</v>
      </c>
      <c r="X3406">
        <v>0.99899899999999997</v>
      </c>
      <c r="Y3406">
        <v>-0.1222705</v>
      </c>
      <c r="Z3406">
        <v>1.032653E-2</v>
      </c>
      <c r="AA3406">
        <v>0.99244310000000002</v>
      </c>
      <c r="AB3406">
        <v>22</v>
      </c>
      <c r="AC3406">
        <v>23.592899999999901</v>
      </c>
      <c r="AD3406">
        <v>-1.109704482742</v>
      </c>
      <c r="AE3406">
        <v>-0.89600000000001501</v>
      </c>
      <c r="AF3406">
        <v>-2.9152874559825701</v>
      </c>
      <c r="AG3406">
        <v>-1.109704482742</v>
      </c>
      <c r="AH3406">
        <v>23.376785381188899</v>
      </c>
      <c r="AI3406">
        <v>92.696951479016903</v>
      </c>
      <c r="AJ3406">
        <v>97.108579716788896</v>
      </c>
      <c r="AK3406">
        <v>23.5839869349564</v>
      </c>
      <c r="AL3406">
        <v>87.983846760844401</v>
      </c>
      <c r="AM3406">
        <v>91.5840744967403</v>
      </c>
      <c r="AN3406">
        <v>0.99999997790019202</v>
      </c>
    </row>
    <row r="3407" spans="1:40" x14ac:dyDescent="0.25">
      <c r="A3407" t="str">
        <f>"20190312160359160"</f>
        <v>20190312160359160</v>
      </c>
      <c r="B3407" t="str">
        <f>"1552377839147679"</f>
        <v>1552377839147679</v>
      </c>
      <c r="C3407" t="s">
        <v>40</v>
      </c>
      <c r="D3407">
        <v>5.7842349999999998</v>
      </c>
      <c r="E3407">
        <v>0.46454459999999997</v>
      </c>
      <c r="F3407" t="s">
        <v>79</v>
      </c>
      <c r="G3407">
        <v>-428.5043</v>
      </c>
      <c r="H3407" s="1">
        <v>2.5673809999999999E-6</v>
      </c>
      <c r="I3407">
        <v>213.3432</v>
      </c>
      <c r="J3407">
        <v>-452.14710000000002</v>
      </c>
      <c r="K3407">
        <v>1.1097360000000001</v>
      </c>
      <c r="L3407">
        <v>214.24379999999999</v>
      </c>
      <c r="M3407">
        <v>0.98672559999999998</v>
      </c>
      <c r="N3407">
        <v>0</v>
      </c>
      <c r="O3407">
        <v>-0.16193529999999901</v>
      </c>
      <c r="P3407">
        <v>0.99074600000000002</v>
      </c>
      <c r="Q3407">
        <v>2.281383E-2</v>
      </c>
      <c r="R3407">
        <v>-0.1338</v>
      </c>
      <c r="S3407">
        <v>3.0153810000000001</v>
      </c>
      <c r="T3407">
        <v>-0.14026830000000001</v>
      </c>
      <c r="U3407">
        <v>-0.1183319</v>
      </c>
      <c r="V3407">
        <v>-2.8384199999999998E-2</v>
      </c>
      <c r="W3407">
        <v>3.5071640000000001E-2</v>
      </c>
      <c r="X3407">
        <v>0.99898169999999997</v>
      </c>
      <c r="Y3407">
        <v>-0.1228221</v>
      </c>
      <c r="Z3407">
        <v>1.0349509999999999E-2</v>
      </c>
      <c r="AA3407">
        <v>0.99237470000000005</v>
      </c>
      <c r="AB3407">
        <v>22</v>
      </c>
      <c r="AC3407">
        <v>23.642800000000001</v>
      </c>
      <c r="AD3407">
        <v>-1.109733432619</v>
      </c>
      <c r="AE3407">
        <v>-0.90059999999999696</v>
      </c>
      <c r="AF3407">
        <v>-2.9337246907681802</v>
      </c>
      <c r="AG3407">
        <v>-1.109733432619</v>
      </c>
      <c r="AH3407">
        <v>23.4250169475857</v>
      </c>
      <c r="AI3407">
        <v>92.691301434219795</v>
      </c>
      <c r="AJ3407">
        <v>97.138496546826801</v>
      </c>
      <c r="AK3407">
        <v>23.634078527570502</v>
      </c>
      <c r="AL3407">
        <v>87.9901309941812</v>
      </c>
      <c r="AM3407">
        <v>91.627514735701297</v>
      </c>
      <c r="AN3407">
        <v>1.0000000598384</v>
      </c>
    </row>
    <row r="3408" spans="1:40" x14ac:dyDescent="0.25">
      <c r="A3408" t="str">
        <f>"20190312160359180"</f>
        <v>20190312160359180</v>
      </c>
      <c r="B3408" t="str">
        <f>"1552377839168175"</f>
        <v>1552377839168175</v>
      </c>
      <c r="C3408" t="s">
        <v>40</v>
      </c>
      <c r="D3408">
        <v>5.7701019999999996</v>
      </c>
      <c r="E3408">
        <v>0.46463110000000002</v>
      </c>
      <c r="F3408" t="s">
        <v>79</v>
      </c>
      <c r="G3408">
        <v>-428.36380000000003</v>
      </c>
      <c r="H3408" s="1">
        <v>2.5955220000000002E-6</v>
      </c>
      <c r="I3408">
        <v>213.30629999999999</v>
      </c>
      <c r="J3408">
        <v>-451.94779999999997</v>
      </c>
      <c r="K3408">
        <v>1.1097709999999901</v>
      </c>
      <c r="L3408">
        <v>214.21039999999999</v>
      </c>
      <c r="M3408">
        <v>0.98663719999999999</v>
      </c>
      <c r="N3408">
        <v>0</v>
      </c>
      <c r="O3408">
        <v>-0.1624717</v>
      </c>
      <c r="P3408">
        <v>0.99080800000000002</v>
      </c>
      <c r="Q3408">
        <v>2.1884870000000001E-2</v>
      </c>
      <c r="R3408">
        <v>-0.1334948</v>
      </c>
      <c r="S3408">
        <v>3.0151669999999999</v>
      </c>
      <c r="T3408">
        <v>-0.14068849999999999</v>
      </c>
      <c r="U3408">
        <v>-0.1188507</v>
      </c>
      <c r="V3408">
        <v>-2.9242569999999999E-2</v>
      </c>
      <c r="W3408">
        <v>3.4139509999999998E-2</v>
      </c>
      <c r="X3408">
        <v>0.99898920000000002</v>
      </c>
      <c r="Y3408">
        <v>-0.1231855</v>
      </c>
      <c r="Z3408">
        <v>1.0414349999999999E-2</v>
      </c>
      <c r="AA3408">
        <v>0.99232900000000002</v>
      </c>
      <c r="AB3408">
        <v>22</v>
      </c>
      <c r="AC3408">
        <v>23.5839999999999</v>
      </c>
      <c r="AD3408">
        <v>-1.1097684044779901</v>
      </c>
      <c r="AE3408">
        <v>-0.90409999999999902</v>
      </c>
      <c r="AF3408">
        <v>-2.9334484542267001</v>
      </c>
      <c r="AG3408">
        <v>-1.1097684044779901</v>
      </c>
      <c r="AH3408">
        <v>23.365836306615499</v>
      </c>
      <c r="AI3408">
        <v>92.698091195741</v>
      </c>
      <c r="AJ3408">
        <v>97.155722747220594</v>
      </c>
      <c r="AK3408">
        <v>23.575389966079701</v>
      </c>
      <c r="AL3408">
        <v>88.043570052816605</v>
      </c>
      <c r="AM3408">
        <v>91.676692340620505</v>
      </c>
      <c r="AN3408">
        <v>1.0000000278799399</v>
      </c>
    </row>
    <row r="3409" spans="1:40" x14ac:dyDescent="0.25">
      <c r="A3409" t="str">
        <f>"20190312160359204"</f>
        <v>20190312160359204</v>
      </c>
      <c r="B3409" t="str">
        <f>"1552377839198432"</f>
        <v>1552377839198432</v>
      </c>
      <c r="C3409" t="s">
        <v>40</v>
      </c>
      <c r="D3409">
        <v>5.706658</v>
      </c>
      <c r="E3409">
        <v>0.46533160000000001</v>
      </c>
      <c r="F3409" t="s">
        <v>79</v>
      </c>
      <c r="G3409">
        <v>-428.77190000000002</v>
      </c>
      <c r="H3409" s="1">
        <v>2.52385E-6</v>
      </c>
      <c r="I3409">
        <v>213.29820000000001</v>
      </c>
      <c r="J3409">
        <v>-451.72480000000002</v>
      </c>
      <c r="K3409">
        <v>1.1098190000000001</v>
      </c>
      <c r="L3409">
        <v>214.1729</v>
      </c>
      <c r="M3409">
        <v>0.98654830000000004</v>
      </c>
      <c r="N3409">
        <v>0</v>
      </c>
      <c r="O3409">
        <v>-0.16301209999999999</v>
      </c>
      <c r="P3409">
        <v>0.99086229999999997</v>
      </c>
      <c r="Q3409">
        <v>2.2013580000000001E-2</v>
      </c>
      <c r="R3409">
        <v>-0.13306989999999999</v>
      </c>
      <c r="S3409">
        <v>3.0150450000000002</v>
      </c>
      <c r="T3409">
        <v>-0.14437429999999901</v>
      </c>
      <c r="U3409">
        <v>-0.1186676</v>
      </c>
      <c r="V3409">
        <v>-3.0221810000000002E-2</v>
      </c>
      <c r="W3409">
        <v>3.4263879999999997E-2</v>
      </c>
      <c r="X3409">
        <v>0.99895579999999995</v>
      </c>
      <c r="Y3409">
        <v>-0.1237699</v>
      </c>
      <c r="Z3409">
        <v>1.072685E-2</v>
      </c>
      <c r="AA3409">
        <v>0.99225289999999999</v>
      </c>
      <c r="AB3409">
        <v>22</v>
      </c>
      <c r="AC3409">
        <v>22.9529</v>
      </c>
      <c r="AD3409">
        <v>-1.10981647615</v>
      </c>
      <c r="AE3409">
        <v>-0.87469999999999004</v>
      </c>
      <c r="AF3409">
        <v>-2.8721767025927898</v>
      </c>
      <c r="AG3409">
        <v>-1.10981647615</v>
      </c>
      <c r="AH3409">
        <v>22.7353586669613</v>
      </c>
      <c r="AI3409">
        <v>92.772647162206695</v>
      </c>
      <c r="AJ3409">
        <v>97.200081791628307</v>
      </c>
      <c r="AK3409">
        <v>22.9429210288713</v>
      </c>
      <c r="AL3409">
        <v>88.036440011246498</v>
      </c>
      <c r="AM3409">
        <v>91.732863620973902</v>
      </c>
      <c r="AN3409">
        <v>1.0000000308129799</v>
      </c>
    </row>
    <row r="3410" spans="1:40" x14ac:dyDescent="0.25">
      <c r="A3410" t="str">
        <f>"20190312160359225"</f>
        <v>20190312160359225</v>
      </c>
      <c r="B3410" t="str">
        <f>"1552377839217952"</f>
        <v>1552377839217952</v>
      </c>
      <c r="C3410" t="s">
        <v>40</v>
      </c>
      <c r="D3410">
        <v>5.9890460000000001</v>
      </c>
      <c r="E3410">
        <v>0.46541339999999998</v>
      </c>
      <c r="F3410" t="s">
        <v>79</v>
      </c>
      <c r="G3410">
        <v>-428.09050000000002</v>
      </c>
      <c r="H3410" s="1">
        <v>2.6525629999999998E-6</v>
      </c>
      <c r="I3410">
        <v>213.20840000000001</v>
      </c>
      <c r="J3410">
        <v>-451.51960000000003</v>
      </c>
      <c r="K3410">
        <v>1.1098589999999999</v>
      </c>
      <c r="L3410">
        <v>214.13849999999999</v>
      </c>
      <c r="M3410">
        <v>0.98647720000000005</v>
      </c>
      <c r="N3410">
        <v>0</v>
      </c>
      <c r="O3410">
        <v>-0.1634417</v>
      </c>
      <c r="P3410">
        <v>0.99096470000000003</v>
      </c>
      <c r="Q3410">
        <v>2.1981190000000001E-2</v>
      </c>
      <c r="R3410">
        <v>-0.13231080000000001</v>
      </c>
      <c r="S3410">
        <v>3.014313</v>
      </c>
      <c r="T3410">
        <v>-0.14154600000000001</v>
      </c>
      <c r="U3410">
        <v>-0.1230164</v>
      </c>
      <c r="V3410">
        <v>-3.1426009999999997E-2</v>
      </c>
      <c r="W3410">
        <v>3.4227670000000002E-2</v>
      </c>
      <c r="X3410">
        <v>0.99891980000000002</v>
      </c>
      <c r="Y3410">
        <v>-0.1227765</v>
      </c>
      <c r="Z3410">
        <v>1.051559E-2</v>
      </c>
      <c r="AA3410">
        <v>0.99237869999999995</v>
      </c>
      <c r="AB3410">
        <v>22</v>
      </c>
      <c r="AC3410">
        <v>23.429099999999998</v>
      </c>
      <c r="AD3410">
        <v>-1.109856347437</v>
      </c>
      <c r="AE3410">
        <v>-0.93009999999998105</v>
      </c>
      <c r="AF3410">
        <v>-2.90547760893975</v>
      </c>
      <c r="AG3410">
        <v>-1.109856347437</v>
      </c>
      <c r="AH3410">
        <v>23.214019580611499</v>
      </c>
      <c r="AI3410">
        <v>92.716053396092605</v>
      </c>
      <c r="AJ3410">
        <v>97.134068992285407</v>
      </c>
      <c r="AK3410">
        <v>23.421449279175899</v>
      </c>
      <c r="AL3410">
        <v>88.038515744856198</v>
      </c>
      <c r="AM3410">
        <v>91.801930508478193</v>
      </c>
      <c r="AN3410">
        <v>0.99999994716509299</v>
      </c>
    </row>
    <row r="3411" spans="1:40" x14ac:dyDescent="0.25">
      <c r="A3411" t="str">
        <f>"20190312160359249"</f>
        <v>20190312160359249</v>
      </c>
      <c r="B3411" t="str">
        <f>"1552377839237471"</f>
        <v>1552377839237471</v>
      </c>
      <c r="C3411" t="s">
        <v>40</v>
      </c>
      <c r="D3411">
        <v>5.7448319999999997</v>
      </c>
      <c r="E3411">
        <v>0.4653912</v>
      </c>
      <c r="F3411" t="s">
        <v>79</v>
      </c>
      <c r="G3411">
        <v>-428.48270000000002</v>
      </c>
      <c r="H3411" s="1">
        <v>2.5830559999999999E-6</v>
      </c>
      <c r="I3411">
        <v>213.20769999999999</v>
      </c>
      <c r="J3411">
        <v>-451.29840000000002</v>
      </c>
      <c r="K3411">
        <v>1.1099049999999999</v>
      </c>
      <c r="L3411">
        <v>214.10130000000001</v>
      </c>
      <c r="M3411">
        <v>0.98641420000000002</v>
      </c>
      <c r="N3411">
        <v>0</v>
      </c>
      <c r="O3411">
        <v>-0.16382160000000001</v>
      </c>
      <c r="P3411">
        <v>0.99105569999999998</v>
      </c>
      <c r="Q3411">
        <v>2.1480719999999998E-2</v>
      </c>
      <c r="R3411">
        <v>-0.13170850000000001</v>
      </c>
      <c r="S3411">
        <v>3.0143740000000001</v>
      </c>
      <c r="T3411">
        <v>-0.14522470000000001</v>
      </c>
      <c r="U3411">
        <v>-0.12179570000000001</v>
      </c>
      <c r="V3411">
        <v>-3.242445E-2</v>
      </c>
      <c r="W3411">
        <v>3.3722990000000001E-2</v>
      </c>
      <c r="X3411">
        <v>0.99890509999999999</v>
      </c>
      <c r="Y3411">
        <v>-0.12354279999999999</v>
      </c>
      <c r="Z3411">
        <v>1.0825009999999999E-2</v>
      </c>
      <c r="AA3411">
        <v>0.99228019999999995</v>
      </c>
      <c r="AB3411">
        <v>22</v>
      </c>
      <c r="AC3411">
        <v>22.8157</v>
      </c>
      <c r="AD3411">
        <v>-1.1099024169439999</v>
      </c>
      <c r="AE3411">
        <v>-0.89360000000002004</v>
      </c>
      <c r="AF3411">
        <v>-2.8497248169276599</v>
      </c>
      <c r="AG3411">
        <v>-1.1099024169439999</v>
      </c>
      <c r="AH3411">
        <v>22.6004135804613</v>
      </c>
      <c r="AI3411">
        <v>92.789474706829594</v>
      </c>
      <c r="AJ3411">
        <v>97.186596167600598</v>
      </c>
      <c r="AK3411">
        <v>22.806391843412001</v>
      </c>
      <c r="AL3411">
        <v>88.067448570887606</v>
      </c>
      <c r="AM3411">
        <v>91.859167667538003</v>
      </c>
      <c r="AN3411">
        <v>0.99999999190917599</v>
      </c>
    </row>
    <row r="3412" spans="1:40" x14ac:dyDescent="0.25">
      <c r="A3412" t="str">
        <f>"20190312160359270"</f>
        <v>20190312160359270</v>
      </c>
      <c r="B3412" t="str">
        <f>"1552377839257968"</f>
        <v>1552377839257968</v>
      </c>
      <c r="C3412" t="s">
        <v>40</v>
      </c>
      <c r="D3412">
        <v>5.7402670000000002</v>
      </c>
      <c r="E3412">
        <v>0.46914479999999997</v>
      </c>
      <c r="F3412" t="s">
        <v>79</v>
      </c>
      <c r="G3412">
        <v>-428.34039999999999</v>
      </c>
      <c r="H3412" s="1">
        <v>2.609885E-6</v>
      </c>
      <c r="I3412">
        <v>213.18950000000001</v>
      </c>
      <c r="J3412">
        <v>-451.0924</v>
      </c>
      <c r="K3412">
        <v>1.109947</v>
      </c>
      <c r="L3412">
        <v>214.0667</v>
      </c>
      <c r="M3412">
        <v>0.98636889999999999</v>
      </c>
      <c r="N3412">
        <v>0</v>
      </c>
      <c r="O3412">
        <v>-0.16409290000000001</v>
      </c>
      <c r="P3412">
        <v>0.99110140000000002</v>
      </c>
      <c r="Q3412">
        <v>2.1045479999999998E-2</v>
      </c>
      <c r="R3412">
        <v>-0.13143640000000001</v>
      </c>
      <c r="S3412">
        <v>3.0143430000000002</v>
      </c>
      <c r="T3412">
        <v>-0.14572860000000001</v>
      </c>
      <c r="U3412">
        <v>-0.11972049999999999</v>
      </c>
      <c r="V3412">
        <v>-3.2979359999999999E-2</v>
      </c>
      <c r="W3412">
        <v>3.3284059999999997E-2</v>
      </c>
      <c r="X3412">
        <v>0.9989017</v>
      </c>
      <c r="Y3412">
        <v>-0.1244936</v>
      </c>
      <c r="Z3412">
        <v>1.089881E-2</v>
      </c>
      <c r="AA3412">
        <v>0.99216059999999995</v>
      </c>
      <c r="AB3412">
        <v>22</v>
      </c>
      <c r="AC3412">
        <v>22.751999999999999</v>
      </c>
      <c r="AD3412">
        <v>-1.1099443901149999</v>
      </c>
      <c r="AE3412">
        <v>-0.87719999999998699</v>
      </c>
      <c r="AF3412">
        <v>-2.8616135591255798</v>
      </c>
      <c r="AG3412">
        <v>-1.1099443901149999</v>
      </c>
      <c r="AH3412">
        <v>22.5339511363009</v>
      </c>
      <c r="AI3412">
        <v>92.797481744703603</v>
      </c>
      <c r="AJ3412">
        <v>97.237321007674794</v>
      </c>
      <c r="AK3412">
        <v>22.742026350440199</v>
      </c>
      <c r="AL3412">
        <v>88.092611619478404</v>
      </c>
      <c r="AM3412">
        <v>91.890968872436403</v>
      </c>
      <c r="AN3412">
        <v>1.0000000365494901</v>
      </c>
    </row>
    <row r="3413" spans="1:40" x14ac:dyDescent="0.25">
      <c r="A3413" t="str">
        <f>"20190312160359294"</f>
        <v>20190312160359294</v>
      </c>
      <c r="B3413" t="str">
        <f>"1552377839288223"</f>
        <v>1552377839288223</v>
      </c>
      <c r="C3413" t="s">
        <v>40</v>
      </c>
      <c r="D3413">
        <v>5.712256</v>
      </c>
      <c r="E3413">
        <v>0.46878589999999998</v>
      </c>
      <c r="F3413" t="s">
        <v>79</v>
      </c>
      <c r="G3413">
        <v>-437.41019999999997</v>
      </c>
      <c r="H3413" s="1">
        <v>5.60984299999999E-6</v>
      </c>
      <c r="I3413">
        <v>213.3954</v>
      </c>
      <c r="J3413">
        <v>-450.87049999999999</v>
      </c>
      <c r="K3413">
        <v>1.1099939999999999</v>
      </c>
      <c r="L3413">
        <v>214.02940000000001</v>
      </c>
      <c r="M3413">
        <v>0.98633210000000004</v>
      </c>
      <c r="N3413">
        <v>0</v>
      </c>
      <c r="O3413">
        <v>-0.16431419999999999</v>
      </c>
      <c r="P3413">
        <v>0.99108269999999998</v>
      </c>
      <c r="Q3413">
        <v>2.1104399999999999E-2</v>
      </c>
      <c r="R3413">
        <v>-0.13156579999999901</v>
      </c>
      <c r="S3413">
        <v>3.012543</v>
      </c>
      <c r="T3413">
        <v>-0.24438660000000001</v>
      </c>
      <c r="U3413">
        <v>-0.1477966</v>
      </c>
      <c r="V3413">
        <v>-3.307599E-2</v>
      </c>
      <c r="W3413">
        <v>3.333887E-2</v>
      </c>
      <c r="X3413">
        <v>0.99889669999999997</v>
      </c>
      <c r="Y3413">
        <v>-0.11488429999999999</v>
      </c>
      <c r="Z3413">
        <v>1.789137E-2</v>
      </c>
      <c r="AA3413">
        <v>0.99321780000000004</v>
      </c>
      <c r="AB3413">
        <v>22</v>
      </c>
      <c r="AC3413">
        <v>13.4603</v>
      </c>
      <c r="AD3413">
        <v>-1.109988390157</v>
      </c>
      <c r="AE3413">
        <v>-0.634000000000014</v>
      </c>
      <c r="AF3413">
        <v>-1.57581048785509</v>
      </c>
      <c r="AG3413">
        <v>-1.109988390157</v>
      </c>
      <c r="AH3413">
        <v>13.291318960128899</v>
      </c>
      <c r="AI3413">
        <v>94.740774145419394</v>
      </c>
      <c r="AJ3413">
        <v>96.761389674388099</v>
      </c>
      <c r="AK3413">
        <v>13.430354150944799</v>
      </c>
      <c r="AL3413">
        <v>88.089469537616594</v>
      </c>
      <c r="AM3413">
        <v>91.896514884406997</v>
      </c>
      <c r="AN3413">
        <v>1.0000000593191201</v>
      </c>
    </row>
    <row r="3414" spans="1:40" x14ac:dyDescent="0.25">
      <c r="A3414" t="str">
        <f>"20190312160359316"</f>
        <v>20190312160359316</v>
      </c>
      <c r="B3414" t="str">
        <f>"1552377839307743"</f>
        <v>1552377839307743</v>
      </c>
      <c r="C3414" t="s">
        <v>40</v>
      </c>
      <c r="D3414">
        <v>5.7664419999999996</v>
      </c>
      <c r="E3414">
        <v>0.46873359999999897</v>
      </c>
      <c r="F3414" t="s">
        <v>79</v>
      </c>
      <c r="G3414">
        <v>-436.91070000000002</v>
      </c>
      <c r="H3414" s="1">
        <v>5.3917980000000001E-6</v>
      </c>
      <c r="I3414">
        <v>213.35589999999999</v>
      </c>
      <c r="J3414">
        <v>-450.6515</v>
      </c>
      <c r="K3414">
        <v>1.1100380000000001</v>
      </c>
      <c r="L3414">
        <v>213.99270000000001</v>
      </c>
      <c r="M3414">
        <v>0.98630810000000002</v>
      </c>
      <c r="N3414">
        <v>0</v>
      </c>
      <c r="O3414">
        <v>-0.16445889999999999</v>
      </c>
      <c r="P3414">
        <v>0.99109100000000006</v>
      </c>
      <c r="Q3414">
        <v>2.1080850000000002E-2</v>
      </c>
      <c r="R3414">
        <v>-0.13150889999999901</v>
      </c>
      <c r="S3414">
        <v>3.0127869999999999</v>
      </c>
      <c r="T3414">
        <v>-0.23955760000000001</v>
      </c>
      <c r="U3414">
        <v>-0.14537050000000001</v>
      </c>
      <c r="V3414">
        <v>-3.3283699999999999E-2</v>
      </c>
      <c r="W3414">
        <v>3.3311229999999997E-2</v>
      </c>
      <c r="X3414">
        <v>0.99889059999999996</v>
      </c>
      <c r="Y3414">
        <v>-0.11586390000000001</v>
      </c>
      <c r="Z3414">
        <v>1.7588309999999999E-2</v>
      </c>
      <c r="AA3414">
        <v>0.99310929999999997</v>
      </c>
      <c r="AB3414">
        <v>22</v>
      </c>
      <c r="AC3414">
        <v>13.740799999999901</v>
      </c>
      <c r="AD3414">
        <v>-1.11003260820199</v>
      </c>
      <c r="AE3414">
        <v>-0.63680000000002202</v>
      </c>
      <c r="AF3414">
        <v>-1.6212801152493601</v>
      </c>
      <c r="AG3414">
        <v>-1.11003260820199</v>
      </c>
      <c r="AH3414">
        <v>13.570043086040799</v>
      </c>
      <c r="AI3414">
        <v>94.643517964353904</v>
      </c>
      <c r="AJ3414">
        <v>96.813115039264304</v>
      </c>
      <c r="AK3414">
        <v>13.711556839410299</v>
      </c>
      <c r="AL3414">
        <v>88.091053838906504</v>
      </c>
      <c r="AM3414">
        <v>91.908427450440698</v>
      </c>
      <c r="AN3414">
        <v>0.99999993674907905</v>
      </c>
    </row>
    <row r="3415" spans="1:40" x14ac:dyDescent="0.25">
      <c r="A3415" t="str">
        <f>"20190312160359338"</f>
        <v>20190312160359338</v>
      </c>
      <c r="B3415" t="str">
        <f>"1552377839328241"</f>
        <v>1552377839328241</v>
      </c>
      <c r="C3415" t="s">
        <v>40</v>
      </c>
      <c r="D3415">
        <v>5.7751390000000002</v>
      </c>
      <c r="E3415">
        <v>0.47170659999999998</v>
      </c>
      <c r="F3415" t="s">
        <v>79</v>
      </c>
      <c r="G3415">
        <v>-436.67630000000003</v>
      </c>
      <c r="H3415" s="1">
        <v>5.2909630000000003E-6</v>
      </c>
      <c r="I3415">
        <v>213.3201</v>
      </c>
      <c r="J3415">
        <v>-450.43529999999998</v>
      </c>
      <c r="K3415">
        <v>1.110077</v>
      </c>
      <c r="L3415">
        <v>213.95650000000001</v>
      </c>
      <c r="M3415">
        <v>0.98629639999999996</v>
      </c>
      <c r="N3415">
        <v>0</v>
      </c>
      <c r="O3415">
        <v>-0.16452839999999999</v>
      </c>
      <c r="P3415">
        <v>0.99112109999999998</v>
      </c>
      <c r="Q3415">
        <v>2.0287650000000001E-2</v>
      </c>
      <c r="R3415">
        <v>-0.1314062</v>
      </c>
      <c r="S3415">
        <v>3.0128170000000001</v>
      </c>
      <c r="T3415">
        <v>-0.23930489999999999</v>
      </c>
      <c r="U3415">
        <v>-0.14498900000000001</v>
      </c>
      <c r="V3415">
        <v>-3.3463670000000001E-2</v>
      </c>
      <c r="W3415">
        <v>3.2513439999999998E-2</v>
      </c>
      <c r="X3415">
        <v>0.99891099999999999</v>
      </c>
      <c r="Y3415">
        <v>-0.11606080000000001</v>
      </c>
      <c r="Z3415">
        <v>1.758297E-2</v>
      </c>
      <c r="AA3415">
        <v>0.99308649999999998</v>
      </c>
      <c r="AB3415">
        <v>22</v>
      </c>
      <c r="AC3415">
        <v>13.758999999999901</v>
      </c>
      <c r="AD3415">
        <v>-1.110071709037</v>
      </c>
      <c r="AE3415">
        <v>-0.63640000000000896</v>
      </c>
      <c r="AF3415">
        <v>-1.62563081188867</v>
      </c>
      <c r="AG3415">
        <v>-1.110071709037</v>
      </c>
      <c r="AH3415">
        <v>13.587924693741099</v>
      </c>
      <c r="AI3415">
        <v>94.637507749444595</v>
      </c>
      <c r="AJ3415">
        <v>96.822320398952201</v>
      </c>
      <c r="AK3415">
        <v>13.7297717467751</v>
      </c>
      <c r="AL3415">
        <v>88.136788856288106</v>
      </c>
      <c r="AM3415">
        <v>91.918699758039295</v>
      </c>
      <c r="AN3415">
        <v>1.00000006345574</v>
      </c>
    </row>
    <row r="3416" spans="1:40" x14ac:dyDescent="0.25">
      <c r="A3416" t="str">
        <f>"20190312160359361"</f>
        <v>20190312160359361</v>
      </c>
      <c r="B3416" t="str">
        <f>"1552377839347760"</f>
        <v>1552377839347760</v>
      </c>
      <c r="C3416" t="s">
        <v>40</v>
      </c>
      <c r="D3416">
        <v>5.863499</v>
      </c>
      <c r="E3416">
        <v>0.4728253</v>
      </c>
      <c r="F3416" t="s">
        <v>79</v>
      </c>
      <c r="G3416">
        <v>-436.5213</v>
      </c>
      <c r="H3416" s="1">
        <v>5.2345999999999998E-6</v>
      </c>
      <c r="I3416">
        <v>213.17859999999999</v>
      </c>
      <c r="J3416">
        <v>-450.22300000000001</v>
      </c>
      <c r="K3416">
        <v>1.110117</v>
      </c>
      <c r="L3416">
        <v>213.92099999999999</v>
      </c>
      <c r="M3416">
        <v>0.98629610000000001</v>
      </c>
      <c r="N3416">
        <v>0</v>
      </c>
      <c r="O3416">
        <v>-0.16453190000000001</v>
      </c>
      <c r="P3416">
        <v>0.99115509999999996</v>
      </c>
      <c r="Q3416">
        <v>2.008486E-2</v>
      </c>
      <c r="R3416">
        <v>-0.13118170000000001</v>
      </c>
      <c r="S3416">
        <v>3.0094910000000001</v>
      </c>
      <c r="T3416">
        <v>-0.24010039999999999</v>
      </c>
      <c r="U3416">
        <v>-0.16824339999999999</v>
      </c>
      <c r="V3416">
        <v>-3.369776E-2</v>
      </c>
      <c r="W3416">
        <v>3.2306599999999998E-2</v>
      </c>
      <c r="X3416">
        <v>0.99890979999999996</v>
      </c>
      <c r="Y3416">
        <v>-0.1083725</v>
      </c>
      <c r="Z3416">
        <v>1.7349349999999999E-2</v>
      </c>
      <c r="AA3416">
        <v>0.99395900000000004</v>
      </c>
      <c r="AB3416">
        <v>22</v>
      </c>
      <c r="AC3416">
        <v>13.701700000000001</v>
      </c>
      <c r="AD3416">
        <v>-1.1101117653999999</v>
      </c>
      <c r="AE3416">
        <v>-0.74240000000000295</v>
      </c>
      <c r="AF3416">
        <v>-1.5123557101437599</v>
      </c>
      <c r="AG3416">
        <v>-1.1101117653999999</v>
      </c>
      <c r="AH3416">
        <v>13.5484247200824</v>
      </c>
      <c r="AI3416">
        <v>94.655371431503795</v>
      </c>
      <c r="AJ3416">
        <v>96.369328166187302</v>
      </c>
      <c r="AK3416">
        <v>13.6776964552304</v>
      </c>
      <c r="AL3416">
        <v>88.148646066925195</v>
      </c>
      <c r="AM3416">
        <v>91.9321139112607</v>
      </c>
      <c r="AN3416">
        <v>1.0000000219842999</v>
      </c>
    </row>
    <row r="3417" spans="1:40" x14ac:dyDescent="0.25">
      <c r="A3417" t="str">
        <f>"20190312160359382"</f>
        <v>20190312160359382</v>
      </c>
      <c r="B3417" t="str">
        <f>"1552377839377592"</f>
        <v>1552377839377592</v>
      </c>
      <c r="C3417" t="s">
        <v>40</v>
      </c>
      <c r="D3417">
        <v>5.7127089999999896</v>
      </c>
      <c r="E3417">
        <v>0.47522930000000002</v>
      </c>
      <c r="F3417" t="s">
        <v>79</v>
      </c>
      <c r="G3417">
        <v>-435.93340000000001</v>
      </c>
      <c r="H3417" s="1">
        <v>4.9823440000000001E-6</v>
      </c>
      <c r="I3417">
        <v>213.0822</v>
      </c>
      <c r="J3417">
        <v>-450.01679999999999</v>
      </c>
      <c r="K3417">
        <v>1.110168</v>
      </c>
      <c r="L3417">
        <v>213.88659999999999</v>
      </c>
      <c r="M3417">
        <v>0.98630640000000003</v>
      </c>
      <c r="N3417">
        <v>0</v>
      </c>
      <c r="O3417">
        <v>-0.16446910000000001</v>
      </c>
      <c r="P3417">
        <v>0.99119449999999998</v>
      </c>
      <c r="Q3417">
        <v>2.0438629999999999E-2</v>
      </c>
      <c r="R3417">
        <v>-0.13082659999999999</v>
      </c>
      <c r="S3417">
        <v>3.0081479999999998</v>
      </c>
      <c r="T3417">
        <v>-0.2336937</v>
      </c>
      <c r="U3417">
        <v>-0.1765747</v>
      </c>
      <c r="V3417">
        <v>-3.39946E-2</v>
      </c>
      <c r="W3417">
        <v>3.2655940000000001E-2</v>
      </c>
      <c r="X3417">
        <v>0.99888840000000001</v>
      </c>
      <c r="Y3417">
        <v>-0.1055933</v>
      </c>
      <c r="Z3417">
        <v>1.6780759999999999E-2</v>
      </c>
      <c r="AA3417">
        <v>0.99426780000000003</v>
      </c>
      <c r="AB3417">
        <v>22</v>
      </c>
      <c r="AC3417">
        <v>14.0833999999999</v>
      </c>
      <c r="AD3417">
        <v>-1.110163017656</v>
      </c>
      <c r="AE3417">
        <v>-0.80439999999998602</v>
      </c>
      <c r="AF3417">
        <v>-1.5136382929694501</v>
      </c>
      <c r="AG3417">
        <v>-1.110163017656</v>
      </c>
      <c r="AH3417">
        <v>13.937571621288001</v>
      </c>
      <c r="AI3417">
        <v>94.527629423808094</v>
      </c>
      <c r="AJ3417">
        <v>96.198104568361899</v>
      </c>
      <c r="AK3417">
        <v>14.063408744193101</v>
      </c>
      <c r="AL3417">
        <v>88.128619825369</v>
      </c>
      <c r="AM3417">
        <v>91.9491623528953</v>
      </c>
      <c r="AN3417">
        <v>1.0000000394505</v>
      </c>
    </row>
    <row r="3418" spans="1:40" x14ac:dyDescent="0.25">
      <c r="A3418" t="str">
        <f>"20190312160359405"</f>
        <v>20190312160359405</v>
      </c>
      <c r="B3418" t="str">
        <f>"1552377839398087"</f>
        <v>1552377839398087</v>
      </c>
      <c r="C3418" t="s">
        <v>40</v>
      </c>
      <c r="D3418">
        <v>9.3940560000000009</v>
      </c>
      <c r="E3418">
        <v>0.47583490000000001</v>
      </c>
      <c r="F3418" t="s">
        <v>79</v>
      </c>
      <c r="G3418">
        <v>-436.02440000000001</v>
      </c>
      <c r="H3418" s="1">
        <v>5.0316030000000001E-6</v>
      </c>
      <c r="I3418">
        <v>212.9803</v>
      </c>
      <c r="J3418">
        <v>-449.79750000000001</v>
      </c>
      <c r="K3418">
        <v>1.110223</v>
      </c>
      <c r="L3418">
        <v>213.8501</v>
      </c>
      <c r="M3418">
        <v>0.98633110000000002</v>
      </c>
      <c r="N3418">
        <v>0</v>
      </c>
      <c r="O3418">
        <v>-0.16432089999999999</v>
      </c>
      <c r="P3418">
        <v>0.99121910000000002</v>
      </c>
      <c r="Q3418">
        <v>2.0472270000000001E-2</v>
      </c>
      <c r="R3418">
        <v>-0.13063730000000001</v>
      </c>
      <c r="S3418">
        <v>3.0058590000000001</v>
      </c>
      <c r="T3418">
        <v>-0.23848659999999999</v>
      </c>
      <c r="U3418">
        <v>-0.1946869</v>
      </c>
      <c r="V3418">
        <v>-3.4039340000000001E-2</v>
      </c>
      <c r="W3418">
        <v>3.2684530000000003E-2</v>
      </c>
      <c r="X3418">
        <v>0.99888589999999999</v>
      </c>
      <c r="Y3418">
        <v>-9.9414909999999995E-2</v>
      </c>
      <c r="Z3418">
        <v>1.687603E-2</v>
      </c>
      <c r="AA3418">
        <v>0.99490299999999998</v>
      </c>
      <c r="AB3418">
        <v>22</v>
      </c>
      <c r="AC3418">
        <v>13.773099999999999</v>
      </c>
      <c r="AD3418">
        <v>-1.1102179683969999</v>
      </c>
      <c r="AE3418">
        <v>-0.86979999999999702</v>
      </c>
      <c r="AF3418">
        <v>-1.39636554087835</v>
      </c>
      <c r="AG3418">
        <v>-1.1102179683969999</v>
      </c>
      <c r="AH3418">
        <v>13.640511621065601</v>
      </c>
      <c r="AI3418">
        <v>94.629031342443895</v>
      </c>
      <c r="AJ3418">
        <v>95.844951208539896</v>
      </c>
      <c r="AK3418">
        <v>13.756670307364701</v>
      </c>
      <c r="AL3418">
        <v>88.126980786893895</v>
      </c>
      <c r="AM3418">
        <v>91.951730526979006</v>
      </c>
      <c r="AN3418">
        <v>0.99999999819388297</v>
      </c>
    </row>
    <row r="3419" spans="1:40" x14ac:dyDescent="0.25">
      <c r="A3419" t="str">
        <f>"20190312160359429"</f>
        <v>20190312160359429</v>
      </c>
      <c r="B3419" t="str">
        <f>"1552377839417607"</f>
        <v>1552377839417607</v>
      </c>
      <c r="C3419" t="s">
        <v>40</v>
      </c>
      <c r="D3419">
        <v>5.7883649999999998</v>
      </c>
      <c r="E3419">
        <v>0.47697089999999998</v>
      </c>
      <c r="F3419" t="s">
        <v>79</v>
      </c>
      <c r="G3419">
        <v>-435.52440000000001</v>
      </c>
      <c r="H3419" s="1">
        <v>4.8164509999999997E-6</v>
      </c>
      <c r="I3419">
        <v>212.90479999999999</v>
      </c>
      <c r="J3419">
        <v>-449.57830000000001</v>
      </c>
      <c r="K3419">
        <v>1.1102799999999999</v>
      </c>
      <c r="L3419">
        <v>213.81389999999999</v>
      </c>
      <c r="M3419">
        <v>0.98637260000000004</v>
      </c>
      <c r="N3419">
        <v>0</v>
      </c>
      <c r="O3419">
        <v>-0.1640722</v>
      </c>
      <c r="P3419">
        <v>0.99123589999999995</v>
      </c>
      <c r="Q3419">
        <v>1.9862390000000001E-2</v>
      </c>
      <c r="R3419">
        <v>-0.13060459999999999</v>
      </c>
      <c r="S3419">
        <v>3.005188</v>
      </c>
      <c r="T3419">
        <v>-0.23375589999999999</v>
      </c>
      <c r="U3419">
        <v>-0.19903560000000001</v>
      </c>
      <c r="V3419">
        <v>-3.3827099999999999E-2</v>
      </c>
      <c r="W3419">
        <v>3.2069739999999999E-2</v>
      </c>
      <c r="X3419">
        <v>0.99891300000000005</v>
      </c>
      <c r="Y3419">
        <v>-9.7753619999999999E-2</v>
      </c>
      <c r="Z3419">
        <v>1.646131E-2</v>
      </c>
      <c r="AA3419">
        <v>0.99507449999999997</v>
      </c>
      <c r="AB3419">
        <v>22</v>
      </c>
      <c r="AC3419">
        <v>14.053900000000001</v>
      </c>
      <c r="AD3419">
        <v>-1.1102751835489999</v>
      </c>
      <c r="AE3419">
        <v>-0.90909999999999502</v>
      </c>
      <c r="AF3419">
        <v>-1.4005436025107001</v>
      </c>
      <c r="AG3419">
        <v>-1.1102751835489999</v>
      </c>
      <c r="AH3419">
        <v>13.9260338664938</v>
      </c>
      <c r="AI3419">
        <v>94.535571953681398</v>
      </c>
      <c r="AJ3419">
        <v>95.742936231160002</v>
      </c>
      <c r="AK3419">
        <v>14.0402511593088</v>
      </c>
      <c r="AL3419">
        <v>88.162224069145097</v>
      </c>
      <c r="AM3419">
        <v>91.939517961365695</v>
      </c>
      <c r="AN3419">
        <v>0.99999996124353796</v>
      </c>
    </row>
    <row r="3420" spans="1:40" x14ac:dyDescent="0.25">
      <c r="A3420" t="str">
        <f>"20190312160359449"</f>
        <v>20190312160359449</v>
      </c>
      <c r="B3420" t="str">
        <f>"1552377839438104"</f>
        <v>1552377839438104</v>
      </c>
      <c r="C3420" t="s">
        <v>40</v>
      </c>
      <c r="D3420">
        <v>5.6335860000000002</v>
      </c>
      <c r="E3420">
        <v>0.47765869999999999</v>
      </c>
      <c r="F3420" t="s">
        <v>79</v>
      </c>
      <c r="G3420">
        <v>-435.48410000000001</v>
      </c>
      <c r="H3420" s="1">
        <v>4.8044659999999998E-6</v>
      </c>
      <c r="I3420">
        <v>212.83770000000001</v>
      </c>
      <c r="J3420">
        <v>-449.37259999999998</v>
      </c>
      <c r="K3420">
        <v>1.1103339999999999</v>
      </c>
      <c r="L3420">
        <v>213.78</v>
      </c>
      <c r="M3420">
        <v>0.98642779999999997</v>
      </c>
      <c r="N3420">
        <v>0</v>
      </c>
      <c r="O3420">
        <v>-0.16373940000000001</v>
      </c>
      <c r="P3420">
        <v>0.99138959999999998</v>
      </c>
      <c r="Q3420">
        <v>1.944179E-2</v>
      </c>
      <c r="R3420">
        <v>-0.1294951</v>
      </c>
      <c r="S3420">
        <v>3.003876</v>
      </c>
      <c r="T3420">
        <v>-0.23663120000000001</v>
      </c>
      <c r="U3420">
        <v>-0.20805360000000001</v>
      </c>
      <c r="V3420">
        <v>-3.4613959999999999E-2</v>
      </c>
      <c r="W3420">
        <v>3.1643659999999997E-2</v>
      </c>
      <c r="X3420">
        <v>0.99889969999999995</v>
      </c>
      <c r="Y3420">
        <v>-9.4406519999999994E-2</v>
      </c>
      <c r="Z3420">
        <v>1.6510670000000002E-2</v>
      </c>
      <c r="AA3420">
        <v>0.99539679999999997</v>
      </c>
      <c r="AB3420">
        <v>22</v>
      </c>
      <c r="AC3420">
        <v>13.888499999999899</v>
      </c>
      <c r="AD3420">
        <v>-1.110329195534</v>
      </c>
      <c r="AE3420">
        <v>-0.94229999999998804</v>
      </c>
      <c r="AF3420">
        <v>-1.33618344138393</v>
      </c>
      <c r="AG3420">
        <v>-1.110329195534</v>
      </c>
      <c r="AH3420">
        <v>13.767739303911201</v>
      </c>
      <c r="AI3420">
        <v>94.589293625459803</v>
      </c>
      <c r="AJ3420">
        <v>95.543296017460506</v>
      </c>
      <c r="AK3420">
        <v>13.8769183413301</v>
      </c>
      <c r="AL3420">
        <v>88.1866491760006</v>
      </c>
      <c r="AM3420">
        <v>91.984624273039302</v>
      </c>
      <c r="AN3420">
        <v>1.0000000290525799</v>
      </c>
    </row>
    <row r="3421" spans="1:40" x14ac:dyDescent="0.25">
      <c r="A3421" t="str">
        <f>"20190312160359471"</f>
        <v>20190312160359471</v>
      </c>
      <c r="B3421" t="str">
        <f>"1552377839457623"</f>
        <v>1552377839457623</v>
      </c>
      <c r="C3421" t="s">
        <v>40</v>
      </c>
      <c r="D3421">
        <v>5.7178339999999999</v>
      </c>
      <c r="E3421">
        <v>0.47836329999999999</v>
      </c>
      <c r="F3421" t="s">
        <v>79</v>
      </c>
      <c r="G3421">
        <v>-435.48399999999998</v>
      </c>
      <c r="H3421" s="1">
        <v>4.8071320000000001E-6</v>
      </c>
      <c r="I3421">
        <v>212.80670000000001</v>
      </c>
      <c r="J3421">
        <v>-449.1696</v>
      </c>
      <c r="K3421">
        <v>1.110384</v>
      </c>
      <c r="L3421">
        <v>213.7467</v>
      </c>
      <c r="M3421">
        <v>0.98649489999999995</v>
      </c>
      <c r="N3421">
        <v>0</v>
      </c>
      <c r="O3421">
        <v>-0.16333499999999901</v>
      </c>
      <c r="P3421">
        <v>0.99154549999999997</v>
      </c>
      <c r="Q3421">
        <v>1.9257389999999999E-2</v>
      </c>
      <c r="R3421">
        <v>-0.1283232</v>
      </c>
      <c r="S3421">
        <v>3.0032649999999999</v>
      </c>
      <c r="T3421">
        <v>-0.24009730000000001</v>
      </c>
      <c r="U3421">
        <v>-0.2104645</v>
      </c>
      <c r="V3421">
        <v>-3.5389129999999998E-2</v>
      </c>
      <c r="W3421">
        <v>3.1454450000000002E-2</v>
      </c>
      <c r="X3421">
        <v>0.9988785</v>
      </c>
      <c r="Y3421">
        <v>-9.3170760000000005E-2</v>
      </c>
      <c r="Z3421">
        <v>1.667337E-2</v>
      </c>
      <c r="AA3421">
        <v>0.99551049999999996</v>
      </c>
      <c r="AB3421">
        <v>22</v>
      </c>
      <c r="AC3421">
        <v>13.6855999999999</v>
      </c>
      <c r="AD3421">
        <v>-1.110379192868</v>
      </c>
      <c r="AE3421">
        <v>-0.93999999999999695</v>
      </c>
      <c r="AF3421">
        <v>-1.2996150307283301</v>
      </c>
      <c r="AG3421">
        <v>-1.110379192868</v>
      </c>
      <c r="AH3421">
        <v>13.566443482994</v>
      </c>
      <c r="AI3421">
        <v>94.657856142401897</v>
      </c>
      <c r="AJ3421">
        <v>95.472025401999403</v>
      </c>
      <c r="AK3421">
        <v>13.673709443941</v>
      </c>
      <c r="AL3421">
        <v>88.197495484698607</v>
      </c>
      <c r="AM3421">
        <v>92.029075665567007</v>
      </c>
      <c r="AN3421">
        <v>1.0000000153546</v>
      </c>
    </row>
    <row r="3422" spans="1:40" x14ac:dyDescent="0.25">
      <c r="A3422" t="str">
        <f>"20190312160359495"</f>
        <v>20190312160359495</v>
      </c>
      <c r="B3422" t="str">
        <f>"1552377839487879"</f>
        <v>1552377839487879</v>
      </c>
      <c r="C3422" t="s">
        <v>40</v>
      </c>
      <c r="D3422">
        <v>5.8136449999999904</v>
      </c>
      <c r="E3422">
        <v>0.47917729999999997</v>
      </c>
      <c r="F3422" t="s">
        <v>79</v>
      </c>
      <c r="G3422">
        <v>-435.33440000000002</v>
      </c>
      <c r="H3422" s="1">
        <v>4.7441949999999999E-6</v>
      </c>
      <c r="I3422">
        <v>212.76759999999999</v>
      </c>
      <c r="J3422">
        <v>-448.9357</v>
      </c>
      <c r="K3422">
        <v>1.110441</v>
      </c>
      <c r="L3422">
        <v>213.70859999999999</v>
      </c>
      <c r="M3422">
        <v>0.98658760000000001</v>
      </c>
      <c r="N3422">
        <v>0</v>
      </c>
      <c r="O3422">
        <v>-0.16277369999999999</v>
      </c>
      <c r="P3422">
        <v>0.99160729999999997</v>
      </c>
      <c r="Q3422">
        <v>1.845989E-2</v>
      </c>
      <c r="R3422">
        <v>-0.12796260000000001</v>
      </c>
      <c r="S3422">
        <v>3.0027469999999998</v>
      </c>
      <c r="T3422">
        <v>-0.2409934</v>
      </c>
      <c r="U3422">
        <v>-0.21250920000000001</v>
      </c>
      <c r="V3422">
        <v>-3.5190909999999999E-2</v>
      </c>
      <c r="W3422">
        <v>3.0652789999999999E-2</v>
      </c>
      <c r="X3422">
        <v>0.99891039999999998</v>
      </c>
      <c r="Y3422">
        <v>-9.1917319999999997E-2</v>
      </c>
      <c r="Z3422">
        <v>1.6643209999999999E-2</v>
      </c>
      <c r="AA3422">
        <v>0.9956275</v>
      </c>
      <c r="AB3422">
        <v>22</v>
      </c>
      <c r="AC3422">
        <v>13.601299999999901</v>
      </c>
      <c r="AD3422">
        <v>-1.110436255805</v>
      </c>
      <c r="AE3422">
        <v>-0.94100000000000195</v>
      </c>
      <c r="AF3422">
        <v>-1.2771788250092799</v>
      </c>
      <c r="AG3422">
        <v>-1.110436255805</v>
      </c>
      <c r="AH3422">
        <v>13.483613891102101</v>
      </c>
      <c r="AI3422">
        <v>94.687055694170596</v>
      </c>
      <c r="AJ3422">
        <v>95.410958731009998</v>
      </c>
      <c r="AK3422">
        <v>13.5894112452887</v>
      </c>
      <c r="AL3422">
        <v>88.243449338724005</v>
      </c>
      <c r="AM3422">
        <v>92.017655536663199</v>
      </c>
      <c r="AN3422">
        <v>0.99999999045478605</v>
      </c>
    </row>
    <row r="3423" spans="1:40" x14ac:dyDescent="0.25">
      <c r="A3423" t="str">
        <f>"20190312160359518"</f>
        <v>20190312160359518</v>
      </c>
      <c r="B3423" t="str">
        <f>"1552377839508376"</f>
        <v>1552377839508376</v>
      </c>
      <c r="C3423" t="s">
        <v>40</v>
      </c>
      <c r="D3423">
        <v>5.8080439999999998</v>
      </c>
      <c r="E3423">
        <v>0.4797149</v>
      </c>
      <c r="F3423" t="s">
        <v>79</v>
      </c>
      <c r="G3423">
        <v>-434.94049999999999</v>
      </c>
      <c r="H3423" s="1">
        <v>4.5759370000000001E-6</v>
      </c>
      <c r="I3423">
        <v>212.69399999999999</v>
      </c>
      <c r="J3423">
        <v>-448.72370000000001</v>
      </c>
      <c r="K3423">
        <v>1.1104830000000001</v>
      </c>
      <c r="L3423">
        <v>213.67429999999999</v>
      </c>
      <c r="M3423">
        <v>0.98668560000000005</v>
      </c>
      <c r="N3423">
        <v>0</v>
      </c>
      <c r="O3423">
        <v>-0.1621795</v>
      </c>
      <c r="P3423">
        <v>0.99162660000000002</v>
      </c>
      <c r="Q3423">
        <v>1.7961919999999999E-2</v>
      </c>
      <c r="R3423">
        <v>-0.12788379999999999</v>
      </c>
      <c r="S3423">
        <v>3.0017399999999999</v>
      </c>
      <c r="T3423">
        <v>-0.2381693</v>
      </c>
      <c r="U3423">
        <v>-0.2176208</v>
      </c>
      <c r="V3423">
        <v>-3.467224E-2</v>
      </c>
      <c r="W3423">
        <v>3.0151870000000001E-2</v>
      </c>
      <c r="X3423">
        <v>0.99894380000000005</v>
      </c>
      <c r="Y3423">
        <v>-8.9634359999999996E-2</v>
      </c>
      <c r="Z3423">
        <v>1.631612E-2</v>
      </c>
      <c r="AA3423">
        <v>0.99584110000000003</v>
      </c>
      <c r="AB3423">
        <v>22</v>
      </c>
      <c r="AC3423">
        <v>13.783200000000001</v>
      </c>
      <c r="AD3423">
        <v>-1.1104784240629999</v>
      </c>
      <c r="AE3423">
        <v>-0.98029999999997097</v>
      </c>
      <c r="AF3423">
        <v>-1.2600612364359001</v>
      </c>
      <c r="AG3423">
        <v>-1.1104784240629999</v>
      </c>
      <c r="AH3423">
        <v>13.671400814431999</v>
      </c>
      <c r="AI3423">
        <v>94.624220058756904</v>
      </c>
      <c r="AJ3423">
        <v>95.265941272660996</v>
      </c>
      <c r="AK3423">
        <v>13.7741829840731</v>
      </c>
      <c r="AL3423">
        <v>88.272163243885601</v>
      </c>
      <c r="AM3423">
        <v>91.987875441832799</v>
      </c>
      <c r="AN3423">
        <v>1.0000000075247699</v>
      </c>
    </row>
    <row r="3424" spans="1:40" x14ac:dyDescent="0.25">
      <c r="A3424" t="str">
        <f>"20190312160359540"</f>
        <v>20190312160359540</v>
      </c>
      <c r="B3424" t="str">
        <f>"1552377839527895"</f>
        <v>1552377839527895</v>
      </c>
      <c r="C3424" t="s">
        <v>40</v>
      </c>
      <c r="D3424">
        <v>5.6983410000000001</v>
      </c>
      <c r="E3424">
        <v>0.48008889999999999</v>
      </c>
      <c r="F3424" t="s">
        <v>79</v>
      </c>
      <c r="G3424">
        <v>-434.52300000000002</v>
      </c>
      <c r="H3424" s="1">
        <v>4.3967590000000003E-6</v>
      </c>
      <c r="I3424">
        <v>212.6259</v>
      </c>
      <c r="J3424">
        <v>-448.51089999999999</v>
      </c>
      <c r="K3424">
        <v>1.1105309999999999</v>
      </c>
      <c r="L3424">
        <v>213.64009999999999</v>
      </c>
      <c r="M3424">
        <v>0.98679720000000004</v>
      </c>
      <c r="N3424">
        <v>0</v>
      </c>
      <c r="O3424">
        <v>-0.16149910000000001</v>
      </c>
      <c r="P3424">
        <v>0.9916644</v>
      </c>
      <c r="Q3424">
        <v>1.7890840000000002E-2</v>
      </c>
      <c r="R3424">
        <v>-0.1276003</v>
      </c>
      <c r="S3424">
        <v>3.0009769999999998</v>
      </c>
      <c r="T3424">
        <v>-0.23467360000000001</v>
      </c>
      <c r="U3424">
        <v>-0.22155759999999999</v>
      </c>
      <c r="V3424">
        <v>-3.4273159999999997E-2</v>
      </c>
      <c r="W3424">
        <v>3.007752E-2</v>
      </c>
      <c r="X3424">
        <v>0.99895979999999995</v>
      </c>
      <c r="Y3424">
        <v>-8.7660269999999998E-2</v>
      </c>
      <c r="Z3424">
        <v>1.5951010000000002E-2</v>
      </c>
      <c r="AA3424">
        <v>0.99602270000000004</v>
      </c>
      <c r="AB3424">
        <v>22</v>
      </c>
      <c r="AC3424">
        <v>13.9878999999999</v>
      </c>
      <c r="AD3424">
        <v>-1.1105266032409999</v>
      </c>
      <c r="AE3424">
        <v>-1.01419999999998</v>
      </c>
      <c r="AF3424">
        <v>-1.2504768559871</v>
      </c>
      <c r="AG3424">
        <v>-1.1105266032409999</v>
      </c>
      <c r="AH3424">
        <v>13.881020236749899</v>
      </c>
      <c r="AI3424">
        <v>94.555735490941402</v>
      </c>
      <c r="AJ3424">
        <v>95.147616609131603</v>
      </c>
      <c r="AK3424">
        <v>13.981404955043899</v>
      </c>
      <c r="AL3424">
        <v>88.276425095339704</v>
      </c>
      <c r="AM3424">
        <v>91.964981444577305</v>
      </c>
      <c r="AN3424">
        <v>0.99999999436088705</v>
      </c>
    </row>
    <row r="3425" spans="1:40" x14ac:dyDescent="0.25">
      <c r="A3425" t="str">
        <f>"20190312160359561"</f>
        <v>20190312160359561</v>
      </c>
      <c r="B3425" t="str">
        <f>"1552377839548391"</f>
        <v>1552377839548391</v>
      </c>
      <c r="C3425" t="s">
        <v>40</v>
      </c>
      <c r="D3425">
        <v>5.6097460000000003</v>
      </c>
      <c r="E3425">
        <v>0.48085840000000002</v>
      </c>
      <c r="F3425" t="s">
        <v>79</v>
      </c>
      <c r="G3425">
        <v>-434.0514</v>
      </c>
      <c r="H3425" s="1">
        <v>4.1933280000000001E-6</v>
      </c>
      <c r="I3425">
        <v>212.5607</v>
      </c>
      <c r="J3425">
        <v>-448.31560000000002</v>
      </c>
      <c r="K3425">
        <v>1.1105799999999999</v>
      </c>
      <c r="L3425">
        <v>213.60890000000001</v>
      </c>
      <c r="M3425">
        <v>0.98691169999999995</v>
      </c>
      <c r="N3425">
        <v>0</v>
      </c>
      <c r="O3425">
        <v>-0.16079779999999999</v>
      </c>
      <c r="P3425">
        <v>0.99176430000000004</v>
      </c>
      <c r="Q3425">
        <v>1.7846500000000001E-2</v>
      </c>
      <c r="R3425">
        <v>-0.12682769999999999</v>
      </c>
      <c r="S3425">
        <v>3.0005799999999998</v>
      </c>
      <c r="T3425">
        <v>-0.23045260000000001</v>
      </c>
      <c r="U3425">
        <v>-0.22398380000000001</v>
      </c>
      <c r="V3425">
        <v>-3.4344649999999997E-2</v>
      </c>
      <c r="W3425">
        <v>3.0029380000000001E-2</v>
      </c>
      <c r="X3425">
        <v>0.99895880000000004</v>
      </c>
      <c r="Y3425">
        <v>-8.6174639999999997E-2</v>
      </c>
      <c r="Z3425">
        <v>1.555644E-2</v>
      </c>
      <c r="AA3425">
        <v>0.99615860000000001</v>
      </c>
      <c r="AB3425">
        <v>22</v>
      </c>
      <c r="AC3425">
        <v>14.264200000000001</v>
      </c>
      <c r="AD3425">
        <v>-1.110575806672</v>
      </c>
      <c r="AE3425">
        <v>-1.0482</v>
      </c>
      <c r="AF3425">
        <v>-1.2517182706563901</v>
      </c>
      <c r="AG3425">
        <v>-1.110575806672</v>
      </c>
      <c r="AH3425">
        <v>14.161733651634799</v>
      </c>
      <c r="AI3425">
        <v>94.466666570850407</v>
      </c>
      <c r="AJ3425">
        <v>95.051096459552397</v>
      </c>
      <c r="AK3425">
        <v>14.2602551615077</v>
      </c>
      <c r="AL3425">
        <v>88.279184572719601</v>
      </c>
      <c r="AM3425">
        <v>91.969078923731502</v>
      </c>
      <c r="AN3425">
        <v>1.00000000137212</v>
      </c>
    </row>
    <row r="3426" spans="1:40" x14ac:dyDescent="0.25">
      <c r="A3426" t="str">
        <f>"20190312160359583"</f>
        <v>20190312160359583</v>
      </c>
      <c r="B3426" t="str">
        <f>"1552377839577731"</f>
        <v>1552377839577731</v>
      </c>
      <c r="C3426" t="s">
        <v>40</v>
      </c>
      <c r="D3426">
        <v>5.5914809999999999</v>
      </c>
      <c r="E3426">
        <v>0.4813537</v>
      </c>
      <c r="F3426" t="s">
        <v>79</v>
      </c>
      <c r="G3426">
        <v>-433.95890000000003</v>
      </c>
      <c r="H3426" s="1">
        <v>4.1559530000000003E-6</v>
      </c>
      <c r="I3426">
        <v>212.51910000000001</v>
      </c>
      <c r="J3426">
        <v>-448.09440000000001</v>
      </c>
      <c r="K3426">
        <v>1.11063</v>
      </c>
      <c r="L3426">
        <v>213.57390000000001</v>
      </c>
      <c r="M3426">
        <v>0.98705520000000002</v>
      </c>
      <c r="N3426">
        <v>0</v>
      </c>
      <c r="O3426">
        <v>-0.159913</v>
      </c>
      <c r="P3426">
        <v>0.99189240000000001</v>
      </c>
      <c r="Q3426">
        <v>1.765653E-2</v>
      </c>
      <c r="R3426">
        <v>-0.1258486</v>
      </c>
      <c r="S3426">
        <v>2.9999690000000001</v>
      </c>
      <c r="T3426">
        <v>-0.23206560000000001</v>
      </c>
      <c r="U3426">
        <v>-0.22773740000000001</v>
      </c>
      <c r="V3426">
        <v>-3.4440119999999998E-2</v>
      </c>
      <c r="W3426">
        <v>2.9835859999999999E-2</v>
      </c>
      <c r="X3426">
        <v>0.99896130000000005</v>
      </c>
      <c r="Y3426">
        <v>-8.4025619999999995E-2</v>
      </c>
      <c r="Z3426">
        <v>1.551688E-2</v>
      </c>
      <c r="AA3426">
        <v>0.99634279999999997</v>
      </c>
      <c r="AB3426">
        <v>22</v>
      </c>
      <c r="AC3426">
        <v>14.135499999999899</v>
      </c>
      <c r="AD3426">
        <v>-1.110625844047</v>
      </c>
      <c r="AE3426">
        <v>-1.0548</v>
      </c>
      <c r="AF3426">
        <v>-1.21195549841918</v>
      </c>
      <c r="AG3426">
        <v>-1.110625844047</v>
      </c>
      <c r="AH3426">
        <v>14.036084941519601</v>
      </c>
      <c r="AI3426">
        <v>94.507484226341205</v>
      </c>
      <c r="AJ3426">
        <v>94.935003710282501</v>
      </c>
      <c r="AK3426">
        <v>14.1320206050362</v>
      </c>
      <c r="AL3426">
        <v>88.290277402428202</v>
      </c>
      <c r="AM3426">
        <v>91.974543232820096</v>
      </c>
      <c r="AN3426">
        <v>0.99999998965262205</v>
      </c>
    </row>
    <row r="3427" spans="1:40" x14ac:dyDescent="0.25">
      <c r="A3427" t="str">
        <f>"20190312160359606"</f>
        <v>20190312160359606</v>
      </c>
      <c r="B3427" t="str">
        <f>"1552377839598227"</f>
        <v>1552377839598227</v>
      </c>
      <c r="C3427" t="s">
        <v>40</v>
      </c>
      <c r="D3427">
        <v>5.6067339999999897</v>
      </c>
      <c r="E3427">
        <v>0.48169990000000001</v>
      </c>
      <c r="F3427" t="s">
        <v>79</v>
      </c>
      <c r="G3427">
        <v>-433.67439999999999</v>
      </c>
      <c r="H3427" s="1">
        <v>4.0336870000000003E-6</v>
      </c>
      <c r="I3427">
        <v>212.4743</v>
      </c>
      <c r="J3427">
        <v>-447.8809</v>
      </c>
      <c r="K3427">
        <v>1.1106860000000001</v>
      </c>
      <c r="L3427">
        <v>213.54040000000001</v>
      </c>
      <c r="M3427">
        <v>0.98720870000000005</v>
      </c>
      <c r="N3427">
        <v>0</v>
      </c>
      <c r="O3427">
        <v>-0.158963299999999</v>
      </c>
      <c r="P3427">
        <v>0.99213110000000004</v>
      </c>
      <c r="Q3427">
        <v>1.74995999999999E-2</v>
      </c>
      <c r="R3427">
        <v>-0.1239751</v>
      </c>
      <c r="S3427">
        <v>2.9996339999999999</v>
      </c>
      <c r="T3427">
        <v>-0.2310306</v>
      </c>
      <c r="U3427">
        <v>-0.22874449999999999</v>
      </c>
      <c r="V3427">
        <v>-3.5370579999999999E-2</v>
      </c>
      <c r="W3427">
        <v>2.9672859999999999E-2</v>
      </c>
      <c r="X3427">
        <v>0.99893370000000004</v>
      </c>
      <c r="Y3427">
        <v>-8.2738679999999995E-2</v>
      </c>
      <c r="Z3427">
        <v>1.53279E-2</v>
      </c>
      <c r="AA3427">
        <v>0.99645340000000004</v>
      </c>
      <c r="AB3427">
        <v>22</v>
      </c>
      <c r="AC3427">
        <v>14.2065</v>
      </c>
      <c r="AD3427">
        <v>-1.1106819663130001</v>
      </c>
      <c r="AE3427">
        <v>-1.0661</v>
      </c>
      <c r="AF3427">
        <v>-1.1986536527988001</v>
      </c>
      <c r="AG3427">
        <v>-1.1106819663130001</v>
      </c>
      <c r="AH3427">
        <v>14.109554391324901</v>
      </c>
      <c r="AI3427">
        <v>94.484863825642194</v>
      </c>
      <c r="AJ3427">
        <v>94.855808186043703</v>
      </c>
      <c r="AK3427">
        <v>14.203869547817501</v>
      </c>
      <c r="AL3427">
        <v>88.299620848602302</v>
      </c>
      <c r="AM3427">
        <v>92.027900996507597</v>
      </c>
      <c r="AN3427">
        <v>1.0000000467729</v>
      </c>
    </row>
    <row r="3428" spans="1:40" x14ac:dyDescent="0.25">
      <c r="A3428" t="str">
        <f>"20190312160359632"</f>
        <v>20190312160359632</v>
      </c>
      <c r="B3428" t="str">
        <f>"1552377839628483"</f>
        <v>1552377839628483</v>
      </c>
      <c r="C3428" t="s">
        <v>40</v>
      </c>
      <c r="D3428">
        <v>5.5974550000000001</v>
      </c>
      <c r="E3428">
        <v>0.48152539999999999</v>
      </c>
      <c r="F3428" t="s">
        <v>79</v>
      </c>
      <c r="G3428">
        <v>-433.51920000000001</v>
      </c>
      <c r="H3428" s="1">
        <v>3.966259E-6</v>
      </c>
      <c r="I3428">
        <v>212.4581</v>
      </c>
      <c r="J3428">
        <v>-447.63679999999999</v>
      </c>
      <c r="K3428">
        <v>1.1107499999999999</v>
      </c>
      <c r="L3428">
        <v>213.5025</v>
      </c>
      <c r="M3428">
        <v>0.98740300000000003</v>
      </c>
      <c r="N3428">
        <v>0</v>
      </c>
      <c r="O3428">
        <v>-0.157752799999999</v>
      </c>
      <c r="P3428">
        <v>0.99251149999999999</v>
      </c>
      <c r="Q3428">
        <v>1.7709519999999999E-2</v>
      </c>
      <c r="R3428">
        <v>-0.1208622</v>
      </c>
      <c r="S3428">
        <v>2.9995729999999998</v>
      </c>
      <c r="T3428">
        <v>-0.2319756</v>
      </c>
      <c r="U3428">
        <v>-0.22604369999999999</v>
      </c>
      <c r="V3428">
        <v>-3.7284169999999998E-2</v>
      </c>
      <c r="W3428">
        <v>2.9874479999999998E-2</v>
      </c>
      <c r="X3428">
        <v>0.99885800000000002</v>
      </c>
      <c r="Y3428">
        <v>-8.2405999999999993E-2</v>
      </c>
      <c r="Z3428">
        <v>1.528645E-2</v>
      </c>
      <c r="AA3428">
        <v>0.99648159999999997</v>
      </c>
      <c r="AB3428">
        <v>22</v>
      </c>
      <c r="AC3428">
        <v>14.1175999999999</v>
      </c>
      <c r="AD3428">
        <v>-1.110746033741</v>
      </c>
      <c r="AE3428">
        <v>-1.04439999999999</v>
      </c>
      <c r="AF3428">
        <v>-1.1886187661029199</v>
      </c>
      <c r="AG3428">
        <v>-1.110746033741</v>
      </c>
      <c r="AH3428">
        <v>14.019260839280401</v>
      </c>
      <c r="AI3428">
        <v>94.513953571140604</v>
      </c>
      <c r="AJ3428">
        <v>94.846215165186393</v>
      </c>
      <c r="AK3428">
        <v>14.1133357432743</v>
      </c>
      <c r="AL3428">
        <v>88.288063583017205</v>
      </c>
      <c r="AM3428">
        <v>92.137675510551304</v>
      </c>
      <c r="AN3428">
        <v>0.99999994902592804</v>
      </c>
    </row>
    <row r="3429" spans="1:40" x14ac:dyDescent="0.25">
      <c r="A3429" t="str">
        <f>"20190312160359650"</f>
        <v>20190312160359650</v>
      </c>
      <c r="B3429" t="str">
        <f>"1552377839638244"</f>
        <v>1552377839638244</v>
      </c>
      <c r="C3429" t="s">
        <v>40</v>
      </c>
      <c r="D3429">
        <v>5.5578719999999997</v>
      </c>
      <c r="E3429">
        <v>0.48118430000000001</v>
      </c>
      <c r="F3429" t="s">
        <v>79</v>
      </c>
      <c r="G3429">
        <v>-433.1986</v>
      </c>
      <c r="H3429" s="1">
        <v>3.82357899999999E-6</v>
      </c>
      <c r="I3429">
        <v>212.46440000000001</v>
      </c>
      <c r="J3429">
        <v>-447.45249999999999</v>
      </c>
      <c r="K3429">
        <v>1.110787</v>
      </c>
      <c r="L3429">
        <v>213.4742</v>
      </c>
      <c r="M3429">
        <v>0.98756029999999995</v>
      </c>
      <c r="N3429">
        <v>0</v>
      </c>
      <c r="O3429">
        <v>-0.15676489999999901</v>
      </c>
      <c r="P3429">
        <v>0.99281900000000001</v>
      </c>
      <c r="Q3429">
        <v>1.7339799999999999E-2</v>
      </c>
      <c r="R3429">
        <v>-0.1183647</v>
      </c>
      <c r="S3429">
        <v>3.0005190000000002</v>
      </c>
      <c r="T3429">
        <v>-0.23083310000000001</v>
      </c>
      <c r="U3429">
        <v>-0.21574399999999999</v>
      </c>
      <c r="V3429">
        <v>-3.8801549999999997E-2</v>
      </c>
      <c r="W3429">
        <v>2.949889E-2</v>
      </c>
      <c r="X3429">
        <v>0.99881140000000002</v>
      </c>
      <c r="Y3429">
        <v>-8.4837270000000006E-2</v>
      </c>
      <c r="Z3429">
        <v>1.522773E-2</v>
      </c>
      <c r="AA3429">
        <v>0.99627849999999996</v>
      </c>
      <c r="AB3429">
        <v>22</v>
      </c>
      <c r="AC3429">
        <v>14.2538999999999</v>
      </c>
      <c r="AD3429">
        <v>-1.1107831764210001</v>
      </c>
      <c r="AE3429">
        <v>-1.00979999999998</v>
      </c>
      <c r="AF3429">
        <v>-1.22993338639154</v>
      </c>
      <c r="AG3429">
        <v>-1.1107831764210001</v>
      </c>
      <c r="AH3429">
        <v>14.150446430216601</v>
      </c>
      <c r="AI3429">
        <v>94.471615353336503</v>
      </c>
      <c r="AJ3429">
        <v>94.967569777130507</v>
      </c>
      <c r="AK3429">
        <v>14.247164966210301</v>
      </c>
      <c r="AL3429">
        <v>88.309592845314</v>
      </c>
      <c r="AM3429">
        <v>92.224691974029398</v>
      </c>
      <c r="AN3429">
        <v>0.99999997878179703</v>
      </c>
    </row>
    <row r="3430" spans="1:40" x14ac:dyDescent="0.25">
      <c r="A3430" t="str">
        <f>"20190312160359672"</f>
        <v>20190312160359672</v>
      </c>
      <c r="B3430" t="str">
        <f>"1552377839668500"</f>
        <v>1552377839668500</v>
      </c>
      <c r="C3430" t="s">
        <v>40</v>
      </c>
      <c r="D3430">
        <v>5.6132860000000004</v>
      </c>
      <c r="E3430">
        <v>0.48042279999999998</v>
      </c>
      <c r="F3430" t="s">
        <v>79</v>
      </c>
      <c r="G3430">
        <v>-433.00689999999997</v>
      </c>
      <c r="H3430" s="1">
        <v>3.736777E-6</v>
      </c>
      <c r="I3430">
        <v>212.48480000000001</v>
      </c>
      <c r="J3430">
        <v>-447.24709999999999</v>
      </c>
      <c r="K3430">
        <v>1.110825</v>
      </c>
      <c r="L3430">
        <v>213.44300000000001</v>
      </c>
      <c r="M3430">
        <v>0.98774399999999996</v>
      </c>
      <c r="N3430">
        <v>0</v>
      </c>
      <c r="O3430">
        <v>-0.1556022</v>
      </c>
      <c r="P3430">
        <v>0.99312699999999998</v>
      </c>
      <c r="Q3430">
        <v>1.638299E-2</v>
      </c>
      <c r="R3430">
        <v>-0.11588950000000001</v>
      </c>
      <c r="S3430">
        <v>3.0012210000000001</v>
      </c>
      <c r="T3430">
        <v>-0.23077790000000001</v>
      </c>
      <c r="U3430">
        <v>-0.20555109999999999</v>
      </c>
      <c r="V3430">
        <v>-4.011953E-2</v>
      </c>
      <c r="W3430">
        <v>2.853609E-2</v>
      </c>
      <c r="X3430">
        <v>0.99878730000000004</v>
      </c>
      <c r="Y3430">
        <v>-8.7045120000000004E-2</v>
      </c>
      <c r="Z3430">
        <v>1.5219720000000001E-2</v>
      </c>
      <c r="AA3430">
        <v>0.99608810000000003</v>
      </c>
      <c r="AB3430">
        <v>22</v>
      </c>
      <c r="AC3430">
        <v>14.2402</v>
      </c>
      <c r="AD3430">
        <v>-1.1108212632229999</v>
      </c>
      <c r="AE3430">
        <v>-0.95819999999997596</v>
      </c>
      <c r="AF3430">
        <v>-1.26180181895499</v>
      </c>
      <c r="AG3430">
        <v>-1.1108212632229999</v>
      </c>
      <c r="AH3430">
        <v>14.130240460474001</v>
      </c>
      <c r="AI3430">
        <v>94.477208817846801</v>
      </c>
      <c r="AJ3430">
        <v>95.102862020256396</v>
      </c>
      <c r="AK3430">
        <v>14.2298897810195</v>
      </c>
      <c r="AL3430">
        <v>88.364780462951501</v>
      </c>
      <c r="AM3430">
        <v>92.300234137319194</v>
      </c>
      <c r="AN3430">
        <v>0.99999997788059902</v>
      </c>
    </row>
    <row r="3431" spans="1:40" x14ac:dyDescent="0.25">
      <c r="A3431" t="str">
        <f>"20190312160359697"</f>
        <v>20190312160359697</v>
      </c>
      <c r="B3431" t="str">
        <f>"1552377839688527"</f>
        <v>1552377839688527</v>
      </c>
      <c r="C3431" t="s">
        <v>40</v>
      </c>
      <c r="D3431">
        <v>5.5834590000000004</v>
      </c>
      <c r="E3431">
        <v>0.4800741</v>
      </c>
      <c r="F3431" t="s">
        <v>79</v>
      </c>
      <c r="G3431">
        <v>-432.82819999999998</v>
      </c>
      <c r="H3431" s="1">
        <v>3.65429E-6</v>
      </c>
      <c r="I3431">
        <v>212.52180000000001</v>
      </c>
      <c r="J3431">
        <v>-447.01119999999997</v>
      </c>
      <c r="K3431">
        <v>1.1108610000000001</v>
      </c>
      <c r="L3431">
        <v>213.4075</v>
      </c>
      <c r="M3431">
        <v>0.98796419999999996</v>
      </c>
      <c r="N3431">
        <v>0</v>
      </c>
      <c r="O3431">
        <v>-0.15419759999999999</v>
      </c>
      <c r="P3431">
        <v>0.9934577</v>
      </c>
      <c r="Q3431">
        <v>1.5663949999999999E-2</v>
      </c>
      <c r="R3431">
        <v>-0.1131205</v>
      </c>
      <c r="S3431">
        <v>3.0022280000000001</v>
      </c>
      <c r="T3431">
        <v>-0.2312891</v>
      </c>
      <c r="U3431">
        <v>-0.191803</v>
      </c>
      <c r="V3431">
        <v>-4.148719E-2</v>
      </c>
      <c r="W3431">
        <v>2.7811579999999999E-2</v>
      </c>
      <c r="X3431">
        <v>0.99875190000000003</v>
      </c>
      <c r="Y3431">
        <v>-9.0184479999999997E-2</v>
      </c>
      <c r="Z3431">
        <v>1.5265539999999999E-2</v>
      </c>
      <c r="AA3431">
        <v>0.99580809999999997</v>
      </c>
      <c r="AB3431">
        <v>22</v>
      </c>
      <c r="AC3431">
        <v>14.1829999999999</v>
      </c>
      <c r="AD3431">
        <v>-1.1108573457099999</v>
      </c>
      <c r="AE3431">
        <v>-0.88569999999998505</v>
      </c>
      <c r="AF3431">
        <v>-1.3040741816155801</v>
      </c>
      <c r="AG3431">
        <v>-1.1108573457099999</v>
      </c>
      <c r="AH3431">
        <v>14.0639885827245</v>
      </c>
      <c r="AI3431">
        <v>94.496973657508406</v>
      </c>
      <c r="AJ3431">
        <v>95.2975660133758</v>
      </c>
      <c r="AK3431">
        <v>14.1679352189611</v>
      </c>
      <c r="AL3431">
        <v>88.406308373057399</v>
      </c>
      <c r="AM3431">
        <v>92.3786439021262</v>
      </c>
      <c r="AN3431">
        <v>1.0000000143348999</v>
      </c>
    </row>
    <row r="3432" spans="1:40" x14ac:dyDescent="0.25">
      <c r="A3432" t="str">
        <f>"20190312160359719"</f>
        <v>20190312160359719</v>
      </c>
      <c r="B3432" t="str">
        <f>"1552377839708046"</f>
        <v>1552377839708046</v>
      </c>
      <c r="C3432" t="s">
        <v>40</v>
      </c>
      <c r="D3432">
        <v>5.5595670000000004</v>
      </c>
      <c r="E3432">
        <v>0.479825</v>
      </c>
      <c r="F3432" t="s">
        <v>79</v>
      </c>
      <c r="G3432">
        <v>-432.75170000000003</v>
      </c>
      <c r="H3432" s="1">
        <v>3.618112E-6</v>
      </c>
      <c r="I3432">
        <v>212.54750000000001</v>
      </c>
      <c r="J3432">
        <v>-446.79989999999998</v>
      </c>
      <c r="K3432">
        <v>1.1108880000000001</v>
      </c>
      <c r="L3432">
        <v>213.37610000000001</v>
      </c>
      <c r="M3432">
        <v>0.98816749999999998</v>
      </c>
      <c r="N3432">
        <v>0</v>
      </c>
      <c r="O3432">
        <v>-0.15288940000000001</v>
      </c>
      <c r="P3432">
        <v>0.99374399999999996</v>
      </c>
      <c r="Q3432">
        <v>1.5928080000000001E-2</v>
      </c>
      <c r="R3432">
        <v>-0.1105415</v>
      </c>
      <c r="S3432">
        <v>3.002869</v>
      </c>
      <c r="T3432">
        <v>-0.2339328</v>
      </c>
      <c r="U3432">
        <v>-0.18110660000000001</v>
      </c>
      <c r="V3432">
        <v>-4.2758419999999998E-2</v>
      </c>
      <c r="W3432">
        <v>2.807136E-2</v>
      </c>
      <c r="X3432">
        <v>0.998691</v>
      </c>
      <c r="Y3432">
        <v>-9.2393550000000005E-2</v>
      </c>
      <c r="Z3432">
        <v>1.542405E-2</v>
      </c>
      <c r="AA3432">
        <v>0.99560309999999996</v>
      </c>
      <c r="AB3432">
        <v>22</v>
      </c>
      <c r="AC3432">
        <v>14.0481999999999</v>
      </c>
      <c r="AD3432">
        <v>-1.1108843818880001</v>
      </c>
      <c r="AE3432">
        <v>-0.82859999999999401</v>
      </c>
      <c r="AF3432">
        <v>-1.3208937850742699</v>
      </c>
      <c r="AG3432">
        <v>-1.1108843818880001</v>
      </c>
      <c r="AH3432">
        <v>13.922948407717699</v>
      </c>
      <c r="AI3432">
        <v>94.541545567772701</v>
      </c>
      <c r="AJ3432">
        <v>95.419527114453501</v>
      </c>
      <c r="AK3432">
        <v>14.0295159169993</v>
      </c>
      <c r="AL3432">
        <v>88.391418236639296</v>
      </c>
      <c r="AM3432">
        <v>92.451590842488102</v>
      </c>
      <c r="AN3432">
        <v>0.999999998607072</v>
      </c>
    </row>
    <row r="3433" spans="1:40" x14ac:dyDescent="0.25">
      <c r="A3433" t="str">
        <f>"20190312160359762"</f>
        <v>20190312160359762</v>
      </c>
      <c r="B3433" t="str">
        <f>"1552377839757825"</f>
        <v>1552377839757825</v>
      </c>
      <c r="C3433" t="s">
        <v>40</v>
      </c>
      <c r="D3433">
        <v>6.1511239999999896</v>
      </c>
      <c r="E3433">
        <v>0.47946709999999898</v>
      </c>
      <c r="F3433" t="s">
        <v>79</v>
      </c>
      <c r="G3433">
        <v>-432.39190000000002</v>
      </c>
      <c r="H3433" s="1">
        <v>3.4581800000000001E-6</v>
      </c>
      <c r="I3433">
        <v>212.5521</v>
      </c>
      <c r="J3433">
        <v>-446.3861</v>
      </c>
      <c r="K3433">
        <v>1.1109260000000001</v>
      </c>
      <c r="L3433">
        <v>213.31549999999999</v>
      </c>
      <c r="M3433">
        <v>0.98857680000000003</v>
      </c>
      <c r="N3433">
        <v>0</v>
      </c>
      <c r="O3433">
        <v>-0.15021979999999999</v>
      </c>
      <c r="P3433">
        <v>0.99405940000000004</v>
      </c>
      <c r="Q3433">
        <v>1.503753E-2</v>
      </c>
      <c r="R3433">
        <v>-0.10779610000000001</v>
      </c>
      <c r="S3433">
        <v>3.003479</v>
      </c>
      <c r="T3433">
        <v>-0.23157530000000001</v>
      </c>
      <c r="U3433">
        <v>-0.17176820000000001</v>
      </c>
      <c r="V3433">
        <v>-4.2822329999999999E-2</v>
      </c>
      <c r="W3433">
        <v>2.7180969999999999E-2</v>
      </c>
      <c r="X3433">
        <v>0.99871290000000001</v>
      </c>
      <c r="Y3433">
        <v>-9.2822539999999995E-2</v>
      </c>
      <c r="Z3433">
        <v>1.508143E-2</v>
      </c>
      <c r="AA3433">
        <v>0.99556849999999997</v>
      </c>
      <c r="AB3433">
        <v>22</v>
      </c>
      <c r="AC3433">
        <v>13.9941999999999</v>
      </c>
      <c r="AD3433">
        <v>-1.1109225418199999</v>
      </c>
      <c r="AE3433">
        <v>-0.76339999999998998</v>
      </c>
      <c r="AF3433">
        <v>-1.3392128760625299</v>
      </c>
      <c r="AG3433">
        <v>-1.1109225418199999</v>
      </c>
      <c r="AH3433">
        <v>13.862961232359201</v>
      </c>
      <c r="AI3433">
        <v>94.560524580243097</v>
      </c>
      <c r="AJ3433">
        <v>95.517860136422797</v>
      </c>
      <c r="AK3433">
        <v>13.9717333982305</v>
      </c>
      <c r="AL3433">
        <v>88.442453319193206</v>
      </c>
      <c r="AM3433">
        <v>92.455196923066296</v>
      </c>
      <c r="AN3433">
        <v>1.00000000685158</v>
      </c>
    </row>
    <row r="3434" spans="1:40" x14ac:dyDescent="0.25">
      <c r="A3434" t="str">
        <f>"20190312160359785"</f>
        <v>20190312160359785</v>
      </c>
      <c r="B3434" t="str">
        <f>"1552377839777849"</f>
        <v>1552377839777849</v>
      </c>
      <c r="C3434" t="s">
        <v>40</v>
      </c>
      <c r="D3434">
        <v>5.6318339999999996</v>
      </c>
      <c r="E3434">
        <v>0.47929149999999998</v>
      </c>
      <c r="F3434" t="s">
        <v>79</v>
      </c>
      <c r="G3434">
        <v>-431.91750000000002</v>
      </c>
      <c r="H3434" s="1">
        <v>3.2485139999999999E-6</v>
      </c>
      <c r="I3434">
        <v>212.54390000000001</v>
      </c>
      <c r="J3434">
        <v>-446.16680000000002</v>
      </c>
      <c r="K3434">
        <v>1.1109469999999999</v>
      </c>
      <c r="L3434">
        <v>213.28389999999999</v>
      </c>
      <c r="M3434">
        <v>0.9887975</v>
      </c>
      <c r="N3434">
        <v>0</v>
      </c>
      <c r="O3434">
        <v>-0.14876039999999999</v>
      </c>
      <c r="P3434">
        <v>0.99421859999999995</v>
      </c>
      <c r="Q3434">
        <v>1.5992360000000001E-2</v>
      </c>
      <c r="R3434">
        <v>-0.1061783</v>
      </c>
      <c r="S3434">
        <v>3.0040589999999998</v>
      </c>
      <c r="T3434">
        <v>-0.230657</v>
      </c>
      <c r="U3434">
        <v>-0.16020200000000001</v>
      </c>
      <c r="V3434">
        <v>-4.2974539999999999E-2</v>
      </c>
      <c r="W3434">
        <v>2.8135710000000001E-2</v>
      </c>
      <c r="X3434">
        <v>0.99867989999999995</v>
      </c>
      <c r="Y3434">
        <v>-9.5188049999999996E-2</v>
      </c>
      <c r="Z3434">
        <v>1.500131E-2</v>
      </c>
      <c r="AA3434">
        <v>0.99534619999999996</v>
      </c>
      <c r="AB3434">
        <v>22</v>
      </c>
      <c r="AC3434">
        <v>14.2493</v>
      </c>
      <c r="AD3434">
        <v>-1.1109437514860001</v>
      </c>
      <c r="AE3434">
        <v>-0.73999999999998001</v>
      </c>
      <c r="AF3434">
        <v>-1.37976109291581</v>
      </c>
      <c r="AG3434">
        <v>-1.1109437514860001</v>
      </c>
      <c r="AH3434">
        <v>14.115250029596201</v>
      </c>
      <c r="AI3434">
        <v>94.478939837095496</v>
      </c>
      <c r="AJ3434">
        <v>95.582907310040497</v>
      </c>
      <c r="AK3434">
        <v>14.225969917390699</v>
      </c>
      <c r="AL3434">
        <v>88.3877297759648</v>
      </c>
      <c r="AM3434">
        <v>92.463994387682007</v>
      </c>
      <c r="AN3434">
        <v>0.99999998596471196</v>
      </c>
    </row>
    <row r="3435" spans="1:40" x14ac:dyDescent="0.25">
      <c r="A3435" t="str">
        <f>"20190312160359808"</f>
        <v>20190312160359808</v>
      </c>
      <c r="B3435" t="str">
        <f>"1552377839798345"</f>
        <v>1552377839798345</v>
      </c>
      <c r="C3435" t="s">
        <v>40</v>
      </c>
      <c r="D3435">
        <v>5.5805930000000004</v>
      </c>
      <c r="E3435">
        <v>0.47919230000000002</v>
      </c>
      <c r="F3435" t="s">
        <v>79</v>
      </c>
      <c r="G3435">
        <v>-431.25319999999999</v>
      </c>
      <c r="H3435" s="1">
        <v>2.956134E-6</v>
      </c>
      <c r="I3435">
        <v>212.51840000000001</v>
      </c>
      <c r="J3435">
        <v>-445.95769999999999</v>
      </c>
      <c r="K3435">
        <v>1.1109579999999999</v>
      </c>
      <c r="L3435">
        <v>213.25409999999999</v>
      </c>
      <c r="M3435">
        <v>0.98900909999999997</v>
      </c>
      <c r="N3435">
        <v>0</v>
      </c>
      <c r="O3435">
        <v>-0.147346</v>
      </c>
      <c r="P3435">
        <v>0.99439449999999996</v>
      </c>
      <c r="Q3435">
        <v>1.668408E-2</v>
      </c>
      <c r="R3435">
        <v>-0.10440729999999999</v>
      </c>
      <c r="S3435">
        <v>3.004578</v>
      </c>
      <c r="T3435">
        <v>-0.22381670000000001</v>
      </c>
      <c r="U3435">
        <v>-0.15422060000000001</v>
      </c>
      <c r="V3435">
        <v>-4.3325130000000003E-2</v>
      </c>
      <c r="W3435">
        <v>2.8827309999999998E-2</v>
      </c>
      <c r="X3435">
        <v>0.99864509999999995</v>
      </c>
      <c r="Y3435">
        <v>-9.5793489999999995E-2</v>
      </c>
      <c r="Z3435">
        <v>1.447478E-2</v>
      </c>
      <c r="AA3435">
        <v>0.99529599999999996</v>
      </c>
      <c r="AB3435">
        <v>22</v>
      </c>
      <c r="AC3435">
        <v>14.7044999999999</v>
      </c>
      <c r="AD3435">
        <v>-1.1109550438660001</v>
      </c>
      <c r="AE3435">
        <v>-0.73569999999998004</v>
      </c>
      <c r="AF3435">
        <v>-1.43099542907554</v>
      </c>
      <c r="AG3435">
        <v>-1.1109550438660001</v>
      </c>
      <c r="AH3435">
        <v>14.5694306038821</v>
      </c>
      <c r="AI3435">
        <v>94.3397044417232</v>
      </c>
      <c r="AJ3435">
        <v>95.609544017713205</v>
      </c>
      <c r="AK3435">
        <v>14.6816306025203</v>
      </c>
      <c r="AL3435">
        <v>88.348088050978504</v>
      </c>
      <c r="AM3435">
        <v>92.484157242355707</v>
      </c>
      <c r="AN3435">
        <v>1.00000005822267</v>
      </c>
    </row>
    <row r="3436" spans="1:40" x14ac:dyDescent="0.25">
      <c r="A3436" t="str">
        <f>"20190312160359829"</f>
        <v>20190312160359829</v>
      </c>
      <c r="B3436" t="str">
        <f>"1552377839817864"</f>
        <v>1552377839817864</v>
      </c>
      <c r="C3436" t="s">
        <v>40</v>
      </c>
      <c r="D3436">
        <v>5.6027060000000004</v>
      </c>
      <c r="E3436">
        <v>0.4790623</v>
      </c>
      <c r="F3436" t="s">
        <v>79</v>
      </c>
      <c r="G3436">
        <v>-430.78179999999998</v>
      </c>
      <c r="H3436" s="1">
        <v>2.7482919999999998E-6</v>
      </c>
      <c r="I3436">
        <v>212.50450000000001</v>
      </c>
      <c r="J3436">
        <v>-445.74930000000001</v>
      </c>
      <c r="K3436">
        <v>1.1109579999999999</v>
      </c>
      <c r="L3436">
        <v>213.22479999999999</v>
      </c>
      <c r="M3436">
        <v>0.9892204</v>
      </c>
      <c r="N3436">
        <v>0</v>
      </c>
      <c r="O3436">
        <v>-0.1459213</v>
      </c>
      <c r="P3436">
        <v>0.99455899999999997</v>
      </c>
      <c r="Q3436">
        <v>1.6937190000000001E-2</v>
      </c>
      <c r="R3436">
        <v>-0.10279050000000001</v>
      </c>
      <c r="S3436">
        <v>3.0050050000000001</v>
      </c>
      <c r="T3436">
        <v>-0.2199816</v>
      </c>
      <c r="U3436">
        <v>-0.1484375</v>
      </c>
      <c r="V3436">
        <v>-4.3510989999999999E-2</v>
      </c>
      <c r="W3436">
        <v>2.9081360000000001E-2</v>
      </c>
      <c r="X3436">
        <v>0.99862960000000001</v>
      </c>
      <c r="Y3436">
        <v>-9.630271E-2</v>
      </c>
      <c r="Z3436">
        <v>1.4141999999999899E-2</v>
      </c>
      <c r="AA3436">
        <v>0.99525160000000001</v>
      </c>
      <c r="AB3436">
        <v>22</v>
      </c>
      <c r="AC3436">
        <v>14.967499999999999</v>
      </c>
      <c r="AD3436">
        <v>-1.1109552517079999</v>
      </c>
      <c r="AE3436">
        <v>-0.72029999999997996</v>
      </c>
      <c r="AF3436">
        <v>-1.46360717695877</v>
      </c>
      <c r="AG3436">
        <v>-1.1109552517079999</v>
      </c>
      <c r="AH3436">
        <v>14.8308631901496</v>
      </c>
      <c r="AI3436">
        <v>94.263297587978599</v>
      </c>
      <c r="AJ3436">
        <v>95.636075189050899</v>
      </c>
      <c r="AK3436">
        <v>14.944258780705001</v>
      </c>
      <c r="AL3436">
        <v>88.333525864698899</v>
      </c>
      <c r="AM3436">
        <v>92.494839238844406</v>
      </c>
      <c r="AN3436">
        <v>1.0000000048731901</v>
      </c>
    </row>
    <row r="3437" spans="1:40" x14ac:dyDescent="0.25">
      <c r="A3437" t="str">
        <f>"20190312160359851"</f>
        <v>20190312160359851</v>
      </c>
      <c r="B3437" t="str">
        <f>"1552377839838360"</f>
        <v>1552377839838360</v>
      </c>
      <c r="C3437" t="s">
        <v>40</v>
      </c>
      <c r="D3437">
        <v>5.616301</v>
      </c>
      <c r="E3437">
        <v>0.47898499999999999</v>
      </c>
      <c r="F3437" t="s">
        <v>79</v>
      </c>
      <c r="G3437">
        <v>-430.27260000000001</v>
      </c>
      <c r="H3437" s="1">
        <v>2.5237519999999998E-6</v>
      </c>
      <c r="I3437">
        <v>212.49010000000001</v>
      </c>
      <c r="J3437">
        <v>-445.54750000000001</v>
      </c>
      <c r="K3437">
        <v>1.1109500000000001</v>
      </c>
      <c r="L3437">
        <v>213.19669999999999</v>
      </c>
      <c r="M3437">
        <v>0.98942399999999997</v>
      </c>
      <c r="N3437">
        <v>0</v>
      </c>
      <c r="O3437">
        <v>-0.14453279999999999</v>
      </c>
      <c r="P3437">
        <v>0.99470890000000001</v>
      </c>
      <c r="Q3437">
        <v>1.6376689999999999E-2</v>
      </c>
      <c r="R3437">
        <v>-0.1014195</v>
      </c>
      <c r="S3437">
        <v>3.0053100000000001</v>
      </c>
      <c r="T3437">
        <v>-0.21572830000000001</v>
      </c>
      <c r="U3437">
        <v>-0.14266970000000001</v>
      </c>
      <c r="V3437">
        <v>-4.3485509999999998E-2</v>
      </c>
      <c r="W3437">
        <v>2.8522740000000001E-2</v>
      </c>
      <c r="X3437">
        <v>0.99864679999999995</v>
      </c>
      <c r="Y3437">
        <v>-9.6843209999999999E-2</v>
      </c>
      <c r="Z3437">
        <v>1.378973E-2</v>
      </c>
      <c r="AA3437">
        <v>0.99520410000000004</v>
      </c>
      <c r="AB3437">
        <v>22</v>
      </c>
      <c r="AC3437">
        <v>15.274900000000001</v>
      </c>
      <c r="AD3437">
        <v>-1.1109474762480001</v>
      </c>
      <c r="AE3437">
        <v>-0.70659999999998002</v>
      </c>
      <c r="AF3437">
        <v>-1.5007887839125</v>
      </c>
      <c r="AG3437">
        <v>-1.1109474762480001</v>
      </c>
      <c r="AH3437">
        <v>15.1367263705655</v>
      </c>
      <c r="AI3437">
        <v>94.177240923882394</v>
      </c>
      <c r="AJ3437">
        <v>95.662303764918903</v>
      </c>
      <c r="AK3437">
        <v>15.2514607984374</v>
      </c>
      <c r="AL3437">
        <v>88.365545682637602</v>
      </c>
      <c r="AM3437">
        <v>92.493337217342997</v>
      </c>
      <c r="AN3437">
        <v>0.99999998371365295</v>
      </c>
    </row>
    <row r="3438" spans="1:40" x14ac:dyDescent="0.25">
      <c r="A3438" t="str">
        <f>"20190312160359873"</f>
        <v>20190312160359873</v>
      </c>
      <c r="B3438" t="str">
        <f>"1552377839867640"</f>
        <v>1552377839867640</v>
      </c>
      <c r="C3438" t="s">
        <v>40</v>
      </c>
      <c r="D3438">
        <v>5.5984210000000001</v>
      </c>
      <c r="E3438">
        <v>0.47889209999999899</v>
      </c>
      <c r="F3438" t="s">
        <v>79</v>
      </c>
      <c r="G3438">
        <v>-429.97390000000001</v>
      </c>
      <c r="H3438" s="1">
        <v>2.3918039999999998E-6</v>
      </c>
      <c r="I3438">
        <v>212.48419999999999</v>
      </c>
      <c r="J3438">
        <v>-445.33210000000003</v>
      </c>
      <c r="K3438">
        <v>1.110943</v>
      </c>
      <c r="L3438">
        <v>213.167</v>
      </c>
      <c r="M3438">
        <v>0.98963990000000002</v>
      </c>
      <c r="N3438">
        <v>0</v>
      </c>
      <c r="O3438">
        <v>-0.14304890000000001</v>
      </c>
      <c r="P3438">
        <v>0.99493120000000002</v>
      </c>
      <c r="Q3438">
        <v>1.5977930000000001E-2</v>
      </c>
      <c r="R3438">
        <v>-9.9282060000000005E-2</v>
      </c>
      <c r="S3438">
        <v>3.005493</v>
      </c>
      <c r="T3438">
        <v>-0.21439820000000001</v>
      </c>
      <c r="U3438">
        <v>-0.13749690000000001</v>
      </c>
      <c r="V3438">
        <v>-4.4134100000000002E-2</v>
      </c>
      <c r="W3438">
        <v>2.8124739999999999E-2</v>
      </c>
      <c r="X3438">
        <v>0.99862960000000001</v>
      </c>
      <c r="Y3438">
        <v>-9.7073389999999996E-2</v>
      </c>
      <c r="Z3438">
        <v>1.3608490000000001E-2</v>
      </c>
      <c r="AA3438">
        <v>0.99518419999999996</v>
      </c>
      <c r="AB3438">
        <v>22</v>
      </c>
      <c r="AC3438">
        <v>15.3582</v>
      </c>
      <c r="AD3438">
        <v>-1.110940608196</v>
      </c>
      <c r="AE3438">
        <v>-0.68280000000001395</v>
      </c>
      <c r="AF3438">
        <v>-1.51345810898705</v>
      </c>
      <c r="AG3438">
        <v>-1.110940608196</v>
      </c>
      <c r="AH3438">
        <v>15.2184358890845</v>
      </c>
      <c r="AI3438">
        <v>94.154743803764404</v>
      </c>
      <c r="AJ3438">
        <v>95.679333580897193</v>
      </c>
      <c r="AK3438">
        <v>15.33380368313</v>
      </c>
      <c r="AL3438">
        <v>88.388358499737706</v>
      </c>
      <c r="AM3438">
        <v>92.530521091265399</v>
      </c>
      <c r="AN3438">
        <v>0.99999994888951704</v>
      </c>
    </row>
    <row r="3439" spans="1:40" x14ac:dyDescent="0.25">
      <c r="A3439" t="str">
        <f>"20190312160359908"</f>
        <v>20190312160359908</v>
      </c>
      <c r="B3439" t="str">
        <f>"1552377839898404"</f>
        <v>1552377839898404</v>
      </c>
      <c r="C3439" t="s">
        <v>40</v>
      </c>
      <c r="D3439">
        <v>5.627561</v>
      </c>
      <c r="E3439">
        <v>0.47888760000000002</v>
      </c>
      <c r="F3439" t="s">
        <v>79</v>
      </c>
      <c r="G3439">
        <v>-429.67259999999999</v>
      </c>
      <c r="H3439" s="1">
        <v>2.434961E-6</v>
      </c>
      <c r="I3439">
        <v>212.48740000000001</v>
      </c>
      <c r="J3439">
        <v>-445.00130000000001</v>
      </c>
      <c r="K3439">
        <v>1.110935</v>
      </c>
      <c r="L3439">
        <v>213.12209999999999</v>
      </c>
      <c r="M3439">
        <v>0.98996589999999995</v>
      </c>
      <c r="N3439">
        <v>0</v>
      </c>
      <c r="O3439">
        <v>-0.14077390000000001</v>
      </c>
      <c r="P3439">
        <v>0.99525370000000002</v>
      </c>
      <c r="Q3439">
        <v>1.6154559999999998E-2</v>
      </c>
      <c r="R3439">
        <v>-9.5963670000000001E-2</v>
      </c>
      <c r="S3439">
        <v>3.0057070000000001</v>
      </c>
      <c r="T3439">
        <v>-0.21323600000000001</v>
      </c>
      <c r="U3439">
        <v>-0.13044739999999999</v>
      </c>
      <c r="V3439">
        <v>-4.5168590000000002E-2</v>
      </c>
      <c r="W3439">
        <v>2.8302529999999999E-2</v>
      </c>
      <c r="X3439">
        <v>0.99857839999999998</v>
      </c>
      <c r="Y3439">
        <v>-9.7130659999999994E-2</v>
      </c>
      <c r="Z3439">
        <v>1.3377460000000001E-2</v>
      </c>
      <c r="AA3439">
        <v>0.99518169999999995</v>
      </c>
      <c r="AB3439">
        <v>22</v>
      </c>
      <c r="AC3439">
        <v>15.3287</v>
      </c>
      <c r="AD3439">
        <v>-1.1109325650390001</v>
      </c>
      <c r="AE3439">
        <v>-0.63469999999998095</v>
      </c>
      <c r="AF3439">
        <v>-1.5216854769323001</v>
      </c>
      <c r="AG3439">
        <v>-1.1109325650390001</v>
      </c>
      <c r="AH3439">
        <v>15.1857597117646</v>
      </c>
      <c r="AI3439">
        <v>94.163312462306394</v>
      </c>
      <c r="AJ3439">
        <v>95.722208888383705</v>
      </c>
      <c r="AK3439">
        <v>15.3021892511569</v>
      </c>
      <c r="AL3439">
        <v>88.378167953894405</v>
      </c>
      <c r="AM3439">
        <v>92.589888514788797</v>
      </c>
      <c r="AN3439">
        <v>1.00000002783677</v>
      </c>
    </row>
    <row r="3440" spans="1:40" x14ac:dyDescent="0.25">
      <c r="A3440" t="str">
        <f>"20190312160359930"</f>
        <v>20190312160359930</v>
      </c>
      <c r="B3440" t="str">
        <f>"1552377839917925"</f>
        <v>1552377839917925</v>
      </c>
      <c r="C3440" t="s">
        <v>40</v>
      </c>
      <c r="D3440">
        <v>5.7274649999999996</v>
      </c>
      <c r="E3440">
        <v>0.47890729999999998</v>
      </c>
      <c r="F3440" t="s">
        <v>79</v>
      </c>
      <c r="G3440">
        <v>-429.34829999999999</v>
      </c>
      <c r="H3440" s="1">
        <v>2.49186E-6</v>
      </c>
      <c r="I3440">
        <v>212.49449999999999</v>
      </c>
      <c r="J3440">
        <v>-444.78590000000003</v>
      </c>
      <c r="K3440">
        <v>1.1109249999999999</v>
      </c>
      <c r="L3440">
        <v>213.0932</v>
      </c>
      <c r="M3440">
        <v>0.99017440000000001</v>
      </c>
      <c r="N3440">
        <v>0</v>
      </c>
      <c r="O3440">
        <v>-0.13930000000000001</v>
      </c>
      <c r="P3440">
        <v>0.9953573</v>
      </c>
      <c r="Q3440">
        <v>1.6194730000000001E-2</v>
      </c>
      <c r="R3440">
        <v>-9.4878320000000002E-2</v>
      </c>
      <c r="S3440">
        <v>3.0061650000000002</v>
      </c>
      <c r="T3440">
        <v>-0.21335460000000001</v>
      </c>
      <c r="U3440">
        <v>-0.1205292</v>
      </c>
      <c r="V3440">
        <v>-4.4769980000000001E-2</v>
      </c>
      <c r="W3440">
        <v>2.8346860000000002E-2</v>
      </c>
      <c r="X3440">
        <v>0.99859509999999996</v>
      </c>
      <c r="Y3440">
        <v>-9.8931740000000004E-2</v>
      </c>
      <c r="Z3440">
        <v>1.334465E-2</v>
      </c>
      <c r="AA3440">
        <v>0.99500469999999996</v>
      </c>
      <c r="AB3440">
        <v>22</v>
      </c>
      <c r="AC3440">
        <v>15.4376</v>
      </c>
      <c r="AD3440">
        <v>-1.11092250814</v>
      </c>
      <c r="AE3440">
        <v>-0.598700000000007</v>
      </c>
      <c r="AF3440">
        <v>-1.5497438636346801</v>
      </c>
      <c r="AG3440">
        <v>-1.11092250814</v>
      </c>
      <c r="AH3440">
        <v>15.2914010191506</v>
      </c>
      <c r="AI3440">
        <v>94.134143175362496</v>
      </c>
      <c r="AJ3440">
        <v>95.787019344780703</v>
      </c>
      <c r="AK3440">
        <v>15.409828032474801</v>
      </c>
      <c r="AL3440">
        <v>88.375627023661295</v>
      </c>
      <c r="AM3440">
        <v>92.567020746747005</v>
      </c>
      <c r="AN3440">
        <v>1.00000003466253</v>
      </c>
    </row>
    <row r="3441" spans="1:40" x14ac:dyDescent="0.25">
      <c r="A3441" t="str">
        <f>"20190312160359954"</f>
        <v>20190312160359954</v>
      </c>
      <c r="B3441" t="str">
        <f>"1552377839948181"</f>
        <v>1552377839948181</v>
      </c>
      <c r="C3441" t="s">
        <v>40</v>
      </c>
      <c r="D3441">
        <v>5.7380120000000003</v>
      </c>
      <c r="E3441">
        <v>0.4789948</v>
      </c>
      <c r="F3441" t="s">
        <v>79</v>
      </c>
      <c r="G3441">
        <v>-428.92250000000001</v>
      </c>
      <c r="H3441" s="1">
        <v>2.5691500000000002E-6</v>
      </c>
      <c r="I3441">
        <v>212.4744</v>
      </c>
      <c r="J3441">
        <v>-444.5684</v>
      </c>
      <c r="K3441">
        <v>1.11091299999999</v>
      </c>
      <c r="L3441">
        <v>213.06450000000001</v>
      </c>
      <c r="M3441">
        <v>0.99038170000000003</v>
      </c>
      <c r="N3441">
        <v>0</v>
      </c>
      <c r="O3441">
        <v>-0.13781789999999999</v>
      </c>
      <c r="P3441">
        <v>0.9954305</v>
      </c>
      <c r="Q3441">
        <v>1.6305610000000002E-2</v>
      </c>
      <c r="R3441">
        <v>-9.4088809999999995E-2</v>
      </c>
      <c r="S3441">
        <v>3.006256</v>
      </c>
      <c r="T3441">
        <v>-0.2105291</v>
      </c>
      <c r="U3441">
        <v>-0.1172791</v>
      </c>
      <c r="V3441">
        <v>-4.406653E-2</v>
      </c>
      <c r="W3441">
        <v>2.8462210000000002E-2</v>
      </c>
      <c r="X3441">
        <v>0.99862309999999999</v>
      </c>
      <c r="Y3441">
        <v>-9.8537929999999996E-2</v>
      </c>
      <c r="Z3441">
        <v>1.305191E-2</v>
      </c>
      <c r="AA3441">
        <v>0.99504769999999998</v>
      </c>
      <c r="AB3441">
        <v>22</v>
      </c>
      <c r="AC3441">
        <v>15.6458999999999</v>
      </c>
      <c r="AD3441">
        <v>-1.11091043084999</v>
      </c>
      <c r="AE3441">
        <v>-0.59010000000000595</v>
      </c>
      <c r="AF3441">
        <v>-1.56410480779601</v>
      </c>
      <c r="AG3441">
        <v>-1.11091043084999</v>
      </c>
      <c r="AH3441">
        <v>15.499879080666201</v>
      </c>
      <c r="AI3441">
        <v>94.078860126346996</v>
      </c>
      <c r="AJ3441">
        <v>95.762255349796405</v>
      </c>
      <c r="AK3441">
        <v>15.618156016329699</v>
      </c>
      <c r="AL3441">
        <v>88.369015274076602</v>
      </c>
      <c r="AM3441">
        <v>92.526668272979194</v>
      </c>
      <c r="AN3441">
        <v>1.0000000261589601</v>
      </c>
    </row>
    <row r="3442" spans="1:40" x14ac:dyDescent="0.25">
      <c r="A3442" t="str">
        <f>"20190312160359974"</f>
        <v>20190312160359974</v>
      </c>
      <c r="B3442" t="str">
        <f>"1552377839967700"</f>
        <v>1552377839967700</v>
      </c>
      <c r="C3442" t="s">
        <v>40</v>
      </c>
      <c r="D3442">
        <v>5.6221069999999997</v>
      </c>
      <c r="E3442">
        <v>0.47906169999999998</v>
      </c>
      <c r="F3442" t="s">
        <v>79</v>
      </c>
      <c r="G3442">
        <v>-428.38229999999999</v>
      </c>
      <c r="H3442" s="1">
        <v>2.6677759999999999E-6</v>
      </c>
      <c r="I3442">
        <v>212.44229999999999</v>
      </c>
      <c r="J3442">
        <v>-444.37439999999998</v>
      </c>
      <c r="K3442">
        <v>1.11091299999999</v>
      </c>
      <c r="L3442">
        <v>213.03899999999999</v>
      </c>
      <c r="M3442">
        <v>0.99056420000000001</v>
      </c>
      <c r="N3442">
        <v>0</v>
      </c>
      <c r="O3442">
        <v>-0.13650029999999999</v>
      </c>
      <c r="P3442">
        <v>0.99545229999999996</v>
      </c>
      <c r="Q3442">
        <v>1.6492880000000001E-2</v>
      </c>
      <c r="R3442">
        <v>-9.3825160000000005E-2</v>
      </c>
      <c r="S3442">
        <v>3.006195</v>
      </c>
      <c r="T3442">
        <v>-0.20632610000000001</v>
      </c>
      <c r="U3442">
        <v>-0.1155548</v>
      </c>
      <c r="V3442">
        <v>-4.3001999999999999E-2</v>
      </c>
      <c r="W3442">
        <v>2.8654289999999999E-2</v>
      </c>
      <c r="X3442">
        <v>0.998664</v>
      </c>
      <c r="Y3442">
        <v>-9.78107E-2</v>
      </c>
      <c r="Z3442">
        <v>1.267801E-2</v>
      </c>
      <c r="AA3442">
        <v>0.99512429999999996</v>
      </c>
      <c r="AB3442">
        <v>22</v>
      </c>
      <c r="AC3442">
        <v>15.992099999999899</v>
      </c>
      <c r="AD3442">
        <v>-1.1109103322239899</v>
      </c>
      <c r="AE3442">
        <v>-0.59670000000002599</v>
      </c>
      <c r="AF3442">
        <v>-1.5843416837961699</v>
      </c>
      <c r="AG3442">
        <v>-1.1109103322239899</v>
      </c>
      <c r="AH3442">
        <v>15.8474811364541</v>
      </c>
      <c r="AI3442">
        <v>93.990055648810497</v>
      </c>
      <c r="AJ3442">
        <v>95.709138255689894</v>
      </c>
      <c r="AK3442">
        <v>15.9651783174359</v>
      </c>
      <c r="AL3442">
        <v>88.358005388185006</v>
      </c>
      <c r="AM3442">
        <v>92.465606102346698</v>
      </c>
      <c r="AN3442">
        <v>1.0000000126177</v>
      </c>
    </row>
    <row r="3443" spans="1:40" x14ac:dyDescent="0.25">
      <c r="A3443" t="str">
        <f>"20190312160359996"</f>
        <v>20190312160359996</v>
      </c>
      <c r="B3443" t="str">
        <f>"1552377839987727"</f>
        <v>1552377839987727</v>
      </c>
      <c r="C3443" t="s">
        <v>40</v>
      </c>
      <c r="D3443">
        <v>5.6001659999999998</v>
      </c>
      <c r="E3443">
        <v>0.47914689999999999</v>
      </c>
      <c r="F3443" t="s">
        <v>79</v>
      </c>
      <c r="G3443">
        <v>-427.959</v>
      </c>
      <c r="H3443" s="1">
        <v>2.745715E-6</v>
      </c>
      <c r="I3443">
        <v>212.40969999999999</v>
      </c>
      <c r="J3443">
        <v>-444.15219999999999</v>
      </c>
      <c r="K3443">
        <v>1.110911</v>
      </c>
      <c r="L3443">
        <v>213.0102</v>
      </c>
      <c r="M3443">
        <v>0.9907705</v>
      </c>
      <c r="N3443">
        <v>0</v>
      </c>
      <c r="O3443">
        <v>-0.13499510000000001</v>
      </c>
      <c r="P3443">
        <v>0.99549880000000002</v>
      </c>
      <c r="Q3443">
        <v>1.7034029999999999E-2</v>
      </c>
      <c r="R3443">
        <v>-9.3232280000000001E-2</v>
      </c>
      <c r="S3443">
        <v>3.0062259999999998</v>
      </c>
      <c r="T3443">
        <v>-0.2034464</v>
      </c>
      <c r="U3443">
        <v>-0.1152649</v>
      </c>
      <c r="V3443">
        <v>-4.2078450000000003E-2</v>
      </c>
      <c r="W3443">
        <v>2.9200520000000001E-2</v>
      </c>
      <c r="X3443">
        <v>0.99868749999999995</v>
      </c>
      <c r="Y3443">
        <v>-9.6416500000000002E-2</v>
      </c>
      <c r="Z3443">
        <v>1.23534E-2</v>
      </c>
      <c r="AA3443">
        <v>0.99526440000000005</v>
      </c>
      <c r="AB3443">
        <v>22</v>
      </c>
      <c r="AC3443">
        <v>16.193199999999901</v>
      </c>
      <c r="AD3443">
        <v>-1.110908254285</v>
      </c>
      <c r="AE3443">
        <v>-0.60050000000001003</v>
      </c>
      <c r="AF3443">
        <v>-1.58372099467577</v>
      </c>
      <c r="AG3443">
        <v>-1.110908254285</v>
      </c>
      <c r="AH3443">
        <v>16.0505829333332</v>
      </c>
      <c r="AI3443">
        <v>93.940222326490797</v>
      </c>
      <c r="AJ3443">
        <v>95.635169616943003</v>
      </c>
      <c r="AK3443">
        <v>16.166740606511301</v>
      </c>
      <c r="AL3443">
        <v>88.326695581533698</v>
      </c>
      <c r="AM3443">
        <v>92.412659063316198</v>
      </c>
      <c r="AN3443">
        <v>0.99999999448946097</v>
      </c>
    </row>
    <row r="3444" spans="1:40" x14ac:dyDescent="0.25">
      <c r="A3444" t="str">
        <f>"20190312160400019"</f>
        <v>20190312160400019</v>
      </c>
      <c r="B3444" t="str">
        <f>"1552377840008223"</f>
        <v>1552377840008223</v>
      </c>
      <c r="C3444" t="s">
        <v>40</v>
      </c>
      <c r="D3444">
        <v>5.5513859999999999</v>
      </c>
      <c r="E3444">
        <v>0.47933949999999997</v>
      </c>
      <c r="F3444" t="s">
        <v>79</v>
      </c>
      <c r="G3444">
        <v>-427.52</v>
      </c>
      <c r="H3444" s="1">
        <v>2.8263290000000001E-6</v>
      </c>
      <c r="I3444">
        <v>212.3783</v>
      </c>
      <c r="J3444">
        <v>-443.93619999999999</v>
      </c>
      <c r="K3444">
        <v>1.1109070000000001</v>
      </c>
      <c r="L3444">
        <v>212.98259999999999</v>
      </c>
      <c r="M3444">
        <v>0.99096830000000002</v>
      </c>
      <c r="N3444">
        <v>0</v>
      </c>
      <c r="O3444">
        <v>-0.1335334</v>
      </c>
      <c r="P3444">
        <v>0.99555389999999999</v>
      </c>
      <c r="Q3444">
        <v>1.7146870000000002E-2</v>
      </c>
      <c r="R3444">
        <v>-9.2619960000000001E-2</v>
      </c>
      <c r="S3444">
        <v>3.0063170000000001</v>
      </c>
      <c r="T3444">
        <v>-0.20080049999999999</v>
      </c>
      <c r="U3444">
        <v>-0.1142273</v>
      </c>
      <c r="V3444">
        <v>-4.1219199999999998E-2</v>
      </c>
      <c r="W3444">
        <v>2.9318730000000001E-2</v>
      </c>
      <c r="X3444">
        <v>0.99871989999999999</v>
      </c>
      <c r="Y3444">
        <v>-9.5311720000000003E-2</v>
      </c>
      <c r="Z3444">
        <v>1.205932E-2</v>
      </c>
      <c r="AA3444">
        <v>0.99537439999999999</v>
      </c>
      <c r="AB3444">
        <v>22</v>
      </c>
      <c r="AC3444">
        <v>16.4162</v>
      </c>
      <c r="AD3444">
        <v>-1.1109041736709999</v>
      </c>
      <c r="AE3444">
        <v>-0.60429999999999495</v>
      </c>
      <c r="AF3444">
        <v>-1.58613518416411</v>
      </c>
      <c r="AG3444">
        <v>-1.1109041736709999</v>
      </c>
      <c r="AH3444">
        <v>16.275428987962201</v>
      </c>
      <c r="AI3444">
        <v>93.8863987567875</v>
      </c>
      <c r="AJ3444">
        <v>95.566229249783404</v>
      </c>
      <c r="AK3444">
        <v>16.390226406237499</v>
      </c>
      <c r="AL3444">
        <v>88.319919796754604</v>
      </c>
      <c r="AM3444">
        <v>92.363371965992599</v>
      </c>
      <c r="AN3444">
        <v>1.00000002451673</v>
      </c>
    </row>
    <row r="3445" spans="1:40" x14ac:dyDescent="0.25">
      <c r="A3445" t="str">
        <f>"20190312160400063"</f>
        <v>20190312160400063</v>
      </c>
      <c r="B3445" t="str">
        <f>"1552377840058000"</f>
        <v>1552377840058000</v>
      </c>
      <c r="C3445" t="s">
        <v>40</v>
      </c>
      <c r="D3445">
        <v>5.6791839999999896</v>
      </c>
      <c r="E3445">
        <v>0.47938359999999902</v>
      </c>
      <c r="F3445" t="s">
        <v>79</v>
      </c>
      <c r="G3445">
        <v>-427.24720000000002</v>
      </c>
      <c r="H3445" s="1">
        <v>2.8771240000000002E-6</v>
      </c>
      <c r="I3445">
        <v>212.3509</v>
      </c>
      <c r="J3445">
        <v>-443.5154</v>
      </c>
      <c r="K3445">
        <v>1.1109059999999999</v>
      </c>
      <c r="L3445">
        <v>212.92959999999999</v>
      </c>
      <c r="M3445">
        <v>0.99134809999999995</v>
      </c>
      <c r="N3445">
        <v>0</v>
      </c>
      <c r="O3445">
        <v>-0.13068399999999999</v>
      </c>
      <c r="P3445">
        <v>0.99571869999999996</v>
      </c>
      <c r="Q3445">
        <v>1.6718839999999999E-2</v>
      </c>
      <c r="R3445">
        <v>-9.0910400000000002E-2</v>
      </c>
      <c r="S3445">
        <v>3.006256</v>
      </c>
      <c r="T3445">
        <v>-0.20011129999999999</v>
      </c>
      <c r="U3445">
        <v>-0.11378480000000001</v>
      </c>
      <c r="V3445">
        <v>-4.0062430000000003E-2</v>
      </c>
      <c r="W3445">
        <v>2.8899290000000001E-2</v>
      </c>
      <c r="X3445">
        <v>0.99877919999999998</v>
      </c>
      <c r="Y3445">
        <v>-9.2610899999999996E-2</v>
      </c>
      <c r="Z3445">
        <v>1.174064E-2</v>
      </c>
      <c r="AA3445">
        <v>0.99563310000000005</v>
      </c>
      <c r="AB3445">
        <v>22</v>
      </c>
      <c r="AC3445">
        <v>16.268199999999901</v>
      </c>
      <c r="AD3445">
        <v>-1.110903122876</v>
      </c>
      <c r="AE3445">
        <v>-0.57869999999999699</v>
      </c>
      <c r="AF3445">
        <v>-1.5452208428537599</v>
      </c>
      <c r="AG3445">
        <v>-1.110903122876</v>
      </c>
      <c r="AH3445">
        <v>16.129179828327199</v>
      </c>
      <c r="AI3445">
        <v>93.9221436913232</v>
      </c>
      <c r="AJ3445">
        <v>95.472395577717094</v>
      </c>
      <c r="AK3445">
        <v>16.241066933429099</v>
      </c>
      <c r="AL3445">
        <v>88.343962133312104</v>
      </c>
      <c r="AM3445">
        <v>92.296982453301098</v>
      </c>
      <c r="AN3445">
        <v>1.00000002880632</v>
      </c>
    </row>
    <row r="3446" spans="1:40" x14ac:dyDescent="0.25">
      <c r="A3446" t="str">
        <f>"20190312160400085"</f>
        <v>20190312160400085</v>
      </c>
      <c r="B3446" t="str">
        <f>"1552377840077984"</f>
        <v>1552377840077984</v>
      </c>
      <c r="C3446" t="s">
        <v>40</v>
      </c>
      <c r="D3446">
        <v>5.6957509999999996</v>
      </c>
      <c r="E3446">
        <v>0.51791469999999995</v>
      </c>
      <c r="F3446" t="s">
        <v>79</v>
      </c>
      <c r="G3446">
        <v>-426.85820000000001</v>
      </c>
      <c r="H3446" s="1">
        <v>2.9482480000000001E-6</v>
      </c>
      <c r="I3446">
        <v>212.32660000000001</v>
      </c>
      <c r="J3446">
        <v>-443.30380000000002</v>
      </c>
      <c r="K3446">
        <v>1.1109009999999999</v>
      </c>
      <c r="L3446">
        <v>212.9034</v>
      </c>
      <c r="M3446">
        <v>0.99153610000000003</v>
      </c>
      <c r="N3446">
        <v>0</v>
      </c>
      <c r="O3446">
        <v>-0.12924949999999999</v>
      </c>
      <c r="P3446">
        <v>0.99578250000000001</v>
      </c>
      <c r="Q3446">
        <v>1.6936799999999998E-2</v>
      </c>
      <c r="R3446">
        <v>-9.0168449999999997E-2</v>
      </c>
      <c r="S3446">
        <v>3.0062869999999999</v>
      </c>
      <c r="T3446">
        <v>-0.20049520000000001</v>
      </c>
      <c r="U3446">
        <v>-0.1088257</v>
      </c>
      <c r="V3446">
        <v>-3.9361119999999999E-2</v>
      </c>
      <c r="W3446">
        <v>2.9121870000000001E-2</v>
      </c>
      <c r="X3446">
        <v>0.99880060000000004</v>
      </c>
      <c r="Y3446">
        <v>-9.2811610000000003E-2</v>
      </c>
      <c r="Z3446">
        <v>1.167546E-2</v>
      </c>
      <c r="AA3446">
        <v>0.99561520000000003</v>
      </c>
      <c r="AB3446">
        <v>22</v>
      </c>
      <c r="AC3446">
        <v>16.445599999999999</v>
      </c>
      <c r="AD3446">
        <v>-1.110898051752</v>
      </c>
      <c r="AE3446">
        <v>-0.57679999999999099</v>
      </c>
      <c r="AF3446">
        <v>-1.54673560061096</v>
      </c>
      <c r="AG3446">
        <v>-1.110898051752</v>
      </c>
      <c r="AH3446">
        <v>16.307870749367499</v>
      </c>
      <c r="AI3446">
        <v>93.879631305383796</v>
      </c>
      <c r="AJ3446">
        <v>95.418065275106798</v>
      </c>
      <c r="AK3446">
        <v>16.4186824647308</v>
      </c>
      <c r="AL3446">
        <v>88.331203837461004</v>
      </c>
      <c r="AM3446">
        <v>92.256766434148005</v>
      </c>
      <c r="AN3446">
        <v>1.00000000982015</v>
      </c>
    </row>
    <row r="3447" spans="1:40" x14ac:dyDescent="0.25">
      <c r="A3447" t="str">
        <f>"20190312160400110"</f>
        <v>20190312160400110</v>
      </c>
      <c r="B3447" t="str">
        <f>"1552377840098480"</f>
        <v>1552377840098480</v>
      </c>
      <c r="C3447" t="s">
        <v>40</v>
      </c>
      <c r="D3447">
        <v>5.7938999999999998</v>
      </c>
      <c r="E3447">
        <v>0.52192150000000004</v>
      </c>
      <c r="F3447" t="s">
        <v>68</v>
      </c>
      <c r="G3447">
        <v>-343.40589999999997</v>
      </c>
      <c r="H3447">
        <v>0.64642759999999999</v>
      </c>
      <c r="I3447">
        <v>199.04349999999999</v>
      </c>
      <c r="J3447">
        <v>-443.08330000000001</v>
      </c>
      <c r="K3447">
        <v>1.110903</v>
      </c>
      <c r="L3447">
        <v>212.87649999999999</v>
      </c>
      <c r="M3447">
        <v>0.99173009999999995</v>
      </c>
      <c r="N3447">
        <v>0</v>
      </c>
      <c r="O3447">
        <v>-0.12775329999999999</v>
      </c>
      <c r="P3447">
        <v>0.99582969999999904</v>
      </c>
      <c r="Q3447">
        <v>1.7408779999999999E-2</v>
      </c>
      <c r="R3447">
        <v>-8.955515E-2</v>
      </c>
      <c r="S3447">
        <v>2.9755250000000002</v>
      </c>
      <c r="T3447">
        <v>-1.3834239999999999E-2</v>
      </c>
      <c r="U3447">
        <v>-0.41282649999999999</v>
      </c>
      <c r="V3447">
        <v>-3.8468519999999999E-2</v>
      </c>
      <c r="W3447">
        <v>2.9599460000000001E-2</v>
      </c>
      <c r="X3447">
        <v>0.99882130000000002</v>
      </c>
      <c r="Y3447">
        <v>9.7486710000000004E-3</v>
      </c>
      <c r="Z3447">
        <v>5.66111E-4</v>
      </c>
      <c r="AA3447">
        <v>0.99995230000000002</v>
      </c>
      <c r="AB3447">
        <v>22</v>
      </c>
      <c r="AC3447">
        <v>99.677400000000006</v>
      </c>
      <c r="AD3447">
        <v>-0.46447539999999998</v>
      </c>
      <c r="AE3447">
        <v>-13.832999999999901</v>
      </c>
      <c r="AF3447">
        <v>0.98453880636490398</v>
      </c>
      <c r="AG3447">
        <v>-0.46447539999999998</v>
      </c>
      <c r="AH3447">
        <v>100.625718293544</v>
      </c>
      <c r="AI3447">
        <v>90.264455428198801</v>
      </c>
      <c r="AJ3447">
        <v>89.439426427035102</v>
      </c>
      <c r="AK3447">
        <v>100.631606546602</v>
      </c>
      <c r="AL3447">
        <v>88.303828080165999</v>
      </c>
      <c r="AM3447">
        <v>92.205594755028301</v>
      </c>
      <c r="AN3447">
        <v>0.99999997219848502</v>
      </c>
    </row>
    <row r="3448" spans="1:40" x14ac:dyDescent="0.25">
      <c r="A3448" t="str">
        <f>"20190312160400131"</f>
        <v>20190312160400131</v>
      </c>
      <c r="B3448" t="str">
        <f>"1552377840127761"</f>
        <v>1552377840127761</v>
      </c>
      <c r="C3448" t="s">
        <v>40</v>
      </c>
      <c r="D3448">
        <v>5.7538589999999896</v>
      </c>
      <c r="E3448">
        <v>0.54810609999999904</v>
      </c>
      <c r="F3448" t="s">
        <v>68</v>
      </c>
      <c r="G3448">
        <v>-349.27870000000001</v>
      </c>
      <c r="H3448">
        <v>0.83365109999999998</v>
      </c>
      <c r="I3448">
        <v>198.91149999999999</v>
      </c>
      <c r="J3448">
        <v>-442.87369999999999</v>
      </c>
      <c r="K3448">
        <v>1.110905</v>
      </c>
      <c r="L3448">
        <v>212.85120000000001</v>
      </c>
      <c r="M3448">
        <v>0.99191240000000003</v>
      </c>
      <c r="N3448">
        <v>0</v>
      </c>
      <c r="O3448">
        <v>-0.12632969999999999</v>
      </c>
      <c r="P3448">
        <v>0.99585520000000005</v>
      </c>
      <c r="Q3448">
        <v>1.7435590000000001E-2</v>
      </c>
      <c r="R3448">
        <v>-8.926829E-2</v>
      </c>
      <c r="S3448">
        <v>2.9728699999999999</v>
      </c>
      <c r="T3448">
        <v>-8.7863209999999997E-3</v>
      </c>
      <c r="U3448">
        <v>-0.44258120000000001</v>
      </c>
      <c r="V3448">
        <v>-3.7322540000000001E-2</v>
      </c>
      <c r="W3448">
        <v>2.9632349999999998E-2</v>
      </c>
      <c r="X3448">
        <v>0.99886379999999997</v>
      </c>
      <c r="Y3448">
        <v>2.110909E-2</v>
      </c>
      <c r="Z3448">
        <v>3.3871449999999897E-4</v>
      </c>
      <c r="AA3448">
        <v>0.99977709999999997</v>
      </c>
      <c r="AB3448">
        <v>22</v>
      </c>
      <c r="AC3448">
        <v>93.594999999999899</v>
      </c>
      <c r="AD3448">
        <v>-0.277253899999999</v>
      </c>
      <c r="AE3448">
        <v>-13.9397</v>
      </c>
      <c r="AF3448">
        <v>2.0032666640436099</v>
      </c>
      <c r="AG3448">
        <v>-0.277253899999999</v>
      </c>
      <c r="AH3448">
        <v>94.605351044707007</v>
      </c>
      <c r="AI3448">
        <v>90.167874993681394</v>
      </c>
      <c r="AJ3448">
        <v>88.786944146273797</v>
      </c>
      <c r="AK3448">
        <v>94.626964409435601</v>
      </c>
      <c r="AL3448">
        <v>88.301942790459407</v>
      </c>
      <c r="AM3448">
        <v>92.139860983820498</v>
      </c>
      <c r="AN3448">
        <v>0.99999996955450599</v>
      </c>
    </row>
    <row r="3449" spans="1:40" x14ac:dyDescent="0.25">
      <c r="A3449" t="str">
        <f>"20190312160400153"</f>
        <v>20190312160400153</v>
      </c>
      <c r="B3449" t="str">
        <f>"1552377840148256"</f>
        <v>1552377840148256</v>
      </c>
      <c r="C3449" t="s">
        <v>40</v>
      </c>
      <c r="D3449">
        <v>5.6670069999999999</v>
      </c>
      <c r="E3449">
        <v>0.54628409999999905</v>
      </c>
      <c r="F3449" t="s">
        <v>44</v>
      </c>
      <c r="G3449">
        <v>-409.05759999999998</v>
      </c>
      <c r="H3449">
        <v>0.1020972</v>
      </c>
      <c r="I3449">
        <v>205.42089999999999</v>
      </c>
      <c r="J3449">
        <v>-442.6653</v>
      </c>
      <c r="K3449">
        <v>1.1109009999999999</v>
      </c>
      <c r="L3449">
        <v>212.8263</v>
      </c>
      <c r="M3449">
        <v>0.99209150000000002</v>
      </c>
      <c r="N3449">
        <v>0</v>
      </c>
      <c r="O3449">
        <v>-0.12491389999999999</v>
      </c>
      <c r="P3449">
        <v>0.9958823</v>
      </c>
      <c r="Q3449">
        <v>1.7421510000000001E-2</v>
      </c>
      <c r="R3449">
        <v>-8.8964810000000005E-2</v>
      </c>
      <c r="S3449">
        <v>2.9557799999999999</v>
      </c>
      <c r="T3449">
        <v>-8.8177320000000003E-2</v>
      </c>
      <c r="U3449">
        <v>-0.64945980000000003</v>
      </c>
      <c r="V3449">
        <v>-3.620085E-2</v>
      </c>
      <c r="W3449">
        <v>2.9624250000000001E-2</v>
      </c>
      <c r="X3449">
        <v>0.99890540000000005</v>
      </c>
      <c r="Y3449">
        <v>9.0926220000000002E-2</v>
      </c>
      <c r="Z3449">
        <v>2.3223889999999998E-3</v>
      </c>
      <c r="AA3449">
        <v>0.99585489999999999</v>
      </c>
      <c r="AB3449">
        <v>22</v>
      </c>
      <c r="AC3449">
        <v>33.607700000000001</v>
      </c>
      <c r="AD3449">
        <v>-1.0088037999999999</v>
      </c>
      <c r="AE3449">
        <v>-7.40540000000001</v>
      </c>
      <c r="AF3449">
        <v>3.1462996153688798</v>
      </c>
      <c r="AG3449">
        <v>-1.0088037999999999</v>
      </c>
      <c r="AH3449">
        <v>34.240115324824302</v>
      </c>
      <c r="AI3449">
        <v>91.680520224598695</v>
      </c>
      <c r="AJ3449">
        <v>84.749875549697094</v>
      </c>
      <c r="AK3449">
        <v>34.399162545530601</v>
      </c>
      <c r="AL3449">
        <v>88.3024072232257</v>
      </c>
      <c r="AM3449">
        <v>92.075520451045193</v>
      </c>
      <c r="AN3449">
        <v>1.0000000479389699</v>
      </c>
    </row>
    <row r="3450" spans="1:40" x14ac:dyDescent="0.25">
      <c r="A3450" t="str">
        <f>"20190312160400175"</f>
        <v>20190312160400175</v>
      </c>
      <c r="B3450" t="str">
        <f>"1552377840167776"</f>
        <v>1552377840167776</v>
      </c>
      <c r="C3450" t="s">
        <v>40</v>
      </c>
      <c r="D3450">
        <v>5.7121789999999999</v>
      </c>
      <c r="E3450">
        <v>0.54618909999999998</v>
      </c>
      <c r="F3450" t="s">
        <v>44</v>
      </c>
      <c r="G3450">
        <v>-409.05759999999998</v>
      </c>
      <c r="H3450">
        <v>9.3864199999999995E-2</v>
      </c>
      <c r="I3450">
        <v>205.61930000000001</v>
      </c>
      <c r="J3450">
        <v>-442.45620000000002</v>
      </c>
      <c r="K3450">
        <v>1.110897</v>
      </c>
      <c r="L3450">
        <v>212.80170000000001</v>
      </c>
      <c r="M3450">
        <v>0.99226950000000003</v>
      </c>
      <c r="N3450">
        <v>0</v>
      </c>
      <c r="O3450">
        <v>-0.1234936</v>
      </c>
      <c r="P3450">
        <v>0.99596010000000001</v>
      </c>
      <c r="Q3450">
        <v>1.6935970000000002E-2</v>
      </c>
      <c r="R3450">
        <v>-8.8187879999999996E-2</v>
      </c>
      <c r="S3450">
        <v>2.9573360000000002</v>
      </c>
      <c r="T3450">
        <v>-8.9494939999999995E-2</v>
      </c>
      <c r="U3450">
        <v>-0.63418580000000002</v>
      </c>
      <c r="V3450">
        <v>-3.5549740000000003E-2</v>
      </c>
      <c r="W3450">
        <v>2.9144759999999999E-2</v>
      </c>
      <c r="X3450">
        <v>0.99894289999999997</v>
      </c>
      <c r="Y3450">
        <v>8.7330699999999997E-2</v>
      </c>
      <c r="Z3450">
        <v>2.3692489999999999E-3</v>
      </c>
      <c r="AA3450">
        <v>0.99617650000000002</v>
      </c>
      <c r="AB3450">
        <v>22</v>
      </c>
      <c r="AC3450">
        <v>33.398600000000002</v>
      </c>
      <c r="AD3450">
        <v>-1.0170328</v>
      </c>
      <c r="AE3450">
        <v>-7.1824000000000003</v>
      </c>
      <c r="AF3450">
        <v>2.9999303376423598</v>
      </c>
      <c r="AG3450">
        <v>-1.0170328</v>
      </c>
      <c r="AH3450">
        <v>33.9998206649529</v>
      </c>
      <c r="AI3450">
        <v>91.706744442510399</v>
      </c>
      <c r="AJ3450">
        <v>84.957638957741196</v>
      </c>
      <c r="AK3450">
        <v>34.147060532290901</v>
      </c>
      <c r="AL3450">
        <v>88.329891862743096</v>
      </c>
      <c r="AM3450">
        <v>92.038145377919903</v>
      </c>
      <c r="AN3450">
        <v>1.00000005925496</v>
      </c>
    </row>
    <row r="3451" spans="1:40" x14ac:dyDescent="0.25">
      <c r="A3451" t="str">
        <f>"20190312160400197"</f>
        <v>20190312160400197</v>
      </c>
      <c r="B3451" t="str">
        <f>"1552377840187803"</f>
        <v>1552377840187803</v>
      </c>
      <c r="C3451" t="s">
        <v>40</v>
      </c>
      <c r="D3451">
        <v>5.5881949999999998</v>
      </c>
      <c r="E3451">
        <v>0.54526189999999997</v>
      </c>
      <c r="F3451" t="s">
        <v>79</v>
      </c>
      <c r="G3451">
        <v>-409.95479999999998</v>
      </c>
      <c r="H3451">
        <v>2.3330509999999999E-2</v>
      </c>
      <c r="I3451">
        <v>205.86750000000001</v>
      </c>
      <c r="J3451">
        <v>-442.24149999999997</v>
      </c>
      <c r="K3451">
        <v>1.110897</v>
      </c>
      <c r="L3451">
        <v>212.77670000000001</v>
      </c>
      <c r="M3451">
        <v>0.99244960000000004</v>
      </c>
      <c r="N3451">
        <v>0</v>
      </c>
      <c r="O3451">
        <v>-0.1220347</v>
      </c>
      <c r="P3451">
        <v>0.99605619999999995</v>
      </c>
      <c r="Q3451">
        <v>1.6765289999999999E-2</v>
      </c>
      <c r="R3451">
        <v>-8.7126430000000005E-2</v>
      </c>
      <c r="S3451">
        <v>2.9579770000000001</v>
      </c>
      <c r="T3451">
        <v>-9.8980310000000002E-2</v>
      </c>
      <c r="U3451">
        <v>-0.63108830000000005</v>
      </c>
      <c r="V3451">
        <v>-3.5145509999999998E-2</v>
      </c>
      <c r="W3451">
        <v>2.8979359999999999E-2</v>
      </c>
      <c r="X3451">
        <v>0.99896200000000002</v>
      </c>
      <c r="Y3451">
        <v>8.7755899999999998E-2</v>
      </c>
      <c r="Z3451">
        <v>2.5653130000000001E-3</v>
      </c>
      <c r="AA3451">
        <v>0.99613870000000004</v>
      </c>
      <c r="AB3451">
        <v>22</v>
      </c>
      <c r="AC3451">
        <v>32.286700000000003</v>
      </c>
      <c r="AD3451">
        <v>-1.0875664899999999</v>
      </c>
      <c r="AE3451">
        <v>-6.9091999999999896</v>
      </c>
      <c r="AF3451">
        <v>2.9139941536467999</v>
      </c>
      <c r="AG3451">
        <v>-1.0875664899999999</v>
      </c>
      <c r="AH3451">
        <v>32.852928670283902</v>
      </c>
      <c r="AI3451">
        <v>91.888623267687507</v>
      </c>
      <c r="AJ3451">
        <v>84.931234909299505</v>
      </c>
      <c r="AK3451">
        <v>32.999834620986</v>
      </c>
      <c r="AL3451">
        <v>88.339372563042602</v>
      </c>
      <c r="AM3451">
        <v>92.014950695571201</v>
      </c>
      <c r="AN3451">
        <v>1.0000000438115799</v>
      </c>
    </row>
    <row r="3452" spans="1:40" x14ac:dyDescent="0.25">
      <c r="A3452" t="str">
        <f>"20190312160400220"</f>
        <v>20190312160400220</v>
      </c>
      <c r="B3452" t="str">
        <f>"1552377840208299"</f>
        <v>1552377840208299</v>
      </c>
      <c r="C3452" t="s">
        <v>40</v>
      </c>
      <c r="D3452">
        <v>5.6978519999999904</v>
      </c>
      <c r="E3452">
        <v>0.54465280000000005</v>
      </c>
      <c r="F3452" t="s">
        <v>79</v>
      </c>
      <c r="G3452">
        <v>-409.94439999999997</v>
      </c>
      <c r="H3452">
        <v>2.368762E-2</v>
      </c>
      <c r="I3452">
        <v>206.00540000000001</v>
      </c>
      <c r="J3452">
        <v>-442.0299</v>
      </c>
      <c r="K3452">
        <v>1.1108979999999999</v>
      </c>
      <c r="L3452">
        <v>212.75239999999999</v>
      </c>
      <c r="M3452">
        <v>0.99262519999999999</v>
      </c>
      <c r="N3452">
        <v>0</v>
      </c>
      <c r="O3452">
        <v>-0.12059739999999999</v>
      </c>
      <c r="P3452">
        <v>0.99619250000000004</v>
      </c>
      <c r="Q3452">
        <v>1.674908E-2</v>
      </c>
      <c r="R3452">
        <v>-8.5557229999999998E-2</v>
      </c>
      <c r="S3452">
        <v>2.9592900000000002</v>
      </c>
      <c r="T3452">
        <v>-9.9617960000000005E-2</v>
      </c>
      <c r="U3452">
        <v>-0.62043760000000003</v>
      </c>
      <c r="V3452">
        <v>-3.5273180000000001E-2</v>
      </c>
      <c r="W3452">
        <v>2.8967449999999999E-2</v>
      </c>
      <c r="X3452">
        <v>0.99895780000000001</v>
      </c>
      <c r="Y3452">
        <v>8.5676879999999997E-2</v>
      </c>
      <c r="Z3452">
        <v>2.5692000000000002E-3</v>
      </c>
      <c r="AA3452">
        <v>0.99631970000000003</v>
      </c>
      <c r="AB3452">
        <v>21</v>
      </c>
      <c r="AC3452">
        <v>32.085500000000003</v>
      </c>
      <c r="AD3452">
        <v>-1.0872103799999999</v>
      </c>
      <c r="AE3452">
        <v>-6.7469999999999803</v>
      </c>
      <c r="AF3452">
        <v>2.8249223826063199</v>
      </c>
      <c r="AG3452">
        <v>-1.0872103799999999</v>
      </c>
      <c r="AH3452">
        <v>32.6291430070278</v>
      </c>
      <c r="AI3452">
        <v>91.901295157742794</v>
      </c>
      <c r="AJ3452">
        <v>85.051860834819195</v>
      </c>
      <c r="AK3452">
        <v>32.7692414659113</v>
      </c>
      <c r="AL3452">
        <v>88.340055166752506</v>
      </c>
      <c r="AM3452">
        <v>92.022272658510403</v>
      </c>
      <c r="AN3452">
        <v>0.99999999828382702</v>
      </c>
    </row>
    <row r="3453" spans="1:40" x14ac:dyDescent="0.25">
      <c r="A3453" t="str">
        <f>"20190312160400242"</f>
        <v>20190312160400242</v>
      </c>
      <c r="B3453" t="str">
        <f>"1552377840237580"</f>
        <v>1552377840237580</v>
      </c>
      <c r="C3453" t="s">
        <v>40</v>
      </c>
      <c r="D3453">
        <v>5.7286599999999996</v>
      </c>
      <c r="E3453">
        <v>0.54413279999999997</v>
      </c>
      <c r="F3453" t="s">
        <v>79</v>
      </c>
      <c r="G3453">
        <v>-409.9479</v>
      </c>
      <c r="H3453" s="1">
        <v>5.4346210000000004E-6</v>
      </c>
      <c r="I3453">
        <v>206.1378</v>
      </c>
      <c r="J3453">
        <v>-441.8211</v>
      </c>
      <c r="K3453">
        <v>1.110895</v>
      </c>
      <c r="L3453">
        <v>212.72880000000001</v>
      </c>
      <c r="M3453">
        <v>0.99279649999999997</v>
      </c>
      <c r="N3453">
        <v>0</v>
      </c>
      <c r="O3453">
        <v>-0.1191787</v>
      </c>
      <c r="P3453">
        <v>0.99627900000000003</v>
      </c>
      <c r="Q3453">
        <v>1.798255E-2</v>
      </c>
      <c r="R3453">
        <v>-8.4291169999999999E-2</v>
      </c>
      <c r="S3453">
        <v>2.9607239999999999</v>
      </c>
      <c r="T3453">
        <v>-0.10252</v>
      </c>
      <c r="U3453">
        <v>-0.61044309999999902</v>
      </c>
      <c r="V3453">
        <v>-3.5115170000000001E-2</v>
      </c>
      <c r="W3453">
        <v>3.020573E-2</v>
      </c>
      <c r="X3453">
        <v>0.99892669999999995</v>
      </c>
      <c r="Y3453">
        <v>8.3781099999999997E-2</v>
      </c>
      <c r="Z3453">
        <v>2.6282810000000001E-3</v>
      </c>
      <c r="AA3453">
        <v>0.9964807</v>
      </c>
      <c r="AB3453">
        <v>21</v>
      </c>
      <c r="AC3453">
        <v>31.873200000000001</v>
      </c>
      <c r="AD3453">
        <v>-1.1108895653790001</v>
      </c>
      <c r="AE3453">
        <v>-6.5910000000000002</v>
      </c>
      <c r="AF3453">
        <v>2.7419290090081998</v>
      </c>
      <c r="AG3453">
        <v>-1.1108895653790001</v>
      </c>
      <c r="AH3453">
        <v>32.39382872553</v>
      </c>
      <c r="AI3453">
        <v>91.957095758266107</v>
      </c>
      <c r="AJ3453">
        <v>85.161813661962697</v>
      </c>
      <c r="AK3453">
        <v>32.528639532201197</v>
      </c>
      <c r="AL3453">
        <v>88.269075885435399</v>
      </c>
      <c r="AM3453">
        <v>92.013283768964797</v>
      </c>
      <c r="AN3453">
        <v>1.00000000663092</v>
      </c>
    </row>
    <row r="3454" spans="1:40" x14ac:dyDescent="0.25">
      <c r="A3454" t="str">
        <f>"20190312160400264"</f>
        <v>20190312160400264</v>
      </c>
      <c r="B3454" t="str">
        <f>"1552377840258076"</f>
        <v>1552377840258076</v>
      </c>
      <c r="C3454" t="s">
        <v>40</v>
      </c>
      <c r="D3454">
        <v>5.9159550000000003</v>
      </c>
      <c r="E3454">
        <v>0.54394929999999997</v>
      </c>
      <c r="F3454" t="s">
        <v>79</v>
      </c>
      <c r="G3454">
        <v>-409.92680000000001</v>
      </c>
      <c r="H3454">
        <v>4.279852E-2</v>
      </c>
      <c r="I3454">
        <v>206.23910000000001</v>
      </c>
      <c r="J3454">
        <v>-441.60520000000002</v>
      </c>
      <c r="K3454">
        <v>1.1108960000000001</v>
      </c>
      <c r="L3454">
        <v>212.7046</v>
      </c>
      <c r="M3454">
        <v>0.99297159999999995</v>
      </c>
      <c r="N3454">
        <v>0</v>
      </c>
      <c r="O3454">
        <v>-0.11771189999999999</v>
      </c>
      <c r="P3454">
        <v>0.99635510000000005</v>
      </c>
      <c r="Q3454">
        <v>1.7618559999999998E-2</v>
      </c>
      <c r="R3454">
        <v>-8.3464040000000003E-2</v>
      </c>
      <c r="S3454">
        <v>2.9619450000000001</v>
      </c>
      <c r="T3454">
        <v>-9.9191310000000005E-2</v>
      </c>
      <c r="U3454">
        <v>-0.6026764</v>
      </c>
      <c r="V3454">
        <v>-3.4467739999999997E-2</v>
      </c>
      <c r="W3454">
        <v>2.9849219999999999E-2</v>
      </c>
      <c r="X3454">
        <v>0.99895999999999996</v>
      </c>
      <c r="Y3454">
        <v>8.2662689999999997E-2</v>
      </c>
      <c r="Z3454">
        <v>2.5132449999999999E-3</v>
      </c>
      <c r="AA3454">
        <v>0.99657439999999997</v>
      </c>
      <c r="AB3454">
        <v>21</v>
      </c>
      <c r="AC3454">
        <v>31.6784</v>
      </c>
      <c r="AD3454">
        <v>-1.0680974799999901</v>
      </c>
      <c r="AE3454">
        <v>-6.4654999999999898</v>
      </c>
      <c r="AF3454">
        <v>2.6884028127027699</v>
      </c>
      <c r="AG3454">
        <v>-1.0680974799999901</v>
      </c>
      <c r="AH3454">
        <v>32.184130754868796</v>
      </c>
      <c r="AI3454">
        <v>91.894190157238796</v>
      </c>
      <c r="AJ3454">
        <v>85.225057766979006</v>
      </c>
      <c r="AK3454">
        <v>32.313876498442902</v>
      </c>
      <c r="AL3454">
        <v>88.289511678121002</v>
      </c>
      <c r="AM3454">
        <v>91.976128075128898</v>
      </c>
      <c r="AN3454">
        <v>1.00000004131765</v>
      </c>
    </row>
    <row r="3455" spans="1:40" x14ac:dyDescent="0.25">
      <c r="A3455" t="str">
        <f>"20190312160400286"</f>
        <v>20190312160400286</v>
      </c>
      <c r="B3455" t="str">
        <f>"1552377840278101"</f>
        <v>1552377840278101</v>
      </c>
      <c r="C3455" t="s">
        <v>40</v>
      </c>
      <c r="D3455">
        <v>5.6060660000000002</v>
      </c>
      <c r="E3455">
        <v>0.54020349999999995</v>
      </c>
      <c r="F3455" t="s">
        <v>79</v>
      </c>
      <c r="G3455">
        <v>-409.92200000000003</v>
      </c>
      <c r="H3455">
        <v>1.190567E-2</v>
      </c>
      <c r="I3455">
        <v>206.3015</v>
      </c>
      <c r="J3455">
        <v>-441.39109999999999</v>
      </c>
      <c r="K3455">
        <v>1.1108910000000001</v>
      </c>
      <c r="L3455">
        <v>212.68100000000001</v>
      </c>
      <c r="M3455">
        <v>0.99314279999999999</v>
      </c>
      <c r="N3455">
        <v>0</v>
      </c>
      <c r="O3455">
        <v>-0.1162585</v>
      </c>
      <c r="P3455">
        <v>0.99639860000000002</v>
      </c>
      <c r="Q3455">
        <v>1.72169E-2</v>
      </c>
      <c r="R3455">
        <v>-8.3029539999999999E-2</v>
      </c>
      <c r="S3455">
        <v>2.9626459999999999</v>
      </c>
      <c r="T3455">
        <v>-0.1027651</v>
      </c>
      <c r="U3455">
        <v>-0.59873959999999904</v>
      </c>
      <c r="V3455">
        <v>-3.344159E-2</v>
      </c>
      <c r="W3455">
        <v>2.9456E-2</v>
      </c>
      <c r="X3455">
        <v>0.99900650000000002</v>
      </c>
      <c r="Y3455">
        <v>8.2803650000000006E-2</v>
      </c>
      <c r="Z3455">
        <v>2.5517869999999998E-3</v>
      </c>
      <c r="AA3455">
        <v>0.99656259999999997</v>
      </c>
      <c r="AB3455">
        <v>21</v>
      </c>
      <c r="AC3455">
        <v>31.469100000000001</v>
      </c>
      <c r="AD3455">
        <v>-1.0989853300000001</v>
      </c>
      <c r="AE3455">
        <v>-6.37949999999997</v>
      </c>
      <c r="AF3455">
        <v>2.6742739560808602</v>
      </c>
      <c r="AG3455">
        <v>-1.0989853300000001</v>
      </c>
      <c r="AH3455">
        <v>31.959962989072299</v>
      </c>
      <c r="AI3455">
        <v>91.962561508193801</v>
      </c>
      <c r="AJ3455">
        <v>85.216874988197702</v>
      </c>
      <c r="AK3455">
        <v>32.090477469345899</v>
      </c>
      <c r="AL3455">
        <v>88.312051351101005</v>
      </c>
      <c r="AM3455">
        <v>91.917251546506193</v>
      </c>
      <c r="AN3455">
        <v>0.99999999145998897</v>
      </c>
    </row>
    <row r="3456" spans="1:40" x14ac:dyDescent="0.25">
      <c r="A3456" t="str">
        <f>"20190312160400309"</f>
        <v>20190312160400309</v>
      </c>
      <c r="B3456" t="str">
        <f>"1552377840297622"</f>
        <v>1552377840297622</v>
      </c>
      <c r="C3456" t="s">
        <v>40</v>
      </c>
      <c r="D3456">
        <v>5.5661019999999999</v>
      </c>
      <c r="E3456">
        <v>0.48194350000000002</v>
      </c>
      <c r="F3456" t="s">
        <v>79</v>
      </c>
      <c r="G3456">
        <v>-411.1447</v>
      </c>
      <c r="H3456" s="1">
        <v>3.6200029999999999E-6</v>
      </c>
      <c r="I3456">
        <v>206.89189999999999</v>
      </c>
      <c r="J3456">
        <v>-441.18329999999997</v>
      </c>
      <c r="K3456">
        <v>1.1108910000000001</v>
      </c>
      <c r="L3456">
        <v>212.6583</v>
      </c>
      <c r="M3456">
        <v>0.99330689999999999</v>
      </c>
      <c r="N3456">
        <v>0</v>
      </c>
      <c r="O3456">
        <v>-0.11484610000000001</v>
      </c>
      <c r="P3456">
        <v>0.99646780000000001</v>
      </c>
      <c r="Q3456">
        <v>1.7589690000000002E-2</v>
      </c>
      <c r="R3456">
        <v>-8.2114580000000006E-2</v>
      </c>
      <c r="S3456">
        <v>2.9653930000000002</v>
      </c>
      <c r="T3456">
        <v>-0.1089127</v>
      </c>
      <c r="U3456">
        <v>-0.56756589999999996</v>
      </c>
      <c r="V3456">
        <v>-3.2937699999999903E-2</v>
      </c>
      <c r="W3456">
        <v>2.9836339999999999E-2</v>
      </c>
      <c r="X3456">
        <v>0.99901189999999995</v>
      </c>
      <c r="Y3456">
        <v>7.3959360000000002E-2</v>
      </c>
      <c r="Z3456">
        <v>2.8152810000000002E-3</v>
      </c>
      <c r="AA3456">
        <v>0.99725730000000001</v>
      </c>
      <c r="AB3456">
        <v>21</v>
      </c>
      <c r="AC3456">
        <v>30.038599999999899</v>
      </c>
      <c r="AD3456">
        <v>-1.110887379997</v>
      </c>
      <c r="AE3456">
        <v>-5.7664</v>
      </c>
      <c r="AF3456">
        <v>2.2751606683297698</v>
      </c>
      <c r="AG3456">
        <v>-1.110887379997</v>
      </c>
      <c r="AH3456">
        <v>30.461930933118399</v>
      </c>
      <c r="AI3456">
        <v>92.082744141562301</v>
      </c>
      <c r="AJ3456">
        <v>85.728586021175303</v>
      </c>
      <c r="AK3456">
        <v>30.566970131366102</v>
      </c>
      <c r="AL3456">
        <v>88.290249799529605</v>
      </c>
      <c r="AM3456">
        <v>91.888373727650603</v>
      </c>
      <c r="AN3456">
        <v>0.99999993780374596</v>
      </c>
    </row>
    <row r="3457" spans="1:40" x14ac:dyDescent="0.25">
      <c r="A3457" t="str">
        <f>"20190312160400332"</f>
        <v>20190312160400332</v>
      </c>
      <c r="B3457" t="str">
        <f>"1552377840327877"</f>
        <v>1552377840327877</v>
      </c>
      <c r="C3457" t="s">
        <v>40</v>
      </c>
      <c r="D3457">
        <v>5.5098019999999996</v>
      </c>
      <c r="E3457">
        <v>0.48370590000000002</v>
      </c>
      <c r="F3457" t="s">
        <v>79</v>
      </c>
      <c r="G3457">
        <v>-410.59589999999997</v>
      </c>
      <c r="H3457" s="1">
        <v>2.5729570000000001E-6</v>
      </c>
      <c r="I3457">
        <v>211.62520000000001</v>
      </c>
      <c r="J3457">
        <v>-440.96010000000001</v>
      </c>
      <c r="K3457">
        <v>1.110892</v>
      </c>
      <c r="L3457">
        <v>212.6343</v>
      </c>
      <c r="M3457">
        <v>0.9934809</v>
      </c>
      <c r="N3457">
        <v>0</v>
      </c>
      <c r="O3457">
        <v>-0.11333</v>
      </c>
      <c r="P3457">
        <v>0.99653630000000004</v>
      </c>
      <c r="Q3457">
        <v>1.8258159999999999E-2</v>
      </c>
      <c r="R3457">
        <v>-8.1129870000000007E-2</v>
      </c>
      <c r="S3457">
        <v>3.004181</v>
      </c>
      <c r="T3457">
        <v>-0.1091075</v>
      </c>
      <c r="U3457">
        <v>-0.1014709</v>
      </c>
      <c r="V3457">
        <v>-3.2400169999999999E-2</v>
      </c>
      <c r="W3457">
        <v>3.0513149999999999E-2</v>
      </c>
      <c r="X3457">
        <v>0.99900909999999998</v>
      </c>
      <c r="Y3457">
        <v>-7.9607549999999999E-2</v>
      </c>
      <c r="Z3457">
        <v>5.5498789999999997E-3</v>
      </c>
      <c r="AA3457">
        <v>0.99681090000000006</v>
      </c>
      <c r="AB3457">
        <v>21</v>
      </c>
      <c r="AC3457">
        <v>30.3642</v>
      </c>
      <c r="AD3457">
        <v>-1.1108894270430001</v>
      </c>
      <c r="AE3457">
        <v>-1.0090999999999799</v>
      </c>
      <c r="AF3457">
        <v>-2.43558215655306</v>
      </c>
      <c r="AG3457">
        <v>-1.1108894270430001</v>
      </c>
      <c r="AH3457">
        <v>30.242480958394701</v>
      </c>
      <c r="AI3457">
        <v>92.096902520378606</v>
      </c>
      <c r="AJ3457">
        <v>94.604385710693194</v>
      </c>
      <c r="AK3457">
        <v>30.360727762675701</v>
      </c>
      <c r="AL3457">
        <v>88.251453886985303</v>
      </c>
      <c r="AM3457">
        <v>91.8575832010347</v>
      </c>
      <c r="AN3457">
        <v>1.00000000261088</v>
      </c>
    </row>
    <row r="3458" spans="1:40" x14ac:dyDescent="0.25">
      <c r="A3458" t="str">
        <f>"20190312160400355"</f>
        <v>20190312160400355</v>
      </c>
      <c r="B3458" t="str">
        <f>"1552377840348373"</f>
        <v>1552377840348373</v>
      </c>
      <c r="C3458" t="s">
        <v>40</v>
      </c>
      <c r="D3458">
        <v>5.4916600000000004</v>
      </c>
      <c r="E3458">
        <v>0.48429230000000001</v>
      </c>
      <c r="F3458" t="s">
        <v>79</v>
      </c>
      <c r="G3458">
        <v>-420.2131</v>
      </c>
      <c r="H3458" s="1">
        <v>4.1680020000000002E-6</v>
      </c>
      <c r="I3458">
        <v>211.85730000000001</v>
      </c>
      <c r="J3458">
        <v>-440.74630000000002</v>
      </c>
      <c r="K3458">
        <v>1.1109</v>
      </c>
      <c r="L3458">
        <v>212.61170000000001</v>
      </c>
      <c r="M3458">
        <v>0.99364540000000001</v>
      </c>
      <c r="N3458">
        <v>0</v>
      </c>
      <c r="O3458">
        <v>-0.11187800000000001</v>
      </c>
      <c r="P3458">
        <v>0.99660870000000001</v>
      </c>
      <c r="Q3458">
        <v>1.862515E-2</v>
      </c>
      <c r="R3458">
        <v>-8.0150780000000005E-2</v>
      </c>
      <c r="S3458">
        <v>3.0042110000000002</v>
      </c>
      <c r="T3458">
        <v>-0.1608591</v>
      </c>
      <c r="U3458">
        <v>-0.1125183</v>
      </c>
      <c r="V3458">
        <v>-3.1921520000000002E-2</v>
      </c>
      <c r="W3458">
        <v>3.0887290000000001E-2</v>
      </c>
      <c r="X3458">
        <v>0.99901300000000004</v>
      </c>
      <c r="Y3458">
        <v>-7.4350269999999996E-2</v>
      </c>
      <c r="Z3458">
        <v>7.9603790000000001E-3</v>
      </c>
      <c r="AA3458">
        <v>0.99720039999999999</v>
      </c>
      <c r="AB3458">
        <v>21</v>
      </c>
      <c r="AC3458">
        <v>20.533200000000001</v>
      </c>
      <c r="AD3458">
        <v>-1.110895831998</v>
      </c>
      <c r="AE3458">
        <v>-0.75440000000000396</v>
      </c>
      <c r="AF3458">
        <v>-1.54321398456381</v>
      </c>
      <c r="AG3458">
        <v>-1.110895831998</v>
      </c>
      <c r="AH3458">
        <v>20.428962608783099</v>
      </c>
      <c r="AI3458">
        <v>93.103765878823594</v>
      </c>
      <c r="AJ3458">
        <v>94.3199470483179</v>
      </c>
      <c r="AK3458">
        <v>20.517263760617801</v>
      </c>
      <c r="AL3458">
        <v>88.230007114467099</v>
      </c>
      <c r="AM3458">
        <v>91.830152655733798</v>
      </c>
      <c r="AN3458">
        <v>0.99999999114582705</v>
      </c>
    </row>
    <row r="3459" spans="1:40" x14ac:dyDescent="0.25">
      <c r="A3459" t="str">
        <f>"20190312160400377"</f>
        <v>20190312160400377</v>
      </c>
      <c r="B3459" t="str">
        <f>"1552377840367893"</f>
        <v>1552377840367893</v>
      </c>
      <c r="C3459" t="s">
        <v>40</v>
      </c>
      <c r="D3459">
        <v>5.44428</v>
      </c>
      <c r="E3459">
        <v>0.4851203</v>
      </c>
      <c r="F3459" t="s">
        <v>79</v>
      </c>
      <c r="G3459">
        <v>-421.86239999999998</v>
      </c>
      <c r="H3459" s="1">
        <v>3.8722090000000004E-6</v>
      </c>
      <c r="I3459">
        <v>211.89429999999999</v>
      </c>
      <c r="J3459">
        <v>-440.53410000000002</v>
      </c>
      <c r="K3459">
        <v>1.1109009999999999</v>
      </c>
      <c r="L3459">
        <v>212.58949999999999</v>
      </c>
      <c r="M3459">
        <v>0.99380659999999998</v>
      </c>
      <c r="N3459">
        <v>0</v>
      </c>
      <c r="O3459">
        <v>-0.11043650000000001</v>
      </c>
      <c r="P3459">
        <v>0.99670170000000002</v>
      </c>
      <c r="Q3459">
        <v>1.828695E-2</v>
      </c>
      <c r="R3459">
        <v>-7.9066280000000003E-2</v>
      </c>
      <c r="S3459">
        <v>3.0043329999999999</v>
      </c>
      <c r="T3459">
        <v>-0.17673810000000001</v>
      </c>
      <c r="U3459">
        <v>-0.11413570000000001</v>
      </c>
      <c r="V3459">
        <v>-3.1559329999999997E-2</v>
      </c>
      <c r="W3459">
        <v>3.055604E-2</v>
      </c>
      <c r="X3459">
        <v>0.99903470000000005</v>
      </c>
      <c r="Y3459">
        <v>-7.2319980000000006E-2</v>
      </c>
      <c r="Z3459">
        <v>8.6005290000000009E-3</v>
      </c>
      <c r="AA3459">
        <v>0.99734440000000002</v>
      </c>
      <c r="AB3459">
        <v>21</v>
      </c>
      <c r="AC3459">
        <v>18.671700000000001</v>
      </c>
      <c r="AD3459">
        <v>-1.11089712779099</v>
      </c>
      <c r="AE3459">
        <v>-0.69519999999999904</v>
      </c>
      <c r="AF3459">
        <v>-1.3664170582382</v>
      </c>
      <c r="AG3459">
        <v>-1.11089712779099</v>
      </c>
      <c r="AH3459">
        <v>18.568614092076398</v>
      </c>
      <c r="AI3459">
        <v>93.414520462035995</v>
      </c>
      <c r="AJ3459">
        <v>94.208664749759293</v>
      </c>
      <c r="AK3459">
        <v>18.651933339631</v>
      </c>
      <c r="AL3459">
        <v>88.248995315387106</v>
      </c>
      <c r="AM3459">
        <v>91.809361866877794</v>
      </c>
      <c r="AN3459">
        <v>0.99999999734731004</v>
      </c>
    </row>
    <row r="3460" spans="1:40" x14ac:dyDescent="0.25">
      <c r="A3460" t="str">
        <f>"20190312160400399"</f>
        <v>20190312160400399</v>
      </c>
      <c r="B3460" t="str">
        <f>"1552377840388389"</f>
        <v>1552377840388389</v>
      </c>
      <c r="C3460" t="s">
        <v>40</v>
      </c>
      <c r="D3460">
        <v>5.4491800000000001</v>
      </c>
      <c r="E3460">
        <v>0.48547970000000001</v>
      </c>
      <c r="F3460" t="s">
        <v>79</v>
      </c>
      <c r="G3460">
        <v>-422.8603</v>
      </c>
      <c r="H3460" s="1">
        <v>3.6947130000000001E-6</v>
      </c>
      <c r="I3460">
        <v>211.8998</v>
      </c>
      <c r="J3460">
        <v>-440.32490000000001</v>
      </c>
      <c r="K3460">
        <v>1.1109009999999999</v>
      </c>
      <c r="L3460">
        <v>212.56800000000001</v>
      </c>
      <c r="M3460">
        <v>0.99396329999999999</v>
      </c>
      <c r="N3460">
        <v>0</v>
      </c>
      <c r="O3460">
        <v>-0.1090155</v>
      </c>
      <c r="P3460">
        <v>0.99681679999999995</v>
      </c>
      <c r="Q3460">
        <v>1.819958E-2</v>
      </c>
      <c r="R3460">
        <v>-7.7623529999999996E-2</v>
      </c>
      <c r="S3460">
        <v>3.0040279999999999</v>
      </c>
      <c r="T3460">
        <v>-0.18882070000000001</v>
      </c>
      <c r="U3460">
        <v>-0.1172333</v>
      </c>
      <c r="V3460">
        <v>-3.1577029999999999E-2</v>
      </c>
      <c r="W3460">
        <v>3.0474540000000001E-2</v>
      </c>
      <c r="X3460">
        <v>0.99903660000000005</v>
      </c>
      <c r="Y3460">
        <v>-6.9826299999999994E-2</v>
      </c>
      <c r="Z3460">
        <v>9.021065E-3</v>
      </c>
      <c r="AA3460">
        <v>0.99751840000000003</v>
      </c>
      <c r="AB3460">
        <v>21</v>
      </c>
      <c r="AC3460">
        <v>17.464600000000001</v>
      </c>
      <c r="AD3460">
        <v>-1.1108973052869999</v>
      </c>
      <c r="AE3460">
        <v>-0.66819999999998403</v>
      </c>
      <c r="AF3460">
        <v>-1.2348514551178</v>
      </c>
      <c r="AG3460">
        <v>-1.1108973052869999</v>
      </c>
      <c r="AH3460">
        <v>17.363196081137701</v>
      </c>
      <c r="AI3460">
        <v>93.651596393649399</v>
      </c>
      <c r="AJ3460">
        <v>94.067963753458599</v>
      </c>
      <c r="AK3460">
        <v>17.442463389416499</v>
      </c>
      <c r="AL3460">
        <v>88.253667044547996</v>
      </c>
      <c r="AM3460">
        <v>91.8103725287678</v>
      </c>
      <c r="AN3460">
        <v>0.99999996727569496</v>
      </c>
    </row>
    <row r="3461" spans="1:40" x14ac:dyDescent="0.25">
      <c r="A3461" t="str">
        <f>"20190312160400421"</f>
        <v>20190312160400421</v>
      </c>
      <c r="B3461" t="str">
        <f>"1552377840407909"</f>
        <v>1552377840407909</v>
      </c>
      <c r="C3461" t="s">
        <v>40</v>
      </c>
      <c r="D3461">
        <v>5.3697569999999999</v>
      </c>
      <c r="E3461">
        <v>0.48562109999999897</v>
      </c>
      <c r="F3461" t="s">
        <v>79</v>
      </c>
      <c r="G3461">
        <v>-422.25599999999997</v>
      </c>
      <c r="H3461" s="1">
        <v>3.8043359999999999E-6</v>
      </c>
      <c r="I3461">
        <v>211.87209999999999</v>
      </c>
      <c r="J3461">
        <v>-440.11410000000001</v>
      </c>
      <c r="K3461">
        <v>1.110903</v>
      </c>
      <c r="L3461">
        <v>212.54660000000001</v>
      </c>
      <c r="M3461">
        <v>0.99411939999999999</v>
      </c>
      <c r="N3461">
        <v>0</v>
      </c>
      <c r="O3461">
        <v>-0.1075839</v>
      </c>
      <c r="P3461">
        <v>0.99694119999999997</v>
      </c>
      <c r="Q3461">
        <v>1.864878E-2</v>
      </c>
      <c r="R3461">
        <v>-7.5899899999999895E-2</v>
      </c>
      <c r="S3461">
        <v>3.0039669999999998</v>
      </c>
      <c r="T3461">
        <v>-0.1846873</v>
      </c>
      <c r="U3461">
        <v>-0.11569210000000001</v>
      </c>
      <c r="V3461">
        <v>-3.1865270000000001E-2</v>
      </c>
      <c r="W3461">
        <v>3.0929229999999999E-2</v>
      </c>
      <c r="X3461">
        <v>0.9990135</v>
      </c>
      <c r="Y3461">
        <v>-6.8919359999999999E-2</v>
      </c>
      <c r="Z3461">
        <v>8.7090029999999999E-3</v>
      </c>
      <c r="AA3461">
        <v>0.99758420000000003</v>
      </c>
      <c r="AB3461">
        <v>21</v>
      </c>
      <c r="AC3461">
        <v>17.8581</v>
      </c>
      <c r="AD3461">
        <v>-1.110899195664</v>
      </c>
      <c r="AE3461">
        <v>-0.67450000000002297</v>
      </c>
      <c r="AF3461">
        <v>-1.2459910166039201</v>
      </c>
      <c r="AG3461">
        <v>-1.110899195664</v>
      </c>
      <c r="AH3461">
        <v>17.7583848150962</v>
      </c>
      <c r="AI3461">
        <v>93.570792903180205</v>
      </c>
      <c r="AJ3461">
        <v>94.013496889521505</v>
      </c>
      <c r="AK3461">
        <v>17.836670706088199</v>
      </c>
      <c r="AL3461">
        <v>88.2276029840028</v>
      </c>
      <c r="AM3461">
        <v>91.826928954920007</v>
      </c>
      <c r="AN3461">
        <v>0.99999999294140696</v>
      </c>
    </row>
    <row r="3462" spans="1:40" x14ac:dyDescent="0.25">
      <c r="A3462" t="str">
        <f>"20190312160400443"</f>
        <v>20190312160400443</v>
      </c>
      <c r="B3462" t="str">
        <f>"1552377840438165"</f>
        <v>1552377840438165</v>
      </c>
      <c r="C3462" t="s">
        <v>40</v>
      </c>
      <c r="D3462">
        <v>5.248189</v>
      </c>
      <c r="E3462">
        <v>0.48545300000000002</v>
      </c>
      <c r="F3462" t="s">
        <v>79</v>
      </c>
      <c r="G3462">
        <v>-421.32369999999997</v>
      </c>
      <c r="H3462" s="1">
        <v>3.97185799999999E-6</v>
      </c>
      <c r="I3462">
        <v>211.84739999999999</v>
      </c>
      <c r="J3462">
        <v>-439.90949999999998</v>
      </c>
      <c r="K3462">
        <v>1.1109039999999999</v>
      </c>
      <c r="L3462">
        <v>212.52610000000001</v>
      </c>
      <c r="M3462">
        <v>0.99426859999999995</v>
      </c>
      <c r="N3462">
        <v>0</v>
      </c>
      <c r="O3462">
        <v>-0.1061945</v>
      </c>
      <c r="P3462">
        <v>0.99708200000000002</v>
      </c>
      <c r="Q3462">
        <v>1.9490790000000001E-2</v>
      </c>
      <c r="R3462">
        <v>-7.3810199999999895E-2</v>
      </c>
      <c r="S3462">
        <v>3.0040279999999999</v>
      </c>
      <c r="T3462">
        <v>-0.17760029999999999</v>
      </c>
      <c r="U3462">
        <v>-0.1117706</v>
      </c>
      <c r="V3462">
        <v>-3.2563229999999999E-2</v>
      </c>
      <c r="W3462">
        <v>3.1775680000000001E-2</v>
      </c>
      <c r="X3462">
        <v>0.99896439999999997</v>
      </c>
      <c r="Y3462">
        <v>-6.8853849999999994E-2</v>
      </c>
      <c r="Z3462">
        <v>8.2920089999999995E-3</v>
      </c>
      <c r="AA3462">
        <v>0.99759229999999999</v>
      </c>
      <c r="AB3462">
        <v>21</v>
      </c>
      <c r="AC3462">
        <v>18.585799999999999</v>
      </c>
      <c r="AD3462">
        <v>-1.1109000281420001</v>
      </c>
      <c r="AE3462">
        <v>-0.67870000000001995</v>
      </c>
      <c r="AF3462">
        <v>-1.2943806298359799</v>
      </c>
      <c r="AG3462">
        <v>-1.1109000281420001</v>
      </c>
      <c r="AH3462">
        <v>18.486809435739399</v>
      </c>
      <c r="AI3462">
        <v>93.430475637799404</v>
      </c>
      <c r="AJ3462">
        <v>94.005110431686404</v>
      </c>
      <c r="AK3462">
        <v>18.565334448933701</v>
      </c>
      <c r="AL3462">
        <v>88.179081065183894</v>
      </c>
      <c r="AM3462">
        <v>91.867008720601603</v>
      </c>
      <c r="AN3462">
        <v>0.99999996512742695</v>
      </c>
    </row>
    <row r="3463" spans="1:40" x14ac:dyDescent="0.25">
      <c r="A3463" t="str">
        <f>"20190312160400466"</f>
        <v>20190312160400466</v>
      </c>
      <c r="B3463" t="str">
        <f>"1552377840457684"</f>
        <v>1552377840457684</v>
      </c>
      <c r="C3463" t="s">
        <v>40</v>
      </c>
      <c r="D3463">
        <v>5.1835870000000002</v>
      </c>
      <c r="E3463">
        <v>0.48536849999999998</v>
      </c>
      <c r="F3463" t="s">
        <v>79</v>
      </c>
      <c r="G3463">
        <v>-419.91800000000001</v>
      </c>
      <c r="H3463" s="1">
        <v>4.2085420000000003E-6</v>
      </c>
      <c r="I3463">
        <v>211.83099999999999</v>
      </c>
      <c r="J3463">
        <v>-439.6884</v>
      </c>
      <c r="K3463">
        <v>1.1109070000000001</v>
      </c>
      <c r="L3463">
        <v>212.5043</v>
      </c>
      <c r="M3463">
        <v>0.99442790000000003</v>
      </c>
      <c r="N3463">
        <v>0</v>
      </c>
      <c r="O3463">
        <v>-0.1046922</v>
      </c>
      <c r="P3463">
        <v>0.99721000000000004</v>
      </c>
      <c r="Q3463">
        <v>1.9971989999999998E-2</v>
      </c>
      <c r="R3463">
        <v>-7.1929170000000001E-2</v>
      </c>
      <c r="S3463">
        <v>3.0042420000000001</v>
      </c>
      <c r="T3463">
        <v>-0.16694100000000001</v>
      </c>
      <c r="U3463">
        <v>-0.1044617</v>
      </c>
      <c r="V3463">
        <v>-3.2938549999999997E-2</v>
      </c>
      <c r="W3463">
        <v>3.2262279999999997E-2</v>
      </c>
      <c r="X3463">
        <v>0.9989365</v>
      </c>
      <c r="Y3463">
        <v>-6.9809350000000006E-2</v>
      </c>
      <c r="Z3463">
        <v>7.738656E-3</v>
      </c>
      <c r="AA3463">
        <v>0.99753029999999998</v>
      </c>
      <c r="AB3463">
        <v>21</v>
      </c>
      <c r="AC3463">
        <v>19.770399999999899</v>
      </c>
      <c r="AD3463">
        <v>-1.1109027914580001</v>
      </c>
      <c r="AE3463">
        <v>-0.673300000000011</v>
      </c>
      <c r="AF3463">
        <v>-1.39596286233637</v>
      </c>
      <c r="AG3463">
        <v>-1.1109027914580001</v>
      </c>
      <c r="AH3463">
        <v>19.670199636277498</v>
      </c>
      <c r="AI3463">
        <v>93.224335364012504</v>
      </c>
      <c r="AJ3463">
        <v>94.059384652461205</v>
      </c>
      <c r="AK3463">
        <v>19.750938485451901</v>
      </c>
      <c r="AL3463">
        <v>88.151186638357402</v>
      </c>
      <c r="AM3463">
        <v>91.888564859720205</v>
      </c>
      <c r="AN3463">
        <v>0.99999996690957405</v>
      </c>
    </row>
    <row r="3464" spans="1:40" x14ac:dyDescent="0.25">
      <c r="A3464" t="str">
        <f>"20190312160400487"</f>
        <v>20190312160400487</v>
      </c>
      <c r="B3464" t="str">
        <f>"1552377840478185"</f>
        <v>1552377840478185</v>
      </c>
      <c r="C3464" t="s">
        <v>40</v>
      </c>
      <c r="D3464">
        <v>5.2192759999999998</v>
      </c>
      <c r="E3464">
        <v>0.48533009999999899</v>
      </c>
      <c r="F3464" t="s">
        <v>79</v>
      </c>
      <c r="G3464">
        <v>-418.85660000000001</v>
      </c>
      <c r="H3464" s="1">
        <v>4.0207600000000003E-6</v>
      </c>
      <c r="I3464">
        <v>211.8253</v>
      </c>
      <c r="J3464">
        <v>-439.48099999999999</v>
      </c>
      <c r="K3464">
        <v>1.110908</v>
      </c>
      <c r="L3464">
        <v>212.48410000000001</v>
      </c>
      <c r="M3464">
        <v>0.99457510000000005</v>
      </c>
      <c r="N3464">
        <v>0</v>
      </c>
      <c r="O3464">
        <v>-0.1032836</v>
      </c>
      <c r="P3464">
        <v>0.99728570000000005</v>
      </c>
      <c r="Q3464">
        <v>2.0056589999999999E-2</v>
      </c>
      <c r="R3464">
        <v>-7.0846790000000007E-2</v>
      </c>
      <c r="S3464">
        <v>3.004578</v>
      </c>
      <c r="T3464">
        <v>-0.1602256</v>
      </c>
      <c r="U3464">
        <v>-9.7930909999999996E-2</v>
      </c>
      <c r="V3464">
        <v>-3.2607400000000002E-2</v>
      </c>
      <c r="W3464">
        <v>3.2353300000000002E-2</v>
      </c>
      <c r="X3464">
        <v>0.99894450000000001</v>
      </c>
      <c r="Y3464">
        <v>-7.0588120000000004E-2</v>
      </c>
      <c r="Z3464">
        <v>7.373475E-3</v>
      </c>
      <c r="AA3464">
        <v>0.99747830000000004</v>
      </c>
      <c r="AB3464">
        <v>21</v>
      </c>
      <c r="AC3464">
        <v>20.624399999999898</v>
      </c>
      <c r="AD3464">
        <v>-1.11090397924</v>
      </c>
      <c r="AE3464">
        <v>-0.65880000000001304</v>
      </c>
      <c r="AF3464">
        <v>-1.47078613219715</v>
      </c>
      <c r="AG3464">
        <v>-1.11090397924</v>
      </c>
      <c r="AH3464">
        <v>20.5226498015912</v>
      </c>
      <c r="AI3464">
        <v>93.090521780759204</v>
      </c>
      <c r="AJ3464">
        <v>94.099178682236598</v>
      </c>
      <c r="AK3464">
        <v>20.6052535625386</v>
      </c>
      <c r="AL3464">
        <v>88.145968999752697</v>
      </c>
      <c r="AM3464">
        <v>91.869576622799897</v>
      </c>
      <c r="AN3464">
        <v>1.0000000463179399</v>
      </c>
    </row>
    <row r="3465" spans="1:40" x14ac:dyDescent="0.25">
      <c r="A3465" t="str">
        <f>"20190312160400510"</f>
        <v>20190312160400510</v>
      </c>
      <c r="B3465" t="str">
        <f>"1552377840497700"</f>
        <v>1552377840497700</v>
      </c>
      <c r="C3465" t="s">
        <v>40</v>
      </c>
      <c r="D3465">
        <v>5.3481230000000002</v>
      </c>
      <c r="E3465">
        <v>0.4854657</v>
      </c>
      <c r="F3465" t="s">
        <v>79</v>
      </c>
      <c r="G3465">
        <v>-417.74180000000001</v>
      </c>
      <c r="H3465" s="1">
        <v>3.8249999999999998E-6</v>
      </c>
      <c r="I3465">
        <v>211.80260000000001</v>
      </c>
      <c r="J3465">
        <v>-439.27179999999998</v>
      </c>
      <c r="K3465">
        <v>1.1109059999999999</v>
      </c>
      <c r="L3465">
        <v>212.4641</v>
      </c>
      <c r="M3465">
        <v>0.99472159999999998</v>
      </c>
      <c r="N3465">
        <v>0</v>
      </c>
      <c r="O3465">
        <v>-0.1018617</v>
      </c>
      <c r="P3465">
        <v>0.99735079999999998</v>
      </c>
      <c r="Q3465">
        <v>2.0060209999999998E-2</v>
      </c>
      <c r="R3465">
        <v>-6.9921880000000006E-2</v>
      </c>
      <c r="S3465">
        <v>3.0046080000000002</v>
      </c>
      <c r="T3465">
        <v>-0.1535397</v>
      </c>
      <c r="U3465">
        <v>-9.4192499999999998E-2</v>
      </c>
      <c r="V3465">
        <v>-3.2106290000000003E-2</v>
      </c>
      <c r="W3465">
        <v>3.2364259999999999E-2</v>
      </c>
      <c r="X3465">
        <v>0.99896030000000002</v>
      </c>
      <c r="Y3465">
        <v>-7.0424520000000004E-2</v>
      </c>
      <c r="Z3465">
        <v>6.9899300000000001E-3</v>
      </c>
      <c r="AA3465">
        <v>0.99749259999999995</v>
      </c>
      <c r="AB3465">
        <v>21</v>
      </c>
      <c r="AC3465">
        <v>21.529999999999902</v>
      </c>
      <c r="AD3465">
        <v>-1.1109021750000001</v>
      </c>
      <c r="AE3465">
        <v>-0.66149999999998899</v>
      </c>
      <c r="AF3465">
        <v>-1.53111909531804</v>
      </c>
      <c r="AG3465">
        <v>-1.1109021750000001</v>
      </c>
      <c r="AH3465">
        <v>21.428386826566399</v>
      </c>
      <c r="AI3465">
        <v>92.960168904758504</v>
      </c>
      <c r="AJ3465">
        <v>94.087000205841903</v>
      </c>
      <c r="AK3465">
        <v>21.511722183856701</v>
      </c>
      <c r="AL3465">
        <v>88.1453405675677</v>
      </c>
      <c r="AM3465">
        <v>91.840835826141799</v>
      </c>
      <c r="AN3465">
        <v>0.99999997007950003</v>
      </c>
    </row>
    <row r="3466" spans="1:40" x14ac:dyDescent="0.25">
      <c r="A3466" t="str">
        <f>"20190312160400533"</f>
        <v>20190312160400533</v>
      </c>
      <c r="B3466" t="str">
        <f>"1552377840527958"</f>
        <v>1552377840527958</v>
      </c>
      <c r="C3466" t="s">
        <v>40</v>
      </c>
      <c r="D3466">
        <v>5.2549270000000003</v>
      </c>
      <c r="E3466">
        <v>0.48528130000000003</v>
      </c>
      <c r="F3466" t="s">
        <v>79</v>
      </c>
      <c r="G3466">
        <v>-417.39109999999999</v>
      </c>
      <c r="H3466" s="1">
        <v>3.7639410000000002E-6</v>
      </c>
      <c r="I3466">
        <v>211.7895</v>
      </c>
      <c r="J3466">
        <v>-439.05189999999999</v>
      </c>
      <c r="K3466">
        <v>1.1109039999999999</v>
      </c>
      <c r="L3466">
        <v>212.4434</v>
      </c>
      <c r="M3466">
        <v>0.99487340000000002</v>
      </c>
      <c r="N3466">
        <v>0</v>
      </c>
      <c r="O3466">
        <v>-0.1003679</v>
      </c>
      <c r="P3466">
        <v>0.99744829999999995</v>
      </c>
      <c r="Q3466">
        <v>2.0623880000000001E-2</v>
      </c>
      <c r="R3466">
        <v>-6.8351969999999998E-2</v>
      </c>
      <c r="S3466">
        <v>3.004578</v>
      </c>
      <c r="T3466">
        <v>-0.15254519999999999</v>
      </c>
      <c r="U3466">
        <v>-9.2636109999999994E-2</v>
      </c>
      <c r="V3466">
        <v>-3.2178569999999997E-2</v>
      </c>
      <c r="W3466">
        <v>3.2933780000000003E-2</v>
      </c>
      <c r="X3466">
        <v>0.99893940000000003</v>
      </c>
      <c r="Y3466">
        <v>-6.944852E-2</v>
      </c>
      <c r="Z3466">
        <v>6.8446879999999998E-3</v>
      </c>
      <c r="AA3466">
        <v>0.99756210000000001</v>
      </c>
      <c r="AB3466">
        <v>21</v>
      </c>
      <c r="AC3466">
        <v>21.660799999999899</v>
      </c>
      <c r="AD3466">
        <v>-1.1109002360589999</v>
      </c>
      <c r="AE3466">
        <v>-0.65389999999999204</v>
      </c>
      <c r="AF3466">
        <v>-1.5196246165292799</v>
      </c>
      <c r="AG3466">
        <v>-1.1109002360589999</v>
      </c>
      <c r="AH3466">
        <v>21.560382172467399</v>
      </c>
      <c r="AI3466">
        <v>92.942274477504697</v>
      </c>
      <c r="AJ3466">
        <v>94.031669152253201</v>
      </c>
      <c r="AK3466">
        <v>21.642399075252399</v>
      </c>
      <c r="AL3466">
        <v>88.112692142711097</v>
      </c>
      <c r="AM3466">
        <v>91.845015762099393</v>
      </c>
      <c r="AN3466">
        <v>1.00000000955234</v>
      </c>
    </row>
    <row r="3467" spans="1:40" x14ac:dyDescent="0.25">
      <c r="A3467" t="str">
        <f>"20190312160400555"</f>
        <v>20190312160400555</v>
      </c>
      <c r="B3467" t="str">
        <f>"1552377840548453"</f>
        <v>1552377840548453</v>
      </c>
      <c r="C3467" t="s">
        <v>40</v>
      </c>
      <c r="D3467">
        <v>5.1984510000000004</v>
      </c>
      <c r="E3467">
        <v>0.48551660000000002</v>
      </c>
      <c r="F3467" t="s">
        <v>79</v>
      </c>
      <c r="G3467">
        <v>-417.54239999999999</v>
      </c>
      <c r="H3467" s="1">
        <v>3.7877129999999999E-6</v>
      </c>
      <c r="I3467">
        <v>211.8244</v>
      </c>
      <c r="J3467">
        <v>-438.83780000000002</v>
      </c>
      <c r="K3467">
        <v>1.1109100000000001</v>
      </c>
      <c r="L3467">
        <v>212.42349999999999</v>
      </c>
      <c r="M3467">
        <v>0.99501899999999999</v>
      </c>
      <c r="N3467">
        <v>0</v>
      </c>
      <c r="O3467">
        <v>-9.8912689999999998E-2</v>
      </c>
      <c r="P3467">
        <v>0.99752529999999995</v>
      </c>
      <c r="Q3467">
        <v>2.1220070000000001E-2</v>
      </c>
      <c r="R3467">
        <v>-6.7028539999999998E-2</v>
      </c>
      <c r="S3467">
        <v>3.0049440000000001</v>
      </c>
      <c r="T3467">
        <v>-0.155196</v>
      </c>
      <c r="U3467">
        <v>-8.6471560000000003E-2</v>
      </c>
      <c r="V3467">
        <v>-3.204216E-2</v>
      </c>
      <c r="W3467">
        <v>3.3535699999999898E-2</v>
      </c>
      <c r="X3467">
        <v>0.99892380000000003</v>
      </c>
      <c r="Y3467">
        <v>-7.0031399999999994E-2</v>
      </c>
      <c r="Z3467">
        <v>6.9032479999999998E-3</v>
      </c>
      <c r="AA3467">
        <v>0.99752090000000004</v>
      </c>
      <c r="AB3467">
        <v>21</v>
      </c>
      <c r="AC3467">
        <v>21.295400000000001</v>
      </c>
      <c r="AD3467">
        <v>-1.1109062122869999</v>
      </c>
      <c r="AE3467">
        <v>-0.59909999999999197</v>
      </c>
      <c r="AF3467">
        <v>-1.50628943156854</v>
      </c>
      <c r="AG3467">
        <v>-1.1109062122869999</v>
      </c>
      <c r="AH3467">
        <v>21.192590211626801</v>
      </c>
      <c r="AI3467">
        <v>92.993135921989904</v>
      </c>
      <c r="AJ3467">
        <v>94.065531117975993</v>
      </c>
      <c r="AK3467">
        <v>21.2750769761731</v>
      </c>
      <c r="AL3467">
        <v>88.078185683691601</v>
      </c>
      <c r="AM3467">
        <v>91.8372284941548</v>
      </c>
      <c r="AN3467">
        <v>1.00000005069919</v>
      </c>
    </row>
    <row r="3468" spans="1:40" x14ac:dyDescent="0.25">
      <c r="A3468" t="str">
        <f>"20190312160400577"</f>
        <v>20190312160400577</v>
      </c>
      <c r="B3468" t="str">
        <f>"1552377840567976"</f>
        <v>1552377840567976</v>
      </c>
      <c r="C3468" t="s">
        <v>40</v>
      </c>
      <c r="D3468">
        <v>5.205152</v>
      </c>
      <c r="E3468">
        <v>0.48559000000000002</v>
      </c>
      <c r="F3468" t="s">
        <v>79</v>
      </c>
      <c r="G3468">
        <v>-417.1422</v>
      </c>
      <c r="H3468" s="1">
        <v>3.7175559999999998E-6</v>
      </c>
      <c r="I3468">
        <v>211.8151</v>
      </c>
      <c r="J3468">
        <v>-438.63069999999999</v>
      </c>
      <c r="K3468">
        <v>1.110916</v>
      </c>
      <c r="L3468">
        <v>212.40459999999999</v>
      </c>
      <c r="M3468">
        <v>0.99515799999999999</v>
      </c>
      <c r="N3468">
        <v>0</v>
      </c>
      <c r="O3468">
        <v>-9.7505620000000001E-2</v>
      </c>
      <c r="P3468">
        <v>0.99760559999999998</v>
      </c>
      <c r="Q3468">
        <v>2.173346E-2</v>
      </c>
      <c r="R3468">
        <v>-6.5660430000000006E-2</v>
      </c>
      <c r="S3468">
        <v>3.0050659999999998</v>
      </c>
      <c r="T3468">
        <v>-0.1538726</v>
      </c>
      <c r="U3468">
        <v>-8.4274290000000002E-2</v>
      </c>
      <c r="V3468">
        <v>-3.1999689999999997E-2</v>
      </c>
      <c r="W3468">
        <v>3.4055149999999999E-2</v>
      </c>
      <c r="X3468">
        <v>0.99890760000000001</v>
      </c>
      <c r="Y3468">
        <v>-6.935732E-2</v>
      </c>
      <c r="Z3468">
        <v>6.7553780000000003E-3</v>
      </c>
      <c r="AA3468">
        <v>0.99756900000000004</v>
      </c>
      <c r="AB3468">
        <v>21</v>
      </c>
      <c r="AC3468">
        <v>21.488499999999899</v>
      </c>
      <c r="AD3468">
        <v>-1.1109122824439901</v>
      </c>
      <c r="AE3468">
        <v>-0.58949999999998604</v>
      </c>
      <c r="AF3468">
        <v>-1.5047008904672701</v>
      </c>
      <c r="AG3468">
        <v>-1.1109122824439901</v>
      </c>
      <c r="AH3468">
        <v>21.3864587596616</v>
      </c>
      <c r="AI3468">
        <v>92.966217660761401</v>
      </c>
      <c r="AJ3468">
        <v>94.024564107900005</v>
      </c>
      <c r="AK3468">
        <v>21.468089555145902</v>
      </c>
      <c r="AL3468">
        <v>88.048406406148302</v>
      </c>
      <c r="AM3468">
        <v>91.834824757165705</v>
      </c>
      <c r="AN3468">
        <v>1.0000000633696799</v>
      </c>
    </row>
    <row r="3469" spans="1:40" x14ac:dyDescent="0.25">
      <c r="A3469" t="str">
        <f>"20190312160400600"</f>
        <v>20190312160400600</v>
      </c>
      <c r="B3469" t="str">
        <f>"1552377840588469"</f>
        <v>1552377840588469</v>
      </c>
      <c r="C3469" t="s">
        <v>40</v>
      </c>
      <c r="D3469">
        <v>5.2084419999999998</v>
      </c>
      <c r="E3469">
        <v>0.4857882</v>
      </c>
      <c r="F3469" t="s">
        <v>79</v>
      </c>
      <c r="G3469">
        <v>-416.48079999999999</v>
      </c>
      <c r="H3469" s="1">
        <v>3.6007169999999999E-6</v>
      </c>
      <c r="I3469">
        <v>211.80950000000001</v>
      </c>
      <c r="J3469">
        <v>-438.4196</v>
      </c>
      <c r="K3469">
        <v>1.1109169999999999</v>
      </c>
      <c r="L3469">
        <v>212.38570000000001</v>
      </c>
      <c r="M3469">
        <v>0.99529730000000005</v>
      </c>
      <c r="N3469">
        <v>0</v>
      </c>
      <c r="O3469">
        <v>-9.6071379999999998E-2</v>
      </c>
      <c r="P3469">
        <v>0.99768239999999997</v>
      </c>
      <c r="Q3469">
        <v>2.1493140000000001E-2</v>
      </c>
      <c r="R3469">
        <v>-6.4561370000000007E-2</v>
      </c>
      <c r="S3469">
        <v>3.005188</v>
      </c>
      <c r="T3469">
        <v>-0.1507231</v>
      </c>
      <c r="U3469">
        <v>-8.0749509999999997E-2</v>
      </c>
      <c r="V3469">
        <v>-3.1660319999999999E-2</v>
      </c>
      <c r="W3469">
        <v>3.3821629999999998E-2</v>
      </c>
      <c r="X3469">
        <v>0.99892630000000004</v>
      </c>
      <c r="Y3469">
        <v>-6.9100969999999998E-2</v>
      </c>
      <c r="Z3469">
        <v>6.5391879999999996E-3</v>
      </c>
      <c r="AA3469">
        <v>0.99758820000000004</v>
      </c>
      <c r="AB3469">
        <v>21</v>
      </c>
      <c r="AC3469">
        <v>21.938800000000001</v>
      </c>
      <c r="AD3469">
        <v>-1.110913399283</v>
      </c>
      <c r="AE3469">
        <v>-0.57620000000000005</v>
      </c>
      <c r="AF3469">
        <v>-1.5303969247256</v>
      </c>
      <c r="AG3469">
        <v>-1.110913399283</v>
      </c>
      <c r="AH3469">
        <v>21.8367129944296</v>
      </c>
      <c r="AI3469">
        <v>92.905221117706105</v>
      </c>
      <c r="AJ3469">
        <v>94.008943311404195</v>
      </c>
      <c r="AK3469">
        <v>21.9184460610009</v>
      </c>
      <c r="AL3469">
        <v>88.061793735417893</v>
      </c>
      <c r="AM3469">
        <v>91.815344807761804</v>
      </c>
      <c r="AN3469">
        <v>1.0000000156750199</v>
      </c>
    </row>
    <row r="3470" spans="1:40" x14ac:dyDescent="0.25">
      <c r="A3470" t="str">
        <f>"20190312160400621"</f>
        <v>20190312160400621</v>
      </c>
      <c r="B3470" t="str">
        <f>"1552377840617750"</f>
        <v>1552377840617750</v>
      </c>
      <c r="C3470" t="s">
        <v>40</v>
      </c>
      <c r="D3470">
        <v>5.237571</v>
      </c>
      <c r="E3470">
        <v>0.48576180000000002</v>
      </c>
      <c r="F3470" t="s">
        <v>79</v>
      </c>
      <c r="G3470">
        <v>-416.35469999999998</v>
      </c>
      <c r="H3470" s="1">
        <v>3.5785889999999998E-6</v>
      </c>
      <c r="I3470">
        <v>211.80680000000001</v>
      </c>
      <c r="J3470">
        <v>-438.21429999999998</v>
      </c>
      <c r="K3470">
        <v>1.1109230000000001</v>
      </c>
      <c r="L3470">
        <v>212.36750000000001</v>
      </c>
      <c r="M3470">
        <v>0.99543079999999995</v>
      </c>
      <c r="N3470">
        <v>0</v>
      </c>
      <c r="O3470">
        <v>-9.4675770000000006E-2</v>
      </c>
      <c r="P3470">
        <v>0.99778480000000003</v>
      </c>
      <c r="Q3470">
        <v>2.1499009999999999E-2</v>
      </c>
      <c r="R3470">
        <v>-6.2954189999999993E-2</v>
      </c>
      <c r="S3470">
        <v>3.0051269999999999</v>
      </c>
      <c r="T3470">
        <v>-0.1513005</v>
      </c>
      <c r="U3470">
        <v>-7.8842159999999994E-2</v>
      </c>
      <c r="V3470">
        <v>-3.1868939999999998E-2</v>
      </c>
      <c r="W3470">
        <v>3.3833540000000002E-2</v>
      </c>
      <c r="X3470">
        <v>0.99891920000000001</v>
      </c>
      <c r="Y3470">
        <v>-6.8335530000000005E-2</v>
      </c>
      <c r="Z3470">
        <v>6.4752500000000001E-3</v>
      </c>
      <c r="AA3470">
        <v>0.99764140000000001</v>
      </c>
      <c r="AB3470">
        <v>21</v>
      </c>
      <c r="AC3470">
        <v>21.8596</v>
      </c>
      <c r="AD3470">
        <v>-1.1109194214110001</v>
      </c>
      <c r="AE3470">
        <v>-0.56069999999999698</v>
      </c>
      <c r="AF3470">
        <v>-1.5076614847536001</v>
      </c>
      <c r="AG3470">
        <v>-1.1109194214110001</v>
      </c>
      <c r="AH3470">
        <v>21.758324680717202</v>
      </c>
      <c r="AI3470">
        <v>92.915845413154699</v>
      </c>
      <c r="AJ3470">
        <v>93.963760499973503</v>
      </c>
      <c r="AK3470">
        <v>21.838770066672399</v>
      </c>
      <c r="AL3470">
        <v>88.061110830257405</v>
      </c>
      <c r="AM3470">
        <v>91.827311592838996</v>
      </c>
      <c r="AN3470">
        <v>0.99999995294714605</v>
      </c>
    </row>
    <row r="3471" spans="1:40" x14ac:dyDescent="0.25">
      <c r="A3471" t="str">
        <f>"20190312160400644"</f>
        <v>20190312160400644</v>
      </c>
      <c r="B3471" t="str">
        <f>"1552377840638245"</f>
        <v>1552377840638245</v>
      </c>
      <c r="C3471" t="s">
        <v>40</v>
      </c>
      <c r="D3471">
        <v>5.26884</v>
      </c>
      <c r="E3471">
        <v>0.48585030000000001</v>
      </c>
      <c r="F3471" t="s">
        <v>79</v>
      </c>
      <c r="G3471">
        <v>-415.83499999999998</v>
      </c>
      <c r="H3471" s="1">
        <v>3.4855419999999998E-6</v>
      </c>
      <c r="I3471">
        <v>211.81659999999999</v>
      </c>
      <c r="J3471">
        <v>-438.0027</v>
      </c>
      <c r="K3471">
        <v>1.1109180000000001</v>
      </c>
      <c r="L3471">
        <v>212.34909999999999</v>
      </c>
      <c r="M3471">
        <v>0.99556650000000002</v>
      </c>
      <c r="N3471">
        <v>0</v>
      </c>
      <c r="O3471">
        <v>-9.3238669999999996E-2</v>
      </c>
      <c r="P3471">
        <v>0.99786200000000003</v>
      </c>
      <c r="Q3471">
        <v>2.1842750000000001E-2</v>
      </c>
      <c r="R3471">
        <v>-6.1598109999999998E-2</v>
      </c>
      <c r="S3471">
        <v>3.005188</v>
      </c>
      <c r="T3471">
        <v>-0.14917929999999999</v>
      </c>
      <c r="U3471">
        <v>-7.3974609999999996E-2</v>
      </c>
      <c r="V3471">
        <v>-3.1784260000000002E-2</v>
      </c>
      <c r="W3471">
        <v>3.4182869999999997E-2</v>
      </c>
      <c r="X3471">
        <v>0.99891010000000002</v>
      </c>
      <c r="Y3471">
        <v>-6.8517949999999994E-2</v>
      </c>
      <c r="Z3471">
        <v>6.3181879999999998E-3</v>
      </c>
      <c r="AA3471">
        <v>0.99762989999999996</v>
      </c>
      <c r="AB3471">
        <v>21</v>
      </c>
      <c r="AC3471">
        <v>22.1677</v>
      </c>
      <c r="AD3471">
        <v>-1.1109145144579999</v>
      </c>
      <c r="AE3471">
        <v>-0.53249999999999797</v>
      </c>
      <c r="AF3471">
        <v>-1.5330181279186299</v>
      </c>
      <c r="AG3471">
        <v>-1.1109145144579999</v>
      </c>
      <c r="AH3471">
        <v>22.065387709171802</v>
      </c>
      <c r="AI3471">
        <v>92.875287608183797</v>
      </c>
      <c r="AJ3471">
        <v>93.974303661928801</v>
      </c>
      <c r="AK3471">
        <v>22.1464581907588</v>
      </c>
      <c r="AL3471">
        <v>88.041084296119806</v>
      </c>
      <c r="AM3471">
        <v>91.822476053528305</v>
      </c>
      <c r="AN3471">
        <v>1.00000004783359</v>
      </c>
    </row>
    <row r="3472" spans="1:40" x14ac:dyDescent="0.25">
      <c r="A3472" t="str">
        <f>"20190312160400666"</f>
        <v>20190312160400666</v>
      </c>
      <c r="B3472" t="str">
        <f>"1552377840657766"</f>
        <v>1552377840657766</v>
      </c>
      <c r="C3472" t="s">
        <v>40</v>
      </c>
      <c r="D3472">
        <v>5.3175850000000002</v>
      </c>
      <c r="E3472">
        <v>0.48598659999999999</v>
      </c>
      <c r="F3472" t="s">
        <v>79</v>
      </c>
      <c r="G3472">
        <v>-415.80290000000002</v>
      </c>
      <c r="H3472" s="1">
        <v>3.4789560000000001E-6</v>
      </c>
      <c r="I3472">
        <v>211.82679999999999</v>
      </c>
      <c r="J3472">
        <v>-437.7817</v>
      </c>
      <c r="K3472">
        <v>1.1109199999999999</v>
      </c>
      <c r="L3472">
        <v>212.33019999999999</v>
      </c>
      <c r="M3472">
        <v>0.99570579999999997</v>
      </c>
      <c r="N3472">
        <v>0</v>
      </c>
      <c r="O3472">
        <v>-9.1736369999999998E-2</v>
      </c>
      <c r="P3472">
        <v>0.99794159999999998</v>
      </c>
      <c r="Q3472">
        <v>2.1667019999999999E-2</v>
      </c>
      <c r="R3472">
        <v>-6.0356890000000003E-2</v>
      </c>
      <c r="S3472">
        <v>3.005341</v>
      </c>
      <c r="T3472">
        <v>-0.1503919</v>
      </c>
      <c r="U3472">
        <v>-7.0709229999999998E-2</v>
      </c>
      <c r="V3472">
        <v>-3.1519610000000003E-2</v>
      </c>
      <c r="W3472">
        <v>3.401465E-2</v>
      </c>
      <c r="X3472">
        <v>0.99892420000000004</v>
      </c>
      <c r="Y3472">
        <v>-6.8096370000000003E-2</v>
      </c>
      <c r="Z3472">
        <v>6.2839189999999998E-3</v>
      </c>
      <c r="AA3472">
        <v>0.99765899999999996</v>
      </c>
      <c r="AB3472">
        <v>21</v>
      </c>
      <c r="AC3472">
        <v>21.9787999999999</v>
      </c>
      <c r="AD3472">
        <v>-1.110916521044</v>
      </c>
      <c r="AE3472">
        <v>-0.50339999999999896</v>
      </c>
      <c r="AF3472">
        <v>-1.5112750375589401</v>
      </c>
      <c r="AG3472">
        <v>-1.110916521044</v>
      </c>
      <c r="AH3472">
        <v>21.8764315999689</v>
      </c>
      <c r="AI3472">
        <v>92.9001643241143</v>
      </c>
      <c r="AJ3472">
        <v>93.951847815951496</v>
      </c>
      <c r="AK3472">
        <v>21.956692540179901</v>
      </c>
      <c r="AL3472">
        <v>88.050728145245401</v>
      </c>
      <c r="AM3472">
        <v>91.807285913204893</v>
      </c>
      <c r="AN3472">
        <v>1.0000000197873999</v>
      </c>
    </row>
    <row r="3473" spans="1:40" x14ac:dyDescent="0.25">
      <c r="A3473" t="str">
        <f>"20190312160400688"</f>
        <v>20190312160400688</v>
      </c>
      <c r="B3473" t="str">
        <f>"1552377840678261"</f>
        <v>1552377840678261</v>
      </c>
      <c r="C3473" t="s">
        <v>40</v>
      </c>
      <c r="D3473">
        <v>5.2598779999999996</v>
      </c>
      <c r="E3473">
        <v>0.48602489999999998</v>
      </c>
      <c r="F3473" t="s">
        <v>79</v>
      </c>
      <c r="G3473">
        <v>-416.03910000000002</v>
      </c>
      <c r="H3473" s="1">
        <v>3.5198659999999999E-6</v>
      </c>
      <c r="I3473">
        <v>211.8381</v>
      </c>
      <c r="J3473">
        <v>-437.57839999999999</v>
      </c>
      <c r="K3473">
        <v>1.1109249999999999</v>
      </c>
      <c r="L3473">
        <v>212.31309999999999</v>
      </c>
      <c r="M3473">
        <v>0.9958321</v>
      </c>
      <c r="N3473">
        <v>0</v>
      </c>
      <c r="O3473">
        <v>-9.0355530000000003E-2</v>
      </c>
      <c r="P3473">
        <v>0.99801550000000006</v>
      </c>
      <c r="Q3473">
        <v>2.1191700000000001E-2</v>
      </c>
      <c r="R3473">
        <v>-5.9298129999999998E-2</v>
      </c>
      <c r="S3473">
        <v>3.0053709999999998</v>
      </c>
      <c r="T3473">
        <v>-0.15355659999999999</v>
      </c>
      <c r="U3473">
        <v>-6.8023680000000003E-2</v>
      </c>
      <c r="V3473">
        <v>-3.1193820000000001E-2</v>
      </c>
      <c r="W3473">
        <v>3.3546180000000002E-2</v>
      </c>
      <c r="X3473">
        <v>0.99895020000000001</v>
      </c>
      <c r="Y3473">
        <v>-6.7598099999999994E-2</v>
      </c>
      <c r="Z3473">
        <v>6.3330620000000004E-3</v>
      </c>
      <c r="AA3473">
        <v>0.99769249999999998</v>
      </c>
      <c r="AB3473">
        <v>21</v>
      </c>
      <c r="AC3473">
        <v>21.539299999999901</v>
      </c>
      <c r="AD3473">
        <v>-1.1109214801339999</v>
      </c>
      <c r="AE3473">
        <v>-0.47499999999999398</v>
      </c>
      <c r="AF3473">
        <v>-1.4693814414840101</v>
      </c>
      <c r="AG3473">
        <v>-1.1109214801339999</v>
      </c>
      <c r="AH3473">
        <v>21.4371057751537</v>
      </c>
      <c r="AI3473">
        <v>92.959616994590803</v>
      </c>
      <c r="AJ3473">
        <v>93.921139292418303</v>
      </c>
      <c r="AK3473">
        <v>21.516104023979999</v>
      </c>
      <c r="AL3473">
        <v>88.077584694828005</v>
      </c>
      <c r="AM3473">
        <v>91.788571290580293</v>
      </c>
      <c r="AN3473">
        <v>0.999999951339411</v>
      </c>
    </row>
    <row r="3474" spans="1:40" x14ac:dyDescent="0.25">
      <c r="A3474" t="str">
        <f>"20190312160400821"</f>
        <v>20190312160400821</v>
      </c>
      <c r="B3474" t="str">
        <f>"1552377840817829"</f>
        <v>1552377840817829</v>
      </c>
      <c r="C3474" t="s">
        <v>40</v>
      </c>
      <c r="D3474">
        <v>5.8636929999999996</v>
      </c>
      <c r="E3474">
        <v>0.48665770000000003</v>
      </c>
      <c r="F3474" t="s">
        <v>79</v>
      </c>
      <c r="G3474">
        <v>-416.0224</v>
      </c>
      <c r="H3474" s="1">
        <v>3.5162299999999999E-6</v>
      </c>
      <c r="I3474">
        <v>211.8458</v>
      </c>
      <c r="J3474">
        <v>-436.31180000000001</v>
      </c>
      <c r="K3474">
        <v>1.110935</v>
      </c>
      <c r="L3474">
        <v>212.2132</v>
      </c>
      <c r="M3474">
        <v>0.99657530000000005</v>
      </c>
      <c r="N3474">
        <v>0</v>
      </c>
      <c r="O3474">
        <v>-8.1747E-2</v>
      </c>
      <c r="P3474">
        <v>0.99855320000000003</v>
      </c>
      <c r="Q3474">
        <v>2.144896E-2</v>
      </c>
      <c r="R3474">
        <v>-4.9314599999999903E-2</v>
      </c>
      <c r="S3474">
        <v>3.0053709999999998</v>
      </c>
      <c r="T3474">
        <v>-0.1548862</v>
      </c>
      <c r="U3474">
        <v>-6.5155030000000003E-2</v>
      </c>
      <c r="V3474">
        <v>-3.2551980000000001E-2</v>
      </c>
      <c r="W3474">
        <v>3.3834980000000001E-2</v>
      </c>
      <c r="X3474">
        <v>0.99889720000000004</v>
      </c>
      <c r="Y3474">
        <v>-5.9944549999999999E-2</v>
      </c>
      <c r="Z3474">
        <v>5.7489869999999997E-3</v>
      </c>
      <c r="AA3474">
        <v>0.99818519999999999</v>
      </c>
      <c r="AB3474">
        <v>21</v>
      </c>
      <c r="AC3474">
        <v>20.289400000000001</v>
      </c>
      <c r="AD3474">
        <v>-1.11093148377</v>
      </c>
      <c r="AE3474">
        <v>-0.367400000000003</v>
      </c>
      <c r="AF3474">
        <v>-1.28869378015304</v>
      </c>
      <c r="AG3474">
        <v>-1.11093148377</v>
      </c>
      <c r="AH3474">
        <v>20.191005877647299</v>
      </c>
      <c r="AI3474">
        <v>93.142919552897496</v>
      </c>
      <c r="AJ3474">
        <v>93.651957603010203</v>
      </c>
      <c r="AK3474">
        <v>20.262566934419301</v>
      </c>
      <c r="AL3474">
        <v>88.0610284201653</v>
      </c>
      <c r="AM3474">
        <v>91.866489628845102</v>
      </c>
      <c r="AN3474">
        <v>1.0000000267206799</v>
      </c>
    </row>
    <row r="3475" spans="1:40" x14ac:dyDescent="0.25">
      <c r="A3475" t="str">
        <f>"20190312160400835"</f>
        <v>20190312160400835</v>
      </c>
      <c r="B3475" t="str">
        <f>"1552377840828565"</f>
        <v>1552377840828565</v>
      </c>
      <c r="C3475" t="s">
        <v>40</v>
      </c>
      <c r="D3475">
        <v>5.3866180000000004</v>
      </c>
      <c r="E3475">
        <v>0.49233300000000002</v>
      </c>
      <c r="F3475" t="s">
        <v>79</v>
      </c>
      <c r="G3475">
        <v>-414.51029999999997</v>
      </c>
      <c r="H3475" s="1">
        <v>3.2415919999999998E-6</v>
      </c>
      <c r="I3475">
        <v>211.91929999999999</v>
      </c>
      <c r="J3475">
        <v>-436.18520000000001</v>
      </c>
      <c r="K3475">
        <v>1.1109370000000001</v>
      </c>
      <c r="L3475">
        <v>212.2038</v>
      </c>
      <c r="M3475">
        <v>0.99664549999999996</v>
      </c>
      <c r="N3475">
        <v>0</v>
      </c>
      <c r="O3475">
        <v>-8.0886479999999997E-2</v>
      </c>
      <c r="P3475">
        <v>0.99861009999999995</v>
      </c>
      <c r="Q3475">
        <v>2.1716820000000001E-2</v>
      </c>
      <c r="R3475">
        <v>-4.8025909999999998E-2</v>
      </c>
      <c r="S3475">
        <v>3.005646</v>
      </c>
      <c r="T3475">
        <v>-0.15315819999999999</v>
      </c>
      <c r="U3475">
        <v>-4.0512079999999999E-2</v>
      </c>
      <c r="V3475">
        <v>-3.2978920000000002E-2</v>
      </c>
      <c r="W3475">
        <v>3.4105190000000001E-2</v>
      </c>
      <c r="X3475">
        <v>0.99887400000000004</v>
      </c>
      <c r="Y3475">
        <v>-6.7260180000000003E-2</v>
      </c>
      <c r="Z3475">
        <v>5.8277310000000001E-3</v>
      </c>
      <c r="AA3475">
        <v>0.99771849999999995</v>
      </c>
      <c r="AB3475">
        <v>21</v>
      </c>
      <c r="AC3475">
        <v>21.674900000000001</v>
      </c>
      <c r="AD3475">
        <v>-1.1109337584079999</v>
      </c>
      <c r="AE3475">
        <v>-0.28450000000000802</v>
      </c>
      <c r="AF3475">
        <v>-1.46592438600912</v>
      </c>
      <c r="AG3475">
        <v>-1.1109337584079999</v>
      </c>
      <c r="AH3475">
        <v>21.570225758479399</v>
      </c>
      <c r="AI3475">
        <v>92.941532789607294</v>
      </c>
      <c r="AJ3475">
        <v>93.887874429852701</v>
      </c>
      <c r="AK3475">
        <v>21.648504507074701</v>
      </c>
      <c r="AL3475">
        <v>88.045537575279397</v>
      </c>
      <c r="AM3475">
        <v>91.890996062168497</v>
      </c>
      <c r="AN3475">
        <v>1.00000002051265</v>
      </c>
    </row>
    <row r="3476" spans="1:40" x14ac:dyDescent="0.25">
      <c r="A3476" t="str">
        <f>"20190312160400855"</f>
        <v>20190312160400855</v>
      </c>
      <c r="B3476" t="str">
        <f>"1552377840848087"</f>
        <v>1552377840848087</v>
      </c>
      <c r="C3476" t="s">
        <v>40</v>
      </c>
      <c r="D3476">
        <v>5.4714130000000001</v>
      </c>
      <c r="E3476">
        <v>0.49183320000000003</v>
      </c>
      <c r="F3476" t="s">
        <v>49</v>
      </c>
      <c r="G3476">
        <v>-435.38409999999999</v>
      </c>
      <c r="H3476">
        <v>0.9437238</v>
      </c>
      <c r="I3476">
        <v>212.1824</v>
      </c>
      <c r="J3476">
        <v>-435.98630000000003</v>
      </c>
      <c r="K3476">
        <v>1.1109340000000001</v>
      </c>
      <c r="L3476">
        <v>212.1892</v>
      </c>
      <c r="M3476">
        <v>0.99675409999999998</v>
      </c>
      <c r="N3476">
        <v>0</v>
      </c>
      <c r="O3476">
        <v>-7.9534369999999993E-2</v>
      </c>
      <c r="P3476">
        <v>0.99867249999999996</v>
      </c>
      <c r="Q3476">
        <v>2.1877230000000001E-2</v>
      </c>
      <c r="R3476">
        <v>-4.6631440000000003E-2</v>
      </c>
      <c r="S3476">
        <v>3.0140380000000002</v>
      </c>
      <c r="T3476">
        <v>-0.62944449999999996</v>
      </c>
      <c r="U3476">
        <v>-7.9040529999999998E-2</v>
      </c>
      <c r="V3476">
        <v>-3.3018749999999999E-2</v>
      </c>
      <c r="W3476">
        <v>3.4271030000000001E-2</v>
      </c>
      <c r="X3476">
        <v>0.99886699999999995</v>
      </c>
      <c r="Y3476">
        <v>-5.0580079999999999E-2</v>
      </c>
      <c r="Z3476">
        <v>2.1637920000000001E-2</v>
      </c>
      <c r="AA3476">
        <v>0.99848559999999997</v>
      </c>
      <c r="AB3476">
        <v>21</v>
      </c>
      <c r="AC3476">
        <v>0.60220000000003804</v>
      </c>
      <c r="AD3476">
        <v>-0.167210199999999</v>
      </c>
      <c r="AE3476">
        <v>-6.7999999999983603E-3</v>
      </c>
      <c r="AF3476">
        <v>-3.8177804652500903E-2</v>
      </c>
      <c r="AG3476">
        <v>-0.167210199999999</v>
      </c>
      <c r="AH3476">
        <v>0.55783064861079001</v>
      </c>
      <c r="AI3476">
        <v>106.649361282624</v>
      </c>
      <c r="AJ3476">
        <v>93.915204990131201</v>
      </c>
      <c r="AK3476">
        <v>0.58360245739857797</v>
      </c>
      <c r="AL3476">
        <v>88.036030069754304</v>
      </c>
      <c r="AM3476">
        <v>91.8932914932047</v>
      </c>
      <c r="AN3476">
        <v>1.0000000125189099</v>
      </c>
    </row>
    <row r="3477" spans="1:40" x14ac:dyDescent="0.25">
      <c r="A3477" t="str">
        <f>"20190312160400878"</f>
        <v>20190312160400878</v>
      </c>
      <c r="B3477" t="str">
        <f>"1552377840868581"</f>
        <v>1552377840868581</v>
      </c>
      <c r="C3477" t="s">
        <v>40</v>
      </c>
      <c r="D3477">
        <v>5.4621409999999999</v>
      </c>
      <c r="E3477">
        <v>0.49161650000000001</v>
      </c>
      <c r="F3477" t="s">
        <v>49</v>
      </c>
      <c r="G3477">
        <v>-435.17489999999998</v>
      </c>
      <c r="H3477">
        <v>0.98549719999999996</v>
      </c>
      <c r="I3477">
        <v>212.16929999999999</v>
      </c>
      <c r="J3477">
        <v>-435.77449999999999</v>
      </c>
      <c r="K3477">
        <v>1.110932</v>
      </c>
      <c r="L3477">
        <v>212.17400000000001</v>
      </c>
      <c r="M3477">
        <v>0.99686790000000003</v>
      </c>
      <c r="N3477">
        <v>0</v>
      </c>
      <c r="O3477">
        <v>-7.8095120000000004E-2</v>
      </c>
      <c r="P3477">
        <v>0.99873480000000003</v>
      </c>
      <c r="Q3477">
        <v>2.1867790000000002E-2</v>
      </c>
      <c r="R3477">
        <v>-4.5288099999999998E-2</v>
      </c>
      <c r="S3477">
        <v>3.0108640000000002</v>
      </c>
      <c r="T3477">
        <v>-0.46591309999999903</v>
      </c>
      <c r="U3477">
        <v>-7.1823120000000004E-2</v>
      </c>
      <c r="V3477">
        <v>-3.2920150000000002E-2</v>
      </c>
      <c r="W3477">
        <v>3.4268180000000002E-2</v>
      </c>
      <c r="X3477">
        <v>0.99887029999999999</v>
      </c>
      <c r="Y3477">
        <v>-5.2749600000000001E-2</v>
      </c>
      <c r="Z3477">
        <v>1.6057120000000001E-2</v>
      </c>
      <c r="AA3477">
        <v>0.99847870000000005</v>
      </c>
      <c r="AB3477">
        <v>21</v>
      </c>
      <c r="AC3477">
        <v>0.59960000000000901</v>
      </c>
      <c r="AD3477">
        <v>-0.12543480000000001</v>
      </c>
      <c r="AE3477">
        <v>-4.7000000000139101E-3</v>
      </c>
      <c r="AF3477">
        <v>-4.0376903276182E-2</v>
      </c>
      <c r="AG3477">
        <v>-0.12543480000000001</v>
      </c>
      <c r="AH3477">
        <v>0.57305802965244901</v>
      </c>
      <c r="AI3477">
        <v>102.316963512404</v>
      </c>
      <c r="AJ3477">
        <v>94.030323484271193</v>
      </c>
      <c r="AK3477">
        <v>0.58801334059556898</v>
      </c>
      <c r="AL3477">
        <v>88.036193356164006</v>
      </c>
      <c r="AM3477">
        <v>91.887635644593999</v>
      </c>
      <c r="AN3477">
        <v>0.99999996032931104</v>
      </c>
    </row>
    <row r="3478" spans="1:40" x14ac:dyDescent="0.25">
      <c r="A3478" t="str">
        <f>"20190312160400899"</f>
        <v>20190312160400899</v>
      </c>
      <c r="B3478" t="str">
        <f>"1552377840897861"</f>
        <v>1552377840897861</v>
      </c>
      <c r="C3478" t="s">
        <v>40</v>
      </c>
      <c r="D3478">
        <v>5.3418029999999996</v>
      </c>
      <c r="E3478">
        <v>0.48994110000000002</v>
      </c>
      <c r="F3478" t="s">
        <v>79</v>
      </c>
      <c r="G3478">
        <v>-425.71379999999999</v>
      </c>
      <c r="H3478" s="1">
        <v>3.18408E-6</v>
      </c>
      <c r="I3478">
        <v>211.95089999999999</v>
      </c>
      <c r="J3478">
        <v>-435.5677</v>
      </c>
      <c r="K3478">
        <v>1.1109309999999999</v>
      </c>
      <c r="L3478">
        <v>212.15950000000001</v>
      </c>
      <c r="M3478">
        <v>0.996977</v>
      </c>
      <c r="N3478">
        <v>0</v>
      </c>
      <c r="O3478">
        <v>-7.6689740000000006E-2</v>
      </c>
      <c r="P3478">
        <v>0.99881830000000005</v>
      </c>
      <c r="Q3478">
        <v>2.1330419999999999E-2</v>
      </c>
      <c r="R3478">
        <v>-4.36741E-2</v>
      </c>
      <c r="S3478">
        <v>3.008057</v>
      </c>
      <c r="T3478">
        <v>-0.33215919999999999</v>
      </c>
      <c r="U3478">
        <v>-6.6711430000000002E-2</v>
      </c>
      <c r="V3478">
        <v>-3.3125559999999998E-2</v>
      </c>
      <c r="W3478">
        <v>3.3735859999999999E-2</v>
      </c>
      <c r="X3478">
        <v>0.99888169999999998</v>
      </c>
      <c r="Y3478">
        <v>-5.3778399999999997E-2</v>
      </c>
      <c r="Z3478">
        <v>1.1394090000000001E-2</v>
      </c>
      <c r="AA3478">
        <v>0.99848789999999998</v>
      </c>
      <c r="AB3478">
        <v>21</v>
      </c>
      <c r="AC3478">
        <v>9.8539000000000101</v>
      </c>
      <c r="AD3478">
        <v>-1.11092781591999</v>
      </c>
      <c r="AE3478">
        <v>-0.20860000000001799</v>
      </c>
      <c r="AF3478">
        <v>-0.54089438594275996</v>
      </c>
      <c r="AG3478">
        <v>-1.11092781591999</v>
      </c>
      <c r="AH3478">
        <v>9.7174186590354292</v>
      </c>
      <c r="AI3478">
        <v>96.511936708719702</v>
      </c>
      <c r="AJ3478">
        <v>93.185930288740906</v>
      </c>
      <c r="AK3478">
        <v>9.7956598932332799</v>
      </c>
      <c r="AL3478">
        <v>88.066710829569402</v>
      </c>
      <c r="AM3478">
        <v>91.899383555785505</v>
      </c>
      <c r="AN3478">
        <v>1.00000003078507</v>
      </c>
    </row>
    <row r="3479" spans="1:40" x14ac:dyDescent="0.25">
      <c r="A3479" t="str">
        <f>"20190312160400935"</f>
        <v>20190312160400935</v>
      </c>
      <c r="B3479" t="str">
        <f>"1552377840928117"</f>
        <v>1552377840928117</v>
      </c>
      <c r="C3479" t="s">
        <v>40</v>
      </c>
      <c r="D3479">
        <v>5.3657859999999999</v>
      </c>
      <c r="E3479">
        <v>0.49098649999999999</v>
      </c>
      <c r="F3479" t="s">
        <v>79</v>
      </c>
      <c r="G3479">
        <v>-420.8562</v>
      </c>
      <c r="H3479" s="1">
        <v>4.0485829999999998E-6</v>
      </c>
      <c r="I3479">
        <v>211.91829999999999</v>
      </c>
      <c r="J3479">
        <v>-435.23349999999999</v>
      </c>
      <c r="K3479">
        <v>1.11093</v>
      </c>
      <c r="L3479">
        <v>212.13669999999999</v>
      </c>
      <c r="M3479">
        <v>0.99714910000000001</v>
      </c>
      <c r="N3479">
        <v>0</v>
      </c>
      <c r="O3479">
        <v>-7.4417830000000004E-2</v>
      </c>
      <c r="P3479">
        <v>0.9988707</v>
      </c>
      <c r="Q3479">
        <v>2.0772280000000001E-2</v>
      </c>
      <c r="R3479">
        <v>-4.2735530000000001E-2</v>
      </c>
      <c r="S3479">
        <v>3.0062259999999998</v>
      </c>
      <c r="T3479">
        <v>-0.22701350000000001</v>
      </c>
      <c r="U3479">
        <v>-4.9285889999999999E-2</v>
      </c>
      <c r="V3479">
        <v>-3.1787700000000002E-2</v>
      </c>
      <c r="W3479">
        <v>3.3185890000000003E-2</v>
      </c>
      <c r="X3479">
        <v>0.99894360000000004</v>
      </c>
      <c r="Y3479">
        <v>-5.7691050000000001E-2</v>
      </c>
      <c r="Z3479">
        <v>7.7819509999999996E-3</v>
      </c>
      <c r="AA3479">
        <v>0.99830410000000003</v>
      </c>
      <c r="AB3479">
        <v>21</v>
      </c>
      <c r="AC3479">
        <v>14.3772999999999</v>
      </c>
      <c r="AD3479">
        <v>-1.110925951417</v>
      </c>
      <c r="AE3479">
        <v>-0.21840000000000201</v>
      </c>
      <c r="AF3479">
        <v>-0.84715957808477205</v>
      </c>
      <c r="AG3479">
        <v>-1.110925951417</v>
      </c>
      <c r="AH3479">
        <v>14.268510353432699</v>
      </c>
      <c r="AI3479">
        <v>94.444191781011696</v>
      </c>
      <c r="AJ3479">
        <v>93.397814680382794</v>
      </c>
      <c r="AK3479">
        <v>14.3367438257886</v>
      </c>
      <c r="AL3479">
        <v>88.098239458810298</v>
      </c>
      <c r="AM3479">
        <v>91.822612083577795</v>
      </c>
      <c r="AN3479">
        <v>1.00000003857367</v>
      </c>
    </row>
    <row r="3480" spans="1:40" x14ac:dyDescent="0.25">
      <c r="A3480" t="str">
        <f>"20190312160400958"</f>
        <v>20190312160400958</v>
      </c>
      <c r="B3480" t="str">
        <f>"1552377840948613"</f>
        <v>1552377840948613</v>
      </c>
      <c r="C3480" t="s">
        <v>40</v>
      </c>
      <c r="D3480">
        <v>5.716475</v>
      </c>
      <c r="E3480">
        <v>0.49067119999999997</v>
      </c>
      <c r="F3480" t="s">
        <v>79</v>
      </c>
      <c r="G3480">
        <v>-420.85219999999998</v>
      </c>
      <c r="H3480" s="1">
        <v>4.0529919999999998E-6</v>
      </c>
      <c r="I3480">
        <v>211.876</v>
      </c>
      <c r="J3480">
        <v>-435.01940000000002</v>
      </c>
      <c r="K3480">
        <v>1.1110359999999999</v>
      </c>
      <c r="L3480">
        <v>212.1224</v>
      </c>
      <c r="M3480">
        <v>0.99724559999999995</v>
      </c>
      <c r="N3480">
        <v>0</v>
      </c>
      <c r="O3480">
        <v>-7.302575E-2</v>
      </c>
      <c r="P3480">
        <v>0.99889689999999998</v>
      </c>
      <c r="Q3480">
        <v>2.0612769999999999E-2</v>
      </c>
      <c r="R3480">
        <v>-4.2193660000000001E-2</v>
      </c>
      <c r="S3480">
        <v>3.00589</v>
      </c>
      <c r="T3480">
        <v>-0.23219899999999999</v>
      </c>
      <c r="U3480">
        <v>-5.4473880000000002E-2</v>
      </c>
      <c r="V3480">
        <v>-3.0933749999999999E-2</v>
      </c>
      <c r="W3480">
        <v>3.353474E-2</v>
      </c>
      <c r="X3480">
        <v>0.99895869999999998</v>
      </c>
      <c r="Y3480">
        <v>-5.4569289999999999E-2</v>
      </c>
      <c r="Z3480">
        <v>7.7323929999999997E-3</v>
      </c>
      <c r="AA3480">
        <v>0.99848000000000003</v>
      </c>
      <c r="AB3480">
        <v>21</v>
      </c>
      <c r="AC3480">
        <v>14.167199999999999</v>
      </c>
      <c r="AD3480">
        <v>-1.1110319470079999</v>
      </c>
      <c r="AE3480">
        <v>-0.24640000000002199</v>
      </c>
      <c r="AF3480">
        <v>-0.78409470558219396</v>
      </c>
      <c r="AG3480">
        <v>-1.1110319470079999</v>
      </c>
      <c r="AH3480">
        <v>14.0609126041285</v>
      </c>
      <c r="AI3480">
        <v>94.510896437099603</v>
      </c>
      <c r="AJ3480">
        <v>93.191744244863401</v>
      </c>
      <c r="AK3480">
        <v>14.126516193157199</v>
      </c>
      <c r="AL3480">
        <v>88.078240582656804</v>
      </c>
      <c r="AM3480">
        <v>91.773654045816698</v>
      </c>
      <c r="AN3480">
        <v>0.99999997999080903</v>
      </c>
    </row>
    <row r="3481" spans="1:40" x14ac:dyDescent="0.25">
      <c r="A3481" t="str">
        <f>"20190312160400978"</f>
        <v>20190312160400978</v>
      </c>
      <c r="B3481" t="str">
        <f>"1552377840968133"</f>
        <v>1552377840968133</v>
      </c>
      <c r="C3481" t="s">
        <v>40</v>
      </c>
      <c r="D3481">
        <v>7.8740589999999999</v>
      </c>
      <c r="E3481">
        <v>0.49171959999999998</v>
      </c>
      <c r="F3481" t="s">
        <v>79</v>
      </c>
      <c r="G3481">
        <v>-418.78269999999998</v>
      </c>
      <c r="H3481" s="1">
        <v>4.0055050000000004E-6</v>
      </c>
      <c r="I3481">
        <v>211.84989999999999</v>
      </c>
      <c r="J3481">
        <v>-434.83</v>
      </c>
      <c r="K3481">
        <v>1.111272</v>
      </c>
      <c r="L3481">
        <v>212.11</v>
      </c>
      <c r="M3481">
        <v>0.99731340000000002</v>
      </c>
      <c r="N3481">
        <v>0</v>
      </c>
      <c r="O3481">
        <v>-7.1870219999999999E-2</v>
      </c>
      <c r="P3481">
        <v>0.99896680000000004</v>
      </c>
      <c r="Q3481">
        <v>2.0157499999999998E-2</v>
      </c>
      <c r="R3481">
        <v>-4.0737599999999999E-2</v>
      </c>
      <c r="S3481">
        <v>3.0054319999999999</v>
      </c>
      <c r="T3481">
        <v>-0.2056538</v>
      </c>
      <c r="U3481">
        <v>-5.0430299999999997E-2</v>
      </c>
      <c r="V3481">
        <v>-3.1230210000000001E-2</v>
      </c>
      <c r="W3481">
        <v>3.4264360000000001E-2</v>
      </c>
      <c r="X3481">
        <v>0.9989247</v>
      </c>
      <c r="Y3481">
        <v>-5.4837440000000001E-2</v>
      </c>
      <c r="Z3481">
        <v>6.7822400000000001E-3</v>
      </c>
      <c r="AA3481">
        <v>0.99847229999999998</v>
      </c>
      <c r="AB3481">
        <v>21</v>
      </c>
      <c r="AC3481">
        <v>16.0473</v>
      </c>
      <c r="AD3481">
        <v>-1.1112679944949999</v>
      </c>
      <c r="AE3481">
        <v>-0.26010000000002198</v>
      </c>
      <c r="AF3481">
        <v>-0.88974581071435399</v>
      </c>
      <c r="AG3481">
        <v>-1.1112679944949999</v>
      </c>
      <c r="AH3481">
        <v>15.948029883734501</v>
      </c>
      <c r="AI3481">
        <v>93.979791512099098</v>
      </c>
      <c r="AJ3481">
        <v>93.193239999633803</v>
      </c>
      <c r="AK3481">
        <v>16.0114403267089</v>
      </c>
      <c r="AL3481">
        <v>88.036412362511598</v>
      </c>
      <c r="AM3481">
        <v>91.790702120651801</v>
      </c>
      <c r="AN3481">
        <v>0.99999996432647098</v>
      </c>
    </row>
    <row r="3482" spans="1:40" x14ac:dyDescent="0.25">
      <c r="A3482" t="str">
        <f>"20190312160401179"</f>
        <v>20190312160401179</v>
      </c>
      <c r="B3482" t="str">
        <f>"1552377841168213"</f>
        <v>1552377841168213</v>
      </c>
      <c r="C3482" t="s">
        <v>40</v>
      </c>
      <c r="D3482">
        <v>5.7287710000000001</v>
      </c>
      <c r="E3482">
        <v>0.4933478</v>
      </c>
      <c r="F3482" t="s">
        <v>79</v>
      </c>
      <c r="G3482">
        <v>-417.858</v>
      </c>
      <c r="H3482" s="1">
        <v>3.8458870000000002E-6</v>
      </c>
      <c r="I3482">
        <v>211.79949999999999</v>
      </c>
      <c r="J3482">
        <v>-432.87610000000001</v>
      </c>
      <c r="K3482">
        <v>1.11043799999999</v>
      </c>
      <c r="L3482">
        <v>211.99299999999999</v>
      </c>
      <c r="M3482">
        <v>0.99816360000000004</v>
      </c>
      <c r="N3482">
        <v>0</v>
      </c>
      <c r="O3482">
        <v>-6.0039189999999999E-2</v>
      </c>
      <c r="P3482">
        <v>0.99926649999999995</v>
      </c>
      <c r="Q3482">
        <v>2.3992030000000001E-2</v>
      </c>
      <c r="R3482">
        <v>-2.985165E-2</v>
      </c>
      <c r="S3482">
        <v>3.0048520000000001</v>
      </c>
      <c r="T3482">
        <v>-0.19674810000000001</v>
      </c>
      <c r="U3482">
        <v>-5.4962160000000003E-2</v>
      </c>
      <c r="V3482">
        <v>-3.0266990000000001E-2</v>
      </c>
      <c r="W3482">
        <v>3.1964890000000003E-2</v>
      </c>
      <c r="X3482">
        <v>0.99903059999999999</v>
      </c>
      <c r="Y3482">
        <v>-4.1558709999999999E-2</v>
      </c>
      <c r="Z3482">
        <v>5.2834550000000003E-3</v>
      </c>
      <c r="AA3482">
        <v>0.99912210000000001</v>
      </c>
      <c r="AB3482">
        <v>22</v>
      </c>
      <c r="AC3482">
        <v>15.0181</v>
      </c>
      <c r="AD3482">
        <v>-1.1104341541129901</v>
      </c>
      <c r="AE3482">
        <v>-0.19350000000000001</v>
      </c>
      <c r="AF3482">
        <v>-0.70470081492801195</v>
      </c>
      <c r="AG3482">
        <v>-1.1104341541129901</v>
      </c>
      <c r="AH3482">
        <v>14.921062718891999</v>
      </c>
      <c r="AI3482">
        <v>94.251417894403502</v>
      </c>
      <c r="AJ3482">
        <v>92.703989857015401</v>
      </c>
      <c r="AK3482">
        <v>14.978911172388001</v>
      </c>
      <c r="AL3482">
        <v>88.1682346703018</v>
      </c>
      <c r="AM3482">
        <v>91.735322718660697</v>
      </c>
      <c r="AN3482">
        <v>0.99999999230636605</v>
      </c>
    </row>
    <row r="3483" spans="1:40" x14ac:dyDescent="0.25">
      <c r="A3483" t="str">
        <f>"20190312160401201"</f>
        <v>20190312160401201</v>
      </c>
      <c r="B3483" t="str">
        <f>"1552377841198469"</f>
        <v>1552377841198469</v>
      </c>
      <c r="C3483" t="s">
        <v>40</v>
      </c>
      <c r="D3483">
        <v>6.0054670000000003</v>
      </c>
      <c r="E3483">
        <v>0.49274800000000002</v>
      </c>
      <c r="F3483" t="s">
        <v>79</v>
      </c>
      <c r="G3483">
        <v>-416.94549999999998</v>
      </c>
      <c r="H3483" s="1">
        <v>3.6833270000000001E-6</v>
      </c>
      <c r="I3483">
        <v>211.8075</v>
      </c>
      <c r="J3483">
        <v>-432.6585</v>
      </c>
      <c r="K3483">
        <v>1.1105879999999999</v>
      </c>
      <c r="L3483">
        <v>211.98159999999999</v>
      </c>
      <c r="M3483">
        <v>0.99825629999999999</v>
      </c>
      <c r="N3483">
        <v>0</v>
      </c>
      <c r="O3483">
        <v>-5.8435790000000001E-2</v>
      </c>
      <c r="P3483">
        <v>0.99933559999999999</v>
      </c>
      <c r="Q3483">
        <v>2.3263220000000001E-2</v>
      </c>
      <c r="R3483">
        <v>-2.806297E-2</v>
      </c>
      <c r="S3483">
        <v>3.0061650000000002</v>
      </c>
      <c r="T3483">
        <v>-0.20954400000000001</v>
      </c>
      <c r="U3483">
        <v>-3.5003659999999999E-2</v>
      </c>
      <c r="V3483">
        <v>-3.045318E-2</v>
      </c>
      <c r="W3483">
        <v>3.154357E-2</v>
      </c>
      <c r="X3483">
        <v>0.99903830000000005</v>
      </c>
      <c r="Y3483">
        <v>-4.6556010000000002E-2</v>
      </c>
      <c r="Z3483">
        <v>5.686801E-3</v>
      </c>
      <c r="AA3483">
        <v>0.99889950000000005</v>
      </c>
      <c r="AB3483">
        <v>22</v>
      </c>
      <c r="AC3483">
        <v>15.712999999999999</v>
      </c>
      <c r="AD3483">
        <v>-1.1105843166729901</v>
      </c>
      <c r="AE3483">
        <v>-0.17409999999998099</v>
      </c>
      <c r="AF3483">
        <v>-0.74073114141569796</v>
      </c>
      <c r="AG3483">
        <v>-1.1105843166729901</v>
      </c>
      <c r="AH3483">
        <v>15.618308554509699</v>
      </c>
      <c r="AI3483">
        <v>94.062782181878205</v>
      </c>
      <c r="AJ3483">
        <v>92.715338206159998</v>
      </c>
      <c r="AK3483">
        <v>15.675255731635501</v>
      </c>
      <c r="AL3483">
        <v>88.192386647825202</v>
      </c>
      <c r="AM3483">
        <v>91.7459776700437</v>
      </c>
      <c r="AN3483">
        <v>0.99999995892367199</v>
      </c>
    </row>
    <row r="3484" spans="1:40" x14ac:dyDescent="0.25">
      <c r="A3484" t="str">
        <f>"20190312160401224"</f>
        <v>20190312160401224</v>
      </c>
      <c r="B3484" t="str">
        <f>"1552377841217990"</f>
        <v>1552377841217990</v>
      </c>
      <c r="C3484" t="s">
        <v>40</v>
      </c>
      <c r="D3484">
        <v>5.5474620000000003</v>
      </c>
      <c r="E3484">
        <v>0.49337439999999999</v>
      </c>
      <c r="F3484" t="s">
        <v>79</v>
      </c>
      <c r="G3484">
        <v>-417.74169999999998</v>
      </c>
      <c r="H3484" s="1">
        <v>3.8199319999999997E-6</v>
      </c>
      <c r="I3484">
        <v>211.8604</v>
      </c>
      <c r="J3484">
        <v>-432.4289</v>
      </c>
      <c r="K3484">
        <v>1.110697</v>
      </c>
      <c r="L3484">
        <v>211.9699</v>
      </c>
      <c r="M3484">
        <v>0.99834990000000001</v>
      </c>
      <c r="N3484">
        <v>0</v>
      </c>
      <c r="O3484">
        <v>-5.6777050000000003E-2</v>
      </c>
      <c r="P3484">
        <v>0.99938400000000005</v>
      </c>
      <c r="Q3484">
        <v>2.2307960000000002E-2</v>
      </c>
      <c r="R3484">
        <v>-2.7100570000000001E-2</v>
      </c>
      <c r="S3484">
        <v>3.0065309999999998</v>
      </c>
      <c r="T3484">
        <v>-0.22384129999999999</v>
      </c>
      <c r="U3484">
        <v>-2.4429320000000001E-2</v>
      </c>
      <c r="V3484">
        <v>-2.9757849999999999E-2</v>
      </c>
      <c r="W3484">
        <v>3.0828189999999998E-2</v>
      </c>
      <c r="X3484">
        <v>0.99908160000000001</v>
      </c>
      <c r="Y3484">
        <v>-4.8374380000000002E-2</v>
      </c>
      <c r="Z3484">
        <v>6.0177019999999998E-3</v>
      </c>
      <c r="AA3484">
        <v>0.99881109999999995</v>
      </c>
      <c r="AB3484">
        <v>22</v>
      </c>
      <c r="AC3484">
        <v>14.687200000000001</v>
      </c>
      <c r="AD3484">
        <v>-1.110693180068</v>
      </c>
      <c r="AE3484">
        <v>-0.109499999999997</v>
      </c>
      <c r="AF3484">
        <v>-0.72048320842925195</v>
      </c>
      <c r="AG3484">
        <v>-1.110693180068</v>
      </c>
      <c r="AH3484">
        <v>14.5863108092333</v>
      </c>
      <c r="AI3484">
        <v>94.349174885033094</v>
      </c>
      <c r="AJ3484">
        <v>92.827796848706797</v>
      </c>
      <c r="AK3484">
        <v>14.646269095487501</v>
      </c>
      <c r="AL3484">
        <v>88.233394880195505</v>
      </c>
      <c r="AM3484">
        <v>91.706062126584797</v>
      </c>
      <c r="AN3484">
        <v>0.99999997519692896</v>
      </c>
    </row>
    <row r="3485" spans="1:40" x14ac:dyDescent="0.25">
      <c r="A3485" t="str">
        <f>"20190312160401248"</f>
        <v>20190312160401248</v>
      </c>
      <c r="B3485" t="str">
        <f>"1552377841238486"</f>
        <v>1552377841238486</v>
      </c>
      <c r="C3485" t="s">
        <v>40</v>
      </c>
      <c r="D3485">
        <v>5.5818450000000004</v>
      </c>
      <c r="E3485">
        <v>0.49404419999999999</v>
      </c>
      <c r="F3485" t="s">
        <v>79</v>
      </c>
      <c r="G3485">
        <v>-417.56079999999997</v>
      </c>
      <c r="H3485" s="1">
        <v>3.789497E-6</v>
      </c>
      <c r="I3485">
        <v>211.8415</v>
      </c>
      <c r="J3485">
        <v>-432.19920000000002</v>
      </c>
      <c r="K3485">
        <v>1.1108039999999999</v>
      </c>
      <c r="L3485">
        <v>211.95869999999999</v>
      </c>
      <c r="M3485">
        <v>0.99843590000000004</v>
      </c>
      <c r="N3485">
        <v>0</v>
      </c>
      <c r="O3485">
        <v>-5.5188979999999999E-2</v>
      </c>
      <c r="P3485">
        <v>0.99940910000000005</v>
      </c>
      <c r="Q3485">
        <v>2.224895E-2</v>
      </c>
      <c r="R3485">
        <v>-2.6200279999999999E-2</v>
      </c>
      <c r="S3485">
        <v>3.0061650000000002</v>
      </c>
      <c r="T3485">
        <v>-0.22457050000000001</v>
      </c>
      <c r="U3485">
        <v>-2.5970460000000001E-2</v>
      </c>
      <c r="V3485">
        <v>-2.907156E-2</v>
      </c>
      <c r="W3485">
        <v>3.111796E-2</v>
      </c>
      <c r="X3485">
        <v>0.9990928</v>
      </c>
      <c r="Y3485">
        <v>-4.6280979999999999E-2</v>
      </c>
      <c r="Z3485">
        <v>5.8415699999999999E-3</v>
      </c>
      <c r="AA3485">
        <v>0.9989114</v>
      </c>
      <c r="AB3485">
        <v>22</v>
      </c>
      <c r="AC3485">
        <v>14.638400000000001</v>
      </c>
      <c r="AD3485">
        <v>-1.1108002105029999</v>
      </c>
      <c r="AE3485">
        <v>-0.117199999999996</v>
      </c>
      <c r="AF3485">
        <v>-0.68693405791738305</v>
      </c>
      <c r="AG3485">
        <v>-1.1108002105029999</v>
      </c>
      <c r="AH3485">
        <v>14.538844816458999</v>
      </c>
      <c r="AI3485">
        <v>94.364187833437597</v>
      </c>
      <c r="AJ3485">
        <v>92.705109944253095</v>
      </c>
      <c r="AK3485">
        <v>14.5973889481872</v>
      </c>
      <c r="AL3485">
        <v>88.216784272711706</v>
      </c>
      <c r="AM3485">
        <v>91.666719873958598</v>
      </c>
      <c r="AN3485">
        <v>0.999999953023616</v>
      </c>
    </row>
    <row r="3486" spans="1:40" x14ac:dyDescent="0.25">
      <c r="A3486" t="str">
        <f>"20190312160401269"</f>
        <v>20190312160401269</v>
      </c>
      <c r="B3486" t="str">
        <f>"1552377841258005"</f>
        <v>1552377841258005</v>
      </c>
      <c r="C3486" t="s">
        <v>40</v>
      </c>
      <c r="D3486">
        <v>5.6595089999999999</v>
      </c>
      <c r="E3486">
        <v>0.49379440000000002</v>
      </c>
      <c r="F3486" t="s">
        <v>79</v>
      </c>
      <c r="G3486">
        <v>-417.9633</v>
      </c>
      <c r="H3486" s="1">
        <v>3.8626220000000003E-6</v>
      </c>
      <c r="I3486">
        <v>211.82169999999999</v>
      </c>
      <c r="J3486">
        <v>-431.98250000000002</v>
      </c>
      <c r="K3486">
        <v>1.110878</v>
      </c>
      <c r="L3486">
        <v>211.9485</v>
      </c>
      <c r="M3486">
        <v>0.99851420000000002</v>
      </c>
      <c r="N3486">
        <v>0</v>
      </c>
      <c r="O3486">
        <v>-5.3689420000000002E-2</v>
      </c>
      <c r="P3486">
        <v>0.99942129999999996</v>
      </c>
      <c r="Q3486">
        <v>2.3100900000000001E-2</v>
      </c>
      <c r="R3486">
        <v>-2.4972620000000001E-2</v>
      </c>
      <c r="S3486">
        <v>3.006256</v>
      </c>
      <c r="T3486">
        <v>-0.23457349999999999</v>
      </c>
      <c r="U3486">
        <v>-2.8915409999999999E-2</v>
      </c>
      <c r="V3486">
        <v>-2.8800300000000001E-2</v>
      </c>
      <c r="W3486">
        <v>3.2363309999999999E-2</v>
      </c>
      <c r="X3486">
        <v>0.99906119999999998</v>
      </c>
      <c r="Y3486">
        <v>-4.3789059999999998E-2</v>
      </c>
      <c r="Z3486">
        <v>5.8870140000000003E-3</v>
      </c>
      <c r="AA3486">
        <v>0.99902340000000001</v>
      </c>
      <c r="AB3486">
        <v>22</v>
      </c>
      <c r="AC3486">
        <v>14.0192</v>
      </c>
      <c r="AD3486">
        <v>-1.110874137378</v>
      </c>
      <c r="AE3486">
        <v>-0.12680000000000199</v>
      </c>
      <c r="AF3486">
        <v>-0.62219194307085901</v>
      </c>
      <c r="AG3486">
        <v>-1.110874137378</v>
      </c>
      <c r="AH3486">
        <v>13.918401188981299</v>
      </c>
      <c r="AI3486">
        <v>94.5587610001499</v>
      </c>
      <c r="AJ3486">
        <v>92.5595795120053</v>
      </c>
      <c r="AK3486">
        <v>13.976518014890299</v>
      </c>
      <c r="AL3486">
        <v>88.145395196195196</v>
      </c>
      <c r="AM3486">
        <v>91.651228943372104</v>
      </c>
      <c r="AN3486">
        <v>1.0000000612298401</v>
      </c>
    </row>
    <row r="3487" spans="1:40" x14ac:dyDescent="0.25">
      <c r="A3487" t="str">
        <f>"20190312160401291"</f>
        <v>20190312160401291</v>
      </c>
      <c r="B3487" t="str">
        <f>"1552377841278502"</f>
        <v>1552377841278502</v>
      </c>
      <c r="C3487" t="s">
        <v>40</v>
      </c>
      <c r="D3487">
        <v>5.4450979999999998</v>
      </c>
      <c r="E3487">
        <v>0.49412800000000001</v>
      </c>
      <c r="F3487" t="s">
        <v>79</v>
      </c>
      <c r="G3487">
        <v>-418.15640000000002</v>
      </c>
      <c r="H3487" s="1">
        <v>3.8950540000000002E-6</v>
      </c>
      <c r="I3487">
        <v>211.8426</v>
      </c>
      <c r="J3487">
        <v>-431.7704</v>
      </c>
      <c r="K3487">
        <v>1.110919</v>
      </c>
      <c r="L3487">
        <v>211.93879999999999</v>
      </c>
      <c r="M3487">
        <v>0.99858970000000002</v>
      </c>
      <c r="N3487">
        <v>0</v>
      </c>
      <c r="O3487">
        <v>-5.2202119999999998E-2</v>
      </c>
      <c r="P3487">
        <v>0.99944520000000003</v>
      </c>
      <c r="Q3487">
        <v>2.3310440000000002E-2</v>
      </c>
      <c r="R3487">
        <v>-2.3796000000000001E-2</v>
      </c>
      <c r="S3487">
        <v>3.0067439999999999</v>
      </c>
      <c r="T3487">
        <v>-0.2415814</v>
      </c>
      <c r="U3487">
        <v>-2.3025509999999999E-2</v>
      </c>
      <c r="V3487">
        <v>-2.848871E-2</v>
      </c>
      <c r="W3487">
        <v>3.2916149999999998E-2</v>
      </c>
      <c r="X3487">
        <v>0.99905200000000005</v>
      </c>
      <c r="Y3487">
        <v>-4.4245100000000002E-2</v>
      </c>
      <c r="Z3487">
        <v>5.9605910000000003E-3</v>
      </c>
      <c r="AA3487">
        <v>0.99900290000000003</v>
      </c>
      <c r="AB3487">
        <v>22</v>
      </c>
      <c r="AC3487">
        <v>13.6139999999999</v>
      </c>
      <c r="AD3487">
        <v>-1.110915104946</v>
      </c>
      <c r="AE3487">
        <v>-9.61999999999818E-2</v>
      </c>
      <c r="AF3487">
        <v>-0.61057861873960795</v>
      </c>
      <c r="AG3487">
        <v>-1.110915104946</v>
      </c>
      <c r="AH3487">
        <v>13.510500152352</v>
      </c>
      <c r="AI3487">
        <v>94.695859507444695</v>
      </c>
      <c r="AJ3487">
        <v>92.587601485509495</v>
      </c>
      <c r="AK3487">
        <v>13.5698398290754</v>
      </c>
      <c r="AL3487">
        <v>88.113702776691596</v>
      </c>
      <c r="AM3487">
        <v>91.633389086399902</v>
      </c>
      <c r="AN3487">
        <v>0.99999998911614296</v>
      </c>
    </row>
    <row r="3488" spans="1:40" x14ac:dyDescent="0.25">
      <c r="A3488" t="str">
        <f>"20190312160401313"</f>
        <v>20190312160401313</v>
      </c>
      <c r="B3488" t="str">
        <f>"1552377841307782"</f>
        <v>1552377841307782</v>
      </c>
      <c r="C3488" t="s">
        <v>40</v>
      </c>
      <c r="D3488">
        <v>5.7399120000000003</v>
      </c>
      <c r="E3488">
        <v>0.49380010000000002</v>
      </c>
      <c r="F3488" t="s">
        <v>79</v>
      </c>
      <c r="G3488">
        <v>-418.03910000000002</v>
      </c>
      <c r="H3488" s="1">
        <v>3.8745410000000004E-6</v>
      </c>
      <c r="I3488">
        <v>211.8391</v>
      </c>
      <c r="J3488">
        <v>-431.54759999999999</v>
      </c>
      <c r="K3488">
        <v>1.110992</v>
      </c>
      <c r="L3488">
        <v>211.929</v>
      </c>
      <c r="M3488">
        <v>0.99866180000000004</v>
      </c>
      <c r="N3488">
        <v>0</v>
      </c>
      <c r="O3488">
        <v>-5.0687940000000001E-2</v>
      </c>
      <c r="P3488">
        <v>0.99948939999999997</v>
      </c>
      <c r="Q3488">
        <v>2.2441510000000001E-2</v>
      </c>
      <c r="R3488">
        <v>-2.274636E-2</v>
      </c>
      <c r="S3488">
        <v>3.0067439999999999</v>
      </c>
      <c r="T3488">
        <v>-0.2432568</v>
      </c>
      <c r="U3488">
        <v>-2.183533E-2</v>
      </c>
      <c r="V3488">
        <v>-2.8020659999999999E-2</v>
      </c>
      <c r="W3488">
        <v>3.2649259999999999E-2</v>
      </c>
      <c r="X3488">
        <v>0.99907400000000002</v>
      </c>
      <c r="Y3488">
        <v>-4.3130300000000003E-2</v>
      </c>
      <c r="Z3488">
        <v>5.8346419999999897E-3</v>
      </c>
      <c r="AA3488">
        <v>0.99905239999999995</v>
      </c>
      <c r="AB3488">
        <v>22</v>
      </c>
      <c r="AC3488">
        <v>13.5084999999999</v>
      </c>
      <c r="AD3488">
        <v>-1.1109881254589999</v>
      </c>
      <c r="AE3488">
        <v>-8.9899999999999994E-2</v>
      </c>
      <c r="AF3488">
        <v>-0.59097251007771001</v>
      </c>
      <c r="AG3488">
        <v>-1.1109881254589999</v>
      </c>
      <c r="AH3488">
        <v>13.4050228573133</v>
      </c>
      <c r="AI3488">
        <v>94.733183673178303</v>
      </c>
      <c r="AJ3488">
        <v>92.5243015251081</v>
      </c>
      <c r="AK3488">
        <v>13.4639585905361</v>
      </c>
      <c r="AL3488">
        <v>88.129002681265803</v>
      </c>
      <c r="AM3488">
        <v>91.606532444478205</v>
      </c>
      <c r="AN3488">
        <v>0.99999999452069099</v>
      </c>
    </row>
    <row r="3489" spans="1:40" x14ac:dyDescent="0.25">
      <c r="A3489" t="str">
        <f>"20190312160401337"</f>
        <v>20190312160401337</v>
      </c>
      <c r="B3489" t="str">
        <f>"1552377841328278"</f>
        <v>1552377841328278</v>
      </c>
      <c r="C3489" t="s">
        <v>40</v>
      </c>
      <c r="D3489">
        <v>5.5488520000000001</v>
      </c>
      <c r="E3489">
        <v>0.4939576</v>
      </c>
      <c r="F3489" t="s">
        <v>79</v>
      </c>
      <c r="G3489">
        <v>-418.42649999999998</v>
      </c>
      <c r="H3489" s="1">
        <v>3.9413979999999996E-6</v>
      </c>
      <c r="I3489">
        <v>211.8605</v>
      </c>
      <c r="J3489">
        <v>-431.31950000000001</v>
      </c>
      <c r="K3489">
        <v>1.111243</v>
      </c>
      <c r="L3489">
        <v>211.91919999999999</v>
      </c>
      <c r="M3489">
        <v>0.99871200000000004</v>
      </c>
      <c r="N3489">
        <v>0</v>
      </c>
      <c r="O3489">
        <v>-4.9323489999999998E-2</v>
      </c>
      <c r="P3489">
        <v>0.99955870000000002</v>
      </c>
      <c r="Q3489">
        <v>2.003257E-2</v>
      </c>
      <c r="R3489">
        <v>-2.192989E-2</v>
      </c>
      <c r="S3489">
        <v>3.0068969999999999</v>
      </c>
      <c r="T3489">
        <v>-0.25460100000000002</v>
      </c>
      <c r="U3489">
        <v>-1.5686039999999998E-2</v>
      </c>
      <c r="V3489">
        <v>-2.746492E-2</v>
      </c>
      <c r="W3489">
        <v>3.1863839999999997E-2</v>
      </c>
      <c r="X3489">
        <v>0.99911479999999997</v>
      </c>
      <c r="Y3489">
        <v>-4.3783009999999997E-2</v>
      </c>
      <c r="Z3489">
        <v>6.0180199999999998E-3</v>
      </c>
      <c r="AA3489">
        <v>0.99902299999999999</v>
      </c>
      <c r="AB3489">
        <v>22</v>
      </c>
      <c r="AC3489">
        <v>12.893000000000001</v>
      </c>
      <c r="AD3489">
        <v>-1.111239058602</v>
      </c>
      <c r="AE3489">
        <v>-5.8699999999987498E-2</v>
      </c>
      <c r="AF3489">
        <v>-0.57308707370212497</v>
      </c>
      <c r="AG3489">
        <v>-1.111239058602</v>
      </c>
      <c r="AH3489">
        <v>12.785226257345</v>
      </c>
      <c r="AI3489">
        <v>94.962471113949604</v>
      </c>
      <c r="AJ3489">
        <v>92.566517428628202</v>
      </c>
      <c r="AK3489">
        <v>12.8462170108912</v>
      </c>
      <c r="AL3489">
        <v>88.174027382545106</v>
      </c>
      <c r="AM3489">
        <v>91.5746216609665</v>
      </c>
      <c r="AN3489">
        <v>1.0000000048545901</v>
      </c>
    </row>
    <row r="3490" spans="1:40" x14ac:dyDescent="0.25">
      <c r="A3490" t="str">
        <f>"20190312160401360"</f>
        <v>20190312160401360</v>
      </c>
      <c r="B3490" t="str">
        <f>"1552377841347797"</f>
        <v>1552377841347797</v>
      </c>
      <c r="C3490" t="s">
        <v>40</v>
      </c>
      <c r="D3490">
        <v>5.6396940000000004</v>
      </c>
      <c r="E3490">
        <v>0.49390830000000002</v>
      </c>
      <c r="F3490" t="s">
        <v>79</v>
      </c>
      <c r="G3490">
        <v>-418.62270000000001</v>
      </c>
      <c r="H3490" s="1">
        <v>3.9763850000000004E-6</v>
      </c>
      <c r="I3490">
        <v>211.85830000000001</v>
      </c>
      <c r="J3490">
        <v>-431.10160000000002</v>
      </c>
      <c r="K3490">
        <v>1.1115109999999999</v>
      </c>
      <c r="L3490">
        <v>211.90989999999999</v>
      </c>
      <c r="M3490">
        <v>0.99874430000000003</v>
      </c>
      <c r="N3490">
        <v>0</v>
      </c>
      <c r="O3490">
        <v>-4.8147919999999997E-2</v>
      </c>
      <c r="P3490">
        <v>0.99962150000000005</v>
      </c>
      <c r="Q3490">
        <v>1.7844680000000002E-2</v>
      </c>
      <c r="R3490">
        <v>-2.093917E-2</v>
      </c>
      <c r="S3490">
        <v>3.0062869999999999</v>
      </c>
      <c r="T3490">
        <v>-0.2631135</v>
      </c>
      <c r="U3490">
        <v>-1.441956E-2</v>
      </c>
      <c r="V3490">
        <v>-2.7272649999999999E-2</v>
      </c>
      <c r="W3490">
        <v>3.163651E-2</v>
      </c>
      <c r="X3490">
        <v>0.99912730000000005</v>
      </c>
      <c r="Y3490">
        <v>-4.3012769999999999E-2</v>
      </c>
      <c r="Z3490">
        <v>6.083616E-3</v>
      </c>
      <c r="AA3490">
        <v>0.99905600000000006</v>
      </c>
      <c r="AB3490">
        <v>22</v>
      </c>
      <c r="AC3490">
        <v>12.478899999999999</v>
      </c>
      <c r="AD3490">
        <v>-1.111507023615</v>
      </c>
      <c r="AE3490">
        <v>-5.1599999999979197E-2</v>
      </c>
      <c r="AF3490">
        <v>-0.54502653989240002</v>
      </c>
      <c r="AG3490">
        <v>-1.111507023615</v>
      </c>
      <c r="AH3490">
        <v>12.3687814427517</v>
      </c>
      <c r="AI3490">
        <v>95.130078042735505</v>
      </c>
      <c r="AJ3490">
        <v>92.5230886750075</v>
      </c>
      <c r="AK3490">
        <v>12.43057746733</v>
      </c>
      <c r="AL3490">
        <v>88.187059018550599</v>
      </c>
      <c r="AM3490">
        <v>91.563584356312802</v>
      </c>
      <c r="AN3490">
        <v>1.0000000139041401</v>
      </c>
    </row>
    <row r="3491" spans="1:40" x14ac:dyDescent="0.25">
      <c r="A3491" t="str">
        <f>"20190312160401382"</f>
        <v>20190312160401382</v>
      </c>
      <c r="B3491" t="str">
        <f>"1552377841378054"</f>
        <v>1552377841378054</v>
      </c>
      <c r="C3491" t="s">
        <v>40</v>
      </c>
      <c r="D3491">
        <v>5.5959539999999999</v>
      </c>
      <c r="E3491">
        <v>0.49405569999999999</v>
      </c>
      <c r="F3491" t="s">
        <v>79</v>
      </c>
      <c r="G3491">
        <v>-418.89490000000001</v>
      </c>
      <c r="H3491" s="1">
        <v>4.0241129999999999E-6</v>
      </c>
      <c r="I3491">
        <v>211.8646</v>
      </c>
      <c r="J3491">
        <v>-430.8922</v>
      </c>
      <c r="K3491">
        <v>1.11178</v>
      </c>
      <c r="L3491">
        <v>211.90129999999999</v>
      </c>
      <c r="M3491">
        <v>0.99876120000000002</v>
      </c>
      <c r="N3491">
        <v>0</v>
      </c>
      <c r="O3491">
        <v>-4.7157699999999997E-2</v>
      </c>
      <c r="P3491">
        <v>0.99967470000000003</v>
      </c>
      <c r="Q3491">
        <v>1.5491599999999999E-2</v>
      </c>
      <c r="R3491">
        <v>-2.026938E-2</v>
      </c>
      <c r="S3491">
        <v>3.0058289999999999</v>
      </c>
      <c r="T3491">
        <v>-0.27370080000000002</v>
      </c>
      <c r="U3491">
        <v>-1.115417E-2</v>
      </c>
      <c r="V3491">
        <v>-2.6947519999999999E-2</v>
      </c>
      <c r="W3491">
        <v>3.1323379999999998E-2</v>
      </c>
      <c r="X3491">
        <v>0.99914599999999998</v>
      </c>
      <c r="Y3491">
        <v>-4.3083389999999999E-2</v>
      </c>
      <c r="Z3491">
        <v>6.2418559999999996E-3</v>
      </c>
      <c r="AA3491">
        <v>0.99905200000000005</v>
      </c>
      <c r="AB3491">
        <v>21</v>
      </c>
      <c r="AC3491">
        <v>11.9972999999999</v>
      </c>
      <c r="AD3491">
        <v>-1.1117759758870001</v>
      </c>
      <c r="AE3491">
        <v>-3.6699999999996097E-2</v>
      </c>
      <c r="AF3491">
        <v>-0.524671691938564</v>
      </c>
      <c r="AG3491">
        <v>-1.1117759758870001</v>
      </c>
      <c r="AH3491">
        <v>11.8836301193788</v>
      </c>
      <c r="AI3491">
        <v>95.339592084351594</v>
      </c>
      <c r="AJ3491">
        <v>92.528012334719406</v>
      </c>
      <c r="AK3491">
        <v>11.9470494691822</v>
      </c>
      <c r="AL3491">
        <v>88.2050089640625</v>
      </c>
      <c r="AM3491">
        <v>91.544924324025104</v>
      </c>
      <c r="AN3491">
        <v>1.00000002614238</v>
      </c>
    </row>
    <row r="3492" spans="1:40" x14ac:dyDescent="0.25">
      <c r="A3492" t="str">
        <f>"20190312160401405"</f>
        <v>20190312160401405</v>
      </c>
      <c r="B3492" t="str">
        <f>"1552377841398550"</f>
        <v>1552377841398550</v>
      </c>
      <c r="C3492" t="s">
        <v>40</v>
      </c>
      <c r="D3492">
        <v>5.5150119999999996</v>
      </c>
      <c r="E3492">
        <v>0.49449159999999998</v>
      </c>
      <c r="F3492" t="s">
        <v>79</v>
      </c>
      <c r="G3492">
        <v>-418.97809999999998</v>
      </c>
      <c r="H3492" s="1">
        <v>4.0392999999999996E-6</v>
      </c>
      <c r="I3492">
        <v>211.85980000000001</v>
      </c>
      <c r="J3492">
        <v>-430.68759999999997</v>
      </c>
      <c r="K3492">
        <v>1.1120270000000001</v>
      </c>
      <c r="L3492">
        <v>211.8929</v>
      </c>
      <c r="M3492">
        <v>0.99877059999999995</v>
      </c>
      <c r="N3492">
        <v>0</v>
      </c>
      <c r="O3492">
        <v>-4.6227539999999998E-2</v>
      </c>
      <c r="P3492">
        <v>0.99972499999999997</v>
      </c>
      <c r="Q3492">
        <v>1.309811E-2</v>
      </c>
      <c r="R3492">
        <v>-1.945902E-2</v>
      </c>
      <c r="S3492">
        <v>3.0051269999999999</v>
      </c>
      <c r="T3492">
        <v>-0.2804278</v>
      </c>
      <c r="U3492">
        <v>-1.045227E-2</v>
      </c>
      <c r="V3492">
        <v>-2.6825379999999999E-2</v>
      </c>
      <c r="W3492">
        <v>3.0954490000000001E-2</v>
      </c>
      <c r="X3492">
        <v>0.99916079999999996</v>
      </c>
      <c r="Y3492">
        <v>-4.2375419999999997E-2</v>
      </c>
      <c r="Z3492">
        <v>6.2767459999999997E-3</v>
      </c>
      <c r="AA3492">
        <v>0.99908200000000003</v>
      </c>
      <c r="AB3492">
        <v>21</v>
      </c>
      <c r="AC3492">
        <v>11.709499999999901</v>
      </c>
      <c r="AD3492">
        <v>-1.1120229606999901</v>
      </c>
      <c r="AE3492">
        <v>-3.3099999999990297E-2</v>
      </c>
      <c r="AF3492">
        <v>-0.50378001176762499</v>
      </c>
      <c r="AG3492">
        <v>-1.1120229606999901</v>
      </c>
      <c r="AH3492">
        <v>11.593945026960199</v>
      </c>
      <c r="AI3492">
        <v>95.473580995186097</v>
      </c>
      <c r="AJ3492">
        <v>92.488050690418206</v>
      </c>
      <c r="AK3492">
        <v>11.6580423165108</v>
      </c>
      <c r="AL3492">
        <v>88.226155087862793</v>
      </c>
      <c r="AM3492">
        <v>91.537902534673705</v>
      </c>
      <c r="AN3492">
        <v>1.00000004285997</v>
      </c>
    </row>
    <row r="3493" spans="1:40" x14ac:dyDescent="0.25">
      <c r="A3493" t="str">
        <f>"20190312160401427"</f>
        <v>20190312160401427</v>
      </c>
      <c r="B3493" t="str">
        <f>"1552377841418071"</f>
        <v>1552377841418071</v>
      </c>
      <c r="C3493" t="s">
        <v>40</v>
      </c>
      <c r="D3493">
        <v>5.7396479999999999</v>
      </c>
      <c r="E3493">
        <v>0.49460349999999997</v>
      </c>
      <c r="F3493" t="s">
        <v>79</v>
      </c>
      <c r="G3493">
        <v>-418.92230000000001</v>
      </c>
      <c r="H3493" s="1">
        <v>4.0303649999999997E-6</v>
      </c>
      <c r="I3493">
        <v>211.84880000000001</v>
      </c>
      <c r="J3493">
        <v>-430.48719999999997</v>
      </c>
      <c r="K3493">
        <v>1.1121160000000001</v>
      </c>
      <c r="L3493">
        <v>211.88499999999999</v>
      </c>
      <c r="M3493">
        <v>0.99880579999999997</v>
      </c>
      <c r="N3493">
        <v>0</v>
      </c>
      <c r="O3493">
        <v>-4.4964480000000001E-2</v>
      </c>
      <c r="P3493">
        <v>0.99977419999999995</v>
      </c>
      <c r="Q3493">
        <v>1.10223E-2</v>
      </c>
      <c r="R3493">
        <v>-1.8174260000000001E-2</v>
      </c>
      <c r="S3493">
        <v>3.0043329999999999</v>
      </c>
      <c r="T3493">
        <v>-0.28396090000000002</v>
      </c>
      <c r="U3493">
        <v>-1.126099E-2</v>
      </c>
      <c r="V3493">
        <v>-2.6849439999999999E-2</v>
      </c>
      <c r="W3493">
        <v>3.0092290000000001E-2</v>
      </c>
      <c r="X3493">
        <v>0.99918649999999998</v>
      </c>
      <c r="Y3493">
        <v>-4.0845609999999997E-2</v>
      </c>
      <c r="Z3493">
        <v>6.1660650000000001E-3</v>
      </c>
      <c r="AA3493">
        <v>0.99914650000000005</v>
      </c>
      <c r="AB3493">
        <v>21</v>
      </c>
      <c r="AC3493">
        <v>11.5648999999999</v>
      </c>
      <c r="AD3493">
        <v>-1.1121119696349999</v>
      </c>
      <c r="AE3493">
        <v>-3.6199999999979499E-2</v>
      </c>
      <c r="AF3493">
        <v>-0.47950722657424799</v>
      </c>
      <c r="AG3493">
        <v>-1.1121119696349999</v>
      </c>
      <c r="AH3493">
        <v>11.4489563509393</v>
      </c>
      <c r="AI3493">
        <v>95.543278207799005</v>
      </c>
      <c r="AJ3493">
        <v>92.398270403240701</v>
      </c>
      <c r="AK3493">
        <v>11.512832915449399</v>
      </c>
      <c r="AL3493">
        <v>88.275578549521001</v>
      </c>
      <c r="AM3493">
        <v>91.539241661607093</v>
      </c>
      <c r="AN3493">
        <v>1.0000000500640001</v>
      </c>
    </row>
    <row r="3494" spans="1:40" x14ac:dyDescent="0.25">
      <c r="A3494" t="str">
        <f>"20190312160401470"</f>
        <v>20190312160401470</v>
      </c>
      <c r="B3494" t="str">
        <f>"1552377841458086"</f>
        <v>1552377841458086</v>
      </c>
      <c r="C3494" t="s">
        <v>40</v>
      </c>
      <c r="D3494">
        <v>5.7024970000000001</v>
      </c>
      <c r="E3494">
        <v>0.49505919999999998</v>
      </c>
      <c r="F3494" t="s">
        <v>79</v>
      </c>
      <c r="G3494">
        <v>-418.89830000000001</v>
      </c>
      <c r="H3494" s="1">
        <v>4.0255949999999997E-6</v>
      </c>
      <c r="I3494">
        <v>211.8546</v>
      </c>
      <c r="J3494">
        <v>-430.08690000000001</v>
      </c>
      <c r="K3494">
        <v>1.1114219999999999</v>
      </c>
      <c r="L3494">
        <v>211.87039999999999</v>
      </c>
      <c r="M3494">
        <v>0.99896160000000001</v>
      </c>
      <c r="N3494">
        <v>0</v>
      </c>
      <c r="O3494">
        <v>-4.2270780000000001E-2</v>
      </c>
      <c r="P3494">
        <v>0.99980690000000005</v>
      </c>
      <c r="Q3494">
        <v>1.192665E-2</v>
      </c>
      <c r="R3494">
        <v>-1.562593E-2</v>
      </c>
      <c r="S3494">
        <v>3.0037229999999999</v>
      </c>
      <c r="T3494">
        <v>-0.28824880000000003</v>
      </c>
      <c r="U3494">
        <v>-7.8735349999999992E-3</v>
      </c>
      <c r="V3494">
        <v>-2.671747E-2</v>
      </c>
      <c r="W3494">
        <v>2.887021E-2</v>
      </c>
      <c r="X3494">
        <v>0.99922599999999995</v>
      </c>
      <c r="Y3494">
        <v>-3.928326E-2</v>
      </c>
      <c r="Z3494">
        <v>5.9273490000000002E-3</v>
      </c>
      <c r="AA3494">
        <v>0.9992105</v>
      </c>
      <c r="AB3494">
        <v>21</v>
      </c>
      <c r="AC3494">
        <v>11.188599999999999</v>
      </c>
      <c r="AD3494">
        <v>-1.1114179744049999</v>
      </c>
      <c r="AE3494">
        <v>-1.5799999999984399E-2</v>
      </c>
      <c r="AF3494">
        <v>-0.452765691136434</v>
      </c>
      <c r="AG3494">
        <v>-1.1114179744049999</v>
      </c>
      <c r="AH3494">
        <v>11.0700322436617</v>
      </c>
      <c r="AI3494">
        <v>95.728458229506401</v>
      </c>
      <c r="AJ3494">
        <v>92.342099097023706</v>
      </c>
      <c r="AK3494">
        <v>11.13489382799</v>
      </c>
      <c r="AL3494">
        <v>88.345628868973193</v>
      </c>
      <c r="AM3494">
        <v>91.5316190955797</v>
      </c>
      <c r="AN3494">
        <v>0.99999995565232103</v>
      </c>
    </row>
    <row r="3495" spans="1:40" x14ac:dyDescent="0.25">
      <c r="A3495" t="str">
        <f>"20190312160401494"</f>
        <v>20190312160401494</v>
      </c>
      <c r="B3495" t="str">
        <f>"1552377841488341"</f>
        <v>1552377841488341</v>
      </c>
      <c r="C3495" t="s">
        <v>40</v>
      </c>
      <c r="D3495">
        <v>5.479266</v>
      </c>
      <c r="E3495">
        <v>0.49525150000000001</v>
      </c>
      <c r="F3495" t="s">
        <v>79</v>
      </c>
      <c r="G3495">
        <v>-418.24259999999998</v>
      </c>
      <c r="H3495" s="1">
        <v>3.9092629999999996E-6</v>
      </c>
      <c r="I3495">
        <v>211.85489999999999</v>
      </c>
      <c r="J3495">
        <v>-429.87639999999999</v>
      </c>
      <c r="K3495">
        <v>1.111194</v>
      </c>
      <c r="L3495">
        <v>211.86340000000001</v>
      </c>
      <c r="M3495">
        <v>0.99902950000000001</v>
      </c>
      <c r="N3495">
        <v>0</v>
      </c>
      <c r="O3495">
        <v>-4.0979719999999997E-2</v>
      </c>
      <c r="P3495">
        <v>0.99982210000000005</v>
      </c>
      <c r="Q3495">
        <v>1.224455E-2</v>
      </c>
      <c r="R3495">
        <v>-1.43526E-2</v>
      </c>
      <c r="S3495">
        <v>3.003876</v>
      </c>
      <c r="T3495">
        <v>-0.28187099999999998</v>
      </c>
      <c r="U3495">
        <v>-3.9215090000000001E-3</v>
      </c>
      <c r="V3495">
        <v>-2.6699770000000001E-2</v>
      </c>
      <c r="W3495">
        <v>2.8334459999999999E-2</v>
      </c>
      <c r="X3495">
        <v>0.99924179999999996</v>
      </c>
      <c r="Y3495">
        <v>-3.9327910000000001E-2</v>
      </c>
      <c r="Z3495">
        <v>5.6777370000000004E-3</v>
      </c>
      <c r="AA3495">
        <v>0.99921020000000005</v>
      </c>
      <c r="AB3495">
        <v>21</v>
      </c>
      <c r="AC3495">
        <v>11.633800000000001</v>
      </c>
      <c r="AD3495">
        <v>-1.111190090737</v>
      </c>
      <c r="AE3495">
        <v>-8.5000000000263701E-3</v>
      </c>
      <c r="AF3495">
        <v>-0.464085361895264</v>
      </c>
      <c r="AG3495">
        <v>-1.111190090737</v>
      </c>
      <c r="AH3495">
        <v>11.519283812903</v>
      </c>
      <c r="AI3495">
        <v>95.505463004758397</v>
      </c>
      <c r="AJ3495">
        <v>92.307067076756596</v>
      </c>
      <c r="AK3495">
        <v>11.5820558711779</v>
      </c>
      <c r="AL3495">
        <v>88.376337634593</v>
      </c>
      <c r="AM3495">
        <v>91.530580708937293</v>
      </c>
      <c r="AN3495">
        <v>0.99999994710439</v>
      </c>
    </row>
    <row r="3496" spans="1:40" x14ac:dyDescent="0.25">
      <c r="A3496" t="str">
        <f>"20190312160401516"</f>
        <v>20190312160401516</v>
      </c>
      <c r="B3496" t="str">
        <f>"1552377841507862"</f>
        <v>1552377841507862</v>
      </c>
      <c r="C3496" t="s">
        <v>40</v>
      </c>
      <c r="D3496">
        <v>5.4026589999999999</v>
      </c>
      <c r="E3496">
        <v>0.49510969999999999</v>
      </c>
      <c r="F3496" t="s">
        <v>79</v>
      </c>
      <c r="G3496">
        <v>-417.94569999999999</v>
      </c>
      <c r="H3496" s="1">
        <v>3.8565339999999999E-6</v>
      </c>
      <c r="I3496">
        <v>211.85570000000001</v>
      </c>
      <c r="J3496">
        <v>-429.66250000000002</v>
      </c>
      <c r="K3496">
        <v>1.111056</v>
      </c>
      <c r="L3496">
        <v>211.85659999999999</v>
      </c>
      <c r="M3496">
        <v>0.99909150000000002</v>
      </c>
      <c r="N3496">
        <v>0</v>
      </c>
      <c r="O3496">
        <v>-3.9595980000000003E-2</v>
      </c>
      <c r="P3496">
        <v>0.99984150000000005</v>
      </c>
      <c r="Q3496">
        <v>1.1837820000000001E-2</v>
      </c>
      <c r="R3496">
        <v>-1.330552E-2</v>
      </c>
      <c r="S3496">
        <v>3.003876</v>
      </c>
      <c r="T3496">
        <v>-0.27977210000000002</v>
      </c>
      <c r="U3496">
        <v>-1.953125E-3</v>
      </c>
      <c r="V3496">
        <v>-2.6357769999999999E-2</v>
      </c>
      <c r="W3496">
        <v>2.753655E-2</v>
      </c>
      <c r="X3496">
        <v>0.99927319999999997</v>
      </c>
      <c r="Y3496">
        <v>-3.8612760000000003E-2</v>
      </c>
      <c r="Z3496">
        <v>5.4738670000000003E-3</v>
      </c>
      <c r="AA3496">
        <v>0.99923930000000005</v>
      </c>
      <c r="AB3496">
        <v>21</v>
      </c>
      <c r="AC3496">
        <v>11.716799999999999</v>
      </c>
      <c r="AD3496">
        <v>-1.1110521434659999</v>
      </c>
      <c r="AE3496">
        <v>-8.9999999997303305E-4</v>
      </c>
      <c r="AF3496">
        <v>-0.45896949882391402</v>
      </c>
      <c r="AG3496">
        <v>-1.1110521434659999</v>
      </c>
      <c r="AH3496">
        <v>11.6033090655941</v>
      </c>
      <c r="AI3496">
        <v>95.465321743823296</v>
      </c>
      <c r="AJ3496">
        <v>92.2651567006222</v>
      </c>
      <c r="AK3496">
        <v>11.665413457655401</v>
      </c>
      <c r="AL3496">
        <v>88.4220723844861</v>
      </c>
      <c r="AM3496">
        <v>91.510937039075699</v>
      </c>
      <c r="AN3496">
        <v>0.99999996093175603</v>
      </c>
    </row>
    <row r="3497" spans="1:40" x14ac:dyDescent="0.25">
      <c r="A3497" t="str">
        <f>"20190312160401539"</f>
        <v>20190312160401539</v>
      </c>
      <c r="B3497" t="str">
        <f>"1552377841528357"</f>
        <v>1552377841528357</v>
      </c>
      <c r="C3497" t="s">
        <v>40</v>
      </c>
      <c r="D3497">
        <v>5.4067049999999997</v>
      </c>
      <c r="E3497">
        <v>0.49513099999999999</v>
      </c>
      <c r="F3497" t="s">
        <v>79</v>
      </c>
      <c r="G3497">
        <v>-417.6447</v>
      </c>
      <c r="H3497" s="1">
        <v>3.802208E-6</v>
      </c>
      <c r="I3497">
        <v>211.86619999999999</v>
      </c>
      <c r="J3497">
        <v>-429.45740000000001</v>
      </c>
      <c r="K3497">
        <v>1.110878</v>
      </c>
      <c r="L3497">
        <v>211.8502</v>
      </c>
      <c r="M3497">
        <v>0.99915620000000005</v>
      </c>
      <c r="N3497">
        <v>0</v>
      </c>
      <c r="O3497">
        <v>-3.8116079999999997E-2</v>
      </c>
      <c r="P3497">
        <v>0.99985400000000002</v>
      </c>
      <c r="Q3497">
        <v>1.22116E-2</v>
      </c>
      <c r="R3497">
        <v>-1.1964249999999999E-2</v>
      </c>
      <c r="S3497">
        <v>3.0037539999999998</v>
      </c>
      <c r="T3497">
        <v>-0.27769759999999999</v>
      </c>
      <c r="U3497">
        <v>2.4108889999999998E-3</v>
      </c>
      <c r="V3497">
        <v>-2.621107E-2</v>
      </c>
      <c r="W3497">
        <v>2.7460769999999999E-2</v>
      </c>
      <c r="X3497">
        <v>0.99927920000000003</v>
      </c>
      <c r="Y3497">
        <v>-3.8595480000000001E-2</v>
      </c>
      <c r="Z3497">
        <v>5.2964090000000002E-3</v>
      </c>
      <c r="AA3497">
        <v>0.99924089999999999</v>
      </c>
      <c r="AB3497">
        <v>21</v>
      </c>
      <c r="AC3497">
        <v>11.8127</v>
      </c>
      <c r="AD3497">
        <v>-1.110874197792</v>
      </c>
      <c r="AE3497">
        <v>1.5999999999991101E-2</v>
      </c>
      <c r="AF3497">
        <v>-0.46220729854728898</v>
      </c>
      <c r="AG3497">
        <v>-1.110874197792</v>
      </c>
      <c r="AH3497">
        <v>11.700033210436599</v>
      </c>
      <c r="AI3497">
        <v>95.419557880517502</v>
      </c>
      <c r="AJ3497">
        <v>92.262281090832204</v>
      </c>
      <c r="AK3497">
        <v>11.761736869844899</v>
      </c>
      <c r="AL3497">
        <v>88.426415989332099</v>
      </c>
      <c r="AM3497">
        <v>91.502522432897294</v>
      </c>
      <c r="AN3497">
        <v>1.0000000168160801</v>
      </c>
    </row>
    <row r="3498" spans="1:40" x14ac:dyDescent="0.25">
      <c r="A3498" t="str">
        <f>"20190312160401561"</f>
        <v>20190312160401561</v>
      </c>
      <c r="B3498" t="str">
        <f>"1552377841557638"</f>
        <v>1552377841557638</v>
      </c>
      <c r="C3498" t="s">
        <v>40</v>
      </c>
      <c r="D3498">
        <v>5.3381509999999999</v>
      </c>
      <c r="E3498">
        <v>0.49538710000000002</v>
      </c>
      <c r="F3498" t="s">
        <v>79</v>
      </c>
      <c r="G3498">
        <v>-417.22590000000002</v>
      </c>
      <c r="H3498" s="1">
        <v>3.7270960000000002E-6</v>
      </c>
      <c r="I3498">
        <v>211.87559999999999</v>
      </c>
      <c r="J3498">
        <v>-429.24299999999999</v>
      </c>
      <c r="K3498">
        <v>1.1106720000000001</v>
      </c>
      <c r="L3498">
        <v>211.84370000000001</v>
      </c>
      <c r="M3498">
        <v>0.99922619999999895</v>
      </c>
      <c r="N3498">
        <v>0</v>
      </c>
      <c r="O3498">
        <v>-3.6518759999999997E-2</v>
      </c>
      <c r="P3498">
        <v>0.99985939999999995</v>
      </c>
      <c r="Q3498">
        <v>1.3658089999999999E-2</v>
      </c>
      <c r="R3498">
        <v>-9.7260809999999993E-3</v>
      </c>
      <c r="S3498">
        <v>3.0038149999999999</v>
      </c>
      <c r="T3498">
        <v>-0.2728083</v>
      </c>
      <c r="U3498">
        <v>6.2408450000000001E-3</v>
      </c>
      <c r="V3498">
        <v>-2.684518E-2</v>
      </c>
      <c r="W3498">
        <v>2.8221019999999999E-2</v>
      </c>
      <c r="X3498">
        <v>0.99924120000000005</v>
      </c>
      <c r="Y3498">
        <v>-3.8290970000000001E-2</v>
      </c>
      <c r="Z3498">
        <v>5.0449040000000002E-3</v>
      </c>
      <c r="AA3498">
        <v>0.99925390000000003</v>
      </c>
      <c r="AB3498">
        <v>21</v>
      </c>
      <c r="AC3498">
        <v>12.017099999999999</v>
      </c>
      <c r="AD3498">
        <v>-1.1106682729039901</v>
      </c>
      <c r="AE3498">
        <v>3.1899999999978897E-2</v>
      </c>
      <c r="AF3498">
        <v>-0.46678777341055</v>
      </c>
      <c r="AG3498">
        <v>-1.1106682729039901</v>
      </c>
      <c r="AH3498">
        <v>11.906212968107999</v>
      </c>
      <c r="AI3498">
        <v>95.325332545693598</v>
      </c>
      <c r="AJ3498">
        <v>92.245153781426794</v>
      </c>
      <c r="AK3498">
        <v>11.967012245326</v>
      </c>
      <c r="AL3498">
        <v>88.382840006869102</v>
      </c>
      <c r="AM3498">
        <v>91.538913352515905</v>
      </c>
      <c r="AN3498">
        <v>1.0000000327182501</v>
      </c>
    </row>
    <row r="3499" spans="1:40" x14ac:dyDescent="0.25">
      <c r="A3499" t="str">
        <f>"20190312160401583"</f>
        <v>20190312160401583</v>
      </c>
      <c r="B3499" t="str">
        <f>"1552377841578135"</f>
        <v>1552377841578135</v>
      </c>
      <c r="C3499" t="s">
        <v>40</v>
      </c>
      <c r="D3499">
        <v>5.3061499999999997</v>
      </c>
      <c r="E3499">
        <v>0.4955138</v>
      </c>
      <c r="F3499" t="s">
        <v>79</v>
      </c>
      <c r="G3499">
        <v>-416.5883</v>
      </c>
      <c r="H3499" s="1">
        <v>3.6130270000000001E-6</v>
      </c>
      <c r="I3499">
        <v>211.8869</v>
      </c>
      <c r="J3499">
        <v>-429.03800000000001</v>
      </c>
      <c r="K3499">
        <v>1.1105389999999999</v>
      </c>
      <c r="L3499">
        <v>211.83760000000001</v>
      </c>
      <c r="M3499">
        <v>0.99928680000000003</v>
      </c>
      <c r="N3499">
        <v>0</v>
      </c>
      <c r="O3499">
        <v>-3.5089950000000002E-2</v>
      </c>
      <c r="P3499">
        <v>0.99986850000000005</v>
      </c>
      <c r="Q3499">
        <v>1.4258649999999999E-2</v>
      </c>
      <c r="R3499">
        <v>-7.73728099999999E-3</v>
      </c>
      <c r="S3499">
        <v>3.0041199999999999</v>
      </c>
      <c r="T3499">
        <v>-0.2636657</v>
      </c>
      <c r="U3499">
        <v>1.0269169999999999E-2</v>
      </c>
      <c r="V3499">
        <v>-2.7400310000000001E-2</v>
      </c>
      <c r="W3499">
        <v>2.8168120000000001E-2</v>
      </c>
      <c r="X3499">
        <v>0.99922759999999999</v>
      </c>
      <c r="Y3499">
        <v>-3.8227570000000002E-2</v>
      </c>
      <c r="Z3499">
        <v>4.7480860000000003E-3</v>
      </c>
      <c r="AA3499">
        <v>0.99925779999999997</v>
      </c>
      <c r="AB3499">
        <v>21</v>
      </c>
      <c r="AC3499">
        <v>12.4497</v>
      </c>
      <c r="AD3499">
        <v>-1.1105353869729999</v>
      </c>
      <c r="AE3499">
        <v>4.9299999999988103E-2</v>
      </c>
      <c r="AF3499">
        <v>-0.48233364525498601</v>
      </c>
      <c r="AG3499">
        <v>-1.1105353869729999</v>
      </c>
      <c r="AH3499">
        <v>12.3420973547831</v>
      </c>
      <c r="AI3499">
        <v>95.137696935240299</v>
      </c>
      <c r="AJ3499">
        <v>92.238000979996102</v>
      </c>
      <c r="AK3499">
        <v>12.401342738026701</v>
      </c>
      <c r="AL3499">
        <v>88.385872119480595</v>
      </c>
      <c r="AM3499">
        <v>91.570742044170302</v>
      </c>
      <c r="AN3499">
        <v>1.0000000082870899</v>
      </c>
    </row>
    <row r="3500" spans="1:40" x14ac:dyDescent="0.25">
      <c r="A3500" t="str">
        <f>"20190312160401606"</f>
        <v>20190312160401606</v>
      </c>
      <c r="B3500" t="str">
        <f>"1552377841597655"</f>
        <v>1552377841597655</v>
      </c>
      <c r="C3500" t="s">
        <v>40</v>
      </c>
      <c r="D3500">
        <v>5.2920199999999999</v>
      </c>
      <c r="E3500">
        <v>0.49556339999999999</v>
      </c>
      <c r="F3500" t="s">
        <v>79</v>
      </c>
      <c r="G3500">
        <v>-416.16219999999998</v>
      </c>
      <c r="H3500" s="1">
        <v>3.53612E-6</v>
      </c>
      <c r="I3500">
        <v>211.90190000000001</v>
      </c>
      <c r="J3500">
        <v>-428.8245</v>
      </c>
      <c r="K3500">
        <v>1.110484</v>
      </c>
      <c r="L3500">
        <v>211.83160000000001</v>
      </c>
      <c r="M3500">
        <v>0.99934040000000002</v>
      </c>
      <c r="N3500">
        <v>0</v>
      </c>
      <c r="O3500">
        <v>-3.3745560000000001E-2</v>
      </c>
      <c r="P3500">
        <v>0.99987859999999995</v>
      </c>
      <c r="Q3500">
        <v>1.4052190000000001E-2</v>
      </c>
      <c r="R3500">
        <v>-6.7494640000000002E-3</v>
      </c>
      <c r="S3500">
        <v>3.0042420000000001</v>
      </c>
      <c r="T3500">
        <v>-0.25911580000000001</v>
      </c>
      <c r="U3500">
        <v>1.499939E-2</v>
      </c>
      <c r="V3500">
        <v>-2.7041610000000001E-2</v>
      </c>
      <c r="W3500">
        <v>2.7427400000000001E-2</v>
      </c>
      <c r="X3500">
        <v>0.99925799999999998</v>
      </c>
      <c r="Y3500">
        <v>-3.8469910000000003E-2</v>
      </c>
      <c r="Z3500">
        <v>4.5609810000000004E-3</v>
      </c>
      <c r="AA3500">
        <v>0.99924930000000001</v>
      </c>
      <c r="AB3500">
        <v>21</v>
      </c>
      <c r="AC3500">
        <v>12.6623</v>
      </c>
      <c r="AD3500">
        <v>-1.1104804638799901</v>
      </c>
      <c r="AE3500">
        <v>7.0300000000003096E-2</v>
      </c>
      <c r="AF3500">
        <v>-0.49379702373737999</v>
      </c>
      <c r="AG3500">
        <v>-1.1104804638799901</v>
      </c>
      <c r="AH3500">
        <v>12.556145031445499</v>
      </c>
      <c r="AI3500">
        <v>95.050273227545205</v>
      </c>
      <c r="AJ3500">
        <v>92.252117422628203</v>
      </c>
      <c r="AK3500">
        <v>12.6148238359481</v>
      </c>
      <c r="AL3500">
        <v>88.428328691802093</v>
      </c>
      <c r="AM3500">
        <v>91.550142276560095</v>
      </c>
      <c r="AN3500">
        <v>1.0000000307530701</v>
      </c>
    </row>
    <row r="3501" spans="1:40" x14ac:dyDescent="0.25">
      <c r="A3501" t="str">
        <f>"20190312160401626"</f>
        <v>20190312160401626</v>
      </c>
      <c r="B3501" t="str">
        <f>"1552377841618150"</f>
        <v>1552377841618150</v>
      </c>
      <c r="C3501" t="s">
        <v>40</v>
      </c>
      <c r="D3501">
        <v>5.3099939999999997</v>
      </c>
      <c r="E3501">
        <v>0.49563859999999899</v>
      </c>
      <c r="F3501" t="s">
        <v>79</v>
      </c>
      <c r="G3501">
        <v>-415.8304</v>
      </c>
      <c r="H3501" s="1">
        <v>3.4767199999999998E-6</v>
      </c>
      <c r="I3501">
        <v>211.90819999999999</v>
      </c>
      <c r="J3501">
        <v>-428.62580000000003</v>
      </c>
      <c r="K3501">
        <v>1.1104750000000001</v>
      </c>
      <c r="L3501">
        <v>211.8262</v>
      </c>
      <c r="M3501">
        <v>0.99938389999999999</v>
      </c>
      <c r="N3501">
        <v>0</v>
      </c>
      <c r="O3501">
        <v>-3.2593650000000002E-2</v>
      </c>
      <c r="P3501">
        <v>0.99988089999999996</v>
      </c>
      <c r="Q3501">
        <v>1.413295E-2</v>
      </c>
      <c r="R3501">
        <v>-6.2183890000000004E-3</v>
      </c>
      <c r="S3501">
        <v>3.0040589999999998</v>
      </c>
      <c r="T3501">
        <v>-0.25672790000000001</v>
      </c>
      <c r="U3501">
        <v>1.7715450000000001E-2</v>
      </c>
      <c r="V3501">
        <v>-2.641955E-2</v>
      </c>
      <c r="W3501">
        <v>2.7104699999999999E-2</v>
      </c>
      <c r="X3501">
        <v>0.99928340000000004</v>
      </c>
      <c r="Y3501">
        <v>-3.8231639999999997E-2</v>
      </c>
      <c r="Z3501">
        <v>4.4109639999999999E-3</v>
      </c>
      <c r="AA3501">
        <v>0.99925920000000001</v>
      </c>
      <c r="AB3501">
        <v>21</v>
      </c>
      <c r="AC3501">
        <v>12.795400000000001</v>
      </c>
      <c r="AD3501">
        <v>-1.11047152328</v>
      </c>
      <c r="AE3501">
        <v>8.1999999999993606E-2</v>
      </c>
      <c r="AF3501">
        <v>-0.495310063344716</v>
      </c>
      <c r="AG3501">
        <v>-1.11047152328</v>
      </c>
      <c r="AH3501">
        <v>12.690348487751701</v>
      </c>
      <c r="AI3501">
        <v>94.997154916687606</v>
      </c>
      <c r="AJ3501">
        <v>92.235145760021794</v>
      </c>
      <c r="AK3501">
        <v>12.748467508035899</v>
      </c>
      <c r="AL3501">
        <v>88.446824845652998</v>
      </c>
      <c r="AM3501">
        <v>91.514461426745399</v>
      </c>
      <c r="AN3501">
        <v>0.99999998544992597</v>
      </c>
    </row>
    <row r="3502" spans="1:40" x14ac:dyDescent="0.25">
      <c r="A3502" t="str">
        <f>"20190312160401649"</f>
        <v>20190312160401649</v>
      </c>
      <c r="B3502" t="str">
        <f>"1552377841637670"</f>
        <v>1552377841637670</v>
      </c>
      <c r="C3502" t="s">
        <v>40</v>
      </c>
      <c r="D3502">
        <v>5.2930999999999999</v>
      </c>
      <c r="E3502">
        <v>0.49579889999999999</v>
      </c>
      <c r="F3502" t="s">
        <v>79</v>
      </c>
      <c r="G3502">
        <v>-415.46749999999997</v>
      </c>
      <c r="H3502" s="1">
        <v>3.4122699999999999E-6</v>
      </c>
      <c r="I3502">
        <v>211.90899999999999</v>
      </c>
      <c r="J3502">
        <v>-428.41950000000003</v>
      </c>
      <c r="K3502">
        <v>1.110474</v>
      </c>
      <c r="L3502">
        <v>211.82079999999999</v>
      </c>
      <c r="M3502">
        <v>0.99942549999999997</v>
      </c>
      <c r="N3502">
        <v>0</v>
      </c>
      <c r="O3502">
        <v>-3.1454059999999999E-2</v>
      </c>
      <c r="P3502">
        <v>0.99987599999999999</v>
      </c>
      <c r="Q3502">
        <v>1.461457E-2</v>
      </c>
      <c r="R3502">
        <v>-5.87822E-3</v>
      </c>
      <c r="S3502">
        <v>3.0040279999999999</v>
      </c>
      <c r="T3502">
        <v>-0.25351899999999999</v>
      </c>
      <c r="U3502">
        <v>1.8905640000000001E-2</v>
      </c>
      <c r="V3502">
        <v>-2.561944E-2</v>
      </c>
      <c r="W3502">
        <v>2.719622E-2</v>
      </c>
      <c r="X3502">
        <v>0.99930169999999996</v>
      </c>
      <c r="Y3502">
        <v>-3.7501020000000003E-2</v>
      </c>
      <c r="Z3502">
        <v>4.2293030000000002E-3</v>
      </c>
      <c r="AA3502">
        <v>0.9992877</v>
      </c>
      <c r="AB3502">
        <v>21</v>
      </c>
      <c r="AC3502">
        <v>12.952</v>
      </c>
      <c r="AD3502">
        <v>-1.1104705877299901</v>
      </c>
      <c r="AE3502">
        <v>8.8200000000028894E-2</v>
      </c>
      <c r="AF3502">
        <v>-0.49196557040180899</v>
      </c>
      <c r="AG3502">
        <v>-1.1104705877299901</v>
      </c>
      <c r="AH3502">
        <v>12.848373130154499</v>
      </c>
      <c r="AI3502">
        <v>94.936135692229897</v>
      </c>
      <c r="AJ3502">
        <v>92.192790255301702</v>
      </c>
      <c r="AK3502">
        <v>12.9056525267168</v>
      </c>
      <c r="AL3502">
        <v>88.441579129439305</v>
      </c>
      <c r="AM3502">
        <v>91.4685898278059</v>
      </c>
      <c r="AN3502">
        <v>0.99999993885554395</v>
      </c>
    </row>
    <row r="3503" spans="1:40" x14ac:dyDescent="0.25">
      <c r="A3503" t="str">
        <f>"20190312160401670"</f>
        <v>20190312160401670</v>
      </c>
      <c r="B3503" t="str">
        <f>"1552377841667926"</f>
        <v>1552377841667926</v>
      </c>
      <c r="C3503" t="s">
        <v>40</v>
      </c>
      <c r="D3503">
        <v>5.2497150000000001</v>
      </c>
      <c r="E3503">
        <v>0.49595479999999997</v>
      </c>
      <c r="F3503" t="s">
        <v>79</v>
      </c>
      <c r="G3503">
        <v>-414.97840000000002</v>
      </c>
      <c r="H3503" s="1">
        <v>3.325915E-6</v>
      </c>
      <c r="I3503">
        <v>211.90440000000001</v>
      </c>
      <c r="J3503">
        <v>-428.2165</v>
      </c>
      <c r="K3503">
        <v>1.110463</v>
      </c>
      <c r="L3503">
        <v>211.81569999999999</v>
      </c>
      <c r="M3503">
        <v>0.99946380000000001</v>
      </c>
      <c r="N3503">
        <v>0</v>
      </c>
      <c r="O3503">
        <v>-3.0358779999999998E-2</v>
      </c>
      <c r="P3503">
        <v>0.99986509999999995</v>
      </c>
      <c r="Q3503">
        <v>1.556604E-2</v>
      </c>
      <c r="R3503">
        <v>-5.2749390000000002E-3</v>
      </c>
      <c r="S3503">
        <v>3.004089</v>
      </c>
      <c r="T3503">
        <v>-0.2481903</v>
      </c>
      <c r="U3503">
        <v>1.869202E-2</v>
      </c>
      <c r="V3503">
        <v>-2.5127279999999998E-2</v>
      </c>
      <c r="W3503">
        <v>2.7789660000000001E-2</v>
      </c>
      <c r="X3503">
        <v>0.99929789999999996</v>
      </c>
      <c r="Y3503">
        <v>-3.6352410000000002E-2</v>
      </c>
      <c r="Z3503">
        <v>4.00294E-3</v>
      </c>
      <c r="AA3503">
        <v>0.99933099999999997</v>
      </c>
      <c r="AB3503">
        <v>21</v>
      </c>
      <c r="AC3503">
        <v>13.2380999999999</v>
      </c>
      <c r="AD3503">
        <v>-1.1104596740849999</v>
      </c>
      <c r="AE3503">
        <v>8.8700000000017099E-2</v>
      </c>
      <c r="AF3503">
        <v>-0.48715422401158298</v>
      </c>
      <c r="AG3503">
        <v>-1.1104596740849999</v>
      </c>
      <c r="AH3503">
        <v>13.136871235934199</v>
      </c>
      <c r="AI3503">
        <v>94.828422739636196</v>
      </c>
      <c r="AJ3503">
        <v>92.123724648104698</v>
      </c>
      <c r="AK3503">
        <v>13.1927186658117</v>
      </c>
      <c r="AL3503">
        <v>88.407564710208703</v>
      </c>
      <c r="AM3503">
        <v>91.440395088531304</v>
      </c>
      <c r="AN3503">
        <v>0.99999996917376099</v>
      </c>
    </row>
    <row r="3504" spans="1:40" x14ac:dyDescent="0.25">
      <c r="A3504" t="str">
        <f>"20190312160401693"</f>
        <v>20190312160401693</v>
      </c>
      <c r="B3504" t="str">
        <f>"1552377841688422"</f>
        <v>1552377841688422</v>
      </c>
      <c r="C3504" t="s">
        <v>40</v>
      </c>
      <c r="D3504">
        <v>5.2798930000000004</v>
      </c>
      <c r="E3504">
        <v>0.49608429999999998</v>
      </c>
      <c r="F3504" t="s">
        <v>79</v>
      </c>
      <c r="G3504">
        <v>-414.28309999999999</v>
      </c>
      <c r="H3504" s="1">
        <v>3.2025950000000001E-6</v>
      </c>
      <c r="I3504">
        <v>211.9042</v>
      </c>
      <c r="J3504">
        <v>-428.00170000000003</v>
      </c>
      <c r="K3504">
        <v>1.1104529999999999</v>
      </c>
      <c r="L3504">
        <v>211.81059999999999</v>
      </c>
      <c r="M3504">
        <v>0.9995018</v>
      </c>
      <c r="N3504">
        <v>0</v>
      </c>
      <c r="O3504">
        <v>-2.92193E-2</v>
      </c>
      <c r="P3504">
        <v>0.99985950000000001</v>
      </c>
      <c r="Q3504">
        <v>1.6272140000000001E-2</v>
      </c>
      <c r="R3504">
        <v>-4.0336599999999997E-3</v>
      </c>
      <c r="S3504">
        <v>3.0043030000000002</v>
      </c>
      <c r="T3504">
        <v>-0.23943590000000001</v>
      </c>
      <c r="U3504">
        <v>1.9073489999999999E-2</v>
      </c>
      <c r="V3504">
        <v>-2.522756E-2</v>
      </c>
      <c r="W3504">
        <v>2.816478E-2</v>
      </c>
      <c r="X3504">
        <v>0.99928490000000003</v>
      </c>
      <c r="Y3504">
        <v>-3.5361919999999998E-2</v>
      </c>
      <c r="Z3504">
        <v>3.7318579999999998E-3</v>
      </c>
      <c r="AA3504">
        <v>0.99936760000000002</v>
      </c>
      <c r="AB3504">
        <v>21</v>
      </c>
      <c r="AC3504">
        <v>13.7186</v>
      </c>
      <c r="AD3504">
        <v>-1.110449797405</v>
      </c>
      <c r="AE3504">
        <v>9.3600000000009204E-2</v>
      </c>
      <c r="AF3504">
        <v>-0.491218114956329</v>
      </c>
      <c r="AG3504">
        <v>-1.110449797405</v>
      </c>
      <c r="AH3504">
        <v>13.6207665378426</v>
      </c>
      <c r="AI3504">
        <v>94.657786656626399</v>
      </c>
      <c r="AJ3504">
        <v>92.065414785019598</v>
      </c>
      <c r="AK3504">
        <v>13.6747824504608</v>
      </c>
      <c r="AL3504">
        <v>88.386063546718603</v>
      </c>
      <c r="AM3504">
        <v>91.446159903899101</v>
      </c>
      <c r="AN3504">
        <v>0.99999999799200601</v>
      </c>
    </row>
    <row r="3505" spans="1:40" x14ac:dyDescent="0.25">
      <c r="A3505" t="str">
        <f>"20190312160401716"</f>
        <v>20190312160401716</v>
      </c>
      <c r="B3505" t="str">
        <f>"1552377841707942"</f>
        <v>1552377841707942</v>
      </c>
      <c r="C3505" t="s">
        <v>40</v>
      </c>
      <c r="D3505">
        <v>5.2516870000000004</v>
      </c>
      <c r="E3505">
        <v>0.49621969999999999</v>
      </c>
      <c r="F3505" t="s">
        <v>79</v>
      </c>
      <c r="G3505">
        <v>-413.73390000000001</v>
      </c>
      <c r="H3505" s="1">
        <v>3.1043079999999999E-6</v>
      </c>
      <c r="I3505">
        <v>211.91419999999999</v>
      </c>
      <c r="J3505">
        <v>-427.78149999999999</v>
      </c>
      <c r="K3505">
        <v>1.11043799999999</v>
      </c>
      <c r="L3505">
        <v>211.80549999999999</v>
      </c>
      <c r="M3505">
        <v>0.99953820000000004</v>
      </c>
      <c r="N3505">
        <v>0</v>
      </c>
      <c r="O3505">
        <v>-2.8071280000000001E-2</v>
      </c>
      <c r="P3505">
        <v>0.99984850000000003</v>
      </c>
      <c r="Q3505">
        <v>1.7194060000000001E-2</v>
      </c>
      <c r="R3505">
        <v>-2.7622739999999999E-3</v>
      </c>
      <c r="S3505">
        <v>3.0043030000000002</v>
      </c>
      <c r="T3505">
        <v>-0.23382269999999999</v>
      </c>
      <c r="U3505">
        <v>2.182007E-2</v>
      </c>
      <c r="V3505">
        <v>-2.535099E-2</v>
      </c>
      <c r="W3505">
        <v>2.8798239999999999E-2</v>
      </c>
      <c r="X3505">
        <v>0.99926369999999998</v>
      </c>
      <c r="Y3505">
        <v>-3.5141180000000001E-2</v>
      </c>
      <c r="Z3505">
        <v>3.5468520000000001E-3</v>
      </c>
      <c r="AA3505">
        <v>0.99937609999999999</v>
      </c>
      <c r="AB3505">
        <v>21</v>
      </c>
      <c r="AC3505">
        <v>14.0475999999999</v>
      </c>
      <c r="AD3505">
        <v>-1.1104348956919901</v>
      </c>
      <c r="AE3505">
        <v>0.10869999999999801</v>
      </c>
      <c r="AF3505">
        <v>-0.49989451999983098</v>
      </c>
      <c r="AG3505">
        <v>-1.1104348956919901</v>
      </c>
      <c r="AH3505">
        <v>13.951837797092701</v>
      </c>
      <c r="AI3505">
        <v>94.547705817267897</v>
      </c>
      <c r="AJ3505">
        <v>92.052030660282</v>
      </c>
      <c r="AK3505">
        <v>14.0048826523138</v>
      </c>
      <c r="AL3505">
        <v>88.349754196467302</v>
      </c>
      <c r="AM3505">
        <v>91.453263271075301</v>
      </c>
      <c r="AN3505">
        <v>0.99999997672938301</v>
      </c>
    </row>
    <row r="3506" spans="1:40" x14ac:dyDescent="0.25">
      <c r="A3506" t="str">
        <f>"20190312160401739"</f>
        <v>20190312160401739</v>
      </c>
      <c r="B3506" t="str">
        <f>"1552377841728438"</f>
        <v>1552377841728438</v>
      </c>
      <c r="C3506" t="s">
        <v>40</v>
      </c>
      <c r="D3506">
        <v>5.222353</v>
      </c>
      <c r="E3506">
        <v>0.4963978</v>
      </c>
      <c r="F3506" t="s">
        <v>79</v>
      </c>
      <c r="G3506">
        <v>-413.04320000000001</v>
      </c>
      <c r="H3506" s="1">
        <v>2.9808260000000002E-6</v>
      </c>
      <c r="I3506">
        <v>211.92519999999999</v>
      </c>
      <c r="J3506">
        <v>-427.57499999999999</v>
      </c>
      <c r="K3506">
        <v>1.1104309999999999</v>
      </c>
      <c r="L3506">
        <v>211.80099999999999</v>
      </c>
      <c r="M3506">
        <v>0.99957010000000002</v>
      </c>
      <c r="N3506">
        <v>0</v>
      </c>
      <c r="O3506">
        <v>-2.701199E-2</v>
      </c>
      <c r="P3506">
        <v>0.99985420000000003</v>
      </c>
      <c r="Q3506">
        <v>1.7030010000000002E-2</v>
      </c>
      <c r="R3506">
        <v>-1.3998610000000001E-3</v>
      </c>
      <c r="S3506">
        <v>3.0043950000000001</v>
      </c>
      <c r="T3506">
        <v>-0.22636110000000001</v>
      </c>
      <c r="U3506">
        <v>2.4383539999999999E-2</v>
      </c>
      <c r="V3506">
        <v>-2.5651940000000002E-2</v>
      </c>
      <c r="W3506">
        <v>2.839786E-2</v>
      </c>
      <c r="X3506">
        <v>0.99926749999999998</v>
      </c>
      <c r="Y3506">
        <v>-3.4949979999999999E-2</v>
      </c>
      <c r="Z3506">
        <v>3.347002E-3</v>
      </c>
      <c r="AA3506">
        <v>0.99938340000000003</v>
      </c>
      <c r="AB3506">
        <v>21</v>
      </c>
      <c r="AC3506">
        <v>14.531799999999899</v>
      </c>
      <c r="AD3506">
        <v>-1.1104280191739999</v>
      </c>
      <c r="AE3506">
        <v>0.124200000000001</v>
      </c>
      <c r="AF3506">
        <v>-0.51371364256225804</v>
      </c>
      <c r="AG3506">
        <v>-1.1104280191739999</v>
      </c>
      <c r="AH3506">
        <v>14.438838783829601</v>
      </c>
      <c r="AI3506">
        <v>94.394941847184498</v>
      </c>
      <c r="AJ3506">
        <v>92.037644029077995</v>
      </c>
      <c r="AK3506">
        <v>14.4905837535188</v>
      </c>
      <c r="AL3506">
        <v>88.3727037033362</v>
      </c>
      <c r="AM3506">
        <v>91.470502320568301</v>
      </c>
      <c r="AN3506">
        <v>0.99999999851729604</v>
      </c>
    </row>
    <row r="3507" spans="1:40" x14ac:dyDescent="0.25">
      <c r="A3507" t="str">
        <f>"20190312160401761"</f>
        <v>20190312160401761</v>
      </c>
      <c r="B3507" t="str">
        <f>"1552377841747958"</f>
        <v>1552377841747958</v>
      </c>
      <c r="C3507" t="s">
        <v>40</v>
      </c>
      <c r="D3507">
        <v>5.1813979999999997</v>
      </c>
      <c r="E3507">
        <v>0.49658439999999998</v>
      </c>
      <c r="F3507" t="s">
        <v>79</v>
      </c>
      <c r="G3507">
        <v>-412.61070000000001</v>
      </c>
      <c r="H3507" s="1">
        <v>2.9030899999999999E-6</v>
      </c>
      <c r="I3507">
        <v>211.93690000000001</v>
      </c>
      <c r="J3507">
        <v>-427.35860000000002</v>
      </c>
      <c r="K3507">
        <v>1.1104259999999999</v>
      </c>
      <c r="L3507">
        <v>211.79640000000001</v>
      </c>
      <c r="M3507">
        <v>0.99960170000000004</v>
      </c>
      <c r="N3507">
        <v>0</v>
      </c>
      <c r="O3507">
        <v>-2.591595E-2</v>
      </c>
      <c r="P3507">
        <v>0.99985619999999997</v>
      </c>
      <c r="Q3507">
        <v>1.6965649999999999E-2</v>
      </c>
      <c r="R3507">
        <v>-3.4259729999999998E-4</v>
      </c>
      <c r="S3507">
        <v>3.0043030000000002</v>
      </c>
      <c r="T3507">
        <v>-0.22293470000000001</v>
      </c>
      <c r="U3507">
        <v>2.7282710000000002E-2</v>
      </c>
      <c r="V3507">
        <v>-2.5611169999999999E-2</v>
      </c>
      <c r="W3507">
        <v>2.8115689999999999E-2</v>
      </c>
      <c r="X3507">
        <v>0.99927650000000001</v>
      </c>
      <c r="Y3507">
        <v>-3.4827289999999997E-2</v>
      </c>
      <c r="Z3507">
        <v>3.2108129999999999E-3</v>
      </c>
      <c r="AA3507">
        <v>0.99938819999999995</v>
      </c>
      <c r="AB3507">
        <v>21</v>
      </c>
      <c r="AC3507">
        <v>14.7479</v>
      </c>
      <c r="AD3507">
        <v>-1.11042309691</v>
      </c>
      <c r="AE3507">
        <v>0.14050000000000201</v>
      </c>
      <c r="AF3507">
        <v>-0.51973630895137801</v>
      </c>
      <c r="AG3507">
        <v>-1.11042309691</v>
      </c>
      <c r="AH3507">
        <v>14.656223982969699</v>
      </c>
      <c r="AI3507">
        <v>94.330003365517896</v>
      </c>
      <c r="AJ3507">
        <v>92.030961301461204</v>
      </c>
      <c r="AK3507">
        <v>14.7074153651812</v>
      </c>
      <c r="AL3507">
        <v>88.388877271770099</v>
      </c>
      <c r="AM3507">
        <v>91.468152979055603</v>
      </c>
      <c r="AN3507">
        <v>0.99999997375259697</v>
      </c>
    </row>
    <row r="3508" spans="1:40" x14ac:dyDescent="0.25">
      <c r="A3508" t="str">
        <f>"20190312160401784"</f>
        <v>20190312160401784</v>
      </c>
      <c r="B3508" t="str">
        <f>"1552377841778215"</f>
        <v>1552377841778215</v>
      </c>
      <c r="C3508" t="s">
        <v>40</v>
      </c>
      <c r="D3508">
        <v>5.1499620000000004</v>
      </c>
      <c r="E3508">
        <v>0.49675249999999999</v>
      </c>
      <c r="F3508" t="s">
        <v>79</v>
      </c>
      <c r="G3508">
        <v>-412.15199999999999</v>
      </c>
      <c r="H3508" s="1">
        <v>2.8211060000000001E-6</v>
      </c>
      <c r="I3508">
        <v>211.94399999999999</v>
      </c>
      <c r="J3508">
        <v>-427.14819999999997</v>
      </c>
      <c r="K3508">
        <v>1.1104240000000001</v>
      </c>
      <c r="L3508">
        <v>211.79220000000001</v>
      </c>
      <c r="M3508">
        <v>0.99963029999999997</v>
      </c>
      <c r="N3508">
        <v>0</v>
      </c>
      <c r="O3508">
        <v>-2.4859260000000001E-2</v>
      </c>
      <c r="P3508">
        <v>0.99984790000000001</v>
      </c>
      <c r="Q3508">
        <v>1.7434430000000001E-2</v>
      </c>
      <c r="R3508">
        <v>2.5077349999999999E-4</v>
      </c>
      <c r="S3508">
        <v>3.0041500000000001</v>
      </c>
      <c r="T3508">
        <v>-0.2193705</v>
      </c>
      <c r="U3508">
        <v>2.9159549999999999E-2</v>
      </c>
      <c r="V3508">
        <v>-2.5147340000000001E-2</v>
      </c>
      <c r="W3508">
        <v>2.840119E-2</v>
      </c>
      <c r="X3508">
        <v>0.99928019999999995</v>
      </c>
      <c r="Y3508">
        <v>-3.4404780000000003E-2</v>
      </c>
      <c r="Z3508">
        <v>3.0673139999999998E-3</v>
      </c>
      <c r="AA3508">
        <v>0.99940329999999999</v>
      </c>
      <c r="AB3508">
        <v>21</v>
      </c>
      <c r="AC3508">
        <v>14.9961999999999</v>
      </c>
      <c r="AD3508">
        <v>-1.1104211788939999</v>
      </c>
      <c r="AE3508">
        <v>0.15180000000000801</v>
      </c>
      <c r="AF3508">
        <v>-0.52170991736867101</v>
      </c>
      <c r="AG3508">
        <v>-1.1104211788939999</v>
      </c>
      <c r="AH3508">
        <v>14.906070531631499</v>
      </c>
      <c r="AI3508">
        <v>94.257757247590405</v>
      </c>
      <c r="AJ3508">
        <v>92.004524237683498</v>
      </c>
      <c r="AK3508">
        <v>14.9564753577302</v>
      </c>
      <c r="AL3508">
        <v>88.372512780432004</v>
      </c>
      <c r="AM3508">
        <v>91.441570045009101</v>
      </c>
      <c r="AN3508">
        <v>0.99999996720726503</v>
      </c>
    </row>
    <row r="3509" spans="1:40" x14ac:dyDescent="0.25">
      <c r="A3509" t="str">
        <f>"20190312160401806"</f>
        <v>20190312160401806</v>
      </c>
      <c r="B3509" t="str">
        <f>"1552377841797734"</f>
        <v>1552377841797734</v>
      </c>
      <c r="C3509" t="s">
        <v>40</v>
      </c>
      <c r="D3509">
        <v>5.1355339999999998</v>
      </c>
      <c r="E3509">
        <v>0.49685230000000002</v>
      </c>
      <c r="F3509" t="s">
        <v>79</v>
      </c>
      <c r="G3509">
        <v>-411.4513</v>
      </c>
      <c r="H3509" s="1">
        <v>2.6965509999999999E-6</v>
      </c>
      <c r="I3509">
        <v>211.9469</v>
      </c>
      <c r="J3509">
        <v>-426.93400000000003</v>
      </c>
      <c r="K3509">
        <v>1.11042</v>
      </c>
      <c r="L3509">
        <v>211.78809999999999</v>
      </c>
      <c r="M3509">
        <v>0.99965820000000005</v>
      </c>
      <c r="N3509">
        <v>0</v>
      </c>
      <c r="O3509">
        <v>-2.379204E-2</v>
      </c>
      <c r="P3509">
        <v>0.9998281</v>
      </c>
      <c r="Q3509">
        <v>1.8513479999999999E-2</v>
      </c>
      <c r="R3509">
        <v>1.0304380000000001E-3</v>
      </c>
      <c r="S3509">
        <v>3.0041500000000001</v>
      </c>
      <c r="T3509">
        <v>-0.2125176</v>
      </c>
      <c r="U3509">
        <v>2.9602050000000001E-2</v>
      </c>
      <c r="V3509">
        <v>-2.4859829999999999E-2</v>
      </c>
      <c r="W3509">
        <v>2.9318730000000001E-2</v>
      </c>
      <c r="X3509">
        <v>0.99926090000000001</v>
      </c>
      <c r="Y3509">
        <v>-3.3499559999999998E-2</v>
      </c>
      <c r="Z3509">
        <v>2.864363E-3</v>
      </c>
      <c r="AA3509">
        <v>0.99943459999999995</v>
      </c>
      <c r="AB3509">
        <v>21</v>
      </c>
      <c r="AC3509">
        <v>15.482699999999999</v>
      </c>
      <c r="AD3509">
        <v>-1.1104173034489999</v>
      </c>
      <c r="AE3509">
        <v>0.15880000000001299</v>
      </c>
      <c r="AF3509">
        <v>-0.52444436785284698</v>
      </c>
      <c r="AG3509">
        <v>-1.1104173034489999</v>
      </c>
      <c r="AH3509">
        <v>15.395356999147801</v>
      </c>
      <c r="AI3509">
        <v>94.123032007581998</v>
      </c>
      <c r="AJ3509">
        <v>91.951031983501807</v>
      </c>
      <c r="AK3509">
        <v>15.4442573668655</v>
      </c>
      <c r="AL3509">
        <v>88.3199197096273</v>
      </c>
      <c r="AM3509">
        <v>91.425122897462501</v>
      </c>
      <c r="AN3509">
        <v>0.99999997267262497</v>
      </c>
    </row>
    <row r="3510" spans="1:40" x14ac:dyDescent="0.25">
      <c r="A3510" t="str">
        <f>"20190312160401828"</f>
        <v>20190312160401828</v>
      </c>
      <c r="B3510" t="str">
        <f>"1552377841818230"</f>
        <v>1552377841818230</v>
      </c>
      <c r="C3510" t="s">
        <v>40</v>
      </c>
      <c r="D3510">
        <v>5.2436389999999999</v>
      </c>
      <c r="E3510">
        <v>0.49698330000000002</v>
      </c>
      <c r="F3510" t="s">
        <v>79</v>
      </c>
      <c r="G3510">
        <v>-410.75310000000002</v>
      </c>
      <c r="H3510" s="1">
        <v>2.5720340000000002E-6</v>
      </c>
      <c r="I3510">
        <v>211.9546</v>
      </c>
      <c r="J3510">
        <v>-426.72250000000003</v>
      </c>
      <c r="K3510">
        <v>1.110425</v>
      </c>
      <c r="L3510">
        <v>211.7843</v>
      </c>
      <c r="M3510">
        <v>0.99968400000000002</v>
      </c>
      <c r="N3510">
        <v>0</v>
      </c>
      <c r="O3510">
        <v>-2.274756E-2</v>
      </c>
      <c r="P3510">
        <v>0.9998224</v>
      </c>
      <c r="Q3510">
        <v>1.8771139999999999E-2</v>
      </c>
      <c r="R3510">
        <v>1.680586E-3</v>
      </c>
      <c r="S3510">
        <v>3.0043329999999999</v>
      </c>
      <c r="T3510">
        <v>-0.20617289999999999</v>
      </c>
      <c r="U3510">
        <v>3.091431E-2</v>
      </c>
      <c r="V3510">
        <v>-2.446568E-2</v>
      </c>
      <c r="W3510">
        <v>2.944074E-2</v>
      </c>
      <c r="X3510">
        <v>0.99926700000000002</v>
      </c>
      <c r="Y3510">
        <v>-3.2903479999999999E-2</v>
      </c>
      <c r="Z3510">
        <v>2.6868629999999998E-3</v>
      </c>
      <c r="AA3510">
        <v>0.99945490000000003</v>
      </c>
      <c r="AB3510">
        <v>21</v>
      </c>
      <c r="AC3510">
        <v>15.9694</v>
      </c>
      <c r="AD3510">
        <v>-1.110422427966</v>
      </c>
      <c r="AE3510">
        <v>0.17029999999999701</v>
      </c>
      <c r="AF3510">
        <v>-0.53097461556687098</v>
      </c>
      <c r="AG3510">
        <v>-1.110422427966</v>
      </c>
      <c r="AH3510">
        <v>15.8845993712169</v>
      </c>
      <c r="AI3510">
        <v>93.996565530890194</v>
      </c>
      <c r="AJ3510">
        <v>91.914513569477094</v>
      </c>
      <c r="AK3510">
        <v>15.9322148239022</v>
      </c>
      <c r="AL3510">
        <v>88.312925963687107</v>
      </c>
      <c r="AM3510">
        <v>91.402528262735402</v>
      </c>
      <c r="AN3510">
        <v>0.99999993197930204</v>
      </c>
    </row>
    <row r="3511" spans="1:40" x14ac:dyDescent="0.25">
      <c r="A3511" t="str">
        <f>"20190312160401850"</f>
        <v>20190312160401850</v>
      </c>
      <c r="B3511" t="str">
        <f>"1552377841837750"</f>
        <v>1552377841837750</v>
      </c>
      <c r="C3511" t="s">
        <v>40</v>
      </c>
      <c r="D3511">
        <v>5.1473000000000004</v>
      </c>
      <c r="E3511">
        <v>0.49712679999999998</v>
      </c>
      <c r="F3511" t="s">
        <v>79</v>
      </c>
      <c r="G3511">
        <v>-410.20440000000002</v>
      </c>
      <c r="H3511" s="1">
        <v>2.4741799999999998E-6</v>
      </c>
      <c r="I3511">
        <v>211.9606</v>
      </c>
      <c r="J3511">
        <v>-426.5127</v>
      </c>
      <c r="K3511">
        <v>1.1104210000000001</v>
      </c>
      <c r="L3511">
        <v>211.7807</v>
      </c>
      <c r="M3511">
        <v>0.99970789999999998</v>
      </c>
      <c r="N3511">
        <v>0</v>
      </c>
      <c r="O3511">
        <v>-2.1724980000000001E-2</v>
      </c>
      <c r="P3511">
        <v>0.99981520000000002</v>
      </c>
      <c r="Q3511">
        <v>1.9080759999999999E-2</v>
      </c>
      <c r="R3511">
        <v>2.3227590000000002E-3</v>
      </c>
      <c r="S3511">
        <v>3.0042719999999998</v>
      </c>
      <c r="T3511">
        <v>-0.20196040000000001</v>
      </c>
      <c r="U3511">
        <v>3.2058719999999999E-2</v>
      </c>
      <c r="V3511">
        <v>-2.4084830000000002E-2</v>
      </c>
      <c r="W3511">
        <v>2.9634250000000001E-2</v>
      </c>
      <c r="X3511">
        <v>0.99927060000000001</v>
      </c>
      <c r="Y3511">
        <v>-3.2271019999999997E-2</v>
      </c>
      <c r="Z3511">
        <v>2.5422460000000002E-3</v>
      </c>
      <c r="AA3511">
        <v>0.99947589999999997</v>
      </c>
      <c r="AB3511">
        <v>21</v>
      </c>
      <c r="AC3511">
        <v>16.3082999999999</v>
      </c>
      <c r="AD3511">
        <v>-1.1104185258199999</v>
      </c>
      <c r="AE3511">
        <v>0.179900000000003</v>
      </c>
      <c r="AF3511">
        <v>-0.53171011494829701</v>
      </c>
      <c r="AG3511">
        <v>-1.1104185258199999</v>
      </c>
      <c r="AH3511">
        <v>16.225328368248299</v>
      </c>
      <c r="AI3511">
        <v>93.912972838925995</v>
      </c>
      <c r="AJ3511">
        <v>91.876932565093298</v>
      </c>
      <c r="AK3511">
        <v>16.271970550806198</v>
      </c>
      <c r="AL3511">
        <v>88.3018339322212</v>
      </c>
      <c r="AM3511">
        <v>91.380699066164993</v>
      </c>
      <c r="AN3511">
        <v>0.99999999991677502</v>
      </c>
    </row>
    <row r="3512" spans="1:40" x14ac:dyDescent="0.25">
      <c r="A3512" t="str">
        <f>"20190312160401873"</f>
        <v>20190312160401873</v>
      </c>
      <c r="B3512" t="str">
        <f>"1552377841868006"</f>
        <v>1552377841868006</v>
      </c>
      <c r="C3512" t="s">
        <v>40</v>
      </c>
      <c r="D3512">
        <v>5.2212480000000001</v>
      </c>
      <c r="E3512">
        <v>0.49722759999999999</v>
      </c>
      <c r="F3512" t="s">
        <v>79</v>
      </c>
      <c r="G3512">
        <v>-409.7115</v>
      </c>
      <c r="H3512" s="1">
        <v>4.6439079999999999E-6</v>
      </c>
      <c r="I3512">
        <v>211.96289999999999</v>
      </c>
      <c r="J3512">
        <v>-426.29390000000001</v>
      </c>
      <c r="K3512">
        <v>1.11042</v>
      </c>
      <c r="L3512">
        <v>211.77719999999999</v>
      </c>
      <c r="M3512">
        <v>0.99973140000000005</v>
      </c>
      <c r="N3512">
        <v>0</v>
      </c>
      <c r="O3512">
        <v>-2.0670259999999999E-2</v>
      </c>
      <c r="P3512">
        <v>0.99981180000000003</v>
      </c>
      <c r="Q3512">
        <v>1.9134169999999999E-2</v>
      </c>
      <c r="R3512">
        <v>3.2229490000000001E-3</v>
      </c>
      <c r="S3512">
        <v>3.0042420000000001</v>
      </c>
      <c r="T3512">
        <v>-0.19855400000000001</v>
      </c>
      <c r="U3512">
        <v>3.2577509999999997E-2</v>
      </c>
      <c r="V3512">
        <v>-2.3930010000000002E-2</v>
      </c>
      <c r="W3512">
        <v>2.958183E-2</v>
      </c>
      <c r="X3512">
        <v>0.99927589999999999</v>
      </c>
      <c r="Y3512">
        <v>-3.139749E-2</v>
      </c>
      <c r="Z3512">
        <v>2.401023E-3</v>
      </c>
      <c r="AA3512">
        <v>0.99950410000000001</v>
      </c>
      <c r="AB3512">
        <v>21</v>
      </c>
      <c r="AC3512">
        <v>16.5824</v>
      </c>
      <c r="AD3512">
        <v>-1.110415356092</v>
      </c>
      <c r="AE3512">
        <v>0.18569999999999701</v>
      </c>
      <c r="AF3512">
        <v>-0.52608295326032894</v>
      </c>
      <c r="AG3512">
        <v>-1.110415356092</v>
      </c>
      <c r="AH3512">
        <v>16.5010349007337</v>
      </c>
      <c r="AI3512">
        <v>93.847890356523493</v>
      </c>
      <c r="AJ3512">
        <v>91.8260749446506</v>
      </c>
      <c r="AK3512">
        <v>16.546719866244999</v>
      </c>
      <c r="AL3512">
        <v>88.304838740547794</v>
      </c>
      <c r="AM3512">
        <v>91.371819906371599</v>
      </c>
      <c r="AN3512">
        <v>1.00000002718277</v>
      </c>
    </row>
    <row r="3513" spans="1:40" x14ac:dyDescent="0.25">
      <c r="A3513" t="str">
        <f>"20190312160401895"</f>
        <v>20190312160401895</v>
      </c>
      <c r="B3513" t="str">
        <f>"1552377841888502"</f>
        <v>1552377841888502</v>
      </c>
      <c r="C3513" t="s">
        <v>40</v>
      </c>
      <c r="D3513">
        <v>5.1300119999999998</v>
      </c>
      <c r="E3513">
        <v>0.49726799999999999</v>
      </c>
      <c r="F3513" t="s">
        <v>79</v>
      </c>
      <c r="G3513">
        <v>-409.02620000000002</v>
      </c>
      <c r="H3513" s="1">
        <v>4.9453849999999999E-6</v>
      </c>
      <c r="I3513">
        <v>211.9744</v>
      </c>
      <c r="J3513">
        <v>-426.0829</v>
      </c>
      <c r="K3513">
        <v>1.1104149999999999</v>
      </c>
      <c r="L3513">
        <v>211.774</v>
      </c>
      <c r="M3513">
        <v>0.99975270000000005</v>
      </c>
      <c r="N3513">
        <v>0</v>
      </c>
      <c r="O3513">
        <v>-1.9667130000000001E-2</v>
      </c>
      <c r="P3513">
        <v>0.99980630000000004</v>
      </c>
      <c r="Q3513">
        <v>1.9298949999999999E-2</v>
      </c>
      <c r="R3513">
        <v>3.9292620000000002E-3</v>
      </c>
      <c r="S3513">
        <v>3.0041500000000001</v>
      </c>
      <c r="T3513">
        <v>-0.19318560000000001</v>
      </c>
      <c r="U3513">
        <v>3.4317019999999997E-2</v>
      </c>
      <c r="V3513">
        <v>-2.3633580000000001E-2</v>
      </c>
      <c r="W3513">
        <v>2.965808E-2</v>
      </c>
      <c r="X3513">
        <v>0.99928070000000002</v>
      </c>
      <c r="Y3513">
        <v>-3.0982550000000001E-2</v>
      </c>
      <c r="Z3513">
        <v>2.2585410000000002E-3</v>
      </c>
      <c r="AA3513">
        <v>0.9995174</v>
      </c>
      <c r="AB3513">
        <v>21</v>
      </c>
      <c r="AC3513">
        <v>17.0566999999999</v>
      </c>
      <c r="AD3513">
        <v>-1.110410054615</v>
      </c>
      <c r="AE3513">
        <v>0.20040000000000099</v>
      </c>
      <c r="AF3513">
        <v>-0.53357458512801903</v>
      </c>
      <c r="AG3513">
        <v>-1.110410054615</v>
      </c>
      <c r="AH3513">
        <v>16.977515690973402</v>
      </c>
      <c r="AI3513">
        <v>93.740244390570396</v>
      </c>
      <c r="AJ3513">
        <v>91.800116856179201</v>
      </c>
      <c r="AK3513">
        <v>17.022154721554301</v>
      </c>
      <c r="AL3513">
        <v>88.300468028963095</v>
      </c>
      <c r="AM3513">
        <v>91.354826527217398</v>
      </c>
      <c r="AN3513">
        <v>1.0000000326026901</v>
      </c>
    </row>
    <row r="3514" spans="1:40" x14ac:dyDescent="0.25">
      <c r="A3514" t="str">
        <f>"20190312160401917"</f>
        <v>20190312160401917</v>
      </c>
      <c r="B3514" t="str">
        <f>"1552377841908022"</f>
        <v>1552377841908022</v>
      </c>
      <c r="C3514" t="s">
        <v>40</v>
      </c>
      <c r="D3514">
        <v>5.1494109999999997</v>
      </c>
      <c r="E3514">
        <v>0.49731809999999999</v>
      </c>
      <c r="F3514" t="s">
        <v>79</v>
      </c>
      <c r="G3514">
        <v>-408.40870000000001</v>
      </c>
      <c r="H3514" s="1">
        <v>5.2162699999999999E-6</v>
      </c>
      <c r="I3514">
        <v>211.9888</v>
      </c>
      <c r="J3514">
        <v>-425.86579999999998</v>
      </c>
      <c r="K3514">
        <v>1.1104039999999999</v>
      </c>
      <c r="L3514">
        <v>211.77090000000001</v>
      </c>
      <c r="M3514">
        <v>0.99977300000000002</v>
      </c>
      <c r="N3514">
        <v>0</v>
      </c>
      <c r="O3514">
        <v>-1.8651899999999999E-2</v>
      </c>
      <c r="P3514">
        <v>0.99980959999999997</v>
      </c>
      <c r="Q3514">
        <v>1.9028699999999999E-2</v>
      </c>
      <c r="R3514">
        <v>4.386483E-3</v>
      </c>
      <c r="S3514">
        <v>3.004089</v>
      </c>
      <c r="T3514">
        <v>-0.18873619999999999</v>
      </c>
      <c r="U3514">
        <v>3.6514280000000003E-2</v>
      </c>
      <c r="V3514">
        <v>-2.3074890000000001E-2</v>
      </c>
      <c r="W3514">
        <v>2.9303470000000002E-2</v>
      </c>
      <c r="X3514">
        <v>0.99930419999999998</v>
      </c>
      <c r="Y3514">
        <v>-3.0706049999999999E-2</v>
      </c>
      <c r="Z3514">
        <v>2.1342700000000002E-3</v>
      </c>
      <c r="AA3514">
        <v>0.99952620000000003</v>
      </c>
      <c r="AB3514">
        <v>21</v>
      </c>
      <c r="AC3514">
        <v>17.457099999999901</v>
      </c>
      <c r="AD3514">
        <v>-1.11039878373</v>
      </c>
      <c r="AE3514">
        <v>0.21789999999998599</v>
      </c>
      <c r="AF3514">
        <v>-0.54129775234451905</v>
      </c>
      <c r="AG3514">
        <v>-1.11039878373</v>
      </c>
      <c r="AH3514">
        <v>17.379693022987102</v>
      </c>
      <c r="AI3514">
        <v>93.6539251958379</v>
      </c>
      <c r="AJ3514">
        <v>91.783924157627595</v>
      </c>
      <c r="AK3514">
        <v>17.423539201002502</v>
      </c>
      <c r="AL3514">
        <v>88.320794488527298</v>
      </c>
      <c r="AM3514">
        <v>91.3227792979702</v>
      </c>
      <c r="AN3514">
        <v>1.00000001402009</v>
      </c>
    </row>
    <row r="3515" spans="1:40" x14ac:dyDescent="0.25">
      <c r="A3515" t="str">
        <f>"20190312160401940"</f>
        <v>20190312160401940</v>
      </c>
      <c r="B3515" t="str">
        <f>"1552377841928518"</f>
        <v>1552377841928518</v>
      </c>
      <c r="C3515" t="s">
        <v>40</v>
      </c>
      <c r="D3515">
        <v>5.1379010000000003</v>
      </c>
      <c r="E3515">
        <v>0.49739719999999998</v>
      </c>
      <c r="F3515" t="s">
        <v>79</v>
      </c>
      <c r="G3515">
        <v>-407.8845</v>
      </c>
      <c r="H3515" s="1">
        <v>5.4476250000000002E-6</v>
      </c>
      <c r="I3515">
        <v>211.9941</v>
      </c>
      <c r="J3515">
        <v>-425.65410000000003</v>
      </c>
      <c r="K3515">
        <v>1.110385</v>
      </c>
      <c r="L3515">
        <v>211.768</v>
      </c>
      <c r="M3515">
        <v>0.99979119999999999</v>
      </c>
      <c r="N3515">
        <v>0</v>
      </c>
      <c r="O3515">
        <v>-1.7684789999999999E-2</v>
      </c>
      <c r="P3515">
        <v>0.9997994</v>
      </c>
      <c r="Q3515">
        <v>1.9483400000000001E-2</v>
      </c>
      <c r="R3515">
        <v>4.6594449999999999E-3</v>
      </c>
      <c r="S3515">
        <v>3.0039669999999998</v>
      </c>
      <c r="T3515">
        <v>-0.18550430000000001</v>
      </c>
      <c r="U3515">
        <v>3.7292480000000003E-2</v>
      </c>
      <c r="V3515">
        <v>-2.2380359999999998E-2</v>
      </c>
      <c r="W3515">
        <v>2.96843E-2</v>
      </c>
      <c r="X3515">
        <v>0.9993088</v>
      </c>
      <c r="Y3515">
        <v>-3.0005029999999999E-2</v>
      </c>
      <c r="Z3515">
        <v>2.0165890000000001E-3</v>
      </c>
      <c r="AA3515">
        <v>0.99954770000000004</v>
      </c>
      <c r="AB3515">
        <v>22</v>
      </c>
      <c r="AC3515">
        <v>17.769600000000001</v>
      </c>
      <c r="AD3515">
        <v>-1.110379552375</v>
      </c>
      <c r="AE3515">
        <v>0.22610000000000199</v>
      </c>
      <c r="AF3515">
        <v>-0.53823145826260999</v>
      </c>
      <c r="AG3515">
        <v>-1.110379552375</v>
      </c>
      <c r="AH3515">
        <v>17.693744443661998</v>
      </c>
      <c r="AI3515">
        <v>93.589259615302794</v>
      </c>
      <c r="AJ3515">
        <v>91.742360662840994</v>
      </c>
      <c r="AK3515">
        <v>17.736719772568399</v>
      </c>
      <c r="AL3515">
        <v>88.298965115102604</v>
      </c>
      <c r="AM3515">
        <v>91.282972637841098</v>
      </c>
      <c r="AN3515">
        <v>1.00000005796882</v>
      </c>
    </row>
    <row r="3516" spans="1:40" x14ac:dyDescent="0.25">
      <c r="A3516" t="str">
        <f>"20190312160401974"</f>
        <v>20190312160401974</v>
      </c>
      <c r="B3516" t="str">
        <f>"1552377841968534"</f>
        <v>1552377841968534</v>
      </c>
      <c r="C3516" t="s">
        <v>40</v>
      </c>
      <c r="D3516">
        <v>5.1362329999999998</v>
      </c>
      <c r="E3516">
        <v>0.49769459999999999</v>
      </c>
      <c r="F3516" t="s">
        <v>79</v>
      </c>
      <c r="G3516">
        <v>-407.16379999999998</v>
      </c>
      <c r="H3516" s="1">
        <v>5.7663019999999998E-6</v>
      </c>
      <c r="I3516">
        <v>211.99860000000001</v>
      </c>
      <c r="J3516">
        <v>-425.32530000000003</v>
      </c>
      <c r="K3516">
        <v>1.1103529999999999</v>
      </c>
      <c r="L3516">
        <v>211.76400000000001</v>
      </c>
      <c r="M3516">
        <v>0.99981679999999995</v>
      </c>
      <c r="N3516">
        <v>0</v>
      </c>
      <c r="O3516">
        <v>-1.624281E-2</v>
      </c>
      <c r="P3516">
        <v>0.99980880000000005</v>
      </c>
      <c r="Q3516">
        <v>1.8910759999999999E-2</v>
      </c>
      <c r="R3516">
        <v>5.0210519999999998E-3</v>
      </c>
      <c r="S3516">
        <v>3.0039370000000001</v>
      </c>
      <c r="T3516">
        <v>-0.18039259999999999</v>
      </c>
      <c r="U3516">
        <v>3.746033E-2</v>
      </c>
      <c r="V3516">
        <v>-2.1297190000000001E-2</v>
      </c>
      <c r="W3516">
        <v>2.900844E-2</v>
      </c>
      <c r="X3516">
        <v>0.99935229999999997</v>
      </c>
      <c r="Y3516">
        <v>-2.8629350000000001E-2</v>
      </c>
      <c r="Z3516">
        <v>1.83336E-3</v>
      </c>
      <c r="AA3516">
        <v>0.99958840000000004</v>
      </c>
      <c r="AB3516">
        <v>22</v>
      </c>
      <c r="AC3516">
        <v>18.1615</v>
      </c>
      <c r="AD3516">
        <v>-1.110347233698</v>
      </c>
      <c r="AE3516">
        <v>0.2346</v>
      </c>
      <c r="AF3516">
        <v>-0.52760621753984405</v>
      </c>
      <c r="AG3516">
        <v>-1.110347233698</v>
      </c>
      <c r="AH3516">
        <v>18.087696450507</v>
      </c>
      <c r="AI3516">
        <v>93.511311279849394</v>
      </c>
      <c r="AJ3516">
        <v>91.670806470030897</v>
      </c>
      <c r="AK3516">
        <v>18.1294236584027</v>
      </c>
      <c r="AL3516">
        <v>88.337705694249905</v>
      </c>
      <c r="AM3516">
        <v>91.220845166932804</v>
      </c>
      <c r="AN3516">
        <v>1.0000000397041999</v>
      </c>
    </row>
    <row r="3517" spans="1:40" x14ac:dyDescent="0.25">
      <c r="A3517" t="str">
        <f>"20190312160401997"</f>
        <v>20190312160401997</v>
      </c>
      <c r="B3517" t="str">
        <f>"1552377841988561"</f>
        <v>1552377841988561</v>
      </c>
      <c r="C3517" t="s">
        <v>40</v>
      </c>
      <c r="D3517">
        <v>5.1167490000000004</v>
      </c>
      <c r="E3517">
        <v>0.49784810000000002</v>
      </c>
      <c r="F3517" t="s">
        <v>79</v>
      </c>
      <c r="G3517">
        <v>-406.63639999999998</v>
      </c>
      <c r="H3517" s="1">
        <v>6.0020259999999997E-6</v>
      </c>
      <c r="I3517">
        <v>211.9897</v>
      </c>
      <c r="J3517">
        <v>-425.09879999999998</v>
      </c>
      <c r="K3517">
        <v>1.11032</v>
      </c>
      <c r="L3517">
        <v>211.76140000000001</v>
      </c>
      <c r="M3517">
        <v>0.99983250000000001</v>
      </c>
      <c r="N3517">
        <v>0</v>
      </c>
      <c r="O3517">
        <v>-1.529722E-2</v>
      </c>
      <c r="P3517">
        <v>0.99980239999999998</v>
      </c>
      <c r="Q3517">
        <v>1.9144669999999999E-2</v>
      </c>
      <c r="R3517">
        <v>5.3772309999999997E-3</v>
      </c>
      <c r="S3517">
        <v>3.003784</v>
      </c>
      <c r="T3517">
        <v>-0.17846139999999999</v>
      </c>
      <c r="U3517">
        <v>3.6285400000000002E-2</v>
      </c>
      <c r="V3517">
        <v>-2.070667E-2</v>
      </c>
      <c r="W3517">
        <v>2.9177640000000001E-2</v>
      </c>
      <c r="X3517">
        <v>0.99935969999999996</v>
      </c>
      <c r="Y3517">
        <v>-2.729937E-2</v>
      </c>
      <c r="Z3517">
        <v>1.7182619999999999E-3</v>
      </c>
      <c r="AA3517">
        <v>0.99962580000000001</v>
      </c>
      <c r="AB3517">
        <v>22</v>
      </c>
      <c r="AC3517">
        <v>18.462399999999999</v>
      </c>
      <c r="AD3517">
        <v>-1.110313997974</v>
      </c>
      <c r="AE3517">
        <v>0.22829999999999001</v>
      </c>
      <c r="AF3517">
        <v>-0.50887077385539103</v>
      </c>
      <c r="AG3517">
        <v>-1.110313997974</v>
      </c>
      <c r="AH3517">
        <v>18.390244714487601</v>
      </c>
      <c r="AI3517">
        <v>93.453729208204805</v>
      </c>
      <c r="AJ3517">
        <v>91.585009347478703</v>
      </c>
      <c r="AK3517">
        <v>18.430758185634101</v>
      </c>
      <c r="AL3517">
        <v>88.328007002449695</v>
      </c>
      <c r="AM3517">
        <v>91.186995094679105</v>
      </c>
      <c r="AN3517">
        <v>0.99999995542127296</v>
      </c>
    </row>
    <row r="3518" spans="1:40" x14ac:dyDescent="0.25">
      <c r="A3518" t="str">
        <f>"20190312160402018"</f>
        <v>20190312160402018</v>
      </c>
      <c r="B3518" t="str">
        <f>"1552377842008082"</f>
        <v>1552377842008082</v>
      </c>
      <c r="C3518" t="s">
        <v>40</v>
      </c>
      <c r="D3518">
        <v>5.1074219999999997</v>
      </c>
      <c r="E3518">
        <v>0.49801430000000002</v>
      </c>
      <c r="F3518" t="s">
        <v>79</v>
      </c>
      <c r="G3518">
        <v>-406.16809999999998</v>
      </c>
      <c r="H3518" s="1">
        <v>6.2099910000000002E-6</v>
      </c>
      <c r="I3518">
        <v>211.98840000000001</v>
      </c>
      <c r="J3518">
        <v>-424.89249999999998</v>
      </c>
      <c r="K3518">
        <v>1.110284</v>
      </c>
      <c r="L3518">
        <v>211.75919999999999</v>
      </c>
      <c r="M3518">
        <v>0.99984530000000005</v>
      </c>
      <c r="N3518">
        <v>0</v>
      </c>
      <c r="O3518">
        <v>-1.446944E-2</v>
      </c>
      <c r="P3518">
        <v>0.99978719999999999</v>
      </c>
      <c r="Q3518">
        <v>1.9677010000000002E-2</v>
      </c>
      <c r="R3518">
        <v>6.2247930000000002E-3</v>
      </c>
      <c r="S3518">
        <v>3.0037229999999999</v>
      </c>
      <c r="T3518">
        <v>-0.1761722</v>
      </c>
      <c r="U3518">
        <v>3.6010739999999999E-2</v>
      </c>
      <c r="V3518">
        <v>-2.0725440000000001E-2</v>
      </c>
      <c r="W3518">
        <v>2.965713E-2</v>
      </c>
      <c r="X3518">
        <v>0.99934520000000004</v>
      </c>
      <c r="Y3518">
        <v>-2.6385510000000001E-2</v>
      </c>
      <c r="Z3518">
        <v>1.6210109999999999E-3</v>
      </c>
      <c r="AA3518">
        <v>0.9996505</v>
      </c>
      <c r="AB3518">
        <v>22</v>
      </c>
      <c r="AC3518">
        <v>18.724399999999999</v>
      </c>
      <c r="AD3518">
        <v>-1.110277790009</v>
      </c>
      <c r="AE3518">
        <v>0.22920000000002</v>
      </c>
      <c r="AF3518">
        <v>-0.49836913682462303</v>
      </c>
      <c r="AG3518">
        <v>-1.110277790009</v>
      </c>
      <c r="AH3518">
        <v>18.653547188063399</v>
      </c>
      <c r="AI3518">
        <v>93.405071172726494</v>
      </c>
      <c r="AJ3518">
        <v>91.530414387146607</v>
      </c>
      <c r="AK3518">
        <v>18.693204948986999</v>
      </c>
      <c r="AL3518">
        <v>88.300522358771005</v>
      </c>
      <c r="AM3518">
        <v>91.188087996659604</v>
      </c>
      <c r="AN3518">
        <v>0.99999995899303395</v>
      </c>
    </row>
    <row r="3519" spans="1:40" x14ac:dyDescent="0.25">
      <c r="A3519" t="str">
        <f>"20190312160402040"</f>
        <v>20190312160402040</v>
      </c>
      <c r="B3519" t="str">
        <f>"1552377842028578"</f>
        <v>1552377842028578</v>
      </c>
      <c r="C3519" t="s">
        <v>40</v>
      </c>
      <c r="D3519">
        <v>5.131653</v>
      </c>
      <c r="E3519">
        <v>0.49809969999999998</v>
      </c>
      <c r="F3519" t="s">
        <v>79</v>
      </c>
      <c r="G3519">
        <v>-405.59879999999998</v>
      </c>
      <c r="H3519" s="1">
        <v>6.4602789999999998E-6</v>
      </c>
      <c r="I3519">
        <v>211.99879999999999</v>
      </c>
      <c r="J3519">
        <v>-424.68259999999998</v>
      </c>
      <c r="K3519">
        <v>1.11025</v>
      </c>
      <c r="L3519">
        <v>211.75720000000001</v>
      </c>
      <c r="M3519">
        <v>0.99985710000000005</v>
      </c>
      <c r="N3519">
        <v>0</v>
      </c>
      <c r="O3519">
        <v>-1.3667810000000001E-2</v>
      </c>
      <c r="P3519">
        <v>0.99977899999999997</v>
      </c>
      <c r="Q3519">
        <v>1.9750159999999999E-2</v>
      </c>
      <c r="R3519">
        <v>7.2458380000000001E-3</v>
      </c>
      <c r="S3519">
        <v>3.0038149999999999</v>
      </c>
      <c r="T3519">
        <v>-0.1728584</v>
      </c>
      <c r="U3519">
        <v>3.7292480000000003E-2</v>
      </c>
      <c r="V3519">
        <v>-2.0943670000000001E-2</v>
      </c>
      <c r="W3519">
        <v>2.9682400000000001E-2</v>
      </c>
      <c r="X3519">
        <v>0.99933989999999995</v>
      </c>
      <c r="Y3519">
        <v>-2.6014720000000002E-2</v>
      </c>
      <c r="Z3519">
        <v>1.533766E-3</v>
      </c>
      <c r="AA3519">
        <v>0.9996604</v>
      </c>
      <c r="AB3519">
        <v>22</v>
      </c>
      <c r="AC3519">
        <v>19.0838</v>
      </c>
      <c r="AD3519">
        <v>-1.110243539721</v>
      </c>
      <c r="AE3519">
        <v>0.241599999999976</v>
      </c>
      <c r="AF3519">
        <v>-0.50072959540283701</v>
      </c>
      <c r="AG3519">
        <v>-1.110243539721</v>
      </c>
      <c r="AH3519">
        <v>19.014369281598</v>
      </c>
      <c r="AI3519">
        <v>93.340534323463501</v>
      </c>
      <c r="AJ3519">
        <v>91.508494064915496</v>
      </c>
      <c r="AK3519">
        <v>19.0533359289701</v>
      </c>
      <c r="AL3519">
        <v>88.299073856607706</v>
      </c>
      <c r="AM3519">
        <v>91.200600776938202</v>
      </c>
      <c r="AN3519">
        <v>0.999999958957418</v>
      </c>
    </row>
    <row r="3520" spans="1:40" x14ac:dyDescent="0.25">
      <c r="A3520" t="str">
        <f>"20190312160402062"</f>
        <v>20190312160402062</v>
      </c>
      <c r="B3520" t="str">
        <f>"1552377842057857"</f>
        <v>1552377842057857</v>
      </c>
      <c r="C3520" t="s">
        <v>40</v>
      </c>
      <c r="D3520">
        <v>5.1121639999999999</v>
      </c>
      <c r="E3520">
        <v>0.49810209999999999</v>
      </c>
      <c r="F3520" t="s">
        <v>79</v>
      </c>
      <c r="G3520">
        <v>-405.30070000000001</v>
      </c>
      <c r="H3520" s="1">
        <v>6.589517E-6</v>
      </c>
      <c r="I3520">
        <v>212.01310000000001</v>
      </c>
      <c r="J3520">
        <v>-424.46440000000001</v>
      </c>
      <c r="K3520">
        <v>1.110223</v>
      </c>
      <c r="L3520">
        <v>211.7551</v>
      </c>
      <c r="M3520">
        <v>0.99986799999999998</v>
      </c>
      <c r="N3520">
        <v>0</v>
      </c>
      <c r="O3520">
        <v>-1.2880519999999999E-2</v>
      </c>
      <c r="P3520">
        <v>0.99977300000000002</v>
      </c>
      <c r="Q3520">
        <v>1.9745990000000001E-2</v>
      </c>
      <c r="R3520">
        <v>8.0146780000000008E-3</v>
      </c>
      <c r="S3520">
        <v>3.003784</v>
      </c>
      <c r="T3520">
        <v>-0.172064299999999</v>
      </c>
      <c r="U3520">
        <v>3.965759E-2</v>
      </c>
      <c r="V3520">
        <v>-2.092273E-2</v>
      </c>
      <c r="W3520">
        <v>2.9631870000000001E-2</v>
      </c>
      <c r="X3520">
        <v>0.99934190000000001</v>
      </c>
      <c r="Y3520">
        <v>-2.6016569999999999E-2</v>
      </c>
      <c r="Z3520">
        <v>1.4817329999999901E-3</v>
      </c>
      <c r="AA3520">
        <v>0.9996604</v>
      </c>
      <c r="AB3520">
        <v>22</v>
      </c>
      <c r="AC3520">
        <v>19.163699999999999</v>
      </c>
      <c r="AD3520">
        <v>-1.1102164104829999</v>
      </c>
      <c r="AE3520">
        <v>0.258000000000009</v>
      </c>
      <c r="AF3520">
        <v>-0.50314075233469702</v>
      </c>
      <c r="AG3520">
        <v>-1.1102164104829999</v>
      </c>
      <c r="AH3520">
        <v>19.0947113932504</v>
      </c>
      <c r="AI3520">
        <v>93.326428007446594</v>
      </c>
      <c r="AJ3520">
        <v>91.509379847871401</v>
      </c>
      <c r="AK3520">
        <v>19.133576097695101</v>
      </c>
      <c r="AL3520">
        <v>88.301970391427602</v>
      </c>
      <c r="AM3520">
        <v>91.199398337692401</v>
      </c>
      <c r="AN3520">
        <v>1.00000002072297</v>
      </c>
    </row>
    <row r="3521" spans="1:40" x14ac:dyDescent="0.25">
      <c r="A3521" t="str">
        <f>"20190312160402084"</f>
        <v>20190312160402084</v>
      </c>
      <c r="B3521" t="str">
        <f>"1552377842078353"</f>
        <v>1552377842078353</v>
      </c>
      <c r="C3521" t="s">
        <v>40</v>
      </c>
      <c r="D3521">
        <v>5.1567720000000001</v>
      </c>
      <c r="E3521">
        <v>0.49806790000000001</v>
      </c>
      <c r="F3521" t="s">
        <v>79</v>
      </c>
      <c r="G3521">
        <v>-405.04950000000002</v>
      </c>
      <c r="H3521" s="1">
        <v>6.6983849999999999E-6</v>
      </c>
      <c r="I3521">
        <v>212.02539999999999</v>
      </c>
      <c r="J3521">
        <v>-424.24489999999997</v>
      </c>
      <c r="K3521">
        <v>1.110185</v>
      </c>
      <c r="L3521">
        <v>211.75319999999999</v>
      </c>
      <c r="M3521">
        <v>0.99987780000000004</v>
      </c>
      <c r="N3521">
        <v>0</v>
      </c>
      <c r="O3521">
        <v>-1.2136269999999999E-2</v>
      </c>
      <c r="P3521">
        <v>0.99977819999999995</v>
      </c>
      <c r="Q3521">
        <v>1.9262399999999999E-2</v>
      </c>
      <c r="R3521">
        <v>8.5229809999999902E-3</v>
      </c>
      <c r="S3521">
        <v>3.0038149999999999</v>
      </c>
      <c r="T3521">
        <v>-0.17176939999999999</v>
      </c>
      <c r="U3521">
        <v>4.1824340000000002E-2</v>
      </c>
      <c r="V3521">
        <v>-2.0684790000000002E-2</v>
      </c>
      <c r="W3521">
        <v>2.910186E-2</v>
      </c>
      <c r="X3521">
        <v>0.99936239999999998</v>
      </c>
      <c r="Y3521">
        <v>-2.5994779999999999E-2</v>
      </c>
      <c r="Z3521">
        <v>1.43603E-3</v>
      </c>
      <c r="AA3521">
        <v>0.99966100000000002</v>
      </c>
      <c r="AB3521">
        <v>22</v>
      </c>
      <c r="AC3521">
        <v>19.1953999999999</v>
      </c>
      <c r="AD3521">
        <v>-1.110178301615</v>
      </c>
      <c r="AE3521">
        <v>0.272199999999998</v>
      </c>
      <c r="AF3521">
        <v>-0.50346807622312895</v>
      </c>
      <c r="AG3521">
        <v>-1.110178301615</v>
      </c>
      <c r="AH3521">
        <v>19.126717249236599</v>
      </c>
      <c r="AI3521">
        <v>93.320762785569499</v>
      </c>
      <c r="AJ3521">
        <v>91.507835128928903</v>
      </c>
      <c r="AK3521">
        <v>19.165523439170599</v>
      </c>
      <c r="AL3521">
        <v>88.332350783511998</v>
      </c>
      <c r="AM3521">
        <v>91.185737994928701</v>
      </c>
      <c r="AN3521">
        <v>0.99999999266328099</v>
      </c>
    </row>
    <row r="3522" spans="1:40" x14ac:dyDescent="0.25">
      <c r="A3522" t="str">
        <f>"20190312160402107"</f>
        <v>20190312160402107</v>
      </c>
      <c r="B3522" t="str">
        <f>"1552377842098383"</f>
        <v>1552377842098383</v>
      </c>
      <c r="C3522" t="s">
        <v>40</v>
      </c>
      <c r="D3522">
        <v>5.1404360000000002</v>
      </c>
      <c r="E3522">
        <v>0.49803259999999999</v>
      </c>
      <c r="F3522" t="s">
        <v>79</v>
      </c>
      <c r="G3522">
        <v>-404.93560000000002</v>
      </c>
      <c r="H3522" s="1">
        <v>6.7468609999999997E-6</v>
      </c>
      <c r="I3522">
        <v>212.0352</v>
      </c>
      <c r="J3522">
        <v>-424.0292</v>
      </c>
      <c r="K3522">
        <v>1.110155</v>
      </c>
      <c r="L3522">
        <v>211.75129999999999</v>
      </c>
      <c r="M3522">
        <v>0.99988630000000001</v>
      </c>
      <c r="N3522">
        <v>0</v>
      </c>
      <c r="O3522">
        <v>-1.1451899999999999E-2</v>
      </c>
      <c r="P3522">
        <v>0.99976259999999995</v>
      </c>
      <c r="Q3522">
        <v>1.978541E-2</v>
      </c>
      <c r="R3522">
        <v>9.1370949999999996E-3</v>
      </c>
      <c r="S3522">
        <v>3.0036320000000001</v>
      </c>
      <c r="T3522">
        <v>-0.1726926</v>
      </c>
      <c r="U3522">
        <v>4.3869020000000002E-2</v>
      </c>
      <c r="V3522">
        <v>-2.0613019999999999E-2</v>
      </c>
      <c r="W3522">
        <v>2.9581820000000002E-2</v>
      </c>
      <c r="X3522">
        <v>0.99934979999999995</v>
      </c>
      <c r="Y3522">
        <v>-2.5992210000000002E-2</v>
      </c>
      <c r="Z3522">
        <v>1.4044280000000001E-3</v>
      </c>
      <c r="AA3522">
        <v>0.99966109999999997</v>
      </c>
      <c r="AB3522">
        <v>22</v>
      </c>
      <c r="AC3522">
        <v>19.093599999999899</v>
      </c>
      <c r="AD3522">
        <v>-1.1101482531389999</v>
      </c>
      <c r="AE3522">
        <v>0.28390000000001597</v>
      </c>
      <c r="AF3522">
        <v>-0.50085710778224701</v>
      </c>
      <c r="AG3522">
        <v>-1.1101482531389999</v>
      </c>
      <c r="AH3522">
        <v>19.0247965570391</v>
      </c>
      <c r="AI3522">
        <v>93.338422338742703</v>
      </c>
      <c r="AJ3522">
        <v>91.508051413195304</v>
      </c>
      <c r="AK3522">
        <v>19.063739691442802</v>
      </c>
      <c r="AL3522">
        <v>88.304839270570199</v>
      </c>
      <c r="AM3522">
        <v>91.181639903135505</v>
      </c>
      <c r="AN3522">
        <v>1.00000000171403</v>
      </c>
    </row>
    <row r="3523" spans="1:40" x14ac:dyDescent="0.25">
      <c r="A3523" t="str">
        <f>"20190312160402129"</f>
        <v>20190312160402129</v>
      </c>
      <c r="B3523" t="str">
        <f>"1552377842117904"</f>
        <v>1552377842117904</v>
      </c>
      <c r="C3523" t="s">
        <v>40</v>
      </c>
      <c r="D3523">
        <v>5.1406179999999999</v>
      </c>
      <c r="E3523">
        <v>0.49800990000000001</v>
      </c>
      <c r="F3523" t="s">
        <v>79</v>
      </c>
      <c r="G3523">
        <v>-404.60480000000001</v>
      </c>
      <c r="H3523" s="1">
        <v>6.89098E-6</v>
      </c>
      <c r="I3523">
        <v>212.0478</v>
      </c>
      <c r="J3523">
        <v>-423.81299999999999</v>
      </c>
      <c r="K3523">
        <v>1.1101209999999999</v>
      </c>
      <c r="L3523">
        <v>211.74959999999999</v>
      </c>
      <c r="M3523">
        <v>0.99989360000000005</v>
      </c>
      <c r="N3523">
        <v>0</v>
      </c>
      <c r="O3523">
        <v>-1.081644E-2</v>
      </c>
      <c r="P3523">
        <v>0.99974640000000004</v>
      </c>
      <c r="Q3523">
        <v>2.02436E-2</v>
      </c>
      <c r="R3523">
        <v>9.8666810000000004E-3</v>
      </c>
      <c r="S3523">
        <v>3.0036930000000002</v>
      </c>
      <c r="T3523">
        <v>-0.17166699999999999</v>
      </c>
      <c r="U3523">
        <v>4.58374E-2</v>
      </c>
      <c r="V3523">
        <v>-2.0705210000000002E-2</v>
      </c>
      <c r="W3523">
        <v>3.0003640000000002E-2</v>
      </c>
      <c r="X3523">
        <v>0.99933530000000004</v>
      </c>
      <c r="Y3523">
        <v>-2.6013290000000001E-2</v>
      </c>
      <c r="Z3523">
        <v>1.3603809999999999E-3</v>
      </c>
      <c r="AA3523">
        <v>0.99966069999999996</v>
      </c>
      <c r="AB3523">
        <v>22</v>
      </c>
      <c r="AC3523">
        <v>19.208200000000001</v>
      </c>
      <c r="AD3523">
        <v>-1.11011410902</v>
      </c>
      <c r="AE3523">
        <v>0.29820000000000801</v>
      </c>
      <c r="AF3523">
        <v>-0.50427292295486204</v>
      </c>
      <c r="AG3523">
        <v>-1.11011410902</v>
      </c>
      <c r="AH3523">
        <v>19.1399363513463</v>
      </c>
      <c r="AI3523">
        <v>93.318280878434294</v>
      </c>
      <c r="AJ3523">
        <v>91.509201870655701</v>
      </c>
      <c r="AK3523">
        <v>19.178733223272602</v>
      </c>
      <c r="AL3523">
        <v>88.280659999287906</v>
      </c>
      <c r="AM3523">
        <v>91.186940396773807</v>
      </c>
      <c r="AN3523">
        <v>0.99999998298024095</v>
      </c>
    </row>
    <row r="3524" spans="1:40" x14ac:dyDescent="0.25">
      <c r="A3524" t="str">
        <f>"20190312160402152"</f>
        <v>20190312160402152</v>
      </c>
      <c r="B3524" t="str">
        <f>"1552377842148157"</f>
        <v>1552377842148157</v>
      </c>
      <c r="C3524" t="s">
        <v>40</v>
      </c>
      <c r="D3524">
        <v>5.1161059999999896</v>
      </c>
      <c r="E3524">
        <v>0.49800290000000003</v>
      </c>
      <c r="F3524" t="s">
        <v>79</v>
      </c>
      <c r="G3524">
        <v>-404.30349999999999</v>
      </c>
      <c r="H3524" s="1">
        <v>7.02205799999999E-6</v>
      </c>
      <c r="I3524">
        <v>212.0599</v>
      </c>
      <c r="J3524">
        <v>-423.5883</v>
      </c>
      <c r="K3524">
        <v>1.1100829999999999</v>
      </c>
      <c r="L3524">
        <v>211.74789999999999</v>
      </c>
      <c r="M3524">
        <v>0.99990049999999997</v>
      </c>
      <c r="N3524">
        <v>0</v>
      </c>
      <c r="O3524">
        <v>-1.0205789999999999E-2</v>
      </c>
      <c r="P3524">
        <v>0.99973780000000001</v>
      </c>
      <c r="Q3524">
        <v>2.0408519999999999E-2</v>
      </c>
      <c r="R3524">
        <v>1.0393899999999999E-2</v>
      </c>
      <c r="S3524">
        <v>3.0037229999999999</v>
      </c>
      <c r="T3524">
        <v>-0.1709155</v>
      </c>
      <c r="U3524">
        <v>4.7775270000000002E-2</v>
      </c>
      <c r="V3524">
        <v>-2.0620309999999999E-2</v>
      </c>
      <c r="W3524">
        <v>3.0136139999999999E-2</v>
      </c>
      <c r="X3524">
        <v>0.99933309999999997</v>
      </c>
      <c r="Y3524">
        <v>-2.604886E-2</v>
      </c>
      <c r="Z3524">
        <v>1.320709E-3</v>
      </c>
      <c r="AA3524">
        <v>0.99965979999999999</v>
      </c>
      <c r="AB3524">
        <v>22</v>
      </c>
      <c r="AC3524">
        <v>19.284800000000001</v>
      </c>
      <c r="AD3524">
        <v>-1.110075977942</v>
      </c>
      <c r="AE3524">
        <v>0.31200000000001099</v>
      </c>
      <c r="AF3524">
        <v>-0.50712981216935504</v>
      </c>
      <c r="AG3524">
        <v>-1.110075977942</v>
      </c>
      <c r="AH3524">
        <v>19.216954207263601</v>
      </c>
      <c r="AI3524">
        <v>93.304894372832095</v>
      </c>
      <c r="AJ3524">
        <v>91.511668045108095</v>
      </c>
      <c r="AK3524">
        <v>19.255668732278899</v>
      </c>
      <c r="AL3524">
        <v>88.273064928181697</v>
      </c>
      <c r="AM3524">
        <v>91.182077431249297</v>
      </c>
      <c r="AN3524">
        <v>1.0000000144371</v>
      </c>
    </row>
    <row r="3525" spans="1:40" x14ac:dyDescent="0.25">
      <c r="A3525" t="str">
        <f>"20190312160402176"</f>
        <v>20190312160402176</v>
      </c>
      <c r="B3525" t="str">
        <f>"1552377842168653"</f>
        <v>1552377842168653</v>
      </c>
      <c r="C3525" t="s">
        <v>40</v>
      </c>
      <c r="D3525">
        <v>5.0633910000000002</v>
      </c>
      <c r="E3525">
        <v>0.49807069999999998</v>
      </c>
      <c r="F3525" t="s">
        <v>79</v>
      </c>
      <c r="G3525">
        <v>-404.13959999999997</v>
      </c>
      <c r="H3525" s="1">
        <v>7.092382E-6</v>
      </c>
      <c r="I3525">
        <v>212.07130000000001</v>
      </c>
      <c r="J3525">
        <v>-423.35120000000001</v>
      </c>
      <c r="K3525">
        <v>1.110058</v>
      </c>
      <c r="L3525">
        <v>211.74619999999999</v>
      </c>
      <c r="M3525">
        <v>0.99990679999999998</v>
      </c>
      <c r="N3525">
        <v>0</v>
      </c>
      <c r="O3525">
        <v>-9.6038080000000001E-3</v>
      </c>
      <c r="P3525">
        <v>0.99973829999999997</v>
      </c>
      <c r="Q3525">
        <v>2.057428E-2</v>
      </c>
      <c r="R3525">
        <v>1.0030549999999999E-2</v>
      </c>
      <c r="S3525">
        <v>3.0037539999999998</v>
      </c>
      <c r="T3525">
        <v>-0.17144599999999999</v>
      </c>
      <c r="U3525">
        <v>4.9942019999999997E-2</v>
      </c>
      <c r="V3525">
        <v>-1.9653360000000002E-2</v>
      </c>
      <c r="W3525">
        <v>3.0269589999999999E-2</v>
      </c>
      <c r="X3525">
        <v>0.99934849999999997</v>
      </c>
      <c r="Y3525">
        <v>-2.6168199999999999E-2</v>
      </c>
      <c r="Z3525">
        <v>1.2938520000000001E-3</v>
      </c>
      <c r="AA3525">
        <v>0.99965669999999995</v>
      </c>
      <c r="AB3525">
        <v>22</v>
      </c>
      <c r="AC3525">
        <v>19.211600000000001</v>
      </c>
      <c r="AD3525">
        <v>-1.1100509076180001</v>
      </c>
      <c r="AE3525">
        <v>0.32510000000001998</v>
      </c>
      <c r="AF3525">
        <v>-0.50790303292846295</v>
      </c>
      <c r="AG3525">
        <v>-1.1100509076180001</v>
      </c>
      <c r="AH3525">
        <v>19.143697560084501</v>
      </c>
      <c r="AI3525">
        <v>93.317425795170706</v>
      </c>
      <c r="AJ3525">
        <v>91.519762574660106</v>
      </c>
      <c r="AK3525">
        <v>19.182578939765801</v>
      </c>
      <c r="AL3525">
        <v>88.2654152283733</v>
      </c>
      <c r="AM3525">
        <v>91.126643452804899</v>
      </c>
      <c r="AN3525">
        <v>0.99999996354515297</v>
      </c>
    </row>
    <row r="3526" spans="1:40" x14ac:dyDescent="0.25">
      <c r="A3526" t="str">
        <f>"20190312160402197"</f>
        <v>20190312160402197</v>
      </c>
      <c r="B3526" t="str">
        <f>"1552377842188678"</f>
        <v>1552377842188678</v>
      </c>
      <c r="C3526" t="s">
        <v>40</v>
      </c>
      <c r="D3526">
        <v>5.0796510000000001</v>
      </c>
      <c r="E3526">
        <v>0.49813869999999999</v>
      </c>
      <c r="F3526" t="s">
        <v>79</v>
      </c>
      <c r="G3526">
        <v>-403.8297</v>
      </c>
      <c r="H3526" s="1">
        <v>7.2318010000000002E-6</v>
      </c>
      <c r="I3526">
        <v>212.0617</v>
      </c>
      <c r="J3526">
        <v>-423.14409999999998</v>
      </c>
      <c r="K3526">
        <v>1.110033</v>
      </c>
      <c r="L3526">
        <v>211.7448</v>
      </c>
      <c r="M3526">
        <v>0.99991169999999996</v>
      </c>
      <c r="N3526">
        <v>0</v>
      </c>
      <c r="O3526">
        <v>-9.1115390000000001E-3</v>
      </c>
      <c r="P3526">
        <v>0.99973339999999999</v>
      </c>
      <c r="Q3526">
        <v>2.1079870000000001E-2</v>
      </c>
      <c r="R3526">
        <v>9.4303270000000005E-3</v>
      </c>
      <c r="S3526">
        <v>3.0038149999999999</v>
      </c>
      <c r="T3526">
        <v>-0.17080609999999999</v>
      </c>
      <c r="U3526">
        <v>4.8538209999999998E-2</v>
      </c>
      <c r="V3526">
        <v>-1.8559929999999999E-2</v>
      </c>
      <c r="W3526">
        <v>3.0745729999999999E-2</v>
      </c>
      <c r="X3526">
        <v>0.99935490000000005</v>
      </c>
      <c r="Y3526">
        <v>-2.5211419999999998E-2</v>
      </c>
      <c r="Z3526">
        <v>1.23386E-3</v>
      </c>
      <c r="AA3526">
        <v>0.99968140000000005</v>
      </c>
      <c r="AB3526">
        <v>22</v>
      </c>
      <c r="AC3526">
        <v>19.3143999999999</v>
      </c>
      <c r="AD3526">
        <v>-1.110025768199</v>
      </c>
      <c r="AE3526">
        <v>0.31690000000000401</v>
      </c>
      <c r="AF3526">
        <v>-0.49125682068694199</v>
      </c>
      <c r="AG3526">
        <v>-1.110025768199</v>
      </c>
      <c r="AH3526">
        <v>19.247155057226301</v>
      </c>
      <c r="AI3526">
        <v>93.299645152482299</v>
      </c>
      <c r="AJ3526">
        <v>91.462077519289195</v>
      </c>
      <c r="AK3526">
        <v>19.285395206395101</v>
      </c>
      <c r="AL3526">
        <v>88.238121763284298</v>
      </c>
      <c r="AM3526">
        <v>91.063969787435298</v>
      </c>
      <c r="AN3526">
        <v>0.99999999353442304</v>
      </c>
    </row>
    <row r="3527" spans="1:40" x14ac:dyDescent="0.25">
      <c r="A3527" t="str">
        <f>"20190312160402218"</f>
        <v>20190312160402218</v>
      </c>
      <c r="B3527" t="str">
        <f>"1552377842208202"</f>
        <v>1552377842208202</v>
      </c>
      <c r="C3527" t="s">
        <v>40</v>
      </c>
      <c r="D3527">
        <v>5.102131</v>
      </c>
      <c r="E3527">
        <v>0.4981951</v>
      </c>
      <c r="F3527" t="s">
        <v>79</v>
      </c>
      <c r="G3527">
        <v>-403.40350000000001</v>
      </c>
      <c r="H3527" s="1">
        <v>7.4234899999999901E-6</v>
      </c>
      <c r="I3527">
        <v>212.0487</v>
      </c>
      <c r="J3527">
        <v>-422.9316</v>
      </c>
      <c r="K3527">
        <v>1.1100129999999999</v>
      </c>
      <c r="L3527">
        <v>211.74340000000001</v>
      </c>
      <c r="M3527">
        <v>0.99991620000000003</v>
      </c>
      <c r="N3527">
        <v>0</v>
      </c>
      <c r="O3527">
        <v>-8.6372389999999997E-3</v>
      </c>
      <c r="P3527">
        <v>0.99972649999999996</v>
      </c>
      <c r="Q3527">
        <v>2.1667769999999999E-2</v>
      </c>
      <c r="R3527">
        <v>8.8310739999999995E-3</v>
      </c>
      <c r="S3527">
        <v>3.0039370000000001</v>
      </c>
      <c r="T3527">
        <v>-0.16891320000000001</v>
      </c>
      <c r="U3527">
        <v>4.6249390000000001E-2</v>
      </c>
      <c r="V3527">
        <v>-1.7485520000000001E-2</v>
      </c>
      <c r="W3527">
        <v>3.1302410000000003E-2</v>
      </c>
      <c r="X3527">
        <v>0.99935700000000005</v>
      </c>
      <c r="Y3527">
        <v>-2.3978960000000001E-2</v>
      </c>
      <c r="Z3527">
        <v>1.158896E-3</v>
      </c>
      <c r="AA3527">
        <v>0.99971180000000004</v>
      </c>
      <c r="AB3527">
        <v>22</v>
      </c>
      <c r="AC3527">
        <v>19.528099999999899</v>
      </c>
      <c r="AD3527">
        <v>-1.1100055765100001</v>
      </c>
      <c r="AE3527">
        <v>0.30529999999998803</v>
      </c>
      <c r="AF3527">
        <v>-0.47243926554932297</v>
      </c>
      <c r="AG3527">
        <v>-1.1100055765100001</v>
      </c>
      <c r="AH3527">
        <v>19.4618694536085</v>
      </c>
      <c r="AI3527">
        <v>93.263362637468802</v>
      </c>
      <c r="AJ3527">
        <v>91.390588961264001</v>
      </c>
      <c r="AK3527">
        <v>19.499222391388201</v>
      </c>
      <c r="AL3527">
        <v>88.206210997045702</v>
      </c>
      <c r="AM3527">
        <v>91.002388819291298</v>
      </c>
      <c r="AN3527">
        <v>0.99999999886523905</v>
      </c>
    </row>
    <row r="3528" spans="1:40" x14ac:dyDescent="0.25">
      <c r="A3528" t="str">
        <f>"20190312160402240"</f>
        <v>20190312160402240</v>
      </c>
      <c r="B3528" t="str">
        <f>"1552377842238454"</f>
        <v>1552377842238454</v>
      </c>
      <c r="C3528" t="s">
        <v>40</v>
      </c>
      <c r="D3528">
        <v>5.2347669999999997</v>
      </c>
      <c r="E3528">
        <v>0.49823859999999998</v>
      </c>
      <c r="F3528" t="s">
        <v>79</v>
      </c>
      <c r="G3528">
        <v>-402.98329999999999</v>
      </c>
      <c r="H3528" s="1">
        <v>7.6120969999999996E-6</v>
      </c>
      <c r="I3528">
        <v>212.0377</v>
      </c>
      <c r="J3528">
        <v>-422.7149</v>
      </c>
      <c r="K3528">
        <v>1.1099920000000001</v>
      </c>
      <c r="L3528">
        <v>211.74209999999999</v>
      </c>
      <c r="M3528">
        <v>0.99992040000000004</v>
      </c>
      <c r="N3528">
        <v>0</v>
      </c>
      <c r="O3528">
        <v>-8.1815220000000001E-3</v>
      </c>
      <c r="P3528">
        <v>0.99972369999999999</v>
      </c>
      <c r="Q3528">
        <v>2.209651E-2</v>
      </c>
      <c r="R3528">
        <v>8.0130989999999992E-3</v>
      </c>
      <c r="S3528">
        <v>3.0040589999999998</v>
      </c>
      <c r="T3528">
        <v>-0.16715859999999999</v>
      </c>
      <c r="U3528">
        <v>4.431152E-2</v>
      </c>
      <c r="V3528">
        <v>-1.6211059999999999E-2</v>
      </c>
      <c r="W3528">
        <v>3.1700850000000003E-2</v>
      </c>
      <c r="X3528">
        <v>0.99936590000000003</v>
      </c>
      <c r="Y3528">
        <v>-2.288142E-2</v>
      </c>
      <c r="Z3528">
        <v>1.090986E-3</v>
      </c>
      <c r="AA3528">
        <v>0.9997376</v>
      </c>
      <c r="AB3528">
        <v>22</v>
      </c>
      <c r="AC3528">
        <v>19.7316</v>
      </c>
      <c r="AD3528">
        <v>-1.109984387903</v>
      </c>
      <c r="AE3528">
        <v>0.29560000000000702</v>
      </c>
      <c r="AF3528">
        <v>-0.45559066571982298</v>
      </c>
      <c r="AG3528">
        <v>-1.109984387903</v>
      </c>
      <c r="AH3528">
        <v>19.6663003471084</v>
      </c>
      <c r="AI3528">
        <v>93.229535428566905</v>
      </c>
      <c r="AJ3528">
        <v>91.327080018352902</v>
      </c>
      <c r="AK3528">
        <v>19.702867749105799</v>
      </c>
      <c r="AL3528">
        <v>88.1833706824453</v>
      </c>
      <c r="AM3528">
        <v>90.929333154538298</v>
      </c>
      <c r="AN3528">
        <v>0.99999997221992698</v>
      </c>
    </row>
    <row r="3529" spans="1:40" x14ac:dyDescent="0.25">
      <c r="A3529" t="str">
        <f>"20190312160402263"</f>
        <v>20190312160402263</v>
      </c>
      <c r="B3529" t="str">
        <f>"1552377842257975"</f>
        <v>1552377842257975</v>
      </c>
      <c r="C3529" t="s">
        <v>40</v>
      </c>
      <c r="D3529">
        <v>5.1439830000000004</v>
      </c>
      <c r="E3529">
        <v>0.49832120000000002</v>
      </c>
      <c r="F3529" t="s">
        <v>79</v>
      </c>
      <c r="G3529">
        <v>-402.62619999999998</v>
      </c>
      <c r="H3529" s="1">
        <v>7.7742850000000001E-6</v>
      </c>
      <c r="I3529">
        <v>212.01929999999999</v>
      </c>
      <c r="J3529">
        <v>-422.48540000000003</v>
      </c>
      <c r="K3529">
        <v>1.1099699999999999</v>
      </c>
      <c r="L3529">
        <v>211.74080000000001</v>
      </c>
      <c r="M3529">
        <v>0.99992429999999999</v>
      </c>
      <c r="N3529">
        <v>0</v>
      </c>
      <c r="O3529">
        <v>-7.7242350000000003E-3</v>
      </c>
      <c r="P3529">
        <v>0.99971129999999997</v>
      </c>
      <c r="Q3529">
        <v>2.2784970000000002E-2</v>
      </c>
      <c r="R3529">
        <v>7.6157919999999997E-3</v>
      </c>
      <c r="S3529">
        <v>3.004181</v>
      </c>
      <c r="T3529">
        <v>-0.1659931</v>
      </c>
      <c r="U3529">
        <v>4.1458130000000003E-2</v>
      </c>
      <c r="V3529">
        <v>-1.5355819999999999E-2</v>
      </c>
      <c r="W3529">
        <v>3.2354260000000003E-2</v>
      </c>
      <c r="X3529">
        <v>0.99935850000000004</v>
      </c>
      <c r="Y3529">
        <v>-2.1477739999999999E-2</v>
      </c>
      <c r="Z3529">
        <v>1.019357E-3</v>
      </c>
      <c r="AA3529">
        <v>0.99976880000000001</v>
      </c>
      <c r="AB3529">
        <v>22</v>
      </c>
      <c r="AC3529">
        <v>19.859200000000001</v>
      </c>
      <c r="AD3529">
        <v>-1.1099622257149999</v>
      </c>
      <c r="AE3529">
        <v>0.27849999999997899</v>
      </c>
      <c r="AF3529">
        <v>-0.43055113357461999</v>
      </c>
      <c r="AG3529">
        <v>-1.1099622257149999</v>
      </c>
      <c r="AH3529">
        <v>19.7946325084493</v>
      </c>
      <c r="AI3529">
        <v>93.208679442768798</v>
      </c>
      <c r="AJ3529">
        <v>91.246038471955302</v>
      </c>
      <c r="AK3529">
        <v>19.830402582037799</v>
      </c>
      <c r="AL3529">
        <v>88.1459138911694</v>
      </c>
      <c r="AM3529">
        <v>90.880319168210505</v>
      </c>
      <c r="AN3529">
        <v>1.0000000054351299</v>
      </c>
    </row>
    <row r="3530" spans="1:40" x14ac:dyDescent="0.25">
      <c r="A3530" t="str">
        <f>"20190312160402285"</f>
        <v>20190312160402285</v>
      </c>
      <c r="B3530" t="str">
        <f>"1552377842278471"</f>
        <v>1552377842278471</v>
      </c>
      <c r="C3530" t="s">
        <v>40</v>
      </c>
      <c r="D3530">
        <v>5.2485799999999996</v>
      </c>
      <c r="E3530">
        <v>0.52184739999999996</v>
      </c>
      <c r="F3530" t="s">
        <v>79</v>
      </c>
      <c r="G3530">
        <v>-402.04640000000001</v>
      </c>
      <c r="H3530" s="1">
        <v>8.0331449999999907E-6</v>
      </c>
      <c r="I3530">
        <v>212.01070000000001</v>
      </c>
      <c r="J3530">
        <v>-422.26150000000001</v>
      </c>
      <c r="K3530">
        <v>1.109953</v>
      </c>
      <c r="L3530">
        <v>211.73949999999999</v>
      </c>
      <c r="M3530">
        <v>0.99992780000000003</v>
      </c>
      <c r="N3530">
        <v>0</v>
      </c>
      <c r="O3530">
        <v>-7.299959E-3</v>
      </c>
      <c r="P3530">
        <v>0.99969699999999995</v>
      </c>
      <c r="Q3530">
        <v>2.3331089999999999E-2</v>
      </c>
      <c r="R3530">
        <v>7.8450069999999993E-3</v>
      </c>
      <c r="S3530">
        <v>3.0042719999999998</v>
      </c>
      <c r="T3530">
        <v>-0.16315109999999999</v>
      </c>
      <c r="U3530">
        <v>3.9672850000000003E-2</v>
      </c>
      <c r="V3530">
        <v>-1.516019E-2</v>
      </c>
      <c r="W3530">
        <v>3.2867529999999999E-2</v>
      </c>
      <c r="X3530">
        <v>0.99934469999999997</v>
      </c>
      <c r="Y3530">
        <v>-2.0462729999999998E-2</v>
      </c>
      <c r="Z3530">
        <v>9.5134039999999998E-4</v>
      </c>
      <c r="AA3530">
        <v>0.99979019999999996</v>
      </c>
      <c r="AB3530">
        <v>22</v>
      </c>
      <c r="AC3530">
        <v>20.2151</v>
      </c>
      <c r="AD3530">
        <v>-1.1099449668550001</v>
      </c>
      <c r="AE3530">
        <v>0.27120000000002098</v>
      </c>
      <c r="AF3530">
        <v>-0.41751043452203201</v>
      </c>
      <c r="AG3530">
        <v>-1.1099449668550001</v>
      </c>
      <c r="AH3530">
        <v>20.151839681015101</v>
      </c>
      <c r="AI3530">
        <v>93.151938826736199</v>
      </c>
      <c r="AJ3530">
        <v>91.186897291764893</v>
      </c>
      <c r="AK3530">
        <v>20.1867019426581</v>
      </c>
      <c r="AL3530">
        <v>88.116489965204707</v>
      </c>
      <c r="AM3530">
        <v>90.8691178134372</v>
      </c>
      <c r="AN3530">
        <v>0.99999996765361299</v>
      </c>
    </row>
    <row r="3531" spans="1:40" x14ac:dyDescent="0.25">
      <c r="A3531" t="str">
        <f>"20190312160402309"</f>
        <v>20190312160402309</v>
      </c>
      <c r="B3531" t="str">
        <f>"1552377842298497"</f>
        <v>1552377842298497</v>
      </c>
      <c r="C3531" t="s">
        <v>40</v>
      </c>
      <c r="D3531">
        <v>5.0971719999999996</v>
      </c>
      <c r="E3531">
        <v>0.52594339999999995</v>
      </c>
      <c r="F3531" t="s">
        <v>55</v>
      </c>
      <c r="G3531">
        <v>-168.4171</v>
      </c>
      <c r="H3531">
        <v>12.39903</v>
      </c>
      <c r="I3531">
        <v>198.89230000000001</v>
      </c>
      <c r="J3531">
        <v>-422.03870000000001</v>
      </c>
      <c r="K3531">
        <v>1.109934</v>
      </c>
      <c r="L3531">
        <v>211.73840000000001</v>
      </c>
      <c r="M3531">
        <v>0.99993100000000001</v>
      </c>
      <c r="N3531">
        <v>0</v>
      </c>
      <c r="O3531">
        <v>-6.8990279999999998E-3</v>
      </c>
      <c r="P3531">
        <v>0.99969509999999995</v>
      </c>
      <c r="Q3531">
        <v>2.3236429999999999E-2</v>
      </c>
      <c r="R3531">
        <v>8.344176E-3</v>
      </c>
      <c r="S3531">
        <v>2.9989620000000001</v>
      </c>
      <c r="T3531">
        <v>0.1333715</v>
      </c>
      <c r="U3531">
        <v>-0.1517792</v>
      </c>
      <c r="V3531">
        <v>-1.525747E-2</v>
      </c>
      <c r="W3531">
        <v>3.2738860000000002E-2</v>
      </c>
      <c r="X3531">
        <v>0.9993474</v>
      </c>
      <c r="Y3531">
        <v>4.3617950000000003E-2</v>
      </c>
      <c r="Z3531">
        <v>6.6233380000000003E-4</v>
      </c>
      <c r="AA3531">
        <v>0.99904809999999999</v>
      </c>
      <c r="AB3531">
        <v>22</v>
      </c>
      <c r="AC3531">
        <v>253.6216</v>
      </c>
      <c r="AD3531">
        <v>11.289096000000001</v>
      </c>
      <c r="AE3531">
        <v>-12.8461</v>
      </c>
      <c r="AF3531">
        <v>11.074087917178399</v>
      </c>
      <c r="AG3531">
        <v>11.289096000000001</v>
      </c>
      <c r="AH3531">
        <v>253.203809315943</v>
      </c>
      <c r="AI3531">
        <v>87.449592220567894</v>
      </c>
      <c r="AJ3531">
        <v>87.495715395181406</v>
      </c>
      <c r="AK3531">
        <v>253.69715836760699</v>
      </c>
      <c r="AL3531">
        <v>88.123866102281298</v>
      </c>
      <c r="AM3531">
        <v>90.874691547387002</v>
      </c>
      <c r="AN3531">
        <v>0.99999992461582698</v>
      </c>
    </row>
    <row r="3532" spans="1:40" x14ac:dyDescent="0.25">
      <c r="A3532" t="str">
        <f>"20190312160402330"</f>
        <v>20190312160402330</v>
      </c>
      <c r="B3532" t="str">
        <f>"1552377842318017"</f>
        <v>1552377842318017</v>
      </c>
      <c r="C3532" t="s">
        <v>40</v>
      </c>
      <c r="D3532">
        <v>5.1653580000000003</v>
      </c>
      <c r="E3532">
        <v>0.52691409999999905</v>
      </c>
      <c r="F3532" t="s">
        <v>85</v>
      </c>
      <c r="G3532">
        <v>-280.0745</v>
      </c>
      <c r="H3532">
        <v>10.78257</v>
      </c>
      <c r="I3532">
        <v>203.03290000000001</v>
      </c>
      <c r="J3532">
        <v>-421.8152</v>
      </c>
      <c r="K3532">
        <v>1.1099060000000001</v>
      </c>
      <c r="L3532">
        <v>211.7373</v>
      </c>
      <c r="M3532">
        <v>0.99993379999999998</v>
      </c>
      <c r="N3532">
        <v>0</v>
      </c>
      <c r="O3532">
        <v>-6.5166499999999997E-3</v>
      </c>
      <c r="P3532">
        <v>0.99970400000000004</v>
      </c>
      <c r="Q3532">
        <v>2.2735140000000001E-2</v>
      </c>
      <c r="R3532">
        <v>8.6446390000000008E-3</v>
      </c>
      <c r="S3532">
        <v>2.9977109999999998</v>
      </c>
      <c r="T3532">
        <v>0.20424510000000001</v>
      </c>
      <c r="U3532">
        <v>-0.1838226</v>
      </c>
      <c r="V3532">
        <v>-1.517482E-2</v>
      </c>
      <c r="W3532">
        <v>3.2196509999999998E-2</v>
      </c>
      <c r="X3532">
        <v>0.99936630000000004</v>
      </c>
      <c r="Y3532">
        <v>5.4588989999999997E-2</v>
      </c>
      <c r="Z3532">
        <v>1.412714E-3</v>
      </c>
      <c r="AA3532">
        <v>0.9985079</v>
      </c>
      <c r="AB3532">
        <v>22</v>
      </c>
      <c r="AC3532">
        <v>141.7407</v>
      </c>
      <c r="AD3532">
        <v>9.6726639999999993</v>
      </c>
      <c r="AE3532">
        <v>-8.7043999999999908</v>
      </c>
      <c r="AF3532">
        <v>7.7445684034359399</v>
      </c>
      <c r="AG3532">
        <v>9.6726639999999993</v>
      </c>
      <c r="AH3532">
        <v>141.13960330673299</v>
      </c>
      <c r="AI3532">
        <v>86.0853719093259</v>
      </c>
      <c r="AJ3532">
        <v>86.859233464960894</v>
      </c>
      <c r="AK3532">
        <v>141.682484415662</v>
      </c>
      <c r="AL3532">
        <v>88.154956901982601</v>
      </c>
      <c r="AM3532">
        <v>90.869937607090094</v>
      </c>
      <c r="AN3532">
        <v>0.99999994599694897</v>
      </c>
    </row>
    <row r="3533" spans="1:40" x14ac:dyDescent="0.25">
      <c r="A3533" t="str">
        <f>"20190312160402353"</f>
        <v>20190312160402353</v>
      </c>
      <c r="B3533" t="str">
        <f>"1552377842348273"</f>
        <v>1552377842348273</v>
      </c>
      <c r="C3533" t="s">
        <v>40</v>
      </c>
      <c r="D3533">
        <v>5.2025350000000001</v>
      </c>
      <c r="E3533">
        <v>0.52733189999999996</v>
      </c>
      <c r="F3533" t="s">
        <v>85</v>
      </c>
      <c r="G3533">
        <v>-280.209</v>
      </c>
      <c r="H3533">
        <v>11.90203</v>
      </c>
      <c r="I3533">
        <v>202.69800000000001</v>
      </c>
      <c r="J3533">
        <v>-421.59089999999998</v>
      </c>
      <c r="K3533">
        <v>1.109893</v>
      </c>
      <c r="L3533">
        <v>211.7363</v>
      </c>
      <c r="M3533">
        <v>0.99993659999999995</v>
      </c>
      <c r="N3533">
        <v>0</v>
      </c>
      <c r="O3533">
        <v>-6.14783E-3</v>
      </c>
      <c r="P3533">
        <v>0.99971379999999999</v>
      </c>
      <c r="Q3533">
        <v>2.2600160000000001E-2</v>
      </c>
      <c r="R3533">
        <v>7.8432499999999995E-3</v>
      </c>
      <c r="S3533">
        <v>2.9973139999999998</v>
      </c>
      <c r="T3533">
        <v>0.2284313</v>
      </c>
      <c r="U3533">
        <v>-0.19133</v>
      </c>
      <c r="V3533">
        <v>-1.4004040000000001E-2</v>
      </c>
      <c r="W3533">
        <v>3.2018739999999997E-2</v>
      </c>
      <c r="X3533">
        <v>0.99938919999999998</v>
      </c>
      <c r="Y3533">
        <v>5.7419249999999998E-2</v>
      </c>
      <c r="Z3533">
        <v>1.7152560000000001E-3</v>
      </c>
      <c r="AA3533">
        <v>0.99834869999999998</v>
      </c>
      <c r="AB3533">
        <v>22</v>
      </c>
      <c r="AC3533">
        <v>141.38189999999901</v>
      </c>
      <c r="AD3533">
        <v>10.792137</v>
      </c>
      <c r="AE3533">
        <v>-9.0383000000000102</v>
      </c>
      <c r="AF3533">
        <v>8.1217676201308002</v>
      </c>
      <c r="AG3533">
        <v>10.792137</v>
      </c>
      <c r="AH3533">
        <v>140.61877909297101</v>
      </c>
      <c r="AI3533">
        <v>85.618569975776595</v>
      </c>
      <c r="AJ3533">
        <v>86.694420223153799</v>
      </c>
      <c r="AK3533">
        <v>141.26597029681199</v>
      </c>
      <c r="AL3533">
        <v>88.165147805410101</v>
      </c>
      <c r="AM3533">
        <v>90.802810234754006</v>
      </c>
      <c r="AN3533">
        <v>1.0000000429620699</v>
      </c>
    </row>
    <row r="3534" spans="1:40" x14ac:dyDescent="0.25">
      <c r="A3534" t="str">
        <f>"20190312160402377"</f>
        <v>20190312160402377</v>
      </c>
      <c r="B3534" t="str">
        <f>"1552377842367793"</f>
        <v>1552377842367793</v>
      </c>
      <c r="C3534" t="s">
        <v>40</v>
      </c>
      <c r="D3534">
        <v>5.5302189999999998</v>
      </c>
      <c r="E3534">
        <v>0.52757940000000003</v>
      </c>
      <c r="F3534" t="s">
        <v>85</v>
      </c>
      <c r="G3534">
        <v>-280.31290000000001</v>
      </c>
      <c r="H3534">
        <v>12.2334</v>
      </c>
      <c r="I3534">
        <v>202.43870000000001</v>
      </c>
      <c r="J3534">
        <v>-421.3562</v>
      </c>
      <c r="K3534">
        <v>1.1098709999999901</v>
      </c>
      <c r="L3534">
        <v>211.73519999999999</v>
      </c>
      <c r="M3534">
        <v>0.99993940000000003</v>
      </c>
      <c r="N3534">
        <v>0</v>
      </c>
      <c r="O3534">
        <v>-5.7766099999999997E-3</v>
      </c>
      <c r="P3534">
        <v>0.99970479999999995</v>
      </c>
      <c r="Q3534">
        <v>2.2984190000000002E-2</v>
      </c>
      <c r="R3534">
        <v>7.8956619999999995E-3</v>
      </c>
      <c r="S3534">
        <v>2.9970400000000001</v>
      </c>
      <c r="T3534">
        <v>0.23597090000000001</v>
      </c>
      <c r="U3534">
        <v>-0.1972351</v>
      </c>
      <c r="V3534">
        <v>-1.368461E-2</v>
      </c>
      <c r="W3534">
        <v>3.2359499999999999E-2</v>
      </c>
      <c r="X3534">
        <v>0.99938260000000001</v>
      </c>
      <c r="Y3534">
        <v>5.9736169999999998E-2</v>
      </c>
      <c r="Z3534">
        <v>1.8918699999999999E-3</v>
      </c>
      <c r="AA3534">
        <v>0.9982124</v>
      </c>
      <c r="AB3534">
        <v>22</v>
      </c>
      <c r="AC3534">
        <v>141.04329999999999</v>
      </c>
      <c r="AD3534">
        <v>11.123529</v>
      </c>
      <c r="AE3534">
        <v>-9.2964999999999804</v>
      </c>
      <c r="AF3534">
        <v>8.4293543872397407</v>
      </c>
      <c r="AG3534">
        <v>11.123529</v>
      </c>
      <c r="AH3534">
        <v>140.226237045125</v>
      </c>
      <c r="AI3534">
        <v>85.472614353503502</v>
      </c>
      <c r="AJ3534">
        <v>86.559945108410403</v>
      </c>
      <c r="AK3534">
        <v>140.919070635011</v>
      </c>
      <c r="AL3534">
        <v>88.145613481832996</v>
      </c>
      <c r="AM3534">
        <v>90.784505752245195</v>
      </c>
      <c r="AN3534">
        <v>0.99999999348693003</v>
      </c>
    </row>
    <row r="3535" spans="1:40" x14ac:dyDescent="0.25">
      <c r="A3535" t="str">
        <f>"20190312160402399"</f>
        <v>20190312160402399</v>
      </c>
      <c r="B3535" t="str">
        <f>"1552377842387822"</f>
        <v>1552377842387822</v>
      </c>
      <c r="C3535" t="s">
        <v>40</v>
      </c>
      <c r="D3535">
        <v>5.472296</v>
      </c>
      <c r="E3535">
        <v>0.52755620000000003</v>
      </c>
      <c r="F3535" t="s">
        <v>85</v>
      </c>
      <c r="G3535">
        <v>-280.34010000000001</v>
      </c>
      <c r="H3535">
        <v>12.002549999999999</v>
      </c>
      <c r="I3535">
        <v>202.37049999999999</v>
      </c>
      <c r="J3535">
        <v>-421.12799999999999</v>
      </c>
      <c r="K3535">
        <v>1.1098589999999999</v>
      </c>
      <c r="L3535">
        <v>211.73429999999999</v>
      </c>
      <c r="M3535">
        <v>0.99994179999999999</v>
      </c>
      <c r="N3535">
        <v>0</v>
      </c>
      <c r="O3535">
        <v>-5.4296880000000002E-3</v>
      </c>
      <c r="P3535">
        <v>0.9996929</v>
      </c>
      <c r="Q3535">
        <v>2.3595419999999999E-2</v>
      </c>
      <c r="R3535">
        <v>7.5968419999999899E-3</v>
      </c>
      <c r="S3535">
        <v>2.997131</v>
      </c>
      <c r="T3535">
        <v>0.23151050000000001</v>
      </c>
      <c r="U3535">
        <v>-0.19903560000000001</v>
      </c>
      <c r="V3535">
        <v>-1.30396E-2</v>
      </c>
      <c r="W3535">
        <v>3.2925199999999898E-2</v>
      </c>
      <c r="X3535">
        <v>0.99937279999999995</v>
      </c>
      <c r="Y3535">
        <v>6.0679950000000003E-2</v>
      </c>
      <c r="Z3535">
        <v>1.9192079999999999E-3</v>
      </c>
      <c r="AA3535">
        <v>0.99815540000000003</v>
      </c>
      <c r="AB3535">
        <v>22</v>
      </c>
      <c r="AC3535">
        <v>140.78790000000001</v>
      </c>
      <c r="AD3535">
        <v>10.892690999999999</v>
      </c>
      <c r="AE3535">
        <v>-9.3637999999999906</v>
      </c>
      <c r="AF3535">
        <v>8.5482495475621807</v>
      </c>
      <c r="AG3535">
        <v>10.892690999999999</v>
      </c>
      <c r="AH3535">
        <v>140.002300553228</v>
      </c>
      <c r="AI3535">
        <v>85.559377892440693</v>
      </c>
      <c r="AJ3535">
        <v>86.505976443091001</v>
      </c>
      <c r="AK3535">
        <v>140.68534908705101</v>
      </c>
      <c r="AL3535">
        <v>88.1131840773063</v>
      </c>
      <c r="AM3535">
        <v>90.747540510886097</v>
      </c>
      <c r="AN3535">
        <v>1.00000004667151</v>
      </c>
    </row>
    <row r="3536" spans="1:40" x14ac:dyDescent="0.25">
      <c r="A3536" t="str">
        <f>"20190312160402421"</f>
        <v>20190312160402421</v>
      </c>
      <c r="B3536" t="str">
        <f>"1552377842408319"</f>
        <v>1552377842408319</v>
      </c>
      <c r="C3536" t="s">
        <v>40</v>
      </c>
      <c r="D3536">
        <v>5.203131</v>
      </c>
      <c r="E3536">
        <v>0.52746479999999996</v>
      </c>
      <c r="F3536" t="s">
        <v>85</v>
      </c>
      <c r="G3536">
        <v>-280.34309999999999</v>
      </c>
      <c r="H3536">
        <v>12.193390000000001</v>
      </c>
      <c r="I3536">
        <v>202.36330000000001</v>
      </c>
      <c r="J3536">
        <v>-420.90980000000002</v>
      </c>
      <c r="K3536">
        <v>1.1098479999999999</v>
      </c>
      <c r="L3536">
        <v>211.73349999999999</v>
      </c>
      <c r="M3536">
        <v>0.9999439</v>
      </c>
      <c r="N3536">
        <v>0</v>
      </c>
      <c r="O3536">
        <v>-5.1116039999999996E-3</v>
      </c>
      <c r="P3536">
        <v>0.99968460000000003</v>
      </c>
      <c r="Q3536">
        <v>2.403278E-2</v>
      </c>
      <c r="R3536">
        <v>7.2961049999999998E-3</v>
      </c>
      <c r="S3536">
        <v>2.9968569999999999</v>
      </c>
      <c r="T3536">
        <v>0.235932</v>
      </c>
      <c r="U3536">
        <v>-0.19947809999999999</v>
      </c>
      <c r="V3536">
        <v>-1.242041E-2</v>
      </c>
      <c r="W3536">
        <v>3.3314080000000003E-2</v>
      </c>
      <c r="X3536">
        <v>0.99936780000000003</v>
      </c>
      <c r="Y3536">
        <v>6.1141500000000001E-2</v>
      </c>
      <c r="Z3536">
        <v>1.999013E-3</v>
      </c>
      <c r="AA3536">
        <v>0.99812710000000004</v>
      </c>
      <c r="AB3536">
        <v>23</v>
      </c>
      <c r="AC3536">
        <v>140.5667</v>
      </c>
      <c r="AD3536">
        <v>11.083542</v>
      </c>
      <c r="AE3536">
        <v>-9.3701999999999792</v>
      </c>
      <c r="AF3536">
        <v>8.5983047737440703</v>
      </c>
      <c r="AG3536">
        <v>11.083542</v>
      </c>
      <c r="AH3536">
        <v>139.747771246524</v>
      </c>
      <c r="AI3536">
        <v>85.473827380945295</v>
      </c>
      <c r="AJ3536">
        <v>86.479183014119002</v>
      </c>
      <c r="AK3536">
        <v>140.45004562697301</v>
      </c>
      <c r="AL3536">
        <v>88.090890665981505</v>
      </c>
      <c r="AM3536">
        <v>90.712050594349606</v>
      </c>
      <c r="AN3536">
        <v>1.00000004709382</v>
      </c>
    </row>
    <row r="3537" spans="1:40" x14ac:dyDescent="0.25">
      <c r="A3537" t="str">
        <f>"20190312160402443"</f>
        <v>20190312160402443</v>
      </c>
      <c r="B3537" t="str">
        <f>"1552377842438574"</f>
        <v>1552377842438574</v>
      </c>
      <c r="C3537" t="s">
        <v>40</v>
      </c>
      <c r="D3537">
        <v>5.310003</v>
      </c>
      <c r="E3537">
        <v>0.52719659999999902</v>
      </c>
      <c r="F3537" t="s">
        <v>85</v>
      </c>
      <c r="G3537">
        <v>-280.34440000000001</v>
      </c>
      <c r="H3537">
        <v>12.289110000000001</v>
      </c>
      <c r="I3537">
        <v>202.36009999999999</v>
      </c>
      <c r="J3537">
        <v>-420.68790000000001</v>
      </c>
      <c r="K3537">
        <v>1.109836</v>
      </c>
      <c r="L3537">
        <v>211.73269999999999</v>
      </c>
      <c r="M3537">
        <v>0.99994590000000005</v>
      </c>
      <c r="N3537">
        <v>0</v>
      </c>
      <c r="O3537">
        <v>-4.8006660000000003E-3</v>
      </c>
      <c r="P3537">
        <v>0.99969160000000001</v>
      </c>
      <c r="Q3537">
        <v>2.3962600000000001E-2</v>
      </c>
      <c r="R3537">
        <v>6.5275119999999897E-3</v>
      </c>
      <c r="S3537">
        <v>2.9967039999999998</v>
      </c>
      <c r="T3537">
        <v>0.23832919999999999</v>
      </c>
      <c r="U3537">
        <v>-0.19982910000000001</v>
      </c>
      <c r="V3537">
        <v>-1.134015E-2</v>
      </c>
      <c r="W3537">
        <v>3.3193519999999997E-2</v>
      </c>
      <c r="X3537">
        <v>0.99938459999999996</v>
      </c>
      <c r="Y3537">
        <v>6.1565780000000001E-2</v>
      </c>
      <c r="Z3537">
        <v>2.0608419999999998E-3</v>
      </c>
      <c r="AA3537">
        <v>0.99810089999999996</v>
      </c>
      <c r="AB3537">
        <v>23</v>
      </c>
      <c r="AC3537">
        <v>140.34350000000001</v>
      </c>
      <c r="AD3537">
        <v>11.179273999999999</v>
      </c>
      <c r="AE3537">
        <v>-9.3726000000000003</v>
      </c>
      <c r="AF3537">
        <v>8.6441162671339793</v>
      </c>
      <c r="AG3537">
        <v>11.179273999999999</v>
      </c>
      <c r="AH3537">
        <v>139.50562414783101</v>
      </c>
      <c r="AI3537">
        <v>85.427129546636294</v>
      </c>
      <c r="AJ3537">
        <v>86.454343695963701</v>
      </c>
      <c r="AK3537">
        <v>140.21952817665201</v>
      </c>
      <c r="AL3537">
        <v>88.097801965743301</v>
      </c>
      <c r="AM3537">
        <v>90.650114930526598</v>
      </c>
      <c r="AN3537">
        <v>0.99999999374458604</v>
      </c>
    </row>
    <row r="3538" spans="1:40" x14ac:dyDescent="0.25">
      <c r="A3538" t="str">
        <f>"20190312160402464"</f>
        <v>20190312160402464</v>
      </c>
      <c r="B3538" t="str">
        <f>"1552377842458094"</f>
        <v>1552377842458094</v>
      </c>
      <c r="C3538" t="s">
        <v>40</v>
      </c>
      <c r="D3538">
        <v>5.4251779999999998</v>
      </c>
      <c r="E3538">
        <v>0.52701880000000001</v>
      </c>
      <c r="F3538" t="s">
        <v>85</v>
      </c>
      <c r="G3538">
        <v>-280.34379999999999</v>
      </c>
      <c r="H3538">
        <v>12.212569999999999</v>
      </c>
      <c r="I3538">
        <v>202.36150000000001</v>
      </c>
      <c r="J3538">
        <v>-420.4622</v>
      </c>
      <c r="K3538">
        <v>1.1098239999999999</v>
      </c>
      <c r="L3538">
        <v>211.732</v>
      </c>
      <c r="M3538">
        <v>0.99994780000000005</v>
      </c>
      <c r="N3538">
        <v>0</v>
      </c>
      <c r="O3538">
        <v>-4.4956880000000003E-3</v>
      </c>
      <c r="P3538">
        <v>0.99968159999999895</v>
      </c>
      <c r="Q3538">
        <v>2.438297E-2</v>
      </c>
      <c r="R3538">
        <v>6.5220190000000004E-3</v>
      </c>
      <c r="S3538">
        <v>2.9965519999999999</v>
      </c>
      <c r="T3538">
        <v>0.23705899999999999</v>
      </c>
      <c r="U3538">
        <v>-0.2000885</v>
      </c>
      <c r="V3538">
        <v>-1.1029779999999999E-2</v>
      </c>
      <c r="W3538">
        <v>3.3561899999999999E-2</v>
      </c>
      <c r="X3538">
        <v>0.99937580000000004</v>
      </c>
      <c r="Y3538">
        <v>6.1959279999999999E-2</v>
      </c>
      <c r="Z3538">
        <v>2.089577E-3</v>
      </c>
      <c r="AA3538">
        <v>0.99807650000000003</v>
      </c>
      <c r="AB3538">
        <v>23</v>
      </c>
      <c r="AC3538">
        <v>140.11840000000001</v>
      </c>
      <c r="AD3538">
        <v>11.102746</v>
      </c>
      <c r="AE3538">
        <v>-9.3704999999999892</v>
      </c>
      <c r="AF3538">
        <v>8.6861551414088503</v>
      </c>
      <c r="AG3538">
        <v>11.102746</v>
      </c>
      <c r="AH3538">
        <v>139.288454488436</v>
      </c>
      <c r="AI3538">
        <v>85.451362152696007</v>
      </c>
      <c r="AJ3538">
        <v>86.431603804446098</v>
      </c>
      <c r="AK3538">
        <v>139.99997790591999</v>
      </c>
      <c r="AL3538">
        <v>88.076683636321604</v>
      </c>
      <c r="AM3538">
        <v>90.632328885254594</v>
      </c>
      <c r="AN3538">
        <v>1.0000000234020401</v>
      </c>
    </row>
    <row r="3539" spans="1:40" x14ac:dyDescent="0.25">
      <c r="A3539" t="str">
        <f>"20190312160402487"</f>
        <v>20190312160402487</v>
      </c>
      <c r="B3539" t="str">
        <f>"1552377842478590"</f>
        <v>1552377842478590</v>
      </c>
      <c r="C3539" t="s">
        <v>40</v>
      </c>
      <c r="D3539">
        <v>5.3309119999999997</v>
      </c>
      <c r="E3539">
        <v>0.52694819999999998</v>
      </c>
      <c r="F3539" t="s">
        <v>85</v>
      </c>
      <c r="G3539">
        <v>-280.31169999999997</v>
      </c>
      <c r="H3539">
        <v>12.25272</v>
      </c>
      <c r="I3539">
        <v>202.4418</v>
      </c>
      <c r="J3539">
        <v>-420.23250000000002</v>
      </c>
      <c r="K3539">
        <v>1.1098170000000001</v>
      </c>
      <c r="L3539">
        <v>211.7313</v>
      </c>
      <c r="M3539">
        <v>0.99994939999999999</v>
      </c>
      <c r="N3539">
        <v>0</v>
      </c>
      <c r="O3539">
        <v>-4.1956049999999998E-3</v>
      </c>
      <c r="P3539">
        <v>0.99966449999999996</v>
      </c>
      <c r="Q3539">
        <v>2.4909509999999999E-2</v>
      </c>
      <c r="R3539">
        <v>7.1161150000000001E-3</v>
      </c>
      <c r="S3539">
        <v>2.996429</v>
      </c>
      <c r="T3539">
        <v>0.23823549999999999</v>
      </c>
      <c r="U3539">
        <v>-0.19862369999999999</v>
      </c>
      <c r="V3539">
        <v>-1.132362E-2</v>
      </c>
      <c r="W3539">
        <v>3.4038949999999998E-2</v>
      </c>
      <c r="X3539">
        <v>0.99935629999999998</v>
      </c>
      <c r="Y3539">
        <v>6.1773559999999998E-2</v>
      </c>
      <c r="Z3539">
        <v>2.1164650000000001E-3</v>
      </c>
      <c r="AA3539">
        <v>0.99808790000000003</v>
      </c>
      <c r="AB3539">
        <v>23</v>
      </c>
      <c r="AC3539">
        <v>139.92080000000001</v>
      </c>
      <c r="AD3539">
        <v>11.142903</v>
      </c>
      <c r="AE3539">
        <v>-9.2895000000000003</v>
      </c>
      <c r="AF3539">
        <v>8.6477372713984995</v>
      </c>
      <c r="AG3539">
        <v>11.142903</v>
      </c>
      <c r="AH3539">
        <v>139.08035632899899</v>
      </c>
      <c r="AI3539">
        <v>85.428126705669598</v>
      </c>
      <c r="AJ3539">
        <v>86.442043908296696</v>
      </c>
      <c r="AK3539">
        <v>139.79375223444001</v>
      </c>
      <c r="AL3539">
        <v>88.049334904042396</v>
      </c>
      <c r="AM3539">
        <v>90.649185751611697</v>
      </c>
      <c r="AN3539">
        <v>0.99999994441834605</v>
      </c>
    </row>
    <row r="3540" spans="1:40" x14ac:dyDescent="0.25">
      <c r="A3540" t="str">
        <f>"20190312160402510"</f>
        <v>20190312160402510</v>
      </c>
      <c r="B3540" t="str">
        <f>"1552377842498616"</f>
        <v>1552377842498616</v>
      </c>
      <c r="C3540" t="s">
        <v>40</v>
      </c>
      <c r="D3540">
        <v>5.2539499999999997</v>
      </c>
      <c r="E3540">
        <v>0.52687850000000003</v>
      </c>
      <c r="F3540" t="s">
        <v>85</v>
      </c>
      <c r="G3540">
        <v>-280.2627</v>
      </c>
      <c r="H3540">
        <v>12.34557</v>
      </c>
      <c r="I3540">
        <v>202.5643</v>
      </c>
      <c r="J3540">
        <v>-420.00170000000003</v>
      </c>
      <c r="K3540">
        <v>1.1098059999999901</v>
      </c>
      <c r="L3540">
        <v>211.73070000000001</v>
      </c>
      <c r="M3540">
        <v>0.99995120000000004</v>
      </c>
      <c r="N3540">
        <v>0</v>
      </c>
      <c r="O3540">
        <v>-3.9049509999999998E-3</v>
      </c>
      <c r="P3540">
        <v>0.99964529999999996</v>
      </c>
      <c r="Q3540">
        <v>2.5523690000000002E-2</v>
      </c>
      <c r="R3540">
        <v>7.6359969999999899E-3</v>
      </c>
      <c r="S3540">
        <v>2.996429</v>
      </c>
      <c r="T3540">
        <v>0.24053069999999999</v>
      </c>
      <c r="U3540">
        <v>-0.19624330000000001</v>
      </c>
      <c r="V3540">
        <v>-1.15526E-2</v>
      </c>
      <c r="W3540">
        <v>3.4608430000000003E-2</v>
      </c>
      <c r="X3540">
        <v>0.99933419999999895</v>
      </c>
      <c r="Y3540">
        <v>6.127138E-2</v>
      </c>
      <c r="Z3540">
        <v>2.1400120000000002E-3</v>
      </c>
      <c r="AA3540">
        <v>0.99811890000000003</v>
      </c>
      <c r="AB3540">
        <v>23</v>
      </c>
      <c r="AC3540">
        <v>139.739</v>
      </c>
      <c r="AD3540">
        <v>11.235764</v>
      </c>
      <c r="AE3540">
        <v>-9.1664000000000101</v>
      </c>
      <c r="AF3540">
        <v>8.5654948409769602</v>
      </c>
      <c r="AG3540">
        <v>11.235764</v>
      </c>
      <c r="AH3540">
        <v>138.87971685294701</v>
      </c>
      <c r="AI3540">
        <v>85.383416395138198</v>
      </c>
      <c r="AJ3540">
        <v>86.470716832462301</v>
      </c>
      <c r="AK3540">
        <v>139.59651087218899</v>
      </c>
      <c r="AL3540">
        <v>88.016687023186407</v>
      </c>
      <c r="AM3540">
        <v>90.662326715675206</v>
      </c>
      <c r="AN3540">
        <v>1.00000002464173</v>
      </c>
    </row>
    <row r="3541" spans="1:40" x14ac:dyDescent="0.25">
      <c r="A3541" t="str">
        <f>"20190312160402532"</f>
        <v>20190312160402532</v>
      </c>
      <c r="B3541" t="str">
        <f>"1552377842527897"</f>
        <v>1552377842527897</v>
      </c>
      <c r="C3541" t="s">
        <v>40</v>
      </c>
      <c r="D3541">
        <v>5.1802130000000002</v>
      </c>
      <c r="E3541">
        <v>0.52671999999999997</v>
      </c>
      <c r="F3541" t="s">
        <v>85</v>
      </c>
      <c r="G3541">
        <v>-280.21890000000002</v>
      </c>
      <c r="H3541">
        <v>12.45942</v>
      </c>
      <c r="I3541">
        <v>202.6738</v>
      </c>
      <c r="J3541">
        <v>-419.77659999999997</v>
      </c>
      <c r="K3541">
        <v>1.1097980000000001</v>
      </c>
      <c r="L3541">
        <v>211.73009999999999</v>
      </c>
      <c r="M3541">
        <v>0.99995239999999996</v>
      </c>
      <c r="N3541">
        <v>0</v>
      </c>
      <c r="O3541">
        <v>-3.6280090000000002E-3</v>
      </c>
      <c r="P3541">
        <v>0.99963500000000005</v>
      </c>
      <c r="Q3541">
        <v>2.565837E-2</v>
      </c>
      <c r="R3541">
        <v>8.4728730000000006E-3</v>
      </c>
      <c r="S3541">
        <v>2.9963380000000002</v>
      </c>
      <c r="T3541">
        <v>0.2432859</v>
      </c>
      <c r="U3541">
        <v>-0.19413759999999999</v>
      </c>
      <c r="V3541">
        <v>-1.211248E-2</v>
      </c>
      <c r="W3541">
        <v>3.4703739999999997E-2</v>
      </c>
      <c r="X3541">
        <v>0.99932430000000005</v>
      </c>
      <c r="Y3541">
        <v>6.084755E-2</v>
      </c>
      <c r="Z3541">
        <v>2.1698260000000001E-3</v>
      </c>
      <c r="AA3541">
        <v>0.9981447</v>
      </c>
      <c r="AB3541">
        <v>23</v>
      </c>
      <c r="AC3541">
        <v>139.55769999999899</v>
      </c>
      <c r="AD3541">
        <v>11.349622</v>
      </c>
      <c r="AE3541">
        <v>-9.0562999999999896</v>
      </c>
      <c r="AF3541">
        <v>8.4939607186867896</v>
      </c>
      <c r="AG3541">
        <v>11.349622</v>
      </c>
      <c r="AH3541">
        <v>138.67629926711399</v>
      </c>
      <c r="AI3541">
        <v>85.329908343098595</v>
      </c>
      <c r="AJ3541">
        <v>86.494996799008007</v>
      </c>
      <c r="AK3541">
        <v>139.398985888189</v>
      </c>
      <c r="AL3541">
        <v>88.011222948918203</v>
      </c>
      <c r="AM3541">
        <v>90.694429227227403</v>
      </c>
      <c r="AN3541">
        <v>1.00000005915611</v>
      </c>
    </row>
    <row r="3542" spans="1:40" x14ac:dyDescent="0.25">
      <c r="A3542" t="str">
        <f>"20190312160402555"</f>
        <v>20190312160402555</v>
      </c>
      <c r="B3542" t="str">
        <f>"1552377842548393"</f>
        <v>1552377842548393</v>
      </c>
      <c r="C3542" t="s">
        <v>40</v>
      </c>
      <c r="D3542">
        <v>5.1407949999999998</v>
      </c>
      <c r="E3542">
        <v>0.53289160000000002</v>
      </c>
      <c r="F3542" t="s">
        <v>85</v>
      </c>
      <c r="G3542">
        <v>-280.14449999999999</v>
      </c>
      <c r="H3542">
        <v>12.4907</v>
      </c>
      <c r="I3542">
        <v>202.8597</v>
      </c>
      <c r="J3542">
        <v>-419.54199999999997</v>
      </c>
      <c r="K3542">
        <v>1.1097939999999999</v>
      </c>
      <c r="L3542">
        <v>211.7296</v>
      </c>
      <c r="M3542">
        <v>0.99995389999999995</v>
      </c>
      <c r="N3542">
        <v>0</v>
      </c>
      <c r="O3542">
        <v>-3.3470190000000001E-3</v>
      </c>
      <c r="P3542">
        <v>0.99963259999999998</v>
      </c>
      <c r="Q3542">
        <v>2.5352179999999998E-2</v>
      </c>
      <c r="R3542">
        <v>9.6079719999999993E-3</v>
      </c>
      <c r="S3542">
        <v>2.996429</v>
      </c>
      <c r="T3542">
        <v>0.24422720000000001</v>
      </c>
      <c r="U3542">
        <v>-0.19035340000000001</v>
      </c>
      <c r="V3542">
        <v>-1.296606E-2</v>
      </c>
      <c r="W3542">
        <v>3.4360630000000003E-2</v>
      </c>
      <c r="X3542">
        <v>0.99932540000000003</v>
      </c>
      <c r="Y3542">
        <v>5.9871479999999998E-2</v>
      </c>
      <c r="Z3542">
        <v>2.1613840000000001E-3</v>
      </c>
      <c r="AA3542">
        <v>0.99820379999999997</v>
      </c>
      <c r="AB3542">
        <v>23</v>
      </c>
      <c r="AC3542">
        <v>139.39749999999901</v>
      </c>
      <c r="AD3542">
        <v>11.380906</v>
      </c>
      <c r="AE3542">
        <v>-8.8698999999999995</v>
      </c>
      <c r="AF3542">
        <v>8.3478457482123396</v>
      </c>
      <c r="AG3542">
        <v>11.380906</v>
      </c>
      <c r="AH3542">
        <v>138.506890017378</v>
      </c>
      <c r="AI3542">
        <v>85.311113794003404</v>
      </c>
      <c r="AJ3542">
        <v>86.550940891366594</v>
      </c>
      <c r="AK3542">
        <v>139.22417222703399</v>
      </c>
      <c r="AL3542">
        <v>88.030893344266204</v>
      </c>
      <c r="AM3542">
        <v>90.743360301930906</v>
      </c>
      <c r="AN3542">
        <v>1.00000001334554</v>
      </c>
    </row>
    <row r="3543" spans="1:40" x14ac:dyDescent="0.25">
      <c r="A3543" t="str">
        <f>"20190312160402577"</f>
        <v>20190312160402577</v>
      </c>
      <c r="B3543" t="str">
        <f>"1552377842567913"</f>
        <v>1552377842567913</v>
      </c>
      <c r="C3543" t="s">
        <v>40</v>
      </c>
      <c r="D3543">
        <v>5.1550909999999996</v>
      </c>
      <c r="E3543">
        <v>0.53353729999999999</v>
      </c>
      <c r="F3543" t="s">
        <v>55</v>
      </c>
      <c r="G3543">
        <v>-169.7183</v>
      </c>
      <c r="H3543">
        <v>13.75999</v>
      </c>
      <c r="I3543">
        <v>192.1721</v>
      </c>
      <c r="J3543">
        <v>-419.3116</v>
      </c>
      <c r="K3543">
        <v>1.1097859999999999</v>
      </c>
      <c r="L3543">
        <v>211.72909999999999</v>
      </c>
      <c r="M3543">
        <v>0.99995489999999998</v>
      </c>
      <c r="N3543">
        <v>0</v>
      </c>
      <c r="O3543">
        <v>-3.0780909999999998E-3</v>
      </c>
      <c r="P3543">
        <v>0.99962779999999996</v>
      </c>
      <c r="Q3543">
        <v>2.5217380000000001E-2</v>
      </c>
      <c r="R3543">
        <v>1.042118E-2</v>
      </c>
      <c r="S3543">
        <v>2.9995120000000002</v>
      </c>
      <c r="T3543">
        <v>0.1518852</v>
      </c>
      <c r="U3543">
        <v>-0.23481750000000001</v>
      </c>
      <c r="V3543">
        <v>-1.3510319999999999E-2</v>
      </c>
      <c r="W3543">
        <v>3.4194780000000001E-2</v>
      </c>
      <c r="X3543">
        <v>0.99932379999999998</v>
      </c>
      <c r="Y3543">
        <v>7.4885839999999995E-2</v>
      </c>
      <c r="Z3543">
        <v>1.736352E-3</v>
      </c>
      <c r="AA3543">
        <v>0.99719060000000004</v>
      </c>
      <c r="AB3543">
        <v>23</v>
      </c>
      <c r="AC3543">
        <v>249.5933</v>
      </c>
      <c r="AD3543">
        <v>12.650203999999899</v>
      </c>
      <c r="AE3543">
        <v>-19.556999999999899</v>
      </c>
      <c r="AF3543">
        <v>18.7407580667677</v>
      </c>
      <c r="AG3543">
        <v>12.650203999999899</v>
      </c>
      <c r="AH3543">
        <v>249.01654938582399</v>
      </c>
      <c r="AI3543">
        <v>87.100023792169694</v>
      </c>
      <c r="AJ3543">
        <v>85.696085418984197</v>
      </c>
      <c r="AK3543">
        <v>250.040967727653</v>
      </c>
      <c r="AL3543">
        <v>88.040401282050198</v>
      </c>
      <c r="AM3543">
        <v>90.774560917829106</v>
      </c>
      <c r="AN3543">
        <v>0.99999993448609303</v>
      </c>
    </row>
    <row r="3544" spans="1:40" x14ac:dyDescent="0.25">
      <c r="A3544" t="str">
        <f>"20190312160402601"</f>
        <v>20190312160402601</v>
      </c>
      <c r="B3544" t="str">
        <f>"1552377842587942"</f>
        <v>1552377842587942</v>
      </c>
      <c r="C3544" t="s">
        <v>40</v>
      </c>
      <c r="D3544">
        <v>5.7984039999999997</v>
      </c>
      <c r="E3544">
        <v>0.53335269999999901</v>
      </c>
      <c r="F3544" t="s">
        <v>55</v>
      </c>
      <c r="G3544">
        <v>-169.7184</v>
      </c>
      <c r="H3544">
        <v>13.73457</v>
      </c>
      <c r="I3544">
        <v>191.982</v>
      </c>
      <c r="J3544">
        <v>-419.06180000000001</v>
      </c>
      <c r="K3544">
        <v>1.1097790000000001</v>
      </c>
      <c r="L3544">
        <v>211.7287</v>
      </c>
      <c r="M3544">
        <v>0.99995610000000001</v>
      </c>
      <c r="N3544">
        <v>0</v>
      </c>
      <c r="O3544">
        <v>-2.7938049999999999E-3</v>
      </c>
      <c r="P3544">
        <v>0.99962989999999996</v>
      </c>
      <c r="Q3544">
        <v>2.4987519999999999E-2</v>
      </c>
      <c r="R3544">
        <v>1.0769519999999999E-2</v>
      </c>
      <c r="S3544">
        <v>2.9997859999999998</v>
      </c>
      <c r="T3544">
        <v>0.1517339</v>
      </c>
      <c r="U3544">
        <v>-0.2373352</v>
      </c>
      <c r="V3544">
        <v>-1.357381E-2</v>
      </c>
      <c r="W3544">
        <v>3.3936010000000003E-2</v>
      </c>
      <c r="X3544">
        <v>0.99933179999999999</v>
      </c>
      <c r="Y3544">
        <v>7.5992409999999996E-2</v>
      </c>
      <c r="Z3544">
        <v>1.7766829999999901E-3</v>
      </c>
      <c r="AA3544">
        <v>0.99710679999999996</v>
      </c>
      <c r="AB3544">
        <v>23</v>
      </c>
      <c r="AC3544">
        <v>249.3434</v>
      </c>
      <c r="AD3544">
        <v>12.624791</v>
      </c>
      <c r="AE3544">
        <v>-19.746700000000001</v>
      </c>
      <c r="AF3544">
        <v>19.0015691508159</v>
      </c>
      <c r="AG3544">
        <v>12.624791</v>
      </c>
      <c r="AH3544">
        <v>248.76383780866999</v>
      </c>
      <c r="AI3544">
        <v>87.103149810783506</v>
      </c>
      <c r="AJ3544">
        <v>85.632002847583095</v>
      </c>
      <c r="AK3544">
        <v>249.807710007688</v>
      </c>
      <c r="AL3544">
        <v>88.055236398566905</v>
      </c>
      <c r="AM3544">
        <v>90.778194191009604</v>
      </c>
      <c r="AN3544">
        <v>0.99999997379193695</v>
      </c>
    </row>
    <row r="3545" spans="1:40" x14ac:dyDescent="0.25">
      <c r="A3545" t="str">
        <f>"20190312160402621"</f>
        <v>20190312160402621</v>
      </c>
      <c r="B3545" t="str">
        <f>"1552377842608439"</f>
        <v>1552377842608439</v>
      </c>
      <c r="C3545" t="s">
        <v>40</v>
      </c>
      <c r="D3545">
        <v>5.1531729999999998</v>
      </c>
      <c r="E3545">
        <v>0.52872509999999995</v>
      </c>
      <c r="F3545" t="s">
        <v>44</v>
      </c>
      <c r="G3545">
        <v>-356.42619999999999</v>
      </c>
      <c r="H3545">
        <v>4.5709650000000002</v>
      </c>
      <c r="I3545">
        <v>206.8185</v>
      </c>
      <c r="J3545">
        <v>-418.85969999999998</v>
      </c>
      <c r="K3545">
        <v>1.1097699999999999</v>
      </c>
      <c r="L3545">
        <v>211.72839999999999</v>
      </c>
      <c r="M3545">
        <v>0.99995690000000004</v>
      </c>
      <c r="N3545">
        <v>0</v>
      </c>
      <c r="O3545">
        <v>-2.568908E-3</v>
      </c>
      <c r="P3545">
        <v>0.99962830000000003</v>
      </c>
      <c r="Q3545">
        <v>2.503764E-2</v>
      </c>
      <c r="R3545">
        <v>1.078167E-2</v>
      </c>
      <c r="S3545">
        <v>2.9994809999999998</v>
      </c>
      <c r="T3545">
        <v>0.16575100000000001</v>
      </c>
      <c r="U3545">
        <v>-0.23513790000000001</v>
      </c>
      <c r="V3545">
        <v>-1.3360800000000001E-2</v>
      </c>
      <c r="W3545">
        <v>3.3962699999999998E-2</v>
      </c>
      <c r="X3545">
        <v>0.99933380000000005</v>
      </c>
      <c r="Y3545">
        <v>7.5481149999999997E-2</v>
      </c>
      <c r="Z3545">
        <v>1.939131E-3</v>
      </c>
      <c r="AA3545">
        <v>0.99714539999999996</v>
      </c>
      <c r="AB3545">
        <v>23</v>
      </c>
      <c r="AC3545">
        <v>62.433499999999903</v>
      </c>
      <c r="AD3545">
        <v>3.4611949999999898</v>
      </c>
      <c r="AE3545">
        <v>-4.9098999999999897</v>
      </c>
      <c r="AF3545">
        <v>4.7350283860510602</v>
      </c>
      <c r="AG3545">
        <v>3.4611949999999898</v>
      </c>
      <c r="AH3545">
        <v>62.255747820525201</v>
      </c>
      <c r="AI3545">
        <v>86.826982841652296</v>
      </c>
      <c r="AJ3545">
        <v>85.650589232414404</v>
      </c>
      <c r="AK3545">
        <v>62.5314201129125</v>
      </c>
      <c r="AL3545">
        <v>88.053706362443194</v>
      </c>
      <c r="AM3545">
        <v>90.765982141269802</v>
      </c>
      <c r="AN3545">
        <v>1.00000000989518</v>
      </c>
    </row>
    <row r="3546" spans="1:40" x14ac:dyDescent="0.25">
      <c r="A3546" t="str">
        <f>"20190312160402643"</f>
        <v>20190312160402643</v>
      </c>
      <c r="B3546" t="str">
        <f>"1552377842637718"</f>
        <v>1552377842637718</v>
      </c>
      <c r="C3546" t="s">
        <v>40</v>
      </c>
      <c r="D3546">
        <v>5.0394030000000001</v>
      </c>
      <c r="E3546">
        <v>0.52939179999999997</v>
      </c>
      <c r="F3546" t="s">
        <v>85</v>
      </c>
      <c r="G3546">
        <v>-280.29149999999998</v>
      </c>
      <c r="H3546">
        <v>13.604509999999999</v>
      </c>
      <c r="I3546">
        <v>202.49340000000001</v>
      </c>
      <c r="J3546">
        <v>-418.62759999999997</v>
      </c>
      <c r="K3546">
        <v>1.1097600000000001</v>
      </c>
      <c r="L3546">
        <v>211.72810000000001</v>
      </c>
      <c r="M3546">
        <v>0.99995769999999995</v>
      </c>
      <c r="N3546">
        <v>0</v>
      </c>
      <c r="O3546">
        <v>-2.3160989999999998E-3</v>
      </c>
      <c r="P3546">
        <v>0.99961829999999996</v>
      </c>
      <c r="Q3546">
        <v>2.531514E-2</v>
      </c>
      <c r="R3546">
        <v>1.1061329999999999E-2</v>
      </c>
      <c r="S3546">
        <v>2.9965519999999999</v>
      </c>
      <c r="T3546">
        <v>0.27019919999999997</v>
      </c>
      <c r="U3546">
        <v>-0.199707</v>
      </c>
      <c r="V3546">
        <v>-1.338785E-2</v>
      </c>
      <c r="W3546">
        <v>3.4211459999999999E-2</v>
      </c>
      <c r="X3546">
        <v>0.99932489999999996</v>
      </c>
      <c r="Y3546">
        <v>6.3937969999999997E-2</v>
      </c>
      <c r="Z3546">
        <v>2.665447E-3</v>
      </c>
      <c r="AA3546">
        <v>0.99795029999999996</v>
      </c>
      <c r="AB3546">
        <v>23</v>
      </c>
      <c r="AC3546">
        <v>138.33609999999999</v>
      </c>
      <c r="AD3546">
        <v>12.49475</v>
      </c>
      <c r="AE3546">
        <v>-9.2347000000000001</v>
      </c>
      <c r="AF3546">
        <v>8.8424457327097397</v>
      </c>
      <c r="AG3546">
        <v>12.49475</v>
      </c>
      <c r="AH3546">
        <v>137.24246052161601</v>
      </c>
      <c r="AI3546">
        <v>84.808755456579505</v>
      </c>
      <c r="AJ3546">
        <v>86.313564169706297</v>
      </c>
      <c r="AK3546">
        <v>138.09344877337799</v>
      </c>
      <c r="AL3546">
        <v>88.039445073318007</v>
      </c>
      <c r="AM3546">
        <v>90.767539582412098</v>
      </c>
      <c r="AN3546">
        <v>0.99999995714148104</v>
      </c>
    </row>
    <row r="3547" spans="1:40" x14ac:dyDescent="0.25">
      <c r="A3547" t="str">
        <f>"20190312160402666"</f>
        <v>20190312160402666</v>
      </c>
      <c r="B3547" t="str">
        <f>"1552377842658215"</f>
        <v>1552377842658215</v>
      </c>
      <c r="C3547" t="s">
        <v>40</v>
      </c>
      <c r="D3547">
        <v>5.0083549999999999</v>
      </c>
      <c r="E3547">
        <v>0.52989580000000003</v>
      </c>
      <c r="F3547" t="s">
        <v>85</v>
      </c>
      <c r="G3547">
        <v>-280.36360000000002</v>
      </c>
      <c r="H3547">
        <v>13.85112</v>
      </c>
      <c r="I3547">
        <v>202.31360000000001</v>
      </c>
      <c r="J3547">
        <v>-418.38600000000002</v>
      </c>
      <c r="K3547">
        <v>1.1097520000000001</v>
      </c>
      <c r="L3547">
        <v>211.7278</v>
      </c>
      <c r="M3547">
        <v>0.99995849999999997</v>
      </c>
      <c r="N3547">
        <v>0</v>
      </c>
      <c r="O3547">
        <v>-2.0597189999999998E-3</v>
      </c>
      <c r="P3547">
        <v>0.99961290000000003</v>
      </c>
      <c r="Q3547">
        <v>2.5479620000000001E-2</v>
      </c>
      <c r="R3547">
        <v>1.1184599999999999E-2</v>
      </c>
      <c r="S3547">
        <v>2.9963989999999998</v>
      </c>
      <c r="T3547">
        <v>0.27612449999999999</v>
      </c>
      <c r="U3547">
        <v>-0.20402529999999999</v>
      </c>
      <c r="V3547">
        <v>-1.325484E-2</v>
      </c>
      <c r="W3547">
        <v>3.4347759999999998E-2</v>
      </c>
      <c r="X3547">
        <v>0.99932209999999999</v>
      </c>
      <c r="Y3547">
        <v>6.560966E-2</v>
      </c>
      <c r="Z3547">
        <v>2.8239839999999999E-3</v>
      </c>
      <c r="AA3547">
        <v>0.99784139999999999</v>
      </c>
      <c r="AB3547">
        <v>23</v>
      </c>
      <c r="AC3547">
        <v>138.02239999999901</v>
      </c>
      <c r="AD3547">
        <v>12.741368</v>
      </c>
      <c r="AE3547">
        <v>-9.4141999999999904</v>
      </c>
      <c r="AF3547">
        <v>9.0530898209285393</v>
      </c>
      <c r="AG3547">
        <v>12.741368</v>
      </c>
      <c r="AH3547">
        <v>136.88042820316301</v>
      </c>
      <c r="AI3547">
        <v>84.693534917069499</v>
      </c>
      <c r="AJ3547">
        <v>86.216044194616998</v>
      </c>
      <c r="AK3547">
        <v>137.76992603213</v>
      </c>
      <c r="AL3547">
        <v>88.031631267300398</v>
      </c>
      <c r="AM3547">
        <v>90.759917006288006</v>
      </c>
      <c r="AN3547">
        <v>1.0000000594744201</v>
      </c>
    </row>
    <row r="3548" spans="1:40" x14ac:dyDescent="0.25">
      <c r="A3548" t="str">
        <f>"20190312160402688"</f>
        <v>20190312160402688</v>
      </c>
      <c r="B3548" t="str">
        <f>"1552377842677735"</f>
        <v>1552377842677735</v>
      </c>
      <c r="C3548" t="s">
        <v>40</v>
      </c>
      <c r="D3548">
        <v>5.0217769999999904</v>
      </c>
      <c r="E3548">
        <v>0.53024680000000002</v>
      </c>
      <c r="F3548" t="s">
        <v>85</v>
      </c>
      <c r="G3548">
        <v>-280.41849999999999</v>
      </c>
      <c r="H3548">
        <v>13.98522</v>
      </c>
      <c r="I3548">
        <v>202.17670000000001</v>
      </c>
      <c r="J3548">
        <v>-418.1583</v>
      </c>
      <c r="K3548">
        <v>1.1097459999999999</v>
      </c>
      <c r="L3548">
        <v>211.7276</v>
      </c>
      <c r="M3548">
        <v>0.99995919999999905</v>
      </c>
      <c r="N3548">
        <v>0</v>
      </c>
      <c r="O3548">
        <v>-1.8263649999999999E-3</v>
      </c>
      <c r="P3548">
        <v>0.99961710000000004</v>
      </c>
      <c r="Q3548">
        <v>2.5079790000000001E-2</v>
      </c>
      <c r="R3548">
        <v>1.1694400000000001E-2</v>
      </c>
      <c r="S3548">
        <v>2.9963380000000002</v>
      </c>
      <c r="T3548">
        <v>0.2796247</v>
      </c>
      <c r="U3548">
        <v>-0.207428</v>
      </c>
      <c r="V3548">
        <v>-1.353093E-2</v>
      </c>
      <c r="W3548">
        <v>3.3924570000000001E-2</v>
      </c>
      <c r="X3548">
        <v>0.99933280000000002</v>
      </c>
      <c r="Y3548">
        <v>6.695806E-2</v>
      </c>
      <c r="Z3548">
        <v>2.9439869999999999E-3</v>
      </c>
      <c r="AA3548">
        <v>0.99775150000000001</v>
      </c>
      <c r="AB3548">
        <v>23</v>
      </c>
      <c r="AC3548">
        <v>137.7398</v>
      </c>
      <c r="AD3548">
        <v>12.875474000000001</v>
      </c>
      <c r="AE3548">
        <v>-9.5508999999999808</v>
      </c>
      <c r="AF3548">
        <v>9.2191405218251106</v>
      </c>
      <c r="AG3548">
        <v>12.875474000000001</v>
      </c>
      <c r="AH3548">
        <v>136.56939348189999</v>
      </c>
      <c r="AI3548">
        <v>84.6263521523299</v>
      </c>
      <c r="AJ3548">
        <v>86.138097548543001</v>
      </c>
      <c r="AK3548">
        <v>137.48443409600901</v>
      </c>
      <c r="AL3548">
        <v>88.055892298365507</v>
      </c>
      <c r="AM3548">
        <v>90.775735381128001</v>
      </c>
      <c r="AN3548">
        <v>1.0000000038360899</v>
      </c>
    </row>
    <row r="3549" spans="1:40" x14ac:dyDescent="0.25">
      <c r="A3549" t="str">
        <f>"20190312160402710"</f>
        <v>20190312160402710</v>
      </c>
      <c r="B3549" t="str">
        <f>"1552377842697760"</f>
        <v>1552377842697760</v>
      </c>
      <c r="C3549" t="s">
        <v>40</v>
      </c>
      <c r="D3549">
        <v>4.9052110000000004</v>
      </c>
      <c r="E3549">
        <v>0.51168259999999999</v>
      </c>
      <c r="F3549" t="s">
        <v>85</v>
      </c>
      <c r="G3549">
        <v>-280.43329999999997</v>
      </c>
      <c r="H3549">
        <v>13.892429999999999</v>
      </c>
      <c r="I3549">
        <v>202.1395</v>
      </c>
      <c r="J3549">
        <v>-417.93360000000001</v>
      </c>
      <c r="K3549">
        <v>1.109742</v>
      </c>
      <c r="L3549">
        <v>211.72749999999999</v>
      </c>
      <c r="M3549">
        <v>0.99995970000000001</v>
      </c>
      <c r="N3549">
        <v>0</v>
      </c>
      <c r="O3549">
        <v>-1.60232E-3</v>
      </c>
      <c r="P3549">
        <v>0.9996254</v>
      </c>
      <c r="Q3549">
        <v>2.47087E-2</v>
      </c>
      <c r="R3549">
        <v>1.1754590000000001E-2</v>
      </c>
      <c r="S3549">
        <v>2.9966430000000002</v>
      </c>
      <c r="T3549">
        <v>0.27812710000000002</v>
      </c>
      <c r="U3549">
        <v>-0.2086182</v>
      </c>
      <c r="V3549">
        <v>-1.336671E-2</v>
      </c>
      <c r="W3549">
        <v>3.3534269999999998E-2</v>
      </c>
      <c r="X3549">
        <v>0.99934820000000002</v>
      </c>
      <c r="Y3549">
        <v>6.7568470000000005E-2</v>
      </c>
      <c r="Z3549">
        <v>2.9769079999999999E-3</v>
      </c>
      <c r="AA3549">
        <v>0.99771019999999999</v>
      </c>
      <c r="AB3549">
        <v>23</v>
      </c>
      <c r="AC3549">
        <v>137.50030000000001</v>
      </c>
      <c r="AD3549">
        <v>12.782687999999901</v>
      </c>
      <c r="AE3549">
        <v>-9.5879999999999903</v>
      </c>
      <c r="AF3549">
        <v>9.2877788213745998</v>
      </c>
      <c r="AG3549">
        <v>12.782687999999901</v>
      </c>
      <c r="AH3549">
        <v>136.342852061125</v>
      </c>
      <c r="AI3549">
        <v>84.656260024745706</v>
      </c>
      <c r="AJ3549">
        <v>86.102988410780497</v>
      </c>
      <c r="AK3549">
        <v>137.25535784114999</v>
      </c>
      <c r="AL3549">
        <v>88.078267604747396</v>
      </c>
      <c r="AM3549">
        <v>90.7663098835787</v>
      </c>
      <c r="AN3549">
        <v>1.0000000205219399</v>
      </c>
    </row>
    <row r="3550" spans="1:40" x14ac:dyDescent="0.25">
      <c r="A3550" t="str">
        <f>"20190312160402731"</f>
        <v>20190312160402731</v>
      </c>
      <c r="B3550" t="str">
        <f>"1552377842728017"</f>
        <v>1552377842728017</v>
      </c>
      <c r="C3550" t="s">
        <v>40</v>
      </c>
      <c r="D3550">
        <v>4.8653659999999999</v>
      </c>
      <c r="E3550">
        <v>0.50607489999999999</v>
      </c>
      <c r="F3550" t="s">
        <v>55</v>
      </c>
      <c r="G3550">
        <v>-168.41200000000001</v>
      </c>
      <c r="H3550">
        <v>5.1688020000000003</v>
      </c>
      <c r="I3550">
        <v>206.94630000000001</v>
      </c>
      <c r="J3550">
        <v>-417.70679999999999</v>
      </c>
      <c r="K3550">
        <v>1.1097379999999999</v>
      </c>
      <c r="L3550">
        <v>211.72739999999999</v>
      </c>
      <c r="M3550">
        <v>0.99996019999999997</v>
      </c>
      <c r="N3550">
        <v>0</v>
      </c>
      <c r="O3550">
        <v>-1.379702E-3</v>
      </c>
      <c r="P3550">
        <v>0.99961270000000002</v>
      </c>
      <c r="Q3550">
        <v>2.513485E-2</v>
      </c>
      <c r="R3550">
        <v>1.1946099999999999E-2</v>
      </c>
      <c r="S3550">
        <v>3.0005489999999999</v>
      </c>
      <c r="T3550">
        <v>4.8811439999999998E-2</v>
      </c>
      <c r="U3550">
        <v>-5.7495119999999997E-2</v>
      </c>
      <c r="V3550">
        <v>-1.333555E-2</v>
      </c>
      <c r="W3550">
        <v>3.3941720000000002E-2</v>
      </c>
      <c r="X3550">
        <v>0.99933479999999997</v>
      </c>
      <c r="Y3550">
        <v>1.777633E-2</v>
      </c>
      <c r="Z3550">
        <v>1.221239E-4</v>
      </c>
      <c r="AA3550">
        <v>0.99984200000000001</v>
      </c>
      <c r="AB3550">
        <v>23</v>
      </c>
      <c r="AC3550">
        <v>249.29480000000001</v>
      </c>
      <c r="AD3550">
        <v>4.0590639999999896</v>
      </c>
      <c r="AE3550">
        <v>-4.7810999999999799</v>
      </c>
      <c r="AF3550">
        <v>4.4359539711233804</v>
      </c>
      <c r="AG3550">
        <v>4.0590639999999896</v>
      </c>
      <c r="AH3550">
        <v>249.23510914374299</v>
      </c>
      <c r="AI3550">
        <v>89.067106313243698</v>
      </c>
      <c r="AJ3550">
        <v>88.980341858694601</v>
      </c>
      <c r="AK3550">
        <v>249.30762787785599</v>
      </c>
      <c r="AL3550">
        <v>88.054909023987506</v>
      </c>
      <c r="AM3550">
        <v>90.764533951675105</v>
      </c>
      <c r="AN3550">
        <v>0.99999995987069901</v>
      </c>
    </row>
    <row r="3551" spans="1:40" x14ac:dyDescent="0.25">
      <c r="A3551" t="str">
        <f>"20190312160402755"</f>
        <v>20190312160402755</v>
      </c>
      <c r="B3551" t="str">
        <f>"1552377842748513"</f>
        <v>1552377842748513</v>
      </c>
      <c r="C3551" t="s">
        <v>40</v>
      </c>
      <c r="D3551">
        <v>4.8599309999999996</v>
      </c>
      <c r="E3551">
        <v>0.50481120000000002</v>
      </c>
      <c r="F3551" t="s">
        <v>43</v>
      </c>
      <c r="G3551">
        <v>-113.89790000000001</v>
      </c>
      <c r="H3551">
        <v>-0.05</v>
      </c>
      <c r="I3551">
        <v>210.56280000000001</v>
      </c>
      <c r="J3551">
        <v>-417.46249999999998</v>
      </c>
      <c r="K3551">
        <v>1.109729</v>
      </c>
      <c r="L3551">
        <v>211.72730000000001</v>
      </c>
      <c r="M3551">
        <v>0.99996079999999998</v>
      </c>
      <c r="N3551">
        <v>0</v>
      </c>
      <c r="O3551">
        <v>-1.143219E-3</v>
      </c>
      <c r="P3551">
        <v>0.99961100000000003</v>
      </c>
      <c r="Q3551">
        <v>2.5066809999999998E-2</v>
      </c>
      <c r="R3551">
        <v>1.223493E-2</v>
      </c>
      <c r="S3551">
        <v>3.0015869999999998</v>
      </c>
      <c r="T3551">
        <v>-1.1458039999999999E-2</v>
      </c>
      <c r="U3551">
        <v>-1.1505130000000001E-2</v>
      </c>
      <c r="V3551">
        <v>-1.3388010000000001E-2</v>
      </c>
      <c r="W3551">
        <v>3.3850230000000002E-2</v>
      </c>
      <c r="X3551">
        <v>0.99933729999999998</v>
      </c>
      <c r="Y3551">
        <v>2.6897190000000001E-3</v>
      </c>
      <c r="Z3551" s="1">
        <v>-7.6955579999999997E-7</v>
      </c>
      <c r="AA3551">
        <v>0.99999640000000001</v>
      </c>
      <c r="AB3551">
        <v>23</v>
      </c>
      <c r="AC3551">
        <v>303.56459999999998</v>
      </c>
      <c r="AD3551">
        <v>-1.159729</v>
      </c>
      <c r="AE3551">
        <v>-1.1645000000000001</v>
      </c>
      <c r="AF3551">
        <v>0.81743311235339899</v>
      </c>
      <c r="AG3551">
        <v>-1.159729</v>
      </c>
      <c r="AH3551">
        <v>303.561302462448</v>
      </c>
      <c r="AI3551">
        <v>90.218891579245494</v>
      </c>
      <c r="AJ3551">
        <v>89.845713686864002</v>
      </c>
      <c r="AK3551">
        <v>303.56461836147002</v>
      </c>
      <c r="AL3551">
        <v>88.060154219504994</v>
      </c>
      <c r="AM3551">
        <v>90.767539231507001</v>
      </c>
      <c r="AN3551">
        <v>1.0000000580270401</v>
      </c>
    </row>
    <row r="3552" spans="1:40" x14ac:dyDescent="0.25">
      <c r="A3552" t="str">
        <f>"20190312160402778"</f>
        <v>20190312160402778</v>
      </c>
      <c r="B3552" t="str">
        <f>"1552377842768032"</f>
        <v>1552377842768032</v>
      </c>
      <c r="C3552" t="s">
        <v>40</v>
      </c>
      <c r="D3552">
        <v>4.9255019999999998</v>
      </c>
      <c r="E3552">
        <v>0.50416609999999995</v>
      </c>
      <c r="F3552" t="s">
        <v>70</v>
      </c>
      <c r="G3552">
        <v>-211.3349</v>
      </c>
      <c r="H3552" s="1">
        <v>-6.9803450000000003E-7</v>
      </c>
      <c r="I3552">
        <v>211.67910000000001</v>
      </c>
      <c r="J3552">
        <v>-417.21749999999997</v>
      </c>
      <c r="K3552">
        <v>1.109729</v>
      </c>
      <c r="L3552">
        <v>211.72730000000001</v>
      </c>
      <c r="M3552">
        <v>0.99996119999999999</v>
      </c>
      <c r="N3552">
        <v>0</v>
      </c>
      <c r="O3552">
        <v>-9.0731449999999995E-4</v>
      </c>
      <c r="P3552">
        <v>0.99959810000000004</v>
      </c>
      <c r="Q3552">
        <v>2.5320800000000001E-2</v>
      </c>
      <c r="R3552">
        <v>1.273528E-2</v>
      </c>
      <c r="S3552">
        <v>3.0015869999999998</v>
      </c>
      <c r="T3552">
        <v>-1.6159650000000001E-2</v>
      </c>
      <c r="U3552">
        <v>-7.0190429999999896E-4</v>
      </c>
      <c r="V3552">
        <v>-1.3652849999999999E-2</v>
      </c>
      <c r="W3552">
        <v>3.4079449999999997E-2</v>
      </c>
      <c r="X3552">
        <v>0.99932589999999999</v>
      </c>
      <c r="Y3552">
        <v>-6.7348210000000002E-4</v>
      </c>
      <c r="Z3552" s="1">
        <v>6.6977649999999997E-6</v>
      </c>
      <c r="AA3552">
        <v>0.99999979999999999</v>
      </c>
      <c r="AB3552">
        <v>23</v>
      </c>
      <c r="AC3552">
        <v>205.8826</v>
      </c>
      <c r="AD3552">
        <v>-1.1097296980344999</v>
      </c>
      <c r="AE3552">
        <v>-4.8200000000008403E-2</v>
      </c>
      <c r="AF3552">
        <v>-0.13860343246898901</v>
      </c>
      <c r="AG3552">
        <v>-1.1097296980344999</v>
      </c>
      <c r="AH3552">
        <v>205.87657759545201</v>
      </c>
      <c r="AI3552">
        <v>90.308836481754895</v>
      </c>
      <c r="AJ3552">
        <v>90.038573550228193</v>
      </c>
      <c r="AK3552">
        <v>205.87961509904301</v>
      </c>
      <c r="AL3552">
        <v>88.047013248515697</v>
      </c>
      <c r="AM3552">
        <v>90.782729657318697</v>
      </c>
      <c r="AN3552">
        <v>1.0000000318181099</v>
      </c>
    </row>
    <row r="3553" spans="1:40" x14ac:dyDescent="0.25">
      <c r="A3553" t="str">
        <f>"20190312160402800"</f>
        <v>20190312160402800</v>
      </c>
      <c r="B3553" t="str">
        <f>"1552377842788059"</f>
        <v>1552377842788059</v>
      </c>
      <c r="C3553" t="s">
        <v>40</v>
      </c>
      <c r="D3553">
        <v>4.8211360000000001</v>
      </c>
      <c r="E3553">
        <v>0.50323739999999995</v>
      </c>
      <c r="F3553" t="s">
        <v>70</v>
      </c>
      <c r="G3553">
        <v>-233.61009999999999</v>
      </c>
      <c r="H3553" s="1">
        <v>4.9433189999999996E-7</v>
      </c>
      <c r="I3553">
        <v>212.09970000000001</v>
      </c>
      <c r="J3553">
        <v>-416.98770000000002</v>
      </c>
      <c r="K3553">
        <v>1.109723</v>
      </c>
      <c r="L3553">
        <v>211.72739999999999</v>
      </c>
      <c r="M3553">
        <v>0.99996160000000001</v>
      </c>
      <c r="N3553">
        <v>0</v>
      </c>
      <c r="O3553">
        <v>-6.8632399999999998E-4</v>
      </c>
      <c r="P3553">
        <v>0.9996024</v>
      </c>
      <c r="Q3553">
        <v>2.4954980000000002E-2</v>
      </c>
      <c r="R3553">
        <v>1.312518E-2</v>
      </c>
      <c r="S3553">
        <v>3.001617</v>
      </c>
      <c r="T3553">
        <v>-1.8141870000000001E-2</v>
      </c>
      <c r="U3553">
        <v>6.0882569999999997E-3</v>
      </c>
      <c r="V3553">
        <v>-1.3821719999999999E-2</v>
      </c>
      <c r="W3553">
        <v>3.3692960000000001E-2</v>
      </c>
      <c r="X3553">
        <v>0.99933669999999997</v>
      </c>
      <c r="Y3553">
        <v>-2.714607E-3</v>
      </c>
      <c r="Z3553" s="1">
        <v>1.235178E-5</v>
      </c>
      <c r="AA3553">
        <v>0.99999629999999995</v>
      </c>
      <c r="AB3553">
        <v>24</v>
      </c>
      <c r="AC3553">
        <v>183.3776</v>
      </c>
      <c r="AD3553">
        <v>-1.1097225056680999</v>
      </c>
      <c r="AE3553">
        <v>0.372300000000024</v>
      </c>
      <c r="AF3553">
        <v>-0.49814292100998198</v>
      </c>
      <c r="AG3553">
        <v>-1.1097225056680999</v>
      </c>
      <c r="AH3553">
        <v>183.370585999746</v>
      </c>
      <c r="AI3553">
        <v>90.346737208970296</v>
      </c>
      <c r="AJ3553">
        <v>90.155648827766399</v>
      </c>
      <c r="AK3553">
        <v>183.374620491222</v>
      </c>
      <c r="AL3553">
        <v>88.069170249311696</v>
      </c>
      <c r="AM3553">
        <v>90.792401330395194</v>
      </c>
      <c r="AN3553">
        <v>1.0000000477321001</v>
      </c>
    </row>
    <row r="3554" spans="1:40" x14ac:dyDescent="0.25">
      <c r="A3554" t="str">
        <f>"20190312160402821"</f>
        <v>20190312160402821</v>
      </c>
      <c r="B3554" t="str">
        <f>"1552377842818315"</f>
        <v>1552377842818315</v>
      </c>
      <c r="C3554" t="s">
        <v>40</v>
      </c>
      <c r="D3554">
        <v>4.8106019999999896</v>
      </c>
      <c r="E3554">
        <v>0.50263630000000004</v>
      </c>
      <c r="F3554" t="s">
        <v>59</v>
      </c>
      <c r="G3554">
        <v>-208.08410000000001</v>
      </c>
      <c r="H3554" s="1">
        <v>5.9652150000000003E-6</v>
      </c>
      <c r="I3554">
        <v>212.749</v>
      </c>
      <c r="J3554">
        <v>-416.76249999999999</v>
      </c>
      <c r="K3554">
        <v>1.109715</v>
      </c>
      <c r="L3554">
        <v>211.72749999999999</v>
      </c>
      <c r="M3554">
        <v>0.99996189999999996</v>
      </c>
      <c r="N3554">
        <v>0</v>
      </c>
      <c r="O3554">
        <v>-4.6939680000000002E-4</v>
      </c>
      <c r="P3554">
        <v>0.99960570000000004</v>
      </c>
      <c r="Q3554">
        <v>2.4489400000000001E-2</v>
      </c>
      <c r="R3554">
        <v>1.373974E-2</v>
      </c>
      <c r="S3554">
        <v>3.001404</v>
      </c>
      <c r="T3554">
        <v>-1.5943769999999999E-2</v>
      </c>
      <c r="U3554">
        <v>1.467896E-2</v>
      </c>
      <c r="V3554">
        <v>-1.421936E-2</v>
      </c>
      <c r="W3554">
        <v>3.3209719999999998E-2</v>
      </c>
      <c r="X3554">
        <v>0.99934730000000005</v>
      </c>
      <c r="Y3554">
        <v>-5.3599650000000004E-3</v>
      </c>
      <c r="Z3554" s="1">
        <v>1.6729710000000001E-5</v>
      </c>
      <c r="AA3554">
        <v>0.99998560000000003</v>
      </c>
      <c r="AB3554">
        <v>24</v>
      </c>
      <c r="AC3554">
        <v>208.67840000000001</v>
      </c>
      <c r="AD3554">
        <v>-1.1097090347849901</v>
      </c>
      <c r="AE3554">
        <v>1.0215000000000301</v>
      </c>
      <c r="AF3554">
        <v>-1.11942492660279</v>
      </c>
      <c r="AG3554">
        <v>-1.1097090347849901</v>
      </c>
      <c r="AH3554">
        <v>208.671996618679</v>
      </c>
      <c r="AI3554">
        <v>90.304689325884297</v>
      </c>
      <c r="AJ3554">
        <v>90.307361359295996</v>
      </c>
      <c r="AK3554">
        <v>208.67794981534101</v>
      </c>
      <c r="AL3554">
        <v>88.096873370827694</v>
      </c>
      <c r="AM3554">
        <v>90.815186413732704</v>
      </c>
      <c r="AN3554">
        <v>1.0000000508592799</v>
      </c>
    </row>
    <row r="3555" spans="1:40" x14ac:dyDescent="0.25">
      <c r="A3555" t="str">
        <f>"20190312160402843"</f>
        <v>20190312160402843</v>
      </c>
      <c r="B3555" t="str">
        <f>"1552377842837835"</f>
        <v>1552377842837835</v>
      </c>
      <c r="C3555" t="s">
        <v>40</v>
      </c>
      <c r="D3555">
        <v>4.7305210000000004</v>
      </c>
      <c r="E3555">
        <v>0.5026062</v>
      </c>
      <c r="F3555" t="s">
        <v>59</v>
      </c>
      <c r="G3555">
        <v>-179.9528</v>
      </c>
      <c r="H3555">
        <v>5.4880619999999998E-2</v>
      </c>
      <c r="I3555">
        <v>213.40459999999999</v>
      </c>
      <c r="J3555">
        <v>-416.52789999999999</v>
      </c>
      <c r="K3555">
        <v>1.1097079999999999</v>
      </c>
      <c r="L3555">
        <v>211.7276</v>
      </c>
      <c r="M3555">
        <v>0.99996209999999996</v>
      </c>
      <c r="N3555">
        <v>0</v>
      </c>
      <c r="O3555">
        <v>-2.4220620000000001E-4</v>
      </c>
      <c r="P3555">
        <v>0.99960300000000002</v>
      </c>
      <c r="Q3555">
        <v>2.4178089999999999E-2</v>
      </c>
      <c r="R3555">
        <v>1.4480109999999999E-2</v>
      </c>
      <c r="S3555">
        <v>3.0011899999999998</v>
      </c>
      <c r="T3555">
        <v>-1.3368369999999999E-2</v>
      </c>
      <c r="U3555">
        <v>2.1255489999999998E-2</v>
      </c>
      <c r="V3555">
        <v>-1.4732739999999999E-2</v>
      </c>
      <c r="W3555">
        <v>3.287897E-2</v>
      </c>
      <c r="X3555">
        <v>0.99935070000000004</v>
      </c>
      <c r="Y3555">
        <v>-7.324311E-3</v>
      </c>
      <c r="Z3555" s="1">
        <v>1.739115E-5</v>
      </c>
      <c r="AA3555">
        <v>0.99997320000000001</v>
      </c>
      <c r="AB3555">
        <v>24</v>
      </c>
      <c r="AC3555">
        <v>236.57509999999999</v>
      </c>
      <c r="AD3555">
        <v>-1.0548273800000001</v>
      </c>
      <c r="AE3555">
        <v>1.6769999999999901</v>
      </c>
      <c r="AF3555">
        <v>-1.7342676006920901</v>
      </c>
      <c r="AG3555">
        <v>-1.0548273800000001</v>
      </c>
      <c r="AH3555">
        <v>236.56998399976899</v>
      </c>
      <c r="AI3555">
        <v>90.255464076820303</v>
      </c>
      <c r="AJ3555">
        <v>90.420021307862498</v>
      </c>
      <c r="AK3555">
        <v>236.578692351115</v>
      </c>
      <c r="AL3555">
        <v>88.115834115518595</v>
      </c>
      <c r="AM3555">
        <v>90.8446110838469</v>
      </c>
      <c r="AN3555">
        <v>0.99999995094332805</v>
      </c>
    </row>
    <row r="3556" spans="1:40" x14ac:dyDescent="0.25">
      <c r="A3556" t="str">
        <f>"20190312160402866"</f>
        <v>20190312160402866</v>
      </c>
      <c r="B3556" t="str">
        <f>"1552377842858332"</f>
        <v>1552377842858332</v>
      </c>
      <c r="C3556" t="s">
        <v>40</v>
      </c>
      <c r="D3556">
        <v>4.7166819999999996</v>
      </c>
      <c r="E3556">
        <v>0.50274200000000002</v>
      </c>
      <c r="F3556" t="s">
        <v>59</v>
      </c>
      <c r="G3556">
        <v>-179.95769999999999</v>
      </c>
      <c r="H3556">
        <v>3.0928000000000001E-2</v>
      </c>
      <c r="I3556">
        <v>213.57509999999999</v>
      </c>
      <c r="J3556">
        <v>-416.28440000000001</v>
      </c>
      <c r="K3556">
        <v>1.109704</v>
      </c>
      <c r="L3556">
        <v>211.7278</v>
      </c>
      <c r="M3556">
        <v>0.99996229999999997</v>
      </c>
      <c r="N3556">
        <v>0</v>
      </c>
      <c r="O3556" s="1">
        <v>-4.9859430000000001E-6</v>
      </c>
      <c r="P3556">
        <v>0.9996043</v>
      </c>
      <c r="Q3556">
        <v>2.3848830000000001E-2</v>
      </c>
      <c r="R3556">
        <v>1.490563E-2</v>
      </c>
      <c r="S3556">
        <v>3.0012210000000001</v>
      </c>
      <c r="T3556">
        <v>-1.368582E-2</v>
      </c>
      <c r="U3556">
        <v>2.34375E-2</v>
      </c>
      <c r="V3556">
        <v>-1.492067E-2</v>
      </c>
      <c r="W3556">
        <v>3.2525829999999999E-2</v>
      </c>
      <c r="X3556">
        <v>0.99935949999999996</v>
      </c>
      <c r="Y3556">
        <v>-7.8139899999999998E-3</v>
      </c>
      <c r="Z3556" s="1">
        <v>1.7838599999999999E-5</v>
      </c>
      <c r="AA3556">
        <v>0.99996949999999996</v>
      </c>
      <c r="AB3556">
        <v>24</v>
      </c>
      <c r="AC3556">
        <v>236.32669999999999</v>
      </c>
      <c r="AD3556">
        <v>-1.078776</v>
      </c>
      <c r="AE3556">
        <v>1.84729999999999</v>
      </c>
      <c r="AF3556">
        <v>-1.8484398421110799</v>
      </c>
      <c r="AG3556">
        <v>-1.078776</v>
      </c>
      <c r="AH3556">
        <v>236.32176683021601</v>
      </c>
      <c r="AI3556">
        <v>90.261537448515497</v>
      </c>
      <c r="AJ3556">
        <v>90.448141715233007</v>
      </c>
      <c r="AK3556">
        <v>236.331457841023</v>
      </c>
      <c r="AL3556">
        <v>88.136078436178394</v>
      </c>
      <c r="AM3556">
        <v>90.855375773375002</v>
      </c>
      <c r="AN3556">
        <v>0.99999998312534299</v>
      </c>
    </row>
    <row r="3557" spans="1:40" x14ac:dyDescent="0.25">
      <c r="A3557" t="str">
        <f>"20190312160402888"</f>
        <v>20190312160402888</v>
      </c>
      <c r="B3557" t="str">
        <f>"1552377842877851"</f>
        <v>1552377842877851</v>
      </c>
      <c r="C3557" t="s">
        <v>40</v>
      </c>
      <c r="D3557">
        <v>4.8102330000000002</v>
      </c>
      <c r="E3557">
        <v>0.50286869999999995</v>
      </c>
      <c r="F3557" t="s">
        <v>59</v>
      </c>
      <c r="G3557">
        <v>-179.95769999999999</v>
      </c>
      <c r="H3557">
        <v>1.635501E-2</v>
      </c>
      <c r="I3557">
        <v>213.59620000000001</v>
      </c>
      <c r="J3557">
        <v>-416.05220000000003</v>
      </c>
      <c r="K3557">
        <v>1.1097079999999999</v>
      </c>
      <c r="L3557">
        <v>211.72810000000001</v>
      </c>
      <c r="M3557">
        <v>0.99996249999999998</v>
      </c>
      <c r="N3557">
        <v>0</v>
      </c>
      <c r="O3557">
        <v>2.213176E-4</v>
      </c>
      <c r="P3557">
        <v>0.99958619999999998</v>
      </c>
      <c r="Q3557">
        <v>2.432231E-2</v>
      </c>
      <c r="R3557">
        <v>1.5359940000000001E-2</v>
      </c>
      <c r="S3557">
        <v>3.00116</v>
      </c>
      <c r="T3557">
        <v>-1.388466E-2</v>
      </c>
      <c r="U3557">
        <v>2.3727419999999999E-2</v>
      </c>
      <c r="V3557">
        <v>-1.514918E-2</v>
      </c>
      <c r="W3557">
        <v>3.297667E-2</v>
      </c>
      <c r="X3557">
        <v>0.99934129999999999</v>
      </c>
      <c r="Y3557">
        <v>-7.684438E-3</v>
      </c>
      <c r="Z3557" s="1">
        <v>1.6751469999999998E-5</v>
      </c>
      <c r="AA3557">
        <v>0.99997049999999998</v>
      </c>
      <c r="AB3557">
        <v>24</v>
      </c>
      <c r="AC3557">
        <v>236.09450000000001</v>
      </c>
      <c r="AD3557">
        <v>-1.0933529900000001</v>
      </c>
      <c r="AE3557">
        <v>1.8680999999999901</v>
      </c>
      <c r="AF3557">
        <v>-1.8158071882836799</v>
      </c>
      <c r="AG3557">
        <v>-1.0933529900000001</v>
      </c>
      <c r="AH3557">
        <v>236.08984477841801</v>
      </c>
      <c r="AI3557">
        <v>90.265332087224706</v>
      </c>
      <c r="AJ3557">
        <v>90.440662905438103</v>
      </c>
      <c r="AK3557">
        <v>236.09935913509699</v>
      </c>
      <c r="AL3557">
        <v>88.110233365896605</v>
      </c>
      <c r="AM3557">
        <v>90.868489672731897</v>
      </c>
      <c r="AN3557">
        <v>0.99999999615232504</v>
      </c>
    </row>
    <row r="3558" spans="1:40" x14ac:dyDescent="0.25">
      <c r="A3558" t="str">
        <f>"20190312160402909"</f>
        <v>20190312160402909</v>
      </c>
      <c r="B3558" t="str">
        <f>"1552377842897813"</f>
        <v>1552377842897813</v>
      </c>
      <c r="C3558" t="s">
        <v>40</v>
      </c>
      <c r="D3558">
        <v>4.8144489999999998</v>
      </c>
      <c r="E3558">
        <v>0.50286779999999998</v>
      </c>
      <c r="F3558" t="s">
        <v>43</v>
      </c>
      <c r="G3558">
        <v>-129.0797</v>
      </c>
      <c r="H3558">
        <v>-0.05</v>
      </c>
      <c r="I3558">
        <v>214.03620000000001</v>
      </c>
      <c r="J3558">
        <v>-415.82049999999998</v>
      </c>
      <c r="K3558">
        <v>1.109712</v>
      </c>
      <c r="L3558">
        <v>211.72839999999999</v>
      </c>
      <c r="M3558">
        <v>0.99996260000000003</v>
      </c>
      <c r="N3558">
        <v>0</v>
      </c>
      <c r="O3558">
        <v>4.4796149999999998E-4</v>
      </c>
      <c r="P3558">
        <v>0.99956020000000001</v>
      </c>
      <c r="Q3558">
        <v>2.4852470000000002E-2</v>
      </c>
      <c r="R3558">
        <v>1.6179869999999999E-2</v>
      </c>
      <c r="S3558">
        <v>3.00116</v>
      </c>
      <c r="T3558">
        <v>-1.212823E-2</v>
      </c>
      <c r="U3558">
        <v>2.4139399999999998E-2</v>
      </c>
      <c r="V3558">
        <v>-1.5743130000000001E-2</v>
      </c>
      <c r="W3558">
        <v>3.3488039999999997E-2</v>
      </c>
      <c r="X3558">
        <v>0.99931510000000001</v>
      </c>
      <c r="Y3558">
        <v>-7.5950760000000001E-3</v>
      </c>
      <c r="Z3558" s="1">
        <v>1.3535909999999999E-5</v>
      </c>
      <c r="AA3558">
        <v>0.99997119999999995</v>
      </c>
      <c r="AB3558">
        <v>24</v>
      </c>
      <c r="AC3558">
        <v>286.74079999999998</v>
      </c>
      <c r="AD3558">
        <v>-1.1597120000000001</v>
      </c>
      <c r="AE3558">
        <v>2.3078000000000101</v>
      </c>
      <c r="AF3558">
        <v>-2.17931049215154</v>
      </c>
      <c r="AG3558">
        <v>-1.1597120000000001</v>
      </c>
      <c r="AH3558">
        <v>286.73711502595302</v>
      </c>
      <c r="AI3558">
        <v>90.231725570932198</v>
      </c>
      <c r="AJ3558">
        <v>90.435461203578498</v>
      </c>
      <c r="AK3558">
        <v>286.74774185606202</v>
      </c>
      <c r="AL3558">
        <v>88.080917803219407</v>
      </c>
      <c r="AM3558">
        <v>90.9025584562349</v>
      </c>
      <c r="AN3558">
        <v>0.99999998202662399</v>
      </c>
    </row>
    <row r="3559" spans="1:40" x14ac:dyDescent="0.25">
      <c r="A3559" t="str">
        <f>"20190312160402932"</f>
        <v>20190312160402932</v>
      </c>
      <c r="B3559" t="str">
        <f>"1552377842928070"</f>
        <v>1552377842928070</v>
      </c>
      <c r="C3559" t="s">
        <v>40</v>
      </c>
      <c r="D3559">
        <v>4.8709569999999998</v>
      </c>
      <c r="E3559">
        <v>0.50309499999999996</v>
      </c>
      <c r="F3559" t="s">
        <v>59</v>
      </c>
      <c r="G3559">
        <v>-195.821</v>
      </c>
      <c r="H3559" s="1">
        <v>3.0139850000000001E-6</v>
      </c>
      <c r="I3559">
        <v>213.679</v>
      </c>
      <c r="J3559">
        <v>-415.57429999999999</v>
      </c>
      <c r="K3559">
        <v>1.10971</v>
      </c>
      <c r="L3559">
        <v>211.7287</v>
      </c>
      <c r="M3559">
        <v>0.99996249999999998</v>
      </c>
      <c r="N3559">
        <v>0</v>
      </c>
      <c r="O3559">
        <v>6.8920359999999998E-4</v>
      </c>
      <c r="P3559">
        <v>0.99953539999999996</v>
      </c>
      <c r="Q3559">
        <v>2.5312709999999999E-2</v>
      </c>
      <c r="R3559">
        <v>1.6977539999999999E-2</v>
      </c>
      <c r="S3559">
        <v>3.0012509999999999</v>
      </c>
      <c r="T3559">
        <v>-1.5138749999999999E-2</v>
      </c>
      <c r="U3559">
        <v>2.6611329999999999E-2</v>
      </c>
      <c r="V3559">
        <v>-1.629945E-2</v>
      </c>
      <c r="W3559">
        <v>3.3929340000000002E-2</v>
      </c>
      <c r="X3559">
        <v>0.99929129999999999</v>
      </c>
      <c r="Y3559">
        <v>-8.1770980000000007E-3</v>
      </c>
      <c r="Z3559" s="1">
        <v>1.714622E-5</v>
      </c>
      <c r="AA3559">
        <v>0.99996660000000004</v>
      </c>
      <c r="AB3559">
        <v>24</v>
      </c>
      <c r="AC3559">
        <v>219.7533</v>
      </c>
      <c r="AD3559">
        <v>-1.109706986015</v>
      </c>
      <c r="AE3559">
        <v>1.9502999999999899</v>
      </c>
      <c r="AF3559">
        <v>-1.79879326129156</v>
      </c>
      <c r="AG3559">
        <v>-1.109706986015</v>
      </c>
      <c r="AH3559">
        <v>219.74898877762701</v>
      </c>
      <c r="AI3559">
        <v>90.289324909749695</v>
      </c>
      <c r="AJ3559">
        <v>90.468994013707999</v>
      </c>
      <c r="AK3559">
        <v>219.75915265485901</v>
      </c>
      <c r="AL3559">
        <v>88.055618807750903</v>
      </c>
      <c r="AM3559">
        <v>90.934469144734905</v>
      </c>
      <c r="AN3559">
        <v>0.99999998721941397</v>
      </c>
    </row>
    <row r="3560" spans="1:40" x14ac:dyDescent="0.25">
      <c r="A3560" t="str">
        <f>"20190312160402955"</f>
        <v>20190312160402955</v>
      </c>
      <c r="B3560" t="str">
        <f>"1552377842948566"</f>
        <v>1552377842948566</v>
      </c>
      <c r="C3560" t="s">
        <v>40</v>
      </c>
      <c r="D3560">
        <v>4.8726059999999896</v>
      </c>
      <c r="E3560">
        <v>0.50329140000000006</v>
      </c>
      <c r="F3560" t="s">
        <v>70</v>
      </c>
      <c r="G3560">
        <v>-250.0746</v>
      </c>
      <c r="H3560" s="1">
        <v>-1.4362889999999901E-6</v>
      </c>
      <c r="I3560">
        <v>213.22550000000001</v>
      </c>
      <c r="J3560">
        <v>-415.32900000000001</v>
      </c>
      <c r="K3560">
        <v>1.1097090000000001</v>
      </c>
      <c r="L3560">
        <v>211.72919999999999</v>
      </c>
      <c r="M3560">
        <v>0.99996260000000003</v>
      </c>
      <c r="N3560">
        <v>0</v>
      </c>
      <c r="O3560">
        <v>9.2980269999999999E-4</v>
      </c>
      <c r="P3560">
        <v>0.99953389999999998</v>
      </c>
      <c r="Q3560">
        <v>2.5119760000000001E-2</v>
      </c>
      <c r="R3560">
        <v>1.7353150000000001E-2</v>
      </c>
      <c r="S3560">
        <v>3.0014340000000002</v>
      </c>
      <c r="T3560">
        <v>-2.0125270000000001E-2</v>
      </c>
      <c r="U3560">
        <v>2.7145389999999998E-2</v>
      </c>
      <c r="V3560">
        <v>-1.6434899999999999E-2</v>
      </c>
      <c r="W3560">
        <v>3.371441E-2</v>
      </c>
      <c r="X3560">
        <v>0.99929639999999997</v>
      </c>
      <c r="Y3560">
        <v>-8.1138029999999993E-3</v>
      </c>
      <c r="Z3560" s="1">
        <v>2.096699E-5</v>
      </c>
      <c r="AA3560">
        <v>0.9999671</v>
      </c>
      <c r="AB3560">
        <v>24</v>
      </c>
      <c r="AC3560">
        <v>165.2544</v>
      </c>
      <c r="AD3560">
        <v>-1.109710436289</v>
      </c>
      <c r="AE3560">
        <v>1.49630000000001</v>
      </c>
      <c r="AF3560">
        <v>-1.34257914886086</v>
      </c>
      <c r="AG3560">
        <v>-1.109710436289</v>
      </c>
      <c r="AH3560">
        <v>165.248268875478</v>
      </c>
      <c r="AI3560">
        <v>90.384746362938998</v>
      </c>
      <c r="AJ3560">
        <v>90.465496110247699</v>
      </c>
      <c r="AK3560">
        <v>165.25744867438101</v>
      </c>
      <c r="AL3560">
        <v>88.067940524352096</v>
      </c>
      <c r="AM3560">
        <v>90.942228471228205</v>
      </c>
      <c r="AN3560">
        <v>1.0000000312163</v>
      </c>
    </row>
    <row r="3561" spans="1:40" x14ac:dyDescent="0.25">
      <c r="A3561" t="str">
        <f>"20190312160402968"</f>
        <v>20190312160402968</v>
      </c>
      <c r="B3561" t="str">
        <f>"1552377842958326"</f>
        <v>1552377842958326</v>
      </c>
      <c r="C3561" t="s">
        <v>40</v>
      </c>
      <c r="D3561">
        <v>4.8161180000000003</v>
      </c>
      <c r="E3561">
        <v>0.50334279999999998</v>
      </c>
      <c r="F3561" t="s">
        <v>79</v>
      </c>
      <c r="G3561">
        <v>-280.73419999999999</v>
      </c>
      <c r="H3561" s="1">
        <v>6.9658600000000003E-6</v>
      </c>
      <c r="I3561">
        <v>212.9341</v>
      </c>
      <c r="J3561">
        <v>-415.1918</v>
      </c>
      <c r="K3561">
        <v>1.1097049999999999</v>
      </c>
      <c r="L3561">
        <v>211.7294</v>
      </c>
      <c r="M3561">
        <v>0.99996260000000003</v>
      </c>
      <c r="N3561">
        <v>0</v>
      </c>
      <c r="O3561">
        <v>1.064506E-3</v>
      </c>
      <c r="P3561">
        <v>0.99952700000000005</v>
      </c>
      <c r="Q3561">
        <v>2.5209970000000002E-2</v>
      </c>
      <c r="R3561">
        <v>1.7619820000000001E-2</v>
      </c>
      <c r="S3561">
        <v>3.0015869999999998</v>
      </c>
      <c r="T3561">
        <v>-2.4747370000000001E-2</v>
      </c>
      <c r="U3561">
        <v>2.6870729999999999E-2</v>
      </c>
      <c r="V3561">
        <v>-1.6566850000000001E-2</v>
      </c>
      <c r="W3561">
        <v>3.3791139999999997E-2</v>
      </c>
      <c r="X3561">
        <v>0.99929159999999995</v>
      </c>
      <c r="Y3561">
        <v>-7.8870769999999993E-3</v>
      </c>
      <c r="Z3561" s="1">
        <v>2.3735750000000001E-5</v>
      </c>
      <c r="AA3561">
        <v>0.99996890000000005</v>
      </c>
      <c r="AB3561">
        <v>24</v>
      </c>
      <c r="AC3561">
        <v>134.45760000000001</v>
      </c>
      <c r="AD3561">
        <v>-1.10969803413999</v>
      </c>
      <c r="AE3561">
        <v>1.2047000000000001</v>
      </c>
      <c r="AF3561">
        <v>-1.06149082624056</v>
      </c>
      <c r="AG3561">
        <v>-1.10969803413999</v>
      </c>
      <c r="AH3561">
        <v>134.44964904830701</v>
      </c>
      <c r="AI3561">
        <v>90.472872850814596</v>
      </c>
      <c r="AJ3561">
        <v>90.452345403291403</v>
      </c>
      <c r="AK3561">
        <v>134.45841856021599</v>
      </c>
      <c r="AL3561">
        <v>88.063541655850003</v>
      </c>
      <c r="AM3561">
        <v>90.9497964715423</v>
      </c>
      <c r="AN3561">
        <v>1.00000000174599</v>
      </c>
    </row>
    <row r="3562" spans="1:40" x14ac:dyDescent="0.25">
      <c r="A3562" t="str">
        <f>"20190312160403279"</f>
        <v>20190312160403279</v>
      </c>
      <c r="B3562" t="str">
        <f>"1552377843268266"</f>
        <v>1552377843268266</v>
      </c>
      <c r="C3562" t="s">
        <v>40</v>
      </c>
      <c r="D3562">
        <v>5.1623159999999997</v>
      </c>
      <c r="E3562">
        <v>0.4738232</v>
      </c>
      <c r="F3562" t="s">
        <v>79</v>
      </c>
      <c r="G3562">
        <v>-284.38589999999999</v>
      </c>
      <c r="H3562" s="1">
        <v>5.3489029999999996E-6</v>
      </c>
      <c r="I3562">
        <v>212.91370000000001</v>
      </c>
      <c r="J3562">
        <v>-411.77969999999999</v>
      </c>
      <c r="K3562">
        <v>1.1096649999999999</v>
      </c>
      <c r="L3562">
        <v>211.74209999999999</v>
      </c>
      <c r="M3562">
        <v>0.99995529999999999</v>
      </c>
      <c r="N3562">
        <v>0</v>
      </c>
      <c r="O3562">
        <v>4.3927710000000002E-3</v>
      </c>
      <c r="P3562">
        <v>0.99954609999999999</v>
      </c>
      <c r="Q3562">
        <v>2.285835E-2</v>
      </c>
      <c r="R3562">
        <v>1.962732E-2</v>
      </c>
      <c r="S3562">
        <v>3.001617</v>
      </c>
      <c r="T3562">
        <v>-2.5464420000000001E-2</v>
      </c>
      <c r="U3562">
        <v>2.7175899999999999E-2</v>
      </c>
      <c r="V3562">
        <v>-1.5247719999999999E-2</v>
      </c>
      <c r="W3562">
        <v>3.1233299999999999E-2</v>
      </c>
      <c r="X3562">
        <v>0.99939579999999995</v>
      </c>
      <c r="Y3562">
        <v>-4.6605400000000003E-3</v>
      </c>
      <c r="Z3562" s="1">
        <v>-1.7497720000000002E-5</v>
      </c>
      <c r="AA3562">
        <v>0.99998920000000002</v>
      </c>
      <c r="AB3562">
        <v>25</v>
      </c>
      <c r="AC3562">
        <v>127.3938</v>
      </c>
      <c r="AD3562">
        <v>-1.1096596510969901</v>
      </c>
      <c r="AE3562">
        <v>1.17160000000001</v>
      </c>
      <c r="AF3562">
        <v>-0.6119108660857</v>
      </c>
      <c r="AG3562">
        <v>-1.1096596510969901</v>
      </c>
      <c r="AH3562">
        <v>127.388053133847</v>
      </c>
      <c r="AI3562">
        <v>90.499077202909405</v>
      </c>
      <c r="AJ3562">
        <v>90.275219218373607</v>
      </c>
      <c r="AK3562">
        <v>127.394355686118</v>
      </c>
      <c r="AL3562">
        <v>88.210172626944697</v>
      </c>
      <c r="AM3562">
        <v>90.874090351888796</v>
      </c>
      <c r="AN3562">
        <v>0.99999998852586403</v>
      </c>
    </row>
    <row r="3563" spans="1:40" x14ac:dyDescent="0.25">
      <c r="A3563" t="str">
        <f>"20190312160403301"</f>
        <v>20190312160403301</v>
      </c>
      <c r="B3563" t="str">
        <f>"1552377843298519"</f>
        <v>1552377843298519</v>
      </c>
      <c r="C3563" t="s">
        <v>40</v>
      </c>
      <c r="D3563">
        <v>5.1653190000000002</v>
      </c>
      <c r="E3563">
        <v>0.49591580000000002</v>
      </c>
      <c r="F3563" t="s">
        <v>70</v>
      </c>
      <c r="G3563">
        <v>-378.98079999999999</v>
      </c>
      <c r="H3563" s="1">
        <v>3.242373E-6</v>
      </c>
      <c r="I3563">
        <v>214.6831</v>
      </c>
      <c r="J3563">
        <v>-411.52870000000001</v>
      </c>
      <c r="K3563">
        <v>1.1096619999999999</v>
      </c>
      <c r="L3563">
        <v>211.74340000000001</v>
      </c>
      <c r="M3563">
        <v>0.99995420000000002</v>
      </c>
      <c r="N3563">
        <v>0</v>
      </c>
      <c r="O3563">
        <v>4.6369870000000004E-3</v>
      </c>
      <c r="P3563">
        <v>0.99954929999999997</v>
      </c>
      <c r="Q3563">
        <v>2.273406E-2</v>
      </c>
      <c r="R3563">
        <v>1.9614590000000001E-2</v>
      </c>
      <c r="S3563">
        <v>2.998383</v>
      </c>
      <c r="T3563">
        <v>-0.1014422</v>
      </c>
      <c r="U3563">
        <v>0.26885989999999999</v>
      </c>
      <c r="V3563">
        <v>-1.4990440000000001E-2</v>
      </c>
      <c r="W3563">
        <v>3.110605E-2</v>
      </c>
      <c r="X3563">
        <v>0.99940370000000001</v>
      </c>
      <c r="Y3563">
        <v>-8.4644999999999998E-2</v>
      </c>
      <c r="Z3563">
        <v>1.2720769999999999E-3</v>
      </c>
      <c r="AA3563">
        <v>0.99641040000000003</v>
      </c>
      <c r="AB3563">
        <v>25</v>
      </c>
      <c r="AC3563">
        <v>32.547899999999998</v>
      </c>
      <c r="AD3563">
        <v>-1.1096587576270001</v>
      </c>
      <c r="AE3563">
        <v>2.9396999999999802</v>
      </c>
      <c r="AF3563">
        <v>-2.7855273844723798</v>
      </c>
      <c r="AG3563">
        <v>-1.1096587576270001</v>
      </c>
      <c r="AH3563">
        <v>32.523684216381398</v>
      </c>
      <c r="AI3563">
        <v>91.946964883924295</v>
      </c>
      <c r="AJ3563">
        <v>94.895215349185605</v>
      </c>
      <c r="AK3563">
        <v>32.661606518585799</v>
      </c>
      <c r="AL3563">
        <v>88.217467128969304</v>
      </c>
      <c r="AM3563">
        <v>90.859336964988302</v>
      </c>
      <c r="AN3563">
        <v>1.0000000276058401</v>
      </c>
    </row>
    <row r="3564" spans="1:40" x14ac:dyDescent="0.25">
      <c r="A3564" t="str">
        <f>"20190312160403322"</f>
        <v>20190312160403322</v>
      </c>
      <c r="B3564" t="str">
        <f>"1552377843318038"</f>
        <v>1552377843318038</v>
      </c>
      <c r="C3564" t="s">
        <v>40</v>
      </c>
      <c r="D3564">
        <v>5.2238249999999997</v>
      </c>
      <c r="E3564">
        <v>0.50376299999999996</v>
      </c>
      <c r="F3564" t="s">
        <v>70</v>
      </c>
      <c r="G3564">
        <v>-357.01220000000001</v>
      </c>
      <c r="H3564" s="1">
        <v>2.2469660000000002E-6</v>
      </c>
      <c r="I3564">
        <v>213.42160000000001</v>
      </c>
      <c r="J3564">
        <v>-411.27870000000001</v>
      </c>
      <c r="K3564">
        <v>1.109667</v>
      </c>
      <c r="L3564">
        <v>211.7448</v>
      </c>
      <c r="M3564">
        <v>0.99995299999999998</v>
      </c>
      <c r="N3564">
        <v>0</v>
      </c>
      <c r="O3564">
        <v>4.8803639999999999E-3</v>
      </c>
      <c r="P3564">
        <v>0.99952750000000001</v>
      </c>
      <c r="Q3564">
        <v>2.3191030000000001E-2</v>
      </c>
      <c r="R3564">
        <v>2.01706E-2</v>
      </c>
      <c r="S3564">
        <v>3.0008849999999998</v>
      </c>
      <c r="T3564">
        <v>-6.1081650000000001E-2</v>
      </c>
      <c r="U3564">
        <v>9.2376710000000001E-2</v>
      </c>
      <c r="V3564">
        <v>-1.530332E-2</v>
      </c>
      <c r="W3564">
        <v>3.1560730000000002E-2</v>
      </c>
      <c r="X3564">
        <v>0.99938470000000001</v>
      </c>
      <c r="Y3564">
        <v>-2.588565E-2</v>
      </c>
      <c r="Z3564">
        <v>1.6405049999999901E-4</v>
      </c>
      <c r="AA3564">
        <v>0.99966489999999997</v>
      </c>
      <c r="AB3564">
        <v>25</v>
      </c>
      <c r="AC3564">
        <v>54.266500000000001</v>
      </c>
      <c r="AD3564">
        <v>-1.109664753034</v>
      </c>
      <c r="AE3564">
        <v>1.6768000000000101</v>
      </c>
      <c r="AF3564">
        <v>-1.41134089000191</v>
      </c>
      <c r="AG3564">
        <v>-1.109664753034</v>
      </c>
      <c r="AH3564">
        <v>54.251374433766202</v>
      </c>
      <c r="AI3564">
        <v>91.171375821803494</v>
      </c>
      <c r="AJ3564">
        <v>91.490204489089095</v>
      </c>
      <c r="AK3564">
        <v>54.281072824002102</v>
      </c>
      <c r="AL3564">
        <v>88.191403081870604</v>
      </c>
      <c r="AM3564">
        <v>90.877286920890299</v>
      </c>
      <c r="AN3564">
        <v>1.00000002493762</v>
      </c>
    </row>
    <row r="3565" spans="1:40" x14ac:dyDescent="0.25">
      <c r="A3565" t="str">
        <f>"20190312160403346"</f>
        <v>20190312160403346</v>
      </c>
      <c r="B3565" t="str">
        <f>"1552377843338535"</f>
        <v>1552377843338535</v>
      </c>
      <c r="C3565" t="s">
        <v>40</v>
      </c>
      <c r="D3565">
        <v>5.333272</v>
      </c>
      <c r="E3565">
        <v>0.5073358</v>
      </c>
      <c r="F3565" t="s">
        <v>70</v>
      </c>
      <c r="G3565">
        <v>-367.19450000000001</v>
      </c>
      <c r="H3565" s="1">
        <v>2.291767E-6</v>
      </c>
      <c r="I3565">
        <v>212.20859999999999</v>
      </c>
      <c r="J3565">
        <v>-411.01589999999999</v>
      </c>
      <c r="K3565">
        <v>1.1096629999999901</v>
      </c>
      <c r="L3565">
        <v>211.74639999999999</v>
      </c>
      <c r="M3565">
        <v>0.9999519</v>
      </c>
      <c r="N3565">
        <v>0</v>
      </c>
      <c r="O3565">
        <v>5.1358380000000002E-3</v>
      </c>
      <c r="P3565">
        <v>0.99950810000000001</v>
      </c>
      <c r="Q3565">
        <v>2.3540459999999999E-2</v>
      </c>
      <c r="R3565">
        <v>2.0731719999999999E-2</v>
      </c>
      <c r="S3565">
        <v>3.0025629999999999</v>
      </c>
      <c r="T3565">
        <v>-7.5578930000000002E-2</v>
      </c>
      <c r="U3565">
        <v>3.158569E-2</v>
      </c>
      <c r="V3565">
        <v>-1.5609090000000001E-2</v>
      </c>
      <c r="W3565">
        <v>3.190817E-2</v>
      </c>
      <c r="X3565">
        <v>0.9993689</v>
      </c>
      <c r="Y3565">
        <v>-5.383044E-3</v>
      </c>
      <c r="Z3565" s="1">
        <v>-6.1518800000000005E-5</v>
      </c>
      <c r="AA3565">
        <v>0.99998549999999997</v>
      </c>
      <c r="AB3565">
        <v>25</v>
      </c>
      <c r="AC3565">
        <v>43.821399999999898</v>
      </c>
      <c r="AD3565">
        <v>-1.1096607082329999</v>
      </c>
      <c r="AE3565">
        <v>0.462199999999995</v>
      </c>
      <c r="AF3565">
        <v>-0.23697449898948</v>
      </c>
      <c r="AG3565">
        <v>-1.1096607082329999</v>
      </c>
      <c r="AH3565">
        <v>43.7951166515506</v>
      </c>
      <c r="AI3565">
        <v>91.451402565945401</v>
      </c>
      <c r="AJ3565">
        <v>90.310023289646395</v>
      </c>
      <c r="AK3565">
        <v>43.809813356410103</v>
      </c>
      <c r="AL3565">
        <v>88.171486135167399</v>
      </c>
      <c r="AM3565">
        <v>90.894826990206994</v>
      </c>
      <c r="AN3565">
        <v>0.99999998664529299</v>
      </c>
    </row>
    <row r="3566" spans="1:40" x14ac:dyDescent="0.25">
      <c r="A3566" t="str">
        <f>"20190312160403369"</f>
        <v>20190312160403369</v>
      </c>
      <c r="B3566" t="str">
        <f>"1552377843358059"</f>
        <v>1552377843358059</v>
      </c>
      <c r="C3566" t="s">
        <v>40</v>
      </c>
      <c r="D3566">
        <v>5.1820320000000004</v>
      </c>
      <c r="E3566">
        <v>0.50969100000000001</v>
      </c>
      <c r="F3566" t="s">
        <v>70</v>
      </c>
      <c r="G3566">
        <v>-371.2328</v>
      </c>
      <c r="H3566" s="1">
        <v>-8.8077079999999996E-7</v>
      </c>
      <c r="I3566">
        <v>211.8117</v>
      </c>
      <c r="J3566">
        <v>-410.762</v>
      </c>
      <c r="K3566">
        <v>1.1096600000000001</v>
      </c>
      <c r="L3566">
        <v>211.74799999999999</v>
      </c>
      <c r="M3566">
        <v>0.99995060000000002</v>
      </c>
      <c r="N3566">
        <v>0</v>
      </c>
      <c r="O3566">
        <v>5.3824869999999896E-3</v>
      </c>
      <c r="P3566">
        <v>0.99949589999999999</v>
      </c>
      <c r="Q3566">
        <v>2.381173E-2</v>
      </c>
      <c r="R3566">
        <v>2.1012050000000001E-2</v>
      </c>
      <c r="S3566">
        <v>3.0033569999999998</v>
      </c>
      <c r="T3566">
        <v>-8.3772059999999995E-2</v>
      </c>
      <c r="U3566">
        <v>4.9285889999999997E-3</v>
      </c>
      <c r="V3566">
        <v>-1.5643730000000002E-2</v>
      </c>
      <c r="W3566">
        <v>3.2179819999999998E-2</v>
      </c>
      <c r="X3566">
        <v>0.99935969999999996</v>
      </c>
      <c r="Y3566">
        <v>3.7381200000000002E-3</v>
      </c>
      <c r="Z3566">
        <v>-2.0223109999999999E-4</v>
      </c>
      <c r="AA3566">
        <v>0.99999300000000002</v>
      </c>
      <c r="AB3566">
        <v>25</v>
      </c>
      <c r="AC3566">
        <v>39.529199999999904</v>
      </c>
      <c r="AD3566">
        <v>-1.1096608807707999</v>
      </c>
      <c r="AE3566">
        <v>6.37000000000114E-2</v>
      </c>
      <c r="AF3566">
        <v>0.148956374372609</v>
      </c>
      <c r="AG3566">
        <v>-1.1096608807707999</v>
      </c>
      <c r="AH3566">
        <v>39.4978446975556</v>
      </c>
      <c r="AI3566">
        <v>91.609245125153194</v>
      </c>
      <c r="AJ3566">
        <v>89.783924130841498</v>
      </c>
      <c r="AK3566">
        <v>39.513709912181099</v>
      </c>
      <c r="AL3566">
        <v>88.155913835086395</v>
      </c>
      <c r="AM3566">
        <v>90.896820738533606</v>
      </c>
      <c r="AN3566">
        <v>1.0000000385438099</v>
      </c>
    </row>
    <row r="3567" spans="1:40" x14ac:dyDescent="0.25">
      <c r="A3567" t="str">
        <f>"20190312160403393"</f>
        <v>20190312160403393</v>
      </c>
      <c r="B3567" t="str">
        <f>"1552377843388310"</f>
        <v>1552377843388310</v>
      </c>
      <c r="C3567" t="s">
        <v>40</v>
      </c>
      <c r="D3567">
        <v>5.3839949999999996</v>
      </c>
      <c r="E3567">
        <v>0.51362240000000003</v>
      </c>
      <c r="F3567" t="s">
        <v>70</v>
      </c>
      <c r="G3567">
        <v>-376.46839999999997</v>
      </c>
      <c r="H3567" s="1">
        <v>1.905355E-6</v>
      </c>
      <c r="I3567">
        <v>211.60130000000001</v>
      </c>
      <c r="J3567">
        <v>-410.49720000000002</v>
      </c>
      <c r="K3567">
        <v>1.109656</v>
      </c>
      <c r="L3567">
        <v>211.74969999999999</v>
      </c>
      <c r="M3567">
        <v>0.99994910000000004</v>
      </c>
      <c r="N3567">
        <v>0</v>
      </c>
      <c r="O3567">
        <v>5.6397440000000004E-3</v>
      </c>
      <c r="P3567">
        <v>0.9995096</v>
      </c>
      <c r="Q3567">
        <v>2.3308789999999999E-2</v>
      </c>
      <c r="R3567">
        <v>2.091931E-2</v>
      </c>
      <c r="S3567">
        <v>3.0041199999999999</v>
      </c>
      <c r="T3567">
        <v>-9.7205879999999995E-2</v>
      </c>
      <c r="U3567">
        <v>-1.2847900000000001E-2</v>
      </c>
      <c r="V3567">
        <v>-1.529373E-2</v>
      </c>
      <c r="W3567">
        <v>3.1677490000000003E-2</v>
      </c>
      <c r="X3567">
        <v>0.99938110000000002</v>
      </c>
      <c r="Y3567">
        <v>9.9084059999999998E-3</v>
      </c>
      <c r="Z3567">
        <v>-3.4270889999999998E-4</v>
      </c>
      <c r="AA3567">
        <v>0.99995080000000003</v>
      </c>
      <c r="AB3567">
        <v>25</v>
      </c>
      <c r="AC3567">
        <v>34.028799999999997</v>
      </c>
      <c r="AD3567">
        <v>-1.109654094645</v>
      </c>
      <c r="AE3567">
        <v>-0.14839999999998099</v>
      </c>
      <c r="AF3567">
        <v>0.33995658608983598</v>
      </c>
      <c r="AG3567">
        <v>-1.109654094645</v>
      </c>
      <c r="AH3567">
        <v>33.991277403576099</v>
      </c>
      <c r="AI3567">
        <v>91.869678165392301</v>
      </c>
      <c r="AJ3567">
        <v>89.426987459997207</v>
      </c>
      <c r="AK3567">
        <v>34.011084108229397</v>
      </c>
      <c r="AL3567">
        <v>88.184709784560098</v>
      </c>
      <c r="AM3567">
        <v>90.876740402592901</v>
      </c>
      <c r="AN3567">
        <v>0.99999997229361104</v>
      </c>
    </row>
    <row r="3568" spans="1:40" x14ac:dyDescent="0.25">
      <c r="A3568" t="str">
        <f>"20190312160403458"</f>
        <v>20190312160403458</v>
      </c>
      <c r="B3568" t="str">
        <f>"1552377843447847"</f>
        <v>1552377843447847</v>
      </c>
      <c r="C3568" t="s">
        <v>40</v>
      </c>
      <c r="D3568">
        <v>4.3412559999999996</v>
      </c>
      <c r="E3568">
        <v>0.52087309999999998</v>
      </c>
      <c r="F3568" t="s">
        <v>70</v>
      </c>
      <c r="G3568">
        <v>-379.05079999999998</v>
      </c>
      <c r="H3568" s="1">
        <v>3.279604E-6</v>
      </c>
      <c r="I3568">
        <v>211.28559999999999</v>
      </c>
      <c r="J3568">
        <v>-409.74369999999999</v>
      </c>
      <c r="K3568">
        <v>1.109661</v>
      </c>
      <c r="L3568">
        <v>211.75489999999999</v>
      </c>
      <c r="M3568">
        <v>0.99994490000000003</v>
      </c>
      <c r="N3568">
        <v>0</v>
      </c>
      <c r="O3568">
        <v>6.3716320000000003E-3</v>
      </c>
      <c r="P3568">
        <v>0.99949560000000004</v>
      </c>
      <c r="Q3568">
        <v>2.4402509999999999E-2</v>
      </c>
      <c r="R3568">
        <v>2.033306E-2</v>
      </c>
      <c r="S3568">
        <v>3.0048520000000001</v>
      </c>
      <c r="T3568">
        <v>-0.1060326</v>
      </c>
      <c r="U3568">
        <v>-4.4342039999999999E-2</v>
      </c>
      <c r="V3568">
        <v>-1.3976550000000001E-2</v>
      </c>
      <c r="W3568">
        <v>3.27584E-2</v>
      </c>
      <c r="X3568">
        <v>0.99936559999999997</v>
      </c>
      <c r="Y3568">
        <v>2.110896E-2</v>
      </c>
      <c r="Z3568">
        <v>-5.9706500000000003E-4</v>
      </c>
      <c r="AA3568">
        <v>0.99977700000000003</v>
      </c>
      <c r="AB3568">
        <v>25</v>
      </c>
      <c r="AC3568">
        <v>30.692900000000002</v>
      </c>
      <c r="AD3568">
        <v>-1.1096577203960001</v>
      </c>
      <c r="AE3568">
        <v>-0.46930000000000399</v>
      </c>
      <c r="AF3568">
        <v>0.66399345288518297</v>
      </c>
      <c r="AG3568">
        <v>-1.1096577203960001</v>
      </c>
      <c r="AH3568">
        <v>30.6492349649596</v>
      </c>
      <c r="AI3568">
        <v>92.073006093193797</v>
      </c>
      <c r="AJ3568">
        <v>88.758922618366</v>
      </c>
      <c r="AK3568">
        <v>30.676502921604499</v>
      </c>
      <c r="AL3568">
        <v>88.122746138970498</v>
      </c>
      <c r="AM3568">
        <v>90.801253438600696</v>
      </c>
      <c r="AN3568">
        <v>1.00000002959191</v>
      </c>
    </row>
    <row r="3569" spans="1:40" x14ac:dyDescent="0.25">
      <c r="A3569" t="str">
        <f>"20190312160403480"</f>
        <v>20190312160403480</v>
      </c>
      <c r="B3569" t="str">
        <f>"1552377843468344"</f>
        <v>1552377843468344</v>
      </c>
      <c r="C3569" t="s">
        <v>40</v>
      </c>
      <c r="D3569">
        <v>5.4808149999999998</v>
      </c>
      <c r="E3569">
        <v>0.52535180000000004</v>
      </c>
      <c r="F3569" t="s">
        <v>49</v>
      </c>
      <c r="G3569">
        <v>-408.97660000000002</v>
      </c>
      <c r="H3569">
        <v>0.90887830000000003</v>
      </c>
      <c r="I3569">
        <v>211.72929999999999</v>
      </c>
      <c r="J3569">
        <v>-409.49950000000001</v>
      </c>
      <c r="K3569">
        <v>1.1096600000000001</v>
      </c>
      <c r="L3569">
        <v>211.7568</v>
      </c>
      <c r="M3569">
        <v>0.99994340000000004</v>
      </c>
      <c r="N3569">
        <v>0</v>
      </c>
      <c r="O3569">
        <v>6.6086030000000002E-3</v>
      </c>
      <c r="P3569">
        <v>0.99949310000000002</v>
      </c>
      <c r="Q3569">
        <v>2.4190980000000001E-2</v>
      </c>
      <c r="R3569">
        <v>2.0709809999999999E-2</v>
      </c>
      <c r="S3569">
        <v>3.022888</v>
      </c>
      <c r="T3569">
        <v>-0.79128469999999995</v>
      </c>
      <c r="U3569">
        <v>-0.10066219999999999</v>
      </c>
      <c r="V3569">
        <v>-1.411627E-2</v>
      </c>
      <c r="W3569">
        <v>3.253727E-2</v>
      </c>
      <c r="X3569">
        <v>0.9993708</v>
      </c>
      <c r="Y3569">
        <v>3.837206E-2</v>
      </c>
      <c r="Z3569">
        <v>-6.6385990000000002E-3</v>
      </c>
      <c r="AA3569">
        <v>0.9992415</v>
      </c>
      <c r="AB3569">
        <v>26</v>
      </c>
      <c r="AC3569">
        <v>0.52289999999999204</v>
      </c>
      <c r="AD3569">
        <v>-0.20078169999999901</v>
      </c>
      <c r="AE3569">
        <v>-2.75000000000034E-2</v>
      </c>
      <c r="AF3569">
        <v>2.6987182563184602E-2</v>
      </c>
      <c r="AG3569">
        <v>-0.20078169999999901</v>
      </c>
      <c r="AH3569">
        <v>0.45570385461792001</v>
      </c>
      <c r="AI3569">
        <v>113.741156043801</v>
      </c>
      <c r="AJ3569">
        <v>86.610851950780798</v>
      </c>
      <c r="AK3569">
        <v>0.49870592756776</v>
      </c>
      <c r="AL3569">
        <v>88.1354225998369</v>
      </c>
      <c r="AM3569">
        <v>90.809258094306998</v>
      </c>
      <c r="AN3569">
        <v>0.99999996945520198</v>
      </c>
    </row>
    <row r="3570" spans="1:40" x14ac:dyDescent="0.25">
      <c r="A3570" t="str">
        <f>"20190312160403502"</f>
        <v>20190312160403502</v>
      </c>
      <c r="B3570" t="str">
        <f>"1552377843498599"</f>
        <v>1552377843498599</v>
      </c>
      <c r="C3570" t="s">
        <v>40</v>
      </c>
      <c r="D3570">
        <v>5.3902269999999897</v>
      </c>
      <c r="E3570">
        <v>0.52512939999999997</v>
      </c>
      <c r="F3570" t="s">
        <v>49</v>
      </c>
      <c r="G3570">
        <v>-408.73329999999999</v>
      </c>
      <c r="H3570">
        <v>0.94031120000000001</v>
      </c>
      <c r="I3570">
        <v>211.72219999999999</v>
      </c>
      <c r="J3570">
        <v>-409.24180000000001</v>
      </c>
      <c r="K3570">
        <v>1.109659</v>
      </c>
      <c r="L3570">
        <v>211.7587</v>
      </c>
      <c r="M3570">
        <v>0.99994170000000004</v>
      </c>
      <c r="N3570">
        <v>0</v>
      </c>
      <c r="O3570">
        <v>6.8588219999999997E-3</v>
      </c>
      <c r="P3570">
        <v>0.99950269999999997</v>
      </c>
      <c r="Q3570">
        <v>2.3515060000000001E-2</v>
      </c>
      <c r="R3570">
        <v>2.1011780000000001E-2</v>
      </c>
      <c r="S3570">
        <v>3.0204770000000001</v>
      </c>
      <c r="T3570">
        <v>-0.66761729999999997</v>
      </c>
      <c r="U3570">
        <v>-0.135757399999999</v>
      </c>
      <c r="V3570">
        <v>-1.416805E-2</v>
      </c>
      <c r="W3570">
        <v>3.1847640000000003E-2</v>
      </c>
      <c r="X3570">
        <v>0.99939230000000001</v>
      </c>
      <c r="Y3570">
        <v>5.0372750000000001E-2</v>
      </c>
      <c r="Z3570">
        <v>-6.9951980000000002E-3</v>
      </c>
      <c r="AA3570">
        <v>0.99870599999999998</v>
      </c>
      <c r="AB3570">
        <v>26</v>
      </c>
      <c r="AC3570">
        <v>0.50850000000002604</v>
      </c>
      <c r="AD3570">
        <v>-0.16934779999999999</v>
      </c>
      <c r="AE3570">
        <v>-3.65000000000179E-2</v>
      </c>
      <c r="AF3570">
        <v>3.60131678273337E-2</v>
      </c>
      <c r="AG3570">
        <v>-0.16934779999999999</v>
      </c>
      <c r="AH3570">
        <v>0.45773028755024497</v>
      </c>
      <c r="AI3570">
        <v>110.245642970655</v>
      </c>
      <c r="AJ3570">
        <v>85.501366828142395</v>
      </c>
      <c r="AK3570">
        <v>0.48937985426724501</v>
      </c>
      <c r="AL3570">
        <v>88.174956013906495</v>
      </c>
      <c r="AM3570">
        <v>90.8122086721404</v>
      </c>
      <c r="AN3570">
        <v>0.99999998755683095</v>
      </c>
    </row>
    <row r="3571" spans="1:40" x14ac:dyDescent="0.25">
      <c r="A3571" t="str">
        <f>"20190312160403524"</f>
        <v>20190312160403524</v>
      </c>
      <c r="B3571" t="str">
        <f>"1552377843518119"</f>
        <v>1552377843518119</v>
      </c>
      <c r="C3571" t="s">
        <v>40</v>
      </c>
      <c r="D3571">
        <v>5.3516279999999998</v>
      </c>
      <c r="E3571">
        <v>0.52495930000000002</v>
      </c>
      <c r="F3571" t="s">
        <v>49</v>
      </c>
      <c r="G3571">
        <v>-408.4699</v>
      </c>
      <c r="H3571">
        <v>1.0095099999999999</v>
      </c>
      <c r="I3571">
        <v>211.7244</v>
      </c>
      <c r="J3571">
        <v>-408.9769</v>
      </c>
      <c r="K3571">
        <v>1.1096520000000001</v>
      </c>
      <c r="L3571">
        <v>211.76079999999999</v>
      </c>
      <c r="M3571">
        <v>0.9999401</v>
      </c>
      <c r="N3571">
        <v>0</v>
      </c>
      <c r="O3571">
        <v>7.115428E-3</v>
      </c>
      <c r="P3571">
        <v>0.99949529999999998</v>
      </c>
      <c r="Q3571">
        <v>2.3763530000000001E-2</v>
      </c>
      <c r="R3571">
        <v>2.1083870000000001E-2</v>
      </c>
      <c r="S3571">
        <v>3.0134889999999999</v>
      </c>
      <c r="T3571">
        <v>-0.39104440000000001</v>
      </c>
      <c r="U3571">
        <v>-0.13357539999999901</v>
      </c>
      <c r="V3571">
        <v>-1.3983519999999999E-2</v>
      </c>
      <c r="W3571">
        <v>3.2080699999999997E-2</v>
      </c>
      <c r="X3571">
        <v>0.99938740000000004</v>
      </c>
      <c r="Y3571">
        <v>5.0904390000000001E-2</v>
      </c>
      <c r="Z3571">
        <v>-4.2065080000000003E-3</v>
      </c>
      <c r="AA3571">
        <v>0.99869470000000005</v>
      </c>
      <c r="AB3571">
        <v>26</v>
      </c>
      <c r="AC3571">
        <v>0.507000000000005</v>
      </c>
      <c r="AD3571">
        <v>-0.100141999999999</v>
      </c>
      <c r="AE3571">
        <v>-3.63999999999862E-2</v>
      </c>
      <c r="AF3571">
        <v>3.8511938750816599E-2</v>
      </c>
      <c r="AG3571">
        <v>-0.100141999999999</v>
      </c>
      <c r="AH3571">
        <v>0.48779507723374299</v>
      </c>
      <c r="AI3571">
        <v>101.566340435079</v>
      </c>
      <c r="AJ3571">
        <v>85.485801300549198</v>
      </c>
      <c r="AK3571">
        <v>0.49945533029873701</v>
      </c>
      <c r="AL3571">
        <v>88.161595750016801</v>
      </c>
      <c r="AM3571">
        <v>90.801635481045096</v>
      </c>
      <c r="AN3571">
        <v>0.99999994271141801</v>
      </c>
    </row>
    <row r="3572" spans="1:40" x14ac:dyDescent="0.25">
      <c r="A3572" t="str">
        <f>"20190312160403547"</f>
        <v>20190312160403547</v>
      </c>
      <c r="B3572" t="str">
        <f>"1552377843538615"</f>
        <v>1552377843538615</v>
      </c>
      <c r="C3572" t="s">
        <v>40</v>
      </c>
      <c r="D3572">
        <v>5.3807359999999997</v>
      </c>
      <c r="E3572">
        <v>0.52580950000000004</v>
      </c>
      <c r="F3572" t="s">
        <v>49</v>
      </c>
      <c r="G3572">
        <v>-408.22980000000001</v>
      </c>
      <c r="H3572">
        <v>1.029174</v>
      </c>
      <c r="I3572">
        <v>211.7278</v>
      </c>
      <c r="J3572">
        <v>-408.71749999999997</v>
      </c>
      <c r="K3572">
        <v>1.1096469999999901</v>
      </c>
      <c r="L3572">
        <v>211.76300000000001</v>
      </c>
      <c r="M3572">
        <v>0.99993829999999995</v>
      </c>
      <c r="N3572">
        <v>0</v>
      </c>
      <c r="O3572">
        <v>7.3671359999999998E-3</v>
      </c>
      <c r="P3572">
        <v>0.99948099999999995</v>
      </c>
      <c r="Q3572">
        <v>2.3991080000000001E-2</v>
      </c>
      <c r="R3572">
        <v>2.1497160000000001E-2</v>
      </c>
      <c r="S3572">
        <v>3.0119929999999999</v>
      </c>
      <c r="T3572">
        <v>-0.32455919999999999</v>
      </c>
      <c r="U3572">
        <v>-0.13259889999999999</v>
      </c>
      <c r="V3572">
        <v>-1.414545E-2</v>
      </c>
      <c r="W3572">
        <v>3.2294209999999997E-2</v>
      </c>
      <c r="X3572">
        <v>0.99937830000000005</v>
      </c>
      <c r="Y3572">
        <v>5.1002819999999997E-2</v>
      </c>
      <c r="Z3572">
        <v>-3.529908E-3</v>
      </c>
      <c r="AA3572">
        <v>0.99869229999999998</v>
      </c>
      <c r="AB3572">
        <v>26</v>
      </c>
      <c r="AC3572">
        <v>0.487699999999961</v>
      </c>
      <c r="AD3572">
        <v>-8.0472999999999795E-2</v>
      </c>
      <c r="AE3572">
        <v>-3.5200000000003201E-2</v>
      </c>
      <c r="AF3572">
        <v>3.7769121972530101E-2</v>
      </c>
      <c r="AG3572">
        <v>-8.0472999999999795E-2</v>
      </c>
      <c r="AH3572">
        <v>0.47457333106241101</v>
      </c>
      <c r="AI3572">
        <v>99.5942817047208</v>
      </c>
      <c r="AJ3572">
        <v>85.449681652302701</v>
      </c>
      <c r="AK3572">
        <v>0.48282735719845898</v>
      </c>
      <c r="AL3572">
        <v>88.1493562880746</v>
      </c>
      <c r="AM3572">
        <v>90.810924618408706</v>
      </c>
      <c r="AN3572">
        <v>0.99999999813305795</v>
      </c>
    </row>
    <row r="3573" spans="1:40" x14ac:dyDescent="0.25">
      <c r="A3573" t="str">
        <f>"20190312160403568"</f>
        <v>20190312160403568</v>
      </c>
      <c r="B3573" t="str">
        <f>"1552377843558139"</f>
        <v>1552377843558139</v>
      </c>
      <c r="C3573" t="s">
        <v>40</v>
      </c>
      <c r="D3573">
        <v>5.4665860000000004</v>
      </c>
      <c r="E3573">
        <v>0.52498699999999998</v>
      </c>
      <c r="F3573" t="s">
        <v>49</v>
      </c>
      <c r="G3573">
        <v>-407.77080000000001</v>
      </c>
      <c r="H3573">
        <v>1.021552</v>
      </c>
      <c r="I3573">
        <v>211.71950000000001</v>
      </c>
      <c r="J3573">
        <v>-408.46769999999998</v>
      </c>
      <c r="K3573">
        <v>1.109642</v>
      </c>
      <c r="L3573">
        <v>211.76509999999999</v>
      </c>
      <c r="M3573">
        <v>0.99993659999999995</v>
      </c>
      <c r="N3573">
        <v>0</v>
      </c>
      <c r="O3573">
        <v>7.6088219999999899E-3</v>
      </c>
      <c r="P3573">
        <v>0.99947370000000002</v>
      </c>
      <c r="Q3573">
        <v>2.3967080000000002E-2</v>
      </c>
      <c r="R3573">
        <v>2.1869699999999999E-2</v>
      </c>
      <c r="S3573">
        <v>3.0112610000000002</v>
      </c>
      <c r="T3573">
        <v>-0.28010950000000001</v>
      </c>
      <c r="U3573">
        <v>-0.1387787</v>
      </c>
      <c r="V3573">
        <v>-1.427604E-2</v>
      </c>
      <c r="W3573">
        <v>3.2258460000000003E-2</v>
      </c>
      <c r="X3573">
        <v>0.99937759999999998</v>
      </c>
      <c r="Y3573">
        <v>5.3374650000000003E-2</v>
      </c>
      <c r="Z3573">
        <v>-3.1817519999999999E-3</v>
      </c>
      <c r="AA3573">
        <v>0.9985695</v>
      </c>
      <c r="AB3573">
        <v>26</v>
      </c>
      <c r="AC3573">
        <v>0.69689999999997099</v>
      </c>
      <c r="AD3573">
        <v>-8.8090000000000002E-2</v>
      </c>
      <c r="AE3573">
        <v>-4.55999999999789E-2</v>
      </c>
      <c r="AF3573">
        <v>5.0104315434421801E-2</v>
      </c>
      <c r="AG3573">
        <v>-8.8090000000000002E-2</v>
      </c>
      <c r="AH3573">
        <v>0.68562489337555699</v>
      </c>
      <c r="AI3573">
        <v>97.302067259843298</v>
      </c>
      <c r="AJ3573">
        <v>85.820350507584905</v>
      </c>
      <c r="AK3573">
        <v>0.69307415544182305</v>
      </c>
      <c r="AL3573">
        <v>88.151405684286203</v>
      </c>
      <c r="AM3573">
        <v>90.818410588500896</v>
      </c>
      <c r="AN3573">
        <v>1.0000000004706999</v>
      </c>
    </row>
    <row r="3574" spans="1:40" x14ac:dyDescent="0.25">
      <c r="A3574" t="str">
        <f>"20190312160403582"</f>
        <v>20190312160403582</v>
      </c>
      <c r="B3574" t="str">
        <f>"1552377843578633"</f>
        <v>1552377843578633</v>
      </c>
      <c r="C3574" t="s">
        <v>40</v>
      </c>
      <c r="D3574">
        <v>5.461849</v>
      </c>
      <c r="E3574">
        <v>0.52463680000000001</v>
      </c>
      <c r="F3574" t="s">
        <v>49</v>
      </c>
      <c r="G3574">
        <v>-407.53309999999999</v>
      </c>
      <c r="H3574">
        <v>1.032778</v>
      </c>
      <c r="I3574">
        <v>211.72380000000001</v>
      </c>
      <c r="J3574">
        <v>-408.31330000000003</v>
      </c>
      <c r="K3574">
        <v>1.109645</v>
      </c>
      <c r="L3574">
        <v>211.7664</v>
      </c>
      <c r="M3574">
        <v>0.99993560000000004</v>
      </c>
      <c r="N3574">
        <v>0</v>
      </c>
      <c r="O3574">
        <v>7.7578009999999999E-3</v>
      </c>
      <c r="P3574">
        <v>0.99946740000000001</v>
      </c>
      <c r="Q3574">
        <v>2.4064289999999999E-2</v>
      </c>
      <c r="R3574">
        <v>2.2049059999999999E-2</v>
      </c>
      <c r="S3574">
        <v>3.0104060000000001</v>
      </c>
      <c r="T3574">
        <v>-0.2476998</v>
      </c>
      <c r="U3574">
        <v>-0.13182070000000001</v>
      </c>
      <c r="V3574">
        <v>-1.430697E-2</v>
      </c>
      <c r="W3574">
        <v>3.2349009999999997E-2</v>
      </c>
      <c r="X3574">
        <v>0.99937419999999999</v>
      </c>
      <c r="Y3574">
        <v>5.1296540000000002E-2</v>
      </c>
      <c r="Z3574">
        <v>-2.7427910000000001E-3</v>
      </c>
      <c r="AA3574">
        <v>0.99867969999999895</v>
      </c>
      <c r="AB3574">
        <v>26</v>
      </c>
      <c r="AC3574">
        <v>0.78020000000003598</v>
      </c>
      <c r="AD3574">
        <v>-7.6867000000000005E-2</v>
      </c>
      <c r="AE3574">
        <v>-4.2599999999992998E-2</v>
      </c>
      <c r="AF3574">
        <v>4.8185236520409201E-2</v>
      </c>
      <c r="AG3574">
        <v>-7.6867000000000005E-2</v>
      </c>
      <c r="AH3574">
        <v>0.77237119884324801</v>
      </c>
      <c r="AI3574">
        <v>95.672451764107393</v>
      </c>
      <c r="AJ3574">
        <v>86.430165552681004</v>
      </c>
      <c r="AK3574">
        <v>0.77768092525796495</v>
      </c>
      <c r="AL3574">
        <v>88.146214785339396</v>
      </c>
      <c r="AM3574">
        <v>90.820186278067496</v>
      </c>
      <c r="AN3574">
        <v>0.99999996973210004</v>
      </c>
    </row>
    <row r="3575" spans="1:40" x14ac:dyDescent="0.25">
      <c r="A3575" t="str">
        <f>"20190312160403604"</f>
        <v>20190312160403604</v>
      </c>
      <c r="B3575" t="str">
        <f>"1552377843598151"</f>
        <v>1552377843598151</v>
      </c>
      <c r="C3575" t="s">
        <v>40</v>
      </c>
      <c r="D3575">
        <v>5.4456530000000001</v>
      </c>
      <c r="E3575">
        <v>0.52424989999999905</v>
      </c>
      <c r="F3575" t="s">
        <v>49</v>
      </c>
      <c r="G3575">
        <v>-407.52339999999998</v>
      </c>
      <c r="H3575">
        <v>1.049453</v>
      </c>
      <c r="I3575">
        <v>211.73230000000001</v>
      </c>
      <c r="J3575">
        <v>-408.06560000000002</v>
      </c>
      <c r="K3575">
        <v>1.1096379999999999</v>
      </c>
      <c r="L3575">
        <v>211.76859999999999</v>
      </c>
      <c r="M3575">
        <v>0.99993379999999998</v>
      </c>
      <c r="N3575">
        <v>0</v>
      </c>
      <c r="O3575">
        <v>7.9948180000000008E-3</v>
      </c>
      <c r="P3575">
        <v>0.99947620000000004</v>
      </c>
      <c r="Q3575">
        <v>2.3304559999999998E-2</v>
      </c>
      <c r="R3575">
        <v>2.246426E-2</v>
      </c>
      <c r="S3575">
        <v>3.0099490000000002</v>
      </c>
      <c r="T3575">
        <v>-0.2294619</v>
      </c>
      <c r="U3575">
        <v>-0.1286621</v>
      </c>
      <c r="V3575">
        <v>-1.4485079999999999E-2</v>
      </c>
      <c r="W3575">
        <v>3.1580270000000001E-2</v>
      </c>
      <c r="X3575">
        <v>0.99939630000000002</v>
      </c>
      <c r="Y3575">
        <v>5.052355E-2</v>
      </c>
      <c r="Z3575">
        <v>-2.5305179999999998E-3</v>
      </c>
      <c r="AA3575">
        <v>0.99871969999999999</v>
      </c>
      <c r="AB3575">
        <v>26</v>
      </c>
      <c r="AC3575">
        <v>0.54220000000003599</v>
      </c>
      <c r="AD3575">
        <v>-6.0184999999999898E-2</v>
      </c>
      <c r="AE3575">
        <v>-3.6299999999982901E-2</v>
      </c>
      <c r="AF3575">
        <v>4.0141390332388602E-2</v>
      </c>
      <c r="AG3575">
        <v>-6.0184999999999898E-2</v>
      </c>
      <c r="AH3575">
        <v>0.53532595487819001</v>
      </c>
      <c r="AI3575">
        <v>96.396837553870597</v>
      </c>
      <c r="AJ3575">
        <v>85.711704110702399</v>
      </c>
      <c r="AK3575">
        <v>0.540192043081961</v>
      </c>
      <c r="AL3575">
        <v>88.190283005270899</v>
      </c>
      <c r="AM3575">
        <v>90.830377140865593</v>
      </c>
      <c r="AN3575">
        <v>1.0000000477247799</v>
      </c>
    </row>
    <row r="3576" spans="1:40" x14ac:dyDescent="0.25">
      <c r="A3576" t="str">
        <f>"20190312160403626"</f>
        <v>20190312160403626</v>
      </c>
      <c r="B3576" t="str">
        <f>"1552377843618647"</f>
        <v>1552377843618647</v>
      </c>
      <c r="C3576" t="s">
        <v>40</v>
      </c>
      <c r="D3576">
        <v>5.5214970000000001</v>
      </c>
      <c r="E3576">
        <v>0.52378059999999904</v>
      </c>
      <c r="F3576" t="s">
        <v>49</v>
      </c>
      <c r="G3576">
        <v>-407.28649999999999</v>
      </c>
      <c r="H3576">
        <v>1.053963</v>
      </c>
      <c r="I3576">
        <v>211.7363</v>
      </c>
      <c r="J3576">
        <v>-407.7971</v>
      </c>
      <c r="K3576">
        <v>1.109629</v>
      </c>
      <c r="L3576">
        <v>211.77099999999999</v>
      </c>
      <c r="M3576">
        <v>0.99993189999999998</v>
      </c>
      <c r="N3576">
        <v>0</v>
      </c>
      <c r="O3576">
        <v>8.2436209999999996E-3</v>
      </c>
      <c r="P3576">
        <v>0.99947050000000004</v>
      </c>
      <c r="Q3576">
        <v>2.2960580000000001E-2</v>
      </c>
      <c r="R3576">
        <v>2.3065809999999999E-2</v>
      </c>
      <c r="S3576">
        <v>3.009369</v>
      </c>
      <c r="T3576">
        <v>-0.21505479999999999</v>
      </c>
      <c r="U3576">
        <v>-0.1242828</v>
      </c>
      <c r="V3576">
        <v>-1.4837410000000001E-2</v>
      </c>
      <c r="W3576">
        <v>3.1223290000000001E-2</v>
      </c>
      <c r="X3576">
        <v>0.99940229999999997</v>
      </c>
      <c r="Y3576">
        <v>4.9352310000000003E-2</v>
      </c>
      <c r="Z3576">
        <v>-2.3485519999999998E-3</v>
      </c>
      <c r="AA3576">
        <v>0.99877870000000002</v>
      </c>
      <c r="AB3576">
        <v>26</v>
      </c>
      <c r="AC3576">
        <v>0.51060000000001005</v>
      </c>
      <c r="AD3576">
        <v>-5.5665999999999903E-2</v>
      </c>
      <c r="AE3576">
        <v>-3.4699999999986603E-2</v>
      </c>
      <c r="AF3576">
        <v>3.8453221677602303E-2</v>
      </c>
      <c r="AG3576">
        <v>-5.5665999999999903E-2</v>
      </c>
      <c r="AH3576">
        <v>0.50432991607633904</v>
      </c>
      <c r="AI3576">
        <v>96.280509345149596</v>
      </c>
      <c r="AJ3576">
        <v>85.639852724977501</v>
      </c>
      <c r="AK3576">
        <v>0.50884773563705099</v>
      </c>
      <c r="AL3576">
        <v>88.210746457939393</v>
      </c>
      <c r="AM3576">
        <v>90.850566905009501</v>
      </c>
      <c r="AN3576">
        <v>0.99999999990961097</v>
      </c>
    </row>
    <row r="3577" spans="1:40" x14ac:dyDescent="0.25">
      <c r="A3577" t="str">
        <f>"20190312160403648"</f>
        <v>20190312160403648</v>
      </c>
      <c r="B3577" t="str">
        <f>"1552377843638172"</f>
        <v>1552377843638172</v>
      </c>
      <c r="C3577" t="s">
        <v>40</v>
      </c>
      <c r="D3577">
        <v>5.4474109999999998</v>
      </c>
      <c r="E3577">
        <v>0.52374900000000002</v>
      </c>
      <c r="F3577" t="s">
        <v>70</v>
      </c>
      <c r="G3577">
        <v>-391.1936</v>
      </c>
      <c r="H3577" s="1">
        <v>-9.0159750000000001E-7</v>
      </c>
      <c r="I3577">
        <v>211.1138</v>
      </c>
      <c r="J3577">
        <v>-407.54349999999999</v>
      </c>
      <c r="K3577">
        <v>1.1096200000000001</v>
      </c>
      <c r="L3577">
        <v>211.77340000000001</v>
      </c>
      <c r="M3577">
        <v>0.99993010000000004</v>
      </c>
      <c r="N3577">
        <v>0</v>
      </c>
      <c r="O3577">
        <v>8.4667149999999997E-3</v>
      </c>
      <c r="P3577">
        <v>0.99946159999999995</v>
      </c>
      <c r="Q3577">
        <v>2.2681550000000002E-2</v>
      </c>
      <c r="R3577">
        <v>2.371069E-2</v>
      </c>
      <c r="S3577">
        <v>3.008972</v>
      </c>
      <c r="T3577">
        <v>-0.20109379999999999</v>
      </c>
      <c r="U3577">
        <v>-0.1191101</v>
      </c>
      <c r="V3577">
        <v>-1.525835E-2</v>
      </c>
      <c r="W3577">
        <v>3.0928750000000001E-2</v>
      </c>
      <c r="X3577">
        <v>0.99940510000000005</v>
      </c>
      <c r="Y3577">
        <v>4.7887440000000003E-2</v>
      </c>
      <c r="Z3577">
        <v>-2.1628149999999998E-3</v>
      </c>
      <c r="AA3577">
        <v>0.99885040000000003</v>
      </c>
      <c r="AB3577">
        <v>26</v>
      </c>
      <c r="AC3577">
        <v>16.349899999999899</v>
      </c>
      <c r="AD3577">
        <v>-1.1096209015975</v>
      </c>
      <c r="AE3577">
        <v>-0.65960000000001096</v>
      </c>
      <c r="AF3577">
        <v>0.79435818660592905</v>
      </c>
      <c r="AG3577">
        <v>-1.1096209015975</v>
      </c>
      <c r="AH3577">
        <v>16.268917059739699</v>
      </c>
      <c r="AI3577">
        <v>93.897185313151297</v>
      </c>
      <c r="AJ3577">
        <v>87.204653864185502</v>
      </c>
      <c r="AK3577">
        <v>16.326050525787899</v>
      </c>
      <c r="AL3577">
        <v>88.227630475068395</v>
      </c>
      <c r="AM3577">
        <v>90.874691494030202</v>
      </c>
      <c r="AN3577">
        <v>0.99999997936364704</v>
      </c>
    </row>
    <row r="3578" spans="1:40" x14ac:dyDescent="0.25">
      <c r="A3578" t="str">
        <f>"20190312160403670"</f>
        <v>20190312160403670</v>
      </c>
      <c r="B3578" t="str">
        <f>"1552377843658662"</f>
        <v>1552377843658662</v>
      </c>
      <c r="C3578" t="s">
        <v>40</v>
      </c>
      <c r="D3578">
        <v>5.4374070000000003</v>
      </c>
      <c r="E3578">
        <v>0.52368199999999998</v>
      </c>
      <c r="F3578" t="s">
        <v>49</v>
      </c>
      <c r="G3578">
        <v>-406.59039999999999</v>
      </c>
      <c r="H3578">
        <v>1.047984</v>
      </c>
      <c r="I3578">
        <v>211.73589999999999</v>
      </c>
      <c r="J3578">
        <v>-407.29480000000001</v>
      </c>
      <c r="K3578">
        <v>1.1096079999999999</v>
      </c>
      <c r="L3578">
        <v>211.7757</v>
      </c>
      <c r="M3578">
        <v>0.9999285</v>
      </c>
      <c r="N3578">
        <v>0</v>
      </c>
      <c r="O3578">
        <v>8.6733350000000008E-3</v>
      </c>
      <c r="P3578">
        <v>0.99945249999999997</v>
      </c>
      <c r="Q3578">
        <v>2.26623E-2</v>
      </c>
      <c r="R3578">
        <v>2.411284E-2</v>
      </c>
      <c r="S3578">
        <v>3.0087890000000002</v>
      </c>
      <c r="T3578">
        <v>-0.19466939999999999</v>
      </c>
      <c r="U3578">
        <v>-0.1171722</v>
      </c>
      <c r="V3578">
        <v>-1.545328E-2</v>
      </c>
      <c r="W3578">
        <v>3.0895860000000001E-2</v>
      </c>
      <c r="X3578">
        <v>0.99940309999999999</v>
      </c>
      <c r="Y3578">
        <v>4.7462209999999998E-2</v>
      </c>
      <c r="Z3578">
        <v>-2.0936319999999998E-3</v>
      </c>
      <c r="AA3578">
        <v>0.99887079999999995</v>
      </c>
      <c r="AB3578">
        <v>26</v>
      </c>
      <c r="AC3578">
        <v>0.70440000000002101</v>
      </c>
      <c r="AD3578">
        <v>-6.1623999999999901E-2</v>
      </c>
      <c r="AE3578">
        <v>-3.9800000000013797E-2</v>
      </c>
      <c r="AF3578">
        <v>4.5560617745837202E-2</v>
      </c>
      <c r="AG3578">
        <v>-6.1623999999999901E-2</v>
      </c>
      <c r="AH3578">
        <v>0.69869781394349695</v>
      </c>
      <c r="AI3578">
        <v>95.029724074441006</v>
      </c>
      <c r="AJ3578">
        <v>86.269144463598593</v>
      </c>
      <c r="AK3578">
        <v>0.70288827168676205</v>
      </c>
      <c r="AL3578">
        <v>88.229515794981893</v>
      </c>
      <c r="AM3578">
        <v>90.885865943327602</v>
      </c>
      <c r="AN3578">
        <v>0.99999995715875301</v>
      </c>
    </row>
    <row r="3579" spans="1:40" x14ac:dyDescent="0.25">
      <c r="A3579" t="str">
        <f>"20190312160403692"</f>
        <v>20190312160403692</v>
      </c>
      <c r="B3579" t="str">
        <f>"1552377843687944"</f>
        <v>1552377843687944</v>
      </c>
      <c r="C3579" t="s">
        <v>40</v>
      </c>
      <c r="D3579">
        <v>5.5150610000000002</v>
      </c>
      <c r="E3579">
        <v>0.52364639999999996</v>
      </c>
      <c r="F3579" t="s">
        <v>49</v>
      </c>
      <c r="G3579">
        <v>-406.35300000000001</v>
      </c>
      <c r="H3579">
        <v>1.0504500000000001</v>
      </c>
      <c r="I3579">
        <v>211.73929999999999</v>
      </c>
      <c r="J3579">
        <v>-407.029</v>
      </c>
      <c r="K3579">
        <v>1.109599</v>
      </c>
      <c r="L3579">
        <v>211.7782</v>
      </c>
      <c r="M3579">
        <v>0.99992669999999995</v>
      </c>
      <c r="N3579">
        <v>0</v>
      </c>
      <c r="O3579">
        <v>8.8826319999999997E-3</v>
      </c>
      <c r="P3579">
        <v>0.99945039999999996</v>
      </c>
      <c r="Q3579">
        <v>2.290269E-2</v>
      </c>
      <c r="R3579">
        <v>2.3963290000000002E-2</v>
      </c>
      <c r="S3579">
        <v>3.0087280000000001</v>
      </c>
      <c r="T3579">
        <v>-0.18915190000000001</v>
      </c>
      <c r="U3579">
        <v>-0.115356399999999</v>
      </c>
      <c r="V3579">
        <v>-1.5093850000000001E-2</v>
      </c>
      <c r="W3579">
        <v>3.1123209999999998E-2</v>
      </c>
      <c r="X3579">
        <v>0.9994016</v>
      </c>
      <c r="Y3579">
        <v>4.7077019999999997E-2</v>
      </c>
      <c r="Z3579">
        <v>-2.0355249999999998E-3</v>
      </c>
      <c r="AA3579">
        <v>0.99888920000000003</v>
      </c>
      <c r="AB3579">
        <v>26</v>
      </c>
      <c r="AC3579">
        <v>0.67599999999998694</v>
      </c>
      <c r="AD3579">
        <v>-5.9148999999999903E-2</v>
      </c>
      <c r="AE3579">
        <v>-3.89000000000123E-2</v>
      </c>
      <c r="AF3579">
        <v>4.4563277686913198E-2</v>
      </c>
      <c r="AG3579">
        <v>-5.9148999999999903E-2</v>
      </c>
      <c r="AH3579">
        <v>0.67051129696325196</v>
      </c>
      <c r="AI3579">
        <v>95.030243916582194</v>
      </c>
      <c r="AJ3579">
        <v>86.197620742557305</v>
      </c>
      <c r="AK3579">
        <v>0.674588681549389</v>
      </c>
      <c r="AL3579">
        <v>88.216483440537999</v>
      </c>
      <c r="AM3579">
        <v>90.865265931854395</v>
      </c>
      <c r="AN3579">
        <v>1.00000001829554</v>
      </c>
    </row>
    <row r="3580" spans="1:40" x14ac:dyDescent="0.25">
      <c r="A3580" t="str">
        <f>"20190312160403715"</f>
        <v>20190312160403715</v>
      </c>
      <c r="B3580" t="str">
        <f>"1552377843708440"</f>
        <v>1552377843708440</v>
      </c>
      <c r="C3580" t="s">
        <v>40</v>
      </c>
      <c r="D3580">
        <v>5.4767479999999997</v>
      </c>
      <c r="E3580">
        <v>0.52384090000000005</v>
      </c>
      <c r="F3580" t="s">
        <v>49</v>
      </c>
      <c r="G3580">
        <v>-406.11470000000003</v>
      </c>
      <c r="H3580">
        <v>1.0533669999999999</v>
      </c>
      <c r="I3580">
        <v>211.7431</v>
      </c>
      <c r="J3580">
        <v>-406.76220000000001</v>
      </c>
      <c r="K3580">
        <v>1.1095889999999999</v>
      </c>
      <c r="L3580">
        <v>211.7809</v>
      </c>
      <c r="M3580">
        <v>0.99992499999999995</v>
      </c>
      <c r="N3580">
        <v>0</v>
      </c>
      <c r="O3580">
        <v>9.0814469999999994E-3</v>
      </c>
      <c r="P3580">
        <v>0.99945640000000002</v>
      </c>
      <c r="Q3580">
        <v>2.2790729999999999E-2</v>
      </c>
      <c r="R3580">
        <v>2.3820770000000002E-2</v>
      </c>
      <c r="S3580">
        <v>3.008667</v>
      </c>
      <c r="T3580">
        <v>-0.18508759999999999</v>
      </c>
      <c r="U3580">
        <v>-0.1154633</v>
      </c>
      <c r="V3580">
        <v>-1.475222E-2</v>
      </c>
      <c r="W3580">
        <v>3.0998339999999999E-2</v>
      </c>
      <c r="X3580">
        <v>0.99941060000000004</v>
      </c>
      <c r="Y3580">
        <v>4.7315679999999999E-2</v>
      </c>
      <c r="Z3580">
        <v>-2.0114569999999999E-3</v>
      </c>
      <c r="AA3580">
        <v>0.99887789999999999</v>
      </c>
      <c r="AB3580">
        <v>26</v>
      </c>
      <c r="AC3580">
        <v>0.64749999999997898</v>
      </c>
      <c r="AD3580">
        <v>-5.6222000000000001E-2</v>
      </c>
      <c r="AE3580">
        <v>-3.7800000000004198E-2</v>
      </c>
      <c r="AF3580">
        <v>4.33531329501246E-2</v>
      </c>
      <c r="AG3580">
        <v>-5.6222000000000001E-2</v>
      </c>
      <c r="AH3580">
        <v>0.64230391004176901</v>
      </c>
      <c r="AI3580">
        <v>94.991152473120806</v>
      </c>
      <c r="AJ3580">
        <v>86.1386040186852</v>
      </c>
      <c r="AK3580">
        <v>0.64621569175897897</v>
      </c>
      <c r="AL3580">
        <v>88.223641450017098</v>
      </c>
      <c r="AM3580">
        <v>90.845677006198699</v>
      </c>
      <c r="AN3580">
        <v>1.0000000362350201</v>
      </c>
    </row>
    <row r="3581" spans="1:40" x14ac:dyDescent="0.25">
      <c r="A3581" t="str">
        <f>"20190312160403737"</f>
        <v>20190312160403737</v>
      </c>
      <c r="B3581" t="str">
        <f>"1552377843727959"</f>
        <v>1552377843727959</v>
      </c>
      <c r="C3581" t="s">
        <v>40</v>
      </c>
      <c r="D3581">
        <v>5.511374</v>
      </c>
      <c r="E3581">
        <v>0.52423819999999999</v>
      </c>
      <c r="F3581" t="s">
        <v>49</v>
      </c>
      <c r="G3581">
        <v>-405.86619999999999</v>
      </c>
      <c r="H3581">
        <v>1.055509</v>
      </c>
      <c r="I3581">
        <v>211.7456</v>
      </c>
      <c r="J3581">
        <v>-406.49110000000002</v>
      </c>
      <c r="K3581">
        <v>1.109583</v>
      </c>
      <c r="L3581">
        <v>211.7835</v>
      </c>
      <c r="M3581">
        <v>0.99992349999999997</v>
      </c>
      <c r="N3581">
        <v>0</v>
      </c>
      <c r="O3581">
        <v>9.271774E-3</v>
      </c>
      <c r="P3581">
        <v>0.99944599999999995</v>
      </c>
      <c r="Q3581">
        <v>2.3230779999999999E-2</v>
      </c>
      <c r="R3581">
        <v>2.3840879999999998E-2</v>
      </c>
      <c r="S3581">
        <v>3.008575</v>
      </c>
      <c r="T3581">
        <v>-0.1816778</v>
      </c>
      <c r="U3581">
        <v>-0.117691</v>
      </c>
      <c r="V3581">
        <v>-1.4582370000000001E-2</v>
      </c>
      <c r="W3581">
        <v>3.1421560000000001E-2</v>
      </c>
      <c r="X3581">
        <v>0.99939979999999995</v>
      </c>
      <c r="Y3581">
        <v>4.8247329999999998E-2</v>
      </c>
      <c r="Z3581">
        <v>-2.0140739999999998E-3</v>
      </c>
      <c r="AA3581">
        <v>0.99883339999999998</v>
      </c>
      <c r="AB3581">
        <v>26</v>
      </c>
      <c r="AC3581">
        <v>0.62490000000002499</v>
      </c>
      <c r="AD3581">
        <v>-5.40739999999999E-2</v>
      </c>
      <c r="AE3581">
        <v>-3.7900000000007601E-2</v>
      </c>
      <c r="AF3581">
        <v>4.3368947422229298E-2</v>
      </c>
      <c r="AG3581">
        <v>-5.40739999999999E-2</v>
      </c>
      <c r="AH3581">
        <v>0.61989705351508995</v>
      </c>
      <c r="AI3581">
        <v>94.973231792827406</v>
      </c>
      <c r="AJ3581">
        <v>85.998020383412296</v>
      </c>
      <c r="AK3581">
        <v>0.62376054703163297</v>
      </c>
      <c r="AL3581">
        <v>88.199380775262796</v>
      </c>
      <c r="AM3581">
        <v>90.835950707970397</v>
      </c>
      <c r="AN3581">
        <v>0.99999996009384395</v>
      </c>
    </row>
    <row r="3582" spans="1:40" x14ac:dyDescent="0.25">
      <c r="A3582" t="str">
        <f>"20190312160403759"</f>
        <v>20190312160403759</v>
      </c>
      <c r="B3582" t="str">
        <f>"1552377843748456"</f>
        <v>1552377843748456</v>
      </c>
      <c r="C3582" t="s">
        <v>40</v>
      </c>
      <c r="D3582">
        <v>5.6490939999999998</v>
      </c>
      <c r="E3582">
        <v>0.52421899999999999</v>
      </c>
      <c r="F3582" t="s">
        <v>70</v>
      </c>
      <c r="G3582">
        <v>-387.51190000000003</v>
      </c>
      <c r="H3582" s="1">
        <v>2.6178219999999999E-6</v>
      </c>
      <c r="I3582">
        <v>211.02080000000001</v>
      </c>
      <c r="J3582">
        <v>-406.24040000000002</v>
      </c>
      <c r="K3582">
        <v>1.1095740000000001</v>
      </c>
      <c r="L3582">
        <v>211.786</v>
      </c>
      <c r="M3582">
        <v>0.99992210000000004</v>
      </c>
      <c r="N3582">
        <v>0</v>
      </c>
      <c r="O3582">
        <v>9.4404269999999995E-3</v>
      </c>
      <c r="P3582">
        <v>0.99943490000000001</v>
      </c>
      <c r="Q3582">
        <v>2.3643290000000001E-2</v>
      </c>
      <c r="R3582">
        <v>2.3902300000000001E-2</v>
      </c>
      <c r="S3582">
        <v>3.0086360000000001</v>
      </c>
      <c r="T3582">
        <v>-0.17589369999999999</v>
      </c>
      <c r="U3582">
        <v>-0.12091059999999999</v>
      </c>
      <c r="V3582">
        <v>-1.447448E-2</v>
      </c>
      <c r="W3582">
        <v>3.1817140000000001E-2</v>
      </c>
      <c r="X3582">
        <v>0.99938890000000002</v>
      </c>
      <c r="Y3582">
        <v>4.948632E-2</v>
      </c>
      <c r="Z3582">
        <v>-1.9960020000000002E-3</v>
      </c>
      <c r="AA3582">
        <v>0.99877280000000002</v>
      </c>
      <c r="AB3582">
        <v>26</v>
      </c>
      <c r="AC3582">
        <v>18.7285</v>
      </c>
      <c r="AD3582">
        <v>-1.109571382178</v>
      </c>
      <c r="AE3582">
        <v>-0.76519999999996402</v>
      </c>
      <c r="AF3582">
        <v>0.93868754783130404</v>
      </c>
      <c r="AG3582">
        <v>-1.109571382178</v>
      </c>
      <c r="AH3582">
        <v>18.6550715297614</v>
      </c>
      <c r="AI3582">
        <v>93.399552885951394</v>
      </c>
      <c r="AJ3582">
        <v>87.1194153601934</v>
      </c>
      <c r="AK3582">
        <v>18.711600058389301</v>
      </c>
      <c r="AL3582">
        <v>88.176704457098097</v>
      </c>
      <c r="AM3582">
        <v>90.829775709463803</v>
      </c>
      <c r="AN3582">
        <v>1.0000000072061299</v>
      </c>
    </row>
    <row r="3583" spans="1:40" x14ac:dyDescent="0.25">
      <c r="A3583" t="str">
        <f>"20190312160403782"</f>
        <v>20190312160403782</v>
      </c>
      <c r="B3583" t="str">
        <f>"1552377843777737"</f>
        <v>1552377843777737</v>
      </c>
      <c r="C3583" t="s">
        <v>40</v>
      </c>
      <c r="D3583">
        <v>5.4962499999999999</v>
      </c>
      <c r="E3583">
        <v>0.52375379999999905</v>
      </c>
      <c r="F3583" t="s">
        <v>70</v>
      </c>
      <c r="G3583">
        <v>-386.36079999999998</v>
      </c>
      <c r="H3583" s="1">
        <v>2.0066349999999999E-6</v>
      </c>
      <c r="I3583">
        <v>210.99010000000001</v>
      </c>
      <c r="J3583">
        <v>-405.964</v>
      </c>
      <c r="K3583">
        <v>1.109564</v>
      </c>
      <c r="L3583">
        <v>211.78880000000001</v>
      </c>
      <c r="M3583">
        <v>0.99992049999999999</v>
      </c>
      <c r="N3583">
        <v>0</v>
      </c>
      <c r="O3583">
        <v>9.6220379999999994E-3</v>
      </c>
      <c r="P3583">
        <v>0.99941480000000005</v>
      </c>
      <c r="Q3583">
        <v>2.4466330000000001E-2</v>
      </c>
      <c r="R3583">
        <v>2.3911269999999998E-2</v>
      </c>
      <c r="S3583">
        <v>3.008575</v>
      </c>
      <c r="T3583">
        <v>-0.16792260000000001</v>
      </c>
      <c r="U3583">
        <v>-0.1204529</v>
      </c>
      <c r="V3583">
        <v>-1.430208E-2</v>
      </c>
      <c r="W3583">
        <v>3.262019E-2</v>
      </c>
      <c r="X3583">
        <v>0.99936550000000002</v>
      </c>
      <c r="Y3583">
        <v>4.9525350000000003E-2</v>
      </c>
      <c r="Z3583">
        <v>-1.9169499999999999E-3</v>
      </c>
      <c r="AA3583">
        <v>0.99877099999999996</v>
      </c>
      <c r="AB3583">
        <v>26</v>
      </c>
      <c r="AC3583">
        <v>19.603200000000001</v>
      </c>
      <c r="AD3583">
        <v>-1.1095619933650001</v>
      </c>
      <c r="AE3583">
        <v>-0.79869999999999597</v>
      </c>
      <c r="AF3583">
        <v>0.98414436331627997</v>
      </c>
      <c r="AG3583">
        <v>-1.1095619933650001</v>
      </c>
      <c r="AH3583">
        <v>19.532136053285001</v>
      </c>
      <c r="AI3583">
        <v>93.247196368593706</v>
      </c>
      <c r="AJ3583">
        <v>87.115539576455205</v>
      </c>
      <c r="AK3583">
        <v>19.588364065153598</v>
      </c>
      <c r="AL3583">
        <v>88.130669194488704</v>
      </c>
      <c r="AM3583">
        <v>90.819913120423607</v>
      </c>
      <c r="AN3583">
        <v>1.0000000144390999</v>
      </c>
    </row>
    <row r="3584" spans="1:40" x14ac:dyDescent="0.25">
      <c r="A3584" t="str">
        <f>"20190312160403805"</f>
        <v>20190312160403805</v>
      </c>
      <c r="B3584" t="str">
        <f>"1552377843798231"</f>
        <v>1552377843798231</v>
      </c>
      <c r="C3584" t="s">
        <v>40</v>
      </c>
      <c r="D3584">
        <v>5.4832580000000002</v>
      </c>
      <c r="E3584">
        <v>0.52316530000000006</v>
      </c>
      <c r="F3584" t="s">
        <v>70</v>
      </c>
      <c r="G3584">
        <v>-384.0102</v>
      </c>
      <c r="H3584" s="1">
        <v>7.5808830000000001E-7</v>
      </c>
      <c r="I3584">
        <v>210.93620000000001</v>
      </c>
      <c r="J3584">
        <v>-405.6943</v>
      </c>
      <c r="K3584">
        <v>1.1095569999999999</v>
      </c>
      <c r="L3584">
        <v>211.79159999999999</v>
      </c>
      <c r="M3584">
        <v>0.99991890000000005</v>
      </c>
      <c r="N3584">
        <v>0</v>
      </c>
      <c r="O3584">
        <v>9.7972360000000008E-3</v>
      </c>
      <c r="P3584">
        <v>0.99940249999999997</v>
      </c>
      <c r="Q3584">
        <v>2.4531000000000001E-2</v>
      </c>
      <c r="R3584">
        <v>2.4347730000000001E-2</v>
      </c>
      <c r="S3584">
        <v>3.0082399999999998</v>
      </c>
      <c r="T3584">
        <v>-0.15203889999999901</v>
      </c>
      <c r="U3584">
        <v>-0.1168365</v>
      </c>
      <c r="V3584">
        <v>-1.4563680000000001E-2</v>
      </c>
      <c r="W3584">
        <v>3.2662129999999998E-2</v>
      </c>
      <c r="X3584">
        <v>0.99936029999999998</v>
      </c>
      <c r="Y3584">
        <v>4.8523570000000002E-2</v>
      </c>
      <c r="Z3584">
        <v>-1.71966E-3</v>
      </c>
      <c r="AA3584">
        <v>0.9988205</v>
      </c>
      <c r="AB3584">
        <v>27</v>
      </c>
      <c r="AC3584">
        <v>21.684100000000001</v>
      </c>
      <c r="AD3584">
        <v>-1.1095562419117</v>
      </c>
      <c r="AE3584">
        <v>-0.85539999999997396</v>
      </c>
      <c r="AF3584">
        <v>1.0650260193165599</v>
      </c>
      <c r="AG3584">
        <v>-1.1095562419117</v>
      </c>
      <c r="AH3584">
        <v>21.618163961743001</v>
      </c>
      <c r="AI3584">
        <v>92.9345854426128</v>
      </c>
      <c r="AJ3584">
        <v>87.179584724202101</v>
      </c>
      <c r="AK3584">
        <v>21.672803430857599</v>
      </c>
      <c r="AL3584">
        <v>88.128264830876006</v>
      </c>
      <c r="AM3584">
        <v>90.834912428695205</v>
      </c>
      <c r="AN3584">
        <v>0.99999996236368305</v>
      </c>
    </row>
    <row r="3585" spans="1:40" x14ac:dyDescent="0.25">
      <c r="A3585" t="str">
        <f>"20190312160403828"</f>
        <v>20190312160403828</v>
      </c>
      <c r="B3585" t="str">
        <f>"1552377843817752"</f>
        <v>1552377843817752</v>
      </c>
      <c r="C3585" t="s">
        <v>40</v>
      </c>
      <c r="D3585">
        <v>5.5170059999999896</v>
      </c>
      <c r="E3585">
        <v>0.52247069999999995</v>
      </c>
      <c r="F3585" t="s">
        <v>70</v>
      </c>
      <c r="G3585">
        <v>-382.68209999999999</v>
      </c>
      <c r="H3585" s="1">
        <v>5.101343E-8</v>
      </c>
      <c r="I3585">
        <v>210.9434</v>
      </c>
      <c r="J3585">
        <v>-405.41719999999998</v>
      </c>
      <c r="K3585">
        <v>1.1095539999999999</v>
      </c>
      <c r="L3585">
        <v>211.7945</v>
      </c>
      <c r="M3585">
        <v>0.99991739999999996</v>
      </c>
      <c r="N3585">
        <v>0</v>
      </c>
      <c r="O3585">
        <v>9.9766760000000003E-3</v>
      </c>
      <c r="P3585">
        <v>0.9993919</v>
      </c>
      <c r="Q3585">
        <v>2.4160250000000001E-2</v>
      </c>
      <c r="R3585">
        <v>2.5146780000000001E-2</v>
      </c>
      <c r="S3585">
        <v>3.0080870000000002</v>
      </c>
      <c r="T3585">
        <v>-0.1450379</v>
      </c>
      <c r="U3585">
        <v>-0.11087039999999999</v>
      </c>
      <c r="V3585">
        <v>-1.518336E-2</v>
      </c>
      <c r="W3585">
        <v>3.2268949999999998E-2</v>
      </c>
      <c r="X3585">
        <v>0.99936389999999997</v>
      </c>
      <c r="Y3585">
        <v>4.6735020000000002E-2</v>
      </c>
      <c r="Z3585">
        <v>-1.6062769999999999E-3</v>
      </c>
      <c r="AA3585">
        <v>0.99890599999999996</v>
      </c>
      <c r="AB3585">
        <v>27</v>
      </c>
      <c r="AC3585">
        <v>22.7350999999999</v>
      </c>
      <c r="AD3585">
        <v>-1.10955394898657</v>
      </c>
      <c r="AE3585">
        <v>-0.85110000000000197</v>
      </c>
      <c r="AF3585">
        <v>1.07532819322892</v>
      </c>
      <c r="AG3585">
        <v>-1.10955394898657</v>
      </c>
      <c r="AH3585">
        <v>22.671553744914402</v>
      </c>
      <c r="AI3585">
        <v>92.798699117660206</v>
      </c>
      <c r="AJ3585">
        <v>87.2844548768159</v>
      </c>
      <c r="AK3585">
        <v>22.724145526232899</v>
      </c>
      <c r="AL3585">
        <v>88.150804359985599</v>
      </c>
      <c r="AM3585">
        <v>90.870429200423104</v>
      </c>
      <c r="AN3585">
        <v>1.0000000120890999</v>
      </c>
    </row>
    <row r="3586" spans="1:40" x14ac:dyDescent="0.25">
      <c r="A3586" t="str">
        <f>"20190312160403848"</f>
        <v>20190312160403848</v>
      </c>
      <c r="B3586" t="str">
        <f>"1552377843838251"</f>
        <v>1552377843838251</v>
      </c>
      <c r="C3586" t="s">
        <v>40</v>
      </c>
      <c r="D3586">
        <v>5.5608700000000004</v>
      </c>
      <c r="E3586">
        <v>0.52239579999999997</v>
      </c>
      <c r="F3586" t="s">
        <v>70</v>
      </c>
      <c r="G3586">
        <v>-381.53730000000002</v>
      </c>
      <c r="H3586" s="1">
        <v>-5.5964509999999897E-7</v>
      </c>
      <c r="I3586">
        <v>210.97749999999999</v>
      </c>
      <c r="J3586">
        <v>-405.16669999999999</v>
      </c>
      <c r="K3586">
        <v>1.109556</v>
      </c>
      <c r="L3586">
        <v>211.7972</v>
      </c>
      <c r="M3586">
        <v>0.99991580000000002</v>
      </c>
      <c r="N3586">
        <v>0</v>
      </c>
      <c r="O3586">
        <v>1.0139769999999999E-2</v>
      </c>
      <c r="P3586">
        <v>0.99939679999999997</v>
      </c>
      <c r="Q3586">
        <v>2.3732699999999999E-2</v>
      </c>
      <c r="R3586">
        <v>2.5356650000000001E-2</v>
      </c>
      <c r="S3586">
        <v>3.0077820000000002</v>
      </c>
      <c r="T3586">
        <v>-0.13975370000000001</v>
      </c>
      <c r="U3586">
        <v>-0.10290530000000001</v>
      </c>
      <c r="V3586">
        <v>-1.52298E-2</v>
      </c>
      <c r="W3586">
        <v>3.1823329999999997E-2</v>
      </c>
      <c r="X3586">
        <v>0.99937750000000003</v>
      </c>
      <c r="Y3586">
        <v>4.426679E-2</v>
      </c>
      <c r="Z3586">
        <v>-1.498325E-3</v>
      </c>
      <c r="AA3586">
        <v>0.99901859999999998</v>
      </c>
      <c r="AB3586">
        <v>27</v>
      </c>
      <c r="AC3586">
        <v>23.629399999999901</v>
      </c>
      <c r="AD3586">
        <v>-1.1095565596451</v>
      </c>
      <c r="AE3586">
        <v>-0.81970000000001098</v>
      </c>
      <c r="AF3586">
        <v>1.05693473616819</v>
      </c>
      <c r="AG3586">
        <v>-1.1095565596451</v>
      </c>
      <c r="AH3586">
        <v>23.567970210372</v>
      </c>
      <c r="AI3586">
        <v>92.692735534667193</v>
      </c>
      <c r="AJ3586">
        <v>87.432220497858694</v>
      </c>
      <c r="AK3586">
        <v>23.6177358489876</v>
      </c>
      <c r="AL3586">
        <v>88.176349656884696</v>
      </c>
      <c r="AM3586">
        <v>90.873079214129405</v>
      </c>
      <c r="AN3586">
        <v>1.00000002932328</v>
      </c>
    </row>
    <row r="3587" spans="1:40" x14ac:dyDescent="0.25">
      <c r="A3587" t="str">
        <f>"20190312160403871"</f>
        <v>20190312160403871</v>
      </c>
      <c r="B3587" t="str">
        <f>"1552377843858743"</f>
        <v>1552377843858743</v>
      </c>
      <c r="C3587" t="s">
        <v>40</v>
      </c>
      <c r="D3587">
        <v>5.4550450000000001</v>
      </c>
      <c r="E3587">
        <v>0.5222234</v>
      </c>
      <c r="F3587" t="s">
        <v>70</v>
      </c>
      <c r="G3587">
        <v>-381.45859999999999</v>
      </c>
      <c r="H3587" s="1">
        <v>-6.023276E-7</v>
      </c>
      <c r="I3587">
        <v>210.99510000000001</v>
      </c>
      <c r="J3587">
        <v>-404.90359999999998</v>
      </c>
      <c r="K3587">
        <v>1.109553</v>
      </c>
      <c r="L3587">
        <v>211.80009999999999</v>
      </c>
      <c r="M3587">
        <v>0.99991419999999998</v>
      </c>
      <c r="N3587">
        <v>0</v>
      </c>
      <c r="O3587">
        <v>1.0312099999999999E-2</v>
      </c>
      <c r="P3587">
        <v>0.99939080000000002</v>
      </c>
      <c r="Q3587">
        <v>2.3889219999999999E-2</v>
      </c>
      <c r="R3587">
        <v>2.5445840000000001E-2</v>
      </c>
      <c r="S3587">
        <v>3.0077210000000001</v>
      </c>
      <c r="T3587">
        <v>-0.140763</v>
      </c>
      <c r="U3587">
        <v>-0.1017609</v>
      </c>
      <c r="V3587">
        <v>-1.5147300000000001E-2</v>
      </c>
      <c r="W3587">
        <v>3.1962030000000002E-2</v>
      </c>
      <c r="X3587">
        <v>0.99937430000000005</v>
      </c>
      <c r="Y3587">
        <v>4.4059170000000002E-2</v>
      </c>
      <c r="Z3587">
        <v>-1.51238E-3</v>
      </c>
      <c r="AA3587">
        <v>0.99902780000000002</v>
      </c>
      <c r="AB3587">
        <v>27</v>
      </c>
      <c r="AC3587">
        <v>23.445</v>
      </c>
      <c r="AD3587">
        <v>-1.1095536023276</v>
      </c>
      <c r="AE3587">
        <v>-0.80499999999997796</v>
      </c>
      <c r="AF3587">
        <v>1.0443958548099499</v>
      </c>
      <c r="AG3587">
        <v>-1.1095536023276</v>
      </c>
      <c r="AH3587">
        <v>23.383141505229801</v>
      </c>
      <c r="AI3587">
        <v>92.714002956794701</v>
      </c>
      <c r="AJ3587">
        <v>87.442613491500893</v>
      </c>
      <c r="AK3587">
        <v>23.4327373251949</v>
      </c>
      <c r="AL3587">
        <v>88.168398637362003</v>
      </c>
      <c r="AM3587">
        <v>90.868353240273905</v>
      </c>
      <c r="AN3587">
        <v>1.0000000017797499</v>
      </c>
    </row>
    <row r="3588" spans="1:40" x14ac:dyDescent="0.25">
      <c r="A3588" t="str">
        <f>"20190312160403893"</f>
        <v>20190312160403893</v>
      </c>
      <c r="B3588" t="str">
        <f>"1552377843888023"</f>
        <v>1552377843888023</v>
      </c>
      <c r="C3588" t="s">
        <v>40</v>
      </c>
      <c r="D3588">
        <v>5.4170920000000002</v>
      </c>
      <c r="E3588">
        <v>0.52202179999999998</v>
      </c>
      <c r="F3588" t="s">
        <v>70</v>
      </c>
      <c r="G3588">
        <v>-381.01429999999999</v>
      </c>
      <c r="H3588" s="1">
        <v>-8.3919939999999999E-7</v>
      </c>
      <c r="I3588">
        <v>211.0059</v>
      </c>
      <c r="J3588">
        <v>-404.62790000000001</v>
      </c>
      <c r="K3588">
        <v>1.109548</v>
      </c>
      <c r="L3588">
        <v>211.8031</v>
      </c>
      <c r="M3588">
        <v>0.99991260000000004</v>
      </c>
      <c r="N3588">
        <v>0</v>
      </c>
      <c r="O3588">
        <v>1.049369E-2</v>
      </c>
      <c r="P3588">
        <v>0.99939449999999996</v>
      </c>
      <c r="Q3588">
        <v>2.3874220000000002E-2</v>
      </c>
      <c r="R3588">
        <v>2.5312020000000001E-2</v>
      </c>
      <c r="S3588">
        <v>3.0076900000000002</v>
      </c>
      <c r="T3588">
        <v>-0.1396945</v>
      </c>
      <c r="U3588">
        <v>-9.9990839999999998E-2</v>
      </c>
      <c r="V3588">
        <v>-1.4831840000000001E-2</v>
      </c>
      <c r="W3588">
        <v>3.1925799999999997E-2</v>
      </c>
      <c r="X3588">
        <v>0.99938020000000005</v>
      </c>
      <c r="Y3588">
        <v>4.3654800000000001E-2</v>
      </c>
      <c r="Z3588">
        <v>-1.4999849999999999E-3</v>
      </c>
      <c r="AA3588">
        <v>0.99904559999999998</v>
      </c>
      <c r="AB3588">
        <v>27</v>
      </c>
      <c r="AC3588">
        <v>23.613600000000002</v>
      </c>
      <c r="AD3588">
        <v>-1.1095488391993999</v>
      </c>
      <c r="AE3588">
        <v>-0.79720000000000302</v>
      </c>
      <c r="AF3588">
        <v>1.0426585078027699</v>
      </c>
      <c r="AG3588">
        <v>-1.1095488391993999</v>
      </c>
      <c r="AH3588">
        <v>23.551993967350899</v>
      </c>
      <c r="AI3588">
        <v>92.694609598050107</v>
      </c>
      <c r="AJ3588">
        <v>87.465142431554497</v>
      </c>
      <c r="AK3588">
        <v>23.601157921352002</v>
      </c>
      <c r="AL3588">
        <v>88.170475542373595</v>
      </c>
      <c r="AM3588">
        <v>90.850266446363307</v>
      </c>
      <c r="AN3588">
        <v>1.0000000121677299</v>
      </c>
    </row>
    <row r="3589" spans="1:40" x14ac:dyDescent="0.25">
      <c r="A3589" t="str">
        <f>"20190312160403916"</f>
        <v>20190312160403916</v>
      </c>
      <c r="B3589" t="str">
        <f>"1552377843908520"</f>
        <v>1552377843908520</v>
      </c>
      <c r="C3589" t="s">
        <v>40</v>
      </c>
      <c r="D3589">
        <v>5.4033870000000004</v>
      </c>
      <c r="E3589">
        <v>0.52193059999999902</v>
      </c>
      <c r="F3589" t="s">
        <v>70</v>
      </c>
      <c r="G3589">
        <v>-380.4975</v>
      </c>
      <c r="H3589" s="1">
        <v>-1.1144920000000001E-6</v>
      </c>
      <c r="I3589">
        <v>211.01150000000001</v>
      </c>
      <c r="J3589">
        <v>-404.3535</v>
      </c>
      <c r="K3589">
        <v>1.1095440000000001</v>
      </c>
      <c r="L3589">
        <v>211.80619999999999</v>
      </c>
      <c r="M3589">
        <v>0.99991079999999999</v>
      </c>
      <c r="N3589">
        <v>0</v>
      </c>
      <c r="O3589">
        <v>1.0675230000000001E-2</v>
      </c>
      <c r="P3589">
        <v>0.99939599999999995</v>
      </c>
      <c r="Q3589">
        <v>2.3776120000000001E-2</v>
      </c>
      <c r="R3589">
        <v>2.534898E-2</v>
      </c>
      <c r="S3589">
        <v>3.0076290000000001</v>
      </c>
      <c r="T3589">
        <v>-0.1382948</v>
      </c>
      <c r="U3589">
        <v>-9.8663329999999994E-2</v>
      </c>
      <c r="V3589">
        <v>-1.4687510000000001E-2</v>
      </c>
      <c r="W3589">
        <v>3.1803320000000003E-2</v>
      </c>
      <c r="X3589">
        <v>0.99938629999999995</v>
      </c>
      <c r="Y3589">
        <v>4.3397600000000001E-2</v>
      </c>
      <c r="Z3589">
        <v>-1.4874459999999999E-3</v>
      </c>
      <c r="AA3589">
        <v>0.99905679999999997</v>
      </c>
      <c r="AB3589">
        <v>27</v>
      </c>
      <c r="AC3589">
        <v>23.855999999999899</v>
      </c>
      <c r="AD3589">
        <v>-1.1095451144920001</v>
      </c>
      <c r="AE3589">
        <v>-0.79469999999997698</v>
      </c>
      <c r="AF3589">
        <v>1.0470687072862801</v>
      </c>
      <c r="AG3589">
        <v>-1.1095451144920001</v>
      </c>
      <c r="AH3589">
        <v>23.794741182693301</v>
      </c>
      <c r="AI3589">
        <v>92.667182154792698</v>
      </c>
      <c r="AJ3589">
        <v>87.480370153430201</v>
      </c>
      <c r="AK3589">
        <v>23.843597698129201</v>
      </c>
      <c r="AL3589">
        <v>88.177496809962506</v>
      </c>
      <c r="AM3589">
        <v>90.841988483784903</v>
      </c>
      <c r="AN3589">
        <v>1.00000007537035</v>
      </c>
    </row>
    <row r="3590" spans="1:40" x14ac:dyDescent="0.25">
      <c r="A3590" t="str">
        <f>"20190312160403938"</f>
        <v>20190312160403938</v>
      </c>
      <c r="B3590" t="str">
        <f>"1552377843928039"</f>
        <v>1552377843928039</v>
      </c>
      <c r="C3590" t="s">
        <v>40</v>
      </c>
      <c r="D3590">
        <v>5.3949579999999999</v>
      </c>
      <c r="E3590">
        <v>0.52188919999999905</v>
      </c>
      <c r="F3590" t="s">
        <v>70</v>
      </c>
      <c r="G3590">
        <v>-380.13560000000001</v>
      </c>
      <c r="H3590" s="1">
        <v>-1.3073890000000001E-6</v>
      </c>
      <c r="I3590">
        <v>211.01920000000001</v>
      </c>
      <c r="J3590">
        <v>-404.08300000000003</v>
      </c>
      <c r="K3590">
        <v>1.1095429999999999</v>
      </c>
      <c r="L3590">
        <v>211.80930000000001</v>
      </c>
      <c r="M3590">
        <v>0.9999091</v>
      </c>
      <c r="N3590">
        <v>0</v>
      </c>
      <c r="O3590">
        <v>1.085475E-2</v>
      </c>
      <c r="P3590">
        <v>0.99940430000000002</v>
      </c>
      <c r="Q3590">
        <v>2.3794099999999999E-2</v>
      </c>
      <c r="R3590">
        <v>2.5007910000000001E-2</v>
      </c>
      <c r="S3590">
        <v>3.007568</v>
      </c>
      <c r="T3590">
        <v>-0.137792</v>
      </c>
      <c r="U3590">
        <v>-9.7732540000000007E-2</v>
      </c>
      <c r="V3590">
        <v>-1.4166649999999999E-2</v>
      </c>
      <c r="W3590">
        <v>3.1794259999999998E-2</v>
      </c>
      <c r="X3590">
        <v>0.99939409999999895</v>
      </c>
      <c r="Y3590">
        <v>4.3269139999999998E-2</v>
      </c>
      <c r="Z3590">
        <v>-1.4873589999999999E-3</v>
      </c>
      <c r="AA3590">
        <v>0.99906240000000002</v>
      </c>
      <c r="AB3590">
        <v>27</v>
      </c>
      <c r="AC3590">
        <v>23.947399999999998</v>
      </c>
      <c r="AD3590">
        <v>-1.1095443073889999</v>
      </c>
      <c r="AE3590">
        <v>-0.79009999999999503</v>
      </c>
      <c r="AF3590">
        <v>1.04775802031515</v>
      </c>
      <c r="AG3590">
        <v>-1.1095443073889999</v>
      </c>
      <c r="AH3590">
        <v>23.886191574045199</v>
      </c>
      <c r="AI3590">
        <v>92.656999587277298</v>
      </c>
      <c r="AJ3590">
        <v>87.488354136516307</v>
      </c>
      <c r="AK3590">
        <v>23.934891546676901</v>
      </c>
      <c r="AL3590">
        <v>88.178016158950001</v>
      </c>
      <c r="AM3590">
        <v>90.812126962878096</v>
      </c>
      <c r="AN3590">
        <v>1.0000000680279799</v>
      </c>
    </row>
    <row r="3591" spans="1:40" x14ac:dyDescent="0.25">
      <c r="A3591" t="str">
        <f>"20190312160403960"</f>
        <v>20190312160403960</v>
      </c>
      <c r="B3591" t="str">
        <f>"1552377843948535"</f>
        <v>1552377843948535</v>
      </c>
      <c r="C3591" t="s">
        <v>40</v>
      </c>
      <c r="D3591">
        <v>5.361256</v>
      </c>
      <c r="E3591">
        <v>0.52183279999999999</v>
      </c>
      <c r="F3591" t="s">
        <v>70</v>
      </c>
      <c r="G3591">
        <v>-379.6832</v>
      </c>
      <c r="H3591" s="1">
        <v>3.616132E-6</v>
      </c>
      <c r="I3591">
        <v>211.0094</v>
      </c>
      <c r="J3591">
        <v>-403.82560000000001</v>
      </c>
      <c r="K3591">
        <v>1.1095349999999999</v>
      </c>
      <c r="L3591">
        <v>211.81219999999999</v>
      </c>
      <c r="M3591">
        <v>0.9999074</v>
      </c>
      <c r="N3591">
        <v>0</v>
      </c>
      <c r="O3591">
        <v>1.1026340000000001E-2</v>
      </c>
      <c r="P3591">
        <v>0.99940870000000004</v>
      </c>
      <c r="Q3591">
        <v>2.4023849999999999E-2</v>
      </c>
      <c r="R3591">
        <v>2.4605289999999998E-2</v>
      </c>
      <c r="S3591">
        <v>3.0075069999999999</v>
      </c>
      <c r="T3591">
        <v>-0.13676140000000001</v>
      </c>
      <c r="U3591">
        <v>-9.8587040000000001E-2</v>
      </c>
      <c r="V3591">
        <v>-1.359279E-2</v>
      </c>
      <c r="W3591">
        <v>3.1998720000000001E-2</v>
      </c>
      <c r="X3591">
        <v>0.99939549999999999</v>
      </c>
      <c r="Y3591">
        <v>4.3724970000000002E-2</v>
      </c>
      <c r="Z3591">
        <v>-1.4944229999999999E-3</v>
      </c>
      <c r="AA3591">
        <v>0.99904250000000006</v>
      </c>
      <c r="AB3591">
        <v>27</v>
      </c>
      <c r="AC3591">
        <v>24.142399999999999</v>
      </c>
      <c r="AD3591">
        <v>-1.1095313838680001</v>
      </c>
      <c r="AE3591">
        <v>-0.80279999999998997</v>
      </c>
      <c r="AF3591">
        <v>1.0667114385266301</v>
      </c>
      <c r="AG3591">
        <v>-1.1095313838680001</v>
      </c>
      <c r="AH3591">
        <v>24.081273688905299</v>
      </c>
      <c r="AI3591">
        <v>92.635425097847204</v>
      </c>
      <c r="AJ3591">
        <v>87.463666721095507</v>
      </c>
      <c r="AK3591">
        <v>24.130409769932101</v>
      </c>
      <c r="AL3591">
        <v>88.166295419639894</v>
      </c>
      <c r="AM3591">
        <v>90.779232526853093</v>
      </c>
      <c r="AN3591">
        <v>1.0000000237209301</v>
      </c>
    </row>
    <row r="3592" spans="1:40" x14ac:dyDescent="0.25">
      <c r="A3592" t="str">
        <f>"20190312160403987"</f>
        <v>20190312160403987</v>
      </c>
      <c r="B3592" t="str">
        <f>"1552377843978792"</f>
        <v>1552377843978792</v>
      </c>
      <c r="C3592" t="s">
        <v>40</v>
      </c>
      <c r="D3592">
        <v>5.4100479999999997</v>
      </c>
      <c r="E3592">
        <v>0.52173849999999999</v>
      </c>
      <c r="F3592" t="s">
        <v>70</v>
      </c>
      <c r="G3592">
        <v>-379.13080000000002</v>
      </c>
      <c r="H3592" s="1">
        <v>3.3221759999999999E-6</v>
      </c>
      <c r="I3592">
        <v>210.99709999999999</v>
      </c>
      <c r="J3592">
        <v>-403.49200000000002</v>
      </c>
      <c r="K3592">
        <v>1.109526</v>
      </c>
      <c r="L3592">
        <v>211.81620000000001</v>
      </c>
      <c r="M3592">
        <v>0.99990520000000005</v>
      </c>
      <c r="N3592">
        <v>0</v>
      </c>
      <c r="O3592">
        <v>1.1248620000000001E-2</v>
      </c>
      <c r="P3592">
        <v>0.99940209999999996</v>
      </c>
      <c r="Q3592">
        <v>2.4083219999999999E-2</v>
      </c>
      <c r="R3592">
        <v>2.4807099999999999E-2</v>
      </c>
      <c r="S3592">
        <v>3.0075069999999999</v>
      </c>
      <c r="T3592">
        <v>-0.13512669999999999</v>
      </c>
      <c r="U3592">
        <v>-9.9273680000000003E-2</v>
      </c>
      <c r="V3592">
        <v>-1.357277E-2</v>
      </c>
      <c r="W3592">
        <v>3.2023980000000001E-2</v>
      </c>
      <c r="X3592">
        <v>0.99939500000000003</v>
      </c>
      <c r="Y3592">
        <v>4.4175569999999997E-2</v>
      </c>
      <c r="Z3592">
        <v>-1.4966679999999901E-3</v>
      </c>
      <c r="AA3592">
        <v>0.99902270000000004</v>
      </c>
      <c r="AB3592">
        <v>27</v>
      </c>
      <c r="AC3592">
        <v>24.361199999999901</v>
      </c>
      <c r="AD3592">
        <v>-1.1095226778239999</v>
      </c>
      <c r="AE3592">
        <v>-0.81910000000002003</v>
      </c>
      <c r="AF3592">
        <v>1.09082653191882</v>
      </c>
      <c r="AG3592">
        <v>-1.1095226778239999</v>
      </c>
      <c r="AH3592">
        <v>24.300095422636399</v>
      </c>
      <c r="AI3592">
        <v>92.611636819454205</v>
      </c>
      <c r="AJ3592">
        <v>87.429729180679104</v>
      </c>
      <c r="AK3592">
        <v>24.349857918365299</v>
      </c>
      <c r="AL3592">
        <v>88.164847454064898</v>
      </c>
      <c r="AM3592">
        <v>90.778085372728</v>
      </c>
      <c r="AN3592">
        <v>1.0000000607027499</v>
      </c>
    </row>
    <row r="3593" spans="1:40" x14ac:dyDescent="0.25">
      <c r="A3593" t="str">
        <f>"20190312160404003"</f>
        <v>20190312160404003</v>
      </c>
      <c r="B3593" t="str">
        <f>"1552377843998311"</f>
        <v>1552377843998311</v>
      </c>
      <c r="C3593" t="s">
        <v>40</v>
      </c>
      <c r="D3593">
        <v>5.2419029999999998</v>
      </c>
      <c r="E3593">
        <v>0.50497510000000001</v>
      </c>
      <c r="F3593" t="s">
        <v>70</v>
      </c>
      <c r="G3593">
        <v>-378.43849999999998</v>
      </c>
      <c r="H3593" s="1">
        <v>2.9537880000000001E-6</v>
      </c>
      <c r="I3593">
        <v>211.00030000000001</v>
      </c>
      <c r="J3593">
        <v>-403.30430000000001</v>
      </c>
      <c r="K3593">
        <v>1.109523</v>
      </c>
      <c r="L3593">
        <v>211.8184</v>
      </c>
      <c r="M3593">
        <v>0.99990400000000002</v>
      </c>
      <c r="N3593">
        <v>0</v>
      </c>
      <c r="O3593">
        <v>1.1373100000000001E-2</v>
      </c>
      <c r="P3593">
        <v>0.99939610000000001</v>
      </c>
      <c r="Q3593">
        <v>2.4152340000000001E-2</v>
      </c>
      <c r="R3593">
        <v>2.4988070000000001E-2</v>
      </c>
      <c r="S3593">
        <v>3.0073850000000002</v>
      </c>
      <c r="T3593">
        <v>-0.13318569999999999</v>
      </c>
      <c r="U3593">
        <v>-9.7930909999999996E-2</v>
      </c>
      <c r="V3593">
        <v>-1.3628980000000001E-2</v>
      </c>
      <c r="W3593">
        <v>3.2072120000000003E-2</v>
      </c>
      <c r="X3593">
        <v>0.99939259999999996</v>
      </c>
      <c r="Y3593">
        <v>4.3857470000000003E-2</v>
      </c>
      <c r="Z3593">
        <v>-1.473731E-3</v>
      </c>
      <c r="AA3593">
        <v>0.9990367</v>
      </c>
      <c r="AB3593">
        <v>27</v>
      </c>
      <c r="AC3593">
        <v>24.8658</v>
      </c>
      <c r="AD3593">
        <v>-1.1095200462119901</v>
      </c>
      <c r="AE3593">
        <v>-0.81809999999998695</v>
      </c>
      <c r="AF3593">
        <v>1.0986721120168099</v>
      </c>
      <c r="AG3593">
        <v>-1.1095200462119901</v>
      </c>
      <c r="AH3593">
        <v>24.805553266698698</v>
      </c>
      <c r="AI3593">
        <v>92.558553447391802</v>
      </c>
      <c r="AJ3593">
        <v>87.463948507200797</v>
      </c>
      <c r="AK3593">
        <v>24.854649223227799</v>
      </c>
      <c r="AL3593">
        <v>88.1620876501011</v>
      </c>
      <c r="AM3593">
        <v>90.781309197448095</v>
      </c>
      <c r="AN3593">
        <v>0.99999996945594605</v>
      </c>
    </row>
    <row r="3594" spans="1:40" x14ac:dyDescent="0.25">
      <c r="A3594" t="str">
        <f>"20190312160404017"</f>
        <v>20190312160404017</v>
      </c>
      <c r="B3594" t="str">
        <f>"1552377844008072"</f>
        <v>1552377844008072</v>
      </c>
      <c r="C3594" t="s">
        <v>40</v>
      </c>
      <c r="D3594">
        <v>5.2583260000000003</v>
      </c>
      <c r="E3594">
        <v>0.50495800000000002</v>
      </c>
      <c r="F3594" t="s">
        <v>70</v>
      </c>
      <c r="G3594">
        <v>-349.2244</v>
      </c>
      <c r="H3594" s="1">
        <v>3.3719529999999998E-6</v>
      </c>
      <c r="I3594">
        <v>212.4632</v>
      </c>
      <c r="J3594">
        <v>-403.11930000000001</v>
      </c>
      <c r="K3594">
        <v>1.109523</v>
      </c>
      <c r="L3594">
        <v>211.82060000000001</v>
      </c>
      <c r="M3594">
        <v>0.99990270000000003</v>
      </c>
      <c r="N3594">
        <v>0</v>
      </c>
      <c r="O3594">
        <v>1.149585E-2</v>
      </c>
      <c r="P3594">
        <v>0.9993959</v>
      </c>
      <c r="Q3594">
        <v>2.3928649999999999E-2</v>
      </c>
      <c r="R3594">
        <v>2.520323E-2</v>
      </c>
      <c r="S3594">
        <v>3.0024109999999999</v>
      </c>
      <c r="T3594">
        <v>-6.1598300000000002E-2</v>
      </c>
      <c r="U3594">
        <v>3.5797120000000002E-2</v>
      </c>
      <c r="V3594">
        <v>-1.372106E-2</v>
      </c>
      <c r="W3594">
        <v>3.1829049999999998E-2</v>
      </c>
      <c r="X3594">
        <v>0.99939909999999998</v>
      </c>
      <c r="Y3594">
        <v>-4.2809320000000001E-4</v>
      </c>
      <c r="Z3594">
        <v>-2.3142750000000001E-4</v>
      </c>
      <c r="AA3594">
        <v>0.99999990000000005</v>
      </c>
      <c r="AB3594">
        <v>27</v>
      </c>
      <c r="AC3594">
        <v>53.8949</v>
      </c>
      <c r="AD3594">
        <v>-1.1095196280470001</v>
      </c>
      <c r="AE3594">
        <v>0.64259999999998696</v>
      </c>
      <c r="AF3594">
        <v>-2.2960776258613501E-2</v>
      </c>
      <c r="AG3594">
        <v>-1.1095196280470001</v>
      </c>
      <c r="AH3594">
        <v>53.875895816609699</v>
      </c>
      <c r="AI3594">
        <v>91.179781801720594</v>
      </c>
      <c r="AJ3594">
        <v>90.024418257448403</v>
      </c>
      <c r="AK3594">
        <v>53.887324214925101</v>
      </c>
      <c r="AL3594">
        <v>88.176021629697601</v>
      </c>
      <c r="AM3594">
        <v>90.786582095818105</v>
      </c>
      <c r="AN3594">
        <v>0.999999958496117</v>
      </c>
    </row>
    <row r="3595" spans="1:40" x14ac:dyDescent="0.25">
      <c r="A3595" t="str">
        <f>"20190312160404040"</f>
        <v>20190312160404040</v>
      </c>
      <c r="B3595" t="str">
        <f>"1552377844028568"</f>
        <v>1552377844028568</v>
      </c>
      <c r="C3595" t="s">
        <v>40</v>
      </c>
      <c r="D3595">
        <v>5.2426269999999997</v>
      </c>
      <c r="E3595">
        <v>0.50493180000000004</v>
      </c>
      <c r="F3595" t="s">
        <v>70</v>
      </c>
      <c r="G3595">
        <v>-354.68849999999998</v>
      </c>
      <c r="H3595" s="1">
        <v>1.0546170000000001E-6</v>
      </c>
      <c r="I3595">
        <v>212.41079999999999</v>
      </c>
      <c r="J3595">
        <v>-402.84339999999997</v>
      </c>
      <c r="K3595">
        <v>1.1095189999999999</v>
      </c>
      <c r="L3595">
        <v>211.82400000000001</v>
      </c>
      <c r="M3595">
        <v>0.99990080000000003</v>
      </c>
      <c r="N3595">
        <v>0</v>
      </c>
      <c r="O3595">
        <v>1.1678829999999999E-2</v>
      </c>
      <c r="P3595">
        <v>0.99935870000000004</v>
      </c>
      <c r="Q3595">
        <v>2.4845519999999999E-2</v>
      </c>
      <c r="R3595">
        <v>2.5797239999999999E-2</v>
      </c>
      <c r="S3595">
        <v>3.0025330000000001</v>
      </c>
      <c r="T3595">
        <v>-6.8786379999999994E-2</v>
      </c>
      <c r="U3595">
        <v>3.6590579999999998E-2</v>
      </c>
      <c r="V3595">
        <v>-1.4133339999999999E-2</v>
      </c>
      <c r="W3595">
        <v>3.2717889999999999E-2</v>
      </c>
      <c r="X3595">
        <v>0.99936469999999999</v>
      </c>
      <c r="Y3595">
        <v>-5.0944E-4</v>
      </c>
      <c r="Z3595">
        <v>-2.61675E-4</v>
      </c>
      <c r="AA3595">
        <v>0.99999979999999999</v>
      </c>
      <c r="AB3595">
        <v>27</v>
      </c>
      <c r="AC3595">
        <v>48.154899999999998</v>
      </c>
      <c r="AD3595">
        <v>-1.109517945383</v>
      </c>
      <c r="AE3595">
        <v>0.586799999999982</v>
      </c>
      <c r="AF3595">
        <v>-2.43367357540492E-2</v>
      </c>
      <c r="AG3595">
        <v>-1.109517945383</v>
      </c>
      <c r="AH3595">
        <v>48.132920487979298</v>
      </c>
      <c r="AI3595">
        <v>91.320498130285401</v>
      </c>
      <c r="AJ3595">
        <v>90.0289696139954</v>
      </c>
      <c r="AK3595">
        <v>48.145712758769797</v>
      </c>
      <c r="AL3595">
        <v>88.125068394547995</v>
      </c>
      <c r="AM3595">
        <v>90.810241498499906</v>
      </c>
      <c r="AN3595">
        <v>1.00000000761584</v>
      </c>
    </row>
    <row r="3596" spans="1:40" x14ac:dyDescent="0.25">
      <c r="A3596" t="str">
        <f>"20190312160404059"</f>
        <v>20190312160404059</v>
      </c>
      <c r="B3596" t="str">
        <f>"1552377844048091"</f>
        <v>1552377844048091</v>
      </c>
      <c r="C3596" t="s">
        <v>40</v>
      </c>
      <c r="D3596">
        <v>5.1937980000000001</v>
      </c>
      <c r="E3596">
        <v>0.50517900000000004</v>
      </c>
      <c r="F3596" t="s">
        <v>70</v>
      </c>
      <c r="G3596">
        <v>-344.79570000000001</v>
      </c>
      <c r="H3596" s="1">
        <v>1.0152339999999999E-6</v>
      </c>
      <c r="I3596">
        <v>212.57480000000001</v>
      </c>
      <c r="J3596">
        <v>-402.59530000000001</v>
      </c>
      <c r="K3596">
        <v>1.1095200000000001</v>
      </c>
      <c r="L3596">
        <v>211.827</v>
      </c>
      <c r="M3596">
        <v>0.99989910000000004</v>
      </c>
      <c r="N3596">
        <v>0</v>
      </c>
      <c r="O3596">
        <v>1.1843009999999999E-2</v>
      </c>
      <c r="P3596">
        <v>0.99932989999999999</v>
      </c>
      <c r="Q3596">
        <v>2.550096E-2</v>
      </c>
      <c r="R3596">
        <v>2.6262270000000001E-2</v>
      </c>
      <c r="S3596">
        <v>3.00238</v>
      </c>
      <c r="T3596">
        <v>-5.7387109999999998E-2</v>
      </c>
      <c r="U3596">
        <v>3.8833619999999999E-2</v>
      </c>
      <c r="V3596">
        <v>-1.443469E-2</v>
      </c>
      <c r="W3596">
        <v>3.3351749999999999E-2</v>
      </c>
      <c r="X3596">
        <v>0.99933950000000005</v>
      </c>
      <c r="Y3596">
        <v>-1.091868E-3</v>
      </c>
      <c r="Z3596">
        <v>-2.1590079999999999E-4</v>
      </c>
      <c r="AA3596">
        <v>0.99999939999999998</v>
      </c>
      <c r="AB3596">
        <v>27</v>
      </c>
      <c r="AC3596">
        <v>57.799599999999998</v>
      </c>
      <c r="AD3596">
        <v>-1.1095189847660001</v>
      </c>
      <c r="AE3596">
        <v>0.74780000000001201</v>
      </c>
      <c r="AF3596">
        <v>-6.3181973103403996E-2</v>
      </c>
      <c r="AG3596">
        <v>-1.1095189847660001</v>
      </c>
      <c r="AH3596">
        <v>57.783114040679898</v>
      </c>
      <c r="AI3596">
        <v>91.100025624534794</v>
      </c>
      <c r="AJ3596">
        <v>90.062649080402196</v>
      </c>
      <c r="AK3596">
        <v>57.793799776251902</v>
      </c>
      <c r="AL3596">
        <v>88.088731173771805</v>
      </c>
      <c r="AM3596">
        <v>90.8275358930468</v>
      </c>
      <c r="AN3596">
        <v>1.0000000678818499</v>
      </c>
    </row>
    <row r="3597" spans="1:40" x14ac:dyDescent="0.25">
      <c r="A3597" t="str">
        <f>"20190312160404083"</f>
        <v>20190312160404083</v>
      </c>
      <c r="B3597" t="str">
        <f>"1552377844078344"</f>
        <v>1552377844078344</v>
      </c>
      <c r="C3597" t="s">
        <v>40</v>
      </c>
      <c r="D3597">
        <v>5.2147240000000004</v>
      </c>
      <c r="E3597">
        <v>0.50594240000000001</v>
      </c>
      <c r="F3597" t="s">
        <v>70</v>
      </c>
      <c r="G3597">
        <v>-348.66410000000002</v>
      </c>
      <c r="H3597" s="1">
        <v>3.0738149999999999E-6</v>
      </c>
      <c r="I3597">
        <v>212.50890000000001</v>
      </c>
      <c r="J3597">
        <v>-402.3107</v>
      </c>
      <c r="K3597">
        <v>1.109513</v>
      </c>
      <c r="L3597">
        <v>211.8306</v>
      </c>
      <c r="M3597">
        <v>0.99989709999999998</v>
      </c>
      <c r="N3597">
        <v>0</v>
      </c>
      <c r="O3597">
        <v>1.203127E-2</v>
      </c>
      <c r="P3597">
        <v>0.99931530000000002</v>
      </c>
      <c r="Q3597">
        <v>2.5436110000000001E-2</v>
      </c>
      <c r="R3597">
        <v>2.687113E-2</v>
      </c>
      <c r="S3597">
        <v>3.0026250000000001</v>
      </c>
      <c r="T3597">
        <v>-6.1772470000000003E-2</v>
      </c>
      <c r="U3597">
        <v>3.7963869999999997E-2</v>
      </c>
      <c r="V3597">
        <v>-1.4855500000000001E-2</v>
      </c>
      <c r="W3597">
        <v>3.3265000000000003E-2</v>
      </c>
      <c r="X3597">
        <v>0.99933620000000001</v>
      </c>
      <c r="Y3597">
        <v>-6.1337589999999997E-4</v>
      </c>
      <c r="Z3597">
        <v>-2.4117100000000001E-4</v>
      </c>
      <c r="AA3597">
        <v>0.99999979999999999</v>
      </c>
      <c r="AB3597">
        <v>28</v>
      </c>
      <c r="AC3597">
        <v>53.6465999999999</v>
      </c>
      <c r="AD3597">
        <v>-1.1095099261850001</v>
      </c>
      <c r="AE3597">
        <v>0.67830000000000701</v>
      </c>
      <c r="AF3597">
        <v>-3.2780455407208399E-2</v>
      </c>
      <c r="AG3597">
        <v>-1.1095099261850001</v>
      </c>
      <c r="AH3597">
        <v>53.627942920078702</v>
      </c>
      <c r="AI3597">
        <v>91.185224585962004</v>
      </c>
      <c r="AJ3597">
        <v>90.035022441830904</v>
      </c>
      <c r="AK3597">
        <v>53.6394290487303</v>
      </c>
      <c r="AL3597">
        <v>88.093704295061002</v>
      </c>
      <c r="AM3597">
        <v>90.851660096822101</v>
      </c>
      <c r="AN3597">
        <v>1.00000004336784</v>
      </c>
    </row>
    <row r="3598" spans="1:40" x14ac:dyDescent="0.25">
      <c r="A3598" t="str">
        <f>"20190312160404106"</f>
        <v>20190312160404106</v>
      </c>
      <c r="B3598" t="str">
        <f>"1552377844097881"</f>
        <v>1552377844097881</v>
      </c>
      <c r="C3598" t="s">
        <v>40</v>
      </c>
      <c r="D3598">
        <v>5.1725830000000004</v>
      </c>
      <c r="E3598">
        <v>0.50646440000000004</v>
      </c>
      <c r="F3598" t="s">
        <v>70</v>
      </c>
      <c r="G3598">
        <v>-353.05279999999999</v>
      </c>
      <c r="H3598" s="1">
        <v>1.8520199999999999E-7</v>
      </c>
      <c r="I3598">
        <v>212.38679999999999</v>
      </c>
      <c r="J3598">
        <v>-402.02289999999999</v>
      </c>
      <c r="K3598">
        <v>1.10951</v>
      </c>
      <c r="L3598">
        <v>211.83430000000001</v>
      </c>
      <c r="M3598">
        <v>0.99989490000000003</v>
      </c>
      <c r="N3598">
        <v>0</v>
      </c>
      <c r="O3598">
        <v>1.2221549999999999E-2</v>
      </c>
      <c r="P3598">
        <v>0.99930660000000004</v>
      </c>
      <c r="Q3598">
        <v>2.5687109999999999E-2</v>
      </c>
      <c r="R3598">
        <v>2.6959879999999999E-2</v>
      </c>
      <c r="S3598">
        <v>3.0028990000000002</v>
      </c>
      <c r="T3598">
        <v>-6.7638989999999996E-2</v>
      </c>
      <c r="U3598">
        <v>3.3905030000000003E-2</v>
      </c>
      <c r="V3598">
        <v>-1.475484E-2</v>
      </c>
      <c r="W3598">
        <v>3.349709E-2</v>
      </c>
      <c r="X3598">
        <v>0.99932989999999999</v>
      </c>
      <c r="Y3598">
        <v>9.2860209999999998E-4</v>
      </c>
      <c r="Z3598">
        <v>-2.8569640000000002E-4</v>
      </c>
      <c r="AA3598">
        <v>0.99999950000000004</v>
      </c>
      <c r="AB3598">
        <v>28</v>
      </c>
      <c r="AC3598">
        <v>48.970100000000002</v>
      </c>
      <c r="AD3598">
        <v>-1.109509814798</v>
      </c>
      <c r="AE3598">
        <v>0.55249999999998001</v>
      </c>
      <c r="AF3598">
        <v>4.60263699591454E-2</v>
      </c>
      <c r="AG3598">
        <v>-1.109509814798</v>
      </c>
      <c r="AH3598">
        <v>48.948071483967098</v>
      </c>
      <c r="AI3598">
        <v>91.298505041531698</v>
      </c>
      <c r="AJ3598">
        <v>89.946124211071293</v>
      </c>
      <c r="AK3598">
        <v>48.960666176589399</v>
      </c>
      <c r="AL3598">
        <v>88.080399028848305</v>
      </c>
      <c r="AM3598">
        <v>90.8458954710444</v>
      </c>
      <c r="AN3598">
        <v>1.00000000468795</v>
      </c>
    </row>
    <row r="3599" spans="1:40" x14ac:dyDescent="0.25">
      <c r="A3599" t="str">
        <f>"20190312160404128"</f>
        <v>20190312160404128</v>
      </c>
      <c r="B3599" t="str">
        <f>"1552377844118379"</f>
        <v>1552377844118379</v>
      </c>
      <c r="C3599" t="s">
        <v>40</v>
      </c>
      <c r="D3599">
        <v>5.1335110000000004</v>
      </c>
      <c r="E3599">
        <v>0.50684490000000004</v>
      </c>
      <c r="F3599" t="s">
        <v>70</v>
      </c>
      <c r="G3599">
        <v>-352.58760000000001</v>
      </c>
      <c r="H3599" s="1">
        <v>-5.9841260000000003E-8</v>
      </c>
      <c r="I3599">
        <v>212.3289</v>
      </c>
      <c r="J3599">
        <v>-401.75470000000001</v>
      </c>
      <c r="K3599">
        <v>1.10951</v>
      </c>
      <c r="L3599">
        <v>211.83779999999999</v>
      </c>
      <c r="M3599">
        <v>0.99989280000000003</v>
      </c>
      <c r="N3599">
        <v>0</v>
      </c>
      <c r="O3599">
        <v>1.239907E-2</v>
      </c>
      <c r="P3599">
        <v>0.99931409999999998</v>
      </c>
      <c r="Q3599">
        <v>2.5480699999999998E-2</v>
      </c>
      <c r="R3599">
        <v>2.6879030000000002E-2</v>
      </c>
      <c r="S3599">
        <v>3.0029599999999999</v>
      </c>
      <c r="T3599">
        <v>-6.7397360000000003E-2</v>
      </c>
      <c r="U3599">
        <v>3.0044560000000001E-2</v>
      </c>
      <c r="V3599">
        <v>-1.4496200000000001E-2</v>
      </c>
      <c r="W3599">
        <v>3.3271200000000001E-2</v>
      </c>
      <c r="X3599">
        <v>0.99934120000000004</v>
      </c>
      <c r="Y3599">
        <v>2.3913889999999998E-3</v>
      </c>
      <c r="Z3599">
        <v>-3.050687E-4</v>
      </c>
      <c r="AA3599">
        <v>0.99999709999999997</v>
      </c>
      <c r="AB3599">
        <v>28</v>
      </c>
      <c r="AC3599">
        <v>49.167099999999998</v>
      </c>
      <c r="AD3599">
        <v>-1.1095100598412599</v>
      </c>
      <c r="AE3599">
        <v>0.49110000000001702</v>
      </c>
      <c r="AF3599">
        <v>0.118522207732114</v>
      </c>
      <c r="AG3599">
        <v>-1.1095100598412599</v>
      </c>
      <c r="AH3599">
        <v>49.144386333534896</v>
      </c>
      <c r="AI3599">
        <v>91.293316824892997</v>
      </c>
      <c r="AJ3599">
        <v>89.861819230590996</v>
      </c>
      <c r="AK3599">
        <v>49.157052069732103</v>
      </c>
      <c r="AL3599">
        <v>88.093348730837604</v>
      </c>
      <c r="AM3599">
        <v>90.831060333462702</v>
      </c>
      <c r="AN3599">
        <v>0.99999997329065904</v>
      </c>
    </row>
    <row r="3600" spans="1:40" x14ac:dyDescent="0.25">
      <c r="A3600" t="str">
        <f>"20190312160404149"</f>
        <v>20190312160404149</v>
      </c>
      <c r="B3600" t="str">
        <f>"1552377844137896"</f>
        <v>1552377844137896</v>
      </c>
      <c r="C3600" t="s">
        <v>40</v>
      </c>
      <c r="D3600">
        <v>5.1523820000000002</v>
      </c>
      <c r="E3600">
        <v>0.50744100000000003</v>
      </c>
      <c r="F3600" t="s">
        <v>70</v>
      </c>
      <c r="G3600">
        <v>-351.33280000000002</v>
      </c>
      <c r="H3600" s="1">
        <v>-7.2574090000000002E-7</v>
      </c>
      <c r="I3600">
        <v>212.28739999999999</v>
      </c>
      <c r="J3600">
        <v>-401.48820000000001</v>
      </c>
      <c r="K3600">
        <v>1.1095060000000001</v>
      </c>
      <c r="L3600">
        <v>211.84119999999999</v>
      </c>
      <c r="M3600">
        <v>0.99989070000000002</v>
      </c>
      <c r="N3600">
        <v>0</v>
      </c>
      <c r="O3600">
        <v>1.25757E-2</v>
      </c>
      <c r="P3600">
        <v>0.99931530000000002</v>
      </c>
      <c r="Q3600">
        <v>2.5397019999999999E-2</v>
      </c>
      <c r="R3600">
        <v>2.6918029999999999E-2</v>
      </c>
      <c r="S3600">
        <v>3.0030209999999999</v>
      </c>
      <c r="T3600">
        <v>-6.6080089999999994E-2</v>
      </c>
      <c r="U3600">
        <v>2.6779170000000001E-2</v>
      </c>
      <c r="V3600">
        <v>-1.435853E-2</v>
      </c>
      <c r="W3600">
        <v>3.3166830000000001E-2</v>
      </c>
      <c r="X3600">
        <v>0.99934670000000003</v>
      </c>
      <c r="Y3600">
        <v>3.6552970000000001E-3</v>
      </c>
      <c r="Z3600">
        <v>-3.168933E-4</v>
      </c>
      <c r="AA3600">
        <v>0.99999329999999997</v>
      </c>
      <c r="AB3600">
        <v>28</v>
      </c>
      <c r="AC3600">
        <v>50.155399999999901</v>
      </c>
      <c r="AD3600">
        <v>-1.1095067257408999</v>
      </c>
      <c r="AE3600">
        <v>0.44620000000000398</v>
      </c>
      <c r="AF3600">
        <v>0.184503331350552</v>
      </c>
      <c r="AG3600">
        <v>-1.1095067257408999</v>
      </c>
      <c r="AH3600">
        <v>50.132514375882003</v>
      </c>
      <c r="AI3600">
        <v>91.267824830686806</v>
      </c>
      <c r="AJ3600">
        <v>89.789134564737296</v>
      </c>
      <c r="AK3600">
        <v>50.145129816381598</v>
      </c>
      <c r="AL3600">
        <v>88.099332075657003</v>
      </c>
      <c r="AM3600">
        <v>90.823164338529494</v>
      </c>
      <c r="AN3600">
        <v>1.0000000163984399</v>
      </c>
    </row>
    <row r="3601" spans="1:40" x14ac:dyDescent="0.25">
      <c r="A3601" t="str">
        <f>"20190312160404172"</f>
        <v>20190312160404172</v>
      </c>
      <c r="B3601" t="str">
        <f>"1552377844168152"</f>
        <v>1552377844168152</v>
      </c>
      <c r="C3601" t="s">
        <v>40</v>
      </c>
      <c r="D3601">
        <v>5.1098280000000003</v>
      </c>
      <c r="E3601">
        <v>0.50801439999999998</v>
      </c>
      <c r="F3601" t="s">
        <v>70</v>
      </c>
      <c r="G3601">
        <v>-353.3689</v>
      </c>
      <c r="H3601" s="1">
        <v>3.6165969999999999E-7</v>
      </c>
      <c r="I3601">
        <v>212.1979</v>
      </c>
      <c r="J3601">
        <v>-401.20440000000002</v>
      </c>
      <c r="K3601">
        <v>1.1094980000000001</v>
      </c>
      <c r="L3601">
        <v>211.845</v>
      </c>
      <c r="M3601">
        <v>0.99988849999999996</v>
      </c>
      <c r="N3601">
        <v>0</v>
      </c>
      <c r="O3601">
        <v>1.276323E-2</v>
      </c>
      <c r="P3601">
        <v>0.99931099999999995</v>
      </c>
      <c r="Q3601">
        <v>2.559668E-2</v>
      </c>
      <c r="R3601">
        <v>2.6881820000000001E-2</v>
      </c>
      <c r="S3601">
        <v>3.0032040000000002</v>
      </c>
      <c r="T3601">
        <v>-6.9246050000000003E-2</v>
      </c>
      <c r="U3601">
        <v>2.2262569999999999E-2</v>
      </c>
      <c r="V3601">
        <v>-1.4135429999999999E-2</v>
      </c>
      <c r="W3601">
        <v>3.3346969999999997E-2</v>
      </c>
      <c r="X3601">
        <v>0.99934389999999995</v>
      </c>
      <c r="Y3601">
        <v>5.346323E-3</v>
      </c>
      <c r="Z3601">
        <v>-3.5587029999999999E-4</v>
      </c>
      <c r="AA3601">
        <v>0.99998560000000003</v>
      </c>
      <c r="AB3601">
        <v>28</v>
      </c>
      <c r="AC3601">
        <v>47.835500000000003</v>
      </c>
      <c r="AD3601">
        <v>-1.1094976383402999</v>
      </c>
      <c r="AE3601">
        <v>0.35290000000000499</v>
      </c>
      <c r="AF3601">
        <v>0.25754403735179199</v>
      </c>
      <c r="AG3601">
        <v>-1.1094976383402999</v>
      </c>
      <c r="AH3601">
        <v>47.810388879925803</v>
      </c>
      <c r="AI3601">
        <v>91.329359666683203</v>
      </c>
      <c r="AJ3601">
        <v>89.691363237185598</v>
      </c>
      <c r="AK3601">
        <v>47.823954236244397</v>
      </c>
      <c r="AL3601">
        <v>88.089005128787207</v>
      </c>
      <c r="AM3601">
        <v>90.810378163171194</v>
      </c>
      <c r="AN3601">
        <v>1.0000000306283301</v>
      </c>
    </row>
    <row r="3602" spans="1:40" x14ac:dyDescent="0.25">
      <c r="A3602" t="str">
        <f>"20190312160404195"</f>
        <v>20190312160404195</v>
      </c>
      <c r="B3602" t="str">
        <f>"1552377844188648"</f>
        <v>1552377844188648</v>
      </c>
      <c r="C3602" t="s">
        <v>40</v>
      </c>
      <c r="D3602">
        <v>5.1089929999999999</v>
      </c>
      <c r="E3602">
        <v>0.50821079999999996</v>
      </c>
      <c r="F3602" t="s">
        <v>70</v>
      </c>
      <c r="G3602">
        <v>-354.76990000000001</v>
      </c>
      <c r="H3602" s="1">
        <v>1.110793E-6</v>
      </c>
      <c r="I3602">
        <v>212.11580000000001</v>
      </c>
      <c r="J3602">
        <v>-400.91250000000002</v>
      </c>
      <c r="K3602">
        <v>1.1094980000000001</v>
      </c>
      <c r="L3602">
        <v>211.84889999999999</v>
      </c>
      <c r="M3602">
        <v>0.99988619999999995</v>
      </c>
      <c r="N3602">
        <v>0</v>
      </c>
      <c r="O3602">
        <v>1.2956250000000001E-2</v>
      </c>
      <c r="P3602">
        <v>0.99931460000000005</v>
      </c>
      <c r="Q3602">
        <v>2.5671309999999999E-2</v>
      </c>
      <c r="R3602">
        <v>2.667578E-2</v>
      </c>
      <c r="S3602">
        <v>3.0034480000000001</v>
      </c>
      <c r="T3602">
        <v>-7.1763750000000001E-2</v>
      </c>
      <c r="U3602">
        <v>1.7517089999999999E-2</v>
      </c>
      <c r="V3602">
        <v>-1.3736079999999999E-2</v>
      </c>
      <c r="W3602">
        <v>3.3403210000000003E-2</v>
      </c>
      <c r="X3602">
        <v>0.9993476</v>
      </c>
      <c r="Y3602">
        <v>7.1189469999999996E-3</v>
      </c>
      <c r="Z3602">
        <v>-3.9456320000000002E-4</v>
      </c>
      <c r="AA3602">
        <v>0.99997460000000005</v>
      </c>
      <c r="AB3602">
        <v>28</v>
      </c>
      <c r="AC3602">
        <v>46.142600000000002</v>
      </c>
      <c r="AD3602">
        <v>-1.1094968892069901</v>
      </c>
      <c r="AE3602">
        <v>0.26690000000002101</v>
      </c>
      <c r="AF3602">
        <v>0.33078407824716</v>
      </c>
      <c r="AG3602">
        <v>-1.1094968892069901</v>
      </c>
      <c r="AH3602">
        <v>46.115523622412198</v>
      </c>
      <c r="AI3602">
        <v>91.378182194313894</v>
      </c>
      <c r="AJ3602">
        <v>89.589027618208306</v>
      </c>
      <c r="AK3602">
        <v>46.130054415996902</v>
      </c>
      <c r="AL3602">
        <v>88.085781035988106</v>
      </c>
      <c r="AM3602">
        <v>90.787483608082596</v>
      </c>
      <c r="AN3602">
        <v>1.00000003997891</v>
      </c>
    </row>
    <row r="3603" spans="1:40" x14ac:dyDescent="0.25">
      <c r="A3603" t="str">
        <f>"20190312160404217"</f>
        <v>20190312160404217</v>
      </c>
      <c r="B3603" t="str">
        <f>"1552377844208168"</f>
        <v>1552377844208168</v>
      </c>
      <c r="C3603" t="s">
        <v>40</v>
      </c>
      <c r="D3603">
        <v>5.0934589999999904</v>
      </c>
      <c r="E3603">
        <v>0.50840879999999999</v>
      </c>
      <c r="F3603" t="s">
        <v>70</v>
      </c>
      <c r="G3603">
        <v>-351.93279999999999</v>
      </c>
      <c r="H3603" s="1">
        <v>-3.9821330000000002E-7</v>
      </c>
      <c r="I3603">
        <v>212.09899999999999</v>
      </c>
      <c r="J3603">
        <v>-400.6268</v>
      </c>
      <c r="K3603">
        <v>1.109494</v>
      </c>
      <c r="L3603">
        <v>211.8528</v>
      </c>
      <c r="M3603">
        <v>0.99988379999999999</v>
      </c>
      <c r="N3603">
        <v>0</v>
      </c>
      <c r="O3603">
        <v>1.3145250000000001E-2</v>
      </c>
      <c r="P3603">
        <v>0.99932719999999997</v>
      </c>
      <c r="Q3603">
        <v>2.5290719999999999E-2</v>
      </c>
      <c r="R3603">
        <v>2.65612E-2</v>
      </c>
      <c r="S3603">
        <v>3.0034179999999999</v>
      </c>
      <c r="T3603">
        <v>-6.8034049999999999E-2</v>
      </c>
      <c r="U3603">
        <v>1.5335079999999999E-2</v>
      </c>
      <c r="V3603">
        <v>-1.343223E-2</v>
      </c>
      <c r="W3603">
        <v>3.3008610000000001E-2</v>
      </c>
      <c r="X3603">
        <v>0.99936480000000005</v>
      </c>
      <c r="Y3603">
        <v>8.0346700000000007E-3</v>
      </c>
      <c r="Z3603">
        <v>-3.8871810000000001E-4</v>
      </c>
      <c r="AA3603">
        <v>0.99996759999999996</v>
      </c>
      <c r="AB3603">
        <v>28</v>
      </c>
      <c r="AC3603">
        <v>48.694000000000003</v>
      </c>
      <c r="AD3603">
        <v>-1.1094943982133001</v>
      </c>
      <c r="AE3603">
        <v>0.24620000000001599</v>
      </c>
      <c r="AF3603">
        <v>0.39373074606089198</v>
      </c>
      <c r="AG3603">
        <v>-1.1094943982133001</v>
      </c>
      <c r="AH3603">
        <v>48.667763321731002</v>
      </c>
      <c r="AI3603">
        <v>91.3059210789323</v>
      </c>
      <c r="AJ3603">
        <v>89.536477201296904</v>
      </c>
      <c r="AK3603">
        <v>48.682000662052602</v>
      </c>
      <c r="AL3603">
        <v>88.108402345951703</v>
      </c>
      <c r="AM3603">
        <v>90.770052886625194</v>
      </c>
      <c r="AN3603">
        <v>0.99999999830797204</v>
      </c>
    </row>
    <row r="3604" spans="1:40" x14ac:dyDescent="0.25">
      <c r="A3604" t="str">
        <f>"20190312160404239"</f>
        <v>20190312160404239</v>
      </c>
      <c r="B3604" t="str">
        <f>"1552377844228664"</f>
        <v>1552377844228664</v>
      </c>
      <c r="C3604" t="s">
        <v>40</v>
      </c>
      <c r="D3604">
        <v>5.083825</v>
      </c>
      <c r="E3604">
        <v>0.50849309999999903</v>
      </c>
      <c r="F3604" t="s">
        <v>70</v>
      </c>
      <c r="G3604">
        <v>-349.88529999999997</v>
      </c>
      <c r="H3604" s="1">
        <v>3.7236790000000001E-6</v>
      </c>
      <c r="I3604">
        <v>212.08250000000001</v>
      </c>
      <c r="J3604">
        <v>-400.35550000000001</v>
      </c>
      <c r="K3604">
        <v>1.109486</v>
      </c>
      <c r="L3604">
        <v>211.85659999999999</v>
      </c>
      <c r="M3604">
        <v>0.99988160000000004</v>
      </c>
      <c r="N3604">
        <v>0</v>
      </c>
      <c r="O3604">
        <v>1.332447E-2</v>
      </c>
      <c r="P3604">
        <v>0.9993322</v>
      </c>
      <c r="Q3604">
        <v>2.5102739999999998E-2</v>
      </c>
      <c r="R3604">
        <v>2.6554520000000002E-2</v>
      </c>
      <c r="S3604">
        <v>3.0033259999999999</v>
      </c>
      <c r="T3604">
        <v>-6.5669420000000006E-2</v>
      </c>
      <c r="U3604">
        <v>1.3595579999999999E-2</v>
      </c>
      <c r="V3604">
        <v>-1.324647E-2</v>
      </c>
      <c r="W3604">
        <v>3.2808919999999998E-2</v>
      </c>
      <c r="X3604">
        <v>0.99937390000000004</v>
      </c>
      <c r="Y3604">
        <v>8.7930509999999996E-3</v>
      </c>
      <c r="Z3604">
        <v>-3.8743129999999998E-4</v>
      </c>
      <c r="AA3604">
        <v>0.99996130000000005</v>
      </c>
      <c r="AB3604">
        <v>28</v>
      </c>
      <c r="AC3604">
        <v>50.470199999999998</v>
      </c>
      <c r="AD3604">
        <v>-1.1094822763209999</v>
      </c>
      <c r="AE3604">
        <v>0.225900000000024</v>
      </c>
      <c r="AF3604">
        <v>0.44641291855415199</v>
      </c>
      <c r="AG3604">
        <v>-1.1094822763209999</v>
      </c>
      <c r="AH3604">
        <v>50.444352666028003</v>
      </c>
      <c r="AI3604">
        <v>91.259921345291005</v>
      </c>
      <c r="AJ3604">
        <v>89.492967852198404</v>
      </c>
      <c r="AK3604">
        <v>50.458527042611202</v>
      </c>
      <c r="AL3604">
        <v>88.119850024923593</v>
      </c>
      <c r="AM3604">
        <v>90.759397840771598</v>
      </c>
      <c r="AN3604">
        <v>1.0000000431001099</v>
      </c>
    </row>
    <row r="3605" spans="1:40" x14ac:dyDescent="0.25">
      <c r="A3605" t="str">
        <f>"20190312160404261"</f>
        <v>20190312160404261</v>
      </c>
      <c r="B3605" t="str">
        <f>"1552377844257944"</f>
        <v>1552377844257944</v>
      </c>
      <c r="C3605" t="s">
        <v>40</v>
      </c>
      <c r="D3605">
        <v>5.0855399999999999</v>
      </c>
      <c r="E3605">
        <v>0.50862339999999995</v>
      </c>
      <c r="F3605" t="s">
        <v>70</v>
      </c>
      <c r="G3605">
        <v>-350.10849999999999</v>
      </c>
      <c r="H3605" s="1">
        <v>-1.3675909999999901E-6</v>
      </c>
      <c r="I3605">
        <v>212.06620000000001</v>
      </c>
      <c r="J3605">
        <v>-400.07459999999998</v>
      </c>
      <c r="K3605">
        <v>1.10948</v>
      </c>
      <c r="L3605">
        <v>211.8605</v>
      </c>
      <c r="M3605">
        <v>0.99987910000000002</v>
      </c>
      <c r="N3605">
        <v>0</v>
      </c>
      <c r="O3605">
        <v>1.350988E-2</v>
      </c>
      <c r="P3605">
        <v>0.99932469999999995</v>
      </c>
      <c r="Q3605">
        <v>2.5087999999999999E-2</v>
      </c>
      <c r="R3605">
        <v>2.6852830000000001E-2</v>
      </c>
      <c r="S3605">
        <v>3.0032960000000002</v>
      </c>
      <c r="T3605">
        <v>-6.6314819999999997E-2</v>
      </c>
      <c r="U3605">
        <v>1.2527470000000001E-2</v>
      </c>
      <c r="V3605">
        <v>-1.335942E-2</v>
      </c>
      <c r="W3605">
        <v>3.2785090000000003E-2</v>
      </c>
      <c r="X3605">
        <v>0.99937310000000001</v>
      </c>
      <c r="Y3605">
        <v>9.3337739999999995E-3</v>
      </c>
      <c r="Z3605">
        <v>-4.0130469999999997E-4</v>
      </c>
      <c r="AA3605">
        <v>0.99995639999999997</v>
      </c>
      <c r="AB3605">
        <v>28</v>
      </c>
      <c r="AC3605">
        <v>49.966099999999898</v>
      </c>
      <c r="AD3605">
        <v>-1.109481367591</v>
      </c>
      <c r="AE3605">
        <v>0.20570000000000699</v>
      </c>
      <c r="AF3605">
        <v>0.46914348768495101</v>
      </c>
      <c r="AG3605">
        <v>-1.109481367591</v>
      </c>
      <c r="AH3605">
        <v>49.939696512906501</v>
      </c>
      <c r="AI3605">
        <v>91.272641714174398</v>
      </c>
      <c r="AJ3605">
        <v>89.461767831565496</v>
      </c>
      <c r="AK3605">
        <v>49.954222367266198</v>
      </c>
      <c r="AL3605">
        <v>88.1212159706959</v>
      </c>
      <c r="AM3605">
        <v>90.765872919239399</v>
      </c>
      <c r="AN3605">
        <v>0.99999996461632601</v>
      </c>
    </row>
    <row r="3606" spans="1:40" x14ac:dyDescent="0.25">
      <c r="A3606" t="str">
        <f>"20190312160404284"</f>
        <v>20190312160404284</v>
      </c>
      <c r="B3606" t="str">
        <f>"1552377844278440"</f>
        <v>1552377844278440</v>
      </c>
      <c r="C3606" t="s">
        <v>40</v>
      </c>
      <c r="D3606">
        <v>5.0777390000000002</v>
      </c>
      <c r="E3606">
        <v>0.50874070000000005</v>
      </c>
      <c r="F3606" t="s">
        <v>70</v>
      </c>
      <c r="G3606">
        <v>-348.36079999999998</v>
      </c>
      <c r="H3606" s="1">
        <v>2.9124409999999999E-6</v>
      </c>
      <c r="I3606">
        <v>212.07730000000001</v>
      </c>
      <c r="J3606">
        <v>-399.78640000000001</v>
      </c>
      <c r="K3606">
        <v>1.1094850000000001</v>
      </c>
      <c r="L3606">
        <v>211.8646</v>
      </c>
      <c r="M3606">
        <v>0.9998766</v>
      </c>
      <c r="N3606">
        <v>0</v>
      </c>
      <c r="O3606">
        <v>1.370011E-2</v>
      </c>
      <c r="P3606">
        <v>0.9993436</v>
      </c>
      <c r="Q3606">
        <v>2.4072699999999999E-2</v>
      </c>
      <c r="R3606">
        <v>2.7069019999999999E-2</v>
      </c>
      <c r="S3606">
        <v>3.0032960000000002</v>
      </c>
      <c r="T3606">
        <v>-6.4433340000000006E-2</v>
      </c>
      <c r="U3606">
        <v>1.2588500000000001E-2</v>
      </c>
      <c r="V3606">
        <v>-1.338464E-2</v>
      </c>
      <c r="W3606">
        <v>3.1761850000000001E-2</v>
      </c>
      <c r="X3606">
        <v>0.99940589999999996</v>
      </c>
      <c r="Y3606">
        <v>9.5039270000000006E-3</v>
      </c>
      <c r="Z3606">
        <v>-3.9582719999999998E-4</v>
      </c>
      <c r="AA3606">
        <v>0.99995480000000003</v>
      </c>
      <c r="AB3606">
        <v>28</v>
      </c>
      <c r="AC3606">
        <v>51.425600000000003</v>
      </c>
      <c r="AD3606">
        <v>-1.1094820875589999</v>
      </c>
      <c r="AE3606">
        <v>0.21270000000001199</v>
      </c>
      <c r="AF3606">
        <v>0.49164831871087999</v>
      </c>
      <c r="AG3606">
        <v>-1.1094820875589999</v>
      </c>
      <c r="AH3606">
        <v>51.399763378371901</v>
      </c>
      <c r="AI3606">
        <v>91.236501111462005</v>
      </c>
      <c r="AJ3606">
        <v>89.451971900951605</v>
      </c>
      <c r="AK3606">
        <v>51.4140870182922</v>
      </c>
      <c r="AL3606">
        <v>88.179874035707897</v>
      </c>
      <c r="AM3606">
        <v>90.767293386415503</v>
      </c>
      <c r="AN3606">
        <v>1.00000005832907</v>
      </c>
    </row>
    <row r="3607" spans="1:40" x14ac:dyDescent="0.25">
      <c r="A3607" t="str">
        <f>"20190312160404308"</f>
        <v>20190312160404308</v>
      </c>
      <c r="B3607" t="str">
        <f>"1552377844297963"</f>
        <v>1552377844297963</v>
      </c>
      <c r="C3607" t="s">
        <v>40</v>
      </c>
      <c r="D3607">
        <v>5.0696529999999997</v>
      </c>
      <c r="E3607">
        <v>0.50897230000000004</v>
      </c>
      <c r="F3607" t="s">
        <v>70</v>
      </c>
      <c r="G3607">
        <v>-350.38099999999997</v>
      </c>
      <c r="H3607" s="1">
        <v>-1.2226649999999901E-6</v>
      </c>
      <c r="I3607">
        <v>212.0684</v>
      </c>
      <c r="J3607">
        <v>-399.48500000000001</v>
      </c>
      <c r="K3607">
        <v>1.1094839999999999</v>
      </c>
      <c r="L3607">
        <v>211.8689</v>
      </c>
      <c r="M3607">
        <v>0.99987389999999998</v>
      </c>
      <c r="N3607">
        <v>0</v>
      </c>
      <c r="O3607">
        <v>1.3898560000000001E-2</v>
      </c>
      <c r="P3607">
        <v>0.9993514</v>
      </c>
      <c r="Q3607">
        <v>2.4096079999999999E-2</v>
      </c>
      <c r="R3607">
        <v>2.6765899999999999E-2</v>
      </c>
      <c r="S3607">
        <v>3.0032960000000002</v>
      </c>
      <c r="T3607">
        <v>-6.7444320000000002E-2</v>
      </c>
      <c r="U3607">
        <v>1.2390139999999999E-2</v>
      </c>
      <c r="V3607">
        <v>-1.28833E-2</v>
      </c>
      <c r="W3607">
        <v>3.1779490000000001E-2</v>
      </c>
      <c r="X3607">
        <v>0.99941190000000002</v>
      </c>
      <c r="Y3607">
        <v>9.7678060000000004E-3</v>
      </c>
      <c r="Z3607">
        <v>-4.2173800000000001E-4</v>
      </c>
      <c r="AA3607">
        <v>0.99995219999999996</v>
      </c>
      <c r="AB3607">
        <v>28</v>
      </c>
      <c r="AC3607">
        <v>49.103999999999999</v>
      </c>
      <c r="AD3607">
        <v>-1.1094852226649901</v>
      </c>
      <c r="AE3607">
        <v>0.19950000000000001</v>
      </c>
      <c r="AF3607">
        <v>0.482767843125748</v>
      </c>
      <c r="AG3607">
        <v>-1.1094852226649901</v>
      </c>
      <c r="AH3607">
        <v>49.076975461999197</v>
      </c>
      <c r="AI3607">
        <v>91.295004837181196</v>
      </c>
      <c r="AJ3607">
        <v>89.436402355889498</v>
      </c>
      <c r="AK3607">
        <v>49.091888767365099</v>
      </c>
      <c r="AL3607">
        <v>88.178862777287094</v>
      </c>
      <c r="AM3607">
        <v>90.738552175014902</v>
      </c>
      <c r="AN3607">
        <v>1.00000003063257</v>
      </c>
    </row>
    <row r="3608" spans="1:40" x14ac:dyDescent="0.25">
      <c r="A3608" t="str">
        <f>"20190312160404329"</f>
        <v>20190312160404329</v>
      </c>
      <c r="B3608" t="str">
        <f>"1552377844318456"</f>
        <v>1552377844318456</v>
      </c>
      <c r="C3608" t="s">
        <v>40</v>
      </c>
      <c r="D3608">
        <v>5.0724179999999999</v>
      </c>
      <c r="E3608">
        <v>0.50900529999999999</v>
      </c>
      <c r="F3608" t="s">
        <v>70</v>
      </c>
      <c r="G3608">
        <v>-350.85570000000001</v>
      </c>
      <c r="H3608" s="1">
        <v>-9.6817040000000009E-7</v>
      </c>
      <c r="I3608">
        <v>212.0248</v>
      </c>
      <c r="J3608">
        <v>-399.22340000000003</v>
      </c>
      <c r="K3608">
        <v>1.109478</v>
      </c>
      <c r="L3608">
        <v>211.87280000000001</v>
      </c>
      <c r="M3608">
        <v>0.99987139999999997</v>
      </c>
      <c r="N3608">
        <v>0</v>
      </c>
      <c r="O3608">
        <v>1.4071490000000001E-2</v>
      </c>
      <c r="P3608">
        <v>0.99934610000000001</v>
      </c>
      <c r="Q3608">
        <v>2.4094399999999998E-2</v>
      </c>
      <c r="R3608">
        <v>2.6966299999999999E-2</v>
      </c>
      <c r="S3608">
        <v>3.0033259999999999</v>
      </c>
      <c r="T3608">
        <v>-6.8521260000000001E-2</v>
      </c>
      <c r="U3608">
        <v>9.6282959999999997E-3</v>
      </c>
      <c r="V3608">
        <v>-1.2910939999999999E-2</v>
      </c>
      <c r="W3608">
        <v>3.1774719999999999E-2</v>
      </c>
      <c r="X3608">
        <v>0.99941159999999996</v>
      </c>
      <c r="Y3608">
        <v>1.0859799999999999E-2</v>
      </c>
      <c r="Z3608">
        <v>-4.4486720000000001E-4</v>
      </c>
      <c r="AA3608">
        <v>0.99994090000000002</v>
      </c>
      <c r="AB3608">
        <v>28</v>
      </c>
      <c r="AC3608">
        <v>48.367699999999999</v>
      </c>
      <c r="AD3608">
        <v>-1.1094789681704</v>
      </c>
      <c r="AE3608">
        <v>0.15199999999998601</v>
      </c>
      <c r="AF3608">
        <v>0.52836278922832902</v>
      </c>
      <c r="AG3608">
        <v>-1.1094789681704</v>
      </c>
      <c r="AH3608">
        <v>48.339615167810102</v>
      </c>
      <c r="AI3608">
        <v>91.314729305613099</v>
      </c>
      <c r="AJ3608">
        <v>89.373769272097505</v>
      </c>
      <c r="AK3608">
        <v>48.3552324509957</v>
      </c>
      <c r="AL3608">
        <v>88.179136043337294</v>
      </c>
      <c r="AM3608">
        <v>90.740136720563498</v>
      </c>
      <c r="AN3608">
        <v>0.99999993570865797</v>
      </c>
    </row>
    <row r="3609" spans="1:40" x14ac:dyDescent="0.25">
      <c r="A3609" t="str">
        <f>"20190312160404350"</f>
        <v>20190312160404350</v>
      </c>
      <c r="B3609" t="str">
        <f>"1552377844337977"</f>
        <v>1552377844337977</v>
      </c>
      <c r="C3609" t="s">
        <v>40</v>
      </c>
      <c r="D3609">
        <v>5.0748610000000003</v>
      </c>
      <c r="E3609">
        <v>0.50881430000000005</v>
      </c>
      <c r="F3609" t="s">
        <v>70</v>
      </c>
      <c r="G3609">
        <v>-349.70519999999999</v>
      </c>
      <c r="H3609" s="1">
        <v>3.627859E-6</v>
      </c>
      <c r="I3609">
        <v>212.03649999999999</v>
      </c>
      <c r="J3609">
        <v>-398.93770000000001</v>
      </c>
      <c r="K3609">
        <v>1.10948</v>
      </c>
      <c r="L3609">
        <v>211.87700000000001</v>
      </c>
      <c r="M3609">
        <v>0.99986889999999995</v>
      </c>
      <c r="N3609">
        <v>0</v>
      </c>
      <c r="O3609">
        <v>1.425949E-2</v>
      </c>
      <c r="P3609">
        <v>0.99934020000000001</v>
      </c>
      <c r="Q3609">
        <v>2.3824080000000001E-2</v>
      </c>
      <c r="R3609">
        <v>2.741816E-2</v>
      </c>
      <c r="S3609">
        <v>3.0033259999999999</v>
      </c>
      <c r="T3609">
        <v>-6.7290779999999994E-2</v>
      </c>
      <c r="U3609">
        <v>9.9334720000000005E-3</v>
      </c>
      <c r="V3609">
        <v>-1.317459E-2</v>
      </c>
      <c r="W3609">
        <v>3.150211E-2</v>
      </c>
      <c r="X3609">
        <v>0.99941679999999999</v>
      </c>
      <c r="Y3609">
        <v>1.094637E-2</v>
      </c>
      <c r="Z3609">
        <v>-4.4206170000000002E-4</v>
      </c>
      <c r="AA3609">
        <v>0.99994000000000005</v>
      </c>
      <c r="AB3609">
        <v>29</v>
      </c>
      <c r="AC3609">
        <v>49.232500000000002</v>
      </c>
      <c r="AD3609">
        <v>-1.1094763721409999</v>
      </c>
      <c r="AE3609">
        <v>0.15949999999997999</v>
      </c>
      <c r="AF3609">
        <v>0.54229181905355495</v>
      </c>
      <c r="AG3609">
        <v>-1.1094763721409999</v>
      </c>
      <c r="AH3609">
        <v>49.204780403284197</v>
      </c>
      <c r="AI3609">
        <v>91.291616076696798</v>
      </c>
      <c r="AJ3609">
        <v>89.368561869031396</v>
      </c>
      <c r="AK3609">
        <v>49.220274610903701</v>
      </c>
      <c r="AL3609">
        <v>88.194763289523394</v>
      </c>
      <c r="AM3609">
        <v>90.755245143388706</v>
      </c>
      <c r="AN3609">
        <v>0.999999946439178</v>
      </c>
    </row>
    <row r="3610" spans="1:40" x14ac:dyDescent="0.25">
      <c r="A3610" t="str">
        <f>"20190312160404374"</f>
        <v>20190312160404374</v>
      </c>
      <c r="B3610" t="str">
        <f>"1552377844368233"</f>
        <v>1552377844368233</v>
      </c>
      <c r="C3610" t="s">
        <v>40</v>
      </c>
      <c r="D3610">
        <v>5.0615459999999999</v>
      </c>
      <c r="E3610">
        <v>0.50864509999999996</v>
      </c>
      <c r="F3610" t="s">
        <v>70</v>
      </c>
      <c r="G3610">
        <v>-350.03469999999999</v>
      </c>
      <c r="H3610" s="1">
        <v>-1.4075989999999901E-6</v>
      </c>
      <c r="I3610">
        <v>212.083</v>
      </c>
      <c r="J3610">
        <v>-398.63929999999999</v>
      </c>
      <c r="K3610">
        <v>1.109475</v>
      </c>
      <c r="L3610">
        <v>211.88149999999999</v>
      </c>
      <c r="M3610">
        <v>0.99986589999999997</v>
      </c>
      <c r="N3610">
        <v>0</v>
      </c>
      <c r="O3610">
        <v>1.4456790000000001E-2</v>
      </c>
      <c r="P3610">
        <v>0.99933090000000002</v>
      </c>
      <c r="Q3610">
        <v>2.377373E-2</v>
      </c>
      <c r="R3610">
        <v>2.779792E-2</v>
      </c>
      <c r="S3610">
        <v>3.0032960000000002</v>
      </c>
      <c r="T3610">
        <v>-6.8136929999999998E-2</v>
      </c>
      <c r="U3610">
        <v>1.2649540000000001E-2</v>
      </c>
      <c r="V3610">
        <v>-1.335713E-2</v>
      </c>
      <c r="W3610">
        <v>3.145063E-2</v>
      </c>
      <c r="X3610">
        <v>0.99941610000000003</v>
      </c>
      <c r="Y3610">
        <v>1.023932E-2</v>
      </c>
      <c r="Z3610">
        <v>-4.4407799999999999E-4</v>
      </c>
      <c r="AA3610">
        <v>0.99994749999999999</v>
      </c>
      <c r="AB3610">
        <v>29</v>
      </c>
      <c r="AC3610">
        <v>48.604599999999998</v>
      </c>
      <c r="AD3610">
        <v>-1.109476407599</v>
      </c>
      <c r="AE3610">
        <v>0.20150000000001</v>
      </c>
      <c r="AF3610">
        <v>0.50094733284888204</v>
      </c>
      <c r="AG3610">
        <v>-1.109476407599</v>
      </c>
      <c r="AH3610">
        <v>48.5771226212727</v>
      </c>
      <c r="AI3610">
        <v>91.308309020176395</v>
      </c>
      <c r="AJ3610">
        <v>89.409163223456602</v>
      </c>
      <c r="AK3610">
        <v>48.592373149409603</v>
      </c>
      <c r="AL3610">
        <v>88.197714521758499</v>
      </c>
      <c r="AM3610">
        <v>90.765708710846297</v>
      </c>
      <c r="AN3610">
        <v>1.0000000479942199</v>
      </c>
    </row>
    <row r="3611" spans="1:40" x14ac:dyDescent="0.25">
      <c r="A3611" t="str">
        <f>"20190312160404397"</f>
        <v>20190312160404397</v>
      </c>
      <c r="B3611" t="str">
        <f>"1552377844388729"</f>
        <v>1552377844388729</v>
      </c>
      <c r="C3611" t="s">
        <v>40</v>
      </c>
      <c r="D3611">
        <v>5.1085770000000004</v>
      </c>
      <c r="E3611">
        <v>0.50860850000000002</v>
      </c>
      <c r="F3611" t="s">
        <v>70</v>
      </c>
      <c r="G3611">
        <v>-348.82639999999998</v>
      </c>
      <c r="H3611" s="1">
        <v>3.1601660000000002E-6</v>
      </c>
      <c r="I3611">
        <v>212.13329999999999</v>
      </c>
      <c r="J3611">
        <v>-398.34199999999998</v>
      </c>
      <c r="K3611">
        <v>1.1094679999999999</v>
      </c>
      <c r="L3611">
        <v>211.886</v>
      </c>
      <c r="M3611">
        <v>0.9998631</v>
      </c>
      <c r="N3611">
        <v>0</v>
      </c>
      <c r="O3611">
        <v>1.465259E-2</v>
      </c>
      <c r="P3611">
        <v>0.99932310000000002</v>
      </c>
      <c r="Q3611">
        <v>2.4040949999999998E-2</v>
      </c>
      <c r="R3611">
        <v>2.7849849999999999E-2</v>
      </c>
      <c r="S3611">
        <v>3.0032040000000002</v>
      </c>
      <c r="T3611">
        <v>-6.6889760000000006E-2</v>
      </c>
      <c r="U3611">
        <v>1.5182499999999899E-2</v>
      </c>
      <c r="V3611">
        <v>-1.321405E-2</v>
      </c>
      <c r="W3611">
        <v>3.1718009999999998E-2</v>
      </c>
      <c r="X3611">
        <v>0.99940949999999995</v>
      </c>
      <c r="Y3611">
        <v>9.5919979999999991E-3</v>
      </c>
      <c r="Z3611">
        <v>-4.3311590000000001E-4</v>
      </c>
      <c r="AA3611">
        <v>0.99995389999999995</v>
      </c>
      <c r="AB3611">
        <v>29</v>
      </c>
      <c r="AC3611">
        <v>49.515599999999999</v>
      </c>
      <c r="AD3611">
        <v>-1.1094648398339999</v>
      </c>
      <c r="AE3611">
        <v>0.247299999999995</v>
      </c>
      <c r="AF3611">
        <v>0.47803977836511902</v>
      </c>
      <c r="AG3611">
        <v>-1.1094648398339999</v>
      </c>
      <c r="AH3611">
        <v>49.489062496613499</v>
      </c>
      <c r="AI3611">
        <v>91.284203813096397</v>
      </c>
      <c r="AJ3611">
        <v>89.446568422751994</v>
      </c>
      <c r="AK3611">
        <v>49.503805318927199</v>
      </c>
      <c r="AL3611">
        <v>88.182387035379406</v>
      </c>
      <c r="AM3611">
        <v>90.757512492373195</v>
      </c>
      <c r="AN3611">
        <v>0.99999999598300604</v>
      </c>
    </row>
    <row r="3612" spans="1:40" x14ac:dyDescent="0.25">
      <c r="A3612" t="str">
        <f>"20190312160404420"</f>
        <v>20190312160404420</v>
      </c>
      <c r="B3612" t="str">
        <f>"1552377844408248"</f>
        <v>1552377844408248</v>
      </c>
      <c r="C3612" t="s">
        <v>40</v>
      </c>
      <c r="D3612">
        <v>5.1175730000000001</v>
      </c>
      <c r="E3612">
        <v>0.50851170000000001</v>
      </c>
      <c r="F3612" t="s">
        <v>70</v>
      </c>
      <c r="G3612">
        <v>-348.5111</v>
      </c>
      <c r="H3612" s="1">
        <v>2.9923830000000001E-6</v>
      </c>
      <c r="I3612">
        <v>212.1447</v>
      </c>
      <c r="J3612">
        <v>-398.04360000000003</v>
      </c>
      <c r="K3612">
        <v>1.10947</v>
      </c>
      <c r="L3612">
        <v>211.8905</v>
      </c>
      <c r="M3612">
        <v>0.99986010000000003</v>
      </c>
      <c r="N3612">
        <v>0</v>
      </c>
      <c r="O3612">
        <v>1.484922E-2</v>
      </c>
      <c r="P3612">
        <v>0.99932299999999996</v>
      </c>
      <c r="Q3612">
        <v>2.331573E-2</v>
      </c>
      <c r="R3612">
        <v>2.8457059999999999E-2</v>
      </c>
      <c r="S3612">
        <v>3.0032350000000001</v>
      </c>
      <c r="T3612">
        <v>-6.6865800000000003E-2</v>
      </c>
      <c r="U3612">
        <v>1.5594480000000001E-2</v>
      </c>
      <c r="V3612">
        <v>-1.36242E-2</v>
      </c>
      <c r="W3612">
        <v>3.0993570000000002E-2</v>
      </c>
      <c r="X3612">
        <v>0.9994267</v>
      </c>
      <c r="Y3612">
        <v>9.6514749999999996E-3</v>
      </c>
      <c r="Z3612">
        <v>-4.3799540000000002E-4</v>
      </c>
      <c r="AA3612">
        <v>0.99995330000000004</v>
      </c>
      <c r="AB3612">
        <v>29</v>
      </c>
      <c r="AC3612">
        <v>49.532499999999999</v>
      </c>
      <c r="AD3612">
        <v>-1.1094670076169999</v>
      </c>
      <c r="AE3612">
        <v>0.25419999999999698</v>
      </c>
      <c r="AF3612">
        <v>0.48112744286860498</v>
      </c>
      <c r="AG3612">
        <v>-1.1094670076169999</v>
      </c>
      <c r="AH3612">
        <v>49.505976483406101</v>
      </c>
      <c r="AI3612">
        <v>91.283766977808199</v>
      </c>
      <c r="AJ3612">
        <v>89.443184318380602</v>
      </c>
      <c r="AK3612">
        <v>49.520744221314203</v>
      </c>
      <c r="AL3612">
        <v>88.223914772468405</v>
      </c>
      <c r="AM3612">
        <v>90.781008562829896</v>
      </c>
      <c r="AN3612">
        <v>0.99999997443993704</v>
      </c>
    </row>
    <row r="3613" spans="1:40" x14ac:dyDescent="0.25">
      <c r="A3613" t="str">
        <f>"20190312160404441"</f>
        <v>20190312160404441</v>
      </c>
      <c r="B3613" t="str">
        <f>"1552377844438505"</f>
        <v>1552377844438505</v>
      </c>
      <c r="C3613" t="s">
        <v>40</v>
      </c>
      <c r="D3613">
        <v>5.0703209999999999</v>
      </c>
      <c r="E3613">
        <v>0.508525</v>
      </c>
      <c r="F3613" t="s">
        <v>70</v>
      </c>
      <c r="G3613">
        <v>-349.565</v>
      </c>
      <c r="H3613" s="1">
        <v>3.5532059999999999E-6</v>
      </c>
      <c r="I3613">
        <v>212.18440000000001</v>
      </c>
      <c r="J3613">
        <v>-397.77260000000001</v>
      </c>
      <c r="K3613">
        <v>1.109467</v>
      </c>
      <c r="L3613">
        <v>211.8947</v>
      </c>
      <c r="M3613">
        <v>0.99985760000000001</v>
      </c>
      <c r="N3613">
        <v>0</v>
      </c>
      <c r="O3613">
        <v>1.5027260000000001E-2</v>
      </c>
      <c r="P3613">
        <v>0.99929829999999997</v>
      </c>
      <c r="Q3613">
        <v>2.359114E-2</v>
      </c>
      <c r="R3613">
        <v>2.9095659999999999E-2</v>
      </c>
      <c r="S3613">
        <v>3.003082</v>
      </c>
      <c r="T3613">
        <v>-6.8727490000000002E-2</v>
      </c>
      <c r="U3613">
        <v>1.820374E-2</v>
      </c>
      <c r="V3613">
        <v>-1.4084910000000001E-2</v>
      </c>
      <c r="W3613">
        <v>3.1270949999999999E-2</v>
      </c>
      <c r="X3613">
        <v>0.99941170000000001</v>
      </c>
      <c r="Y3613">
        <v>8.9602580000000005E-3</v>
      </c>
      <c r="Z3613">
        <v>-4.4637319999999998E-4</v>
      </c>
      <c r="AA3613">
        <v>0.99995979999999995</v>
      </c>
      <c r="AB3613">
        <v>29</v>
      </c>
      <c r="AC3613">
        <v>48.207599999999999</v>
      </c>
      <c r="AD3613">
        <v>-1.1094634467940001</v>
      </c>
      <c r="AE3613">
        <v>0.28970000000001001</v>
      </c>
      <c r="AF3613">
        <v>0.43455205491773202</v>
      </c>
      <c r="AG3613">
        <v>-1.1094634467940001</v>
      </c>
      <c r="AH3613">
        <v>48.180991319307999</v>
      </c>
      <c r="AI3613">
        <v>91.319062881784106</v>
      </c>
      <c r="AJ3613">
        <v>89.483254226086203</v>
      </c>
      <c r="AK3613">
        <v>48.195722519114099</v>
      </c>
      <c r="AL3613">
        <v>88.208014409939196</v>
      </c>
      <c r="AM3613">
        <v>90.807427485060003</v>
      </c>
      <c r="AN3613">
        <v>1.0000000015502499</v>
      </c>
    </row>
    <row r="3614" spans="1:40" x14ac:dyDescent="0.25">
      <c r="A3614" t="str">
        <f>"20190312160404462"</f>
        <v>20190312160404462</v>
      </c>
      <c r="B3614" t="str">
        <f>"1552377844458026"</f>
        <v>1552377844458026</v>
      </c>
      <c r="C3614" t="s">
        <v>40</v>
      </c>
      <c r="D3614">
        <v>5.1066609999999999</v>
      </c>
      <c r="E3614">
        <v>0.50848059999999995</v>
      </c>
      <c r="F3614" t="s">
        <v>70</v>
      </c>
      <c r="G3614">
        <v>-349.46370000000002</v>
      </c>
      <c r="H3614" s="1">
        <v>3.499319E-6</v>
      </c>
      <c r="I3614">
        <v>212.2148</v>
      </c>
      <c r="J3614">
        <v>-397.4941</v>
      </c>
      <c r="K3614">
        <v>1.1094710000000001</v>
      </c>
      <c r="L3614">
        <v>211.8991</v>
      </c>
      <c r="M3614">
        <v>0.99985489999999999</v>
      </c>
      <c r="N3614">
        <v>0</v>
      </c>
      <c r="O3614">
        <v>1.521047E-2</v>
      </c>
      <c r="P3614">
        <v>0.99929440000000003</v>
      </c>
      <c r="Q3614">
        <v>2.3766800000000001E-2</v>
      </c>
      <c r="R3614">
        <v>2.9086790000000001E-2</v>
      </c>
      <c r="S3614">
        <v>3.0031430000000001</v>
      </c>
      <c r="T3614">
        <v>-6.8970199999999995E-2</v>
      </c>
      <c r="U3614">
        <v>1.9897459999999999E-2</v>
      </c>
      <c r="V3614">
        <v>-1.3893259999999999E-2</v>
      </c>
      <c r="W3614">
        <v>3.1450159999999998E-2</v>
      </c>
      <c r="X3614">
        <v>0.99940879999999999</v>
      </c>
      <c r="Y3614">
        <v>8.5796829999999994E-3</v>
      </c>
      <c r="Z3614">
        <v>-4.477762E-4</v>
      </c>
      <c r="AA3614">
        <v>0.99996309999999999</v>
      </c>
      <c r="AB3614">
        <v>29</v>
      </c>
      <c r="AC3614">
        <v>48.030399999999901</v>
      </c>
      <c r="AD3614">
        <v>-1.109467500681</v>
      </c>
      <c r="AE3614">
        <v>0.31569999999999199</v>
      </c>
      <c r="AF3614">
        <v>0.414701703976118</v>
      </c>
      <c r="AG3614">
        <v>-1.109467500681</v>
      </c>
      <c r="AH3614">
        <v>48.0040325989183</v>
      </c>
      <c r="AI3614">
        <v>91.323932934619293</v>
      </c>
      <c r="AJ3614">
        <v>89.505040200893106</v>
      </c>
      <c r="AK3614">
        <v>48.018642644251798</v>
      </c>
      <c r="AL3614">
        <v>88.197741453975397</v>
      </c>
      <c r="AM3614">
        <v>90.796444748176896</v>
      </c>
      <c r="AN3614">
        <v>1.00000004237744</v>
      </c>
    </row>
    <row r="3615" spans="1:40" x14ac:dyDescent="0.25">
      <c r="A3615" t="str">
        <f>"20190312160404486"</f>
        <v>20190312160404486</v>
      </c>
      <c r="B3615" t="str">
        <f>"1552377844478521"</f>
        <v>1552377844478521</v>
      </c>
      <c r="C3615" t="s">
        <v>40</v>
      </c>
      <c r="D3615">
        <v>5.1076370000000004</v>
      </c>
      <c r="E3615">
        <v>0.50846409999999997</v>
      </c>
      <c r="F3615" t="s">
        <v>70</v>
      </c>
      <c r="G3615">
        <v>-348.26260000000002</v>
      </c>
      <c r="H3615" s="1">
        <v>2.860157E-6</v>
      </c>
      <c r="I3615">
        <v>212.23079999999999</v>
      </c>
      <c r="J3615">
        <v>-397.19080000000002</v>
      </c>
      <c r="K3615">
        <v>1.109472</v>
      </c>
      <c r="L3615">
        <v>211.90389999999999</v>
      </c>
      <c r="M3615">
        <v>0.99985170000000001</v>
      </c>
      <c r="N3615">
        <v>0</v>
      </c>
      <c r="O3615">
        <v>1.541002E-2</v>
      </c>
      <c r="P3615">
        <v>0.9992683</v>
      </c>
      <c r="Q3615">
        <v>2.4513480000000001E-2</v>
      </c>
      <c r="R3615">
        <v>2.9357600000000001E-2</v>
      </c>
      <c r="S3615">
        <v>3.0031430000000001</v>
      </c>
      <c r="T3615">
        <v>-6.7677970000000004E-2</v>
      </c>
      <c r="U3615">
        <v>2.0233149999999998E-2</v>
      </c>
      <c r="V3615">
        <v>-1.396536E-2</v>
      </c>
      <c r="W3615">
        <v>3.2200319999999998E-2</v>
      </c>
      <c r="X3615">
        <v>0.99938389999999999</v>
      </c>
      <c r="Y3615">
        <v>8.6676400000000008E-3</v>
      </c>
      <c r="Z3615">
        <v>-4.4487539999999999E-4</v>
      </c>
      <c r="AA3615">
        <v>0.99996229999999997</v>
      </c>
      <c r="AB3615">
        <v>29</v>
      </c>
      <c r="AC3615">
        <v>48.928199999999997</v>
      </c>
      <c r="AD3615">
        <v>-1.1094691398430001</v>
      </c>
      <c r="AE3615">
        <v>0.32689999999999397</v>
      </c>
      <c r="AF3615">
        <v>0.42692613869471402</v>
      </c>
      <c r="AG3615">
        <v>-1.1094691398430001</v>
      </c>
      <c r="AH3615">
        <v>48.902284268979898</v>
      </c>
      <c r="AI3615">
        <v>91.299623849457006</v>
      </c>
      <c r="AJ3615">
        <v>89.499809776535798</v>
      </c>
      <c r="AK3615">
        <v>48.916731232005702</v>
      </c>
      <c r="AL3615">
        <v>88.1547386574493</v>
      </c>
      <c r="AM3615">
        <v>90.8005973588633</v>
      </c>
      <c r="AN3615">
        <v>1.0000000357336201</v>
      </c>
    </row>
    <row r="3616" spans="1:40" x14ac:dyDescent="0.25">
      <c r="A3616" t="str">
        <f>"20190312160404507"</f>
        <v>20190312160404507</v>
      </c>
      <c r="B3616" t="str">
        <f>"1552377844498671"</f>
        <v>1552377844498671</v>
      </c>
      <c r="C3616" t="s">
        <v>40</v>
      </c>
      <c r="D3616">
        <v>5.0995860000000004</v>
      </c>
      <c r="E3616">
        <v>0.50847979999999904</v>
      </c>
      <c r="F3616" t="s">
        <v>70</v>
      </c>
      <c r="G3616">
        <v>-346.6035</v>
      </c>
      <c r="H3616" s="1">
        <v>1.977289E-6</v>
      </c>
      <c r="I3616">
        <v>212.2628</v>
      </c>
      <c r="J3616">
        <v>-396.90949999999998</v>
      </c>
      <c r="K3616">
        <v>1.1094729999999999</v>
      </c>
      <c r="L3616">
        <v>211.9085</v>
      </c>
      <c r="M3616">
        <v>0.99984879999999998</v>
      </c>
      <c r="N3616">
        <v>0</v>
      </c>
      <c r="O3616">
        <v>1.55952E-2</v>
      </c>
      <c r="P3616">
        <v>0.99924009999999996</v>
      </c>
      <c r="Q3616">
        <v>2.552803E-2</v>
      </c>
      <c r="R3616">
        <v>2.945797E-2</v>
      </c>
      <c r="S3616">
        <v>3.003174</v>
      </c>
      <c r="T3616">
        <v>-6.586504E-2</v>
      </c>
      <c r="U3616">
        <v>2.1301270000000001E-2</v>
      </c>
      <c r="V3616">
        <v>-1.38815E-2</v>
      </c>
      <c r="W3616">
        <v>3.3218299999999999E-2</v>
      </c>
      <c r="X3616">
        <v>0.99935169999999995</v>
      </c>
      <c r="Y3616">
        <v>8.4975980000000003E-3</v>
      </c>
      <c r="Z3616">
        <v>-4.3515200000000001E-4</v>
      </c>
      <c r="AA3616">
        <v>0.99996379999999996</v>
      </c>
      <c r="AB3616">
        <v>29</v>
      </c>
      <c r="AC3616">
        <v>50.305999999999898</v>
      </c>
      <c r="AD3616">
        <v>-1.1094710227109901</v>
      </c>
      <c r="AE3616">
        <v>0.35429999999999401</v>
      </c>
      <c r="AF3616">
        <v>0.43008924680522798</v>
      </c>
      <c r="AG3616">
        <v>-1.1094710227109901</v>
      </c>
      <c r="AH3616">
        <v>50.2809519673038</v>
      </c>
      <c r="AI3616">
        <v>91.264004889135407</v>
      </c>
      <c r="AJ3616">
        <v>89.509919826014993</v>
      </c>
      <c r="AK3616">
        <v>50.295029908021299</v>
      </c>
      <c r="AL3616">
        <v>88.096381377969095</v>
      </c>
      <c r="AM3616">
        <v>90.795816143513903</v>
      </c>
      <c r="AN3616">
        <v>0.99999998589501404</v>
      </c>
    </row>
    <row r="3617" spans="1:40" x14ac:dyDescent="0.25">
      <c r="A3617" t="str">
        <f>"20190312160404528"</f>
        <v>20190312160404528</v>
      </c>
      <c r="B3617" t="str">
        <f>"1552377844518195"</f>
        <v>1552377844518195</v>
      </c>
      <c r="C3617" t="s">
        <v>40</v>
      </c>
      <c r="D3617">
        <v>5.1402349999999997</v>
      </c>
      <c r="E3617">
        <v>0.50837739999999998</v>
      </c>
      <c r="F3617" t="s">
        <v>70</v>
      </c>
      <c r="G3617">
        <v>-344.96199999999999</v>
      </c>
      <c r="H3617" s="1">
        <v>1.1037670000000001E-6</v>
      </c>
      <c r="I3617">
        <v>212.27799999999999</v>
      </c>
      <c r="J3617">
        <v>-396.62709999999998</v>
      </c>
      <c r="K3617">
        <v>1.1094759999999999</v>
      </c>
      <c r="L3617">
        <v>211.91309999999999</v>
      </c>
      <c r="M3617">
        <v>0.99984580000000001</v>
      </c>
      <c r="N3617">
        <v>0</v>
      </c>
      <c r="O3617">
        <v>1.5780499999999999E-2</v>
      </c>
      <c r="P3617">
        <v>0.9991989</v>
      </c>
      <c r="Q3617">
        <v>2.646712E-2</v>
      </c>
      <c r="R3617">
        <v>3.002258E-2</v>
      </c>
      <c r="S3617">
        <v>3.0032960000000002</v>
      </c>
      <c r="T3617">
        <v>-6.4143179999999994E-2</v>
      </c>
      <c r="U3617">
        <v>2.1362300000000001E-2</v>
      </c>
      <c r="V3617">
        <v>-1.4261319999999999E-2</v>
      </c>
      <c r="W3617">
        <v>3.4161900000000002E-2</v>
      </c>
      <c r="X3617">
        <v>0.99931449999999999</v>
      </c>
      <c r="Y3617">
        <v>8.6631050000000008E-3</v>
      </c>
      <c r="Z3617">
        <v>-4.2948539999999999E-4</v>
      </c>
      <c r="AA3617">
        <v>0.99996240000000003</v>
      </c>
      <c r="AB3617">
        <v>29</v>
      </c>
      <c r="AC3617">
        <v>51.665100000000002</v>
      </c>
      <c r="AD3617">
        <v>-1.1094748962330001</v>
      </c>
      <c r="AE3617">
        <v>0.364900000000005</v>
      </c>
      <c r="AF3617">
        <v>0.45026311888888199</v>
      </c>
      <c r="AG3617">
        <v>-1.1094748962330001</v>
      </c>
      <c r="AH3617">
        <v>51.640611981763399</v>
      </c>
      <c r="AI3617">
        <v>91.230737465621402</v>
      </c>
      <c r="AJ3617">
        <v>89.500441190306404</v>
      </c>
      <c r="AK3617">
        <v>51.654491356247497</v>
      </c>
      <c r="AL3617">
        <v>88.042286289857302</v>
      </c>
      <c r="AM3617">
        <v>90.817618458216103</v>
      </c>
      <c r="AN3617">
        <v>0.99999994528499903</v>
      </c>
    </row>
    <row r="3618" spans="1:40" x14ac:dyDescent="0.25">
      <c r="A3618" t="str">
        <f>"20190312160404552"</f>
        <v>20190312160404552</v>
      </c>
      <c r="B3618" t="str">
        <f>"1552377844548447"</f>
        <v>1552377844548447</v>
      </c>
      <c r="C3618" t="s">
        <v>40</v>
      </c>
      <c r="D3618">
        <v>5.1964569999999997</v>
      </c>
      <c r="E3618">
        <v>0.50846059999999904</v>
      </c>
      <c r="F3618" t="s">
        <v>70</v>
      </c>
      <c r="G3618">
        <v>-342.2706</v>
      </c>
      <c r="H3618" s="1">
        <v>-3.2848659999999899E-7</v>
      </c>
      <c r="I3618">
        <v>212.34440000000001</v>
      </c>
      <c r="J3618">
        <v>-396.32420000000002</v>
      </c>
      <c r="K3618">
        <v>1.1094740000000001</v>
      </c>
      <c r="L3618">
        <v>211.91800000000001</v>
      </c>
      <c r="M3618">
        <v>0.99984269999999997</v>
      </c>
      <c r="N3618">
        <v>0</v>
      </c>
      <c r="O3618">
        <v>1.5979139999999999E-2</v>
      </c>
      <c r="P3618">
        <v>0.99918839999999998</v>
      </c>
      <c r="Q3618">
        <v>2.6971930000000002E-2</v>
      </c>
      <c r="R3618">
        <v>2.991779E-2</v>
      </c>
      <c r="S3618">
        <v>3.0033259999999999</v>
      </c>
      <c r="T3618">
        <v>-6.1301229999999998E-2</v>
      </c>
      <c r="U3618">
        <v>2.3834230000000001E-2</v>
      </c>
      <c r="V3618">
        <v>-1.395849E-2</v>
      </c>
      <c r="W3618">
        <v>3.4671809999999997E-2</v>
      </c>
      <c r="X3618">
        <v>0.99930129999999995</v>
      </c>
      <c r="Y3618">
        <v>8.0394319999999991E-3</v>
      </c>
      <c r="Z3618">
        <v>-4.0814410000000002E-4</v>
      </c>
      <c r="AA3618">
        <v>0.99996759999999996</v>
      </c>
      <c r="AB3618">
        <v>29</v>
      </c>
      <c r="AC3618">
        <v>54.053600000000003</v>
      </c>
      <c r="AD3618">
        <v>-1.1094743284866</v>
      </c>
      <c r="AE3618">
        <v>0.426400000000001</v>
      </c>
      <c r="AF3618">
        <v>0.43722588223752101</v>
      </c>
      <c r="AG3618">
        <v>-1.1094743284866</v>
      </c>
      <c r="AH3618">
        <v>54.030750611675003</v>
      </c>
      <c r="AI3618">
        <v>91.176315027605895</v>
      </c>
      <c r="AJ3618">
        <v>89.536363077074896</v>
      </c>
      <c r="AK3618">
        <v>54.043909105640097</v>
      </c>
      <c r="AL3618">
        <v>88.013053448747897</v>
      </c>
      <c r="AM3618">
        <v>90.800269705483203</v>
      </c>
      <c r="AN3618">
        <v>1.0000000310167201</v>
      </c>
    </row>
    <row r="3619" spans="1:40" x14ac:dyDescent="0.25">
      <c r="A3619" t="str">
        <f>"20190312160404574"</f>
        <v>20190312160404574</v>
      </c>
      <c r="B3619" t="str">
        <f>"1552377844567968"</f>
        <v>1552377844567968</v>
      </c>
      <c r="C3619" t="s">
        <v>40</v>
      </c>
      <c r="D3619">
        <v>5.2013049999999996</v>
      </c>
      <c r="E3619">
        <v>0.50863590000000003</v>
      </c>
      <c r="F3619" t="s">
        <v>70</v>
      </c>
      <c r="G3619">
        <v>-342.72820000000002</v>
      </c>
      <c r="H3619" s="1">
        <v>-8.4966980000000003E-8</v>
      </c>
      <c r="I3619">
        <v>212.3262</v>
      </c>
      <c r="J3619">
        <v>-396.02879999999999</v>
      </c>
      <c r="K3619">
        <v>1.109469</v>
      </c>
      <c r="L3619">
        <v>211.923</v>
      </c>
      <c r="M3619">
        <v>0.9998397</v>
      </c>
      <c r="N3619">
        <v>0</v>
      </c>
      <c r="O3619">
        <v>1.6173139999999999E-2</v>
      </c>
      <c r="P3619">
        <v>0.99918589999999996</v>
      </c>
      <c r="Q3619">
        <v>2.7188009999999999E-2</v>
      </c>
      <c r="R3619">
        <v>2.981439E-2</v>
      </c>
      <c r="S3619">
        <v>3.0034179999999999</v>
      </c>
      <c r="T3619">
        <v>-6.2172770000000002E-2</v>
      </c>
      <c r="U3619">
        <v>2.2872920000000001E-2</v>
      </c>
      <c r="V3619">
        <v>-1.3662000000000001E-2</v>
      </c>
      <c r="W3619">
        <v>3.4893889999999997E-2</v>
      </c>
      <c r="X3619">
        <v>0.99929760000000001</v>
      </c>
      <c r="Y3619">
        <v>8.5534359999999993E-3</v>
      </c>
      <c r="Z3619">
        <v>-4.2326810000000001E-4</v>
      </c>
      <c r="AA3619">
        <v>0.9999633</v>
      </c>
      <c r="AB3619">
        <v>29</v>
      </c>
      <c r="AC3619">
        <v>53.300599999999903</v>
      </c>
      <c r="AD3619">
        <v>-1.1094690849669799</v>
      </c>
      <c r="AE3619">
        <v>0.403199999999998</v>
      </c>
      <c r="AF3619">
        <v>0.45871749732191602</v>
      </c>
      <c r="AG3619">
        <v>-1.1094690849669799</v>
      </c>
      <c r="AH3619">
        <v>53.277066966318898</v>
      </c>
      <c r="AI3619">
        <v>91.1929401905753</v>
      </c>
      <c r="AJ3619">
        <v>89.506693430318407</v>
      </c>
      <c r="AK3619">
        <v>53.290592114616999</v>
      </c>
      <c r="AL3619">
        <v>88.000321363320197</v>
      </c>
      <c r="AM3619">
        <v>90.783276348284005</v>
      </c>
      <c r="AN3619">
        <v>0.99999996358454502</v>
      </c>
    </row>
    <row r="3620" spans="1:40" x14ac:dyDescent="0.25">
      <c r="A3620" t="str">
        <f>"20190312160404597"</f>
        <v>20190312160404597</v>
      </c>
      <c r="B3620" t="str">
        <f>"1552377844588464"</f>
        <v>1552377844588464</v>
      </c>
      <c r="C3620" t="s">
        <v>40</v>
      </c>
      <c r="D3620">
        <v>5.2120850000000001</v>
      </c>
      <c r="E3620">
        <v>0.50890420000000003</v>
      </c>
      <c r="F3620" t="s">
        <v>70</v>
      </c>
      <c r="G3620">
        <v>-343.43979999999999</v>
      </c>
      <c r="H3620" s="1">
        <v>2.9373259999999998E-7</v>
      </c>
      <c r="I3620">
        <v>212.29650000000001</v>
      </c>
      <c r="J3620">
        <v>-395.72899999999998</v>
      </c>
      <c r="K3620">
        <v>1.109467</v>
      </c>
      <c r="L3620">
        <v>211.928</v>
      </c>
      <c r="M3620">
        <v>0.99983630000000001</v>
      </c>
      <c r="N3620">
        <v>0</v>
      </c>
      <c r="O3620">
        <v>1.6369749999999999E-2</v>
      </c>
      <c r="P3620">
        <v>0.99919659999999999</v>
      </c>
      <c r="Q3620">
        <v>2.6970790000000001E-2</v>
      </c>
      <c r="R3620">
        <v>2.964514E-2</v>
      </c>
      <c r="S3620">
        <v>3.0035400000000001</v>
      </c>
      <c r="T3620">
        <v>-6.3365699999999997E-2</v>
      </c>
      <c r="U3620">
        <v>2.133179E-2</v>
      </c>
      <c r="V3620">
        <v>-1.3295660000000001E-2</v>
      </c>
      <c r="W3620">
        <v>3.4682770000000002E-2</v>
      </c>
      <c r="X3620">
        <v>0.99930989999999997</v>
      </c>
      <c r="Y3620">
        <v>9.2630400000000002E-3</v>
      </c>
      <c r="Z3620">
        <v>-4.4300280000000001E-4</v>
      </c>
      <c r="AA3620">
        <v>0.99995699999999998</v>
      </c>
      <c r="AB3620">
        <v>29</v>
      </c>
      <c r="AC3620">
        <v>52.289200000000001</v>
      </c>
      <c r="AD3620">
        <v>-1.1094667062674</v>
      </c>
      <c r="AE3620">
        <v>0.36850000000001099</v>
      </c>
      <c r="AF3620">
        <v>0.48731655773079802</v>
      </c>
      <c r="AG3620">
        <v>-1.1094667062674</v>
      </c>
      <c r="AH3620">
        <v>52.2646972641205</v>
      </c>
      <c r="AI3620">
        <v>91.216030238068299</v>
      </c>
      <c r="AJ3620">
        <v>89.465789061850103</v>
      </c>
      <c r="AK3620">
        <v>52.278743040646297</v>
      </c>
      <c r="AL3620">
        <v>88.012424993109207</v>
      </c>
      <c r="AM3620">
        <v>90.762266298483098</v>
      </c>
      <c r="AN3620">
        <v>0.99999997267385798</v>
      </c>
    </row>
    <row r="3621" spans="1:40" x14ac:dyDescent="0.25">
      <c r="A3621" t="str">
        <f>"20190312160404620"</f>
        <v>20190312160404620</v>
      </c>
      <c r="B3621" t="str">
        <f>"1552377844607983"</f>
        <v>1552377844607983</v>
      </c>
      <c r="C3621" t="s">
        <v>40</v>
      </c>
      <c r="D3621">
        <v>5.1715669999999996</v>
      </c>
      <c r="E3621">
        <v>0.50905440000000002</v>
      </c>
      <c r="F3621" t="s">
        <v>70</v>
      </c>
      <c r="G3621">
        <v>-345.83730000000003</v>
      </c>
      <c r="H3621" s="1">
        <v>1.5695570000000001E-6</v>
      </c>
      <c r="I3621">
        <v>212.23849999999999</v>
      </c>
      <c r="J3621">
        <v>-395.42860000000002</v>
      </c>
      <c r="K3621">
        <v>1.1094679999999999</v>
      </c>
      <c r="L3621">
        <v>211.9332</v>
      </c>
      <c r="M3621">
        <v>0.99983290000000002</v>
      </c>
      <c r="N3621">
        <v>0</v>
      </c>
      <c r="O3621">
        <v>1.6566850000000001E-2</v>
      </c>
      <c r="P3621">
        <v>0.99919440000000004</v>
      </c>
      <c r="Q3621">
        <v>2.7345689999999999E-2</v>
      </c>
      <c r="R3621">
        <v>2.9373420000000001E-2</v>
      </c>
      <c r="S3621">
        <v>3.0036619999999998</v>
      </c>
      <c r="T3621">
        <v>-6.6793920000000007E-2</v>
      </c>
      <c r="U3621">
        <v>1.869202E-2</v>
      </c>
      <c r="V3621">
        <v>-1.2827079999999999E-2</v>
      </c>
      <c r="W3621">
        <v>3.5064480000000002E-2</v>
      </c>
      <c r="X3621">
        <v>0.99930269999999999</v>
      </c>
      <c r="Y3621">
        <v>1.033827E-2</v>
      </c>
      <c r="Z3621">
        <v>-4.8328299999999999E-4</v>
      </c>
      <c r="AA3621">
        <v>0.99994640000000001</v>
      </c>
      <c r="AB3621">
        <v>29</v>
      </c>
      <c r="AC3621">
        <v>49.591299999999897</v>
      </c>
      <c r="AD3621">
        <v>-1.109466430443</v>
      </c>
      <c r="AE3621">
        <v>0.30529999999998803</v>
      </c>
      <c r="AF3621">
        <v>0.51607976391894805</v>
      </c>
      <c r="AG3621">
        <v>-1.109466430443</v>
      </c>
      <c r="AH3621">
        <v>49.564744737671496</v>
      </c>
      <c r="AI3621">
        <v>91.282235725448103</v>
      </c>
      <c r="AJ3621">
        <v>89.403444443970599</v>
      </c>
      <c r="AK3621">
        <v>49.579846459963299</v>
      </c>
      <c r="AL3621">
        <v>87.990541301774797</v>
      </c>
      <c r="AM3621">
        <v>90.735409989180098</v>
      </c>
      <c r="AN3621">
        <v>0.99999996898314303</v>
      </c>
    </row>
    <row r="3622" spans="1:40" x14ac:dyDescent="0.25">
      <c r="A3622" t="str">
        <f>"20190312160404643"</f>
        <v>20190312160404643</v>
      </c>
      <c r="B3622" t="str">
        <f>"1552377844638239"</f>
        <v>1552377844638239</v>
      </c>
      <c r="C3622" t="s">
        <v>40</v>
      </c>
      <c r="D3622">
        <v>5.2261850000000001</v>
      </c>
      <c r="E3622">
        <v>0.50924130000000001</v>
      </c>
      <c r="F3622" t="s">
        <v>70</v>
      </c>
      <c r="G3622">
        <v>-346.62369999999999</v>
      </c>
      <c r="H3622" s="1">
        <v>1.988022E-6</v>
      </c>
      <c r="I3622">
        <v>212.20509999999999</v>
      </c>
      <c r="J3622">
        <v>-395.12720000000002</v>
      </c>
      <c r="K3622">
        <v>1.10947</v>
      </c>
      <c r="L3622">
        <v>211.9383</v>
      </c>
      <c r="M3622">
        <v>0.99982959999999999</v>
      </c>
      <c r="N3622">
        <v>0</v>
      </c>
      <c r="O3622">
        <v>1.676441E-2</v>
      </c>
      <c r="P3622">
        <v>0.99917480000000003</v>
      </c>
      <c r="Q3622">
        <v>2.7695959999999999E-2</v>
      </c>
      <c r="R3622">
        <v>2.9714359999999999E-2</v>
      </c>
      <c r="S3622">
        <v>3.003784</v>
      </c>
      <c r="T3622">
        <v>-6.8284029999999996E-2</v>
      </c>
      <c r="U3622">
        <v>1.6738889999999999E-2</v>
      </c>
      <c r="V3622">
        <v>-1.29713E-2</v>
      </c>
      <c r="W3622">
        <v>3.5421420000000002E-2</v>
      </c>
      <c r="X3622">
        <v>0.99928830000000002</v>
      </c>
      <c r="Y3622">
        <v>1.11857E-2</v>
      </c>
      <c r="Z3622">
        <v>-5.0816429999999996E-4</v>
      </c>
      <c r="AA3622">
        <v>0.99993730000000003</v>
      </c>
      <c r="AB3622">
        <v>30</v>
      </c>
      <c r="AC3622">
        <v>48.503500000000003</v>
      </c>
      <c r="AD3622">
        <v>-1.109468011978</v>
      </c>
      <c r="AE3622">
        <v>0.26679999999998899</v>
      </c>
      <c r="AF3622">
        <v>0.54610861454493898</v>
      </c>
      <c r="AG3622">
        <v>-1.109468011978</v>
      </c>
      <c r="AH3622">
        <v>48.475793464853801</v>
      </c>
      <c r="AI3622">
        <v>91.311019436960706</v>
      </c>
      <c r="AJ3622">
        <v>89.354556306632304</v>
      </c>
      <c r="AK3622">
        <v>48.491563244915497</v>
      </c>
      <c r="AL3622">
        <v>87.970077534519703</v>
      </c>
      <c r="AM3622">
        <v>90.743688290259101</v>
      </c>
      <c r="AN3622">
        <v>1.0000000190676901</v>
      </c>
    </row>
    <row r="3623" spans="1:40" x14ac:dyDescent="0.25">
      <c r="A3623" t="str">
        <f>"20190312160404664"</f>
        <v>20190312160404664</v>
      </c>
      <c r="B3623" t="str">
        <f>"1552377844658737"</f>
        <v>1552377844658737</v>
      </c>
      <c r="C3623" t="s">
        <v>40</v>
      </c>
      <c r="D3623">
        <v>5.1583540000000001</v>
      </c>
      <c r="E3623">
        <v>0.5092894</v>
      </c>
      <c r="F3623" t="s">
        <v>70</v>
      </c>
      <c r="G3623">
        <v>-347.791</v>
      </c>
      <c r="H3623" s="1">
        <v>2.609165E-6</v>
      </c>
      <c r="I3623">
        <v>212.19300000000001</v>
      </c>
      <c r="J3623">
        <v>-394.83210000000003</v>
      </c>
      <c r="K3623">
        <v>1.1094679999999999</v>
      </c>
      <c r="L3623">
        <v>211.9435</v>
      </c>
      <c r="M3623">
        <v>0.9998264</v>
      </c>
      <c r="N3623">
        <v>0</v>
      </c>
      <c r="O3623">
        <v>1.6957630000000001E-2</v>
      </c>
      <c r="P3623">
        <v>0.99916229999999995</v>
      </c>
      <c r="Q3623">
        <v>2.769891E-2</v>
      </c>
      <c r="R3623">
        <v>3.013095E-2</v>
      </c>
      <c r="S3623">
        <v>3.0039669999999998</v>
      </c>
      <c r="T3623">
        <v>-7.0407029999999995E-2</v>
      </c>
      <c r="U3623">
        <v>1.6159059999999999E-2</v>
      </c>
      <c r="V3623">
        <v>-1.319477E-2</v>
      </c>
      <c r="W3623">
        <v>3.5431419999999998E-2</v>
      </c>
      <c r="X3623">
        <v>0.99928499999999998</v>
      </c>
      <c r="Y3623">
        <v>1.1571669999999999E-2</v>
      </c>
      <c r="Z3623">
        <v>-5.329779E-4</v>
      </c>
      <c r="AA3623">
        <v>0.99993290000000001</v>
      </c>
      <c r="AB3623">
        <v>30</v>
      </c>
      <c r="AC3623">
        <v>47.0411</v>
      </c>
      <c r="AD3623">
        <v>-1.1094653908350001</v>
      </c>
      <c r="AE3623">
        <v>0.24949999999998301</v>
      </c>
      <c r="AF3623">
        <v>0.54796042650313903</v>
      </c>
      <c r="AG3623">
        <v>-1.1094653908350001</v>
      </c>
      <c r="AH3623">
        <v>47.012416492272301</v>
      </c>
      <c r="AI3623">
        <v>91.3518039914253</v>
      </c>
      <c r="AJ3623">
        <v>89.332210499156602</v>
      </c>
      <c r="AK3623">
        <v>47.028698456637699</v>
      </c>
      <c r="AL3623">
        <v>87.969504176806893</v>
      </c>
      <c r="AM3623">
        <v>90.756501599116106</v>
      </c>
      <c r="AN3623">
        <v>0.99999999935178396</v>
      </c>
    </row>
    <row r="3624" spans="1:40" x14ac:dyDescent="0.25">
      <c r="A3624" t="str">
        <f>"20190312160404686"</f>
        <v>20190312160404686</v>
      </c>
      <c r="B3624" t="str">
        <f>"1552377844678261"</f>
        <v>1552377844678261</v>
      </c>
      <c r="C3624" t="s">
        <v>40</v>
      </c>
      <c r="D3624">
        <v>5.2535720000000001</v>
      </c>
      <c r="E3624">
        <v>0.50944920000000005</v>
      </c>
      <c r="F3624" t="s">
        <v>70</v>
      </c>
      <c r="G3624">
        <v>-348.67959999999999</v>
      </c>
      <c r="H3624" s="1">
        <v>3.0820389999999999E-6</v>
      </c>
      <c r="I3624">
        <v>212.20679999999999</v>
      </c>
      <c r="J3624">
        <v>-394.54469999999998</v>
      </c>
      <c r="K3624">
        <v>1.1094660000000001</v>
      </c>
      <c r="L3624">
        <v>211.9485</v>
      </c>
      <c r="M3624">
        <v>0.99982300000000002</v>
      </c>
      <c r="N3624">
        <v>0</v>
      </c>
      <c r="O3624">
        <v>1.7145959999999998E-2</v>
      </c>
      <c r="P3624">
        <v>0.99916400000000005</v>
      </c>
      <c r="Q3624">
        <v>2.736121E-2</v>
      </c>
      <c r="R3624">
        <v>3.037832E-2</v>
      </c>
      <c r="S3624">
        <v>3.0040279999999999</v>
      </c>
      <c r="T3624">
        <v>-7.2214130000000001E-2</v>
      </c>
      <c r="U3624">
        <v>1.7135620000000001E-2</v>
      </c>
      <c r="V3624">
        <v>-1.3253539999999999E-2</v>
      </c>
      <c r="W3624">
        <v>3.510071E-2</v>
      </c>
      <c r="X3624">
        <v>0.99929590000000001</v>
      </c>
      <c r="Y3624">
        <v>1.1434649999999999E-2</v>
      </c>
      <c r="Z3624">
        <v>-5.4952099999999997E-4</v>
      </c>
      <c r="AA3624">
        <v>0.99993449999999995</v>
      </c>
      <c r="AB3624">
        <v>30</v>
      </c>
      <c r="AC3624">
        <v>45.865099999999899</v>
      </c>
      <c r="AD3624">
        <v>-1.1094629179610001</v>
      </c>
      <c r="AE3624">
        <v>0.25829999999999098</v>
      </c>
      <c r="AF3624">
        <v>0.52785387077776802</v>
      </c>
      <c r="AG3624">
        <v>-1.1094629179610001</v>
      </c>
      <c r="AH3624">
        <v>45.835966557621603</v>
      </c>
      <c r="AI3624">
        <v>91.386485877666502</v>
      </c>
      <c r="AJ3624">
        <v>89.340202369927994</v>
      </c>
      <c r="AK3624">
        <v>45.852430338495999</v>
      </c>
      <c r="AL3624">
        <v>87.988464271399295</v>
      </c>
      <c r="AM3624">
        <v>90.759862403920906</v>
      </c>
      <c r="AN3624">
        <v>1.00000000596092</v>
      </c>
    </row>
    <row r="3625" spans="1:40" x14ac:dyDescent="0.25">
      <c r="A3625" t="str">
        <f>"20190312160404709"</f>
        <v>20190312160404709</v>
      </c>
      <c r="B3625" t="str">
        <f>"1552377844698286"</f>
        <v>1552377844698286</v>
      </c>
      <c r="C3625" t="s">
        <v>40</v>
      </c>
      <c r="D3625">
        <v>5.2451129999999999</v>
      </c>
      <c r="E3625">
        <v>0.50958840000000005</v>
      </c>
      <c r="F3625" t="s">
        <v>70</v>
      </c>
      <c r="G3625">
        <v>-349.90100000000001</v>
      </c>
      <c r="H3625" s="1">
        <v>3.7320079999999998E-6</v>
      </c>
      <c r="I3625">
        <v>212.19409999999999</v>
      </c>
      <c r="J3625">
        <v>-394.2484</v>
      </c>
      <c r="K3625">
        <v>1.109464</v>
      </c>
      <c r="L3625">
        <v>211.9539</v>
      </c>
      <c r="M3625">
        <v>0.99981980000000004</v>
      </c>
      <c r="N3625">
        <v>0</v>
      </c>
      <c r="O3625">
        <v>1.7340009999999999E-2</v>
      </c>
      <c r="P3625">
        <v>0.99916300000000002</v>
      </c>
      <c r="Q3625">
        <v>2.714944E-2</v>
      </c>
      <c r="R3625">
        <v>3.060529E-2</v>
      </c>
      <c r="S3625">
        <v>3.0040589999999998</v>
      </c>
      <c r="T3625">
        <v>-7.4655180000000002E-2</v>
      </c>
      <c r="U3625">
        <v>1.6525270000000002E-2</v>
      </c>
      <c r="V3625">
        <v>-1.328651E-2</v>
      </c>
      <c r="W3625">
        <v>3.489627E-2</v>
      </c>
      <c r="X3625">
        <v>0.99930260000000004</v>
      </c>
      <c r="Y3625">
        <v>1.183119E-2</v>
      </c>
      <c r="Z3625">
        <v>-5.7783300000000004E-4</v>
      </c>
      <c r="AA3625">
        <v>0.99992979999999998</v>
      </c>
      <c r="AB3625">
        <v>30</v>
      </c>
      <c r="AC3625">
        <v>44.347399999999901</v>
      </c>
      <c r="AD3625">
        <v>-1.109460267992</v>
      </c>
      <c r="AE3625">
        <v>0.24019999999998701</v>
      </c>
      <c r="AF3625">
        <v>0.52851265466779396</v>
      </c>
      <c r="AG3625">
        <v>-1.109460267992</v>
      </c>
      <c r="AH3625">
        <v>44.317161034714097</v>
      </c>
      <c r="AI3625">
        <v>91.433972698924407</v>
      </c>
      <c r="AJ3625">
        <v>89.316740775367606</v>
      </c>
      <c r="AK3625">
        <v>44.334196619417497</v>
      </c>
      <c r="AL3625">
        <v>88.000184956479401</v>
      </c>
      <c r="AM3625">
        <v>90.761747336788503</v>
      </c>
      <c r="AN3625">
        <v>0.99999998368732601</v>
      </c>
    </row>
    <row r="3626" spans="1:40" x14ac:dyDescent="0.25">
      <c r="A3626" t="str">
        <f>"20190312160404721"</f>
        <v>20190312160404721</v>
      </c>
      <c r="B3626" t="str">
        <f>"1552377844718778"</f>
        <v>1552377844718778</v>
      </c>
      <c r="C3626" t="s">
        <v>40</v>
      </c>
      <c r="D3626">
        <v>5.2391870000000003</v>
      </c>
      <c r="E3626">
        <v>0.50971940000000004</v>
      </c>
      <c r="F3626" t="s">
        <v>70</v>
      </c>
      <c r="G3626">
        <v>-350.5926</v>
      </c>
      <c r="H3626" s="1">
        <v>-1.115217E-6</v>
      </c>
      <c r="I3626">
        <v>212.1865</v>
      </c>
      <c r="J3626">
        <v>-394.07350000000002</v>
      </c>
      <c r="K3626">
        <v>1.1094660000000001</v>
      </c>
      <c r="L3626">
        <v>211.95699999999999</v>
      </c>
      <c r="M3626">
        <v>0.99981759999999997</v>
      </c>
      <c r="N3626">
        <v>0</v>
      </c>
      <c r="O3626">
        <v>1.7454609999999999E-2</v>
      </c>
      <c r="P3626">
        <v>0.99916709999999997</v>
      </c>
      <c r="Q3626">
        <v>2.7044160000000001E-2</v>
      </c>
      <c r="R3626">
        <v>3.055426E-2</v>
      </c>
      <c r="S3626">
        <v>3.004089</v>
      </c>
      <c r="T3626">
        <v>-7.6345800000000005E-2</v>
      </c>
      <c r="U3626">
        <v>1.6006469999999998E-2</v>
      </c>
      <c r="V3626">
        <v>-1.3121209999999999E-2</v>
      </c>
      <c r="W3626">
        <v>3.4795239999999998E-2</v>
      </c>
      <c r="X3626">
        <v>0.99930830000000004</v>
      </c>
      <c r="Y3626">
        <v>1.2118E-2</v>
      </c>
      <c r="Z3626">
        <v>-5.9746470000000005E-4</v>
      </c>
      <c r="AA3626">
        <v>0.99992639999999999</v>
      </c>
      <c r="AB3626">
        <v>30</v>
      </c>
      <c r="AC3626">
        <v>43.480899999999998</v>
      </c>
      <c r="AD3626">
        <v>-1.1094671152169999</v>
      </c>
      <c r="AE3626">
        <v>0.22950000000000101</v>
      </c>
      <c r="AF3626">
        <v>0.52915541444226299</v>
      </c>
      <c r="AG3626">
        <v>-1.1094671152169999</v>
      </c>
      <c r="AH3626">
        <v>43.4499930628117</v>
      </c>
      <c r="AI3626">
        <v>91.462583955065398</v>
      </c>
      <c r="AJ3626">
        <v>89.302258273161499</v>
      </c>
      <c r="AK3626">
        <v>43.467376501127497</v>
      </c>
      <c r="AL3626">
        <v>88.005977052705106</v>
      </c>
      <c r="AM3626">
        <v>90.752267098716601</v>
      </c>
      <c r="AN3626">
        <v>0.99999997666370499</v>
      </c>
    </row>
    <row r="3627" spans="1:40" x14ac:dyDescent="0.25">
      <c r="A3627" t="str">
        <f>"20190312160404742"</f>
        <v>20190312160404742</v>
      </c>
      <c r="B3627" t="str">
        <f>"1552377844738298"</f>
        <v>1552377844738298</v>
      </c>
      <c r="C3627" t="s">
        <v>40</v>
      </c>
      <c r="D3627">
        <v>5.3040969999999996</v>
      </c>
      <c r="E3627">
        <v>0.50983599999999996</v>
      </c>
      <c r="F3627" t="s">
        <v>70</v>
      </c>
      <c r="G3627">
        <v>-351.26209999999998</v>
      </c>
      <c r="H3627" s="1">
        <v>-7.5818399999999998E-7</v>
      </c>
      <c r="I3627">
        <v>212.16839999999999</v>
      </c>
      <c r="J3627">
        <v>-393.80200000000002</v>
      </c>
      <c r="K3627">
        <v>1.109464</v>
      </c>
      <c r="L3627">
        <v>211.96190000000001</v>
      </c>
      <c r="M3627">
        <v>0.99981439999999999</v>
      </c>
      <c r="N3627">
        <v>0</v>
      </c>
      <c r="O3627">
        <v>1.7631910000000001E-2</v>
      </c>
      <c r="P3627">
        <v>0.99916329999999998</v>
      </c>
      <c r="Q3627">
        <v>2.7499820000000001E-2</v>
      </c>
      <c r="R3627">
        <v>3.0269910000000001E-2</v>
      </c>
      <c r="S3627">
        <v>3.004181</v>
      </c>
      <c r="T3627">
        <v>-7.7853919999999993E-2</v>
      </c>
      <c r="U3627">
        <v>1.4831540000000001E-2</v>
      </c>
      <c r="V3627">
        <v>-1.265927E-2</v>
      </c>
      <c r="W3627">
        <v>3.525797E-2</v>
      </c>
      <c r="X3627">
        <v>0.99929800000000002</v>
      </c>
      <c r="Y3627">
        <v>1.268592E-2</v>
      </c>
      <c r="Z3627">
        <v>-6.2119629999999996E-4</v>
      </c>
      <c r="AA3627">
        <v>0.99991940000000001</v>
      </c>
      <c r="AB3627">
        <v>30</v>
      </c>
      <c r="AC3627">
        <v>42.539899999999903</v>
      </c>
      <c r="AD3627">
        <v>-1.109464758184</v>
      </c>
      <c r="AE3627">
        <v>0.20649999999997701</v>
      </c>
      <c r="AF3627">
        <v>0.54324489543290999</v>
      </c>
      <c r="AG3627">
        <v>-1.109464758184</v>
      </c>
      <c r="AH3627">
        <v>42.5080145924695</v>
      </c>
      <c r="AI3627">
        <v>91.494965910059705</v>
      </c>
      <c r="AJ3627">
        <v>89.267809948435399</v>
      </c>
      <c r="AK3627">
        <v>42.525960678856698</v>
      </c>
      <c r="AL3627">
        <v>87.979448217421904</v>
      </c>
      <c r="AM3627">
        <v>90.7257934529555</v>
      </c>
      <c r="AN3627">
        <v>0.99999993718472502</v>
      </c>
    </row>
    <row r="3628" spans="1:40" x14ac:dyDescent="0.25">
      <c r="A3628" t="str">
        <f>"20190312160404764"</f>
        <v>20190312160404764</v>
      </c>
      <c r="B3628" t="str">
        <f>"1552377844758795"</f>
        <v>1552377844758795</v>
      </c>
      <c r="C3628" t="s">
        <v>40</v>
      </c>
      <c r="D3628">
        <v>5.2921870000000002</v>
      </c>
      <c r="E3628">
        <v>0.51000540000000005</v>
      </c>
      <c r="F3628" t="s">
        <v>70</v>
      </c>
      <c r="G3628">
        <v>-350.98869999999999</v>
      </c>
      <c r="H3628" s="1">
        <v>-9.028407E-7</v>
      </c>
      <c r="I3628">
        <v>212.15020000000001</v>
      </c>
      <c r="J3628">
        <v>-393.49430000000001</v>
      </c>
      <c r="K3628">
        <v>1.1094660000000001</v>
      </c>
      <c r="L3628">
        <v>211.9675</v>
      </c>
      <c r="M3628">
        <v>0.9998108</v>
      </c>
      <c r="N3628">
        <v>0</v>
      </c>
      <c r="O3628">
        <v>1.783305E-2</v>
      </c>
      <c r="P3628">
        <v>0.99918620000000002</v>
      </c>
      <c r="Q3628">
        <v>2.7133899999999999E-2</v>
      </c>
      <c r="R3628">
        <v>2.9851900000000001E-2</v>
      </c>
      <c r="S3628">
        <v>3.0042420000000001</v>
      </c>
      <c r="T3628">
        <v>-7.7852009999999999E-2</v>
      </c>
      <c r="U3628">
        <v>1.3214109999999999E-2</v>
      </c>
      <c r="V3628">
        <v>-1.2039960000000001E-2</v>
      </c>
      <c r="W3628">
        <v>3.4900550000000002E-2</v>
      </c>
      <c r="X3628">
        <v>0.99931820000000005</v>
      </c>
      <c r="Y3628">
        <v>1.342519E-2</v>
      </c>
      <c r="Z3628">
        <v>-6.3595779999999998E-4</v>
      </c>
      <c r="AA3628">
        <v>0.99990970000000001</v>
      </c>
      <c r="AB3628">
        <v>30</v>
      </c>
      <c r="AC3628">
        <v>42.505600000000001</v>
      </c>
      <c r="AD3628">
        <v>-1.1094669028407</v>
      </c>
      <c r="AE3628">
        <v>0.18270000000001099</v>
      </c>
      <c r="AF3628">
        <v>0.57496470314233405</v>
      </c>
      <c r="AG3628">
        <v>-1.1094669028407</v>
      </c>
      <c r="AH3628">
        <v>42.473162186875598</v>
      </c>
      <c r="AI3628">
        <v>91.496180074751393</v>
      </c>
      <c r="AJ3628">
        <v>89.224426977643205</v>
      </c>
      <c r="AK3628">
        <v>42.491540421253198</v>
      </c>
      <c r="AL3628">
        <v>87.999939487535201</v>
      </c>
      <c r="AM3628">
        <v>90.690276148029398</v>
      </c>
      <c r="AN3628">
        <v>0.99999993693917</v>
      </c>
    </row>
    <row r="3629" spans="1:40" x14ac:dyDescent="0.25">
      <c r="A3629" t="str">
        <f>"20190312160404787"</f>
        <v>20190312160404787</v>
      </c>
      <c r="B3629" t="str">
        <f>"1552377844778318"</f>
        <v>1552377844778318</v>
      </c>
      <c r="C3629" t="s">
        <v>40</v>
      </c>
      <c r="D3629">
        <v>5.2639699999999996</v>
      </c>
      <c r="E3629">
        <v>0.51012599999999997</v>
      </c>
      <c r="F3629" t="s">
        <v>70</v>
      </c>
      <c r="G3629">
        <v>-351.9606</v>
      </c>
      <c r="H3629" s="1">
        <v>-3.8419110000000002E-7</v>
      </c>
      <c r="I3629">
        <v>212.11689999999999</v>
      </c>
      <c r="J3629">
        <v>-393.19389999999999</v>
      </c>
      <c r="K3629">
        <v>1.109469</v>
      </c>
      <c r="L3629">
        <v>211.97309999999999</v>
      </c>
      <c r="M3629">
        <v>0.99980720000000001</v>
      </c>
      <c r="N3629">
        <v>0</v>
      </c>
      <c r="O3629">
        <v>1.8029300000000002E-2</v>
      </c>
      <c r="P3629">
        <v>0.99918870000000004</v>
      </c>
      <c r="Q3629">
        <v>2.700344E-2</v>
      </c>
      <c r="R3629">
        <v>2.9884109999999998E-2</v>
      </c>
      <c r="S3629">
        <v>3.0043030000000002</v>
      </c>
      <c r="T3629">
        <v>-8.0252290000000004E-2</v>
      </c>
      <c r="U3629">
        <v>1.0803220000000001E-2</v>
      </c>
      <c r="V3629">
        <v>-1.1876090000000001E-2</v>
      </c>
      <c r="W3629">
        <v>3.4778080000000003E-2</v>
      </c>
      <c r="X3629">
        <v>0.99932449999999995</v>
      </c>
      <c r="Y3629">
        <v>1.4422849999999999E-2</v>
      </c>
      <c r="Z3629">
        <v>-6.7411039999999895E-4</v>
      </c>
      <c r="AA3629">
        <v>0.9998958</v>
      </c>
      <c r="AB3629">
        <v>30</v>
      </c>
      <c r="AC3629">
        <v>41.2332999999999</v>
      </c>
      <c r="AD3629">
        <v>-1.1094693841911001</v>
      </c>
      <c r="AE3629">
        <v>0.14379999999999801</v>
      </c>
      <c r="AF3629">
        <v>0.59921957667710701</v>
      </c>
      <c r="AG3629">
        <v>-1.1094693841911001</v>
      </c>
      <c r="AH3629">
        <v>41.199362489327797</v>
      </c>
      <c r="AI3629">
        <v>91.542398528602206</v>
      </c>
      <c r="AJ3629">
        <v>89.166726617362499</v>
      </c>
      <c r="AK3629">
        <v>41.218654222846197</v>
      </c>
      <c r="AL3629">
        <v>88.006960902885595</v>
      </c>
      <c r="AM3629">
        <v>90.680877735921101</v>
      </c>
      <c r="AN3629">
        <v>1.00000000633121</v>
      </c>
    </row>
    <row r="3630" spans="1:40" x14ac:dyDescent="0.25">
      <c r="A3630" t="str">
        <f>"20190312160404800"</f>
        <v>20190312160404800</v>
      </c>
      <c r="B3630" t="str">
        <f>"1552377844788075"</f>
        <v>1552377844788075</v>
      </c>
      <c r="C3630" t="s">
        <v>40</v>
      </c>
      <c r="D3630">
        <v>5.1870909999999997</v>
      </c>
      <c r="E3630">
        <v>0.51016810000000001</v>
      </c>
      <c r="F3630" t="s">
        <v>70</v>
      </c>
      <c r="G3630">
        <v>-352.38600000000002</v>
      </c>
      <c r="H3630" s="1">
        <v>-1.573806E-7</v>
      </c>
      <c r="I3630">
        <v>212.10679999999999</v>
      </c>
      <c r="J3630">
        <v>-393.01850000000002</v>
      </c>
      <c r="K3630">
        <v>1.109467</v>
      </c>
      <c r="L3630">
        <v>211.97640000000001</v>
      </c>
      <c r="M3630">
        <v>0.99980519999999995</v>
      </c>
      <c r="N3630">
        <v>0</v>
      </c>
      <c r="O3630">
        <v>1.8143909999999999E-2</v>
      </c>
      <c r="P3630">
        <v>0.99918560000000001</v>
      </c>
      <c r="Q3630">
        <v>2.7056630000000002E-2</v>
      </c>
      <c r="R3630">
        <v>2.9940250000000002E-2</v>
      </c>
      <c r="S3630">
        <v>3.0043329999999999</v>
      </c>
      <c r="T3630">
        <v>-8.1680539999999996E-2</v>
      </c>
      <c r="U3630">
        <v>9.8419189999999993E-3</v>
      </c>
      <c r="V3630">
        <v>-1.1817930000000001E-2</v>
      </c>
      <c r="W3630">
        <v>3.4835739999999997E-2</v>
      </c>
      <c r="X3630">
        <v>0.99932319999999997</v>
      </c>
      <c r="Y3630">
        <v>1.485682E-2</v>
      </c>
      <c r="Z3630">
        <v>-6.9510990000000005E-4</v>
      </c>
      <c r="AA3630">
        <v>0.99988940000000004</v>
      </c>
      <c r="AB3630">
        <v>30</v>
      </c>
      <c r="AC3630">
        <v>40.6325</v>
      </c>
      <c r="AD3630">
        <v>-1.1094671573806001</v>
      </c>
      <c r="AE3630">
        <v>0.13039999999998</v>
      </c>
      <c r="AF3630">
        <v>0.60642402095226999</v>
      </c>
      <c r="AG3630">
        <v>-1.1094671573806001</v>
      </c>
      <c r="AH3630">
        <v>40.597909132994502</v>
      </c>
      <c r="AI3630">
        <v>91.565225501575995</v>
      </c>
      <c r="AJ3630">
        <v>89.144218165393397</v>
      </c>
      <c r="AK3630">
        <v>40.617593397903001</v>
      </c>
      <c r="AL3630">
        <v>88.003655262796599</v>
      </c>
      <c r="AM3630">
        <v>90.677544510781303</v>
      </c>
      <c r="AN3630">
        <v>1.00000002515453</v>
      </c>
    </row>
    <row r="3631" spans="1:40" x14ac:dyDescent="0.25">
      <c r="A3631" t="str">
        <f>"20190312160404820"</f>
        <v>20190312160404820</v>
      </c>
      <c r="B3631" t="str">
        <f>"1552377844808570"</f>
        <v>1552377844808570</v>
      </c>
      <c r="C3631" t="s">
        <v>40</v>
      </c>
      <c r="D3631">
        <v>5.2392059999999896</v>
      </c>
      <c r="E3631">
        <v>0.51028960000000001</v>
      </c>
      <c r="F3631" t="s">
        <v>70</v>
      </c>
      <c r="G3631">
        <v>-352.48489999999998</v>
      </c>
      <c r="H3631" s="1">
        <v>-1.045932E-7</v>
      </c>
      <c r="I3631">
        <v>212.10300000000001</v>
      </c>
      <c r="J3631">
        <v>-392.74459999999999</v>
      </c>
      <c r="K3631">
        <v>1.109464</v>
      </c>
      <c r="L3631">
        <v>211.98150000000001</v>
      </c>
      <c r="M3631">
        <v>0.99980179999999996</v>
      </c>
      <c r="N3631">
        <v>0</v>
      </c>
      <c r="O3631">
        <v>1.8322939999999999E-2</v>
      </c>
      <c r="P3631">
        <v>0.99918419999999997</v>
      </c>
      <c r="Q3631">
        <v>2.6832169999999999E-2</v>
      </c>
      <c r="R3631">
        <v>3.0186790000000002E-2</v>
      </c>
      <c r="S3631">
        <v>3.0043950000000001</v>
      </c>
      <c r="T3631">
        <v>-8.2234979999999999E-2</v>
      </c>
      <c r="U3631">
        <v>9.3841549999999999E-3</v>
      </c>
      <c r="V3631">
        <v>-1.188521E-2</v>
      </c>
      <c r="W3631">
        <v>3.461844E-2</v>
      </c>
      <c r="X3631">
        <v>0.99932989999999999</v>
      </c>
      <c r="Y3631">
        <v>1.5187920000000001E-2</v>
      </c>
      <c r="Z3631">
        <v>-7.0924219999999997E-4</v>
      </c>
      <c r="AA3631">
        <v>0.99988440000000001</v>
      </c>
      <c r="AB3631">
        <v>30</v>
      </c>
      <c r="AC3631">
        <v>40.259700000000002</v>
      </c>
      <c r="AD3631">
        <v>-1.1094641045931899</v>
      </c>
      <c r="AE3631">
        <v>0.12149999999996899</v>
      </c>
      <c r="AF3631">
        <v>0.61575121675162403</v>
      </c>
      <c r="AG3631">
        <v>-1.1094641045931899</v>
      </c>
      <c r="AH3631">
        <v>40.224619787815499</v>
      </c>
      <c r="AI3631">
        <v>91.579730468137996</v>
      </c>
      <c r="AJ3631">
        <v>89.122995050926207</v>
      </c>
      <c r="AK3631">
        <v>40.244628178610803</v>
      </c>
      <c r="AL3631">
        <v>88.016113043732503</v>
      </c>
      <c r="AM3631">
        <v>90.681396871064507</v>
      </c>
      <c r="AN3631">
        <v>0.99999997181939304</v>
      </c>
    </row>
    <row r="3632" spans="1:40" x14ac:dyDescent="0.25">
      <c r="A3632" t="str">
        <f>"20190312160404843"</f>
        <v>20190312160404843</v>
      </c>
      <c r="B3632" t="str">
        <f>"1552377844837851"</f>
        <v>1552377844837851</v>
      </c>
      <c r="C3632" t="s">
        <v>40</v>
      </c>
      <c r="D3632">
        <v>5.2188249999999998</v>
      </c>
      <c r="E3632">
        <v>0.51037949999999999</v>
      </c>
      <c r="F3632" t="s">
        <v>70</v>
      </c>
      <c r="G3632">
        <v>-353.12079999999997</v>
      </c>
      <c r="H3632" s="1">
        <v>2.3379470000000001E-7</v>
      </c>
      <c r="I3632">
        <v>212.1027</v>
      </c>
      <c r="J3632">
        <v>-392.4332</v>
      </c>
      <c r="K3632">
        <v>1.1094630000000001</v>
      </c>
      <c r="L3632">
        <v>211.98740000000001</v>
      </c>
      <c r="M3632">
        <v>0.99979799999999996</v>
      </c>
      <c r="N3632">
        <v>0</v>
      </c>
      <c r="O3632">
        <v>1.852616E-2</v>
      </c>
      <c r="P3632">
        <v>0.99917820000000002</v>
      </c>
      <c r="Q3632">
        <v>2.6689560000000001E-2</v>
      </c>
      <c r="R3632">
        <v>3.050431E-2</v>
      </c>
      <c r="S3632">
        <v>3.0044249999999999</v>
      </c>
      <c r="T3632">
        <v>-8.4123610000000001E-2</v>
      </c>
      <c r="U3632">
        <v>9.1857910000000004E-3</v>
      </c>
      <c r="V3632">
        <v>-1.1999630000000001E-2</v>
      </c>
      <c r="W3632">
        <v>3.4484529999999999E-2</v>
      </c>
      <c r="X3632">
        <v>0.99933320000000003</v>
      </c>
      <c r="Y3632">
        <v>1.545644E-2</v>
      </c>
      <c r="Z3632">
        <v>-7.3496420000000002E-4</v>
      </c>
      <c r="AA3632">
        <v>0.99988030000000006</v>
      </c>
      <c r="AB3632">
        <v>30</v>
      </c>
      <c r="AC3632">
        <v>39.312399999999997</v>
      </c>
      <c r="AD3632">
        <v>-1.1094627662052901</v>
      </c>
      <c r="AE3632">
        <v>0.11529999999998999</v>
      </c>
      <c r="AF3632">
        <v>0.61256184228852395</v>
      </c>
      <c r="AG3632">
        <v>-1.1094627662052901</v>
      </c>
      <c r="AH3632">
        <v>39.276506700022097</v>
      </c>
      <c r="AI3632">
        <v>91.617835104943296</v>
      </c>
      <c r="AJ3632">
        <v>89.106479523219605</v>
      </c>
      <c r="AK3632">
        <v>39.2969479501539</v>
      </c>
      <c r="AL3632">
        <v>88.023790179666804</v>
      </c>
      <c r="AM3632">
        <v>90.687953841830193</v>
      </c>
      <c r="AN3632">
        <v>1.0000000092758401</v>
      </c>
    </row>
    <row r="3633" spans="1:40" x14ac:dyDescent="0.25">
      <c r="A3633" t="str">
        <f>"20190312160404866"</f>
        <v>20190312160404866</v>
      </c>
      <c r="B3633" t="str">
        <f>"1552377844858347"</f>
        <v>1552377844858347</v>
      </c>
      <c r="C3633" t="s">
        <v>40</v>
      </c>
      <c r="D3633">
        <v>5.2101730000000002</v>
      </c>
      <c r="E3633">
        <v>0.51043090000000002</v>
      </c>
      <c r="F3633" t="s">
        <v>70</v>
      </c>
      <c r="G3633">
        <v>-353.6773</v>
      </c>
      <c r="H3633" s="1">
        <v>5.2962330000000001E-7</v>
      </c>
      <c r="I3633">
        <v>212.11009999999999</v>
      </c>
      <c r="J3633">
        <v>-392.12150000000003</v>
      </c>
      <c r="K3633">
        <v>1.1094649999999999</v>
      </c>
      <c r="L3633">
        <v>211.99340000000001</v>
      </c>
      <c r="M3633">
        <v>0.99979410000000002</v>
      </c>
      <c r="N3633">
        <v>0</v>
      </c>
      <c r="O3633">
        <v>1.8729079999999999E-2</v>
      </c>
      <c r="P3633">
        <v>0.99917750000000005</v>
      </c>
      <c r="Q3633">
        <v>2.6372949999999999E-2</v>
      </c>
      <c r="R3633">
        <v>3.0804060000000001E-2</v>
      </c>
      <c r="S3633">
        <v>3.0044559999999998</v>
      </c>
      <c r="T3633">
        <v>-8.6008310000000004E-2</v>
      </c>
      <c r="U3633">
        <v>9.5062259999999996E-3</v>
      </c>
      <c r="V3633">
        <v>-1.209697E-2</v>
      </c>
      <c r="W3633">
        <v>3.4176190000000002E-2</v>
      </c>
      <c r="X3633">
        <v>0.99934259999999997</v>
      </c>
      <c r="Y3633">
        <v>1.555205E-2</v>
      </c>
      <c r="Z3633">
        <v>-7.5859129999999997E-4</v>
      </c>
      <c r="AA3633">
        <v>0.99987879999999996</v>
      </c>
      <c r="AB3633">
        <v>30</v>
      </c>
      <c r="AC3633">
        <v>38.444200000000002</v>
      </c>
      <c r="AD3633">
        <v>-1.10946447037669</v>
      </c>
      <c r="AE3633">
        <v>0.11669999999998</v>
      </c>
      <c r="AF3633">
        <v>0.60286483310861205</v>
      </c>
      <c r="AG3633">
        <v>-1.10946447037669</v>
      </c>
      <c r="AH3633">
        <v>38.407654650382497</v>
      </c>
      <c r="AI3633">
        <v>91.654413351415101</v>
      </c>
      <c r="AJ3633">
        <v>89.100732015331999</v>
      </c>
      <c r="AK3633">
        <v>38.428404769923397</v>
      </c>
      <c r="AL3633">
        <v>88.041467143159494</v>
      </c>
      <c r="AM3633">
        <v>90.693527400378002</v>
      </c>
      <c r="AN3633">
        <v>0.99999999041042797</v>
      </c>
    </row>
    <row r="3634" spans="1:40" x14ac:dyDescent="0.25">
      <c r="A3634" t="str">
        <f>"20190312160404888"</f>
        <v>20190312160404888</v>
      </c>
      <c r="B3634" t="str">
        <f>"1552377844877867"</f>
        <v>1552377844877867</v>
      </c>
      <c r="C3634" t="s">
        <v>40</v>
      </c>
      <c r="D3634">
        <v>5.24261</v>
      </c>
      <c r="E3634">
        <v>0.51051000000000002</v>
      </c>
      <c r="F3634" t="s">
        <v>70</v>
      </c>
      <c r="G3634">
        <v>-354.17849999999999</v>
      </c>
      <c r="H3634" s="1">
        <v>7.9586219999999997E-7</v>
      </c>
      <c r="I3634">
        <v>212.12100000000001</v>
      </c>
      <c r="J3634">
        <v>-391.81979999999999</v>
      </c>
      <c r="K3634">
        <v>1.1094599999999999</v>
      </c>
      <c r="L3634">
        <v>211.99930000000001</v>
      </c>
      <c r="M3634">
        <v>0.99979039999999997</v>
      </c>
      <c r="N3634">
        <v>0</v>
      </c>
      <c r="O3634">
        <v>1.892425E-2</v>
      </c>
      <c r="P3634">
        <v>0.99916039999999995</v>
      </c>
      <c r="Q3634">
        <v>2.672596E-2</v>
      </c>
      <c r="R3634">
        <v>3.1055059999999999E-2</v>
      </c>
      <c r="S3634">
        <v>3.004486</v>
      </c>
      <c r="T3634">
        <v>-8.7851879999999993E-2</v>
      </c>
      <c r="U3634">
        <v>1.010132E-2</v>
      </c>
      <c r="V3634">
        <v>-1.215305E-2</v>
      </c>
      <c r="W3634">
        <v>3.4536949999999997E-2</v>
      </c>
      <c r="X3634">
        <v>0.99932949999999998</v>
      </c>
      <c r="Y3634">
        <v>1.554854E-2</v>
      </c>
      <c r="Z3634">
        <v>-7.8048989999999997E-4</v>
      </c>
      <c r="AA3634">
        <v>0.99987879999999996</v>
      </c>
      <c r="AB3634">
        <v>30</v>
      </c>
      <c r="AC3634">
        <v>37.641300000000001</v>
      </c>
      <c r="AD3634">
        <v>-1.1094592041378</v>
      </c>
      <c r="AE3634">
        <v>0.12169999999997499</v>
      </c>
      <c r="AF3634">
        <v>0.59016420610375098</v>
      </c>
      <c r="AG3634">
        <v>-1.1094592041378</v>
      </c>
      <c r="AH3634">
        <v>37.604193750371103</v>
      </c>
      <c r="AI3634">
        <v>91.689733741881199</v>
      </c>
      <c r="AJ3634">
        <v>89.1008677732748</v>
      </c>
      <c r="AK3634">
        <v>37.625185463081301</v>
      </c>
      <c r="AL3634">
        <v>88.020784874067502</v>
      </c>
      <c r="AM3634">
        <v>90.696751320704294</v>
      </c>
      <c r="AN3634">
        <v>0.99999997355492698</v>
      </c>
    </row>
    <row r="3635" spans="1:40" x14ac:dyDescent="0.25">
      <c r="A3635" t="str">
        <f>"20190312160404909"</f>
        <v>20190312160404909</v>
      </c>
      <c r="B3635" t="str">
        <f>"1552377844897897"</f>
        <v>1552377844897897</v>
      </c>
      <c r="C3635" t="s">
        <v>40</v>
      </c>
      <c r="D3635">
        <v>5.2705590000000004</v>
      </c>
      <c r="E3635">
        <v>0.51059569999999999</v>
      </c>
      <c r="F3635" t="s">
        <v>70</v>
      </c>
      <c r="G3635">
        <v>-353.97559999999999</v>
      </c>
      <c r="H3635" s="1">
        <v>6.8753810000000002E-7</v>
      </c>
      <c r="I3635">
        <v>212.12979999999999</v>
      </c>
      <c r="J3635">
        <v>-391.52879999999999</v>
      </c>
      <c r="K3635">
        <v>1.1094569999999999</v>
      </c>
      <c r="L3635">
        <v>212.005</v>
      </c>
      <c r="M3635">
        <v>0.99978670000000003</v>
      </c>
      <c r="N3635">
        <v>0</v>
      </c>
      <c r="O3635">
        <v>1.910953E-2</v>
      </c>
      <c r="P3635">
        <v>0.99914879999999995</v>
      </c>
      <c r="Q3635">
        <v>2.6658230000000002E-2</v>
      </c>
      <c r="R3635">
        <v>3.1479739999999999E-2</v>
      </c>
      <c r="S3635">
        <v>3.0045169999999999</v>
      </c>
      <c r="T3635">
        <v>-8.8081960000000001E-2</v>
      </c>
      <c r="U3635">
        <v>1.036072E-2</v>
      </c>
      <c r="V3635">
        <v>-1.2392759999999999E-2</v>
      </c>
      <c r="W3635">
        <v>3.4476899999999998E-2</v>
      </c>
      <c r="X3635">
        <v>0.99932869999999996</v>
      </c>
      <c r="Y3635">
        <v>1.5647339999999999E-2</v>
      </c>
      <c r="Z3635">
        <v>-7.8940259999999904E-4</v>
      </c>
      <c r="AA3635">
        <v>0.99987729999999997</v>
      </c>
      <c r="AB3635">
        <v>31</v>
      </c>
      <c r="AC3635">
        <v>37.553199999999997</v>
      </c>
      <c r="AD3635">
        <v>-1.1094563124618999</v>
      </c>
      <c r="AE3635">
        <v>0.124799999999993</v>
      </c>
      <c r="AF3635">
        <v>0.59235180440759905</v>
      </c>
      <c r="AG3635">
        <v>-1.1094563124618999</v>
      </c>
      <c r="AH3635">
        <v>37.515982691079699</v>
      </c>
      <c r="AI3635">
        <v>91.693697540917597</v>
      </c>
      <c r="AJ3635">
        <v>89.095413848034497</v>
      </c>
      <c r="AK3635">
        <v>37.537058105915001</v>
      </c>
      <c r="AL3635">
        <v>88.024227674985099</v>
      </c>
      <c r="AM3635">
        <v>90.710493403155098</v>
      </c>
      <c r="AN3635">
        <v>1.0000000438888501</v>
      </c>
    </row>
    <row r="3636" spans="1:40" x14ac:dyDescent="0.25">
      <c r="A3636" t="str">
        <f>"20190312160404932"</f>
        <v>20190312160404932</v>
      </c>
      <c r="B3636" t="str">
        <f>"1552377844928149"</f>
        <v>1552377844928149</v>
      </c>
      <c r="C3636" t="s">
        <v>40</v>
      </c>
      <c r="D3636">
        <v>5.2506300000000001</v>
      </c>
      <c r="E3636">
        <v>0.51069690000000001</v>
      </c>
      <c r="F3636" t="s">
        <v>70</v>
      </c>
      <c r="G3636">
        <v>-354.27510000000001</v>
      </c>
      <c r="H3636" s="1">
        <v>8.4649760000000005E-7</v>
      </c>
      <c r="I3636">
        <v>212.13849999999999</v>
      </c>
      <c r="J3636">
        <v>-391.22710000000001</v>
      </c>
      <c r="K3636">
        <v>1.1094489999999999</v>
      </c>
      <c r="L3636">
        <v>212.01089999999999</v>
      </c>
      <c r="M3636">
        <v>0.99978319999999998</v>
      </c>
      <c r="N3636">
        <v>0</v>
      </c>
      <c r="O3636">
        <v>1.9298010000000001E-2</v>
      </c>
      <c r="P3636">
        <v>0.9991854</v>
      </c>
      <c r="Q3636">
        <v>2.590336E-2</v>
      </c>
      <c r="R3636">
        <v>3.095001E-2</v>
      </c>
      <c r="S3636">
        <v>3.0046080000000002</v>
      </c>
      <c r="T3636">
        <v>-8.9480400000000002E-2</v>
      </c>
      <c r="U3636">
        <v>1.077271E-2</v>
      </c>
      <c r="V3636">
        <v>-1.1673040000000001E-2</v>
      </c>
      <c r="W3636">
        <v>3.3731089999999998E-2</v>
      </c>
      <c r="X3636">
        <v>0.9993628</v>
      </c>
      <c r="Y3636">
        <v>1.5698259999999999E-2</v>
      </c>
      <c r="Z3636">
        <v>-8.0827440000000002E-4</v>
      </c>
      <c r="AA3636">
        <v>0.9998764</v>
      </c>
      <c r="AB3636">
        <v>31</v>
      </c>
      <c r="AC3636">
        <v>36.951999999999998</v>
      </c>
      <c r="AD3636">
        <v>-1.1094481535023999</v>
      </c>
      <c r="AE3636">
        <v>0.12760000000000099</v>
      </c>
      <c r="AF3636">
        <v>0.58501827538321904</v>
      </c>
      <c r="AG3636">
        <v>-1.1094481535023999</v>
      </c>
      <c r="AH3636">
        <v>36.914304999841399</v>
      </c>
      <c r="AI3636">
        <v>91.721272920122104</v>
      </c>
      <c r="AJ3636">
        <v>89.092051920531105</v>
      </c>
      <c r="AK3636">
        <v>36.9356066040502</v>
      </c>
      <c r="AL3636">
        <v>88.066984277118607</v>
      </c>
      <c r="AM3636">
        <v>90.669211934082398</v>
      </c>
      <c r="AN3636">
        <v>1.00000002615963</v>
      </c>
    </row>
    <row r="3637" spans="1:40" x14ac:dyDescent="0.25">
      <c r="A3637" t="str">
        <f>"20190312160404954"</f>
        <v>20190312160404954</v>
      </c>
      <c r="B3637" t="str">
        <f>"1552377844948645"</f>
        <v>1552377844948645</v>
      </c>
      <c r="C3637" t="s">
        <v>40</v>
      </c>
      <c r="D3637">
        <v>5.2675939999999999</v>
      </c>
      <c r="E3637">
        <v>0.51080779999999903</v>
      </c>
      <c r="F3637" t="s">
        <v>70</v>
      </c>
      <c r="G3637">
        <v>-355.28059999999999</v>
      </c>
      <c r="H3637" s="1">
        <v>1.382718E-6</v>
      </c>
      <c r="I3637">
        <v>212.113</v>
      </c>
      <c r="J3637">
        <v>-390.90789999999998</v>
      </c>
      <c r="K3637">
        <v>1.1094409999999999</v>
      </c>
      <c r="L3637">
        <v>212.01730000000001</v>
      </c>
      <c r="M3637">
        <v>0.99977939999999998</v>
      </c>
      <c r="N3637">
        <v>0</v>
      </c>
      <c r="O3637">
        <v>1.9487709999999998E-2</v>
      </c>
      <c r="P3637">
        <v>0.99922920000000004</v>
      </c>
      <c r="Q3637">
        <v>2.4991010000000001E-2</v>
      </c>
      <c r="R3637">
        <v>3.027413E-2</v>
      </c>
      <c r="S3637">
        <v>3.0045470000000001</v>
      </c>
      <c r="T3637">
        <v>-9.2731830000000001E-2</v>
      </c>
      <c r="U3637">
        <v>8.5296629999999998E-3</v>
      </c>
      <c r="V3637">
        <v>-1.0806069999999999E-2</v>
      </c>
      <c r="W3637">
        <v>3.2828450000000002E-2</v>
      </c>
      <c r="X3637">
        <v>0.99940260000000003</v>
      </c>
      <c r="Y3637">
        <v>1.663266E-2</v>
      </c>
      <c r="Z3637">
        <v>-8.579188E-4</v>
      </c>
      <c r="AA3637">
        <v>0.99986129999999995</v>
      </c>
      <c r="AB3637">
        <v>31</v>
      </c>
      <c r="AC3637">
        <v>35.627299999999899</v>
      </c>
      <c r="AD3637">
        <v>-1.10943961728199</v>
      </c>
      <c r="AE3637">
        <v>9.5699999999993596E-2</v>
      </c>
      <c r="AF3637">
        <v>0.59805404008554497</v>
      </c>
      <c r="AG3637">
        <v>-1.10943961728199</v>
      </c>
      <c r="AH3637">
        <v>35.587889213670103</v>
      </c>
      <c r="AI3637">
        <v>91.785345056265399</v>
      </c>
      <c r="AJ3637">
        <v>89.037235754521504</v>
      </c>
      <c r="AK3637">
        <v>35.6102005552302</v>
      </c>
      <c r="AL3637">
        <v>88.118730387276699</v>
      </c>
      <c r="AM3637">
        <v>90.619488159906794</v>
      </c>
      <c r="AN3637">
        <v>1.0000000175824999</v>
      </c>
    </row>
    <row r="3638" spans="1:40" x14ac:dyDescent="0.25">
      <c r="A3638" t="str">
        <f>"20190312160404976"</f>
        <v>20190312160404976</v>
      </c>
      <c r="B3638" t="str">
        <f>"1552377844968169"</f>
        <v>1552377844968169</v>
      </c>
      <c r="C3638" t="s">
        <v>40</v>
      </c>
      <c r="D3638">
        <v>5.2534979999999996</v>
      </c>
      <c r="E3638">
        <v>0.51093080000000002</v>
      </c>
      <c r="F3638" t="s">
        <v>70</v>
      </c>
      <c r="G3638">
        <v>-356.40260000000001</v>
      </c>
      <c r="H3638" s="1">
        <v>1.9811E-6</v>
      </c>
      <c r="I3638">
        <v>212.0821</v>
      </c>
      <c r="J3638">
        <v>-390.59949999999998</v>
      </c>
      <c r="K3638">
        <v>1.1094310000000001</v>
      </c>
      <c r="L3638">
        <v>212.02350000000001</v>
      </c>
      <c r="M3638">
        <v>0.99977590000000005</v>
      </c>
      <c r="N3638">
        <v>0</v>
      </c>
      <c r="O3638">
        <v>1.9655550000000001E-2</v>
      </c>
      <c r="P3638">
        <v>0.99926300000000001</v>
      </c>
      <c r="Q3638">
        <v>2.4463059999999998E-2</v>
      </c>
      <c r="R3638">
        <v>2.957914E-2</v>
      </c>
      <c r="S3638">
        <v>3.0045470000000001</v>
      </c>
      <c r="T3638">
        <v>-9.6604229999999999E-2</v>
      </c>
      <c r="U3638">
        <v>5.6457520000000004E-3</v>
      </c>
      <c r="V3638">
        <v>-9.9422460000000001E-3</v>
      </c>
      <c r="W3638">
        <v>3.2311369999999999E-2</v>
      </c>
      <c r="X3638">
        <v>0.99942839999999999</v>
      </c>
      <c r="Y3638">
        <v>1.7758079999999999E-2</v>
      </c>
      <c r="Z3638">
        <v>-9.1721179999999997E-4</v>
      </c>
      <c r="AA3638">
        <v>0.99984189999999995</v>
      </c>
      <c r="AB3638">
        <v>31</v>
      </c>
      <c r="AC3638">
        <v>34.1968999999999</v>
      </c>
      <c r="AD3638">
        <v>-1.1094290189</v>
      </c>
      <c r="AE3638">
        <v>5.8599999999984199E-2</v>
      </c>
      <c r="AF3638">
        <v>0.61294584436257604</v>
      </c>
      <c r="AG3638">
        <v>-1.1094290189</v>
      </c>
      <c r="AH3638">
        <v>34.155496137417501</v>
      </c>
      <c r="AI3638">
        <v>91.860111671026999</v>
      </c>
      <c r="AJ3638">
        <v>88.971894874709903</v>
      </c>
      <c r="AK3638">
        <v>34.179006008795</v>
      </c>
      <c r="AL3638">
        <v>88.148372582226798</v>
      </c>
      <c r="AM3638">
        <v>90.569955731422198</v>
      </c>
      <c r="AN3638">
        <v>0.99999999980667997</v>
      </c>
    </row>
    <row r="3639" spans="1:40" x14ac:dyDescent="0.25">
      <c r="A3639" t="str">
        <f>"20190312160404998"</f>
        <v>20190312160404998</v>
      </c>
      <c r="B3639" t="str">
        <f>"1552377844988661"</f>
        <v>1552377844988661</v>
      </c>
      <c r="C3639" t="s">
        <v>40</v>
      </c>
      <c r="D3639">
        <v>5.3278780000000001</v>
      </c>
      <c r="E3639">
        <v>0.53036049999999901</v>
      </c>
      <c r="F3639" t="s">
        <v>70</v>
      </c>
      <c r="G3639">
        <v>-356.92009999999999</v>
      </c>
      <c r="H3639" s="1">
        <v>2.2578359999999999E-6</v>
      </c>
      <c r="I3639">
        <v>212.05170000000001</v>
      </c>
      <c r="J3639">
        <v>-390.2978</v>
      </c>
      <c r="K3639">
        <v>1.109415</v>
      </c>
      <c r="L3639">
        <v>212.02950000000001</v>
      </c>
      <c r="M3639">
        <v>0.99977300000000002</v>
      </c>
      <c r="N3639">
        <v>0</v>
      </c>
      <c r="O3639">
        <v>1.9799239999999999E-2</v>
      </c>
      <c r="P3639">
        <v>0.99926349999999997</v>
      </c>
      <c r="Q3639">
        <v>2.4852800000000001E-2</v>
      </c>
      <c r="R3639">
        <v>2.9239850000000001E-2</v>
      </c>
      <c r="S3639">
        <v>3.0045470000000001</v>
      </c>
      <c r="T3639">
        <v>-9.8972320000000003E-2</v>
      </c>
      <c r="U3639">
        <v>2.5176999999999999E-3</v>
      </c>
      <c r="V3639">
        <v>-9.4579280000000009E-3</v>
      </c>
      <c r="W3639">
        <v>3.2716460000000003E-2</v>
      </c>
      <c r="X3639">
        <v>0.99941990000000003</v>
      </c>
      <c r="Y3639">
        <v>1.8941039999999999E-2</v>
      </c>
      <c r="Z3639">
        <v>-9.6389589999999997E-4</v>
      </c>
      <c r="AA3639">
        <v>0.99982009999999999</v>
      </c>
      <c r="AB3639">
        <v>31</v>
      </c>
      <c r="AC3639">
        <v>33.377699999999997</v>
      </c>
      <c r="AD3639">
        <v>-1.1094127421639901</v>
      </c>
      <c r="AE3639">
        <v>2.2199999999997999E-2</v>
      </c>
      <c r="AF3639">
        <v>0.63797309620787102</v>
      </c>
      <c r="AG3639">
        <v>-1.1094127421639901</v>
      </c>
      <c r="AH3639">
        <v>33.334768942470703</v>
      </c>
      <c r="AI3639">
        <v>91.905805615561206</v>
      </c>
      <c r="AJ3639">
        <v>88.903586101465706</v>
      </c>
      <c r="AK3639">
        <v>33.359325933715603</v>
      </c>
      <c r="AL3639">
        <v>88.125150315546705</v>
      </c>
      <c r="AM3639">
        <v>90.542197710270202</v>
      </c>
      <c r="AN3639">
        <v>0.99999997783649697</v>
      </c>
    </row>
    <row r="3640" spans="1:40" x14ac:dyDescent="0.25">
      <c r="A3640" t="str">
        <f>"20190312160405021"</f>
        <v>20190312160405021</v>
      </c>
      <c r="B3640" t="str">
        <f>"1552377845008688"</f>
        <v>1552377845008688</v>
      </c>
      <c r="C3640" t="s">
        <v>40</v>
      </c>
      <c r="D3640">
        <v>5.4170350000000003</v>
      </c>
      <c r="E3640">
        <v>0.53328229999999999</v>
      </c>
      <c r="F3640" t="s">
        <v>49</v>
      </c>
      <c r="G3640">
        <v>-389.45100000000002</v>
      </c>
      <c r="H3640">
        <v>1.0460529999999999</v>
      </c>
      <c r="I3640">
        <v>211.98660000000001</v>
      </c>
      <c r="J3640">
        <v>-389.9948</v>
      </c>
      <c r="K3640">
        <v>1.1093919999999999</v>
      </c>
      <c r="L3640">
        <v>212.03559999999999</v>
      </c>
      <c r="M3640">
        <v>0.99977050000000001</v>
      </c>
      <c r="N3640">
        <v>0</v>
      </c>
      <c r="O3640">
        <v>1.9916280000000001E-2</v>
      </c>
      <c r="P3640">
        <v>0.99927929999999998</v>
      </c>
      <c r="Q3640">
        <v>2.4722379999999999E-2</v>
      </c>
      <c r="R3640">
        <v>2.8806910000000002E-2</v>
      </c>
      <c r="S3640">
        <v>3.0122680000000002</v>
      </c>
      <c r="T3640">
        <v>-0.225413</v>
      </c>
      <c r="U3640">
        <v>-0.15246579999999901</v>
      </c>
      <c r="V3640">
        <v>-8.9061039999999998E-3</v>
      </c>
      <c r="W3640">
        <v>3.2606370000000003E-2</v>
      </c>
      <c r="X3640">
        <v>0.9994286</v>
      </c>
      <c r="Y3640">
        <v>7.0180350000000002E-2</v>
      </c>
      <c r="Z3640">
        <v>-4.1080200000000004E-3</v>
      </c>
      <c r="AA3640">
        <v>0.99752589999999997</v>
      </c>
      <c r="AB3640">
        <v>31</v>
      </c>
      <c r="AC3640">
        <v>0.54380000000003204</v>
      </c>
      <c r="AD3640">
        <v>-6.3338999999999798E-2</v>
      </c>
      <c r="AE3640">
        <v>-4.8999999999978103E-2</v>
      </c>
      <c r="AF3640">
        <v>5.9026760526118202E-2</v>
      </c>
      <c r="AG3640">
        <v>-6.3338999999999798E-2</v>
      </c>
      <c r="AH3640">
        <v>0.535509783959639</v>
      </c>
      <c r="AI3640">
        <v>96.705251092885504</v>
      </c>
      <c r="AJ3640">
        <v>83.709943824811702</v>
      </c>
      <c r="AK3640">
        <v>0.54246356199813694</v>
      </c>
      <c r="AL3640">
        <v>88.131461435808006</v>
      </c>
      <c r="AM3640">
        <v>90.510560398891002</v>
      </c>
      <c r="AN3640">
        <v>1.00000001027549</v>
      </c>
    </row>
    <row r="3641" spans="1:40" x14ac:dyDescent="0.25">
      <c r="A3641" t="str">
        <f>"20190312160405044"</f>
        <v>20190312160405044</v>
      </c>
      <c r="B3641" t="str">
        <f>"1552377845037968"</f>
        <v>1552377845037968</v>
      </c>
      <c r="C3641" t="s">
        <v>40</v>
      </c>
      <c r="D3641">
        <v>5.319661</v>
      </c>
      <c r="E3641">
        <v>0.5690151</v>
      </c>
      <c r="F3641" t="s">
        <v>49</v>
      </c>
      <c r="G3641">
        <v>-389.17750000000001</v>
      </c>
      <c r="H3641">
        <v>1.0381659999999999</v>
      </c>
      <c r="I3641">
        <v>211.9873</v>
      </c>
      <c r="J3641">
        <v>-389.66980000000001</v>
      </c>
      <c r="K3641">
        <v>1.109361</v>
      </c>
      <c r="L3641">
        <v>212.04220000000001</v>
      </c>
      <c r="M3641">
        <v>0.99976849999999995</v>
      </c>
      <c r="N3641">
        <v>0</v>
      </c>
      <c r="O3641">
        <v>2.0006599999999999E-2</v>
      </c>
      <c r="P3641">
        <v>0.99929060000000003</v>
      </c>
      <c r="Q3641">
        <v>2.4010360000000001E-2</v>
      </c>
      <c r="R3641">
        <v>2.901252E-2</v>
      </c>
      <c r="S3641">
        <v>3.0138240000000001</v>
      </c>
      <c r="T3641">
        <v>-0.26274899999999901</v>
      </c>
      <c r="U3641">
        <v>-0.1774597</v>
      </c>
      <c r="V3641">
        <v>-9.0192469999999993E-3</v>
      </c>
      <c r="W3641">
        <v>3.1921039999999998E-2</v>
      </c>
      <c r="X3641">
        <v>0.9994497</v>
      </c>
      <c r="Y3641">
        <v>7.8369010000000003E-2</v>
      </c>
      <c r="Z3641">
        <v>-5.1463780000000001E-3</v>
      </c>
      <c r="AA3641">
        <v>0.99691110000000005</v>
      </c>
      <c r="AB3641">
        <v>31</v>
      </c>
      <c r="AC3641">
        <v>0.49230000000000002</v>
      </c>
      <c r="AD3641">
        <v>-7.1195000000000105E-2</v>
      </c>
      <c r="AE3641">
        <v>-5.4900000000003502E-2</v>
      </c>
      <c r="AF3641">
        <v>6.3428316724888606E-2</v>
      </c>
      <c r="AG3641">
        <v>-7.1195000000000105E-2</v>
      </c>
      <c r="AH3641">
        <v>0.48116356492892098</v>
      </c>
      <c r="AI3641">
        <v>98.345489094454194</v>
      </c>
      <c r="AJ3641">
        <v>82.490410208189701</v>
      </c>
      <c r="AK3641">
        <v>0.49052039264709502</v>
      </c>
      <c r="AL3641">
        <v>88.170748389324402</v>
      </c>
      <c r="AM3641">
        <v>90.517035284863795</v>
      </c>
      <c r="AN3641">
        <v>1.0000000012206001</v>
      </c>
    </row>
    <row r="3642" spans="1:40" x14ac:dyDescent="0.25">
      <c r="A3642" t="str">
        <f>"20190312160405078"</f>
        <v>20190312160405078</v>
      </c>
      <c r="B3642" t="str">
        <f>"1552377845068227"</f>
        <v>1552377845068227</v>
      </c>
      <c r="C3642" t="s">
        <v>40</v>
      </c>
      <c r="D3642">
        <v>5.3967739999999997</v>
      </c>
      <c r="E3642">
        <v>0.56873359999999995</v>
      </c>
      <c r="F3642" t="s">
        <v>49</v>
      </c>
      <c r="G3642">
        <v>-388.94049999999999</v>
      </c>
      <c r="H3642">
        <v>0.9489708</v>
      </c>
      <c r="I3642">
        <v>211.93129999999999</v>
      </c>
      <c r="J3642">
        <v>-389.19659999999999</v>
      </c>
      <c r="K3642">
        <v>1.1093329999999999</v>
      </c>
      <c r="L3642">
        <v>212.05179999999999</v>
      </c>
      <c r="M3642">
        <v>0.99976679999999996</v>
      </c>
      <c r="N3642">
        <v>0</v>
      </c>
      <c r="O3642">
        <v>2.0076670000000001E-2</v>
      </c>
      <c r="P3642">
        <v>0.9993628</v>
      </c>
      <c r="Q3642">
        <v>2.2363689999999999E-2</v>
      </c>
      <c r="R3642">
        <v>2.7822260000000001E-2</v>
      </c>
      <c r="S3642">
        <v>3.0314939999999999</v>
      </c>
      <c r="T3642">
        <v>-0.6667632</v>
      </c>
      <c r="U3642">
        <v>-0.46041870000000001</v>
      </c>
      <c r="V3642">
        <v>-7.7547989999999997E-3</v>
      </c>
      <c r="W3642">
        <v>3.0315350000000001E-2</v>
      </c>
      <c r="X3642">
        <v>0.99951029999999996</v>
      </c>
      <c r="Y3642">
        <v>0.16563259999999999</v>
      </c>
      <c r="Z3642">
        <v>-2.2242000000000001E-2</v>
      </c>
      <c r="AA3642">
        <v>0.9859367</v>
      </c>
      <c r="AB3642">
        <v>31</v>
      </c>
      <c r="AC3642">
        <v>0.25610000000000299</v>
      </c>
      <c r="AD3642">
        <v>-0.16036219999999901</v>
      </c>
      <c r="AE3642">
        <v>-0.120499999999992</v>
      </c>
      <c r="AF3642">
        <v>9.5091355082180404E-2</v>
      </c>
      <c r="AG3642">
        <v>-0.16036219999999901</v>
      </c>
      <c r="AH3642">
        <v>0.191994981519371</v>
      </c>
      <c r="AI3642">
        <v>126.813769305367</v>
      </c>
      <c r="AJ3642">
        <v>63.651686568205001</v>
      </c>
      <c r="AK3642">
        <v>0.26762001780290801</v>
      </c>
      <c r="AL3642">
        <v>88.262792230507898</v>
      </c>
      <c r="AM3642">
        <v>90.444526023036303</v>
      </c>
      <c r="AN3642">
        <v>0.99999999857962096</v>
      </c>
    </row>
    <row r="3643" spans="1:40" x14ac:dyDescent="0.25">
      <c r="A3643" t="str">
        <f>"20190312160405098"</f>
        <v>20190312160405098</v>
      </c>
      <c r="B3643" t="str">
        <f>"1552377845088720"</f>
        <v>1552377845088720</v>
      </c>
      <c r="C3643" t="s">
        <v>40</v>
      </c>
      <c r="D3643">
        <v>5.3709860000000003</v>
      </c>
      <c r="E3643">
        <v>0.56781199999999998</v>
      </c>
      <c r="F3643" t="s">
        <v>49</v>
      </c>
      <c r="G3643">
        <v>-388.39339999999999</v>
      </c>
      <c r="H3643">
        <v>0.92432729999999996</v>
      </c>
      <c r="I3643">
        <v>211.93010000000001</v>
      </c>
      <c r="J3643">
        <v>-388.91160000000002</v>
      </c>
      <c r="K3643">
        <v>1.109321</v>
      </c>
      <c r="L3643">
        <v>212.0575</v>
      </c>
      <c r="M3643">
        <v>0.99976620000000005</v>
      </c>
      <c r="N3643">
        <v>0</v>
      </c>
      <c r="O3643">
        <v>2.009526E-2</v>
      </c>
      <c r="P3643">
        <v>0.99938530000000003</v>
      </c>
      <c r="Q3643">
        <v>2.272132E-2</v>
      </c>
      <c r="R3643">
        <v>2.669796E-2</v>
      </c>
      <c r="S3643">
        <v>3.0303339999999999</v>
      </c>
      <c r="T3643">
        <v>-0.69798749999999998</v>
      </c>
      <c r="U3643">
        <v>-0.45938109999999999</v>
      </c>
      <c r="V3643">
        <v>-6.6099160000000004E-3</v>
      </c>
      <c r="W3643">
        <v>3.0697120000000001E-2</v>
      </c>
      <c r="X3643">
        <v>0.99950689999999998</v>
      </c>
      <c r="Y3643">
        <v>0.16497829999999999</v>
      </c>
      <c r="Z3643">
        <v>-2.3197389999999998E-2</v>
      </c>
      <c r="AA3643">
        <v>0.98602440000000002</v>
      </c>
      <c r="AB3643">
        <v>31</v>
      </c>
      <c r="AC3643">
        <v>0.51820000000003497</v>
      </c>
      <c r="AD3643">
        <v>-0.18499370000000001</v>
      </c>
      <c r="AE3643">
        <v>-0.12739999999999399</v>
      </c>
      <c r="AF3643">
        <v>0.123005213588287</v>
      </c>
      <c r="AG3643">
        <v>-0.18499370000000001</v>
      </c>
      <c r="AH3643">
        <v>0.46022530386708199</v>
      </c>
      <c r="AI3643">
        <v>111.222807559307</v>
      </c>
      <c r="AJ3643">
        <v>75.036221656126997</v>
      </c>
      <c r="AK3643">
        <v>0.51103843488444001</v>
      </c>
      <c r="AL3643">
        <v>88.240908279399903</v>
      </c>
      <c r="AM3643">
        <v>90.378901605264204</v>
      </c>
      <c r="AN3643">
        <v>1.0000000236567099</v>
      </c>
    </row>
    <row r="3644" spans="1:40" x14ac:dyDescent="0.25">
      <c r="A3644" t="str">
        <f>"20190312160405120"</f>
        <v>20190312160405120</v>
      </c>
      <c r="B3644" t="str">
        <f>"1552377845108241"</f>
        <v>1552377845108241</v>
      </c>
      <c r="C3644" t="s">
        <v>40</v>
      </c>
      <c r="D3644">
        <v>5.3822859999999997</v>
      </c>
      <c r="E3644">
        <v>0.56760969999999999</v>
      </c>
      <c r="F3644" t="s">
        <v>49</v>
      </c>
      <c r="G3644">
        <v>-388.11250000000001</v>
      </c>
      <c r="H3644">
        <v>0.92744490000000002</v>
      </c>
      <c r="I3644">
        <v>211.93729999999999</v>
      </c>
      <c r="J3644">
        <v>-388.59789999999998</v>
      </c>
      <c r="K3644">
        <v>1.1093139999999999</v>
      </c>
      <c r="L3644">
        <v>212.06379999999999</v>
      </c>
      <c r="M3644">
        <v>0.99976589999999999</v>
      </c>
      <c r="N3644">
        <v>0</v>
      </c>
      <c r="O3644">
        <v>2.010172E-2</v>
      </c>
      <c r="P3644">
        <v>0.99938990000000005</v>
      </c>
      <c r="Q3644">
        <v>2.3641120000000002E-2</v>
      </c>
      <c r="R3644">
        <v>2.5708849999999998E-2</v>
      </c>
      <c r="S3644">
        <v>3.0296940000000001</v>
      </c>
      <c r="T3644">
        <v>-0.68954780000000004</v>
      </c>
      <c r="U3644">
        <v>-0.45553589999999999</v>
      </c>
      <c r="V3644">
        <v>-5.6141250000000002E-3</v>
      </c>
      <c r="W3644">
        <v>3.1641750000000003E-2</v>
      </c>
      <c r="X3644">
        <v>0.99948349999999997</v>
      </c>
      <c r="Y3644">
        <v>0.16392779999999901</v>
      </c>
      <c r="Z3644">
        <v>-2.2814609999999999E-2</v>
      </c>
      <c r="AA3644">
        <v>0.98620850000000004</v>
      </c>
      <c r="AB3644">
        <v>31</v>
      </c>
      <c r="AC3644">
        <v>0.48539999999997002</v>
      </c>
      <c r="AD3644">
        <v>-0.18186909999999901</v>
      </c>
      <c r="AE3644">
        <v>-0.12649999999999201</v>
      </c>
      <c r="AF3644">
        <v>0.120404256498662</v>
      </c>
      <c r="AG3644">
        <v>-0.18186909999999901</v>
      </c>
      <c r="AH3644">
        <v>0.42667053838774799</v>
      </c>
      <c r="AI3644">
        <v>112.30493644524</v>
      </c>
      <c r="AJ3644">
        <v>74.241203479356798</v>
      </c>
      <c r="AK3644">
        <v>0.47918817060304902</v>
      </c>
      <c r="AL3644">
        <v>88.186758599930002</v>
      </c>
      <c r="AM3644">
        <v>90.321828509692097</v>
      </c>
      <c r="AN3644">
        <v>0.99999999275741402</v>
      </c>
    </row>
    <row r="3645" spans="1:40" x14ac:dyDescent="0.25">
      <c r="A3645" t="str">
        <f>"20190312160405144"</f>
        <v>20190312160405144</v>
      </c>
      <c r="B3645" t="str">
        <f>"1552377845138496"</f>
        <v>1552377845138496</v>
      </c>
      <c r="C3645" t="s">
        <v>40</v>
      </c>
      <c r="D3645">
        <v>5.3936809999999999</v>
      </c>
      <c r="E3645">
        <v>0.56821919999999904</v>
      </c>
      <c r="F3645" t="s">
        <v>49</v>
      </c>
      <c r="G3645">
        <v>-387.82889999999998</v>
      </c>
      <c r="H3645">
        <v>0.93554510000000002</v>
      </c>
      <c r="I3645">
        <v>211.9477</v>
      </c>
      <c r="J3645">
        <v>-388.27449999999999</v>
      </c>
      <c r="K3645">
        <v>1.1093</v>
      </c>
      <c r="L3645">
        <v>212.0703</v>
      </c>
      <c r="M3645">
        <v>0.99976580000000004</v>
      </c>
      <c r="N3645">
        <v>0</v>
      </c>
      <c r="O3645">
        <v>2.0098379999999999E-2</v>
      </c>
      <c r="P3645">
        <v>0.99941409999999997</v>
      </c>
      <c r="Q3645">
        <v>2.2938960000000001E-2</v>
      </c>
      <c r="R3645">
        <v>2.540767E-2</v>
      </c>
      <c r="S3645">
        <v>3.029785</v>
      </c>
      <c r="T3645">
        <v>-0.68462129999999999</v>
      </c>
      <c r="U3645">
        <v>-0.4571228</v>
      </c>
      <c r="V3645">
        <v>-5.3154150000000004E-3</v>
      </c>
      <c r="W3645">
        <v>3.096784E-2</v>
      </c>
      <c r="X3645">
        <v>0.99950620000000001</v>
      </c>
      <c r="Y3645">
        <v>0.16447709999999999</v>
      </c>
      <c r="Z3645">
        <v>-2.2714290000000002E-2</v>
      </c>
      <c r="AA3645">
        <v>0.98611930000000003</v>
      </c>
      <c r="AB3645">
        <v>31</v>
      </c>
      <c r="AC3645">
        <v>0.44560000000001299</v>
      </c>
      <c r="AD3645">
        <v>-0.17375489999999999</v>
      </c>
      <c r="AE3645">
        <v>-0.122600000000005</v>
      </c>
      <c r="AF3645">
        <v>0.11524200949376499</v>
      </c>
      <c r="AG3645">
        <v>-0.17375489999999999</v>
      </c>
      <c r="AH3645">
        <v>0.388177338803814</v>
      </c>
      <c r="AI3645">
        <v>113.22447981811101</v>
      </c>
      <c r="AJ3645">
        <v>73.464909563583404</v>
      </c>
      <c r="AK3645">
        <v>0.44062811120828699</v>
      </c>
      <c r="AL3645">
        <v>88.225389661592303</v>
      </c>
      <c r="AM3645">
        <v>90.304698434938601</v>
      </c>
      <c r="AN3645">
        <v>0.99999995229466199</v>
      </c>
    </row>
    <row r="3646" spans="1:40" x14ac:dyDescent="0.25">
      <c r="A3646" t="str">
        <f>"20190312160405166"</f>
        <v>20190312160405166</v>
      </c>
      <c r="B3646" t="str">
        <f>"1552377845158020"</f>
        <v>1552377845158020</v>
      </c>
      <c r="C3646" t="s">
        <v>40</v>
      </c>
      <c r="D3646">
        <v>5.4044160000000003</v>
      </c>
      <c r="E3646">
        <v>0.55178570000000005</v>
      </c>
      <c r="F3646" t="s">
        <v>49</v>
      </c>
      <c r="G3646">
        <v>-387.54579999999999</v>
      </c>
      <c r="H3646">
        <v>0.94095269999999998</v>
      </c>
      <c r="I3646">
        <v>211.95859999999999</v>
      </c>
      <c r="J3646">
        <v>-387.94830000000002</v>
      </c>
      <c r="K3646">
        <v>1.109289</v>
      </c>
      <c r="L3646">
        <v>212.07689999999999</v>
      </c>
      <c r="M3646">
        <v>0.99976580000000004</v>
      </c>
      <c r="N3646">
        <v>0</v>
      </c>
      <c r="O3646">
        <v>2.008621E-2</v>
      </c>
      <c r="P3646">
        <v>0.99943749999999998</v>
      </c>
      <c r="Q3646">
        <v>2.220517E-2</v>
      </c>
      <c r="R3646">
        <v>2.5133429999999998E-2</v>
      </c>
      <c r="S3646">
        <v>3.0296020000000001</v>
      </c>
      <c r="T3646">
        <v>-0.69996959999999997</v>
      </c>
      <c r="U3646">
        <v>-0.46289059999999999</v>
      </c>
      <c r="V3646">
        <v>-5.0524389999999997E-3</v>
      </c>
      <c r="W3646">
        <v>3.026483E-2</v>
      </c>
      <c r="X3646">
        <v>0.99952909999999995</v>
      </c>
      <c r="Y3646">
        <v>0.166065299999999</v>
      </c>
      <c r="Z3646">
        <v>-2.338631E-2</v>
      </c>
      <c r="AA3646">
        <v>0.98583739999999997</v>
      </c>
      <c r="AB3646">
        <v>31</v>
      </c>
      <c r="AC3646">
        <v>0.402500000000031</v>
      </c>
      <c r="AD3646">
        <v>-0.16833629999999999</v>
      </c>
      <c r="AE3646">
        <v>-0.118300000000004</v>
      </c>
      <c r="AF3646">
        <v>0.108837657727942</v>
      </c>
      <c r="AG3646">
        <v>-0.16833629999999999</v>
      </c>
      <c r="AH3646">
        <v>0.34456563457106798</v>
      </c>
      <c r="AI3646">
        <v>114.978868075588</v>
      </c>
      <c r="AJ3646">
        <v>72.470280023021303</v>
      </c>
      <c r="AK3646">
        <v>0.39863294164526503</v>
      </c>
      <c r="AL3646">
        <v>88.265688065456501</v>
      </c>
      <c r="AM3646">
        <v>90.289617346243901</v>
      </c>
      <c r="AN3646">
        <v>0.99999995441079204</v>
      </c>
    </row>
    <row r="3647" spans="1:40" x14ac:dyDescent="0.25">
      <c r="A3647" t="str">
        <f>"20190312160405189"</f>
        <v>20190312160405189</v>
      </c>
      <c r="B3647" t="str">
        <f>"1552377845178512"</f>
        <v>1552377845178512</v>
      </c>
      <c r="C3647" t="s">
        <v>40</v>
      </c>
      <c r="D3647">
        <v>5.4219580000000001</v>
      </c>
      <c r="E3647">
        <v>0.55633559999999904</v>
      </c>
      <c r="F3647" t="s">
        <v>49</v>
      </c>
      <c r="G3647">
        <v>-387.23849999999999</v>
      </c>
      <c r="H3647">
        <v>0.9985482</v>
      </c>
      <c r="I3647">
        <v>211.9983</v>
      </c>
      <c r="J3647">
        <v>-387.64350000000002</v>
      </c>
      <c r="K3647">
        <v>1.109283</v>
      </c>
      <c r="L3647">
        <v>212.083</v>
      </c>
      <c r="M3647">
        <v>0.99976620000000005</v>
      </c>
      <c r="N3647">
        <v>0</v>
      </c>
      <c r="O3647">
        <v>2.0061079999999998E-2</v>
      </c>
      <c r="P3647">
        <v>0.99945130000000004</v>
      </c>
      <c r="Q3647">
        <v>2.1510769999999999E-2</v>
      </c>
      <c r="R3647">
        <v>2.5194540000000001E-2</v>
      </c>
      <c r="S3647">
        <v>3.0205989999999998</v>
      </c>
      <c r="T3647">
        <v>-0.4712962</v>
      </c>
      <c r="U3647">
        <v>-0.33389279999999999</v>
      </c>
      <c r="V3647">
        <v>-5.1378550000000002E-3</v>
      </c>
      <c r="W3647">
        <v>2.9599940000000002E-2</v>
      </c>
      <c r="X3647">
        <v>0.99954860000000001</v>
      </c>
      <c r="Y3647">
        <v>0.12801650000000001</v>
      </c>
      <c r="Z3647">
        <v>-1.300015E-2</v>
      </c>
      <c r="AA3647">
        <v>0.99168679999999998</v>
      </c>
      <c r="AB3647">
        <v>31</v>
      </c>
      <c r="AC3647">
        <v>0.405000000000029</v>
      </c>
      <c r="AD3647">
        <v>-0.11073479999999999</v>
      </c>
      <c r="AE3647">
        <v>-8.4699999999997999E-2</v>
      </c>
      <c r="AF3647">
        <v>8.6604851977548497E-2</v>
      </c>
      <c r="AG3647">
        <v>-0.11073479999999999</v>
      </c>
      <c r="AH3647">
        <v>0.37626887007454801</v>
      </c>
      <c r="AI3647">
        <v>106.00279468174401</v>
      </c>
      <c r="AJ3647">
        <v>77.038122858889096</v>
      </c>
      <c r="AK3647">
        <v>0.40167257673915202</v>
      </c>
      <c r="AL3647">
        <v>88.303800577475201</v>
      </c>
      <c r="AM3647">
        <v>90.294507755470804</v>
      </c>
      <c r="AN3647">
        <v>0.999999978881982</v>
      </c>
    </row>
    <row r="3648" spans="1:40" x14ac:dyDescent="0.25">
      <c r="A3648" t="str">
        <f>"20190312160405210"</f>
        <v>20190312160405210</v>
      </c>
      <c r="B3648" t="str">
        <f>"1552377845198033"</f>
        <v>1552377845198033</v>
      </c>
      <c r="C3648" t="s">
        <v>40</v>
      </c>
      <c r="D3648">
        <v>5.3885319999999997</v>
      </c>
      <c r="E3648">
        <v>0.55830599999999997</v>
      </c>
      <c r="F3648" t="s">
        <v>49</v>
      </c>
      <c r="G3648">
        <v>-386.6918</v>
      </c>
      <c r="H3648">
        <v>0.9575456</v>
      </c>
      <c r="I3648">
        <v>211.96619999999999</v>
      </c>
      <c r="J3648">
        <v>-387.33699999999999</v>
      </c>
      <c r="K3648">
        <v>1.109267</v>
      </c>
      <c r="L3648">
        <v>212.0891</v>
      </c>
      <c r="M3648">
        <v>0.99976679999999996</v>
      </c>
      <c r="N3648">
        <v>0</v>
      </c>
      <c r="O3648">
        <v>2.0017589999999998E-2</v>
      </c>
      <c r="P3648">
        <v>0.99943210000000005</v>
      </c>
      <c r="Q3648">
        <v>2.1637969999999999E-2</v>
      </c>
      <c r="R3648">
        <v>2.5831739999999999E-2</v>
      </c>
      <c r="S3648">
        <v>3.0213320000000001</v>
      </c>
      <c r="T3648">
        <v>-0.48183140000000002</v>
      </c>
      <c r="U3648">
        <v>-0.36993409999999999</v>
      </c>
      <c r="V3648">
        <v>-5.8170139999999997E-3</v>
      </c>
      <c r="W3648">
        <v>2.9754360000000001E-2</v>
      </c>
      <c r="X3648">
        <v>0.99954030000000005</v>
      </c>
      <c r="Y3648">
        <v>0.13939260000000001</v>
      </c>
      <c r="Z3648">
        <v>-1.4166420000000001E-2</v>
      </c>
      <c r="AA3648">
        <v>0.99013580000000001</v>
      </c>
      <c r="AB3648">
        <v>32</v>
      </c>
      <c r="AC3648">
        <v>0.64519999999998801</v>
      </c>
      <c r="AD3648">
        <v>-0.15172140000000001</v>
      </c>
      <c r="AE3648">
        <v>-0.122900000000015</v>
      </c>
      <c r="AF3648">
        <v>0.12891222527725099</v>
      </c>
      <c r="AG3648">
        <v>-0.15172140000000001</v>
      </c>
      <c r="AH3648">
        <v>0.61005704858660004</v>
      </c>
      <c r="AI3648">
        <v>103.675841929919</v>
      </c>
      <c r="AJ3648">
        <v>78.068256380730602</v>
      </c>
      <c r="AK3648">
        <v>0.64172217319809499</v>
      </c>
      <c r="AL3648">
        <v>88.294949075452294</v>
      </c>
      <c r="AM3648">
        <v>90.333439871240799</v>
      </c>
      <c r="AN3648">
        <v>0.99999998545748703</v>
      </c>
    </row>
    <row r="3649" spans="1:40" x14ac:dyDescent="0.25">
      <c r="A3649" t="str">
        <f>"20190312160405235"</f>
        <v>20190312160405235</v>
      </c>
      <c r="B3649" t="str">
        <f>"1552377845228288"</f>
        <v>1552377845228288</v>
      </c>
      <c r="C3649" t="s">
        <v>40</v>
      </c>
      <c r="D3649">
        <v>5.3653130000000004</v>
      </c>
      <c r="E3649">
        <v>0.56002859999999999</v>
      </c>
      <c r="F3649" t="s">
        <v>49</v>
      </c>
      <c r="G3649">
        <v>-386.4074</v>
      </c>
      <c r="H3649">
        <v>0.96021179999999995</v>
      </c>
      <c r="I3649">
        <v>211.97059999999999</v>
      </c>
      <c r="J3649">
        <v>-386.99360000000001</v>
      </c>
      <c r="K3649">
        <v>1.109245</v>
      </c>
      <c r="L3649">
        <v>212.0959</v>
      </c>
      <c r="M3649">
        <v>0.99976790000000004</v>
      </c>
      <c r="N3649">
        <v>0</v>
      </c>
      <c r="O3649">
        <v>1.9946499999999999E-2</v>
      </c>
      <c r="P3649">
        <v>0.99944200000000005</v>
      </c>
      <c r="Q3649">
        <v>2.1237559999999999E-2</v>
      </c>
      <c r="R3649">
        <v>2.578679E-2</v>
      </c>
      <c r="S3649">
        <v>3.0220639999999999</v>
      </c>
      <c r="T3649">
        <v>-0.48464669999999999</v>
      </c>
      <c r="U3649">
        <v>-0.38433840000000002</v>
      </c>
      <c r="V3649">
        <v>-5.8413859999999996E-3</v>
      </c>
      <c r="W3649">
        <v>2.9383070000000001E-2</v>
      </c>
      <c r="X3649">
        <v>0.99955119999999997</v>
      </c>
      <c r="Y3649">
        <v>0.14386270000000001</v>
      </c>
      <c r="Z3649">
        <v>-1.458417E-2</v>
      </c>
      <c r="AA3649">
        <v>0.98949019999999999</v>
      </c>
      <c r="AB3649">
        <v>32</v>
      </c>
      <c r="AC3649">
        <v>0.58620000000001904</v>
      </c>
      <c r="AD3649">
        <v>-0.14903319999999901</v>
      </c>
      <c r="AE3649">
        <v>-0.12530000000000899</v>
      </c>
      <c r="AF3649">
        <v>0.128994691521266</v>
      </c>
      <c r="AG3649">
        <v>-0.14903319999999901</v>
      </c>
      <c r="AH3649">
        <v>0.54961147086760098</v>
      </c>
      <c r="AI3649">
        <v>104.788014053108</v>
      </c>
      <c r="AJ3649">
        <v>76.791652180208501</v>
      </c>
      <c r="AK3649">
        <v>0.58388637083952799</v>
      </c>
      <c r="AL3649">
        <v>88.316231830315004</v>
      </c>
      <c r="AM3649">
        <v>90.334833227414194</v>
      </c>
      <c r="AN3649">
        <v>1.0000000440072301</v>
      </c>
    </row>
    <row r="3650" spans="1:40" x14ac:dyDescent="0.25">
      <c r="A3650" t="str">
        <f>"20190312160405257"</f>
        <v>20190312160405257</v>
      </c>
      <c r="B3650" t="str">
        <f>"1552377845248784"</f>
        <v>1552377845248784</v>
      </c>
      <c r="C3650" t="s">
        <v>40</v>
      </c>
      <c r="D3650">
        <v>5.7405780000000002</v>
      </c>
      <c r="E3650">
        <v>0.56010700000000002</v>
      </c>
      <c r="F3650" t="s">
        <v>49</v>
      </c>
      <c r="G3650">
        <v>-386.12040000000002</v>
      </c>
      <c r="H3650">
        <v>0.96783920000000001</v>
      </c>
      <c r="I3650">
        <v>211.98079999999999</v>
      </c>
      <c r="J3650">
        <v>-386.6764</v>
      </c>
      <c r="K3650">
        <v>1.109227</v>
      </c>
      <c r="L3650">
        <v>212.10220000000001</v>
      </c>
      <c r="M3650">
        <v>0.99976949999999998</v>
      </c>
      <c r="N3650">
        <v>0</v>
      </c>
      <c r="O3650">
        <v>1.9851859999999999E-2</v>
      </c>
      <c r="P3650">
        <v>0.99945919999999999</v>
      </c>
      <c r="Q3650">
        <v>2.0990559999999998E-2</v>
      </c>
      <c r="R3650">
        <v>2.530876E-2</v>
      </c>
      <c r="S3650">
        <v>3.0223080000000002</v>
      </c>
      <c r="T3650">
        <v>-0.48947639999999998</v>
      </c>
      <c r="U3650">
        <v>-0.39802549999999998</v>
      </c>
      <c r="V3650">
        <v>-5.456308E-3</v>
      </c>
      <c r="W3650">
        <v>2.916144E-2</v>
      </c>
      <c r="X3650">
        <v>0.9995598</v>
      </c>
      <c r="Y3650">
        <v>0.14807290000000001</v>
      </c>
      <c r="Z3650">
        <v>-1.5044490000000001E-2</v>
      </c>
      <c r="AA3650">
        <v>0.98886200000000002</v>
      </c>
      <c r="AB3650">
        <v>32</v>
      </c>
      <c r="AC3650">
        <v>0.55599999999998295</v>
      </c>
      <c r="AD3650">
        <v>-0.14138779999999901</v>
      </c>
      <c r="AE3650">
        <v>-0.121400000000022</v>
      </c>
      <c r="AF3650">
        <v>0.12471620474211299</v>
      </c>
      <c r="AG3650">
        <v>-0.14138779999999901</v>
      </c>
      <c r="AH3650">
        <v>0.52130382998283797</v>
      </c>
      <c r="AI3650">
        <v>104.776676178316</v>
      </c>
      <c r="AJ3650">
        <v>76.545501456286601</v>
      </c>
      <c r="AK3650">
        <v>0.55434855900317204</v>
      </c>
      <c r="AL3650">
        <v>88.328935625870798</v>
      </c>
      <c r="AM3650">
        <v>90.312757991111894</v>
      </c>
      <c r="AN3650">
        <v>0.99999997732795198</v>
      </c>
    </row>
    <row r="3651" spans="1:40" x14ac:dyDescent="0.25">
      <c r="A3651" t="str">
        <f>"20190312160405279"</f>
        <v>20190312160405279</v>
      </c>
      <c r="B3651" t="str">
        <f>"1552377845268304"</f>
        <v>1552377845268304</v>
      </c>
      <c r="C3651" t="s">
        <v>40</v>
      </c>
      <c r="D3651">
        <v>5.3718339999999998</v>
      </c>
      <c r="E3651">
        <v>0.56005509999999903</v>
      </c>
      <c r="F3651" t="s">
        <v>49</v>
      </c>
      <c r="G3651">
        <v>-385.83409999999998</v>
      </c>
      <c r="H3651">
        <v>0.97261699999999995</v>
      </c>
      <c r="I3651">
        <v>211.99039999999999</v>
      </c>
      <c r="J3651">
        <v>-386.37079999999997</v>
      </c>
      <c r="K3651">
        <v>1.1091979999999999</v>
      </c>
      <c r="L3651">
        <v>212.10810000000001</v>
      </c>
      <c r="M3651">
        <v>0.99977199999999999</v>
      </c>
      <c r="N3651">
        <v>0</v>
      </c>
      <c r="O3651">
        <v>1.9721120000000002E-2</v>
      </c>
      <c r="P3651">
        <v>0.99945130000000004</v>
      </c>
      <c r="Q3651">
        <v>2.1531359999999999E-2</v>
      </c>
      <c r="R3651">
        <v>2.51737E-2</v>
      </c>
      <c r="S3651">
        <v>3.0220340000000001</v>
      </c>
      <c r="T3651">
        <v>-0.49025750000000001</v>
      </c>
      <c r="U3651">
        <v>-0.39982600000000001</v>
      </c>
      <c r="V3651">
        <v>-5.4500219999999997E-3</v>
      </c>
      <c r="W3651">
        <v>2.9724339999999998E-2</v>
      </c>
      <c r="X3651">
        <v>0.99954319999999997</v>
      </c>
      <c r="Y3651">
        <v>0.14852319999999999</v>
      </c>
      <c r="Z3651">
        <v>-1.50841E-2</v>
      </c>
      <c r="AA3651">
        <v>0.98879379999999994</v>
      </c>
      <c r="AB3651">
        <v>32</v>
      </c>
      <c r="AC3651">
        <v>0.53669999999999596</v>
      </c>
      <c r="AD3651">
        <v>-0.13658099999999901</v>
      </c>
      <c r="AE3651">
        <v>-0.117700000000013</v>
      </c>
      <c r="AF3651">
        <v>0.120797714244191</v>
      </c>
      <c r="AG3651">
        <v>-0.13658099999999901</v>
      </c>
      <c r="AH3651">
        <v>0.50318276947532103</v>
      </c>
      <c r="AI3651">
        <v>104.785202175458</v>
      </c>
      <c r="AJ3651">
        <v>76.500622353454901</v>
      </c>
      <c r="AK3651">
        <v>0.53520029598690899</v>
      </c>
      <c r="AL3651">
        <v>88.296669751012303</v>
      </c>
      <c r="AM3651">
        <v>90.3124028700217</v>
      </c>
      <c r="AN3651">
        <v>0.99999992389723502</v>
      </c>
    </row>
    <row r="3652" spans="1:40" x14ac:dyDescent="0.25">
      <c r="A3652" t="str">
        <f>"20190312160405299"</f>
        <v>20190312160405299</v>
      </c>
      <c r="B3652" t="str">
        <f>"1552377845288801"</f>
        <v>1552377845288801</v>
      </c>
      <c r="C3652" t="s">
        <v>40</v>
      </c>
      <c r="D3652">
        <v>5.3753190000000002</v>
      </c>
      <c r="E3652">
        <v>0.55963219999999902</v>
      </c>
      <c r="F3652" t="s">
        <v>49</v>
      </c>
      <c r="G3652">
        <v>-385.54790000000003</v>
      </c>
      <c r="H3652">
        <v>0.9760643</v>
      </c>
      <c r="I3652">
        <v>211.9992</v>
      </c>
      <c r="J3652">
        <v>-386.07049999999998</v>
      </c>
      <c r="K3652">
        <v>1.109164</v>
      </c>
      <c r="L3652">
        <v>212.1139</v>
      </c>
      <c r="M3652">
        <v>0.99977519999999998</v>
      </c>
      <c r="N3652">
        <v>0</v>
      </c>
      <c r="O3652">
        <v>1.9546569999999999E-2</v>
      </c>
      <c r="P3652">
        <v>0.99943230000000005</v>
      </c>
      <c r="Q3652">
        <v>2.222683E-2</v>
      </c>
      <c r="R3652">
        <v>2.532802E-2</v>
      </c>
      <c r="S3652">
        <v>3.0222169999999999</v>
      </c>
      <c r="T3652">
        <v>-0.48895080000000002</v>
      </c>
      <c r="U3652">
        <v>-0.39991759999999998</v>
      </c>
      <c r="V3652">
        <v>-5.7768580000000002E-3</v>
      </c>
      <c r="W3652">
        <v>3.0441180000000002E-2</v>
      </c>
      <c r="X3652">
        <v>0.99951990000000002</v>
      </c>
      <c r="Y3652">
        <v>0.14838799999999999</v>
      </c>
      <c r="Z3652">
        <v>-1.5004709999999999E-2</v>
      </c>
      <c r="AA3652">
        <v>0.98881540000000001</v>
      </c>
      <c r="AB3652">
        <v>32</v>
      </c>
      <c r="AC3652">
        <v>0.52259999999995399</v>
      </c>
      <c r="AD3652">
        <v>-0.13309969999999999</v>
      </c>
      <c r="AE3652">
        <v>-0.114699999999999</v>
      </c>
      <c r="AF3652">
        <v>0.11761490701284499</v>
      </c>
      <c r="AG3652">
        <v>-0.13309969999999999</v>
      </c>
      <c r="AH3652">
        <v>0.48993840451831999</v>
      </c>
      <c r="AI3652">
        <v>104.797307344956</v>
      </c>
      <c r="AJ3652">
        <v>76.500983779662207</v>
      </c>
      <c r="AK3652">
        <v>0.52114147475871397</v>
      </c>
      <c r="AL3652">
        <v>88.255579435464</v>
      </c>
      <c r="AM3652">
        <v>90.331144879501096</v>
      </c>
      <c r="AN3652">
        <v>1.00000003401207</v>
      </c>
    </row>
    <row r="3653" spans="1:40" x14ac:dyDescent="0.25">
      <c r="A3653" t="str">
        <f>"20190312160405322"</f>
        <v>20190312160405322</v>
      </c>
      <c r="B3653" t="str">
        <f>"1552377845318080"</f>
        <v>1552377845318080</v>
      </c>
      <c r="C3653" t="s">
        <v>40</v>
      </c>
      <c r="D3653">
        <v>5.3658440000000001</v>
      </c>
      <c r="E3653">
        <v>0.57500369999999901</v>
      </c>
      <c r="F3653" t="s">
        <v>49</v>
      </c>
      <c r="G3653">
        <v>-385.26130000000001</v>
      </c>
      <c r="H3653">
        <v>0.97903899999999999</v>
      </c>
      <c r="I3653">
        <v>212.00749999999999</v>
      </c>
      <c r="J3653">
        <v>-385.74360000000001</v>
      </c>
      <c r="K3653">
        <v>1.1091219999999999</v>
      </c>
      <c r="L3653">
        <v>212.12010000000001</v>
      </c>
      <c r="M3653">
        <v>0.99977990000000005</v>
      </c>
      <c r="N3653">
        <v>0</v>
      </c>
      <c r="O3653">
        <v>1.9299960000000001E-2</v>
      </c>
      <c r="P3653">
        <v>0.99944569999999999</v>
      </c>
      <c r="Q3653">
        <v>2.2039759999999999E-2</v>
      </c>
      <c r="R3653">
        <v>2.495609E-2</v>
      </c>
      <c r="S3653">
        <v>3.022583</v>
      </c>
      <c r="T3653">
        <v>-0.48609170000000002</v>
      </c>
      <c r="U3653">
        <v>-0.39671329999999999</v>
      </c>
      <c r="V3653">
        <v>-5.6477250000000001E-3</v>
      </c>
      <c r="W3653">
        <v>3.027579E-2</v>
      </c>
      <c r="X3653">
        <v>0.99952560000000001</v>
      </c>
      <c r="Y3653">
        <v>0.147142</v>
      </c>
      <c r="Z3653">
        <v>-1.4778909999999999E-2</v>
      </c>
      <c r="AA3653">
        <v>0.98900500000000002</v>
      </c>
      <c r="AB3653">
        <v>32</v>
      </c>
      <c r="AC3653">
        <v>0.482300000000009</v>
      </c>
      <c r="AD3653">
        <v>-0.130082999999999</v>
      </c>
      <c r="AE3653">
        <v>-0.11260000000001399</v>
      </c>
      <c r="AF3653">
        <v>0.114021859796921</v>
      </c>
      <c r="AG3653">
        <v>-0.130082999999999</v>
      </c>
      <c r="AH3653">
        <v>0.44905840656315998</v>
      </c>
      <c r="AI3653">
        <v>105.683145461796</v>
      </c>
      <c r="AJ3653">
        <v>75.752930237490204</v>
      </c>
      <c r="AK3653">
        <v>0.48122346566391899</v>
      </c>
      <c r="AL3653">
        <v>88.2650598474535</v>
      </c>
      <c r="AM3653">
        <v>90.323740945350806</v>
      </c>
      <c r="AN3653">
        <v>0.99999997265657903</v>
      </c>
    </row>
    <row r="3654" spans="1:40" x14ac:dyDescent="0.25">
      <c r="A3654" t="str">
        <f>"20190312160405345"</f>
        <v>20190312160405345</v>
      </c>
      <c r="B3654" t="str">
        <f>"1552377845338577"</f>
        <v>1552377845338577</v>
      </c>
      <c r="C3654" t="s">
        <v>40</v>
      </c>
      <c r="D3654">
        <v>5.3629980000000002</v>
      </c>
      <c r="E3654">
        <v>0.56664409999999998</v>
      </c>
      <c r="F3654" t="s">
        <v>49</v>
      </c>
      <c r="G3654">
        <v>-384.99900000000002</v>
      </c>
      <c r="H3654">
        <v>0.92580620000000002</v>
      </c>
      <c r="I3654">
        <v>211.99260000000001</v>
      </c>
      <c r="J3654">
        <v>-385.41849999999999</v>
      </c>
      <c r="K3654">
        <v>1.109078</v>
      </c>
      <c r="L3654">
        <v>212.12610000000001</v>
      </c>
      <c r="M3654">
        <v>0.99978549999999999</v>
      </c>
      <c r="N3654">
        <v>0</v>
      </c>
      <c r="O3654">
        <v>1.8993630000000001E-2</v>
      </c>
      <c r="P3654">
        <v>0.99945490000000003</v>
      </c>
      <c r="Q3654">
        <v>2.2549019999999999E-2</v>
      </c>
      <c r="R3654">
        <v>2.4116760000000001E-2</v>
      </c>
      <c r="S3654">
        <v>3.0310670000000002</v>
      </c>
      <c r="T3654">
        <v>-0.74628019999999995</v>
      </c>
      <c r="U3654">
        <v>-0.51843260000000002</v>
      </c>
      <c r="V3654">
        <v>-5.1109780000000004E-3</v>
      </c>
      <c r="W3654">
        <v>3.0808169999999999E-2</v>
      </c>
      <c r="X3654">
        <v>0.99951230000000002</v>
      </c>
      <c r="Y3654">
        <v>0.18146010000000001</v>
      </c>
      <c r="Z3654">
        <v>-2.6435710000000001E-2</v>
      </c>
      <c r="AA3654">
        <v>0.983043</v>
      </c>
      <c r="AB3654">
        <v>32</v>
      </c>
      <c r="AC3654">
        <v>0.41949999999997001</v>
      </c>
      <c r="AD3654">
        <v>-0.18327180000000001</v>
      </c>
      <c r="AE3654">
        <v>-0.13349999999999701</v>
      </c>
      <c r="AF3654">
        <v>0.120550933773533</v>
      </c>
      <c r="AG3654">
        <v>-0.18327180000000001</v>
      </c>
      <c r="AH3654">
        <v>0.35530883316568701</v>
      </c>
      <c r="AI3654">
        <v>116.033708215837</v>
      </c>
      <c r="AJ3654">
        <v>71.258699680953001</v>
      </c>
      <c r="AK3654">
        <v>0.41757088887334198</v>
      </c>
      <c r="AL3654">
        <v>88.234542621840006</v>
      </c>
      <c r="AM3654">
        <v>90.292977801566295</v>
      </c>
      <c r="AN3654">
        <v>1.00000005164307</v>
      </c>
    </row>
    <row r="3655" spans="1:40" x14ac:dyDescent="0.25">
      <c r="A3655" t="str">
        <f>"20190312160405368"</f>
        <v>20190312160405368</v>
      </c>
      <c r="B3655" t="str">
        <f>"1552377845358100"</f>
        <v>1552377845358100</v>
      </c>
      <c r="C3655" t="s">
        <v>40</v>
      </c>
      <c r="D3655">
        <v>5.3491999999999997</v>
      </c>
      <c r="E3655">
        <v>0.56699449999999996</v>
      </c>
      <c r="F3655" t="s">
        <v>49</v>
      </c>
      <c r="G3655">
        <v>-384.69490000000002</v>
      </c>
      <c r="H3655">
        <v>0.96615969999999995</v>
      </c>
      <c r="I3655">
        <v>212.01679999999999</v>
      </c>
      <c r="J3655">
        <v>-385.09309999999999</v>
      </c>
      <c r="K3655">
        <v>1.109029</v>
      </c>
      <c r="L3655">
        <v>212.1319</v>
      </c>
      <c r="M3655">
        <v>0.99979220000000002</v>
      </c>
      <c r="N3655">
        <v>0</v>
      </c>
      <c r="O3655">
        <v>1.862372E-2</v>
      </c>
      <c r="P3655">
        <v>0.99945459999999997</v>
      </c>
      <c r="Q3655">
        <v>2.318976E-2</v>
      </c>
      <c r="R3655">
        <v>2.3506309999999999E-2</v>
      </c>
      <c r="S3655">
        <v>3.0261230000000001</v>
      </c>
      <c r="T3655">
        <v>-0.59779389999999999</v>
      </c>
      <c r="U3655">
        <v>-0.45515440000000001</v>
      </c>
      <c r="V3655">
        <v>-4.8659009999999997E-3</v>
      </c>
      <c r="W3655">
        <v>3.1475419999999997E-2</v>
      </c>
      <c r="X3655">
        <v>0.99949270000000001</v>
      </c>
      <c r="Y3655">
        <v>0.16367860000000001</v>
      </c>
      <c r="Z3655">
        <v>-1.9550350000000001E-2</v>
      </c>
      <c r="AA3655">
        <v>0.98631999999999997</v>
      </c>
      <c r="AB3655">
        <v>32</v>
      </c>
      <c r="AC3655">
        <v>0.39819999999997402</v>
      </c>
      <c r="AD3655">
        <v>-0.1428693</v>
      </c>
      <c r="AE3655">
        <v>-0.115100000000012</v>
      </c>
      <c r="AF3655">
        <v>0.10948870469102</v>
      </c>
      <c r="AG3655">
        <v>-0.1428693</v>
      </c>
      <c r="AH3655">
        <v>0.35393843457603502</v>
      </c>
      <c r="AI3655">
        <v>111.087949737089</v>
      </c>
      <c r="AJ3655">
        <v>72.810864765986494</v>
      </c>
      <c r="AK3655">
        <v>0.39707912159611503</v>
      </c>
      <c r="AL3655">
        <v>88.196293402157494</v>
      </c>
      <c r="AM3655">
        <v>90.278934891949206</v>
      </c>
      <c r="AN3655">
        <v>1.000000018205</v>
      </c>
    </row>
    <row r="3656" spans="1:40" x14ac:dyDescent="0.25">
      <c r="A3656" t="str">
        <f>"20190312160405390"</f>
        <v>20190312160405390</v>
      </c>
      <c r="B3656" t="str">
        <f>"1552377845378593"</f>
        <v>1552377845378593</v>
      </c>
      <c r="C3656" t="s">
        <v>40</v>
      </c>
      <c r="D3656">
        <v>5.3615360000000001</v>
      </c>
      <c r="E3656">
        <v>0.57579799999999903</v>
      </c>
      <c r="F3656" t="s">
        <v>49</v>
      </c>
      <c r="G3656">
        <v>-384.13819999999998</v>
      </c>
      <c r="H3656">
        <v>0.92176579999999997</v>
      </c>
      <c r="I3656">
        <v>211.9862</v>
      </c>
      <c r="J3656">
        <v>-384.7713</v>
      </c>
      <c r="K3656">
        <v>1.1089819999999999</v>
      </c>
      <c r="L3656">
        <v>212.13749999999999</v>
      </c>
      <c r="M3656">
        <v>0.99979980000000002</v>
      </c>
      <c r="N3656">
        <v>0</v>
      </c>
      <c r="O3656">
        <v>1.8198530000000001E-2</v>
      </c>
      <c r="P3656">
        <v>0.99945859999999997</v>
      </c>
      <c r="Q3656">
        <v>2.329867E-2</v>
      </c>
      <c r="R3656">
        <v>2.323679E-2</v>
      </c>
      <c r="S3656">
        <v>3.0262760000000002</v>
      </c>
      <c r="T3656">
        <v>-0.59349449999999904</v>
      </c>
      <c r="U3656">
        <v>-0.46058650000000001</v>
      </c>
      <c r="V3656">
        <v>-5.0179140000000001E-3</v>
      </c>
      <c r="W3656">
        <v>3.1610779999999998E-2</v>
      </c>
      <c r="X3656">
        <v>0.99948760000000003</v>
      </c>
      <c r="Y3656">
        <v>0.1650161</v>
      </c>
      <c r="Z3656">
        <v>-1.945589E-2</v>
      </c>
      <c r="AA3656">
        <v>0.9860989</v>
      </c>
      <c r="AB3656">
        <v>32</v>
      </c>
      <c r="AC3656">
        <v>0.63310000000001299</v>
      </c>
      <c r="AD3656">
        <v>-0.187216199999999</v>
      </c>
      <c r="AE3656">
        <v>-0.151299999999992</v>
      </c>
      <c r="AF3656">
        <v>0.150358848568481</v>
      </c>
      <c r="AG3656">
        <v>-0.187216199999999</v>
      </c>
      <c r="AH3656">
        <v>0.58208998017803304</v>
      </c>
      <c r="AI3656">
        <v>107.29691799402001</v>
      </c>
      <c r="AJ3656">
        <v>75.516594841087795</v>
      </c>
      <c r="AK3656">
        <v>0.62967168739664803</v>
      </c>
      <c r="AL3656">
        <v>88.188533845826399</v>
      </c>
      <c r="AM3656">
        <v>90.287650270643894</v>
      </c>
      <c r="AN3656">
        <v>0.99999994171343798</v>
      </c>
    </row>
    <row r="3657" spans="1:40" x14ac:dyDescent="0.25">
      <c r="A3657" t="str">
        <f>"20190312160405412"</f>
        <v>20190312160405412</v>
      </c>
      <c r="B3657" t="str">
        <f>"1552377845407873"</f>
        <v>1552377845407873</v>
      </c>
      <c r="C3657" t="s">
        <v>40</v>
      </c>
      <c r="D3657">
        <v>5.3378399999999999</v>
      </c>
      <c r="E3657">
        <v>0.57771689999999998</v>
      </c>
      <c r="F3657" t="s">
        <v>49</v>
      </c>
      <c r="G3657">
        <v>-383.86509999999998</v>
      </c>
      <c r="H3657">
        <v>0.88460550000000004</v>
      </c>
      <c r="I3657">
        <v>211.97880000000001</v>
      </c>
      <c r="J3657">
        <v>-384.45569999999998</v>
      </c>
      <c r="K3657">
        <v>1.1089469999999999</v>
      </c>
      <c r="L3657">
        <v>212.14279999999999</v>
      </c>
      <c r="M3657">
        <v>0.99980789999999997</v>
      </c>
      <c r="N3657">
        <v>0</v>
      </c>
      <c r="O3657">
        <v>1.7740599999999999E-2</v>
      </c>
      <c r="P3657">
        <v>0.9994653</v>
      </c>
      <c r="Q3657">
        <v>2.33914E-2</v>
      </c>
      <c r="R3657">
        <v>2.2840840000000001E-2</v>
      </c>
      <c r="S3657">
        <v>3.0314329999999998</v>
      </c>
      <c r="T3657">
        <v>-0.75056290000000003</v>
      </c>
      <c r="U3657">
        <v>-0.53086849999999997</v>
      </c>
      <c r="V3657">
        <v>-5.0765159999999997E-3</v>
      </c>
      <c r="W3657">
        <v>3.1728020000000003E-2</v>
      </c>
      <c r="X3657">
        <v>0.99948360000000003</v>
      </c>
      <c r="Y3657">
        <v>0.184026</v>
      </c>
      <c r="Z3657">
        <v>-2.6578259999999999E-2</v>
      </c>
      <c r="AA3657">
        <v>0.98256189999999999</v>
      </c>
      <c r="AB3657">
        <v>32</v>
      </c>
      <c r="AC3657">
        <v>0.59059999999999402</v>
      </c>
      <c r="AD3657">
        <v>-0.224341499999999</v>
      </c>
      <c r="AE3657">
        <v>-0.16399999999998699</v>
      </c>
      <c r="AF3657">
        <v>0.15384339117937601</v>
      </c>
      <c r="AG3657">
        <v>-0.224341499999999</v>
      </c>
      <c r="AH3657">
        <v>0.51818214809911001</v>
      </c>
      <c r="AI3657">
        <v>112.540126291625</v>
      </c>
      <c r="AJ3657">
        <v>73.464342523969094</v>
      </c>
      <c r="AK3657">
        <v>0.58524322827387698</v>
      </c>
      <c r="AL3657">
        <v>88.181813136675601</v>
      </c>
      <c r="AM3657">
        <v>90.2910107182106</v>
      </c>
      <c r="AN3657">
        <v>0.99999995246838802</v>
      </c>
    </row>
    <row r="3658" spans="1:40" x14ac:dyDescent="0.25">
      <c r="A3658" t="str">
        <f>"20190312160405435"</f>
        <v>20190312160405435</v>
      </c>
      <c r="B3658" t="str">
        <f>"1552377845428369"</f>
        <v>1552377845428369</v>
      </c>
      <c r="C3658" t="s">
        <v>40</v>
      </c>
      <c r="D3658">
        <v>5.4037449999999998</v>
      </c>
      <c r="E3658">
        <v>0.57724969999999998</v>
      </c>
      <c r="F3658" t="s">
        <v>49</v>
      </c>
      <c r="G3658">
        <v>-383.57619999999997</v>
      </c>
      <c r="H3658">
        <v>0.88509179999999998</v>
      </c>
      <c r="I3658">
        <v>211.9838</v>
      </c>
      <c r="J3658">
        <v>-384.1223</v>
      </c>
      <c r="K3658">
        <v>1.108919</v>
      </c>
      <c r="L3658">
        <v>212.1482</v>
      </c>
      <c r="M3658">
        <v>0.99981679999999995</v>
      </c>
      <c r="N3658">
        <v>0</v>
      </c>
      <c r="O3658">
        <v>1.722193E-2</v>
      </c>
      <c r="P3658">
        <v>0.99947529999999996</v>
      </c>
      <c r="Q3658">
        <v>2.3608130000000001E-2</v>
      </c>
      <c r="R3658">
        <v>2.2179230000000001E-2</v>
      </c>
      <c r="S3658">
        <v>3.0321660000000001</v>
      </c>
      <c r="T3658">
        <v>-0.77174719999999997</v>
      </c>
      <c r="U3658">
        <v>-0.54716489999999995</v>
      </c>
      <c r="V3658">
        <v>-4.9311169999999996E-3</v>
      </c>
      <c r="W3658">
        <v>3.1968690000000001E-2</v>
      </c>
      <c r="X3658">
        <v>0.9994767</v>
      </c>
      <c r="Y3658">
        <v>0.1881582</v>
      </c>
      <c r="Z3658">
        <v>-2.7672220000000001E-2</v>
      </c>
      <c r="AA3658">
        <v>0.98174879999999998</v>
      </c>
      <c r="AB3658">
        <v>32</v>
      </c>
      <c r="AC3658">
        <v>0.54610000000002401</v>
      </c>
      <c r="AD3658">
        <v>-0.2238272</v>
      </c>
      <c r="AE3658">
        <v>-0.16439999999999999</v>
      </c>
      <c r="AF3658">
        <v>0.15058608357243</v>
      </c>
      <c r="AG3658">
        <v>-0.2238272</v>
      </c>
      <c r="AH3658">
        <v>0.47068765446868699</v>
      </c>
      <c r="AI3658">
        <v>114.36662636155999</v>
      </c>
      <c r="AJ3658">
        <v>72.259078988342495</v>
      </c>
      <c r="AK3658">
        <v>0.54251419529331801</v>
      </c>
      <c r="AL3658">
        <v>88.168016837103394</v>
      </c>
      <c r="AM3658">
        <v>90.282677825316497</v>
      </c>
      <c r="AN3658">
        <v>0.99999999344903601</v>
      </c>
    </row>
    <row r="3659" spans="1:40" x14ac:dyDescent="0.25">
      <c r="A3659" t="str">
        <f>"20190312160405458"</f>
        <v>20190312160405458</v>
      </c>
      <c r="B3659" t="str">
        <f>"1552377845447888"</f>
        <v>1552377845447888</v>
      </c>
      <c r="C3659" t="s">
        <v>40</v>
      </c>
      <c r="D3659">
        <v>5.4337710000000001</v>
      </c>
      <c r="E3659">
        <v>0.57671209999999995</v>
      </c>
      <c r="F3659" t="s">
        <v>49</v>
      </c>
      <c r="G3659">
        <v>-383.28309999999999</v>
      </c>
      <c r="H3659">
        <v>0.89590289999999995</v>
      </c>
      <c r="I3659">
        <v>211.99719999999999</v>
      </c>
      <c r="J3659">
        <v>-383.7937</v>
      </c>
      <c r="K3659">
        <v>1.108886</v>
      </c>
      <c r="L3659">
        <v>212.1534</v>
      </c>
      <c r="M3659">
        <v>0.99982570000000004</v>
      </c>
      <c r="N3659">
        <v>0</v>
      </c>
      <c r="O3659">
        <v>1.6687029999999999E-2</v>
      </c>
      <c r="P3659">
        <v>0.99948939999999997</v>
      </c>
      <c r="Q3659">
        <v>2.3695009999999999E-2</v>
      </c>
      <c r="R3659">
        <v>2.1442320000000001E-2</v>
      </c>
      <c r="S3659">
        <v>3.0318299999999998</v>
      </c>
      <c r="T3659">
        <v>-0.7696693</v>
      </c>
      <c r="U3659">
        <v>-0.5449524</v>
      </c>
      <c r="V3659">
        <v>-4.7266460000000001E-3</v>
      </c>
      <c r="W3659">
        <v>3.2076880000000002E-2</v>
      </c>
      <c r="X3659">
        <v>0.99947419999999998</v>
      </c>
      <c r="Y3659">
        <v>0.1870407</v>
      </c>
      <c r="Z3659">
        <v>-2.733323E-2</v>
      </c>
      <c r="AA3659">
        <v>0.98197190000000001</v>
      </c>
      <c r="AB3659">
        <v>32</v>
      </c>
      <c r="AC3659">
        <v>0.51060000000001005</v>
      </c>
      <c r="AD3659">
        <v>-0.21298310000000001</v>
      </c>
      <c r="AE3659">
        <v>-0.156200000000012</v>
      </c>
      <c r="AF3659">
        <v>0.14209180440841501</v>
      </c>
      <c r="AG3659">
        <v>-0.21298310000000001</v>
      </c>
      <c r="AH3659">
        <v>0.43820314103083502</v>
      </c>
      <c r="AI3659">
        <v>114.812920140974</v>
      </c>
      <c r="AJ3659">
        <v>72.034188689170193</v>
      </c>
      <c r="AK3659">
        <v>0.50751736381619394</v>
      </c>
      <c r="AL3659">
        <v>88.161814786352707</v>
      </c>
      <c r="AM3659">
        <v>90.270957317524804</v>
      </c>
      <c r="AN3659">
        <v>0.99999997193929102</v>
      </c>
    </row>
    <row r="3660" spans="1:40" x14ac:dyDescent="0.25">
      <c r="A3660" t="str">
        <f>"20190312160405480"</f>
        <v>20190312160405480</v>
      </c>
      <c r="B3660" t="str">
        <f>"1552377845468384"</f>
        <v>1552377845468384</v>
      </c>
      <c r="C3660" t="s">
        <v>40</v>
      </c>
      <c r="D3660">
        <v>5.4809650000000003</v>
      </c>
      <c r="E3660">
        <v>0.57621309999999903</v>
      </c>
      <c r="F3660" t="s">
        <v>49</v>
      </c>
      <c r="G3660">
        <v>-382.98989999999998</v>
      </c>
      <c r="H3660">
        <v>0.90550819999999999</v>
      </c>
      <c r="I3660">
        <v>212.00880000000001</v>
      </c>
      <c r="J3660">
        <v>-383.47480000000002</v>
      </c>
      <c r="K3660">
        <v>1.108868</v>
      </c>
      <c r="L3660">
        <v>212.15819999999999</v>
      </c>
      <c r="M3660">
        <v>0.99983429999999995</v>
      </c>
      <c r="N3660">
        <v>0</v>
      </c>
      <c r="O3660">
        <v>1.6154720000000001E-2</v>
      </c>
      <c r="P3660">
        <v>0.99949750000000004</v>
      </c>
      <c r="Q3660">
        <v>2.3868110000000001E-2</v>
      </c>
      <c r="R3660">
        <v>2.0866639999999999E-2</v>
      </c>
      <c r="S3660">
        <v>3.0313720000000002</v>
      </c>
      <c r="T3660">
        <v>-0.76696500000000001</v>
      </c>
      <c r="U3660">
        <v>-0.54309079999999998</v>
      </c>
      <c r="V3660">
        <v>-4.6822929999999997E-3</v>
      </c>
      <c r="W3660">
        <v>3.2270380000000001E-2</v>
      </c>
      <c r="X3660">
        <v>0.99946820000000003</v>
      </c>
      <c r="Y3660">
        <v>0.1860473</v>
      </c>
      <c r="Z3660">
        <v>-2.699093E-2</v>
      </c>
      <c r="AA3660">
        <v>0.98216999999999999</v>
      </c>
      <c r="AB3660">
        <v>32</v>
      </c>
      <c r="AC3660">
        <v>0.48490000000003802</v>
      </c>
      <c r="AD3660">
        <v>-0.20335980000000001</v>
      </c>
      <c r="AE3660">
        <v>-0.14939999999998499</v>
      </c>
      <c r="AF3660">
        <v>0.13545533919108199</v>
      </c>
      <c r="AG3660">
        <v>-0.20335980000000001</v>
      </c>
      <c r="AH3660">
        <v>0.41565447803688699</v>
      </c>
      <c r="AI3660">
        <v>114.946636660921</v>
      </c>
      <c r="AJ3660">
        <v>71.950015259377494</v>
      </c>
      <c r="AK3660">
        <v>0.48215350489603298</v>
      </c>
      <c r="AL3660">
        <v>88.150722347262203</v>
      </c>
      <c r="AM3660">
        <v>90.268416408582198</v>
      </c>
      <c r="AN3660">
        <v>0.99999999205216095</v>
      </c>
    </row>
    <row r="3661" spans="1:40" x14ac:dyDescent="0.25">
      <c r="A3661" t="str">
        <f>"20190312160405501"</f>
        <v>20190312160405501</v>
      </c>
      <c r="B3661" t="str">
        <f>"1552377845487904"</f>
        <v>1552377845487904</v>
      </c>
      <c r="C3661" t="s">
        <v>40</v>
      </c>
      <c r="D3661">
        <v>4.9696980000000002</v>
      </c>
      <c r="E3661">
        <v>0.57699309999999904</v>
      </c>
      <c r="F3661" t="s">
        <v>49</v>
      </c>
      <c r="G3661">
        <v>-382.69690000000003</v>
      </c>
      <c r="H3661">
        <v>0.91304249999999998</v>
      </c>
      <c r="I3661">
        <v>212.01910000000001</v>
      </c>
      <c r="J3661">
        <v>-383.1696</v>
      </c>
      <c r="K3661">
        <v>1.1088579999999999</v>
      </c>
      <c r="L3661">
        <v>212.1627</v>
      </c>
      <c r="M3661">
        <v>0.99984229999999996</v>
      </c>
      <c r="N3661">
        <v>0</v>
      </c>
      <c r="O3661">
        <v>1.5640040000000001E-2</v>
      </c>
      <c r="P3661">
        <v>0.99950329999999998</v>
      </c>
      <c r="Q3661">
        <v>2.389519E-2</v>
      </c>
      <c r="R3661">
        <v>2.0549069999999999E-2</v>
      </c>
      <c r="S3661">
        <v>3.0310359999999998</v>
      </c>
      <c r="T3661">
        <v>-0.76299439999999996</v>
      </c>
      <c r="U3661">
        <v>-0.54113769999999894</v>
      </c>
      <c r="V3661">
        <v>-4.8781609999999998E-3</v>
      </c>
      <c r="W3661">
        <v>3.2318979999999997E-2</v>
      </c>
      <c r="X3661">
        <v>0.99946570000000001</v>
      </c>
      <c r="Y3661">
        <v>0.1850542</v>
      </c>
      <c r="Z3661">
        <v>-2.6610780000000001E-2</v>
      </c>
      <c r="AA3661">
        <v>0.98236800000000002</v>
      </c>
      <c r="AB3661">
        <v>32</v>
      </c>
      <c r="AC3661">
        <v>0.47269999999997397</v>
      </c>
      <c r="AD3661">
        <v>-0.195815499999999</v>
      </c>
      <c r="AE3661">
        <v>-0.14359999999999201</v>
      </c>
      <c r="AF3661">
        <v>0.13047728012425999</v>
      </c>
      <c r="AG3661">
        <v>-0.195815499999999</v>
      </c>
      <c r="AH3661">
        <v>0.40652898340027599</v>
      </c>
      <c r="AI3661">
        <v>114.637761259058</v>
      </c>
      <c r="AJ3661">
        <v>72.205736638937395</v>
      </c>
      <c r="AK3661">
        <v>0.46971677105819498</v>
      </c>
      <c r="AL3661">
        <v>88.1479363323798</v>
      </c>
      <c r="AM3661">
        <v>90.279645232172697</v>
      </c>
      <c r="AN3661">
        <v>0.99999999919973603</v>
      </c>
    </row>
    <row r="3662" spans="1:40" x14ac:dyDescent="0.25">
      <c r="A3662" t="str">
        <f>"20190312160405524"</f>
        <v>20190312160405524</v>
      </c>
      <c r="B3662" t="str">
        <f>"1552377845518160"</f>
        <v>1552377845518160</v>
      </c>
      <c r="C3662" t="s">
        <v>40</v>
      </c>
      <c r="D3662">
        <v>5.4198300000000001</v>
      </c>
      <c r="E3662">
        <v>0.52065379999999895</v>
      </c>
      <c r="F3662" t="s">
        <v>49</v>
      </c>
      <c r="G3662">
        <v>-382.3999</v>
      </c>
      <c r="H3662">
        <v>0.92746189999999995</v>
      </c>
      <c r="I3662">
        <v>212.02279999999999</v>
      </c>
      <c r="J3662">
        <v>-382.84</v>
      </c>
      <c r="K3662">
        <v>1.108846</v>
      </c>
      <c r="L3662">
        <v>212.16730000000001</v>
      </c>
      <c r="M3662">
        <v>0.99985060000000003</v>
      </c>
      <c r="N3662">
        <v>0</v>
      </c>
      <c r="O3662">
        <v>1.508256E-2</v>
      </c>
      <c r="P3662">
        <v>0.99951060000000003</v>
      </c>
      <c r="Q3662">
        <v>2.3840259999999999E-2</v>
      </c>
      <c r="R3662">
        <v>2.0257440000000002E-2</v>
      </c>
      <c r="S3662">
        <v>3.0298159999999998</v>
      </c>
      <c r="T3662">
        <v>-0.71416740000000001</v>
      </c>
      <c r="U3662">
        <v>-0.54853819999999998</v>
      </c>
      <c r="V3662">
        <v>-5.1426700000000002E-3</v>
      </c>
      <c r="W3662">
        <v>3.2289430000000001E-2</v>
      </c>
      <c r="X3662">
        <v>0.9994653</v>
      </c>
      <c r="Y3662">
        <v>0.18758830000000001</v>
      </c>
      <c r="Z3662">
        <v>-2.512182E-2</v>
      </c>
      <c r="AA3662">
        <v>0.98192639999999998</v>
      </c>
      <c r="AB3662">
        <v>32</v>
      </c>
      <c r="AC3662">
        <v>0.44009999999997201</v>
      </c>
      <c r="AD3662">
        <v>-0.18138409999999899</v>
      </c>
      <c r="AE3662">
        <v>-0.144500000000022</v>
      </c>
      <c r="AF3662">
        <v>0.131030463556841</v>
      </c>
      <c r="AG3662">
        <v>-0.18138409999999899</v>
      </c>
      <c r="AH3662">
        <v>0.37965686222341199</v>
      </c>
      <c r="AI3662">
        <v>114.30477169891699</v>
      </c>
      <c r="AJ3662">
        <v>70.958978394892</v>
      </c>
      <c r="AK3662">
        <v>0.44069094289088501</v>
      </c>
      <c r="AL3662">
        <v>88.149630252960904</v>
      </c>
      <c r="AM3662">
        <v>90.294808320127999</v>
      </c>
      <c r="AN3662">
        <v>0.999999970124271</v>
      </c>
    </row>
    <row r="3663" spans="1:40" x14ac:dyDescent="0.25">
      <c r="A3663" t="str">
        <f>"20190312160405547"</f>
        <v>20190312160405547</v>
      </c>
      <c r="B3663" t="str">
        <f>"1552377845538659"</f>
        <v>1552377845538659</v>
      </c>
      <c r="C3663" t="s">
        <v>40</v>
      </c>
      <c r="D3663">
        <v>5.4554369999999999</v>
      </c>
      <c r="E3663">
        <v>0.52017519999999995</v>
      </c>
      <c r="F3663" t="s">
        <v>49</v>
      </c>
      <c r="G3663">
        <v>-382.05579999999998</v>
      </c>
      <c r="H3663">
        <v>1.045185</v>
      </c>
      <c r="I3663">
        <v>212.14060000000001</v>
      </c>
      <c r="J3663">
        <v>-382.49349999999998</v>
      </c>
      <c r="K3663">
        <v>1.108835</v>
      </c>
      <c r="L3663">
        <v>212.17189999999999</v>
      </c>
      <c r="M3663">
        <v>0.99985900000000005</v>
      </c>
      <c r="N3663">
        <v>0</v>
      </c>
      <c r="O3663">
        <v>1.449684E-2</v>
      </c>
      <c r="P3663">
        <v>0.99952240000000003</v>
      </c>
      <c r="Q3663">
        <v>2.3565760000000002E-2</v>
      </c>
      <c r="R3663">
        <v>1.9991370000000001E-2</v>
      </c>
      <c r="S3663">
        <v>3.009369</v>
      </c>
      <c r="T3663">
        <v>-0.2443311</v>
      </c>
      <c r="U3663">
        <v>-0.1022797</v>
      </c>
      <c r="V3663">
        <v>-5.4620220000000004E-3</v>
      </c>
      <c r="W3663">
        <v>3.2043040000000002E-2</v>
      </c>
      <c r="X3663">
        <v>0.99947149999999996</v>
      </c>
      <c r="Y3663">
        <v>4.8246650000000002E-2</v>
      </c>
      <c r="Z3663">
        <v>-3.129611E-3</v>
      </c>
      <c r="AA3663">
        <v>0.99883060000000001</v>
      </c>
      <c r="AB3663">
        <v>33</v>
      </c>
      <c r="AC3663">
        <v>0.43770000000000597</v>
      </c>
      <c r="AD3663">
        <v>-6.3649999999999901E-2</v>
      </c>
      <c r="AE3663">
        <v>-3.12999999999874E-2</v>
      </c>
      <c r="AF3663">
        <v>3.68665635908587E-2</v>
      </c>
      <c r="AG3663">
        <v>-6.3649999999999901E-2</v>
      </c>
      <c r="AH3663">
        <v>0.42819144271904402</v>
      </c>
      <c r="AI3663">
        <v>98.424300295568997</v>
      </c>
      <c r="AJ3663">
        <v>85.079065232192605</v>
      </c>
      <c r="AK3663">
        <v>0.434463321384918</v>
      </c>
      <c r="AL3663">
        <v>88.1637546043941</v>
      </c>
      <c r="AM3663">
        <v>90.313113173124705</v>
      </c>
      <c r="AN3663">
        <v>0.99999993470450699</v>
      </c>
    </row>
    <row r="3664" spans="1:40" x14ac:dyDescent="0.25">
      <c r="A3664" t="str">
        <f>"20190312160405569"</f>
        <v>20190312160405569</v>
      </c>
      <c r="B3664" t="str">
        <f>"1552377845558180"</f>
        <v>1552377845558180</v>
      </c>
      <c r="C3664" t="s">
        <v>40</v>
      </c>
      <c r="D3664">
        <v>5.4480779999999998</v>
      </c>
      <c r="E3664">
        <v>0.51973820000000004</v>
      </c>
      <c r="F3664" t="s">
        <v>49</v>
      </c>
      <c r="G3664">
        <v>-381.47269999999997</v>
      </c>
      <c r="H3664">
        <v>1.0428219999999999</v>
      </c>
      <c r="I3664">
        <v>212.13800000000001</v>
      </c>
      <c r="J3664">
        <v>-382.17469999999997</v>
      </c>
      <c r="K3664">
        <v>1.1088290000000001</v>
      </c>
      <c r="L3664">
        <v>212.17599999999999</v>
      </c>
      <c r="M3664">
        <v>0.99986649999999999</v>
      </c>
      <c r="N3664">
        <v>0</v>
      </c>
      <c r="O3664">
        <v>1.396004E-2</v>
      </c>
      <c r="P3664">
        <v>0.99953219999999998</v>
      </c>
      <c r="Q3664">
        <v>2.3632469999999999E-2</v>
      </c>
      <c r="R3664">
        <v>1.9424980000000001E-2</v>
      </c>
      <c r="S3664">
        <v>3.007965</v>
      </c>
      <c r="T3664">
        <v>-0.19452140000000001</v>
      </c>
      <c r="U3664">
        <v>-9.9487300000000001E-2</v>
      </c>
      <c r="V3664">
        <v>-5.4315049999999997E-3</v>
      </c>
      <c r="W3664">
        <v>3.2133589999999997E-2</v>
      </c>
      <c r="X3664">
        <v>0.99946880000000005</v>
      </c>
      <c r="Y3664">
        <v>4.6879280000000002E-2</v>
      </c>
      <c r="Z3664">
        <v>-2.4154710000000002E-3</v>
      </c>
      <c r="AA3664">
        <v>0.99889760000000005</v>
      </c>
      <c r="AB3664">
        <v>33</v>
      </c>
      <c r="AC3664">
        <v>0.70199999999999796</v>
      </c>
      <c r="AD3664">
        <v>-6.6007000000000093E-2</v>
      </c>
      <c r="AE3664">
        <v>-3.7999999999982402E-2</v>
      </c>
      <c r="AF3664">
        <v>4.7378940541292699E-2</v>
      </c>
      <c r="AG3664">
        <v>-6.6007000000000093E-2</v>
      </c>
      <c r="AH3664">
        <v>0.69527208387536898</v>
      </c>
      <c r="AI3664">
        <v>95.410757786053594</v>
      </c>
      <c r="AJ3664">
        <v>86.101636838433606</v>
      </c>
      <c r="AK3664">
        <v>0.70000354189976299</v>
      </c>
      <c r="AL3664">
        <v>88.158563873319693</v>
      </c>
      <c r="AM3664">
        <v>90.311364646319305</v>
      </c>
      <c r="AN3664">
        <v>0.99999997551314601</v>
      </c>
    </row>
    <row r="3665" spans="1:40" x14ac:dyDescent="0.25">
      <c r="A3665" t="str">
        <f>"20190312160405590"</f>
        <v>20190312160405590</v>
      </c>
      <c r="B3665" t="str">
        <f>"1552377845578672"</f>
        <v>1552377845578672</v>
      </c>
      <c r="C3665" t="s">
        <v>40</v>
      </c>
      <c r="D3665">
        <v>5.4741479999999996</v>
      </c>
      <c r="E3665">
        <v>0.51880899999999996</v>
      </c>
      <c r="F3665" t="s">
        <v>49</v>
      </c>
      <c r="G3665">
        <v>-381.17219999999998</v>
      </c>
      <c r="H3665">
        <v>1.0526260000000001</v>
      </c>
      <c r="I3665">
        <v>212.143</v>
      </c>
      <c r="J3665">
        <v>-381.86520000000002</v>
      </c>
      <c r="K3665">
        <v>1.108827</v>
      </c>
      <c r="L3665">
        <v>212.1799</v>
      </c>
      <c r="M3665">
        <v>0.99987340000000002</v>
      </c>
      <c r="N3665">
        <v>0</v>
      </c>
      <c r="O3665">
        <v>1.3440189999999999E-2</v>
      </c>
      <c r="P3665">
        <v>0.99955179999999999</v>
      </c>
      <c r="Q3665">
        <v>2.3341440000000001E-2</v>
      </c>
      <c r="R3665">
        <v>1.8755870000000001E-2</v>
      </c>
      <c r="S3665">
        <v>3.0072939999999999</v>
      </c>
      <c r="T3665">
        <v>-0.1687052</v>
      </c>
      <c r="U3665">
        <v>-9.8037719999999995E-2</v>
      </c>
      <c r="V3665">
        <v>-5.2819039999999996E-3</v>
      </c>
      <c r="W3665">
        <v>3.1865280000000003E-2</v>
      </c>
      <c r="X3665">
        <v>0.99947819999999998</v>
      </c>
      <c r="Y3665">
        <v>4.5920030000000001E-2</v>
      </c>
      <c r="Z3665">
        <v>-2.0399110000000002E-3</v>
      </c>
      <c r="AA3665">
        <v>0.99894300000000003</v>
      </c>
      <c r="AB3665">
        <v>33</v>
      </c>
      <c r="AC3665">
        <v>0.69300000000004003</v>
      </c>
      <c r="AD3665">
        <v>-5.6200999999999897E-2</v>
      </c>
      <c r="AE3665">
        <v>-3.6900000000002799E-2</v>
      </c>
      <c r="AF3665">
        <v>4.59099645089735E-2</v>
      </c>
      <c r="AG3665">
        <v>-5.6200999999999897E-2</v>
      </c>
      <c r="AH3665">
        <v>0.68792978251622505</v>
      </c>
      <c r="AI3665">
        <v>94.660134415868797</v>
      </c>
      <c r="AJ3665">
        <v>86.181946826116501</v>
      </c>
      <c r="AK3665">
        <v>0.69174681995296206</v>
      </c>
      <c r="AL3665">
        <v>88.173944795564196</v>
      </c>
      <c r="AM3665">
        <v>90.3027859835111</v>
      </c>
      <c r="AN3665">
        <v>0.99999998342729102</v>
      </c>
    </row>
    <row r="3666" spans="1:40" x14ac:dyDescent="0.25">
      <c r="A3666" t="str">
        <f>"20190312160405613"</f>
        <v>20190312160405613</v>
      </c>
      <c r="B3666" t="str">
        <f>"1552377845607953"</f>
        <v>1552377845607953</v>
      </c>
      <c r="C3666" t="s">
        <v>40</v>
      </c>
      <c r="D3666">
        <v>5.4534690000000001</v>
      </c>
      <c r="E3666">
        <v>0.51793400000000001</v>
      </c>
      <c r="F3666" t="s">
        <v>70</v>
      </c>
      <c r="G3666">
        <v>-360.70960000000002</v>
      </c>
      <c r="H3666" s="1">
        <v>-1.1591930000000001E-6</v>
      </c>
      <c r="I3666">
        <v>211.52770000000001</v>
      </c>
      <c r="J3666">
        <v>-381.52890000000002</v>
      </c>
      <c r="K3666">
        <v>1.108835</v>
      </c>
      <c r="L3666">
        <v>212.18389999999999</v>
      </c>
      <c r="M3666">
        <v>0.99988060000000001</v>
      </c>
      <c r="N3666">
        <v>0</v>
      </c>
      <c r="O3666">
        <v>1.2876800000000001E-2</v>
      </c>
      <c r="P3666">
        <v>0.99956290000000003</v>
      </c>
      <c r="Q3666">
        <v>2.3241749999999999E-2</v>
      </c>
      <c r="R3666">
        <v>1.8272460000000001E-2</v>
      </c>
      <c r="S3666">
        <v>3.0067750000000002</v>
      </c>
      <c r="T3666">
        <v>-0.1575937</v>
      </c>
      <c r="U3666">
        <v>-9.2697139999999997E-2</v>
      </c>
      <c r="V3666">
        <v>-5.3615059999999898E-3</v>
      </c>
      <c r="W3666">
        <v>3.179473E-2</v>
      </c>
      <c r="X3666">
        <v>0.99948009999999998</v>
      </c>
      <c r="Y3666">
        <v>4.3605919999999999E-2</v>
      </c>
      <c r="Z3666">
        <v>-1.8160330000000001E-3</v>
      </c>
      <c r="AA3666">
        <v>0.99904720000000002</v>
      </c>
      <c r="AB3666">
        <v>33</v>
      </c>
      <c r="AC3666">
        <v>20.819299999999998</v>
      </c>
      <c r="AD3666">
        <v>-1.108836159193</v>
      </c>
      <c r="AE3666">
        <v>-0.65619999999998402</v>
      </c>
      <c r="AF3666">
        <v>0.92162960872302602</v>
      </c>
      <c r="AG3666">
        <v>-1.108836159193</v>
      </c>
      <c r="AH3666">
        <v>20.750321150640399</v>
      </c>
      <c r="AI3666">
        <v>93.055801831354103</v>
      </c>
      <c r="AJ3666">
        <v>87.456868054574798</v>
      </c>
      <c r="AK3666">
        <v>20.800354482996799</v>
      </c>
      <c r="AL3666">
        <v>88.177989202500697</v>
      </c>
      <c r="AM3666">
        <v>90.307348509627403</v>
      </c>
      <c r="AN3666">
        <v>1.0000000604491801</v>
      </c>
    </row>
    <row r="3667" spans="1:40" x14ac:dyDescent="0.25">
      <c r="A3667" t="str">
        <f>"20190312160405636"</f>
        <v>20190312160405636</v>
      </c>
      <c r="B3667" t="str">
        <f>"1552377845628448"</f>
        <v>1552377845628448</v>
      </c>
      <c r="C3667" t="s">
        <v>40</v>
      </c>
      <c r="D3667">
        <v>5.3391390000000003</v>
      </c>
      <c r="E3667">
        <v>0.51723809999999903</v>
      </c>
      <c r="F3667" t="s">
        <v>70</v>
      </c>
      <c r="G3667">
        <v>-358.84210000000002</v>
      </c>
      <c r="H3667" s="1">
        <v>3.3035650000000001E-6</v>
      </c>
      <c r="I3667">
        <v>211.5273</v>
      </c>
      <c r="J3667">
        <v>-381.19659999999999</v>
      </c>
      <c r="K3667">
        <v>1.1088340000000001</v>
      </c>
      <c r="L3667">
        <v>212.1876</v>
      </c>
      <c r="M3667">
        <v>0.99988719999999998</v>
      </c>
      <c r="N3667">
        <v>0</v>
      </c>
      <c r="O3667">
        <v>1.232107E-2</v>
      </c>
      <c r="P3667">
        <v>0.99957379999999996</v>
      </c>
      <c r="Q3667">
        <v>2.3337799999999999E-2</v>
      </c>
      <c r="R3667">
        <v>1.7550400000000001E-2</v>
      </c>
      <c r="S3667">
        <v>3.0063170000000001</v>
      </c>
      <c r="T3667">
        <v>-0.1469357</v>
      </c>
      <c r="U3667">
        <v>-8.7005620000000006E-2</v>
      </c>
      <c r="V3667">
        <v>-5.1942020000000002E-3</v>
      </c>
      <c r="W3667">
        <v>3.1926280000000001E-2</v>
      </c>
      <c r="X3667">
        <v>0.9994767</v>
      </c>
      <c r="Y3667">
        <v>4.1179180000000003E-2</v>
      </c>
      <c r="Z3667">
        <v>-1.6072720000000001E-3</v>
      </c>
      <c r="AA3667">
        <v>0.99915050000000005</v>
      </c>
      <c r="AB3667">
        <v>33</v>
      </c>
      <c r="AC3667">
        <v>22.354499999999899</v>
      </c>
      <c r="AD3667">
        <v>-1.1088306964350001</v>
      </c>
      <c r="AE3667">
        <v>-0.66030000000000599</v>
      </c>
      <c r="AF3667">
        <v>0.93339689452333197</v>
      </c>
      <c r="AG3667">
        <v>-1.1088306964350001</v>
      </c>
      <c r="AH3667">
        <v>22.289873555720899</v>
      </c>
      <c r="AI3667">
        <v>92.845395164690999</v>
      </c>
      <c r="AJ3667">
        <v>87.602118484374401</v>
      </c>
      <c r="AK3667">
        <v>22.336946935651</v>
      </c>
      <c r="AL3667">
        <v>88.170447950051596</v>
      </c>
      <c r="AM3667">
        <v>90.297758990615904</v>
      </c>
      <c r="AN3667">
        <v>0.999999970465972</v>
      </c>
    </row>
    <row r="3668" spans="1:40" x14ac:dyDescent="0.25">
      <c r="A3668" t="str">
        <f>"20190312160405659"</f>
        <v>20190312160405659</v>
      </c>
      <c r="B3668" t="str">
        <f>"1552377845647969"</f>
        <v>1552377845647969</v>
      </c>
      <c r="C3668" t="s">
        <v>40</v>
      </c>
      <c r="D3668">
        <v>5.3445559999999999</v>
      </c>
      <c r="E3668">
        <v>0.51717899999999895</v>
      </c>
      <c r="F3668" t="s">
        <v>70</v>
      </c>
      <c r="G3668">
        <v>-358.4633</v>
      </c>
      <c r="H3668" s="1">
        <v>3.1007880000000001E-6</v>
      </c>
      <c r="I3668">
        <v>211.554</v>
      </c>
      <c r="J3668">
        <v>-380.85770000000002</v>
      </c>
      <c r="K3668">
        <v>1.10884</v>
      </c>
      <c r="L3668">
        <v>212.19120000000001</v>
      </c>
      <c r="M3668">
        <v>0.9998937</v>
      </c>
      <c r="N3668">
        <v>0</v>
      </c>
      <c r="O3668">
        <v>1.175466E-2</v>
      </c>
      <c r="P3668">
        <v>0.9995811</v>
      </c>
      <c r="Q3668">
        <v>2.3116600000000001E-2</v>
      </c>
      <c r="R3668">
        <v>1.742486E-2</v>
      </c>
      <c r="S3668">
        <v>3.0061650000000002</v>
      </c>
      <c r="T3668">
        <v>-0.14662700000000001</v>
      </c>
      <c r="U3668">
        <v>-8.3786009999999994E-2</v>
      </c>
      <c r="V3668">
        <v>-5.6350760000000001E-3</v>
      </c>
      <c r="W3668">
        <v>3.17466E-2</v>
      </c>
      <c r="X3668">
        <v>0.99948009999999998</v>
      </c>
      <c r="Y3668">
        <v>3.9548239999999998E-2</v>
      </c>
      <c r="Z3668">
        <v>-1.5366539999999999E-3</v>
      </c>
      <c r="AA3668">
        <v>0.99921649999999995</v>
      </c>
      <c r="AB3668">
        <v>33</v>
      </c>
      <c r="AC3668">
        <v>22.394400000000001</v>
      </c>
      <c r="AD3668">
        <v>-1.1088368992119999</v>
      </c>
      <c r="AE3668">
        <v>-0.63720000000000698</v>
      </c>
      <c r="AF3668">
        <v>0.898204036255702</v>
      </c>
      <c r="AG3668">
        <v>-1.1088368992119999</v>
      </c>
      <c r="AH3668">
        <v>22.330659919597299</v>
      </c>
      <c r="AI3668">
        <v>92.840414531439095</v>
      </c>
      <c r="AJ3668">
        <v>87.696638896362302</v>
      </c>
      <c r="AK3668">
        <v>22.3762075027139</v>
      </c>
      <c r="AL3668">
        <v>88.180748195592102</v>
      </c>
      <c r="AM3668">
        <v>90.323030594712094</v>
      </c>
      <c r="AN3668">
        <v>1.00000003549454</v>
      </c>
    </row>
    <row r="3669" spans="1:40" x14ac:dyDescent="0.25">
      <c r="A3669" t="str">
        <f>"20190312160405681"</f>
        <v>20190312160405681</v>
      </c>
      <c r="B3669" t="str">
        <f>"1552377845678225"</f>
        <v>1552377845678225</v>
      </c>
      <c r="C3669" t="s">
        <v>40</v>
      </c>
      <c r="D3669">
        <v>5.5620510000000003</v>
      </c>
      <c r="E3669">
        <v>0.51677289999999998</v>
      </c>
      <c r="F3669" t="s">
        <v>70</v>
      </c>
      <c r="G3669">
        <v>-356.96609999999998</v>
      </c>
      <c r="H3669" s="1">
        <v>2.305407E-6</v>
      </c>
      <c r="I3669">
        <v>211.5239</v>
      </c>
      <c r="J3669">
        <v>-380.5308</v>
      </c>
      <c r="K3669">
        <v>1.108843</v>
      </c>
      <c r="L3669">
        <v>212.19450000000001</v>
      </c>
      <c r="M3669">
        <v>0.9998996</v>
      </c>
      <c r="N3669">
        <v>0</v>
      </c>
      <c r="O3669">
        <v>1.1208650000000001E-2</v>
      </c>
      <c r="P3669">
        <v>0.99957929999999995</v>
      </c>
      <c r="Q3669">
        <v>2.327137E-2</v>
      </c>
      <c r="R3669">
        <v>1.732237E-2</v>
      </c>
      <c r="S3669">
        <v>3.0059809999999998</v>
      </c>
      <c r="T3669">
        <v>-0.1395112</v>
      </c>
      <c r="U3669">
        <v>-8.3953860000000005E-2</v>
      </c>
      <c r="V3669">
        <v>-6.0777879999999998E-3</v>
      </c>
      <c r="W3669">
        <v>3.1952499999999898E-2</v>
      </c>
      <c r="X3669">
        <v>0.99947090000000005</v>
      </c>
      <c r="Y3669">
        <v>3.9066910000000003E-2</v>
      </c>
      <c r="Z3669">
        <v>-1.4257639999999999E-3</v>
      </c>
      <c r="AA3669">
        <v>0.9992356</v>
      </c>
      <c r="AB3669">
        <v>33</v>
      </c>
      <c r="AC3669">
        <v>23.564699999999998</v>
      </c>
      <c r="AD3669">
        <v>-1.1088406945930001</v>
      </c>
      <c r="AE3669">
        <v>-0.67060000000000697</v>
      </c>
      <c r="AF3669">
        <v>0.93263291756905398</v>
      </c>
      <c r="AG3669">
        <v>-1.1088406945930001</v>
      </c>
      <c r="AH3669">
        <v>23.503703272465899</v>
      </c>
      <c r="AI3669">
        <v>92.698935290829894</v>
      </c>
      <c r="AJ3669">
        <v>87.727681016967793</v>
      </c>
      <c r="AK3669">
        <v>23.548320521112402</v>
      </c>
      <c r="AL3669">
        <v>88.168944925163402</v>
      </c>
      <c r="AM3669">
        <v>90.348411653500804</v>
      </c>
      <c r="AN3669">
        <v>0.99999999085501601</v>
      </c>
    </row>
    <row r="3670" spans="1:40" x14ac:dyDescent="0.25">
      <c r="A3670" t="str">
        <f>"20190312160405702"</f>
        <v>20190312160405702</v>
      </c>
      <c r="B3670" t="str">
        <f>"1552377845698720"</f>
        <v>1552377845698720</v>
      </c>
      <c r="C3670" t="s">
        <v>40</v>
      </c>
      <c r="D3670">
        <v>5.4753049999999996</v>
      </c>
      <c r="E3670">
        <v>0.51668080000000005</v>
      </c>
      <c r="F3670" t="s">
        <v>70</v>
      </c>
      <c r="G3670">
        <v>-354.42</v>
      </c>
      <c r="H3670" s="1">
        <v>9.5200890000000005E-7</v>
      </c>
      <c r="I3670">
        <v>211.4889</v>
      </c>
      <c r="J3670">
        <v>-380.21390000000002</v>
      </c>
      <c r="K3670">
        <v>1.1088519999999999</v>
      </c>
      <c r="L3670">
        <v>212.19749999999999</v>
      </c>
      <c r="M3670">
        <v>0.99990480000000004</v>
      </c>
      <c r="N3670">
        <v>0</v>
      </c>
      <c r="O3670">
        <v>1.0679920000000001E-2</v>
      </c>
      <c r="P3670">
        <v>0.99959980000000004</v>
      </c>
      <c r="Q3670">
        <v>2.2711820000000001E-2</v>
      </c>
      <c r="R3670">
        <v>1.6872560000000002E-2</v>
      </c>
      <c r="S3670">
        <v>3.0056150000000001</v>
      </c>
      <c r="T3670">
        <v>-0.1276388</v>
      </c>
      <c r="U3670">
        <v>-8.1222530000000001E-2</v>
      </c>
      <c r="V3670">
        <v>-6.1574719999999998E-3</v>
      </c>
      <c r="W3670">
        <v>3.1467799999999997E-2</v>
      </c>
      <c r="X3670">
        <v>0.99948579999999998</v>
      </c>
      <c r="Y3670">
        <v>3.7645100000000001E-2</v>
      </c>
      <c r="Z3670">
        <v>-1.2521089999999999E-3</v>
      </c>
      <c r="AA3670">
        <v>0.99929040000000002</v>
      </c>
      <c r="AB3670">
        <v>33</v>
      </c>
      <c r="AC3670">
        <v>25.793900000000001</v>
      </c>
      <c r="AD3670">
        <v>-1.1088510479911</v>
      </c>
      <c r="AE3670">
        <v>-0.70859999999998902</v>
      </c>
      <c r="AF3670">
        <v>0.98223304537197498</v>
      </c>
      <c r="AG3670">
        <v>-1.1088510479911</v>
      </c>
      <c r="AH3670">
        <v>25.737332865705699</v>
      </c>
      <c r="AI3670">
        <v>92.465177314580103</v>
      </c>
      <c r="AJ3670">
        <v>87.8144390562382</v>
      </c>
      <c r="AK3670">
        <v>25.7799269867505</v>
      </c>
      <c r="AL3670">
        <v>88.196730180698097</v>
      </c>
      <c r="AM3670">
        <v>90.352974194208599</v>
      </c>
      <c r="AN3670">
        <v>1.0000000006499501</v>
      </c>
    </row>
    <row r="3671" spans="1:40" x14ac:dyDescent="0.25">
      <c r="A3671" t="str">
        <f>"20190312160405726"</f>
        <v>20190312160405726</v>
      </c>
      <c r="B3671" t="str">
        <f>"1552377845718241"</f>
        <v>1552377845718241</v>
      </c>
      <c r="C3671" t="s">
        <v>40</v>
      </c>
      <c r="D3671">
        <v>5.5078259999999997</v>
      </c>
      <c r="E3671">
        <v>0.51667259999999904</v>
      </c>
      <c r="F3671" t="s">
        <v>70</v>
      </c>
      <c r="G3671">
        <v>-354.42529999999999</v>
      </c>
      <c r="H3671" s="1">
        <v>9.5446530000000005E-7</v>
      </c>
      <c r="I3671">
        <v>211.49760000000001</v>
      </c>
      <c r="J3671">
        <v>-379.87130000000002</v>
      </c>
      <c r="K3671">
        <v>1.108867</v>
      </c>
      <c r="L3671">
        <v>212.20070000000001</v>
      </c>
      <c r="M3671">
        <v>0.99990979999999996</v>
      </c>
      <c r="N3671">
        <v>0</v>
      </c>
      <c r="O3671">
        <v>1.010834E-2</v>
      </c>
      <c r="P3671">
        <v>0.9996159</v>
      </c>
      <c r="Q3671">
        <v>2.237753E-2</v>
      </c>
      <c r="R3671">
        <v>1.6358839999999999E-2</v>
      </c>
      <c r="S3671">
        <v>3.0055239999999999</v>
      </c>
      <c r="T3671">
        <v>-0.1292306</v>
      </c>
      <c r="U3671">
        <v>-8.1573489999999999E-2</v>
      </c>
      <c r="V3671">
        <v>-6.2147069999999999E-3</v>
      </c>
      <c r="W3671">
        <v>3.1242840000000001E-2</v>
      </c>
      <c r="X3671">
        <v>0.99949250000000001</v>
      </c>
      <c r="Y3671">
        <v>3.7191149999999999E-2</v>
      </c>
      <c r="Z3671">
        <v>-1.233432E-3</v>
      </c>
      <c r="AA3671">
        <v>0.99930739999999996</v>
      </c>
      <c r="AB3671">
        <v>33</v>
      </c>
      <c r="AC3671">
        <v>25.446000000000002</v>
      </c>
      <c r="AD3671">
        <v>-1.1088660455346999</v>
      </c>
      <c r="AE3671">
        <v>-0.70310000000000605</v>
      </c>
      <c r="AF3671">
        <v>0.95847222879503802</v>
      </c>
      <c r="AG3671">
        <v>-1.1088660455346999</v>
      </c>
      <c r="AH3671">
        <v>25.389415326412099</v>
      </c>
      <c r="AI3671">
        <v>92.498988539053997</v>
      </c>
      <c r="AJ3671">
        <v>87.838061749677806</v>
      </c>
      <c r="AK3671">
        <v>25.431686211051002</v>
      </c>
      <c r="AL3671">
        <v>88.209625774557907</v>
      </c>
      <c r="AM3671">
        <v>90.3562526915034</v>
      </c>
      <c r="AN3671">
        <v>0.999999997595305</v>
      </c>
    </row>
    <row r="3672" spans="1:40" x14ac:dyDescent="0.25">
      <c r="A3672" t="str">
        <f>"20190312160405748"</f>
        <v>20190312160405748</v>
      </c>
      <c r="B3672" t="str">
        <f>"1552377845738736"</f>
        <v>1552377845738736</v>
      </c>
      <c r="C3672" t="s">
        <v>40</v>
      </c>
      <c r="D3672">
        <v>5.6579639999999998</v>
      </c>
      <c r="E3672">
        <v>0.51625699999999997</v>
      </c>
      <c r="F3672" t="s">
        <v>70</v>
      </c>
      <c r="G3672">
        <v>-354.3288</v>
      </c>
      <c r="H3672" s="1">
        <v>9.0328060000000003E-7</v>
      </c>
      <c r="I3672">
        <v>211.494</v>
      </c>
      <c r="J3672">
        <v>-379.54270000000002</v>
      </c>
      <c r="K3672">
        <v>1.108892</v>
      </c>
      <c r="L3672">
        <v>212.20339999999999</v>
      </c>
      <c r="M3672">
        <v>0.99991390000000002</v>
      </c>
      <c r="N3672">
        <v>0</v>
      </c>
      <c r="O3672">
        <v>9.5609719999999992E-3</v>
      </c>
      <c r="P3672">
        <v>0.99963259999999998</v>
      </c>
      <c r="Q3672">
        <v>2.2094030000000001E-2</v>
      </c>
      <c r="R3672">
        <v>1.5697940000000001E-2</v>
      </c>
      <c r="S3672">
        <v>3.0054630000000002</v>
      </c>
      <c r="T3672">
        <v>-0.13047510000000001</v>
      </c>
      <c r="U3672">
        <v>-8.3145140000000006E-2</v>
      </c>
      <c r="V3672">
        <v>-6.1008299999999998E-3</v>
      </c>
      <c r="W3672">
        <v>3.1086510000000001E-2</v>
      </c>
      <c r="X3672">
        <v>0.99949809999999994</v>
      </c>
      <c r="Y3672">
        <v>3.716655E-2</v>
      </c>
      <c r="Z3672">
        <v>-1.221034E-3</v>
      </c>
      <c r="AA3672">
        <v>0.99930830000000004</v>
      </c>
      <c r="AB3672">
        <v>33</v>
      </c>
      <c r="AC3672">
        <v>25.213899999999999</v>
      </c>
      <c r="AD3672">
        <v>-1.1088910967193999</v>
      </c>
      <c r="AE3672">
        <v>-0.70939999999995895</v>
      </c>
      <c r="AF3672">
        <v>0.94861336074779701</v>
      </c>
      <c r="AG3672">
        <v>-1.1088910967193999</v>
      </c>
      <c r="AH3672">
        <v>25.157344184320401</v>
      </c>
      <c r="AI3672">
        <v>92.522072591324601</v>
      </c>
      <c r="AJ3672">
        <v>87.8405588486375</v>
      </c>
      <c r="AK3672">
        <v>25.199632401702502</v>
      </c>
      <c r="AL3672">
        <v>88.218587219397094</v>
      </c>
      <c r="AM3672">
        <v>90.349722995451103</v>
      </c>
      <c r="AN3672">
        <v>1.0000000215671301</v>
      </c>
    </row>
    <row r="3673" spans="1:40" x14ac:dyDescent="0.25">
      <c r="A3673" t="str">
        <f>"20190312160405768"</f>
        <v>20190312160405768</v>
      </c>
      <c r="B3673" t="str">
        <f>"1552377845758257"</f>
        <v>1552377845758257</v>
      </c>
      <c r="C3673" t="s">
        <v>40</v>
      </c>
      <c r="D3673">
        <v>5.653594</v>
      </c>
      <c r="E3673">
        <v>0.51596900000000001</v>
      </c>
      <c r="F3673" t="s">
        <v>70</v>
      </c>
      <c r="G3673">
        <v>-353.1395</v>
      </c>
      <c r="H3673" s="1">
        <v>2.7077069999999998E-7</v>
      </c>
      <c r="I3673">
        <v>211.4853</v>
      </c>
      <c r="J3673">
        <v>-379.2276</v>
      </c>
      <c r="K3673">
        <v>1.1089169999999999</v>
      </c>
      <c r="L3673">
        <v>212.20590000000001</v>
      </c>
      <c r="M3673">
        <v>0.99991730000000001</v>
      </c>
      <c r="N3673">
        <v>0</v>
      </c>
      <c r="O3673">
        <v>9.0367290000000003E-3</v>
      </c>
      <c r="P3673">
        <v>0.99962930000000005</v>
      </c>
      <c r="Q3673">
        <v>2.269763E-2</v>
      </c>
      <c r="R3673">
        <v>1.504481E-2</v>
      </c>
      <c r="S3673">
        <v>3.005188</v>
      </c>
      <c r="T3673">
        <v>-0.12621309999999999</v>
      </c>
      <c r="U3673">
        <v>-8.1741330000000001E-2</v>
      </c>
      <c r="V3673">
        <v>-5.9710519999999897E-3</v>
      </c>
      <c r="W3673">
        <v>3.1850499999999997E-2</v>
      </c>
      <c r="X3673">
        <v>0.9994748</v>
      </c>
      <c r="Y3673">
        <v>3.6182850000000003E-2</v>
      </c>
      <c r="Z3673">
        <v>-1.1386510000000001E-3</v>
      </c>
      <c r="AA3673">
        <v>0.99934449999999997</v>
      </c>
      <c r="AB3673">
        <v>33</v>
      </c>
      <c r="AC3673">
        <v>26.088100000000001</v>
      </c>
      <c r="AD3673">
        <v>-1.1089167292292901</v>
      </c>
      <c r="AE3673">
        <v>-0.720600000000018</v>
      </c>
      <c r="AF3673">
        <v>0.95460805184953001</v>
      </c>
      <c r="AG3673">
        <v>-1.1089167292292901</v>
      </c>
      <c r="AH3673">
        <v>26.033520722792002</v>
      </c>
      <c r="AI3673">
        <v>92.437444782451806</v>
      </c>
      <c r="AJ3673">
        <v>87.899995202802003</v>
      </c>
      <c r="AK3673">
        <v>26.074607841136601</v>
      </c>
      <c r="AL3673">
        <v>88.174792072592496</v>
      </c>
      <c r="AM3673">
        <v>90.342291780435005</v>
      </c>
      <c r="AN3673">
        <v>0.99999999182363797</v>
      </c>
    </row>
    <row r="3674" spans="1:40" x14ac:dyDescent="0.25">
      <c r="A3674" t="str">
        <f>"20190312160405781"</f>
        <v>20190312160405781</v>
      </c>
      <c r="B3674" t="str">
        <f>"1552377845778753"</f>
        <v>1552377845778753</v>
      </c>
      <c r="C3674" t="s">
        <v>40</v>
      </c>
      <c r="D3674">
        <v>5.5150259999999998</v>
      </c>
      <c r="E3674">
        <v>0.51571080000000002</v>
      </c>
      <c r="F3674" t="s">
        <v>70</v>
      </c>
      <c r="G3674">
        <v>-351.4502</v>
      </c>
      <c r="H3674" s="1">
        <v>-6.2671779999999995E-7</v>
      </c>
      <c r="I3674">
        <v>211.4513</v>
      </c>
      <c r="J3674">
        <v>-379.03399999999999</v>
      </c>
      <c r="K3674">
        <v>1.1089370000000001</v>
      </c>
      <c r="L3674">
        <v>212.20740000000001</v>
      </c>
      <c r="M3674">
        <v>0.99991940000000001</v>
      </c>
      <c r="N3674">
        <v>0</v>
      </c>
      <c r="O3674">
        <v>8.714744E-3</v>
      </c>
      <c r="P3674">
        <v>0.99963619999999997</v>
      </c>
      <c r="Q3674">
        <v>2.2731729999999999E-2</v>
      </c>
      <c r="R3674">
        <v>1.4531189999999999E-2</v>
      </c>
      <c r="S3674">
        <v>3.0050349999999999</v>
      </c>
      <c r="T3674">
        <v>-0.1199659</v>
      </c>
      <c r="U3674">
        <v>-8.1634520000000002E-2</v>
      </c>
      <c r="V3674">
        <v>-5.778961E-3</v>
      </c>
      <c r="W3674">
        <v>3.199395E-2</v>
      </c>
      <c r="X3674">
        <v>0.99947140000000001</v>
      </c>
      <c r="Y3674">
        <v>3.5831309999999998E-2</v>
      </c>
      <c r="Z3674">
        <v>-1.062531E-3</v>
      </c>
      <c r="AA3674">
        <v>0.9993573</v>
      </c>
      <c r="AB3674">
        <v>33</v>
      </c>
      <c r="AC3674">
        <v>27.5838</v>
      </c>
      <c r="AD3674">
        <v>-1.1089376267177999</v>
      </c>
      <c r="AE3674">
        <v>-0.75610000000000299</v>
      </c>
      <c r="AF3674">
        <v>0.99486056065855399</v>
      </c>
      <c r="AG3674">
        <v>-1.1089376267177999</v>
      </c>
      <c r="AH3674">
        <v>27.5316984981738</v>
      </c>
      <c r="AI3674">
        <v>92.3050428468148</v>
      </c>
      <c r="AJ3674">
        <v>87.930511950649802</v>
      </c>
      <c r="AK3674">
        <v>27.5719769401733</v>
      </c>
      <c r="AL3674">
        <v>88.166568898291402</v>
      </c>
      <c r="AM3674">
        <v>90.331281500885694</v>
      </c>
      <c r="AN3674">
        <v>1.0000000443224</v>
      </c>
    </row>
    <row r="3675" spans="1:40" x14ac:dyDescent="0.25">
      <c r="A3675" t="str">
        <f>"20190312160405803"</f>
        <v>20190312160405803</v>
      </c>
      <c r="B3675" t="str">
        <f>"1552377845798273"</f>
        <v>1552377845798273</v>
      </c>
      <c r="C3675" t="s">
        <v>40</v>
      </c>
      <c r="D3675">
        <v>5.4822199999999999</v>
      </c>
      <c r="E3675">
        <v>0.515509</v>
      </c>
      <c r="F3675" t="s">
        <v>70</v>
      </c>
      <c r="G3675">
        <v>-350.30270000000002</v>
      </c>
      <c r="H3675" s="1">
        <v>-1.23648E-6</v>
      </c>
      <c r="I3675">
        <v>211.4316</v>
      </c>
      <c r="J3675">
        <v>-378.7217</v>
      </c>
      <c r="K3675">
        <v>1.1089709999999999</v>
      </c>
      <c r="L3675">
        <v>212.20949999999999</v>
      </c>
      <c r="M3675">
        <v>0.99992170000000002</v>
      </c>
      <c r="N3675">
        <v>0</v>
      </c>
      <c r="O3675">
        <v>8.1955269999999993E-3</v>
      </c>
      <c r="P3675">
        <v>0.99965999999999999</v>
      </c>
      <c r="Q3675">
        <v>2.2275389999999999E-2</v>
      </c>
      <c r="R3675">
        <v>1.356071E-2</v>
      </c>
      <c r="S3675">
        <v>3.004883</v>
      </c>
      <c r="T3675">
        <v>-0.11597929999999999</v>
      </c>
      <c r="U3675">
        <v>-8.1130980000000005E-2</v>
      </c>
      <c r="V3675">
        <v>-5.3271999999999998E-3</v>
      </c>
      <c r="W3675">
        <v>3.1742319999999997E-2</v>
      </c>
      <c r="X3675">
        <v>0.99948190000000003</v>
      </c>
      <c r="Y3675">
        <v>3.5149630000000001E-2</v>
      </c>
      <c r="Z3675">
        <v>-9.9412570000000002E-4</v>
      </c>
      <c r="AA3675">
        <v>0.99938150000000003</v>
      </c>
      <c r="AB3675">
        <v>33</v>
      </c>
      <c r="AC3675">
        <v>28.418999999999901</v>
      </c>
      <c r="AD3675">
        <v>-1.1089722364800001</v>
      </c>
      <c r="AE3675">
        <v>-0.77789999999998805</v>
      </c>
      <c r="AF3675">
        <v>1.00925729067095</v>
      </c>
      <c r="AG3675">
        <v>-1.1089722364800001</v>
      </c>
      <c r="AH3675">
        <v>28.368504591793901</v>
      </c>
      <c r="AI3675">
        <v>92.237233919952899</v>
      </c>
      <c r="AJ3675">
        <v>87.962465569931894</v>
      </c>
      <c r="AK3675">
        <v>28.408105753018599</v>
      </c>
      <c r="AL3675">
        <v>88.180993500934207</v>
      </c>
      <c r="AM3675">
        <v>90.3053814044397</v>
      </c>
      <c r="AN3675">
        <v>1.0000000111832099</v>
      </c>
    </row>
    <row r="3676" spans="1:40" x14ac:dyDescent="0.25">
      <c r="A3676" t="str">
        <f>"20190312160405825"</f>
        <v>20190312160405825</v>
      </c>
      <c r="B3676" t="str">
        <f>"1552377845818768"</f>
        <v>1552377845818768</v>
      </c>
      <c r="C3676" t="s">
        <v>40</v>
      </c>
      <c r="D3676">
        <v>5.5575489999999999</v>
      </c>
      <c r="E3676">
        <v>0.51529440000000004</v>
      </c>
      <c r="F3676" t="s">
        <v>70</v>
      </c>
      <c r="G3676">
        <v>-349.584</v>
      </c>
      <c r="H3676" s="1">
        <v>3.5633179999999999E-6</v>
      </c>
      <c r="I3676">
        <v>211.4111</v>
      </c>
      <c r="J3676">
        <v>-378.38909999999998</v>
      </c>
      <c r="K3676">
        <v>1.1090150000000001</v>
      </c>
      <c r="L3676">
        <v>212.21170000000001</v>
      </c>
      <c r="M3676">
        <v>0.99992329999999996</v>
      </c>
      <c r="N3676">
        <v>0</v>
      </c>
      <c r="O3676">
        <v>7.6458230000000004E-3</v>
      </c>
      <c r="P3676">
        <v>0.99968599999999996</v>
      </c>
      <c r="Q3676">
        <v>2.1410180000000001E-2</v>
      </c>
      <c r="R3676">
        <v>1.3043590000000001E-2</v>
      </c>
      <c r="S3676">
        <v>3.0047000000000001</v>
      </c>
      <c r="T3676">
        <v>-0.1143573</v>
      </c>
      <c r="U3676">
        <v>-8.2336430000000002E-2</v>
      </c>
      <c r="V3676">
        <v>-5.3601819999999998E-3</v>
      </c>
      <c r="W3676">
        <v>3.1168959999999999E-2</v>
      </c>
      <c r="X3676">
        <v>0.99949969999999999</v>
      </c>
      <c r="Y3676">
        <v>3.5003920000000001E-2</v>
      </c>
      <c r="Z3676">
        <v>-9.5660500000000002E-4</v>
      </c>
      <c r="AA3676">
        <v>0.99938669999999996</v>
      </c>
      <c r="AB3676">
        <v>33</v>
      </c>
      <c r="AC3676">
        <v>28.8050999999999</v>
      </c>
      <c r="AD3676">
        <v>-1.1090114366820001</v>
      </c>
      <c r="AE3676">
        <v>-0.80060000000000198</v>
      </c>
      <c r="AF3676">
        <v>1.0193159915663299</v>
      </c>
      <c r="AG3676">
        <v>-1.1090114366820001</v>
      </c>
      <c r="AH3676">
        <v>28.755545252812201</v>
      </c>
      <c r="AI3676">
        <v>92.207239468595603</v>
      </c>
      <c r="AJ3676">
        <v>87.9698503147971</v>
      </c>
      <c r="AK3676">
        <v>28.794969946917501</v>
      </c>
      <c r="AL3676">
        <v>88.213860751717903</v>
      </c>
      <c r="AM3676">
        <v>90.307266587296596</v>
      </c>
      <c r="AN3676">
        <v>0.99999994295932004</v>
      </c>
    </row>
    <row r="3677" spans="1:40" x14ac:dyDescent="0.25">
      <c r="A3677" t="str">
        <f>"20190312160405850"</f>
        <v>20190312160405850</v>
      </c>
      <c r="B3677" t="str">
        <f>"1552377845838292"</f>
        <v>1552377845838292</v>
      </c>
      <c r="C3677" t="s">
        <v>40</v>
      </c>
      <c r="D3677">
        <v>5.4505400000000002</v>
      </c>
      <c r="E3677">
        <v>0.51517709999999906</v>
      </c>
      <c r="F3677" t="s">
        <v>70</v>
      </c>
      <c r="G3677">
        <v>-349.25639999999999</v>
      </c>
      <c r="H3677" s="1">
        <v>3.3890059999999998E-6</v>
      </c>
      <c r="I3677">
        <v>211.41409999999999</v>
      </c>
      <c r="J3677">
        <v>-378.03829999999999</v>
      </c>
      <c r="K3677">
        <v>1.109086</v>
      </c>
      <c r="L3677">
        <v>212.21379999999999</v>
      </c>
      <c r="M3677">
        <v>0.99992360000000002</v>
      </c>
      <c r="N3677">
        <v>0</v>
      </c>
      <c r="O3677">
        <v>7.0760559999999998E-3</v>
      </c>
      <c r="P3677">
        <v>0.99971509999999997</v>
      </c>
      <c r="Q3677">
        <v>2.038243E-2</v>
      </c>
      <c r="R3677">
        <v>1.243433E-2</v>
      </c>
      <c r="S3677">
        <v>3.0044249999999999</v>
      </c>
      <c r="T3677">
        <v>-0.11437120000000001</v>
      </c>
      <c r="U3677">
        <v>-8.2260130000000001E-2</v>
      </c>
      <c r="V3677">
        <v>-5.3207280000000003E-3</v>
      </c>
      <c r="W3677">
        <v>3.0531249999999999E-2</v>
      </c>
      <c r="X3677">
        <v>0.99951959999999995</v>
      </c>
      <c r="Y3677">
        <v>3.4412449999999997E-2</v>
      </c>
      <c r="Z3677">
        <v>-9.2387869999999996E-4</v>
      </c>
      <c r="AA3677">
        <v>0.9994073</v>
      </c>
      <c r="AB3677">
        <v>33</v>
      </c>
      <c r="AC3677">
        <v>28.7819</v>
      </c>
      <c r="AD3677">
        <v>-1.109082610994</v>
      </c>
      <c r="AE3677">
        <v>-0.79970000000000097</v>
      </c>
      <c r="AF3677">
        <v>1.0018662793129101</v>
      </c>
      <c r="AG3677">
        <v>-1.109082610994</v>
      </c>
      <c r="AH3677">
        <v>28.7328886053227</v>
      </c>
      <c r="AI3677">
        <v>92.209164737781094</v>
      </c>
      <c r="AJ3677">
        <v>88.0030040193963</v>
      </c>
      <c r="AK3677">
        <v>28.771734182796799</v>
      </c>
      <c r="AL3677">
        <v>88.250416256290706</v>
      </c>
      <c r="AM3677">
        <v>90.304998900259307</v>
      </c>
      <c r="AN3677">
        <v>0.99999994907858403</v>
      </c>
    </row>
    <row r="3678" spans="1:40" x14ac:dyDescent="0.25">
      <c r="A3678" t="str">
        <f>"20190312160405872"</f>
        <v>20190312160405872</v>
      </c>
      <c r="B3678" t="str">
        <f>"1552377845868544"</f>
        <v>1552377845868544</v>
      </c>
      <c r="C3678" t="s">
        <v>40</v>
      </c>
      <c r="D3678">
        <v>5.4969229999999998</v>
      </c>
      <c r="E3678">
        <v>0.51504110000000003</v>
      </c>
      <c r="F3678" t="s">
        <v>70</v>
      </c>
      <c r="G3678">
        <v>-349.2063</v>
      </c>
      <c r="H3678" s="1">
        <v>3.3623410000000001E-6</v>
      </c>
      <c r="I3678">
        <v>211.41399999999999</v>
      </c>
      <c r="J3678">
        <v>-377.70260000000002</v>
      </c>
      <c r="K3678">
        <v>1.109162</v>
      </c>
      <c r="L3678">
        <v>212.21549999999999</v>
      </c>
      <c r="M3678">
        <v>0.99992320000000001</v>
      </c>
      <c r="N3678">
        <v>0</v>
      </c>
      <c r="O3678">
        <v>6.5264859999999997E-3</v>
      </c>
      <c r="P3678">
        <v>0.99972950000000005</v>
      </c>
      <c r="Q3678">
        <v>2.0090110000000001E-2</v>
      </c>
      <c r="R3678">
        <v>1.1729720000000001E-2</v>
      </c>
      <c r="S3678">
        <v>3.0042110000000002</v>
      </c>
      <c r="T3678">
        <v>-0.1155631</v>
      </c>
      <c r="U3678">
        <v>-8.3328250000000006E-2</v>
      </c>
      <c r="V3678">
        <v>-5.1662909999999999E-3</v>
      </c>
      <c r="W3678">
        <v>3.0635160000000002E-2</v>
      </c>
      <c r="X3678">
        <v>0.99951730000000005</v>
      </c>
      <c r="Y3678">
        <v>3.4220109999999998E-2</v>
      </c>
      <c r="Z3678">
        <v>-9.0873519999999999E-4</v>
      </c>
      <c r="AA3678">
        <v>0.99941389999999997</v>
      </c>
      <c r="AB3678">
        <v>33</v>
      </c>
      <c r="AC3678">
        <v>28.496300000000002</v>
      </c>
      <c r="AD3678">
        <v>-1.1091586376589999</v>
      </c>
      <c r="AE3678">
        <v>-0.80149999999997501</v>
      </c>
      <c r="AF3678">
        <v>0.98598138039295002</v>
      </c>
      <c r="AG3678">
        <v>-1.1091586376589999</v>
      </c>
      <c r="AH3678">
        <v>28.447398239466601</v>
      </c>
      <c r="AI3678">
        <v>92.231481953090494</v>
      </c>
      <c r="AJ3678">
        <v>88.014933877677805</v>
      </c>
      <c r="AK3678">
        <v>28.486081842906799</v>
      </c>
      <c r="AL3678">
        <v>88.244459986831203</v>
      </c>
      <c r="AM3678">
        <v>90.296146984155399</v>
      </c>
      <c r="AN3678">
        <v>1.0000000182951001</v>
      </c>
    </row>
    <row r="3679" spans="1:40" x14ac:dyDescent="0.25">
      <c r="A3679" t="str">
        <f>"20190312160405892"</f>
        <v>20190312160405892</v>
      </c>
      <c r="B3679" t="str">
        <f>"1552377845888064"</f>
        <v>1552377845888064</v>
      </c>
      <c r="C3679" t="s">
        <v>40</v>
      </c>
      <c r="D3679">
        <v>5.3021640000000003</v>
      </c>
      <c r="E3679">
        <v>0.51533430000000002</v>
      </c>
      <c r="F3679" t="s">
        <v>70</v>
      </c>
      <c r="G3679">
        <v>-349.10559999999998</v>
      </c>
      <c r="H3679" s="1">
        <v>3.3087350000000001E-6</v>
      </c>
      <c r="I3679">
        <v>211.41550000000001</v>
      </c>
      <c r="J3679">
        <v>-377.3931</v>
      </c>
      <c r="K3679">
        <v>1.1092219999999999</v>
      </c>
      <c r="L3679">
        <v>212.21700000000001</v>
      </c>
      <c r="M3679">
        <v>0.99992270000000005</v>
      </c>
      <c r="N3679">
        <v>0</v>
      </c>
      <c r="O3679">
        <v>6.0155699999999996E-3</v>
      </c>
      <c r="P3679">
        <v>0.99971200000000005</v>
      </c>
      <c r="Q3679">
        <v>2.1253560000000001E-2</v>
      </c>
      <c r="R3679">
        <v>1.115556E-2</v>
      </c>
      <c r="S3679">
        <v>3.0041500000000001</v>
      </c>
      <c r="T3679">
        <v>-0.1165181</v>
      </c>
      <c r="U3679">
        <v>-8.4045410000000001E-2</v>
      </c>
      <c r="V3679">
        <v>-5.1017069999999996E-3</v>
      </c>
      <c r="W3679">
        <v>3.215076E-2</v>
      </c>
      <c r="X3679">
        <v>0.99946999999999997</v>
      </c>
      <c r="Y3679">
        <v>3.3948529999999998E-2</v>
      </c>
      <c r="Z3679">
        <v>-8.9118569999999998E-4</v>
      </c>
      <c r="AA3679">
        <v>0.99942319999999996</v>
      </c>
      <c r="AB3679">
        <v>33</v>
      </c>
      <c r="AC3679">
        <v>28.287500000000001</v>
      </c>
      <c r="AD3679">
        <v>-1.1092186912649999</v>
      </c>
      <c r="AE3679">
        <v>-0.80150000000000399</v>
      </c>
      <c r="AF3679">
        <v>0.97017046399595197</v>
      </c>
      <c r="AG3679">
        <v>-1.1092186912649999</v>
      </c>
      <c r="AH3679">
        <v>28.238781044344101</v>
      </c>
      <c r="AI3679">
        <v>92.2480955346374</v>
      </c>
      <c r="AJ3679">
        <v>88.032322353460401</v>
      </c>
      <c r="AK3679">
        <v>28.2772055144187</v>
      </c>
      <c r="AL3679">
        <v>88.157579622599897</v>
      </c>
      <c r="AM3679">
        <v>90.292458743903794</v>
      </c>
      <c r="AN3679">
        <v>0.999999989841445</v>
      </c>
    </row>
    <row r="3680" spans="1:40" x14ac:dyDescent="0.25">
      <c r="A3680" t="str">
        <f>"20190312160405916"</f>
        <v>20190312160405916</v>
      </c>
      <c r="B3680" t="str">
        <f>"1552377845908561"</f>
        <v>1552377845908561</v>
      </c>
      <c r="C3680" t="s">
        <v>40</v>
      </c>
      <c r="D3680">
        <v>5.277069</v>
      </c>
      <c r="E3680">
        <v>0.5154744</v>
      </c>
      <c r="F3680" t="s">
        <v>70</v>
      </c>
      <c r="G3680">
        <v>-348.1635</v>
      </c>
      <c r="H3680" s="1">
        <v>2.8074439999999999E-6</v>
      </c>
      <c r="I3680">
        <v>211.35820000000001</v>
      </c>
      <c r="J3680">
        <v>-377.05180000000001</v>
      </c>
      <c r="K3680">
        <v>1.1092759999999999</v>
      </c>
      <c r="L3680">
        <v>212.21850000000001</v>
      </c>
      <c r="M3680">
        <v>0.99992159999999997</v>
      </c>
      <c r="N3680">
        <v>0</v>
      </c>
      <c r="O3680">
        <v>5.4575020000000004E-3</v>
      </c>
      <c r="P3680">
        <v>0.99970700000000001</v>
      </c>
      <c r="Q3680">
        <v>2.1672449999999999E-2</v>
      </c>
      <c r="R3680">
        <v>1.079771E-2</v>
      </c>
      <c r="S3680">
        <v>3.0042420000000001</v>
      </c>
      <c r="T3680">
        <v>-0.1140065</v>
      </c>
      <c r="U3680">
        <v>-8.8272089999999998E-2</v>
      </c>
      <c r="V3680">
        <v>-5.3012579999999997E-3</v>
      </c>
      <c r="W3680">
        <v>3.2943790000000001E-2</v>
      </c>
      <c r="X3680">
        <v>0.99944319999999998</v>
      </c>
      <c r="Y3680">
        <v>3.4795920000000001E-2</v>
      </c>
      <c r="Z3680">
        <v>-8.6684830000000003E-4</v>
      </c>
      <c r="AA3680">
        <v>0.99939409999999895</v>
      </c>
      <c r="AB3680">
        <v>33</v>
      </c>
      <c r="AC3680">
        <v>28.888300000000001</v>
      </c>
      <c r="AD3680">
        <v>-1.109273192556</v>
      </c>
      <c r="AE3680">
        <v>-0.86029999999999496</v>
      </c>
      <c r="AF3680">
        <v>1.01645775600405</v>
      </c>
      <c r="AG3680">
        <v>-1.109273192556</v>
      </c>
      <c r="AH3680">
        <v>28.840687578603401</v>
      </c>
      <c r="AI3680">
        <v>92.201264497665093</v>
      </c>
      <c r="AJ3680">
        <v>87.981509841431304</v>
      </c>
      <c r="AK3680">
        <v>28.879905356355899</v>
      </c>
      <c r="AL3680">
        <v>88.1121183832593</v>
      </c>
      <c r="AM3680">
        <v>90.303906075923393</v>
      </c>
      <c r="AN3680">
        <v>1.00000005333109</v>
      </c>
    </row>
    <row r="3681" spans="1:40" x14ac:dyDescent="0.25">
      <c r="A3681" t="str">
        <f>"20190312160405937"</f>
        <v>20190312160405937</v>
      </c>
      <c r="B3681" t="str">
        <f>"1552377845928081"</f>
        <v>1552377845928081</v>
      </c>
      <c r="C3681" t="s">
        <v>40</v>
      </c>
      <c r="D3681">
        <v>5.2770729999999997</v>
      </c>
      <c r="E3681">
        <v>0.51563059999999905</v>
      </c>
      <c r="F3681" t="s">
        <v>70</v>
      </c>
      <c r="G3681">
        <v>-347.22219999999999</v>
      </c>
      <c r="H3681" s="1">
        <v>2.3065260000000001E-6</v>
      </c>
      <c r="I3681">
        <v>211.31909999999999</v>
      </c>
      <c r="J3681">
        <v>-376.733</v>
      </c>
      <c r="K3681">
        <v>1.1093170000000001</v>
      </c>
      <c r="L3681">
        <v>212.21969999999999</v>
      </c>
      <c r="M3681">
        <v>0.99992049999999999</v>
      </c>
      <c r="N3681">
        <v>0</v>
      </c>
      <c r="O3681">
        <v>4.9458039999999998E-3</v>
      </c>
      <c r="P3681">
        <v>0.99972709999999998</v>
      </c>
      <c r="Q3681">
        <v>2.0863309999999999E-2</v>
      </c>
      <c r="R3681">
        <v>1.052106E-2</v>
      </c>
      <c r="S3681">
        <v>3.0042420000000001</v>
      </c>
      <c r="T3681">
        <v>-0.11171879999999999</v>
      </c>
      <c r="U3681">
        <v>-9.0576169999999998E-2</v>
      </c>
      <c r="V3681">
        <v>-5.5367699999999999E-3</v>
      </c>
      <c r="W3681">
        <v>3.2470550000000001E-2</v>
      </c>
      <c r="X3681">
        <v>0.99945740000000005</v>
      </c>
      <c r="Y3681">
        <v>3.505163E-2</v>
      </c>
      <c r="Z3681">
        <v>-8.3518929999999996E-4</v>
      </c>
      <c r="AA3681">
        <v>0.99938519999999997</v>
      </c>
      <c r="AB3681">
        <v>33</v>
      </c>
      <c r="AC3681">
        <v>29.5108</v>
      </c>
      <c r="AD3681">
        <v>-1.1093146934739999</v>
      </c>
      <c r="AE3681">
        <v>-0.90059999999999696</v>
      </c>
      <c r="AF3681">
        <v>1.04507809548283</v>
      </c>
      <c r="AG3681">
        <v>-1.1093146934739999</v>
      </c>
      <c r="AH3681">
        <v>29.464389565024501</v>
      </c>
      <c r="AI3681">
        <v>92.154775951424</v>
      </c>
      <c r="AJ3681">
        <v>87.968616570497502</v>
      </c>
      <c r="AK3681">
        <v>29.5037797536916</v>
      </c>
      <c r="AL3681">
        <v>88.139247533045406</v>
      </c>
      <c r="AM3681">
        <v>90.317402530601598</v>
      </c>
      <c r="AN3681">
        <v>1.00000004342704</v>
      </c>
    </row>
    <row r="3682" spans="1:40" x14ac:dyDescent="0.25">
      <c r="A3682" t="str">
        <f>"20190312160405959"</f>
        <v>20190312160405959</v>
      </c>
      <c r="B3682" t="str">
        <f>"1552377845948581"</f>
        <v>1552377845948581</v>
      </c>
      <c r="C3682" t="s">
        <v>40</v>
      </c>
      <c r="D3682">
        <v>5.2396799999999999</v>
      </c>
      <c r="E3682">
        <v>0.51580809999999999</v>
      </c>
      <c r="F3682" t="s">
        <v>70</v>
      </c>
      <c r="G3682">
        <v>-347.31849999999997</v>
      </c>
      <c r="H3682" s="1">
        <v>2.3577809999999998E-6</v>
      </c>
      <c r="I3682">
        <v>211.31010000000001</v>
      </c>
      <c r="J3682">
        <v>-376.41849999999999</v>
      </c>
      <c r="K3682">
        <v>1.109354</v>
      </c>
      <c r="L3682">
        <v>212.22069999999999</v>
      </c>
      <c r="M3682">
        <v>0.99991909999999895</v>
      </c>
      <c r="N3682">
        <v>0</v>
      </c>
      <c r="O3682">
        <v>4.4528049999999998E-3</v>
      </c>
      <c r="P3682">
        <v>0.99974499999999999</v>
      </c>
      <c r="Q3682">
        <v>2.0354379999999998E-2</v>
      </c>
      <c r="R3682">
        <v>9.7857120000000002E-3</v>
      </c>
      <c r="S3682">
        <v>3.0041500000000001</v>
      </c>
      <c r="T3682">
        <v>-0.1132962</v>
      </c>
      <c r="U3682">
        <v>-9.2895510000000001E-2</v>
      </c>
      <c r="V3682">
        <v>-5.2951769999999999E-3</v>
      </c>
      <c r="W3682">
        <v>3.2276569999999997E-2</v>
      </c>
      <c r="X3682">
        <v>0.99946489999999999</v>
      </c>
      <c r="Y3682">
        <v>3.5330050000000002E-2</v>
      </c>
      <c r="Z3682">
        <v>-8.3365369999999998E-4</v>
      </c>
      <c r="AA3682">
        <v>0.99937529999999997</v>
      </c>
      <c r="AB3682">
        <v>33</v>
      </c>
      <c r="AC3682">
        <v>29.1</v>
      </c>
      <c r="AD3682">
        <v>-1.109351642219</v>
      </c>
      <c r="AE3682">
        <v>-0.91059999999998797</v>
      </c>
      <c r="AF3682">
        <v>1.0386687844324201</v>
      </c>
      <c r="AG3682">
        <v>-1.109351642219</v>
      </c>
      <c r="AH3682">
        <v>29.053474616683101</v>
      </c>
      <c r="AI3682">
        <v>92.185273365360203</v>
      </c>
      <c r="AJ3682">
        <v>87.952533923924307</v>
      </c>
      <c r="AK3682">
        <v>29.093193039130298</v>
      </c>
      <c r="AL3682">
        <v>88.150367425765893</v>
      </c>
      <c r="AM3682">
        <v>90.303550885378201</v>
      </c>
      <c r="AN3682">
        <v>0.99999995110121698</v>
      </c>
    </row>
    <row r="3683" spans="1:40" x14ac:dyDescent="0.25">
      <c r="A3683" t="str">
        <f>"20190312160405985"</f>
        <v>20190312160405985</v>
      </c>
      <c r="B3683" t="str">
        <f>"1552377845978833"</f>
        <v>1552377845978833</v>
      </c>
      <c r="C3683" t="s">
        <v>40</v>
      </c>
      <c r="D3683">
        <v>5.2537640000000003</v>
      </c>
      <c r="E3683">
        <v>0.51604090000000002</v>
      </c>
      <c r="F3683" t="s">
        <v>70</v>
      </c>
      <c r="G3683">
        <v>-347.44720000000001</v>
      </c>
      <c r="H3683" s="1">
        <v>2.426226E-6</v>
      </c>
      <c r="I3683">
        <v>211.29169999999999</v>
      </c>
      <c r="J3683">
        <v>-376.03320000000002</v>
      </c>
      <c r="K3683">
        <v>1.1093959999999901</v>
      </c>
      <c r="L3683">
        <v>212.2218</v>
      </c>
      <c r="M3683">
        <v>0.99991730000000001</v>
      </c>
      <c r="N3683">
        <v>0</v>
      </c>
      <c r="O3683">
        <v>3.8658529999999998E-3</v>
      </c>
      <c r="P3683">
        <v>0.99974819999999998</v>
      </c>
      <c r="Q3683">
        <v>2.039235E-2</v>
      </c>
      <c r="R3683">
        <v>9.3693890000000005E-3</v>
      </c>
      <c r="S3683">
        <v>3.0040279999999999</v>
      </c>
      <c r="T3683">
        <v>-0.1150284</v>
      </c>
      <c r="U3683">
        <v>-9.6328739999999996E-2</v>
      </c>
      <c r="V3683">
        <v>-5.4662000000000001E-3</v>
      </c>
      <c r="W3683">
        <v>3.2674519999999999E-2</v>
      </c>
      <c r="X3683">
        <v>0.99945110000000004</v>
      </c>
      <c r="Y3683">
        <v>3.5884859999999998E-2</v>
      </c>
      <c r="Z3683">
        <v>-8.3456220000000002E-4</v>
      </c>
      <c r="AA3683">
        <v>0.99935560000000001</v>
      </c>
      <c r="AB3683">
        <v>33</v>
      </c>
      <c r="AC3683">
        <v>28.585999999999999</v>
      </c>
      <c r="AD3683">
        <v>-1.1093935737739899</v>
      </c>
      <c r="AE3683">
        <v>-0.93010000000001003</v>
      </c>
      <c r="AF3683">
        <v>1.0390473438080801</v>
      </c>
      <c r="AG3683">
        <v>-1.1093935737739899</v>
      </c>
      <c r="AH3683">
        <v>28.539251890572</v>
      </c>
      <c r="AI3683">
        <v>92.224639957733501</v>
      </c>
      <c r="AJ3683">
        <v>87.914915758227593</v>
      </c>
      <c r="AK3683">
        <v>28.579700347584499</v>
      </c>
      <c r="AL3683">
        <v>88.127554632108499</v>
      </c>
      <c r="AM3683">
        <v>90.313359070091096</v>
      </c>
      <c r="AN3683">
        <v>1.0000000024454401</v>
      </c>
    </row>
    <row r="3684" spans="1:40" x14ac:dyDescent="0.25">
      <c r="A3684" t="str">
        <f>"20190312160406004"</f>
        <v>20190312160406004</v>
      </c>
      <c r="B3684" t="str">
        <f>"1552377845998353"</f>
        <v>1552377845998353</v>
      </c>
      <c r="C3684" t="s">
        <v>40</v>
      </c>
      <c r="D3684">
        <v>5.2772560000000004</v>
      </c>
      <c r="E3684">
        <v>0.51631559999999999</v>
      </c>
      <c r="F3684" t="s">
        <v>70</v>
      </c>
      <c r="G3684">
        <v>-347.05869999999999</v>
      </c>
      <c r="H3684" s="1">
        <v>2.2195250000000001E-6</v>
      </c>
      <c r="I3684">
        <v>211.26249999999999</v>
      </c>
      <c r="J3684">
        <v>-375.75920000000002</v>
      </c>
      <c r="K3684">
        <v>1.109429</v>
      </c>
      <c r="L3684">
        <v>212.22239999999999</v>
      </c>
      <c r="M3684">
        <v>0.99991589999999997</v>
      </c>
      <c r="N3684">
        <v>0</v>
      </c>
      <c r="O3684">
        <v>3.465049E-3</v>
      </c>
      <c r="P3684">
        <v>0.9997296</v>
      </c>
      <c r="Q3684">
        <v>2.137944E-2</v>
      </c>
      <c r="R3684">
        <v>9.1645349999999997E-3</v>
      </c>
      <c r="S3684">
        <v>3.0040279999999999</v>
      </c>
      <c r="T3684">
        <v>-0.1150205</v>
      </c>
      <c r="U3684">
        <v>-9.9456790000000003E-2</v>
      </c>
      <c r="V3684">
        <v>-5.6618419999999899E-3</v>
      </c>
      <c r="W3684">
        <v>3.3891690000000002E-2</v>
      </c>
      <c r="X3684">
        <v>0.99940949999999995</v>
      </c>
      <c r="Y3684">
        <v>3.6523640000000003E-2</v>
      </c>
      <c r="Z3684">
        <v>-8.3137429999999995E-4</v>
      </c>
      <c r="AA3684">
        <v>0.99933240000000001</v>
      </c>
      <c r="AB3684">
        <v>33</v>
      </c>
      <c r="AC3684">
        <v>28.700500000000002</v>
      </c>
      <c r="AD3684">
        <v>-1.109426780475</v>
      </c>
      <c r="AE3684">
        <v>-0.95990000000000397</v>
      </c>
      <c r="AF3684">
        <v>1.0577718508003999</v>
      </c>
      <c r="AG3684">
        <v>-1.109426780475</v>
      </c>
      <c r="AH3684">
        <v>28.6542330507699</v>
      </c>
      <c r="AI3684">
        <v>92.215747172118995</v>
      </c>
      <c r="AJ3684">
        <v>87.885884590810093</v>
      </c>
      <c r="AK3684">
        <v>28.695204839788399</v>
      </c>
      <c r="AL3684">
        <v>88.057777310398293</v>
      </c>
      <c r="AM3684">
        <v>90.324587849596895</v>
      </c>
      <c r="AN3684">
        <v>1.0000000258980599</v>
      </c>
    </row>
    <row r="3685" spans="1:40" x14ac:dyDescent="0.25">
      <c r="A3685" t="str">
        <f>"20190312160406027"</f>
        <v>20190312160406027</v>
      </c>
      <c r="B3685" t="str">
        <f>"1552377846018848"</f>
        <v>1552377846018848</v>
      </c>
      <c r="C3685" t="s">
        <v>40</v>
      </c>
      <c r="D3685">
        <v>5.279846</v>
      </c>
      <c r="E3685">
        <v>0.51644469999999998</v>
      </c>
      <c r="F3685" t="s">
        <v>70</v>
      </c>
      <c r="G3685">
        <v>-345.06450000000001</v>
      </c>
      <c r="H3685" s="1">
        <v>1.158255E-6</v>
      </c>
      <c r="I3685">
        <v>211.17850000000001</v>
      </c>
      <c r="J3685">
        <v>-375.41719999999998</v>
      </c>
      <c r="K3685">
        <v>1.109477</v>
      </c>
      <c r="L3685">
        <v>212.22300000000001</v>
      </c>
      <c r="M3685">
        <v>0.99991399999999997</v>
      </c>
      <c r="N3685">
        <v>0</v>
      </c>
      <c r="O3685">
        <v>2.9918890000000002E-3</v>
      </c>
      <c r="P3685">
        <v>0.99970999999999999</v>
      </c>
      <c r="Q3685">
        <v>2.2448449999999998E-2</v>
      </c>
      <c r="R3685">
        <v>8.7361550000000007E-3</v>
      </c>
      <c r="S3685">
        <v>3.0040279999999999</v>
      </c>
      <c r="T3685">
        <v>-0.1085773</v>
      </c>
      <c r="U3685">
        <v>-0.1021576</v>
      </c>
      <c r="V3685">
        <v>-5.70733E-3</v>
      </c>
      <c r="W3685">
        <v>3.5221269999999999E-2</v>
      </c>
      <c r="X3685">
        <v>0.99936320000000001</v>
      </c>
      <c r="Y3685">
        <v>3.6951419999999999E-2</v>
      </c>
      <c r="Z3685">
        <v>-7.7545529999999997E-4</v>
      </c>
      <c r="AA3685">
        <v>0.99931680000000001</v>
      </c>
      <c r="AB3685">
        <v>33</v>
      </c>
      <c r="AC3685">
        <v>30.352699999999899</v>
      </c>
      <c r="AD3685">
        <v>-1.1094758417449999</v>
      </c>
      <c r="AE3685">
        <v>-1.04449999999997</v>
      </c>
      <c r="AF3685">
        <v>1.1338015498456999</v>
      </c>
      <c r="AG3685">
        <v>-1.1094758417449999</v>
      </c>
      <c r="AH3685">
        <v>30.308990707303501</v>
      </c>
      <c r="AI3685">
        <v>92.094940804474803</v>
      </c>
      <c r="AJ3685">
        <v>87.857673065537099</v>
      </c>
      <c r="AK3685">
        <v>30.3504754541549</v>
      </c>
      <c r="AL3685">
        <v>87.981552322544701</v>
      </c>
      <c r="AM3685">
        <v>90.327210734038601</v>
      </c>
      <c r="AN3685">
        <v>0.99999995849518997</v>
      </c>
    </row>
    <row r="3686" spans="1:40" x14ac:dyDescent="0.25">
      <c r="A3686" t="str">
        <f>"20190312160406050"</f>
        <v>20190312160406050</v>
      </c>
      <c r="B3686" t="str">
        <f>"1552377846038372"</f>
        <v>1552377846038372</v>
      </c>
      <c r="C3686" t="s">
        <v>40</v>
      </c>
      <c r="D3686">
        <v>5.2425879999999996</v>
      </c>
      <c r="E3686">
        <v>0.51651670000000005</v>
      </c>
      <c r="F3686" t="s">
        <v>70</v>
      </c>
      <c r="G3686">
        <v>-342.6737</v>
      </c>
      <c r="H3686" s="1">
        <v>-1.139989E-7</v>
      </c>
      <c r="I3686">
        <v>211.08459999999999</v>
      </c>
      <c r="J3686">
        <v>-375.08539999999999</v>
      </c>
      <c r="K3686">
        <v>1.109529</v>
      </c>
      <c r="L3686">
        <v>212.2235</v>
      </c>
      <c r="M3686">
        <v>0.99991229999999998</v>
      </c>
      <c r="N3686">
        <v>0</v>
      </c>
      <c r="O3686">
        <v>2.5736969999999998E-3</v>
      </c>
      <c r="P3686">
        <v>0.99970979999999998</v>
      </c>
      <c r="Q3686">
        <v>2.2769669999999999E-2</v>
      </c>
      <c r="R3686">
        <v>7.8728300000000008E-3</v>
      </c>
      <c r="S3686">
        <v>3.0040589999999998</v>
      </c>
      <c r="T3686">
        <v>-0.10178909999999999</v>
      </c>
      <c r="U3686">
        <v>-0.10444639999999999</v>
      </c>
      <c r="V3686">
        <v>-5.2640509999999996E-3</v>
      </c>
      <c r="W3686">
        <v>3.5762620000000002E-2</v>
      </c>
      <c r="X3686">
        <v>0.99934639999999997</v>
      </c>
      <c r="Y3686">
        <v>3.7296820000000001E-2</v>
      </c>
      <c r="Z3686">
        <v>-7.1867209999999999E-4</v>
      </c>
      <c r="AA3686">
        <v>0.99930399999999997</v>
      </c>
      <c r="AB3686">
        <v>33</v>
      </c>
      <c r="AC3686">
        <v>32.411700000000003</v>
      </c>
      <c r="AD3686">
        <v>-1.1095291139988901</v>
      </c>
      <c r="AE3686">
        <v>-1.1389</v>
      </c>
      <c r="AF3686">
        <v>1.22089221846413</v>
      </c>
      <c r="AG3686">
        <v>-1.1095291139988901</v>
      </c>
      <c r="AH3686">
        <v>32.370774139043803</v>
      </c>
      <c r="AI3686">
        <v>91.961687546084207</v>
      </c>
      <c r="AJ3686">
        <v>87.840063053938806</v>
      </c>
      <c r="AK3686">
        <v>32.412785301866698</v>
      </c>
      <c r="AL3686">
        <v>87.950515681453396</v>
      </c>
      <c r="AM3686">
        <v>90.301802373999294</v>
      </c>
      <c r="AN3686">
        <v>0.99999995120757601</v>
      </c>
    </row>
    <row r="3687" spans="1:40" x14ac:dyDescent="0.25">
      <c r="A3687" t="str">
        <f>"20190312160406071"</f>
        <v>20190312160406071</v>
      </c>
      <c r="B3687" t="str">
        <f>"1552377846068625"</f>
        <v>1552377846068625</v>
      </c>
      <c r="C3687" t="s">
        <v>40</v>
      </c>
      <c r="D3687">
        <v>5.2327529999999998</v>
      </c>
      <c r="E3687">
        <v>0.51674220000000004</v>
      </c>
      <c r="F3687" t="s">
        <v>70</v>
      </c>
      <c r="G3687">
        <v>-341.23860000000002</v>
      </c>
      <c r="H3687" s="1">
        <v>-8.7765600000000003E-7</v>
      </c>
      <c r="I3687">
        <v>211.01230000000001</v>
      </c>
      <c r="J3687">
        <v>-374.77190000000002</v>
      </c>
      <c r="K3687">
        <v>1.1095759999999999</v>
      </c>
      <c r="L3687">
        <v>212.22399999999999</v>
      </c>
      <c r="M3687">
        <v>0.99991079999999999</v>
      </c>
      <c r="N3687">
        <v>0</v>
      </c>
      <c r="O3687">
        <v>2.2086639999999999E-3</v>
      </c>
      <c r="P3687">
        <v>0.99970139999999996</v>
      </c>
      <c r="Q3687">
        <v>2.3404970000000001E-2</v>
      </c>
      <c r="R3687">
        <v>7.0260849999999996E-3</v>
      </c>
      <c r="S3687">
        <v>3.0039669999999998</v>
      </c>
      <c r="T3687">
        <v>-9.8472829999999997E-2</v>
      </c>
      <c r="U3687">
        <v>-0.1074982</v>
      </c>
      <c r="V3687">
        <v>-4.7840469999999996E-3</v>
      </c>
      <c r="W3687">
        <v>3.6582240000000002E-2</v>
      </c>
      <c r="X3687">
        <v>0.99931919999999996</v>
      </c>
      <c r="Y3687">
        <v>3.7948309999999999E-2</v>
      </c>
      <c r="Z3687">
        <v>-6.9399130000000002E-4</v>
      </c>
      <c r="AA3687">
        <v>0.99927940000000004</v>
      </c>
      <c r="AB3687">
        <v>33</v>
      </c>
      <c r="AC3687">
        <v>33.533299999999997</v>
      </c>
      <c r="AD3687">
        <v>-1.109576877656</v>
      </c>
      <c r="AE3687">
        <v>-1.2117</v>
      </c>
      <c r="AF3687">
        <v>1.2843628873258901</v>
      </c>
      <c r="AG3687">
        <v>-1.109576877656</v>
      </c>
      <c r="AH3687">
        <v>33.493918086508003</v>
      </c>
      <c r="AI3687">
        <v>91.895991774270001</v>
      </c>
      <c r="AJ3687">
        <v>87.8040032366182</v>
      </c>
      <c r="AK3687">
        <v>33.536894573879003</v>
      </c>
      <c r="AL3687">
        <v>87.903524271810994</v>
      </c>
      <c r="AM3687">
        <v>90.274290344975498</v>
      </c>
      <c r="AN3687">
        <v>1.00000000543887</v>
      </c>
    </row>
    <row r="3688" spans="1:40" x14ac:dyDescent="0.25">
      <c r="A3688" t="str">
        <f>"20190312160406104"</f>
        <v>20190312160406104</v>
      </c>
      <c r="B3688" t="str">
        <f>"1552377846098880"</f>
        <v>1552377846098880</v>
      </c>
      <c r="C3688" t="s">
        <v>40</v>
      </c>
      <c r="D3688">
        <v>5.2857279999999998</v>
      </c>
      <c r="E3688">
        <v>0.51694770000000001</v>
      </c>
      <c r="F3688" t="s">
        <v>70</v>
      </c>
      <c r="G3688">
        <v>-339.49849999999998</v>
      </c>
      <c r="H3688" s="1">
        <v>3.6799499999999998E-6</v>
      </c>
      <c r="I3688">
        <v>210.90770000000001</v>
      </c>
      <c r="J3688">
        <v>-374.28440000000001</v>
      </c>
      <c r="K3688">
        <v>1.1096410000000001</v>
      </c>
      <c r="L3688">
        <v>212.2244</v>
      </c>
      <c r="M3688">
        <v>0.99990840000000003</v>
      </c>
      <c r="N3688">
        <v>0</v>
      </c>
      <c r="O3688">
        <v>1.716888E-3</v>
      </c>
      <c r="P3688">
        <v>0.99967079999999997</v>
      </c>
      <c r="Q3688">
        <v>2.4882629999999999E-2</v>
      </c>
      <c r="R3688">
        <v>6.2543659999999999E-3</v>
      </c>
      <c r="S3688">
        <v>3.0039060000000002</v>
      </c>
      <c r="T3688">
        <v>-9.4492080000000006E-2</v>
      </c>
      <c r="U3688">
        <v>-0.1120911</v>
      </c>
      <c r="V3688">
        <v>-4.5069029999999996E-3</v>
      </c>
      <c r="W3688">
        <v>3.8303839999999999E-2</v>
      </c>
      <c r="X3688">
        <v>0.99925600000000003</v>
      </c>
      <c r="Y3688">
        <v>3.898484E-2</v>
      </c>
      <c r="Z3688">
        <v>-6.6677689999999998E-4</v>
      </c>
      <c r="AA3688">
        <v>0.99923960000000001</v>
      </c>
      <c r="AB3688">
        <v>33</v>
      </c>
      <c r="AC3688">
        <v>34.785899999999998</v>
      </c>
      <c r="AD3688">
        <v>-1.1096373200499901</v>
      </c>
      <c r="AE3688">
        <v>-1.31669999999999</v>
      </c>
      <c r="AF3688">
        <v>1.37502977709028</v>
      </c>
      <c r="AG3688">
        <v>-1.1096373200499901</v>
      </c>
      <c r="AH3688">
        <v>34.748280376205301</v>
      </c>
      <c r="AI3688">
        <v>91.827608972416101</v>
      </c>
      <c r="AJ3688">
        <v>87.733921823698296</v>
      </c>
      <c r="AK3688">
        <v>34.793174488300203</v>
      </c>
      <c r="AL3688">
        <v>87.804814670101706</v>
      </c>
      <c r="AM3688">
        <v>90.258417031882701</v>
      </c>
      <c r="AN3688">
        <v>1.0000000249346901</v>
      </c>
    </row>
    <row r="3689" spans="1:40" x14ac:dyDescent="0.25">
      <c r="A3689" t="str">
        <f>"20190312160406128"</f>
        <v>20190312160406128</v>
      </c>
      <c r="B3689" t="str">
        <f>"1552377846118404"</f>
        <v>1552377846118404</v>
      </c>
      <c r="C3689" t="s">
        <v>40</v>
      </c>
      <c r="D3689">
        <v>5.2401030000000004</v>
      </c>
      <c r="E3689">
        <v>0.51698630000000001</v>
      </c>
      <c r="F3689" t="s">
        <v>70</v>
      </c>
      <c r="G3689">
        <v>-336.07170000000002</v>
      </c>
      <c r="H3689" s="1">
        <v>1.863368E-6</v>
      </c>
      <c r="I3689">
        <v>210.7482</v>
      </c>
      <c r="J3689">
        <v>-373.9556</v>
      </c>
      <c r="K3689">
        <v>1.1096999999999999</v>
      </c>
      <c r="L3689">
        <v>212.22470000000001</v>
      </c>
      <c r="M3689">
        <v>0.99990699999999999</v>
      </c>
      <c r="N3689">
        <v>0</v>
      </c>
      <c r="O3689">
        <v>1.4470430000000001E-3</v>
      </c>
      <c r="P3689">
        <v>0.99964600000000003</v>
      </c>
      <c r="Q3689">
        <v>2.5763359999999999E-2</v>
      </c>
      <c r="R3689">
        <v>6.6386509999999998E-3</v>
      </c>
      <c r="S3689">
        <v>3.003876</v>
      </c>
      <c r="T3689">
        <v>-8.7228059999999996E-2</v>
      </c>
      <c r="U3689">
        <v>-0.1160431</v>
      </c>
      <c r="V3689">
        <v>-5.1642420000000003E-3</v>
      </c>
      <c r="W3689">
        <v>3.9324930000000001E-2</v>
      </c>
      <c r="X3689">
        <v>0.99921320000000002</v>
      </c>
      <c r="Y3689">
        <v>4.0030929999999999E-2</v>
      </c>
      <c r="Z3689">
        <v>-6.2287970000000003E-4</v>
      </c>
      <c r="AA3689">
        <v>0.99919829999999998</v>
      </c>
      <c r="AB3689">
        <v>33</v>
      </c>
      <c r="AC3689">
        <v>37.883899999999898</v>
      </c>
      <c r="AD3689">
        <v>-1.109698136632</v>
      </c>
      <c r="AE3689">
        <v>-1.4765000000000099</v>
      </c>
      <c r="AF3689">
        <v>1.5300123285054501</v>
      </c>
      <c r="AG3689">
        <v>-1.109698136632</v>
      </c>
      <c r="AH3689">
        <v>37.849297155993</v>
      </c>
      <c r="AI3689">
        <v>91.677996044869204</v>
      </c>
      <c r="AJ3689">
        <v>87.685147342637407</v>
      </c>
      <c r="AK3689">
        <v>37.8964597671403</v>
      </c>
      <c r="AL3689">
        <v>87.746266501747002</v>
      </c>
      <c r="AM3689">
        <v>90.296119623406</v>
      </c>
      <c r="AN3689">
        <v>1.0000000692845801</v>
      </c>
    </row>
    <row r="3690" spans="1:40" x14ac:dyDescent="0.25">
      <c r="A3690" t="str">
        <f>"20190312160406148"</f>
        <v>20190312160406148</v>
      </c>
      <c r="B3690" t="str">
        <f>"1552377846137921"</f>
        <v>1552377846137921</v>
      </c>
      <c r="C3690" t="s">
        <v>40</v>
      </c>
      <c r="D3690">
        <v>5.2945890000000002</v>
      </c>
      <c r="E3690">
        <v>0.51706479999999999</v>
      </c>
      <c r="F3690" t="s">
        <v>70</v>
      </c>
      <c r="G3690">
        <v>-333.61779999999999</v>
      </c>
      <c r="H3690" s="1">
        <v>5.6049669999999996E-7</v>
      </c>
      <c r="I3690">
        <v>210.6797</v>
      </c>
      <c r="J3690">
        <v>-373.64490000000001</v>
      </c>
      <c r="K3690">
        <v>1.109753</v>
      </c>
      <c r="L3690">
        <v>212.22489999999999</v>
      </c>
      <c r="M3690">
        <v>0.99990570000000001</v>
      </c>
      <c r="N3690">
        <v>0</v>
      </c>
      <c r="O3690">
        <v>1.249041E-3</v>
      </c>
      <c r="P3690">
        <v>0.99963579999999996</v>
      </c>
      <c r="Q3690">
        <v>2.6135599999999998E-2</v>
      </c>
      <c r="R3690">
        <v>6.7343139999999999E-3</v>
      </c>
      <c r="S3690">
        <v>3.0039669999999998</v>
      </c>
      <c r="T3690">
        <v>-8.2639690000000002E-2</v>
      </c>
      <c r="U3690">
        <v>-0.1150513</v>
      </c>
      <c r="V3690">
        <v>-5.4614499999999996E-3</v>
      </c>
      <c r="W3690">
        <v>3.9809980000000002E-2</v>
      </c>
      <c r="X3690">
        <v>0.99919239999999998</v>
      </c>
      <c r="Y3690">
        <v>3.9504530000000003E-2</v>
      </c>
      <c r="Z3690">
        <v>-5.7743249999999996E-4</v>
      </c>
      <c r="AA3690">
        <v>0.99921919999999997</v>
      </c>
      <c r="AB3690">
        <v>33</v>
      </c>
      <c r="AC3690">
        <v>40.027099999999997</v>
      </c>
      <c r="AD3690">
        <v>-1.1097524395033</v>
      </c>
      <c r="AE3690">
        <v>-1.5451999999999899</v>
      </c>
      <c r="AF3690">
        <v>1.59397553013427</v>
      </c>
      <c r="AG3690">
        <v>-1.1097524395033</v>
      </c>
      <c r="AH3690">
        <v>39.994441505966101</v>
      </c>
      <c r="AI3690">
        <v>91.588156193171102</v>
      </c>
      <c r="AJ3690">
        <v>87.717688821525797</v>
      </c>
      <c r="AK3690">
        <v>40.041574142905503</v>
      </c>
      <c r="AL3690">
        <v>87.718453377299596</v>
      </c>
      <c r="AM3690">
        <v>90.313167833207501</v>
      </c>
      <c r="AN3690">
        <v>1.0000000570807299</v>
      </c>
    </row>
    <row r="3691" spans="1:40" x14ac:dyDescent="0.25">
      <c r="A3691" t="str">
        <f>"20190312160406171"</f>
        <v>20190312160406171</v>
      </c>
      <c r="B3691" t="str">
        <f>"1552377846168177"</f>
        <v>1552377846168177</v>
      </c>
      <c r="C3691" t="s">
        <v>40</v>
      </c>
      <c r="D3691">
        <v>5.3100329999999998</v>
      </c>
      <c r="E3691">
        <v>0.51715859999999902</v>
      </c>
      <c r="F3691" t="s">
        <v>70</v>
      </c>
      <c r="G3691">
        <v>-331.5299</v>
      </c>
      <c r="H3691" s="1">
        <v>-5.4744439999999996E-7</v>
      </c>
      <c r="I3691">
        <v>210.60759999999999</v>
      </c>
      <c r="J3691">
        <v>-373.32420000000002</v>
      </c>
      <c r="K3691">
        <v>1.1098059999999901</v>
      </c>
      <c r="L3691">
        <v>212.2251</v>
      </c>
      <c r="M3691">
        <v>0.99990449999999997</v>
      </c>
      <c r="N3691">
        <v>0</v>
      </c>
      <c r="O3691">
        <v>1.090721E-3</v>
      </c>
      <c r="P3691">
        <v>0.99963009999999997</v>
      </c>
      <c r="Q3691">
        <v>2.629159E-2</v>
      </c>
      <c r="R3691">
        <v>6.9513600000000002E-3</v>
      </c>
      <c r="S3691">
        <v>3.0039370000000001</v>
      </c>
      <c r="T3691">
        <v>-7.9155329999999996E-2</v>
      </c>
      <c r="U3691">
        <v>-0.115356399999999</v>
      </c>
      <c r="V3691">
        <v>-5.8411210000000003E-3</v>
      </c>
      <c r="W3691">
        <v>4.0068220000000002E-2</v>
      </c>
      <c r="X3691">
        <v>0.99917990000000001</v>
      </c>
      <c r="Y3691">
        <v>3.9449419999999999E-2</v>
      </c>
      <c r="Z3691">
        <v>-5.4820339999999996E-4</v>
      </c>
      <c r="AA3691">
        <v>0.99922140000000004</v>
      </c>
      <c r="AB3691">
        <v>33</v>
      </c>
      <c r="AC3691">
        <v>41.7943</v>
      </c>
      <c r="AD3691">
        <v>-1.1098065474444001</v>
      </c>
      <c r="AE3691">
        <v>-1.6174999999999999</v>
      </c>
      <c r="AF3691">
        <v>1.6619191921740699</v>
      </c>
      <c r="AG3691">
        <v>-1.1098065474444001</v>
      </c>
      <c r="AH3691">
        <v>41.763106939831403</v>
      </c>
      <c r="AI3691">
        <v>91.521007955673795</v>
      </c>
      <c r="AJ3691">
        <v>87.721176712720094</v>
      </c>
      <c r="AK3691">
        <v>41.8108926864981</v>
      </c>
      <c r="AL3691">
        <v>87.703645431359703</v>
      </c>
      <c r="AM3691">
        <v>90.334942454874195</v>
      </c>
      <c r="AN3691">
        <v>1.0000000267562501</v>
      </c>
    </row>
    <row r="3692" spans="1:40" x14ac:dyDescent="0.25">
      <c r="A3692" t="str">
        <f>"20190312160406194"</f>
        <v>20190312160406194</v>
      </c>
      <c r="B3692" t="str">
        <f>"1552377846188673"</f>
        <v>1552377846188673</v>
      </c>
      <c r="C3692" t="s">
        <v>40</v>
      </c>
      <c r="D3692">
        <v>5.3030030000000004</v>
      </c>
      <c r="E3692">
        <v>0.51724579999999998</v>
      </c>
      <c r="F3692" t="s">
        <v>70</v>
      </c>
      <c r="G3692">
        <v>-330.07100000000003</v>
      </c>
      <c r="H3692" s="1">
        <v>-1.321732E-6</v>
      </c>
      <c r="I3692">
        <v>210.5608</v>
      </c>
      <c r="J3692">
        <v>-372.98829999999998</v>
      </c>
      <c r="K3692">
        <v>1.109858</v>
      </c>
      <c r="L3692">
        <v>212.2253</v>
      </c>
      <c r="M3692">
        <v>0.99990330000000005</v>
      </c>
      <c r="N3692">
        <v>0</v>
      </c>
      <c r="O3692">
        <v>9.7340930000000005E-4</v>
      </c>
      <c r="P3692">
        <v>0.99961449999999996</v>
      </c>
      <c r="Q3692">
        <v>2.6895720000000001E-2</v>
      </c>
      <c r="R3692">
        <v>6.9059710000000003E-3</v>
      </c>
      <c r="S3692">
        <v>3.0039370000000001</v>
      </c>
      <c r="T3692">
        <v>-7.7076199999999997E-2</v>
      </c>
      <c r="U3692">
        <v>-0.1155853</v>
      </c>
      <c r="V3692">
        <v>-5.9167100000000004E-3</v>
      </c>
      <c r="W3692">
        <v>4.0763830000000001E-2</v>
      </c>
      <c r="X3692">
        <v>0.99915129999999996</v>
      </c>
      <c r="Y3692">
        <v>3.9409E-2</v>
      </c>
      <c r="Z3692">
        <v>-5.3028109999999999E-4</v>
      </c>
      <c r="AA3692">
        <v>0.99922299999999997</v>
      </c>
      <c r="AB3692">
        <v>32</v>
      </c>
      <c r="AC3692">
        <v>42.917299999999997</v>
      </c>
      <c r="AD3692">
        <v>-1.1098593217319901</v>
      </c>
      <c r="AE3692">
        <v>-1.6645000000000001</v>
      </c>
      <c r="AF3692">
        <v>1.70514071127295</v>
      </c>
      <c r="AG3692">
        <v>-1.1098593217319901</v>
      </c>
      <c r="AH3692">
        <v>42.887021168126601</v>
      </c>
      <c r="AI3692">
        <v>91.481238278342005</v>
      </c>
      <c r="AJ3692">
        <v>87.723182134792197</v>
      </c>
      <c r="AK3692">
        <v>42.935252150588497</v>
      </c>
      <c r="AL3692">
        <v>87.663757281410497</v>
      </c>
      <c r="AM3692">
        <v>90.339286501544805</v>
      </c>
      <c r="AN3692">
        <v>1.00000000879259</v>
      </c>
    </row>
    <row r="3693" spans="1:40" x14ac:dyDescent="0.25">
      <c r="A3693" t="str">
        <f>"20190312160406216"</f>
        <v>20190312160406216</v>
      </c>
      <c r="B3693" t="str">
        <f>"1552377846208197"</f>
        <v>1552377846208197</v>
      </c>
      <c r="C3693" t="s">
        <v>40</v>
      </c>
      <c r="D3693">
        <v>5.3264620000000003</v>
      </c>
      <c r="E3693">
        <v>0.51732259999999997</v>
      </c>
      <c r="F3693" t="s">
        <v>70</v>
      </c>
      <c r="G3693">
        <v>-328.041</v>
      </c>
      <c r="H3693" s="1">
        <v>2.7422030000000001E-6</v>
      </c>
      <c r="I3693">
        <v>210.48410000000001</v>
      </c>
      <c r="J3693">
        <v>-372.66140000000001</v>
      </c>
      <c r="K3693">
        <v>1.109901</v>
      </c>
      <c r="L3693">
        <v>212.22550000000001</v>
      </c>
      <c r="M3693">
        <v>0.99990230000000002</v>
      </c>
      <c r="N3693">
        <v>0</v>
      </c>
      <c r="O3693">
        <v>9.0457380000000004E-4</v>
      </c>
      <c r="P3693">
        <v>0.99959699999999996</v>
      </c>
      <c r="Q3693">
        <v>2.7562739999999999E-2</v>
      </c>
      <c r="R3693">
        <v>6.8127379999999996E-3</v>
      </c>
      <c r="S3693">
        <v>3.0039370000000001</v>
      </c>
      <c r="T3693">
        <v>-7.4174169999999998E-2</v>
      </c>
      <c r="U3693">
        <v>-0.11636349999999999</v>
      </c>
      <c r="V3693">
        <v>-5.8965179999999999E-3</v>
      </c>
      <c r="W3693">
        <v>4.150802E-2</v>
      </c>
      <c r="X3693">
        <v>0.99912080000000003</v>
      </c>
      <c r="Y3693">
        <v>3.9599629999999997E-2</v>
      </c>
      <c r="Z3693">
        <v>-5.1097220000000001E-4</v>
      </c>
      <c r="AA3693">
        <v>0.99921550000000003</v>
      </c>
      <c r="AB3693">
        <v>32</v>
      </c>
      <c r="AC3693">
        <v>44.620399999999997</v>
      </c>
      <c r="AD3693">
        <v>-1.109898257797</v>
      </c>
      <c r="AE3693">
        <v>-1.7413999999999901</v>
      </c>
      <c r="AF3693">
        <v>1.7806655882239799</v>
      </c>
      <c r="AG3693">
        <v>-1.109898257797</v>
      </c>
      <c r="AH3693">
        <v>44.591258483297302</v>
      </c>
      <c r="AI3693">
        <v>91.424690585209305</v>
      </c>
      <c r="AJ3693">
        <v>87.713218979430295</v>
      </c>
      <c r="AK3693">
        <v>44.640597858944297</v>
      </c>
      <c r="AL3693">
        <v>87.621082260410404</v>
      </c>
      <c r="AM3693">
        <v>90.338138964679203</v>
      </c>
      <c r="AN3693">
        <v>1.00000002882074</v>
      </c>
    </row>
    <row r="3694" spans="1:40" x14ac:dyDescent="0.25">
      <c r="A3694" t="str">
        <f>"20190312160406238"</f>
        <v>20190312160406238</v>
      </c>
      <c r="B3694" t="str">
        <f>"1552377846228689"</f>
        <v>1552377846228689</v>
      </c>
      <c r="C3694" t="s">
        <v>40</v>
      </c>
      <c r="D3694">
        <v>5.4317589999999996</v>
      </c>
      <c r="E3694">
        <v>0.51734749999999996</v>
      </c>
      <c r="F3694" t="s">
        <v>70</v>
      </c>
      <c r="G3694">
        <v>-325.86970000000002</v>
      </c>
      <c r="H3694" s="1">
        <v>1.5867570000000001E-6</v>
      </c>
      <c r="I3694">
        <v>210.39779999999999</v>
      </c>
      <c r="J3694">
        <v>-372.34399999999999</v>
      </c>
      <c r="K3694">
        <v>1.1099399999999999</v>
      </c>
      <c r="L3694">
        <v>212.22569999999999</v>
      </c>
      <c r="M3694">
        <v>0.9999015</v>
      </c>
      <c r="N3694">
        <v>0</v>
      </c>
      <c r="O3694">
        <v>8.7062839999999995E-4</v>
      </c>
      <c r="P3694">
        <v>0.99959189999999998</v>
      </c>
      <c r="Q3694">
        <v>2.7763360000000001E-2</v>
      </c>
      <c r="R3694">
        <v>6.7329499999999997E-3</v>
      </c>
      <c r="S3694">
        <v>3.0040279999999999</v>
      </c>
      <c r="T3694">
        <v>-7.1255449999999998E-2</v>
      </c>
      <c r="U3694">
        <v>-0.1173401</v>
      </c>
      <c r="V3694">
        <v>-5.8540529999999997E-3</v>
      </c>
      <c r="W3694">
        <v>4.1772440000000001E-2</v>
      </c>
      <c r="X3694">
        <v>0.99911000000000005</v>
      </c>
      <c r="Y3694">
        <v>3.988974E-2</v>
      </c>
      <c r="Z3694">
        <v>-4.9348760000000001E-4</v>
      </c>
      <c r="AA3694">
        <v>0.99920399999999998</v>
      </c>
      <c r="AB3694">
        <v>32</v>
      </c>
      <c r="AC3694">
        <v>46.4742999999999</v>
      </c>
      <c r="AD3694">
        <v>-1.1099384132429999</v>
      </c>
      <c r="AE3694">
        <v>-1.8279000000000001</v>
      </c>
      <c r="AF3694">
        <v>1.86730167763472</v>
      </c>
      <c r="AG3694">
        <v>-1.1099384132429999</v>
      </c>
      <c r="AH3694">
        <v>46.4462392452646</v>
      </c>
      <c r="AI3694">
        <v>91.367847699865905</v>
      </c>
      <c r="AJ3694">
        <v>87.6977486195143</v>
      </c>
      <c r="AK3694">
        <v>46.4970097841232</v>
      </c>
      <c r="AL3694">
        <v>87.605918888690198</v>
      </c>
      <c r="AM3694">
        <v>90.335707471323104</v>
      </c>
      <c r="AN3694">
        <v>0.99999999939004003</v>
      </c>
    </row>
    <row r="3695" spans="1:40" x14ac:dyDescent="0.25">
      <c r="A3695" t="str">
        <f>"20190312160406261"</f>
        <v>20190312160406261</v>
      </c>
      <c r="B3695" t="str">
        <f>"1552377846258945"</f>
        <v>1552377846258945</v>
      </c>
      <c r="C3695" t="s">
        <v>40</v>
      </c>
      <c r="D3695">
        <v>5.3192729999999999</v>
      </c>
      <c r="E3695">
        <v>0.51735509999999996</v>
      </c>
      <c r="F3695" t="s">
        <v>70</v>
      </c>
      <c r="G3695">
        <v>-325.62700000000001</v>
      </c>
      <c r="H3695" s="1">
        <v>1.45759E-6</v>
      </c>
      <c r="I3695">
        <v>210.39570000000001</v>
      </c>
      <c r="J3695">
        <v>-372.01609999999999</v>
      </c>
      <c r="K3695">
        <v>1.109977</v>
      </c>
      <c r="L3695">
        <v>212.2259</v>
      </c>
      <c r="M3695">
        <v>0.99990060000000003</v>
      </c>
      <c r="N3695">
        <v>0</v>
      </c>
      <c r="O3695">
        <v>8.5818949999999896E-4</v>
      </c>
      <c r="P3695">
        <v>0.99958720000000001</v>
      </c>
      <c r="Q3695">
        <v>2.7993029999999999E-2</v>
      </c>
      <c r="R3695">
        <v>6.4992189999999997E-3</v>
      </c>
      <c r="S3695">
        <v>3.0040279999999999</v>
      </c>
      <c r="T3695">
        <v>-7.1371909999999997E-2</v>
      </c>
      <c r="U3695">
        <v>-0.1176758</v>
      </c>
      <c r="V3695">
        <v>-5.6348350000000004E-3</v>
      </c>
      <c r="W3695">
        <v>4.2059239999999998E-2</v>
      </c>
      <c r="X3695">
        <v>0.99909930000000002</v>
      </c>
      <c r="Y3695">
        <v>3.9988740000000002E-2</v>
      </c>
      <c r="Z3695">
        <v>-4.9517279999999897E-4</v>
      </c>
      <c r="AA3695">
        <v>0.99919999999999998</v>
      </c>
      <c r="AB3695">
        <v>32</v>
      </c>
      <c r="AC3695">
        <v>46.3890999999999</v>
      </c>
      <c r="AD3695">
        <v>-1.10997554241</v>
      </c>
      <c r="AE3695">
        <v>-1.8301999999999901</v>
      </c>
      <c r="AF3695">
        <v>1.8689455510945201</v>
      </c>
      <c r="AG3695">
        <v>-1.10997554241</v>
      </c>
      <c r="AH3695">
        <v>46.3610104851345</v>
      </c>
      <c r="AI3695">
        <v>91.370401155624194</v>
      </c>
      <c r="AJ3695">
        <v>87.6914924867189</v>
      </c>
      <c r="AK3695">
        <v>46.411941312343899</v>
      </c>
      <c r="AL3695">
        <v>87.589472177708501</v>
      </c>
      <c r="AM3695">
        <v>90.323139892755506</v>
      </c>
      <c r="AN3695">
        <v>1.00000007114767</v>
      </c>
    </row>
    <row r="3696" spans="1:40" x14ac:dyDescent="0.25">
      <c r="A3696" t="str">
        <f>"20190312160406284"</f>
        <v>20190312160406284</v>
      </c>
      <c r="B3696" t="str">
        <f>"1552377846278466"</f>
        <v>1552377846278466</v>
      </c>
      <c r="C3696" t="s">
        <v>40</v>
      </c>
      <c r="D3696">
        <v>5.3286350000000002</v>
      </c>
      <c r="E3696">
        <v>0.51734970000000002</v>
      </c>
      <c r="F3696" t="s">
        <v>70</v>
      </c>
      <c r="G3696">
        <v>-324.29039999999998</v>
      </c>
      <c r="H3696" s="1">
        <v>7.4636730000000003E-7</v>
      </c>
      <c r="I3696">
        <v>210.34399999999999</v>
      </c>
      <c r="J3696">
        <v>-371.68970000000002</v>
      </c>
      <c r="K3696">
        <v>1.109996</v>
      </c>
      <c r="L3696">
        <v>212.22620000000001</v>
      </c>
      <c r="M3696">
        <v>0.99990000000000001</v>
      </c>
      <c r="N3696">
        <v>0</v>
      </c>
      <c r="O3696">
        <v>8.6221369999999896E-4</v>
      </c>
      <c r="P3696">
        <v>0.99960139999999997</v>
      </c>
      <c r="Q3696">
        <v>2.7429519999999999E-2</v>
      </c>
      <c r="R3696">
        <v>6.7184330000000002E-3</v>
      </c>
      <c r="S3696">
        <v>3.0039669999999998</v>
      </c>
      <c r="T3696">
        <v>-6.9864510000000005E-2</v>
      </c>
      <c r="U3696">
        <v>-0.118454</v>
      </c>
      <c r="V3696">
        <v>-5.8517269999999897E-3</v>
      </c>
      <c r="W3696">
        <v>4.1544699999999997E-2</v>
      </c>
      <c r="X3696">
        <v>0.99911950000000005</v>
      </c>
      <c r="Y3696">
        <v>4.0252400000000001E-2</v>
      </c>
      <c r="Z3696">
        <v>-4.8788290000000001E-4</v>
      </c>
      <c r="AA3696">
        <v>0.99918940000000001</v>
      </c>
      <c r="AB3696">
        <v>32</v>
      </c>
      <c r="AC3696">
        <v>47.399299999999997</v>
      </c>
      <c r="AD3696">
        <v>-1.1099952536327</v>
      </c>
      <c r="AE3696">
        <v>-1.8821999999999799</v>
      </c>
      <c r="AF3696">
        <v>1.9220193198637101</v>
      </c>
      <c r="AG3696">
        <v>-1.1099952536327</v>
      </c>
      <c r="AH3696">
        <v>47.371721548916597</v>
      </c>
      <c r="AI3696">
        <v>91.341183138220501</v>
      </c>
      <c r="AJ3696">
        <v>87.676604871942203</v>
      </c>
      <c r="AK3696">
        <v>47.423688703401297</v>
      </c>
      <c r="AL3696">
        <v>87.618978744501206</v>
      </c>
      <c r="AM3696">
        <v>90.335570896511101</v>
      </c>
      <c r="AN3696">
        <v>0.99999999004361095</v>
      </c>
    </row>
    <row r="3697" spans="1:40" x14ac:dyDescent="0.25">
      <c r="A3697" t="str">
        <f>"20190312160406305"</f>
        <v>20190312160406305</v>
      </c>
      <c r="B3697" t="str">
        <f>"1552377846297996"</f>
        <v>1552377846297996</v>
      </c>
      <c r="C3697" t="s">
        <v>40</v>
      </c>
      <c r="D3697">
        <v>5.5134860000000003</v>
      </c>
      <c r="E3697">
        <v>0.51730350000000003</v>
      </c>
      <c r="F3697" t="s">
        <v>70</v>
      </c>
      <c r="G3697">
        <v>-325.12040000000002</v>
      </c>
      <c r="H3697" s="1">
        <v>1.1880089999999999E-6</v>
      </c>
      <c r="I3697">
        <v>210.40119999999999</v>
      </c>
      <c r="J3697">
        <v>-371.37049999999999</v>
      </c>
      <c r="K3697">
        <v>1.110017</v>
      </c>
      <c r="L3697">
        <v>212.22649999999999</v>
      </c>
      <c r="M3697">
        <v>0.99989939999999999</v>
      </c>
      <c r="N3697">
        <v>0</v>
      </c>
      <c r="O3697">
        <v>8.8305839999999996E-4</v>
      </c>
      <c r="P3697">
        <v>0.99959609999999999</v>
      </c>
      <c r="Q3697">
        <v>2.763026E-2</v>
      </c>
      <c r="R3697">
        <v>6.667503E-3</v>
      </c>
      <c r="S3697">
        <v>3.0039370000000001</v>
      </c>
      <c r="T3697">
        <v>-7.1599720000000006E-2</v>
      </c>
      <c r="U3697">
        <v>-0.1177216</v>
      </c>
      <c r="V3697">
        <v>-5.7821110000000004E-3</v>
      </c>
      <c r="W3697">
        <v>4.1786249999999997E-2</v>
      </c>
      <c r="X3697">
        <v>0.9991099</v>
      </c>
      <c r="Y3697">
        <v>4.0029889999999999E-2</v>
      </c>
      <c r="Z3697">
        <v>-4.9785059999999997E-4</v>
      </c>
      <c r="AA3697">
        <v>0.99919840000000004</v>
      </c>
      <c r="AB3697">
        <v>32</v>
      </c>
      <c r="AC3697">
        <v>46.250099999999897</v>
      </c>
      <c r="AD3697">
        <v>-1.110015811991</v>
      </c>
      <c r="AE3697">
        <v>-1.8252999999999899</v>
      </c>
      <c r="AF3697">
        <v>1.8650722837229401</v>
      </c>
      <c r="AG3697">
        <v>-1.110015811991</v>
      </c>
      <c r="AH3697">
        <v>46.221886909899098</v>
      </c>
      <c r="AI3697">
        <v>91.374572126612705</v>
      </c>
      <c r="AJ3697">
        <v>87.689345054010303</v>
      </c>
      <c r="AK3697">
        <v>46.272815553388099</v>
      </c>
      <c r="AL3697">
        <v>87.605127082671601</v>
      </c>
      <c r="AM3697">
        <v>90.331581999615906</v>
      </c>
      <c r="AN3697">
        <v>1.00000005788734</v>
      </c>
    </row>
    <row r="3698" spans="1:40" x14ac:dyDescent="0.25">
      <c r="A3698" t="str">
        <f>"20190312160406328"</f>
        <v>20190312160406328</v>
      </c>
      <c r="B3698" t="str">
        <f>"1552377846318327"</f>
        <v>1552377846318327</v>
      </c>
      <c r="C3698" t="s">
        <v>40</v>
      </c>
      <c r="D3698">
        <v>5.3348940000000002</v>
      </c>
      <c r="E3698">
        <v>0.51716260000000003</v>
      </c>
      <c r="F3698" t="s">
        <v>70</v>
      </c>
      <c r="G3698">
        <v>-324.0111</v>
      </c>
      <c r="H3698" s="1">
        <v>5.9773380000000001E-7</v>
      </c>
      <c r="I3698">
        <v>210.37559999999999</v>
      </c>
      <c r="J3698">
        <v>-371.05579999999998</v>
      </c>
      <c r="K3698">
        <v>1.1100490000000001</v>
      </c>
      <c r="L3698">
        <v>212.2268</v>
      </c>
      <c r="M3698">
        <v>0.99989890000000003</v>
      </c>
      <c r="N3698">
        <v>0</v>
      </c>
      <c r="O3698">
        <v>9.2090110000000005E-4</v>
      </c>
      <c r="P3698">
        <v>0.99959430000000005</v>
      </c>
      <c r="Q3698">
        <v>2.7783430000000001E-2</v>
      </c>
      <c r="R3698">
        <v>6.2995339999999999E-3</v>
      </c>
      <c r="S3698">
        <v>3.0039669999999998</v>
      </c>
      <c r="T3698">
        <v>-7.0407510000000006E-2</v>
      </c>
      <c r="U3698">
        <v>-0.11740109999999999</v>
      </c>
      <c r="V3698">
        <v>-5.3775949999999998E-3</v>
      </c>
      <c r="W3698">
        <v>4.1973480000000001E-2</v>
      </c>
      <c r="X3698">
        <v>0.99910429999999995</v>
      </c>
      <c r="Y3698">
        <v>3.9961280000000002E-2</v>
      </c>
      <c r="Z3698">
        <v>-4.8964229999999998E-4</v>
      </c>
      <c r="AA3698">
        <v>0.99920109999999995</v>
      </c>
      <c r="AB3698">
        <v>32</v>
      </c>
      <c r="AC3698">
        <v>47.044699999999899</v>
      </c>
      <c r="AD3698">
        <v>-1.1100484022661901</v>
      </c>
      <c r="AE3698">
        <v>-1.8512</v>
      </c>
      <c r="AF3698">
        <v>1.8934745254541401</v>
      </c>
      <c r="AG3698">
        <v>-1.1100484022661901</v>
      </c>
      <c r="AH3698">
        <v>47.016838815915101</v>
      </c>
      <c r="AI3698">
        <v>91.3513837201603</v>
      </c>
      <c r="AJ3698">
        <v>87.693815492501898</v>
      </c>
      <c r="AK3698">
        <v>47.068042082453999</v>
      </c>
      <c r="AL3698">
        <v>87.594390148080805</v>
      </c>
      <c r="AM3698">
        <v>90.3083867440983</v>
      </c>
      <c r="AN3698">
        <v>1.00000004691489</v>
      </c>
    </row>
    <row r="3699" spans="1:40" x14ac:dyDescent="0.25">
      <c r="A3699" t="str">
        <f>"20190312160406349"</f>
        <v>20190312160406349</v>
      </c>
      <c r="B3699" t="str">
        <f>"1552377846338820"</f>
        <v>1552377846338820</v>
      </c>
      <c r="C3699" t="s">
        <v>40</v>
      </c>
      <c r="D3699">
        <v>5.353815</v>
      </c>
      <c r="E3699">
        <v>0.51713290000000001</v>
      </c>
      <c r="F3699" t="s">
        <v>70</v>
      </c>
      <c r="G3699">
        <v>-322.63150000000002</v>
      </c>
      <c r="H3699" s="1">
        <v>-1.36432799999999E-7</v>
      </c>
      <c r="I3699">
        <v>210.3357</v>
      </c>
      <c r="J3699">
        <v>-370.74430000000001</v>
      </c>
      <c r="K3699">
        <v>1.1100749999999999</v>
      </c>
      <c r="L3699">
        <v>212.22710000000001</v>
      </c>
      <c r="M3699">
        <v>0.99989839999999997</v>
      </c>
      <c r="N3699">
        <v>0</v>
      </c>
      <c r="O3699">
        <v>9.7730569999999995E-4</v>
      </c>
      <c r="P3699">
        <v>0.99958630000000004</v>
      </c>
      <c r="Q3699">
        <v>2.7998240000000001E-2</v>
      </c>
      <c r="R3699">
        <v>6.6079140000000003E-3</v>
      </c>
      <c r="S3699">
        <v>3.0038450000000001</v>
      </c>
      <c r="T3699">
        <v>-6.8858390000000005E-2</v>
      </c>
      <c r="U3699">
        <v>-0.1173096</v>
      </c>
      <c r="V3699">
        <v>-5.6319389999999999E-3</v>
      </c>
      <c r="W3699">
        <v>4.2217409999999997E-2</v>
      </c>
      <c r="X3699">
        <v>0.9990926</v>
      </c>
      <c r="Y3699">
        <v>3.9989280000000002E-2</v>
      </c>
      <c r="Z3699">
        <v>-4.8050479999999998E-4</v>
      </c>
      <c r="AA3699">
        <v>0.99919999999999998</v>
      </c>
      <c r="AB3699">
        <v>32</v>
      </c>
      <c r="AC3699">
        <v>48.112799999999901</v>
      </c>
      <c r="AD3699">
        <v>-1.1100751364328001</v>
      </c>
      <c r="AE3699">
        <v>-1.8914</v>
      </c>
      <c r="AF3699">
        <v>1.93739501744207</v>
      </c>
      <c r="AG3699">
        <v>-1.1100751364328001</v>
      </c>
      <c r="AH3699">
        <v>48.085370417939998</v>
      </c>
      <c r="AI3699">
        <v>91.321395473790503</v>
      </c>
      <c r="AJ3699">
        <v>87.692758752895202</v>
      </c>
      <c r="AK3699">
        <v>48.137185361138798</v>
      </c>
      <c r="AL3699">
        <v>87.580401538807493</v>
      </c>
      <c r="AM3699">
        <v>90.322975985715303</v>
      </c>
      <c r="AN3699">
        <v>1.00000002590938</v>
      </c>
    </row>
    <row r="3700" spans="1:40" x14ac:dyDescent="0.25">
      <c r="A3700" t="str">
        <f>"20190312160406372"</f>
        <v>20190312160406372</v>
      </c>
      <c r="B3700" t="str">
        <f>"1552377846368101"</f>
        <v>1552377846368101</v>
      </c>
      <c r="C3700" t="s">
        <v>40</v>
      </c>
      <c r="D3700">
        <v>5.347162</v>
      </c>
      <c r="E3700">
        <v>0.51736610000000005</v>
      </c>
      <c r="F3700" t="s">
        <v>70</v>
      </c>
      <c r="G3700">
        <v>-321.17360000000002</v>
      </c>
      <c r="H3700" s="1">
        <v>-9.1228470000000002E-7</v>
      </c>
      <c r="I3700">
        <v>210.30969999999999</v>
      </c>
      <c r="J3700">
        <v>-370.41640000000001</v>
      </c>
      <c r="K3700">
        <v>1.1101019999999999</v>
      </c>
      <c r="L3700">
        <v>212.22749999999999</v>
      </c>
      <c r="M3700">
        <v>0.99989799999999995</v>
      </c>
      <c r="N3700">
        <v>0</v>
      </c>
      <c r="O3700">
        <v>1.0539519999999999E-3</v>
      </c>
      <c r="P3700">
        <v>0.99958150000000001</v>
      </c>
      <c r="Q3700">
        <v>2.8044889999999999E-2</v>
      </c>
      <c r="R3700">
        <v>7.1206159999999998E-3</v>
      </c>
      <c r="S3700">
        <v>3.0039060000000002</v>
      </c>
      <c r="T3700">
        <v>-6.7268850000000005E-2</v>
      </c>
      <c r="U3700">
        <v>-0.1161957</v>
      </c>
      <c r="V3700">
        <v>-6.0702119999999898E-3</v>
      </c>
      <c r="W3700">
        <v>4.2288869999999999E-2</v>
      </c>
      <c r="X3700">
        <v>0.99908699999999995</v>
      </c>
      <c r="Y3700">
        <v>3.9695670000000002E-2</v>
      </c>
      <c r="Z3700">
        <v>-4.6783920000000002E-4</v>
      </c>
      <c r="AA3700">
        <v>0.99921170000000004</v>
      </c>
      <c r="AB3700">
        <v>32</v>
      </c>
      <c r="AC3700">
        <v>49.242799999999903</v>
      </c>
      <c r="AD3700">
        <v>-1.1101029122846999</v>
      </c>
      <c r="AE3700">
        <v>-1.9177999999999999</v>
      </c>
      <c r="AF3700">
        <v>1.96870475250812</v>
      </c>
      <c r="AG3700">
        <v>-1.1101029122846999</v>
      </c>
      <c r="AH3700">
        <v>49.215777226893898</v>
      </c>
      <c r="AI3700">
        <v>91.291102806052393</v>
      </c>
      <c r="AJ3700">
        <v>87.709304337229298</v>
      </c>
      <c r="AK3700">
        <v>49.267645112443297</v>
      </c>
      <c r="AL3700">
        <v>87.576303495743602</v>
      </c>
      <c r="AM3700">
        <v>90.348111074223993</v>
      </c>
      <c r="AN3700">
        <v>1.0000000147843</v>
      </c>
    </row>
    <row r="3701" spans="1:40" x14ac:dyDescent="0.25">
      <c r="A3701" t="str">
        <f>"20190312160406395"</f>
        <v>20190312160406395</v>
      </c>
      <c r="B3701" t="str">
        <f>"1552377846388598"</f>
        <v>1552377846388598</v>
      </c>
      <c r="C3701" t="s">
        <v>40</v>
      </c>
      <c r="D3701">
        <v>5.3466519999999997</v>
      </c>
      <c r="E3701">
        <v>0.51757140000000001</v>
      </c>
      <c r="F3701" t="s">
        <v>79</v>
      </c>
      <c r="G3701">
        <v>-319.53089999999997</v>
      </c>
      <c r="H3701" s="1">
        <v>5.1322090000000002E-6</v>
      </c>
      <c r="I3701">
        <v>210.24809999999999</v>
      </c>
      <c r="J3701">
        <v>-370.08339999999998</v>
      </c>
      <c r="K3701">
        <v>1.110128</v>
      </c>
      <c r="L3701">
        <v>212.22800000000001</v>
      </c>
      <c r="M3701">
        <v>0.99989749999999999</v>
      </c>
      <c r="N3701">
        <v>0</v>
      </c>
      <c r="O3701">
        <v>1.152361E-3</v>
      </c>
      <c r="P3701">
        <v>0.99957819999999997</v>
      </c>
      <c r="Q3701">
        <v>2.8060890000000002E-2</v>
      </c>
      <c r="R3701">
        <v>7.4842499999999996E-3</v>
      </c>
      <c r="S3701">
        <v>3.0039060000000002</v>
      </c>
      <c r="T3701">
        <v>-6.5531969999999995E-2</v>
      </c>
      <c r="U3701">
        <v>-0.11685180000000001</v>
      </c>
      <c r="V3701">
        <v>-6.3374629999999998E-3</v>
      </c>
      <c r="W3701">
        <v>4.2326500000000003E-2</v>
      </c>
      <c r="X3701">
        <v>0.99908379999999997</v>
      </c>
      <c r="Y3701">
        <v>4.0012359999999997E-2</v>
      </c>
      <c r="Z3701">
        <v>-4.6135929999999999E-4</v>
      </c>
      <c r="AA3701">
        <v>0.99919910000000001</v>
      </c>
      <c r="AB3701">
        <v>32</v>
      </c>
      <c r="AC3701">
        <v>50.552500000000002</v>
      </c>
      <c r="AD3701">
        <v>-1.110122867791</v>
      </c>
      <c r="AE3701">
        <v>-1.97989999999998</v>
      </c>
      <c r="AF3701">
        <v>2.0371784577832801</v>
      </c>
      <c r="AG3701">
        <v>-1.110122867791</v>
      </c>
      <c r="AH3701">
        <v>50.525856723337803</v>
      </c>
      <c r="AI3701">
        <v>91.257643403698296</v>
      </c>
      <c r="AJ3701">
        <v>87.691112099193205</v>
      </c>
      <c r="AK3701">
        <v>50.579093175715499</v>
      </c>
      <c r="AL3701">
        <v>87.574145651924297</v>
      </c>
      <c r="AM3701">
        <v>90.363437994561494</v>
      </c>
      <c r="AN3701">
        <v>1.0000000677309799</v>
      </c>
    </row>
    <row r="3702" spans="1:40" x14ac:dyDescent="0.25">
      <c r="A3702" t="str">
        <f>"20190312160406417"</f>
        <v>20190312160406417</v>
      </c>
      <c r="B3702" t="str">
        <f>"1552377846408116"</f>
        <v>1552377846408116</v>
      </c>
      <c r="C3702" t="s">
        <v>40</v>
      </c>
      <c r="D3702">
        <v>5.351769</v>
      </c>
      <c r="E3702">
        <v>0.51776750000000005</v>
      </c>
      <c r="F3702" t="s">
        <v>79</v>
      </c>
      <c r="G3702">
        <v>-319.12490000000003</v>
      </c>
      <c r="H3702" s="1">
        <v>4.9521700000000002E-6</v>
      </c>
      <c r="I3702">
        <v>210.23429999999999</v>
      </c>
      <c r="J3702">
        <v>-369.76479999999998</v>
      </c>
      <c r="K3702">
        <v>1.1101529999999999</v>
      </c>
      <c r="L3702">
        <v>212.22839999999999</v>
      </c>
      <c r="M3702">
        <v>0.99989709999999998</v>
      </c>
      <c r="N3702">
        <v>0</v>
      </c>
      <c r="O3702">
        <v>1.267986E-3</v>
      </c>
      <c r="P3702">
        <v>0.99958499999999995</v>
      </c>
      <c r="Q3702">
        <v>2.787912E-2</v>
      </c>
      <c r="R3702">
        <v>7.2659269999999897E-3</v>
      </c>
      <c r="S3702">
        <v>3.0039980000000002</v>
      </c>
      <c r="T3702">
        <v>-6.5441609999999997E-2</v>
      </c>
      <c r="U3702">
        <v>-0.11752319999999999</v>
      </c>
      <c r="V3702">
        <v>-6.0049769999999999E-3</v>
      </c>
      <c r="W3702">
        <v>4.2161669999999998E-2</v>
      </c>
      <c r="X3702">
        <v>0.9990928</v>
      </c>
      <c r="Y3702">
        <v>4.0349620000000003E-2</v>
      </c>
      <c r="Z3702">
        <v>-4.6689700000000003E-4</v>
      </c>
      <c r="AA3702">
        <v>0.99918549999999995</v>
      </c>
      <c r="AB3702">
        <v>32</v>
      </c>
      <c r="AC3702">
        <v>50.639899999999898</v>
      </c>
      <c r="AD3702">
        <v>-1.1101480478299901</v>
      </c>
      <c r="AE3702">
        <v>-1.9941</v>
      </c>
      <c r="AF3702">
        <v>2.05732843334328</v>
      </c>
      <c r="AG3702">
        <v>-1.1101480478299901</v>
      </c>
      <c r="AH3702">
        <v>50.613043992237003</v>
      </c>
      <c r="AI3702">
        <v>91.255489445870893</v>
      </c>
      <c r="AJ3702">
        <v>87.672311918546399</v>
      </c>
      <c r="AK3702">
        <v>50.667003573636201</v>
      </c>
      <c r="AL3702">
        <v>87.583598096734093</v>
      </c>
      <c r="AM3702">
        <v>90.344368105924303</v>
      </c>
      <c r="AN3702">
        <v>1.0000000445888899</v>
      </c>
    </row>
    <row r="3703" spans="1:40" x14ac:dyDescent="0.25">
      <c r="A3703" t="str">
        <f>"20190312160406439"</f>
        <v>20190312160406439</v>
      </c>
      <c r="B3703" t="str">
        <f>"1552377846428612"</f>
        <v>1552377846428612</v>
      </c>
      <c r="C3703" t="s">
        <v>40</v>
      </c>
      <c r="D3703">
        <v>5.374568</v>
      </c>
      <c r="E3703">
        <v>0.51793250000000002</v>
      </c>
      <c r="F3703" t="s">
        <v>79</v>
      </c>
      <c r="G3703">
        <v>-319.7328</v>
      </c>
      <c r="H3703" s="1">
        <v>5.2217140000000003E-6</v>
      </c>
      <c r="I3703">
        <v>210.24209999999999</v>
      </c>
      <c r="J3703">
        <v>-369.45740000000001</v>
      </c>
      <c r="K3703">
        <v>1.110179</v>
      </c>
      <c r="L3703">
        <v>212.22900000000001</v>
      </c>
      <c r="M3703">
        <v>0.99989660000000002</v>
      </c>
      <c r="N3703">
        <v>0</v>
      </c>
      <c r="O3703">
        <v>1.40121E-3</v>
      </c>
      <c r="P3703">
        <v>0.99958199999999997</v>
      </c>
      <c r="Q3703">
        <v>2.800455E-2</v>
      </c>
      <c r="R3703">
        <v>7.194415E-3</v>
      </c>
      <c r="S3703">
        <v>3.0039980000000002</v>
      </c>
      <c r="T3703">
        <v>-6.6654920000000006E-2</v>
      </c>
      <c r="U3703">
        <v>-0.1192627</v>
      </c>
      <c r="V3703">
        <v>-5.8019949999999999E-3</v>
      </c>
      <c r="W3703">
        <v>4.2300780000000003E-2</v>
      </c>
      <c r="X3703">
        <v>0.99908799999999998</v>
      </c>
      <c r="Y3703">
        <v>4.1059850000000002E-2</v>
      </c>
      <c r="Z3703">
        <v>-4.8637620000000002E-4</v>
      </c>
      <c r="AA3703">
        <v>0.99915659999999895</v>
      </c>
      <c r="AB3703">
        <v>32</v>
      </c>
      <c r="AC3703">
        <v>49.724600000000002</v>
      </c>
      <c r="AD3703">
        <v>-1.1101737782859999</v>
      </c>
      <c r="AE3703">
        <v>-1.9869000000000201</v>
      </c>
      <c r="AF3703">
        <v>2.0555567917665898</v>
      </c>
      <c r="AG3703">
        <v>-1.1101737782859999</v>
      </c>
      <c r="AH3703">
        <v>49.697033818170802</v>
      </c>
      <c r="AI3703">
        <v>91.278615162000904</v>
      </c>
      <c r="AJ3703">
        <v>87.631495771120896</v>
      </c>
      <c r="AK3703">
        <v>49.751914233188899</v>
      </c>
      <c r="AL3703">
        <v>87.575620275114105</v>
      </c>
      <c r="AM3703">
        <v>90.332729538646305</v>
      </c>
      <c r="AN3703">
        <v>0.99999992543929095</v>
      </c>
    </row>
    <row r="3704" spans="1:40" x14ac:dyDescent="0.25">
      <c r="A3704" t="str">
        <f>"20190312160406462"</f>
        <v>20190312160406462</v>
      </c>
      <c r="B3704" t="str">
        <f>"1552377846458868"</f>
        <v>1552377846458868</v>
      </c>
      <c r="C3704" t="s">
        <v>40</v>
      </c>
      <c r="D3704">
        <v>5.3479070000000002</v>
      </c>
      <c r="E3704">
        <v>0.51819720000000002</v>
      </c>
      <c r="F3704" t="s">
        <v>79</v>
      </c>
      <c r="G3704">
        <v>-318.90730000000002</v>
      </c>
      <c r="H3704" s="1">
        <v>4.8556889999999999E-6</v>
      </c>
      <c r="I3704">
        <v>210.19329999999999</v>
      </c>
      <c r="J3704">
        <v>-369.13440000000003</v>
      </c>
      <c r="K3704">
        <v>1.1102069999999999</v>
      </c>
      <c r="L3704">
        <v>212.2296</v>
      </c>
      <c r="M3704">
        <v>0.99989620000000001</v>
      </c>
      <c r="N3704">
        <v>0</v>
      </c>
      <c r="O3704">
        <v>1.564043E-3</v>
      </c>
      <c r="P3704">
        <v>0.99956509999999998</v>
      </c>
      <c r="Q3704">
        <v>2.8511419999999999E-2</v>
      </c>
      <c r="R3704">
        <v>7.5371459999999998E-3</v>
      </c>
      <c r="S3704">
        <v>3.0039669999999998</v>
      </c>
      <c r="T3704">
        <v>-6.5972810000000007E-2</v>
      </c>
      <c r="U3704">
        <v>-0.1209717</v>
      </c>
      <c r="V3704">
        <v>-5.9843240000000001E-3</v>
      </c>
      <c r="W3704">
        <v>4.2819580000000003E-2</v>
      </c>
      <c r="X3704">
        <v>0.99906490000000003</v>
      </c>
      <c r="Y3704">
        <v>4.1790479999999998E-2</v>
      </c>
      <c r="Z3704">
        <v>-4.9299299999999995E-4</v>
      </c>
      <c r="AA3704">
        <v>0.99912630000000002</v>
      </c>
      <c r="AB3704">
        <v>32</v>
      </c>
      <c r="AC3704">
        <v>50.2271</v>
      </c>
      <c r="AD3704">
        <v>-1.1102021443109999</v>
      </c>
      <c r="AE3704">
        <v>-2.03630000000001</v>
      </c>
      <c r="AF3704">
        <v>2.1138318492158601</v>
      </c>
      <c r="AG3704">
        <v>-1.1102021443109999</v>
      </c>
      <c r="AH3704">
        <v>50.199367643803903</v>
      </c>
      <c r="AI3704">
        <v>91.265817481804703</v>
      </c>
      <c r="AJ3704">
        <v>87.588771706413695</v>
      </c>
      <c r="AK3704">
        <v>50.256117495542597</v>
      </c>
      <c r="AL3704">
        <v>87.545868450748301</v>
      </c>
      <c r="AM3704">
        <v>90.343193327896003</v>
      </c>
      <c r="AN3704">
        <v>1.0000000014885599</v>
      </c>
    </row>
    <row r="3705" spans="1:40" x14ac:dyDescent="0.25">
      <c r="A3705" t="str">
        <f>"20190312160406486"</f>
        <v>20190312160406486</v>
      </c>
      <c r="B3705" t="str">
        <f>"1552377846478390"</f>
        <v>1552377846478390</v>
      </c>
      <c r="C3705" t="s">
        <v>40</v>
      </c>
      <c r="D3705">
        <v>5.3471960000000003</v>
      </c>
      <c r="E3705">
        <v>0.51838809999999902</v>
      </c>
      <c r="F3705" t="s">
        <v>79</v>
      </c>
      <c r="G3705">
        <v>-317.16520000000003</v>
      </c>
      <c r="H3705" s="1">
        <v>4.0831160000000004E-6</v>
      </c>
      <c r="I3705">
        <v>210.11510000000001</v>
      </c>
      <c r="J3705">
        <v>-368.80009999999999</v>
      </c>
      <c r="K3705">
        <v>1.1102339999999999</v>
      </c>
      <c r="L3705">
        <v>212.2303</v>
      </c>
      <c r="M3705">
        <v>0.99989589999999995</v>
      </c>
      <c r="N3705">
        <v>0</v>
      </c>
      <c r="O3705">
        <v>1.7587E-3</v>
      </c>
      <c r="P3705">
        <v>0.99956739999999999</v>
      </c>
      <c r="Q3705">
        <v>2.852909E-2</v>
      </c>
      <c r="R3705">
        <v>7.1773009999999996E-3</v>
      </c>
      <c r="S3705">
        <v>3.0040589999999998</v>
      </c>
      <c r="T3705">
        <v>-6.4174889999999998E-2</v>
      </c>
      <c r="U3705">
        <v>-0.1222229</v>
      </c>
      <c r="V3705">
        <v>-5.43218E-3</v>
      </c>
      <c r="W3705">
        <v>4.2847690000000001E-2</v>
      </c>
      <c r="X3705">
        <v>0.99906680000000003</v>
      </c>
      <c r="Y3705">
        <v>4.2399600000000003E-2</v>
      </c>
      <c r="Z3705">
        <v>-4.9020159999999999E-4</v>
      </c>
      <c r="AA3705">
        <v>0.99910060000000001</v>
      </c>
      <c r="AB3705">
        <v>32</v>
      </c>
      <c r="AC3705">
        <v>51.634899999999902</v>
      </c>
      <c r="AD3705">
        <v>-1.110229916884</v>
      </c>
      <c r="AE3705">
        <v>-2.1151999999999802</v>
      </c>
      <c r="AF3705">
        <v>2.2049986416874199</v>
      </c>
      <c r="AG3705">
        <v>-1.110229916884</v>
      </c>
      <c r="AH3705">
        <v>51.607280830880498</v>
      </c>
      <c r="AI3705">
        <v>91.231293723043294</v>
      </c>
      <c r="AJ3705">
        <v>87.553439753965904</v>
      </c>
      <c r="AK3705">
        <v>51.666295243955297</v>
      </c>
      <c r="AL3705">
        <v>87.544256265236399</v>
      </c>
      <c r="AM3705">
        <v>90.311528638987298</v>
      </c>
      <c r="AN3705">
        <v>0.99999995199006297</v>
      </c>
    </row>
    <row r="3706" spans="1:40" x14ac:dyDescent="0.25">
      <c r="A3706" t="str">
        <f>"20190312160406508"</f>
        <v>20190312160406508</v>
      </c>
      <c r="B3706" t="str">
        <f>"1552377846498884"</f>
        <v>1552377846498884</v>
      </c>
      <c r="C3706" t="s">
        <v>40</v>
      </c>
      <c r="D3706">
        <v>5.5481870000000004</v>
      </c>
      <c r="E3706">
        <v>0.51842860000000002</v>
      </c>
      <c r="F3706" t="s">
        <v>79</v>
      </c>
      <c r="G3706">
        <v>-316.86059999999998</v>
      </c>
      <c r="H3706" s="1">
        <v>3.9480540000000004E-6</v>
      </c>
      <c r="I3706">
        <v>210.07429999999999</v>
      </c>
      <c r="J3706">
        <v>-368.48430000000002</v>
      </c>
      <c r="K3706">
        <v>1.1102639999999999</v>
      </c>
      <c r="L3706">
        <v>212.23099999999999</v>
      </c>
      <c r="M3706">
        <v>0.99989530000000004</v>
      </c>
      <c r="N3706">
        <v>0</v>
      </c>
      <c r="O3706">
        <v>1.9712169999999999E-3</v>
      </c>
      <c r="P3706">
        <v>0.99957459999999998</v>
      </c>
      <c r="Q3706">
        <v>2.831651E-2</v>
      </c>
      <c r="R3706">
        <v>6.9811710000000004E-3</v>
      </c>
      <c r="S3706">
        <v>3.0039980000000002</v>
      </c>
      <c r="T3706">
        <v>-6.4211850000000001E-2</v>
      </c>
      <c r="U3706">
        <v>-0.12469479999999999</v>
      </c>
      <c r="V3706">
        <v>-5.0258589999999997E-3</v>
      </c>
      <c r="W3706">
        <v>4.2643309999999997E-2</v>
      </c>
      <c r="X3706">
        <v>0.99907769999999996</v>
      </c>
      <c r="Y3706">
        <v>4.343321E-2</v>
      </c>
      <c r="Z3706">
        <v>-5.0606730000000001E-4</v>
      </c>
      <c r="AA3706">
        <v>0.99905619999999995</v>
      </c>
      <c r="AB3706">
        <v>32</v>
      </c>
      <c r="AC3706">
        <v>51.623699999999999</v>
      </c>
      <c r="AD3706">
        <v>-1.110260051946</v>
      </c>
      <c r="AE3706">
        <v>-2.1566999999999998</v>
      </c>
      <c r="AF3706">
        <v>2.2574254469737198</v>
      </c>
      <c r="AG3706">
        <v>-1.110260051946</v>
      </c>
      <c r="AH3706">
        <v>51.595524405027703</v>
      </c>
      <c r="AI3706">
        <v>91.231553104041595</v>
      </c>
      <c r="AJ3706">
        <v>87.4947727396288</v>
      </c>
      <c r="AK3706">
        <v>51.656817417078699</v>
      </c>
      <c r="AL3706">
        <v>87.555977160827695</v>
      </c>
      <c r="AM3706">
        <v>90.288223909041093</v>
      </c>
      <c r="AN3706">
        <v>0.99999998089186604</v>
      </c>
    </row>
    <row r="3707" spans="1:40" x14ac:dyDescent="0.25">
      <c r="A3707" t="str">
        <f>"20190312160406530"</f>
        <v>20190312160406530</v>
      </c>
      <c r="B3707" t="str">
        <f>"1552377846518404"</f>
        <v>1552377846518404</v>
      </c>
      <c r="C3707" t="s">
        <v>40</v>
      </c>
      <c r="D3707">
        <v>5.3131459999999997</v>
      </c>
      <c r="E3707">
        <v>0.46666010000000002</v>
      </c>
      <c r="F3707" t="s">
        <v>79</v>
      </c>
      <c r="G3707">
        <v>-316.86649999999997</v>
      </c>
      <c r="H3707" s="1">
        <v>3.9506540000000001E-6</v>
      </c>
      <c r="I3707">
        <v>210.0745</v>
      </c>
      <c r="J3707">
        <v>-368.17660000000001</v>
      </c>
      <c r="K3707">
        <v>1.1102920000000001</v>
      </c>
      <c r="L3707">
        <v>212.2319</v>
      </c>
      <c r="M3707">
        <v>0.99989479999999997</v>
      </c>
      <c r="N3707">
        <v>0</v>
      </c>
      <c r="O3707">
        <v>2.2082030000000002E-3</v>
      </c>
      <c r="P3707">
        <v>0.99955530000000004</v>
      </c>
      <c r="Q3707">
        <v>2.8868749999999999E-2</v>
      </c>
      <c r="R3707">
        <v>7.4846640000000002E-3</v>
      </c>
      <c r="S3707">
        <v>3.0039980000000002</v>
      </c>
      <c r="T3707">
        <v>-6.4613699999999996E-2</v>
      </c>
      <c r="U3707">
        <v>-0.12550349999999999</v>
      </c>
      <c r="V3707">
        <v>-5.2953729999999999E-3</v>
      </c>
      <c r="W3707">
        <v>4.3201650000000001E-2</v>
      </c>
      <c r="X3707">
        <v>0.9990523</v>
      </c>
      <c r="Y3707">
        <v>4.3938169999999999E-2</v>
      </c>
      <c r="Z3707">
        <v>-5.1975369999999999E-4</v>
      </c>
      <c r="AA3707">
        <v>0.99903410000000004</v>
      </c>
      <c r="AB3707">
        <v>32</v>
      </c>
      <c r="AC3707">
        <v>51.310099999999998</v>
      </c>
      <c r="AD3707">
        <v>-1.1102880493459999</v>
      </c>
      <c r="AE3707">
        <v>-2.1573999999999902</v>
      </c>
      <c r="AF3707">
        <v>2.26964864246602</v>
      </c>
      <c r="AG3707">
        <v>-1.1102880493459999</v>
      </c>
      <c r="AH3707">
        <v>51.2812410167152</v>
      </c>
      <c r="AI3707">
        <v>91.239102162832907</v>
      </c>
      <c r="AJ3707">
        <v>87.465808646559097</v>
      </c>
      <c r="AK3707">
        <v>51.3434487030936</v>
      </c>
      <c r="AL3707">
        <v>87.523957075091701</v>
      </c>
      <c r="AM3707">
        <v>90.303687487243394</v>
      </c>
      <c r="AN3707">
        <v>0.99999996083661002</v>
      </c>
    </row>
    <row r="3708" spans="1:40" x14ac:dyDescent="0.25">
      <c r="A3708" t="str">
        <f>"20190312160406551"</f>
        <v>20190312160406551</v>
      </c>
      <c r="B3708" t="str">
        <f>"1552377846537924"</f>
        <v>1552377846537924</v>
      </c>
      <c r="C3708" t="s">
        <v>40</v>
      </c>
      <c r="D3708">
        <v>5.374943</v>
      </c>
      <c r="E3708">
        <v>0.45688390000000001</v>
      </c>
      <c r="F3708" t="s">
        <v>59</v>
      </c>
      <c r="G3708">
        <v>-192.8399</v>
      </c>
      <c r="H3708" s="1">
        <v>9.0423650000000004E-8</v>
      </c>
      <c r="I3708">
        <v>229.10290000000001</v>
      </c>
      <c r="J3708">
        <v>-367.85989999999998</v>
      </c>
      <c r="K3708">
        <v>1.1103190000000001</v>
      </c>
      <c r="L3708">
        <v>212.2329</v>
      </c>
      <c r="M3708">
        <v>0.99989399999999995</v>
      </c>
      <c r="N3708">
        <v>0</v>
      </c>
      <c r="O3708">
        <v>2.4771250000000002E-3</v>
      </c>
      <c r="P3708">
        <v>0.99953930000000002</v>
      </c>
      <c r="Q3708">
        <v>2.9213119999999999E-2</v>
      </c>
      <c r="R3708">
        <v>8.2358499999999994E-3</v>
      </c>
      <c r="S3708">
        <v>2.9997250000000002</v>
      </c>
      <c r="T3708">
        <v>-1.8995290000000001E-2</v>
      </c>
      <c r="U3708">
        <v>0.28863529999999998</v>
      </c>
      <c r="V3708">
        <v>-5.7807219999999899E-3</v>
      </c>
      <c r="W3708">
        <v>4.3550850000000002E-2</v>
      </c>
      <c r="X3708">
        <v>0.99903450000000005</v>
      </c>
      <c r="Y3708">
        <v>-9.3310130000000005E-2</v>
      </c>
      <c r="Z3708">
        <v>2.791014E-4</v>
      </c>
      <c r="AA3708">
        <v>0.99563710000000005</v>
      </c>
      <c r="AB3708">
        <v>32</v>
      </c>
      <c r="AC3708">
        <v>175.01999999999899</v>
      </c>
      <c r="AD3708">
        <v>-1.1103189095763499</v>
      </c>
      <c r="AE3708">
        <v>16.87</v>
      </c>
      <c r="AF3708">
        <v>-16.435701804862202</v>
      </c>
      <c r="AG3708">
        <v>-1.1103189095763499</v>
      </c>
      <c r="AH3708">
        <v>175.05427597601701</v>
      </c>
      <c r="AI3708">
        <v>90.361814584045405</v>
      </c>
      <c r="AJ3708">
        <v>95.363729688247702</v>
      </c>
      <c r="AK3708">
        <v>175.82765607089999</v>
      </c>
      <c r="AL3708">
        <v>87.503930668801303</v>
      </c>
      <c r="AM3708">
        <v>90.331527366419394</v>
      </c>
      <c r="AN3708">
        <v>1.0000000127363999</v>
      </c>
    </row>
    <row r="3709" spans="1:40" x14ac:dyDescent="0.25">
      <c r="A3709" t="str">
        <f>"20190312160406574"</f>
        <v>20190312160406574</v>
      </c>
      <c r="B3709" t="str">
        <f>"1552377846568180"</f>
        <v>1552377846568180</v>
      </c>
      <c r="C3709" t="s">
        <v>40</v>
      </c>
      <c r="D3709">
        <v>5.2385129999999904</v>
      </c>
      <c r="E3709">
        <v>0.45181709999999897</v>
      </c>
      <c r="F3709" t="s">
        <v>54</v>
      </c>
      <c r="G3709">
        <v>-157.8382</v>
      </c>
      <c r="H3709">
        <v>0.37760670000000002</v>
      </c>
      <c r="I3709">
        <v>238.0592</v>
      </c>
      <c r="J3709">
        <v>-367.55200000000002</v>
      </c>
      <c r="K3709">
        <v>1.1103379999999901</v>
      </c>
      <c r="L3709">
        <v>212.23390000000001</v>
      </c>
      <c r="M3709">
        <v>0.99989340000000004</v>
      </c>
      <c r="N3709">
        <v>0</v>
      </c>
      <c r="O3709">
        <v>2.762998E-3</v>
      </c>
      <c r="P3709">
        <v>0.99954359999999998</v>
      </c>
      <c r="Q3709">
        <v>2.8987180000000001E-2</v>
      </c>
      <c r="R3709">
        <v>8.5402959999999993E-3</v>
      </c>
      <c r="S3709">
        <v>2.9986570000000001</v>
      </c>
      <c r="T3709">
        <v>-1.046073E-2</v>
      </c>
      <c r="U3709">
        <v>0.36874390000000001</v>
      </c>
      <c r="V3709">
        <v>-5.8012619999999997E-3</v>
      </c>
      <c r="W3709">
        <v>4.3328369999999998E-2</v>
      </c>
      <c r="X3709">
        <v>0.99904409999999999</v>
      </c>
      <c r="Y3709">
        <v>-0.1193066</v>
      </c>
      <c r="Z3709">
        <v>1.9771440000000001E-4</v>
      </c>
      <c r="AA3709">
        <v>0.99285749999999995</v>
      </c>
      <c r="AB3709">
        <v>32</v>
      </c>
      <c r="AC3709">
        <v>209.71379999999999</v>
      </c>
      <c r="AD3709">
        <v>-0.73273129999999898</v>
      </c>
      <c r="AE3709">
        <v>25.825299999999999</v>
      </c>
      <c r="AF3709">
        <v>-25.2453994444618</v>
      </c>
      <c r="AG3709">
        <v>-0.73273129999999898</v>
      </c>
      <c r="AH3709">
        <v>209.78183921987201</v>
      </c>
      <c r="AI3709">
        <v>90.198689799898403</v>
      </c>
      <c r="AJ3709">
        <v>96.862044756246704</v>
      </c>
      <c r="AK3709">
        <v>211.29668041580899</v>
      </c>
      <c r="AL3709">
        <v>87.516689990201698</v>
      </c>
      <c r="AM3709">
        <v>90.332702122547502</v>
      </c>
      <c r="AN3709">
        <v>1.0000000580162201</v>
      </c>
    </row>
    <row r="3710" spans="1:40" x14ac:dyDescent="0.25">
      <c r="A3710" t="str">
        <f>"20190312160406596"</f>
        <v>20190312160406596</v>
      </c>
      <c r="B3710" t="str">
        <f>"1552377846588676"</f>
        <v>1552377846588676</v>
      </c>
      <c r="C3710" t="s">
        <v>40</v>
      </c>
      <c r="D3710">
        <v>5.2690799999999998</v>
      </c>
      <c r="E3710">
        <v>0.4500091</v>
      </c>
      <c r="F3710" t="s">
        <v>86</v>
      </c>
      <c r="G3710">
        <v>-234.63669999999999</v>
      </c>
      <c r="H3710">
        <v>0.73663869999999998</v>
      </c>
      <c r="I3710">
        <v>230.41249999999999</v>
      </c>
      <c r="J3710">
        <v>-367.22899999999998</v>
      </c>
      <c r="K3710">
        <v>1.11036</v>
      </c>
      <c r="L3710">
        <v>212.23519999999999</v>
      </c>
      <c r="M3710">
        <v>0.99989220000000001</v>
      </c>
      <c r="N3710">
        <v>0</v>
      </c>
      <c r="O3710">
        <v>3.0864600000000001E-3</v>
      </c>
      <c r="P3710">
        <v>0.99955930000000004</v>
      </c>
      <c r="Q3710">
        <v>2.8262510000000001E-2</v>
      </c>
      <c r="R3710">
        <v>9.0877230000000007E-3</v>
      </c>
      <c r="S3710">
        <v>2.998138</v>
      </c>
      <c r="T3710">
        <v>-8.4295269999999992E-3</v>
      </c>
      <c r="U3710">
        <v>0.41004940000000001</v>
      </c>
      <c r="V3710">
        <v>-6.026778E-3</v>
      </c>
      <c r="W3710">
        <v>4.2607109999999997E-2</v>
      </c>
      <c r="X3710">
        <v>0.99907369999999995</v>
      </c>
      <c r="Y3710">
        <v>-0.13244710000000001</v>
      </c>
      <c r="Z3710">
        <v>1.766921E-4</v>
      </c>
      <c r="AA3710">
        <v>0.99119009999999996</v>
      </c>
      <c r="AB3710">
        <v>32</v>
      </c>
      <c r="AC3710">
        <v>132.59229999999999</v>
      </c>
      <c r="AD3710">
        <v>-0.37372129999999998</v>
      </c>
      <c r="AE3710">
        <v>18.177299999999999</v>
      </c>
      <c r="AF3710">
        <v>-17.7677918501645</v>
      </c>
      <c r="AG3710">
        <v>-0.37372129999999998</v>
      </c>
      <c r="AH3710">
        <v>132.646743252129</v>
      </c>
      <c r="AI3710">
        <v>90.159996771976793</v>
      </c>
      <c r="AJ3710">
        <v>97.629254209667593</v>
      </c>
      <c r="AK3710">
        <v>133.83195653593799</v>
      </c>
      <c r="AL3710">
        <v>87.558053135492599</v>
      </c>
      <c r="AM3710">
        <v>90.345624907372695</v>
      </c>
      <c r="AN3710">
        <v>0.99999997295365095</v>
      </c>
    </row>
    <row r="3711" spans="1:40" x14ac:dyDescent="0.25">
      <c r="A3711" t="str">
        <f>"20190312160406618"</f>
        <v>20190312160406618</v>
      </c>
      <c r="B3711" t="str">
        <f>"1552377846608703"</f>
        <v>1552377846608703</v>
      </c>
      <c r="C3711" t="s">
        <v>40</v>
      </c>
      <c r="D3711">
        <v>5.3317009999999998</v>
      </c>
      <c r="E3711">
        <v>0.4488163</v>
      </c>
      <c r="F3711" t="s">
        <v>86</v>
      </c>
      <c r="G3711">
        <v>-238.8604</v>
      </c>
      <c r="H3711">
        <v>0.84576059999999997</v>
      </c>
      <c r="I3711">
        <v>230.49170000000001</v>
      </c>
      <c r="J3711">
        <v>-366.91309999999999</v>
      </c>
      <c r="K3711">
        <v>1.1103829999999999</v>
      </c>
      <c r="L3711">
        <v>212.23650000000001</v>
      </c>
      <c r="M3711">
        <v>0.99989099999999997</v>
      </c>
      <c r="N3711">
        <v>0</v>
      </c>
      <c r="O3711">
        <v>3.4204769999999999E-3</v>
      </c>
      <c r="P3711">
        <v>0.99954219999999905</v>
      </c>
      <c r="Q3711">
        <v>2.8535120000000001E-2</v>
      </c>
      <c r="R3711">
        <v>1.0056910000000001E-2</v>
      </c>
      <c r="S3711">
        <v>2.9975890000000001</v>
      </c>
      <c r="T3711">
        <v>-6.1788559999999999E-3</v>
      </c>
      <c r="U3711">
        <v>0.42631530000000001</v>
      </c>
      <c r="V3711">
        <v>-6.664115E-3</v>
      </c>
      <c r="W3711">
        <v>4.2881509999999998E-2</v>
      </c>
      <c r="X3711">
        <v>0.99905790000000005</v>
      </c>
      <c r="Y3711">
        <v>-0.1374147</v>
      </c>
      <c r="Z3711">
        <v>1.3390010000000001E-4</v>
      </c>
      <c r="AA3711">
        <v>0.99051359999999999</v>
      </c>
      <c r="AB3711">
        <v>32</v>
      </c>
      <c r="AC3711">
        <v>128.05269999999999</v>
      </c>
      <c r="AD3711">
        <v>-0.26462239999999898</v>
      </c>
      <c r="AE3711">
        <v>18.255199999999999</v>
      </c>
      <c r="AF3711">
        <v>-17.8169721170602</v>
      </c>
      <c r="AG3711">
        <v>-0.26462239999999898</v>
      </c>
      <c r="AH3711">
        <v>128.11386248084099</v>
      </c>
      <c r="AI3711">
        <v>90.117217590868094</v>
      </c>
      <c r="AJ3711">
        <v>97.917420742295803</v>
      </c>
      <c r="AK3711">
        <v>129.34711546916901</v>
      </c>
      <c r="AL3711">
        <v>87.542316761254298</v>
      </c>
      <c r="AM3711">
        <v>90.382180052656196</v>
      </c>
      <c r="AN3711">
        <v>0.99999996094051002</v>
      </c>
    </row>
    <row r="3712" spans="1:40" x14ac:dyDescent="0.25">
      <c r="A3712" t="str">
        <f>"20190312160406639"</f>
        <v>20190312160406639</v>
      </c>
      <c r="B3712" t="str">
        <f>"1552377846628224"</f>
        <v>1552377846628224</v>
      </c>
      <c r="C3712" t="s">
        <v>40</v>
      </c>
      <c r="D3712">
        <v>5.2541169999999999</v>
      </c>
      <c r="E3712">
        <v>0.44801259999999998</v>
      </c>
      <c r="F3712" t="s">
        <v>86</v>
      </c>
      <c r="G3712">
        <v>-242.66720000000001</v>
      </c>
      <c r="H3712">
        <v>0.98791600000000002</v>
      </c>
      <c r="I3712">
        <v>230.41890000000001</v>
      </c>
      <c r="J3712">
        <v>-366.61410000000001</v>
      </c>
      <c r="K3712">
        <v>1.1104000000000001</v>
      </c>
      <c r="L3712">
        <v>212.23779999999999</v>
      </c>
      <c r="M3712">
        <v>0.9998899</v>
      </c>
      <c r="N3712">
        <v>0</v>
      </c>
      <c r="O3712">
        <v>3.7474549999999998E-3</v>
      </c>
      <c r="P3712">
        <v>0.99953749999999997</v>
      </c>
      <c r="Q3712">
        <v>2.8495409999999999E-2</v>
      </c>
      <c r="R3712">
        <v>1.0636649999999999E-2</v>
      </c>
      <c r="S3712">
        <v>2.9970699999999999</v>
      </c>
      <c r="T3712">
        <v>-2.9542449999999999E-3</v>
      </c>
      <c r="U3712">
        <v>0.43859860000000001</v>
      </c>
      <c r="V3712">
        <v>-6.9180419999999897E-3</v>
      </c>
      <c r="W3712">
        <v>4.2842449999999997E-2</v>
      </c>
      <c r="X3712">
        <v>0.99905790000000005</v>
      </c>
      <c r="Y3712">
        <v>-0.14109070000000001</v>
      </c>
      <c r="Z3712" s="1">
        <v>6.549449E-5</v>
      </c>
      <c r="AA3712">
        <v>0.98999669999999895</v>
      </c>
      <c r="AB3712">
        <v>32</v>
      </c>
      <c r="AC3712">
        <v>123.9469</v>
      </c>
      <c r="AD3712">
        <v>-0.122484</v>
      </c>
      <c r="AE3712">
        <v>18.181100000000001</v>
      </c>
      <c r="AF3712">
        <v>-17.7164220614535</v>
      </c>
      <c r="AG3712">
        <v>-0.122484</v>
      </c>
      <c r="AH3712">
        <v>124.014050823053</v>
      </c>
      <c r="AI3712">
        <v>90.056020107228093</v>
      </c>
      <c r="AJ3712">
        <v>98.1301608007699</v>
      </c>
      <c r="AK3712">
        <v>125.273187133291</v>
      </c>
      <c r="AL3712">
        <v>87.544556916532002</v>
      </c>
      <c r="AM3712">
        <v>90.396742044620794</v>
      </c>
      <c r="AN3712">
        <v>1.00000001118976</v>
      </c>
    </row>
    <row r="3713" spans="1:40" x14ac:dyDescent="0.25">
      <c r="A3713" t="str">
        <f>"20190312160406664"</f>
        <v>20190312160406664</v>
      </c>
      <c r="B3713" t="str">
        <f>"1552377846658480"</f>
        <v>1552377846658480</v>
      </c>
      <c r="C3713" t="s">
        <v>40</v>
      </c>
      <c r="D3713">
        <v>5.2310179999999997</v>
      </c>
      <c r="E3713">
        <v>0.4473164</v>
      </c>
      <c r="F3713" t="s">
        <v>86</v>
      </c>
      <c r="G3713">
        <v>-243.19489999999999</v>
      </c>
      <c r="H3713">
        <v>1.102204</v>
      </c>
      <c r="I3713">
        <v>230.64099999999999</v>
      </c>
      <c r="J3713">
        <v>-366.2722</v>
      </c>
      <c r="K3713">
        <v>1.1104099999999999</v>
      </c>
      <c r="L3713">
        <v>212.23949999999999</v>
      </c>
      <c r="M3713">
        <v>0.99988829999999995</v>
      </c>
      <c r="N3713">
        <v>0</v>
      </c>
      <c r="O3713">
        <v>4.1291699999999997E-3</v>
      </c>
      <c r="P3713">
        <v>0.99953349999999996</v>
      </c>
      <c r="Q3713">
        <v>2.851016E-2</v>
      </c>
      <c r="R3713">
        <v>1.095557E-2</v>
      </c>
      <c r="S3713">
        <v>2.9965820000000001</v>
      </c>
      <c r="T3713">
        <v>-1.9907949999999999E-4</v>
      </c>
      <c r="U3713">
        <v>0.44682309999999997</v>
      </c>
      <c r="V3713">
        <v>-6.8561069999999898E-3</v>
      </c>
      <c r="W3713">
        <v>4.2858649999999998E-2</v>
      </c>
      <c r="X3713">
        <v>0.99905770000000005</v>
      </c>
      <c r="Y3713">
        <v>-0.14339470000000001</v>
      </c>
      <c r="Z3713" s="1">
        <v>4.4642439999999999E-6</v>
      </c>
      <c r="AA3713">
        <v>0.98966560000000003</v>
      </c>
      <c r="AB3713">
        <v>32</v>
      </c>
      <c r="AC3713">
        <v>123.07729999999999</v>
      </c>
      <c r="AD3713">
        <v>-8.2059999999999304E-3</v>
      </c>
      <c r="AE3713">
        <v>18.401499999999999</v>
      </c>
      <c r="AF3713">
        <v>-17.8930834819115</v>
      </c>
      <c r="AG3713">
        <v>-8.2059999999999304E-3</v>
      </c>
      <c r="AH3713">
        <v>123.152240768783</v>
      </c>
      <c r="AI3713">
        <v>90.003778118602995</v>
      </c>
      <c r="AJ3713">
        <v>98.266794326941394</v>
      </c>
      <c r="AK3713">
        <v>124.445316947652</v>
      </c>
      <c r="AL3713">
        <v>87.5436280382647</v>
      </c>
      <c r="AM3713">
        <v>90.393190331711395</v>
      </c>
      <c r="AN3713">
        <v>1.0000000790061501</v>
      </c>
    </row>
    <row r="3714" spans="1:40" x14ac:dyDescent="0.25">
      <c r="A3714" t="str">
        <f>"20190312160406686"</f>
        <v>20190312160406686</v>
      </c>
      <c r="B3714" t="str">
        <f>"1552377846678000"</f>
        <v>1552377846678000</v>
      </c>
      <c r="C3714" t="s">
        <v>40</v>
      </c>
      <c r="D3714">
        <v>5.2880140000000004</v>
      </c>
      <c r="E3714">
        <v>0.4469437</v>
      </c>
      <c r="F3714" t="s">
        <v>86</v>
      </c>
      <c r="G3714">
        <v>-246.11019999999999</v>
      </c>
      <c r="H3714">
        <v>1.2630189999999999</v>
      </c>
      <c r="I3714">
        <v>230.41890000000001</v>
      </c>
      <c r="J3714">
        <v>-365.9529</v>
      </c>
      <c r="K3714">
        <v>1.110417</v>
      </c>
      <c r="L3714">
        <v>212.24119999999999</v>
      </c>
      <c r="M3714">
        <v>0.99988679999999996</v>
      </c>
      <c r="N3714">
        <v>0</v>
      </c>
      <c r="O3714">
        <v>4.4899010000000001E-3</v>
      </c>
      <c r="P3714">
        <v>0.9995463</v>
      </c>
      <c r="Q3714">
        <v>2.8062859999999999E-2</v>
      </c>
      <c r="R3714">
        <v>1.093732E-2</v>
      </c>
      <c r="S3714">
        <v>2.9963679999999999</v>
      </c>
      <c r="T3714">
        <v>3.8053990000000001E-3</v>
      </c>
      <c r="U3714">
        <v>0.45332339999999999</v>
      </c>
      <c r="V3714">
        <v>-6.4775010000000001E-3</v>
      </c>
      <c r="W3714">
        <v>4.2411780000000003E-2</v>
      </c>
      <c r="X3714">
        <v>0.99907919999999995</v>
      </c>
      <c r="Y3714">
        <v>-0.1451472</v>
      </c>
      <c r="Z3714" s="1">
        <v>-8.5977229999999996E-5</v>
      </c>
      <c r="AA3714">
        <v>0.98941000000000001</v>
      </c>
      <c r="AB3714">
        <v>32</v>
      </c>
      <c r="AC3714">
        <v>119.84269999999999</v>
      </c>
      <c r="AD3714">
        <v>0.15260199999999999</v>
      </c>
      <c r="AE3714">
        <v>18.177700000000002</v>
      </c>
      <c r="AF3714">
        <v>-17.6393514286179</v>
      </c>
      <c r="AG3714">
        <v>0.15260199999999999</v>
      </c>
      <c r="AH3714">
        <v>119.92292619481699</v>
      </c>
      <c r="AI3714">
        <v>89.927867250139101</v>
      </c>
      <c r="AJ3714">
        <v>98.367582306633807</v>
      </c>
      <c r="AK3714">
        <v>121.21335831219299</v>
      </c>
      <c r="AL3714">
        <v>87.569254869232097</v>
      </c>
      <c r="AM3714">
        <v>90.371470318844999</v>
      </c>
      <c r="AN3714">
        <v>0.99999998248730604</v>
      </c>
    </row>
    <row r="3715" spans="1:40" x14ac:dyDescent="0.25">
      <c r="A3715" t="str">
        <f>"20190312160406708"</f>
        <v>20190312160406708</v>
      </c>
      <c r="B3715" t="str">
        <f>"1552377846698495"</f>
        <v>1552377846698495</v>
      </c>
      <c r="C3715" t="s">
        <v>40</v>
      </c>
      <c r="D3715">
        <v>5.2042070000000002</v>
      </c>
      <c r="E3715">
        <v>0.44659270000000001</v>
      </c>
      <c r="F3715" t="s">
        <v>86</v>
      </c>
      <c r="G3715">
        <v>-246.51050000000001</v>
      </c>
      <c r="H3715">
        <v>1.2811950000000001</v>
      </c>
      <c r="I3715">
        <v>230.41890000000001</v>
      </c>
      <c r="J3715">
        <v>-365.6472</v>
      </c>
      <c r="K3715">
        <v>1.1104240000000001</v>
      </c>
      <c r="L3715">
        <v>212.24299999999999</v>
      </c>
      <c r="M3715">
        <v>0.99988520000000003</v>
      </c>
      <c r="N3715">
        <v>0</v>
      </c>
      <c r="O3715">
        <v>4.836351E-3</v>
      </c>
      <c r="P3715">
        <v>0.99954889999999996</v>
      </c>
      <c r="Q3715">
        <v>2.8200490000000002E-2</v>
      </c>
      <c r="R3715">
        <v>1.033743E-2</v>
      </c>
      <c r="S3715">
        <v>2.9962460000000002</v>
      </c>
      <c r="T3715">
        <v>4.2839050000000002E-3</v>
      </c>
      <c r="U3715">
        <v>0.4559937</v>
      </c>
      <c r="V3715">
        <v>-5.5318160000000002E-3</v>
      </c>
      <c r="W3715">
        <v>4.254993E-2</v>
      </c>
      <c r="X3715">
        <v>0.99907900000000005</v>
      </c>
      <c r="Y3715">
        <v>-0.1456722</v>
      </c>
      <c r="Z3715" s="1">
        <v>-9.6666490000000006E-5</v>
      </c>
      <c r="AA3715">
        <v>0.98933289999999996</v>
      </c>
      <c r="AB3715">
        <v>32</v>
      </c>
      <c r="AC3715">
        <v>119.1367</v>
      </c>
      <c r="AD3715">
        <v>0.17077100000000001</v>
      </c>
      <c r="AE3715">
        <v>18.175899999999999</v>
      </c>
      <c r="AF3715">
        <v>-17.599405735838399</v>
      </c>
      <c r="AG3715">
        <v>0.17077100000000001</v>
      </c>
      <c r="AH3715">
        <v>119.22298109069401</v>
      </c>
      <c r="AI3715">
        <v>89.918811323517801</v>
      </c>
      <c r="AJ3715">
        <v>98.397219250709398</v>
      </c>
      <c r="AK3715">
        <v>120.515092271222</v>
      </c>
      <c r="AL3715">
        <v>87.561332281870193</v>
      </c>
      <c r="AM3715">
        <v>90.317238647742201</v>
      </c>
      <c r="AN3715">
        <v>0.99999997288613096</v>
      </c>
    </row>
    <row r="3716" spans="1:40" x14ac:dyDescent="0.25">
      <c r="A3716" t="str">
        <f>"20190312160406730"</f>
        <v>20190312160406730</v>
      </c>
      <c r="B3716" t="str">
        <f>"1552377846718522"</f>
        <v>1552377846718522</v>
      </c>
      <c r="C3716" t="s">
        <v>40</v>
      </c>
      <c r="D3716">
        <v>5.2180710000000001</v>
      </c>
      <c r="E3716">
        <v>0.44631270000000001</v>
      </c>
      <c r="F3716" t="s">
        <v>86</v>
      </c>
      <c r="G3716">
        <v>-246.55439999999999</v>
      </c>
      <c r="H3716">
        <v>1.3671329999999999</v>
      </c>
      <c r="I3716">
        <v>230.41890000000001</v>
      </c>
      <c r="J3716">
        <v>-365.34620000000001</v>
      </c>
      <c r="K3716">
        <v>1.1104229999999999</v>
      </c>
      <c r="L3716">
        <v>212.2448</v>
      </c>
      <c r="M3716">
        <v>0.99988350000000004</v>
      </c>
      <c r="N3716">
        <v>0</v>
      </c>
      <c r="O3716">
        <v>5.176585E-3</v>
      </c>
      <c r="P3716">
        <v>0.99953709999999996</v>
      </c>
      <c r="Q3716">
        <v>2.875283E-2</v>
      </c>
      <c r="R3716">
        <v>9.9585920000000005E-3</v>
      </c>
      <c r="S3716">
        <v>2.9964599999999999</v>
      </c>
      <c r="T3716">
        <v>6.4588789999999998E-3</v>
      </c>
      <c r="U3716">
        <v>0.45732119999999998</v>
      </c>
      <c r="V3716">
        <v>-4.8132929999999997E-3</v>
      </c>
      <c r="W3716">
        <v>4.3102090000000003E-2</v>
      </c>
      <c r="X3716">
        <v>0.99905909999999998</v>
      </c>
      <c r="Y3716">
        <v>-0.1457532</v>
      </c>
      <c r="Z3716">
        <v>-1.4508739999999999E-4</v>
      </c>
      <c r="AA3716">
        <v>0.98932100000000001</v>
      </c>
      <c r="AB3716">
        <v>31</v>
      </c>
      <c r="AC3716">
        <v>118.79179999999999</v>
      </c>
      <c r="AD3716">
        <v>0.25670999999999999</v>
      </c>
      <c r="AE3716">
        <v>18.174099999999999</v>
      </c>
      <c r="AF3716">
        <v>-17.558777062444101</v>
      </c>
      <c r="AG3716">
        <v>0.25670999999999999</v>
      </c>
      <c r="AH3716">
        <v>118.88375501713899</v>
      </c>
      <c r="AI3716">
        <v>89.877607097894298</v>
      </c>
      <c r="AJ3716">
        <v>98.401675088829805</v>
      </c>
      <c r="AK3716">
        <v>120.173723246506</v>
      </c>
      <c r="AL3716">
        <v>87.5296669118149</v>
      </c>
      <c r="AM3716">
        <v>90.276038965790704</v>
      </c>
      <c r="AN3716">
        <v>1.0000000216223399</v>
      </c>
    </row>
    <row r="3717" spans="1:40" x14ac:dyDescent="0.25">
      <c r="A3717" t="str">
        <f>"20190312160406752"</f>
        <v>20190312160406752</v>
      </c>
      <c r="B3717" t="str">
        <f>"1552377846738043"</f>
        <v>1552377846738043</v>
      </c>
      <c r="C3717" t="s">
        <v>40</v>
      </c>
      <c r="D3717">
        <v>5.2675679999999998</v>
      </c>
      <c r="E3717">
        <v>0.44597759999999997</v>
      </c>
      <c r="F3717" t="s">
        <v>86</v>
      </c>
      <c r="G3717">
        <v>-246.5198</v>
      </c>
      <c r="H3717">
        <v>1.3528800000000001</v>
      </c>
      <c r="I3717">
        <v>230.41890000000001</v>
      </c>
      <c r="J3717">
        <v>-365.0342</v>
      </c>
      <c r="K3717">
        <v>1.1104240000000001</v>
      </c>
      <c r="L3717">
        <v>212.2467</v>
      </c>
      <c r="M3717">
        <v>0.99988160000000004</v>
      </c>
      <c r="N3717">
        <v>0</v>
      </c>
      <c r="O3717">
        <v>5.5286090000000003E-3</v>
      </c>
      <c r="P3717">
        <v>0.9995328</v>
      </c>
      <c r="Q3717">
        <v>2.8934290000000001E-2</v>
      </c>
      <c r="R3717">
        <v>9.8578669999999993E-3</v>
      </c>
      <c r="S3717">
        <v>2.9966430000000002</v>
      </c>
      <c r="T3717">
        <v>6.1143639999999997E-3</v>
      </c>
      <c r="U3717">
        <v>0.45832820000000002</v>
      </c>
      <c r="V3717">
        <v>-4.3606890000000001E-3</v>
      </c>
      <c r="W3717">
        <v>4.328311E-2</v>
      </c>
      <c r="X3717">
        <v>0.99905339999999998</v>
      </c>
      <c r="Y3717">
        <v>-0.14572089999999999</v>
      </c>
      <c r="Z3717">
        <v>-1.3658989999999901E-4</v>
      </c>
      <c r="AA3717">
        <v>0.98932580000000003</v>
      </c>
      <c r="AB3717">
        <v>31</v>
      </c>
      <c r="AC3717">
        <v>118.51439999999999</v>
      </c>
      <c r="AD3717">
        <v>0.24245599999999901</v>
      </c>
      <c r="AE3717">
        <v>18.1722</v>
      </c>
      <c r="AF3717">
        <v>-17.5165632429308</v>
      </c>
      <c r="AG3717">
        <v>0.24245599999999901</v>
      </c>
      <c r="AH3717">
        <v>118.61258071239099</v>
      </c>
      <c r="AI3717">
        <v>89.884138444804904</v>
      </c>
      <c r="AJ3717">
        <v>98.400652942492997</v>
      </c>
      <c r="AK3717">
        <v>119.899262199603</v>
      </c>
      <c r="AL3717">
        <v>87.519285660933406</v>
      </c>
      <c r="AM3717">
        <v>90.250084218528599</v>
      </c>
      <c r="AN3717">
        <v>1.0000000696356901</v>
      </c>
    </row>
    <row r="3718" spans="1:40" x14ac:dyDescent="0.25">
      <c r="A3718" t="str">
        <f>"20190312160406774"</f>
        <v>20190312160406774</v>
      </c>
      <c r="B3718" t="str">
        <f>"1552377846768301"</f>
        <v>1552377846768301</v>
      </c>
      <c r="C3718" t="s">
        <v>40</v>
      </c>
      <c r="D3718">
        <v>5.2673110000000003</v>
      </c>
      <c r="E3718">
        <v>0.4456058</v>
      </c>
      <c r="F3718" t="s">
        <v>86</v>
      </c>
      <c r="G3718">
        <v>-246.78639999999999</v>
      </c>
      <c r="H3718">
        <v>1.3228770000000001</v>
      </c>
      <c r="I3718">
        <v>230.41890000000001</v>
      </c>
      <c r="J3718">
        <v>-364.72030000000001</v>
      </c>
      <c r="K3718">
        <v>1.1104229999999999</v>
      </c>
      <c r="L3718">
        <v>212.24889999999999</v>
      </c>
      <c r="M3718">
        <v>0.99987959999999998</v>
      </c>
      <c r="N3718">
        <v>0</v>
      </c>
      <c r="O3718">
        <v>5.8814660000000001E-3</v>
      </c>
      <c r="P3718">
        <v>0.99952750000000001</v>
      </c>
      <c r="Q3718">
        <v>2.877646E-2</v>
      </c>
      <c r="R3718">
        <v>1.0803470000000001E-2</v>
      </c>
      <c r="S3718">
        <v>2.9966740000000001</v>
      </c>
      <c r="T3718">
        <v>5.3839680000000003E-3</v>
      </c>
      <c r="U3718">
        <v>0.46052549999999998</v>
      </c>
      <c r="V3718">
        <v>-4.9538220000000001E-3</v>
      </c>
      <c r="W3718">
        <v>4.3123519999999999E-2</v>
      </c>
      <c r="X3718">
        <v>0.99905750000000004</v>
      </c>
      <c r="Y3718">
        <v>-0.14607899999999999</v>
      </c>
      <c r="Z3718">
        <v>-1.1995530000000001E-4</v>
      </c>
      <c r="AA3718">
        <v>0.98927290000000001</v>
      </c>
      <c r="AB3718">
        <v>31</v>
      </c>
      <c r="AC3718">
        <v>117.93389999999999</v>
      </c>
      <c r="AD3718">
        <v>0.212454</v>
      </c>
      <c r="AE3718">
        <v>18.170000000000002</v>
      </c>
      <c r="AF3718">
        <v>-17.475934523401101</v>
      </c>
      <c r="AG3718">
        <v>0.212454</v>
      </c>
      <c r="AH3718">
        <v>118.038362868894</v>
      </c>
      <c r="AI3718">
        <v>89.897986998901303</v>
      </c>
      <c r="AJ3718">
        <v>98.421634814804804</v>
      </c>
      <c r="AK3718">
        <v>119.32522169657599</v>
      </c>
      <c r="AL3718">
        <v>87.528437949508003</v>
      </c>
      <c r="AM3718">
        <v>90.284098529786903</v>
      </c>
      <c r="AN3718">
        <v>1.00000003331792</v>
      </c>
    </row>
    <row r="3719" spans="1:40" x14ac:dyDescent="0.25">
      <c r="A3719" t="str">
        <f>"20190312160406797"</f>
        <v>20190312160406797</v>
      </c>
      <c r="B3719" t="str">
        <f>"1552377846788794"</f>
        <v>1552377846788794</v>
      </c>
      <c r="C3719" t="s">
        <v>40</v>
      </c>
      <c r="D3719">
        <v>5.341234</v>
      </c>
      <c r="E3719">
        <v>0.44524530000000001</v>
      </c>
      <c r="F3719" t="s">
        <v>86</v>
      </c>
      <c r="G3719">
        <v>-247.30179999999999</v>
      </c>
      <c r="H3719">
        <v>1.262578</v>
      </c>
      <c r="I3719">
        <v>230.52340000000001</v>
      </c>
      <c r="J3719">
        <v>-364.40010000000001</v>
      </c>
      <c r="K3719">
        <v>1.110422</v>
      </c>
      <c r="L3719">
        <v>212.25110000000001</v>
      </c>
      <c r="M3719">
        <v>0.99987749999999997</v>
      </c>
      <c r="N3719">
        <v>0</v>
      </c>
      <c r="O3719">
        <v>6.2408119999999897E-3</v>
      </c>
      <c r="P3719">
        <v>0.99953619999999999</v>
      </c>
      <c r="Q3719">
        <v>2.8137450000000001E-2</v>
      </c>
      <c r="R3719">
        <v>1.1666579999999999E-2</v>
      </c>
      <c r="S3719">
        <v>2.9962460000000002</v>
      </c>
      <c r="T3719">
        <v>3.8825270000000002E-3</v>
      </c>
      <c r="U3719">
        <v>0.46632390000000001</v>
      </c>
      <c r="V3719">
        <v>-5.4565619999999999E-3</v>
      </c>
      <c r="W3719">
        <v>4.2482770000000003E-2</v>
      </c>
      <c r="X3719">
        <v>0.99908229999999998</v>
      </c>
      <c r="Y3719">
        <v>-0.147614299999999</v>
      </c>
      <c r="Z3719" s="1">
        <v>-8.7028569999999993E-5</v>
      </c>
      <c r="AA3719">
        <v>0.98904499999999995</v>
      </c>
      <c r="AB3719">
        <v>31</v>
      </c>
      <c r="AC3719">
        <v>117.09829999999999</v>
      </c>
      <c r="AD3719">
        <v>0.15215599999999899</v>
      </c>
      <c r="AE3719">
        <v>18.272300000000001</v>
      </c>
      <c r="AF3719">
        <v>-17.541051406149801</v>
      </c>
      <c r="AG3719">
        <v>0.15215599999999899</v>
      </c>
      <c r="AH3719">
        <v>117.209871695879</v>
      </c>
      <c r="AI3719">
        <v>89.926440701450105</v>
      </c>
      <c r="AJ3719">
        <v>98.511436412378998</v>
      </c>
      <c r="AK3719">
        <v>118.515254962583</v>
      </c>
      <c r="AL3719">
        <v>87.565183817615207</v>
      </c>
      <c r="AM3719">
        <v>90.312922033319396</v>
      </c>
      <c r="AN3719">
        <v>1.00000000099451</v>
      </c>
    </row>
    <row r="3720" spans="1:40" x14ac:dyDescent="0.25">
      <c r="A3720" t="str">
        <f>"20190312160406819"</f>
        <v>20190312160406819</v>
      </c>
      <c r="B3720" t="str">
        <f>"1552377846808822"</f>
        <v>1552377846808822</v>
      </c>
      <c r="C3720" t="s">
        <v>40</v>
      </c>
      <c r="D3720">
        <v>5.2989129999999998</v>
      </c>
      <c r="E3720">
        <v>0.44521769999999999</v>
      </c>
      <c r="F3720" t="s">
        <v>87</v>
      </c>
      <c r="G3720">
        <v>-255.64959999999999</v>
      </c>
      <c r="H3720">
        <v>1.188877</v>
      </c>
      <c r="I3720">
        <v>229.37620000000001</v>
      </c>
      <c r="J3720">
        <v>-364.0958</v>
      </c>
      <c r="K3720">
        <v>1.1104350000000001</v>
      </c>
      <c r="L3720">
        <v>212.2534</v>
      </c>
      <c r="M3720">
        <v>0.99987530000000002</v>
      </c>
      <c r="N3720">
        <v>0</v>
      </c>
      <c r="O3720">
        <v>6.58174E-3</v>
      </c>
      <c r="P3720">
        <v>0.9995347</v>
      </c>
      <c r="Q3720">
        <v>2.7956780000000001E-2</v>
      </c>
      <c r="R3720">
        <v>1.2208200000000001E-2</v>
      </c>
      <c r="S3720">
        <v>2.995819</v>
      </c>
      <c r="T3720">
        <v>2.162218E-3</v>
      </c>
      <c r="U3720">
        <v>0.47175600000000001</v>
      </c>
      <c r="V3720">
        <v>-5.6571679999999997E-3</v>
      </c>
      <c r="W3720">
        <v>4.2300310000000001E-2</v>
      </c>
      <c r="X3720">
        <v>0.99908889999999995</v>
      </c>
      <c r="Y3720">
        <v>-0.14904890000000001</v>
      </c>
      <c r="Z3720" s="1">
        <v>-4.8737209999999999E-5</v>
      </c>
      <c r="AA3720">
        <v>0.98882979999999998</v>
      </c>
      <c r="AB3720">
        <v>31</v>
      </c>
      <c r="AC3720">
        <v>108.4462</v>
      </c>
      <c r="AD3720">
        <v>7.8441999999999901E-2</v>
      </c>
      <c r="AE3720">
        <v>17.122800000000002</v>
      </c>
      <c r="AF3720">
        <v>-16.408582424734298</v>
      </c>
      <c r="AG3720">
        <v>7.8441999999999901E-2</v>
      </c>
      <c r="AH3720">
        <v>108.556504599242</v>
      </c>
      <c r="AI3720">
        <v>89.959063565475802</v>
      </c>
      <c r="AJ3720">
        <v>98.595332601728501</v>
      </c>
      <c r="AK3720">
        <v>109.789628021694</v>
      </c>
      <c r="AL3720">
        <v>87.575647348335195</v>
      </c>
      <c r="AM3720">
        <v>90.324423969041902</v>
      </c>
      <c r="AN3720">
        <v>0.99999997493954196</v>
      </c>
    </row>
    <row r="3721" spans="1:40" x14ac:dyDescent="0.25">
      <c r="A3721" t="str">
        <f>"20190312160406841"</f>
        <v>20190312160406841</v>
      </c>
      <c r="B3721" t="str">
        <f>"1552377846828342"</f>
        <v>1552377846828342</v>
      </c>
      <c r="C3721" t="s">
        <v>40</v>
      </c>
      <c r="D3721">
        <v>5.394685</v>
      </c>
      <c r="E3721">
        <v>0.47942630000000003</v>
      </c>
      <c r="F3721" t="s">
        <v>87</v>
      </c>
      <c r="G3721">
        <v>-255.8134</v>
      </c>
      <c r="H3721">
        <v>1.142727</v>
      </c>
      <c r="I3721">
        <v>229.37620000000001</v>
      </c>
      <c r="J3721">
        <v>-363.79349999999999</v>
      </c>
      <c r="K3721">
        <v>1.1104400000000001</v>
      </c>
      <c r="L3721">
        <v>212.25579999999999</v>
      </c>
      <c r="M3721">
        <v>0.99987309999999996</v>
      </c>
      <c r="N3721">
        <v>0</v>
      </c>
      <c r="O3721">
        <v>6.9204599999999998E-3</v>
      </c>
      <c r="P3721">
        <v>0.99952410000000003</v>
      </c>
      <c r="Q3721">
        <v>2.8154530000000001E-2</v>
      </c>
      <c r="R3721">
        <v>1.2610349999999999E-2</v>
      </c>
      <c r="S3721">
        <v>2.9955750000000001</v>
      </c>
      <c r="T3721">
        <v>8.9347359999999998E-4</v>
      </c>
      <c r="U3721">
        <v>0.4736938</v>
      </c>
      <c r="V3721">
        <v>-5.7209590000000003E-3</v>
      </c>
      <c r="W3721">
        <v>4.2496100000000002E-2</v>
      </c>
      <c r="X3721">
        <v>0.99908019999999997</v>
      </c>
      <c r="Y3721">
        <v>-0.14935039999999999</v>
      </c>
      <c r="Z3721" s="1">
        <v>-2.0084139999999999E-5</v>
      </c>
      <c r="AA3721">
        <v>0.98878429999999995</v>
      </c>
      <c r="AB3721">
        <v>31</v>
      </c>
      <c r="AC3721">
        <v>107.98009999999999</v>
      </c>
      <c r="AD3721">
        <v>3.22870000000001E-2</v>
      </c>
      <c r="AE3721">
        <v>17.1204</v>
      </c>
      <c r="AF3721">
        <v>-16.372639608019298</v>
      </c>
      <c r="AG3721">
        <v>3.22870000000001E-2</v>
      </c>
      <c r="AH3721">
        <v>108.095997518573</v>
      </c>
      <c r="AI3721">
        <v>89.983079416258306</v>
      </c>
      <c r="AJ3721">
        <v>98.612776659619499</v>
      </c>
      <c r="AK3721">
        <v>109.328903084773</v>
      </c>
      <c r="AL3721">
        <v>87.564419242833097</v>
      </c>
      <c r="AM3721">
        <v>90.328084995443504</v>
      </c>
      <c r="AN3721">
        <v>0.99999994695956296</v>
      </c>
    </row>
    <row r="3722" spans="1:40" x14ac:dyDescent="0.25">
      <c r="A3722" t="str">
        <f>"20190312160406864"</f>
        <v>20190312160406864</v>
      </c>
      <c r="B3722" t="str">
        <f>"1552377846858599"</f>
        <v>1552377846858599</v>
      </c>
      <c r="C3722" t="s">
        <v>40</v>
      </c>
      <c r="D3722">
        <v>5.3284960000000003</v>
      </c>
      <c r="E3722">
        <v>0.50348389999999998</v>
      </c>
      <c r="F3722" t="s">
        <v>79</v>
      </c>
      <c r="G3722">
        <v>-301.279</v>
      </c>
      <c r="H3722" s="1">
        <v>2.4263890000000001E-6</v>
      </c>
      <c r="I3722">
        <v>216.4708</v>
      </c>
      <c r="J3722">
        <v>-363.46409999999997</v>
      </c>
      <c r="K3722">
        <v>1.11043799999999</v>
      </c>
      <c r="L3722">
        <v>212.2585</v>
      </c>
      <c r="M3722">
        <v>0.99987040000000005</v>
      </c>
      <c r="N3722">
        <v>0</v>
      </c>
      <c r="O3722">
        <v>7.2898119999999997E-3</v>
      </c>
      <c r="P3722">
        <v>0.99951420000000002</v>
      </c>
      <c r="Q3722">
        <v>2.8267110000000002E-2</v>
      </c>
      <c r="R3722">
        <v>1.313946E-2</v>
      </c>
      <c r="S3722">
        <v>3.0003660000000001</v>
      </c>
      <c r="T3722">
        <v>-5.3295139999999998E-2</v>
      </c>
      <c r="U3722">
        <v>0.20230100000000001</v>
      </c>
      <c r="V3722">
        <v>-5.8814770000000004E-3</v>
      </c>
      <c r="W3722">
        <v>4.2606150000000002E-2</v>
      </c>
      <c r="X3722">
        <v>0.99907460000000003</v>
      </c>
      <c r="Y3722">
        <v>-5.9988600000000003E-2</v>
      </c>
      <c r="Z3722">
        <v>4.0280349999999998E-4</v>
      </c>
      <c r="AA3722">
        <v>0.99819899999999995</v>
      </c>
      <c r="AB3722">
        <v>31</v>
      </c>
      <c r="AC3722">
        <v>62.185099999999899</v>
      </c>
      <c r="AD3722">
        <v>-1.1104355736110001</v>
      </c>
      <c r="AE3722">
        <v>4.2122999999999902</v>
      </c>
      <c r="AF3722">
        <v>-3.7576309310322902</v>
      </c>
      <c r="AG3722">
        <v>-1.1104355736110001</v>
      </c>
      <c r="AH3722">
        <v>62.194416006912697</v>
      </c>
      <c r="AI3722">
        <v>91.021003962319298</v>
      </c>
      <c r="AJ3722">
        <v>93.457464765653498</v>
      </c>
      <c r="AK3722">
        <v>62.317720110879499</v>
      </c>
      <c r="AL3722">
        <v>87.558108172634107</v>
      </c>
      <c r="AM3722">
        <v>90.337292046720407</v>
      </c>
      <c r="AN3722">
        <v>0.99999996607734098</v>
      </c>
    </row>
    <row r="3723" spans="1:40" x14ac:dyDescent="0.25">
      <c r="A3723" t="str">
        <f>"20190312160406886"</f>
        <v>20190312160406886</v>
      </c>
      <c r="B3723" t="str">
        <f>"1552377846878118"</f>
        <v>1552377846878118</v>
      </c>
      <c r="C3723" t="s">
        <v>40</v>
      </c>
      <c r="D3723">
        <v>5.3494129999999904</v>
      </c>
      <c r="E3723">
        <v>0.51123320000000005</v>
      </c>
      <c r="F3723" t="s">
        <v>79</v>
      </c>
      <c r="G3723">
        <v>-293.05169999999998</v>
      </c>
      <c r="H3723" s="1">
        <v>1.435734E-6</v>
      </c>
      <c r="I3723">
        <v>212.53540000000001</v>
      </c>
      <c r="J3723">
        <v>-363.14920000000001</v>
      </c>
      <c r="K3723">
        <v>1.1104400000000001</v>
      </c>
      <c r="L3723">
        <v>212.2611</v>
      </c>
      <c r="M3723">
        <v>0.99986799999999998</v>
      </c>
      <c r="N3723">
        <v>0</v>
      </c>
      <c r="O3723">
        <v>7.6427190000000001E-3</v>
      </c>
      <c r="P3723">
        <v>0.99951140000000005</v>
      </c>
      <c r="Q3723">
        <v>2.814436E-2</v>
      </c>
      <c r="R3723">
        <v>1.3620999999999999E-2</v>
      </c>
      <c r="S3723">
        <v>3.0026549999999999</v>
      </c>
      <c r="T3723">
        <v>-4.7353270000000003E-2</v>
      </c>
      <c r="U3723">
        <v>1.1810299999999999E-2</v>
      </c>
      <c r="V3723">
        <v>-6.0101369999999996E-3</v>
      </c>
      <c r="W3723">
        <v>4.2481339999999999E-2</v>
      </c>
      <c r="X3723">
        <v>0.99907919999999995</v>
      </c>
      <c r="Y3723">
        <v>3.7088949999999998E-3</v>
      </c>
      <c r="Z3723">
        <v>-1.497759E-4</v>
      </c>
      <c r="AA3723">
        <v>0.99999309999999997</v>
      </c>
      <c r="AB3723">
        <v>31</v>
      </c>
      <c r="AC3723">
        <v>70.097499999999997</v>
      </c>
      <c r="AD3723">
        <v>-1.110438564266</v>
      </c>
      <c r="AE3723">
        <v>0.27430000000000998</v>
      </c>
      <c r="AF3723">
        <v>0.26143297728207598</v>
      </c>
      <c r="AG3723">
        <v>-1.110438564266</v>
      </c>
      <c r="AH3723">
        <v>70.079962756243305</v>
      </c>
      <c r="AI3723">
        <v>90.907786963917204</v>
      </c>
      <c r="AJ3723">
        <v>89.786259350752005</v>
      </c>
      <c r="AK3723">
        <v>70.089247398749194</v>
      </c>
      <c r="AL3723">
        <v>87.565265863444594</v>
      </c>
      <c r="AM3723">
        <v>90.344668701539106</v>
      </c>
      <c r="AN3723">
        <v>1.0000000169337899</v>
      </c>
    </row>
    <row r="3724" spans="1:40" x14ac:dyDescent="0.25">
      <c r="A3724" t="str">
        <f>"20190312160406908"</f>
        <v>20190312160406908</v>
      </c>
      <c r="B3724" t="str">
        <f>"1552377846898614"</f>
        <v>1552377846898614</v>
      </c>
      <c r="C3724" t="s">
        <v>40</v>
      </c>
      <c r="D3724">
        <v>5.315982</v>
      </c>
      <c r="E3724">
        <v>0.51498679999999997</v>
      </c>
      <c r="F3724" t="s">
        <v>79</v>
      </c>
      <c r="G3724">
        <v>-303.71300000000002</v>
      </c>
      <c r="H3724" s="1">
        <v>1.9946419999999998E-6</v>
      </c>
      <c r="I3724">
        <v>211.30099999999999</v>
      </c>
      <c r="J3724">
        <v>-362.85019999999997</v>
      </c>
      <c r="K3724">
        <v>1.1104419999999999</v>
      </c>
      <c r="L3724">
        <v>212.2638</v>
      </c>
      <c r="M3724">
        <v>0.99986520000000001</v>
      </c>
      <c r="N3724">
        <v>0</v>
      </c>
      <c r="O3724">
        <v>7.9783389999999992E-3</v>
      </c>
      <c r="P3724">
        <v>0.99951159999999994</v>
      </c>
      <c r="Q3724">
        <v>2.7980970000000001E-2</v>
      </c>
      <c r="R3724">
        <v>1.392473E-2</v>
      </c>
      <c r="S3724">
        <v>3.0037229999999999</v>
      </c>
      <c r="T3724">
        <v>-5.6118130000000002E-2</v>
      </c>
      <c r="U3724">
        <v>-4.8522950000000002E-2</v>
      </c>
      <c r="V3724">
        <v>-5.9777830000000004E-3</v>
      </c>
      <c r="W3724">
        <v>4.2315539999999999E-2</v>
      </c>
      <c r="X3724">
        <v>0.99908640000000004</v>
      </c>
      <c r="Y3724">
        <v>2.412417E-2</v>
      </c>
      <c r="Z3724">
        <v>-3.7437190000000001E-4</v>
      </c>
      <c r="AA3724">
        <v>0.99970890000000001</v>
      </c>
      <c r="AB3724">
        <v>31</v>
      </c>
      <c r="AC3724">
        <v>59.1372</v>
      </c>
      <c r="AD3724">
        <v>-1.1104400053579999</v>
      </c>
      <c r="AE3724">
        <v>-0.96280000000001498</v>
      </c>
      <c r="AF3724">
        <v>1.4341290429032001</v>
      </c>
      <c r="AG3724">
        <v>-1.1104400053579999</v>
      </c>
      <c r="AH3724">
        <v>59.106800208664801</v>
      </c>
      <c r="AI3724">
        <v>91.0759731314145</v>
      </c>
      <c r="AJ3724">
        <v>88.610085097548406</v>
      </c>
      <c r="AK3724">
        <v>59.134622971861504</v>
      </c>
      <c r="AL3724">
        <v>87.574773980204299</v>
      </c>
      <c r="AM3724">
        <v>90.342810841713501</v>
      </c>
      <c r="AN3724">
        <v>0.99999998674002299</v>
      </c>
    </row>
    <row r="3725" spans="1:40" x14ac:dyDescent="0.25">
      <c r="A3725" t="str">
        <f>"20190312160406930"</f>
        <v>20190312160406930</v>
      </c>
      <c r="B3725" t="str">
        <f>"1552377846918643"</f>
        <v>1552377846918643</v>
      </c>
      <c r="C3725" t="s">
        <v>40</v>
      </c>
      <c r="D3725">
        <v>5.3662619999999999</v>
      </c>
      <c r="E3725">
        <v>0.51752469999999995</v>
      </c>
      <c r="F3725" t="s">
        <v>79</v>
      </c>
      <c r="G3725">
        <v>-309.69069999999999</v>
      </c>
      <c r="H3725" s="1">
        <v>9.3428340000000002E-7</v>
      </c>
      <c r="I3725">
        <v>210.88759999999999</v>
      </c>
      <c r="J3725">
        <v>-362.54759999999999</v>
      </c>
      <c r="K3725">
        <v>1.1104400000000001</v>
      </c>
      <c r="L3725">
        <v>212.26650000000001</v>
      </c>
      <c r="M3725">
        <v>0.99986260000000005</v>
      </c>
      <c r="N3725">
        <v>0</v>
      </c>
      <c r="O3725">
        <v>8.3176580000000003E-3</v>
      </c>
      <c r="P3725">
        <v>0.99952280000000004</v>
      </c>
      <c r="Q3725">
        <v>2.7572409999999999E-2</v>
      </c>
      <c r="R3725">
        <v>1.3927470000000001E-2</v>
      </c>
      <c r="S3725">
        <v>3.0043030000000002</v>
      </c>
      <c r="T3725">
        <v>-6.275654E-2</v>
      </c>
      <c r="U3725">
        <v>-7.7774049999999997E-2</v>
      </c>
      <c r="V3725">
        <v>-5.6410649999999998E-3</v>
      </c>
      <c r="W3725">
        <v>4.1905350000000001E-2</v>
      </c>
      <c r="X3725">
        <v>0.99910560000000004</v>
      </c>
      <c r="Y3725">
        <v>3.4184440000000003E-2</v>
      </c>
      <c r="Z3725">
        <v>-5.3065839999999996E-4</v>
      </c>
      <c r="AA3725">
        <v>0.99941539999999995</v>
      </c>
      <c r="AB3725">
        <v>31</v>
      </c>
      <c r="AC3725">
        <v>52.856900000000003</v>
      </c>
      <c r="AD3725">
        <v>-1.1104390657165999</v>
      </c>
      <c r="AE3725">
        <v>-1.37890000000001</v>
      </c>
      <c r="AF3725">
        <v>1.8177413900086601</v>
      </c>
      <c r="AG3725">
        <v>-1.1104390657165999</v>
      </c>
      <c r="AH3725">
        <v>52.820304238203398</v>
      </c>
      <c r="AI3725">
        <v>91.203637076977401</v>
      </c>
      <c r="AJ3725">
        <v>88.029018840298406</v>
      </c>
      <c r="AK3725">
        <v>52.863236738739197</v>
      </c>
      <c r="AL3725">
        <v>87.598296889887806</v>
      </c>
      <c r="AM3725">
        <v>90.323495116069196</v>
      </c>
      <c r="AN3725">
        <v>0.99999993996215597</v>
      </c>
    </row>
    <row r="3726" spans="1:40" x14ac:dyDescent="0.25">
      <c r="A3726" t="str">
        <f>"20190312160406952"</f>
        <v>20190312160406952</v>
      </c>
      <c r="B3726" t="str">
        <f>"1552377846948898"</f>
        <v>1552377846948898</v>
      </c>
      <c r="C3726" t="s">
        <v>40</v>
      </c>
      <c r="D3726">
        <v>5.2572210000000004</v>
      </c>
      <c r="E3726">
        <v>0.5192232</v>
      </c>
      <c r="F3726" t="s">
        <v>79</v>
      </c>
      <c r="G3726">
        <v>-314.47539999999998</v>
      </c>
      <c r="H3726" s="1">
        <v>2.890289E-6</v>
      </c>
      <c r="I3726">
        <v>210.7022</v>
      </c>
      <c r="J3726">
        <v>-362.23989999999998</v>
      </c>
      <c r="K3726">
        <v>1.110433</v>
      </c>
      <c r="L3726">
        <v>212.26949999999999</v>
      </c>
      <c r="M3726">
        <v>0.99985970000000002</v>
      </c>
      <c r="N3726">
        <v>0</v>
      </c>
      <c r="O3726">
        <v>8.6629369999999904E-3</v>
      </c>
      <c r="P3726">
        <v>0.99951650000000003</v>
      </c>
      <c r="Q3726">
        <v>2.7471010000000001E-2</v>
      </c>
      <c r="R3726">
        <v>1.457365E-2</v>
      </c>
      <c r="S3726">
        <v>3.0047000000000001</v>
      </c>
      <c r="T3726">
        <v>-6.9406629999999997E-2</v>
      </c>
      <c r="U3726">
        <v>-9.7778320000000002E-2</v>
      </c>
      <c r="V3726">
        <v>-5.9417050000000003E-3</v>
      </c>
      <c r="W3726">
        <v>4.180101E-2</v>
      </c>
      <c r="X3726">
        <v>0.99910829999999995</v>
      </c>
      <c r="Y3726">
        <v>4.1169320000000002E-2</v>
      </c>
      <c r="Z3726">
        <v>-6.7535759999999903E-4</v>
      </c>
      <c r="AA3726">
        <v>0.99915189999999998</v>
      </c>
      <c r="AB3726">
        <v>31</v>
      </c>
      <c r="AC3726">
        <v>47.764499999999998</v>
      </c>
      <c r="AD3726">
        <v>-1.1104301097110001</v>
      </c>
      <c r="AE3726">
        <v>-1.5672999999999799</v>
      </c>
      <c r="AF3726">
        <v>1.9799955822925599</v>
      </c>
      <c r="AG3726">
        <v>-1.1104301097110001</v>
      </c>
      <c r="AH3726">
        <v>47.723363174440799</v>
      </c>
      <c r="AI3726">
        <v>91.331775846813301</v>
      </c>
      <c r="AJ3726">
        <v>87.624216792935698</v>
      </c>
      <c r="AK3726">
        <v>47.777325482011001</v>
      </c>
      <c r="AL3726">
        <v>87.604280546775897</v>
      </c>
      <c r="AM3726">
        <v>90.340734439223596</v>
      </c>
      <c r="AN3726">
        <v>1.0000000117121</v>
      </c>
    </row>
    <row r="3727" spans="1:40" x14ac:dyDescent="0.25">
      <c r="A3727" t="str">
        <f>"20190312160406976"</f>
        <v>20190312160406976</v>
      </c>
      <c r="B3727" t="str">
        <f>"1552377846968424"</f>
        <v>1552377846968424</v>
      </c>
      <c r="C3727" t="s">
        <v>40</v>
      </c>
      <c r="D3727">
        <v>5.2754320000000003</v>
      </c>
      <c r="E3727">
        <v>0.52086929999999998</v>
      </c>
      <c r="F3727" t="s">
        <v>79</v>
      </c>
      <c r="G3727">
        <v>-305.88920000000002</v>
      </c>
      <c r="H3727" s="1">
        <v>1.6086130000000001E-6</v>
      </c>
      <c r="I3727">
        <v>210.21709999999999</v>
      </c>
      <c r="J3727">
        <v>-361.9171</v>
      </c>
      <c r="K3727">
        <v>1.110433</v>
      </c>
      <c r="L3727">
        <v>212.27269999999999</v>
      </c>
      <c r="M3727">
        <v>0.99985659999999998</v>
      </c>
      <c r="N3727">
        <v>0</v>
      </c>
      <c r="O3727">
        <v>9.0254410000000004E-3</v>
      </c>
      <c r="P3727">
        <v>0.99949739999999998</v>
      </c>
      <c r="Q3727">
        <v>2.8018979999999999E-2</v>
      </c>
      <c r="R3727">
        <v>1.4841719999999999E-2</v>
      </c>
      <c r="S3727">
        <v>3.0046689999999998</v>
      </c>
      <c r="T3727">
        <v>-5.9209230000000002E-2</v>
      </c>
      <c r="U3727">
        <v>-0.10943600000000001</v>
      </c>
      <c r="V3727">
        <v>-5.8477190000000004E-3</v>
      </c>
      <c r="W3727">
        <v>4.2346040000000001E-2</v>
      </c>
      <c r="X3727">
        <v>0.99908589999999997</v>
      </c>
      <c r="Y3727">
        <v>4.5406210000000002E-2</v>
      </c>
      <c r="Z3727">
        <v>-6.2499039999999999E-4</v>
      </c>
      <c r="AA3727">
        <v>0.99896839999999998</v>
      </c>
      <c r="AB3727">
        <v>31</v>
      </c>
      <c r="AC3727">
        <v>56.027899999999903</v>
      </c>
      <c r="AD3727">
        <v>-1.1104313913869901</v>
      </c>
      <c r="AE3727">
        <v>-2.0555999999999899</v>
      </c>
      <c r="AF3727">
        <v>2.5602403665767</v>
      </c>
      <c r="AG3727">
        <v>-1.1104313913869901</v>
      </c>
      <c r="AH3727">
        <v>55.985101354020301</v>
      </c>
      <c r="AI3727">
        <v>91.135092948310202</v>
      </c>
      <c r="AJ3727">
        <v>87.381645584326904</v>
      </c>
      <c r="AK3727">
        <v>56.054611426978603</v>
      </c>
      <c r="AL3727">
        <v>87.573024945774307</v>
      </c>
      <c r="AM3727">
        <v>90.335352338039101</v>
      </c>
      <c r="AN3727">
        <v>1.0000000092499901</v>
      </c>
    </row>
    <row r="3728" spans="1:40" x14ac:dyDescent="0.25">
      <c r="A3728" t="str">
        <f>"20190312160406997"</f>
        <v>20190312160406997</v>
      </c>
      <c r="B3728" t="str">
        <f>"1552377846988914"</f>
        <v>1552377846988914</v>
      </c>
      <c r="C3728" t="s">
        <v>40</v>
      </c>
      <c r="D3728">
        <v>5.2786010000000001</v>
      </c>
      <c r="E3728">
        <v>0.52212209999999903</v>
      </c>
      <c r="F3728" t="s">
        <v>79</v>
      </c>
      <c r="G3728">
        <v>-308.154</v>
      </c>
      <c r="H3728" s="1">
        <v>1.206869E-6</v>
      </c>
      <c r="I3728">
        <v>210.09469999999999</v>
      </c>
      <c r="J3728">
        <v>-361.61270000000002</v>
      </c>
      <c r="K3728">
        <v>1.11043799999999</v>
      </c>
      <c r="L3728">
        <v>212.2758</v>
      </c>
      <c r="M3728">
        <v>0.99985329999999994</v>
      </c>
      <c r="N3728">
        <v>0</v>
      </c>
      <c r="O3728">
        <v>9.3676220000000008E-3</v>
      </c>
      <c r="P3728">
        <v>0.99947790000000003</v>
      </c>
      <c r="Q3728">
        <v>2.8477740000000001E-2</v>
      </c>
      <c r="R3728">
        <v>1.526282E-2</v>
      </c>
      <c r="S3728">
        <v>3.0050349999999999</v>
      </c>
      <c r="T3728">
        <v>-6.206656E-2</v>
      </c>
      <c r="U3728">
        <v>-0.1217346</v>
      </c>
      <c r="V3728">
        <v>-5.9271619999999997E-3</v>
      </c>
      <c r="W3728">
        <v>4.2801470000000001E-2</v>
      </c>
      <c r="X3728">
        <v>0.99906600000000001</v>
      </c>
      <c r="Y3728">
        <v>4.9823539999999999E-2</v>
      </c>
      <c r="Z3728">
        <v>-7.0767429999999895E-4</v>
      </c>
      <c r="AA3728">
        <v>0.99875780000000003</v>
      </c>
      <c r="AB3728">
        <v>31</v>
      </c>
      <c r="AC3728">
        <v>53.4587</v>
      </c>
      <c r="AD3728">
        <v>-1.11043679313099</v>
      </c>
      <c r="AE3728">
        <v>-2.18110000000001</v>
      </c>
      <c r="AF3728">
        <v>2.68068195639967</v>
      </c>
      <c r="AG3728">
        <v>-1.11043679313099</v>
      </c>
      <c r="AH3728">
        <v>53.412912295974301</v>
      </c>
      <c r="AI3728">
        <v>91.189492064809698</v>
      </c>
      <c r="AJ3728">
        <v>87.126855786000405</v>
      </c>
      <c r="AK3728">
        <v>53.491665944896098</v>
      </c>
      <c r="AL3728">
        <v>87.5469069883126</v>
      </c>
      <c r="AM3728">
        <v>90.339914863344106</v>
      </c>
      <c r="AN3728">
        <v>0.99999998471976703</v>
      </c>
    </row>
    <row r="3729" spans="1:40" x14ac:dyDescent="0.25">
      <c r="A3729" t="str">
        <f>"20190312160407019"</f>
        <v>20190312160407019</v>
      </c>
      <c r="B3729" t="str">
        <f>"1552377847007964"</f>
        <v>1552377847007964</v>
      </c>
      <c r="C3729" t="s">
        <v>40</v>
      </c>
      <c r="D3729">
        <v>5.304678</v>
      </c>
      <c r="E3729">
        <v>0.52224609999999905</v>
      </c>
      <c r="F3729" t="s">
        <v>79</v>
      </c>
      <c r="G3729">
        <v>-307.15769999999998</v>
      </c>
      <c r="H3729" s="1">
        <v>1.383592E-6</v>
      </c>
      <c r="I3729">
        <v>209.9127</v>
      </c>
      <c r="J3729">
        <v>-361.31779999999998</v>
      </c>
      <c r="K3729">
        <v>1.110444</v>
      </c>
      <c r="L3729">
        <v>212.27889999999999</v>
      </c>
      <c r="M3729">
        <v>0.99985020000000002</v>
      </c>
      <c r="N3729">
        <v>0</v>
      </c>
      <c r="O3729">
        <v>9.6991330000000004E-3</v>
      </c>
      <c r="P3729">
        <v>0.99946550000000001</v>
      </c>
      <c r="Q3729">
        <v>2.8917000000000002E-2</v>
      </c>
      <c r="R3729">
        <v>1.5254159999999999E-2</v>
      </c>
      <c r="S3729">
        <v>3.0053100000000001</v>
      </c>
      <c r="T3729">
        <v>-6.1283829999999997E-2</v>
      </c>
      <c r="U3729">
        <v>-0.130416899999999</v>
      </c>
      <c r="V3729">
        <v>-5.5873889999999999E-3</v>
      </c>
      <c r="W3729">
        <v>4.3237850000000001E-2</v>
      </c>
      <c r="X3729">
        <v>0.99904919999999997</v>
      </c>
      <c r="Y3729">
        <v>5.3030620000000001E-2</v>
      </c>
      <c r="Z3729">
        <v>-7.3808399999999996E-4</v>
      </c>
      <c r="AA3729">
        <v>0.99859260000000005</v>
      </c>
      <c r="AB3729">
        <v>31</v>
      </c>
      <c r="AC3729">
        <v>54.1601</v>
      </c>
      <c r="AD3729">
        <v>-1.1104426164079999</v>
      </c>
      <c r="AE3729">
        <v>-2.3661999999999899</v>
      </c>
      <c r="AF3729">
        <v>2.8902360159930098</v>
      </c>
      <c r="AG3729">
        <v>-1.1104426164079999</v>
      </c>
      <c r="AH3729">
        <v>54.111895696248197</v>
      </c>
      <c r="AI3729">
        <v>91.173941932687498</v>
      </c>
      <c r="AJ3729">
        <v>86.942610938446407</v>
      </c>
      <c r="AK3729">
        <v>54.200404084048401</v>
      </c>
      <c r="AL3729">
        <v>87.521881167934197</v>
      </c>
      <c r="AM3729">
        <v>90.320435140237606</v>
      </c>
      <c r="AN3729">
        <v>1.00000001730454</v>
      </c>
    </row>
    <row r="3730" spans="1:40" x14ac:dyDescent="0.25">
      <c r="A3730" t="str">
        <f>"20190312160407042"</f>
        <v>20190312160407042</v>
      </c>
      <c r="B3730" t="str">
        <f>"1552377847038220"</f>
        <v>1552377847038220</v>
      </c>
      <c r="C3730" t="s">
        <v>40</v>
      </c>
      <c r="D3730">
        <v>5.2006730000000001</v>
      </c>
      <c r="E3730">
        <v>0.52282720000000005</v>
      </c>
      <c r="F3730" t="s">
        <v>79</v>
      </c>
      <c r="G3730">
        <v>-295.0727</v>
      </c>
      <c r="H3730" s="1">
        <v>1.8564459999999999E-6</v>
      </c>
      <c r="I3730">
        <v>209.38249999999999</v>
      </c>
      <c r="J3730">
        <v>-361.00970000000001</v>
      </c>
      <c r="K3730">
        <v>1.110444</v>
      </c>
      <c r="L3730">
        <v>212.28229999999999</v>
      </c>
      <c r="M3730">
        <v>0.99984689999999998</v>
      </c>
      <c r="N3730">
        <v>0</v>
      </c>
      <c r="O3730">
        <v>1.0045190000000001E-2</v>
      </c>
      <c r="P3730">
        <v>0.99944659999999996</v>
      </c>
      <c r="Q3730">
        <v>2.9323640000000002E-2</v>
      </c>
      <c r="R3730">
        <v>1.571036E-2</v>
      </c>
      <c r="S3730">
        <v>3.005096</v>
      </c>
      <c r="T3730">
        <v>-5.0373319999999999E-2</v>
      </c>
      <c r="U3730">
        <v>-0.13139339999999999</v>
      </c>
      <c r="V3730">
        <v>-5.6978089999999999E-3</v>
      </c>
      <c r="W3730">
        <v>4.3641840000000001E-2</v>
      </c>
      <c r="X3730">
        <v>0.999031</v>
      </c>
      <c r="Y3730">
        <v>5.3707289999999998E-2</v>
      </c>
      <c r="Z3730">
        <v>-6.1820720000000003E-4</v>
      </c>
      <c r="AA3730">
        <v>0.99855660000000002</v>
      </c>
      <c r="AB3730">
        <v>31</v>
      </c>
      <c r="AC3730">
        <v>65.936999999999998</v>
      </c>
      <c r="AD3730">
        <v>-1.1104421435539999</v>
      </c>
      <c r="AE3730">
        <v>-2.8997999999999902</v>
      </c>
      <c r="AF3730">
        <v>3.5610633155231999</v>
      </c>
      <c r="AG3730">
        <v>-1.1104421435539999</v>
      </c>
      <c r="AH3730">
        <v>65.885890146115202</v>
      </c>
      <c r="AI3730">
        <v>90.964165813152405</v>
      </c>
      <c r="AJ3730">
        <v>86.906233414350993</v>
      </c>
      <c r="AK3730">
        <v>65.9913992429112</v>
      </c>
      <c r="AL3730">
        <v>87.498712350343595</v>
      </c>
      <c r="AM3730">
        <v>90.326773512068598</v>
      </c>
      <c r="AN3730">
        <v>1.00000000709349</v>
      </c>
    </row>
    <row r="3731" spans="1:40" x14ac:dyDescent="0.25">
      <c r="A3731" t="str">
        <f>"20190312160407065"</f>
        <v>20190312160407065</v>
      </c>
      <c r="B3731" t="str">
        <f>"1552377847058717"</f>
        <v>1552377847058717</v>
      </c>
      <c r="C3731" t="s">
        <v>40</v>
      </c>
      <c r="D3731">
        <v>5.2659219999999998</v>
      </c>
      <c r="E3731">
        <v>0.52330219999999905</v>
      </c>
      <c r="F3731" t="s">
        <v>79</v>
      </c>
      <c r="G3731">
        <v>-288.3159</v>
      </c>
      <c r="H3731">
        <v>7.9999269999999997E-2</v>
      </c>
      <c r="I3731">
        <v>209.0189</v>
      </c>
      <c r="J3731">
        <v>-360.68389999999999</v>
      </c>
      <c r="K3731">
        <v>1.1104449999999999</v>
      </c>
      <c r="L3731">
        <v>212.286</v>
      </c>
      <c r="M3731">
        <v>0.99984320000000004</v>
      </c>
      <c r="N3731">
        <v>0</v>
      </c>
      <c r="O3731">
        <v>1.041133E-2</v>
      </c>
      <c r="P3731">
        <v>0.99942419999999998</v>
      </c>
      <c r="Q3731">
        <v>2.99273E-2</v>
      </c>
      <c r="R3731">
        <v>1.5985550000000001E-2</v>
      </c>
      <c r="S3731">
        <v>3.0050349999999999</v>
      </c>
      <c r="T3731">
        <v>-4.2596820000000001E-2</v>
      </c>
      <c r="U3731">
        <v>-0.134903</v>
      </c>
      <c r="V3731">
        <v>-5.608104E-3</v>
      </c>
      <c r="W3731">
        <v>4.4242070000000001E-2</v>
      </c>
      <c r="X3731">
        <v>0.99900509999999998</v>
      </c>
      <c r="Y3731">
        <v>5.5240049999999999E-2</v>
      </c>
      <c r="Z3731">
        <v>-5.3882339999999896E-4</v>
      </c>
      <c r="AA3731">
        <v>0.9984729</v>
      </c>
      <c r="AB3731">
        <v>31</v>
      </c>
      <c r="AC3731">
        <v>72.367999999999995</v>
      </c>
      <c r="AD3731">
        <v>-1.0304457300000001</v>
      </c>
      <c r="AE3731">
        <v>-3.2670999999999699</v>
      </c>
      <c r="AF3731">
        <v>4.0196340101449399</v>
      </c>
      <c r="AG3731">
        <v>-1.0304457300000001</v>
      </c>
      <c r="AH3731">
        <v>72.315426545015299</v>
      </c>
      <c r="AI3731">
        <v>90.815112637079693</v>
      </c>
      <c r="AJ3731">
        <v>86.818503018531601</v>
      </c>
      <c r="AK3731">
        <v>72.434385428230797</v>
      </c>
      <c r="AL3731">
        <v>87.464288437595698</v>
      </c>
      <c r="AM3731">
        <v>90.321637311982201</v>
      </c>
      <c r="AN3731">
        <v>1.0000000007071801</v>
      </c>
    </row>
    <row r="3732" spans="1:40" x14ac:dyDescent="0.25">
      <c r="A3732" t="str">
        <f>"20190312160407088"</f>
        <v>20190312160407088</v>
      </c>
      <c r="B3732" t="str">
        <f>"1552377847078236"</f>
        <v>1552377847078236</v>
      </c>
      <c r="C3732" t="s">
        <v>40</v>
      </c>
      <c r="D3732">
        <v>5.2214140000000002</v>
      </c>
      <c r="E3732">
        <v>0.52365439999999996</v>
      </c>
      <c r="F3732" t="s">
        <v>79</v>
      </c>
      <c r="G3732">
        <v>-282.14850000000001</v>
      </c>
      <c r="H3732">
        <v>7.9999669999999995E-2</v>
      </c>
      <c r="I3732">
        <v>208.6934</v>
      </c>
      <c r="J3732">
        <v>-360.37189999999998</v>
      </c>
      <c r="K3732">
        <v>1.110447</v>
      </c>
      <c r="L3732">
        <v>212.28960000000001</v>
      </c>
      <c r="M3732">
        <v>0.99983940000000004</v>
      </c>
      <c r="N3732">
        <v>0</v>
      </c>
      <c r="O3732">
        <v>1.0761919999999999E-2</v>
      </c>
      <c r="P3732">
        <v>0.99940759999999995</v>
      </c>
      <c r="Q3732">
        <v>3.0494380000000001E-2</v>
      </c>
      <c r="R3732">
        <v>1.5954880000000001E-2</v>
      </c>
      <c r="S3732">
        <v>3.005096</v>
      </c>
      <c r="T3732">
        <v>-3.9429190000000003E-2</v>
      </c>
      <c r="U3732">
        <v>-0.13746639999999999</v>
      </c>
      <c r="V3732">
        <v>-5.2273570000000002E-3</v>
      </c>
      <c r="W3732">
        <v>4.480609E-2</v>
      </c>
      <c r="X3732">
        <v>0.99898200000000004</v>
      </c>
      <c r="Y3732">
        <v>5.644002E-2</v>
      </c>
      <c r="Z3732">
        <v>-5.112049E-4</v>
      </c>
      <c r="AA3732">
        <v>0.99840589999999996</v>
      </c>
      <c r="AB3732">
        <v>31</v>
      </c>
      <c r="AC3732">
        <v>78.223399999999899</v>
      </c>
      <c r="AD3732">
        <v>-1.0304473300000001</v>
      </c>
      <c r="AE3732">
        <v>-3.5962000000000098</v>
      </c>
      <c r="AF3732">
        <v>4.4371437609015301</v>
      </c>
      <c r="AG3732">
        <v>-1.0304473300000001</v>
      </c>
      <c r="AH3732">
        <v>78.166627311983305</v>
      </c>
      <c r="AI3732">
        <v>90.754055645984593</v>
      </c>
      <c r="AJ3732">
        <v>86.751080619572605</v>
      </c>
      <c r="AK3732">
        <v>78.299244516057101</v>
      </c>
      <c r="AL3732">
        <v>87.431940322890497</v>
      </c>
      <c r="AM3732">
        <v>90.299807965076795</v>
      </c>
      <c r="AN3732">
        <v>0.99999997364314597</v>
      </c>
    </row>
    <row r="3733" spans="1:40" x14ac:dyDescent="0.25">
      <c r="A3733" t="str">
        <f>"20190312160407111"</f>
        <v>20190312160407111</v>
      </c>
      <c r="B3733" t="str">
        <f>"1552377847098735"</f>
        <v>1552377847098735</v>
      </c>
      <c r="C3733" t="s">
        <v>40</v>
      </c>
      <c r="D3733">
        <v>5.2709900000000003</v>
      </c>
      <c r="E3733">
        <v>0.52340750000000003</v>
      </c>
      <c r="F3733" t="s">
        <v>70</v>
      </c>
      <c r="G3733">
        <v>-277.99869999999999</v>
      </c>
      <c r="H3733">
        <v>8.0000849999999998E-2</v>
      </c>
      <c r="I3733">
        <v>208.4409</v>
      </c>
      <c r="J3733">
        <v>-360.06119999999999</v>
      </c>
      <c r="K3733">
        <v>1.1104540000000001</v>
      </c>
      <c r="L3733">
        <v>212.29329999999999</v>
      </c>
      <c r="M3733">
        <v>0.99983580000000005</v>
      </c>
      <c r="N3733">
        <v>0</v>
      </c>
      <c r="O3733">
        <v>1.11112E-2</v>
      </c>
      <c r="P3733">
        <v>0.99938020000000005</v>
      </c>
      <c r="Q3733">
        <v>3.1401940000000003E-2</v>
      </c>
      <c r="R3733">
        <v>1.591826E-2</v>
      </c>
      <c r="S3733">
        <v>3.005188</v>
      </c>
      <c r="T3733">
        <v>-3.7593359999999999E-2</v>
      </c>
      <c r="U3733">
        <v>-0.14041139999999999</v>
      </c>
      <c r="V3733">
        <v>-4.8422659999999996E-3</v>
      </c>
      <c r="W3733">
        <v>4.5710199999999999E-2</v>
      </c>
      <c r="X3733">
        <v>0.99894300000000003</v>
      </c>
      <c r="Y3733">
        <v>5.7764049999999997E-2</v>
      </c>
      <c r="Z3733">
        <v>-5.0002360000000004E-4</v>
      </c>
      <c r="AA3733">
        <v>0.9983301</v>
      </c>
      <c r="AB3733">
        <v>31</v>
      </c>
      <c r="AC3733">
        <v>82.0625</v>
      </c>
      <c r="AD3733">
        <v>-1.03045315</v>
      </c>
      <c r="AE3733">
        <v>-3.8523999999999798</v>
      </c>
      <c r="AF3733">
        <v>4.76331901174796</v>
      </c>
      <c r="AG3733">
        <v>-1.03045315</v>
      </c>
      <c r="AH3733">
        <v>82.001722650702504</v>
      </c>
      <c r="AI3733">
        <v>90.718743048056794</v>
      </c>
      <c r="AJ3733">
        <v>86.675536499399598</v>
      </c>
      <c r="AK3733">
        <v>82.146415377573007</v>
      </c>
      <c r="AL3733">
        <v>87.380085550480999</v>
      </c>
      <c r="AM3733">
        <v>90.277732795644397</v>
      </c>
      <c r="AN3733">
        <v>0.99999999358652703</v>
      </c>
    </row>
    <row r="3734" spans="1:40" x14ac:dyDescent="0.25">
      <c r="A3734" t="str">
        <f>"20190312160407143"</f>
        <v>20190312160407143</v>
      </c>
      <c r="B3734" t="str">
        <f>"1552377847138749"</f>
        <v>1552377847138749</v>
      </c>
      <c r="C3734" t="s">
        <v>40</v>
      </c>
      <c r="D3734">
        <v>5.1699869999999999</v>
      </c>
      <c r="E3734">
        <v>0.52129629999999905</v>
      </c>
      <c r="F3734" t="s">
        <v>70</v>
      </c>
      <c r="G3734">
        <v>-269.52420000000001</v>
      </c>
      <c r="H3734">
        <v>8.0000420000000003E-2</v>
      </c>
      <c r="I3734">
        <v>208.12010000000001</v>
      </c>
      <c r="J3734">
        <v>-359.6096</v>
      </c>
      <c r="K3734">
        <v>1.1104560000000001</v>
      </c>
      <c r="L3734">
        <v>212.2989</v>
      </c>
      <c r="M3734">
        <v>0.99983010000000005</v>
      </c>
      <c r="N3734">
        <v>0</v>
      </c>
      <c r="O3734">
        <v>1.162023E-2</v>
      </c>
      <c r="P3734">
        <v>0.99937390000000004</v>
      </c>
      <c r="Q3734">
        <v>3.1766540000000003E-2</v>
      </c>
      <c r="R3734">
        <v>1.558883E-2</v>
      </c>
      <c r="S3734">
        <v>3.0051570000000001</v>
      </c>
      <c r="T3734">
        <v>-3.4203409999999997E-2</v>
      </c>
      <c r="U3734">
        <v>-0.13851930000000001</v>
      </c>
      <c r="V3734">
        <v>-4.0043279999999997E-3</v>
      </c>
      <c r="W3734">
        <v>4.6070300000000002E-2</v>
      </c>
      <c r="X3734">
        <v>0.99893019999999999</v>
      </c>
      <c r="Y3734">
        <v>5.7646469999999998E-2</v>
      </c>
      <c r="Z3734">
        <v>-4.6007109999999997E-4</v>
      </c>
      <c r="AA3734">
        <v>0.99833700000000003</v>
      </c>
      <c r="AB3734">
        <v>31</v>
      </c>
      <c r="AC3734">
        <v>90.085400000000007</v>
      </c>
      <c r="AD3734">
        <v>-1.0304555799999999</v>
      </c>
      <c r="AE3734">
        <v>-4.1787999999999901</v>
      </c>
      <c r="AF3734">
        <v>5.2247558949283599</v>
      </c>
      <c r="AG3734">
        <v>-1.0304555799999999</v>
      </c>
      <c r="AH3734">
        <v>90.018999810418507</v>
      </c>
      <c r="AI3734">
        <v>90.654739501056198</v>
      </c>
      <c r="AJ3734">
        <v>86.678245794614995</v>
      </c>
      <c r="AK3734">
        <v>90.176384046667494</v>
      </c>
      <c r="AL3734">
        <v>87.359431666016107</v>
      </c>
      <c r="AM3734">
        <v>90.2296755722152</v>
      </c>
      <c r="AN3734">
        <v>1.0000000258284301</v>
      </c>
    </row>
    <row r="3735" spans="1:40" x14ac:dyDescent="0.25">
      <c r="A3735" t="str">
        <f>"20190312160407166"</f>
        <v>20190312160407166</v>
      </c>
      <c r="B3735" t="str">
        <f>"1552377847158275"</f>
        <v>1552377847158275</v>
      </c>
      <c r="C3735" t="s">
        <v>40</v>
      </c>
      <c r="D3735">
        <v>5.1570159999999996</v>
      </c>
      <c r="E3735">
        <v>0.52057140000000002</v>
      </c>
      <c r="F3735" t="s">
        <v>70</v>
      </c>
      <c r="G3735">
        <v>-266.02</v>
      </c>
      <c r="H3735">
        <v>8.0001429999999998E-2</v>
      </c>
      <c r="I3735">
        <v>208.4736</v>
      </c>
      <c r="J3735">
        <v>-359.30790000000002</v>
      </c>
      <c r="K3735">
        <v>1.1104590000000001</v>
      </c>
      <c r="L3735">
        <v>212.30279999999999</v>
      </c>
      <c r="M3735">
        <v>0.99982610000000005</v>
      </c>
      <c r="N3735">
        <v>0</v>
      </c>
      <c r="O3735">
        <v>1.196501E-2</v>
      </c>
      <c r="P3735">
        <v>0.9993725</v>
      </c>
      <c r="Q3735">
        <v>3.1692819999999997E-2</v>
      </c>
      <c r="R3735">
        <v>1.5827609999999999E-2</v>
      </c>
      <c r="S3735">
        <v>3.0048219999999999</v>
      </c>
      <c r="T3735">
        <v>-3.308415E-2</v>
      </c>
      <c r="U3735">
        <v>-0.122818</v>
      </c>
      <c r="V3735">
        <v>-3.8985980000000001E-3</v>
      </c>
      <c r="W3735">
        <v>4.5993140000000002E-2</v>
      </c>
      <c r="X3735">
        <v>0.99893410000000005</v>
      </c>
      <c r="Y3735">
        <v>5.2788950000000001E-2</v>
      </c>
      <c r="Z3735">
        <v>-4.2218170000000001E-4</v>
      </c>
      <c r="AA3735">
        <v>0.99860559999999998</v>
      </c>
      <c r="AB3735">
        <v>31</v>
      </c>
      <c r="AC3735">
        <v>93.287899999999993</v>
      </c>
      <c r="AD3735">
        <v>-1.03045757</v>
      </c>
      <c r="AE3735">
        <v>-3.8291999999999802</v>
      </c>
      <c r="AF3735">
        <v>4.9446284029914898</v>
      </c>
      <c r="AG3735">
        <v>-1.03045757</v>
      </c>
      <c r="AH3735">
        <v>93.224044169738704</v>
      </c>
      <c r="AI3735">
        <v>90.632407678079403</v>
      </c>
      <c r="AJ3735">
        <v>86.963861454463</v>
      </c>
      <c r="AK3735">
        <v>93.360771227580599</v>
      </c>
      <c r="AL3735">
        <v>87.3638571049364</v>
      </c>
      <c r="AM3735">
        <v>90.2236104236746</v>
      </c>
      <c r="AN3735">
        <v>0.99999995206811598</v>
      </c>
    </row>
    <row r="3736" spans="1:40" x14ac:dyDescent="0.25">
      <c r="A3736" t="str">
        <f>"20190312160407188"</f>
        <v>20190312160407188</v>
      </c>
      <c r="B3736" t="str">
        <f>"1552377847178764"</f>
        <v>1552377847178764</v>
      </c>
      <c r="C3736" t="s">
        <v>40</v>
      </c>
      <c r="D3736">
        <v>5.1609970000000001</v>
      </c>
      <c r="E3736">
        <v>0.51991140000000002</v>
      </c>
      <c r="F3736" t="s">
        <v>70</v>
      </c>
      <c r="G3736">
        <v>-270.25740000000002</v>
      </c>
      <c r="H3736">
        <v>8.0001639999999999E-2</v>
      </c>
      <c r="I3736">
        <v>208.85390000000001</v>
      </c>
      <c r="J3736">
        <v>-359.00240000000002</v>
      </c>
      <c r="K3736">
        <v>1.1104609999999999</v>
      </c>
      <c r="L3736">
        <v>212.30680000000001</v>
      </c>
      <c r="M3736">
        <v>0.99982179999999998</v>
      </c>
      <c r="N3736">
        <v>0</v>
      </c>
      <c r="O3736">
        <v>1.232452E-2</v>
      </c>
      <c r="P3736">
        <v>0.99937529999999997</v>
      </c>
      <c r="Q3736">
        <v>3.1588949999999998E-2</v>
      </c>
      <c r="R3736">
        <v>1.5857929999999999E-2</v>
      </c>
      <c r="S3736">
        <v>3.0048520000000001</v>
      </c>
      <c r="T3736">
        <v>-3.4770969999999998E-2</v>
      </c>
      <c r="U3736">
        <v>-0.1163788</v>
      </c>
      <c r="V3736">
        <v>-3.5694720000000002E-3</v>
      </c>
      <c r="W3736">
        <v>4.5885960000000003E-2</v>
      </c>
      <c r="X3736">
        <v>0.9989403</v>
      </c>
      <c r="Y3736">
        <v>5.1010649999999998E-2</v>
      </c>
      <c r="Z3736">
        <v>-4.3759380000000001E-4</v>
      </c>
      <c r="AA3736">
        <v>0.99869799999999997</v>
      </c>
      <c r="AB3736">
        <v>31</v>
      </c>
      <c r="AC3736">
        <v>88.745000000000005</v>
      </c>
      <c r="AD3736">
        <v>-1.03045936</v>
      </c>
      <c r="AE3736">
        <v>-3.4529000000000001</v>
      </c>
      <c r="AF3736">
        <v>4.5458770884005801</v>
      </c>
      <c r="AG3736">
        <v>-1.03045936</v>
      </c>
      <c r="AH3736">
        <v>88.683759960263302</v>
      </c>
      <c r="AI3736">
        <v>90.664844527637698</v>
      </c>
      <c r="AJ3736">
        <v>87.065620482096193</v>
      </c>
      <c r="AK3736">
        <v>88.806171664389694</v>
      </c>
      <c r="AL3736">
        <v>87.370004664192805</v>
      </c>
      <c r="AM3736">
        <v>90.204731764516794</v>
      </c>
      <c r="AN3736">
        <v>0.99999999270978501</v>
      </c>
    </row>
    <row r="3737" spans="1:40" x14ac:dyDescent="0.25">
      <c r="A3737" t="str">
        <f>"20190312160407209"</f>
        <v>20190312160407209</v>
      </c>
      <c r="B3737" t="str">
        <f>"1552377847198284"</f>
        <v>1552377847198284</v>
      </c>
      <c r="C3737" t="s">
        <v>40</v>
      </c>
      <c r="D3737">
        <v>5.1366250000000004</v>
      </c>
      <c r="E3737">
        <v>0.51929820000000004</v>
      </c>
      <c r="F3737" t="s">
        <v>70</v>
      </c>
      <c r="G3737">
        <v>-272.64370000000002</v>
      </c>
      <c r="H3737">
        <v>8.0000920000000003E-2</v>
      </c>
      <c r="I3737">
        <v>209.119</v>
      </c>
      <c r="J3737">
        <v>-358.71379999999999</v>
      </c>
      <c r="K3737">
        <v>1.1104689999999999</v>
      </c>
      <c r="L3737">
        <v>212.3108</v>
      </c>
      <c r="M3737">
        <v>0.99981730000000002</v>
      </c>
      <c r="N3737">
        <v>0</v>
      </c>
      <c r="O3737">
        <v>1.267916E-2</v>
      </c>
      <c r="P3737">
        <v>0.99936650000000005</v>
      </c>
      <c r="Q3737">
        <v>3.1903260000000003E-2</v>
      </c>
      <c r="R3737">
        <v>1.5783160000000001E-2</v>
      </c>
      <c r="S3737">
        <v>3.0047609999999998</v>
      </c>
      <c r="T3737">
        <v>-3.5853740000000002E-2</v>
      </c>
      <c r="U3737">
        <v>-0.1109161</v>
      </c>
      <c r="V3737">
        <v>-3.14168E-3</v>
      </c>
      <c r="W3737">
        <v>4.6197490000000001E-2</v>
      </c>
      <c r="X3737">
        <v>0.99892740000000002</v>
      </c>
      <c r="Y3737">
        <v>4.9552779999999998E-2</v>
      </c>
      <c r="Z3737">
        <v>-4.4678449999999999E-4</v>
      </c>
      <c r="AA3737">
        <v>0.99877139999999998</v>
      </c>
      <c r="AB3737">
        <v>31</v>
      </c>
      <c r="AC3737">
        <v>86.070099999999897</v>
      </c>
      <c r="AD3737">
        <v>-1.0304680799999999</v>
      </c>
      <c r="AE3737">
        <v>-3.19179999999997</v>
      </c>
      <c r="AF3737">
        <v>4.2823386241427697</v>
      </c>
      <c r="AG3737">
        <v>-1.0304680799999999</v>
      </c>
      <c r="AH3737">
        <v>86.010394744682699</v>
      </c>
      <c r="AI3737">
        <v>90.685563815003704</v>
      </c>
      <c r="AJ3737">
        <v>87.149676037223898</v>
      </c>
      <c r="AK3737">
        <v>86.123099646330999</v>
      </c>
      <c r="AL3737">
        <v>87.352136418123706</v>
      </c>
      <c r="AM3737">
        <v>90.180197691129493</v>
      </c>
      <c r="AN3737">
        <v>1.00000001435314</v>
      </c>
    </row>
    <row r="3738" spans="1:40" x14ac:dyDescent="0.25">
      <c r="A3738" t="str">
        <f>"20190312160407231"</f>
        <v>20190312160407231</v>
      </c>
      <c r="B3738" t="str">
        <f>"1552377847228540"</f>
        <v>1552377847228540</v>
      </c>
      <c r="C3738" t="s">
        <v>40</v>
      </c>
      <c r="D3738">
        <v>5.1517379999999999</v>
      </c>
      <c r="E3738">
        <v>0.51841999999999999</v>
      </c>
      <c r="F3738" t="s">
        <v>70</v>
      </c>
      <c r="G3738">
        <v>-271.44240000000002</v>
      </c>
      <c r="H3738">
        <v>8.0001279999999994E-2</v>
      </c>
      <c r="I3738">
        <v>209.2302</v>
      </c>
      <c r="J3738">
        <v>-358.40600000000001</v>
      </c>
      <c r="K3738">
        <v>1.1104849999999999</v>
      </c>
      <c r="L3738">
        <v>212.3151</v>
      </c>
      <c r="M3738">
        <v>0.99981229999999999</v>
      </c>
      <c r="N3738">
        <v>0</v>
      </c>
      <c r="O3738">
        <v>1.307197E-2</v>
      </c>
      <c r="P3738">
        <v>0.99934109999999998</v>
      </c>
      <c r="Q3738">
        <v>3.2427549999999999E-2</v>
      </c>
      <c r="R3738">
        <v>1.629678E-2</v>
      </c>
      <c r="S3738">
        <v>3.0047000000000001</v>
      </c>
      <c r="T3738">
        <v>-3.5478349999999999E-2</v>
      </c>
      <c r="U3738">
        <v>-0.1060638</v>
      </c>
      <c r="V3738">
        <v>-3.2644929999999998E-3</v>
      </c>
      <c r="W3738">
        <v>4.671811E-2</v>
      </c>
      <c r="X3738">
        <v>0.99890279999999998</v>
      </c>
      <c r="Y3738">
        <v>4.833523E-2</v>
      </c>
      <c r="Z3738">
        <v>-4.395801E-4</v>
      </c>
      <c r="AA3738">
        <v>0.99883109999999997</v>
      </c>
      <c r="AB3738">
        <v>31</v>
      </c>
      <c r="AC3738">
        <v>86.9635999999999</v>
      </c>
      <c r="AD3738">
        <v>-1.0304837200000001</v>
      </c>
      <c r="AE3738">
        <v>-3.0849000000000002</v>
      </c>
      <c r="AF3738">
        <v>4.2209462535912898</v>
      </c>
      <c r="AG3738">
        <v>-1.0304837200000001</v>
      </c>
      <c r="AH3738">
        <v>86.903651240707106</v>
      </c>
      <c r="AI3738">
        <v>90.678568620642693</v>
      </c>
      <c r="AJ3738">
        <v>87.219305569294704</v>
      </c>
      <c r="AK3738">
        <v>87.012199621313698</v>
      </c>
      <c r="AL3738">
        <v>87.322274865122594</v>
      </c>
      <c r="AM3738">
        <v>90.187246452072003</v>
      </c>
      <c r="AN3738">
        <v>1.00000002128217</v>
      </c>
    </row>
    <row r="3739" spans="1:40" x14ac:dyDescent="0.25">
      <c r="A3739" t="str">
        <f>"20190312160407254"</f>
        <v>20190312160407254</v>
      </c>
      <c r="B3739" t="str">
        <f>"1552377847248060"</f>
        <v>1552377847248060</v>
      </c>
      <c r="C3739" t="s">
        <v>40</v>
      </c>
      <c r="D3739">
        <v>5.1166809999999998</v>
      </c>
      <c r="E3739">
        <v>0.51795290000000005</v>
      </c>
      <c r="F3739" t="s">
        <v>70</v>
      </c>
      <c r="G3739">
        <v>-269.43579999999997</v>
      </c>
      <c r="H3739">
        <v>8.0000390000000005E-2</v>
      </c>
      <c r="I3739">
        <v>209.42930000000001</v>
      </c>
      <c r="J3739">
        <v>-358.09210000000002</v>
      </c>
      <c r="K3739">
        <v>1.1104989999999999</v>
      </c>
      <c r="L3739">
        <v>212.31970000000001</v>
      </c>
      <c r="M3739">
        <v>0.99980670000000005</v>
      </c>
      <c r="N3739">
        <v>0</v>
      </c>
      <c r="O3739">
        <v>1.349301E-2</v>
      </c>
      <c r="P3739">
        <v>0.99932940000000003</v>
      </c>
      <c r="Q3739">
        <v>3.2524860000000003E-2</v>
      </c>
      <c r="R3739">
        <v>1.6816390000000001E-2</v>
      </c>
      <c r="S3739">
        <v>3.0047000000000001</v>
      </c>
      <c r="T3739">
        <v>-3.4801480000000003E-2</v>
      </c>
      <c r="U3739">
        <v>-9.7457890000000005E-2</v>
      </c>
      <c r="V3739">
        <v>-3.3654570000000001E-3</v>
      </c>
      <c r="W3739">
        <v>4.681242E-2</v>
      </c>
      <c r="X3739">
        <v>0.99889799999999995</v>
      </c>
      <c r="Y3739">
        <v>4.5898479999999998E-2</v>
      </c>
      <c r="Z3739">
        <v>-4.2198289999999998E-4</v>
      </c>
      <c r="AA3739">
        <v>0.998946</v>
      </c>
      <c r="AB3739">
        <v>31</v>
      </c>
      <c r="AC3739">
        <v>88.656300000000002</v>
      </c>
      <c r="AD3739">
        <v>-1.03049861</v>
      </c>
      <c r="AE3739">
        <v>-2.8904000000000001</v>
      </c>
      <c r="AF3739">
        <v>4.0859480455722599</v>
      </c>
      <c r="AG3739">
        <v>-1.03049861</v>
      </c>
      <c r="AH3739">
        <v>88.597266016132494</v>
      </c>
      <c r="AI3739">
        <v>90.665685078858104</v>
      </c>
      <c r="AJ3739">
        <v>87.359491701821696</v>
      </c>
      <c r="AK3739">
        <v>88.697420731099399</v>
      </c>
      <c r="AL3739">
        <v>87.316865248617404</v>
      </c>
      <c r="AM3739">
        <v>90.193038481033</v>
      </c>
      <c r="AN3739">
        <v>0.999999971685537</v>
      </c>
    </row>
    <row r="3740" spans="1:40" x14ac:dyDescent="0.25">
      <c r="A3740" t="str">
        <f>"20190312160407278"</f>
        <v>20190312160407278</v>
      </c>
      <c r="B3740" t="str">
        <f>"1552377847268556"</f>
        <v>1552377847268556</v>
      </c>
      <c r="C3740" t="s">
        <v>40</v>
      </c>
      <c r="D3740">
        <v>5.1613819999999997</v>
      </c>
      <c r="E3740">
        <v>0.51760099999999998</v>
      </c>
      <c r="F3740" t="s">
        <v>70</v>
      </c>
      <c r="G3740">
        <v>-269.57400000000001</v>
      </c>
      <c r="H3740">
        <v>6.1732750000000003E-2</v>
      </c>
      <c r="I3740">
        <v>209.6046</v>
      </c>
      <c r="J3740">
        <v>-357.77870000000001</v>
      </c>
      <c r="K3740">
        <v>1.1105179999999999</v>
      </c>
      <c r="L3740">
        <v>212.3244</v>
      </c>
      <c r="M3740">
        <v>0.99980080000000005</v>
      </c>
      <c r="N3740">
        <v>0</v>
      </c>
      <c r="O3740">
        <v>1.39381E-2</v>
      </c>
      <c r="P3740">
        <v>0.9993223</v>
      </c>
      <c r="Q3740">
        <v>3.2715210000000002E-2</v>
      </c>
      <c r="R3740">
        <v>1.6895819999999999E-2</v>
      </c>
      <c r="S3740">
        <v>3.0047299999999999</v>
      </c>
      <c r="T3740">
        <v>-3.5600189999999997E-2</v>
      </c>
      <c r="U3740">
        <v>-9.2163090000000003E-2</v>
      </c>
      <c r="V3740">
        <v>-3.002481E-3</v>
      </c>
      <c r="W3740">
        <v>4.699913E-2</v>
      </c>
      <c r="X3740">
        <v>0.99889039999999996</v>
      </c>
      <c r="Y3740">
        <v>4.4584140000000001E-2</v>
      </c>
      <c r="Z3740">
        <v>-4.2916260000000001E-4</v>
      </c>
      <c r="AA3740">
        <v>0.99900560000000005</v>
      </c>
      <c r="AB3740">
        <v>30</v>
      </c>
      <c r="AC3740">
        <v>88.204700000000003</v>
      </c>
      <c r="AD3740">
        <v>-1.0487852499999999</v>
      </c>
      <c r="AE3740">
        <v>-2.71979999999999</v>
      </c>
      <c r="AF3740">
        <v>3.9485094352260699</v>
      </c>
      <c r="AG3740">
        <v>-1.0487852499999999</v>
      </c>
      <c r="AH3740">
        <v>88.145767070078904</v>
      </c>
      <c r="AI3740">
        <v>90.681007658694</v>
      </c>
      <c r="AJ3740">
        <v>87.435137331423405</v>
      </c>
      <c r="AK3740">
        <v>88.240392846095702</v>
      </c>
      <c r="AL3740">
        <v>87.306155793818405</v>
      </c>
      <c r="AM3740">
        <v>90.172220066665403</v>
      </c>
      <c r="AN3740">
        <v>0.99999998216253505</v>
      </c>
    </row>
    <row r="3741" spans="1:40" x14ac:dyDescent="0.25">
      <c r="A3741" t="str">
        <f>"20190312160407300"</f>
        <v>20190312160407300</v>
      </c>
      <c r="B3741" t="str">
        <f>"1552377847288076"</f>
        <v>1552377847288076</v>
      </c>
      <c r="C3741" t="s">
        <v>40</v>
      </c>
      <c r="D3741">
        <v>5.1456999999999997</v>
      </c>
      <c r="E3741">
        <v>0.51723169999999996</v>
      </c>
      <c r="F3741" t="s">
        <v>70</v>
      </c>
      <c r="G3741">
        <v>-266.63729999999998</v>
      </c>
      <c r="H3741">
        <v>3.243985E-3</v>
      </c>
      <c r="I3741">
        <v>209.6163</v>
      </c>
      <c r="J3741">
        <v>-357.47460000000001</v>
      </c>
      <c r="K3741">
        <v>1.110533</v>
      </c>
      <c r="L3741">
        <v>212.32910000000001</v>
      </c>
      <c r="M3741">
        <v>0.99979439999999997</v>
      </c>
      <c r="N3741">
        <v>0</v>
      </c>
      <c r="O3741">
        <v>1.439555E-2</v>
      </c>
      <c r="P3741">
        <v>0.99932430000000005</v>
      </c>
      <c r="Q3741">
        <v>3.2431979999999999E-2</v>
      </c>
      <c r="R3741">
        <v>1.7298089999999999E-2</v>
      </c>
      <c r="S3741">
        <v>3.0047299999999999</v>
      </c>
      <c r="T3741">
        <v>-3.6504389999999998E-2</v>
      </c>
      <c r="U3741">
        <v>-8.9279170000000005E-2</v>
      </c>
      <c r="V3741">
        <v>-2.9486970000000001E-3</v>
      </c>
      <c r="W3741">
        <v>4.6712860000000002E-2</v>
      </c>
      <c r="X3741">
        <v>0.99890400000000001</v>
      </c>
      <c r="Y3741">
        <v>4.408306E-2</v>
      </c>
      <c r="Z3741">
        <v>-4.4258189999999998E-4</v>
      </c>
      <c r="AA3741">
        <v>0.99902780000000002</v>
      </c>
      <c r="AB3741">
        <v>30</v>
      </c>
      <c r="AC3741">
        <v>90.837299999999999</v>
      </c>
      <c r="AD3741">
        <v>-1.1072890150000001</v>
      </c>
      <c r="AE3741">
        <v>-2.7128000000000099</v>
      </c>
      <c r="AF3741">
        <v>4.0197083236653697</v>
      </c>
      <c r="AG3741">
        <v>-1.1072890150000001</v>
      </c>
      <c r="AH3741">
        <v>90.775352757016293</v>
      </c>
      <c r="AI3741">
        <v>90.698182239712693</v>
      </c>
      <c r="AJ3741">
        <v>87.464488402779807</v>
      </c>
      <c r="AK3741">
        <v>90.871055964651504</v>
      </c>
      <c r="AL3741">
        <v>87.322575922712304</v>
      </c>
      <c r="AM3741">
        <v>90.169132771951496</v>
      </c>
      <c r="AN3741">
        <v>0.99999999365968795</v>
      </c>
    </row>
    <row r="3742" spans="1:40" x14ac:dyDescent="0.25">
      <c r="A3742" t="str">
        <f>"20190312160407321"</f>
        <v>20190312160407321</v>
      </c>
      <c r="B3742" t="str">
        <f>"1552377847318333"</f>
        <v>1552377847318333</v>
      </c>
      <c r="C3742" t="s">
        <v>40</v>
      </c>
      <c r="D3742">
        <v>5.1364869999999998</v>
      </c>
      <c r="E3742">
        <v>0.5167136</v>
      </c>
      <c r="F3742" t="s">
        <v>70</v>
      </c>
      <c r="G3742">
        <v>-270.34750000000003</v>
      </c>
      <c r="H3742" s="1">
        <v>-1.1442960000000001E-6</v>
      </c>
      <c r="I3742">
        <v>209.8682</v>
      </c>
      <c r="J3742">
        <v>-357.19369999999998</v>
      </c>
      <c r="K3742">
        <v>1.1105419999999999</v>
      </c>
      <c r="L3742">
        <v>212.33359999999999</v>
      </c>
      <c r="M3742">
        <v>0.99978769999999995</v>
      </c>
      <c r="N3742">
        <v>0</v>
      </c>
      <c r="O3742">
        <v>1.4839929999999999E-2</v>
      </c>
      <c r="P3742">
        <v>0.99930929999999996</v>
      </c>
      <c r="Q3742">
        <v>3.2320660000000001E-2</v>
      </c>
      <c r="R3742">
        <v>1.833864E-2</v>
      </c>
      <c r="S3742">
        <v>3.0047299999999999</v>
      </c>
      <c r="T3742">
        <v>-3.8298730000000003E-2</v>
      </c>
      <c r="U3742">
        <v>-8.4869379999999994E-2</v>
      </c>
      <c r="V3742">
        <v>-3.5464910000000001E-3</v>
      </c>
      <c r="W3742">
        <v>4.6598550000000002E-2</v>
      </c>
      <c r="X3742">
        <v>0.9989074</v>
      </c>
      <c r="Y3742">
        <v>4.3061719999999998E-2</v>
      </c>
      <c r="Z3742">
        <v>-4.635002E-4</v>
      </c>
      <c r="AA3742">
        <v>0.99907230000000002</v>
      </c>
      <c r="AB3742">
        <v>30</v>
      </c>
      <c r="AC3742">
        <v>86.846199999999897</v>
      </c>
      <c r="AD3742">
        <v>-1.1105431442960001</v>
      </c>
      <c r="AE3742">
        <v>-2.4653999999999798</v>
      </c>
      <c r="AF3742">
        <v>3.75343841357149</v>
      </c>
      <c r="AG3742">
        <v>-1.1105431442960001</v>
      </c>
      <c r="AH3742">
        <v>86.785864885442706</v>
      </c>
      <c r="AI3742">
        <v>90.732452753365195</v>
      </c>
      <c r="AJ3742">
        <v>87.523534023511203</v>
      </c>
      <c r="AK3742">
        <v>86.874092512751602</v>
      </c>
      <c r="AL3742">
        <v>87.329132555194207</v>
      </c>
      <c r="AM3742">
        <v>90.203420369700495</v>
      </c>
      <c r="AN3742">
        <v>0.99999999811763696</v>
      </c>
    </row>
    <row r="3743" spans="1:40" x14ac:dyDescent="0.25">
      <c r="A3743" t="str">
        <f>"20190312160407343"</f>
        <v>20190312160407343</v>
      </c>
      <c r="B3743" t="str">
        <f>"1552377847338829"</f>
        <v>1552377847338829</v>
      </c>
      <c r="C3743" t="s">
        <v>40</v>
      </c>
      <c r="D3743">
        <v>5.1236430000000004</v>
      </c>
      <c r="E3743">
        <v>0.51640249999999999</v>
      </c>
      <c r="F3743" t="s">
        <v>70</v>
      </c>
      <c r="G3743">
        <v>-268.4599</v>
      </c>
      <c r="H3743" s="1">
        <v>3.165415E-6</v>
      </c>
      <c r="I3743">
        <v>210.035</v>
      </c>
      <c r="J3743">
        <v>-356.8809</v>
      </c>
      <c r="K3743">
        <v>1.110565</v>
      </c>
      <c r="L3743">
        <v>212.33879999999999</v>
      </c>
      <c r="M3743">
        <v>0.99978020000000001</v>
      </c>
      <c r="N3743">
        <v>0</v>
      </c>
      <c r="O3743">
        <v>1.5355199999999999E-2</v>
      </c>
      <c r="P3743">
        <v>0.99927909999999998</v>
      </c>
      <c r="Q3743">
        <v>3.238336E-2</v>
      </c>
      <c r="R3743">
        <v>1.982418E-2</v>
      </c>
      <c r="S3743">
        <v>3.0047299999999999</v>
      </c>
      <c r="T3743">
        <v>-3.7605399999999997E-2</v>
      </c>
      <c r="U3743">
        <v>-7.7835080000000001E-2</v>
      </c>
      <c r="V3743">
        <v>-4.5195900000000004E-3</v>
      </c>
      <c r="W3743">
        <v>4.6656660000000003E-2</v>
      </c>
      <c r="X3743">
        <v>0.99890080000000003</v>
      </c>
      <c r="Y3743">
        <v>4.1239629999999999E-2</v>
      </c>
      <c r="Z3743">
        <v>-4.5017210000000002E-4</v>
      </c>
      <c r="AA3743">
        <v>0.99914919999999996</v>
      </c>
      <c r="AB3743">
        <v>30</v>
      </c>
      <c r="AC3743">
        <v>88.420999999999907</v>
      </c>
      <c r="AD3743">
        <v>-1.1105618345849999</v>
      </c>
      <c r="AE3743">
        <v>-2.3037999999999901</v>
      </c>
      <c r="AF3743">
        <v>3.6608117143986401</v>
      </c>
      <c r="AG3743">
        <v>-1.1105618345849999</v>
      </c>
      <c r="AH3743">
        <v>88.361264596117707</v>
      </c>
      <c r="AI3743">
        <v>90.719462602655696</v>
      </c>
      <c r="AJ3743">
        <v>87.627589675619603</v>
      </c>
      <c r="AK3743">
        <v>88.444038640384605</v>
      </c>
      <c r="AL3743">
        <v>87.3257995827381</v>
      </c>
      <c r="AM3743">
        <v>90.259236617971595</v>
      </c>
      <c r="AN3743">
        <v>1.0000000394283799</v>
      </c>
    </row>
    <row r="3744" spans="1:40" x14ac:dyDescent="0.25">
      <c r="A3744" t="str">
        <f>"20190312160407367"</f>
        <v>20190312160407367</v>
      </c>
      <c r="B3744" t="str">
        <f>"1552377847358354"</f>
        <v>1552377847358354</v>
      </c>
      <c r="C3744" t="s">
        <v>40</v>
      </c>
      <c r="D3744">
        <v>5.1505850000000004</v>
      </c>
      <c r="E3744">
        <v>0.5161036</v>
      </c>
      <c r="F3744" t="s">
        <v>70</v>
      </c>
      <c r="G3744">
        <v>-268.98540000000003</v>
      </c>
      <c r="H3744" s="1">
        <v>3.435125E-6</v>
      </c>
      <c r="I3744">
        <v>210.26159999999999</v>
      </c>
      <c r="J3744">
        <v>-356.56740000000002</v>
      </c>
      <c r="K3744">
        <v>1.1105769999999999</v>
      </c>
      <c r="L3744">
        <v>212.3442</v>
      </c>
      <c r="M3744">
        <v>0.99977179999999999</v>
      </c>
      <c r="N3744">
        <v>0</v>
      </c>
      <c r="O3744">
        <v>1.5888650000000001E-2</v>
      </c>
      <c r="P3744">
        <v>0.99928740000000005</v>
      </c>
      <c r="Q3744">
        <v>3.1562159999999999E-2</v>
      </c>
      <c r="R3744">
        <v>2.0707759999999999E-2</v>
      </c>
      <c r="S3744">
        <v>3.0048520000000001</v>
      </c>
      <c r="T3744">
        <v>-3.7966369999999999E-2</v>
      </c>
      <c r="U3744">
        <v>-7.1014399999999894E-2</v>
      </c>
      <c r="V3744">
        <v>-4.8708190000000002E-3</v>
      </c>
      <c r="W3744">
        <v>4.5832610000000003E-2</v>
      </c>
      <c r="X3744">
        <v>0.99893719999999997</v>
      </c>
      <c r="Y3744">
        <v>3.9505079999999998E-2</v>
      </c>
      <c r="Z3744">
        <v>-4.502698E-4</v>
      </c>
      <c r="AA3744">
        <v>0.99921919999999997</v>
      </c>
      <c r="AB3744">
        <v>30</v>
      </c>
      <c r="AC3744">
        <v>87.581999999999994</v>
      </c>
      <c r="AD3744">
        <v>-1.1105735648749999</v>
      </c>
      <c r="AE3744">
        <v>-2.08260000000001</v>
      </c>
      <c r="AF3744">
        <v>3.4734804961574399</v>
      </c>
      <c r="AG3744">
        <v>-1.1105735648749999</v>
      </c>
      <c r="AH3744">
        <v>87.523783780203203</v>
      </c>
      <c r="AI3744">
        <v>90.726405082636404</v>
      </c>
      <c r="AJ3744">
        <v>87.727344727058707</v>
      </c>
      <c r="AK3744">
        <v>87.599721275834796</v>
      </c>
      <c r="AL3744">
        <v>87.373064478199694</v>
      </c>
      <c r="AM3744">
        <v>90.279372076422206</v>
      </c>
      <c r="AN3744">
        <v>0.99999994128048897</v>
      </c>
    </row>
    <row r="3745" spans="1:40" x14ac:dyDescent="0.25">
      <c r="A3745" t="str">
        <f>"20190312160407389"</f>
        <v>20190312160407389</v>
      </c>
      <c r="B3745" t="str">
        <f>"1552377847378846"</f>
        <v>1552377847378846</v>
      </c>
      <c r="C3745" t="s">
        <v>40</v>
      </c>
      <c r="D3745">
        <v>5.2508759999999999</v>
      </c>
      <c r="E3745">
        <v>0.51628260000000004</v>
      </c>
      <c r="F3745" t="s">
        <v>70</v>
      </c>
      <c r="G3745">
        <v>-275.56740000000002</v>
      </c>
      <c r="H3745" s="1">
        <v>1.6030040000000001E-6</v>
      </c>
      <c r="I3745">
        <v>210.5652</v>
      </c>
      <c r="J3745">
        <v>-356.26740000000001</v>
      </c>
      <c r="K3745">
        <v>1.1105860000000001</v>
      </c>
      <c r="L3745">
        <v>212.34960000000001</v>
      </c>
      <c r="M3745">
        <v>0.99976350000000003</v>
      </c>
      <c r="N3745">
        <v>0</v>
      </c>
      <c r="O3745">
        <v>1.6411519999999999E-2</v>
      </c>
      <c r="P3745">
        <v>0.99930229999999998</v>
      </c>
      <c r="Q3745">
        <v>3.0386989999999999E-2</v>
      </c>
      <c r="R3745">
        <v>2.172294E-2</v>
      </c>
      <c r="S3745">
        <v>3.004791</v>
      </c>
      <c r="T3745">
        <v>-4.1198129999999999E-2</v>
      </c>
      <c r="U3745">
        <v>-6.5994259999999999E-2</v>
      </c>
      <c r="V3745">
        <v>-5.3626780000000001E-3</v>
      </c>
      <c r="W3745">
        <v>4.4653650000000003E-2</v>
      </c>
      <c r="X3745">
        <v>0.99898819999999999</v>
      </c>
      <c r="Y3745">
        <v>3.8358839999999998E-2</v>
      </c>
      <c r="Z3745">
        <v>-4.8792440000000001E-4</v>
      </c>
      <c r="AA3745">
        <v>0.99926389999999998</v>
      </c>
      <c r="AB3745">
        <v>30</v>
      </c>
      <c r="AC3745">
        <v>80.699999999999903</v>
      </c>
      <c r="AD3745">
        <v>-1.1105843969959901</v>
      </c>
      <c r="AE3745">
        <v>-1.7844</v>
      </c>
      <c r="AF3745">
        <v>3.1081157879777499</v>
      </c>
      <c r="AG3745">
        <v>-1.1105843969959901</v>
      </c>
      <c r="AH3745">
        <v>80.6445757906978</v>
      </c>
      <c r="AI3745">
        <v>90.788404900242995</v>
      </c>
      <c r="AJ3745">
        <v>87.792860595729394</v>
      </c>
      <c r="AK3745">
        <v>80.712089465679995</v>
      </c>
      <c r="AL3745">
        <v>87.440683477008704</v>
      </c>
      <c r="AM3745">
        <v>90.307567061306599</v>
      </c>
      <c r="AN3745">
        <v>1.00000006525644</v>
      </c>
    </row>
    <row r="3746" spans="1:40" x14ac:dyDescent="0.25">
      <c r="A3746" t="str">
        <f>"20190312160407411"</f>
        <v>20190312160407411</v>
      </c>
      <c r="B3746" t="str">
        <f>"1552377847398365"</f>
        <v>1552377847398365</v>
      </c>
      <c r="C3746" t="s">
        <v>40</v>
      </c>
      <c r="D3746">
        <v>5.1418330000000001</v>
      </c>
      <c r="E3746">
        <v>0.54317130000000002</v>
      </c>
      <c r="F3746" t="s">
        <v>79</v>
      </c>
      <c r="G3746">
        <v>-282.78949999999998</v>
      </c>
      <c r="H3746" s="1">
        <v>6.3115880000000004E-6</v>
      </c>
      <c r="I3746">
        <v>210.77690000000001</v>
      </c>
      <c r="J3746">
        <v>-355.97750000000002</v>
      </c>
      <c r="K3746">
        <v>1.1105849999999999</v>
      </c>
      <c r="L3746">
        <v>212.35489999999999</v>
      </c>
      <c r="M3746">
        <v>0.99975480000000005</v>
      </c>
      <c r="N3746">
        <v>0</v>
      </c>
      <c r="O3746">
        <v>1.6922820000000002E-2</v>
      </c>
      <c r="P3746">
        <v>0.99930549999999996</v>
      </c>
      <c r="Q3746">
        <v>2.9765509999999998E-2</v>
      </c>
      <c r="R3746">
        <v>2.2422190000000002E-2</v>
      </c>
      <c r="S3746">
        <v>3.004883</v>
      </c>
      <c r="T3746">
        <v>-4.5417190000000003E-2</v>
      </c>
      <c r="U3746">
        <v>-6.4315800000000006E-2</v>
      </c>
      <c r="V3746">
        <v>-5.5505149999999998E-3</v>
      </c>
      <c r="W3746">
        <v>4.4029600000000002E-2</v>
      </c>
      <c r="X3746">
        <v>0.99901479999999998</v>
      </c>
      <c r="Y3746">
        <v>3.8310160000000003E-2</v>
      </c>
      <c r="Z3746">
        <v>-5.45233E-4</v>
      </c>
      <c r="AA3746">
        <v>0.99926570000000003</v>
      </c>
      <c r="AB3746">
        <v>30</v>
      </c>
      <c r="AC3746">
        <v>73.188000000000002</v>
      </c>
      <c r="AD3746">
        <v>-1.1105786884119999</v>
      </c>
      <c r="AE3746">
        <v>-1.5779999999999701</v>
      </c>
      <c r="AF3746">
        <v>2.8157995924186001</v>
      </c>
      <c r="AG3746">
        <v>-1.1105786884119999</v>
      </c>
      <c r="AH3746">
        <v>73.133978299764294</v>
      </c>
      <c r="AI3746">
        <v>90.869356245632005</v>
      </c>
      <c r="AJ3746">
        <v>87.795090777060395</v>
      </c>
      <c r="AK3746">
        <v>73.196590728791506</v>
      </c>
      <c r="AL3746">
        <v>87.476473924842594</v>
      </c>
      <c r="AM3746">
        <v>90.318331431478796</v>
      </c>
      <c r="AN3746">
        <v>0.99999999225598202</v>
      </c>
    </row>
    <row r="3747" spans="1:40" x14ac:dyDescent="0.25">
      <c r="A3747" t="str">
        <f>"20190312160407433"</f>
        <v>20190312160407433</v>
      </c>
      <c r="B3747" t="str">
        <f>"1552377847428620"</f>
        <v>1552377847428620</v>
      </c>
      <c r="C3747" t="s">
        <v>40</v>
      </c>
      <c r="D3747">
        <v>5.0430440000000001</v>
      </c>
      <c r="E3747">
        <v>0.5442361</v>
      </c>
      <c r="F3747" t="s">
        <v>44</v>
      </c>
      <c r="G3747">
        <v>-285.70490000000001</v>
      </c>
      <c r="H3747">
        <v>0.82541409999999904</v>
      </c>
      <c r="I3747">
        <v>205.8931</v>
      </c>
      <c r="J3747">
        <v>-355.67239999999998</v>
      </c>
      <c r="K3747">
        <v>1.110587</v>
      </c>
      <c r="L3747">
        <v>212.36060000000001</v>
      </c>
      <c r="M3747">
        <v>0.99974549999999995</v>
      </c>
      <c r="N3747">
        <v>0</v>
      </c>
      <c r="O3747">
        <v>1.746383E-2</v>
      </c>
      <c r="P3747">
        <v>0.99929760000000001</v>
      </c>
      <c r="Q3747">
        <v>2.9376030000000001E-2</v>
      </c>
      <c r="R3747">
        <v>2.3276439999999999E-2</v>
      </c>
      <c r="S3747">
        <v>3.008667</v>
      </c>
      <c r="T3747">
        <v>-1.220942E-2</v>
      </c>
      <c r="U3747">
        <v>-0.27665709999999999</v>
      </c>
      <c r="V3747">
        <v>-5.8635889999999998E-3</v>
      </c>
      <c r="W3747">
        <v>4.363707E-2</v>
      </c>
      <c r="X3747">
        <v>0.99903019999999998</v>
      </c>
      <c r="Y3747">
        <v>0.10894429999999999</v>
      </c>
      <c r="Z3747">
        <v>-2.9132509999999997E-4</v>
      </c>
      <c r="AA3747">
        <v>0.99404780000000004</v>
      </c>
      <c r="AB3747">
        <v>30</v>
      </c>
      <c r="AC3747">
        <v>69.967499999999902</v>
      </c>
      <c r="AD3747">
        <v>-0.28517290000000001</v>
      </c>
      <c r="AE3747">
        <v>-6.4675000000000002</v>
      </c>
      <c r="AF3747">
        <v>7.6884119865835601</v>
      </c>
      <c r="AG3747">
        <v>-0.28517290000000001</v>
      </c>
      <c r="AH3747">
        <v>69.842718235168903</v>
      </c>
      <c r="AI3747">
        <v>90.232536853526</v>
      </c>
      <c r="AJ3747">
        <v>83.718070913571594</v>
      </c>
      <c r="AK3747">
        <v>70.265199728852494</v>
      </c>
      <c r="AL3747">
        <v>87.498985789040802</v>
      </c>
      <c r="AM3747">
        <v>90.336281170302399</v>
      </c>
      <c r="AN3747">
        <v>0.99999995803309205</v>
      </c>
    </row>
    <row r="3748" spans="1:40" x14ac:dyDescent="0.25">
      <c r="A3748" t="str">
        <f>"20190312160407455"</f>
        <v>20190312160407455</v>
      </c>
      <c r="B3748" t="str">
        <f>"1552377847448144"</f>
        <v>1552377847448144</v>
      </c>
      <c r="C3748" t="s">
        <v>40</v>
      </c>
      <c r="D3748">
        <v>5.0937400000000004</v>
      </c>
      <c r="E3748">
        <v>0.54453890000000005</v>
      </c>
      <c r="F3748" t="s">
        <v>44</v>
      </c>
      <c r="G3748">
        <v>-285.56849999999997</v>
      </c>
      <c r="H3748">
        <v>1.1994339999999999</v>
      </c>
      <c r="I3748">
        <v>205.77510000000001</v>
      </c>
      <c r="J3748">
        <v>-355.36630000000002</v>
      </c>
      <c r="K3748">
        <v>1.1105860000000001</v>
      </c>
      <c r="L3748">
        <v>212.36660000000001</v>
      </c>
      <c r="M3748">
        <v>0.99973610000000002</v>
      </c>
      <c r="N3748">
        <v>0</v>
      </c>
      <c r="O3748">
        <v>1.800618E-2</v>
      </c>
      <c r="P3748">
        <v>0.99930439999999998</v>
      </c>
      <c r="Q3748">
        <v>2.9005429999999999E-2</v>
      </c>
      <c r="R3748">
        <v>2.3444590000000001E-2</v>
      </c>
      <c r="S3748">
        <v>3.008575</v>
      </c>
      <c r="T3748">
        <v>3.8129090000000002E-3</v>
      </c>
      <c r="U3748">
        <v>-0.28262330000000002</v>
      </c>
      <c r="V3748">
        <v>-5.4887709999999999E-3</v>
      </c>
      <c r="W3748">
        <v>4.3264049999999998E-2</v>
      </c>
      <c r="X3748">
        <v>0.99904859999999895</v>
      </c>
      <c r="Y3748">
        <v>0.11144129999999999</v>
      </c>
      <c r="Z3748" s="1">
        <v>9.3238400000000005E-5</v>
      </c>
      <c r="AA3748">
        <v>0.99377099999999996</v>
      </c>
      <c r="AB3748">
        <v>30</v>
      </c>
      <c r="AC3748">
        <v>69.797799999999995</v>
      </c>
      <c r="AD3748">
        <v>8.8847999999999996E-2</v>
      </c>
      <c r="AE3748">
        <v>-6.5914999999999901</v>
      </c>
      <c r="AF3748">
        <v>7.8473381897592196</v>
      </c>
      <c r="AG3748">
        <v>8.8847999999999996E-2</v>
      </c>
      <c r="AH3748">
        <v>69.667670066748798</v>
      </c>
      <c r="AI3748">
        <v>89.927389235951793</v>
      </c>
      <c r="AJ3748">
        <v>83.5733151104142</v>
      </c>
      <c r="AK3748">
        <v>70.108293825773103</v>
      </c>
      <c r="AL3748">
        <v>87.520378581717097</v>
      </c>
      <c r="AM3748">
        <v>90.314779730382597</v>
      </c>
      <c r="AN3748">
        <v>1.0000000048957201</v>
      </c>
    </row>
    <row r="3749" spans="1:40" x14ac:dyDescent="0.25">
      <c r="A3749" t="str">
        <f>"20190312160407479"</f>
        <v>20190312160407479</v>
      </c>
      <c r="B3749" t="str">
        <f>"1552377847468638"</f>
        <v>1552377847468638</v>
      </c>
      <c r="C3749" t="s">
        <v>40</v>
      </c>
      <c r="D3749">
        <v>5.1612739999999997</v>
      </c>
      <c r="E3749">
        <v>0.54542869999999999</v>
      </c>
      <c r="F3749" t="s">
        <v>44</v>
      </c>
      <c r="G3749">
        <v>-285.57670000000002</v>
      </c>
      <c r="H3749">
        <v>1.4280809999999999</v>
      </c>
      <c r="I3749">
        <v>205.76480000000001</v>
      </c>
      <c r="J3749">
        <v>-355.0634</v>
      </c>
      <c r="K3749">
        <v>1.11059</v>
      </c>
      <c r="L3749">
        <v>212.37260000000001</v>
      </c>
      <c r="M3749">
        <v>0.99972620000000001</v>
      </c>
      <c r="N3749">
        <v>0</v>
      </c>
      <c r="O3749">
        <v>1.8542199999999998E-2</v>
      </c>
      <c r="P3749">
        <v>0.99930010000000002</v>
      </c>
      <c r="Q3749">
        <v>2.8851290000000002E-2</v>
      </c>
      <c r="R3749">
        <v>2.3816210000000001E-2</v>
      </c>
      <c r="S3749">
        <v>3.0083310000000001</v>
      </c>
      <c r="T3749">
        <v>1.368582E-2</v>
      </c>
      <c r="U3749">
        <v>-0.28457640000000001</v>
      </c>
      <c r="V3749">
        <v>-5.3244549999999996E-3</v>
      </c>
      <c r="W3749">
        <v>4.3106369999999998E-2</v>
      </c>
      <c r="X3749">
        <v>0.99905630000000001</v>
      </c>
      <c r="Y3749">
        <v>0.11261980000000001</v>
      </c>
      <c r="Z3749">
        <v>3.3978840000000002E-4</v>
      </c>
      <c r="AA3749">
        <v>0.99363809999999997</v>
      </c>
      <c r="AB3749">
        <v>30</v>
      </c>
      <c r="AC3749">
        <v>69.4866999999999</v>
      </c>
      <c r="AD3749">
        <v>0.31749100000000002</v>
      </c>
      <c r="AE3749">
        <v>-6.6077999999999903</v>
      </c>
      <c r="AF3749">
        <v>7.8950679452180896</v>
      </c>
      <c r="AG3749">
        <v>0.31749100000000002</v>
      </c>
      <c r="AH3749">
        <v>69.350780853978705</v>
      </c>
      <c r="AI3749">
        <v>89.739382528658794</v>
      </c>
      <c r="AJ3749">
        <v>83.505265036860393</v>
      </c>
      <c r="AK3749">
        <v>69.799453460978299</v>
      </c>
      <c r="AL3749">
        <v>87.529421403714593</v>
      </c>
      <c r="AM3749">
        <v>90.305354074065406</v>
      </c>
      <c r="AN3749">
        <v>0.99999999976265697</v>
      </c>
    </row>
    <row r="3750" spans="1:40" x14ac:dyDescent="0.25">
      <c r="A3750" t="str">
        <f>"20190312160407501"</f>
        <v>20190312160407501</v>
      </c>
      <c r="B3750" t="str">
        <f>"1552377847488157"</f>
        <v>1552377847488157</v>
      </c>
      <c r="C3750" t="s">
        <v>40</v>
      </c>
      <c r="D3750">
        <v>5.0958550000000002</v>
      </c>
      <c r="E3750">
        <v>0.54547380000000001</v>
      </c>
      <c r="F3750" t="s">
        <v>44</v>
      </c>
      <c r="G3750">
        <v>-285.59269999999998</v>
      </c>
      <c r="H3750">
        <v>1.43502</v>
      </c>
      <c r="I3750">
        <v>205.66560000000001</v>
      </c>
      <c r="J3750">
        <v>-354.76249999999999</v>
      </c>
      <c r="K3750">
        <v>1.110587</v>
      </c>
      <c r="L3750">
        <v>212.37880000000001</v>
      </c>
      <c r="M3750">
        <v>0.99971639999999995</v>
      </c>
      <c r="N3750">
        <v>0</v>
      </c>
      <c r="O3750">
        <v>1.9072550000000001E-2</v>
      </c>
      <c r="P3750">
        <v>0.99930620000000003</v>
      </c>
      <c r="Q3750">
        <v>2.8526369999999999E-2</v>
      </c>
      <c r="R3750">
        <v>2.395249E-2</v>
      </c>
      <c r="S3750">
        <v>3.0086059999999999</v>
      </c>
      <c r="T3750">
        <v>1.405025E-2</v>
      </c>
      <c r="U3750">
        <v>-0.29046630000000001</v>
      </c>
      <c r="V3750">
        <v>-4.9305520000000004E-3</v>
      </c>
      <c r="W3750">
        <v>4.2779089999999999E-2</v>
      </c>
      <c r="X3750">
        <v>0.99907239999999997</v>
      </c>
      <c r="Y3750">
        <v>0.1150656</v>
      </c>
      <c r="Z3750">
        <v>3.5694220000000003E-4</v>
      </c>
      <c r="AA3750">
        <v>0.99335779999999996</v>
      </c>
      <c r="AB3750">
        <v>30</v>
      </c>
      <c r="AC3750">
        <v>69.169799999999995</v>
      </c>
      <c r="AD3750">
        <v>0.32443300000000003</v>
      </c>
      <c r="AE3750">
        <v>-6.7131999999999996</v>
      </c>
      <c r="AF3750">
        <v>8.0311822300221198</v>
      </c>
      <c r="AG3750">
        <v>0.32443300000000003</v>
      </c>
      <c r="AH3750">
        <v>69.027660337049099</v>
      </c>
      <c r="AI3750">
        <v>89.732513660374906</v>
      </c>
      <c r="AJ3750">
        <v>83.363627996830004</v>
      </c>
      <c r="AK3750">
        <v>69.494050366850402</v>
      </c>
      <c r="AL3750">
        <v>87.548190507071197</v>
      </c>
      <c r="AM3750">
        <v>90.282759814832104</v>
      </c>
      <c r="AN3750">
        <v>1.000000010663</v>
      </c>
    </row>
    <row r="3751" spans="1:40" x14ac:dyDescent="0.25">
      <c r="A3751" t="str">
        <f>"20190312160407522"</f>
        <v>20190312160407522</v>
      </c>
      <c r="B3751" t="str">
        <f>"1552377847518413"</f>
        <v>1552377847518413</v>
      </c>
      <c r="C3751" t="s">
        <v>40</v>
      </c>
      <c r="D3751">
        <v>5.1244189999999996</v>
      </c>
      <c r="E3751">
        <v>0.54563799999999996</v>
      </c>
      <c r="F3751" t="s">
        <v>44</v>
      </c>
      <c r="G3751">
        <v>-285.59960000000001</v>
      </c>
      <c r="H3751">
        <v>1.6033679999999999</v>
      </c>
      <c r="I3751">
        <v>205.69579999999999</v>
      </c>
      <c r="J3751">
        <v>-354.4864</v>
      </c>
      <c r="K3751">
        <v>1.1105929999999999</v>
      </c>
      <c r="L3751">
        <v>212.38460000000001</v>
      </c>
      <c r="M3751">
        <v>0.99970709999999996</v>
      </c>
      <c r="N3751">
        <v>0</v>
      </c>
      <c r="O3751">
        <v>1.955784E-2</v>
      </c>
      <c r="P3751">
        <v>0.99932370000000004</v>
      </c>
      <c r="Q3751">
        <v>2.7923719999999999E-2</v>
      </c>
      <c r="R3751">
        <v>2.3928649999999999E-2</v>
      </c>
      <c r="S3751">
        <v>3.0084529999999998</v>
      </c>
      <c r="T3751">
        <v>2.1435019999999999E-2</v>
      </c>
      <c r="U3751">
        <v>-0.29069519999999999</v>
      </c>
      <c r="V3751">
        <v>-4.4199699999999996E-3</v>
      </c>
      <c r="W3751">
        <v>4.2174530000000002E-2</v>
      </c>
      <c r="X3751">
        <v>0.99910049999999995</v>
      </c>
      <c r="Y3751">
        <v>0.11562550000000001</v>
      </c>
      <c r="Z3751">
        <v>5.5001269999999905E-4</v>
      </c>
      <c r="AA3751">
        <v>0.99329270000000003</v>
      </c>
      <c r="AB3751">
        <v>30</v>
      </c>
      <c r="AC3751">
        <v>68.886799999999994</v>
      </c>
      <c r="AD3751">
        <v>0.49277500000000002</v>
      </c>
      <c r="AE3751">
        <v>-6.6888000000000103</v>
      </c>
      <c r="AF3751">
        <v>8.0345269782147497</v>
      </c>
      <c r="AG3751">
        <v>0.49277500000000002</v>
      </c>
      <c r="AH3751">
        <v>68.739304756752304</v>
      </c>
      <c r="AI3751">
        <v>89.592044992793902</v>
      </c>
      <c r="AJ3751">
        <v>83.333288480976805</v>
      </c>
      <c r="AK3751">
        <v>69.209020144818894</v>
      </c>
      <c r="AL3751">
        <v>87.582860553030301</v>
      </c>
      <c r="AM3751">
        <v>90.253471972515399</v>
      </c>
      <c r="AN3751">
        <v>1.0000000181078801</v>
      </c>
    </row>
    <row r="3752" spans="1:40" x14ac:dyDescent="0.25">
      <c r="A3752" t="str">
        <f>"20190312160407545"</f>
        <v>20190312160407545</v>
      </c>
      <c r="B3752" t="str">
        <f>"1552377847538909"</f>
        <v>1552377847538909</v>
      </c>
      <c r="C3752" t="s">
        <v>40</v>
      </c>
      <c r="D3752">
        <v>5.0175640000000001</v>
      </c>
      <c r="E3752">
        <v>0.54558819999999997</v>
      </c>
      <c r="F3752" t="s">
        <v>44</v>
      </c>
      <c r="G3752">
        <v>-285.59969999999998</v>
      </c>
      <c r="H3752">
        <v>1.7271479999999999</v>
      </c>
      <c r="I3752">
        <v>205.6962</v>
      </c>
      <c r="J3752">
        <v>-354.17410000000001</v>
      </c>
      <c r="K3752">
        <v>1.110589</v>
      </c>
      <c r="L3752">
        <v>212.3913</v>
      </c>
      <c r="M3752">
        <v>0.99969629999999998</v>
      </c>
      <c r="N3752">
        <v>0</v>
      </c>
      <c r="O3752">
        <v>2.0106120000000002E-2</v>
      </c>
      <c r="P3752">
        <v>0.99932889999999996</v>
      </c>
      <c r="Q3752">
        <v>2.7598999999999999E-2</v>
      </c>
      <c r="R3752">
        <v>2.4092010000000001E-2</v>
      </c>
      <c r="S3752">
        <v>3.0083009999999999</v>
      </c>
      <c r="T3752">
        <v>2.6925089999999999E-2</v>
      </c>
      <c r="U3752">
        <v>-0.2920837</v>
      </c>
      <c r="V3752">
        <v>-4.0346100000000001E-3</v>
      </c>
      <c r="W3752">
        <v>4.1847229999999999E-2</v>
      </c>
      <c r="X3752">
        <v>0.99911589999999995</v>
      </c>
      <c r="Y3752">
        <v>0.1166273</v>
      </c>
      <c r="Z3752">
        <v>7.0027019999999998E-4</v>
      </c>
      <c r="AA3752">
        <v>0.99317549999999999</v>
      </c>
      <c r="AB3752">
        <v>30</v>
      </c>
      <c r="AC3752">
        <v>68.574399999999997</v>
      </c>
      <c r="AD3752">
        <v>0.61655899999999897</v>
      </c>
      <c r="AE3752">
        <v>-6.6950999999999903</v>
      </c>
      <c r="AF3752">
        <v>8.0720050599411497</v>
      </c>
      <c r="AG3752">
        <v>0.61655899999999897</v>
      </c>
      <c r="AH3752">
        <v>68.420429953294104</v>
      </c>
      <c r="AI3752">
        <v>89.4872586225123</v>
      </c>
      <c r="AJ3752">
        <v>83.271544181225494</v>
      </c>
      <c r="AK3752">
        <v>68.897696954846097</v>
      </c>
      <c r="AL3752">
        <v>87.601630048964793</v>
      </c>
      <c r="AM3752">
        <v>90.2313694221654</v>
      </c>
      <c r="AN3752">
        <v>1.0000000251846599</v>
      </c>
    </row>
    <row r="3753" spans="1:40" x14ac:dyDescent="0.25">
      <c r="A3753" t="str">
        <f>"20190312160407567"</f>
        <v>20190312160407567</v>
      </c>
      <c r="B3753" t="str">
        <f>"1552377847558432"</f>
        <v>1552377847558432</v>
      </c>
      <c r="C3753" t="s">
        <v>40</v>
      </c>
      <c r="D3753">
        <v>5.0018039999999999</v>
      </c>
      <c r="E3753">
        <v>0.54570759999999996</v>
      </c>
      <c r="F3753" t="s">
        <v>44</v>
      </c>
      <c r="G3753">
        <v>-285.5847</v>
      </c>
      <c r="H3753">
        <v>1.956431</v>
      </c>
      <c r="I3753">
        <v>205.75470000000001</v>
      </c>
      <c r="J3753">
        <v>-353.87799999999999</v>
      </c>
      <c r="K3753">
        <v>1.11059</v>
      </c>
      <c r="L3753">
        <v>212.39779999999999</v>
      </c>
      <c r="M3753">
        <v>0.99968570000000001</v>
      </c>
      <c r="N3753">
        <v>0</v>
      </c>
      <c r="O3753">
        <v>2.0625850000000001E-2</v>
      </c>
      <c r="P3753">
        <v>0.9993071</v>
      </c>
      <c r="Q3753">
        <v>2.805844E-2</v>
      </c>
      <c r="R3753">
        <v>2.445986E-2</v>
      </c>
      <c r="S3753">
        <v>3.0079959999999999</v>
      </c>
      <c r="T3753">
        <v>3.7094469999999997E-2</v>
      </c>
      <c r="U3753">
        <v>-0.29104609999999997</v>
      </c>
      <c r="V3753">
        <v>-3.8830359999999999E-3</v>
      </c>
      <c r="W3753">
        <v>4.2303630000000002E-2</v>
      </c>
      <c r="X3753">
        <v>0.99909720000000002</v>
      </c>
      <c r="Y3753">
        <v>0.116809</v>
      </c>
      <c r="Z3753">
        <v>9.7236689999999999E-4</v>
      </c>
      <c r="AA3753">
        <v>0.99315390000000003</v>
      </c>
      <c r="AB3753">
        <v>30</v>
      </c>
      <c r="AC3753">
        <v>68.293300000000002</v>
      </c>
      <c r="AD3753">
        <v>0.84584099999999995</v>
      </c>
      <c r="AE3753">
        <v>-6.6430999999999703</v>
      </c>
      <c r="AF3753">
        <v>8.0492137362282907</v>
      </c>
      <c r="AG3753">
        <v>0.84584099999999995</v>
      </c>
      <c r="AH3753">
        <v>68.131381850270401</v>
      </c>
      <c r="AI3753">
        <v>89.293629986979795</v>
      </c>
      <c r="AJ3753">
        <v>83.262164025004495</v>
      </c>
      <c r="AK3753">
        <v>68.610425458498099</v>
      </c>
      <c r="AL3753">
        <v>87.575456883438406</v>
      </c>
      <c r="AM3753">
        <v>90.222681491145906</v>
      </c>
      <c r="AN3753">
        <v>0.99999994506379497</v>
      </c>
    </row>
    <row r="3754" spans="1:40" x14ac:dyDescent="0.25">
      <c r="A3754" t="str">
        <f>"20190312160407589"</f>
        <v>20190312160407589</v>
      </c>
      <c r="B3754" t="str">
        <f>"1552377847578925"</f>
        <v>1552377847578925</v>
      </c>
      <c r="C3754" t="s">
        <v>40</v>
      </c>
      <c r="D3754">
        <v>5.065429</v>
      </c>
      <c r="E3754">
        <v>0.54574659999999997</v>
      </c>
      <c r="F3754" t="s">
        <v>44</v>
      </c>
      <c r="G3754">
        <v>-285.55680000000001</v>
      </c>
      <c r="H3754">
        <v>2.0355319999999999</v>
      </c>
      <c r="I3754">
        <v>205.78980000000001</v>
      </c>
      <c r="J3754">
        <v>-353.58789999999999</v>
      </c>
      <c r="K3754">
        <v>1.1105959999999999</v>
      </c>
      <c r="L3754">
        <v>212.40430000000001</v>
      </c>
      <c r="M3754">
        <v>0.99967510000000004</v>
      </c>
      <c r="N3754">
        <v>0</v>
      </c>
      <c r="O3754">
        <v>2.11358E-2</v>
      </c>
      <c r="P3754">
        <v>0.99930260000000004</v>
      </c>
      <c r="Q3754">
        <v>2.781376E-2</v>
      </c>
      <c r="R3754">
        <v>2.4915449999999999E-2</v>
      </c>
      <c r="S3754">
        <v>3.008057</v>
      </c>
      <c r="T3754">
        <v>4.072344E-2</v>
      </c>
      <c r="U3754">
        <v>-0.29093930000000001</v>
      </c>
      <c r="V3754">
        <v>-3.8287659999999999E-3</v>
      </c>
      <c r="W3754">
        <v>4.2055889999999999E-2</v>
      </c>
      <c r="X3754">
        <v>0.99910790000000005</v>
      </c>
      <c r="Y3754">
        <v>0.11727650000000001</v>
      </c>
      <c r="Z3754">
        <v>1.0775139999999999E-3</v>
      </c>
      <c r="AA3754">
        <v>0.9930987</v>
      </c>
      <c r="AB3754">
        <v>30</v>
      </c>
      <c r="AC3754">
        <v>68.031099999999896</v>
      </c>
      <c r="AD3754">
        <v>0.92493599999999998</v>
      </c>
      <c r="AE3754">
        <v>-6.6144999999999898</v>
      </c>
      <c r="AF3754">
        <v>8.0495857912289797</v>
      </c>
      <c r="AG3754">
        <v>0.92493599999999998</v>
      </c>
      <c r="AH3754">
        <v>67.863655977946905</v>
      </c>
      <c r="AI3754">
        <v>89.224580480789996</v>
      </c>
      <c r="AJ3754">
        <v>83.2355189481069</v>
      </c>
      <c r="AK3754">
        <v>68.345644635979397</v>
      </c>
      <c r="AL3754">
        <v>87.589664060481795</v>
      </c>
      <c r="AM3754">
        <v>90.219566934341401</v>
      </c>
      <c r="AN3754">
        <v>0.99999997658759199</v>
      </c>
    </row>
    <row r="3755" spans="1:40" x14ac:dyDescent="0.25">
      <c r="A3755" t="str">
        <f>"20190312160407612"</f>
        <v>20190312160407612</v>
      </c>
      <c r="B3755" t="str">
        <f>"1552377847608204"</f>
        <v>1552377847608204</v>
      </c>
      <c r="C3755" t="s">
        <v>40</v>
      </c>
      <c r="D3755">
        <v>5.0454280000000002</v>
      </c>
      <c r="E3755">
        <v>0.54591780000000001</v>
      </c>
      <c r="F3755" t="s">
        <v>55</v>
      </c>
      <c r="G3755">
        <v>-168.41569999999999</v>
      </c>
      <c r="H3755">
        <v>3.7984300000000002</v>
      </c>
      <c r="I3755">
        <v>194.55680000000001</v>
      </c>
      <c r="J3755">
        <v>-353.2869</v>
      </c>
      <c r="K3755">
        <v>1.11059</v>
      </c>
      <c r="L3755">
        <v>212.41130000000001</v>
      </c>
      <c r="M3755">
        <v>0.99966370000000004</v>
      </c>
      <c r="N3755">
        <v>0</v>
      </c>
      <c r="O3755">
        <v>2.1664590000000001E-2</v>
      </c>
      <c r="P3755">
        <v>0.99929449999999997</v>
      </c>
      <c r="Q3755">
        <v>2.796854E-2</v>
      </c>
      <c r="R3755">
        <v>2.5060410000000002E-2</v>
      </c>
      <c r="S3755">
        <v>3.0081180000000001</v>
      </c>
      <c r="T3755">
        <v>4.3664340000000003E-2</v>
      </c>
      <c r="U3755">
        <v>-0.28993229999999998</v>
      </c>
      <c r="V3755">
        <v>-3.4452319999999999E-3</v>
      </c>
      <c r="W3755">
        <v>4.2207880000000003E-2</v>
      </c>
      <c r="X3755">
        <v>0.99910290000000002</v>
      </c>
      <c r="Y3755">
        <v>0.1174685</v>
      </c>
      <c r="Z3755">
        <v>1.164366E-3</v>
      </c>
      <c r="AA3755">
        <v>0.99307590000000001</v>
      </c>
      <c r="AB3755">
        <v>30</v>
      </c>
      <c r="AC3755">
        <v>184.87119999999999</v>
      </c>
      <c r="AD3755">
        <v>2.68784</v>
      </c>
      <c r="AE3755">
        <v>-17.854500000000002</v>
      </c>
      <c r="AF3755">
        <v>21.851297923998501</v>
      </c>
      <c r="AG3755">
        <v>2.68784</v>
      </c>
      <c r="AH3755">
        <v>184.40233216738801</v>
      </c>
      <c r="AI3755">
        <v>89.170719626704198</v>
      </c>
      <c r="AJ3755">
        <v>83.242081167179293</v>
      </c>
      <c r="AK3755">
        <v>185.71193772507101</v>
      </c>
      <c r="AL3755">
        <v>87.580947967241798</v>
      </c>
      <c r="AM3755">
        <v>90.197573714014297</v>
      </c>
      <c r="AN3755">
        <v>0.99999998977301896</v>
      </c>
    </row>
    <row r="3756" spans="1:40" x14ac:dyDescent="0.25">
      <c r="A3756" t="str">
        <f>"20190312160407634"</f>
        <v>20190312160407634</v>
      </c>
      <c r="B3756" t="str">
        <f>"1552377847628701"</f>
        <v>1552377847628701</v>
      </c>
      <c r="C3756" t="s">
        <v>40</v>
      </c>
      <c r="D3756">
        <v>5.0656929999999996</v>
      </c>
      <c r="E3756">
        <v>0.54601469999999996</v>
      </c>
      <c r="F3756" t="s">
        <v>55</v>
      </c>
      <c r="G3756">
        <v>-168.41579999999999</v>
      </c>
      <c r="H3756">
        <v>4.0761310000000002</v>
      </c>
      <c r="I3756">
        <v>194.54179999999999</v>
      </c>
      <c r="J3756">
        <v>-352.98779999999999</v>
      </c>
      <c r="K3756">
        <v>1.11059</v>
      </c>
      <c r="L3756">
        <v>212.41839999999999</v>
      </c>
      <c r="M3756">
        <v>0.99965230000000005</v>
      </c>
      <c r="N3756">
        <v>0</v>
      </c>
      <c r="O3756">
        <v>2.2189560000000001E-2</v>
      </c>
      <c r="P3756">
        <v>0.99929369999999995</v>
      </c>
      <c r="Q3756">
        <v>2.777369E-2</v>
      </c>
      <c r="R3756">
        <v>2.5316430000000001E-2</v>
      </c>
      <c r="S3756">
        <v>3.008057</v>
      </c>
      <c r="T3756">
        <v>4.825318E-2</v>
      </c>
      <c r="U3756">
        <v>-0.29075620000000002</v>
      </c>
      <c r="V3756">
        <v>-3.1760870000000002E-3</v>
      </c>
      <c r="W3756">
        <v>4.2010169999999999E-2</v>
      </c>
      <c r="X3756">
        <v>0.99911209999999995</v>
      </c>
      <c r="Y3756">
        <v>0.118258</v>
      </c>
      <c r="Z3756">
        <v>1.30145E-3</v>
      </c>
      <c r="AA3756">
        <v>0.99298200000000003</v>
      </c>
      <c r="AB3756">
        <v>30</v>
      </c>
      <c r="AC3756">
        <v>184.572</v>
      </c>
      <c r="AD3756">
        <v>2.965541</v>
      </c>
      <c r="AE3756">
        <v>-17.8765999999999</v>
      </c>
      <c r="AF3756">
        <v>21.962567589092899</v>
      </c>
      <c r="AG3756">
        <v>2.965541</v>
      </c>
      <c r="AH3756">
        <v>184.08275181266799</v>
      </c>
      <c r="AI3756">
        <v>89.083553210671994</v>
      </c>
      <c r="AJ3756">
        <v>83.196308677935903</v>
      </c>
      <c r="AK3756">
        <v>185.41199616921301</v>
      </c>
      <c r="AL3756">
        <v>87.592285913163195</v>
      </c>
      <c r="AM3756">
        <v>90.182137487359697</v>
      </c>
      <c r="AN3756">
        <v>0.99999996513923395</v>
      </c>
    </row>
    <row r="3757" spans="1:40" x14ac:dyDescent="0.25">
      <c r="A3757" t="str">
        <f>"20190312160407657"</f>
        <v>20190312160407657</v>
      </c>
      <c r="B3757" t="str">
        <f>"1552377847648221"</f>
        <v>1552377847648221</v>
      </c>
      <c r="C3757" t="s">
        <v>40</v>
      </c>
      <c r="D3757">
        <v>5.1291379999999904</v>
      </c>
      <c r="E3757">
        <v>0.5464405</v>
      </c>
      <c r="F3757" t="s">
        <v>55</v>
      </c>
      <c r="G3757">
        <v>-168.41579999999999</v>
      </c>
      <c r="H3757">
        <v>4.1967040000000004</v>
      </c>
      <c r="I3757">
        <v>194.56950000000001</v>
      </c>
      <c r="J3757">
        <v>-352.68529999999998</v>
      </c>
      <c r="K3757">
        <v>1.1105860000000001</v>
      </c>
      <c r="L3757">
        <v>212.42570000000001</v>
      </c>
      <c r="M3757">
        <v>0.99964030000000004</v>
      </c>
      <c r="N3757">
        <v>0</v>
      </c>
      <c r="O3757">
        <v>2.2721100000000001E-2</v>
      </c>
      <c r="P3757">
        <v>0.99927840000000001</v>
      </c>
      <c r="Q3757">
        <v>2.8062489999999999E-2</v>
      </c>
      <c r="R3757">
        <v>2.5598760000000002E-2</v>
      </c>
      <c r="S3757">
        <v>3.0080870000000002</v>
      </c>
      <c r="T3757">
        <v>5.0296899999999999E-2</v>
      </c>
      <c r="U3757">
        <v>-0.29089359999999997</v>
      </c>
      <c r="V3757">
        <v>-2.9273630000000001E-3</v>
      </c>
      <c r="W3757">
        <v>4.2296019999999997E-2</v>
      </c>
      <c r="X3757">
        <v>0.99910089999999996</v>
      </c>
      <c r="Y3757">
        <v>0.11882819999999999</v>
      </c>
      <c r="Z3757">
        <v>1.370174E-3</v>
      </c>
      <c r="AA3757">
        <v>0.99291390000000002</v>
      </c>
      <c r="AB3757">
        <v>30</v>
      </c>
      <c r="AC3757">
        <v>184.26949999999999</v>
      </c>
      <c r="AD3757">
        <v>3.0861179999999999</v>
      </c>
      <c r="AE3757">
        <v>-17.856200000000001</v>
      </c>
      <c r="AF3757">
        <v>22.032697688671199</v>
      </c>
      <c r="AG3757">
        <v>3.0861179999999999</v>
      </c>
      <c r="AH3757">
        <v>183.76510122820599</v>
      </c>
      <c r="AI3757">
        <v>89.044715792239003</v>
      </c>
      <c r="AJ3757">
        <v>83.163101720337593</v>
      </c>
      <c r="AK3757">
        <v>185.10693212617201</v>
      </c>
      <c r="AL3757">
        <v>87.575893587247094</v>
      </c>
      <c r="AM3757">
        <v>90.167876002350795</v>
      </c>
      <c r="AN3757">
        <v>1.0000000655713801</v>
      </c>
    </row>
    <row r="3758" spans="1:40" x14ac:dyDescent="0.25">
      <c r="A3758" t="str">
        <f>"20190312160407669"</f>
        <v>20190312160407669</v>
      </c>
      <c r="B3758" t="str">
        <f>"1552377847657981"</f>
        <v>1552377847657981</v>
      </c>
      <c r="C3758" t="s">
        <v>40</v>
      </c>
      <c r="D3758">
        <v>5.0759840000000001</v>
      </c>
      <c r="E3758">
        <v>0.546552699999999</v>
      </c>
      <c r="F3758" t="s">
        <v>55</v>
      </c>
      <c r="G3758">
        <v>-168.41589999999999</v>
      </c>
      <c r="H3758">
        <v>4.3226389999999997</v>
      </c>
      <c r="I3758">
        <v>194.45259999999999</v>
      </c>
      <c r="J3758">
        <v>-352.517</v>
      </c>
      <c r="K3758">
        <v>1.110584</v>
      </c>
      <c r="L3758">
        <v>212.4298</v>
      </c>
      <c r="M3758">
        <v>0.99963380000000002</v>
      </c>
      <c r="N3758">
        <v>0</v>
      </c>
      <c r="O3758">
        <v>2.3016720000000001E-2</v>
      </c>
      <c r="P3758">
        <v>0.99926669999999995</v>
      </c>
      <c r="Q3758">
        <v>2.8423250000000001E-2</v>
      </c>
      <c r="R3758">
        <v>2.5666959999999999E-2</v>
      </c>
      <c r="S3758">
        <v>3.0082089999999999</v>
      </c>
      <c r="T3758">
        <v>5.2437539999999998E-2</v>
      </c>
      <c r="U3758">
        <v>-0.29341129999999999</v>
      </c>
      <c r="V3758">
        <v>-2.700076E-3</v>
      </c>
      <c r="W3758">
        <v>4.2655230000000002E-2</v>
      </c>
      <c r="X3758">
        <v>0.99908620000000004</v>
      </c>
      <c r="Y3758">
        <v>0.1199393</v>
      </c>
      <c r="Z3758">
        <v>1.443169E-3</v>
      </c>
      <c r="AA3758">
        <v>0.9927802</v>
      </c>
      <c r="AB3758">
        <v>30</v>
      </c>
      <c r="AC3758">
        <v>184.1011</v>
      </c>
      <c r="AD3758">
        <v>3.2120549999999901</v>
      </c>
      <c r="AE3758">
        <v>-17.9772</v>
      </c>
      <c r="AF3758">
        <v>22.203574022733299</v>
      </c>
      <c r="AG3758">
        <v>3.2120549999999901</v>
      </c>
      <c r="AH3758">
        <v>183.583144041655</v>
      </c>
      <c r="AI3758">
        <v>89.004879338571897</v>
      </c>
      <c r="AJ3758">
        <v>83.103822629546002</v>
      </c>
      <c r="AK3758">
        <v>184.948876106142</v>
      </c>
      <c r="AL3758">
        <v>87.555293612640696</v>
      </c>
      <c r="AM3758">
        <v>90.154844079048203</v>
      </c>
      <c r="AN3758">
        <v>0.99999999704359899</v>
      </c>
    </row>
    <row r="3759" spans="1:40" x14ac:dyDescent="0.25">
      <c r="A3759" t="str">
        <f>"20190312160407691"</f>
        <v>20190312160407691</v>
      </c>
      <c r="B3759" t="str">
        <f>"1552377847678477"</f>
        <v>1552377847678477</v>
      </c>
      <c r="C3759" t="s">
        <v>40</v>
      </c>
      <c r="D3759">
        <v>5.0635979999999998</v>
      </c>
      <c r="E3759">
        <v>0.5466588</v>
      </c>
      <c r="F3759" t="s">
        <v>55</v>
      </c>
      <c r="G3759">
        <v>-168.416</v>
      </c>
      <c r="H3759">
        <v>4.4327139999999998</v>
      </c>
      <c r="I3759">
        <v>194.43389999999999</v>
      </c>
      <c r="J3759">
        <v>-352.23360000000002</v>
      </c>
      <c r="K3759">
        <v>1.1105799999999999</v>
      </c>
      <c r="L3759">
        <v>212.43690000000001</v>
      </c>
      <c r="M3759">
        <v>0.99962220000000002</v>
      </c>
      <c r="N3759">
        <v>0</v>
      </c>
      <c r="O3759">
        <v>2.3514699999999999E-2</v>
      </c>
      <c r="P3759">
        <v>0.99927750000000004</v>
      </c>
      <c r="Q3759">
        <v>2.8182169999999999E-2</v>
      </c>
      <c r="R3759">
        <v>2.5506810000000001E-2</v>
      </c>
      <c r="S3759">
        <v>3.0082089999999999</v>
      </c>
      <c r="T3759">
        <v>5.4284100000000002E-2</v>
      </c>
      <c r="U3759">
        <v>-0.29405209999999998</v>
      </c>
      <c r="V3759">
        <v>-2.0417090000000001E-3</v>
      </c>
      <c r="W3759">
        <v>4.2411780000000003E-2</v>
      </c>
      <c r="X3759">
        <v>0.99909809999999999</v>
      </c>
      <c r="Y3759">
        <v>0.1206416</v>
      </c>
      <c r="Z3759">
        <v>1.5092549999999999E-3</v>
      </c>
      <c r="AA3759">
        <v>0.99269499999999999</v>
      </c>
      <c r="AB3759">
        <v>30</v>
      </c>
      <c r="AC3759">
        <v>183.8176</v>
      </c>
      <c r="AD3759">
        <v>3.3221339999999899</v>
      </c>
      <c r="AE3759">
        <v>-18.003</v>
      </c>
      <c r="AF3759">
        <v>22.313655338462201</v>
      </c>
      <c r="AG3759">
        <v>3.3221339999999899</v>
      </c>
      <c r="AH3759">
        <v>183.28408666037501</v>
      </c>
      <c r="AI3759">
        <v>88.969202560379401</v>
      </c>
      <c r="AJ3759">
        <v>83.058767056276196</v>
      </c>
      <c r="AK3759">
        <v>184.66724726330199</v>
      </c>
      <c r="AL3759">
        <v>87.569254840176299</v>
      </c>
      <c r="AM3759">
        <v>90.117086746388694</v>
      </c>
      <c r="AN3759">
        <v>0.99999997054100898</v>
      </c>
    </row>
    <row r="3760" spans="1:40" x14ac:dyDescent="0.25">
      <c r="A3760" t="str">
        <f>"20190312160407712"</f>
        <v>20190312160407712</v>
      </c>
      <c r="B3760" t="str">
        <f>"1552377847708732"</f>
        <v>1552377847708732</v>
      </c>
      <c r="C3760" t="s">
        <v>40</v>
      </c>
      <c r="D3760">
        <v>5.0502229999999999</v>
      </c>
      <c r="E3760">
        <v>0.54670719999999995</v>
      </c>
      <c r="F3760" t="s">
        <v>55</v>
      </c>
      <c r="G3760">
        <v>-168.416</v>
      </c>
      <c r="H3760">
        <v>4.49411</v>
      </c>
      <c r="I3760">
        <v>194.38630000000001</v>
      </c>
      <c r="J3760">
        <v>-351.94420000000002</v>
      </c>
      <c r="K3760">
        <v>1.1105849999999999</v>
      </c>
      <c r="L3760">
        <v>212.4442</v>
      </c>
      <c r="M3760">
        <v>0.99961</v>
      </c>
      <c r="N3760">
        <v>0</v>
      </c>
      <c r="O3760">
        <v>2.4023530000000001E-2</v>
      </c>
      <c r="P3760">
        <v>0.99928360000000005</v>
      </c>
      <c r="Q3760">
        <v>2.8096900000000001E-2</v>
      </c>
      <c r="R3760">
        <v>2.5358800000000001E-2</v>
      </c>
      <c r="S3760">
        <v>3.0081479999999998</v>
      </c>
      <c r="T3760">
        <v>5.537152E-2</v>
      </c>
      <c r="U3760">
        <v>-0.29539490000000002</v>
      </c>
      <c r="V3760">
        <v>-1.3847480000000001E-3</v>
      </c>
      <c r="W3760">
        <v>4.232412E-2</v>
      </c>
      <c r="X3760">
        <v>0.99910299999999996</v>
      </c>
      <c r="Y3760">
        <v>0.1215865</v>
      </c>
      <c r="Z3760">
        <v>1.55750299999999E-3</v>
      </c>
      <c r="AA3760">
        <v>0.99257960000000001</v>
      </c>
      <c r="AB3760">
        <v>30</v>
      </c>
      <c r="AC3760">
        <v>183.5282</v>
      </c>
      <c r="AD3760">
        <v>3.3835250000000001</v>
      </c>
      <c r="AE3760">
        <v>-18.057899999999901</v>
      </c>
      <c r="AF3760">
        <v>22.4545706768833</v>
      </c>
      <c r="AG3760">
        <v>3.3835250000000001</v>
      </c>
      <c r="AH3760">
        <v>182.97976739707801</v>
      </c>
      <c r="AI3760">
        <v>88.948535784998995</v>
      </c>
      <c r="AJ3760">
        <v>83.003862060648402</v>
      </c>
      <c r="AK3760">
        <v>184.38343543387401</v>
      </c>
      <c r="AL3760">
        <v>87.574282038430894</v>
      </c>
      <c r="AM3760">
        <v>90.079411397309201</v>
      </c>
      <c r="AN3760">
        <v>1.0000000266348901</v>
      </c>
    </row>
    <row r="3761" spans="1:40" x14ac:dyDescent="0.25">
      <c r="A3761" t="str">
        <f>"20190312160407735"</f>
        <v>20190312160407735</v>
      </c>
      <c r="B3761" t="str">
        <f>"1552377847728252"</f>
        <v>1552377847728252</v>
      </c>
      <c r="C3761" t="s">
        <v>40</v>
      </c>
      <c r="D3761">
        <v>5.0168949999999999</v>
      </c>
      <c r="E3761">
        <v>0.54678850000000001</v>
      </c>
      <c r="F3761" t="s">
        <v>55</v>
      </c>
      <c r="G3761">
        <v>-168.41589999999999</v>
      </c>
      <c r="H3761">
        <v>4.1454459999999997</v>
      </c>
      <c r="I3761">
        <v>194.3801</v>
      </c>
      <c r="J3761">
        <v>-351.65179999999998</v>
      </c>
      <c r="K3761">
        <v>1.110589</v>
      </c>
      <c r="L3761">
        <v>212.45179999999999</v>
      </c>
      <c r="M3761">
        <v>0.99959750000000003</v>
      </c>
      <c r="N3761">
        <v>0</v>
      </c>
      <c r="O3761">
        <v>2.453789E-2</v>
      </c>
      <c r="P3761">
        <v>0.99927750000000004</v>
      </c>
      <c r="Q3761">
        <v>2.8395400000000001E-2</v>
      </c>
      <c r="R3761">
        <v>2.526072E-2</v>
      </c>
      <c r="S3761">
        <v>3.0083009999999999</v>
      </c>
      <c r="T3761">
        <v>4.9746390000000001E-2</v>
      </c>
      <c r="U3761">
        <v>-0.29609679999999999</v>
      </c>
      <c r="V3761">
        <v>-7.7207580000000005E-4</v>
      </c>
      <c r="W3761">
        <v>4.2619490000000003E-2</v>
      </c>
      <c r="X3761">
        <v>0.99909110000000001</v>
      </c>
      <c r="Y3761">
        <v>0.1223262</v>
      </c>
      <c r="Z3761">
        <v>1.413805E-3</v>
      </c>
      <c r="AA3761">
        <v>0.99248890000000001</v>
      </c>
      <c r="AB3761">
        <v>30</v>
      </c>
      <c r="AC3761">
        <v>183.23589999999999</v>
      </c>
      <c r="AD3761">
        <v>3.0348570000000001</v>
      </c>
      <c r="AE3761">
        <v>-18.0717</v>
      </c>
      <c r="AF3761">
        <v>22.556807561529499</v>
      </c>
      <c r="AG3761">
        <v>3.0348570000000001</v>
      </c>
      <c r="AH3761">
        <v>182.687598408577</v>
      </c>
      <c r="AI3761">
        <v>89.055445656074198</v>
      </c>
      <c r="AJ3761">
        <v>82.961199497135297</v>
      </c>
      <c r="AK3761">
        <v>184.099914548247</v>
      </c>
      <c r="AL3761">
        <v>87.557343287628697</v>
      </c>
      <c r="AM3761">
        <v>90.044276919290297</v>
      </c>
      <c r="AN3761">
        <v>1.0000000215640501</v>
      </c>
    </row>
    <row r="3762" spans="1:40" x14ac:dyDescent="0.25">
      <c r="A3762" t="str">
        <f>"20190312160407748"</f>
        <v>20190312160407748</v>
      </c>
      <c r="B3762" t="str">
        <f>"1552377847738013"</f>
        <v>1552377847738013</v>
      </c>
      <c r="C3762" t="s">
        <v>40</v>
      </c>
      <c r="D3762">
        <v>5.0357269999999996</v>
      </c>
      <c r="E3762">
        <v>0.54681650000000004</v>
      </c>
      <c r="F3762" t="s">
        <v>55</v>
      </c>
      <c r="G3762">
        <v>-168.41579999999999</v>
      </c>
      <c r="H3762">
        <v>3.8781690000000002</v>
      </c>
      <c r="I3762">
        <v>194.35390000000001</v>
      </c>
      <c r="J3762">
        <v>-351.4742</v>
      </c>
      <c r="K3762">
        <v>1.1105929999999999</v>
      </c>
      <c r="L3762">
        <v>212.45650000000001</v>
      </c>
      <c r="M3762">
        <v>0.99958990000000003</v>
      </c>
      <c r="N3762">
        <v>0</v>
      </c>
      <c r="O3762">
        <v>2.4850210000000001E-2</v>
      </c>
      <c r="P3762">
        <v>0.99925889999999995</v>
      </c>
      <c r="Q3762">
        <v>2.8930029999999999E-2</v>
      </c>
      <c r="R3762">
        <v>2.5388359999999999E-2</v>
      </c>
      <c r="S3762">
        <v>3.0083920000000002</v>
      </c>
      <c r="T3762">
        <v>4.5439E-2</v>
      </c>
      <c r="U3762">
        <v>-0.29713440000000002</v>
      </c>
      <c r="V3762">
        <v>-5.8864710000000001E-4</v>
      </c>
      <c r="W3762">
        <v>4.315211E-2</v>
      </c>
      <c r="X3762">
        <v>0.99906830000000002</v>
      </c>
      <c r="Y3762">
        <v>0.1229756</v>
      </c>
      <c r="Z3762">
        <v>1.3009409999999999E-3</v>
      </c>
      <c r="AA3762">
        <v>0.99240890000000004</v>
      </c>
      <c r="AB3762">
        <v>30</v>
      </c>
      <c r="AC3762">
        <v>183.05840000000001</v>
      </c>
      <c r="AD3762">
        <v>2.767576</v>
      </c>
      <c r="AE3762">
        <v>-18.102599999999899</v>
      </c>
      <c r="AF3762">
        <v>22.641383839280799</v>
      </c>
      <c r="AG3762">
        <v>2.767576</v>
      </c>
      <c r="AH3762">
        <v>182.510646048616</v>
      </c>
      <c r="AI3762">
        <v>89.137846027527402</v>
      </c>
      <c r="AJ3762">
        <v>82.928293427773696</v>
      </c>
      <c r="AK3762">
        <v>183.930496819197</v>
      </c>
      <c r="AL3762">
        <v>87.526798154489597</v>
      </c>
      <c r="AM3762">
        <v>90.033758443291404</v>
      </c>
      <c r="AN3762">
        <v>0.999999959583874</v>
      </c>
    </row>
    <row r="3763" spans="1:40" x14ac:dyDescent="0.25">
      <c r="A3763" t="str">
        <f>"20190312160407768"</f>
        <v>20190312160407768</v>
      </c>
      <c r="B3763" t="str">
        <f>"1552377847758509"</f>
        <v>1552377847758509</v>
      </c>
      <c r="C3763" t="s">
        <v>40</v>
      </c>
      <c r="D3763">
        <v>5.0194749999999999</v>
      </c>
      <c r="E3763">
        <v>0.54684980000000005</v>
      </c>
      <c r="F3763" t="s">
        <v>55</v>
      </c>
      <c r="G3763">
        <v>-168.41569999999999</v>
      </c>
      <c r="H3763">
        <v>3.7879269999999998</v>
      </c>
      <c r="I3763">
        <v>194.39150000000001</v>
      </c>
      <c r="J3763">
        <v>-351.20940000000002</v>
      </c>
      <c r="K3763">
        <v>1.110598</v>
      </c>
      <c r="L3763">
        <v>212.46360000000001</v>
      </c>
      <c r="M3763">
        <v>0.99957839999999998</v>
      </c>
      <c r="N3763">
        <v>0</v>
      </c>
      <c r="O3763">
        <v>2.5316470000000001E-2</v>
      </c>
      <c r="P3763">
        <v>0.99927569999999999</v>
      </c>
      <c r="Q3763">
        <v>2.864918E-2</v>
      </c>
      <c r="R3763">
        <v>2.5050260000000001E-2</v>
      </c>
      <c r="S3763">
        <v>3.0084840000000002</v>
      </c>
      <c r="T3763">
        <v>4.400134E-2</v>
      </c>
      <c r="U3763">
        <v>-0.2968903</v>
      </c>
      <c r="V3763">
        <v>2.1654129999999999E-4</v>
      </c>
      <c r="W3763">
        <v>4.2869610000000002E-2</v>
      </c>
      <c r="X3763">
        <v>0.99908070000000004</v>
      </c>
      <c r="Y3763">
        <v>0.1233567</v>
      </c>
      <c r="Z3763">
        <v>1.2693369999999999E-3</v>
      </c>
      <c r="AA3763">
        <v>0.99236159999999995</v>
      </c>
      <c r="AB3763">
        <v>30</v>
      </c>
      <c r="AC3763">
        <v>182.7937</v>
      </c>
      <c r="AD3763">
        <v>2.6773289999999998</v>
      </c>
      <c r="AE3763">
        <v>-18.072099999999999</v>
      </c>
      <c r="AF3763">
        <v>22.689644986633599</v>
      </c>
      <c r="AG3763">
        <v>2.6773289999999998</v>
      </c>
      <c r="AH3763">
        <v>182.23881571887901</v>
      </c>
      <c r="AI3763">
        <v>89.164757776842904</v>
      </c>
      <c r="AJ3763">
        <v>82.902910049205403</v>
      </c>
      <c r="AK3763">
        <v>183.66538605522101</v>
      </c>
      <c r="AL3763">
        <v>87.542999421999696</v>
      </c>
      <c r="AM3763">
        <v>89.987581681453705</v>
      </c>
      <c r="AN3763">
        <v>1.0000000477320801</v>
      </c>
    </row>
    <row r="3764" spans="1:40" x14ac:dyDescent="0.25">
      <c r="A3764" t="str">
        <f>"20190312160407789"</f>
        <v>20190312160407789</v>
      </c>
      <c r="B3764" t="str">
        <f>"1552377847778029"</f>
        <v>1552377847778029</v>
      </c>
      <c r="C3764" t="s">
        <v>40</v>
      </c>
      <c r="D3764">
        <v>5.0772440000000003</v>
      </c>
      <c r="E3764">
        <v>0.54722040000000005</v>
      </c>
      <c r="F3764" t="s">
        <v>55</v>
      </c>
      <c r="G3764">
        <v>-168.41579999999999</v>
      </c>
      <c r="H3764">
        <v>3.8363290000000001</v>
      </c>
      <c r="I3764">
        <v>194.34809999999999</v>
      </c>
      <c r="J3764">
        <v>-350.9289</v>
      </c>
      <c r="K3764">
        <v>1.1106039999999999</v>
      </c>
      <c r="L3764">
        <v>212.47130000000001</v>
      </c>
      <c r="M3764">
        <v>0.9995657</v>
      </c>
      <c r="N3764">
        <v>0</v>
      </c>
      <c r="O3764">
        <v>2.580986E-2</v>
      </c>
      <c r="P3764">
        <v>0.99927779999999999</v>
      </c>
      <c r="Q3764">
        <v>2.9291500000000002E-2</v>
      </c>
      <c r="R3764">
        <v>2.4212270000000001E-2</v>
      </c>
      <c r="S3764">
        <v>3.0083920000000002</v>
      </c>
      <c r="T3764">
        <v>4.4860240000000003E-2</v>
      </c>
      <c r="U3764">
        <v>-0.2981415</v>
      </c>
      <c r="V3764">
        <v>1.547049E-3</v>
      </c>
      <c r="W3764">
        <v>4.3510359999999998E-2</v>
      </c>
      <c r="X3764">
        <v>0.99905169999999999</v>
      </c>
      <c r="Y3764">
        <v>0.1242574</v>
      </c>
      <c r="Z3764">
        <v>1.3081670000000001E-3</v>
      </c>
      <c r="AA3764">
        <v>0.99224909999999999</v>
      </c>
      <c r="AB3764">
        <v>30</v>
      </c>
      <c r="AC3764">
        <v>182.51310000000001</v>
      </c>
      <c r="AD3764">
        <v>2.7257250000000002</v>
      </c>
      <c r="AE3764">
        <v>-18.123200000000001</v>
      </c>
      <c r="AF3764">
        <v>22.823234709300699</v>
      </c>
      <c r="AG3764">
        <v>2.7257250000000002</v>
      </c>
      <c r="AH3764">
        <v>181.94429855017901</v>
      </c>
      <c r="AI3764">
        <v>89.148383743153303</v>
      </c>
      <c r="AJ3764">
        <v>82.850118709178304</v>
      </c>
      <c r="AK3764">
        <v>183.39045066275401</v>
      </c>
      <c r="AL3764">
        <v>87.506252549682998</v>
      </c>
      <c r="AM3764">
        <v>89.911276556007607</v>
      </c>
      <c r="AN3764">
        <v>0.99999992203041099</v>
      </c>
    </row>
    <row r="3765" spans="1:40" x14ac:dyDescent="0.25">
      <c r="A3765" t="str">
        <f>"20190312160407803"</f>
        <v>20190312160407803</v>
      </c>
      <c r="B3765" t="str">
        <f>"1552377847798525"</f>
        <v>1552377847798525</v>
      </c>
      <c r="C3765" t="s">
        <v>40</v>
      </c>
      <c r="D3765">
        <v>5.043952</v>
      </c>
      <c r="E3765">
        <v>0.54724039999999996</v>
      </c>
      <c r="F3765" t="s">
        <v>55</v>
      </c>
      <c r="G3765">
        <v>-168.41579999999999</v>
      </c>
      <c r="H3765">
        <v>3.715573</v>
      </c>
      <c r="I3765">
        <v>194.05510000000001</v>
      </c>
      <c r="J3765">
        <v>-350.74579999999997</v>
      </c>
      <c r="K3765">
        <v>1.1106039999999999</v>
      </c>
      <c r="L3765">
        <v>212.47630000000001</v>
      </c>
      <c r="M3765">
        <v>0.99955740000000004</v>
      </c>
      <c r="N3765">
        <v>0</v>
      </c>
      <c r="O3765">
        <v>2.6132249999999999E-2</v>
      </c>
      <c r="P3765">
        <v>0.99927529999999998</v>
      </c>
      <c r="Q3765">
        <v>2.972735E-2</v>
      </c>
      <c r="R3765">
        <v>2.3773599999999999E-2</v>
      </c>
      <c r="S3765">
        <v>3.00827</v>
      </c>
      <c r="T3765">
        <v>4.2936920000000003E-2</v>
      </c>
      <c r="U3765">
        <v>-0.30354309999999901</v>
      </c>
      <c r="V3765">
        <v>2.3078159999999999E-3</v>
      </c>
      <c r="W3765">
        <v>4.3944329999999997E-2</v>
      </c>
      <c r="X3765">
        <v>0.99903129999999996</v>
      </c>
      <c r="Y3765">
        <v>0.12634629999999999</v>
      </c>
      <c r="Z3765">
        <v>1.2714880000000001E-3</v>
      </c>
      <c r="AA3765">
        <v>0.99198540000000002</v>
      </c>
      <c r="AB3765">
        <v>30</v>
      </c>
      <c r="AC3765">
        <v>182.33</v>
      </c>
      <c r="AD3765">
        <v>2.6049690000000001</v>
      </c>
      <c r="AE3765">
        <v>-18.421199999999999</v>
      </c>
      <c r="AF3765">
        <v>23.175399697735799</v>
      </c>
      <c r="AG3765">
        <v>2.6049690000000001</v>
      </c>
      <c r="AH3765">
        <v>181.74956050465499</v>
      </c>
      <c r="AI3765">
        <v>89.185445309876897</v>
      </c>
      <c r="AJ3765">
        <v>82.733268553610301</v>
      </c>
      <c r="AK3765">
        <v>183.23970027883101</v>
      </c>
      <c r="AL3765">
        <v>87.481364249205896</v>
      </c>
      <c r="AM3765">
        <v>89.867643905162495</v>
      </c>
      <c r="AN3765">
        <v>0.99999998426676395</v>
      </c>
    </row>
    <row r="3766" spans="1:40" x14ac:dyDescent="0.25">
      <c r="A3766" t="str">
        <f>"20190312160407823"</f>
        <v>20190312160407823</v>
      </c>
      <c r="B3766" t="str">
        <f>"1552377847818045"</f>
        <v>1552377847818045</v>
      </c>
      <c r="C3766" t="s">
        <v>40</v>
      </c>
      <c r="D3766">
        <v>5.0328499999999998</v>
      </c>
      <c r="E3766">
        <v>0.54735959999999995</v>
      </c>
      <c r="F3766" t="s">
        <v>55</v>
      </c>
      <c r="G3766">
        <v>-168.41589999999999</v>
      </c>
      <c r="H3766">
        <v>3.734915</v>
      </c>
      <c r="I3766">
        <v>193.98920000000001</v>
      </c>
      <c r="J3766">
        <v>-350.4794</v>
      </c>
      <c r="K3766">
        <v>1.110603</v>
      </c>
      <c r="L3766">
        <v>212.4838</v>
      </c>
      <c r="M3766">
        <v>0.99954500000000002</v>
      </c>
      <c r="N3766">
        <v>0</v>
      </c>
      <c r="O3766">
        <v>2.66015E-2</v>
      </c>
      <c r="P3766">
        <v>0.99930469999999905</v>
      </c>
      <c r="Q3766">
        <v>2.9538740000000001E-2</v>
      </c>
      <c r="R3766">
        <v>2.275717E-2</v>
      </c>
      <c r="S3766">
        <v>3.0081479999999998</v>
      </c>
      <c r="T3766">
        <v>4.3297410000000001E-2</v>
      </c>
      <c r="U3766">
        <v>-0.3050079</v>
      </c>
      <c r="V3766">
        <v>3.7939179999999999E-3</v>
      </c>
      <c r="W3766">
        <v>4.375474E-2</v>
      </c>
      <c r="X3766">
        <v>0.99903509999999995</v>
      </c>
      <c r="Y3766">
        <v>0.12729369999999901</v>
      </c>
      <c r="Z3766">
        <v>1.2957229999999999E-3</v>
      </c>
      <c r="AA3766">
        <v>0.99186419999999997</v>
      </c>
      <c r="AB3766">
        <v>30</v>
      </c>
      <c r="AC3766">
        <v>182.0635</v>
      </c>
      <c r="AD3766">
        <v>2.6243120000000002</v>
      </c>
      <c r="AE3766">
        <v>-18.494599999999899</v>
      </c>
      <c r="AF3766">
        <v>23.326908405553201</v>
      </c>
      <c r="AG3766">
        <v>2.6243120000000002</v>
      </c>
      <c r="AH3766">
        <v>181.46970498256499</v>
      </c>
      <c r="AI3766">
        <v>89.178239161864994</v>
      </c>
      <c r="AJ3766">
        <v>82.675118629556906</v>
      </c>
      <c r="AK3766">
        <v>182.981653440157</v>
      </c>
      <c r="AL3766">
        <v>87.492237456761202</v>
      </c>
      <c r="AM3766">
        <v>89.782415608562602</v>
      </c>
      <c r="AN3766">
        <v>1.0000000010591299</v>
      </c>
    </row>
    <row r="3767" spans="1:40" x14ac:dyDescent="0.25">
      <c r="A3767" t="str">
        <f>"20190312160407838"</f>
        <v>20190312160407838</v>
      </c>
      <c r="B3767" t="str">
        <f>"1552377847828781"</f>
        <v>1552377847828781</v>
      </c>
      <c r="C3767" t="s">
        <v>40</v>
      </c>
      <c r="D3767">
        <v>5.0797129999999999</v>
      </c>
      <c r="E3767">
        <v>0.54751450000000002</v>
      </c>
      <c r="F3767" t="s">
        <v>44</v>
      </c>
      <c r="G3767">
        <v>-285.4991</v>
      </c>
      <c r="H3767">
        <v>1.9882960000000001</v>
      </c>
      <c r="I3767">
        <v>205.8073</v>
      </c>
      <c r="J3767">
        <v>-350.29050000000001</v>
      </c>
      <c r="K3767">
        <v>1.1106039999999999</v>
      </c>
      <c r="L3767">
        <v>212.48920000000001</v>
      </c>
      <c r="M3767">
        <v>0.99953610000000004</v>
      </c>
      <c r="N3767">
        <v>0</v>
      </c>
      <c r="O3767">
        <v>2.6934139999999999E-2</v>
      </c>
      <c r="P3767">
        <v>0.99930050000000004</v>
      </c>
      <c r="Q3767">
        <v>2.984214E-2</v>
      </c>
      <c r="R3767">
        <v>2.2538599999999999E-2</v>
      </c>
      <c r="S3767">
        <v>3.0079039999999999</v>
      </c>
      <c r="T3767">
        <v>4.0627959999999998E-2</v>
      </c>
      <c r="U3767">
        <v>-0.30905149999999998</v>
      </c>
      <c r="V3767">
        <v>4.3448439999999996E-3</v>
      </c>
      <c r="W3767">
        <v>4.4056289999999998E-2</v>
      </c>
      <c r="X3767">
        <v>0.99901960000000001</v>
      </c>
      <c r="Y3767">
        <v>0.12895299999999901</v>
      </c>
      <c r="Z3767">
        <v>1.231521E-3</v>
      </c>
      <c r="AA3767">
        <v>0.99164989999999997</v>
      </c>
      <c r="AB3767">
        <v>29</v>
      </c>
      <c r="AC3767">
        <v>64.791399999999996</v>
      </c>
      <c r="AD3767">
        <v>0.87769199999999903</v>
      </c>
      <c r="AE3767">
        <v>-6.6819000000000104</v>
      </c>
      <c r="AF3767">
        <v>8.4232229819437006</v>
      </c>
      <c r="AG3767">
        <v>0.87769199999999903</v>
      </c>
      <c r="AH3767">
        <v>64.576174779831106</v>
      </c>
      <c r="AI3767">
        <v>89.227848265174302</v>
      </c>
      <c r="AJ3767">
        <v>82.568379453529602</v>
      </c>
      <c r="AK3767">
        <v>65.129128489837001</v>
      </c>
      <c r="AL3767">
        <v>87.474943229068899</v>
      </c>
      <c r="AM3767">
        <v>89.750816045743406</v>
      </c>
      <c r="AN3767">
        <v>0.99999999777105397</v>
      </c>
    </row>
    <row r="3768" spans="1:40" x14ac:dyDescent="0.25">
      <c r="A3768" t="str">
        <f>"20190312160407858"</f>
        <v>20190312160407858</v>
      </c>
      <c r="B3768" t="str">
        <f>"1552377847848301"</f>
        <v>1552377847848301</v>
      </c>
      <c r="C3768" t="s">
        <v>40</v>
      </c>
      <c r="D3768">
        <v>5.0698129999999999</v>
      </c>
      <c r="E3768">
        <v>0.54779580000000005</v>
      </c>
      <c r="F3768" t="s">
        <v>44</v>
      </c>
      <c r="G3768">
        <v>-285.55090000000001</v>
      </c>
      <c r="H3768">
        <v>1.9576089999999999</v>
      </c>
      <c r="I3768">
        <v>205.7971</v>
      </c>
      <c r="J3768">
        <v>-350.03230000000002</v>
      </c>
      <c r="K3768">
        <v>1.110598</v>
      </c>
      <c r="L3768">
        <v>212.4966</v>
      </c>
      <c r="M3768">
        <v>0.99952379999999996</v>
      </c>
      <c r="N3768">
        <v>0</v>
      </c>
      <c r="O3768">
        <v>2.738873E-2</v>
      </c>
      <c r="P3768">
        <v>0.99927909999999998</v>
      </c>
      <c r="Q3768">
        <v>3.044854E-2</v>
      </c>
      <c r="R3768">
        <v>2.267634E-2</v>
      </c>
      <c r="S3768">
        <v>3.0079349999999998</v>
      </c>
      <c r="T3768">
        <v>3.9353609999999997E-2</v>
      </c>
      <c r="U3768">
        <v>-0.31092829999999999</v>
      </c>
      <c r="V3768">
        <v>4.6606399999999997E-3</v>
      </c>
      <c r="W3768">
        <v>4.4659839999999999E-2</v>
      </c>
      <c r="X3768">
        <v>0.99899139999999997</v>
      </c>
      <c r="Y3768">
        <v>0.13001589999999999</v>
      </c>
      <c r="Z3768">
        <v>1.2057159999999999E-3</v>
      </c>
      <c r="AA3768">
        <v>0.99151120000000004</v>
      </c>
      <c r="AB3768">
        <v>29</v>
      </c>
      <c r="AC3768">
        <v>64.481399999999994</v>
      </c>
      <c r="AD3768">
        <v>0.84701099999999996</v>
      </c>
      <c r="AE3768">
        <v>-6.6994999999999996</v>
      </c>
      <c r="AF3768">
        <v>8.4617838433083392</v>
      </c>
      <c r="AG3768">
        <v>0.84701099999999996</v>
      </c>
      <c r="AH3768">
        <v>64.262726151733304</v>
      </c>
      <c r="AI3768">
        <v>89.251321899764406</v>
      </c>
      <c r="AJ3768">
        <v>82.498741985882305</v>
      </c>
      <c r="AK3768">
        <v>64.822968042952695</v>
      </c>
      <c r="AL3768">
        <v>87.440328346260998</v>
      </c>
      <c r="AM3768">
        <v>89.732697334054805</v>
      </c>
      <c r="AN3768">
        <v>1.00000002007399</v>
      </c>
    </row>
    <row r="3769" spans="1:40" x14ac:dyDescent="0.25">
      <c r="A3769" t="str">
        <f>"20190312160407879"</f>
        <v>20190312160407879</v>
      </c>
      <c r="B3769" t="str">
        <f>"1552377847868797"</f>
        <v>1552377847868797</v>
      </c>
      <c r="C3769" t="s">
        <v>40</v>
      </c>
      <c r="D3769">
        <v>5.0622259999999999</v>
      </c>
      <c r="E3769">
        <v>0.54812069999999902</v>
      </c>
      <c r="F3769" t="s">
        <v>44</v>
      </c>
      <c r="G3769">
        <v>-285.55489999999998</v>
      </c>
      <c r="H3769">
        <v>2.0186760000000001</v>
      </c>
      <c r="I3769">
        <v>205.79220000000001</v>
      </c>
      <c r="J3769">
        <v>-349.75310000000002</v>
      </c>
      <c r="K3769">
        <v>1.11059</v>
      </c>
      <c r="L3769">
        <v>212.50479999999999</v>
      </c>
      <c r="M3769">
        <v>0.99951020000000002</v>
      </c>
      <c r="N3769">
        <v>0</v>
      </c>
      <c r="O3769">
        <v>2.788063E-2</v>
      </c>
      <c r="P3769">
        <v>0.9992877</v>
      </c>
      <c r="Q3769">
        <v>2.9875479999999999E-2</v>
      </c>
      <c r="R3769">
        <v>2.3060979999999998E-2</v>
      </c>
      <c r="S3769">
        <v>3.0079959999999999</v>
      </c>
      <c r="T3769">
        <v>4.2363520000000002E-2</v>
      </c>
      <c r="U3769">
        <v>-0.31277470000000002</v>
      </c>
      <c r="V3769">
        <v>4.7689050000000004E-3</v>
      </c>
      <c r="W3769">
        <v>4.4083909999999997E-2</v>
      </c>
      <c r="X3769">
        <v>0.99901649999999997</v>
      </c>
      <c r="Y3769">
        <v>0.13110160000000001</v>
      </c>
      <c r="Z3769">
        <v>1.3123950000000001E-3</v>
      </c>
      <c r="AA3769">
        <v>0.99136809999999997</v>
      </c>
      <c r="AB3769">
        <v>29</v>
      </c>
      <c r="AC3769">
        <v>64.1982</v>
      </c>
      <c r="AD3769">
        <v>0.90808599999999895</v>
      </c>
      <c r="AE3769">
        <v>-6.7125999999999797</v>
      </c>
      <c r="AF3769">
        <v>8.49837512459405</v>
      </c>
      <c r="AG3769">
        <v>0.90808599999999895</v>
      </c>
      <c r="AH3769">
        <v>63.973406594990301</v>
      </c>
      <c r="AI3769">
        <v>89.193836967425796</v>
      </c>
      <c r="AJ3769">
        <v>82.433000543884503</v>
      </c>
      <c r="AK3769">
        <v>64.541798482143903</v>
      </c>
      <c r="AL3769">
        <v>87.473359313760298</v>
      </c>
      <c r="AM3769">
        <v>89.726494953808796</v>
      </c>
      <c r="AN3769">
        <v>1.0000000504240101</v>
      </c>
    </row>
    <row r="3770" spans="1:40" x14ac:dyDescent="0.25">
      <c r="A3770" t="str">
        <f>"20190312160407895"</f>
        <v>20190312160407895</v>
      </c>
      <c r="B3770" t="str">
        <f>"1552377847888316"</f>
        <v>1552377847888316</v>
      </c>
      <c r="C3770" t="s">
        <v>40</v>
      </c>
      <c r="D3770">
        <v>5.1743459999999999</v>
      </c>
      <c r="E3770">
        <v>0.54840619999999995</v>
      </c>
      <c r="F3770" t="s">
        <v>44</v>
      </c>
      <c r="G3770">
        <v>-285.5487</v>
      </c>
      <c r="H3770">
        <v>1.965821</v>
      </c>
      <c r="I3770">
        <v>205.79990000000001</v>
      </c>
      <c r="J3770">
        <v>-349.55149999999998</v>
      </c>
      <c r="K3770">
        <v>1.11059</v>
      </c>
      <c r="L3770">
        <v>212.51079999999999</v>
      </c>
      <c r="M3770">
        <v>0.99950030000000001</v>
      </c>
      <c r="N3770">
        <v>0</v>
      </c>
      <c r="O3770">
        <v>2.8236089999999998E-2</v>
      </c>
      <c r="P3770">
        <v>0.99929480000000004</v>
      </c>
      <c r="Q3770">
        <v>2.935596E-2</v>
      </c>
      <c r="R3770">
        <v>2.3414750000000002E-2</v>
      </c>
      <c r="S3770">
        <v>3.0081790000000002</v>
      </c>
      <c r="T3770">
        <v>4.0070179999999997E-2</v>
      </c>
      <c r="U3770">
        <v>-0.31414789999999998</v>
      </c>
      <c r="V3770">
        <v>4.7715530000000004E-3</v>
      </c>
      <c r="W3770">
        <v>4.3561799999999998E-2</v>
      </c>
      <c r="X3770">
        <v>0.99903940000000002</v>
      </c>
      <c r="Y3770">
        <v>0.13189719999999999</v>
      </c>
      <c r="Z3770">
        <v>1.2512599999999999E-3</v>
      </c>
      <c r="AA3770">
        <v>0.99126259999999999</v>
      </c>
      <c r="AB3770">
        <v>29</v>
      </c>
      <c r="AC3770">
        <v>64.002799999999894</v>
      </c>
      <c r="AD3770">
        <v>0.85523099999999896</v>
      </c>
      <c r="AE3770">
        <v>-6.7108999999999801</v>
      </c>
      <c r="AF3770">
        <v>8.5140912734191492</v>
      </c>
      <c r="AG3770">
        <v>0.85523099999999896</v>
      </c>
      <c r="AH3770">
        <v>63.776503382928198</v>
      </c>
      <c r="AI3770">
        <v>89.238475497073694</v>
      </c>
      <c r="AJ3770">
        <v>82.396037827351094</v>
      </c>
      <c r="AK3770">
        <v>64.347987956330996</v>
      </c>
      <c r="AL3770">
        <v>87.503302803238</v>
      </c>
      <c r="AM3770">
        <v>89.726349361357904</v>
      </c>
      <c r="AN3770">
        <v>1.00000006044481</v>
      </c>
    </row>
    <row r="3771" spans="1:40" x14ac:dyDescent="0.25">
      <c r="A3771" t="str">
        <f>"20190312160407914"</f>
        <v>20190312160407914</v>
      </c>
      <c r="B3771" t="str">
        <f>"1552377847908814"</f>
        <v>1552377847908814</v>
      </c>
      <c r="C3771" t="s">
        <v>40</v>
      </c>
      <c r="D3771">
        <v>5.0710199999999999</v>
      </c>
      <c r="E3771">
        <v>0.54856340000000003</v>
      </c>
      <c r="F3771" t="s">
        <v>44</v>
      </c>
      <c r="G3771">
        <v>-285.54559999999998</v>
      </c>
      <c r="H3771">
        <v>1.8554550000000001</v>
      </c>
      <c r="I3771">
        <v>205.8039</v>
      </c>
      <c r="J3771">
        <v>-349.2946</v>
      </c>
      <c r="K3771">
        <v>1.1105959999999999</v>
      </c>
      <c r="L3771">
        <v>212.51859999999999</v>
      </c>
      <c r="M3771">
        <v>0.99948740000000003</v>
      </c>
      <c r="N3771">
        <v>0</v>
      </c>
      <c r="O3771">
        <v>2.8688709999999999E-2</v>
      </c>
      <c r="P3771">
        <v>0.99929060000000003</v>
      </c>
      <c r="Q3771">
        <v>2.8782990000000001E-2</v>
      </c>
      <c r="R3771">
        <v>2.4284750000000001E-2</v>
      </c>
      <c r="S3771">
        <v>3.0084529999999998</v>
      </c>
      <c r="T3771">
        <v>3.5010699999999999E-2</v>
      </c>
      <c r="U3771">
        <v>-0.31524659999999999</v>
      </c>
      <c r="V3771">
        <v>4.355177E-3</v>
      </c>
      <c r="W3771">
        <v>4.2986320000000001E-2</v>
      </c>
      <c r="X3771">
        <v>0.99906620000000002</v>
      </c>
      <c r="Y3771">
        <v>0.13269800000000001</v>
      </c>
      <c r="Z3771">
        <v>1.103063E-3</v>
      </c>
      <c r="AA3771">
        <v>0.99115589999999998</v>
      </c>
      <c r="AB3771">
        <v>29</v>
      </c>
      <c r="AC3771">
        <v>63.749000000000002</v>
      </c>
      <c r="AD3771">
        <v>0.74485899999999905</v>
      </c>
      <c r="AE3771">
        <v>-6.7146999999999899</v>
      </c>
      <c r="AF3771">
        <v>8.5398437746873892</v>
      </c>
      <c r="AG3771">
        <v>0.74485899999999905</v>
      </c>
      <c r="AH3771">
        <v>63.521522811036498</v>
      </c>
      <c r="AI3771">
        <v>89.334165117660206</v>
      </c>
      <c r="AJ3771">
        <v>82.343056829559899</v>
      </c>
      <c r="AK3771">
        <v>64.0973291710269</v>
      </c>
      <c r="AL3771">
        <v>87.536306222233407</v>
      </c>
      <c r="AM3771">
        <v>89.750235089005798</v>
      </c>
      <c r="AN3771">
        <v>1.0000000316281401</v>
      </c>
    </row>
    <row r="3772" spans="1:40" x14ac:dyDescent="0.25">
      <c r="A3772" t="str">
        <f>"20190312160407936"</f>
        <v>20190312160407936</v>
      </c>
      <c r="B3772" t="str">
        <f>"1552377847928333"</f>
        <v>1552377847928333</v>
      </c>
      <c r="C3772" t="s">
        <v>40</v>
      </c>
      <c r="D3772">
        <v>5.0698730000000003</v>
      </c>
      <c r="E3772">
        <v>0.54876099999999906</v>
      </c>
      <c r="F3772" t="s">
        <v>55</v>
      </c>
      <c r="G3772">
        <v>-168.41569999999999</v>
      </c>
      <c r="H3772">
        <v>3.0392969999999999</v>
      </c>
      <c r="I3772">
        <v>193.65819999999999</v>
      </c>
      <c r="J3772">
        <v>-349.00080000000003</v>
      </c>
      <c r="K3772">
        <v>1.1106009999999999</v>
      </c>
      <c r="L3772">
        <v>212.52760000000001</v>
      </c>
      <c r="M3772">
        <v>0.99947260000000004</v>
      </c>
      <c r="N3772">
        <v>0</v>
      </c>
      <c r="O3772">
        <v>2.9206360000000001E-2</v>
      </c>
      <c r="P3772">
        <v>0.99923430000000002</v>
      </c>
      <c r="Q3772">
        <v>2.954497E-2</v>
      </c>
      <c r="R3772">
        <v>2.5659919999999999E-2</v>
      </c>
      <c r="S3772">
        <v>3.0088499999999998</v>
      </c>
      <c r="T3772">
        <v>3.2083750000000001E-2</v>
      </c>
      <c r="U3772">
        <v>-0.31373600000000001</v>
      </c>
      <c r="V3772">
        <v>3.4959629999999999E-3</v>
      </c>
      <c r="W3772">
        <v>4.3743299999999999E-2</v>
      </c>
      <c r="X3772">
        <v>0.9990367</v>
      </c>
      <c r="Y3772">
        <v>0.1327073</v>
      </c>
      <c r="Z3772">
        <v>1.0163010000000001E-3</v>
      </c>
      <c r="AA3772">
        <v>0.99115469999999894</v>
      </c>
      <c r="AB3772">
        <v>29</v>
      </c>
      <c r="AC3772">
        <v>180.58510000000001</v>
      </c>
      <c r="AD3772">
        <v>1.928696</v>
      </c>
      <c r="AE3772">
        <v>-18.869399999999999</v>
      </c>
      <c r="AF3772">
        <v>24.1333905655937</v>
      </c>
      <c r="AG3772">
        <v>1.928696</v>
      </c>
      <c r="AH3772">
        <v>179.93658210790099</v>
      </c>
      <c r="AI3772">
        <v>89.391333853770703</v>
      </c>
      <c r="AJ3772">
        <v>82.360983177861698</v>
      </c>
      <c r="AK3772">
        <v>181.55801824520199</v>
      </c>
      <c r="AL3772">
        <v>87.4928935786061</v>
      </c>
      <c r="AM3772">
        <v>89.799503754322998</v>
      </c>
      <c r="AN3772">
        <v>1.0000000129995299</v>
      </c>
    </row>
    <row r="3773" spans="1:40" x14ac:dyDescent="0.25">
      <c r="A3773" t="str">
        <f>"20190312160407957"</f>
        <v>20190312160407957</v>
      </c>
      <c r="B3773" t="str">
        <f>"1552377847948829"</f>
        <v>1552377847948829</v>
      </c>
      <c r="C3773" t="s">
        <v>40</v>
      </c>
      <c r="D3773">
        <v>5.0429919999999999</v>
      </c>
      <c r="E3773">
        <v>0.54890249999999996</v>
      </c>
      <c r="F3773" t="s">
        <v>55</v>
      </c>
      <c r="G3773">
        <v>-168.41569999999999</v>
      </c>
      <c r="H3773">
        <v>3.1463380000000001</v>
      </c>
      <c r="I3773">
        <v>193.8356</v>
      </c>
      <c r="J3773">
        <v>-348.72</v>
      </c>
      <c r="K3773">
        <v>1.110608</v>
      </c>
      <c r="L3773">
        <v>212.53639999999999</v>
      </c>
      <c r="M3773">
        <v>0.99945799999999996</v>
      </c>
      <c r="N3773">
        <v>0</v>
      </c>
      <c r="O3773">
        <v>2.9701419999999999E-2</v>
      </c>
      <c r="P3773">
        <v>0.99916050000000001</v>
      </c>
      <c r="Q3773">
        <v>3.0335979999999999E-2</v>
      </c>
      <c r="R3773">
        <v>2.753508E-2</v>
      </c>
      <c r="S3773">
        <v>3.009369</v>
      </c>
      <c r="T3773">
        <v>3.3925179999999999E-2</v>
      </c>
      <c r="U3773">
        <v>-0.31149290000000002</v>
      </c>
      <c r="V3773">
        <v>2.1138670000000002E-3</v>
      </c>
      <c r="W3773">
        <v>4.4529800000000001E-2</v>
      </c>
      <c r="X3773">
        <v>0.99900580000000005</v>
      </c>
      <c r="Y3773">
        <v>0.1324486</v>
      </c>
      <c r="Z3773">
        <v>1.0785980000000001E-3</v>
      </c>
      <c r="AA3773">
        <v>0.99118930000000005</v>
      </c>
      <c r="AB3773">
        <v>29</v>
      </c>
      <c r="AC3773">
        <v>180.30430000000001</v>
      </c>
      <c r="AD3773">
        <v>2.03573</v>
      </c>
      <c r="AE3773">
        <v>-18.700799999999902</v>
      </c>
      <c r="AF3773">
        <v>24.045348708012298</v>
      </c>
      <c r="AG3773">
        <v>2.03573</v>
      </c>
      <c r="AH3773">
        <v>179.64658332152899</v>
      </c>
      <c r="AI3773">
        <v>89.356498203465307</v>
      </c>
      <c r="AJ3773">
        <v>82.376381419655004</v>
      </c>
      <c r="AK3773">
        <v>181.260083554603</v>
      </c>
      <c r="AL3773">
        <v>87.447786406589401</v>
      </c>
      <c r="AM3773">
        <v>89.878763990365101</v>
      </c>
      <c r="AN3773">
        <v>0.99999997997768597</v>
      </c>
    </row>
    <row r="3774" spans="1:40" x14ac:dyDescent="0.25">
      <c r="A3774" t="str">
        <f>"20190312160407980"</f>
        <v>20190312160407980</v>
      </c>
      <c r="B3774" t="str">
        <f>"1552377847968350"</f>
        <v>1552377847968350</v>
      </c>
      <c r="C3774" t="s">
        <v>40</v>
      </c>
      <c r="D3774">
        <v>5.0191679999999996</v>
      </c>
      <c r="E3774">
        <v>0.54903469999999999</v>
      </c>
      <c r="F3774" t="s">
        <v>55</v>
      </c>
      <c r="G3774">
        <v>-168.41569999999999</v>
      </c>
      <c r="H3774">
        <v>3.3774389999999999</v>
      </c>
      <c r="I3774">
        <v>194.16059999999999</v>
      </c>
      <c r="J3774">
        <v>-348.43270000000001</v>
      </c>
      <c r="K3774">
        <v>1.1106049999999901</v>
      </c>
      <c r="L3774">
        <v>212.5455</v>
      </c>
      <c r="M3774">
        <v>0.99944290000000002</v>
      </c>
      <c r="N3774">
        <v>0</v>
      </c>
      <c r="O3774">
        <v>3.0207979999999999E-2</v>
      </c>
      <c r="P3774">
        <v>0.99913719999999995</v>
      </c>
      <c r="Q3774">
        <v>2.995681E-2</v>
      </c>
      <c r="R3774">
        <v>2.8766949999999999E-2</v>
      </c>
      <c r="S3774">
        <v>3.009827</v>
      </c>
      <c r="T3774">
        <v>3.7840840000000001E-2</v>
      </c>
      <c r="U3774">
        <v>-0.3067474</v>
      </c>
      <c r="V3774">
        <v>1.3890580000000001E-3</v>
      </c>
      <c r="W3774">
        <v>4.4147260000000001E-2</v>
      </c>
      <c r="X3774">
        <v>0.99902409999999997</v>
      </c>
      <c r="Y3774">
        <v>0.13138649999999999</v>
      </c>
      <c r="Z3774">
        <v>1.2026910000000001E-3</v>
      </c>
      <c r="AA3774">
        <v>0.9913305</v>
      </c>
      <c r="AB3774">
        <v>29</v>
      </c>
      <c r="AC3774">
        <v>180.017</v>
      </c>
      <c r="AD3774">
        <v>2.2668339999999998</v>
      </c>
      <c r="AE3774">
        <v>-18.384899999999998</v>
      </c>
      <c r="AF3774">
        <v>23.811268910596901</v>
      </c>
      <c r="AG3774">
        <v>2.2668339999999998</v>
      </c>
      <c r="AH3774">
        <v>179.35125774796199</v>
      </c>
      <c r="AI3774">
        <v>89.282170864528993</v>
      </c>
      <c r="AJ3774">
        <v>82.437447761064405</v>
      </c>
      <c r="AK3774">
        <v>180.939185140456</v>
      </c>
      <c r="AL3774">
        <v>87.469726040488098</v>
      </c>
      <c r="AM3774">
        <v>89.920335145456804</v>
      </c>
      <c r="AN3774">
        <v>1.0000000312142201</v>
      </c>
    </row>
    <row r="3775" spans="1:40" x14ac:dyDescent="0.25">
      <c r="A3775" t="str">
        <f>"20190312160408002"</f>
        <v>20190312160408002</v>
      </c>
      <c r="B3775" t="str">
        <f>"1552377847998605"</f>
        <v>1552377847998605</v>
      </c>
      <c r="C3775" t="s">
        <v>40</v>
      </c>
      <c r="D3775">
        <v>5.0323349999999998</v>
      </c>
      <c r="E3775">
        <v>0.54916279999999995</v>
      </c>
      <c r="F3775" t="s">
        <v>55</v>
      </c>
      <c r="G3775">
        <v>-168.41560000000001</v>
      </c>
      <c r="H3775">
        <v>3.3903219999999998</v>
      </c>
      <c r="I3775">
        <v>194.34280000000001</v>
      </c>
      <c r="J3775">
        <v>-348.14409999999998</v>
      </c>
      <c r="K3775">
        <v>1.1106039999999999</v>
      </c>
      <c r="L3775">
        <v>212.5548</v>
      </c>
      <c r="M3775">
        <v>0.99942739999999997</v>
      </c>
      <c r="N3775">
        <v>0</v>
      </c>
      <c r="O3775">
        <v>3.0717040000000001E-2</v>
      </c>
      <c r="P3775">
        <v>0.99910299999999996</v>
      </c>
      <c r="Q3775">
        <v>2.9783609999999999E-2</v>
      </c>
      <c r="R3775">
        <v>3.0110560000000001E-2</v>
      </c>
      <c r="S3775">
        <v>3.0102229999999999</v>
      </c>
      <c r="T3775">
        <v>3.8121700000000001E-2</v>
      </c>
      <c r="U3775">
        <v>-0.30438229999999999</v>
      </c>
      <c r="V3775">
        <v>5.5420250000000001E-4</v>
      </c>
      <c r="W3775">
        <v>4.3970059999999998E-2</v>
      </c>
      <c r="X3775">
        <v>0.9990327</v>
      </c>
      <c r="Y3775">
        <v>0.13110720000000001</v>
      </c>
      <c r="Z3775">
        <v>1.2161730000000001E-3</v>
      </c>
      <c r="AA3775">
        <v>0.99136749999999996</v>
      </c>
      <c r="AB3775">
        <v>29</v>
      </c>
      <c r="AC3775">
        <v>179.728499999999</v>
      </c>
      <c r="AD3775">
        <v>2.2797179999999999</v>
      </c>
      <c r="AE3775">
        <v>-18.2119999999999</v>
      </c>
      <c r="AF3775">
        <v>23.7209101021006</v>
      </c>
      <c r="AG3775">
        <v>2.2797179999999999</v>
      </c>
      <c r="AH3775">
        <v>179.05568221735899</v>
      </c>
      <c r="AI3775">
        <v>89.276872907741506</v>
      </c>
      <c r="AJ3775">
        <v>82.453521972242996</v>
      </c>
      <c r="AK3775">
        <v>180.63448182602099</v>
      </c>
      <c r="AL3775">
        <v>87.479888653443695</v>
      </c>
      <c r="AM3775">
        <v>89.968215794149302</v>
      </c>
      <c r="AN3775">
        <v>1.0000000044930499</v>
      </c>
    </row>
    <row r="3776" spans="1:40" x14ac:dyDescent="0.25">
      <c r="A3776" t="str">
        <f>"20190312160408025"</f>
        <v>20190312160408025</v>
      </c>
      <c r="B3776" t="str">
        <f>"1552377848018129"</f>
        <v>1552377848018129</v>
      </c>
      <c r="C3776" t="s">
        <v>40</v>
      </c>
      <c r="D3776">
        <v>5.0387700000000004</v>
      </c>
      <c r="E3776">
        <v>0.5493865</v>
      </c>
      <c r="F3776" t="s">
        <v>55</v>
      </c>
      <c r="G3776">
        <v>-168.41550000000001</v>
      </c>
      <c r="H3776">
        <v>3.3614649999999999</v>
      </c>
      <c r="I3776">
        <v>194.56880000000001</v>
      </c>
      <c r="J3776">
        <v>-347.84359999999998</v>
      </c>
      <c r="K3776">
        <v>1.1106039999999999</v>
      </c>
      <c r="L3776">
        <v>212.56460000000001</v>
      </c>
      <c r="M3776">
        <v>0.99941100000000005</v>
      </c>
      <c r="N3776">
        <v>0</v>
      </c>
      <c r="O3776">
        <v>3.1247440000000001E-2</v>
      </c>
      <c r="P3776">
        <v>0.99907760000000001</v>
      </c>
      <c r="Q3776">
        <v>2.9759569999999999E-2</v>
      </c>
      <c r="R3776">
        <v>3.0966469999999999E-2</v>
      </c>
      <c r="S3776">
        <v>3.0106510000000002</v>
      </c>
      <c r="T3776">
        <v>3.7704939999999999E-2</v>
      </c>
      <c r="U3776">
        <v>-0.30128480000000002</v>
      </c>
      <c r="V3776">
        <v>2.2857300000000001E-4</v>
      </c>
      <c r="W3776">
        <v>4.3942429999999998E-2</v>
      </c>
      <c r="X3776">
        <v>0.99903399999999998</v>
      </c>
      <c r="Y3776">
        <v>0.1306097</v>
      </c>
      <c r="Z3776">
        <v>1.206291E-3</v>
      </c>
      <c r="AA3776">
        <v>0.99143309999999996</v>
      </c>
      <c r="AB3776">
        <v>29</v>
      </c>
      <c r="AC3776">
        <v>179.42809999999901</v>
      </c>
      <c r="AD3776">
        <v>2.250861</v>
      </c>
      <c r="AE3776">
        <v>-17.995799999999999</v>
      </c>
      <c r="AF3776">
        <v>23.590568130922399</v>
      </c>
      <c r="AG3776">
        <v>2.250861</v>
      </c>
      <c r="AH3776">
        <v>178.75023524340099</v>
      </c>
      <c r="AI3776">
        <v>89.284758764971798</v>
      </c>
      <c r="AJ3776">
        <v>82.481835705041405</v>
      </c>
      <c r="AK3776">
        <v>180.31424757781201</v>
      </c>
      <c r="AL3776">
        <v>87.481473158513296</v>
      </c>
      <c r="AM3776">
        <v>89.9868910687903</v>
      </c>
      <c r="AN3776">
        <v>0.99999996127795898</v>
      </c>
    </row>
    <row r="3777" spans="1:40" x14ac:dyDescent="0.25">
      <c r="A3777" t="str">
        <f>"20190312160408038"</f>
        <v>20190312160408038</v>
      </c>
      <c r="B3777" t="str">
        <f>"1552377848028862"</f>
        <v>1552377848028862</v>
      </c>
      <c r="C3777" t="s">
        <v>40</v>
      </c>
      <c r="D3777">
        <v>5.0517339999999997</v>
      </c>
      <c r="E3777">
        <v>0.54951749999999999</v>
      </c>
      <c r="F3777" t="s">
        <v>55</v>
      </c>
      <c r="G3777">
        <v>-168.41550000000001</v>
      </c>
      <c r="H3777">
        <v>3.3223229999999999</v>
      </c>
      <c r="I3777">
        <v>194.65620000000001</v>
      </c>
      <c r="J3777">
        <v>-347.66669999999999</v>
      </c>
      <c r="K3777">
        <v>1.110606</v>
      </c>
      <c r="L3777">
        <v>212.57050000000001</v>
      </c>
      <c r="M3777">
        <v>0.99940119999999999</v>
      </c>
      <c r="N3777">
        <v>0</v>
      </c>
      <c r="O3777">
        <v>3.1559810000000001E-2</v>
      </c>
      <c r="P3777">
        <v>0.99907009999999996</v>
      </c>
      <c r="Q3777">
        <v>2.9972490000000001E-2</v>
      </c>
      <c r="R3777">
        <v>3.0999209999999999E-2</v>
      </c>
      <c r="S3777">
        <v>3.0109859999999999</v>
      </c>
      <c r="T3777">
        <v>3.7115450000000001E-2</v>
      </c>
      <c r="U3777">
        <v>-0.30052190000000001</v>
      </c>
      <c r="V3777">
        <v>5.0792419999999897E-4</v>
      </c>
      <c r="W3777">
        <v>4.415347E-2</v>
      </c>
      <c r="X3777">
        <v>0.99902460000000004</v>
      </c>
      <c r="Y3777">
        <v>0.130660199999999</v>
      </c>
      <c r="Z3777">
        <v>1.1914689999999999E-3</v>
      </c>
      <c r="AA3777">
        <v>0.99142649999999999</v>
      </c>
      <c r="AB3777">
        <v>29</v>
      </c>
      <c r="AC3777">
        <v>179.25119999999899</v>
      </c>
      <c r="AD3777">
        <v>2.2117169999999899</v>
      </c>
      <c r="AE3777">
        <v>-17.914299999999901</v>
      </c>
      <c r="AF3777">
        <v>23.5595262464931</v>
      </c>
      <c r="AG3777">
        <v>2.2117169999999899</v>
      </c>
      <c r="AH3777">
        <v>178.56954498575999</v>
      </c>
      <c r="AI3777">
        <v>89.296481281354204</v>
      </c>
      <c r="AJ3777">
        <v>82.484104870435701</v>
      </c>
      <c r="AK3777">
        <v>180.130578651901</v>
      </c>
      <c r="AL3777">
        <v>87.4693697292644</v>
      </c>
      <c r="AM3777">
        <v>89.970869675816701</v>
      </c>
      <c r="AN3777">
        <v>0.99999996915259604</v>
      </c>
    </row>
    <row r="3778" spans="1:40" x14ac:dyDescent="0.25">
      <c r="A3778" t="str">
        <f>"20190312160408058"</f>
        <v>20190312160408058</v>
      </c>
      <c r="B3778" t="str">
        <f>"1552377848048390"</f>
        <v>1552377848048390</v>
      </c>
      <c r="C3778" t="s">
        <v>40</v>
      </c>
      <c r="D3778">
        <v>5.034815</v>
      </c>
      <c r="E3778">
        <v>0.54974769999999995</v>
      </c>
      <c r="F3778" t="s">
        <v>55</v>
      </c>
      <c r="G3778">
        <v>-168.41550000000001</v>
      </c>
      <c r="H3778">
        <v>3.3790680000000002</v>
      </c>
      <c r="I3778">
        <v>194.62970000000001</v>
      </c>
      <c r="J3778">
        <v>-347.4196</v>
      </c>
      <c r="K3778">
        <v>1.1106180000000001</v>
      </c>
      <c r="L3778">
        <v>212.5788</v>
      </c>
      <c r="M3778">
        <v>0.99938740000000004</v>
      </c>
      <c r="N3778">
        <v>0</v>
      </c>
      <c r="O3778">
        <v>3.1995929999999999E-2</v>
      </c>
      <c r="P3778">
        <v>0.9990426</v>
      </c>
      <c r="Q3778">
        <v>3.0701920000000001E-2</v>
      </c>
      <c r="R3778">
        <v>3.1168149999999999E-2</v>
      </c>
      <c r="S3778">
        <v>3.0109859999999999</v>
      </c>
      <c r="T3778">
        <v>3.810525E-2</v>
      </c>
      <c r="U3778">
        <v>-0.30136109999999999</v>
      </c>
      <c r="V3778">
        <v>7.7389579999999998E-4</v>
      </c>
      <c r="W3778">
        <v>4.4880400000000001E-2</v>
      </c>
      <c r="X3778">
        <v>0.99899210000000005</v>
      </c>
      <c r="Y3778">
        <v>0.1313657</v>
      </c>
      <c r="Z3778">
        <v>1.233186E-3</v>
      </c>
      <c r="AA3778">
        <v>0.99133320000000003</v>
      </c>
      <c r="AB3778">
        <v>29</v>
      </c>
      <c r="AC3778">
        <v>179.00409999999999</v>
      </c>
      <c r="AD3778">
        <v>2.2684500000000001</v>
      </c>
      <c r="AE3778">
        <v>-17.949099999999898</v>
      </c>
      <c r="AF3778">
        <v>23.664124271146498</v>
      </c>
      <c r="AG3778">
        <v>2.2684500000000001</v>
      </c>
      <c r="AH3778">
        <v>178.30972478611099</v>
      </c>
      <c r="AI3778">
        <v>89.277459010215594</v>
      </c>
      <c r="AJ3778">
        <v>82.440247720626004</v>
      </c>
      <c r="AK3778">
        <v>179.887449801873</v>
      </c>
      <c r="AL3778">
        <v>87.427678537650394</v>
      </c>
      <c r="AM3778">
        <v>89.955614309409498</v>
      </c>
      <c r="AN3778">
        <v>1.00000003254063</v>
      </c>
    </row>
    <row r="3779" spans="1:40" x14ac:dyDescent="0.25">
      <c r="A3779" t="str">
        <f>"20190312160408072"</f>
        <v>20190312160408072</v>
      </c>
      <c r="B3779" t="str">
        <f>"1552377848068877"</f>
        <v>1552377848068877</v>
      </c>
      <c r="C3779" t="s">
        <v>40</v>
      </c>
      <c r="D3779">
        <v>5.0632029999999997</v>
      </c>
      <c r="E3779">
        <v>0.5499676</v>
      </c>
      <c r="F3779" t="s">
        <v>55</v>
      </c>
      <c r="G3779">
        <v>-168.41560000000001</v>
      </c>
      <c r="H3779">
        <v>3.5427179999999998</v>
      </c>
      <c r="I3779">
        <v>194.58779999999999</v>
      </c>
      <c r="J3779">
        <v>-347.23610000000002</v>
      </c>
      <c r="K3779">
        <v>1.1106210000000001</v>
      </c>
      <c r="L3779">
        <v>212.58500000000001</v>
      </c>
      <c r="M3779">
        <v>0.99937699999999996</v>
      </c>
      <c r="N3779">
        <v>0</v>
      </c>
      <c r="O3779">
        <v>3.2319809999999997E-2</v>
      </c>
      <c r="P3779">
        <v>0.99902210000000002</v>
      </c>
      <c r="Q3779">
        <v>3.1177440000000001E-2</v>
      </c>
      <c r="R3779">
        <v>3.135052E-2</v>
      </c>
      <c r="S3779">
        <v>3.011047</v>
      </c>
      <c r="T3779">
        <v>4.0911200000000002E-2</v>
      </c>
      <c r="U3779">
        <v>-0.3026276</v>
      </c>
      <c r="V3779">
        <v>9.1450250000000004E-4</v>
      </c>
      <c r="W3779">
        <v>4.5353419999999998E-2</v>
      </c>
      <c r="X3779">
        <v>0.99897060000000004</v>
      </c>
      <c r="Y3779">
        <v>0.13209570000000001</v>
      </c>
      <c r="Z3779">
        <v>1.333269E-3</v>
      </c>
      <c r="AA3779">
        <v>0.99123609999999895</v>
      </c>
      <c r="AB3779">
        <v>29</v>
      </c>
      <c r="AC3779">
        <v>178.82050000000001</v>
      </c>
      <c r="AD3779">
        <v>2.4320970000000002</v>
      </c>
      <c r="AE3779">
        <v>-17.997199999999999</v>
      </c>
      <c r="AF3779">
        <v>23.763469899277201</v>
      </c>
      <c r="AG3779">
        <v>2.4320970000000002</v>
      </c>
      <c r="AH3779">
        <v>178.11271988163301</v>
      </c>
      <c r="AI3779">
        <v>89.224555425538995</v>
      </c>
      <c r="AJ3779">
        <v>82.400581830412307</v>
      </c>
      <c r="AK3779">
        <v>179.707424947063</v>
      </c>
      <c r="AL3779">
        <v>87.400548815541796</v>
      </c>
      <c r="AM3779">
        <v>89.947548887857906</v>
      </c>
      <c r="AN3779">
        <v>1.0000000143424299</v>
      </c>
    </row>
    <row r="3780" spans="1:40" x14ac:dyDescent="0.25">
      <c r="A3780" t="str">
        <f>"20190312160408092"</f>
        <v>20190312160408092</v>
      </c>
      <c r="B3780" t="str">
        <f>"1552377848088397"</f>
        <v>1552377848088397</v>
      </c>
      <c r="C3780" t="s">
        <v>40</v>
      </c>
      <c r="D3780">
        <v>5.0531350000000002</v>
      </c>
      <c r="E3780">
        <v>0.55021889999999996</v>
      </c>
      <c r="F3780" t="s">
        <v>55</v>
      </c>
      <c r="G3780">
        <v>-168.41569999999999</v>
      </c>
      <c r="H3780">
        <v>3.7006869999999998</v>
      </c>
      <c r="I3780">
        <v>194.542</v>
      </c>
      <c r="J3780">
        <v>-346.98239999999998</v>
      </c>
      <c r="K3780">
        <v>1.1106240000000001</v>
      </c>
      <c r="L3780">
        <v>212.59370000000001</v>
      </c>
      <c r="M3780">
        <v>0.99936250000000004</v>
      </c>
      <c r="N3780">
        <v>0</v>
      </c>
      <c r="O3780">
        <v>3.2767480000000002E-2</v>
      </c>
      <c r="P3780">
        <v>0.99900140000000004</v>
      </c>
      <c r="Q3780">
        <v>3.1680819999999998E-2</v>
      </c>
      <c r="R3780">
        <v>3.1509599999999999E-2</v>
      </c>
      <c r="S3780">
        <v>3.0110779999999999</v>
      </c>
      <c r="T3780">
        <v>4.3613550000000001E-2</v>
      </c>
      <c r="U3780">
        <v>-0.30381770000000002</v>
      </c>
      <c r="V3780">
        <v>1.2021740000000001E-3</v>
      </c>
      <c r="W3780">
        <v>4.585405E-2</v>
      </c>
      <c r="X3780">
        <v>0.99894740000000004</v>
      </c>
      <c r="Y3780">
        <v>0.1329243</v>
      </c>
      <c r="Z3780">
        <v>1.433744E-3</v>
      </c>
      <c r="AA3780">
        <v>0.99112520000000004</v>
      </c>
      <c r="AB3780">
        <v>29</v>
      </c>
      <c r="AC3780">
        <v>178.5667</v>
      </c>
      <c r="AD3780">
        <v>2.5900629999999998</v>
      </c>
      <c r="AE3780">
        <v>-18.0517</v>
      </c>
      <c r="AF3780">
        <v>23.888797834517099</v>
      </c>
      <c r="AG3780">
        <v>2.5900629999999998</v>
      </c>
      <c r="AH3780">
        <v>177.84218537012401</v>
      </c>
      <c r="AI3780">
        <v>89.1730393142861</v>
      </c>
      <c r="AJ3780">
        <v>82.349491752029394</v>
      </c>
      <c r="AK3780">
        <v>179.458145497896</v>
      </c>
      <c r="AL3780">
        <v>87.371834848600997</v>
      </c>
      <c r="AM3780">
        <v>89.931047957892105</v>
      </c>
      <c r="AN3780">
        <v>0.99999997354524395</v>
      </c>
    </row>
    <row r="3781" spans="1:40" x14ac:dyDescent="0.25">
      <c r="A3781" t="str">
        <f>"20190312160408115"</f>
        <v>20190312160408115</v>
      </c>
      <c r="B3781" t="str">
        <f>"1552377848108894"</f>
        <v>1552377848108894</v>
      </c>
      <c r="C3781" t="s">
        <v>40</v>
      </c>
      <c r="D3781">
        <v>4.5153100000000004</v>
      </c>
      <c r="E3781">
        <v>0.55025480000000004</v>
      </c>
      <c r="F3781" t="s">
        <v>55</v>
      </c>
      <c r="G3781">
        <v>-168.41569999999999</v>
      </c>
      <c r="H3781">
        <v>3.861389</v>
      </c>
      <c r="I3781">
        <v>194.4873</v>
      </c>
      <c r="J3781">
        <v>-346.67849999999999</v>
      </c>
      <c r="K3781">
        <v>1.1106259999999999</v>
      </c>
      <c r="L3781">
        <v>212.60429999999999</v>
      </c>
      <c r="M3781">
        <v>0.99934469999999997</v>
      </c>
      <c r="N3781">
        <v>0</v>
      </c>
      <c r="O3781">
        <v>3.3303960000000001E-2</v>
      </c>
      <c r="P3781">
        <v>0.99897000000000002</v>
      </c>
      <c r="Q3781">
        <v>3.2247690000000002E-2</v>
      </c>
      <c r="R3781">
        <v>3.1924429999999997E-2</v>
      </c>
      <c r="S3781">
        <v>3.0111690000000002</v>
      </c>
      <c r="T3781">
        <v>4.6386719999999999E-2</v>
      </c>
      <c r="U3781">
        <v>-0.3053284</v>
      </c>
      <c r="V3781">
        <v>1.322534E-3</v>
      </c>
      <c r="W3781">
        <v>4.6417550000000002E-2</v>
      </c>
      <c r="X3781">
        <v>0.99892130000000001</v>
      </c>
      <c r="Y3781">
        <v>0.13394310000000001</v>
      </c>
      <c r="Z3781">
        <v>1.54088799999999E-3</v>
      </c>
      <c r="AA3781">
        <v>0.99098779999999997</v>
      </c>
      <c r="AB3781">
        <v>29</v>
      </c>
      <c r="AC3781">
        <v>178.2628</v>
      </c>
      <c r="AD3781">
        <v>2.7507630000000001</v>
      </c>
      <c r="AE3781">
        <v>-18.116999999999901</v>
      </c>
      <c r="AF3781">
        <v>24.0387364348659</v>
      </c>
      <c r="AG3781">
        <v>2.7507630000000001</v>
      </c>
      <c r="AH3781">
        <v>177.51862622710999</v>
      </c>
      <c r="AI3781">
        <v>89.120264896992296</v>
      </c>
      <c r="AJ3781">
        <v>82.288184985874295</v>
      </c>
      <c r="AK3781">
        <v>179.15995703289099</v>
      </c>
      <c r="AL3781">
        <v>87.339514465587499</v>
      </c>
      <c r="AM3781">
        <v>89.924142600435502</v>
      </c>
      <c r="AN3781">
        <v>1.00000005081893</v>
      </c>
    </row>
    <row r="3782" spans="1:40" x14ac:dyDescent="0.25">
      <c r="A3782" t="str">
        <f>"20190312160408137"</f>
        <v>20190312160408137</v>
      </c>
      <c r="B3782" t="str">
        <f>"1552377848128413"</f>
        <v>1552377848128413</v>
      </c>
      <c r="C3782" t="s">
        <v>40</v>
      </c>
      <c r="D3782">
        <v>4.8561540000000001</v>
      </c>
      <c r="E3782">
        <v>0.55025959999999996</v>
      </c>
      <c r="F3782" t="s">
        <v>55</v>
      </c>
      <c r="G3782">
        <v>-168.41569999999999</v>
      </c>
      <c r="H3782">
        <v>3.9721579999999999</v>
      </c>
      <c r="I3782">
        <v>194.5805</v>
      </c>
      <c r="J3782">
        <v>-346.39600000000002</v>
      </c>
      <c r="K3782">
        <v>1.1106259999999999</v>
      </c>
      <c r="L3782">
        <v>212.61420000000001</v>
      </c>
      <c r="M3782">
        <v>0.99932799999999999</v>
      </c>
      <c r="N3782">
        <v>0</v>
      </c>
      <c r="O3782">
        <v>3.3802949999999998E-2</v>
      </c>
      <c r="P3782">
        <v>0.99892769999999997</v>
      </c>
      <c r="Q3782">
        <v>3.2196620000000002E-2</v>
      </c>
      <c r="R3782">
        <v>3.327256E-2</v>
      </c>
      <c r="S3782">
        <v>3.0112299999999999</v>
      </c>
      <c r="T3782">
        <v>4.8337819999999997E-2</v>
      </c>
      <c r="U3782">
        <v>-0.30445860000000002</v>
      </c>
      <c r="V3782">
        <v>4.7303180000000001E-4</v>
      </c>
      <c r="W3782">
        <v>4.6362769999999998E-2</v>
      </c>
      <c r="X3782">
        <v>0.99892460000000005</v>
      </c>
      <c r="Y3782">
        <v>0.13415079999999999</v>
      </c>
      <c r="Z3782">
        <v>1.61533799999999E-3</v>
      </c>
      <c r="AA3782">
        <v>0.99095960000000005</v>
      </c>
      <c r="AB3782">
        <v>29</v>
      </c>
      <c r="AC3782">
        <v>177.980299999999</v>
      </c>
      <c r="AD3782">
        <v>2.861532</v>
      </c>
      <c r="AE3782">
        <v>-18.0337</v>
      </c>
      <c r="AF3782">
        <v>24.034106030263999</v>
      </c>
      <c r="AG3782">
        <v>2.861532</v>
      </c>
      <c r="AH3782">
        <v>177.22356734822301</v>
      </c>
      <c r="AI3782">
        <v>89.083346155981403</v>
      </c>
      <c r="AJ3782">
        <v>82.276970454360907</v>
      </c>
      <c r="AK3782">
        <v>178.868721250226</v>
      </c>
      <c r="AL3782">
        <v>87.342656491085293</v>
      </c>
      <c r="AM3782">
        <v>89.972868098663596</v>
      </c>
      <c r="AN3782">
        <v>1.00000004334315</v>
      </c>
    </row>
    <row r="3783" spans="1:40" x14ac:dyDescent="0.25">
      <c r="A3783" t="str">
        <f>"20190312160408158"</f>
        <v>20190312160408158</v>
      </c>
      <c r="B3783" t="str">
        <f>"1552377848148909"</f>
        <v>1552377848148909</v>
      </c>
      <c r="C3783" t="s">
        <v>40</v>
      </c>
      <c r="D3783">
        <v>4.987355</v>
      </c>
      <c r="E3783">
        <v>0.55027499999999996</v>
      </c>
      <c r="F3783" t="s">
        <v>55</v>
      </c>
      <c r="G3783">
        <v>-168.41569999999999</v>
      </c>
      <c r="H3783">
        <v>4.1019759999999996</v>
      </c>
      <c r="I3783">
        <v>194.85210000000001</v>
      </c>
      <c r="J3783">
        <v>-346.12290000000002</v>
      </c>
      <c r="K3783">
        <v>1.110625</v>
      </c>
      <c r="L3783">
        <v>212.624</v>
      </c>
      <c r="M3783">
        <v>0.99931170000000002</v>
      </c>
      <c r="N3783">
        <v>0</v>
      </c>
      <c r="O3783">
        <v>3.4285370000000003E-2</v>
      </c>
      <c r="P3783">
        <v>0.99887040000000005</v>
      </c>
      <c r="Q3783">
        <v>3.2560609999999997E-2</v>
      </c>
      <c r="R3783">
        <v>3.4610439999999999E-2</v>
      </c>
      <c r="S3783">
        <v>3.0115970000000001</v>
      </c>
      <c r="T3783">
        <v>5.0617099999999998E-2</v>
      </c>
      <c r="U3783">
        <v>-0.3005524</v>
      </c>
      <c r="V3783">
        <v>-3.8373630000000002E-4</v>
      </c>
      <c r="W3783">
        <v>4.6723340000000002E-2</v>
      </c>
      <c r="X3783">
        <v>0.99890780000000001</v>
      </c>
      <c r="Y3783">
        <v>0.1333425</v>
      </c>
      <c r="Z3783">
        <v>1.692715E-3</v>
      </c>
      <c r="AA3783">
        <v>0.99106850000000002</v>
      </c>
      <c r="AB3783">
        <v>29</v>
      </c>
      <c r="AC3783">
        <v>177.7072</v>
      </c>
      <c r="AD3783">
        <v>2.9913509999999999</v>
      </c>
      <c r="AE3783">
        <v>-17.771899999999999</v>
      </c>
      <c r="AF3783">
        <v>23.8481274596876</v>
      </c>
      <c r="AG3783">
        <v>2.9913509999999999</v>
      </c>
      <c r="AH3783">
        <v>176.94368410541199</v>
      </c>
      <c r="AI3783">
        <v>89.040145948188396</v>
      </c>
      <c r="AJ3783">
        <v>82.324040903794</v>
      </c>
      <c r="AK3783">
        <v>178.56861064849701</v>
      </c>
      <c r="AL3783">
        <v>87.321974837858306</v>
      </c>
      <c r="AM3783">
        <v>90.022010509232601</v>
      </c>
      <c r="AN3783">
        <v>1.0000000053275699</v>
      </c>
    </row>
    <row r="3784" spans="1:40" x14ac:dyDescent="0.25">
      <c r="A3784" t="str">
        <f>"20190312160408181"</f>
        <v>20190312160408181</v>
      </c>
      <c r="B3784" t="str">
        <f>"1552377848168429"</f>
        <v>1552377848168429</v>
      </c>
      <c r="C3784" t="s">
        <v>40</v>
      </c>
      <c r="D3784">
        <v>5.1223640000000001</v>
      </c>
      <c r="E3784">
        <v>0.55032179999999997</v>
      </c>
      <c r="F3784" t="s">
        <v>55</v>
      </c>
      <c r="G3784">
        <v>-168.41569999999999</v>
      </c>
      <c r="H3784">
        <v>4.2869519999999897</v>
      </c>
      <c r="I3784">
        <v>195.1198</v>
      </c>
      <c r="J3784">
        <v>-345.8365</v>
      </c>
      <c r="K3784">
        <v>1.1106279999999999</v>
      </c>
      <c r="L3784">
        <v>212.6344</v>
      </c>
      <c r="M3784">
        <v>0.99929420000000002</v>
      </c>
      <c r="N3784">
        <v>0</v>
      </c>
      <c r="O3784">
        <v>3.4791450000000002E-2</v>
      </c>
      <c r="P3784">
        <v>0.99879490000000004</v>
      </c>
      <c r="Q3784">
        <v>3.2796159999999998E-2</v>
      </c>
      <c r="R3784">
        <v>3.6514829999999998E-2</v>
      </c>
      <c r="S3784">
        <v>3.0119319999999998</v>
      </c>
      <c r="T3784">
        <v>5.3835630000000002E-2</v>
      </c>
      <c r="U3784">
        <v>-0.29667660000000001</v>
      </c>
      <c r="V3784">
        <v>-1.7836099999999999E-3</v>
      </c>
      <c r="W3784">
        <v>4.6953880000000003E-2</v>
      </c>
      <c r="X3784">
        <v>0.99889550000000005</v>
      </c>
      <c r="Y3784">
        <v>0.13256760000000001</v>
      </c>
      <c r="Z3784">
        <v>1.80236E-3</v>
      </c>
      <c r="AA3784">
        <v>0.99117230000000001</v>
      </c>
      <c r="AB3784">
        <v>29</v>
      </c>
      <c r="AC3784">
        <v>177.42080000000001</v>
      </c>
      <c r="AD3784">
        <v>3.1763240000000001</v>
      </c>
      <c r="AE3784">
        <v>-17.514600000000002</v>
      </c>
      <c r="AF3784">
        <v>23.669827536612502</v>
      </c>
      <c r="AG3784">
        <v>3.1763240000000001</v>
      </c>
      <c r="AH3784">
        <v>176.64787653713</v>
      </c>
      <c r="AI3784">
        <v>88.978992692868204</v>
      </c>
      <c r="AJ3784">
        <v>82.368144707556695</v>
      </c>
      <c r="AK3784">
        <v>178.25493556937801</v>
      </c>
      <c r="AL3784">
        <v>87.308751432986696</v>
      </c>
      <c r="AM3784">
        <v>90.102306213903006</v>
      </c>
      <c r="AN3784">
        <v>1.00000003401596</v>
      </c>
    </row>
    <row r="3785" spans="1:40" x14ac:dyDescent="0.25">
      <c r="A3785" t="str">
        <f>"20190312160408203"</f>
        <v>20190312160408203</v>
      </c>
      <c r="B3785" t="str">
        <f>"1552377848198685"</f>
        <v>1552377848198685</v>
      </c>
      <c r="C3785" t="s">
        <v>40</v>
      </c>
      <c r="D3785">
        <v>5.0344369999999996</v>
      </c>
      <c r="E3785">
        <v>0.5503576</v>
      </c>
      <c r="F3785" t="s">
        <v>55</v>
      </c>
      <c r="G3785">
        <v>-168.41560000000001</v>
      </c>
      <c r="H3785">
        <v>4.4342579999999998</v>
      </c>
      <c r="I3785">
        <v>195.47559999999999</v>
      </c>
      <c r="J3785">
        <v>-345.54309999999998</v>
      </c>
      <c r="K3785">
        <v>1.110625</v>
      </c>
      <c r="L3785">
        <v>212.64519999999999</v>
      </c>
      <c r="M3785">
        <v>0.99927600000000005</v>
      </c>
      <c r="N3785">
        <v>0</v>
      </c>
      <c r="O3785">
        <v>3.5310229999999998E-2</v>
      </c>
      <c r="P3785">
        <v>0.99872289999999997</v>
      </c>
      <c r="Q3785">
        <v>3.3190110000000002E-2</v>
      </c>
      <c r="R3785">
        <v>3.809514E-2</v>
      </c>
      <c r="S3785">
        <v>3.0123899999999999</v>
      </c>
      <c r="T3785">
        <v>5.6431769999999999E-2</v>
      </c>
      <c r="U3785">
        <v>-0.29133609999999999</v>
      </c>
      <c r="V3785">
        <v>-2.8471579999999998E-3</v>
      </c>
      <c r="W3785">
        <v>4.7343969999999999E-2</v>
      </c>
      <c r="X3785">
        <v>0.99887459999999995</v>
      </c>
      <c r="Y3785">
        <v>0.1313242</v>
      </c>
      <c r="Z3785">
        <v>1.887215E-3</v>
      </c>
      <c r="AA3785">
        <v>0.99133769999999999</v>
      </c>
      <c r="AB3785">
        <v>29</v>
      </c>
      <c r="AC3785">
        <v>177.127499999999</v>
      </c>
      <c r="AD3785">
        <v>3.3236330000000001</v>
      </c>
      <c r="AE3785">
        <v>-17.169599999999999</v>
      </c>
      <c r="AF3785">
        <v>23.405767019325999</v>
      </c>
      <c r="AG3785">
        <v>3.3236330000000001</v>
      </c>
      <c r="AH3785">
        <v>176.34918477882999</v>
      </c>
      <c r="AI3785">
        <v>88.929664759175793</v>
      </c>
      <c r="AJ3785">
        <v>82.439662469885803</v>
      </c>
      <c r="AK3785">
        <v>177.926702431759</v>
      </c>
      <c r="AL3785">
        <v>87.286375979310193</v>
      </c>
      <c r="AM3785">
        <v>90.163313488220396</v>
      </c>
      <c r="AN3785">
        <v>1.00000001216459</v>
      </c>
    </row>
    <row r="3786" spans="1:40" x14ac:dyDescent="0.25">
      <c r="A3786" t="str">
        <f>"20190312160408226"</f>
        <v>20190312160408226</v>
      </c>
      <c r="B3786" t="str">
        <f>"1552377848218209"</f>
        <v>1552377848218209</v>
      </c>
      <c r="C3786" t="s">
        <v>40</v>
      </c>
      <c r="D3786">
        <v>4.8773839999999904</v>
      </c>
      <c r="E3786">
        <v>0.55037780000000003</v>
      </c>
      <c r="F3786" t="s">
        <v>55</v>
      </c>
      <c r="G3786">
        <v>-168.41560000000001</v>
      </c>
      <c r="H3786">
        <v>4.6438420000000002</v>
      </c>
      <c r="I3786">
        <v>195.7817</v>
      </c>
      <c r="J3786">
        <v>-345.24689999999998</v>
      </c>
      <c r="K3786">
        <v>1.1106199999999999</v>
      </c>
      <c r="L3786">
        <v>212.65629999999999</v>
      </c>
      <c r="M3786">
        <v>0.99925759999999997</v>
      </c>
      <c r="N3786">
        <v>0</v>
      </c>
      <c r="O3786">
        <v>3.5833900000000002E-2</v>
      </c>
      <c r="P3786">
        <v>0.99868009999999996</v>
      </c>
      <c r="Q3786">
        <v>3.298301E-2</v>
      </c>
      <c r="R3786">
        <v>3.9379869999999997E-2</v>
      </c>
      <c r="S3786">
        <v>3.0127869999999999</v>
      </c>
      <c r="T3786">
        <v>6.0097579999999998E-2</v>
      </c>
      <c r="U3786">
        <v>-0.2868347</v>
      </c>
      <c r="V3786">
        <v>-3.6083209999999998E-3</v>
      </c>
      <c r="W3786">
        <v>4.7132970000000003E-2</v>
      </c>
      <c r="X3786">
        <v>0.99888209999999999</v>
      </c>
      <c r="Y3786">
        <v>0.1303597</v>
      </c>
      <c r="Z3786">
        <v>2.0104889999999999E-3</v>
      </c>
      <c r="AA3786">
        <v>0.99146469999999998</v>
      </c>
      <c r="AB3786">
        <v>29</v>
      </c>
      <c r="AC3786">
        <v>176.831299999999</v>
      </c>
      <c r="AD3786">
        <v>3.5332219999999999</v>
      </c>
      <c r="AE3786">
        <v>-16.874599999999901</v>
      </c>
      <c r="AF3786">
        <v>23.191774416250201</v>
      </c>
      <c r="AG3786">
        <v>3.5332219999999999</v>
      </c>
      <c r="AH3786">
        <v>176.043318185326</v>
      </c>
      <c r="AI3786">
        <v>88.860064166137605</v>
      </c>
      <c r="AJ3786">
        <v>82.495127080332395</v>
      </c>
      <c r="AK3786">
        <v>177.599526846148</v>
      </c>
      <c r="AL3786">
        <v>87.298478848795398</v>
      </c>
      <c r="AM3786">
        <v>90.206972039211607</v>
      </c>
      <c r="AN3786">
        <v>0.99999999327093503</v>
      </c>
    </row>
    <row r="3787" spans="1:40" x14ac:dyDescent="0.25">
      <c r="A3787" t="str">
        <f>"20190312160408248"</f>
        <v>20190312160408248</v>
      </c>
      <c r="B3787" t="str">
        <f>"1552377848238701"</f>
        <v>1552377848238701</v>
      </c>
      <c r="C3787" t="s">
        <v>40</v>
      </c>
      <c r="D3787">
        <v>5.0625419999999997</v>
      </c>
      <c r="E3787">
        <v>0.55046399999999995</v>
      </c>
      <c r="F3787" t="s">
        <v>55</v>
      </c>
      <c r="G3787">
        <v>-168.41550000000001</v>
      </c>
      <c r="H3787">
        <v>4.7321739999999997</v>
      </c>
      <c r="I3787">
        <v>196.0376</v>
      </c>
      <c r="J3787">
        <v>-344.96769999999998</v>
      </c>
      <c r="K3787">
        <v>1.1106130000000001</v>
      </c>
      <c r="L3787">
        <v>212.6669</v>
      </c>
      <c r="M3787">
        <v>0.99923969999999995</v>
      </c>
      <c r="N3787">
        <v>0</v>
      </c>
      <c r="O3787">
        <v>3.6327579999999998E-2</v>
      </c>
      <c r="P3787">
        <v>0.99866840000000001</v>
      </c>
      <c r="Q3787">
        <v>3.2408149999999997E-2</v>
      </c>
      <c r="R3787">
        <v>4.0143989999999997E-2</v>
      </c>
      <c r="S3787">
        <v>3.0130919999999999</v>
      </c>
      <c r="T3787">
        <v>6.1709519999999997E-2</v>
      </c>
      <c r="U3787">
        <v>-0.283172599999999</v>
      </c>
      <c r="V3787">
        <v>-3.8775379999999998E-3</v>
      </c>
      <c r="W3787">
        <v>4.6555199999999998E-2</v>
      </c>
      <c r="X3787">
        <v>0.99890820000000002</v>
      </c>
      <c r="Y3787">
        <v>0.12964389999999901</v>
      </c>
      <c r="Z3787">
        <v>2.0670889999999998E-3</v>
      </c>
      <c r="AA3787">
        <v>0.99155839999999995</v>
      </c>
      <c r="AB3787">
        <v>29</v>
      </c>
      <c r="AC3787">
        <v>176.552199999999</v>
      </c>
      <c r="AD3787">
        <v>3.6215609999999998</v>
      </c>
      <c r="AE3787">
        <v>-16.629300000000001</v>
      </c>
      <c r="AF3787">
        <v>23.0230758384842</v>
      </c>
      <c r="AG3787">
        <v>3.6215609999999998</v>
      </c>
      <c r="AH3787">
        <v>175.75817453395899</v>
      </c>
      <c r="AI3787">
        <v>88.829563024010199</v>
      </c>
      <c r="AJ3787">
        <v>82.537150539801104</v>
      </c>
      <c r="AK3787">
        <v>177.29668254271101</v>
      </c>
      <c r="AL3787">
        <v>87.331619049472096</v>
      </c>
      <c r="AM3787">
        <v>90.222408271780395</v>
      </c>
      <c r="AN3787">
        <v>1.00000000698761</v>
      </c>
    </row>
    <row r="3788" spans="1:40" x14ac:dyDescent="0.25">
      <c r="A3788" t="str">
        <f>"20190312160408269"</f>
        <v>20190312160408269</v>
      </c>
      <c r="B3788" t="str">
        <f>"1552377848258221"</f>
        <v>1552377848258221</v>
      </c>
      <c r="C3788" t="s">
        <v>40</v>
      </c>
      <c r="D3788">
        <v>5.0005660000000001</v>
      </c>
      <c r="E3788">
        <v>0.55053819999999998</v>
      </c>
      <c r="F3788" t="s">
        <v>55</v>
      </c>
      <c r="G3788">
        <v>-168.41550000000001</v>
      </c>
      <c r="H3788">
        <v>4.7493109999999996</v>
      </c>
      <c r="I3788">
        <v>196.16059999999999</v>
      </c>
      <c r="J3788">
        <v>-344.69189999999998</v>
      </c>
      <c r="K3788">
        <v>1.1106049999999901</v>
      </c>
      <c r="L3788">
        <v>212.67740000000001</v>
      </c>
      <c r="M3788">
        <v>0.9992219</v>
      </c>
      <c r="N3788">
        <v>0</v>
      </c>
      <c r="O3788">
        <v>3.6813199999999997E-2</v>
      </c>
      <c r="P3788">
        <v>0.99865199999999998</v>
      </c>
      <c r="Q3788">
        <v>3.1509219999999998E-2</v>
      </c>
      <c r="R3788">
        <v>4.1253529999999997E-2</v>
      </c>
      <c r="S3788">
        <v>3.0133359999999998</v>
      </c>
      <c r="T3788">
        <v>6.2104699999999999E-2</v>
      </c>
      <c r="U3788">
        <v>-0.281723</v>
      </c>
      <c r="V3788">
        <v>-4.5002710000000001E-3</v>
      </c>
      <c r="W3788">
        <v>4.5653510000000001E-2</v>
      </c>
      <c r="X3788">
        <v>0.99894720000000004</v>
      </c>
      <c r="Y3788">
        <v>0.12964500000000001</v>
      </c>
      <c r="Z3788">
        <v>2.0902009999999999E-3</v>
      </c>
      <c r="AA3788">
        <v>0.9915583</v>
      </c>
      <c r="AB3788">
        <v>29</v>
      </c>
      <c r="AC3788">
        <v>176.276399999999</v>
      </c>
      <c r="AD3788">
        <v>3.6387059999999898</v>
      </c>
      <c r="AE3788">
        <v>-16.5168</v>
      </c>
      <c r="AF3788">
        <v>22.985841823899499</v>
      </c>
      <c r="AG3788">
        <v>3.6387059999999898</v>
      </c>
      <c r="AH3788">
        <v>175.47467441226701</v>
      </c>
      <c r="AI3788">
        <v>88.822124077674701</v>
      </c>
      <c r="AJ3788">
        <v>82.5371818405401</v>
      </c>
      <c r="AK3788">
        <v>177.01115915613599</v>
      </c>
      <c r="AL3788">
        <v>87.3833370644452</v>
      </c>
      <c r="AM3788">
        <v>90.258116535730395</v>
      </c>
      <c r="AN3788">
        <v>1.0000000019011099</v>
      </c>
    </row>
    <row r="3789" spans="1:40" x14ac:dyDescent="0.25">
      <c r="A3789" t="str">
        <f>"20190312160408292"</f>
        <v>20190312160408292</v>
      </c>
      <c r="B3789" t="str">
        <f>"1552377848288478"</f>
        <v>1552377848288478</v>
      </c>
      <c r="C3789" t="s">
        <v>40</v>
      </c>
      <c r="D3789">
        <v>5.0440430000000003</v>
      </c>
      <c r="E3789">
        <v>0.55070419999999998</v>
      </c>
      <c r="F3789" t="s">
        <v>55</v>
      </c>
      <c r="G3789">
        <v>-168.41540000000001</v>
      </c>
      <c r="H3789">
        <v>4.7233720000000003</v>
      </c>
      <c r="I3789">
        <v>196.35319999999999</v>
      </c>
      <c r="J3789">
        <v>-344.40300000000002</v>
      </c>
      <c r="K3789">
        <v>1.110592</v>
      </c>
      <c r="L3789">
        <v>212.68870000000001</v>
      </c>
      <c r="M3789">
        <v>0.99920330000000002</v>
      </c>
      <c r="N3789">
        <v>0</v>
      </c>
      <c r="O3789">
        <v>3.731955E-2</v>
      </c>
      <c r="P3789">
        <v>0.99863550000000001</v>
      </c>
      <c r="Q3789">
        <v>3.0077619999999999E-2</v>
      </c>
      <c r="R3789">
        <v>4.2693750000000003E-2</v>
      </c>
      <c r="S3789">
        <v>3.0136720000000001</v>
      </c>
      <c r="T3789">
        <v>6.1765430000000003E-2</v>
      </c>
      <c r="U3789">
        <v>-0.27908329999999998</v>
      </c>
      <c r="V3789">
        <v>-5.43233E-3</v>
      </c>
      <c r="W3789">
        <v>4.4219199999999903E-2</v>
      </c>
      <c r="X3789">
        <v>0.99900710000000004</v>
      </c>
      <c r="Y3789">
        <v>0.12927649999999999</v>
      </c>
      <c r="Z3789">
        <v>2.0852269999999998E-3</v>
      </c>
      <c r="AA3789">
        <v>0.9916064</v>
      </c>
      <c r="AB3789">
        <v>29</v>
      </c>
      <c r="AC3789">
        <v>175.98759999999999</v>
      </c>
      <c r="AD3789">
        <v>3.6127799999999999</v>
      </c>
      <c r="AE3789">
        <v>-16.3355</v>
      </c>
      <c r="AF3789">
        <v>22.882992046209001</v>
      </c>
      <c r="AG3789">
        <v>3.6127799999999999</v>
      </c>
      <c r="AH3789">
        <v>175.18208978599</v>
      </c>
      <c r="AI3789">
        <v>88.828505998492702</v>
      </c>
      <c r="AJ3789">
        <v>82.557930120064199</v>
      </c>
      <c r="AK3789">
        <v>176.70723835231499</v>
      </c>
      <c r="AL3789">
        <v>87.465600116660994</v>
      </c>
      <c r="AM3789">
        <v>90.311555858019105</v>
      </c>
      <c r="AN3789">
        <v>1.0000000168541301</v>
      </c>
    </row>
    <row r="3790" spans="1:40" x14ac:dyDescent="0.25">
      <c r="A3790" t="str">
        <f>"20190312160408316"</f>
        <v>20190312160408316</v>
      </c>
      <c r="B3790" t="str">
        <f>"1552377848308974"</f>
        <v>1552377848308974</v>
      </c>
      <c r="C3790" t="s">
        <v>40</v>
      </c>
      <c r="D3790">
        <v>5.2086129999999997</v>
      </c>
      <c r="E3790">
        <v>0.55072869999999996</v>
      </c>
      <c r="F3790" t="s">
        <v>55</v>
      </c>
      <c r="G3790">
        <v>-168.4153</v>
      </c>
      <c r="H3790">
        <v>4.6105330000000002</v>
      </c>
      <c r="I3790">
        <v>196.58150000000001</v>
      </c>
      <c r="J3790">
        <v>-344.09500000000003</v>
      </c>
      <c r="K3790">
        <v>1.110582</v>
      </c>
      <c r="L3790">
        <v>212.70079999999999</v>
      </c>
      <c r="M3790">
        <v>0.99918320000000005</v>
      </c>
      <c r="N3790">
        <v>0</v>
      </c>
      <c r="O3790">
        <v>3.7851969999999999E-2</v>
      </c>
      <c r="P3790">
        <v>0.99862189999999995</v>
      </c>
      <c r="Q3790">
        <v>2.8355979999999999E-2</v>
      </c>
      <c r="R3790">
        <v>4.4162960000000001E-2</v>
      </c>
      <c r="S3790">
        <v>3.0140989999999999</v>
      </c>
      <c r="T3790">
        <v>5.9943200000000002E-2</v>
      </c>
      <c r="U3790">
        <v>-0.27586359999999999</v>
      </c>
      <c r="V3790">
        <v>-6.3660009999999996E-3</v>
      </c>
      <c r="W3790">
        <v>4.249468E-2</v>
      </c>
      <c r="X3790">
        <v>0.99907639999999998</v>
      </c>
      <c r="Y3790">
        <v>0.12874369999999999</v>
      </c>
      <c r="Z3790">
        <v>2.028813E-3</v>
      </c>
      <c r="AA3790">
        <v>0.99167590000000005</v>
      </c>
      <c r="AB3790">
        <v>29</v>
      </c>
      <c r="AC3790">
        <v>175.6797</v>
      </c>
      <c r="AD3790">
        <v>3.4999509999999998</v>
      </c>
      <c r="AE3790">
        <v>-16.1192999999999</v>
      </c>
      <c r="AF3790">
        <v>22.7492804591541</v>
      </c>
      <c r="AG3790">
        <v>3.4999509999999998</v>
      </c>
      <c r="AH3790">
        <v>174.874738614433</v>
      </c>
      <c r="AI3790">
        <v>88.863010539617804</v>
      </c>
      <c r="AJ3790">
        <v>82.5880731612651</v>
      </c>
      <c r="AK3790">
        <v>176.38297430273099</v>
      </c>
      <c r="AL3790">
        <v>87.564500777436706</v>
      </c>
      <c r="AM3790">
        <v>90.365077238805199</v>
      </c>
      <c r="AN3790">
        <v>0.999999988416997</v>
      </c>
    </row>
    <row r="3791" spans="1:40" x14ac:dyDescent="0.25">
      <c r="A3791" t="str">
        <f>"20190312160408339"</f>
        <v>20190312160408339</v>
      </c>
      <c r="B3791" t="str">
        <f>"1552377848328495"</f>
        <v>1552377848328495</v>
      </c>
      <c r="C3791" t="s">
        <v>40</v>
      </c>
      <c r="D3791">
        <v>5.2046270000000003</v>
      </c>
      <c r="E3791">
        <v>0.55075959999999902</v>
      </c>
      <c r="F3791" t="s">
        <v>55</v>
      </c>
      <c r="G3791">
        <v>-168.4151</v>
      </c>
      <c r="H3791">
        <v>4.3177469999999998</v>
      </c>
      <c r="I3791">
        <v>196.87270000000001</v>
      </c>
      <c r="J3791">
        <v>-343.81240000000003</v>
      </c>
      <c r="K3791">
        <v>1.1105670000000001</v>
      </c>
      <c r="L3791">
        <v>212.71209999999999</v>
      </c>
      <c r="M3791">
        <v>0.99916519999999998</v>
      </c>
      <c r="N3791">
        <v>0</v>
      </c>
      <c r="O3791">
        <v>3.8327050000000001E-2</v>
      </c>
      <c r="P3791">
        <v>0.99864730000000002</v>
      </c>
      <c r="Q3791">
        <v>2.7001049999999999E-2</v>
      </c>
      <c r="R3791">
        <v>4.4437230000000001E-2</v>
      </c>
      <c r="S3791">
        <v>3.014618</v>
      </c>
      <c r="T3791">
        <v>5.5034640000000003E-2</v>
      </c>
      <c r="U3791">
        <v>-0.27160640000000003</v>
      </c>
      <c r="V3791">
        <v>-6.1615009999999998E-3</v>
      </c>
      <c r="W3791">
        <v>4.1136399999999997E-2</v>
      </c>
      <c r="X3791">
        <v>0.99913450000000004</v>
      </c>
      <c r="Y3791">
        <v>0.12781580000000001</v>
      </c>
      <c r="Z3791">
        <v>1.8627100000000001E-3</v>
      </c>
      <c r="AA3791">
        <v>0.99179620000000002</v>
      </c>
      <c r="AB3791">
        <v>29</v>
      </c>
      <c r="AC3791">
        <v>175.3973</v>
      </c>
      <c r="AD3791">
        <v>3.2071800000000001</v>
      </c>
      <c r="AE3791">
        <v>-15.8393999999999</v>
      </c>
      <c r="AF3791">
        <v>22.543416473211099</v>
      </c>
      <c r="AG3791">
        <v>3.2071800000000001</v>
      </c>
      <c r="AH3791">
        <v>174.60335631265201</v>
      </c>
      <c r="AI3791">
        <v>88.956348862766006</v>
      </c>
      <c r="AJ3791">
        <v>82.643117616334607</v>
      </c>
      <c r="AK3791">
        <v>176.08186637322899</v>
      </c>
      <c r="AL3791">
        <v>87.642392552979999</v>
      </c>
      <c r="AM3791">
        <v>90.353329334200396</v>
      </c>
      <c r="AN3791">
        <v>0.99999995829488997</v>
      </c>
    </row>
    <row r="3792" spans="1:40" x14ac:dyDescent="0.25">
      <c r="A3792" t="str">
        <f>"20190312160408360"</f>
        <v>20190312160408360</v>
      </c>
      <c r="B3792" t="str">
        <f>"1552377848348989"</f>
        <v>1552377848348989</v>
      </c>
      <c r="C3792" t="s">
        <v>40</v>
      </c>
      <c r="D3792">
        <v>5.1518079999999999</v>
      </c>
      <c r="E3792">
        <v>0.55080390000000001</v>
      </c>
      <c r="F3792" t="s">
        <v>55</v>
      </c>
      <c r="G3792">
        <v>-168.41499999999999</v>
      </c>
      <c r="H3792">
        <v>3.989773</v>
      </c>
      <c r="I3792">
        <v>196.94049999999999</v>
      </c>
      <c r="J3792">
        <v>-343.53449999999998</v>
      </c>
      <c r="K3792">
        <v>1.110554</v>
      </c>
      <c r="L3792">
        <v>212.72319999999999</v>
      </c>
      <c r="M3792">
        <v>0.99914800000000004</v>
      </c>
      <c r="N3792">
        <v>0</v>
      </c>
      <c r="O3792">
        <v>3.8774129999999997E-2</v>
      </c>
      <c r="P3792">
        <v>0.99867169999999905</v>
      </c>
      <c r="Q3792">
        <v>2.689242E-2</v>
      </c>
      <c r="R3792">
        <v>4.3956509999999997E-2</v>
      </c>
      <c r="S3792">
        <v>3.0148009999999998</v>
      </c>
      <c r="T3792">
        <v>4.9489499999999999E-2</v>
      </c>
      <c r="U3792">
        <v>-0.27108759999999998</v>
      </c>
      <c r="V3792">
        <v>-5.2315440000000003E-3</v>
      </c>
      <c r="W3792">
        <v>4.1019680000000003E-2</v>
      </c>
      <c r="X3792">
        <v>0.99914460000000005</v>
      </c>
      <c r="Y3792">
        <v>0.12809010000000001</v>
      </c>
      <c r="Z3792">
        <v>1.6845390000000001E-3</v>
      </c>
      <c r="AA3792">
        <v>0.99176109999999995</v>
      </c>
      <c r="AB3792">
        <v>29</v>
      </c>
      <c r="AC3792">
        <v>175.11949999999999</v>
      </c>
      <c r="AD3792">
        <v>2.879219</v>
      </c>
      <c r="AE3792">
        <v>-15.7827</v>
      </c>
      <c r="AF3792">
        <v>22.555565752690601</v>
      </c>
      <c r="AG3792">
        <v>2.879219</v>
      </c>
      <c r="AH3792">
        <v>174.32901713506899</v>
      </c>
      <c r="AI3792">
        <v>89.061609164986294</v>
      </c>
      <c r="AJ3792">
        <v>82.627739991583795</v>
      </c>
      <c r="AK3792">
        <v>175.80571567429999</v>
      </c>
      <c r="AL3792">
        <v>87.649085764137396</v>
      </c>
      <c r="AM3792">
        <v>90.299999271692201</v>
      </c>
      <c r="AN3792">
        <v>0.99999995745454195</v>
      </c>
    </row>
    <row r="3793" spans="1:40" x14ac:dyDescent="0.25">
      <c r="A3793" t="str">
        <f>"20190312160408383"</f>
        <v>20190312160408383</v>
      </c>
      <c r="B3793" t="str">
        <f>"1552377848378270"</f>
        <v>1552377848378270</v>
      </c>
      <c r="C3793" t="s">
        <v>40</v>
      </c>
      <c r="D3793">
        <v>5.2039309999999999</v>
      </c>
      <c r="E3793">
        <v>0.55085969999999995</v>
      </c>
      <c r="F3793" t="s">
        <v>55</v>
      </c>
      <c r="G3793">
        <v>-168.41489999999999</v>
      </c>
      <c r="H3793">
        <v>3.880347</v>
      </c>
      <c r="I3793">
        <v>196.8776</v>
      </c>
      <c r="J3793">
        <v>-343.25040000000001</v>
      </c>
      <c r="K3793">
        <v>1.110536</v>
      </c>
      <c r="L3793">
        <v>212.7347</v>
      </c>
      <c r="M3793">
        <v>0.99913129999999994</v>
      </c>
      <c r="N3793">
        <v>0</v>
      </c>
      <c r="O3793">
        <v>3.9205719999999999E-2</v>
      </c>
      <c r="P3793">
        <v>0.99868990000000002</v>
      </c>
      <c r="Q3793">
        <v>2.7823219999999999E-2</v>
      </c>
      <c r="R3793">
        <v>4.2947010000000001E-2</v>
      </c>
      <c r="S3793">
        <v>3.0146790000000001</v>
      </c>
      <c r="T3793">
        <v>4.7682519999999999E-2</v>
      </c>
      <c r="U3793">
        <v>-0.27278140000000001</v>
      </c>
      <c r="V3793">
        <v>-3.789242E-3</v>
      </c>
      <c r="W3793">
        <v>4.1936800000000003E-2</v>
      </c>
      <c r="X3793">
        <v>0.99911309999999998</v>
      </c>
      <c r="Y3793">
        <v>0.1290761</v>
      </c>
      <c r="Z3793">
        <v>1.6376629999999999E-3</v>
      </c>
      <c r="AA3793">
        <v>0.9916334</v>
      </c>
      <c r="AB3793">
        <v>29</v>
      </c>
      <c r="AC3793">
        <v>174.8355</v>
      </c>
      <c r="AD3793">
        <v>2.7698109999999998</v>
      </c>
      <c r="AE3793">
        <v>-15.857100000000001</v>
      </c>
      <c r="AF3793">
        <v>22.694492277269699</v>
      </c>
      <c r="AG3793">
        <v>2.7698109999999998</v>
      </c>
      <c r="AH3793">
        <v>174.035978241355</v>
      </c>
      <c r="AI3793">
        <v>89.095858820947996</v>
      </c>
      <c r="AJ3793">
        <v>82.570486621803695</v>
      </c>
      <c r="AK3793">
        <v>175.531289390593</v>
      </c>
      <c r="AL3793">
        <v>87.596493544723003</v>
      </c>
      <c r="AM3793">
        <v>90.217299255924601</v>
      </c>
      <c r="AN3793">
        <v>1.00000002007039</v>
      </c>
    </row>
    <row r="3794" spans="1:40" x14ac:dyDescent="0.25">
      <c r="A3794" t="str">
        <f>"20190312160408405"</f>
        <v>20190312160408405</v>
      </c>
      <c r="B3794" t="str">
        <f>"1552377848398766"</f>
        <v>1552377848398766</v>
      </c>
      <c r="C3794" t="s">
        <v>40</v>
      </c>
      <c r="D3794">
        <v>5.2166069999999998</v>
      </c>
      <c r="E3794">
        <v>0.55088689999999996</v>
      </c>
      <c r="F3794" t="s">
        <v>55</v>
      </c>
      <c r="G3794">
        <v>-168.4151</v>
      </c>
      <c r="H3794">
        <v>4.0474410000000001</v>
      </c>
      <c r="I3794">
        <v>196.71170000000001</v>
      </c>
      <c r="J3794">
        <v>-342.96190000000001</v>
      </c>
      <c r="K3794">
        <v>1.1105119999999999</v>
      </c>
      <c r="L3794">
        <v>212.7465</v>
      </c>
      <c r="M3794">
        <v>0.99911550000000005</v>
      </c>
      <c r="N3794">
        <v>0</v>
      </c>
      <c r="O3794">
        <v>3.9614599999999903E-2</v>
      </c>
      <c r="P3794">
        <v>0.99866290000000002</v>
      </c>
      <c r="Q3794">
        <v>2.9136280000000001E-2</v>
      </c>
      <c r="R3794">
        <v>4.2704190000000003E-2</v>
      </c>
      <c r="S3794">
        <v>3.0144039999999999</v>
      </c>
      <c r="T3794">
        <v>5.0636889999999997E-2</v>
      </c>
      <c r="U3794">
        <v>-0.27626040000000002</v>
      </c>
      <c r="V3794">
        <v>-3.1368580000000002E-3</v>
      </c>
      <c r="W3794">
        <v>4.3228809999999999E-2</v>
      </c>
      <c r="X3794">
        <v>0.99906030000000001</v>
      </c>
      <c r="Y3794">
        <v>0.13062199999999999</v>
      </c>
      <c r="Z3794">
        <v>1.7590010000000001E-3</v>
      </c>
      <c r="AA3794">
        <v>0.9914307</v>
      </c>
      <c r="AB3794">
        <v>29</v>
      </c>
      <c r="AC3794">
        <v>174.54679999999999</v>
      </c>
      <c r="AD3794">
        <v>2.9369290000000001</v>
      </c>
      <c r="AE3794">
        <v>-16.034799999999901</v>
      </c>
      <c r="AF3794">
        <v>22.931062342378201</v>
      </c>
      <c r="AG3794">
        <v>2.9369290000000001</v>
      </c>
      <c r="AH3794">
        <v>173.72571122108999</v>
      </c>
      <c r="AI3794">
        <v>89.039802502044495</v>
      </c>
      <c r="AJ3794">
        <v>82.480666808993504</v>
      </c>
      <c r="AK3794">
        <v>175.25718790216499</v>
      </c>
      <c r="AL3794">
        <v>87.522399629218697</v>
      </c>
      <c r="AM3794">
        <v>90.179897183105894</v>
      </c>
      <c r="AN3794">
        <v>1.0000000264641</v>
      </c>
    </row>
    <row r="3795" spans="1:40" x14ac:dyDescent="0.25">
      <c r="A3795" t="str">
        <f>"20190312160408428"</f>
        <v>20190312160408428</v>
      </c>
      <c r="B3795" t="str">
        <f>"1552377848418285"</f>
        <v>1552377848418285</v>
      </c>
      <c r="C3795" t="s">
        <v>40</v>
      </c>
      <c r="D3795">
        <v>5.0677009999999996</v>
      </c>
      <c r="E3795">
        <v>0.55099519999999902</v>
      </c>
      <c r="F3795" t="s">
        <v>55</v>
      </c>
      <c r="G3795">
        <v>-168.4151</v>
      </c>
      <c r="H3795">
        <v>4.2850669999999997</v>
      </c>
      <c r="I3795">
        <v>196.69450000000001</v>
      </c>
      <c r="J3795">
        <v>-342.68079999999998</v>
      </c>
      <c r="K3795">
        <v>1.1104780000000001</v>
      </c>
      <c r="L3795">
        <v>212.75810000000001</v>
      </c>
      <c r="M3795">
        <v>0.99910149999999998</v>
      </c>
      <c r="N3795">
        <v>0</v>
      </c>
      <c r="O3795">
        <v>3.9981280000000001E-2</v>
      </c>
      <c r="P3795">
        <v>0.99866069999999996</v>
      </c>
      <c r="Q3795">
        <v>2.8898050000000002E-2</v>
      </c>
      <c r="R3795">
        <v>4.2915849999999998E-2</v>
      </c>
      <c r="S3795">
        <v>3.0142820000000001</v>
      </c>
      <c r="T3795">
        <v>5.4822559999999999E-2</v>
      </c>
      <c r="U3795">
        <v>-0.27720640000000002</v>
      </c>
      <c r="V3795">
        <v>-2.9787310000000001E-3</v>
      </c>
      <c r="W3795">
        <v>4.2961069999999997E-2</v>
      </c>
      <c r="X3795">
        <v>0.99907230000000002</v>
      </c>
      <c r="Y3795">
        <v>0.13129370000000001</v>
      </c>
      <c r="Z3795">
        <v>1.9171800000000001E-3</v>
      </c>
      <c r="AA3795">
        <v>0.99134169999999999</v>
      </c>
      <c r="AB3795">
        <v>28</v>
      </c>
      <c r="AC3795">
        <v>174.26569999999899</v>
      </c>
      <c r="AD3795">
        <v>3.1745890000000001</v>
      </c>
      <c r="AE3795">
        <v>-16.063600000000001</v>
      </c>
      <c r="AF3795">
        <v>23.011235903798301</v>
      </c>
      <c r="AG3795">
        <v>3.1745890000000001</v>
      </c>
      <c r="AH3795">
        <v>173.42695977695701</v>
      </c>
      <c r="AI3795">
        <v>88.960424203971201</v>
      </c>
      <c r="AJ3795">
        <v>82.441831748474598</v>
      </c>
      <c r="AK3795">
        <v>174.97572794709899</v>
      </c>
      <c r="AL3795">
        <v>87.537754184391503</v>
      </c>
      <c r="AM3795">
        <v>90.170826684813093</v>
      </c>
      <c r="AN3795">
        <v>0.99999999350060198</v>
      </c>
    </row>
    <row r="3796" spans="1:40" x14ac:dyDescent="0.25">
      <c r="A3796" t="str">
        <f>"20190312160408448"</f>
        <v>20190312160408448</v>
      </c>
      <c r="B3796" t="str">
        <f>"1552377848438782"</f>
        <v>1552377848438782</v>
      </c>
      <c r="C3796" t="s">
        <v>40</v>
      </c>
      <c r="D3796">
        <v>5.072349</v>
      </c>
      <c r="E3796">
        <v>0.55108919999999995</v>
      </c>
      <c r="F3796" t="s">
        <v>55</v>
      </c>
      <c r="G3796">
        <v>-168.4151</v>
      </c>
      <c r="H3796">
        <v>4.1701969999999999</v>
      </c>
      <c r="I3796">
        <v>196.71119999999999</v>
      </c>
      <c r="J3796">
        <v>-342.41539999999998</v>
      </c>
      <c r="K3796">
        <v>1.110452</v>
      </c>
      <c r="L3796">
        <v>212.76910000000001</v>
      </c>
      <c r="M3796">
        <v>0.99908920000000001</v>
      </c>
      <c r="N3796">
        <v>0</v>
      </c>
      <c r="O3796">
        <v>4.029684E-2</v>
      </c>
      <c r="P3796">
        <v>0.99864299999999995</v>
      </c>
      <c r="Q3796">
        <v>2.8636930000000001E-2</v>
      </c>
      <c r="R3796">
        <v>4.3500129999999998E-2</v>
      </c>
      <c r="S3796">
        <v>3.0143740000000001</v>
      </c>
      <c r="T3796">
        <v>5.2926300000000003E-2</v>
      </c>
      <c r="U3796">
        <v>-0.277572599999999</v>
      </c>
      <c r="V3796">
        <v>-3.245553E-3</v>
      </c>
      <c r="W3796">
        <v>4.2661890000000001E-2</v>
      </c>
      <c r="X3796">
        <v>0.99908430000000004</v>
      </c>
      <c r="Y3796">
        <v>0.13172529999999999</v>
      </c>
      <c r="Z3796">
        <v>1.8601220000000001E-3</v>
      </c>
      <c r="AA3796">
        <v>0.99128450000000001</v>
      </c>
      <c r="AB3796">
        <v>28</v>
      </c>
      <c r="AC3796">
        <v>174.00029999999899</v>
      </c>
      <c r="AD3796">
        <v>3.0597449999999999</v>
      </c>
      <c r="AE3796">
        <v>-16.0579</v>
      </c>
      <c r="AF3796">
        <v>23.050139792731599</v>
      </c>
      <c r="AG3796">
        <v>3.0597449999999999</v>
      </c>
      <c r="AH3796">
        <v>173.15870216968901</v>
      </c>
      <c r="AI3796">
        <v>88.996528535064797</v>
      </c>
      <c r="AJ3796">
        <v>82.417609313659298</v>
      </c>
      <c r="AK3796">
        <v>174.71292774440201</v>
      </c>
      <c r="AL3796">
        <v>87.554911693290904</v>
      </c>
      <c r="AM3796">
        <v>90.186126270787597</v>
      </c>
      <c r="AN3796">
        <v>1.0000000044895601</v>
      </c>
    </row>
    <row r="3797" spans="1:40" x14ac:dyDescent="0.25">
      <c r="A3797" t="str">
        <f>"20190312160408470"</f>
        <v>20190312160408470</v>
      </c>
      <c r="B3797" t="str">
        <f>"1552377848458301"</f>
        <v>1552377848458301</v>
      </c>
      <c r="C3797" t="s">
        <v>40</v>
      </c>
      <c r="D3797">
        <v>5.0768589999999998</v>
      </c>
      <c r="E3797">
        <v>0.55108009999999996</v>
      </c>
      <c r="F3797" t="s">
        <v>55</v>
      </c>
      <c r="G3797">
        <v>-168.41499999999999</v>
      </c>
      <c r="H3797">
        <v>3.9983230000000001</v>
      </c>
      <c r="I3797">
        <v>196.8073</v>
      </c>
      <c r="J3797">
        <v>-342.13189999999997</v>
      </c>
      <c r="K3797">
        <v>1.110419</v>
      </c>
      <c r="L3797">
        <v>212.7809</v>
      </c>
      <c r="M3797">
        <v>0.99907729999999995</v>
      </c>
      <c r="N3797">
        <v>0</v>
      </c>
      <c r="O3797">
        <v>4.0608060000000001E-2</v>
      </c>
      <c r="P3797">
        <v>0.99858429999999998</v>
      </c>
      <c r="Q3797">
        <v>2.8939300000000001E-2</v>
      </c>
      <c r="R3797">
        <v>4.4635090000000002E-2</v>
      </c>
      <c r="S3797">
        <v>3.0146790000000001</v>
      </c>
      <c r="T3797">
        <v>5.0035000000000003E-2</v>
      </c>
      <c r="U3797">
        <v>-0.27655030000000003</v>
      </c>
      <c r="V3797">
        <v>-4.0687279999999998E-3</v>
      </c>
      <c r="W3797">
        <v>4.292058E-2</v>
      </c>
      <c r="X3797">
        <v>0.99907020000000002</v>
      </c>
      <c r="Y3797">
        <v>0.13169439999999999</v>
      </c>
      <c r="Z3797">
        <v>1.763269E-3</v>
      </c>
      <c r="AA3797">
        <v>0.99128879999999997</v>
      </c>
      <c r="AB3797">
        <v>28</v>
      </c>
      <c r="AC3797">
        <v>173.71689999999899</v>
      </c>
      <c r="AD3797">
        <v>2.8879039999999998</v>
      </c>
      <c r="AE3797">
        <v>-15.973599999999999</v>
      </c>
      <c r="AF3797">
        <v>23.009112142742399</v>
      </c>
      <c r="AG3797">
        <v>2.8879039999999998</v>
      </c>
      <c r="AH3797">
        <v>172.87748516242499</v>
      </c>
      <c r="AI3797">
        <v>89.051331827074705</v>
      </c>
      <c r="AJ3797">
        <v>82.418779473377199</v>
      </c>
      <c r="AK3797">
        <v>174.425869948225</v>
      </c>
      <c r="AL3797">
        <v>87.540076242504</v>
      </c>
      <c r="AM3797">
        <v>90.23333660998</v>
      </c>
      <c r="AN3797">
        <v>0.999999997631557</v>
      </c>
    </row>
    <row r="3798" spans="1:40" x14ac:dyDescent="0.25">
      <c r="A3798" t="str">
        <f>"20190312160408494"</f>
        <v>20190312160408494</v>
      </c>
      <c r="B3798" t="str">
        <f>"1552377848488558"</f>
        <v>1552377848488558</v>
      </c>
      <c r="C3798" t="s">
        <v>40</v>
      </c>
      <c r="D3798">
        <v>4.8990600000000004</v>
      </c>
      <c r="E3798">
        <v>0.55112410000000001</v>
      </c>
      <c r="F3798" t="s">
        <v>55</v>
      </c>
      <c r="G3798">
        <v>-168.41489999999999</v>
      </c>
      <c r="H3798">
        <v>3.9291330000000002</v>
      </c>
      <c r="I3798">
        <v>197.04650000000001</v>
      </c>
      <c r="J3798">
        <v>-341.84300000000002</v>
      </c>
      <c r="K3798">
        <v>1.110393</v>
      </c>
      <c r="L3798">
        <v>212.79300000000001</v>
      </c>
      <c r="M3798">
        <v>0.99906589999999995</v>
      </c>
      <c r="N3798">
        <v>0</v>
      </c>
      <c r="O3798">
        <v>4.0900480000000003E-2</v>
      </c>
      <c r="P3798">
        <v>0.99852649999999998</v>
      </c>
      <c r="Q3798">
        <v>2.8523920000000001E-2</v>
      </c>
      <c r="R3798">
        <v>4.616862E-2</v>
      </c>
      <c r="S3798">
        <v>3.0150450000000002</v>
      </c>
      <c r="T3798">
        <v>4.8922420000000001E-2</v>
      </c>
      <c r="U3798">
        <v>-0.27308649999999901</v>
      </c>
      <c r="V3798">
        <v>-5.3088809999999997E-3</v>
      </c>
      <c r="W3798">
        <v>4.2459419999999998E-2</v>
      </c>
      <c r="X3798">
        <v>0.99908410000000003</v>
      </c>
      <c r="Y3798">
        <v>0.13084509999999999</v>
      </c>
      <c r="Z3798">
        <v>1.721804E-3</v>
      </c>
      <c r="AA3798">
        <v>0.99140130000000004</v>
      </c>
      <c r="AB3798">
        <v>28</v>
      </c>
      <c r="AC3798">
        <v>173.4281</v>
      </c>
      <c r="AD3798">
        <v>2.81874</v>
      </c>
      <c r="AE3798">
        <v>-15.7464999999999</v>
      </c>
      <c r="AF3798">
        <v>22.821324298809301</v>
      </c>
      <c r="AG3798">
        <v>2.81874</v>
      </c>
      <c r="AH3798">
        <v>172.59362949314001</v>
      </c>
      <c r="AI3798">
        <v>89.072420323063</v>
      </c>
      <c r="AJ3798">
        <v>82.467716320850698</v>
      </c>
      <c r="AK3798">
        <v>174.11869250472299</v>
      </c>
      <c r="AL3798">
        <v>87.566522910856307</v>
      </c>
      <c r="AM3798">
        <v>90.304452460393605</v>
      </c>
      <c r="AN3798">
        <v>1.0000000127185</v>
      </c>
    </row>
    <row r="3799" spans="1:40" x14ac:dyDescent="0.25">
      <c r="A3799" t="str">
        <f>"20190312160408517"</f>
        <v>20190312160408517</v>
      </c>
      <c r="B3799" t="str">
        <f>"1552377848509055"</f>
        <v>1552377848509055</v>
      </c>
      <c r="C3799" t="s">
        <v>40</v>
      </c>
      <c r="D3799">
        <v>5.0874499999999996</v>
      </c>
      <c r="E3799">
        <v>0.55127680000000001</v>
      </c>
      <c r="F3799" t="s">
        <v>55</v>
      </c>
      <c r="G3799">
        <v>-168.41480000000001</v>
      </c>
      <c r="H3799">
        <v>3.7574239999999999</v>
      </c>
      <c r="I3799">
        <v>197.3313</v>
      </c>
      <c r="J3799">
        <v>-341.54169999999999</v>
      </c>
      <c r="K3799">
        <v>1.11036</v>
      </c>
      <c r="L3799">
        <v>212.8057</v>
      </c>
      <c r="M3799">
        <v>0.99905529999999998</v>
      </c>
      <c r="N3799">
        <v>0</v>
      </c>
      <c r="O3799">
        <v>4.1178909999999999E-2</v>
      </c>
      <c r="P3799">
        <v>0.99850179999999999</v>
      </c>
      <c r="Q3799">
        <v>2.818205E-2</v>
      </c>
      <c r="R3799">
        <v>4.690921E-2</v>
      </c>
      <c r="S3799">
        <v>3.015533</v>
      </c>
      <c r="T3799">
        <v>4.6026589999999999E-2</v>
      </c>
      <c r="U3799">
        <v>-0.26884459999999999</v>
      </c>
      <c r="V3799">
        <v>-5.769181E-3</v>
      </c>
      <c r="W3799">
        <v>4.2059230000000003E-2</v>
      </c>
      <c r="X3799">
        <v>0.9990985</v>
      </c>
      <c r="Y3799">
        <v>0.12972609999999901</v>
      </c>
      <c r="Z3799">
        <v>1.6154539999999999E-3</v>
      </c>
      <c r="AA3799">
        <v>0.99154850000000005</v>
      </c>
      <c r="AB3799">
        <v>28</v>
      </c>
      <c r="AC3799">
        <v>173.12689999999901</v>
      </c>
      <c r="AD3799">
        <v>2.6470639999999999</v>
      </c>
      <c r="AE3799">
        <v>-15.474399999999999</v>
      </c>
      <c r="AF3799">
        <v>22.585898123362199</v>
      </c>
      <c r="AG3799">
        <v>2.6470639999999999</v>
      </c>
      <c r="AH3799">
        <v>172.30278216849001</v>
      </c>
      <c r="AI3799">
        <v>89.127306531524795</v>
      </c>
      <c r="AJ3799">
        <v>82.532098309253797</v>
      </c>
      <c r="AK3799">
        <v>173.796946132149</v>
      </c>
      <c r="AL3799">
        <v>87.589472669992901</v>
      </c>
      <c r="AM3799">
        <v>90.330844304861998</v>
      </c>
      <c r="AN3799">
        <v>1.0000000374899201</v>
      </c>
    </row>
    <row r="3800" spans="1:40" x14ac:dyDescent="0.25">
      <c r="A3800" t="str">
        <f>"20190312160408539"</f>
        <v>20190312160408539</v>
      </c>
      <c r="B3800" t="str">
        <f>"1552377848528574"</f>
        <v>1552377848528574</v>
      </c>
      <c r="C3800" t="s">
        <v>40</v>
      </c>
      <c r="D3800">
        <v>5.1190220000000002</v>
      </c>
      <c r="E3800">
        <v>0.55144459999999995</v>
      </c>
      <c r="F3800" t="s">
        <v>55</v>
      </c>
      <c r="G3800">
        <v>-168.41470000000001</v>
      </c>
      <c r="H3800">
        <v>3.6825269999999999</v>
      </c>
      <c r="I3800">
        <v>197.42689999999999</v>
      </c>
      <c r="J3800">
        <v>-341.27449999999999</v>
      </c>
      <c r="K3800">
        <v>1.1103289999999999</v>
      </c>
      <c r="L3800">
        <v>212.81700000000001</v>
      </c>
      <c r="M3800">
        <v>0.99904689999999996</v>
      </c>
      <c r="N3800">
        <v>0</v>
      </c>
      <c r="O3800">
        <v>4.1404349999999999E-2</v>
      </c>
      <c r="P3800">
        <v>0.99850309999999998</v>
      </c>
      <c r="Q3800">
        <v>2.8296379999999999E-2</v>
      </c>
      <c r="R3800">
        <v>4.6807550000000003E-2</v>
      </c>
      <c r="S3800">
        <v>3.0158689999999999</v>
      </c>
      <c r="T3800">
        <v>4.4807670000000001E-2</v>
      </c>
      <c r="U3800">
        <v>-0.26789859999999999</v>
      </c>
      <c r="V3800">
        <v>-5.4399729999999999E-3</v>
      </c>
      <c r="W3800">
        <v>4.2110689999999999E-2</v>
      </c>
      <c r="X3800">
        <v>0.99909809999999999</v>
      </c>
      <c r="Y3800">
        <v>0.12963250000000001</v>
      </c>
      <c r="Z3800">
        <v>1.57517299999999E-3</v>
      </c>
      <c r="AA3800">
        <v>0.99156089999999997</v>
      </c>
      <c r="AB3800">
        <v>28</v>
      </c>
      <c r="AC3800">
        <v>172.85979999999901</v>
      </c>
      <c r="AD3800">
        <v>2.5721980000000002</v>
      </c>
      <c r="AE3800">
        <v>-15.3901</v>
      </c>
      <c r="AF3800">
        <v>22.5297818459706</v>
      </c>
      <c r="AG3800">
        <v>2.5721980000000002</v>
      </c>
      <c r="AH3800">
        <v>172.03646856988999</v>
      </c>
      <c r="AI3800">
        <v>89.150658938652796</v>
      </c>
      <c r="AJ3800">
        <v>82.539042047183401</v>
      </c>
      <c r="AK3800">
        <v>173.52450487057101</v>
      </c>
      <c r="AL3800">
        <v>87.586521423936503</v>
      </c>
      <c r="AM3800">
        <v>90.311965775377999</v>
      </c>
      <c r="AN3800">
        <v>0.99999995847106204</v>
      </c>
    </row>
    <row r="3801" spans="1:40" x14ac:dyDescent="0.25">
      <c r="A3801" t="str">
        <f>"20190312160408560"</f>
        <v>20190312160408560</v>
      </c>
      <c r="B3801" t="str">
        <f>"1552377848548093"</f>
        <v>1552377848548093</v>
      </c>
      <c r="C3801" t="s">
        <v>40</v>
      </c>
      <c r="D3801">
        <v>5.198048</v>
      </c>
      <c r="E3801">
        <v>0.55154499999999995</v>
      </c>
      <c r="F3801" t="s">
        <v>55</v>
      </c>
      <c r="G3801">
        <v>-168.41470000000001</v>
      </c>
      <c r="H3801">
        <v>3.7125650000000001</v>
      </c>
      <c r="I3801">
        <v>197.38040000000001</v>
      </c>
      <c r="J3801">
        <v>-340.99950000000001</v>
      </c>
      <c r="K3801">
        <v>1.1102989999999999</v>
      </c>
      <c r="L3801">
        <v>212.8287</v>
      </c>
      <c r="M3801">
        <v>0.99903920000000002</v>
      </c>
      <c r="N3801">
        <v>0</v>
      </c>
      <c r="O3801">
        <v>4.1614480000000002E-2</v>
      </c>
      <c r="P3801">
        <v>0.99851500000000004</v>
      </c>
      <c r="Q3801">
        <v>2.887669E-2</v>
      </c>
      <c r="R3801">
        <v>4.6196149999999998E-2</v>
      </c>
      <c r="S3801">
        <v>3.0158390000000002</v>
      </c>
      <c r="T3801">
        <v>4.54011E-2</v>
      </c>
      <c r="U3801">
        <v>-0.26931759999999999</v>
      </c>
      <c r="V3801">
        <v>-4.6166389999999996E-3</v>
      </c>
      <c r="W3801">
        <v>4.2620449999999997E-2</v>
      </c>
      <c r="X3801">
        <v>0.99908070000000004</v>
      </c>
      <c r="Y3801">
        <v>0.13030419999999901</v>
      </c>
      <c r="Z3801">
        <v>1.604219E-3</v>
      </c>
      <c r="AA3801">
        <v>0.99147280000000004</v>
      </c>
      <c r="AB3801">
        <v>28</v>
      </c>
      <c r="AC3801">
        <v>172.5848</v>
      </c>
      <c r="AD3801">
        <v>2.6022660000000002</v>
      </c>
      <c r="AE3801">
        <v>-15.4482999999999</v>
      </c>
      <c r="AF3801">
        <v>22.6125203189969</v>
      </c>
      <c r="AG3801">
        <v>2.6022660000000002</v>
      </c>
      <c r="AH3801">
        <v>171.75359702995101</v>
      </c>
      <c r="AI3801">
        <v>89.1393944482558</v>
      </c>
      <c r="AJ3801">
        <v>82.499760527739397</v>
      </c>
      <c r="AK3801">
        <v>173.25529127919501</v>
      </c>
      <c r="AL3801">
        <v>87.557288255774907</v>
      </c>
      <c r="AM3801">
        <v>90.264755437246606</v>
      </c>
      <c r="AN3801">
        <v>1.00000003061317</v>
      </c>
    </row>
    <row r="3802" spans="1:40" x14ac:dyDescent="0.25">
      <c r="A3802" t="str">
        <f>"20190312160408583"</f>
        <v>20190312160408583</v>
      </c>
      <c r="B3802" t="str">
        <f>"1552377848578350"</f>
        <v>1552377848578350</v>
      </c>
      <c r="C3802" t="s">
        <v>40</v>
      </c>
      <c r="D3802">
        <v>5.0887659999999997</v>
      </c>
      <c r="E3802">
        <v>0.55164659999999999</v>
      </c>
      <c r="F3802" t="s">
        <v>55</v>
      </c>
      <c r="G3802">
        <v>-168.41480000000001</v>
      </c>
      <c r="H3802">
        <v>3.701241</v>
      </c>
      <c r="I3802">
        <v>197.2569</v>
      </c>
      <c r="J3802">
        <v>-340.7133</v>
      </c>
      <c r="K3802">
        <v>1.110277</v>
      </c>
      <c r="L3802">
        <v>212.8408</v>
      </c>
      <c r="M3802">
        <v>0.99903200000000003</v>
      </c>
      <c r="N3802">
        <v>0</v>
      </c>
      <c r="O3802">
        <v>4.181203E-2</v>
      </c>
      <c r="P3802">
        <v>0.99853289999999995</v>
      </c>
      <c r="Q3802">
        <v>2.9544109999999998E-2</v>
      </c>
      <c r="R3802">
        <v>4.5379530000000001E-2</v>
      </c>
      <c r="S3802">
        <v>3.0156860000000001</v>
      </c>
      <c r="T3802">
        <v>4.527378E-2</v>
      </c>
      <c r="U3802">
        <v>-0.27209470000000002</v>
      </c>
      <c r="V3802">
        <v>-3.6008640000000001E-3</v>
      </c>
      <c r="W3802">
        <v>4.3204029999999997E-2</v>
      </c>
      <c r="X3802">
        <v>0.99905980000000005</v>
      </c>
      <c r="Y3802">
        <v>0.13141029999999901</v>
      </c>
      <c r="Z3802">
        <v>1.610984E-3</v>
      </c>
      <c r="AA3802">
        <v>0.99132670000000001</v>
      </c>
      <c r="AB3802">
        <v>28</v>
      </c>
      <c r="AC3802">
        <v>172.29849999999999</v>
      </c>
      <c r="AD3802">
        <v>2.590964</v>
      </c>
      <c r="AE3802">
        <v>-15.5839</v>
      </c>
      <c r="AF3802">
        <v>22.769985108736101</v>
      </c>
      <c r="AG3802">
        <v>2.590964</v>
      </c>
      <c r="AH3802">
        <v>171.45768325309299</v>
      </c>
      <c r="AI3802">
        <v>89.141780757906503</v>
      </c>
      <c r="AJ3802">
        <v>82.435249797634299</v>
      </c>
      <c r="AK3802">
        <v>172.98243397183199</v>
      </c>
      <c r="AL3802">
        <v>87.523820728307498</v>
      </c>
      <c r="AM3802">
        <v>90.206507574844593</v>
      </c>
      <c r="AN3802">
        <v>1.0000000192029099</v>
      </c>
    </row>
    <row r="3803" spans="1:40" x14ac:dyDescent="0.25">
      <c r="A3803" t="str">
        <f>"20190312160408605"</f>
        <v>20190312160408605</v>
      </c>
      <c r="B3803" t="str">
        <f>"1552377848598846"</f>
        <v>1552377848598846</v>
      </c>
      <c r="C3803" t="s">
        <v>40</v>
      </c>
      <c r="D3803">
        <v>5.1080079999999999</v>
      </c>
      <c r="E3803">
        <v>0.56708419999999904</v>
      </c>
      <c r="F3803" t="s">
        <v>55</v>
      </c>
      <c r="G3803">
        <v>-168.41480000000001</v>
      </c>
      <c r="H3803">
        <v>3.5731489999999999</v>
      </c>
      <c r="I3803">
        <v>197.11850000000001</v>
      </c>
      <c r="J3803">
        <v>-340.42290000000003</v>
      </c>
      <c r="K3803">
        <v>1.1102559999999999</v>
      </c>
      <c r="L3803">
        <v>212.85319999999999</v>
      </c>
      <c r="M3803">
        <v>0.99902579999999996</v>
      </c>
      <c r="N3803">
        <v>0</v>
      </c>
      <c r="O3803">
        <v>4.1993330000000002E-2</v>
      </c>
      <c r="P3803">
        <v>0.99852030000000003</v>
      </c>
      <c r="Q3803">
        <v>3.044475E-2</v>
      </c>
      <c r="R3803">
        <v>4.5063119999999998E-2</v>
      </c>
      <c r="S3803">
        <v>3.015625</v>
      </c>
      <c r="T3803">
        <v>4.3106560000000002E-2</v>
      </c>
      <c r="U3803">
        <v>-0.275177</v>
      </c>
      <c r="V3803">
        <v>-3.1029289999999999E-3</v>
      </c>
      <c r="W3803">
        <v>4.4006740000000003E-2</v>
      </c>
      <c r="X3803">
        <v>0.99902639999999998</v>
      </c>
      <c r="Y3803">
        <v>0.13259840000000001</v>
      </c>
      <c r="Z3803">
        <v>1.544899E-3</v>
      </c>
      <c r="AA3803">
        <v>0.99116859999999996</v>
      </c>
      <c r="AB3803">
        <v>28</v>
      </c>
      <c r="AC3803">
        <v>172.00810000000001</v>
      </c>
      <c r="AD3803">
        <v>2.4628930000000002</v>
      </c>
      <c r="AE3803">
        <v>-15.734699999999901</v>
      </c>
      <c r="AF3803">
        <v>22.9400111963093</v>
      </c>
      <c r="AG3803">
        <v>2.4628930000000002</v>
      </c>
      <c r="AH3803">
        <v>171.160728997695</v>
      </c>
      <c r="AI3803">
        <v>89.182912420023897</v>
      </c>
      <c r="AJ3803">
        <v>82.366358847007504</v>
      </c>
      <c r="AK3803">
        <v>172.70872909797799</v>
      </c>
      <c r="AL3803">
        <v>87.477784957851597</v>
      </c>
      <c r="AM3803">
        <v>90.177957423486404</v>
      </c>
      <c r="AN3803">
        <v>0.99999998461538298</v>
      </c>
    </row>
    <row r="3804" spans="1:40" x14ac:dyDescent="0.25">
      <c r="A3804" t="str">
        <f>"20190312160408628"</f>
        <v>20190312160408628</v>
      </c>
      <c r="B3804" t="str">
        <f>"1552377848618369"</f>
        <v>1552377848618369</v>
      </c>
      <c r="C3804" t="s">
        <v>40</v>
      </c>
      <c r="D3804">
        <v>5.1139449999999904</v>
      </c>
      <c r="E3804">
        <v>0.56161969999999894</v>
      </c>
      <c r="F3804" t="s">
        <v>44</v>
      </c>
      <c r="G3804">
        <v>-285.52640000000002</v>
      </c>
      <c r="H3804">
        <v>1.296786</v>
      </c>
      <c r="I3804">
        <v>205.5994</v>
      </c>
      <c r="J3804">
        <v>-340.15559999999999</v>
      </c>
      <c r="K3804">
        <v>1.1102369999999999</v>
      </c>
      <c r="L3804">
        <v>212.8647</v>
      </c>
      <c r="M3804">
        <v>0.99902060000000004</v>
      </c>
      <c r="N3804">
        <v>0</v>
      </c>
      <c r="O3804">
        <v>4.214847E-2</v>
      </c>
      <c r="P3804">
        <v>0.99855669999999996</v>
      </c>
      <c r="Q3804">
        <v>2.9896949999999999E-2</v>
      </c>
      <c r="R3804">
        <v>4.4619770000000003E-2</v>
      </c>
      <c r="S3804">
        <v>3.022186</v>
      </c>
      <c r="T3804">
        <v>1.0268930000000001E-2</v>
      </c>
      <c r="U3804">
        <v>-0.39933780000000002</v>
      </c>
      <c r="V3804">
        <v>-2.5022920000000001E-3</v>
      </c>
      <c r="W3804">
        <v>4.3363619999999999E-2</v>
      </c>
      <c r="X3804">
        <v>0.99905619999999995</v>
      </c>
      <c r="Y3804">
        <v>0.17266819999999999</v>
      </c>
      <c r="Z3804">
        <v>4.3475399999999998E-4</v>
      </c>
      <c r="AA3804">
        <v>0.98497999999999997</v>
      </c>
      <c r="AB3804">
        <v>28</v>
      </c>
      <c r="AC3804">
        <v>54.629199999999898</v>
      </c>
      <c r="AD3804">
        <v>0.18654899999999899</v>
      </c>
      <c r="AE3804">
        <v>-7.2652999999999901</v>
      </c>
      <c r="AF3804">
        <v>9.5614790269993399</v>
      </c>
      <c r="AG3804">
        <v>0.18654899999999899</v>
      </c>
      <c r="AH3804">
        <v>54.273774474267903</v>
      </c>
      <c r="AI3804">
        <v>89.806051291089005</v>
      </c>
      <c r="AJ3804">
        <v>80.008653546365395</v>
      </c>
      <c r="AK3804">
        <v>55.109883663430502</v>
      </c>
      <c r="AL3804">
        <v>87.514668214767397</v>
      </c>
      <c r="AM3804">
        <v>90.143505911787301</v>
      </c>
      <c r="AN3804">
        <v>0.999999977881598</v>
      </c>
    </row>
    <row r="3805" spans="1:40" x14ac:dyDescent="0.25">
      <c r="A3805" t="str">
        <f>"20190312160408640"</f>
        <v>20190312160408640</v>
      </c>
      <c r="B3805" t="str">
        <f>"1552377848628127"</f>
        <v>1552377848628127</v>
      </c>
      <c r="C3805" t="s">
        <v>40</v>
      </c>
      <c r="D3805">
        <v>5.2125380000000003</v>
      </c>
      <c r="E3805">
        <v>0.55944740000000004</v>
      </c>
      <c r="F3805" t="s">
        <v>55</v>
      </c>
      <c r="G3805">
        <v>-168.41630000000001</v>
      </c>
      <c r="H3805">
        <v>3.581448</v>
      </c>
      <c r="I3805">
        <v>192.54429999999999</v>
      </c>
      <c r="J3805">
        <v>-339.98250000000002</v>
      </c>
      <c r="K3805">
        <v>1.110223</v>
      </c>
      <c r="L3805">
        <v>212.87209999999999</v>
      </c>
      <c r="M3805">
        <v>0.99901709999999999</v>
      </c>
      <c r="N3805">
        <v>0</v>
      </c>
      <c r="O3805">
        <v>4.2248099999999997E-2</v>
      </c>
      <c r="P3805">
        <v>0.99857209999999996</v>
      </c>
      <c r="Q3805">
        <v>2.9513879999999999E-2</v>
      </c>
      <c r="R3805">
        <v>4.452768E-2</v>
      </c>
      <c r="S3805">
        <v>3.0189819999999998</v>
      </c>
      <c r="T3805">
        <v>4.3441649999999998E-2</v>
      </c>
      <c r="U3805">
        <v>-0.35720829999999998</v>
      </c>
      <c r="V3805">
        <v>-2.308924E-3</v>
      </c>
      <c r="W3805">
        <v>4.2919619999999999E-2</v>
      </c>
      <c r="X3805">
        <v>0.99907590000000002</v>
      </c>
      <c r="Y3805">
        <v>0.1593348</v>
      </c>
      <c r="Z3805">
        <v>1.748414E-3</v>
      </c>
      <c r="AA3805">
        <v>0.98722299999999996</v>
      </c>
      <c r="AB3805">
        <v>28</v>
      </c>
      <c r="AC3805">
        <v>171.56620000000001</v>
      </c>
      <c r="AD3805">
        <v>2.471225</v>
      </c>
      <c r="AE3805">
        <v>-20.3278</v>
      </c>
      <c r="AF3805">
        <v>27.553007872062</v>
      </c>
      <c r="AG3805">
        <v>2.471225</v>
      </c>
      <c r="AH3805">
        <v>170.51921309317501</v>
      </c>
      <c r="AI3805">
        <v>89.180337229091407</v>
      </c>
      <c r="AJ3805">
        <v>80.821309097845401</v>
      </c>
      <c r="AK3805">
        <v>172.74859544932301</v>
      </c>
      <c r="AL3805">
        <v>87.540131400081293</v>
      </c>
      <c r="AM3805">
        <v>90.132413728420602</v>
      </c>
      <c r="AN3805">
        <v>1.0000000394358901</v>
      </c>
    </row>
    <row r="3806" spans="1:40" x14ac:dyDescent="0.25">
      <c r="A3806" t="str">
        <f>"20190312160408661"</f>
        <v>20190312160408661</v>
      </c>
      <c r="B3806" t="str">
        <f>"1552377848648621"</f>
        <v>1552377848648621</v>
      </c>
      <c r="C3806" t="s">
        <v>40</v>
      </c>
      <c r="D3806">
        <v>5.2621500000000001</v>
      </c>
      <c r="E3806">
        <v>0.5568573</v>
      </c>
      <c r="F3806" t="s">
        <v>55</v>
      </c>
      <c r="G3806">
        <v>-168.41569999999999</v>
      </c>
      <c r="H3806">
        <v>2.8386110000000002</v>
      </c>
      <c r="I3806">
        <v>193.55109999999999</v>
      </c>
      <c r="J3806">
        <v>-339.7287</v>
      </c>
      <c r="K3806">
        <v>1.110214</v>
      </c>
      <c r="L3806">
        <v>212.88300000000001</v>
      </c>
      <c r="M3806">
        <v>0.99901209999999996</v>
      </c>
      <c r="N3806">
        <v>0</v>
      </c>
      <c r="O3806">
        <v>4.2394229999999998E-2</v>
      </c>
      <c r="P3806">
        <v>0.9986159</v>
      </c>
      <c r="Q3806">
        <v>2.899755E-2</v>
      </c>
      <c r="R3806">
        <v>4.3880809999999999E-2</v>
      </c>
      <c r="S3806">
        <v>3.0185550000000001</v>
      </c>
      <c r="T3806">
        <v>3.0409930000000002E-2</v>
      </c>
      <c r="U3806">
        <v>-0.3399353</v>
      </c>
      <c r="V3806">
        <v>-1.5138560000000001E-3</v>
      </c>
      <c r="W3806">
        <v>4.2317929999999997E-2</v>
      </c>
      <c r="X3806">
        <v>0.99910310000000002</v>
      </c>
      <c r="Y3806">
        <v>0.15392910000000001</v>
      </c>
      <c r="Z3806">
        <v>1.1988369999999999E-3</v>
      </c>
      <c r="AA3806">
        <v>0.98808119999999999</v>
      </c>
      <c r="AB3806">
        <v>28</v>
      </c>
      <c r="AC3806">
        <v>171.31299999999999</v>
      </c>
      <c r="AD3806">
        <v>1.728397</v>
      </c>
      <c r="AE3806">
        <v>-19.331899999999901</v>
      </c>
      <c r="AF3806">
        <v>26.575173256062602</v>
      </c>
      <c r="AG3806">
        <v>1.728397</v>
      </c>
      <c r="AH3806">
        <v>170.322202549465</v>
      </c>
      <c r="AI3806">
        <v>89.425543438733399</v>
      </c>
      <c r="AJ3806">
        <v>81.131711609663</v>
      </c>
      <c r="AK3806">
        <v>172.39164675552101</v>
      </c>
      <c r="AL3806">
        <v>87.574637078150104</v>
      </c>
      <c r="AM3806">
        <v>90.086815357905493</v>
      </c>
      <c r="AN3806">
        <v>1.00000005169454</v>
      </c>
    </row>
    <row r="3807" spans="1:40" x14ac:dyDescent="0.25">
      <c r="A3807" t="str">
        <f>"20190312160408683"</f>
        <v>20190312160408683</v>
      </c>
      <c r="B3807" t="str">
        <f>"1552377848678878"</f>
        <v>1552377848678878</v>
      </c>
      <c r="C3807" t="s">
        <v>40</v>
      </c>
      <c r="D3807">
        <v>5.0642579999999997</v>
      </c>
      <c r="E3807">
        <v>0.5565696</v>
      </c>
      <c r="F3807" t="s">
        <v>55</v>
      </c>
      <c r="G3807">
        <v>-168.4151</v>
      </c>
      <c r="H3807">
        <v>1.969789</v>
      </c>
      <c r="I3807">
        <v>194.64359999999999</v>
      </c>
      <c r="J3807">
        <v>-339.44589999999999</v>
      </c>
      <c r="K3807">
        <v>1.1102019999999999</v>
      </c>
      <c r="L3807">
        <v>212.89519999999999</v>
      </c>
      <c r="M3807">
        <v>0.99900630000000001</v>
      </c>
      <c r="N3807">
        <v>0</v>
      </c>
      <c r="O3807">
        <v>4.2561990000000001E-2</v>
      </c>
      <c r="P3807">
        <v>0.99860139999999997</v>
      </c>
      <c r="Q3807">
        <v>2.9730119999999999E-2</v>
      </c>
      <c r="R3807">
        <v>4.3720719999999998E-2</v>
      </c>
      <c r="S3807">
        <v>3.0178530000000001</v>
      </c>
      <c r="T3807">
        <v>1.51428E-2</v>
      </c>
      <c r="U3807">
        <v>-0.32130429999999999</v>
      </c>
      <c r="V3807">
        <v>-1.1865300000000001E-3</v>
      </c>
      <c r="W3807">
        <v>4.2949639999999997E-2</v>
      </c>
      <c r="X3807">
        <v>0.99907650000000003</v>
      </c>
      <c r="Y3807">
        <v>0.1480977</v>
      </c>
      <c r="Z3807">
        <v>5.8356130000000001E-4</v>
      </c>
      <c r="AA3807">
        <v>0.98897250000000003</v>
      </c>
      <c r="AB3807">
        <v>28</v>
      </c>
      <c r="AC3807">
        <v>171.0308</v>
      </c>
      <c r="AD3807">
        <v>0.85958699999999899</v>
      </c>
      <c r="AE3807">
        <v>-18.2516</v>
      </c>
      <c r="AF3807">
        <v>25.514468609745801</v>
      </c>
      <c r="AG3807">
        <v>0.85958699999999899</v>
      </c>
      <c r="AH3807">
        <v>170.094649000201</v>
      </c>
      <c r="AI3807">
        <v>89.713657083435805</v>
      </c>
      <c r="AJ3807">
        <v>81.469145027849194</v>
      </c>
      <c r="AK3807">
        <v>171.99975760666001</v>
      </c>
      <c r="AL3807">
        <v>87.538409612793103</v>
      </c>
      <c r="AM3807">
        <v>90.068045969756298</v>
      </c>
      <c r="AN3807">
        <v>0.99999996614090902</v>
      </c>
    </row>
    <row r="3808" spans="1:40" x14ac:dyDescent="0.25">
      <c r="A3808" t="str">
        <f>"20190312160408697"</f>
        <v>20190312160408697</v>
      </c>
      <c r="B3808" t="str">
        <f>"1552377848688637"</f>
        <v>1552377848688637</v>
      </c>
      <c r="C3808" t="s">
        <v>40</v>
      </c>
      <c r="D3808">
        <v>5.1072920000000002</v>
      </c>
      <c r="E3808">
        <v>0.55667840000000002</v>
      </c>
      <c r="F3808" t="s">
        <v>55</v>
      </c>
      <c r="G3808">
        <v>-168.41540000000001</v>
      </c>
      <c r="H3808">
        <v>3.0472760000000001</v>
      </c>
      <c r="I3808">
        <v>194.78309999999999</v>
      </c>
      <c r="J3808">
        <v>-339.2758</v>
      </c>
      <c r="K3808">
        <v>1.1101920000000001</v>
      </c>
      <c r="L3808">
        <v>212.90260000000001</v>
      </c>
      <c r="M3808">
        <v>0.99900279999999997</v>
      </c>
      <c r="N3808">
        <v>0</v>
      </c>
      <c r="O3808">
        <v>4.2664149999999998E-2</v>
      </c>
      <c r="P3808">
        <v>0.9985868</v>
      </c>
      <c r="Q3808">
        <v>3.0132679999999998E-2</v>
      </c>
      <c r="R3808">
        <v>4.3777549999999998E-2</v>
      </c>
      <c r="S3808">
        <v>3.0171809999999999</v>
      </c>
      <c r="T3808">
        <v>3.4172889999999997E-2</v>
      </c>
      <c r="U3808">
        <v>-0.319519</v>
      </c>
      <c r="V3808">
        <v>-1.141256E-3</v>
      </c>
      <c r="W3808">
        <v>4.3287880000000001E-2</v>
      </c>
      <c r="X3808">
        <v>0.99906200000000001</v>
      </c>
      <c r="Y3808">
        <v>0.1476336</v>
      </c>
      <c r="Z3808">
        <v>1.315758E-3</v>
      </c>
      <c r="AA3808">
        <v>0.98904130000000001</v>
      </c>
      <c r="AB3808">
        <v>28</v>
      </c>
      <c r="AC3808">
        <v>170.8604</v>
      </c>
      <c r="AD3808">
        <v>1.937084</v>
      </c>
      <c r="AE3808">
        <v>-18.119499999999999</v>
      </c>
      <c r="AF3808">
        <v>25.3900166562191</v>
      </c>
      <c r="AG3808">
        <v>1.937084</v>
      </c>
      <c r="AH3808">
        <v>169.910083468599</v>
      </c>
      <c r="AI3808">
        <v>89.353991863057701</v>
      </c>
      <c r="AJ3808">
        <v>81.501060605722998</v>
      </c>
      <c r="AK3808">
        <v>171.80757173225001</v>
      </c>
      <c r="AL3808">
        <v>87.519011959198195</v>
      </c>
      <c r="AM3808">
        <v>90.065450516285907</v>
      </c>
      <c r="AN3808">
        <v>1.00000001143207</v>
      </c>
    </row>
    <row r="3809" spans="1:40" x14ac:dyDescent="0.25">
      <c r="A3809" t="str">
        <f>"20190312160408718"</f>
        <v>20190312160408718</v>
      </c>
      <c r="B3809" t="str">
        <f>"1552377848708158"</f>
        <v>1552377848708158</v>
      </c>
      <c r="C3809" t="s">
        <v>40</v>
      </c>
      <c r="D3809">
        <v>5.074999</v>
      </c>
      <c r="E3809">
        <v>0.55670439999999999</v>
      </c>
      <c r="F3809" t="s">
        <v>55</v>
      </c>
      <c r="G3809">
        <v>-168.41550000000001</v>
      </c>
      <c r="H3809">
        <v>3.3324150000000001</v>
      </c>
      <c r="I3809">
        <v>194.7818</v>
      </c>
      <c r="J3809">
        <v>-339.00450000000001</v>
      </c>
      <c r="K3809">
        <v>1.1101730000000001</v>
      </c>
      <c r="L3809">
        <v>212.9143</v>
      </c>
      <c r="M3809">
        <v>0.99899720000000003</v>
      </c>
      <c r="N3809">
        <v>0</v>
      </c>
      <c r="O3809">
        <v>4.2825490000000001E-2</v>
      </c>
      <c r="P3809">
        <v>0.99857739999999995</v>
      </c>
      <c r="Q3809">
        <v>3.0344929999999999E-2</v>
      </c>
      <c r="R3809">
        <v>4.3849699999999998E-2</v>
      </c>
      <c r="S3809">
        <v>3.0170590000000002</v>
      </c>
      <c r="T3809">
        <v>3.924072E-2</v>
      </c>
      <c r="U3809">
        <v>-0.31997680000000001</v>
      </c>
      <c r="V3809">
        <v>-1.0531189999999999E-3</v>
      </c>
      <c r="W3809">
        <v>4.339602E-2</v>
      </c>
      <c r="X3809">
        <v>0.99905739999999998</v>
      </c>
      <c r="Y3809">
        <v>0.14794189999999999</v>
      </c>
      <c r="Z3809">
        <v>1.5150109999999999E-3</v>
      </c>
      <c r="AA3809">
        <v>0.98899490000000001</v>
      </c>
      <c r="AB3809">
        <v>28</v>
      </c>
      <c r="AC3809">
        <v>170.589</v>
      </c>
      <c r="AD3809">
        <v>2.2222420000000001</v>
      </c>
      <c r="AE3809">
        <v>-18.1325</v>
      </c>
      <c r="AF3809">
        <v>25.417777281286099</v>
      </c>
      <c r="AG3809">
        <v>2.2222420000000001</v>
      </c>
      <c r="AH3809">
        <v>169.627405927768</v>
      </c>
      <c r="AI3809">
        <v>89.257712935659995</v>
      </c>
      <c r="AJ3809">
        <v>81.477933674809407</v>
      </c>
      <c r="AK3809">
        <v>171.535589902537</v>
      </c>
      <c r="AL3809">
        <v>87.512810152433602</v>
      </c>
      <c r="AM3809">
        <v>90.060396181116602</v>
      </c>
      <c r="AN3809">
        <v>1.00000000605311</v>
      </c>
    </row>
    <row r="3810" spans="1:40" x14ac:dyDescent="0.25">
      <c r="A3810" t="str">
        <f>"20190312160408739"</f>
        <v>20190312160408739</v>
      </c>
      <c r="B3810" t="str">
        <f>"1552377848728187"</f>
        <v>1552377848728187</v>
      </c>
      <c r="C3810" t="s">
        <v>40</v>
      </c>
      <c r="D3810">
        <v>5.0714050000000004</v>
      </c>
      <c r="E3810">
        <v>0.55666099999999996</v>
      </c>
      <c r="F3810" t="s">
        <v>55</v>
      </c>
      <c r="G3810">
        <v>-168.41560000000001</v>
      </c>
      <c r="H3810">
        <v>3.6784829999999999</v>
      </c>
      <c r="I3810">
        <v>194.80889999999999</v>
      </c>
      <c r="J3810">
        <v>-338.73919999999998</v>
      </c>
      <c r="K3810">
        <v>1.1101559999999999</v>
      </c>
      <c r="L3810">
        <v>212.92590000000001</v>
      </c>
      <c r="M3810">
        <v>0.99899199999999999</v>
      </c>
      <c r="N3810">
        <v>0</v>
      </c>
      <c r="O3810">
        <v>4.2979829999999997E-2</v>
      </c>
      <c r="P3810">
        <v>0.99858709999999995</v>
      </c>
      <c r="Q3810">
        <v>3.0023890000000001E-2</v>
      </c>
      <c r="R3810">
        <v>4.3845710000000003E-2</v>
      </c>
      <c r="S3810">
        <v>3.0169679999999999</v>
      </c>
      <c r="T3810">
        <v>4.5422669999999998E-2</v>
      </c>
      <c r="U3810">
        <v>-0.32020569999999998</v>
      </c>
      <c r="V3810">
        <v>-8.9354530000000003E-4</v>
      </c>
      <c r="W3810">
        <v>4.2972990000000003E-2</v>
      </c>
      <c r="X3810">
        <v>0.99907579999999996</v>
      </c>
      <c r="Y3810">
        <v>0.14816650000000001</v>
      </c>
      <c r="Z3810">
        <v>1.7577090000000001E-3</v>
      </c>
      <c r="AA3810">
        <v>0.98896090000000003</v>
      </c>
      <c r="AB3810">
        <v>28</v>
      </c>
      <c r="AC3810">
        <v>170.323599999999</v>
      </c>
      <c r="AD3810">
        <v>2.568327</v>
      </c>
      <c r="AE3810">
        <v>-18.117000000000001</v>
      </c>
      <c r="AF3810">
        <v>25.415635000211001</v>
      </c>
      <c r="AG3810">
        <v>2.568327</v>
      </c>
      <c r="AH3810">
        <v>169.34937774982899</v>
      </c>
      <c r="AI3810">
        <v>89.1407487974014</v>
      </c>
      <c r="AJ3810">
        <v>81.4648573954847</v>
      </c>
      <c r="AK3810">
        <v>171.265181955636</v>
      </c>
      <c r="AL3810">
        <v>87.537070517689003</v>
      </c>
      <c r="AM3810">
        <v>90.051243720289307</v>
      </c>
      <c r="AN3810">
        <v>0.99999996521919099</v>
      </c>
    </row>
    <row r="3811" spans="1:40" x14ac:dyDescent="0.25">
      <c r="A3811" t="str">
        <f>"20190312160408762"</f>
        <v>20190312160408762</v>
      </c>
      <c r="B3811" t="str">
        <f>"1552377848758443"</f>
        <v>1552377848758443</v>
      </c>
      <c r="C3811" t="s">
        <v>40</v>
      </c>
      <c r="D3811">
        <v>5.1034990000000002</v>
      </c>
      <c r="E3811">
        <v>0.55675609999999998</v>
      </c>
      <c r="F3811" t="s">
        <v>55</v>
      </c>
      <c r="G3811">
        <v>-168.41560000000001</v>
      </c>
      <c r="H3811">
        <v>3.8178930000000002</v>
      </c>
      <c r="I3811">
        <v>194.86789999999999</v>
      </c>
      <c r="J3811">
        <v>-338.46269999999998</v>
      </c>
      <c r="K3811">
        <v>1.1101379999999901</v>
      </c>
      <c r="L3811">
        <v>212.93799999999999</v>
      </c>
      <c r="M3811">
        <v>0.99898670000000001</v>
      </c>
      <c r="N3811">
        <v>0</v>
      </c>
      <c r="O3811">
        <v>4.3134749999999999E-2</v>
      </c>
      <c r="P3811">
        <v>0.99858740000000001</v>
      </c>
      <c r="Q3811">
        <v>2.939454E-2</v>
      </c>
      <c r="R3811">
        <v>4.4260750000000001E-2</v>
      </c>
      <c r="S3811">
        <v>3.0168759999999999</v>
      </c>
      <c r="T3811">
        <v>4.7961709999999998E-2</v>
      </c>
      <c r="U3811">
        <v>-0.31985469999999999</v>
      </c>
      <c r="V3811">
        <v>-1.152265E-3</v>
      </c>
      <c r="W3811">
        <v>4.2240270000000003E-2</v>
      </c>
      <c r="X3811">
        <v>0.99910679999999996</v>
      </c>
      <c r="Y3811">
        <v>0.1482068</v>
      </c>
      <c r="Z3811">
        <v>1.858792E-3</v>
      </c>
      <c r="AA3811">
        <v>0.98895469999999996</v>
      </c>
      <c r="AB3811">
        <v>28</v>
      </c>
      <c r="AC3811">
        <v>170.04709999999901</v>
      </c>
      <c r="AD3811">
        <v>2.7077550000000001</v>
      </c>
      <c r="AE3811">
        <v>-18.0701</v>
      </c>
      <c r="AF3811">
        <v>25.382458850339201</v>
      </c>
      <c r="AG3811">
        <v>2.7077550000000001</v>
      </c>
      <c r="AH3811">
        <v>169.066901414744</v>
      </c>
      <c r="AI3811">
        <v>89.092603744387205</v>
      </c>
      <c r="AJ3811">
        <v>81.461802515909795</v>
      </c>
      <c r="AK3811">
        <v>170.983093633294</v>
      </c>
      <c r="AL3811">
        <v>87.579090483881501</v>
      </c>
      <c r="AM3811">
        <v>90.066078913795593</v>
      </c>
      <c r="AN3811">
        <v>0.99999998296527104</v>
      </c>
    </row>
    <row r="3812" spans="1:40" x14ac:dyDescent="0.25">
      <c r="A3812" t="str">
        <f>"20190312160408784"</f>
        <v>20190312160408784</v>
      </c>
      <c r="B3812" t="str">
        <f>"1552377848778939"</f>
        <v>1552377848778939</v>
      </c>
      <c r="C3812" t="s">
        <v>40</v>
      </c>
      <c r="D3812">
        <v>5.1056809999999997</v>
      </c>
      <c r="E3812">
        <v>0.55697540000000001</v>
      </c>
      <c r="F3812" t="s">
        <v>55</v>
      </c>
      <c r="G3812">
        <v>-168.41560000000001</v>
      </c>
      <c r="H3812">
        <v>4.0278109999999998</v>
      </c>
      <c r="I3812">
        <v>194.94280000000001</v>
      </c>
      <c r="J3812">
        <v>-338.16800000000001</v>
      </c>
      <c r="K3812">
        <v>1.110117</v>
      </c>
      <c r="L3812">
        <v>212.95089999999999</v>
      </c>
      <c r="M3812">
        <v>0.99898120000000001</v>
      </c>
      <c r="N3812">
        <v>0</v>
      </c>
      <c r="O3812">
        <v>4.3289359999999999E-2</v>
      </c>
      <c r="P3812">
        <v>0.99855780000000005</v>
      </c>
      <c r="Q3812">
        <v>2.9406290000000002E-2</v>
      </c>
      <c r="R3812">
        <v>4.4915440000000001E-2</v>
      </c>
      <c r="S3812">
        <v>3.0168759999999999</v>
      </c>
      <c r="T3812">
        <v>5.1764249999999998E-2</v>
      </c>
      <c r="U3812">
        <v>-0.31925959999999998</v>
      </c>
      <c r="V3812">
        <v>-1.6525029999999901E-3</v>
      </c>
      <c r="W3812">
        <v>4.2144029999999999E-2</v>
      </c>
      <c r="X3812">
        <v>0.99911019999999995</v>
      </c>
      <c r="Y3812">
        <v>0.14816279999999901</v>
      </c>
      <c r="Z3812">
        <v>2.0084310000000002E-3</v>
      </c>
      <c r="AA3812">
        <v>0.98896090000000003</v>
      </c>
      <c r="AB3812">
        <v>28</v>
      </c>
      <c r="AC3812">
        <v>169.75239999999999</v>
      </c>
      <c r="AD3812">
        <v>2.917694</v>
      </c>
      <c r="AE3812">
        <v>-18.008099999999899</v>
      </c>
      <c r="AF3812">
        <v>25.332885579296999</v>
      </c>
      <c r="AG3812">
        <v>2.917694</v>
      </c>
      <c r="AH3812">
        <v>168.764319276864</v>
      </c>
      <c r="AI3812">
        <v>89.020508015334798</v>
      </c>
      <c r="AJ3812">
        <v>81.463179007662603</v>
      </c>
      <c r="AK3812">
        <v>170.680003196141</v>
      </c>
      <c r="AL3812">
        <v>87.584609636091201</v>
      </c>
      <c r="AM3812">
        <v>90.094765683700302</v>
      </c>
      <c r="AN3812">
        <v>1.00000002088742</v>
      </c>
    </row>
    <row r="3813" spans="1:40" x14ac:dyDescent="0.25">
      <c r="A3813" t="str">
        <f>"20190312160408798"</f>
        <v>20190312160408798</v>
      </c>
      <c r="B3813" t="str">
        <f>"1552377848788699"</f>
        <v>1552377848788699</v>
      </c>
      <c r="C3813" t="s">
        <v>40</v>
      </c>
      <c r="D3813">
        <v>5.0946089999999904</v>
      </c>
      <c r="E3813">
        <v>0.55700919999999998</v>
      </c>
      <c r="F3813" t="s">
        <v>55</v>
      </c>
      <c r="G3813">
        <v>-168.41569999999999</v>
      </c>
      <c r="H3813">
        <v>4.1471390000000001</v>
      </c>
      <c r="I3813">
        <v>194.99160000000001</v>
      </c>
      <c r="J3813">
        <v>-338.00080000000003</v>
      </c>
      <c r="K3813">
        <v>1.1101049999999999</v>
      </c>
      <c r="L3813">
        <v>212.95820000000001</v>
      </c>
      <c r="M3813">
        <v>0.9989787</v>
      </c>
      <c r="N3813">
        <v>0</v>
      </c>
      <c r="O3813">
        <v>4.336901E-2</v>
      </c>
      <c r="P3813">
        <v>0.99852799999999997</v>
      </c>
      <c r="Q3813">
        <v>2.9870029999999999E-2</v>
      </c>
      <c r="R3813">
        <v>4.527217E-2</v>
      </c>
      <c r="S3813">
        <v>3.01709</v>
      </c>
      <c r="T3813">
        <v>5.3979039999999999E-2</v>
      </c>
      <c r="U3813">
        <v>-0.3191986</v>
      </c>
      <c r="V3813">
        <v>-1.9302189999999999E-3</v>
      </c>
      <c r="W3813">
        <v>4.2548990000000002E-2</v>
      </c>
      <c r="X3813">
        <v>0.99909250000000005</v>
      </c>
      <c r="Y3813">
        <v>0.14821210000000001</v>
      </c>
      <c r="Z3813">
        <v>2.0960660000000002E-3</v>
      </c>
      <c r="AA3813">
        <v>0.98895339999999998</v>
      </c>
      <c r="AB3813">
        <v>28</v>
      </c>
      <c r="AC3813">
        <v>169.58510000000001</v>
      </c>
      <c r="AD3813">
        <v>3.0370339999999998</v>
      </c>
      <c r="AE3813">
        <v>-17.9666</v>
      </c>
      <c r="AF3813">
        <v>25.2969986111315</v>
      </c>
      <c r="AG3813">
        <v>3.0370339999999998</v>
      </c>
      <c r="AH3813">
        <v>168.592788517488</v>
      </c>
      <c r="AI3813">
        <v>88.979406862367796</v>
      </c>
      <c r="AJ3813">
        <v>81.466548757735197</v>
      </c>
      <c r="AK3813">
        <v>170.50715543446</v>
      </c>
      <c r="AL3813">
        <v>87.561386213222207</v>
      </c>
      <c r="AM3813">
        <v>90.1106937191892</v>
      </c>
      <c r="AN3813">
        <v>0.99999998292582803</v>
      </c>
    </row>
    <row r="3814" spans="1:40" x14ac:dyDescent="0.25">
      <c r="A3814" t="str">
        <f>"20190312160408818"</f>
        <v>20190312160408818</v>
      </c>
      <c r="B3814" t="str">
        <f>"1552377848808222"</f>
        <v>1552377848808222</v>
      </c>
      <c r="C3814" t="s">
        <v>40</v>
      </c>
      <c r="D3814">
        <v>5.1923940000000002</v>
      </c>
      <c r="E3814">
        <v>0.55653459999999999</v>
      </c>
      <c r="F3814" t="s">
        <v>55</v>
      </c>
      <c r="G3814">
        <v>-168.41569999999999</v>
      </c>
      <c r="H3814">
        <v>4.2770140000000003</v>
      </c>
      <c r="I3814">
        <v>195.07769999999999</v>
      </c>
      <c r="J3814">
        <v>-337.75119999999998</v>
      </c>
      <c r="K3814">
        <v>1.110088</v>
      </c>
      <c r="L3814">
        <v>212.9691</v>
      </c>
      <c r="M3814">
        <v>0.99897499999999995</v>
      </c>
      <c r="N3814">
        <v>0</v>
      </c>
      <c r="O3814">
        <v>4.3477620000000002E-2</v>
      </c>
      <c r="P3814">
        <v>0.99848040000000005</v>
      </c>
      <c r="Q3814">
        <v>3.0499849999999998E-2</v>
      </c>
      <c r="R3814">
        <v>4.590135E-2</v>
      </c>
      <c r="S3814">
        <v>3.0171199999999998</v>
      </c>
      <c r="T3814">
        <v>5.6343669999999998E-2</v>
      </c>
      <c r="U3814">
        <v>-0.31811519999999999</v>
      </c>
      <c r="V3814">
        <v>-2.451824E-3</v>
      </c>
      <c r="W3814">
        <v>4.3092079999999998E-2</v>
      </c>
      <c r="X3814">
        <v>0.99906810000000001</v>
      </c>
      <c r="Y3814">
        <v>0.1479647</v>
      </c>
      <c r="Z3814">
        <v>2.1876080000000002E-3</v>
      </c>
      <c r="AA3814">
        <v>0.98899020000000004</v>
      </c>
      <c r="AB3814">
        <v>28</v>
      </c>
      <c r="AC3814">
        <v>169.3355</v>
      </c>
      <c r="AD3814">
        <v>3.1669259999999899</v>
      </c>
      <c r="AE3814">
        <v>-17.891400000000001</v>
      </c>
      <c r="AF3814">
        <v>25.228641072292199</v>
      </c>
      <c r="AG3814">
        <v>3.1669259999999899</v>
      </c>
      <c r="AH3814">
        <v>168.33918434576699</v>
      </c>
      <c r="AI3814">
        <v>88.9341355407511</v>
      </c>
      <c r="AJ3814">
        <v>81.476636414165498</v>
      </c>
      <c r="AK3814">
        <v>170.24862624068999</v>
      </c>
      <c r="AL3814">
        <v>87.530240931432303</v>
      </c>
      <c r="AM3814">
        <v>90.140609919674503</v>
      </c>
      <c r="AN3814">
        <v>1.0000000036186301</v>
      </c>
    </row>
    <row r="3815" spans="1:40" x14ac:dyDescent="0.25">
      <c r="A3815" t="str">
        <f>"20190312160408832"</f>
        <v>20190312160408832</v>
      </c>
      <c r="B3815" t="str">
        <f>"1552377848828248"</f>
        <v>1552377848828248</v>
      </c>
      <c r="C3815" t="s">
        <v>40</v>
      </c>
      <c r="D3815">
        <v>5.2504080000000002</v>
      </c>
      <c r="E3815">
        <v>0.55613009999999996</v>
      </c>
      <c r="F3815" t="s">
        <v>55</v>
      </c>
      <c r="G3815">
        <v>-168.41550000000001</v>
      </c>
      <c r="H3815">
        <v>4.0716789999999996</v>
      </c>
      <c r="I3815">
        <v>195.4271</v>
      </c>
      <c r="J3815">
        <v>-337.58159999999998</v>
      </c>
      <c r="K3815">
        <v>1.110077</v>
      </c>
      <c r="L3815">
        <v>212.97659999999999</v>
      </c>
      <c r="M3815">
        <v>0.99897279999999999</v>
      </c>
      <c r="N3815">
        <v>0</v>
      </c>
      <c r="O3815">
        <v>4.3543320000000003E-2</v>
      </c>
      <c r="P3815">
        <v>0.99847160000000001</v>
      </c>
      <c r="Q3815">
        <v>3.0351690000000001E-2</v>
      </c>
      <c r="R3815">
        <v>4.6189599999999997E-2</v>
      </c>
      <c r="S3815">
        <v>3.017334</v>
      </c>
      <c r="T3815">
        <v>5.2772159999999999E-2</v>
      </c>
      <c r="U3815">
        <v>-0.31257629999999997</v>
      </c>
      <c r="V3815">
        <v>-2.6733709999999999E-3</v>
      </c>
      <c r="W3815">
        <v>4.2887229999999998E-2</v>
      </c>
      <c r="X3815">
        <v>0.99907639999999998</v>
      </c>
      <c r="Y3815">
        <v>0.14623059999999999</v>
      </c>
      <c r="Z3815">
        <v>2.0350279999999999E-3</v>
      </c>
      <c r="AA3815">
        <v>0.98924849999999998</v>
      </c>
      <c r="AB3815">
        <v>28</v>
      </c>
      <c r="AC3815">
        <v>169.16609999999901</v>
      </c>
      <c r="AD3815">
        <v>2.9616020000000001</v>
      </c>
      <c r="AE3815">
        <v>-17.549499999999899</v>
      </c>
      <c r="AF3815">
        <v>24.8919374227651</v>
      </c>
      <c r="AG3815">
        <v>2.9616020000000001</v>
      </c>
      <c r="AH3815">
        <v>168.19040279943101</v>
      </c>
      <c r="AI3815">
        <v>89.002071929414299</v>
      </c>
      <c r="AJ3815">
        <v>81.581417858790005</v>
      </c>
      <c r="AK3815">
        <v>170.04820266295101</v>
      </c>
      <c r="AL3815">
        <v>87.541988964414998</v>
      </c>
      <c r="AM3815">
        <v>90.153314110707498</v>
      </c>
      <c r="AN3815">
        <v>1.0000000572232599</v>
      </c>
    </row>
    <row r="3816" spans="1:40" x14ac:dyDescent="0.25">
      <c r="A3816" t="str">
        <f>"20190312160408851"</f>
        <v>20190312160408851</v>
      </c>
      <c r="B3816" t="str">
        <f>"1552377848848743"</f>
        <v>1552377848848743</v>
      </c>
      <c r="C3816" t="s">
        <v>40</v>
      </c>
      <c r="D3816">
        <v>5.2762289999999998</v>
      </c>
      <c r="E3816">
        <v>0.55581590000000003</v>
      </c>
      <c r="F3816" t="s">
        <v>55</v>
      </c>
      <c r="G3816">
        <v>-168.4153</v>
      </c>
      <c r="H3816">
        <v>3.7649029999999999</v>
      </c>
      <c r="I3816">
        <v>195.67930000000001</v>
      </c>
      <c r="J3816">
        <v>-337.33510000000001</v>
      </c>
      <c r="K3816">
        <v>1.110055</v>
      </c>
      <c r="L3816">
        <v>212.98750000000001</v>
      </c>
      <c r="M3816">
        <v>0.99897029999999998</v>
      </c>
      <c r="N3816">
        <v>0</v>
      </c>
      <c r="O3816">
        <v>4.3625440000000001E-2</v>
      </c>
      <c r="P3816">
        <v>0.99844480000000002</v>
      </c>
      <c r="Q3816">
        <v>3.0689930000000001E-2</v>
      </c>
      <c r="R3816">
        <v>4.6546190000000001E-2</v>
      </c>
      <c r="S3816">
        <v>3.0174259999999999</v>
      </c>
      <c r="T3816">
        <v>4.7354819999999999E-2</v>
      </c>
      <c r="U3816">
        <v>-0.30853269999999999</v>
      </c>
      <c r="V3816">
        <v>-2.9477420000000002E-3</v>
      </c>
      <c r="W3816">
        <v>4.314544E-2</v>
      </c>
      <c r="X3816">
        <v>0.99906439999999996</v>
      </c>
      <c r="Y3816">
        <v>0.14500260000000001</v>
      </c>
      <c r="Z3816">
        <v>1.8178890000000001E-3</v>
      </c>
      <c r="AA3816">
        <v>0.98942960000000002</v>
      </c>
      <c r="AB3816">
        <v>28</v>
      </c>
      <c r="AC3816">
        <v>168.91980000000001</v>
      </c>
      <c r="AD3816">
        <v>2.6548479999999999</v>
      </c>
      <c r="AE3816">
        <v>-17.308199999999999</v>
      </c>
      <c r="AF3816">
        <v>24.655464745665999</v>
      </c>
      <c r="AG3816">
        <v>2.6548479999999999</v>
      </c>
      <c r="AH3816">
        <v>167.962761970277</v>
      </c>
      <c r="AI3816">
        <v>89.104048365793204</v>
      </c>
      <c r="AJ3816">
        <v>81.649120435360899</v>
      </c>
      <c r="AK3816">
        <v>169.78347849072901</v>
      </c>
      <c r="AL3816">
        <v>87.527180641883504</v>
      </c>
      <c r="AM3816">
        <v>90.169050849572997</v>
      </c>
      <c r="AN3816">
        <v>0.99999994676152404</v>
      </c>
    </row>
    <row r="3817" spans="1:40" x14ac:dyDescent="0.25">
      <c r="A3817" t="str">
        <f>"20190312160408874"</f>
        <v>20190312160408874</v>
      </c>
      <c r="B3817" t="str">
        <f>"1552377848868264"</f>
        <v>1552377848868264</v>
      </c>
      <c r="C3817" t="s">
        <v>40</v>
      </c>
      <c r="D3817">
        <v>5.1932039999999997</v>
      </c>
      <c r="E3817">
        <v>0.55582719999999997</v>
      </c>
      <c r="F3817" t="s">
        <v>55</v>
      </c>
      <c r="G3817">
        <v>-168.4152</v>
      </c>
      <c r="H3817">
        <v>3.594713</v>
      </c>
      <c r="I3817">
        <v>195.91849999999999</v>
      </c>
      <c r="J3817">
        <v>-337.04730000000001</v>
      </c>
      <c r="K3817">
        <v>1.110031</v>
      </c>
      <c r="L3817">
        <v>213.0001</v>
      </c>
      <c r="M3817">
        <v>0.99896810000000003</v>
      </c>
      <c r="N3817">
        <v>0</v>
      </c>
      <c r="O3817">
        <v>4.3702930000000001E-2</v>
      </c>
      <c r="P3817">
        <v>0.99843289999999996</v>
      </c>
      <c r="Q3817">
        <v>3.0867229999999999E-2</v>
      </c>
      <c r="R3817">
        <v>4.6680069999999997E-2</v>
      </c>
      <c r="S3817">
        <v>3.0175480000000001</v>
      </c>
      <c r="T3817">
        <v>4.438603E-2</v>
      </c>
      <c r="U3817">
        <v>-0.30491639999999998</v>
      </c>
      <c r="V3817">
        <v>-3.0025160000000002E-3</v>
      </c>
      <c r="W3817">
        <v>4.3232140000000002E-2</v>
      </c>
      <c r="X3817">
        <v>0.99906059999999997</v>
      </c>
      <c r="Y3817">
        <v>0.14390449999999999</v>
      </c>
      <c r="Z3817">
        <v>1.6970450000000001E-3</v>
      </c>
      <c r="AA3817">
        <v>0.98959010000000003</v>
      </c>
      <c r="AB3817">
        <v>28</v>
      </c>
      <c r="AC3817">
        <v>168.63210000000001</v>
      </c>
      <c r="AD3817">
        <v>2.4846819999999901</v>
      </c>
      <c r="AE3817">
        <v>-17.081600000000002</v>
      </c>
      <c r="AF3817">
        <v>24.430307206247701</v>
      </c>
      <c r="AG3817">
        <v>2.4846819999999901</v>
      </c>
      <c r="AH3817">
        <v>167.688350783304</v>
      </c>
      <c r="AI3817">
        <v>89.159962510121701</v>
      </c>
      <c r="AJ3817">
        <v>81.710966370485394</v>
      </c>
      <c r="AK3817">
        <v>169.47683187756701</v>
      </c>
      <c r="AL3817">
        <v>87.522208733314699</v>
      </c>
      <c r="AM3817">
        <v>90.172192734645094</v>
      </c>
      <c r="AN3817">
        <v>1.00000005775183</v>
      </c>
    </row>
    <row r="3818" spans="1:40" x14ac:dyDescent="0.25">
      <c r="A3818" t="str">
        <f>"20190312160408887"</f>
        <v>20190312160408887</v>
      </c>
      <c r="B3818" t="str">
        <f>"1552377848879000"</f>
        <v>1552377848879000</v>
      </c>
      <c r="C3818" t="s">
        <v>40</v>
      </c>
      <c r="D3818">
        <v>5.0052570000000003</v>
      </c>
      <c r="E3818">
        <v>0.55578229999999995</v>
      </c>
      <c r="F3818" t="s">
        <v>55</v>
      </c>
      <c r="G3818">
        <v>-168.4152</v>
      </c>
      <c r="H3818">
        <v>3.5842070000000001</v>
      </c>
      <c r="I3818">
        <v>195.97059999999999</v>
      </c>
      <c r="J3818">
        <v>-336.8732</v>
      </c>
      <c r="K3818">
        <v>1.1100190000000001</v>
      </c>
      <c r="L3818">
        <v>213.0078</v>
      </c>
      <c r="M3818">
        <v>0.99896689999999999</v>
      </c>
      <c r="N3818">
        <v>0</v>
      </c>
      <c r="O3818">
        <v>4.374223E-2</v>
      </c>
      <c r="P3818">
        <v>0.99842180000000003</v>
      </c>
      <c r="Q3818">
        <v>3.1053379999999998E-2</v>
      </c>
      <c r="R3818">
        <v>4.6794710000000003E-2</v>
      </c>
      <c r="S3818">
        <v>3.0175779999999999</v>
      </c>
      <c r="T3818">
        <v>4.4274569999999999E-2</v>
      </c>
      <c r="U3818">
        <v>-0.30473329999999998</v>
      </c>
      <c r="V3818">
        <v>-3.0772909999999998E-3</v>
      </c>
      <c r="W3818">
        <v>4.3365050000000002E-2</v>
      </c>
      <c r="X3818">
        <v>0.99905460000000001</v>
      </c>
      <c r="Y3818">
        <v>0.14388299999999901</v>
      </c>
      <c r="Z3818">
        <v>1.69319E-3</v>
      </c>
      <c r="AA3818">
        <v>0.98959330000000001</v>
      </c>
      <c r="AB3818">
        <v>28</v>
      </c>
      <c r="AC3818">
        <v>168.458</v>
      </c>
      <c r="AD3818">
        <v>2.4741879999999998</v>
      </c>
      <c r="AE3818">
        <v>-17.037199999999999</v>
      </c>
      <c r="AF3818">
        <v>24.384971159378701</v>
      </c>
      <c r="AG3818">
        <v>2.4741879999999998</v>
      </c>
      <c r="AH3818">
        <v>167.51566445330801</v>
      </c>
      <c r="AI3818">
        <v>89.162633316489604</v>
      </c>
      <c r="AJ3818">
        <v>81.717724436651295</v>
      </c>
      <c r="AK3818">
        <v>169.29928015776201</v>
      </c>
      <c r="AL3818">
        <v>87.514586372898904</v>
      </c>
      <c r="AM3818">
        <v>90.176482075183102</v>
      </c>
      <c r="AN3818">
        <v>1.0000000455312701</v>
      </c>
    </row>
    <row r="3819" spans="1:40" x14ac:dyDescent="0.25">
      <c r="A3819" t="str">
        <f>"20190312160408906"</f>
        <v>20190312160408906</v>
      </c>
      <c r="B3819" t="str">
        <f>"1552377848898522"</f>
        <v>1552377848898522</v>
      </c>
      <c r="C3819" t="s">
        <v>40</v>
      </c>
      <c r="D3819">
        <v>5.0471890000000004</v>
      </c>
      <c r="E3819">
        <v>0.55563269999999998</v>
      </c>
      <c r="F3819" t="s">
        <v>55</v>
      </c>
      <c r="G3819">
        <v>-168.4151</v>
      </c>
      <c r="H3819">
        <v>3.5069050000000002</v>
      </c>
      <c r="I3819">
        <v>196.03559999999999</v>
      </c>
      <c r="J3819">
        <v>-336.62920000000003</v>
      </c>
      <c r="K3819">
        <v>1.1100110000000001</v>
      </c>
      <c r="L3819">
        <v>213.01849999999999</v>
      </c>
      <c r="M3819">
        <v>0.99896589999999996</v>
      </c>
      <c r="N3819">
        <v>0</v>
      </c>
      <c r="O3819">
        <v>4.3784869999999997E-2</v>
      </c>
      <c r="P3819">
        <v>0.99840810000000002</v>
      </c>
      <c r="Q3819">
        <v>3.1887350000000002E-2</v>
      </c>
      <c r="R3819">
        <v>4.6529109999999999E-2</v>
      </c>
      <c r="S3819">
        <v>3.0176699999999999</v>
      </c>
      <c r="T3819">
        <v>4.2937160000000002E-2</v>
      </c>
      <c r="U3819">
        <v>-0.30403140000000001</v>
      </c>
      <c r="V3819">
        <v>-2.7689759999999998E-3</v>
      </c>
      <c r="W3819">
        <v>4.4130120000000002E-2</v>
      </c>
      <c r="X3819">
        <v>0.99902190000000002</v>
      </c>
      <c r="Y3819">
        <v>0.1436955</v>
      </c>
      <c r="Z3819">
        <v>1.6412919999999999E-3</v>
      </c>
      <c r="AA3819">
        <v>0.98962059999999996</v>
      </c>
      <c r="AB3819">
        <v>28</v>
      </c>
      <c r="AC3819">
        <v>168.2141</v>
      </c>
      <c r="AD3819">
        <v>2.3968940000000001</v>
      </c>
      <c r="AE3819">
        <v>-16.982900000000001</v>
      </c>
      <c r="AF3819">
        <v>24.327506155160201</v>
      </c>
      <c r="AG3819">
        <v>2.3968940000000001</v>
      </c>
      <c r="AH3819">
        <v>167.27548546318499</v>
      </c>
      <c r="AI3819">
        <v>89.187609050438397</v>
      </c>
      <c r="AJ3819">
        <v>81.725272297775405</v>
      </c>
      <c r="AK3819">
        <v>169.05224249775799</v>
      </c>
      <c r="AL3819">
        <v>87.470708831712301</v>
      </c>
      <c r="AM3819">
        <v>90.158805559828394</v>
      </c>
      <c r="AN3819">
        <v>0.99999994569945505</v>
      </c>
    </row>
    <row r="3820" spans="1:40" x14ac:dyDescent="0.25">
      <c r="A3820" t="str">
        <f>"20190312160408930"</f>
        <v>20190312160408930</v>
      </c>
      <c r="B3820" t="str">
        <f>"1552377848919015"</f>
        <v>1552377848919015</v>
      </c>
      <c r="C3820" t="s">
        <v>40</v>
      </c>
      <c r="D3820">
        <v>5.2592619999999997</v>
      </c>
      <c r="E3820">
        <v>0.55469539999999995</v>
      </c>
      <c r="F3820" t="s">
        <v>55</v>
      </c>
      <c r="G3820">
        <v>-168.4151</v>
      </c>
      <c r="H3820">
        <v>3.463241</v>
      </c>
      <c r="I3820">
        <v>196.1027</v>
      </c>
      <c r="J3820">
        <v>-336.33679999999998</v>
      </c>
      <c r="K3820">
        <v>1.1099969999999999</v>
      </c>
      <c r="L3820">
        <v>213.03139999999999</v>
      </c>
      <c r="M3820">
        <v>0.99896529999999994</v>
      </c>
      <c r="N3820">
        <v>0</v>
      </c>
      <c r="O3820">
        <v>4.3819909999999997E-2</v>
      </c>
      <c r="P3820">
        <v>0.99839429999999996</v>
      </c>
      <c r="Q3820">
        <v>3.3259730000000001E-2</v>
      </c>
      <c r="R3820">
        <v>4.5857349999999998E-2</v>
      </c>
      <c r="S3820">
        <v>3.0175779999999999</v>
      </c>
      <c r="T3820">
        <v>4.2214990000000001E-2</v>
      </c>
      <c r="U3820">
        <v>-0.30345149999999999</v>
      </c>
      <c r="V3820">
        <v>-2.0623970000000001E-3</v>
      </c>
      <c r="W3820">
        <v>4.5429150000000001E-2</v>
      </c>
      <c r="X3820">
        <v>0.9989654</v>
      </c>
      <c r="Y3820">
        <v>0.1435456</v>
      </c>
      <c r="Z3820">
        <v>1.613195E-3</v>
      </c>
      <c r="AA3820">
        <v>0.98964240000000003</v>
      </c>
      <c r="AB3820">
        <v>28</v>
      </c>
      <c r="AC3820">
        <v>167.92169999999999</v>
      </c>
      <c r="AD3820">
        <v>2.3532440000000001</v>
      </c>
      <c r="AE3820">
        <v>-16.9286999999999</v>
      </c>
      <c r="AF3820">
        <v>24.266577780761899</v>
      </c>
      <c r="AG3820">
        <v>2.3532440000000001</v>
      </c>
      <c r="AH3820">
        <v>166.98604472160901</v>
      </c>
      <c r="AI3820">
        <v>89.201006483974794</v>
      </c>
      <c r="AJ3820">
        <v>81.731600786847395</v>
      </c>
      <c r="AK3820">
        <v>168.75646265041399</v>
      </c>
      <c r="AL3820">
        <v>87.396205202772705</v>
      </c>
      <c r="AM3820">
        <v>90.118288857545807</v>
      </c>
      <c r="AN3820">
        <v>0.99999996577413297</v>
      </c>
    </row>
    <row r="3821" spans="1:40" x14ac:dyDescent="0.25">
      <c r="A3821" t="str">
        <f>"20190312160408952"</f>
        <v>20190312160408952</v>
      </c>
      <c r="B3821" t="str">
        <f>"1552377848948295"</f>
        <v>1552377848948295</v>
      </c>
      <c r="C3821" t="s">
        <v>40</v>
      </c>
      <c r="D3821">
        <v>5.2121430000000002</v>
      </c>
      <c r="E3821">
        <v>0.55251749999999999</v>
      </c>
      <c r="F3821" t="s">
        <v>55</v>
      </c>
      <c r="G3821">
        <v>-168.41489999999999</v>
      </c>
      <c r="H3821">
        <v>3.2441650000000002</v>
      </c>
      <c r="I3821">
        <v>196.4452</v>
      </c>
      <c r="J3821">
        <v>-336.0598</v>
      </c>
      <c r="K3821">
        <v>1.1099810000000001</v>
      </c>
      <c r="L3821">
        <v>213.04349999999999</v>
      </c>
      <c r="M3821">
        <v>0.99896510000000005</v>
      </c>
      <c r="N3821">
        <v>0</v>
      </c>
      <c r="O3821">
        <v>4.3840610000000002E-2</v>
      </c>
      <c r="P3821">
        <v>0.99840039999999997</v>
      </c>
      <c r="Q3821">
        <v>3.357516E-2</v>
      </c>
      <c r="R3821">
        <v>4.5492449999999997E-2</v>
      </c>
      <c r="S3821">
        <v>3.0172119999999998</v>
      </c>
      <c r="T3821">
        <v>3.8347239999999998E-2</v>
      </c>
      <c r="U3821">
        <v>-0.29801939999999999</v>
      </c>
      <c r="V3821">
        <v>-1.675586E-3</v>
      </c>
      <c r="W3821">
        <v>4.5683040000000001E-2</v>
      </c>
      <c r="X3821">
        <v>0.99895460000000003</v>
      </c>
      <c r="Y3821">
        <v>0.1418169</v>
      </c>
      <c r="Z3821">
        <v>1.4550120000000001E-3</v>
      </c>
      <c r="AA3821">
        <v>0.98989179999999999</v>
      </c>
      <c r="AB3821">
        <v>28</v>
      </c>
      <c r="AC3821">
        <v>167.64490000000001</v>
      </c>
      <c r="AD3821">
        <v>2.1341839999999999</v>
      </c>
      <c r="AE3821">
        <v>-16.598299999999899</v>
      </c>
      <c r="AF3821">
        <v>23.928692669426201</v>
      </c>
      <c r="AG3821">
        <v>2.1341839999999999</v>
      </c>
      <c r="AH3821">
        <v>166.72920090924401</v>
      </c>
      <c r="AI3821">
        <v>89.274074030516999</v>
      </c>
      <c r="AJ3821">
        <v>81.832776801152406</v>
      </c>
      <c r="AK3821">
        <v>168.451071560998</v>
      </c>
      <c r="AL3821">
        <v>87.381643401161995</v>
      </c>
      <c r="AM3821">
        <v>90.096104383499096</v>
      </c>
      <c r="AN3821">
        <v>1.0000000202966199</v>
      </c>
    </row>
    <row r="3822" spans="1:40" x14ac:dyDescent="0.25">
      <c r="A3822" t="str">
        <f>"20190312160408974"</f>
        <v>20190312160408974</v>
      </c>
      <c r="B3822" t="str">
        <f>"1552377848968792"</f>
        <v>1552377848968792</v>
      </c>
      <c r="C3822" t="s">
        <v>40</v>
      </c>
      <c r="D3822">
        <v>5.8590249999999999</v>
      </c>
      <c r="E3822">
        <v>0.55116379999999998</v>
      </c>
      <c r="F3822" t="s">
        <v>55</v>
      </c>
      <c r="G3822">
        <v>-168.4145</v>
      </c>
      <c r="H3822">
        <v>2.9305129999999999</v>
      </c>
      <c r="I3822">
        <v>197.38509999999999</v>
      </c>
      <c r="J3822">
        <v>-335.7792</v>
      </c>
      <c r="K3822">
        <v>1.1099669999999999</v>
      </c>
      <c r="L3822">
        <v>213.05590000000001</v>
      </c>
      <c r="M3822">
        <v>0.9989652</v>
      </c>
      <c r="N3822">
        <v>0</v>
      </c>
      <c r="O3822">
        <v>4.3853740000000002E-2</v>
      </c>
      <c r="P3822">
        <v>0.9984246</v>
      </c>
      <c r="Q3822">
        <v>3.360672E-2</v>
      </c>
      <c r="R3822">
        <v>4.4937060000000001E-2</v>
      </c>
      <c r="S3822">
        <v>3.0165709999999999</v>
      </c>
      <c r="T3822">
        <v>3.2758830000000003E-2</v>
      </c>
      <c r="U3822">
        <v>-0.28175349999999999</v>
      </c>
      <c r="V3822">
        <v>-1.106363E-3</v>
      </c>
      <c r="W3822">
        <v>4.5658749999999998E-2</v>
      </c>
      <c r="X3822">
        <v>0.99895650000000002</v>
      </c>
      <c r="Y3822">
        <v>0.13656399999999999</v>
      </c>
      <c r="Z3822">
        <v>1.2152350000000001E-3</v>
      </c>
      <c r="AA3822">
        <v>0.99063049999999997</v>
      </c>
      <c r="AB3822">
        <v>28</v>
      </c>
      <c r="AC3822">
        <v>167.3647</v>
      </c>
      <c r="AD3822">
        <v>1.820546</v>
      </c>
      <c r="AE3822">
        <v>-15.6708</v>
      </c>
      <c r="AF3822">
        <v>22.993126496095002</v>
      </c>
      <c r="AG3822">
        <v>1.820546</v>
      </c>
      <c r="AH3822">
        <v>166.49686274312501</v>
      </c>
      <c r="AI3822">
        <v>89.379418347493598</v>
      </c>
      <c r="AJ3822">
        <v>82.137217122340004</v>
      </c>
      <c r="AK3822">
        <v>168.08689287718599</v>
      </c>
      <c r="AL3822">
        <v>87.383036561201195</v>
      </c>
      <c r="AM3822">
        <v>90.063456121053704</v>
      </c>
      <c r="AN3822">
        <v>1.00000001719145</v>
      </c>
    </row>
    <row r="3823" spans="1:40" x14ac:dyDescent="0.25">
      <c r="A3823" t="str">
        <f>"20190312160408997"</f>
        <v>20190312160408997</v>
      </c>
      <c r="B3823" t="str">
        <f>"1552377848988311"</f>
        <v>1552377848988311</v>
      </c>
      <c r="C3823" t="s">
        <v>40</v>
      </c>
      <c r="D3823">
        <v>5.2107260000000002</v>
      </c>
      <c r="E3823">
        <v>0.54994569999999998</v>
      </c>
      <c r="F3823" t="s">
        <v>55</v>
      </c>
      <c r="G3823">
        <v>-168.41419999999999</v>
      </c>
      <c r="H3823">
        <v>2.820354</v>
      </c>
      <c r="I3823">
        <v>197.93379999999999</v>
      </c>
      <c r="J3823">
        <v>-335.48919999999998</v>
      </c>
      <c r="K3823">
        <v>1.1099559999999999</v>
      </c>
      <c r="L3823">
        <v>213.0686</v>
      </c>
      <c r="M3823">
        <v>0.9989654</v>
      </c>
      <c r="N3823">
        <v>0</v>
      </c>
      <c r="O3823">
        <v>4.3862569999999997E-2</v>
      </c>
      <c r="P3823">
        <v>0.99843099999999996</v>
      </c>
      <c r="Q3823">
        <v>3.3836970000000001E-2</v>
      </c>
      <c r="R3823">
        <v>4.4620170000000001E-2</v>
      </c>
      <c r="S3823">
        <v>3.0159910000000001</v>
      </c>
      <c r="T3823">
        <v>3.0822519999999999E-2</v>
      </c>
      <c r="U3823">
        <v>-0.27250669999999999</v>
      </c>
      <c r="V3823">
        <v>-7.7958729999999998E-4</v>
      </c>
      <c r="W3823">
        <v>4.5838329999999997E-2</v>
      </c>
      <c r="X3823">
        <v>0.99894859999999996</v>
      </c>
      <c r="Y3823">
        <v>0.13357929999999901</v>
      </c>
      <c r="Z3823">
        <v>1.1286499999999999E-3</v>
      </c>
      <c r="AA3823">
        <v>0.99103750000000002</v>
      </c>
      <c r="AB3823">
        <v>28</v>
      </c>
      <c r="AC3823">
        <v>167.07499999999999</v>
      </c>
      <c r="AD3823">
        <v>1.7103979999999901</v>
      </c>
      <c r="AE3823">
        <v>-15.1348</v>
      </c>
      <c r="AF3823">
        <v>22.446765779490999</v>
      </c>
      <c r="AG3823">
        <v>1.7103979999999901</v>
      </c>
      <c r="AH3823">
        <v>166.23300060943799</v>
      </c>
      <c r="AI3823">
        <v>89.415796977098097</v>
      </c>
      <c r="AJ3823">
        <v>82.309754554454798</v>
      </c>
      <c r="AK3823">
        <v>167.75038970713399</v>
      </c>
      <c r="AL3823">
        <v>87.372736642253898</v>
      </c>
      <c r="AM3823">
        <v>90.044714065352295</v>
      </c>
      <c r="AN3823">
        <v>1.0000000328477501</v>
      </c>
    </row>
    <row r="3824" spans="1:40" x14ac:dyDescent="0.25">
      <c r="A3824" t="str">
        <f>"20190312160409019"</f>
        <v>20190312160409019</v>
      </c>
      <c r="B3824" t="str">
        <f>"1552377849008807"</f>
        <v>1552377849008807</v>
      </c>
      <c r="C3824" t="s">
        <v>40</v>
      </c>
      <c r="D3824">
        <v>5.2845829999999996</v>
      </c>
      <c r="E3824">
        <v>0.54885410000000001</v>
      </c>
      <c r="F3824" t="s">
        <v>55</v>
      </c>
      <c r="G3824">
        <v>-168.41409999999999</v>
      </c>
      <c r="H3824">
        <v>2.7523209999999998</v>
      </c>
      <c r="I3824">
        <v>198.44540000000001</v>
      </c>
      <c r="J3824">
        <v>-335.21910000000003</v>
      </c>
      <c r="K3824">
        <v>1.1099509999999999</v>
      </c>
      <c r="L3824">
        <v>213.0805</v>
      </c>
      <c r="M3824">
        <v>0.99896569999999996</v>
      </c>
      <c r="N3824">
        <v>0</v>
      </c>
      <c r="O3824">
        <v>4.3867730000000001E-2</v>
      </c>
      <c r="P3824">
        <v>0.9984151</v>
      </c>
      <c r="Q3824">
        <v>3.4133190000000001E-2</v>
      </c>
      <c r="R3824">
        <v>4.4751800000000001E-2</v>
      </c>
      <c r="S3824">
        <v>3.0155029999999998</v>
      </c>
      <c r="T3824">
        <v>2.9643300000000001E-2</v>
      </c>
      <c r="U3824">
        <v>-0.26393129999999998</v>
      </c>
      <c r="V3824">
        <v>-9.0675809999999995E-4</v>
      </c>
      <c r="W3824">
        <v>4.6093170000000003E-2</v>
      </c>
      <c r="X3824">
        <v>0.99893670000000001</v>
      </c>
      <c r="Y3824">
        <v>0.1308029</v>
      </c>
      <c r="Z3824">
        <v>1.0722080000000001E-3</v>
      </c>
      <c r="AA3824">
        <v>0.99140779999999995</v>
      </c>
      <c r="AB3824">
        <v>28</v>
      </c>
      <c r="AC3824">
        <v>166.80500000000001</v>
      </c>
      <c r="AD3824">
        <v>1.6423699999999899</v>
      </c>
      <c r="AE3824">
        <v>-14.6350999999999</v>
      </c>
      <c r="AF3824">
        <v>21.936779570442901</v>
      </c>
      <c r="AG3824">
        <v>1.6423699999999899</v>
      </c>
      <c r="AH3824">
        <v>165.98637865514999</v>
      </c>
      <c r="AI3824">
        <v>89.437985862197905</v>
      </c>
      <c r="AJ3824">
        <v>82.471412826923995</v>
      </c>
      <c r="AK3824">
        <v>167.43774238859601</v>
      </c>
      <c r="AL3824">
        <v>87.358119761399095</v>
      </c>
      <c r="AM3824">
        <v>90.052008698749404</v>
      </c>
      <c r="AN3824">
        <v>0.99999996656889401</v>
      </c>
    </row>
    <row r="3825" spans="1:40" x14ac:dyDescent="0.25">
      <c r="A3825" t="str">
        <f>"20190312160409040"</f>
        <v>20190312160409040</v>
      </c>
      <c r="B3825" t="str">
        <f>"1552377849028833"</f>
        <v>1552377849028833</v>
      </c>
      <c r="C3825" t="s">
        <v>40</v>
      </c>
      <c r="D3825">
        <v>5.4655290000000001</v>
      </c>
      <c r="E3825">
        <v>0.54789639999999995</v>
      </c>
      <c r="F3825" t="s">
        <v>55</v>
      </c>
      <c r="G3825">
        <v>-168.41390000000001</v>
      </c>
      <c r="H3825">
        <v>2.7173389999999999</v>
      </c>
      <c r="I3825">
        <v>198.99109999999999</v>
      </c>
      <c r="J3825">
        <v>-334.93860000000001</v>
      </c>
      <c r="K3825">
        <v>1.1099479999999999</v>
      </c>
      <c r="L3825">
        <v>213.09280000000001</v>
      </c>
      <c r="M3825">
        <v>0.99896600000000002</v>
      </c>
      <c r="N3825">
        <v>0</v>
      </c>
      <c r="O3825">
        <v>4.3871029999999998E-2</v>
      </c>
      <c r="P3825">
        <v>0.99842549999999997</v>
      </c>
      <c r="Q3825">
        <v>3.3763300000000003E-2</v>
      </c>
      <c r="R3825">
        <v>4.479491E-2</v>
      </c>
      <c r="S3825">
        <v>3.015228</v>
      </c>
      <c r="T3825">
        <v>2.9056309999999998E-2</v>
      </c>
      <c r="U3825">
        <v>-0.25468439999999998</v>
      </c>
      <c r="V3825">
        <v>-9.4535880000000004E-4</v>
      </c>
      <c r="W3825">
        <v>4.5685900000000002E-2</v>
      </c>
      <c r="X3825">
        <v>0.99895540000000005</v>
      </c>
      <c r="Y3825">
        <v>0.12779589999999999</v>
      </c>
      <c r="Z3825">
        <v>1.036772E-3</v>
      </c>
      <c r="AA3825">
        <v>0.99180000000000001</v>
      </c>
      <c r="AB3825">
        <v>28</v>
      </c>
      <c r="AC3825">
        <v>166.5247</v>
      </c>
      <c r="AD3825">
        <v>1.607391</v>
      </c>
      <c r="AE3825">
        <v>-14.101699999999999</v>
      </c>
      <c r="AF3825">
        <v>21.3922718461674</v>
      </c>
      <c r="AG3825">
        <v>1.607391</v>
      </c>
      <c r="AH3825">
        <v>165.730316066624</v>
      </c>
      <c r="AI3825">
        <v>89.448886997156904</v>
      </c>
      <c r="AJ3825">
        <v>82.644997151600094</v>
      </c>
      <c r="AK3825">
        <v>167.11298771822101</v>
      </c>
      <c r="AL3825">
        <v>87.381479292901503</v>
      </c>
      <c r="AM3825">
        <v>90.054221693176601</v>
      </c>
      <c r="AN3825">
        <v>0.99999999317561505</v>
      </c>
    </row>
    <row r="3826" spans="1:40" x14ac:dyDescent="0.25">
      <c r="A3826" t="str">
        <f>"20190312160409063"</f>
        <v>20190312160409063</v>
      </c>
      <c r="B3826" t="str">
        <f>"1552377849058114"</f>
        <v>1552377849058114</v>
      </c>
      <c r="C3826" t="s">
        <v>40</v>
      </c>
      <c r="D3826">
        <v>5.366492</v>
      </c>
      <c r="E3826">
        <v>0.54648330000000001</v>
      </c>
      <c r="F3826" t="s">
        <v>55</v>
      </c>
      <c r="G3826">
        <v>-168.41370000000001</v>
      </c>
      <c r="H3826">
        <v>2.57199</v>
      </c>
      <c r="I3826">
        <v>199.45050000000001</v>
      </c>
      <c r="J3826">
        <v>-334.65249999999997</v>
      </c>
      <c r="K3826">
        <v>1.109944</v>
      </c>
      <c r="L3826">
        <v>213.1054</v>
      </c>
      <c r="M3826">
        <v>0.99896629999999997</v>
      </c>
      <c r="N3826">
        <v>0</v>
      </c>
      <c r="O3826">
        <v>4.3872880000000003E-2</v>
      </c>
      <c r="P3826">
        <v>0.99844029999999995</v>
      </c>
      <c r="Q3826">
        <v>3.3518020000000003E-2</v>
      </c>
      <c r="R3826">
        <v>4.4648510000000002E-2</v>
      </c>
      <c r="S3826">
        <v>3.014923</v>
      </c>
      <c r="T3826">
        <v>2.6470779999999999E-2</v>
      </c>
      <c r="U3826">
        <v>-0.24699399999999999</v>
      </c>
      <c r="V3826">
        <v>-7.9675089999999905E-4</v>
      </c>
      <c r="W3826">
        <v>4.5407240000000001E-2</v>
      </c>
      <c r="X3826">
        <v>0.99896819999999997</v>
      </c>
      <c r="Y3826">
        <v>0.12529469999999901</v>
      </c>
      <c r="Z3826">
        <v>9.3376410000000005E-4</v>
      </c>
      <c r="AA3826">
        <v>0.99211910000000003</v>
      </c>
      <c r="AB3826">
        <v>28</v>
      </c>
      <c r="AC3826">
        <v>166.238799999999</v>
      </c>
      <c r="AD3826">
        <v>1.462046</v>
      </c>
      <c r="AE3826">
        <v>-13.6548999999999</v>
      </c>
      <c r="AF3826">
        <v>20.934032737836201</v>
      </c>
      <c r="AG3826">
        <v>1.462046</v>
      </c>
      <c r="AH3826">
        <v>165.46687441423299</v>
      </c>
      <c r="AI3826">
        <v>89.497757639978005</v>
      </c>
      <c r="AJ3826">
        <v>82.789535000319006</v>
      </c>
      <c r="AK3826">
        <v>166.79225951341601</v>
      </c>
      <c r="AL3826">
        <v>87.397461831011299</v>
      </c>
      <c r="AM3826">
        <v>90.045697605002303</v>
      </c>
      <c r="AN3826">
        <v>0.99999995843382605</v>
      </c>
    </row>
    <row r="3827" spans="1:40" x14ac:dyDescent="0.25">
      <c r="A3827" t="str">
        <f>"20190312160409098"</f>
        <v>20190312160409098</v>
      </c>
      <c r="B3827" t="str">
        <f>"1552377849088372"</f>
        <v>1552377849088372</v>
      </c>
      <c r="C3827" t="s">
        <v>40</v>
      </c>
      <c r="D3827">
        <v>5.3785470000000002</v>
      </c>
      <c r="E3827">
        <v>0.54504229999999998</v>
      </c>
      <c r="F3827" t="s">
        <v>55</v>
      </c>
      <c r="G3827">
        <v>-168.4134</v>
      </c>
      <c r="H3827">
        <v>2.3026620000000002</v>
      </c>
      <c r="I3827">
        <v>200.08879999999999</v>
      </c>
      <c r="J3827">
        <v>-334.22070000000002</v>
      </c>
      <c r="K3827">
        <v>1.109937</v>
      </c>
      <c r="L3827">
        <v>213.12440000000001</v>
      </c>
      <c r="M3827">
        <v>0.99896669999999999</v>
      </c>
      <c r="N3827">
        <v>0</v>
      </c>
      <c r="O3827">
        <v>4.387394E-2</v>
      </c>
      <c r="P3827">
        <v>0.99841590000000002</v>
      </c>
      <c r="Q3827">
        <v>3.4013210000000002E-2</v>
      </c>
      <c r="R3827">
        <v>4.4817349999999999E-2</v>
      </c>
      <c r="S3827">
        <v>3.014526</v>
      </c>
      <c r="T3827">
        <v>2.1628979999999999E-2</v>
      </c>
      <c r="U3827">
        <v>-0.2360382</v>
      </c>
      <c r="V3827">
        <v>-9.6488089999999997E-4</v>
      </c>
      <c r="W3827">
        <v>4.5860720000000001E-2</v>
      </c>
      <c r="X3827">
        <v>0.99894740000000004</v>
      </c>
      <c r="Y3827">
        <v>0.1217251</v>
      </c>
      <c r="Z3827">
        <v>7.5039880000000005E-4</v>
      </c>
      <c r="AA3827">
        <v>0.99256350000000004</v>
      </c>
      <c r="AB3827">
        <v>28</v>
      </c>
      <c r="AC3827">
        <v>165.8073</v>
      </c>
      <c r="AD3827">
        <v>1.19272499999999</v>
      </c>
      <c r="AE3827">
        <v>-13.035600000000001</v>
      </c>
      <c r="AF3827">
        <v>20.2971331212743</v>
      </c>
      <c r="AG3827">
        <v>1.19272499999999</v>
      </c>
      <c r="AH3827">
        <v>165.06716518230701</v>
      </c>
      <c r="AI3827">
        <v>89.589099989590196</v>
      </c>
      <c r="AJ3827">
        <v>82.989935337559203</v>
      </c>
      <c r="AK3827">
        <v>166.31465728308899</v>
      </c>
      <c r="AL3827">
        <v>87.371452411526803</v>
      </c>
      <c r="AM3827">
        <v>90.055341838930005</v>
      </c>
      <c r="AN3827">
        <v>1.00000002230041</v>
      </c>
    </row>
    <row r="3828" spans="1:40" x14ac:dyDescent="0.25">
      <c r="A3828" t="str">
        <f>"20190312160409120"</f>
        <v>20190312160409120</v>
      </c>
      <c r="B3828" t="str">
        <f>"1552377849108865"</f>
        <v>1552377849108865</v>
      </c>
      <c r="C3828" t="s">
        <v>40</v>
      </c>
      <c r="D3828">
        <v>5.6276000000000002</v>
      </c>
      <c r="E3828">
        <v>0.544234</v>
      </c>
      <c r="F3828" t="s">
        <v>55</v>
      </c>
      <c r="G3828">
        <v>-168.41299999999899</v>
      </c>
      <c r="H3828">
        <v>2.0209890000000001</v>
      </c>
      <c r="I3828">
        <v>200.78579999999999</v>
      </c>
      <c r="J3828">
        <v>-333.9402</v>
      </c>
      <c r="K3828">
        <v>1.109934</v>
      </c>
      <c r="L3828">
        <v>213.13669999999999</v>
      </c>
      <c r="M3828">
        <v>0.99896700000000005</v>
      </c>
      <c r="N3828">
        <v>0</v>
      </c>
      <c r="O3828">
        <v>4.3873889999999999E-2</v>
      </c>
      <c r="P3828">
        <v>0.99841219999999997</v>
      </c>
      <c r="Q3828">
        <v>3.4179689999999999E-2</v>
      </c>
      <c r="R3828">
        <v>4.4776629999999998E-2</v>
      </c>
      <c r="S3828">
        <v>3.0142519999999999</v>
      </c>
      <c r="T3828">
        <v>1.6562819999999999E-2</v>
      </c>
      <c r="U3828">
        <v>-0.22430420000000001</v>
      </c>
      <c r="V3828">
        <v>-9.2438630000000002E-4</v>
      </c>
      <c r="W3828">
        <v>4.6004089999999997E-2</v>
      </c>
      <c r="X3828">
        <v>0.99894079999999996</v>
      </c>
      <c r="Y3828">
        <v>0.1178915</v>
      </c>
      <c r="Z3828">
        <v>5.6424980000000001E-4</v>
      </c>
      <c r="AA3828">
        <v>0.99302630000000003</v>
      </c>
      <c r="AB3828">
        <v>28</v>
      </c>
      <c r="AC3828">
        <v>165.52719999999999</v>
      </c>
      <c r="AD3828">
        <v>0.91105499999999995</v>
      </c>
      <c r="AE3828">
        <v>-12.3508999999999</v>
      </c>
      <c r="AF3828">
        <v>19.601245501533501</v>
      </c>
      <c r="AG3828">
        <v>0.91105499999999995</v>
      </c>
      <c r="AH3828">
        <v>164.82090243056101</v>
      </c>
      <c r="AI3828">
        <v>89.685514249499903</v>
      </c>
      <c r="AJ3828">
        <v>83.217980433865506</v>
      </c>
      <c r="AK3828">
        <v>165.98484486376799</v>
      </c>
      <c r="AL3828">
        <v>87.363229115387696</v>
      </c>
      <c r="AM3828">
        <v>90.053019576847902</v>
      </c>
      <c r="AN3828">
        <v>0.99999997634569904</v>
      </c>
    </row>
    <row r="3829" spans="1:40" x14ac:dyDescent="0.25">
      <c r="A3829" t="str">
        <f>"20190312160409141"</f>
        <v>20190312160409141</v>
      </c>
      <c r="B3829" t="str">
        <f>"1552377849138650"</f>
        <v>1552377849138650</v>
      </c>
      <c r="C3829" t="s">
        <v>40</v>
      </c>
      <c r="D3829">
        <v>5.3035949999999996</v>
      </c>
      <c r="E3829">
        <v>0.54326339999999995</v>
      </c>
      <c r="F3829" t="s">
        <v>55</v>
      </c>
      <c r="G3829">
        <v>-168.41290000000001</v>
      </c>
      <c r="H3829">
        <v>1.8444609999999999</v>
      </c>
      <c r="I3829">
        <v>201.167</v>
      </c>
      <c r="J3829">
        <v>-333.65949999999998</v>
      </c>
      <c r="K3829">
        <v>1.1099319999999999</v>
      </c>
      <c r="L3829">
        <v>213.149</v>
      </c>
      <c r="M3829">
        <v>0.9989673</v>
      </c>
      <c r="N3829">
        <v>0</v>
      </c>
      <c r="O3829">
        <v>4.3873179999999998E-2</v>
      </c>
      <c r="P3829">
        <v>0.99839869999999997</v>
      </c>
      <c r="Q3829">
        <v>3.4173540000000002E-2</v>
      </c>
      <c r="R3829">
        <v>4.5082369999999997E-2</v>
      </c>
      <c r="S3829">
        <v>3.0140989999999999</v>
      </c>
      <c r="T3829">
        <v>1.3375639999999999E-2</v>
      </c>
      <c r="U3829">
        <v>-0.2179565</v>
      </c>
      <c r="V3829">
        <v>-1.231146E-3</v>
      </c>
      <c r="W3829">
        <v>4.5978850000000002E-2</v>
      </c>
      <c r="X3829">
        <v>0.99894170000000004</v>
      </c>
      <c r="Y3829">
        <v>0.115815</v>
      </c>
      <c r="Z3829">
        <v>4.511238E-4</v>
      </c>
      <c r="AA3829">
        <v>0.99327069999999995</v>
      </c>
      <c r="AB3829">
        <v>28</v>
      </c>
      <c r="AC3829">
        <v>165.24659999999901</v>
      </c>
      <c r="AD3829">
        <v>0.73452899999999999</v>
      </c>
      <c r="AE3829">
        <v>-11.981999999999999</v>
      </c>
      <c r="AF3829">
        <v>19.2204827206874</v>
      </c>
      <c r="AG3829">
        <v>0.73452899999999999</v>
      </c>
      <c r="AH3829">
        <v>164.55850371722801</v>
      </c>
      <c r="AI3829">
        <v>89.745981095329796</v>
      </c>
      <c r="AJ3829">
        <v>83.338021219107105</v>
      </c>
      <c r="AK3829">
        <v>165.678808646492</v>
      </c>
      <c r="AL3829">
        <v>87.364676974319593</v>
      </c>
      <c r="AM3829">
        <v>90.070614165020302</v>
      </c>
      <c r="AN3829">
        <v>1.00000004518334</v>
      </c>
    </row>
    <row r="3830" spans="1:40" x14ac:dyDescent="0.25">
      <c r="A3830" t="str">
        <f>"20190312160409165"</f>
        <v>20190312160409165</v>
      </c>
      <c r="B3830" t="str">
        <f>"1552377849158171"</f>
        <v>1552377849158171</v>
      </c>
      <c r="C3830" t="s">
        <v>40</v>
      </c>
      <c r="D3830">
        <v>5.3501219999999998</v>
      </c>
      <c r="E3830">
        <v>0.54267650000000001</v>
      </c>
      <c r="F3830" t="s">
        <v>55</v>
      </c>
      <c r="G3830">
        <v>-168.4126</v>
      </c>
      <c r="H3830">
        <v>1.6990069999999999</v>
      </c>
      <c r="I3830">
        <v>201.679</v>
      </c>
      <c r="J3830">
        <v>-333.3723</v>
      </c>
      <c r="K3830">
        <v>1.109926</v>
      </c>
      <c r="L3830">
        <v>213.1617</v>
      </c>
      <c r="M3830">
        <v>0.99896759999999996</v>
      </c>
      <c r="N3830">
        <v>0</v>
      </c>
      <c r="O3830">
        <v>4.3872269999999998E-2</v>
      </c>
      <c r="P3830">
        <v>0.99837469999999995</v>
      </c>
      <c r="Q3830">
        <v>3.4498639999999997E-2</v>
      </c>
      <c r="R3830">
        <v>4.5364219999999997E-2</v>
      </c>
      <c r="S3830">
        <v>3.0138850000000001</v>
      </c>
      <c r="T3830">
        <v>1.074457E-2</v>
      </c>
      <c r="U3830">
        <v>-0.209198</v>
      </c>
      <c r="V3830">
        <v>-1.5150179999999999E-3</v>
      </c>
      <c r="W3830">
        <v>4.628608E-2</v>
      </c>
      <c r="X3830">
        <v>0.99892709999999996</v>
      </c>
      <c r="Y3830">
        <v>0.11294709999999999</v>
      </c>
      <c r="Z3830">
        <v>3.57337E-4</v>
      </c>
      <c r="AA3830">
        <v>0.99360099999999996</v>
      </c>
      <c r="AB3830">
        <v>28</v>
      </c>
      <c r="AC3830">
        <v>164.9597</v>
      </c>
      <c r="AD3830">
        <v>0.58908099999999997</v>
      </c>
      <c r="AE3830">
        <v>-11.4826999999999</v>
      </c>
      <c r="AF3830">
        <v>18.709064271175698</v>
      </c>
      <c r="AG3830">
        <v>0.58908099999999997</v>
      </c>
      <c r="AH3830">
        <v>164.29495402427699</v>
      </c>
      <c r="AI3830">
        <v>89.795885511414596</v>
      </c>
      <c r="AJ3830">
        <v>83.503436253152998</v>
      </c>
      <c r="AK3830">
        <v>165.35781814044</v>
      </c>
      <c r="AL3830">
        <v>87.347055174609807</v>
      </c>
      <c r="AM3830">
        <v>90.086897302846594</v>
      </c>
      <c r="AN3830">
        <v>1.0000000237978499</v>
      </c>
    </row>
    <row r="3831" spans="1:40" x14ac:dyDescent="0.25">
      <c r="A3831" t="str">
        <f>"20190312160409186"</f>
        <v>20190312160409186</v>
      </c>
      <c r="B3831" t="str">
        <f>"1552377849178666"</f>
        <v>1552377849178666</v>
      </c>
      <c r="C3831" t="s">
        <v>40</v>
      </c>
      <c r="D3831">
        <v>5.5243599999999997</v>
      </c>
      <c r="E3831">
        <v>0.54205219999999998</v>
      </c>
      <c r="F3831" t="s">
        <v>55</v>
      </c>
      <c r="G3831">
        <v>-168.41249999999999</v>
      </c>
      <c r="H3831">
        <v>1.7232860000000001</v>
      </c>
      <c r="I3831">
        <v>202.00839999999999</v>
      </c>
      <c r="J3831">
        <v>-333.09030000000001</v>
      </c>
      <c r="K3831">
        <v>1.1099220000000001</v>
      </c>
      <c r="L3831">
        <v>213.17400000000001</v>
      </c>
      <c r="M3831">
        <v>0.99896759999999996</v>
      </c>
      <c r="N3831">
        <v>0</v>
      </c>
      <c r="O3831">
        <v>4.3871710000000001E-2</v>
      </c>
      <c r="P3831">
        <v>0.99834520000000004</v>
      </c>
      <c r="Q3831">
        <v>3.4507629999999997E-2</v>
      </c>
      <c r="R3831">
        <v>4.6002700000000001E-2</v>
      </c>
      <c r="S3831">
        <v>3.013763</v>
      </c>
      <c r="T3831">
        <v>1.1206509999999999E-2</v>
      </c>
      <c r="U3831">
        <v>-0.2037659</v>
      </c>
      <c r="V3831">
        <v>-2.1542470000000002E-3</v>
      </c>
      <c r="W3831">
        <v>4.6280370000000001E-2</v>
      </c>
      <c r="X3831">
        <v>0.99892619999999999</v>
      </c>
      <c r="Y3831">
        <v>0.1111666</v>
      </c>
      <c r="Z3831">
        <v>3.6942730000000002E-4</v>
      </c>
      <c r="AA3831">
        <v>0.99380170000000001</v>
      </c>
      <c r="AB3831">
        <v>28</v>
      </c>
      <c r="AC3831">
        <v>164.67779999999999</v>
      </c>
      <c r="AD3831">
        <v>0.61336400000000002</v>
      </c>
      <c r="AE3831">
        <v>-11.1656</v>
      </c>
      <c r="AF3831">
        <v>18.379793029804301</v>
      </c>
      <c r="AG3831">
        <v>0.61336400000000002</v>
      </c>
      <c r="AH3831">
        <v>164.02706858678499</v>
      </c>
      <c r="AI3831">
        <v>89.7870812668545</v>
      </c>
      <c r="AJ3831">
        <v>83.606482218316302</v>
      </c>
      <c r="AK3831">
        <v>165.05475526742299</v>
      </c>
      <c r="AL3831">
        <v>87.347382709532795</v>
      </c>
      <c r="AM3831">
        <v>90.123561750389996</v>
      </c>
      <c r="AN3831">
        <v>1.0000000332369501</v>
      </c>
    </row>
    <row r="3832" spans="1:40" x14ac:dyDescent="0.25">
      <c r="A3832" t="str">
        <f>"20190312160409208"</f>
        <v>20190312160409208</v>
      </c>
      <c r="B3832" t="str">
        <f>"1552377849198186"</f>
        <v>1552377849198186</v>
      </c>
      <c r="C3832" t="s">
        <v>40</v>
      </c>
      <c r="D3832">
        <v>5.3996370000000002</v>
      </c>
      <c r="E3832">
        <v>0.54153130000000005</v>
      </c>
      <c r="F3832" t="s">
        <v>55</v>
      </c>
      <c r="G3832">
        <v>-168.41239999999999</v>
      </c>
      <c r="H3832">
        <v>1.6437280000000001</v>
      </c>
      <c r="I3832">
        <v>202.41739999999999</v>
      </c>
      <c r="J3832">
        <v>-332.8082</v>
      </c>
      <c r="K3832">
        <v>1.1099270000000001</v>
      </c>
      <c r="L3832">
        <v>213.18639999999999</v>
      </c>
      <c r="M3832">
        <v>0.99896790000000002</v>
      </c>
      <c r="N3832">
        <v>0</v>
      </c>
      <c r="O3832">
        <v>4.3871319999999998E-2</v>
      </c>
      <c r="P3832">
        <v>0.99833749999999999</v>
      </c>
      <c r="Q3832">
        <v>3.4477389999999997E-2</v>
      </c>
      <c r="R3832">
        <v>4.6190910000000002E-2</v>
      </c>
      <c r="S3832">
        <v>3.0137019999999999</v>
      </c>
      <c r="T3832">
        <v>9.7695590000000006E-3</v>
      </c>
      <c r="U3832">
        <v>-0.19685359999999999</v>
      </c>
      <c r="V3832">
        <v>-2.3433529999999998E-3</v>
      </c>
      <c r="W3832">
        <v>4.6237489999999999E-2</v>
      </c>
      <c r="X3832">
        <v>0.99892769999999997</v>
      </c>
      <c r="Y3832">
        <v>0.1088981</v>
      </c>
      <c r="Z3832">
        <v>3.184129E-4</v>
      </c>
      <c r="AA3832">
        <v>0.99405290000000002</v>
      </c>
      <c r="AB3832">
        <v>28</v>
      </c>
      <c r="AC3832">
        <v>164.39580000000001</v>
      </c>
      <c r="AD3832">
        <v>0.53380099999999897</v>
      </c>
      <c r="AE3832">
        <v>-10.769</v>
      </c>
      <c r="AF3832">
        <v>17.971201438153301</v>
      </c>
      <c r="AG3832">
        <v>0.53380099999999897</v>
      </c>
      <c r="AH3832">
        <v>163.76329399309299</v>
      </c>
      <c r="AI3832">
        <v>89.814354456376194</v>
      </c>
      <c r="AJ3832">
        <v>83.737483803399201</v>
      </c>
      <c r="AK3832">
        <v>164.74727762274699</v>
      </c>
      <c r="AL3832">
        <v>87.3498420264484</v>
      </c>
      <c r="AM3832">
        <v>90.134408116343494</v>
      </c>
      <c r="AN3832">
        <v>0.99999997330603596</v>
      </c>
    </row>
    <row r="3833" spans="1:40" x14ac:dyDescent="0.25">
      <c r="A3833" t="str">
        <f>"20190312160409229"</f>
        <v>20190312160409229</v>
      </c>
      <c r="B3833" t="str">
        <f>"1552377849218214"</f>
        <v>1552377849218214</v>
      </c>
      <c r="C3833" t="s">
        <v>40</v>
      </c>
      <c r="D3833">
        <v>5.5136609999999999</v>
      </c>
      <c r="E3833">
        <v>0.54159230000000003</v>
      </c>
      <c r="F3833" t="s">
        <v>44</v>
      </c>
      <c r="G3833">
        <v>-234.56559999999999</v>
      </c>
      <c r="H3833">
        <v>1.35161</v>
      </c>
      <c r="I3833">
        <v>206.9178</v>
      </c>
      <c r="J3833">
        <v>-332.54070000000002</v>
      </c>
      <c r="K3833">
        <v>1.109926</v>
      </c>
      <c r="L3833">
        <v>213.19820000000001</v>
      </c>
      <c r="M3833">
        <v>0.99896799999999997</v>
      </c>
      <c r="N3833">
        <v>0</v>
      </c>
      <c r="O3833">
        <v>4.3871199999999999E-2</v>
      </c>
      <c r="P3833">
        <v>0.99834630000000002</v>
      </c>
      <c r="Q3833">
        <v>3.409011E-2</v>
      </c>
      <c r="R3833">
        <v>4.6289999999999998E-2</v>
      </c>
      <c r="S3833">
        <v>3.013611</v>
      </c>
      <c r="T3833">
        <v>7.4151750000000004E-3</v>
      </c>
      <c r="U3833">
        <v>-0.1922913</v>
      </c>
      <c r="V3833">
        <v>-2.4415209999999999E-3</v>
      </c>
      <c r="W3833">
        <v>4.5840239999999997E-2</v>
      </c>
      <c r="X3833">
        <v>0.99894579999999999</v>
      </c>
      <c r="Y3833">
        <v>0.1074015</v>
      </c>
      <c r="Z3833">
        <v>2.398569E-4</v>
      </c>
      <c r="AA3833">
        <v>0.99421570000000004</v>
      </c>
      <c r="AB3833">
        <v>28</v>
      </c>
      <c r="AC3833">
        <v>97.975099999999998</v>
      </c>
      <c r="AD3833">
        <v>0.24168400000000001</v>
      </c>
      <c r="AE3833">
        <v>-6.28040000000001</v>
      </c>
      <c r="AF3833">
        <v>10.572870655229099</v>
      </c>
      <c r="AG3833">
        <v>0.24168400000000001</v>
      </c>
      <c r="AH3833">
        <v>97.604616842790904</v>
      </c>
      <c r="AI3833">
        <v>89.858952261444799</v>
      </c>
      <c r="AJ3833">
        <v>83.817628481516195</v>
      </c>
      <c r="AK3833">
        <v>98.175889270615102</v>
      </c>
      <c r="AL3833">
        <v>87.372627005753699</v>
      </c>
      <c r="AM3833">
        <v>90.140036196504596</v>
      </c>
      <c r="AN3833">
        <v>0.99999999998284494</v>
      </c>
    </row>
    <row r="3834" spans="1:40" x14ac:dyDescent="0.25">
      <c r="A3834" t="str">
        <f>"20190312160409253"</f>
        <v>20190312160409253</v>
      </c>
      <c r="B3834" t="str">
        <f>"1552377849248469"</f>
        <v>1552377849248469</v>
      </c>
      <c r="C3834" t="s">
        <v>40</v>
      </c>
      <c r="D3834">
        <v>5.5516079999999999</v>
      </c>
      <c r="E3834">
        <v>0.57904929999999999</v>
      </c>
      <c r="F3834" t="s">
        <v>44</v>
      </c>
      <c r="G3834">
        <v>-234.55629999999999</v>
      </c>
      <c r="H3834">
        <v>1.2538320000000001</v>
      </c>
      <c r="I3834">
        <v>206.94470000000001</v>
      </c>
      <c r="J3834">
        <v>-332.24689999999998</v>
      </c>
      <c r="K3834">
        <v>1.1099190000000001</v>
      </c>
      <c r="L3834">
        <v>213.21109999999999</v>
      </c>
      <c r="M3834">
        <v>0.99896819999999997</v>
      </c>
      <c r="N3834">
        <v>0</v>
      </c>
      <c r="O3834">
        <v>4.3871260000000002E-2</v>
      </c>
      <c r="P3834">
        <v>0.99833019999999995</v>
      </c>
      <c r="Q3834">
        <v>3.4563330000000003E-2</v>
      </c>
      <c r="R3834">
        <v>4.6286760000000003E-2</v>
      </c>
      <c r="S3834">
        <v>3.0137330000000002</v>
      </c>
      <c r="T3834">
        <v>4.4276709999999898E-3</v>
      </c>
      <c r="U3834">
        <v>-0.19233700000000001</v>
      </c>
      <c r="V3834">
        <v>-2.4395630000000001E-3</v>
      </c>
      <c r="W3834">
        <v>4.6303700000000003E-2</v>
      </c>
      <c r="X3834">
        <v>0.99892440000000005</v>
      </c>
      <c r="Y3834">
        <v>0.1074143</v>
      </c>
      <c r="Z3834">
        <v>1.4322449999999999E-4</v>
      </c>
      <c r="AA3834">
        <v>0.99421440000000005</v>
      </c>
      <c r="AB3834">
        <v>28</v>
      </c>
      <c r="AC3834">
        <v>97.690600000000003</v>
      </c>
      <c r="AD3834">
        <v>0.14391299999999899</v>
      </c>
      <c r="AE3834">
        <v>-6.2663999999999698</v>
      </c>
      <c r="AF3834">
        <v>10.546448176473</v>
      </c>
      <c r="AG3834">
        <v>0.14391299999999899</v>
      </c>
      <c r="AH3834">
        <v>97.321385658097299</v>
      </c>
      <c r="AI3834">
        <v>89.915767660994703</v>
      </c>
      <c r="AJ3834">
        <v>83.815150703425203</v>
      </c>
      <c r="AK3834">
        <v>97.891268183136305</v>
      </c>
      <c r="AL3834">
        <v>87.346044397883603</v>
      </c>
      <c r="AM3834">
        <v>90.139926891231895</v>
      </c>
      <c r="AN3834">
        <v>0.99999997050834</v>
      </c>
    </row>
    <row r="3835" spans="1:40" x14ac:dyDescent="0.25">
      <c r="A3835" t="str">
        <f>"20190312160409275"</f>
        <v>20190312160409275</v>
      </c>
      <c r="B3835" t="str">
        <f>"1552377849268966"</f>
        <v>1552377849268966</v>
      </c>
      <c r="C3835" t="s">
        <v>40</v>
      </c>
      <c r="D3835">
        <v>5.4182790000000001</v>
      </c>
      <c r="E3835">
        <v>0.58116469999999998</v>
      </c>
      <c r="F3835" t="s">
        <v>44</v>
      </c>
      <c r="G3835">
        <v>-285.58539999999999</v>
      </c>
      <c r="H3835">
        <v>3.4375230000000001</v>
      </c>
      <c r="I3835">
        <v>205.63380000000001</v>
      </c>
      <c r="J3835">
        <v>-331.96039999999999</v>
      </c>
      <c r="K3835">
        <v>1.109917</v>
      </c>
      <c r="L3835">
        <v>213.2236</v>
      </c>
      <c r="M3835">
        <v>0.99896819999999997</v>
      </c>
      <c r="N3835">
        <v>0</v>
      </c>
      <c r="O3835">
        <v>4.3871489999999999E-2</v>
      </c>
      <c r="P3835">
        <v>0.9983166</v>
      </c>
      <c r="Q3835">
        <v>3.4879159999999999E-2</v>
      </c>
      <c r="R3835">
        <v>4.6342069999999999E-2</v>
      </c>
      <c r="S3835">
        <v>3.0225520000000001</v>
      </c>
      <c r="T3835">
        <v>0.15077349999999901</v>
      </c>
      <c r="U3835">
        <v>-0.49082949999999997</v>
      </c>
      <c r="V3835">
        <v>-2.4947810000000002E-3</v>
      </c>
      <c r="W3835">
        <v>4.6611409999999999E-2</v>
      </c>
      <c r="X3835">
        <v>0.99890999999999996</v>
      </c>
      <c r="Y3835">
        <v>0.2031425</v>
      </c>
      <c r="Z3835">
        <v>7.2050489999999998E-3</v>
      </c>
      <c r="AA3835">
        <v>0.97912270000000001</v>
      </c>
      <c r="AB3835">
        <v>28</v>
      </c>
      <c r="AC3835">
        <v>46.375</v>
      </c>
      <c r="AD3835">
        <v>2.3276059999999998</v>
      </c>
      <c r="AE3835">
        <v>-7.5897999999999897</v>
      </c>
      <c r="AF3835">
        <v>9.5936347764415704</v>
      </c>
      <c r="AG3835">
        <v>2.3276059999999998</v>
      </c>
      <c r="AH3835">
        <v>45.884769885037898</v>
      </c>
      <c r="AI3835">
        <v>87.157397897131503</v>
      </c>
      <c r="AJ3835">
        <v>78.190659570844502</v>
      </c>
      <c r="AK3835">
        <v>46.934717271097597</v>
      </c>
      <c r="AL3835">
        <v>87.328394982550293</v>
      </c>
      <c r="AM3835">
        <v>90.143096099661093</v>
      </c>
      <c r="AN3835">
        <v>1.0000000177872099</v>
      </c>
    </row>
    <row r="3836" spans="1:40" x14ac:dyDescent="0.25">
      <c r="A3836" t="str">
        <f>"20190312160409298"</f>
        <v>20190312160409298</v>
      </c>
      <c r="B3836" t="str">
        <f>"1552377849288490"</f>
        <v>1552377849288490</v>
      </c>
      <c r="C3836" t="s">
        <v>40</v>
      </c>
      <c r="D3836">
        <v>5.4027830000000003</v>
      </c>
      <c r="E3836">
        <v>0.58136639999999995</v>
      </c>
      <c r="F3836" t="s">
        <v>63</v>
      </c>
      <c r="G3836">
        <v>-252.86179999999999</v>
      </c>
      <c r="H3836">
        <v>5.3804679999999996</v>
      </c>
      <c r="I3836">
        <v>199.9417</v>
      </c>
      <c r="J3836">
        <v>-331.6782</v>
      </c>
      <c r="K3836">
        <v>1.109917</v>
      </c>
      <c r="L3836">
        <v>213.23609999999999</v>
      </c>
      <c r="M3836">
        <v>0.99896830000000003</v>
      </c>
      <c r="N3836">
        <v>0</v>
      </c>
      <c r="O3836">
        <v>4.3871889999999997E-2</v>
      </c>
      <c r="P3836">
        <v>0.99833689999999997</v>
      </c>
      <c r="Q3836">
        <v>3.4587449999999999E-2</v>
      </c>
      <c r="R3836">
        <v>4.6123740000000003E-2</v>
      </c>
      <c r="S3836">
        <v>3.0229490000000001</v>
      </c>
      <c r="T3836">
        <v>0.16321369999999999</v>
      </c>
      <c r="U3836">
        <v>-0.50759889999999996</v>
      </c>
      <c r="V3836">
        <v>-2.2757070000000001E-3</v>
      </c>
      <c r="W3836">
        <v>4.6313229999999997E-2</v>
      </c>
      <c r="X3836">
        <v>0.99892440000000005</v>
      </c>
      <c r="Y3836">
        <v>0.20834859999999999</v>
      </c>
      <c r="Z3836">
        <v>7.9337709999999992E-3</v>
      </c>
      <c r="AA3836">
        <v>0.97802250000000002</v>
      </c>
      <c r="AB3836">
        <v>28</v>
      </c>
      <c r="AC3836">
        <v>78.816400000000002</v>
      </c>
      <c r="AD3836">
        <v>4.2705510000000002</v>
      </c>
      <c r="AE3836">
        <v>-13.2943999999999</v>
      </c>
      <c r="AF3836">
        <v>16.692010640828801</v>
      </c>
      <c r="AG3836">
        <v>4.2705510000000002</v>
      </c>
      <c r="AH3836">
        <v>77.934736429019907</v>
      </c>
      <c r="AI3836">
        <v>86.932949377450498</v>
      </c>
      <c r="AJ3836">
        <v>77.911070109863303</v>
      </c>
      <c r="AK3836">
        <v>79.816564492202602</v>
      </c>
      <c r="AL3836">
        <v>87.345497928793904</v>
      </c>
      <c r="AM3836">
        <v>90.130528577475005</v>
      </c>
      <c r="AN3836">
        <v>1.00000002551537</v>
      </c>
    </row>
    <row r="3837" spans="1:40" x14ac:dyDescent="0.25">
      <c r="A3837" t="str">
        <f>"20190312160409343"</f>
        <v>20190312160409343</v>
      </c>
      <c r="B3837" t="str">
        <f>"1552377849338262"</f>
        <v>1552377849338262</v>
      </c>
      <c r="C3837" t="s">
        <v>40</v>
      </c>
      <c r="D3837">
        <v>5.4890879999999997</v>
      </c>
      <c r="E3837">
        <v>0.58370239999999995</v>
      </c>
      <c r="F3837" t="s">
        <v>63</v>
      </c>
      <c r="G3837">
        <v>-252.77850000000001</v>
      </c>
      <c r="H3837">
        <v>5.4514909999999999</v>
      </c>
      <c r="I3837">
        <v>199.9247</v>
      </c>
      <c r="J3837">
        <v>-331.11090000000002</v>
      </c>
      <c r="K3837">
        <v>1.109918</v>
      </c>
      <c r="L3837">
        <v>213.261</v>
      </c>
      <c r="M3837">
        <v>0.99896819999999997</v>
      </c>
      <c r="N3837">
        <v>0</v>
      </c>
      <c r="O3837">
        <v>4.3872429999999997E-2</v>
      </c>
      <c r="P3837">
        <v>0.99834659999999997</v>
      </c>
      <c r="Q3837">
        <v>3.4416380000000003E-2</v>
      </c>
      <c r="R3837">
        <v>4.6038120000000002E-2</v>
      </c>
      <c r="S3837">
        <v>3.0227970000000002</v>
      </c>
      <c r="T3837">
        <v>0.16633809999999999</v>
      </c>
      <c r="U3837">
        <v>-0.50997919999999997</v>
      </c>
      <c r="V3837">
        <v>-2.1895109999999999E-3</v>
      </c>
      <c r="W3837">
        <v>4.613271E-2</v>
      </c>
      <c r="X3837">
        <v>0.99893290000000001</v>
      </c>
      <c r="Y3837">
        <v>0.2090912</v>
      </c>
      <c r="Z3837">
        <v>8.1056129999999994E-3</v>
      </c>
      <c r="AA3837">
        <v>0.97786249999999997</v>
      </c>
      <c r="AB3837">
        <v>28</v>
      </c>
      <c r="AC3837">
        <v>78.332400000000007</v>
      </c>
      <c r="AD3837">
        <v>4.3415730000000003</v>
      </c>
      <c r="AE3837">
        <v>-13.3362999999999</v>
      </c>
      <c r="AF3837">
        <v>16.710439435806901</v>
      </c>
      <c r="AG3837">
        <v>4.3415730000000003</v>
      </c>
      <c r="AH3837">
        <v>77.440639441197106</v>
      </c>
      <c r="AI3837">
        <v>86.863220507791098</v>
      </c>
      <c r="AJ3837">
        <v>77.8231996763962</v>
      </c>
      <c r="AK3837">
        <v>79.341922583925296</v>
      </c>
      <c r="AL3837">
        <v>87.355851908696394</v>
      </c>
      <c r="AM3837">
        <v>90.125583548807498</v>
      </c>
      <c r="AN3837">
        <v>0.999999979796386</v>
      </c>
    </row>
    <row r="3838" spans="1:40" x14ac:dyDescent="0.25">
      <c r="A3838" t="str">
        <f>"20190312160409365"</f>
        <v>20190312160409365</v>
      </c>
      <c r="B3838" t="str">
        <f>"1552377849358757"</f>
        <v>1552377849358757</v>
      </c>
      <c r="C3838" t="s">
        <v>40</v>
      </c>
      <c r="D3838">
        <v>5.4950060000000001</v>
      </c>
      <c r="E3838">
        <v>0.58472880000000005</v>
      </c>
      <c r="F3838" t="s">
        <v>63</v>
      </c>
      <c r="G3838">
        <v>-252.63919999999999</v>
      </c>
      <c r="H3838">
        <v>5.1641000000000004</v>
      </c>
      <c r="I3838">
        <v>199.5428</v>
      </c>
      <c r="J3838">
        <v>-330.82429999999999</v>
      </c>
      <c r="K3838">
        <v>1.1099139999999901</v>
      </c>
      <c r="L3838">
        <v>213.27350000000001</v>
      </c>
      <c r="M3838">
        <v>0.99896839999999998</v>
      </c>
      <c r="N3838">
        <v>0</v>
      </c>
      <c r="O3838">
        <v>4.3872460000000002E-2</v>
      </c>
      <c r="P3838">
        <v>0.99833660000000002</v>
      </c>
      <c r="Q3838">
        <v>3.4731159999999997E-2</v>
      </c>
      <c r="R3838">
        <v>4.6022779999999999E-2</v>
      </c>
      <c r="S3838">
        <v>3.023987</v>
      </c>
      <c r="T3838">
        <v>0.15623619999999999</v>
      </c>
      <c r="U3838">
        <v>-0.52864069999999996</v>
      </c>
      <c r="V3838">
        <v>-2.174713E-3</v>
      </c>
      <c r="W3838">
        <v>4.6442789999999998E-2</v>
      </c>
      <c r="X3838">
        <v>0.99891859999999999</v>
      </c>
      <c r="Y3838">
        <v>0.2149229</v>
      </c>
      <c r="Z3838">
        <v>7.7566199999999997E-3</v>
      </c>
      <c r="AA3838">
        <v>0.97660020000000003</v>
      </c>
      <c r="AB3838">
        <v>28</v>
      </c>
      <c r="AC3838">
        <v>78.185100000000006</v>
      </c>
      <c r="AD3838">
        <v>4.0541859999999996</v>
      </c>
      <c r="AE3838">
        <v>-13.730700000000001</v>
      </c>
      <c r="AF3838">
        <v>17.103274211663599</v>
      </c>
      <c r="AG3838">
        <v>4.0541859999999996</v>
      </c>
      <c r="AH3838">
        <v>77.305726294627107</v>
      </c>
      <c r="AI3838">
        <v>87.068711854814893</v>
      </c>
      <c r="AJ3838">
        <v>77.524722532559096</v>
      </c>
      <c r="AK3838">
        <v>79.278835327102101</v>
      </c>
      <c r="AL3838">
        <v>87.338066665532097</v>
      </c>
      <c r="AM3838">
        <v>90.124736569824094</v>
      </c>
      <c r="AN3838">
        <v>1.00000001577278</v>
      </c>
    </row>
    <row r="3839" spans="1:40" x14ac:dyDescent="0.25">
      <c r="A3839" t="str">
        <f>"20190312160409389"</f>
        <v>20190312160409389</v>
      </c>
      <c r="B3839" t="str">
        <f>"1552377849378279"</f>
        <v>1552377849378279</v>
      </c>
      <c r="C3839" t="s">
        <v>40</v>
      </c>
      <c r="D3839">
        <v>5.5435850000000002</v>
      </c>
      <c r="E3839">
        <v>0.58577330000000005</v>
      </c>
      <c r="F3839" t="s">
        <v>63</v>
      </c>
      <c r="G3839">
        <v>-252.55070000000001</v>
      </c>
      <c r="H3839">
        <v>5.0691110000000004</v>
      </c>
      <c r="I3839">
        <v>199.37649999999999</v>
      </c>
      <c r="J3839">
        <v>-330.53539999999998</v>
      </c>
      <c r="K3839">
        <v>1.109918</v>
      </c>
      <c r="L3839">
        <v>213.28620000000001</v>
      </c>
      <c r="M3839">
        <v>0.99896850000000004</v>
      </c>
      <c r="N3839">
        <v>0</v>
      </c>
      <c r="O3839">
        <v>4.3872479999999998E-2</v>
      </c>
      <c r="P3839">
        <v>0.99830079999999999</v>
      </c>
      <c r="Q3839">
        <v>3.4764009999999998E-2</v>
      </c>
      <c r="R3839">
        <v>4.6767700000000002E-2</v>
      </c>
      <c r="S3839">
        <v>3.0244450000000001</v>
      </c>
      <c r="T3839">
        <v>0.15298519999999999</v>
      </c>
      <c r="U3839">
        <v>-0.536972</v>
      </c>
      <c r="V3839">
        <v>-2.9201510000000002E-3</v>
      </c>
      <c r="W3839">
        <v>4.6471850000000002E-2</v>
      </c>
      <c r="X3839">
        <v>0.99891529999999995</v>
      </c>
      <c r="Y3839">
        <v>0.21751719999999999</v>
      </c>
      <c r="Z3839">
        <v>7.6575910000000001E-3</v>
      </c>
      <c r="AA3839">
        <v>0.97602650000000002</v>
      </c>
      <c r="AB3839">
        <v>28</v>
      </c>
      <c r="AC3839">
        <v>77.984699999999904</v>
      </c>
      <c r="AD3839">
        <v>3.959193</v>
      </c>
      <c r="AE3839">
        <v>-13.909700000000001</v>
      </c>
      <c r="AF3839">
        <v>17.2747694323761</v>
      </c>
      <c r="AG3839">
        <v>3.959193</v>
      </c>
      <c r="AH3839">
        <v>77.106693555066002</v>
      </c>
      <c r="AI3839">
        <v>87.131600125012696</v>
      </c>
      <c r="AJ3839">
        <v>77.372132361945106</v>
      </c>
      <c r="AK3839">
        <v>79.117223530327905</v>
      </c>
      <c r="AL3839">
        <v>87.336399724096594</v>
      </c>
      <c r="AM3839">
        <v>90.167493531470399</v>
      </c>
      <c r="AN3839">
        <v>0.99999996834918703</v>
      </c>
    </row>
    <row r="3840" spans="1:40" x14ac:dyDescent="0.25">
      <c r="A3840" t="str">
        <f>"20190312160409410"</f>
        <v>20190312160409410</v>
      </c>
      <c r="B3840" t="str">
        <f>"1552377849398774"</f>
        <v>1552377849398774</v>
      </c>
      <c r="C3840" t="s">
        <v>40</v>
      </c>
      <c r="D3840">
        <v>5.5310489999999897</v>
      </c>
      <c r="E3840">
        <v>0.58680549999999998</v>
      </c>
      <c r="F3840" t="s">
        <v>63</v>
      </c>
      <c r="G3840">
        <v>-252.54300000000001</v>
      </c>
      <c r="H3840">
        <v>4.976477</v>
      </c>
      <c r="I3840">
        <v>199.2886</v>
      </c>
      <c r="J3840">
        <v>-330.25959999999998</v>
      </c>
      <c r="K3840">
        <v>1.109918</v>
      </c>
      <c r="L3840">
        <v>213.29839999999999</v>
      </c>
      <c r="M3840">
        <v>0.99896850000000004</v>
      </c>
      <c r="N3840">
        <v>0</v>
      </c>
      <c r="O3840">
        <v>4.3872500000000002E-2</v>
      </c>
      <c r="P3840">
        <v>0.99830439999999998</v>
      </c>
      <c r="Q3840">
        <v>3.4619190000000001E-2</v>
      </c>
      <c r="R3840">
        <v>4.6797650000000003E-2</v>
      </c>
      <c r="S3840">
        <v>3.0253299999999999</v>
      </c>
      <c r="T3840">
        <v>0.14998819999999999</v>
      </c>
      <c r="U3840">
        <v>-0.54296880000000003</v>
      </c>
      <c r="V3840">
        <v>-2.9497030000000001E-3</v>
      </c>
      <c r="W3840">
        <v>4.6324669999999998E-2</v>
      </c>
      <c r="X3840">
        <v>0.99892210000000004</v>
      </c>
      <c r="Y3840">
        <v>0.2193533</v>
      </c>
      <c r="Z3840">
        <v>7.5494539999999997E-3</v>
      </c>
      <c r="AA3840">
        <v>0.97561629999999999</v>
      </c>
      <c r="AB3840">
        <v>28</v>
      </c>
      <c r="AC3840">
        <v>77.7165999999999</v>
      </c>
      <c r="AD3840">
        <v>3.8665589999999899</v>
      </c>
      <c r="AE3840">
        <v>-14.009799999999901</v>
      </c>
      <c r="AF3840">
        <v>17.3645349756497</v>
      </c>
      <c r="AG3840">
        <v>3.8665589999999899</v>
      </c>
      <c r="AH3840">
        <v>76.842852371408497</v>
      </c>
      <c r="AI3840">
        <v>87.190165438651405</v>
      </c>
      <c r="AJ3840">
        <v>77.266476330436703</v>
      </c>
      <c r="AK3840">
        <v>78.875226237362597</v>
      </c>
      <c r="AL3840">
        <v>87.344841743074497</v>
      </c>
      <c r="AM3840">
        <v>90.169187408610796</v>
      </c>
      <c r="AN3840">
        <v>1.0000000188334</v>
      </c>
    </row>
    <row r="3841" spans="1:40" x14ac:dyDescent="0.25">
      <c r="A3841" t="str">
        <f>"20190312160409431"</f>
        <v>20190312160409431</v>
      </c>
      <c r="B3841" t="str">
        <f>"1552377849429030"</f>
        <v>1552377849429030</v>
      </c>
      <c r="C3841" t="s">
        <v>40</v>
      </c>
      <c r="D3841">
        <v>5.477887</v>
      </c>
      <c r="E3841">
        <v>0.58739219999999903</v>
      </c>
      <c r="F3841" t="s">
        <v>63</v>
      </c>
      <c r="G3841">
        <v>-252.47839999999999</v>
      </c>
      <c r="H3841">
        <v>4.8644920000000003</v>
      </c>
      <c r="I3841">
        <v>199.12989999999999</v>
      </c>
      <c r="J3841">
        <v>-329.97969999999998</v>
      </c>
      <c r="K3841">
        <v>1.109918</v>
      </c>
      <c r="L3841">
        <v>213.3107</v>
      </c>
      <c r="M3841">
        <v>0.99896850000000004</v>
      </c>
      <c r="N3841">
        <v>0</v>
      </c>
      <c r="O3841">
        <v>4.3872700000000001E-2</v>
      </c>
      <c r="P3841">
        <v>0.9982685</v>
      </c>
      <c r="Q3841">
        <v>3.5158139999999997E-2</v>
      </c>
      <c r="R3841">
        <v>4.7160170000000001E-2</v>
      </c>
      <c r="S3841">
        <v>3.0258479999999999</v>
      </c>
      <c r="T3841">
        <v>0.1460649</v>
      </c>
      <c r="U3841">
        <v>-0.55117799999999995</v>
      </c>
      <c r="V3841">
        <v>-3.3135310000000002E-3</v>
      </c>
      <c r="W3841">
        <v>4.6861E-2</v>
      </c>
      <c r="X3841">
        <v>0.99889589999999995</v>
      </c>
      <c r="Y3841">
        <v>0.2219004</v>
      </c>
      <c r="Z3841">
        <v>7.4101919999999899E-3</v>
      </c>
      <c r="AA3841">
        <v>0.97504120000000005</v>
      </c>
      <c r="AB3841">
        <v>28</v>
      </c>
      <c r="AC3841">
        <v>77.501299999999901</v>
      </c>
      <c r="AD3841">
        <v>3.7545739999999999</v>
      </c>
      <c r="AE3841">
        <v>-14.1808</v>
      </c>
      <c r="AF3841">
        <v>17.527764176765899</v>
      </c>
      <c r="AG3841">
        <v>3.7545739999999999</v>
      </c>
      <c r="AH3841">
        <v>76.630451973514596</v>
      </c>
      <c r="AI3841">
        <v>87.265496284093402</v>
      </c>
      <c r="AJ3841">
        <v>77.116306887532204</v>
      </c>
      <c r="AK3841">
        <v>78.699082031640799</v>
      </c>
      <c r="AL3841">
        <v>87.314078772953707</v>
      </c>
      <c r="AM3841">
        <v>90.190060491018102</v>
      </c>
      <c r="AN3841">
        <v>0.99999997592274803</v>
      </c>
    </row>
    <row r="3842" spans="1:40" x14ac:dyDescent="0.25">
      <c r="A3842" t="str">
        <f>"20190312160409455"</f>
        <v>20190312160409455</v>
      </c>
      <c r="B3842" t="str">
        <f>"1552377849448550"</f>
        <v>1552377849448550</v>
      </c>
      <c r="C3842" t="s">
        <v>40</v>
      </c>
      <c r="D3842">
        <v>5.9722559999999998</v>
      </c>
      <c r="E3842">
        <v>0.59417439999999999</v>
      </c>
      <c r="F3842" t="s">
        <v>63</v>
      </c>
      <c r="G3842">
        <v>-252.48259999999999</v>
      </c>
      <c r="H3842">
        <v>4.8313280000000001</v>
      </c>
      <c r="I3842">
        <v>199.10509999999999</v>
      </c>
      <c r="J3842">
        <v>-329.69099999999997</v>
      </c>
      <c r="K3842">
        <v>1.109918</v>
      </c>
      <c r="L3842">
        <v>213.32329999999999</v>
      </c>
      <c r="M3842">
        <v>0.99896850000000004</v>
      </c>
      <c r="N3842">
        <v>0</v>
      </c>
      <c r="O3842">
        <v>4.3873000000000002E-2</v>
      </c>
      <c r="P3842">
        <v>0.99824449999999998</v>
      </c>
      <c r="Q3842">
        <v>3.6045059999999997E-2</v>
      </c>
      <c r="R3842">
        <v>4.6994750000000002E-2</v>
      </c>
      <c r="S3842">
        <v>3.0263059999999999</v>
      </c>
      <c r="T3842">
        <v>0.14532729999999999</v>
      </c>
      <c r="U3842">
        <v>-0.55473329999999998</v>
      </c>
      <c r="V3842">
        <v>-3.148596E-3</v>
      </c>
      <c r="W3842">
        <v>4.7745019999999999E-2</v>
      </c>
      <c r="X3842">
        <v>0.99885460000000004</v>
      </c>
      <c r="Y3842">
        <v>0.22298490000000001</v>
      </c>
      <c r="Z3842">
        <v>7.396789E-3</v>
      </c>
      <c r="AA3842">
        <v>0.97479389999999999</v>
      </c>
      <c r="AB3842">
        <v>28</v>
      </c>
      <c r="AC3842">
        <v>77.208399999999898</v>
      </c>
      <c r="AD3842">
        <v>3.7214099999999899</v>
      </c>
      <c r="AE3842">
        <v>-14.2181999999999</v>
      </c>
      <c r="AF3842">
        <v>17.5526632541727</v>
      </c>
      <c r="AG3842">
        <v>3.7214099999999899</v>
      </c>
      <c r="AH3842">
        <v>76.3386766061885</v>
      </c>
      <c r="AI3842">
        <v>87.279980394006898</v>
      </c>
      <c r="AJ3842">
        <v>77.050965371562</v>
      </c>
      <c r="AK3842">
        <v>78.4189927612356</v>
      </c>
      <c r="AL3842">
        <v>87.263371475617006</v>
      </c>
      <c r="AM3842">
        <v>90.180607532549701</v>
      </c>
      <c r="AN3842">
        <v>1.0000000062663601</v>
      </c>
    </row>
    <row r="3843" spans="1:40" x14ac:dyDescent="0.25">
      <c r="A3843" t="str">
        <f>"20190312160409476"</f>
        <v>20190312160409476</v>
      </c>
      <c r="B3843" t="str">
        <f>"1552377849469046"</f>
        <v>1552377849469046</v>
      </c>
      <c r="C3843" t="s">
        <v>40</v>
      </c>
      <c r="D3843">
        <v>5.7227499999999996</v>
      </c>
      <c r="E3843">
        <v>0.52642290000000003</v>
      </c>
      <c r="F3843" t="s">
        <v>67</v>
      </c>
      <c r="G3843">
        <v>-238.8176</v>
      </c>
      <c r="H3843">
        <v>1.143051</v>
      </c>
      <c r="I3843">
        <v>195.0711</v>
      </c>
      <c r="J3843">
        <v>-329.41</v>
      </c>
      <c r="K3843">
        <v>1.1099190000000001</v>
      </c>
      <c r="L3843">
        <v>213.3357</v>
      </c>
      <c r="M3843">
        <v>0.99896850000000004</v>
      </c>
      <c r="N3843">
        <v>0</v>
      </c>
      <c r="O3843">
        <v>4.3873019999999999E-2</v>
      </c>
      <c r="P3843">
        <v>0.99821550000000003</v>
      </c>
      <c r="Q3843">
        <v>3.5900939999999999E-2</v>
      </c>
      <c r="R3843">
        <v>4.7720539999999999E-2</v>
      </c>
      <c r="S3843">
        <v>3.0339360000000002</v>
      </c>
      <c r="T3843">
        <v>1.106143E-3</v>
      </c>
      <c r="U3843">
        <v>-0.609375</v>
      </c>
      <c r="V3843">
        <v>-3.8754420000000002E-3</v>
      </c>
      <c r="W3843">
        <v>4.7598799999999997E-2</v>
      </c>
      <c r="X3843">
        <v>0.99885900000000005</v>
      </c>
      <c r="Y3843">
        <v>0.2397474</v>
      </c>
      <c r="Z3843" s="1">
        <v>5.9124769999999998E-5</v>
      </c>
      <c r="AA3843">
        <v>0.97083529999999996</v>
      </c>
      <c r="AB3843">
        <v>28</v>
      </c>
      <c r="AC3843">
        <v>90.592399999999998</v>
      </c>
      <c r="AD3843">
        <v>3.3131999999999898E-2</v>
      </c>
      <c r="AE3843">
        <v>-18.264600000000002</v>
      </c>
      <c r="AF3843">
        <v>22.221842680383801</v>
      </c>
      <c r="AG3843">
        <v>3.3131999999999898E-2</v>
      </c>
      <c r="AH3843">
        <v>89.703768389905704</v>
      </c>
      <c r="AI3843">
        <v>89.979458759064798</v>
      </c>
      <c r="AJ3843">
        <v>76.086516472729301</v>
      </c>
      <c r="AK3843">
        <v>92.415244701245001</v>
      </c>
      <c r="AL3843">
        <v>87.271758737858605</v>
      </c>
      <c r="AM3843">
        <v>90.222298999332494</v>
      </c>
      <c r="AN3843">
        <v>0.99999998334656703</v>
      </c>
    </row>
    <row r="3844" spans="1:40" x14ac:dyDescent="0.25">
      <c r="A3844" t="str">
        <f>"20190312160409498"</f>
        <v>20190312160409498</v>
      </c>
      <c r="B3844" t="str">
        <f>"1552377849488569"</f>
        <v>1552377849488569</v>
      </c>
      <c r="C3844" t="s">
        <v>40</v>
      </c>
      <c r="D3844">
        <v>5.4577770000000001</v>
      </c>
      <c r="E3844">
        <v>0.5252926</v>
      </c>
      <c r="F3844" t="s">
        <v>79</v>
      </c>
      <c r="G3844">
        <v>-280.26729999999998</v>
      </c>
      <c r="H3844" s="1">
        <v>7.2565930000000001E-6</v>
      </c>
      <c r="I3844">
        <v>212.232</v>
      </c>
      <c r="J3844">
        <v>-329.1361</v>
      </c>
      <c r="K3844">
        <v>1.1099190000000001</v>
      </c>
      <c r="L3844">
        <v>213.3477</v>
      </c>
      <c r="M3844">
        <v>0.99896859999999998</v>
      </c>
      <c r="N3844">
        <v>0</v>
      </c>
      <c r="O3844">
        <v>4.387303E-2</v>
      </c>
      <c r="P3844">
        <v>0.99819840000000004</v>
      </c>
      <c r="Q3844">
        <v>3.5791629999999998E-2</v>
      </c>
      <c r="R3844">
        <v>4.8158050000000001E-2</v>
      </c>
      <c r="S3844">
        <v>3.0110169999999998</v>
      </c>
      <c r="T3844">
        <v>-6.8005319999999994E-2</v>
      </c>
      <c r="U3844">
        <v>-6.7626950000000005E-2</v>
      </c>
      <c r="V3844">
        <v>-4.313178E-3</v>
      </c>
      <c r="W3844">
        <v>4.7488290000000002E-2</v>
      </c>
      <c r="X3844">
        <v>0.99886249999999999</v>
      </c>
      <c r="Y3844">
        <v>6.6269460000000002E-2</v>
      </c>
      <c r="Z3844">
        <v>-1.738769E-3</v>
      </c>
      <c r="AA3844">
        <v>0.99780020000000003</v>
      </c>
      <c r="AB3844">
        <v>28</v>
      </c>
      <c r="AC3844">
        <v>48.8688</v>
      </c>
      <c r="AD3844">
        <v>-1.1099117434070001</v>
      </c>
      <c r="AE3844">
        <v>-1.1156999999999999</v>
      </c>
      <c r="AF3844">
        <v>3.2571153875292098</v>
      </c>
      <c r="AG3844">
        <v>-1.1099117434070001</v>
      </c>
      <c r="AH3844">
        <v>48.7476532277567</v>
      </c>
      <c r="AI3844">
        <v>91.301413789229599</v>
      </c>
      <c r="AJ3844">
        <v>86.177416078967198</v>
      </c>
      <c r="AK3844">
        <v>48.8689512874939</v>
      </c>
      <c r="AL3844">
        <v>87.278097755997294</v>
      </c>
      <c r="AM3844">
        <v>90.247406784955899</v>
      </c>
      <c r="AN3844">
        <v>1.0000000175489101</v>
      </c>
    </row>
    <row r="3845" spans="1:40" x14ac:dyDescent="0.25">
      <c r="A3845" t="str">
        <f>"20190312160409521"</f>
        <v>20190312160409521</v>
      </c>
      <c r="B3845" t="str">
        <f>"1552377849518822"</f>
        <v>1552377849518822</v>
      </c>
      <c r="C3845" t="s">
        <v>40</v>
      </c>
      <c r="D3845">
        <v>5.3699729999999999</v>
      </c>
      <c r="E3845">
        <v>0.52346800000000004</v>
      </c>
      <c r="F3845" t="s">
        <v>79</v>
      </c>
      <c r="G3845">
        <v>-290.1739</v>
      </c>
      <c r="H3845" s="1">
        <v>9.2524819999999999E-7</v>
      </c>
      <c r="I3845">
        <v>212.6052</v>
      </c>
      <c r="J3845">
        <v>-328.84800000000001</v>
      </c>
      <c r="K3845">
        <v>1.10992</v>
      </c>
      <c r="L3845">
        <v>213.3604</v>
      </c>
      <c r="M3845">
        <v>0.99896859999999998</v>
      </c>
      <c r="N3845">
        <v>0</v>
      </c>
      <c r="O3845">
        <v>4.387303E-2</v>
      </c>
      <c r="P3845">
        <v>0.9982278</v>
      </c>
      <c r="Q3845">
        <v>3.5023940000000003E-2</v>
      </c>
      <c r="R3845">
        <v>4.8112380000000003E-2</v>
      </c>
      <c r="S3845">
        <v>3.0112920000000001</v>
      </c>
      <c r="T3845">
        <v>-8.5782769999999994E-2</v>
      </c>
      <c r="U3845">
        <v>-5.7388309999999998E-2</v>
      </c>
      <c r="V3845">
        <v>-4.2661799999999996E-3</v>
      </c>
      <c r="W3845">
        <v>4.6720009999999999E-2</v>
      </c>
      <c r="X3845">
        <v>0.99889890000000003</v>
      </c>
      <c r="Y3845">
        <v>6.2860689999999997E-2</v>
      </c>
      <c r="Z3845">
        <v>-2.144455E-3</v>
      </c>
      <c r="AA3845">
        <v>0.99802000000000002</v>
      </c>
      <c r="AB3845">
        <v>28</v>
      </c>
      <c r="AC3845">
        <v>38.674100000000003</v>
      </c>
      <c r="AD3845">
        <v>-1.1099190747518</v>
      </c>
      <c r="AE3845">
        <v>-0.75520000000000198</v>
      </c>
      <c r="AF3845">
        <v>2.4493222151673599</v>
      </c>
      <c r="AG3845">
        <v>-1.1099190747518</v>
      </c>
      <c r="AH3845">
        <v>38.571963358689999</v>
      </c>
      <c r="AI3845">
        <v>91.644936074747406</v>
      </c>
      <c r="AJ3845">
        <v>86.3665925974651</v>
      </c>
      <c r="AK3845">
        <v>38.665584917473197</v>
      </c>
      <c r="AL3845">
        <v>87.322165789658897</v>
      </c>
      <c r="AM3845">
        <v>90.2447020639068</v>
      </c>
      <c r="AN3845">
        <v>0.99999998602370099</v>
      </c>
    </row>
    <row r="3846" spans="1:40" x14ac:dyDescent="0.25">
      <c r="A3846" t="str">
        <f>"20190312160409544"</f>
        <v>20190312160409544</v>
      </c>
      <c r="B3846" t="str">
        <f>"1552377849538342"</f>
        <v>1552377849538342</v>
      </c>
      <c r="C3846" t="s">
        <v>40</v>
      </c>
      <c r="D3846">
        <v>5.4115089999999997</v>
      </c>
      <c r="E3846">
        <v>0.52345109999999995</v>
      </c>
      <c r="F3846" t="s">
        <v>79</v>
      </c>
      <c r="G3846">
        <v>-293.5102</v>
      </c>
      <c r="H3846" s="1">
        <v>1.517059E-6</v>
      </c>
      <c r="I3846">
        <v>212.86170000000001</v>
      </c>
      <c r="J3846">
        <v>-328.55290000000002</v>
      </c>
      <c r="K3846">
        <v>1.1099220000000001</v>
      </c>
      <c r="L3846">
        <v>213.3733</v>
      </c>
      <c r="M3846">
        <v>0.99896859999999998</v>
      </c>
      <c r="N3846">
        <v>0</v>
      </c>
      <c r="O3846">
        <v>4.3873040000000002E-2</v>
      </c>
      <c r="P3846">
        <v>0.99819380000000002</v>
      </c>
      <c r="Q3846">
        <v>3.5982790000000001E-2</v>
      </c>
      <c r="R3846">
        <v>4.8110569999999998E-2</v>
      </c>
      <c r="S3846">
        <v>3.0106510000000002</v>
      </c>
      <c r="T3846">
        <v>-9.4560980000000003E-2</v>
      </c>
      <c r="U3846">
        <v>-4.2480469999999999E-2</v>
      </c>
      <c r="V3846">
        <v>-4.2659859999999898E-3</v>
      </c>
      <c r="W3846">
        <v>4.7676910000000003E-2</v>
      </c>
      <c r="X3846">
        <v>0.99885369999999996</v>
      </c>
      <c r="Y3846">
        <v>5.7916570000000001E-2</v>
      </c>
      <c r="Z3846">
        <v>-2.2867370000000001E-3</v>
      </c>
      <c r="AA3846">
        <v>0.99831879999999995</v>
      </c>
      <c r="AB3846">
        <v>28</v>
      </c>
      <c r="AC3846">
        <v>35.042700000000004</v>
      </c>
      <c r="AD3846">
        <v>-1.1099204829410001</v>
      </c>
      <c r="AE3846">
        <v>-0.51159999999998695</v>
      </c>
      <c r="AF3846">
        <v>2.04658963498232</v>
      </c>
      <c r="AG3846">
        <v>-1.1099204829410001</v>
      </c>
      <c r="AH3846">
        <v>34.951450379407802</v>
      </c>
      <c r="AI3846">
        <v>91.815769047012196</v>
      </c>
      <c r="AJ3846">
        <v>86.648859941611093</v>
      </c>
      <c r="AK3846">
        <v>35.028907151618</v>
      </c>
      <c r="AL3846">
        <v>87.267278323730594</v>
      </c>
      <c r="AM3846">
        <v>90.244702009064198</v>
      </c>
      <c r="AN3846">
        <v>1.00000000019369</v>
      </c>
    </row>
    <row r="3847" spans="1:40" x14ac:dyDescent="0.25">
      <c r="A3847" t="str">
        <f>"20190312160409567"</f>
        <v>20190312160409567</v>
      </c>
      <c r="B3847" t="str">
        <f>"1552377849558838"</f>
        <v>1552377849558838</v>
      </c>
      <c r="C3847" t="s">
        <v>40</v>
      </c>
      <c r="D3847">
        <v>5.3814270000000004</v>
      </c>
      <c r="E3847">
        <v>0.52322360000000001</v>
      </c>
      <c r="F3847" t="s">
        <v>79</v>
      </c>
      <c r="G3847">
        <v>-293.62079999999997</v>
      </c>
      <c r="H3847" s="1">
        <v>1.5366879999999999E-6</v>
      </c>
      <c r="I3847">
        <v>212.8819</v>
      </c>
      <c r="J3847">
        <v>-328.26319999999998</v>
      </c>
      <c r="K3847">
        <v>1.1099239999999999</v>
      </c>
      <c r="L3847">
        <v>213.386</v>
      </c>
      <c r="M3847">
        <v>0.99896850000000004</v>
      </c>
      <c r="N3847">
        <v>0</v>
      </c>
      <c r="O3847">
        <v>4.3873219999999997E-2</v>
      </c>
      <c r="P3847">
        <v>0.99818240000000003</v>
      </c>
      <c r="Q3847">
        <v>3.6232449999999999E-2</v>
      </c>
      <c r="R3847">
        <v>4.8157819999999997E-2</v>
      </c>
      <c r="S3847">
        <v>3.0109249999999999</v>
      </c>
      <c r="T3847">
        <v>-9.5668320000000001E-2</v>
      </c>
      <c r="U3847">
        <v>-4.2358399999999997E-2</v>
      </c>
      <c r="V3847">
        <v>-4.3130870000000002E-3</v>
      </c>
      <c r="W3847">
        <v>4.7926000000000003E-2</v>
      </c>
      <c r="X3847">
        <v>0.9988416</v>
      </c>
      <c r="Y3847">
        <v>5.7873849999999998E-2</v>
      </c>
      <c r="Z3847">
        <v>-2.3126190000000001E-3</v>
      </c>
      <c r="AA3847">
        <v>0.99832120000000002</v>
      </c>
      <c r="AB3847">
        <v>28</v>
      </c>
      <c r="AC3847">
        <v>34.642400000000002</v>
      </c>
      <c r="AD3847">
        <v>-1.109922463312</v>
      </c>
      <c r="AE3847">
        <v>-0.504099999999994</v>
      </c>
      <c r="AF3847">
        <v>2.0215176575037002</v>
      </c>
      <c r="AG3847">
        <v>-1.109922463312</v>
      </c>
      <c r="AH3847">
        <v>34.551460070552302</v>
      </c>
      <c r="AI3847">
        <v>91.836783650435905</v>
      </c>
      <c r="AJ3847">
        <v>86.651587511015805</v>
      </c>
      <c r="AK3847">
        <v>34.628338893471899</v>
      </c>
      <c r="AL3847">
        <v>87.252990247407297</v>
      </c>
      <c r="AM3847">
        <v>90.247406741824804</v>
      </c>
      <c r="AN3847">
        <v>1.0000000230430099</v>
      </c>
    </row>
    <row r="3848" spans="1:40" x14ac:dyDescent="0.25">
      <c r="A3848" t="str">
        <f>"20190312160409589"</f>
        <v>20190312160409589</v>
      </c>
      <c r="B3848" t="str">
        <f>"1552377849578358"</f>
        <v>1552377849578358</v>
      </c>
      <c r="C3848" t="s">
        <v>40</v>
      </c>
      <c r="D3848">
        <v>5.3894310000000001</v>
      </c>
      <c r="E3848">
        <v>0.52323069999999905</v>
      </c>
      <c r="F3848" t="s">
        <v>79</v>
      </c>
      <c r="G3848">
        <v>-294.68790000000001</v>
      </c>
      <c r="H3848" s="1">
        <v>1.7259690000000001E-6</v>
      </c>
      <c r="I3848">
        <v>212.9341</v>
      </c>
      <c r="J3848">
        <v>-327.99380000000002</v>
      </c>
      <c r="K3848">
        <v>1.109923</v>
      </c>
      <c r="L3848">
        <v>213.39789999999999</v>
      </c>
      <c r="M3848">
        <v>0.99896850000000004</v>
      </c>
      <c r="N3848">
        <v>0</v>
      </c>
      <c r="O3848">
        <v>4.3873229999999999E-2</v>
      </c>
      <c r="P3848">
        <v>0.99818649999999998</v>
      </c>
      <c r="Q3848">
        <v>3.593785E-2</v>
      </c>
      <c r="R3848">
        <v>4.8294190000000001E-2</v>
      </c>
      <c r="S3848">
        <v>3.0109859999999999</v>
      </c>
      <c r="T3848">
        <v>-9.953642E-2</v>
      </c>
      <c r="U3848">
        <v>-4.0527340000000002E-2</v>
      </c>
      <c r="V3848">
        <v>-4.4493680000000004E-3</v>
      </c>
      <c r="W3848">
        <v>4.7630699999999998E-2</v>
      </c>
      <c r="X3848">
        <v>0.9988551</v>
      </c>
      <c r="Y3848">
        <v>5.7262670000000002E-2</v>
      </c>
      <c r="Z3848">
        <v>-2.3959319999999999E-3</v>
      </c>
      <c r="AA3848">
        <v>0.99835629999999997</v>
      </c>
      <c r="AB3848">
        <v>28</v>
      </c>
      <c r="AC3848">
        <v>33.305900000000001</v>
      </c>
      <c r="AD3848">
        <v>-1.109921274031</v>
      </c>
      <c r="AE3848">
        <v>-0.463799999999992</v>
      </c>
      <c r="AF3848">
        <v>1.9225562200889099</v>
      </c>
      <c r="AG3848">
        <v>-1.109921274031</v>
      </c>
      <c r="AH3848">
        <v>33.216593893405403</v>
      </c>
      <c r="AI3848">
        <v>91.910611820078003</v>
      </c>
      <c r="AJ3848">
        <v>86.687450925287706</v>
      </c>
      <c r="AK3848">
        <v>33.290693257025502</v>
      </c>
      <c r="AL3848">
        <v>87.269928960595607</v>
      </c>
      <c r="AM3848">
        <v>90.255220523766994</v>
      </c>
      <c r="AN3848">
        <v>0.999999995627049</v>
      </c>
    </row>
    <row r="3849" spans="1:40" x14ac:dyDescent="0.25">
      <c r="A3849" t="str">
        <f>"20190312160409610"</f>
        <v>20190312160409610</v>
      </c>
      <c r="B3849" t="str">
        <f>"1552377849598855"</f>
        <v>1552377849598855</v>
      </c>
      <c r="C3849" t="s">
        <v>40</v>
      </c>
      <c r="D3849">
        <v>5.3980810000000004</v>
      </c>
      <c r="E3849">
        <v>0.52349120000000005</v>
      </c>
      <c r="F3849" t="s">
        <v>79</v>
      </c>
      <c r="G3849">
        <v>-295.84789999999998</v>
      </c>
      <c r="H3849" s="1">
        <v>1.931735E-6</v>
      </c>
      <c r="I3849">
        <v>212.9675</v>
      </c>
      <c r="J3849">
        <v>-327.71350000000001</v>
      </c>
      <c r="K3849">
        <v>1.10992</v>
      </c>
      <c r="L3849">
        <v>213.4102</v>
      </c>
      <c r="M3849">
        <v>0.99896850000000004</v>
      </c>
      <c r="N3849">
        <v>0</v>
      </c>
      <c r="O3849">
        <v>4.3873410000000002E-2</v>
      </c>
      <c r="P3849">
        <v>0.99821260000000001</v>
      </c>
      <c r="Q3849">
        <v>3.5617929999999999E-2</v>
      </c>
      <c r="R3849">
        <v>4.799138E-2</v>
      </c>
      <c r="S3849">
        <v>3.0111080000000001</v>
      </c>
      <c r="T3849">
        <v>-0.1039665</v>
      </c>
      <c r="U3849">
        <v>-4.0313719999999997E-2</v>
      </c>
      <c r="V3849">
        <v>-4.1455570000000002E-3</v>
      </c>
      <c r="W3849">
        <v>4.7310629999999999E-2</v>
      </c>
      <c r="X3849">
        <v>0.99887159999999997</v>
      </c>
      <c r="Y3849">
        <v>5.7186519999999998E-2</v>
      </c>
      <c r="Z3849">
        <v>-2.501096E-3</v>
      </c>
      <c r="AA3849">
        <v>0.99836040000000004</v>
      </c>
      <c r="AB3849">
        <v>28</v>
      </c>
      <c r="AC3849">
        <v>31.865600000000001</v>
      </c>
      <c r="AD3849">
        <v>-1.1099180682650001</v>
      </c>
      <c r="AE3849">
        <v>-0.44270000000000198</v>
      </c>
      <c r="AF3849">
        <v>1.8381923255080499</v>
      </c>
      <c r="AG3849">
        <v>-1.1099180682650001</v>
      </c>
      <c r="AH3849">
        <v>31.776943450035599</v>
      </c>
      <c r="AI3849">
        <v>91.997101267964894</v>
      </c>
      <c r="AJ3849">
        <v>86.689315905228995</v>
      </c>
      <c r="AK3849">
        <v>31.849411363015498</v>
      </c>
      <c r="AL3849">
        <v>87.288288268967193</v>
      </c>
      <c r="AM3849">
        <v>90.2377898782062</v>
      </c>
      <c r="AN3849">
        <v>0.99999997732019796</v>
      </c>
    </row>
    <row r="3850" spans="1:40" x14ac:dyDescent="0.25">
      <c r="A3850" t="str">
        <f>"20190312160409633"</f>
        <v>20190312160409633</v>
      </c>
      <c r="B3850" t="str">
        <f>"1552377849628134"</f>
        <v>1552377849628134</v>
      </c>
      <c r="C3850" t="s">
        <v>40</v>
      </c>
      <c r="D3850">
        <v>5.5448459999999997</v>
      </c>
      <c r="E3850">
        <v>0.52241199999999999</v>
      </c>
      <c r="F3850" t="s">
        <v>79</v>
      </c>
      <c r="G3850">
        <v>-296.16809999999998</v>
      </c>
      <c r="H3850" s="1">
        <v>1.988519E-6</v>
      </c>
      <c r="I3850">
        <v>212.958</v>
      </c>
      <c r="J3850">
        <v>-327.41410000000002</v>
      </c>
      <c r="K3850">
        <v>1.109917</v>
      </c>
      <c r="L3850">
        <v>213.42339999999999</v>
      </c>
      <c r="M3850">
        <v>0.99896859999999998</v>
      </c>
      <c r="N3850">
        <v>0</v>
      </c>
      <c r="O3850">
        <v>4.3873530000000001E-2</v>
      </c>
      <c r="P3850">
        <v>0.99818269999999998</v>
      </c>
      <c r="Q3850">
        <v>3.6156540000000001E-2</v>
      </c>
      <c r="R3850">
        <v>4.8214279999999998E-2</v>
      </c>
      <c r="S3850">
        <v>3.0112299999999999</v>
      </c>
      <c r="T3850">
        <v>-0.1059494</v>
      </c>
      <c r="U3850">
        <v>-4.3167110000000002E-2</v>
      </c>
      <c r="V3850">
        <v>-4.3693050000000004E-3</v>
      </c>
      <c r="W3850">
        <v>4.7848849999999998E-2</v>
      </c>
      <c r="X3850">
        <v>0.99884499999999998</v>
      </c>
      <c r="Y3850">
        <v>5.8129020000000003E-2</v>
      </c>
      <c r="Z3850">
        <v>-2.5652370000000002E-3</v>
      </c>
      <c r="AA3850">
        <v>0.99830580000000002</v>
      </c>
      <c r="AB3850">
        <v>28</v>
      </c>
      <c r="AC3850">
        <v>31.245999999999999</v>
      </c>
      <c r="AD3850">
        <v>-1.1099150114809999</v>
      </c>
      <c r="AE3850">
        <v>-0.46539999999998799</v>
      </c>
      <c r="AF3850">
        <v>1.83360480167516</v>
      </c>
      <c r="AG3850">
        <v>-1.1099150114809999</v>
      </c>
      <c r="AH3850">
        <v>31.1561845921442</v>
      </c>
      <c r="AI3850">
        <v>92.036733944166002</v>
      </c>
      <c r="AJ3850">
        <v>86.631911839324999</v>
      </c>
      <c r="AK3850">
        <v>31.2298231861982</v>
      </c>
      <c r="AL3850">
        <v>87.257415544542198</v>
      </c>
      <c r="AM3850">
        <v>90.250630617517302</v>
      </c>
      <c r="AN3850">
        <v>0.99999996864875196</v>
      </c>
    </row>
    <row r="3851" spans="1:40" x14ac:dyDescent="0.25">
      <c r="A3851" t="str">
        <f>"20190312160409655"</f>
        <v>20190312160409655</v>
      </c>
      <c r="B3851" t="str">
        <f>"1552377849648631"</f>
        <v>1552377849648631</v>
      </c>
      <c r="C3851" t="s">
        <v>40</v>
      </c>
      <c r="D3851">
        <v>5.3776199999999896</v>
      </c>
      <c r="E3851">
        <v>0.52198359999999899</v>
      </c>
      <c r="F3851" t="s">
        <v>79</v>
      </c>
      <c r="G3851">
        <v>-294.29849999999999</v>
      </c>
      <c r="H3851" s="1">
        <v>1.6568829999999999E-6</v>
      </c>
      <c r="I3851">
        <v>213.04810000000001</v>
      </c>
      <c r="J3851">
        <v>-327.1352</v>
      </c>
      <c r="K3851">
        <v>1.1099159999999999</v>
      </c>
      <c r="L3851">
        <v>213.43559999999999</v>
      </c>
      <c r="M3851">
        <v>0.99896859999999998</v>
      </c>
      <c r="N3851">
        <v>0</v>
      </c>
      <c r="O3851">
        <v>4.3873719999999998E-2</v>
      </c>
      <c r="P3851">
        <v>0.99816470000000002</v>
      </c>
      <c r="Q3851">
        <v>3.618466E-2</v>
      </c>
      <c r="R3851">
        <v>4.8558219999999999E-2</v>
      </c>
      <c r="S3851">
        <v>3.0107729999999999</v>
      </c>
      <c r="T3851">
        <v>-0.1009101</v>
      </c>
      <c r="U3851">
        <v>-3.411865E-2</v>
      </c>
      <c r="V3851">
        <v>-4.7136540000000003E-3</v>
      </c>
      <c r="W3851">
        <v>4.7874569999999998E-2</v>
      </c>
      <c r="X3851">
        <v>0.99884220000000001</v>
      </c>
      <c r="Y3851">
        <v>5.513887E-2</v>
      </c>
      <c r="Z3851">
        <v>-2.3936019999999999E-3</v>
      </c>
      <c r="AA3851">
        <v>0.99847580000000002</v>
      </c>
      <c r="AB3851">
        <v>28</v>
      </c>
      <c r="AC3851">
        <v>32.8367</v>
      </c>
      <c r="AD3851">
        <v>-1.109914343117</v>
      </c>
      <c r="AE3851">
        <v>-0.38749999999998802</v>
      </c>
      <c r="AF3851">
        <v>1.82580786345827</v>
      </c>
      <c r="AG3851">
        <v>-1.109914343117</v>
      </c>
      <c r="AH3851">
        <v>32.750661741185098</v>
      </c>
      <c r="AI3851">
        <v>91.937994403603</v>
      </c>
      <c r="AJ3851">
        <v>86.809135860691001</v>
      </c>
      <c r="AK3851">
        <v>32.820288369983103</v>
      </c>
      <c r="AL3851">
        <v>87.255940201035997</v>
      </c>
      <c r="AM3851">
        <v>90.270383525512997</v>
      </c>
      <c r="AN3851">
        <v>0.999999966743777</v>
      </c>
    </row>
    <row r="3852" spans="1:40" x14ac:dyDescent="0.25">
      <c r="A3852" t="str">
        <f>"20190312160409677"</f>
        <v>20190312160409677</v>
      </c>
      <c r="B3852" t="str">
        <f>"1552377849668163"</f>
        <v>1552377849668163</v>
      </c>
      <c r="C3852" t="s">
        <v>40</v>
      </c>
      <c r="D3852">
        <v>5.4873599999999998</v>
      </c>
      <c r="E3852">
        <v>0.52171329999999905</v>
      </c>
      <c r="F3852" t="s">
        <v>79</v>
      </c>
      <c r="G3852">
        <v>-291.2217</v>
      </c>
      <c r="H3852" s="1">
        <v>1.111128E-6</v>
      </c>
      <c r="I3852">
        <v>213.0821</v>
      </c>
      <c r="J3852">
        <v>-326.8537</v>
      </c>
      <c r="K3852">
        <v>1.109907</v>
      </c>
      <c r="L3852">
        <v>213.44800000000001</v>
      </c>
      <c r="M3852">
        <v>0.99896870000000004</v>
      </c>
      <c r="N3852">
        <v>0</v>
      </c>
      <c r="O3852">
        <v>4.3873780000000001E-2</v>
      </c>
      <c r="P3852">
        <v>0.99811539999999999</v>
      </c>
      <c r="Q3852">
        <v>3.6483880000000003E-2</v>
      </c>
      <c r="R3852">
        <v>4.9344520000000003E-2</v>
      </c>
      <c r="S3852">
        <v>3.010284</v>
      </c>
      <c r="T3852">
        <v>-9.3033790000000005E-2</v>
      </c>
      <c r="U3852">
        <v>-2.963257E-2</v>
      </c>
      <c r="V3852">
        <v>-5.5008749999999997E-3</v>
      </c>
      <c r="W3852">
        <v>4.8163669999999999E-2</v>
      </c>
      <c r="X3852">
        <v>0.9988243</v>
      </c>
      <c r="Y3852">
        <v>5.3661920000000002E-2</v>
      </c>
      <c r="Z3852">
        <v>-2.1844170000000001E-3</v>
      </c>
      <c r="AA3852">
        <v>0.99855680000000002</v>
      </c>
      <c r="AB3852">
        <v>28</v>
      </c>
      <c r="AC3852">
        <v>35.631999999999998</v>
      </c>
      <c r="AD3852">
        <v>-1.1099058888719999</v>
      </c>
      <c r="AE3852">
        <v>-0.36589999999998202</v>
      </c>
      <c r="AF3852">
        <v>1.9270953532753501</v>
      </c>
      <c r="AG3852">
        <v>-1.1099058888719999</v>
      </c>
      <c r="AH3852">
        <v>35.547143470746697</v>
      </c>
      <c r="AI3852">
        <v>91.785772643789002</v>
      </c>
      <c r="AJ3852">
        <v>86.896896871468002</v>
      </c>
      <c r="AK3852">
        <v>35.616639320865502</v>
      </c>
      <c r="AL3852">
        <v>87.239356925942104</v>
      </c>
      <c r="AM3852">
        <v>90.3155447205813</v>
      </c>
      <c r="AN3852">
        <v>0.99999999050206201</v>
      </c>
    </row>
    <row r="3853" spans="1:40" x14ac:dyDescent="0.25">
      <c r="A3853" t="str">
        <f>"20190312160409700"</f>
        <v>20190312160409700</v>
      </c>
      <c r="B3853" t="str">
        <f>"1552377849688647"</f>
        <v>1552377849688647</v>
      </c>
      <c r="C3853" t="s">
        <v>40</v>
      </c>
      <c r="D3853">
        <v>5.3733370000000003</v>
      </c>
      <c r="E3853">
        <v>0.52151759999999903</v>
      </c>
      <c r="F3853" t="s">
        <v>79</v>
      </c>
      <c r="G3853">
        <v>-288.02760000000001</v>
      </c>
      <c r="H3853" s="1">
        <v>3.7092419999999999E-6</v>
      </c>
      <c r="I3853">
        <v>213.12100000000001</v>
      </c>
      <c r="J3853">
        <v>-326.57510000000002</v>
      </c>
      <c r="K3853">
        <v>1.109904</v>
      </c>
      <c r="L3853">
        <v>213.46019999999999</v>
      </c>
      <c r="M3853">
        <v>0.99896879999999999</v>
      </c>
      <c r="N3853">
        <v>0</v>
      </c>
      <c r="O3853">
        <v>4.38739E-2</v>
      </c>
      <c r="P3853">
        <v>0.9980755</v>
      </c>
      <c r="Q3853">
        <v>3.6668260000000001E-2</v>
      </c>
      <c r="R3853">
        <v>5.0008459999999998E-2</v>
      </c>
      <c r="S3853">
        <v>3.0100709999999999</v>
      </c>
      <c r="T3853">
        <v>-8.6047529999999997E-2</v>
      </c>
      <c r="U3853">
        <v>-2.5344849999999999E-2</v>
      </c>
      <c r="V3853">
        <v>-6.1661819999999897E-3</v>
      </c>
      <c r="W3853">
        <v>4.8328950000000002E-2</v>
      </c>
      <c r="X3853">
        <v>0.99881240000000004</v>
      </c>
      <c r="Y3853">
        <v>5.2247689999999999E-2</v>
      </c>
      <c r="Z3853">
        <v>-2.0003909999999998E-3</v>
      </c>
      <c r="AA3853">
        <v>0.99863210000000002</v>
      </c>
      <c r="AB3853">
        <v>28</v>
      </c>
      <c r="AC3853">
        <v>38.547499999999999</v>
      </c>
      <c r="AD3853">
        <v>-1.109900290758</v>
      </c>
      <c r="AE3853">
        <v>-0.339200000000005</v>
      </c>
      <c r="AF3853">
        <v>2.0285362530534599</v>
      </c>
      <c r="AG3853">
        <v>-1.109900290758</v>
      </c>
      <c r="AH3853">
        <v>38.463608209051401</v>
      </c>
      <c r="AI3853">
        <v>91.650567445394799</v>
      </c>
      <c r="AJ3853">
        <v>86.981068788432296</v>
      </c>
      <c r="AK3853">
        <v>38.533050676591699</v>
      </c>
      <c r="AL3853">
        <v>87.229875953501704</v>
      </c>
      <c r="AM3853">
        <v>90.353711784220195</v>
      </c>
      <c r="AN3853">
        <v>0.99999995980115897</v>
      </c>
    </row>
    <row r="3854" spans="1:40" x14ac:dyDescent="0.25">
      <c r="A3854" t="str">
        <f>"20190312160409722"</f>
        <v>20190312160409722</v>
      </c>
      <c r="B3854" t="str">
        <f>"1552377849718902"</f>
        <v>1552377849718902</v>
      </c>
      <c r="C3854" t="s">
        <v>40</v>
      </c>
      <c r="D3854">
        <v>5.3141299999999996</v>
      </c>
      <c r="E3854">
        <v>0.52119799999999905</v>
      </c>
      <c r="F3854" t="s">
        <v>79</v>
      </c>
      <c r="G3854">
        <v>-285.33240000000001</v>
      </c>
      <c r="H3854" s="1">
        <v>4.8992870000000001E-6</v>
      </c>
      <c r="I3854">
        <v>213.16460000000001</v>
      </c>
      <c r="J3854">
        <v>-326.29070000000002</v>
      </c>
      <c r="K3854">
        <v>1.1099019999999999</v>
      </c>
      <c r="L3854">
        <v>213.4727</v>
      </c>
      <c r="M3854">
        <v>0.9989692</v>
      </c>
      <c r="N3854">
        <v>0</v>
      </c>
      <c r="O3854">
        <v>4.3874249999999997E-2</v>
      </c>
      <c r="P3854">
        <v>0.99805509999999997</v>
      </c>
      <c r="Q3854">
        <v>3.6927130000000002E-2</v>
      </c>
      <c r="R3854">
        <v>5.0224089999999999E-2</v>
      </c>
      <c r="S3854">
        <v>3.009827</v>
      </c>
      <c r="T3854">
        <v>-8.099866E-2</v>
      </c>
      <c r="U3854">
        <v>-2.157593E-2</v>
      </c>
      <c r="V3854">
        <v>-6.381861E-3</v>
      </c>
      <c r="W3854">
        <v>4.8560409999999998E-2</v>
      </c>
      <c r="X3854">
        <v>0.99879989999999996</v>
      </c>
      <c r="Y3854">
        <v>5.1003159999999999E-2</v>
      </c>
      <c r="Z3854">
        <v>-1.8664809999999999E-3</v>
      </c>
      <c r="AA3854">
        <v>0.99869669999999999</v>
      </c>
      <c r="AB3854">
        <v>29</v>
      </c>
      <c r="AC3854">
        <v>40.958300000000001</v>
      </c>
      <c r="AD3854">
        <v>-1.1098971007130001</v>
      </c>
      <c r="AE3854">
        <v>-0.30809999999999599</v>
      </c>
      <c r="AF3854">
        <v>2.1033953465656601</v>
      </c>
      <c r="AG3854">
        <v>-1.1098971007130001</v>
      </c>
      <c r="AH3854">
        <v>40.875322143075103</v>
      </c>
      <c r="AI3854">
        <v>91.553329156063597</v>
      </c>
      <c r="AJ3854">
        <v>87.054225805301996</v>
      </c>
      <c r="AK3854">
        <v>40.944451441658003</v>
      </c>
      <c r="AL3854">
        <v>87.216598908453093</v>
      </c>
      <c r="AM3854">
        <v>90.366088067080995</v>
      </c>
      <c r="AN3854">
        <v>1.0000000409045999</v>
      </c>
    </row>
    <row r="3855" spans="1:40" x14ac:dyDescent="0.25">
      <c r="A3855" t="str">
        <f>"20190312160409746"</f>
        <v>20190312160409746</v>
      </c>
      <c r="B3855" t="str">
        <f>"1552377849738422"</f>
        <v>1552377849738422</v>
      </c>
      <c r="C3855" t="s">
        <v>40</v>
      </c>
      <c r="D3855">
        <v>5.2282960000000003</v>
      </c>
      <c r="E3855">
        <v>0.52113849999999995</v>
      </c>
      <c r="F3855" t="s">
        <v>79</v>
      </c>
      <c r="G3855">
        <v>-281.70890000000003</v>
      </c>
      <c r="H3855" s="1">
        <v>6.501941E-6</v>
      </c>
      <c r="I3855">
        <v>213.19990000000001</v>
      </c>
      <c r="J3855">
        <v>-325.99299999999999</v>
      </c>
      <c r="K3855">
        <v>1.109899</v>
      </c>
      <c r="L3855">
        <v>213.48580000000001</v>
      </c>
      <c r="M3855">
        <v>0.99896969999999996</v>
      </c>
      <c r="N3855">
        <v>0</v>
      </c>
      <c r="O3855">
        <v>4.3872469999999997E-2</v>
      </c>
      <c r="P3855">
        <v>0.99801119999999999</v>
      </c>
      <c r="Q3855">
        <v>3.7285810000000003E-2</v>
      </c>
      <c r="R3855">
        <v>5.0829529999999998E-2</v>
      </c>
      <c r="S3855">
        <v>3.0095519999999998</v>
      </c>
      <c r="T3855">
        <v>-7.4924829999999998E-2</v>
      </c>
      <c r="U3855">
        <v>-1.8417360000000001E-2</v>
      </c>
      <c r="V3855">
        <v>-6.9904160000000002E-3</v>
      </c>
      <c r="W3855">
        <v>4.8885230000000002E-2</v>
      </c>
      <c r="X3855">
        <v>0.99878</v>
      </c>
      <c r="Y3855">
        <v>4.9959169999999997E-2</v>
      </c>
      <c r="Z3855">
        <v>-1.713684E-3</v>
      </c>
      <c r="AA3855">
        <v>0.99874980000000002</v>
      </c>
      <c r="AB3855">
        <v>29</v>
      </c>
      <c r="AC3855">
        <v>44.284099999999903</v>
      </c>
      <c r="AD3855">
        <v>-1.1098924980589999</v>
      </c>
      <c r="AE3855">
        <v>-0.28589999999999799</v>
      </c>
      <c r="AF3855">
        <v>2.2272094653718302</v>
      </c>
      <c r="AG3855">
        <v>-1.1098924980589999</v>
      </c>
      <c r="AH3855">
        <v>44.201146888511303</v>
      </c>
      <c r="AI3855">
        <v>91.436575189002895</v>
      </c>
      <c r="AJ3855">
        <v>87.115417195832904</v>
      </c>
      <c r="AK3855">
        <v>44.271138562495103</v>
      </c>
      <c r="AL3855">
        <v>87.197966017983006</v>
      </c>
      <c r="AM3855">
        <v>90.401004019041295</v>
      </c>
      <c r="AN3855">
        <v>1.000000060014</v>
      </c>
    </row>
    <row r="3856" spans="1:40" x14ac:dyDescent="0.25">
      <c r="A3856" t="str">
        <f>"20190312160409768"</f>
        <v>20190312160409768</v>
      </c>
      <c r="B3856" t="str">
        <f>"1552377849758918"</f>
        <v>1552377849758918</v>
      </c>
      <c r="C3856" t="s">
        <v>40</v>
      </c>
      <c r="D3856">
        <v>5.0722870000000002</v>
      </c>
      <c r="E3856">
        <v>0.52103279999999996</v>
      </c>
      <c r="F3856" t="s">
        <v>70</v>
      </c>
      <c r="G3856">
        <v>-278.34899999999999</v>
      </c>
      <c r="H3856" s="1">
        <v>2.96698E-6</v>
      </c>
      <c r="I3856">
        <v>213.2242</v>
      </c>
      <c r="J3856">
        <v>-325.70159999999998</v>
      </c>
      <c r="K3856">
        <v>1.109888</v>
      </c>
      <c r="L3856">
        <v>213.49860000000001</v>
      </c>
      <c r="M3856">
        <v>0.99897049999999998</v>
      </c>
      <c r="N3856">
        <v>0</v>
      </c>
      <c r="O3856">
        <v>4.386292E-2</v>
      </c>
      <c r="P3856">
        <v>0.99798039999999999</v>
      </c>
      <c r="Q3856">
        <v>3.7743739999999998E-2</v>
      </c>
      <c r="R3856">
        <v>5.1093470000000002E-2</v>
      </c>
      <c r="S3856">
        <v>3.00943</v>
      </c>
      <c r="T3856">
        <v>-7.0106509999999997E-2</v>
      </c>
      <c r="U3856">
        <v>-1.6525270000000002E-2</v>
      </c>
      <c r="V3856">
        <v>-7.2645879999999998E-3</v>
      </c>
      <c r="W3856">
        <v>4.9307200000000002E-2</v>
      </c>
      <c r="X3856">
        <v>0.99875720000000001</v>
      </c>
      <c r="Y3856">
        <v>4.9325699999999903E-2</v>
      </c>
      <c r="Z3856">
        <v>-1.595974E-3</v>
      </c>
      <c r="AA3856">
        <v>0.99878140000000004</v>
      </c>
      <c r="AB3856">
        <v>29</v>
      </c>
      <c r="AC3856">
        <v>47.352600000000002</v>
      </c>
      <c r="AD3856">
        <v>-1.1098850330200001</v>
      </c>
      <c r="AE3856">
        <v>-0.27440000000001402</v>
      </c>
      <c r="AF3856">
        <v>2.3500073444305101</v>
      </c>
      <c r="AG3856">
        <v>-1.1098850330200001</v>
      </c>
      <c r="AH3856">
        <v>47.269015503873597</v>
      </c>
      <c r="AI3856">
        <v>91.343409535519896</v>
      </c>
      <c r="AJ3856">
        <v>87.153849436424196</v>
      </c>
      <c r="AK3856">
        <v>47.340407750787698</v>
      </c>
      <c r="AL3856">
        <v>87.173759443045299</v>
      </c>
      <c r="AM3856">
        <v>90.416740817711002</v>
      </c>
      <c r="AN3856">
        <v>0.99999995938124397</v>
      </c>
    </row>
    <row r="3857" spans="1:40" x14ac:dyDescent="0.25">
      <c r="A3857" t="str">
        <f>"20190312160409789"</f>
        <v>20190312160409789</v>
      </c>
      <c r="B3857" t="str">
        <f>"1552377849778438"</f>
        <v>1552377849778438</v>
      </c>
      <c r="C3857" t="s">
        <v>40</v>
      </c>
      <c r="D3857">
        <v>5.2632879999999904</v>
      </c>
      <c r="E3857">
        <v>0.52095329999999995</v>
      </c>
      <c r="F3857" t="s">
        <v>70</v>
      </c>
      <c r="G3857">
        <v>-275.32569999999998</v>
      </c>
      <c r="H3857" s="1">
        <v>1.356972E-6</v>
      </c>
      <c r="I3857">
        <v>213.25059999999999</v>
      </c>
      <c r="J3857">
        <v>-325.43790000000001</v>
      </c>
      <c r="K3857">
        <v>1.10988</v>
      </c>
      <c r="L3857">
        <v>213.51009999999999</v>
      </c>
      <c r="M3857">
        <v>0.99897190000000002</v>
      </c>
      <c r="N3857">
        <v>0</v>
      </c>
      <c r="O3857">
        <v>4.3842029999999997E-2</v>
      </c>
      <c r="P3857">
        <v>0.99794850000000002</v>
      </c>
      <c r="Q3857">
        <v>3.8252290000000001E-2</v>
      </c>
      <c r="R3857">
        <v>5.1341089999999999E-2</v>
      </c>
      <c r="S3857">
        <v>3.0093380000000001</v>
      </c>
      <c r="T3857">
        <v>-6.6301940000000004E-2</v>
      </c>
      <c r="U3857">
        <v>-1.4816279999999999E-2</v>
      </c>
      <c r="V3857">
        <v>-7.533011E-3</v>
      </c>
      <c r="W3857">
        <v>4.9783929999999997E-2</v>
      </c>
      <c r="X3857">
        <v>0.99873160000000005</v>
      </c>
      <c r="Y3857">
        <v>4.874059E-2</v>
      </c>
      <c r="Z3857">
        <v>-1.502525E-3</v>
      </c>
      <c r="AA3857">
        <v>0.99881039999999999</v>
      </c>
      <c r="AB3857">
        <v>29</v>
      </c>
      <c r="AC3857">
        <v>50.112200000000001</v>
      </c>
      <c r="AD3857">
        <v>-1.1098786430280001</v>
      </c>
      <c r="AE3857">
        <v>-0.25950000000000201</v>
      </c>
      <c r="AF3857">
        <v>2.4552128457980902</v>
      </c>
      <c r="AG3857">
        <v>-1.1098786430280001</v>
      </c>
      <c r="AH3857">
        <v>50.028092201053802</v>
      </c>
      <c r="AI3857">
        <v>91.269377355418101</v>
      </c>
      <c r="AJ3857">
        <v>87.190367403696001</v>
      </c>
      <c r="AK3857">
        <v>50.100597900599602</v>
      </c>
      <c r="AL3857">
        <v>87.146411345948295</v>
      </c>
      <c r="AM3857">
        <v>90.432149691444806</v>
      </c>
      <c r="AN3857">
        <v>0.99999999738976497</v>
      </c>
    </row>
    <row r="3858" spans="1:40" x14ac:dyDescent="0.25">
      <c r="A3858" t="str">
        <f>"20190312160409812"</f>
        <v>20190312160409812</v>
      </c>
      <c r="B3858" t="str">
        <f>"1552377849808694"</f>
        <v>1552377849808694</v>
      </c>
      <c r="C3858" t="s">
        <v>40</v>
      </c>
      <c r="D3858">
        <v>5.2348790000000003</v>
      </c>
      <c r="E3858">
        <v>0.5205187</v>
      </c>
      <c r="F3858" t="s">
        <v>70</v>
      </c>
      <c r="G3858">
        <v>-271.92020000000002</v>
      </c>
      <c r="H3858" s="1">
        <v>-4.5624719999999998E-7</v>
      </c>
      <c r="I3858">
        <v>213.2732</v>
      </c>
      <c r="J3858">
        <v>-325.15129999999999</v>
      </c>
      <c r="K3858">
        <v>1.1098629999999901</v>
      </c>
      <c r="L3858">
        <v>213.52269999999999</v>
      </c>
      <c r="M3858">
        <v>0.99897369999999996</v>
      </c>
      <c r="N3858">
        <v>0</v>
      </c>
      <c r="O3858">
        <v>4.3806959999999999E-2</v>
      </c>
      <c r="P3858">
        <v>0.99795789999999995</v>
      </c>
      <c r="Q3858">
        <v>3.8450119999999997E-2</v>
      </c>
      <c r="R3858">
        <v>5.100822E-2</v>
      </c>
      <c r="S3858">
        <v>3.0092159999999999</v>
      </c>
      <c r="T3858">
        <v>-6.2406780000000002E-2</v>
      </c>
      <c r="U3858">
        <v>-1.332092E-2</v>
      </c>
      <c r="V3858">
        <v>-7.2343549999999996E-3</v>
      </c>
      <c r="W3858">
        <v>4.9948239999999998E-2</v>
      </c>
      <c r="X3858">
        <v>0.99872559999999999</v>
      </c>
      <c r="Y3858">
        <v>4.8212070000000003E-2</v>
      </c>
      <c r="Z3858">
        <v>-1.4081229999999901E-3</v>
      </c>
      <c r="AA3858">
        <v>0.9988361</v>
      </c>
      <c r="AB3858">
        <v>29</v>
      </c>
      <c r="AC3858">
        <v>53.231099999999898</v>
      </c>
      <c r="AD3858">
        <v>-1.1098634562471901</v>
      </c>
      <c r="AE3858">
        <v>-0.24949999999998301</v>
      </c>
      <c r="AF3858">
        <v>2.5801859897825499</v>
      </c>
      <c r="AG3858">
        <v>-1.1098634562471901</v>
      </c>
      <c r="AH3858">
        <v>53.1459585427177</v>
      </c>
      <c r="AI3858">
        <v>91.194944543176803</v>
      </c>
      <c r="AJ3858">
        <v>87.220526508132593</v>
      </c>
      <c r="AK3858">
        <v>53.220128391968899</v>
      </c>
      <c r="AL3858">
        <v>87.136985337997601</v>
      </c>
      <c r="AM3858">
        <v>90.415019660776395</v>
      </c>
      <c r="AN3858">
        <v>0.99999999333336098</v>
      </c>
    </row>
    <row r="3859" spans="1:40" x14ac:dyDescent="0.25">
      <c r="A3859" t="str">
        <f>"20190312160409835"</f>
        <v>20190312160409835</v>
      </c>
      <c r="B3859" t="str">
        <f>"1552377849828215"</f>
        <v>1552377849828215</v>
      </c>
      <c r="C3859" t="s">
        <v>40</v>
      </c>
      <c r="D3859">
        <v>5.2058350000000004</v>
      </c>
      <c r="E3859">
        <v>0.52014099999999996</v>
      </c>
      <c r="F3859" t="s">
        <v>70</v>
      </c>
      <c r="G3859">
        <v>-269.03649999999999</v>
      </c>
      <c r="H3859" s="1">
        <v>3.328776E-6</v>
      </c>
      <c r="I3859">
        <v>213.3175</v>
      </c>
      <c r="J3859">
        <v>-324.8544</v>
      </c>
      <c r="K3859">
        <v>1.1098440000000001</v>
      </c>
      <c r="L3859">
        <v>213.53569999999999</v>
      </c>
      <c r="M3859">
        <v>0.99897670000000005</v>
      </c>
      <c r="N3859">
        <v>0</v>
      </c>
      <c r="O3859">
        <v>4.3749290000000003E-2</v>
      </c>
      <c r="P3859">
        <v>0.99797210000000003</v>
      </c>
      <c r="Q3859">
        <v>3.8241989999999997E-2</v>
      </c>
      <c r="R3859">
        <v>5.088728E-2</v>
      </c>
      <c r="S3859">
        <v>3.0090029999999999</v>
      </c>
      <c r="T3859">
        <v>-5.9513209999999997E-2</v>
      </c>
      <c r="U3859">
        <v>-1.100159E-2</v>
      </c>
      <c r="V3859">
        <v>-7.1687219999999998E-3</v>
      </c>
      <c r="W3859">
        <v>4.9702959999999997E-2</v>
      </c>
      <c r="X3859">
        <v>0.99873829999999997</v>
      </c>
      <c r="Y3859">
        <v>4.7386749999999998E-2</v>
      </c>
      <c r="Z3859">
        <v>-1.333639E-3</v>
      </c>
      <c r="AA3859">
        <v>0.99887570000000003</v>
      </c>
      <c r="AB3859">
        <v>29</v>
      </c>
      <c r="AC3859">
        <v>55.817900000000002</v>
      </c>
      <c r="AD3859">
        <v>-1.1098406712240001</v>
      </c>
      <c r="AE3859">
        <v>-0.21819999999999501</v>
      </c>
      <c r="AF3859">
        <v>2.6590939516597998</v>
      </c>
      <c r="AG3859">
        <v>-1.1098406712240001</v>
      </c>
      <c r="AH3859">
        <v>55.732869641450201</v>
      </c>
      <c r="AI3859">
        <v>91.139517106522405</v>
      </c>
      <c r="AJ3859">
        <v>87.268408865682801</v>
      </c>
      <c r="AK3859">
        <v>55.807304946844901</v>
      </c>
      <c r="AL3859">
        <v>87.151056295554497</v>
      </c>
      <c r="AM3859">
        <v>90.411249334805603</v>
      </c>
      <c r="AN3859">
        <v>0.99999998334738205</v>
      </c>
    </row>
    <row r="3860" spans="1:40" x14ac:dyDescent="0.25">
      <c r="A3860" t="str">
        <f>"20190312160409857"</f>
        <v>20190312160409857</v>
      </c>
      <c r="B3860" t="str">
        <f>"1552377849848710"</f>
        <v>1552377849848710</v>
      </c>
      <c r="C3860" t="s">
        <v>40</v>
      </c>
      <c r="D3860">
        <v>5.2746769999999996</v>
      </c>
      <c r="E3860">
        <v>0.51970509999999903</v>
      </c>
      <c r="F3860" t="s">
        <v>70</v>
      </c>
      <c r="G3860">
        <v>-269.78969999999998</v>
      </c>
      <c r="H3860" s="1">
        <v>3.7268060000000002E-6</v>
      </c>
      <c r="I3860">
        <v>213.38120000000001</v>
      </c>
      <c r="J3860">
        <v>-324.56799999999998</v>
      </c>
      <c r="K3860">
        <v>1.1098159999999999</v>
      </c>
      <c r="L3860">
        <v>213.54810000000001</v>
      </c>
      <c r="M3860">
        <v>0.99898069999999894</v>
      </c>
      <c r="N3860">
        <v>0</v>
      </c>
      <c r="O3860">
        <v>4.3666700000000003E-2</v>
      </c>
      <c r="P3860">
        <v>0.99801960000000001</v>
      </c>
      <c r="Q3860">
        <v>3.7818259999999999E-2</v>
      </c>
      <c r="R3860">
        <v>5.0266360000000003E-2</v>
      </c>
      <c r="S3860">
        <v>3.0088499999999998</v>
      </c>
      <c r="T3860">
        <v>-6.0644030000000002E-2</v>
      </c>
      <c r="U3860">
        <v>-8.4381100000000004E-3</v>
      </c>
      <c r="V3860">
        <v>-6.6269170000000004E-3</v>
      </c>
      <c r="W3860">
        <v>4.9243380000000003E-2</v>
      </c>
      <c r="X3860">
        <v>0.99876480000000001</v>
      </c>
      <c r="Y3860">
        <v>4.6452819999999999E-2</v>
      </c>
      <c r="Z3860">
        <v>-1.347967E-3</v>
      </c>
      <c r="AA3860">
        <v>0.99891949999999996</v>
      </c>
      <c r="AB3860">
        <v>29</v>
      </c>
      <c r="AC3860">
        <v>54.778300000000002</v>
      </c>
      <c r="AD3860">
        <v>-1.1098122731940001</v>
      </c>
      <c r="AE3860">
        <v>-0.16689999999999799</v>
      </c>
      <c r="AF3860">
        <v>2.5578348968089699</v>
      </c>
      <c r="AG3860">
        <v>-1.1098122731940001</v>
      </c>
      <c r="AH3860">
        <v>54.6963036817152</v>
      </c>
      <c r="AI3860">
        <v>91.161128693157394</v>
      </c>
      <c r="AJ3860">
        <v>87.322553043058903</v>
      </c>
      <c r="AK3860">
        <v>54.767324556559103</v>
      </c>
      <c r="AL3860">
        <v>87.177420554434605</v>
      </c>
      <c r="AM3860">
        <v>90.380158375075993</v>
      </c>
      <c r="AN3860">
        <v>0.99999997611089397</v>
      </c>
    </row>
    <row r="3861" spans="1:40" x14ac:dyDescent="0.25">
      <c r="A3861" t="str">
        <f>"20190312160409877"</f>
        <v>20190312160409877</v>
      </c>
      <c r="B3861" t="str">
        <f>"1552377849868230"</f>
        <v>1552377849868230</v>
      </c>
      <c r="C3861" t="s">
        <v>40</v>
      </c>
      <c r="D3861">
        <v>5.1611029999999998</v>
      </c>
      <c r="E3861">
        <v>0.51946570000000003</v>
      </c>
      <c r="F3861" t="s">
        <v>70</v>
      </c>
      <c r="G3861">
        <v>-270.92059999999998</v>
      </c>
      <c r="H3861" s="1">
        <v>-9.9494879999999999E-7</v>
      </c>
      <c r="I3861">
        <v>213.42840000000001</v>
      </c>
      <c r="J3861">
        <v>-324.29790000000003</v>
      </c>
      <c r="K3861">
        <v>1.109796</v>
      </c>
      <c r="L3861">
        <v>213.5598</v>
      </c>
      <c r="M3861">
        <v>0.99898580000000003</v>
      </c>
      <c r="N3861">
        <v>0</v>
      </c>
      <c r="O3861">
        <v>4.3559069999999998E-2</v>
      </c>
      <c r="P3861">
        <v>0.99803540000000002</v>
      </c>
      <c r="Q3861">
        <v>3.8306300000000001E-2</v>
      </c>
      <c r="R3861">
        <v>4.9579209999999999E-2</v>
      </c>
      <c r="S3861">
        <v>3.0086979999999999</v>
      </c>
      <c r="T3861">
        <v>-6.2241669999999999E-2</v>
      </c>
      <c r="U3861">
        <v>-6.7138669999999897E-3</v>
      </c>
      <c r="V3861">
        <v>-6.0443270000000004E-3</v>
      </c>
      <c r="W3861">
        <v>4.9700109999999999E-2</v>
      </c>
      <c r="X3861">
        <v>0.99874589999999996</v>
      </c>
      <c r="Y3861">
        <v>4.5772050000000002E-2</v>
      </c>
      <c r="Z3861">
        <v>-1.3742730000000001E-3</v>
      </c>
      <c r="AA3861">
        <v>0.99895100000000003</v>
      </c>
      <c r="AB3861">
        <v>29</v>
      </c>
      <c r="AC3861">
        <v>53.377299999999998</v>
      </c>
      <c r="AD3861">
        <v>-1.1097969949488</v>
      </c>
      <c r="AE3861">
        <v>-0.131399999999985</v>
      </c>
      <c r="AF3861">
        <v>2.4554304839552401</v>
      </c>
      <c r="AG3861">
        <v>-1.1097969949488</v>
      </c>
      <c r="AH3861">
        <v>53.297866561457901</v>
      </c>
      <c r="AI3861">
        <v>91.191607795598202</v>
      </c>
      <c r="AJ3861">
        <v>87.362250934115096</v>
      </c>
      <c r="AK3861">
        <v>53.365938277467798</v>
      </c>
      <c r="AL3861">
        <v>87.151219848888303</v>
      </c>
      <c r="AM3861">
        <v>90.346745052157502</v>
      </c>
      <c r="AN3861">
        <v>1.00000000379485</v>
      </c>
    </row>
    <row r="3862" spans="1:40" x14ac:dyDescent="0.25">
      <c r="A3862" t="str">
        <f>"20190312160410124"</f>
        <v>20190312160410124</v>
      </c>
      <c r="B3862" t="str">
        <f>"1552377850119063"</f>
        <v>1552377850119063</v>
      </c>
      <c r="C3862" t="s">
        <v>40</v>
      </c>
      <c r="D3862">
        <v>4.1654660000000003</v>
      </c>
      <c r="E3862">
        <v>0.51945439999999998</v>
      </c>
      <c r="F3862" t="s">
        <v>70</v>
      </c>
      <c r="G3862">
        <v>-267.84070000000003</v>
      </c>
      <c r="H3862" s="1">
        <v>2.687535E-6</v>
      </c>
      <c r="I3862">
        <v>213.42959999999999</v>
      </c>
      <c r="J3862">
        <v>-321.13099999999997</v>
      </c>
      <c r="K3862">
        <v>1.1094889999999999</v>
      </c>
      <c r="L3862">
        <v>213.69069999999999</v>
      </c>
      <c r="M3862">
        <v>0.99912900000000004</v>
      </c>
      <c r="N3862">
        <v>0</v>
      </c>
      <c r="O3862">
        <v>4.0241100000000002E-2</v>
      </c>
      <c r="P3862">
        <v>0.99796410000000002</v>
      </c>
      <c r="Q3862">
        <v>3.7032299999999997E-2</v>
      </c>
      <c r="R3862">
        <v>5.1923539999999997E-2</v>
      </c>
      <c r="S3862">
        <v>3.0085139999999999</v>
      </c>
      <c r="T3862">
        <v>-5.9139129999999998E-2</v>
      </c>
      <c r="U3862">
        <v>-6.9427489999999998E-3</v>
      </c>
      <c r="V3862">
        <v>-1.167904E-2</v>
      </c>
      <c r="W3862">
        <v>4.807985E-2</v>
      </c>
      <c r="X3862">
        <v>0.99877519999999997</v>
      </c>
      <c r="Y3862">
        <v>4.2533290000000001E-2</v>
      </c>
      <c r="Z3862">
        <v>-1.208853E-3</v>
      </c>
      <c r="AA3862">
        <v>0.99909429999999999</v>
      </c>
      <c r="AB3862">
        <v>29</v>
      </c>
      <c r="AC3862">
        <v>53.290299999999903</v>
      </c>
      <c r="AD3862">
        <v>-1.1094863124649901</v>
      </c>
      <c r="AE3862">
        <v>-0.261099999999999</v>
      </c>
      <c r="AF3862">
        <v>2.4044372870698898</v>
      </c>
      <c r="AG3862">
        <v>-1.1094863124649901</v>
      </c>
      <c r="AH3862">
        <v>53.213556624460502</v>
      </c>
      <c r="AI3862">
        <v>91.193209262588894</v>
      </c>
      <c r="AJ3862">
        <v>87.412868515476106</v>
      </c>
      <c r="AK3862">
        <v>53.279403967853</v>
      </c>
      <c r="AL3862">
        <v>87.244165016227996</v>
      </c>
      <c r="AM3862">
        <v>90.669949758610301</v>
      </c>
      <c r="AN3862">
        <v>0.99999998604319096</v>
      </c>
    </row>
    <row r="3863" spans="1:40" x14ac:dyDescent="0.25">
      <c r="A3863" t="str">
        <f>"20190312160410148"</f>
        <v>20190312160410148</v>
      </c>
      <c r="B3863" t="str">
        <f>"1552377850138582"</f>
        <v>1552377850138582</v>
      </c>
      <c r="C3863" t="s">
        <v>40</v>
      </c>
      <c r="D3863">
        <v>5.510141</v>
      </c>
      <c r="E3863">
        <v>0.52523199999999903</v>
      </c>
      <c r="F3863" t="s">
        <v>70</v>
      </c>
      <c r="G3863">
        <v>-269.88010000000003</v>
      </c>
      <c r="H3863" s="1">
        <v>3.7615779999999999E-6</v>
      </c>
      <c r="I3863">
        <v>213.68549999999999</v>
      </c>
      <c r="J3863">
        <v>-320.83300000000003</v>
      </c>
      <c r="K3863">
        <v>1.109459</v>
      </c>
      <c r="L3863">
        <v>213.7022</v>
      </c>
      <c r="M3863">
        <v>0.99914910000000001</v>
      </c>
      <c r="N3863">
        <v>0</v>
      </c>
      <c r="O3863">
        <v>3.9746200000000002E-2</v>
      </c>
      <c r="P3863">
        <v>0.99797460000000004</v>
      </c>
      <c r="Q3863">
        <v>3.6835399999999997E-2</v>
      </c>
      <c r="R3863">
        <v>5.186872E-2</v>
      </c>
      <c r="S3863">
        <v>3.0085449999999998</v>
      </c>
      <c r="T3863">
        <v>-6.5129279999999998E-2</v>
      </c>
      <c r="U3863">
        <v>-3.0517579999999998E-4</v>
      </c>
      <c r="V3863">
        <v>-1.2115890000000001E-2</v>
      </c>
      <c r="W3863">
        <v>4.7857900000000002E-2</v>
      </c>
      <c r="X3863">
        <v>0.99878069999999997</v>
      </c>
      <c r="Y3863">
        <v>3.9831320000000003E-2</v>
      </c>
      <c r="Z3863">
        <v>-1.2912970000000001E-3</v>
      </c>
      <c r="AA3863">
        <v>0.99920560000000003</v>
      </c>
      <c r="AB3863">
        <v>29</v>
      </c>
      <c r="AC3863">
        <v>50.9528999999999</v>
      </c>
      <c r="AD3863">
        <v>-1.109455238422</v>
      </c>
      <c r="AE3863">
        <v>-1.6700000000014301E-2</v>
      </c>
      <c r="AF3863">
        <v>2.0410261338331899</v>
      </c>
      <c r="AG3863">
        <v>-1.109455238422</v>
      </c>
      <c r="AH3863">
        <v>50.887842137453099</v>
      </c>
      <c r="AI3863">
        <v>91.247959975957201</v>
      </c>
      <c r="AJ3863">
        <v>87.703193307848295</v>
      </c>
      <c r="AK3863">
        <v>50.940839765470997</v>
      </c>
      <c r="AL3863">
        <v>87.256896591525702</v>
      </c>
      <c r="AM3863">
        <v>90.695002731101297</v>
      </c>
      <c r="AN3863">
        <v>1.0000000300376899</v>
      </c>
    </row>
    <row r="3864" spans="1:40" x14ac:dyDescent="0.25">
      <c r="A3864" t="str">
        <f>"20190312160410170"</f>
        <v>20190312160410170</v>
      </c>
      <c r="B3864" t="str">
        <f>"1552377850158104"</f>
        <v>1552377850158104</v>
      </c>
      <c r="C3864" t="s">
        <v>40</v>
      </c>
      <c r="D3864">
        <v>6.3376419999999998</v>
      </c>
      <c r="E3864">
        <v>0.50637010000000005</v>
      </c>
      <c r="F3864" t="s">
        <v>49</v>
      </c>
      <c r="G3864">
        <v>-319.93369999999999</v>
      </c>
      <c r="H3864">
        <v>0.8610215</v>
      </c>
      <c r="I3864">
        <v>213.6867</v>
      </c>
      <c r="J3864">
        <v>-320.5428</v>
      </c>
      <c r="K3864">
        <v>1.109416</v>
      </c>
      <c r="L3864">
        <v>213.7132</v>
      </c>
      <c r="M3864">
        <v>0.99917049999999996</v>
      </c>
      <c r="N3864">
        <v>0</v>
      </c>
      <c r="O3864">
        <v>3.921235E-2</v>
      </c>
      <c r="P3864">
        <v>0.99799910000000003</v>
      </c>
      <c r="Q3864">
        <v>3.6785690000000003E-2</v>
      </c>
      <c r="R3864">
        <v>5.1428649999999999E-2</v>
      </c>
      <c r="S3864">
        <v>3.0397340000000002</v>
      </c>
      <c r="T3864">
        <v>-0.83966949999999996</v>
      </c>
      <c r="U3864">
        <v>-5.1315310000000003E-2</v>
      </c>
      <c r="V3864">
        <v>-1.220547E-2</v>
      </c>
      <c r="W3864">
        <v>4.7781219999999999E-2</v>
      </c>
      <c r="X3864">
        <v>0.99878319999999998</v>
      </c>
      <c r="Y3864">
        <v>5.2636330000000002E-2</v>
      </c>
      <c r="Z3864">
        <v>-1.7767080000000001E-2</v>
      </c>
      <c r="AA3864">
        <v>0.99845569999999895</v>
      </c>
      <c r="AB3864">
        <v>29</v>
      </c>
      <c r="AC3864">
        <v>0.60910000000001197</v>
      </c>
      <c r="AD3864">
        <v>-0.24839449999999999</v>
      </c>
      <c r="AE3864">
        <v>-2.6499999999998601E-2</v>
      </c>
      <c r="AF3864">
        <v>4.3195260430077403E-2</v>
      </c>
      <c r="AG3864">
        <v>-0.24839449999999999</v>
      </c>
      <c r="AH3864">
        <v>0.52109502404027397</v>
      </c>
      <c r="AI3864">
        <v>115.409991449458</v>
      </c>
      <c r="AJ3864">
        <v>85.261400205495605</v>
      </c>
      <c r="AK3864">
        <v>0.57888313348499498</v>
      </c>
      <c r="AL3864">
        <v>87.261294843040801</v>
      </c>
      <c r="AM3864">
        <v>90.700139038798298</v>
      </c>
      <c r="AN3864">
        <v>0.99999994954242299</v>
      </c>
    </row>
    <row r="3865" spans="1:40" x14ac:dyDescent="0.25">
      <c r="A3865" t="str">
        <f>"20190312160410192"</f>
        <v>20190312160410192</v>
      </c>
      <c r="B3865" t="str">
        <f>"1552377850188358"</f>
        <v>1552377850188358</v>
      </c>
      <c r="C3865" t="s">
        <v>40</v>
      </c>
      <c r="D3865">
        <v>5.1789399999999999</v>
      </c>
      <c r="E3865">
        <v>0.51082070000000002</v>
      </c>
      <c r="F3865" t="s">
        <v>79</v>
      </c>
      <c r="G3865">
        <v>-287.49590000000001</v>
      </c>
      <c r="H3865" s="1">
        <v>3.740705E-6</v>
      </c>
      <c r="I3865">
        <v>214.83519999999999</v>
      </c>
      <c r="J3865">
        <v>-320.26519999999999</v>
      </c>
      <c r="K3865">
        <v>1.1093649999999999</v>
      </c>
      <c r="L3865">
        <v>213.7235</v>
      </c>
      <c r="M3865">
        <v>0.99919219999999997</v>
      </c>
      <c r="N3865">
        <v>0</v>
      </c>
      <c r="O3865">
        <v>3.8663009999999998E-2</v>
      </c>
      <c r="P3865">
        <v>0.99805869999999997</v>
      </c>
      <c r="Q3865">
        <v>3.6508329999999999E-2</v>
      </c>
      <c r="R3865">
        <v>5.0456470000000003E-2</v>
      </c>
      <c r="S3865">
        <v>3.004486</v>
      </c>
      <c r="T3865">
        <v>-0.10086299999999999</v>
      </c>
      <c r="U3865">
        <v>0.102005</v>
      </c>
      <c r="V3865">
        <v>-1.1777009999999999E-2</v>
      </c>
      <c r="W3865">
        <v>4.7476379999999999E-2</v>
      </c>
      <c r="X3865">
        <v>0.998803</v>
      </c>
      <c r="Y3865">
        <v>4.712702E-3</v>
      </c>
      <c r="Z3865">
        <v>-1.375891E-3</v>
      </c>
      <c r="AA3865">
        <v>0.99998799999999999</v>
      </c>
      <c r="AB3865">
        <v>29</v>
      </c>
      <c r="AC3865">
        <v>32.769299999999902</v>
      </c>
      <c r="AD3865">
        <v>-1.109361259295</v>
      </c>
      <c r="AE3865">
        <v>1.1116999999999799</v>
      </c>
      <c r="AF3865">
        <v>0.15598861589669699</v>
      </c>
      <c r="AG3865">
        <v>-1.109361259295</v>
      </c>
      <c r="AH3865">
        <v>32.750288886785803</v>
      </c>
      <c r="AI3865">
        <v>91.940034930060193</v>
      </c>
      <c r="AJ3865">
        <v>89.727104032887695</v>
      </c>
      <c r="AK3865">
        <v>32.769443648311103</v>
      </c>
      <c r="AL3865">
        <v>87.278781058615195</v>
      </c>
      <c r="AM3865">
        <v>90.675550333275993</v>
      </c>
      <c r="AN3865">
        <v>1.00000006871571</v>
      </c>
    </row>
    <row r="3866" spans="1:40" x14ac:dyDescent="0.25">
      <c r="A3866" t="str">
        <f>"20190312160410214"</f>
        <v>20190312160410214</v>
      </c>
      <c r="B3866" t="str">
        <f>"1552377850208855"</f>
        <v>1552377850208855</v>
      </c>
      <c r="C3866" t="s">
        <v>40</v>
      </c>
      <c r="D3866">
        <v>5.3197070000000002</v>
      </c>
      <c r="E3866">
        <v>0.51186860000000001</v>
      </c>
      <c r="F3866" t="s">
        <v>79</v>
      </c>
      <c r="G3866">
        <v>-280.84879999999998</v>
      </c>
      <c r="H3866" s="1">
        <v>6.7218039999999999E-6</v>
      </c>
      <c r="I3866">
        <v>214.55510000000001</v>
      </c>
      <c r="J3866">
        <v>-319.97590000000002</v>
      </c>
      <c r="K3866">
        <v>1.1093309999999901</v>
      </c>
      <c r="L3866">
        <v>213.73410000000001</v>
      </c>
      <c r="M3866">
        <v>0.99921629999999995</v>
      </c>
      <c r="N3866">
        <v>0</v>
      </c>
      <c r="O3866">
        <v>3.8041220000000001E-2</v>
      </c>
      <c r="P3866">
        <v>0.99817959999999994</v>
      </c>
      <c r="Q3866">
        <v>3.6218350000000003E-2</v>
      </c>
      <c r="R3866">
        <v>4.8226900000000003E-2</v>
      </c>
      <c r="S3866">
        <v>3.0057680000000002</v>
      </c>
      <c r="T3866">
        <v>-8.4596160000000004E-2</v>
      </c>
      <c r="U3866">
        <v>6.3415529999999998E-2</v>
      </c>
      <c r="V3866">
        <v>-1.016213E-2</v>
      </c>
      <c r="W3866">
        <v>4.7158220000000001E-2</v>
      </c>
      <c r="X3866">
        <v>0.99883569999999999</v>
      </c>
      <c r="Y3866">
        <v>1.6935289999999999E-2</v>
      </c>
      <c r="Z3866">
        <v>-1.3083319999999999E-3</v>
      </c>
      <c r="AA3866">
        <v>0.99985579999999996</v>
      </c>
      <c r="AB3866">
        <v>29</v>
      </c>
      <c r="AC3866">
        <v>39.127099999999999</v>
      </c>
      <c r="AD3866">
        <v>-1.10932427819599</v>
      </c>
      <c r="AE3866">
        <v>0.82099999999999795</v>
      </c>
      <c r="AF3866">
        <v>0.66758961974432796</v>
      </c>
      <c r="AG3866">
        <v>-1.10932427819599</v>
      </c>
      <c r="AH3866">
        <v>39.098594372228703</v>
      </c>
      <c r="AI3866">
        <v>91.624950917291201</v>
      </c>
      <c r="AJ3866">
        <v>89.021797284743698</v>
      </c>
      <c r="AK3866">
        <v>39.120025027326598</v>
      </c>
      <c r="AL3866">
        <v>87.297030432822496</v>
      </c>
      <c r="AM3866">
        <v>90.582905748849299</v>
      </c>
      <c r="AN3866">
        <v>0.99999996109709599</v>
      </c>
    </row>
    <row r="3867" spans="1:40" x14ac:dyDescent="0.25">
      <c r="A3867" t="str">
        <f>"20190312160410236"</f>
        <v>20190312160410236</v>
      </c>
      <c r="B3867" t="str">
        <f>"1552377850228374"</f>
        <v>1552377850228374</v>
      </c>
      <c r="C3867" t="s">
        <v>40</v>
      </c>
      <c r="D3867">
        <v>5.259207</v>
      </c>
      <c r="E3867">
        <v>0.51180579999999998</v>
      </c>
      <c r="F3867" t="s">
        <v>79</v>
      </c>
      <c r="G3867">
        <v>-282.7534</v>
      </c>
      <c r="H3867" s="1">
        <v>5.903488E-6</v>
      </c>
      <c r="I3867">
        <v>214.3347</v>
      </c>
      <c r="J3867">
        <v>-319.68680000000001</v>
      </c>
      <c r="K3867">
        <v>1.109289</v>
      </c>
      <c r="L3867">
        <v>213.74440000000001</v>
      </c>
      <c r="M3867">
        <v>0.99924219999999997</v>
      </c>
      <c r="N3867">
        <v>0</v>
      </c>
      <c r="O3867">
        <v>3.7363569999999999E-2</v>
      </c>
      <c r="P3867">
        <v>0.99828079999999997</v>
      </c>
      <c r="Q3867">
        <v>3.6340409999999997E-2</v>
      </c>
      <c r="R3867">
        <v>4.5990530000000002E-2</v>
      </c>
      <c r="S3867">
        <v>3.006348</v>
      </c>
      <c r="T3867">
        <v>-8.9596750000000003E-2</v>
      </c>
      <c r="U3867">
        <v>4.8507689999999999E-2</v>
      </c>
      <c r="V3867">
        <v>-8.5965390000000003E-3</v>
      </c>
      <c r="W3867">
        <v>4.725538E-2</v>
      </c>
      <c r="X3867">
        <v>0.99884589999999995</v>
      </c>
      <c r="Y3867">
        <v>2.1213220000000001E-2</v>
      </c>
      <c r="Z3867">
        <v>-1.429011E-3</v>
      </c>
      <c r="AA3867">
        <v>0.99977400000000005</v>
      </c>
      <c r="AB3867">
        <v>29</v>
      </c>
      <c r="AC3867">
        <v>36.933399999999999</v>
      </c>
      <c r="AD3867">
        <v>-1.109283096512</v>
      </c>
      <c r="AE3867">
        <v>0.59029999999998495</v>
      </c>
      <c r="AF3867">
        <v>0.78944605365954501</v>
      </c>
      <c r="AG3867">
        <v>-1.109283096512</v>
      </c>
      <c r="AH3867">
        <v>36.896389685364099</v>
      </c>
      <c r="AI3867">
        <v>91.721674418889407</v>
      </c>
      <c r="AJ3867">
        <v>88.774269599413103</v>
      </c>
      <c r="AK3867">
        <v>36.921501944992599</v>
      </c>
      <c r="AL3867">
        <v>87.291457606999899</v>
      </c>
      <c r="AM3867">
        <v>90.4931023318927</v>
      </c>
      <c r="AN3867">
        <v>1.00000005168426</v>
      </c>
    </row>
    <row r="3868" spans="1:40" x14ac:dyDescent="0.25">
      <c r="A3868" t="str">
        <f>"20190312160410257"</f>
        <v>20190312160410257</v>
      </c>
      <c r="B3868" t="str">
        <f>"1552377850248871"</f>
        <v>1552377850248871</v>
      </c>
      <c r="C3868" t="s">
        <v>40</v>
      </c>
      <c r="D3868">
        <v>5.2493249999999998</v>
      </c>
      <c r="E3868">
        <v>0.5117081</v>
      </c>
      <c r="F3868" t="s">
        <v>79</v>
      </c>
      <c r="G3868">
        <v>-285.29730000000001</v>
      </c>
      <c r="H3868" s="1">
        <v>4.7882759999999997E-6</v>
      </c>
      <c r="I3868">
        <v>214.22640000000001</v>
      </c>
      <c r="J3868">
        <v>-319.40699999999998</v>
      </c>
      <c r="K3868">
        <v>1.1092500000000001</v>
      </c>
      <c r="L3868">
        <v>213.75409999999999</v>
      </c>
      <c r="M3868">
        <v>0.99926870000000001</v>
      </c>
      <c r="N3868">
        <v>0</v>
      </c>
      <c r="O3868">
        <v>3.6652079999999997E-2</v>
      </c>
      <c r="P3868">
        <v>0.99833910000000003</v>
      </c>
      <c r="Q3868">
        <v>3.6645270000000001E-2</v>
      </c>
      <c r="R3868">
        <v>4.4456139999999998E-2</v>
      </c>
      <c r="S3868">
        <v>3.0067140000000001</v>
      </c>
      <c r="T3868">
        <v>-9.6985940000000007E-2</v>
      </c>
      <c r="U3868">
        <v>4.214478E-2</v>
      </c>
      <c r="V3868">
        <v>-7.7676919999999997E-3</v>
      </c>
      <c r="W3868">
        <v>4.7538780000000003E-2</v>
      </c>
      <c r="X3868">
        <v>0.99883920000000004</v>
      </c>
      <c r="Y3868">
        <v>2.2613749999999998E-2</v>
      </c>
      <c r="Z3868">
        <v>-1.5463040000000001E-3</v>
      </c>
      <c r="AA3868">
        <v>0.9997431</v>
      </c>
      <c r="AB3868">
        <v>29</v>
      </c>
      <c r="AC3868">
        <v>34.109699999999897</v>
      </c>
      <c r="AD3868">
        <v>-1.1092452117239999</v>
      </c>
      <c r="AE3868">
        <v>0.47230000000001798</v>
      </c>
      <c r="AF3868">
        <v>0.77746099156689397</v>
      </c>
      <c r="AG3868">
        <v>-1.1092452117239999</v>
      </c>
      <c r="AH3868">
        <v>34.068068676653802</v>
      </c>
      <c r="AI3868">
        <v>91.864388016724703</v>
      </c>
      <c r="AJ3868">
        <v>88.692690698292495</v>
      </c>
      <c r="AK3868">
        <v>34.0949875185538</v>
      </c>
      <c r="AL3868">
        <v>87.275201600779795</v>
      </c>
      <c r="AM3868">
        <v>90.445564207478199</v>
      </c>
      <c r="AN3868">
        <v>1.0000000100497599</v>
      </c>
    </row>
    <row r="3869" spans="1:40" x14ac:dyDescent="0.25">
      <c r="A3869" t="str">
        <f>"20190312160410280"</f>
        <v>20190312160410280</v>
      </c>
      <c r="B3869" t="str">
        <f>"1552377850268391"</f>
        <v>1552377850268391</v>
      </c>
      <c r="C3869" t="s">
        <v>40</v>
      </c>
      <c r="D3869">
        <v>5.2877960000000002</v>
      </c>
      <c r="E3869">
        <v>0.51169089999999995</v>
      </c>
      <c r="F3869" t="s">
        <v>79</v>
      </c>
      <c r="G3869">
        <v>-286.26760000000002</v>
      </c>
      <c r="H3869" s="1">
        <v>4.3640549999999997E-6</v>
      </c>
      <c r="I3869">
        <v>214.17519999999999</v>
      </c>
      <c r="J3869">
        <v>-319.1164</v>
      </c>
      <c r="K3869">
        <v>1.109202</v>
      </c>
      <c r="L3869">
        <v>213.76390000000001</v>
      </c>
      <c r="M3869">
        <v>0.99929789999999996</v>
      </c>
      <c r="N3869">
        <v>0</v>
      </c>
      <c r="O3869">
        <v>3.5858830000000001E-2</v>
      </c>
      <c r="P3869">
        <v>0.99836530000000001</v>
      </c>
      <c r="Q3869">
        <v>3.692902E-2</v>
      </c>
      <c r="R3869">
        <v>4.3627590000000001E-2</v>
      </c>
      <c r="S3869">
        <v>3.006958</v>
      </c>
      <c r="T3869">
        <v>-0.1006495</v>
      </c>
      <c r="U3869">
        <v>3.8208010000000001E-2</v>
      </c>
      <c r="V3869">
        <v>-7.7266349999999999E-3</v>
      </c>
      <c r="W3869">
        <v>4.7801219999999998E-2</v>
      </c>
      <c r="X3869">
        <v>0.99882700000000002</v>
      </c>
      <c r="Y3869">
        <v>2.3127700000000001E-2</v>
      </c>
      <c r="Z3869">
        <v>-1.5866420000000001E-3</v>
      </c>
      <c r="AA3869">
        <v>0.99973120000000004</v>
      </c>
      <c r="AB3869">
        <v>29</v>
      </c>
      <c r="AC3869">
        <v>32.848799999999898</v>
      </c>
      <c r="AD3869">
        <v>-1.109197635945</v>
      </c>
      <c r="AE3869">
        <v>0.41129999999998201</v>
      </c>
      <c r="AF3869">
        <v>0.766080159938065</v>
      </c>
      <c r="AG3869">
        <v>-1.109197635945</v>
      </c>
      <c r="AH3869">
        <v>32.805022677789701</v>
      </c>
      <c r="AI3869">
        <v>91.936009614142705</v>
      </c>
      <c r="AJ3869">
        <v>88.662241935690602</v>
      </c>
      <c r="AK3869">
        <v>32.8327079464569</v>
      </c>
      <c r="AL3869">
        <v>87.260147800722507</v>
      </c>
      <c r="AM3869">
        <v>90.443214635786106</v>
      </c>
      <c r="AN3869">
        <v>1.0000000167254499</v>
      </c>
    </row>
    <row r="3870" spans="1:40" x14ac:dyDescent="0.25">
      <c r="A3870" t="str">
        <f>"20190312160410303"</f>
        <v>20190312160410303</v>
      </c>
      <c r="B3870" t="str">
        <f>"1552377850298647"</f>
        <v>1552377850298647</v>
      </c>
      <c r="C3870" t="s">
        <v>40</v>
      </c>
      <c r="D3870">
        <v>5.2414889999999996</v>
      </c>
      <c r="E3870">
        <v>0.51156979999999996</v>
      </c>
      <c r="F3870" t="s">
        <v>79</v>
      </c>
      <c r="G3870">
        <v>-286.04939999999999</v>
      </c>
      <c r="H3870" s="1">
        <v>4.4628340000000004E-6</v>
      </c>
      <c r="I3870">
        <v>214.15860000000001</v>
      </c>
      <c r="J3870">
        <v>-318.82159999999999</v>
      </c>
      <c r="K3870">
        <v>1.109159</v>
      </c>
      <c r="L3870">
        <v>213.77369999999999</v>
      </c>
      <c r="M3870">
        <v>0.99932840000000001</v>
      </c>
      <c r="N3870">
        <v>0</v>
      </c>
      <c r="O3870">
        <v>3.5003699999999999E-2</v>
      </c>
      <c r="P3870">
        <v>0.99839500000000003</v>
      </c>
      <c r="Q3870">
        <v>3.713487E-2</v>
      </c>
      <c r="R3870">
        <v>4.2762189999999999E-2</v>
      </c>
      <c r="S3870">
        <v>3.0071409999999998</v>
      </c>
      <c r="T3870">
        <v>-0.10087119999999999</v>
      </c>
      <c r="U3870">
        <v>3.5888669999999998E-2</v>
      </c>
      <c r="V3870">
        <v>-7.7103739999999999E-3</v>
      </c>
      <c r="W3870">
        <v>4.7982209999999997E-2</v>
      </c>
      <c r="X3870">
        <v>0.99881850000000005</v>
      </c>
      <c r="Y3870">
        <v>2.3044309999999998E-2</v>
      </c>
      <c r="Z3870">
        <v>-1.5599920000000001E-3</v>
      </c>
      <c r="AA3870">
        <v>0.99973319999999999</v>
      </c>
      <c r="AB3870">
        <v>29</v>
      </c>
      <c r="AC3870">
        <v>32.772199999999998</v>
      </c>
      <c r="AD3870">
        <v>-1.1091545371660001</v>
      </c>
      <c r="AE3870">
        <v>0.38490000000001601</v>
      </c>
      <c r="AF3870">
        <v>0.76167921468395305</v>
      </c>
      <c r="AG3870">
        <v>-1.1091545371660001</v>
      </c>
      <c r="AH3870">
        <v>32.728105024109198</v>
      </c>
      <c r="AI3870">
        <v>91.940484404228201</v>
      </c>
      <c r="AJ3870">
        <v>88.666799443986307</v>
      </c>
      <c r="AK3870">
        <v>32.7557512123065</v>
      </c>
      <c r="AL3870">
        <v>87.249766069164295</v>
      </c>
      <c r="AM3870">
        <v>90.442285674355205</v>
      </c>
      <c r="AN3870">
        <v>1.00000006914297</v>
      </c>
    </row>
    <row r="3871" spans="1:40" x14ac:dyDescent="0.25">
      <c r="A3871" t="str">
        <f>"20190312160410325"</f>
        <v>20190312160410325</v>
      </c>
      <c r="B3871" t="str">
        <f>"1552377850319143"</f>
        <v>1552377850319143</v>
      </c>
      <c r="C3871" t="s">
        <v>40</v>
      </c>
      <c r="D3871">
        <v>5.2700189999999996</v>
      </c>
      <c r="E3871">
        <v>0.51135399999999998</v>
      </c>
      <c r="F3871" t="s">
        <v>79</v>
      </c>
      <c r="G3871">
        <v>-287.58780000000002</v>
      </c>
      <c r="H3871" s="1">
        <v>3.7841529999999999E-6</v>
      </c>
      <c r="I3871">
        <v>214.12860000000001</v>
      </c>
      <c r="J3871">
        <v>-318.51650000000001</v>
      </c>
      <c r="K3871">
        <v>1.109116</v>
      </c>
      <c r="L3871">
        <v>213.7834</v>
      </c>
      <c r="M3871">
        <v>0.99936100000000005</v>
      </c>
      <c r="N3871">
        <v>0</v>
      </c>
      <c r="O3871">
        <v>3.4070660000000003E-2</v>
      </c>
      <c r="P3871">
        <v>0.9984307</v>
      </c>
      <c r="Q3871">
        <v>3.7281950000000001E-2</v>
      </c>
      <c r="R3871">
        <v>4.179273E-2</v>
      </c>
      <c r="S3871">
        <v>3.0072939999999999</v>
      </c>
      <c r="T3871">
        <v>-0.1067934</v>
      </c>
      <c r="U3871">
        <v>3.4179689999999999E-2</v>
      </c>
      <c r="V3871">
        <v>-7.6684169999999899E-3</v>
      </c>
      <c r="W3871">
        <v>4.810557E-2</v>
      </c>
      <c r="X3871">
        <v>0.99881279999999995</v>
      </c>
      <c r="Y3871">
        <v>2.2676430000000001E-2</v>
      </c>
      <c r="Z3871">
        <v>-1.611812E-3</v>
      </c>
      <c r="AA3871">
        <v>0.99974160000000001</v>
      </c>
      <c r="AB3871">
        <v>29</v>
      </c>
      <c r="AC3871">
        <v>30.9286999999999</v>
      </c>
      <c r="AD3871">
        <v>-1.1091122158469999</v>
      </c>
      <c r="AE3871">
        <v>0.345200000000005</v>
      </c>
      <c r="AF3871">
        <v>0.70791296002771498</v>
      </c>
      <c r="AG3871">
        <v>-1.1091122158469999</v>
      </c>
      <c r="AH3871">
        <v>30.882794289682899</v>
      </c>
      <c r="AI3871">
        <v>92.0562738388914</v>
      </c>
      <c r="AJ3871">
        <v>88.686863544421499</v>
      </c>
      <c r="AK3871">
        <v>30.910811277046498</v>
      </c>
      <c r="AL3871">
        <v>87.242689644815201</v>
      </c>
      <c r="AM3871">
        <v>90.439881524524097</v>
      </c>
      <c r="AN3871">
        <v>0.99999997996407497</v>
      </c>
    </row>
    <row r="3872" spans="1:40" x14ac:dyDescent="0.25">
      <c r="A3872" t="str">
        <f>"20190312160410349"</f>
        <v>20190312160410349</v>
      </c>
      <c r="B3872" t="str">
        <f>"1552377850338662"</f>
        <v>1552377850338662</v>
      </c>
      <c r="C3872" t="s">
        <v>40</v>
      </c>
      <c r="D3872">
        <v>5.2825870000000004</v>
      </c>
      <c r="E3872">
        <v>0.5113415</v>
      </c>
      <c r="F3872" t="s">
        <v>79</v>
      </c>
      <c r="G3872">
        <v>-287.334</v>
      </c>
      <c r="H3872" s="1">
        <v>3.8969629999999997E-6</v>
      </c>
      <c r="I3872">
        <v>214.1267</v>
      </c>
      <c r="J3872">
        <v>-318.23070000000001</v>
      </c>
      <c r="K3872">
        <v>1.1090819999999999</v>
      </c>
      <c r="L3872">
        <v>213.7921</v>
      </c>
      <c r="M3872">
        <v>0.99939180000000005</v>
      </c>
      <c r="N3872">
        <v>0</v>
      </c>
      <c r="O3872">
        <v>3.3157880000000001E-2</v>
      </c>
      <c r="P3872">
        <v>0.99843680000000001</v>
      </c>
      <c r="Q3872">
        <v>3.7791850000000002E-2</v>
      </c>
      <c r="R3872">
        <v>4.1182999999999997E-2</v>
      </c>
      <c r="S3872">
        <v>3.0073240000000001</v>
      </c>
      <c r="T3872">
        <v>-0.1069657</v>
      </c>
      <c r="U3872">
        <v>3.311157E-2</v>
      </c>
      <c r="V3872">
        <v>-7.9673260000000003E-3</v>
      </c>
      <c r="W3872">
        <v>4.8595180000000002E-2</v>
      </c>
      <c r="X3872">
        <v>0.99878679999999997</v>
      </c>
      <c r="Y3872">
        <v>2.211927E-2</v>
      </c>
      <c r="Z3872">
        <v>-1.572054E-3</v>
      </c>
      <c r="AA3872">
        <v>0.99975409999999998</v>
      </c>
      <c r="AB3872">
        <v>29</v>
      </c>
      <c r="AC3872">
        <v>30.896699999999999</v>
      </c>
      <c r="AD3872">
        <v>-1.1090781030369901</v>
      </c>
      <c r="AE3872">
        <v>0.33459999999999401</v>
      </c>
      <c r="AF3872">
        <v>0.68922481029956495</v>
      </c>
      <c r="AG3872">
        <v>-1.1090781030369901</v>
      </c>
      <c r="AH3872">
        <v>30.851055654024599</v>
      </c>
      <c r="AI3872">
        <v>92.058351279788596</v>
      </c>
      <c r="AJ3872">
        <v>88.720202462497795</v>
      </c>
      <c r="AK3872">
        <v>30.878677433554198</v>
      </c>
      <c r="AL3872">
        <v>87.214604323580303</v>
      </c>
      <c r="AM3872">
        <v>90.457038951195301</v>
      </c>
      <c r="AN3872">
        <v>1.00000002082853</v>
      </c>
    </row>
    <row r="3873" spans="1:40" x14ac:dyDescent="0.25">
      <c r="A3873" t="str">
        <f>"20190312160410370"</f>
        <v>20190312160410370</v>
      </c>
      <c r="B3873" t="str">
        <f>"1552377850358183"</f>
        <v>1552377850358183</v>
      </c>
      <c r="C3873" t="s">
        <v>40</v>
      </c>
      <c r="D3873">
        <v>5.2876849999999997</v>
      </c>
      <c r="E3873">
        <v>0.51135920000000001</v>
      </c>
      <c r="F3873" t="s">
        <v>79</v>
      </c>
      <c r="G3873">
        <v>-286.55220000000003</v>
      </c>
      <c r="H3873" s="1">
        <v>4.2442769999999998E-6</v>
      </c>
      <c r="I3873">
        <v>214.1215</v>
      </c>
      <c r="J3873">
        <v>-317.93729999999999</v>
      </c>
      <c r="K3873">
        <v>1.1090580000000001</v>
      </c>
      <c r="L3873">
        <v>213.80090000000001</v>
      </c>
      <c r="M3873">
        <v>0.99942370000000003</v>
      </c>
      <c r="N3873">
        <v>0</v>
      </c>
      <c r="O3873">
        <v>3.2190870000000003E-2</v>
      </c>
      <c r="P3873">
        <v>0.99842799999999998</v>
      </c>
      <c r="Q3873">
        <v>3.7687060000000001E-2</v>
      </c>
      <c r="R3873">
        <v>4.1490150000000003E-2</v>
      </c>
      <c r="S3873">
        <v>3.0074160000000001</v>
      </c>
      <c r="T3873">
        <v>-0.1052908</v>
      </c>
      <c r="U3873">
        <v>3.1265260000000003E-2</v>
      </c>
      <c r="V3873">
        <v>-9.2385090000000007E-3</v>
      </c>
      <c r="W3873">
        <v>4.8474209999999997E-2</v>
      </c>
      <c r="X3873">
        <v>0.99878169999999999</v>
      </c>
      <c r="Y3873">
        <v>2.1767849999999998E-2</v>
      </c>
      <c r="Z3873">
        <v>-1.5074349999999999E-3</v>
      </c>
      <c r="AA3873">
        <v>0.99976189999999998</v>
      </c>
      <c r="AB3873">
        <v>29</v>
      </c>
      <c r="AC3873">
        <v>31.385099999999898</v>
      </c>
      <c r="AD3873">
        <v>-1.109053755723</v>
      </c>
      <c r="AE3873">
        <v>0.32059999999998401</v>
      </c>
      <c r="AF3873">
        <v>0.68907809670831999</v>
      </c>
      <c r="AG3873">
        <v>-1.109053755723</v>
      </c>
      <c r="AH3873">
        <v>31.340023242590899</v>
      </c>
      <c r="AI3873">
        <v>92.026235226500503</v>
      </c>
      <c r="AJ3873">
        <v>88.740431491570007</v>
      </c>
      <c r="AK3873">
        <v>31.3672103589494</v>
      </c>
      <c r="AL3873">
        <v>87.221543490729303</v>
      </c>
      <c r="AM3873">
        <v>90.529958127316107</v>
      </c>
      <c r="AN3873">
        <v>0.999999991669278</v>
      </c>
    </row>
    <row r="3874" spans="1:40" x14ac:dyDescent="0.25">
      <c r="A3874" t="str">
        <f>"20190312160410393"</f>
        <v>20190312160410393</v>
      </c>
      <c r="B3874" t="str">
        <f>"1552377850388439"</f>
        <v>1552377850388439</v>
      </c>
      <c r="C3874" t="s">
        <v>40</v>
      </c>
      <c r="D3874">
        <v>5.3078560000000001</v>
      </c>
      <c r="E3874">
        <v>0.51140620000000003</v>
      </c>
      <c r="F3874" t="s">
        <v>79</v>
      </c>
      <c r="G3874">
        <v>-286.06529999999998</v>
      </c>
      <c r="H3874" s="1">
        <v>4.4582869999999996E-6</v>
      </c>
      <c r="I3874">
        <v>214.13759999999999</v>
      </c>
      <c r="J3874">
        <v>-317.65129999999999</v>
      </c>
      <c r="K3874">
        <v>1.1090310000000001</v>
      </c>
      <c r="L3874">
        <v>213.8091</v>
      </c>
      <c r="M3874">
        <v>0.99945430000000002</v>
      </c>
      <c r="N3874">
        <v>0</v>
      </c>
      <c r="O3874">
        <v>3.1231399999999999E-2</v>
      </c>
      <c r="P3874">
        <v>0.99842120000000001</v>
      </c>
      <c r="Q3874">
        <v>3.7700709999999998E-2</v>
      </c>
      <c r="R3874">
        <v>4.1637779999999999E-2</v>
      </c>
      <c r="S3874">
        <v>3.0073240000000001</v>
      </c>
      <c r="T3874">
        <v>-0.104646</v>
      </c>
      <c r="U3874">
        <v>3.17688E-2</v>
      </c>
      <c r="V3874">
        <v>-1.034389E-2</v>
      </c>
      <c r="W3874">
        <v>4.8473250000000002E-2</v>
      </c>
      <c r="X3874">
        <v>0.99877090000000002</v>
      </c>
      <c r="Y3874">
        <v>2.0642009999999999E-2</v>
      </c>
      <c r="Z3874">
        <v>-1.4453090000000001E-3</v>
      </c>
      <c r="AA3874">
        <v>0.99978590000000001</v>
      </c>
      <c r="AB3874">
        <v>29</v>
      </c>
      <c r="AC3874">
        <v>31.585999999999999</v>
      </c>
      <c r="AD3874">
        <v>-1.1090265417130001</v>
      </c>
      <c r="AE3874">
        <v>0.32849999999999102</v>
      </c>
      <c r="AF3874">
        <v>0.65738200438871097</v>
      </c>
      <c r="AG3874">
        <v>-1.1090265417130001</v>
      </c>
      <c r="AH3874">
        <v>31.541969156734499</v>
      </c>
      <c r="AI3874">
        <v>92.013273032307097</v>
      </c>
      <c r="AJ3874">
        <v>88.806042765138201</v>
      </c>
      <c r="AK3874">
        <v>31.568305454273499</v>
      </c>
      <c r="AL3874">
        <v>87.221598530737793</v>
      </c>
      <c r="AM3874">
        <v>90.593369362866298</v>
      </c>
      <c r="AN3874">
        <v>0.99999998135635204</v>
      </c>
    </row>
    <row r="3875" spans="1:40" x14ac:dyDescent="0.25">
      <c r="A3875" t="str">
        <f>"20190312160410416"</f>
        <v>20190312160410416</v>
      </c>
      <c r="B3875" t="str">
        <f>"1552377850408935"</f>
        <v>1552377850408935</v>
      </c>
      <c r="C3875" t="s">
        <v>40</v>
      </c>
      <c r="D3875">
        <v>5.4914040000000002</v>
      </c>
      <c r="E3875">
        <v>0.51163720000000001</v>
      </c>
      <c r="F3875" t="s">
        <v>79</v>
      </c>
      <c r="G3875">
        <v>-285.99669999999998</v>
      </c>
      <c r="H3875" s="1">
        <v>4.4879690000000003E-6</v>
      </c>
      <c r="I3875">
        <v>214.1438</v>
      </c>
      <c r="J3875">
        <v>-317.34539999999998</v>
      </c>
      <c r="K3875">
        <v>1.1090100000000001</v>
      </c>
      <c r="L3875">
        <v>213.8175</v>
      </c>
      <c r="M3875">
        <v>0.99948630000000005</v>
      </c>
      <c r="N3875">
        <v>0</v>
      </c>
      <c r="O3875">
        <v>3.0192110000000001E-2</v>
      </c>
      <c r="P3875">
        <v>0.99846520000000005</v>
      </c>
      <c r="Q3875">
        <v>3.702714E-2</v>
      </c>
      <c r="R3875">
        <v>4.1184320000000003E-2</v>
      </c>
      <c r="S3875">
        <v>3.007355</v>
      </c>
      <c r="T3875">
        <v>-0.1053632</v>
      </c>
      <c r="U3875">
        <v>3.1799319999999999E-2</v>
      </c>
      <c r="V3875">
        <v>-1.092766E-2</v>
      </c>
      <c r="W3875">
        <v>4.7785979999999999E-2</v>
      </c>
      <c r="X3875">
        <v>0.99879779999999996</v>
      </c>
      <c r="Y3875">
        <v>1.959319E-2</v>
      </c>
      <c r="Z3875">
        <v>-1.4004410000000001E-3</v>
      </c>
      <c r="AA3875">
        <v>0.99980709999999995</v>
      </c>
      <c r="AB3875">
        <v>29</v>
      </c>
      <c r="AC3875">
        <v>31.348700000000001</v>
      </c>
      <c r="AD3875">
        <v>-1.1090055120310001</v>
      </c>
      <c r="AE3875">
        <v>0.32630000000000298</v>
      </c>
      <c r="AF3875">
        <v>0.61961151465165798</v>
      </c>
      <c r="AG3875">
        <v>-1.1090055120310001</v>
      </c>
      <c r="AH3875">
        <v>31.305085336333399</v>
      </c>
      <c r="AI3875">
        <v>92.0284994150378</v>
      </c>
      <c r="AJ3875">
        <v>88.866111062205604</v>
      </c>
      <c r="AK3875">
        <v>31.3308502848218</v>
      </c>
      <c r="AL3875">
        <v>87.261021885235706</v>
      </c>
      <c r="AM3875">
        <v>90.626837401641097</v>
      </c>
      <c r="AN3875">
        <v>0.99999997946123698</v>
      </c>
    </row>
    <row r="3876" spans="1:40" x14ac:dyDescent="0.25">
      <c r="A3876" t="str">
        <f>"20190312160410438"</f>
        <v>20190312160410438</v>
      </c>
      <c r="B3876" t="str">
        <f>"1552377850428456"</f>
        <v>1552377850428456</v>
      </c>
      <c r="C3876" t="s">
        <v>40</v>
      </c>
      <c r="D3876">
        <v>5.1958869999999999</v>
      </c>
      <c r="E3876">
        <v>0.51180150000000002</v>
      </c>
      <c r="F3876" t="s">
        <v>79</v>
      </c>
      <c r="G3876">
        <v>-285.6825</v>
      </c>
      <c r="H3876" s="1">
        <v>4.6296319999999997E-6</v>
      </c>
      <c r="I3876">
        <v>214.1242</v>
      </c>
      <c r="J3876">
        <v>-317.05579999999998</v>
      </c>
      <c r="K3876">
        <v>1.108997</v>
      </c>
      <c r="L3876">
        <v>213.8253</v>
      </c>
      <c r="M3876">
        <v>0.99951610000000002</v>
      </c>
      <c r="N3876">
        <v>0</v>
      </c>
      <c r="O3876">
        <v>2.9198370000000001E-2</v>
      </c>
      <c r="P3876">
        <v>0.99846480000000004</v>
      </c>
      <c r="Q3876">
        <v>3.7601620000000002E-2</v>
      </c>
      <c r="R3876">
        <v>4.0676400000000001E-2</v>
      </c>
      <c r="S3876">
        <v>3.0073240000000001</v>
      </c>
      <c r="T3876">
        <v>-0.1053325</v>
      </c>
      <c r="U3876">
        <v>2.912903E-2</v>
      </c>
      <c r="V3876">
        <v>-1.1410760000000001E-2</v>
      </c>
      <c r="W3876">
        <v>4.8348469999999998E-2</v>
      </c>
      <c r="X3876">
        <v>0.99876529999999997</v>
      </c>
      <c r="Y3876">
        <v>1.948739E-2</v>
      </c>
      <c r="Z3876">
        <v>-1.363422E-3</v>
      </c>
      <c r="AA3876">
        <v>0.99980910000000001</v>
      </c>
      <c r="AB3876">
        <v>29</v>
      </c>
      <c r="AC3876">
        <v>31.373299999999901</v>
      </c>
      <c r="AD3876">
        <v>-1.108992370368</v>
      </c>
      <c r="AE3876">
        <v>0.298900000000003</v>
      </c>
      <c r="AF3876">
        <v>0.61655904177841403</v>
      </c>
      <c r="AG3876">
        <v>-1.108992370368</v>
      </c>
      <c r="AH3876">
        <v>31.329507224941299</v>
      </c>
      <c r="AI3876">
        <v>92.026899994781203</v>
      </c>
      <c r="AJ3876">
        <v>88.872574944780496</v>
      </c>
      <c r="AK3876">
        <v>31.355191469470899</v>
      </c>
      <c r="AL3876">
        <v>87.228756209914906</v>
      </c>
      <c r="AM3876">
        <v>90.654568140744502</v>
      </c>
      <c r="AN3876">
        <v>0.99999995223960303</v>
      </c>
    </row>
    <row r="3877" spans="1:40" x14ac:dyDescent="0.25">
      <c r="A3877" t="str">
        <f>"20190312160410458"</f>
        <v>20190312160410458</v>
      </c>
      <c r="B3877" t="str">
        <f>"1552377850448953"</f>
        <v>1552377850448953</v>
      </c>
      <c r="C3877" t="s">
        <v>40</v>
      </c>
      <c r="D3877">
        <v>5.2616940000000003</v>
      </c>
      <c r="E3877">
        <v>0.51189629999999997</v>
      </c>
      <c r="F3877" t="s">
        <v>79</v>
      </c>
      <c r="G3877">
        <v>-283.5138</v>
      </c>
      <c r="H3877" s="1">
        <v>5.5919989999999998E-6</v>
      </c>
      <c r="I3877">
        <v>214.11879999999999</v>
      </c>
      <c r="J3877">
        <v>-316.78590000000003</v>
      </c>
      <c r="K3877">
        <v>1.108981</v>
      </c>
      <c r="L3877">
        <v>213.8322</v>
      </c>
      <c r="M3877">
        <v>0.99954310000000002</v>
      </c>
      <c r="N3877">
        <v>0</v>
      </c>
      <c r="O3877">
        <v>2.8262740000000001E-2</v>
      </c>
      <c r="P3877">
        <v>0.99845349999999999</v>
      </c>
      <c r="Q3877">
        <v>3.8038080000000002E-2</v>
      </c>
      <c r="R3877">
        <v>4.0544030000000002E-2</v>
      </c>
      <c r="S3877">
        <v>3.0072939999999999</v>
      </c>
      <c r="T3877">
        <v>-9.9429489999999995E-2</v>
      </c>
      <c r="U3877">
        <v>2.632141E-2</v>
      </c>
      <c r="V3877">
        <v>-1.2212499999999999E-2</v>
      </c>
      <c r="W3877">
        <v>4.8776159999999999E-2</v>
      </c>
      <c r="X3877">
        <v>0.99873509999999999</v>
      </c>
      <c r="Y3877">
        <v>1.9488499999999999E-2</v>
      </c>
      <c r="Z3877">
        <v>-1.2561810000000001E-3</v>
      </c>
      <c r="AA3877">
        <v>0.99980930000000001</v>
      </c>
      <c r="AB3877">
        <v>29</v>
      </c>
      <c r="AC3877">
        <v>33.272100000000002</v>
      </c>
      <c r="AD3877">
        <v>-1.1089754080009999</v>
      </c>
      <c r="AE3877">
        <v>0.28659999999999197</v>
      </c>
      <c r="AF3877">
        <v>0.65320359443956699</v>
      </c>
      <c r="AG3877">
        <v>-1.1089754080009999</v>
      </c>
      <c r="AH3877">
        <v>33.2299946205151</v>
      </c>
      <c r="AI3877">
        <v>91.911037888118102</v>
      </c>
      <c r="AJ3877">
        <v>88.873879149532996</v>
      </c>
      <c r="AK3877">
        <v>33.254910071608997</v>
      </c>
      <c r="AL3877">
        <v>87.204222646602801</v>
      </c>
      <c r="AM3877">
        <v>90.700575993985396</v>
      </c>
      <c r="AN3877">
        <v>1.0000000294563001</v>
      </c>
    </row>
    <row r="3878" spans="1:40" x14ac:dyDescent="0.25">
      <c r="A3878" t="str">
        <f>"20190312160410482"</f>
        <v>20190312160410482</v>
      </c>
      <c r="B3878" t="str">
        <f>"1552377850478231"</f>
        <v>1552377850478231</v>
      </c>
      <c r="C3878" t="s">
        <v>40</v>
      </c>
      <c r="D3878">
        <v>5.2806309999999996</v>
      </c>
      <c r="E3878">
        <v>0.51210420000000001</v>
      </c>
      <c r="F3878" t="s">
        <v>79</v>
      </c>
      <c r="G3878">
        <v>-280.9769</v>
      </c>
      <c r="H3878" s="1">
        <v>6.7160569999999998E-6</v>
      </c>
      <c r="I3878">
        <v>214.1267</v>
      </c>
      <c r="J3878">
        <v>-316.48869999999999</v>
      </c>
      <c r="K3878">
        <v>1.108965</v>
      </c>
      <c r="L3878">
        <v>213.83949999999999</v>
      </c>
      <c r="M3878">
        <v>0.99957209999999996</v>
      </c>
      <c r="N3878">
        <v>0</v>
      </c>
      <c r="O3878">
        <v>2.7218329999999999E-2</v>
      </c>
      <c r="P3878">
        <v>0.99856509999999998</v>
      </c>
      <c r="Q3878">
        <v>3.6563369999999998E-2</v>
      </c>
      <c r="R3878">
        <v>3.9127710000000003E-2</v>
      </c>
      <c r="S3878">
        <v>3.0072019999999999</v>
      </c>
      <c r="T3878">
        <v>-9.3130589999999999E-2</v>
      </c>
      <c r="U3878">
        <v>2.47345E-2</v>
      </c>
      <c r="V3878">
        <v>-1.183855E-2</v>
      </c>
      <c r="W3878">
        <v>4.7292540000000001E-2</v>
      </c>
      <c r="X3878">
        <v>0.99881089999999995</v>
      </c>
      <c r="Y3878">
        <v>1.8975079999999998E-2</v>
      </c>
      <c r="Z3878">
        <v>-1.136406E-3</v>
      </c>
      <c r="AA3878">
        <v>0.99981929999999997</v>
      </c>
      <c r="AB3878">
        <v>29</v>
      </c>
      <c r="AC3878">
        <v>35.511799999999901</v>
      </c>
      <c r="AD3878">
        <v>-1.1089582839429999</v>
      </c>
      <c r="AE3878">
        <v>0.287200000000012</v>
      </c>
      <c r="AF3878">
        <v>0.67887180423186799</v>
      </c>
      <c r="AG3878">
        <v>-1.1089582839429999</v>
      </c>
      <c r="AH3878">
        <v>35.471870152176898</v>
      </c>
      <c r="AI3878">
        <v>91.7903290416847</v>
      </c>
      <c r="AJ3878">
        <v>88.9035892060039</v>
      </c>
      <c r="AK3878">
        <v>35.495693083739098</v>
      </c>
      <c r="AL3878">
        <v>87.289325904238595</v>
      </c>
      <c r="AM3878">
        <v>90.679074677282799</v>
      </c>
      <c r="AN3878">
        <v>0.99999997478228098</v>
      </c>
    </row>
    <row r="3879" spans="1:40" x14ac:dyDescent="0.25">
      <c r="A3879" t="str">
        <f>"20190312160410504"</f>
        <v>20190312160410504</v>
      </c>
      <c r="B3879" t="str">
        <f>"1552377850498727"</f>
        <v>1552377850498727</v>
      </c>
      <c r="C3879" t="s">
        <v>40</v>
      </c>
      <c r="D3879">
        <v>5.2612740000000002</v>
      </c>
      <c r="E3879">
        <v>0.51229119999999995</v>
      </c>
      <c r="F3879" t="s">
        <v>79</v>
      </c>
      <c r="G3879">
        <v>-280.36790000000002</v>
      </c>
      <c r="H3879" s="1">
        <v>6.99352899999999E-6</v>
      </c>
      <c r="I3879">
        <v>214.06450000000001</v>
      </c>
      <c r="J3879">
        <v>-316.1943</v>
      </c>
      <c r="K3879">
        <v>1.108948</v>
      </c>
      <c r="L3879">
        <v>213.84639999999999</v>
      </c>
      <c r="M3879">
        <v>0.99960039999999994</v>
      </c>
      <c r="N3879">
        <v>0</v>
      </c>
      <c r="O3879">
        <v>2.6167719999999998E-2</v>
      </c>
      <c r="P3879">
        <v>0.99866069999999996</v>
      </c>
      <c r="Q3879">
        <v>3.6055810000000001E-2</v>
      </c>
      <c r="R3879">
        <v>3.7110499999999998E-2</v>
      </c>
      <c r="S3879">
        <v>3.006958</v>
      </c>
      <c r="T3879">
        <v>-9.2317819999999995E-2</v>
      </c>
      <c r="U3879">
        <v>1.8737790000000001E-2</v>
      </c>
      <c r="V3879">
        <v>-1.0869129999999999E-2</v>
      </c>
      <c r="W3879">
        <v>4.6771920000000002E-2</v>
      </c>
      <c r="X3879">
        <v>0.99884649999999997</v>
      </c>
      <c r="Y3879">
        <v>1.9917770000000001E-2</v>
      </c>
      <c r="Z3879">
        <v>-1.108826E-3</v>
      </c>
      <c r="AA3879">
        <v>0.99980100000000005</v>
      </c>
      <c r="AB3879">
        <v>29</v>
      </c>
      <c r="AC3879">
        <v>35.8263999999999</v>
      </c>
      <c r="AD3879">
        <v>-1.1089410064709999</v>
      </c>
      <c r="AE3879">
        <v>0.218100000000021</v>
      </c>
      <c r="AF3879">
        <v>0.71883478556396097</v>
      </c>
      <c r="AG3879">
        <v>-1.1089410064709999</v>
      </c>
      <c r="AH3879">
        <v>35.785553102295196</v>
      </c>
      <c r="AI3879">
        <v>91.774585131148299</v>
      </c>
      <c r="AJ3879">
        <v>88.849237817566205</v>
      </c>
      <c r="AK3879">
        <v>35.809946724924899</v>
      </c>
      <c r="AL3879">
        <v>87.319188456965804</v>
      </c>
      <c r="AM3879">
        <v>90.623449846764402</v>
      </c>
      <c r="AN3879">
        <v>1.0000000405248399</v>
      </c>
    </row>
    <row r="3880" spans="1:40" x14ac:dyDescent="0.25">
      <c r="A3880" t="str">
        <f>"20190312160410527"</f>
        <v>20190312160410527</v>
      </c>
      <c r="B3880" t="str">
        <f>"1552377850518247"</f>
        <v>1552377850518247</v>
      </c>
      <c r="C3880" t="s">
        <v>40</v>
      </c>
      <c r="D3880">
        <v>5.262861</v>
      </c>
      <c r="E3880">
        <v>0.5125208</v>
      </c>
      <c r="F3880" t="s">
        <v>79</v>
      </c>
      <c r="G3880">
        <v>-281.50510000000003</v>
      </c>
      <c r="H3880" s="1">
        <v>6.4994349999999999E-6</v>
      </c>
      <c r="I3880">
        <v>213.97890000000001</v>
      </c>
      <c r="J3880">
        <v>-315.8981</v>
      </c>
      <c r="K3880">
        <v>1.1089249999999999</v>
      </c>
      <c r="L3880">
        <v>213.85300000000001</v>
      </c>
      <c r="M3880">
        <v>0.99962790000000001</v>
      </c>
      <c r="N3880">
        <v>0</v>
      </c>
      <c r="O3880">
        <v>2.509573E-2</v>
      </c>
      <c r="P3880">
        <v>0.99869010000000003</v>
      </c>
      <c r="Q3880">
        <v>3.6404159999999998E-2</v>
      </c>
      <c r="R3880">
        <v>3.5956380000000003E-2</v>
      </c>
      <c r="S3880">
        <v>3.00705</v>
      </c>
      <c r="T3880">
        <v>-9.6129179999999995E-2</v>
      </c>
      <c r="U3880">
        <v>1.1489869999999999E-2</v>
      </c>
      <c r="V3880">
        <v>-1.07837E-2</v>
      </c>
      <c r="W3880">
        <v>4.7105340000000002E-2</v>
      </c>
      <c r="X3880">
        <v>0.99883169999999999</v>
      </c>
      <c r="Y3880">
        <v>2.1253560000000001E-2</v>
      </c>
      <c r="Z3880">
        <v>-1.1416519999999999E-3</v>
      </c>
      <c r="AA3880">
        <v>0.99977340000000003</v>
      </c>
      <c r="AB3880">
        <v>29</v>
      </c>
      <c r="AC3880">
        <v>34.392999999999901</v>
      </c>
      <c r="AD3880">
        <v>-1.108918500565</v>
      </c>
      <c r="AE3880">
        <v>0.12590000000002899</v>
      </c>
      <c r="AF3880">
        <v>0.73654073005752996</v>
      </c>
      <c r="AG3880">
        <v>-1.108918500565</v>
      </c>
      <c r="AH3880">
        <v>34.3496177103478</v>
      </c>
      <c r="AI3880">
        <v>91.848629156739193</v>
      </c>
      <c r="AJ3880">
        <v>88.771625066076993</v>
      </c>
      <c r="AK3880">
        <v>34.375404424311398</v>
      </c>
      <c r="AL3880">
        <v>87.300063663991594</v>
      </c>
      <c r="AM3880">
        <v>90.618559155857298</v>
      </c>
      <c r="AN3880">
        <v>0.99999998308354698</v>
      </c>
    </row>
    <row r="3881" spans="1:40" x14ac:dyDescent="0.25">
      <c r="A3881" t="str">
        <f>"20190312160410550"</f>
        <v>20190312160410550</v>
      </c>
      <c r="B3881" t="str">
        <f>"1552377850538743"</f>
        <v>1552377850538743</v>
      </c>
      <c r="C3881" t="s">
        <v>40</v>
      </c>
      <c r="D3881">
        <v>5.2054140000000002</v>
      </c>
      <c r="E3881">
        <v>0.51281569999999999</v>
      </c>
      <c r="F3881" t="s">
        <v>79</v>
      </c>
      <c r="G3881">
        <v>-281.7801</v>
      </c>
      <c r="H3881" s="1">
        <v>6.38433599999999E-6</v>
      </c>
      <c r="I3881">
        <v>213.92169999999999</v>
      </c>
      <c r="J3881">
        <v>-315.59589999999997</v>
      </c>
      <c r="K3881">
        <v>1.1089020000000001</v>
      </c>
      <c r="L3881">
        <v>213.85939999999999</v>
      </c>
      <c r="M3881">
        <v>0.99965539999999997</v>
      </c>
      <c r="N3881">
        <v>0</v>
      </c>
      <c r="O3881">
        <v>2.3986759999999999E-2</v>
      </c>
      <c r="P3881">
        <v>0.99872289999999997</v>
      </c>
      <c r="Q3881">
        <v>3.6591940000000003E-2</v>
      </c>
      <c r="R3881">
        <v>3.484226E-2</v>
      </c>
      <c r="S3881">
        <v>3.007263</v>
      </c>
      <c r="T3881">
        <v>-9.7743269999999993E-2</v>
      </c>
      <c r="U3881">
        <v>6.0577390000000004E-3</v>
      </c>
      <c r="V3881">
        <v>-1.077552E-2</v>
      </c>
      <c r="W3881">
        <v>4.7278239999999999E-2</v>
      </c>
      <c r="X3881">
        <v>0.99882360000000003</v>
      </c>
      <c r="Y3881">
        <v>2.1950029999999999E-2</v>
      </c>
      <c r="Z3881">
        <v>-1.136024E-3</v>
      </c>
      <c r="AA3881">
        <v>0.99975840000000005</v>
      </c>
      <c r="AB3881">
        <v>29</v>
      </c>
      <c r="AC3881">
        <v>33.815799999999903</v>
      </c>
      <c r="AD3881">
        <v>-1.108895615664</v>
      </c>
      <c r="AE3881">
        <v>6.2299999999993298E-2</v>
      </c>
      <c r="AF3881">
        <v>0.74809108702430605</v>
      </c>
      <c r="AG3881">
        <v>-1.108895615664</v>
      </c>
      <c r="AH3881">
        <v>33.771248612220603</v>
      </c>
      <c r="AI3881">
        <v>91.880198584786697</v>
      </c>
      <c r="AJ3881">
        <v>88.731007737237405</v>
      </c>
      <c r="AK3881">
        <v>33.797729547845897</v>
      </c>
      <c r="AL3881">
        <v>87.290146121806103</v>
      </c>
      <c r="AM3881">
        <v>90.618094994864293</v>
      </c>
      <c r="AN3881">
        <v>0.99999996386286305</v>
      </c>
    </row>
    <row r="3882" spans="1:40" x14ac:dyDescent="0.25">
      <c r="A3882" t="str">
        <f>"20190312160410571"</f>
        <v>20190312160410571</v>
      </c>
      <c r="B3882" t="str">
        <f>"1552377850558263"</f>
        <v>1552377850558263</v>
      </c>
      <c r="C3882" t="s">
        <v>40</v>
      </c>
      <c r="D3882">
        <v>5.2220599999999999</v>
      </c>
      <c r="E3882">
        <v>0.51291949999999997</v>
      </c>
      <c r="F3882" t="s">
        <v>79</v>
      </c>
      <c r="G3882">
        <v>-281.91359999999997</v>
      </c>
      <c r="H3882" s="1">
        <v>6.332228E-6</v>
      </c>
      <c r="I3882">
        <v>213.8621</v>
      </c>
      <c r="J3882">
        <v>-315.30619999999999</v>
      </c>
      <c r="K3882">
        <v>1.108897</v>
      </c>
      <c r="L3882">
        <v>213.86519999999999</v>
      </c>
      <c r="M3882">
        <v>0.99968069999999998</v>
      </c>
      <c r="N3882">
        <v>0</v>
      </c>
      <c r="O3882">
        <v>2.2913200000000002E-2</v>
      </c>
      <c r="P3882">
        <v>0.99877830000000001</v>
      </c>
      <c r="Q3882">
        <v>3.6343019999999997E-2</v>
      </c>
      <c r="R3882">
        <v>3.3481499999999997E-2</v>
      </c>
      <c r="S3882">
        <v>3.0074459999999998</v>
      </c>
      <c r="T3882">
        <v>-9.9011539999999995E-2</v>
      </c>
      <c r="U3882">
        <v>2.4414059999999999E-4</v>
      </c>
      <c r="V3882">
        <v>-1.0486550000000001E-2</v>
      </c>
      <c r="W3882">
        <v>4.7015800000000003E-2</v>
      </c>
      <c r="X3882">
        <v>0.99883909999999998</v>
      </c>
      <c r="Y3882">
        <v>2.280857E-2</v>
      </c>
      <c r="Z3882">
        <v>-1.129492E-3</v>
      </c>
      <c r="AA3882">
        <v>0.99973920000000005</v>
      </c>
      <c r="AB3882">
        <v>29</v>
      </c>
      <c r="AC3882">
        <v>33.392600000000002</v>
      </c>
      <c r="AD3882">
        <v>-1.1088906677720001</v>
      </c>
      <c r="AE3882">
        <v>-3.0999999999892199E-3</v>
      </c>
      <c r="AF3882">
        <v>0.76742764618814796</v>
      </c>
      <c r="AG3882">
        <v>-1.1088906677720001</v>
      </c>
      <c r="AH3882">
        <v>33.346987632011697</v>
      </c>
      <c r="AI3882">
        <v>91.904056639327294</v>
      </c>
      <c r="AJ3882">
        <v>88.681661873649702</v>
      </c>
      <c r="AK3882">
        <v>33.374244078851397</v>
      </c>
      <c r="AL3882">
        <v>87.305199665415003</v>
      </c>
      <c r="AM3882">
        <v>90.601511277173501</v>
      </c>
      <c r="AN3882">
        <v>1.0000000004346701</v>
      </c>
    </row>
    <row r="3883" spans="1:40" x14ac:dyDescent="0.25">
      <c r="A3883" t="str">
        <f>"20190312160410594"</f>
        <v>20190312160410594</v>
      </c>
      <c r="B3883" t="str">
        <f>"1552377850588519"</f>
        <v>1552377850588519</v>
      </c>
      <c r="C3883" t="s">
        <v>40</v>
      </c>
      <c r="D3883">
        <v>5.2034289999999999</v>
      </c>
      <c r="E3883">
        <v>0.51296839999999999</v>
      </c>
      <c r="F3883" t="s">
        <v>79</v>
      </c>
      <c r="G3883">
        <v>-283.17169999999999</v>
      </c>
      <c r="H3883" s="1">
        <v>5.7801900000000003E-6</v>
      </c>
      <c r="I3883">
        <v>213.81280000000001</v>
      </c>
      <c r="J3883">
        <v>-315.01530000000002</v>
      </c>
      <c r="K3883">
        <v>1.108887</v>
      </c>
      <c r="L3883">
        <v>213.8707</v>
      </c>
      <c r="M3883">
        <v>0.99970510000000001</v>
      </c>
      <c r="N3883">
        <v>0</v>
      </c>
      <c r="O3883">
        <v>2.1828759999999999E-2</v>
      </c>
      <c r="P3883">
        <v>0.99881180000000003</v>
      </c>
      <c r="Q3883">
        <v>3.638972E-2</v>
      </c>
      <c r="R3883">
        <v>3.2417849999999998E-2</v>
      </c>
      <c r="S3883">
        <v>3.007568</v>
      </c>
      <c r="T3883">
        <v>-0.1037844</v>
      </c>
      <c r="U3883">
        <v>-4.8980710000000004E-3</v>
      </c>
      <c r="V3883">
        <v>-1.0506059999999999E-2</v>
      </c>
      <c r="W3883">
        <v>4.7051040000000002E-2</v>
      </c>
      <c r="X3883">
        <v>0.99883719999999998</v>
      </c>
      <c r="Y3883">
        <v>2.3431219999999999E-2</v>
      </c>
      <c r="Z3883">
        <v>-1.157197E-3</v>
      </c>
      <c r="AA3883">
        <v>0.99972479999999997</v>
      </c>
      <c r="AB3883">
        <v>29</v>
      </c>
      <c r="AC3883">
        <v>31.843599999999999</v>
      </c>
      <c r="AD3883">
        <v>-1.10888121981</v>
      </c>
      <c r="AE3883">
        <v>-5.7899999999989397E-2</v>
      </c>
      <c r="AF3883">
        <v>0.75211982227082697</v>
      </c>
      <c r="AG3883">
        <v>-1.10888121981</v>
      </c>
      <c r="AH3883">
        <v>31.796190966441401</v>
      </c>
      <c r="AI3883">
        <v>91.996802995508801</v>
      </c>
      <c r="AJ3883">
        <v>88.644955400227403</v>
      </c>
      <c r="AK3883">
        <v>31.824409841521199</v>
      </c>
      <c r="AL3883">
        <v>87.3031782292136</v>
      </c>
      <c r="AM3883">
        <v>90.602631439715793</v>
      </c>
      <c r="AN3883">
        <v>0.99999996488282195</v>
      </c>
    </row>
    <row r="3884" spans="1:40" x14ac:dyDescent="0.25">
      <c r="A3884" t="str">
        <f>"20190312160410616"</f>
        <v>20190312160410616</v>
      </c>
      <c r="B3884" t="str">
        <f>"1552377850609015"</f>
        <v>1552377850609015</v>
      </c>
      <c r="C3884" t="s">
        <v>40</v>
      </c>
      <c r="D3884">
        <v>5.2212180000000004</v>
      </c>
      <c r="E3884">
        <v>0.51301809999999903</v>
      </c>
      <c r="F3884" t="s">
        <v>79</v>
      </c>
      <c r="G3884">
        <v>-284.00299999999999</v>
      </c>
      <c r="H3884" s="1">
        <v>5.4149310000000002E-6</v>
      </c>
      <c r="I3884">
        <v>213.78450000000001</v>
      </c>
      <c r="J3884">
        <v>-314.71429999999998</v>
      </c>
      <c r="K3884">
        <v>1.1088830000000001</v>
      </c>
      <c r="L3884">
        <v>213.876</v>
      </c>
      <c r="M3884">
        <v>0.99972919999999998</v>
      </c>
      <c r="N3884">
        <v>0</v>
      </c>
      <c r="O3884">
        <v>2.0702990000000001E-2</v>
      </c>
      <c r="P3884">
        <v>0.99880930000000001</v>
      </c>
      <c r="Q3884">
        <v>3.6890329999999999E-2</v>
      </c>
      <c r="R3884">
        <v>3.1925519999999999E-2</v>
      </c>
      <c r="S3884">
        <v>3.0077509999999998</v>
      </c>
      <c r="T3884">
        <v>-0.1075455</v>
      </c>
      <c r="U3884">
        <v>-8.3618159999999993E-3</v>
      </c>
      <c r="V3884">
        <v>-1.1137350000000001E-2</v>
      </c>
      <c r="W3884">
        <v>4.7542109999999999E-2</v>
      </c>
      <c r="X3884">
        <v>0.99880709999999995</v>
      </c>
      <c r="Y3884">
        <v>2.3455340000000002E-2</v>
      </c>
      <c r="Z3884">
        <v>-1.1592289999999999E-3</v>
      </c>
      <c r="AA3884">
        <v>0.99972419999999995</v>
      </c>
      <c r="AB3884">
        <v>29</v>
      </c>
      <c r="AC3884">
        <v>30.711299999999898</v>
      </c>
      <c r="AD3884">
        <v>-1.108877585069</v>
      </c>
      <c r="AE3884">
        <v>-9.1499999999967899E-2</v>
      </c>
      <c r="AF3884">
        <v>0.72638505747793103</v>
      </c>
      <c r="AG3884">
        <v>-1.108877585069</v>
      </c>
      <c r="AH3884">
        <v>30.662848307887099</v>
      </c>
      <c r="AI3884">
        <v>92.070536094292805</v>
      </c>
      <c r="AJ3884">
        <v>88.642950094975106</v>
      </c>
      <c r="AK3884">
        <v>30.691489229147798</v>
      </c>
      <c r="AL3884">
        <v>87.275010447645897</v>
      </c>
      <c r="AM3884">
        <v>90.638858799148295</v>
      </c>
      <c r="AN3884">
        <v>0.99999995789934104</v>
      </c>
    </row>
    <row r="3885" spans="1:40" x14ac:dyDescent="0.25">
      <c r="A3885" t="str">
        <f>"20190312160410638"</f>
        <v>20190312160410638</v>
      </c>
      <c r="B3885" t="str">
        <f>"1552377850628535"</f>
        <v>1552377850628535</v>
      </c>
      <c r="C3885" t="s">
        <v>40</v>
      </c>
      <c r="D3885">
        <v>5.1970140000000002</v>
      </c>
      <c r="E3885">
        <v>0.51302859999999995</v>
      </c>
      <c r="F3885" t="s">
        <v>79</v>
      </c>
      <c r="G3885">
        <v>-283.96420000000001</v>
      </c>
      <c r="H3885" s="1">
        <v>5.4338749999999997E-6</v>
      </c>
      <c r="I3885">
        <v>213.7698</v>
      </c>
      <c r="J3885">
        <v>-314.42809999999997</v>
      </c>
      <c r="K3885">
        <v>1.1088789999999999</v>
      </c>
      <c r="L3885">
        <v>213.88079999999999</v>
      </c>
      <c r="M3885">
        <v>0.99975069999999999</v>
      </c>
      <c r="N3885">
        <v>0</v>
      </c>
      <c r="O3885">
        <v>1.9632710000000001E-2</v>
      </c>
      <c r="P3885">
        <v>0.99882289999999996</v>
      </c>
      <c r="Q3885">
        <v>3.7028829999999999E-2</v>
      </c>
      <c r="R3885">
        <v>3.1330839999999999E-2</v>
      </c>
      <c r="S3885">
        <v>3.0079349999999998</v>
      </c>
      <c r="T3885">
        <v>-0.108469</v>
      </c>
      <c r="U3885">
        <v>-1.039124E-2</v>
      </c>
      <c r="V3885">
        <v>-1.1611639999999999E-2</v>
      </c>
      <c r="W3885">
        <v>4.7672140000000002E-2</v>
      </c>
      <c r="X3885">
        <v>0.99879560000000001</v>
      </c>
      <c r="Y3885">
        <v>2.3059880000000001E-2</v>
      </c>
      <c r="Z3885">
        <v>-1.123399E-3</v>
      </c>
      <c r="AA3885">
        <v>0.99973339999999999</v>
      </c>
      <c r="AB3885">
        <v>29</v>
      </c>
      <c r="AC3885">
        <v>30.463899999999899</v>
      </c>
      <c r="AD3885">
        <v>-1.108873566125</v>
      </c>
      <c r="AE3885">
        <v>-0.11099999999999</v>
      </c>
      <c r="AF3885">
        <v>0.70816308641804704</v>
      </c>
      <c r="AG3885">
        <v>-1.108873566125</v>
      </c>
      <c r="AH3885">
        <v>30.4155504109807</v>
      </c>
      <c r="AI3885">
        <v>92.087368387028107</v>
      </c>
      <c r="AJ3885">
        <v>88.666227436071793</v>
      </c>
      <c r="AK3885">
        <v>30.4439945201927</v>
      </c>
      <c r="AL3885">
        <v>87.267552090637693</v>
      </c>
      <c r="AM3885">
        <v>90.666070209712004</v>
      </c>
      <c r="AN3885">
        <v>1.00000005684751</v>
      </c>
    </row>
    <row r="3886" spans="1:40" x14ac:dyDescent="0.25">
      <c r="A3886" t="str">
        <f>"20190312160410659"</f>
        <v>20190312160410659</v>
      </c>
      <c r="B3886" t="str">
        <f>"1552377850649031"</f>
        <v>1552377850649031</v>
      </c>
      <c r="C3886" t="s">
        <v>40</v>
      </c>
      <c r="D3886">
        <v>5.2379020000000001</v>
      </c>
      <c r="E3886">
        <v>0.5130941</v>
      </c>
      <c r="F3886" t="s">
        <v>79</v>
      </c>
      <c r="G3886">
        <v>-284.33479999999997</v>
      </c>
      <c r="H3886" s="1">
        <v>5.271453E-6</v>
      </c>
      <c r="I3886">
        <v>213.75370000000001</v>
      </c>
      <c r="J3886">
        <v>-314.14159999999998</v>
      </c>
      <c r="K3886">
        <v>1.108876</v>
      </c>
      <c r="L3886">
        <v>213.8853</v>
      </c>
      <c r="M3886">
        <v>0.99977139999999998</v>
      </c>
      <c r="N3886">
        <v>0</v>
      </c>
      <c r="O3886">
        <v>1.856232E-2</v>
      </c>
      <c r="P3886">
        <v>0.99885520000000005</v>
      </c>
      <c r="Q3886">
        <v>3.6666230000000001E-2</v>
      </c>
      <c r="R3886">
        <v>3.0730509999999999E-2</v>
      </c>
      <c r="S3886">
        <v>3.0080870000000002</v>
      </c>
      <c r="T3886">
        <v>-0.1108416</v>
      </c>
      <c r="U3886">
        <v>-1.2710569999999999E-2</v>
      </c>
      <c r="V3886">
        <v>-1.2081440000000001E-2</v>
      </c>
      <c r="W3886">
        <v>4.7303020000000001E-2</v>
      </c>
      <c r="X3886">
        <v>0.99880749999999996</v>
      </c>
      <c r="Y3886">
        <v>2.2759850000000002E-2</v>
      </c>
      <c r="Z3886">
        <v>-1.1029449999999999E-3</v>
      </c>
      <c r="AA3886">
        <v>0.99974039999999997</v>
      </c>
      <c r="AB3886">
        <v>29</v>
      </c>
      <c r="AC3886">
        <v>29.806799999999999</v>
      </c>
      <c r="AD3886">
        <v>-1.1088707285470001</v>
      </c>
      <c r="AE3886">
        <v>-0.131599999999991</v>
      </c>
      <c r="AF3886">
        <v>0.68394528139755395</v>
      </c>
      <c r="AG3886">
        <v>-1.1088707285470001</v>
      </c>
      <c r="AH3886">
        <v>29.758037078752601</v>
      </c>
      <c r="AI3886">
        <v>92.133456598376796</v>
      </c>
      <c r="AJ3886">
        <v>88.683371487154304</v>
      </c>
      <c r="AK3886">
        <v>29.786543039113901</v>
      </c>
      <c r="AL3886">
        <v>87.288724784419401</v>
      </c>
      <c r="AM3886">
        <v>90.693008178320696</v>
      </c>
      <c r="AN3886">
        <v>0.99999997947492103</v>
      </c>
    </row>
    <row r="3887" spans="1:40" x14ac:dyDescent="0.25">
      <c r="A3887" t="str">
        <f>"20190312160410682"</f>
        <v>20190312160410682</v>
      </c>
      <c r="B3887" t="str">
        <f>"1552377850678311"</f>
        <v>1552377850678311</v>
      </c>
      <c r="C3887" t="s">
        <v>40</v>
      </c>
      <c r="D3887">
        <v>5.181597</v>
      </c>
      <c r="E3887">
        <v>0.51306430000000003</v>
      </c>
      <c r="F3887" t="s">
        <v>79</v>
      </c>
      <c r="G3887">
        <v>-284.3904</v>
      </c>
      <c r="H3887" s="1">
        <v>5.2481440000000001E-6</v>
      </c>
      <c r="I3887">
        <v>213.74209999999999</v>
      </c>
      <c r="J3887">
        <v>-313.84440000000001</v>
      </c>
      <c r="K3887">
        <v>1.1088690000000001</v>
      </c>
      <c r="L3887">
        <v>213.8896</v>
      </c>
      <c r="M3887">
        <v>0.99979150000000006</v>
      </c>
      <c r="N3887">
        <v>0</v>
      </c>
      <c r="O3887">
        <v>1.745377E-2</v>
      </c>
      <c r="P3887">
        <v>0.99891589999999997</v>
      </c>
      <c r="Q3887">
        <v>3.6102349999999998E-2</v>
      </c>
      <c r="R3887">
        <v>2.9395629999999999E-2</v>
      </c>
      <c r="S3887">
        <v>3.0080260000000001</v>
      </c>
      <c r="T3887">
        <v>-0.11211359999999999</v>
      </c>
      <c r="U3887">
        <v>-1.448059E-2</v>
      </c>
      <c r="V3887">
        <v>-1.185458E-2</v>
      </c>
      <c r="W3887">
        <v>4.6731439999999999E-2</v>
      </c>
      <c r="X3887">
        <v>0.99883719999999998</v>
      </c>
      <c r="Y3887">
        <v>2.2240179999999998E-2</v>
      </c>
      <c r="Z3887">
        <v>-1.0646329999999999E-3</v>
      </c>
      <c r="AA3887">
        <v>0.99975210000000003</v>
      </c>
      <c r="AB3887">
        <v>29</v>
      </c>
      <c r="AC3887">
        <v>29.454000000000001</v>
      </c>
      <c r="AD3887">
        <v>-1.1088637518560001</v>
      </c>
      <c r="AE3887">
        <v>-0.14750000000000699</v>
      </c>
      <c r="AF3887">
        <v>0.66065341098013197</v>
      </c>
      <c r="AG3887">
        <v>-1.1088637518560001</v>
      </c>
      <c r="AH3887">
        <v>29.405262620929701</v>
      </c>
      <c r="AI3887">
        <v>92.159039290884806</v>
      </c>
      <c r="AJ3887">
        <v>88.712941776074402</v>
      </c>
      <c r="AK3887">
        <v>29.4335779604768</v>
      </c>
      <c r="AL3887">
        <v>87.321510368573001</v>
      </c>
      <c r="AM3887">
        <v>90.679976189736905</v>
      </c>
      <c r="AN3887">
        <v>1.00000005532764</v>
      </c>
    </row>
    <row r="3888" spans="1:40" x14ac:dyDescent="0.25">
      <c r="A3888" t="str">
        <f>"20190312160410697"</f>
        <v>20190312160410697</v>
      </c>
      <c r="B3888" t="str">
        <f>"1552377850689047"</f>
        <v>1552377850689047</v>
      </c>
      <c r="C3888" t="s">
        <v>40</v>
      </c>
      <c r="D3888">
        <v>5.1523899999999996</v>
      </c>
      <c r="E3888">
        <v>0.5130576</v>
      </c>
      <c r="F3888" t="s">
        <v>79</v>
      </c>
      <c r="G3888">
        <v>-285.45499999999998</v>
      </c>
      <c r="H3888" s="1">
        <v>4.7785159999999997E-6</v>
      </c>
      <c r="I3888">
        <v>213.72139999999999</v>
      </c>
      <c r="J3888">
        <v>-313.64400000000001</v>
      </c>
      <c r="K3888">
        <v>1.108865</v>
      </c>
      <c r="L3888">
        <v>213.89240000000001</v>
      </c>
      <c r="M3888">
        <v>0.99980409999999997</v>
      </c>
      <c r="N3888">
        <v>0</v>
      </c>
      <c r="O3888">
        <v>1.6707369999999999E-2</v>
      </c>
      <c r="P3888">
        <v>0.99894179999999999</v>
      </c>
      <c r="Q3888">
        <v>3.619733E-2</v>
      </c>
      <c r="R3888">
        <v>2.837143E-2</v>
      </c>
      <c r="S3888">
        <v>3.0080260000000001</v>
      </c>
      <c r="T3888">
        <v>-0.11749080000000001</v>
      </c>
      <c r="U3888">
        <v>-1.7822270000000001E-2</v>
      </c>
      <c r="V3888">
        <v>-1.1575429999999999E-2</v>
      </c>
      <c r="W3888">
        <v>4.6821939999999999E-2</v>
      </c>
      <c r="X3888">
        <v>0.99883619999999995</v>
      </c>
      <c r="Y3888">
        <v>2.260202E-2</v>
      </c>
      <c r="Z3888">
        <v>-1.0935770000000001E-3</v>
      </c>
      <c r="AA3888">
        <v>0.99974390000000002</v>
      </c>
      <c r="AB3888">
        <v>30</v>
      </c>
      <c r="AC3888">
        <v>28.189</v>
      </c>
      <c r="AD3888">
        <v>-1.108860221484</v>
      </c>
      <c r="AE3888">
        <v>-0.17100000000002</v>
      </c>
      <c r="AF3888">
        <v>0.64097491684916497</v>
      </c>
      <c r="AG3888">
        <v>-1.108860221484</v>
      </c>
      <c r="AH3888">
        <v>28.138668536675599</v>
      </c>
      <c r="AI3888">
        <v>92.256101879731403</v>
      </c>
      <c r="AJ3888">
        <v>88.695076586966195</v>
      </c>
      <c r="AK3888">
        <v>28.167802307807399</v>
      </c>
      <c r="AL3888">
        <v>87.316319322532294</v>
      </c>
      <c r="AM3888">
        <v>90.663966320485898</v>
      </c>
      <c r="AN3888">
        <v>1.0000000195377401</v>
      </c>
    </row>
    <row r="3889" spans="1:40" x14ac:dyDescent="0.25">
      <c r="A3889" t="str">
        <f>"20190312160410717"</f>
        <v>20190312160410717</v>
      </c>
      <c r="B3889" t="str">
        <f>"1552377850708571"</f>
        <v>1552377850708571</v>
      </c>
      <c r="C3889" t="s">
        <v>40</v>
      </c>
      <c r="D3889">
        <v>5.0594000000000001</v>
      </c>
      <c r="E3889">
        <v>0.51297899999999996</v>
      </c>
      <c r="F3889" t="s">
        <v>79</v>
      </c>
      <c r="G3889">
        <v>-285.39</v>
      </c>
      <c r="H3889" s="1">
        <v>4.8104179999999998E-6</v>
      </c>
      <c r="I3889">
        <v>213.69569999999999</v>
      </c>
      <c r="J3889">
        <v>-313.38839999999999</v>
      </c>
      <c r="K3889">
        <v>1.108851</v>
      </c>
      <c r="L3889">
        <v>213.8956</v>
      </c>
      <c r="M3889">
        <v>0.99981969999999998</v>
      </c>
      <c r="N3889">
        <v>0</v>
      </c>
      <c r="O3889">
        <v>1.5755269999999998E-2</v>
      </c>
      <c r="P3889">
        <v>0.99897060000000004</v>
      </c>
      <c r="Q3889">
        <v>3.6513740000000003E-2</v>
      </c>
      <c r="R3889">
        <v>2.6916499999999999E-2</v>
      </c>
      <c r="S3889">
        <v>3.008057</v>
      </c>
      <c r="T3889">
        <v>-0.1180544</v>
      </c>
      <c r="U3889">
        <v>-2.0935059999999998E-2</v>
      </c>
      <c r="V3889">
        <v>-1.107088E-2</v>
      </c>
      <c r="W3889">
        <v>4.7133439999999999E-2</v>
      </c>
      <c r="X3889">
        <v>0.99882729999999997</v>
      </c>
      <c r="Y3889">
        <v>2.268481E-2</v>
      </c>
      <c r="Z3889">
        <v>-1.063079E-3</v>
      </c>
      <c r="AA3889">
        <v>0.99974209999999997</v>
      </c>
      <c r="AB3889">
        <v>30</v>
      </c>
      <c r="AC3889">
        <v>27.9984</v>
      </c>
      <c r="AD3889">
        <v>-1.1088461895819901</v>
      </c>
      <c r="AE3889">
        <v>-0.19990000000001301</v>
      </c>
      <c r="AF3889">
        <v>0.64001851788613595</v>
      </c>
      <c r="AG3889">
        <v>-1.1088461895819901</v>
      </c>
      <c r="AH3889">
        <v>27.947941466987501</v>
      </c>
      <c r="AI3889">
        <v>92.271447285255704</v>
      </c>
      <c r="AJ3889">
        <v>88.6881340928079</v>
      </c>
      <c r="AK3889">
        <v>27.9772513985478</v>
      </c>
      <c r="AL3889">
        <v>87.298452044235304</v>
      </c>
      <c r="AM3889">
        <v>90.635033429428503</v>
      </c>
      <c r="AN3889">
        <v>1.00000005038774</v>
      </c>
    </row>
    <row r="3890" spans="1:40" x14ac:dyDescent="0.25">
      <c r="A3890" t="str">
        <f>"20190312160410738"</f>
        <v>20190312160410738</v>
      </c>
      <c r="B3890" t="str">
        <f>"1552377850728540"</f>
        <v>1552377850728540</v>
      </c>
      <c r="C3890" t="s">
        <v>40</v>
      </c>
      <c r="D3890">
        <v>5.1518030000000001</v>
      </c>
      <c r="E3890">
        <v>0.51300009999999996</v>
      </c>
      <c r="F3890" t="s">
        <v>79</v>
      </c>
      <c r="G3890">
        <v>-285.52749999999997</v>
      </c>
      <c r="H3890" s="1">
        <v>4.7529529999999998E-6</v>
      </c>
      <c r="I3890">
        <v>213.66630000000001</v>
      </c>
      <c r="J3890">
        <v>-313.10079999999999</v>
      </c>
      <c r="K3890">
        <v>1.108849</v>
      </c>
      <c r="L3890">
        <v>213.899</v>
      </c>
      <c r="M3890">
        <v>0.99983610000000001</v>
      </c>
      <c r="N3890">
        <v>0</v>
      </c>
      <c r="O3890">
        <v>1.468498E-2</v>
      </c>
      <c r="P3890">
        <v>0.99901099999999998</v>
      </c>
      <c r="Q3890">
        <v>3.6663790000000002E-2</v>
      </c>
      <c r="R3890">
        <v>2.5159109999999998E-2</v>
      </c>
      <c r="S3890">
        <v>3.0081479999999998</v>
      </c>
      <c r="T3890">
        <v>-0.11972240000000001</v>
      </c>
      <c r="U3890">
        <v>-2.476501E-2</v>
      </c>
      <c r="V3890">
        <v>-1.0382590000000001E-2</v>
      </c>
      <c r="W3890">
        <v>4.727729E-2</v>
      </c>
      <c r="X3890">
        <v>0.99882780000000004</v>
      </c>
      <c r="Y3890">
        <v>2.2887049999999999E-2</v>
      </c>
      <c r="Z3890">
        <v>-1.039494E-3</v>
      </c>
      <c r="AA3890">
        <v>0.99973749999999995</v>
      </c>
      <c r="AB3890">
        <v>30</v>
      </c>
      <c r="AC3890">
        <v>27.5733</v>
      </c>
      <c r="AD3890">
        <v>-1.1088442470469999</v>
      </c>
      <c r="AE3890">
        <v>-0.23269999999999399</v>
      </c>
      <c r="AF3890">
        <v>0.63658156033533897</v>
      </c>
      <c r="AG3890">
        <v>-1.1088442470469999</v>
      </c>
      <c r="AH3890">
        <v>27.5224030005004</v>
      </c>
      <c r="AI3890">
        <v>92.3065135097618</v>
      </c>
      <c r="AJ3890">
        <v>88.675009058803198</v>
      </c>
      <c r="AK3890">
        <v>27.552085920472901</v>
      </c>
      <c r="AL3890">
        <v>87.290200595633806</v>
      </c>
      <c r="AM3890">
        <v>90.595555272884596</v>
      </c>
      <c r="AN3890">
        <v>0.99999995718884505</v>
      </c>
    </row>
    <row r="3891" spans="1:40" x14ac:dyDescent="0.25">
      <c r="A3891" t="str">
        <f>"20190312160410761"</f>
        <v>20190312160410761</v>
      </c>
      <c r="B3891" t="str">
        <f>"1552377850749036"</f>
        <v>1552377850749036</v>
      </c>
      <c r="C3891" t="s">
        <v>40</v>
      </c>
      <c r="D3891">
        <v>5.1351380000000004</v>
      </c>
      <c r="E3891">
        <v>0.51301839999999999</v>
      </c>
      <c r="F3891" t="s">
        <v>79</v>
      </c>
      <c r="G3891">
        <v>-285.54349999999999</v>
      </c>
      <c r="H3891" s="1">
        <v>4.7507990000000001E-6</v>
      </c>
      <c r="I3891">
        <v>213.62459999999999</v>
      </c>
      <c r="J3891">
        <v>-312.79610000000002</v>
      </c>
      <c r="K3891">
        <v>1.108851</v>
      </c>
      <c r="L3891">
        <v>213.9023</v>
      </c>
      <c r="M3891">
        <v>0.99985210000000002</v>
      </c>
      <c r="N3891">
        <v>0</v>
      </c>
      <c r="O3891">
        <v>1.355193E-2</v>
      </c>
      <c r="P3891">
        <v>0.99904210000000004</v>
      </c>
      <c r="Q3891">
        <v>3.6931730000000003E-2</v>
      </c>
      <c r="R3891">
        <v>2.3483480000000001E-2</v>
      </c>
      <c r="S3891">
        <v>3.0082089999999999</v>
      </c>
      <c r="T3891">
        <v>-0.12104379999999999</v>
      </c>
      <c r="U3891">
        <v>-2.9953E-2</v>
      </c>
      <c r="V3891">
        <v>-9.8385550000000006E-3</v>
      </c>
      <c r="W3891">
        <v>4.7540680000000002E-2</v>
      </c>
      <c r="X3891">
        <v>0.99882079999999995</v>
      </c>
      <c r="Y3891">
        <v>2.347774E-2</v>
      </c>
      <c r="Z3891">
        <v>-1.017238E-3</v>
      </c>
      <c r="AA3891">
        <v>0.9997239</v>
      </c>
      <c r="AB3891">
        <v>30</v>
      </c>
      <c r="AC3891">
        <v>27.252600000000001</v>
      </c>
      <c r="AD3891">
        <v>-1.1088462492010001</v>
      </c>
      <c r="AE3891">
        <v>-0.27770000000000999</v>
      </c>
      <c r="AF3891">
        <v>0.64595127436161304</v>
      </c>
      <c r="AG3891">
        <v>-1.1088462492010001</v>
      </c>
      <c r="AH3891">
        <v>27.201306648517999</v>
      </c>
      <c r="AI3891">
        <v>92.333681185133699</v>
      </c>
      <c r="AJ3891">
        <v>88.639648909619098</v>
      </c>
      <c r="AK3891">
        <v>27.231560301237302</v>
      </c>
      <c r="AL3891">
        <v>87.275092457183106</v>
      </c>
      <c r="AM3891">
        <v>90.564354935001404</v>
      </c>
      <c r="AN3891">
        <v>0.99999995196599401</v>
      </c>
    </row>
    <row r="3892" spans="1:40" x14ac:dyDescent="0.25">
      <c r="A3892" t="str">
        <f>"20190312160410785"</f>
        <v>20190312160410785</v>
      </c>
      <c r="B3892" t="str">
        <f>"1552377850778316"</f>
        <v>1552377850778316</v>
      </c>
      <c r="C3892" t="s">
        <v>40</v>
      </c>
      <c r="D3892">
        <v>5.1113549999999996</v>
      </c>
      <c r="E3892">
        <v>0.51303540000000003</v>
      </c>
      <c r="F3892" t="s">
        <v>79</v>
      </c>
      <c r="G3892">
        <v>-285.34230000000002</v>
      </c>
      <c r="H3892" s="1">
        <v>4.8451740000000003E-6</v>
      </c>
      <c r="I3892">
        <v>213.58160000000001</v>
      </c>
      <c r="J3892">
        <v>-312.49360000000001</v>
      </c>
      <c r="K3892">
        <v>1.108846</v>
      </c>
      <c r="L3892">
        <v>213.90520000000001</v>
      </c>
      <c r="M3892">
        <v>0.9998667</v>
      </c>
      <c r="N3892">
        <v>0</v>
      </c>
      <c r="O3892">
        <v>1.2429020000000001E-2</v>
      </c>
      <c r="P3892">
        <v>0.99907699999999999</v>
      </c>
      <c r="Q3892">
        <v>3.6719910000000001E-2</v>
      </c>
      <c r="R3892">
        <v>2.2302990000000002E-2</v>
      </c>
      <c r="S3892">
        <v>3.0082089999999999</v>
      </c>
      <c r="T3892">
        <v>-0.12150030000000001</v>
      </c>
      <c r="U3892">
        <v>-3.5140989999999997E-2</v>
      </c>
      <c r="V3892">
        <v>-9.7800739999999997E-3</v>
      </c>
      <c r="W3892">
        <v>4.7326350000000003E-2</v>
      </c>
      <c r="X3892">
        <v>0.99883160000000004</v>
      </c>
      <c r="Y3892">
        <v>2.4079099999999999E-2</v>
      </c>
      <c r="Z3892">
        <v>-9.87866E-4</v>
      </c>
      <c r="AA3892">
        <v>0.99970950000000003</v>
      </c>
      <c r="AB3892">
        <v>30</v>
      </c>
      <c r="AC3892">
        <v>27.1512999999999</v>
      </c>
      <c r="AD3892">
        <v>-1.108841154826</v>
      </c>
      <c r="AE3892">
        <v>-0.323599999999998</v>
      </c>
      <c r="AF3892">
        <v>0.65995741402002295</v>
      </c>
      <c r="AG3892">
        <v>-1.108841154826</v>
      </c>
      <c r="AH3892">
        <v>27.099987914029199</v>
      </c>
      <c r="AI3892">
        <v>92.342351610823897</v>
      </c>
      <c r="AJ3892">
        <v>88.604969778394903</v>
      </c>
      <c r="AK3892">
        <v>27.130691429366198</v>
      </c>
      <c r="AL3892">
        <v>87.287386628666297</v>
      </c>
      <c r="AM3892">
        <v>90.560994522713997</v>
      </c>
      <c r="AN3892">
        <v>0.99999999920516403</v>
      </c>
    </row>
    <row r="3893" spans="1:40" x14ac:dyDescent="0.25">
      <c r="A3893" t="str">
        <f>"20190312160410807"</f>
        <v>20190312160410807</v>
      </c>
      <c r="B3893" t="str">
        <f>"1552377850798812"</f>
        <v>1552377850798812</v>
      </c>
      <c r="C3893" t="s">
        <v>40</v>
      </c>
      <c r="D3893">
        <v>5.0966579999999997</v>
      </c>
      <c r="E3893">
        <v>0.51295559999999996</v>
      </c>
      <c r="F3893" t="s">
        <v>79</v>
      </c>
      <c r="G3893">
        <v>-285.28280000000001</v>
      </c>
      <c r="H3893" s="1">
        <v>4.8750750000000001E-6</v>
      </c>
      <c r="I3893">
        <v>213.55199999999999</v>
      </c>
      <c r="J3893">
        <v>-312.19170000000003</v>
      </c>
      <c r="K3893">
        <v>1.10884</v>
      </c>
      <c r="L3893">
        <v>213.90780000000001</v>
      </c>
      <c r="M3893">
        <v>0.99987999999999999</v>
      </c>
      <c r="N3893">
        <v>0</v>
      </c>
      <c r="O3893">
        <v>1.130974E-2</v>
      </c>
      <c r="P3893">
        <v>0.9991004</v>
      </c>
      <c r="Q3893">
        <v>3.6317750000000003E-2</v>
      </c>
      <c r="R3893">
        <v>2.1893200000000002E-2</v>
      </c>
      <c r="S3893">
        <v>3.0081180000000001</v>
      </c>
      <c r="T3893">
        <v>-0.1225811</v>
      </c>
      <c r="U3893">
        <v>-3.9047239999999997E-2</v>
      </c>
      <c r="V3893">
        <v>-1.048897E-2</v>
      </c>
      <c r="W3893">
        <v>4.6924349999999997E-2</v>
      </c>
      <c r="X3893">
        <v>0.99884340000000005</v>
      </c>
      <c r="Y3893">
        <v>2.4258600000000002E-2</v>
      </c>
      <c r="Z3893">
        <v>-9.5473400000000005E-4</v>
      </c>
      <c r="AA3893">
        <v>0.99970530000000002</v>
      </c>
      <c r="AB3893">
        <v>30</v>
      </c>
      <c r="AC3893">
        <v>26.908899999999999</v>
      </c>
      <c r="AD3893">
        <v>-1.1088351249249999</v>
      </c>
      <c r="AE3893">
        <v>-0.35579999999998702</v>
      </c>
      <c r="AF3893">
        <v>0.65900814821040099</v>
      </c>
      <c r="AG3893">
        <v>-1.1088351249249999</v>
      </c>
      <c r="AH3893">
        <v>26.857557938434201</v>
      </c>
      <c r="AI3893">
        <v>92.363447520487398</v>
      </c>
      <c r="AJ3893">
        <v>88.594406437743899</v>
      </c>
      <c r="AK3893">
        <v>26.888514750540399</v>
      </c>
      <c r="AL3893">
        <v>87.310445221159</v>
      </c>
      <c r="AM3893">
        <v>90.601647488909194</v>
      </c>
      <c r="AN3893">
        <v>1.00000002541907</v>
      </c>
    </row>
    <row r="3894" spans="1:40" x14ac:dyDescent="0.25">
      <c r="A3894" t="str">
        <f>"20190312160410828"</f>
        <v>20190312160410828</v>
      </c>
      <c r="B3894" t="str">
        <f>"1552377850818336"</f>
        <v>1552377850818336</v>
      </c>
      <c r="C3894" t="s">
        <v>40</v>
      </c>
      <c r="D3894">
        <v>5.0956960000000002</v>
      </c>
      <c r="E3894">
        <v>0.5128509</v>
      </c>
      <c r="F3894" t="s">
        <v>79</v>
      </c>
      <c r="G3894">
        <v>-285.54390000000001</v>
      </c>
      <c r="H3894" s="1">
        <v>4.7584790000000003E-6</v>
      </c>
      <c r="I3894">
        <v>213.55889999999999</v>
      </c>
      <c r="J3894">
        <v>-311.91699999999997</v>
      </c>
      <c r="K3894">
        <v>1.108833</v>
      </c>
      <c r="L3894">
        <v>213.90979999999999</v>
      </c>
      <c r="M3894">
        <v>0.99989090000000003</v>
      </c>
      <c r="N3894">
        <v>0</v>
      </c>
      <c r="O3894">
        <v>1.0292549999999999E-2</v>
      </c>
      <c r="P3894">
        <v>0.99913940000000001</v>
      </c>
      <c r="Q3894">
        <v>3.5761559999999998E-2</v>
      </c>
      <c r="R3894">
        <v>2.101364E-2</v>
      </c>
      <c r="S3894">
        <v>3.008057</v>
      </c>
      <c r="T3894">
        <v>-0.1251678</v>
      </c>
      <c r="U3894">
        <v>-3.9382929999999997E-2</v>
      </c>
      <c r="V3894">
        <v>-1.0627370000000001E-2</v>
      </c>
      <c r="W3894">
        <v>4.6367060000000002E-2</v>
      </c>
      <c r="X3894">
        <v>0.99886790000000003</v>
      </c>
      <c r="Y3894">
        <v>2.3353809999999999E-2</v>
      </c>
      <c r="Z3894">
        <v>-9.1375889999999996E-4</v>
      </c>
      <c r="AA3894">
        <v>0.99972680000000003</v>
      </c>
      <c r="AB3894">
        <v>30</v>
      </c>
      <c r="AC3894">
        <v>26.373100000000001</v>
      </c>
      <c r="AD3894">
        <v>-1.108828241521</v>
      </c>
      <c r="AE3894">
        <v>-0.35089999999999499</v>
      </c>
      <c r="AF3894">
        <v>0.62124512302773405</v>
      </c>
      <c r="AG3894">
        <v>-1.108828241521</v>
      </c>
      <c r="AH3894">
        <v>26.3215708578124</v>
      </c>
      <c r="AI3894">
        <v>92.411557460386007</v>
      </c>
      <c r="AJ3894">
        <v>88.647948615172695</v>
      </c>
      <c r="AK3894">
        <v>26.3522397149639</v>
      </c>
      <c r="AL3894">
        <v>87.342410215097402</v>
      </c>
      <c r="AM3894">
        <v>90.609570569347696</v>
      </c>
      <c r="AN3894">
        <v>0.99999996344828401</v>
      </c>
    </row>
    <row r="3895" spans="1:40" x14ac:dyDescent="0.25">
      <c r="A3895" t="str">
        <f>"20190312160410850"</f>
        <v>20190312160410850</v>
      </c>
      <c r="B3895" t="str">
        <f>"1552377850838358"</f>
        <v>1552377850838358</v>
      </c>
      <c r="C3895" t="s">
        <v>40</v>
      </c>
      <c r="D3895">
        <v>5.0839249999999998</v>
      </c>
      <c r="E3895">
        <v>0.5127389</v>
      </c>
      <c r="F3895" t="s">
        <v>79</v>
      </c>
      <c r="G3895">
        <v>-285.88709999999998</v>
      </c>
      <c r="H3895" s="1">
        <v>4.6068350000000004E-6</v>
      </c>
      <c r="I3895">
        <v>213.55439999999999</v>
      </c>
      <c r="J3895">
        <v>-311.62049999999999</v>
      </c>
      <c r="K3895">
        <v>1.1088340000000001</v>
      </c>
      <c r="L3895">
        <v>213.9117</v>
      </c>
      <c r="M3895">
        <v>0.99990159999999995</v>
      </c>
      <c r="N3895">
        <v>0</v>
      </c>
      <c r="O3895">
        <v>9.1952500000000003E-3</v>
      </c>
      <c r="P3895">
        <v>0.99916329999999998</v>
      </c>
      <c r="Q3895">
        <v>3.57267E-2</v>
      </c>
      <c r="R3895">
        <v>1.9912860000000001E-2</v>
      </c>
      <c r="S3895">
        <v>3.0080260000000001</v>
      </c>
      <c r="T3895">
        <v>-0.12813659999999999</v>
      </c>
      <c r="U3895">
        <v>-4.1076660000000001E-2</v>
      </c>
      <c r="V3895">
        <v>-1.0623580000000001E-2</v>
      </c>
      <c r="W3895">
        <v>4.6331329999999997E-2</v>
      </c>
      <c r="X3895">
        <v>0.99886969999999997</v>
      </c>
      <c r="Y3895">
        <v>2.2819720000000002E-2</v>
      </c>
      <c r="Z3895">
        <v>-8.7732679999999897E-4</v>
      </c>
      <c r="AA3895">
        <v>0.99973920000000005</v>
      </c>
      <c r="AB3895">
        <v>30</v>
      </c>
      <c r="AC3895">
        <v>25.7334</v>
      </c>
      <c r="AD3895">
        <v>-1.108829393165</v>
      </c>
      <c r="AE3895">
        <v>-0.357300000000009</v>
      </c>
      <c r="AF3895">
        <v>0.59282275417247299</v>
      </c>
      <c r="AG3895">
        <v>-1.108829393165</v>
      </c>
      <c r="AH3895">
        <v>25.681353642405298</v>
      </c>
      <c r="AI3895">
        <v>92.471634578511399</v>
      </c>
      <c r="AJ3895">
        <v>88.677631595295594</v>
      </c>
      <c r="AK3895">
        <v>25.712115166732101</v>
      </c>
      <c r="AL3895">
        <v>87.344459865940294</v>
      </c>
      <c r="AM3895">
        <v>90.609352098831096</v>
      </c>
      <c r="AN3895">
        <v>1.00000006508483</v>
      </c>
    </row>
    <row r="3896" spans="1:40" x14ac:dyDescent="0.25">
      <c r="A3896" t="str">
        <f>"20190312160410872"</f>
        <v>20190312160410872</v>
      </c>
      <c r="B3896" t="str">
        <f>"1552377850868613"</f>
        <v>1552377850868613</v>
      </c>
      <c r="C3896" t="s">
        <v>40</v>
      </c>
      <c r="D3896">
        <v>5.1427630000000004</v>
      </c>
      <c r="E3896">
        <v>0.51248890000000002</v>
      </c>
      <c r="F3896" t="s">
        <v>79</v>
      </c>
      <c r="G3896">
        <v>-285.55590000000001</v>
      </c>
      <c r="H3896" s="1">
        <v>4.755919E-6</v>
      </c>
      <c r="I3896">
        <v>213.53559999999999</v>
      </c>
      <c r="J3896">
        <v>-311.32170000000002</v>
      </c>
      <c r="K3896">
        <v>1.108835</v>
      </c>
      <c r="L3896">
        <v>213.91319999999999</v>
      </c>
      <c r="M3896">
        <v>0.9999112</v>
      </c>
      <c r="N3896">
        <v>0</v>
      </c>
      <c r="O3896">
        <v>8.0904329999999993E-3</v>
      </c>
      <c r="P3896">
        <v>0.9991987</v>
      </c>
      <c r="Q3896">
        <v>3.5686580000000002E-2</v>
      </c>
      <c r="R3896">
        <v>1.8132490000000001E-2</v>
      </c>
      <c r="S3896">
        <v>3.007965</v>
      </c>
      <c r="T3896">
        <v>-0.12796389999999999</v>
      </c>
      <c r="U3896">
        <v>-4.3395999999999997E-2</v>
      </c>
      <c r="V3896">
        <v>-9.9467770000000004E-3</v>
      </c>
      <c r="W3896">
        <v>4.628989E-2</v>
      </c>
      <c r="X3896">
        <v>0.9988785</v>
      </c>
      <c r="Y3896">
        <v>2.2487449999999999E-2</v>
      </c>
      <c r="Z3896">
        <v>-8.2211449999999896E-4</v>
      </c>
      <c r="AA3896">
        <v>0.99974680000000005</v>
      </c>
      <c r="AB3896">
        <v>30</v>
      </c>
      <c r="AC3896">
        <v>25.765799999999999</v>
      </c>
      <c r="AD3896">
        <v>-1.1088302440809901</v>
      </c>
      <c r="AE3896">
        <v>-0.37760000000000099</v>
      </c>
      <c r="AF3896">
        <v>0.58497266646232104</v>
      </c>
      <c r="AG3896">
        <v>-1.1088302440809901</v>
      </c>
      <c r="AH3896">
        <v>25.714288678216299</v>
      </c>
      <c r="AI3896">
        <v>92.468493610949395</v>
      </c>
      <c r="AJ3896">
        <v>88.696806845953404</v>
      </c>
      <c r="AK3896">
        <v>25.744831321205801</v>
      </c>
      <c r="AL3896">
        <v>87.346836513966196</v>
      </c>
      <c r="AM3896">
        <v>90.570529354152299</v>
      </c>
      <c r="AN3896">
        <v>0.99999997502557403</v>
      </c>
    </row>
    <row r="3897" spans="1:40" x14ac:dyDescent="0.25">
      <c r="A3897" t="str">
        <f>"20190312160410895"</f>
        <v>20190312160410895</v>
      </c>
      <c r="B3897" t="str">
        <f>"1552377850889111"</f>
        <v>1552377850889111</v>
      </c>
      <c r="C3897" t="s">
        <v>40</v>
      </c>
      <c r="D3897">
        <v>5.1586049999999997</v>
      </c>
      <c r="E3897">
        <v>0.51231439999999995</v>
      </c>
      <c r="F3897" t="s">
        <v>79</v>
      </c>
      <c r="G3897">
        <v>-285.90429999999998</v>
      </c>
      <c r="H3897" s="1">
        <v>4.6036509999999998E-6</v>
      </c>
      <c r="I3897">
        <v>213.517</v>
      </c>
      <c r="J3897">
        <v>-311.01400000000001</v>
      </c>
      <c r="K3897">
        <v>1.10883</v>
      </c>
      <c r="L3897">
        <v>213.9145</v>
      </c>
      <c r="M3897">
        <v>0.99991980000000003</v>
      </c>
      <c r="N3897">
        <v>0</v>
      </c>
      <c r="O3897">
        <v>6.9530659999999999E-3</v>
      </c>
      <c r="P3897">
        <v>0.99924310000000005</v>
      </c>
      <c r="Q3897">
        <v>3.5394469999999997E-2</v>
      </c>
      <c r="R3897">
        <v>1.6144970000000002E-2</v>
      </c>
      <c r="S3897">
        <v>3.007965</v>
      </c>
      <c r="T3897">
        <v>-0.1312217</v>
      </c>
      <c r="U3897">
        <v>-4.6890260000000003E-2</v>
      </c>
      <c r="V3897">
        <v>-9.0957450000000006E-3</v>
      </c>
      <c r="W3897">
        <v>4.5996469999999998E-2</v>
      </c>
      <c r="X3897">
        <v>0.99890020000000002</v>
      </c>
      <c r="Y3897">
        <v>2.251102E-2</v>
      </c>
      <c r="Z3897">
        <v>-7.93938E-4</v>
      </c>
      <c r="AA3897">
        <v>0.99974629999999998</v>
      </c>
      <c r="AB3897">
        <v>30</v>
      </c>
      <c r="AC3897">
        <v>25.1097</v>
      </c>
      <c r="AD3897">
        <v>-1.108825396349</v>
      </c>
      <c r="AE3897">
        <v>-0.39750000000000801</v>
      </c>
      <c r="AF3897">
        <v>0.57097642631427703</v>
      </c>
      <c r="AG3897">
        <v>-1.108825396349</v>
      </c>
      <c r="AH3897">
        <v>25.057478144755098</v>
      </c>
      <c r="AI3897">
        <v>92.533101710422798</v>
      </c>
      <c r="AJ3897">
        <v>88.694646011223597</v>
      </c>
      <c r="AK3897">
        <v>25.088497739280399</v>
      </c>
      <c r="AL3897">
        <v>87.363666257237497</v>
      </c>
      <c r="AM3897">
        <v>90.521707170658303</v>
      </c>
      <c r="AN3897">
        <v>1.0000000086948</v>
      </c>
    </row>
    <row r="3898" spans="1:40" x14ac:dyDescent="0.25">
      <c r="A3898" t="str">
        <f>"20190312160410916"</f>
        <v>20190312160410916</v>
      </c>
      <c r="B3898" t="str">
        <f>"1552377850908631"</f>
        <v>1552377850908631</v>
      </c>
      <c r="C3898" t="s">
        <v>40</v>
      </c>
      <c r="D3898">
        <v>5.1187079999999998</v>
      </c>
      <c r="E3898">
        <v>0.51213529999999996</v>
      </c>
      <c r="F3898" t="s">
        <v>79</v>
      </c>
      <c r="G3898">
        <v>-286.03019999999998</v>
      </c>
      <c r="H3898" s="1">
        <v>4.5512370000000001E-6</v>
      </c>
      <c r="I3898">
        <v>213.48820000000001</v>
      </c>
      <c r="J3898">
        <v>-310.72719999999998</v>
      </c>
      <c r="K3898">
        <v>1.108824</v>
      </c>
      <c r="L3898">
        <v>213.91540000000001</v>
      </c>
      <c r="M3898">
        <v>0.9999266</v>
      </c>
      <c r="N3898">
        <v>0</v>
      </c>
      <c r="O3898">
        <v>5.8948000000000004E-3</v>
      </c>
      <c r="P3898">
        <v>0.99928099999999997</v>
      </c>
      <c r="Q3898">
        <v>3.5167459999999998E-2</v>
      </c>
      <c r="R3898">
        <v>1.4170739999999999E-2</v>
      </c>
      <c r="S3898">
        <v>3.0078130000000001</v>
      </c>
      <c r="T3898">
        <v>-0.13349220000000001</v>
      </c>
      <c r="U3898">
        <v>-5.1330569999999999E-2</v>
      </c>
      <c r="V3898">
        <v>-8.179403E-3</v>
      </c>
      <c r="W3898">
        <v>4.576736E-2</v>
      </c>
      <c r="X3898">
        <v>0.99891870000000005</v>
      </c>
      <c r="Y3898">
        <v>2.2928870000000001E-2</v>
      </c>
      <c r="Z3898">
        <v>-7.7001649999999995E-4</v>
      </c>
      <c r="AA3898">
        <v>0.99973679999999998</v>
      </c>
      <c r="AB3898">
        <v>30</v>
      </c>
      <c r="AC3898">
        <v>24.696999999999999</v>
      </c>
      <c r="AD3898">
        <v>-1.1088194487630001</v>
      </c>
      <c r="AE3898">
        <v>-0.42719999999999902</v>
      </c>
      <c r="AF3898">
        <v>0.57163269420155505</v>
      </c>
      <c r="AG3898">
        <v>-1.1088194487630001</v>
      </c>
      <c r="AH3898">
        <v>24.644390772281699</v>
      </c>
      <c r="AI3898">
        <v>92.575466719214305</v>
      </c>
      <c r="AJ3898">
        <v>88.671248591824394</v>
      </c>
      <c r="AK3898">
        <v>24.675944582608398</v>
      </c>
      <c r="AL3898">
        <v>87.376807270966793</v>
      </c>
      <c r="AM3898">
        <v>90.469142080750402</v>
      </c>
      <c r="AN3898">
        <v>1.00000006154224</v>
      </c>
    </row>
    <row r="3899" spans="1:40" x14ac:dyDescent="0.25">
      <c r="A3899" t="str">
        <f>"20190312160410938"</f>
        <v>20190312160410938</v>
      </c>
      <c r="B3899" t="str">
        <f>"1552377850929125"</f>
        <v>1552377850929125</v>
      </c>
      <c r="C3899" t="s">
        <v>40</v>
      </c>
      <c r="D3899">
        <v>5.0885470000000002</v>
      </c>
      <c r="E3899">
        <v>0.51199110000000003</v>
      </c>
      <c r="F3899" t="s">
        <v>79</v>
      </c>
      <c r="G3899">
        <v>-286.1438</v>
      </c>
      <c r="H3899" s="1">
        <v>4.5043950000000001E-6</v>
      </c>
      <c r="I3899">
        <v>213.4588</v>
      </c>
      <c r="J3899">
        <v>-310.43209999999999</v>
      </c>
      <c r="K3899">
        <v>1.1088209999999901</v>
      </c>
      <c r="L3899">
        <v>213.916</v>
      </c>
      <c r="M3899">
        <v>0.9999325</v>
      </c>
      <c r="N3899">
        <v>0</v>
      </c>
      <c r="O3899">
        <v>4.8113749999999997E-3</v>
      </c>
      <c r="P3899">
        <v>0.99930070000000004</v>
      </c>
      <c r="Q3899">
        <v>3.532983E-2</v>
      </c>
      <c r="R3899">
        <v>1.226258E-2</v>
      </c>
      <c r="S3899">
        <v>3.0077210000000001</v>
      </c>
      <c r="T3899">
        <v>-0.13566110000000001</v>
      </c>
      <c r="U3899">
        <v>-5.5862429999999998E-2</v>
      </c>
      <c r="V3899">
        <v>-7.3543569999999997E-3</v>
      </c>
      <c r="W3899">
        <v>4.5925970000000003E-2</v>
      </c>
      <c r="X3899">
        <v>0.99891779999999997</v>
      </c>
      <c r="Y3899">
        <v>2.3351779999999999E-2</v>
      </c>
      <c r="Z3899">
        <v>-7.4321860000000001E-4</v>
      </c>
      <c r="AA3899">
        <v>0.99972700000000003</v>
      </c>
      <c r="AB3899">
        <v>30</v>
      </c>
      <c r="AC3899">
        <v>24.2882999999999</v>
      </c>
      <c r="AD3899">
        <v>-1.10881649560499</v>
      </c>
      <c r="AE3899">
        <v>-0.4572</v>
      </c>
      <c r="AF3899">
        <v>0.57286785353888103</v>
      </c>
      <c r="AG3899">
        <v>-1.10881649560499</v>
      </c>
      <c r="AH3899">
        <v>24.235327236360199</v>
      </c>
      <c r="AI3899">
        <v>92.6188434707569</v>
      </c>
      <c r="AJ3899">
        <v>88.645910625501301</v>
      </c>
      <c r="AK3899">
        <v>24.267441930537501</v>
      </c>
      <c r="AL3899">
        <v>87.367709929031705</v>
      </c>
      <c r="AM3899">
        <v>90.421822500336404</v>
      </c>
      <c r="AN3899">
        <v>1.0000000262220801</v>
      </c>
    </row>
    <row r="3900" spans="1:40" x14ac:dyDescent="0.25">
      <c r="A3900" t="str">
        <f>"20190312160410953"</f>
        <v>20190312160410953</v>
      </c>
      <c r="B3900" t="str">
        <f>"1552377850948646"</f>
        <v>1552377850948646</v>
      </c>
      <c r="C3900" t="s">
        <v>40</v>
      </c>
      <c r="D3900">
        <v>5.157089</v>
      </c>
      <c r="E3900">
        <v>0.51182119999999998</v>
      </c>
      <c r="F3900" t="s">
        <v>79</v>
      </c>
      <c r="G3900">
        <v>-285.69920000000002</v>
      </c>
      <c r="H3900" s="1">
        <v>4.706239E-6</v>
      </c>
      <c r="I3900">
        <v>213.41929999999999</v>
      </c>
      <c r="J3900">
        <v>-310.2396</v>
      </c>
      <c r="K3900">
        <v>1.108822</v>
      </c>
      <c r="L3900">
        <v>213.9162</v>
      </c>
      <c r="M3900">
        <v>0.99993560000000004</v>
      </c>
      <c r="N3900">
        <v>0</v>
      </c>
      <c r="O3900">
        <v>4.1110599999999997E-3</v>
      </c>
      <c r="P3900">
        <v>0.99930549999999996</v>
      </c>
      <c r="Q3900">
        <v>3.5427199999999999E-2</v>
      </c>
      <c r="R3900">
        <v>1.156298E-2</v>
      </c>
      <c r="S3900">
        <v>3.007568</v>
      </c>
      <c r="T3900">
        <v>-0.13483419999999999</v>
      </c>
      <c r="U3900">
        <v>-6.0394290000000003E-2</v>
      </c>
      <c r="V3900">
        <v>-7.3548019999999997E-3</v>
      </c>
      <c r="W3900">
        <v>4.6019810000000001E-2</v>
      </c>
      <c r="X3900">
        <v>0.99891350000000001</v>
      </c>
      <c r="Y3900">
        <v>2.415863E-2</v>
      </c>
      <c r="Z3900">
        <v>-7.2541520000000005E-4</v>
      </c>
      <c r="AA3900">
        <v>0.99970789999999998</v>
      </c>
      <c r="AB3900">
        <v>30</v>
      </c>
      <c r="AC3900">
        <v>24.540399999999899</v>
      </c>
      <c r="AD3900">
        <v>-1.1088172937609999</v>
      </c>
      <c r="AE3900">
        <v>-0.49690000000001</v>
      </c>
      <c r="AF3900">
        <v>0.596571080918189</v>
      </c>
      <c r="AG3900">
        <v>-1.1088172937609999</v>
      </c>
      <c r="AH3900">
        <v>24.488176732267</v>
      </c>
      <c r="AI3900">
        <v>92.591796930729203</v>
      </c>
      <c r="AJ3900">
        <v>88.604459372445902</v>
      </c>
      <c r="AK3900">
        <v>24.520525535075201</v>
      </c>
      <c r="AL3900">
        <v>87.362327660574493</v>
      </c>
      <c r="AM3900">
        <v>90.421849839051006</v>
      </c>
      <c r="AN3900">
        <v>1.00000004825357</v>
      </c>
    </row>
    <row r="3901" spans="1:40" x14ac:dyDescent="0.25">
      <c r="A3901" t="str">
        <f>"20190312160410974"</f>
        <v>20190312160410974</v>
      </c>
      <c r="B3901" t="str">
        <f>"1552377850969142"</f>
        <v>1552377850969142</v>
      </c>
      <c r="C3901" t="s">
        <v>40</v>
      </c>
      <c r="D3901">
        <v>5.1218000000000004</v>
      </c>
      <c r="E3901">
        <v>0.51160169999999905</v>
      </c>
      <c r="F3901" t="s">
        <v>79</v>
      </c>
      <c r="G3901">
        <v>-285.38170000000002</v>
      </c>
      <c r="H3901" s="1">
        <v>4.8481530000000002E-6</v>
      </c>
      <c r="I3901">
        <v>213.4102</v>
      </c>
      <c r="J3901">
        <v>-309.96440000000001</v>
      </c>
      <c r="K3901">
        <v>1.1088370000000001</v>
      </c>
      <c r="L3901">
        <v>213.91630000000001</v>
      </c>
      <c r="M3901">
        <v>0.99993920000000003</v>
      </c>
      <c r="N3901">
        <v>0</v>
      </c>
      <c r="O3901">
        <v>3.1239940000000002E-3</v>
      </c>
      <c r="P3901">
        <v>0.99931380000000003</v>
      </c>
      <c r="Q3901">
        <v>3.5577850000000001E-2</v>
      </c>
      <c r="R3901">
        <v>1.03219E-2</v>
      </c>
      <c r="S3901">
        <v>3.0075379999999998</v>
      </c>
      <c r="T3901">
        <v>-0.13415469999999999</v>
      </c>
      <c r="U3901">
        <v>-6.1218259999999997E-2</v>
      </c>
      <c r="V3901">
        <v>-7.1003999999999902E-3</v>
      </c>
      <c r="W3901">
        <v>4.6161760000000003E-2</v>
      </c>
      <c r="X3901">
        <v>0.99890880000000004</v>
      </c>
      <c r="Y3901">
        <v>2.3447740000000002E-2</v>
      </c>
      <c r="Z3901">
        <v>-6.619172E-4</v>
      </c>
      <c r="AA3901">
        <v>0.99972490000000003</v>
      </c>
      <c r="AB3901">
        <v>30</v>
      </c>
      <c r="AC3901">
        <v>24.5826999999999</v>
      </c>
      <c r="AD3901">
        <v>-1.1088321518469999</v>
      </c>
      <c r="AE3901">
        <v>-0.50610000000000299</v>
      </c>
      <c r="AF3901">
        <v>0.58171499415075201</v>
      </c>
      <c r="AG3901">
        <v>-1.1088321518469999</v>
      </c>
      <c r="AH3901">
        <v>24.531109795047001</v>
      </c>
      <c r="AI3901">
        <v>92.587341932460703</v>
      </c>
      <c r="AJ3901">
        <v>88.641579241540398</v>
      </c>
      <c r="AK3901">
        <v>24.5630464082133</v>
      </c>
      <c r="AL3901">
        <v>87.354185896213295</v>
      </c>
      <c r="AM3901">
        <v>90.407260504027406</v>
      </c>
      <c r="AN3901">
        <v>1.0000000572419401</v>
      </c>
    </row>
    <row r="3902" spans="1:40" x14ac:dyDescent="0.25">
      <c r="A3902" t="str">
        <f>"20190312160410996"</f>
        <v>20190312160410996</v>
      </c>
      <c r="B3902" t="str">
        <f>"1552377850988662"</f>
        <v>1552377850988662</v>
      </c>
      <c r="C3902" t="s">
        <v>40</v>
      </c>
      <c r="D3902">
        <v>5.0996050000000004</v>
      </c>
      <c r="E3902">
        <v>0.51137100000000002</v>
      </c>
      <c r="F3902" t="s">
        <v>79</v>
      </c>
      <c r="G3902">
        <v>-285.0625</v>
      </c>
      <c r="H3902" s="1">
        <v>4.9918030000000001E-6</v>
      </c>
      <c r="I3902">
        <v>213.39259999999999</v>
      </c>
      <c r="J3902">
        <v>-309.66739999999999</v>
      </c>
      <c r="K3902">
        <v>1.108854</v>
      </c>
      <c r="L3902">
        <v>213.9161</v>
      </c>
      <c r="M3902">
        <v>0.999942</v>
      </c>
      <c r="N3902">
        <v>0</v>
      </c>
      <c r="O3902">
        <v>2.0814850000000001E-3</v>
      </c>
      <c r="P3902">
        <v>0.99931380000000003</v>
      </c>
      <c r="Q3902">
        <v>3.576207E-2</v>
      </c>
      <c r="R3902">
        <v>9.6519329999999997E-3</v>
      </c>
      <c r="S3902">
        <v>3.0074770000000002</v>
      </c>
      <c r="T3902">
        <v>-0.13391649999999999</v>
      </c>
      <c r="U3902">
        <v>-6.3247680000000001E-2</v>
      </c>
      <c r="V3902">
        <v>-7.4737709999999997E-3</v>
      </c>
      <c r="W3902">
        <v>4.6337999999999997E-2</v>
      </c>
      <c r="X3902">
        <v>0.99889790000000001</v>
      </c>
      <c r="Y3902">
        <v>2.3081669999999999E-2</v>
      </c>
      <c r="Z3902">
        <v>-6.0621109999999998E-4</v>
      </c>
      <c r="AA3902">
        <v>0.99973339999999999</v>
      </c>
      <c r="AB3902">
        <v>30</v>
      </c>
      <c r="AC3902">
        <v>24.604899999999901</v>
      </c>
      <c r="AD3902">
        <v>-1.1088490081969999</v>
      </c>
      <c r="AE3902">
        <v>-0.52350000000001196</v>
      </c>
      <c r="AF3902">
        <v>0.57355212075212203</v>
      </c>
      <c r="AG3902">
        <v>-1.1088490081969999</v>
      </c>
      <c r="AH3902">
        <v>24.5539114980376</v>
      </c>
      <c r="AI3902">
        <v>92.585003255787498</v>
      </c>
      <c r="AJ3902">
        <v>88.661877523199294</v>
      </c>
      <c r="AK3902">
        <v>24.5856274683332</v>
      </c>
      <c r="AL3902">
        <v>87.344077228369201</v>
      </c>
      <c r="AM3902">
        <v>90.428679993251905</v>
      </c>
      <c r="AN3902">
        <v>1.00000004106068</v>
      </c>
    </row>
    <row r="3903" spans="1:40" x14ac:dyDescent="0.25">
      <c r="A3903" t="str">
        <f>"20190312160411017"</f>
        <v>20190312160411017</v>
      </c>
      <c r="B3903" t="str">
        <f>"1552377851008182"</f>
        <v>1552377851008182</v>
      </c>
      <c r="C3903" t="s">
        <v>40</v>
      </c>
      <c r="D3903">
        <v>5.1130209999999998</v>
      </c>
      <c r="E3903">
        <v>0.51117939999999995</v>
      </c>
      <c r="F3903" t="s">
        <v>79</v>
      </c>
      <c r="G3903">
        <v>-284.67160000000001</v>
      </c>
      <c r="H3903" s="1">
        <v>5.1652360000000003E-6</v>
      </c>
      <c r="I3903">
        <v>213.39179999999999</v>
      </c>
      <c r="J3903">
        <v>-309.37900000000002</v>
      </c>
      <c r="K3903">
        <v>1.1088750000000001</v>
      </c>
      <c r="L3903">
        <v>213.91560000000001</v>
      </c>
      <c r="M3903">
        <v>0.99994369999999999</v>
      </c>
      <c r="N3903">
        <v>0</v>
      </c>
      <c r="O3903">
        <v>1.0966070000000001E-3</v>
      </c>
      <c r="P3903">
        <v>0.99931340000000002</v>
      </c>
      <c r="Q3903">
        <v>3.5971759999999998E-2</v>
      </c>
      <c r="R3903">
        <v>8.9073599999999996E-3</v>
      </c>
      <c r="S3903">
        <v>3.0074770000000002</v>
      </c>
      <c r="T3903">
        <v>-0.133415899999999</v>
      </c>
      <c r="U3903">
        <v>-6.3079830000000003E-2</v>
      </c>
      <c r="V3903">
        <v>-7.7156639999999997E-3</v>
      </c>
      <c r="W3903">
        <v>4.6539959999999998E-2</v>
      </c>
      <c r="X3903">
        <v>0.99888659999999996</v>
      </c>
      <c r="Y3903">
        <v>2.204339E-2</v>
      </c>
      <c r="Z3903">
        <v>-5.3726469999999999E-4</v>
      </c>
      <c r="AA3903">
        <v>0.99975689999999995</v>
      </c>
      <c r="AB3903">
        <v>30</v>
      </c>
      <c r="AC3903">
        <v>24.7074</v>
      </c>
      <c r="AD3903">
        <v>-1.108869834764</v>
      </c>
      <c r="AE3903">
        <v>-0.52380000000002203</v>
      </c>
      <c r="AF3903">
        <v>0.549788603937438</v>
      </c>
      <c r="AG3903">
        <v>-1.108869834764</v>
      </c>
      <c r="AH3903">
        <v>24.657168042105599</v>
      </c>
      <c r="AI3903">
        <v>92.574303210682203</v>
      </c>
      <c r="AJ3903">
        <v>88.7226697018869</v>
      </c>
      <c r="AK3903">
        <v>24.688211674321401</v>
      </c>
      <c r="AL3903">
        <v>87.332493084582694</v>
      </c>
      <c r="AM3903">
        <v>90.4425589367507</v>
      </c>
      <c r="AN3903">
        <v>0.99999996950365999</v>
      </c>
    </row>
    <row r="3904" spans="1:40" x14ac:dyDescent="0.25">
      <c r="A3904" t="str">
        <f>"20190312160411039"</f>
        <v>20190312160411039</v>
      </c>
      <c r="B3904" t="str">
        <f>"1552377851028209"</f>
        <v>1552377851028209</v>
      </c>
      <c r="C3904" t="s">
        <v>40</v>
      </c>
      <c r="D3904">
        <v>5.0935420000000002</v>
      </c>
      <c r="E3904">
        <v>0.51094589999999995</v>
      </c>
      <c r="F3904" t="s">
        <v>79</v>
      </c>
      <c r="G3904">
        <v>-284.17829999999998</v>
      </c>
      <c r="H3904" s="1">
        <v>5.3854659999999998E-6</v>
      </c>
      <c r="I3904">
        <v>213.37950000000001</v>
      </c>
      <c r="J3904">
        <v>-309.08800000000002</v>
      </c>
      <c r="K3904">
        <v>1.1088929999999999</v>
      </c>
      <c r="L3904">
        <v>213.91489999999999</v>
      </c>
      <c r="M3904">
        <v>0.99994430000000001</v>
      </c>
      <c r="N3904">
        <v>0</v>
      </c>
      <c r="O3904">
        <v>1.369327E-4</v>
      </c>
      <c r="P3904">
        <v>0.99932129999999997</v>
      </c>
      <c r="Q3904">
        <v>3.5855709999999999E-2</v>
      </c>
      <c r="R3904">
        <v>8.4535410000000002E-3</v>
      </c>
      <c r="S3904">
        <v>3.0073850000000002</v>
      </c>
      <c r="T3904">
        <v>-0.13232959999999999</v>
      </c>
      <c r="U3904">
        <v>-6.3980099999999998E-2</v>
      </c>
      <c r="V3904">
        <v>-8.2239289999999996E-3</v>
      </c>
      <c r="W3904">
        <v>4.6417550000000002E-2</v>
      </c>
      <c r="X3904">
        <v>0.99888829999999995</v>
      </c>
      <c r="Y3904">
        <v>2.1385609999999999E-2</v>
      </c>
      <c r="Z3904">
        <v>-4.7624130000000002E-4</v>
      </c>
      <c r="AA3904">
        <v>0.99977119999999997</v>
      </c>
      <c r="AB3904">
        <v>30</v>
      </c>
      <c r="AC3904">
        <v>24.909699999999901</v>
      </c>
      <c r="AD3904">
        <v>-1.1088876145340001</v>
      </c>
      <c r="AE3904">
        <v>-0.535399999999981</v>
      </c>
      <c r="AF3904">
        <v>0.53774597790273104</v>
      </c>
      <c r="AG3904">
        <v>-1.1088876145340001</v>
      </c>
      <c r="AH3904">
        <v>24.860383357672799</v>
      </c>
      <c r="AI3904">
        <v>92.553366347953002</v>
      </c>
      <c r="AJ3904">
        <v>88.760848912691799</v>
      </c>
      <c r="AK3904">
        <v>24.8909112562974</v>
      </c>
      <c r="AL3904">
        <v>87.339514407274606</v>
      </c>
      <c r="AM3904">
        <v>90.471710176883093</v>
      </c>
      <c r="AN3904">
        <v>1.0000000289165401</v>
      </c>
    </row>
    <row r="3905" spans="1:40" x14ac:dyDescent="0.25">
      <c r="A3905" t="str">
        <f>"20190312160411062"</f>
        <v>20190312160411062</v>
      </c>
      <c r="B3905" t="str">
        <f>"1552377851048705"</f>
        <v>1552377851048705</v>
      </c>
      <c r="C3905" t="s">
        <v>40</v>
      </c>
      <c r="D3905">
        <v>5.077693</v>
      </c>
      <c r="E3905">
        <v>0.51071909999999998</v>
      </c>
      <c r="F3905" t="s">
        <v>79</v>
      </c>
      <c r="G3905">
        <v>-283.90609999999998</v>
      </c>
      <c r="H3905" s="1">
        <v>5.5055409999999997E-6</v>
      </c>
      <c r="I3905">
        <v>213.38470000000001</v>
      </c>
      <c r="J3905">
        <v>-308.78379999999999</v>
      </c>
      <c r="K3905">
        <v>1.1089180000000001</v>
      </c>
      <c r="L3905">
        <v>213.91390000000001</v>
      </c>
      <c r="M3905">
        <v>0.99994419999999995</v>
      </c>
      <c r="N3905">
        <v>0</v>
      </c>
      <c r="O3905">
        <v>-8.2500399999999995E-4</v>
      </c>
      <c r="P3905">
        <v>0.99934140000000005</v>
      </c>
      <c r="Q3905">
        <v>3.5506719999999999E-2</v>
      </c>
      <c r="R3905">
        <v>7.5234400000000002E-3</v>
      </c>
      <c r="S3905">
        <v>3.0073240000000001</v>
      </c>
      <c r="T3905">
        <v>-0.13242809999999999</v>
      </c>
      <c r="U3905">
        <v>-6.3323969999999993E-2</v>
      </c>
      <c r="V3905">
        <v>-8.2588360000000003E-3</v>
      </c>
      <c r="W3905">
        <v>4.606126E-2</v>
      </c>
      <c r="X3905">
        <v>0.99890449999999997</v>
      </c>
      <c r="Y3905">
        <v>2.020827E-2</v>
      </c>
      <c r="Z3905">
        <v>-4.0836319999999998E-4</v>
      </c>
      <c r="AA3905">
        <v>0.99979569999999995</v>
      </c>
      <c r="AB3905">
        <v>30</v>
      </c>
      <c r="AC3905">
        <v>24.877700000000001</v>
      </c>
      <c r="AD3905">
        <v>-1.1089124944589901</v>
      </c>
      <c r="AE3905">
        <v>-0.529200000000003</v>
      </c>
      <c r="AF3905">
        <v>0.50766625811157495</v>
      </c>
      <c r="AG3905">
        <v>-1.1089124944589901</v>
      </c>
      <c r="AH3905">
        <v>24.828818299603199</v>
      </c>
      <c r="AI3905">
        <v>92.556729016199995</v>
      </c>
      <c r="AJ3905">
        <v>88.828656232747704</v>
      </c>
      <c r="AK3905">
        <v>24.858753591133699</v>
      </c>
      <c r="AL3905">
        <v>87.359950165676807</v>
      </c>
      <c r="AM3905">
        <v>90.473704608066896</v>
      </c>
      <c r="AN3905">
        <v>1.00000002408255</v>
      </c>
    </row>
    <row r="3906" spans="1:40" x14ac:dyDescent="0.25">
      <c r="A3906" t="str">
        <f>"20190312160411084"</f>
        <v>20190312160411084</v>
      </c>
      <c r="B3906" t="str">
        <f>"1552377851078961"</f>
        <v>1552377851078961</v>
      </c>
      <c r="C3906" t="s">
        <v>40</v>
      </c>
      <c r="D3906">
        <v>5.0022739999999999</v>
      </c>
      <c r="E3906">
        <v>0.51046720000000001</v>
      </c>
      <c r="F3906" t="s">
        <v>79</v>
      </c>
      <c r="G3906">
        <v>-283.80399999999997</v>
      </c>
      <c r="H3906" s="1">
        <v>5.5515430000000003E-6</v>
      </c>
      <c r="I3906">
        <v>213.37870000000001</v>
      </c>
      <c r="J3906">
        <v>-308.47280000000001</v>
      </c>
      <c r="K3906">
        <v>1.108946</v>
      </c>
      <c r="L3906">
        <v>213.9127</v>
      </c>
      <c r="M3906">
        <v>0.99994300000000003</v>
      </c>
      <c r="N3906">
        <v>0</v>
      </c>
      <c r="O3906">
        <v>-1.7619279999999901E-3</v>
      </c>
      <c r="P3906">
        <v>0.99934809999999996</v>
      </c>
      <c r="Q3906">
        <v>3.5514299999999999E-2</v>
      </c>
      <c r="R3906">
        <v>6.5113619999999997E-3</v>
      </c>
      <c r="S3906">
        <v>3.0071720000000002</v>
      </c>
      <c r="T3906">
        <v>-0.13349549999999999</v>
      </c>
      <c r="U3906">
        <v>-6.4437869999999994E-2</v>
      </c>
      <c r="V3906">
        <v>-8.1864360000000001E-3</v>
      </c>
      <c r="W3906">
        <v>4.6062209999999999E-2</v>
      </c>
      <c r="X3906">
        <v>0.99890500000000004</v>
      </c>
      <c r="Y3906">
        <v>1.9643890000000001E-2</v>
      </c>
      <c r="Z3906">
        <v>-3.575823E-4</v>
      </c>
      <c r="AA3906">
        <v>0.999807</v>
      </c>
      <c r="AB3906">
        <v>30</v>
      </c>
      <c r="AC3906">
        <v>24.668799999999901</v>
      </c>
      <c r="AD3906">
        <v>-1.108940448457</v>
      </c>
      <c r="AE3906">
        <v>-0.53399999999999104</v>
      </c>
      <c r="AF3906">
        <v>0.48954331232711801</v>
      </c>
      <c r="AG3906">
        <v>-1.108940448457</v>
      </c>
      <c r="AH3906">
        <v>24.6199742205173</v>
      </c>
      <c r="AI3906">
        <v>92.578481973043296</v>
      </c>
      <c r="AJ3906">
        <v>88.860881423539197</v>
      </c>
      <c r="AK3906">
        <v>24.649797812391999</v>
      </c>
      <c r="AL3906">
        <v>87.359895539185302</v>
      </c>
      <c r="AM3906">
        <v>90.469551890629106</v>
      </c>
      <c r="AN3906">
        <v>0.999999971974732</v>
      </c>
    </row>
    <row r="3907" spans="1:40" x14ac:dyDescent="0.25">
      <c r="A3907" t="str">
        <f>"20190312160411107"</f>
        <v>20190312160411107</v>
      </c>
      <c r="B3907" t="str">
        <f>"1552377851098484"</f>
        <v>1552377851098484</v>
      </c>
      <c r="C3907" t="s">
        <v>40</v>
      </c>
      <c r="D3907">
        <v>5.0098649999999996</v>
      </c>
      <c r="E3907">
        <v>0.5102892</v>
      </c>
      <c r="F3907" t="s">
        <v>79</v>
      </c>
      <c r="G3907">
        <v>-283.19290000000001</v>
      </c>
      <c r="H3907" s="1">
        <v>5.8245199999999996E-6</v>
      </c>
      <c r="I3907">
        <v>213.36199999999999</v>
      </c>
      <c r="J3907">
        <v>-308.17869999999999</v>
      </c>
      <c r="K3907">
        <v>1.1089719999999901</v>
      </c>
      <c r="L3907">
        <v>213.91130000000001</v>
      </c>
      <c r="M3907">
        <v>0.99994119999999997</v>
      </c>
      <c r="N3907">
        <v>0</v>
      </c>
      <c r="O3907">
        <v>-2.6047000000000002E-3</v>
      </c>
      <c r="P3907">
        <v>0.99934979999999995</v>
      </c>
      <c r="Q3907">
        <v>3.5568370000000002E-2</v>
      </c>
      <c r="R3907">
        <v>5.9169089999999997E-3</v>
      </c>
      <c r="S3907">
        <v>3.00705</v>
      </c>
      <c r="T3907">
        <v>-0.1319089</v>
      </c>
      <c r="U3907">
        <v>-6.5505980000000005E-2</v>
      </c>
      <c r="V3907">
        <v>-8.4379109999999993E-3</v>
      </c>
      <c r="W3907">
        <v>4.6111260000000001E-2</v>
      </c>
      <c r="X3907">
        <v>0.99890069999999997</v>
      </c>
      <c r="Y3907">
        <v>1.915876E-2</v>
      </c>
      <c r="Z3907">
        <v>-3.0576639999999999E-4</v>
      </c>
      <c r="AA3907">
        <v>0.99981640000000005</v>
      </c>
      <c r="AB3907">
        <v>30</v>
      </c>
      <c r="AC3907">
        <v>24.985799999999902</v>
      </c>
      <c r="AD3907">
        <v>-1.10896617547999</v>
      </c>
      <c r="AE3907">
        <v>-0.549300000000016</v>
      </c>
      <c r="AF3907">
        <v>0.48326248521180998</v>
      </c>
      <c r="AG3907">
        <v>-1.10896617547999</v>
      </c>
      <c r="AH3907">
        <v>24.938043686133099</v>
      </c>
      <c r="AI3907">
        <v>92.545722754786496</v>
      </c>
      <c r="AJ3907">
        <v>88.8898312975018</v>
      </c>
      <c r="AK3907">
        <v>24.9673661306004</v>
      </c>
      <c r="AL3907">
        <v>87.357082338762794</v>
      </c>
      <c r="AM3907">
        <v>90.483977225824106</v>
      </c>
      <c r="AN3907">
        <v>1.00000002755066</v>
      </c>
    </row>
    <row r="3908" spans="1:40" x14ac:dyDescent="0.25">
      <c r="A3908" t="str">
        <f>"20190312160411120"</f>
        <v>20190312160411120</v>
      </c>
      <c r="B3908" t="str">
        <f>"1552377851108241"</f>
        <v>1552377851108241</v>
      </c>
      <c r="C3908" t="s">
        <v>40</v>
      </c>
      <c r="D3908">
        <v>5.0208820000000003</v>
      </c>
      <c r="E3908">
        <v>0.51021490000000003</v>
      </c>
      <c r="F3908" t="s">
        <v>79</v>
      </c>
      <c r="G3908">
        <v>-282.70100000000002</v>
      </c>
      <c r="H3908" s="1">
        <v>6.0434639999999997E-6</v>
      </c>
      <c r="I3908">
        <v>213.3553</v>
      </c>
      <c r="J3908">
        <v>-307.9932</v>
      </c>
      <c r="K3908">
        <v>1.1089899999999999</v>
      </c>
      <c r="L3908">
        <v>213.9102</v>
      </c>
      <c r="M3908">
        <v>0.99993989999999999</v>
      </c>
      <c r="N3908">
        <v>0</v>
      </c>
      <c r="O3908">
        <v>-3.1106609999999998E-3</v>
      </c>
      <c r="P3908">
        <v>0.99936720000000001</v>
      </c>
      <c r="Q3908">
        <v>3.5172290000000002E-2</v>
      </c>
      <c r="R3908">
        <v>5.3553949999999998E-3</v>
      </c>
      <c r="S3908">
        <v>3.0069889999999999</v>
      </c>
      <c r="T3908">
        <v>-0.13088469999999999</v>
      </c>
      <c r="U3908">
        <v>-6.5612790000000004E-2</v>
      </c>
      <c r="V3908">
        <v>-8.3847169999999999E-3</v>
      </c>
      <c r="W3908">
        <v>4.5712099999999999E-2</v>
      </c>
      <c r="X3908">
        <v>0.99891949999999996</v>
      </c>
      <c r="Y3908">
        <v>1.868997E-2</v>
      </c>
      <c r="Z3908">
        <v>-2.711937E-4</v>
      </c>
      <c r="AA3908">
        <v>0.99982530000000003</v>
      </c>
      <c r="AB3908">
        <v>30</v>
      </c>
      <c r="AC3908">
        <v>25.292200000000001</v>
      </c>
      <c r="AD3908">
        <v>-1.108983956536</v>
      </c>
      <c r="AE3908">
        <v>-0.55490000000000295</v>
      </c>
      <c r="AF3908">
        <v>0.47530415125465397</v>
      </c>
      <c r="AG3908">
        <v>-1.108983956536</v>
      </c>
      <c r="AH3908">
        <v>25.245291873138399</v>
      </c>
      <c r="AI3908">
        <v>92.514846720536994</v>
      </c>
      <c r="AJ3908">
        <v>88.921394733721598</v>
      </c>
      <c r="AK3908">
        <v>25.274107723359901</v>
      </c>
      <c r="AL3908">
        <v>87.379976679293904</v>
      </c>
      <c r="AM3908">
        <v>90.480917245564996</v>
      </c>
      <c r="AN3908">
        <v>1.00000003352291</v>
      </c>
    </row>
    <row r="3909" spans="1:40" x14ac:dyDescent="0.25">
      <c r="A3909" t="str">
        <f>"20190312160411140"</f>
        <v>20190312160411140</v>
      </c>
      <c r="B3909" t="str">
        <f>"1552377851128737"</f>
        <v>1552377851128737</v>
      </c>
      <c r="C3909" t="s">
        <v>40</v>
      </c>
      <c r="D3909">
        <v>5.0131600000000001</v>
      </c>
      <c r="E3909">
        <v>0.51003679999999996</v>
      </c>
      <c r="F3909" t="s">
        <v>79</v>
      </c>
      <c r="G3909">
        <v>-282.6705</v>
      </c>
      <c r="H3909" s="1">
        <v>6.057921E-6</v>
      </c>
      <c r="I3909">
        <v>213.3475</v>
      </c>
      <c r="J3909">
        <v>-307.72800000000001</v>
      </c>
      <c r="K3909">
        <v>1.109016</v>
      </c>
      <c r="L3909">
        <v>213.90870000000001</v>
      </c>
      <c r="M3909">
        <v>0.99993719999999997</v>
      </c>
      <c r="N3909">
        <v>0</v>
      </c>
      <c r="O3909">
        <v>-3.8124809999999999E-3</v>
      </c>
      <c r="P3909">
        <v>0.99936499999999995</v>
      </c>
      <c r="Q3909">
        <v>3.5347759999999999E-2</v>
      </c>
      <c r="R3909">
        <v>4.4839320000000004E-3</v>
      </c>
      <c r="S3909">
        <v>3.0068969999999999</v>
      </c>
      <c r="T3909">
        <v>-0.13168389999999999</v>
      </c>
      <c r="U3909">
        <v>-6.6818240000000001E-2</v>
      </c>
      <c r="V3909">
        <v>-8.2174629999999995E-3</v>
      </c>
      <c r="W3909">
        <v>4.5883109999999998E-2</v>
      </c>
      <c r="X3909">
        <v>0.99891300000000005</v>
      </c>
      <c r="Y3909">
        <v>1.8390299999999998E-2</v>
      </c>
      <c r="Z3909">
        <v>-2.355793E-4</v>
      </c>
      <c r="AA3909">
        <v>0.99983080000000002</v>
      </c>
      <c r="AB3909">
        <v>30</v>
      </c>
      <c r="AC3909">
        <v>25.057500000000001</v>
      </c>
      <c r="AD3909">
        <v>-1.1090099420790001</v>
      </c>
      <c r="AE3909">
        <v>-0.56120000000001302</v>
      </c>
      <c r="AF3909">
        <v>0.46474946704236603</v>
      </c>
      <c r="AG3909">
        <v>-1.1090099420790001</v>
      </c>
      <c r="AH3909">
        <v>25.010490970293901</v>
      </c>
      <c r="AI3909">
        <v>92.538496633328407</v>
      </c>
      <c r="AJ3909">
        <v>88.935441980018197</v>
      </c>
      <c r="AK3909">
        <v>25.039380058098502</v>
      </c>
      <c r="AL3909">
        <v>87.370168106480193</v>
      </c>
      <c r="AM3909">
        <v>90.471327660952497</v>
      </c>
      <c r="AN3909">
        <v>0.99999998402521395</v>
      </c>
    </row>
    <row r="3910" spans="1:40" x14ac:dyDescent="0.25">
      <c r="A3910" t="str">
        <f>"20190312160411163"</f>
        <v>20190312160411163</v>
      </c>
      <c r="B3910" t="str">
        <f>"1552377851158993"</f>
        <v>1552377851158993</v>
      </c>
      <c r="C3910" t="s">
        <v>40</v>
      </c>
      <c r="D3910">
        <v>5.0160559999999998</v>
      </c>
      <c r="E3910">
        <v>0.50977950000000005</v>
      </c>
      <c r="F3910" t="s">
        <v>79</v>
      </c>
      <c r="G3910">
        <v>-282.13839999999999</v>
      </c>
      <c r="H3910" s="1">
        <v>6.2961200000000003E-6</v>
      </c>
      <c r="I3910">
        <v>213.32859999999999</v>
      </c>
      <c r="J3910">
        <v>-307.41579999999999</v>
      </c>
      <c r="K3910">
        <v>1.10904</v>
      </c>
      <c r="L3910">
        <v>213.9066</v>
      </c>
      <c r="M3910">
        <v>0.99993399999999999</v>
      </c>
      <c r="N3910">
        <v>0</v>
      </c>
      <c r="O3910">
        <v>-4.6033150000000002E-3</v>
      </c>
      <c r="P3910">
        <v>0.99936230000000004</v>
      </c>
      <c r="Q3910">
        <v>3.5493919999999998E-2</v>
      </c>
      <c r="R3910">
        <v>3.9077259999999898E-3</v>
      </c>
      <c r="S3910">
        <v>3.0068049999999999</v>
      </c>
      <c r="T3910">
        <v>-0.13031010000000001</v>
      </c>
      <c r="U3910">
        <v>-6.8161009999999994E-2</v>
      </c>
      <c r="V3910">
        <v>-8.4346109999999998E-3</v>
      </c>
      <c r="W3910">
        <v>4.6025530000000002E-2</v>
      </c>
      <c r="X3910">
        <v>0.99890460000000003</v>
      </c>
      <c r="Y3910">
        <v>1.8047850000000001E-2</v>
      </c>
      <c r="Z3910">
        <v>-1.914598E-4</v>
      </c>
      <c r="AA3910">
        <v>0.99983710000000003</v>
      </c>
      <c r="AB3910">
        <v>30</v>
      </c>
      <c r="AC3910">
        <v>25.2774</v>
      </c>
      <c r="AD3910">
        <v>-1.10903370388</v>
      </c>
      <c r="AE3910">
        <v>-0.57800000000000296</v>
      </c>
      <c r="AF3910">
        <v>0.46074114262531601</v>
      </c>
      <c r="AG3910">
        <v>-1.10903370388</v>
      </c>
      <c r="AH3910">
        <v>25.231248916031099</v>
      </c>
      <c r="AI3910">
        <v>92.516383741621596</v>
      </c>
      <c r="AJ3910">
        <v>88.953853241256098</v>
      </c>
      <c r="AK3910">
        <v>25.2598131430058</v>
      </c>
      <c r="AL3910">
        <v>87.361999311129196</v>
      </c>
      <c r="AM3910">
        <v>90.483786066419597</v>
      </c>
      <c r="AN3910">
        <v>0.99999994598782904</v>
      </c>
    </row>
    <row r="3911" spans="1:40" x14ac:dyDescent="0.25">
      <c r="A3911" t="str">
        <f>"20190312160411186"</f>
        <v>20190312160411186</v>
      </c>
      <c r="B3911" t="str">
        <f>"1552377851178513"</f>
        <v>1552377851178513</v>
      </c>
      <c r="C3911" t="s">
        <v>40</v>
      </c>
      <c r="D3911">
        <v>5.0096600000000002</v>
      </c>
      <c r="E3911">
        <v>0.50960000000000005</v>
      </c>
      <c r="F3911" t="s">
        <v>79</v>
      </c>
      <c r="G3911">
        <v>-281.5145</v>
      </c>
      <c r="H3911" s="1">
        <v>6.5737539999999996E-6</v>
      </c>
      <c r="I3911">
        <v>213.32079999999999</v>
      </c>
      <c r="J3911">
        <v>-307.1123</v>
      </c>
      <c r="K3911">
        <v>1.109062</v>
      </c>
      <c r="L3911">
        <v>213.90440000000001</v>
      </c>
      <c r="M3911">
        <v>0.99993050000000006</v>
      </c>
      <c r="N3911">
        <v>0</v>
      </c>
      <c r="O3911">
        <v>-5.3414219999999898E-3</v>
      </c>
      <c r="P3911">
        <v>0.9993824</v>
      </c>
      <c r="Q3911">
        <v>3.5006019999999999E-2</v>
      </c>
      <c r="R3911">
        <v>3.1284749999999999E-3</v>
      </c>
      <c r="S3911">
        <v>3.0067439999999999</v>
      </c>
      <c r="T3911">
        <v>-0.12874169999999999</v>
      </c>
      <c r="U3911">
        <v>-6.800842E-2</v>
      </c>
      <c r="V3911">
        <v>-8.3966930000000002E-3</v>
      </c>
      <c r="W3911">
        <v>4.5534900000000003E-2</v>
      </c>
      <c r="X3911">
        <v>0.99892749999999997</v>
      </c>
      <c r="Y3911">
        <v>1.726126E-2</v>
      </c>
      <c r="Z3911">
        <v>-1.407453E-4</v>
      </c>
      <c r="AA3911">
        <v>0.99985100000000005</v>
      </c>
      <c r="AB3911">
        <v>30</v>
      </c>
      <c r="AC3911">
        <v>25.597799999999999</v>
      </c>
      <c r="AD3911">
        <v>-1.109055426246</v>
      </c>
      <c r="AE3911">
        <v>-0.58360000000001799</v>
      </c>
      <c r="AF3911">
        <v>0.44601865594021101</v>
      </c>
      <c r="AG3911">
        <v>-1.109055426246</v>
      </c>
      <c r="AH3911">
        <v>25.5526108088035</v>
      </c>
      <c r="AI3911">
        <v>92.484860718627502</v>
      </c>
      <c r="AJ3911">
        <v>89.000008573640102</v>
      </c>
      <c r="AK3911">
        <v>25.580556204393101</v>
      </c>
      <c r="AL3911">
        <v>87.390140093480795</v>
      </c>
      <c r="AM3911">
        <v>90.481600256782997</v>
      </c>
      <c r="AN3911">
        <v>1.0000000409137899</v>
      </c>
    </row>
    <row r="3912" spans="1:40" x14ac:dyDescent="0.25">
      <c r="A3912" t="str">
        <f>"20190312160411207"</f>
        <v>20190312160411207</v>
      </c>
      <c r="B3912" t="str">
        <f>"1552377851199009"</f>
        <v>1552377851199009</v>
      </c>
      <c r="C3912" t="s">
        <v>40</v>
      </c>
      <c r="D3912">
        <v>4.9582430000000004</v>
      </c>
      <c r="E3912">
        <v>0.50942299999999996</v>
      </c>
      <c r="F3912" t="s">
        <v>79</v>
      </c>
      <c r="G3912">
        <v>-281.3689</v>
      </c>
      <c r="H3912" s="1">
        <v>6.638903E-6</v>
      </c>
      <c r="I3912">
        <v>213.3159</v>
      </c>
      <c r="J3912">
        <v>-306.82049999999998</v>
      </c>
      <c r="K3912">
        <v>1.1090850000000001</v>
      </c>
      <c r="L3912">
        <v>213.90209999999999</v>
      </c>
      <c r="M3912">
        <v>0.99992650000000005</v>
      </c>
      <c r="N3912">
        <v>0</v>
      </c>
      <c r="O3912">
        <v>-6.0242799999999999E-3</v>
      </c>
      <c r="P3912">
        <v>0.99939330000000004</v>
      </c>
      <c r="Q3912">
        <v>3.4788880000000001E-2</v>
      </c>
      <c r="R3912">
        <v>1.792826E-3</v>
      </c>
      <c r="S3912">
        <v>3.0066220000000001</v>
      </c>
      <c r="T3912">
        <v>-0.12952849999999999</v>
      </c>
      <c r="U3912">
        <v>-6.8740839999999998E-2</v>
      </c>
      <c r="V3912">
        <v>-7.7465850000000003E-3</v>
      </c>
      <c r="W3912">
        <v>4.5315309999999998E-2</v>
      </c>
      <c r="X3912">
        <v>0.99894269999999996</v>
      </c>
      <c r="Y3912">
        <v>1.6823709999999999E-2</v>
      </c>
      <c r="Z3912">
        <v>-1.027896E-4</v>
      </c>
      <c r="AA3912">
        <v>0.99985840000000004</v>
      </c>
      <c r="AB3912">
        <v>30</v>
      </c>
      <c r="AC3912">
        <v>25.4515999999999</v>
      </c>
      <c r="AD3912">
        <v>-1.1090783610969901</v>
      </c>
      <c r="AE3912">
        <v>-0.58619999999999095</v>
      </c>
      <c r="AF3912">
        <v>0.432033370655797</v>
      </c>
      <c r="AG3912">
        <v>-1.1090783610969901</v>
      </c>
      <c r="AH3912">
        <v>25.406451863190799</v>
      </c>
      <c r="AI3912">
        <v>92.499208586963803</v>
      </c>
      <c r="AJ3912">
        <v>89.025786704762496</v>
      </c>
      <c r="AK3912">
        <v>25.4343174455507</v>
      </c>
      <c r="AL3912">
        <v>87.402734573884103</v>
      </c>
      <c r="AM3912">
        <v>90.4443074956217</v>
      </c>
      <c r="AN3912">
        <v>1.00000000239142</v>
      </c>
    </row>
    <row r="3913" spans="1:40" x14ac:dyDescent="0.25">
      <c r="A3913" t="str">
        <f>"20190312160411229"</f>
        <v>20190312160411229</v>
      </c>
      <c r="B3913" t="str">
        <f>"1552377851218529"</f>
        <v>1552377851218529</v>
      </c>
      <c r="C3913" t="s">
        <v>40</v>
      </c>
      <c r="D3913">
        <v>4.9956839999999998</v>
      </c>
      <c r="E3913">
        <v>0.50923499999999999</v>
      </c>
      <c r="F3913" t="s">
        <v>79</v>
      </c>
      <c r="G3913">
        <v>-281.2432</v>
      </c>
      <c r="H3913" s="1">
        <v>6.6968260000000003E-6</v>
      </c>
      <c r="I3913">
        <v>213.29740000000001</v>
      </c>
      <c r="J3913">
        <v>-306.52749999999997</v>
      </c>
      <c r="K3913">
        <v>1.109105</v>
      </c>
      <c r="L3913">
        <v>213.8997</v>
      </c>
      <c r="M3913">
        <v>0.99992239999999999</v>
      </c>
      <c r="N3913">
        <v>0</v>
      </c>
      <c r="O3913">
        <v>-6.6831939999999999E-3</v>
      </c>
      <c r="P3913">
        <v>0.99937489999999995</v>
      </c>
      <c r="Q3913">
        <v>3.5340719999999999E-2</v>
      </c>
      <c r="R3913">
        <v>1.1291700000000001E-3</v>
      </c>
      <c r="S3913">
        <v>3.0065309999999998</v>
      </c>
      <c r="T3913">
        <v>-0.13036880000000001</v>
      </c>
      <c r="U3913">
        <v>-7.1090699999999896E-2</v>
      </c>
      <c r="V3913">
        <v>-7.7425799999999998E-3</v>
      </c>
      <c r="W3913">
        <v>4.586548E-2</v>
      </c>
      <c r="X3913">
        <v>0.99891759999999996</v>
      </c>
      <c r="Y3913">
        <v>1.6946949999999999E-2</v>
      </c>
      <c r="Z3913" s="1">
        <v>-7.7574080000000005E-5</v>
      </c>
      <c r="AA3913">
        <v>0.99985639999999998</v>
      </c>
      <c r="AB3913">
        <v>30</v>
      </c>
      <c r="AC3913">
        <v>25.284299999999899</v>
      </c>
      <c r="AD3913">
        <v>-1.109098303174</v>
      </c>
      <c r="AE3913">
        <v>-0.60229999999998496</v>
      </c>
      <c r="AF3913">
        <v>0.43246567052942197</v>
      </c>
      <c r="AG3913">
        <v>-1.109098303174</v>
      </c>
      <c r="AH3913">
        <v>25.2392243467493</v>
      </c>
      <c r="AI3913">
        <v>92.515785998930994</v>
      </c>
      <c r="AJ3913">
        <v>89.018352036735607</v>
      </c>
      <c r="AK3913">
        <v>25.267282624529201</v>
      </c>
      <c r="AL3913">
        <v>87.371179286888506</v>
      </c>
      <c r="AM3913">
        <v>90.444088954939701</v>
      </c>
      <c r="AN3913">
        <v>0.999999980695223</v>
      </c>
    </row>
    <row r="3914" spans="1:40" x14ac:dyDescent="0.25">
      <c r="A3914" t="str">
        <f>"20190312160411252"</f>
        <v>20190312160411252</v>
      </c>
      <c r="B3914" t="str">
        <f>"1552377851248785"</f>
        <v>1552377851248785</v>
      </c>
      <c r="C3914" t="s">
        <v>40</v>
      </c>
      <c r="D3914">
        <v>4.9832599999999996</v>
      </c>
      <c r="E3914">
        <v>0.50906839999999998</v>
      </c>
      <c r="F3914" t="s">
        <v>79</v>
      </c>
      <c r="G3914">
        <v>-280.42250000000001</v>
      </c>
      <c r="H3914" s="1">
        <v>7.0633910000000004E-6</v>
      </c>
      <c r="I3914">
        <v>213.27520000000001</v>
      </c>
      <c r="J3914">
        <v>-306.21679999999998</v>
      </c>
      <c r="K3914">
        <v>1.1091299999999999</v>
      </c>
      <c r="L3914">
        <v>213.89689999999999</v>
      </c>
      <c r="M3914">
        <v>0.99991759999999996</v>
      </c>
      <c r="N3914">
        <v>0</v>
      </c>
      <c r="O3914">
        <v>-7.3610749999999999E-3</v>
      </c>
      <c r="P3914">
        <v>0.99936959999999997</v>
      </c>
      <c r="Q3914">
        <v>3.5488520000000003E-2</v>
      </c>
      <c r="R3914">
        <v>1.0420220000000001E-3</v>
      </c>
      <c r="S3914">
        <v>3.0064700000000002</v>
      </c>
      <c r="T3914">
        <v>-0.12773309999999999</v>
      </c>
      <c r="U3914">
        <v>-7.191467E-2</v>
      </c>
      <c r="V3914">
        <v>-8.3345869999999992E-3</v>
      </c>
      <c r="W3914">
        <v>4.6012659999999997E-2</v>
      </c>
      <c r="X3914">
        <v>0.99890610000000002</v>
      </c>
      <c r="Y3914">
        <v>1.654483E-2</v>
      </c>
      <c r="Z3914" s="1">
        <v>-3.8687979999999998E-5</v>
      </c>
      <c r="AA3914">
        <v>0.9998631</v>
      </c>
      <c r="AB3914">
        <v>30</v>
      </c>
      <c r="AC3914">
        <v>25.7942999999999</v>
      </c>
      <c r="AD3914">
        <v>-1.1091229366090001</v>
      </c>
      <c r="AE3914">
        <v>-0.62169999999997505</v>
      </c>
      <c r="AF3914">
        <v>0.43100246089792199</v>
      </c>
      <c r="AG3914">
        <v>-1.1091229366090001</v>
      </c>
      <c r="AH3914">
        <v>25.750595244130398</v>
      </c>
      <c r="AI3914">
        <v>92.465959551301395</v>
      </c>
      <c r="AJ3914">
        <v>89.041097260601205</v>
      </c>
      <c r="AK3914">
        <v>25.778073477993701</v>
      </c>
      <c r="AL3914">
        <v>87.362737667866696</v>
      </c>
      <c r="AM3914">
        <v>90.478048515171494</v>
      </c>
      <c r="AN3914">
        <v>1.0000000134189699</v>
      </c>
    </row>
    <row r="3915" spans="1:40" x14ac:dyDescent="0.25">
      <c r="A3915" t="str">
        <f>"20190312160411275"</f>
        <v>20190312160411275</v>
      </c>
      <c r="B3915" t="str">
        <f>"1552377851268314"</f>
        <v>1552377851268314</v>
      </c>
      <c r="C3915" t="s">
        <v>40</v>
      </c>
      <c r="D3915">
        <v>5.0058930000000004</v>
      </c>
      <c r="E3915">
        <v>0.50879379999999996</v>
      </c>
      <c r="F3915" t="s">
        <v>70</v>
      </c>
      <c r="G3915">
        <v>-279.8107</v>
      </c>
      <c r="H3915" s="1">
        <v>3.7428559999999998E-6</v>
      </c>
      <c r="I3915">
        <v>213.2698</v>
      </c>
      <c r="J3915">
        <v>-305.9119</v>
      </c>
      <c r="K3915">
        <v>1.109148</v>
      </c>
      <c r="L3915">
        <v>213.8939</v>
      </c>
      <c r="M3915">
        <v>0.99991260000000004</v>
      </c>
      <c r="N3915">
        <v>0</v>
      </c>
      <c r="O3915">
        <v>-8.006081E-3</v>
      </c>
      <c r="P3915">
        <v>0.99937529999999997</v>
      </c>
      <c r="Q3915">
        <v>3.5336979999999997E-2</v>
      </c>
      <c r="R3915">
        <v>7.3635050000000004E-4</v>
      </c>
      <c r="S3915">
        <v>3.0064389999999999</v>
      </c>
      <c r="T3915">
        <v>-0.12627859999999999</v>
      </c>
      <c r="U3915">
        <v>-7.139587E-2</v>
      </c>
      <c r="V3915">
        <v>-8.6756909999999993E-3</v>
      </c>
      <c r="W3915">
        <v>4.5861190000000003E-2</v>
      </c>
      <c r="X3915">
        <v>0.99891010000000002</v>
      </c>
      <c r="Y3915">
        <v>1.5729130000000001E-2</v>
      </c>
      <c r="Z3915" s="1">
        <v>5.9485610000000001E-6</v>
      </c>
      <c r="AA3915">
        <v>0.99987630000000005</v>
      </c>
      <c r="AB3915">
        <v>30</v>
      </c>
      <c r="AC3915">
        <v>26.101199999999999</v>
      </c>
      <c r="AD3915">
        <v>-1.109144257144</v>
      </c>
      <c r="AE3915">
        <v>-0.62409999999999799</v>
      </c>
      <c r="AF3915">
        <v>0.41435232278999001</v>
      </c>
      <c r="AG3915">
        <v>-1.109144257144</v>
      </c>
      <c r="AH3915">
        <v>26.058332581064501</v>
      </c>
      <c r="AI3915">
        <v>92.436952989983496</v>
      </c>
      <c r="AJ3915">
        <v>89.0890192726864</v>
      </c>
      <c r="AK3915">
        <v>26.085217762861902</v>
      </c>
      <c r="AL3915">
        <v>87.371425269549405</v>
      </c>
      <c r="AM3915">
        <v>90.497610326136197</v>
      </c>
      <c r="AN3915">
        <v>0.99999995212227499</v>
      </c>
    </row>
    <row r="3916" spans="1:40" x14ac:dyDescent="0.25">
      <c r="A3916" t="str">
        <f>"20190312160411297"</f>
        <v>20190312160411297</v>
      </c>
      <c r="B3916" t="str">
        <f>"1552377851288801"</f>
        <v>1552377851288801</v>
      </c>
      <c r="C3916" t="s">
        <v>40</v>
      </c>
      <c r="D3916">
        <v>5.01037</v>
      </c>
      <c r="E3916">
        <v>0.50860709999999998</v>
      </c>
      <c r="F3916" t="s">
        <v>70</v>
      </c>
      <c r="G3916">
        <v>-279.35849999999999</v>
      </c>
      <c r="H3916" s="1">
        <v>3.5019479999999999E-6</v>
      </c>
      <c r="I3916">
        <v>213.27549999999999</v>
      </c>
      <c r="J3916">
        <v>-305.60539999999997</v>
      </c>
      <c r="K3916">
        <v>1.1091690000000001</v>
      </c>
      <c r="L3916">
        <v>213.89080000000001</v>
      </c>
      <c r="M3916">
        <v>0.9999074</v>
      </c>
      <c r="N3916">
        <v>0</v>
      </c>
      <c r="O3916">
        <v>-8.6304520000000003E-3</v>
      </c>
      <c r="P3916">
        <v>0.99938539999999998</v>
      </c>
      <c r="Q3916">
        <v>3.5053830000000001E-2</v>
      </c>
      <c r="R3916">
        <v>3.8908049999999999E-4</v>
      </c>
      <c r="S3916">
        <v>3.0064090000000001</v>
      </c>
      <c r="T3916">
        <v>-0.12557850000000001</v>
      </c>
      <c r="U3916">
        <v>-7.0022580000000001E-2</v>
      </c>
      <c r="V3916">
        <v>-8.9554040000000001E-3</v>
      </c>
      <c r="W3916">
        <v>4.5578250000000001E-2</v>
      </c>
      <c r="X3916">
        <v>0.99892060000000005</v>
      </c>
      <c r="Y3916">
        <v>1.4650089999999999E-2</v>
      </c>
      <c r="Z3916" s="1">
        <v>5.4503560000000002E-5</v>
      </c>
      <c r="AA3916">
        <v>0.99989269999999997</v>
      </c>
      <c r="AB3916">
        <v>30</v>
      </c>
      <c r="AC3916">
        <v>26.246899999999901</v>
      </c>
      <c r="AD3916">
        <v>-1.109165498052</v>
      </c>
      <c r="AE3916">
        <v>-0.61530000000001905</v>
      </c>
      <c r="AF3916">
        <v>0.38804932738428499</v>
      </c>
      <c r="AG3916">
        <v>-1.109165498052</v>
      </c>
      <c r="AH3916">
        <v>26.204462347914099</v>
      </c>
      <c r="AI3916">
        <v>92.423466461516497</v>
      </c>
      <c r="AJ3916">
        <v>89.151596266221802</v>
      </c>
      <c r="AK3916">
        <v>26.230796353252401</v>
      </c>
      <c r="AL3916">
        <v>87.387653556348297</v>
      </c>
      <c r="AM3916">
        <v>90.513647538260003</v>
      </c>
      <c r="AN3916">
        <v>0.99999997061911206</v>
      </c>
    </row>
    <row r="3917" spans="1:40" x14ac:dyDescent="0.25">
      <c r="A3917" t="str">
        <f>"20190312160411319"</f>
        <v>20190312160411319</v>
      </c>
      <c r="B3917" t="str">
        <f>"1552377851308321"</f>
        <v>1552377851308321</v>
      </c>
      <c r="C3917" t="s">
        <v>40</v>
      </c>
      <c r="D3917">
        <v>5.0710150000000001</v>
      </c>
      <c r="E3917">
        <v>0.50848539999999998</v>
      </c>
      <c r="F3917" t="s">
        <v>70</v>
      </c>
      <c r="G3917">
        <v>-279.09690000000001</v>
      </c>
      <c r="H3917" s="1">
        <v>3.3625E-6</v>
      </c>
      <c r="I3917">
        <v>213.28030000000001</v>
      </c>
      <c r="J3917">
        <v>-305.31630000000001</v>
      </c>
      <c r="K3917">
        <v>1.109191</v>
      </c>
      <c r="L3917">
        <v>213.8877</v>
      </c>
      <c r="M3917">
        <v>0.99990239999999997</v>
      </c>
      <c r="N3917">
        <v>0</v>
      </c>
      <c r="O3917">
        <v>-9.192212E-3</v>
      </c>
      <c r="P3917">
        <v>0.99935960000000001</v>
      </c>
      <c r="Q3917">
        <v>3.5787409999999999E-2</v>
      </c>
      <c r="R3917">
        <v>3.3132529999999998E-4</v>
      </c>
      <c r="S3917">
        <v>3.006256</v>
      </c>
      <c r="T3917">
        <v>-0.12578719999999999</v>
      </c>
      <c r="U3917">
        <v>-6.922913E-2</v>
      </c>
      <c r="V3917">
        <v>-9.4599869999999996E-3</v>
      </c>
      <c r="W3917">
        <v>4.6312279999999997E-2</v>
      </c>
      <c r="X3917">
        <v>0.99888220000000005</v>
      </c>
      <c r="Y3917">
        <v>1.3826939999999999E-2</v>
      </c>
      <c r="Z3917" s="1">
        <v>9.5299470000000003E-5</v>
      </c>
      <c r="AA3917">
        <v>0.99990440000000003</v>
      </c>
      <c r="AB3917">
        <v>30</v>
      </c>
      <c r="AC3917">
        <v>26.2194</v>
      </c>
      <c r="AD3917">
        <v>-1.1091876375</v>
      </c>
      <c r="AE3917">
        <v>-0.60739999999998395</v>
      </c>
      <c r="AF3917">
        <v>0.36569260577920398</v>
      </c>
      <c r="AG3917">
        <v>-1.1091876375</v>
      </c>
      <c r="AH3917">
        <v>26.1770535336824</v>
      </c>
      <c r="AI3917">
        <v>92.426078532368393</v>
      </c>
      <c r="AJ3917">
        <v>89.199631845365204</v>
      </c>
      <c r="AK3917">
        <v>26.203094473790301</v>
      </c>
      <c r="AL3917">
        <v>87.345552308117206</v>
      </c>
      <c r="AM3917">
        <v>90.542607652225399</v>
      </c>
      <c r="AN3917">
        <v>0.99999998405483903</v>
      </c>
    </row>
    <row r="3918" spans="1:40" x14ac:dyDescent="0.25">
      <c r="A3918" t="str">
        <f>"20190312160411341"</f>
        <v>20190312160411341</v>
      </c>
      <c r="B3918" t="str">
        <f>"1552377851328818"</f>
        <v>1552377851328818</v>
      </c>
      <c r="C3918" t="s">
        <v>40</v>
      </c>
      <c r="D3918">
        <v>5.0226879999999996</v>
      </c>
      <c r="E3918">
        <v>0.49660019999999999</v>
      </c>
      <c r="F3918" t="s">
        <v>70</v>
      </c>
      <c r="G3918">
        <v>-278.29000000000002</v>
      </c>
      <c r="H3918" s="1">
        <v>2.933502E-6</v>
      </c>
      <c r="I3918">
        <v>213.27170000000001</v>
      </c>
      <c r="J3918">
        <v>-305.0127</v>
      </c>
      <c r="K3918">
        <v>1.10921</v>
      </c>
      <c r="L3918">
        <v>213.8843</v>
      </c>
      <c r="M3918">
        <v>0.99989720000000004</v>
      </c>
      <c r="N3918">
        <v>0</v>
      </c>
      <c r="O3918">
        <v>-9.7491290000000005E-3</v>
      </c>
      <c r="P3918">
        <v>0.99935320000000005</v>
      </c>
      <c r="Q3918">
        <v>3.5965959999999998E-2</v>
      </c>
      <c r="R3918">
        <v>2.3617049999999999E-4</v>
      </c>
      <c r="S3918">
        <v>3.0064090000000001</v>
      </c>
      <c r="T3918">
        <v>-0.1233858</v>
      </c>
      <c r="U3918">
        <v>-6.852722E-2</v>
      </c>
      <c r="V3918">
        <v>-9.9242989999999993E-3</v>
      </c>
      <c r="W3918">
        <v>4.6490900000000002E-2</v>
      </c>
      <c r="X3918">
        <v>0.99886940000000002</v>
      </c>
      <c r="Y3918">
        <v>1.3036809999999999E-2</v>
      </c>
      <c r="Z3918">
        <v>1.325253E-4</v>
      </c>
      <c r="AA3918">
        <v>0.999915</v>
      </c>
      <c r="AB3918">
        <v>30</v>
      </c>
      <c r="AC3918">
        <v>26.7226999999999</v>
      </c>
      <c r="AD3918">
        <v>-1.109207066498</v>
      </c>
      <c r="AE3918">
        <v>-0.61259999999998604</v>
      </c>
      <c r="AF3918">
        <v>0.35142826927952903</v>
      </c>
      <c r="AG3918">
        <v>-1.109207066498</v>
      </c>
      <c r="AH3918">
        <v>26.681456725833701</v>
      </c>
      <c r="AI3918">
        <v>92.380335074980593</v>
      </c>
      <c r="AJ3918">
        <v>89.245386315084502</v>
      </c>
      <c r="AK3918">
        <v>26.706815144403802</v>
      </c>
      <c r="AL3918">
        <v>87.335307107862903</v>
      </c>
      <c r="AM3918">
        <v>90.569245326782806</v>
      </c>
      <c r="AN3918">
        <v>0.99999998687490499</v>
      </c>
    </row>
    <row r="3919" spans="1:40" x14ac:dyDescent="0.25">
      <c r="A3919" t="str">
        <f>"20190312160411363"</f>
        <v>20190312160411363</v>
      </c>
      <c r="B3919" t="str">
        <f>"1552377851359074"</f>
        <v>1552377851359074</v>
      </c>
      <c r="C3919" t="s">
        <v>40</v>
      </c>
      <c r="D3919">
        <v>5.0617510000000001</v>
      </c>
      <c r="E3919">
        <v>0.49550499999999997</v>
      </c>
      <c r="F3919" t="s">
        <v>88</v>
      </c>
      <c r="G3919">
        <v>-107.39749999999999</v>
      </c>
      <c r="H3919">
        <v>1.318262</v>
      </c>
      <c r="I3919">
        <v>215.6542</v>
      </c>
      <c r="J3919">
        <v>-304.7011</v>
      </c>
      <c r="K3919">
        <v>1.1092409999999999</v>
      </c>
      <c r="L3919">
        <v>213.88069999999999</v>
      </c>
      <c r="M3919">
        <v>0.99989189999999994</v>
      </c>
      <c r="N3919">
        <v>0</v>
      </c>
      <c r="O3919">
        <v>-1.0280950000000001E-2</v>
      </c>
      <c r="P3919">
        <v>0.99935810000000003</v>
      </c>
      <c r="Q3919">
        <v>3.5827369999999997E-2</v>
      </c>
      <c r="R3919">
        <v>-1.959412E-4</v>
      </c>
      <c r="S3919">
        <v>3.0018310000000001</v>
      </c>
      <c r="T3919">
        <v>3.176332E-3</v>
      </c>
      <c r="U3919">
        <v>2.6885989999999999E-2</v>
      </c>
      <c r="V3919">
        <v>-1.002772E-2</v>
      </c>
      <c r="W3919">
        <v>4.6353239999999997E-2</v>
      </c>
      <c r="X3919">
        <v>0.99887479999999995</v>
      </c>
      <c r="Y3919">
        <v>-1.923679E-2</v>
      </c>
      <c r="Z3919" s="1">
        <v>-2.1056279999999999E-5</v>
      </c>
      <c r="AA3919">
        <v>0.99981489999999995</v>
      </c>
      <c r="AB3919">
        <v>30</v>
      </c>
      <c r="AC3919">
        <v>197.30359999999999</v>
      </c>
      <c r="AD3919">
        <v>0.20902100000000001</v>
      </c>
      <c r="AE3919">
        <v>1.7735000000000101</v>
      </c>
      <c r="AF3919">
        <v>-3.8019825117282999</v>
      </c>
      <c r="AG3919">
        <v>0.20902100000000001</v>
      </c>
      <c r="AH3919">
        <v>197.27471562463501</v>
      </c>
      <c r="AI3919">
        <v>89.939303964508397</v>
      </c>
      <c r="AJ3919">
        <v>91.104097839055697</v>
      </c>
      <c r="AK3919">
        <v>197.31145984351301</v>
      </c>
      <c r="AL3919">
        <v>87.343203050903696</v>
      </c>
      <c r="AM3919">
        <v>90.575173919731498</v>
      </c>
      <c r="AN3919">
        <v>1.0000000220509599</v>
      </c>
    </row>
    <row r="3920" spans="1:40" x14ac:dyDescent="0.25">
      <c r="A3920" t="str">
        <f>"20190312160411676"</f>
        <v>20190312160411676</v>
      </c>
      <c r="B3920" t="str">
        <f>"1552377851668469"</f>
        <v>1552377851668469</v>
      </c>
      <c r="C3920" t="s">
        <v>40</v>
      </c>
      <c r="D3920">
        <v>4.9272450000000001</v>
      </c>
      <c r="E3920">
        <v>0.46788930000000001</v>
      </c>
      <c r="F3920" t="s">
        <v>88</v>
      </c>
      <c r="G3920">
        <v>-107.39749999999999</v>
      </c>
      <c r="H3920">
        <v>1.4407030000000001</v>
      </c>
      <c r="I3920">
        <v>216.1293</v>
      </c>
      <c r="J3920">
        <v>-300.42</v>
      </c>
      <c r="K3920">
        <v>1.109559</v>
      </c>
      <c r="L3920">
        <v>213.82400000000001</v>
      </c>
      <c r="M3920">
        <v>0.99985000000000002</v>
      </c>
      <c r="N3920">
        <v>0</v>
      </c>
      <c r="O3920">
        <v>-1.3747860000000001E-2</v>
      </c>
      <c r="P3920">
        <v>0.9993841</v>
      </c>
      <c r="Q3920">
        <v>3.4859630000000003E-2</v>
      </c>
      <c r="R3920">
        <v>-4.0622779999999999E-3</v>
      </c>
      <c r="S3920">
        <v>3.00177</v>
      </c>
      <c r="T3920">
        <v>5.0436259999999998E-3</v>
      </c>
      <c r="U3920">
        <v>3.4210209999999998E-2</v>
      </c>
      <c r="V3920">
        <v>-9.6632920000000004E-3</v>
      </c>
      <c r="W3920">
        <v>4.5406290000000002E-2</v>
      </c>
      <c r="X3920">
        <v>0.99892190000000003</v>
      </c>
      <c r="Y3920">
        <v>-2.5142540000000001E-2</v>
      </c>
      <c r="Z3920" s="1">
        <v>-4.4221580000000002E-5</v>
      </c>
      <c r="AA3920">
        <v>0.99968389999999996</v>
      </c>
      <c r="AB3920">
        <v>31</v>
      </c>
      <c r="AC3920">
        <v>193.02250000000001</v>
      </c>
      <c r="AD3920">
        <v>0.33114399999999999</v>
      </c>
      <c r="AE3920">
        <v>2.3052999999999799</v>
      </c>
      <c r="AF3920">
        <v>-4.9588610794595498</v>
      </c>
      <c r="AG3920">
        <v>0.33114399999999999</v>
      </c>
      <c r="AH3920">
        <v>192.971993562291</v>
      </c>
      <c r="AI3920">
        <v>89.901711780661401</v>
      </c>
      <c r="AJ3920">
        <v>91.472023429198003</v>
      </c>
      <c r="AK3920">
        <v>193.03598177272301</v>
      </c>
      <c r="AL3920">
        <v>87.397516521096804</v>
      </c>
      <c r="AM3920">
        <v>90.5542461106578</v>
      </c>
      <c r="AN3920">
        <v>1.0000000363417201</v>
      </c>
    </row>
    <row r="3921" spans="1:40" x14ac:dyDescent="0.25">
      <c r="A3921" t="str">
        <f>"20190312160411690"</f>
        <v>20190312160411690</v>
      </c>
      <c r="B3921" t="str">
        <f>"1552377851679202"</f>
        <v>1552377851679202</v>
      </c>
      <c r="C3921" t="s">
        <v>40</v>
      </c>
      <c r="D3921">
        <v>4.9126539999999999</v>
      </c>
      <c r="E3921">
        <v>0.46788930000000001</v>
      </c>
      <c r="F3921" t="s">
        <v>54</v>
      </c>
      <c r="G3921">
        <v>-167.89859999999999</v>
      </c>
      <c r="H3921">
        <v>8.8831410000000002</v>
      </c>
      <c r="I3921">
        <v>224.63990000000001</v>
      </c>
      <c r="J3921">
        <v>-300.22480000000002</v>
      </c>
      <c r="K3921">
        <v>1.109559</v>
      </c>
      <c r="L3921">
        <v>213.8212</v>
      </c>
      <c r="M3921">
        <v>0.99984859999999998</v>
      </c>
      <c r="N3921">
        <v>0</v>
      </c>
      <c r="O3921">
        <v>-1.383476E-2</v>
      </c>
      <c r="P3921">
        <v>0.99937750000000003</v>
      </c>
      <c r="Q3921">
        <v>3.5035190000000001E-2</v>
      </c>
      <c r="R3921">
        <v>-4.1344770000000001E-3</v>
      </c>
      <c r="S3921">
        <v>2.9967350000000001</v>
      </c>
      <c r="T3921">
        <v>0.17578669999999999</v>
      </c>
      <c r="U3921">
        <v>0.2445831</v>
      </c>
      <c r="V3921">
        <v>-9.6779810000000004E-3</v>
      </c>
      <c r="W3921">
        <v>4.5583489999999997E-2</v>
      </c>
      <c r="X3921">
        <v>0.99891359999999996</v>
      </c>
      <c r="Y3921">
        <v>-9.4942150000000003E-2</v>
      </c>
      <c r="Z3921">
        <v>-3.5872679999999998E-3</v>
      </c>
      <c r="AA3921">
        <v>0.99547629999999998</v>
      </c>
      <c r="AB3921">
        <v>31</v>
      </c>
      <c r="AC3921">
        <v>132.3262</v>
      </c>
      <c r="AD3921">
        <v>7.7735820000000002</v>
      </c>
      <c r="AE3921">
        <v>10.8187</v>
      </c>
      <c r="AF3921">
        <v>-12.6052551955901</v>
      </c>
      <c r="AG3921">
        <v>7.7735820000000002</v>
      </c>
      <c r="AH3921">
        <v>131.71232480684401</v>
      </c>
      <c r="AI3921">
        <v>86.637683003019902</v>
      </c>
      <c r="AJ3921">
        <v>95.466724454292702</v>
      </c>
      <c r="AK3921">
        <v>132.54228586258901</v>
      </c>
      <c r="AL3921">
        <v>87.387352957749897</v>
      </c>
      <c r="AM3921">
        <v>90.555093169690707</v>
      </c>
      <c r="AN3921">
        <v>0.99999994907088596</v>
      </c>
    </row>
    <row r="3922" spans="1:40" x14ac:dyDescent="0.25">
      <c r="A3922" t="str">
        <f>"20190312160411710"</f>
        <v>20190312160411710</v>
      </c>
      <c r="B3922" t="str">
        <f>"1552377851698722"</f>
        <v>1552377851698722</v>
      </c>
      <c r="C3922" t="s">
        <v>40</v>
      </c>
      <c r="D3922">
        <v>4.9111640000000003</v>
      </c>
      <c r="E3922">
        <v>0.49118010000000001</v>
      </c>
      <c r="F3922" t="s">
        <v>54</v>
      </c>
      <c r="G3922">
        <v>-167.89859999999999</v>
      </c>
      <c r="H3922">
        <v>8.8883709999999994</v>
      </c>
      <c r="I3922">
        <v>224.61519999999999</v>
      </c>
      <c r="J3922">
        <v>-299.96409999999997</v>
      </c>
      <c r="K3922">
        <v>1.1095520000000001</v>
      </c>
      <c r="L3922">
        <v>213.81739999999999</v>
      </c>
      <c r="M3922">
        <v>0.99984689999999998</v>
      </c>
      <c r="N3922">
        <v>0</v>
      </c>
      <c r="O3922">
        <v>-1.3952529999999999E-2</v>
      </c>
      <c r="P3922">
        <v>0.99938579999999999</v>
      </c>
      <c r="Q3922">
        <v>3.4765369999999997E-2</v>
      </c>
      <c r="R3922">
        <v>-4.3980080000000001E-3</v>
      </c>
      <c r="S3922">
        <v>2.9967039999999998</v>
      </c>
      <c r="T3922">
        <v>0.17616279999999901</v>
      </c>
      <c r="U3922">
        <v>0.24444579999999999</v>
      </c>
      <c r="V3922">
        <v>-9.5323439999999999E-3</v>
      </c>
      <c r="W3922">
        <v>4.531578E-2</v>
      </c>
      <c r="X3922">
        <v>0.99892720000000002</v>
      </c>
      <c r="Y3922">
        <v>-9.5013799999999995E-2</v>
      </c>
      <c r="Z3922">
        <v>-3.6039819999999999E-3</v>
      </c>
      <c r="AA3922">
        <v>0.99546950000000001</v>
      </c>
      <c r="AB3922">
        <v>31</v>
      </c>
      <c r="AC3922">
        <v>132.06549999999999</v>
      </c>
      <c r="AD3922">
        <v>7.7788190000000004</v>
      </c>
      <c r="AE3922">
        <v>10.797799999999899</v>
      </c>
      <c r="AF3922">
        <v>-12.5960893028026</v>
      </c>
      <c r="AG3922">
        <v>7.7788190000000004</v>
      </c>
      <c r="AH3922">
        <v>131.448963506057</v>
      </c>
      <c r="AI3922">
        <v>86.628736501177002</v>
      </c>
      <c r="AJ3922">
        <v>95.473651787145499</v>
      </c>
      <c r="AK3922">
        <v>132.280011708405</v>
      </c>
      <c r="AL3922">
        <v>87.402707528308397</v>
      </c>
      <c r="AM3922">
        <v>90.546733038149696</v>
      </c>
      <c r="AN3922">
        <v>0.99999996819949</v>
      </c>
    </row>
    <row r="3923" spans="1:40" x14ac:dyDescent="0.25">
      <c r="A3923" t="str">
        <f>"20190312160411732"</f>
        <v>20190312160411732</v>
      </c>
      <c r="B3923" t="str">
        <f>"1552377851728977"</f>
        <v>1552377851728977</v>
      </c>
      <c r="C3923" t="s">
        <v>40</v>
      </c>
      <c r="D3923">
        <v>4.9251170000000002</v>
      </c>
      <c r="E3923">
        <v>0.49303360000000002</v>
      </c>
      <c r="F3923" t="s">
        <v>88</v>
      </c>
      <c r="G3923">
        <v>-107.39749999999999</v>
      </c>
      <c r="H3923">
        <v>7.4675949999999904</v>
      </c>
      <c r="I3923">
        <v>217.4881</v>
      </c>
      <c r="J3923">
        <v>-299.65260000000001</v>
      </c>
      <c r="K3923">
        <v>1.1095520000000001</v>
      </c>
      <c r="L3923">
        <v>213.81290000000001</v>
      </c>
      <c r="M3923">
        <v>0.99984479999999998</v>
      </c>
      <c r="N3923">
        <v>0</v>
      </c>
      <c r="O3923">
        <v>-1.409463E-2</v>
      </c>
      <c r="P3923">
        <v>0.99938979999999999</v>
      </c>
      <c r="Q3923">
        <v>3.4587409999999999E-2</v>
      </c>
      <c r="R3923">
        <v>-4.881514E-3</v>
      </c>
      <c r="S3923">
        <v>2.9986570000000001</v>
      </c>
      <c r="T3923">
        <v>9.9008559999999995E-2</v>
      </c>
      <c r="U3923">
        <v>5.7159420000000002E-2</v>
      </c>
      <c r="V3923">
        <v>-9.1913670000000006E-3</v>
      </c>
      <c r="W3923">
        <v>4.5140960000000001E-2</v>
      </c>
      <c r="X3923">
        <v>0.99893829999999995</v>
      </c>
      <c r="Y3923">
        <v>-3.312346E-2</v>
      </c>
      <c r="Z3923">
        <v>-1.011863E-3</v>
      </c>
      <c r="AA3923">
        <v>0.99945070000000003</v>
      </c>
      <c r="AB3923">
        <v>31</v>
      </c>
      <c r="AC3923">
        <v>192.2551</v>
      </c>
      <c r="AD3923">
        <v>6.3580430000000003</v>
      </c>
      <c r="AE3923">
        <v>3.6751999999999798</v>
      </c>
      <c r="AF3923">
        <v>-6.3777780477473298</v>
      </c>
      <c r="AG3923">
        <v>6.3580430000000003</v>
      </c>
      <c r="AH3923">
        <v>191.97431466358901</v>
      </c>
      <c r="AI3923">
        <v>88.104145981946502</v>
      </c>
      <c r="AJ3923">
        <v>91.902782755113805</v>
      </c>
      <c r="AK3923">
        <v>192.185426747636</v>
      </c>
      <c r="AL3923">
        <v>87.412734209325805</v>
      </c>
      <c r="AM3923">
        <v>90.527171374099495</v>
      </c>
      <c r="AN3923">
        <v>0.999999957351969</v>
      </c>
    </row>
    <row r="3924" spans="1:40" x14ac:dyDescent="0.25">
      <c r="A3924" t="str">
        <f>"20190312160411755"</f>
        <v>20190312160411755</v>
      </c>
      <c r="B3924" t="str">
        <f>"1552377851748502"</f>
        <v>1552377851748502</v>
      </c>
      <c r="C3924" t="s">
        <v>40</v>
      </c>
      <c r="D3924">
        <v>4.9333809999999998</v>
      </c>
      <c r="E3924">
        <v>0.4942048</v>
      </c>
      <c r="F3924" t="s">
        <v>88</v>
      </c>
      <c r="G3924">
        <v>-107.39749999999999</v>
      </c>
      <c r="H3924">
        <v>4.3716200000000001</v>
      </c>
      <c r="I3924">
        <v>216.3982</v>
      </c>
      <c r="J3924">
        <v>-299.3383</v>
      </c>
      <c r="K3924">
        <v>1.109558</v>
      </c>
      <c r="L3924">
        <v>213.8083</v>
      </c>
      <c r="M3924">
        <v>0.99984300000000004</v>
      </c>
      <c r="N3924">
        <v>0</v>
      </c>
      <c r="O3924">
        <v>-1.4239119999999999E-2</v>
      </c>
      <c r="P3924">
        <v>0.99938879999999997</v>
      </c>
      <c r="Q3924">
        <v>3.4542049999999998E-2</v>
      </c>
      <c r="R3924">
        <v>-5.4154429999999998E-3</v>
      </c>
      <c r="S3924">
        <v>3.0002439999999999</v>
      </c>
      <c r="T3924">
        <v>5.0907139999999997E-2</v>
      </c>
      <c r="U3924">
        <v>4.0344240000000003E-2</v>
      </c>
      <c r="V3924">
        <v>-8.8017449999999997E-3</v>
      </c>
      <c r="W3924">
        <v>4.5097610000000003E-2</v>
      </c>
      <c r="X3924">
        <v>0.99894380000000005</v>
      </c>
      <c r="Y3924">
        <v>-2.7677E-2</v>
      </c>
      <c r="Z3924">
        <v>-4.7636899999999998E-4</v>
      </c>
      <c r="AA3924">
        <v>0.99961679999999997</v>
      </c>
      <c r="AB3924">
        <v>31</v>
      </c>
      <c r="AC3924">
        <v>191.9408</v>
      </c>
      <c r="AD3924">
        <v>3.2620619999999998</v>
      </c>
      <c r="AE3924">
        <v>2.5899000000000001</v>
      </c>
      <c r="AF3924">
        <v>-5.3213207857020901</v>
      </c>
      <c r="AG3924">
        <v>3.2620619999999998</v>
      </c>
      <c r="AH3924">
        <v>191.82906179736401</v>
      </c>
      <c r="AI3924">
        <v>89.026151083804095</v>
      </c>
      <c r="AJ3924">
        <v>91.588972240912796</v>
      </c>
      <c r="AK3924">
        <v>191.93057717167699</v>
      </c>
      <c r="AL3924">
        <v>87.415220598862206</v>
      </c>
      <c r="AM3924">
        <v>90.504822985041201</v>
      </c>
      <c r="AN3924">
        <v>0.99999999035059794</v>
      </c>
    </row>
    <row r="3925" spans="1:40" x14ac:dyDescent="0.25">
      <c r="A3925" t="str">
        <f>"20190312160411776"</f>
        <v>20190312160411776</v>
      </c>
      <c r="B3925" t="str">
        <f>"1552377851768994"</f>
        <v>1552377851768994</v>
      </c>
      <c r="C3925" t="s">
        <v>40</v>
      </c>
      <c r="D3925">
        <v>4.934259</v>
      </c>
      <c r="E3925">
        <v>0.49457859999999998</v>
      </c>
      <c r="F3925" t="s">
        <v>88</v>
      </c>
      <c r="G3925">
        <v>-107.39749999999999</v>
      </c>
      <c r="H3925">
        <v>3.6003720000000001</v>
      </c>
      <c r="I3925">
        <v>215.697</v>
      </c>
      <c r="J3925">
        <v>-299.03469999999999</v>
      </c>
      <c r="K3925">
        <v>1.1095630000000001</v>
      </c>
      <c r="L3925">
        <v>213.8039</v>
      </c>
      <c r="M3925">
        <v>0.99984090000000003</v>
      </c>
      <c r="N3925">
        <v>0</v>
      </c>
      <c r="O3925">
        <v>-1.4378729999999999E-2</v>
      </c>
      <c r="P3925">
        <v>0.99937399999999998</v>
      </c>
      <c r="Q3925">
        <v>3.4981850000000002E-2</v>
      </c>
      <c r="R3925">
        <v>-5.2913980000000001E-3</v>
      </c>
      <c r="S3925">
        <v>3.0006409999999999</v>
      </c>
      <c r="T3925">
        <v>3.894007E-2</v>
      </c>
      <c r="U3925">
        <v>2.9525760000000002E-2</v>
      </c>
      <c r="V3925">
        <v>-9.0649760000000006E-3</v>
      </c>
      <c r="W3925">
        <v>4.554014E-2</v>
      </c>
      <c r="X3925">
        <v>0.99892139999999996</v>
      </c>
      <c r="Y3925">
        <v>-2.42139E-2</v>
      </c>
      <c r="Z3925">
        <v>-3.4369739999999999E-4</v>
      </c>
      <c r="AA3925">
        <v>0.99970669999999995</v>
      </c>
      <c r="AB3925">
        <v>31</v>
      </c>
      <c r="AC3925">
        <v>191.63720000000001</v>
      </c>
      <c r="AD3925">
        <v>2.4908090000000001</v>
      </c>
      <c r="AE3925">
        <v>1.8931</v>
      </c>
      <c r="AF3925">
        <v>-4.6477722610674403</v>
      </c>
      <c r="AG3925">
        <v>2.4908090000000001</v>
      </c>
      <c r="AH3925">
        <v>191.557806807216</v>
      </c>
      <c r="AI3925">
        <v>89.255249254109799</v>
      </c>
      <c r="AJ3925">
        <v>91.389896353388707</v>
      </c>
      <c r="AK3925">
        <v>191.63037145832601</v>
      </c>
      <c r="AL3925">
        <v>87.389839499193002</v>
      </c>
      <c r="AM3925">
        <v>90.519931407561003</v>
      </c>
      <c r="AN3925">
        <v>1.0000000207595201</v>
      </c>
    </row>
    <row r="3926" spans="1:40" x14ac:dyDescent="0.25">
      <c r="A3926" t="str">
        <f>"20190312160411800"</f>
        <v>20190312160411800</v>
      </c>
      <c r="B3926" t="str">
        <f>"1552377851788514"</f>
        <v>1552377851788514</v>
      </c>
      <c r="C3926" t="s">
        <v>40</v>
      </c>
      <c r="D3926">
        <v>4.9673780000000001</v>
      </c>
      <c r="E3926">
        <v>0.4946199</v>
      </c>
      <c r="F3926" t="s">
        <v>88</v>
      </c>
      <c r="G3926">
        <v>-107.39749999999999</v>
      </c>
      <c r="H3926">
        <v>3.4211529999999999</v>
      </c>
      <c r="I3926">
        <v>215.5043</v>
      </c>
      <c r="J3926">
        <v>-298.7183</v>
      </c>
      <c r="K3926">
        <v>1.109561</v>
      </c>
      <c r="L3926">
        <v>213.79920000000001</v>
      </c>
      <c r="M3926">
        <v>0.99983880000000003</v>
      </c>
      <c r="N3926">
        <v>0</v>
      </c>
      <c r="O3926">
        <v>-1.452429E-2</v>
      </c>
      <c r="P3926">
        <v>0.9993552</v>
      </c>
      <c r="Q3926">
        <v>3.55445E-2</v>
      </c>
      <c r="R3926">
        <v>-5.1210889999999997E-3</v>
      </c>
      <c r="S3926">
        <v>3.0007320000000002</v>
      </c>
      <c r="T3926">
        <v>3.6196590000000001E-2</v>
      </c>
      <c r="U3926">
        <v>2.6626589999999999E-2</v>
      </c>
      <c r="V3926">
        <v>-9.3800559999999995E-3</v>
      </c>
      <c r="W3926">
        <v>4.6105550000000002E-2</v>
      </c>
      <c r="X3926">
        <v>0.99889249999999996</v>
      </c>
      <c r="Y3926">
        <v>-2.3393850000000001E-2</v>
      </c>
      <c r="Z3926">
        <v>-3.1628599999999999E-4</v>
      </c>
      <c r="AA3926">
        <v>0.99972629999999996</v>
      </c>
      <c r="AB3926">
        <v>31</v>
      </c>
      <c r="AC3926">
        <v>191.32079999999999</v>
      </c>
      <c r="AD3926">
        <v>2.3115919999999899</v>
      </c>
      <c r="AE3926">
        <v>1.7050999999999801</v>
      </c>
      <c r="AF3926">
        <v>-4.4832193061138197</v>
      </c>
      <c r="AG3926">
        <v>2.3115919999999899</v>
      </c>
      <c r="AH3926">
        <v>191.24793344674799</v>
      </c>
      <c r="AI3926">
        <v>89.307696331036496</v>
      </c>
      <c r="AJ3926">
        <v>91.342877299530798</v>
      </c>
      <c r="AK3926">
        <v>191.31443949836299</v>
      </c>
      <c r="AL3926">
        <v>87.357409685519897</v>
      </c>
      <c r="AM3926">
        <v>90.538017678609293</v>
      </c>
      <c r="AN3926">
        <v>0.99999996687380699</v>
      </c>
    </row>
    <row r="3927" spans="1:40" x14ac:dyDescent="0.25">
      <c r="A3927" t="str">
        <f>"20190312160411821"</f>
        <v>20190312160411821</v>
      </c>
      <c r="B3927" t="str">
        <f>"1552377851809009"</f>
        <v>1552377851809009</v>
      </c>
      <c r="C3927" t="s">
        <v>40</v>
      </c>
      <c r="D3927">
        <v>4.951943</v>
      </c>
      <c r="E3927">
        <v>0.49468899999999999</v>
      </c>
      <c r="F3927" t="s">
        <v>88</v>
      </c>
      <c r="G3927">
        <v>-107.39749999999999</v>
      </c>
      <c r="H3927">
        <v>2.8745189999999998</v>
      </c>
      <c r="I3927">
        <v>215.50829999999999</v>
      </c>
      <c r="J3927">
        <v>-298.42270000000002</v>
      </c>
      <c r="K3927">
        <v>1.10955</v>
      </c>
      <c r="L3927">
        <v>213.79470000000001</v>
      </c>
      <c r="M3927">
        <v>0.99983679999999997</v>
      </c>
      <c r="N3927">
        <v>0</v>
      </c>
      <c r="O3927">
        <v>-1.465997E-2</v>
      </c>
      <c r="P3927">
        <v>0.99936670000000005</v>
      </c>
      <c r="Q3927">
        <v>3.5237030000000003E-2</v>
      </c>
      <c r="R3927">
        <v>-5.0014559999999996E-3</v>
      </c>
      <c r="S3927">
        <v>3.0011290000000002</v>
      </c>
      <c r="T3927">
        <v>2.7686599999999999E-2</v>
      </c>
      <c r="U3927">
        <v>2.6809690000000001E-2</v>
      </c>
      <c r="V3927">
        <v>-9.6359689999999994E-3</v>
      </c>
      <c r="W3927">
        <v>4.5801170000000002E-2</v>
      </c>
      <c r="X3927">
        <v>0.99890409999999996</v>
      </c>
      <c r="Y3927">
        <v>-2.3590460000000001E-2</v>
      </c>
      <c r="Z3927">
        <v>-2.4405569999999999E-4</v>
      </c>
      <c r="AA3927">
        <v>0.99972169999999905</v>
      </c>
      <c r="AB3927">
        <v>31</v>
      </c>
      <c r="AC3927">
        <v>191.02520000000001</v>
      </c>
      <c r="AD3927">
        <v>1.76496899999999</v>
      </c>
      <c r="AE3927">
        <v>1.71359999999998</v>
      </c>
      <c r="AF3927">
        <v>-4.51361032578329</v>
      </c>
      <c r="AG3927">
        <v>1.76496899999999</v>
      </c>
      <c r="AH3927">
        <v>190.963246066669</v>
      </c>
      <c r="AI3927">
        <v>89.470609322563206</v>
      </c>
      <c r="AJ3927">
        <v>91.353991853830394</v>
      </c>
      <c r="AK3927">
        <v>191.02473437244501</v>
      </c>
      <c r="AL3927">
        <v>87.374867905656799</v>
      </c>
      <c r="AM3927">
        <v>90.552688922594996</v>
      </c>
      <c r="AN3927">
        <v>1.0000000000343701</v>
      </c>
    </row>
    <row r="3928" spans="1:40" x14ac:dyDescent="0.25">
      <c r="A3928" t="str">
        <f>"20190312160411837"</f>
        <v>20190312160411837</v>
      </c>
      <c r="B3928" t="str">
        <f>"1552377851828530"</f>
        <v>1552377851828530</v>
      </c>
      <c r="C3928" t="s">
        <v>40</v>
      </c>
      <c r="D3928">
        <v>5.0394329999999998</v>
      </c>
      <c r="E3928">
        <v>0.49459229999999998</v>
      </c>
      <c r="F3928" t="s">
        <v>88</v>
      </c>
      <c r="G3928">
        <v>-107.39749999999999</v>
      </c>
      <c r="H3928">
        <v>2.5609929999999999</v>
      </c>
      <c r="I3928">
        <v>215.48169999999999</v>
      </c>
      <c r="J3928">
        <v>-298.20310000000001</v>
      </c>
      <c r="K3928">
        <v>1.109548</v>
      </c>
      <c r="L3928">
        <v>213.79140000000001</v>
      </c>
      <c r="M3928">
        <v>0.99983520000000004</v>
      </c>
      <c r="N3928">
        <v>0</v>
      </c>
      <c r="O3928">
        <v>-1.4760830000000001E-2</v>
      </c>
      <c r="P3928">
        <v>0.99937330000000002</v>
      </c>
      <c r="Q3928">
        <v>3.5027450000000002E-2</v>
      </c>
      <c r="R3928">
        <v>-5.1470999999999999E-3</v>
      </c>
      <c r="S3928">
        <v>3.0012210000000001</v>
      </c>
      <c r="T3928">
        <v>2.2804620000000001E-2</v>
      </c>
      <c r="U3928">
        <v>2.650452E-2</v>
      </c>
      <c r="V3928">
        <v>-9.5912870000000004E-3</v>
      </c>
      <c r="W3928">
        <v>4.559349E-2</v>
      </c>
      <c r="X3928">
        <v>0.99891399999999997</v>
      </c>
      <c r="Y3928">
        <v>-2.3589909999999999E-2</v>
      </c>
      <c r="Z3928">
        <v>-2.0178089999999999E-4</v>
      </c>
      <c r="AA3928">
        <v>0.99972169999999905</v>
      </c>
      <c r="AB3928">
        <v>31</v>
      </c>
      <c r="AC3928">
        <v>190.8056</v>
      </c>
      <c r="AD3928">
        <v>1.4514450000000001</v>
      </c>
      <c r="AE3928">
        <v>1.6902999999999699</v>
      </c>
      <c r="AF3928">
        <v>-4.50646140208561</v>
      </c>
      <c r="AG3928">
        <v>1.4514450000000001</v>
      </c>
      <c r="AH3928">
        <v>190.748821468344</v>
      </c>
      <c r="AI3928">
        <v>89.564155259344105</v>
      </c>
      <c r="AJ3928">
        <v>91.3533671925465</v>
      </c>
      <c r="AK3928">
        <v>190.80756740370299</v>
      </c>
      <c r="AL3928">
        <v>87.386779456389405</v>
      </c>
      <c r="AM3928">
        <v>90.550120809424499</v>
      </c>
      <c r="AN3928">
        <v>0.99999996925634704</v>
      </c>
    </row>
    <row r="3929" spans="1:40" x14ac:dyDescent="0.25">
      <c r="A3929" t="str">
        <f>"20190312160411855"</f>
        <v>20190312160411855</v>
      </c>
      <c r="B3929" t="str">
        <f>"1552377851849026"</f>
        <v>1552377851849026</v>
      </c>
      <c r="C3929" t="s">
        <v>40</v>
      </c>
      <c r="D3929">
        <v>5.0607389999999999</v>
      </c>
      <c r="E3929">
        <v>0.49491469999999999</v>
      </c>
      <c r="F3929" t="s">
        <v>88</v>
      </c>
      <c r="G3929">
        <v>-107.39749999999999</v>
      </c>
      <c r="H3929">
        <v>2.3930549999999999</v>
      </c>
      <c r="I3929">
        <v>215.49299999999999</v>
      </c>
      <c r="J3929">
        <v>-297.9434</v>
      </c>
      <c r="K3929">
        <v>1.10955</v>
      </c>
      <c r="L3929">
        <v>213.78749999999999</v>
      </c>
      <c r="M3929">
        <v>0.99983339999999998</v>
      </c>
      <c r="N3929">
        <v>0</v>
      </c>
      <c r="O3929">
        <v>-1.4880289999999999E-2</v>
      </c>
      <c r="P3929">
        <v>0.99938780000000005</v>
      </c>
      <c r="Q3929">
        <v>3.463803E-2</v>
      </c>
      <c r="R3929">
        <v>-4.9448469999999996E-3</v>
      </c>
      <c r="S3929">
        <v>3.0012819999999998</v>
      </c>
      <c r="T3929">
        <v>2.0189760000000001E-2</v>
      </c>
      <c r="U3929">
        <v>2.676392E-2</v>
      </c>
      <c r="V3929">
        <v>-9.912499E-3</v>
      </c>
      <c r="W3929">
        <v>4.5206700000000002E-2</v>
      </c>
      <c r="X3929">
        <v>0.9989285</v>
      </c>
      <c r="Y3929">
        <v>-2.3795810000000001E-2</v>
      </c>
      <c r="Z3929">
        <v>-1.80137E-4</v>
      </c>
      <c r="AA3929">
        <v>0.99971679999999996</v>
      </c>
      <c r="AB3929">
        <v>31</v>
      </c>
      <c r="AC3929">
        <v>190.54589999999999</v>
      </c>
      <c r="AD3929">
        <v>1.2835049999999999</v>
      </c>
      <c r="AE3929">
        <v>1.7055</v>
      </c>
      <c r="AF3929">
        <v>-4.5406418339004198</v>
      </c>
      <c r="AG3929">
        <v>1.2835049999999999</v>
      </c>
      <c r="AH3929">
        <v>190.490778681893</v>
      </c>
      <c r="AI3929">
        <v>89.614063078797798</v>
      </c>
      <c r="AJ3929">
        <v>91.365474798229201</v>
      </c>
      <c r="AK3929">
        <v>190.54921037932101</v>
      </c>
      <c r="AL3929">
        <v>87.408963912806996</v>
      </c>
      <c r="AM3929">
        <v>90.568534901825402</v>
      </c>
      <c r="AN3929">
        <v>1.00000002573678</v>
      </c>
    </row>
    <row r="3930" spans="1:40" x14ac:dyDescent="0.25">
      <c r="A3930" t="str">
        <f>"20190312160411877"</f>
        <v>20190312160411877</v>
      </c>
      <c r="B3930" t="str">
        <f>"1552377851868550"</f>
        <v>1552377851868550</v>
      </c>
      <c r="C3930" t="s">
        <v>40</v>
      </c>
      <c r="D3930">
        <v>5.0814279999999998</v>
      </c>
      <c r="E3930">
        <v>0.49491800000000002</v>
      </c>
      <c r="F3930" t="s">
        <v>88</v>
      </c>
      <c r="G3930">
        <v>-107.39749999999999</v>
      </c>
      <c r="H3930">
        <v>1.8765670000000001</v>
      </c>
      <c r="I3930">
        <v>215.35769999999999</v>
      </c>
      <c r="J3930">
        <v>-297.64479999999998</v>
      </c>
      <c r="K3930">
        <v>1.1095520000000001</v>
      </c>
      <c r="L3930">
        <v>213.78290000000001</v>
      </c>
      <c r="M3930">
        <v>0.99983129999999998</v>
      </c>
      <c r="N3930">
        <v>0</v>
      </c>
      <c r="O3930">
        <v>-1.501715E-2</v>
      </c>
      <c r="P3930">
        <v>0.99939710000000004</v>
      </c>
      <c r="Q3930">
        <v>3.4418169999999998E-2</v>
      </c>
      <c r="R3930">
        <v>-4.5662659999999898E-3</v>
      </c>
      <c r="S3930">
        <v>3.0015559999999999</v>
      </c>
      <c r="T3930">
        <v>1.2083170000000001E-2</v>
      </c>
      <c r="U3930">
        <v>2.47345E-2</v>
      </c>
      <c r="V3930">
        <v>-1.0428460000000001E-2</v>
      </c>
      <c r="W3930">
        <v>4.498949E-2</v>
      </c>
      <c r="X3930">
        <v>0.99893299999999996</v>
      </c>
      <c r="Y3930">
        <v>-2.3256530000000001E-2</v>
      </c>
      <c r="Z3930">
        <v>-1.072651E-4</v>
      </c>
      <c r="AA3930">
        <v>0.99972950000000005</v>
      </c>
      <c r="AB3930">
        <v>31</v>
      </c>
      <c r="AC3930">
        <v>190.2473</v>
      </c>
      <c r="AD3930">
        <v>0.767014999999999</v>
      </c>
      <c r="AE3930">
        <v>1.57479999999998</v>
      </c>
      <c r="AF3930">
        <v>-4.4316824108177597</v>
      </c>
      <c r="AG3930">
        <v>0.767014999999999</v>
      </c>
      <c r="AH3930">
        <v>190.19910291061899</v>
      </c>
      <c r="AI3930">
        <v>89.769007534098506</v>
      </c>
      <c r="AJ3930">
        <v>91.334763197349801</v>
      </c>
      <c r="AK3930">
        <v>190.25227165268001</v>
      </c>
      <c r="AL3930">
        <v>87.421421667141999</v>
      </c>
      <c r="AM3930">
        <v>90.598123237264701</v>
      </c>
      <c r="AN3930">
        <v>0.99999997273871499</v>
      </c>
    </row>
    <row r="3931" spans="1:40" x14ac:dyDescent="0.25">
      <c r="A3931" t="str">
        <f>"20190312160411899"</f>
        <v>20190312160411899</v>
      </c>
      <c r="B3931" t="str">
        <f>"1552377851889042"</f>
        <v>1552377851889042</v>
      </c>
      <c r="C3931" t="s">
        <v>40</v>
      </c>
      <c r="D3931">
        <v>5.0357770000000004</v>
      </c>
      <c r="E3931">
        <v>0.49521850000000001</v>
      </c>
      <c r="F3931" t="s">
        <v>88</v>
      </c>
      <c r="G3931">
        <v>-107.39749999999999</v>
      </c>
      <c r="H3931">
        <v>1.675359</v>
      </c>
      <c r="I3931">
        <v>215.41929999999999</v>
      </c>
      <c r="J3931">
        <v>-297.33609999999999</v>
      </c>
      <c r="K3931">
        <v>1.1095539999999999</v>
      </c>
      <c r="L3931">
        <v>213.77809999999999</v>
      </c>
      <c r="M3931">
        <v>0.99982919999999997</v>
      </c>
      <c r="N3931">
        <v>0</v>
      </c>
      <c r="O3931">
        <v>-1.515879E-2</v>
      </c>
      <c r="P3931">
        <v>0.99938459999999996</v>
      </c>
      <c r="Q3931">
        <v>3.4768800000000002E-2</v>
      </c>
      <c r="R3931">
        <v>-4.6263340000000002E-3</v>
      </c>
      <c r="S3931">
        <v>3.0015869999999998</v>
      </c>
      <c r="T3931">
        <v>8.9277030000000004E-3</v>
      </c>
      <c r="U3931">
        <v>2.581787E-2</v>
      </c>
      <c r="V3931">
        <v>-1.050975E-2</v>
      </c>
      <c r="W3931">
        <v>4.5342929999999997E-2</v>
      </c>
      <c r="X3931">
        <v>0.99891620000000003</v>
      </c>
      <c r="Y3931">
        <v>-2.3759010000000001E-2</v>
      </c>
      <c r="Z3931" s="1">
        <v>-8.0421039999999997E-5</v>
      </c>
      <c r="AA3931">
        <v>0.99971770000000004</v>
      </c>
      <c r="AB3931">
        <v>31</v>
      </c>
      <c r="AC3931">
        <v>189.93860000000001</v>
      </c>
      <c r="AD3931">
        <v>0.565804999999999</v>
      </c>
      <c r="AE3931">
        <v>1.64119999999999</v>
      </c>
      <c r="AF3931">
        <v>-4.5203715808840501</v>
      </c>
      <c r="AG3931">
        <v>0.565804999999999</v>
      </c>
      <c r="AH3931">
        <v>189.89020850506299</v>
      </c>
      <c r="AI3931">
        <v>89.829327897774405</v>
      </c>
      <c r="AJ3931">
        <v>91.363679088329306</v>
      </c>
      <c r="AK3931">
        <v>189.94484773381799</v>
      </c>
      <c r="AL3931">
        <v>87.401150443917004</v>
      </c>
      <c r="AM3931">
        <v>90.602795411088806</v>
      </c>
      <c r="AN3931">
        <v>1.0000000053842399</v>
      </c>
    </row>
    <row r="3932" spans="1:40" x14ac:dyDescent="0.25">
      <c r="A3932" t="str">
        <f>"20190312160411922"</f>
        <v>20190312160411922</v>
      </c>
      <c r="B3932" t="str">
        <f>"1552377851908562"</f>
        <v>1552377851908562</v>
      </c>
      <c r="C3932" t="s">
        <v>40</v>
      </c>
      <c r="D3932">
        <v>5.1465820000000004</v>
      </c>
      <c r="E3932">
        <v>0.49548940000000002</v>
      </c>
      <c r="F3932" t="s">
        <v>88</v>
      </c>
      <c r="G3932">
        <v>-107.39749999999999</v>
      </c>
      <c r="H3932">
        <v>1.4584029999999999</v>
      </c>
      <c r="I3932">
        <v>215.2379</v>
      </c>
      <c r="J3932">
        <v>-297.02460000000002</v>
      </c>
      <c r="K3932">
        <v>1.1095569999999999</v>
      </c>
      <c r="L3932">
        <v>213.7732</v>
      </c>
      <c r="M3932">
        <v>0.99982700000000002</v>
      </c>
      <c r="N3932">
        <v>0</v>
      </c>
      <c r="O3932">
        <v>-1.5301500000000001E-2</v>
      </c>
      <c r="P3932">
        <v>0.99937929999999997</v>
      </c>
      <c r="Q3932">
        <v>3.4924690000000001E-2</v>
      </c>
      <c r="R3932">
        <v>-4.6543390000000004E-3</v>
      </c>
      <c r="S3932">
        <v>3.0018009999999999</v>
      </c>
      <c r="T3932">
        <v>5.514026E-3</v>
      </c>
      <c r="U3932">
        <v>2.3071290000000001E-2</v>
      </c>
      <c r="V3932">
        <v>-1.062399E-2</v>
      </c>
      <c r="W3932">
        <v>4.5501560000000003E-2</v>
      </c>
      <c r="X3932">
        <v>0.99890769999999995</v>
      </c>
      <c r="Y3932">
        <v>-2.2986530000000002E-2</v>
      </c>
      <c r="Z3932" s="1">
        <v>-4.9219869999999997E-5</v>
      </c>
      <c r="AA3932">
        <v>0.99973579999999995</v>
      </c>
      <c r="AB3932">
        <v>31</v>
      </c>
      <c r="AC3932">
        <v>189.62710000000001</v>
      </c>
      <c r="AD3932">
        <v>0.34884599999999999</v>
      </c>
      <c r="AE3932">
        <v>1.4646999999999899</v>
      </c>
      <c r="AF3932">
        <v>-4.3662550576933397</v>
      </c>
      <c r="AG3932">
        <v>0.34884599999999999</v>
      </c>
      <c r="AH3932">
        <v>189.58184204043101</v>
      </c>
      <c r="AI3932">
        <v>89.894599177146503</v>
      </c>
      <c r="AJ3932">
        <v>91.319344545884903</v>
      </c>
      <c r="AK3932">
        <v>189.63243580201001</v>
      </c>
      <c r="AL3932">
        <v>87.392052019728695</v>
      </c>
      <c r="AM3932">
        <v>90.609352434176301</v>
      </c>
      <c r="AN3932">
        <v>0.99999992712261898</v>
      </c>
    </row>
    <row r="3933" spans="1:40" x14ac:dyDescent="0.25">
      <c r="A3933" t="str">
        <f>"20190312160411944"</f>
        <v>20190312160411944</v>
      </c>
      <c r="B3933" t="str">
        <f>"1552377851938818"</f>
        <v>1552377851938818</v>
      </c>
      <c r="C3933" t="s">
        <v>40</v>
      </c>
      <c r="D3933">
        <v>5.122649</v>
      </c>
      <c r="E3933">
        <v>0.47315109999999999</v>
      </c>
      <c r="F3933" t="s">
        <v>88</v>
      </c>
      <c r="G3933">
        <v>-107.39749999999999</v>
      </c>
      <c r="H3933">
        <v>1.3409489999999999</v>
      </c>
      <c r="I3933">
        <v>215.09469999999999</v>
      </c>
      <c r="J3933">
        <v>-296.70490000000001</v>
      </c>
      <c r="K3933">
        <v>1.1095520000000001</v>
      </c>
      <c r="L3933">
        <v>213.76820000000001</v>
      </c>
      <c r="M3933">
        <v>0.99982470000000001</v>
      </c>
      <c r="N3933">
        <v>0</v>
      </c>
      <c r="O3933">
        <v>-1.544802E-2</v>
      </c>
      <c r="P3933">
        <v>0.99938830000000001</v>
      </c>
      <c r="Q3933">
        <v>3.4652669999999997E-2</v>
      </c>
      <c r="R3933">
        <v>-4.7372409999999997E-3</v>
      </c>
      <c r="S3933">
        <v>3.0018310000000001</v>
      </c>
      <c r="T3933">
        <v>3.6637779999999999E-3</v>
      </c>
      <c r="U3933">
        <v>2.0919799999999999E-2</v>
      </c>
      <c r="V3933">
        <v>-1.068794E-2</v>
      </c>
      <c r="W3933">
        <v>4.5232420000000002E-2</v>
      </c>
      <c r="X3933">
        <v>0.99891929999999995</v>
      </c>
      <c r="Y3933">
        <v>-2.2416499999999999E-2</v>
      </c>
      <c r="Z3933" s="1">
        <v>-3.2534699999999999E-5</v>
      </c>
      <c r="AA3933">
        <v>0.99974870000000005</v>
      </c>
      <c r="AB3933">
        <v>31</v>
      </c>
      <c r="AC3933">
        <v>189.3074</v>
      </c>
      <c r="AD3933">
        <v>0.23139699999999899</v>
      </c>
      <c r="AE3933">
        <v>1.32649999999998</v>
      </c>
      <c r="AF3933">
        <v>-4.25092352048223</v>
      </c>
      <c r="AG3933">
        <v>0.23139699999999899</v>
      </c>
      <c r="AH3933">
        <v>189.26403212795</v>
      </c>
      <c r="AI3933">
        <v>89.929967031268205</v>
      </c>
      <c r="AJ3933">
        <v>91.286663031757101</v>
      </c>
      <c r="AK3933">
        <v>189.31190599821801</v>
      </c>
      <c r="AL3933">
        <v>87.407488653060895</v>
      </c>
      <c r="AM3933">
        <v>90.613012970354703</v>
      </c>
      <c r="AN3933">
        <v>0.99999998589649397</v>
      </c>
    </row>
    <row r="3934" spans="1:40" x14ac:dyDescent="0.25">
      <c r="A3934" t="str">
        <f>"20190312160411961"</f>
        <v>20190312160411961</v>
      </c>
      <c r="B3934" t="str">
        <f>"1552377851948578"</f>
        <v>1552377851948578</v>
      </c>
      <c r="C3934" t="s">
        <v>40</v>
      </c>
      <c r="D3934">
        <v>5.0999379999999999</v>
      </c>
      <c r="E3934">
        <v>0.4725895</v>
      </c>
      <c r="F3934" t="s">
        <v>70</v>
      </c>
      <c r="G3934">
        <v>-249.68360000000001</v>
      </c>
      <c r="H3934" s="1">
        <v>3.5180290000000002E-6</v>
      </c>
      <c r="I3934">
        <v>216.86590000000001</v>
      </c>
      <c r="J3934">
        <v>-296.48649999999998</v>
      </c>
      <c r="K3934">
        <v>1.109553</v>
      </c>
      <c r="L3934">
        <v>213.7647</v>
      </c>
      <c r="M3934">
        <v>0.99982309999999996</v>
      </c>
      <c r="N3934">
        <v>0</v>
      </c>
      <c r="O3934">
        <v>-1.554793E-2</v>
      </c>
      <c r="P3934">
        <v>0.99939999999999996</v>
      </c>
      <c r="Q3934">
        <v>3.4264910000000003E-2</v>
      </c>
      <c r="R3934">
        <v>-5.081482E-3</v>
      </c>
      <c r="S3934">
        <v>3.0052490000000001</v>
      </c>
      <c r="T3934">
        <v>-7.0914149999999995E-2</v>
      </c>
      <c r="U3934">
        <v>0.19798279999999999</v>
      </c>
      <c r="V3934">
        <v>-1.044377E-2</v>
      </c>
      <c r="W3934">
        <v>4.4846579999999997E-2</v>
      </c>
      <c r="X3934">
        <v>0.99893929999999997</v>
      </c>
      <c r="Y3934">
        <v>-8.121689E-2</v>
      </c>
      <c r="Z3934">
        <v>1.323547E-3</v>
      </c>
      <c r="AA3934">
        <v>0.99669560000000001</v>
      </c>
      <c r="AB3934">
        <v>31</v>
      </c>
      <c r="AC3934">
        <v>46.802899999999902</v>
      </c>
      <c r="AD3934">
        <v>-1.1095494819709999</v>
      </c>
      <c r="AE3934">
        <v>3.1012</v>
      </c>
      <c r="AF3934">
        <v>-3.8264129737213701</v>
      </c>
      <c r="AG3934">
        <v>-1.1095494819709999</v>
      </c>
      <c r="AH3934">
        <v>46.722877892677701</v>
      </c>
      <c r="AI3934">
        <v>91.355835856897201</v>
      </c>
      <c r="AJ3934">
        <v>94.681842165052799</v>
      </c>
      <c r="AK3934">
        <v>46.892428545261701</v>
      </c>
      <c r="AL3934">
        <v>87.429618167097402</v>
      </c>
      <c r="AM3934">
        <v>90.598997499345799</v>
      </c>
      <c r="AN3934">
        <v>1.0000000065769901</v>
      </c>
    </row>
    <row r="3935" spans="1:40" x14ac:dyDescent="0.25">
      <c r="A3935" t="str">
        <f>"20190312160411977"</f>
        <v>20190312160411977</v>
      </c>
      <c r="B3935" t="str">
        <f>"1552377851969074"</f>
        <v>1552377851969074</v>
      </c>
      <c r="C3935" t="s">
        <v>40</v>
      </c>
      <c r="D3935">
        <v>5.0957860000000004</v>
      </c>
      <c r="E3935">
        <v>0.47203289999999998</v>
      </c>
      <c r="F3935" t="s">
        <v>70</v>
      </c>
      <c r="G3935">
        <v>-253.56540000000001</v>
      </c>
      <c r="H3935" s="1">
        <v>2.719479E-7</v>
      </c>
      <c r="I3935">
        <v>216.64269999999999</v>
      </c>
      <c r="J3935">
        <v>-296.24939999999998</v>
      </c>
      <c r="K3935">
        <v>1.10955</v>
      </c>
      <c r="L3935">
        <v>213.76089999999999</v>
      </c>
      <c r="M3935">
        <v>0.99982139999999997</v>
      </c>
      <c r="N3935">
        <v>0</v>
      </c>
      <c r="O3935">
        <v>-1.5656659999999999E-2</v>
      </c>
      <c r="P3935">
        <v>0.99940450000000003</v>
      </c>
      <c r="Q3935">
        <v>3.4034160000000001E-2</v>
      </c>
      <c r="R3935">
        <v>-5.6926030000000001E-3</v>
      </c>
      <c r="S3935">
        <v>3.0054630000000002</v>
      </c>
      <c r="T3935">
        <v>-7.7694180000000002E-2</v>
      </c>
      <c r="U3935">
        <v>0.2015228</v>
      </c>
      <c r="V3935">
        <v>-9.9418189999999993E-3</v>
      </c>
      <c r="W3935">
        <v>4.4618400000000003E-2</v>
      </c>
      <c r="X3935">
        <v>0.99895469999999997</v>
      </c>
      <c r="Y3935">
        <v>-8.2483550000000003E-2</v>
      </c>
      <c r="Z3935">
        <v>1.46905E-3</v>
      </c>
      <c r="AA3935">
        <v>0.99659129999999996</v>
      </c>
      <c r="AB3935">
        <v>31</v>
      </c>
      <c r="AC3935">
        <v>42.683999999999898</v>
      </c>
      <c r="AD3935">
        <v>-1.1095497280521001</v>
      </c>
      <c r="AE3935">
        <v>2.8817999999999899</v>
      </c>
      <c r="AF3935">
        <v>-3.5473869000781102</v>
      </c>
      <c r="AG3935">
        <v>-1.1095497280521001</v>
      </c>
      <c r="AH3935">
        <v>42.604987434465201</v>
      </c>
      <c r="AI3935">
        <v>91.486658720182703</v>
      </c>
      <c r="AJ3935">
        <v>94.759596692987998</v>
      </c>
      <c r="AK3935">
        <v>42.766809662503498</v>
      </c>
      <c r="AL3935">
        <v>87.442705172599204</v>
      </c>
      <c r="AM3935">
        <v>90.570201495651304</v>
      </c>
      <c r="AN3935">
        <v>1.00000006701783</v>
      </c>
    </row>
    <row r="3936" spans="1:40" x14ac:dyDescent="0.25">
      <c r="A3936" t="str">
        <f>"20190312160412001"</f>
        <v>20190312160412001</v>
      </c>
      <c r="B3936" t="str">
        <f>"1552377851988595"</f>
        <v>1552377851988595</v>
      </c>
      <c r="C3936" t="s">
        <v>40</v>
      </c>
      <c r="D3936">
        <v>5.1475519999999904</v>
      </c>
      <c r="E3936">
        <v>0.47150940000000002</v>
      </c>
      <c r="F3936" t="s">
        <v>70</v>
      </c>
      <c r="G3936">
        <v>-258.25349999999997</v>
      </c>
      <c r="H3936" s="1">
        <v>2.779927E-6</v>
      </c>
      <c r="I3936">
        <v>216.3408</v>
      </c>
      <c r="J3936">
        <v>-295.93049999999999</v>
      </c>
      <c r="K3936">
        <v>1.109548</v>
      </c>
      <c r="L3936">
        <v>213.75579999999999</v>
      </c>
      <c r="M3936">
        <v>0.99981900000000001</v>
      </c>
      <c r="N3936">
        <v>0</v>
      </c>
      <c r="O3936">
        <v>-1.5802699999999999E-2</v>
      </c>
      <c r="P3936">
        <v>0.99938249999999995</v>
      </c>
      <c r="Q3936">
        <v>3.4560899999999999E-2</v>
      </c>
      <c r="R3936">
        <v>-6.3663080000000002E-3</v>
      </c>
      <c r="S3936">
        <v>3.005951</v>
      </c>
      <c r="T3936">
        <v>-8.7779049999999997E-2</v>
      </c>
      <c r="U3936">
        <v>0.20410159999999999</v>
      </c>
      <c r="V3936">
        <v>-9.4138099999999999E-3</v>
      </c>
      <c r="W3936">
        <v>4.5147630000000001E-2</v>
      </c>
      <c r="X3936">
        <v>0.99893600000000005</v>
      </c>
      <c r="Y3936">
        <v>-8.3459899999999906E-2</v>
      </c>
      <c r="Z3936">
        <v>1.6778400000000001E-3</v>
      </c>
      <c r="AA3936">
        <v>0.99650970000000005</v>
      </c>
      <c r="AB3936">
        <v>31</v>
      </c>
      <c r="AC3936">
        <v>37.677</v>
      </c>
      <c r="AD3936">
        <v>-1.109545220073</v>
      </c>
      <c r="AE3936">
        <v>2.585</v>
      </c>
      <c r="AF3936">
        <v>-3.1773663018931999</v>
      </c>
      <c r="AG3936">
        <v>-1.109545220073</v>
      </c>
      <c r="AH3936">
        <v>37.598988024416798</v>
      </c>
      <c r="AI3936">
        <v>91.684306546785507</v>
      </c>
      <c r="AJ3936">
        <v>94.830400337272806</v>
      </c>
      <c r="AK3936">
        <v>37.749313207951602</v>
      </c>
      <c r="AL3936">
        <v>87.412351845083904</v>
      </c>
      <c r="AM3936">
        <v>90.539930101653397</v>
      </c>
      <c r="AN3936">
        <v>1.0000000302046601</v>
      </c>
    </row>
    <row r="3937" spans="1:40" x14ac:dyDescent="0.25">
      <c r="A3937" t="str">
        <f>"20190312160412023"</f>
        <v>20190312160412023</v>
      </c>
      <c r="B3937" t="str">
        <f>"1552377852018851"</f>
        <v>1552377852018851</v>
      </c>
      <c r="C3937" t="s">
        <v>40</v>
      </c>
      <c r="D3937">
        <v>5.1282290000000001</v>
      </c>
      <c r="E3937">
        <v>0.4713638</v>
      </c>
      <c r="F3937" t="s">
        <v>70</v>
      </c>
      <c r="G3937">
        <v>-258.66899999999998</v>
      </c>
      <c r="H3937" s="1">
        <v>3.0023110000000001E-6</v>
      </c>
      <c r="I3937">
        <v>216.31200000000001</v>
      </c>
      <c r="J3937">
        <v>-295.60939999999999</v>
      </c>
      <c r="K3937">
        <v>1.1095429999999999</v>
      </c>
      <c r="L3937">
        <v>213.75049999999999</v>
      </c>
      <c r="M3937">
        <v>0.9998167</v>
      </c>
      <c r="N3937">
        <v>0</v>
      </c>
      <c r="O3937">
        <v>-1.5949939999999999E-2</v>
      </c>
      <c r="P3937">
        <v>0.99938610000000005</v>
      </c>
      <c r="Q3937">
        <v>3.4363119999999997E-2</v>
      </c>
      <c r="R3937">
        <v>-6.8340869999999904E-3</v>
      </c>
      <c r="S3937">
        <v>3.0062259999999998</v>
      </c>
      <c r="T3937">
        <v>-8.9517120000000006E-2</v>
      </c>
      <c r="U3937">
        <v>0.2062378</v>
      </c>
      <c r="V3937">
        <v>-9.0928429999999998E-3</v>
      </c>
      <c r="W3937">
        <v>4.4952319999999997E-2</v>
      </c>
      <c r="X3937">
        <v>0.99894769999999999</v>
      </c>
      <c r="Y3937">
        <v>-8.4303169999999997E-2</v>
      </c>
      <c r="Z3937">
        <v>1.7277670000000001E-3</v>
      </c>
      <c r="AA3937">
        <v>0.99643870000000001</v>
      </c>
      <c r="AB3937">
        <v>31</v>
      </c>
      <c r="AC3937">
        <v>36.940399999999897</v>
      </c>
      <c r="AD3937">
        <v>-1.1095399976889999</v>
      </c>
      <c r="AE3937">
        <v>2.5615000000000201</v>
      </c>
      <c r="AF3937">
        <v>-3.1475783037879501</v>
      </c>
      <c r="AG3937">
        <v>-1.1095399976889999</v>
      </c>
      <c r="AH3937">
        <v>36.861746285193398</v>
      </c>
      <c r="AI3937">
        <v>91.717837198253903</v>
      </c>
      <c r="AJ3937">
        <v>94.8805759461207</v>
      </c>
      <c r="AK3937">
        <v>37.012520413758899</v>
      </c>
      <c r="AL3937">
        <v>87.423553447172793</v>
      </c>
      <c r="AM3937">
        <v>90.521515931123403</v>
      </c>
      <c r="AN3937">
        <v>0.99999994910124601</v>
      </c>
    </row>
    <row r="3938" spans="1:40" x14ac:dyDescent="0.25">
      <c r="A3938" t="str">
        <f>"20190312160412046"</f>
        <v>20190312160412046</v>
      </c>
      <c r="B3938" t="str">
        <f>"1552377852038370"</f>
        <v>1552377852038370</v>
      </c>
      <c r="C3938" t="s">
        <v>40</v>
      </c>
      <c r="D3938">
        <v>5.1791099999999997</v>
      </c>
      <c r="E3938">
        <v>0.47101589999999999</v>
      </c>
      <c r="F3938" t="s">
        <v>70</v>
      </c>
      <c r="G3938">
        <v>-260.1497</v>
      </c>
      <c r="H3938" s="1">
        <v>-1.525443E-6</v>
      </c>
      <c r="I3938">
        <v>216.17959999999999</v>
      </c>
      <c r="J3938">
        <v>-295.29489999999998</v>
      </c>
      <c r="K3938">
        <v>1.1095379999999999</v>
      </c>
      <c r="L3938">
        <v>213.74539999999999</v>
      </c>
      <c r="M3938">
        <v>0.99981430000000004</v>
      </c>
      <c r="N3938">
        <v>0</v>
      </c>
      <c r="O3938">
        <v>-1.609408E-2</v>
      </c>
      <c r="P3938">
        <v>0.99937619999999905</v>
      </c>
      <c r="Q3938">
        <v>3.466727E-2</v>
      </c>
      <c r="R3938">
        <v>-6.7642269999999899E-3</v>
      </c>
      <c r="S3938">
        <v>3.0065</v>
      </c>
      <c r="T3938">
        <v>-9.4074249999999998E-2</v>
      </c>
      <c r="U3938">
        <v>0.20594789999999999</v>
      </c>
      <c r="V3938">
        <v>-9.30659E-3</v>
      </c>
      <c r="W3938">
        <v>4.5259569999999999E-2</v>
      </c>
      <c r="X3938">
        <v>0.99893189999999998</v>
      </c>
      <c r="Y3938">
        <v>-8.4340280000000004E-2</v>
      </c>
      <c r="Z3938">
        <v>1.8206069999999999E-3</v>
      </c>
      <c r="AA3938">
        <v>0.99643530000000002</v>
      </c>
      <c r="AB3938">
        <v>31</v>
      </c>
      <c r="AC3938">
        <v>35.145199999999903</v>
      </c>
      <c r="AD3938">
        <v>-1.1095395254429901</v>
      </c>
      <c r="AE3938">
        <v>2.4342000000000001</v>
      </c>
      <c r="AF3938">
        <v>-2.9965737767479999</v>
      </c>
      <c r="AG3938">
        <v>-1.1095395254429901</v>
      </c>
      <c r="AH3938">
        <v>35.066685912761201</v>
      </c>
      <c r="AI3938">
        <v>91.8057056347605</v>
      </c>
      <c r="AJ3938">
        <v>94.884263612559295</v>
      </c>
      <c r="AK3938">
        <v>35.2119723000893</v>
      </c>
      <c r="AL3938">
        <v>87.405931491302695</v>
      </c>
      <c r="AM3938">
        <v>90.533783035415993</v>
      </c>
      <c r="AN3938">
        <v>0.99999999106581094</v>
      </c>
    </row>
    <row r="3939" spans="1:40" x14ac:dyDescent="0.25">
      <c r="A3939" t="str">
        <f>"20190312160412067"</f>
        <v>20190312160412067</v>
      </c>
      <c r="B3939" t="str">
        <f>"1552377852058865"</f>
        <v>1552377852058865</v>
      </c>
      <c r="C3939" t="s">
        <v>40</v>
      </c>
      <c r="D3939">
        <v>5.3101159999999998</v>
      </c>
      <c r="E3939">
        <v>0.47110229999999997</v>
      </c>
      <c r="F3939" t="s">
        <v>70</v>
      </c>
      <c r="G3939">
        <v>-260.95060000000001</v>
      </c>
      <c r="H3939" s="1">
        <v>-1.0968790000000001E-6</v>
      </c>
      <c r="I3939">
        <v>216.1251</v>
      </c>
      <c r="J3939">
        <v>-294.99189999999999</v>
      </c>
      <c r="K3939">
        <v>1.1095389999999901</v>
      </c>
      <c r="L3939">
        <v>213.74039999999999</v>
      </c>
      <c r="M3939">
        <v>0.99981209999999998</v>
      </c>
      <c r="N3939">
        <v>0</v>
      </c>
      <c r="O3939">
        <v>-1.6232730000000001E-2</v>
      </c>
      <c r="P3939">
        <v>0.9993843</v>
      </c>
      <c r="Q3939">
        <v>3.4407399999999998E-2</v>
      </c>
      <c r="R3939">
        <v>-6.8970689999999996E-3</v>
      </c>
      <c r="S3939">
        <v>3.006653</v>
      </c>
      <c r="T3939">
        <v>-9.7133990000000003E-2</v>
      </c>
      <c r="U3939">
        <v>0.20832819999999999</v>
      </c>
      <c r="V3939">
        <v>-9.3124120000000008E-3</v>
      </c>
      <c r="W3939">
        <v>4.5002340000000002E-2</v>
      </c>
      <c r="X3939">
        <v>0.99894340000000004</v>
      </c>
      <c r="Y3939">
        <v>-8.5256349999999995E-2</v>
      </c>
      <c r="Z3939">
        <v>1.8988970000000001E-3</v>
      </c>
      <c r="AA3939">
        <v>0.9963573</v>
      </c>
      <c r="AB3939">
        <v>31</v>
      </c>
      <c r="AC3939">
        <v>34.0412999999999</v>
      </c>
      <c r="AD3939">
        <v>-1.1095400968789999</v>
      </c>
      <c r="AE3939">
        <v>2.3847</v>
      </c>
      <c r="AF3939">
        <v>-2.9338983601289401</v>
      </c>
      <c r="AG3939">
        <v>-1.1095400968789999</v>
      </c>
      <c r="AH3939">
        <v>33.962197818288601</v>
      </c>
      <c r="AI3939">
        <v>91.8642409940703</v>
      </c>
      <c r="AJ3939">
        <v>94.937362843747195</v>
      </c>
      <c r="AK3939">
        <v>34.106740088473998</v>
      </c>
      <c r="AL3939">
        <v>87.420684544139306</v>
      </c>
      <c r="AM3939">
        <v>90.534110790632099</v>
      </c>
      <c r="AN3939">
        <v>0.99999992401314297</v>
      </c>
    </row>
    <row r="3940" spans="1:40" x14ac:dyDescent="0.25">
      <c r="A3940" t="str">
        <f>"20190312160412090"</f>
        <v>20190312160412090</v>
      </c>
      <c r="B3940" t="str">
        <f>"1552377852078386"</f>
        <v>1552377852078386</v>
      </c>
      <c r="C3940" t="s">
        <v>40</v>
      </c>
      <c r="D3940">
        <v>5.1944359999999996</v>
      </c>
      <c r="E3940">
        <v>0.47093819999999997</v>
      </c>
      <c r="F3940" t="s">
        <v>70</v>
      </c>
      <c r="G3940">
        <v>-261.74619999999999</v>
      </c>
      <c r="H3940" s="1">
        <v>-6.6951619999999895E-7</v>
      </c>
      <c r="I3940">
        <v>216.03370000000001</v>
      </c>
      <c r="J3940">
        <v>-294.6866</v>
      </c>
      <c r="K3940">
        <v>1.1095410000000001</v>
      </c>
      <c r="L3940">
        <v>213.7353</v>
      </c>
      <c r="M3940">
        <v>0.99980970000000002</v>
      </c>
      <c r="N3940">
        <v>0</v>
      </c>
      <c r="O3940">
        <v>-1.6372580000000001E-2</v>
      </c>
      <c r="P3940">
        <v>0.99940510000000005</v>
      </c>
      <c r="Q3940">
        <v>3.3795400000000003E-2</v>
      </c>
      <c r="R3940">
        <v>-6.9108549999999996E-3</v>
      </c>
      <c r="S3940">
        <v>3.0067750000000002</v>
      </c>
      <c r="T3940">
        <v>-0.1003478</v>
      </c>
      <c r="U3940">
        <v>0.20741270000000001</v>
      </c>
      <c r="V3940">
        <v>-9.4388979999999994E-3</v>
      </c>
      <c r="W3940">
        <v>4.4393549999999997E-2</v>
      </c>
      <c r="X3940">
        <v>0.99896960000000001</v>
      </c>
      <c r="Y3940">
        <v>-8.5087490000000002E-2</v>
      </c>
      <c r="Z3940">
        <v>1.9634779999999998E-3</v>
      </c>
      <c r="AA3940">
        <v>0.99637160000000002</v>
      </c>
      <c r="AB3940">
        <v>31</v>
      </c>
      <c r="AC3940">
        <v>32.940399999999997</v>
      </c>
      <c r="AD3940">
        <v>-1.1095416695161999</v>
      </c>
      <c r="AE3940">
        <v>2.2984000000000102</v>
      </c>
      <c r="AF3940">
        <v>-2.8342415100337801</v>
      </c>
      <c r="AG3940">
        <v>-1.1095416695161999</v>
      </c>
      <c r="AH3940">
        <v>32.861248728727801</v>
      </c>
      <c r="AI3940">
        <v>91.926677838397097</v>
      </c>
      <c r="AJ3940">
        <v>94.929490074084498</v>
      </c>
      <c r="AK3940">
        <v>33.001904121806497</v>
      </c>
      <c r="AL3940">
        <v>87.455600915818707</v>
      </c>
      <c r="AM3940">
        <v>90.541350733433902</v>
      </c>
      <c r="AN3940">
        <v>1.0000000709006001</v>
      </c>
    </row>
    <row r="3941" spans="1:40" x14ac:dyDescent="0.25">
      <c r="A3941" t="str">
        <f>"20190312160412123"</f>
        <v>20190312160412123</v>
      </c>
      <c r="B3941" t="str">
        <f>"1552377852118402"</f>
        <v>1552377852118402</v>
      </c>
      <c r="C3941" t="s">
        <v>40</v>
      </c>
      <c r="D3941">
        <v>5.1758509999999998</v>
      </c>
      <c r="E3941">
        <v>0.47102539999999998</v>
      </c>
      <c r="F3941" t="s">
        <v>70</v>
      </c>
      <c r="G3941">
        <v>-262.78710000000001</v>
      </c>
      <c r="H3941" s="1">
        <v>-1.120336E-7</v>
      </c>
      <c r="I3941">
        <v>215.9522</v>
      </c>
      <c r="J3941">
        <v>-294.20859999999999</v>
      </c>
      <c r="K3941">
        <v>1.109545</v>
      </c>
      <c r="L3941">
        <v>213.72720000000001</v>
      </c>
      <c r="M3941">
        <v>0.99980619999999998</v>
      </c>
      <c r="N3941">
        <v>0</v>
      </c>
      <c r="O3941">
        <v>-1.6591350000000001E-2</v>
      </c>
      <c r="P3941">
        <v>0.99939469999999997</v>
      </c>
      <c r="Q3941">
        <v>3.4046020000000003E-2</v>
      </c>
      <c r="R3941">
        <v>-7.1656979999999999E-3</v>
      </c>
      <c r="S3941">
        <v>3.0068049999999999</v>
      </c>
      <c r="T3941">
        <v>-0.1045837</v>
      </c>
      <c r="U3941">
        <v>0.20896909999999999</v>
      </c>
      <c r="V3941">
        <v>-9.4025900000000006E-3</v>
      </c>
      <c r="W3941">
        <v>4.4648409999999999E-2</v>
      </c>
      <c r="X3941">
        <v>0.99895849999999997</v>
      </c>
      <c r="Y3941">
        <v>-8.5812639999999996E-2</v>
      </c>
      <c r="Z3941">
        <v>2.0664490000000002E-3</v>
      </c>
      <c r="AA3941">
        <v>0.99630920000000001</v>
      </c>
      <c r="AB3941">
        <v>31</v>
      </c>
      <c r="AC3941">
        <v>31.421499999999899</v>
      </c>
      <c r="AD3941">
        <v>-1.1095451120336</v>
      </c>
      <c r="AE3941">
        <v>2.2249999999999899</v>
      </c>
      <c r="AF3941">
        <v>-2.7426453023037598</v>
      </c>
      <c r="AG3941">
        <v>-1.1095451120336</v>
      </c>
      <c r="AH3941">
        <v>31.341371666327301</v>
      </c>
      <c r="AI3941">
        <v>92.019822041182593</v>
      </c>
      <c r="AJ3941">
        <v>95.001144021002006</v>
      </c>
      <c r="AK3941">
        <v>31.4807047496836</v>
      </c>
      <c r="AL3941">
        <v>87.440983806134199</v>
      </c>
      <c r="AM3941">
        <v>90.539274469473995</v>
      </c>
      <c r="AN3941">
        <v>0.99999998696824299</v>
      </c>
    </row>
    <row r="3942" spans="1:40" x14ac:dyDescent="0.25">
      <c r="A3942" t="str">
        <f>"20190312160412145"</f>
        <v>20190312160412145</v>
      </c>
      <c r="B3942" t="str">
        <f>"1552377852138913"</f>
        <v>1552377852138913</v>
      </c>
      <c r="C3942" t="s">
        <v>40</v>
      </c>
      <c r="D3942">
        <v>5.1896459999999998</v>
      </c>
      <c r="E3942">
        <v>0.47157460000000001</v>
      </c>
      <c r="F3942" t="s">
        <v>70</v>
      </c>
      <c r="G3942">
        <v>-261.83749999999998</v>
      </c>
      <c r="H3942" s="1">
        <v>-6.1761530000000004E-7</v>
      </c>
      <c r="I3942">
        <v>215.95849999999999</v>
      </c>
      <c r="J3942">
        <v>-293.89139999999998</v>
      </c>
      <c r="K3942">
        <v>1.109548</v>
      </c>
      <c r="L3942">
        <v>213.7218</v>
      </c>
      <c r="M3942">
        <v>0.99980380000000002</v>
      </c>
      <c r="N3942">
        <v>0</v>
      </c>
      <c r="O3942">
        <v>-1.6736560000000001E-2</v>
      </c>
      <c r="P3942">
        <v>0.99938139999999998</v>
      </c>
      <c r="Q3942">
        <v>3.4389330000000003E-2</v>
      </c>
      <c r="R3942">
        <v>-7.3830780000000004E-3</v>
      </c>
      <c r="S3942">
        <v>3.0067750000000002</v>
      </c>
      <c r="T3942">
        <v>-0.1030599</v>
      </c>
      <c r="U3942">
        <v>0.2072601</v>
      </c>
      <c r="V3942">
        <v>-9.3300410000000007E-3</v>
      </c>
      <c r="W3942">
        <v>4.4994239999999998E-2</v>
      </c>
      <c r="X3942">
        <v>0.99894369999999999</v>
      </c>
      <c r="Y3942">
        <v>-8.5396399999999997E-2</v>
      </c>
      <c r="Z3942">
        <v>2.034264E-3</v>
      </c>
      <c r="AA3942">
        <v>0.99634500000000004</v>
      </c>
      <c r="AB3942">
        <v>31</v>
      </c>
      <c r="AC3942">
        <v>32.053899999999999</v>
      </c>
      <c r="AD3942">
        <v>-1.1095486176153</v>
      </c>
      <c r="AE3942">
        <v>2.2366999999999799</v>
      </c>
      <c r="AF3942">
        <v>-2.7695863610231801</v>
      </c>
      <c r="AG3942">
        <v>-1.1095486176153</v>
      </c>
      <c r="AH3942">
        <v>31.9738475023962</v>
      </c>
      <c r="AI3942">
        <v>91.980058115574096</v>
      </c>
      <c r="AJ3942">
        <v>94.950624390286904</v>
      </c>
      <c r="AK3942">
        <v>32.112748727764</v>
      </c>
      <c r="AL3942">
        <v>87.421149367387599</v>
      </c>
      <c r="AM3942">
        <v>90.535121677567005</v>
      </c>
      <c r="AN3942">
        <v>1.0000000235339599</v>
      </c>
    </row>
    <row r="3943" spans="1:40" x14ac:dyDescent="0.25">
      <c r="A3943" t="str">
        <f>"20190312160412168"</f>
        <v>20190312160412168</v>
      </c>
      <c r="B3943" t="str">
        <f>"1552377852158422"</f>
        <v>1552377852158422</v>
      </c>
      <c r="C3943" t="s">
        <v>40</v>
      </c>
      <c r="D3943">
        <v>5.2764439999999997</v>
      </c>
      <c r="E3943">
        <v>0.47195039999999999</v>
      </c>
      <c r="F3943" t="s">
        <v>70</v>
      </c>
      <c r="G3943">
        <v>-210.17169999999999</v>
      </c>
      <c r="H3943" s="1">
        <v>-1.6532520000000001E-6</v>
      </c>
      <c r="I3943">
        <v>219.3715</v>
      </c>
      <c r="J3943">
        <v>-293.59179999999998</v>
      </c>
      <c r="K3943">
        <v>1.1095440000000001</v>
      </c>
      <c r="L3943">
        <v>213.7166</v>
      </c>
      <c r="M3943">
        <v>0.99980150000000001</v>
      </c>
      <c r="N3943">
        <v>0</v>
      </c>
      <c r="O3943">
        <v>-1.6873900000000001E-2</v>
      </c>
      <c r="P3943">
        <v>0.99938119999999997</v>
      </c>
      <c r="Q3943">
        <v>3.4450349999999998E-2</v>
      </c>
      <c r="R3943">
        <v>-7.1139990000000002E-3</v>
      </c>
      <c r="S3943">
        <v>3.0047609999999998</v>
      </c>
      <c r="T3943">
        <v>-3.9822580000000003E-2</v>
      </c>
      <c r="U3943">
        <v>0.20277400000000001</v>
      </c>
      <c r="V3943">
        <v>-9.7363250000000005E-3</v>
      </c>
      <c r="W3943">
        <v>4.5058069999999999E-2</v>
      </c>
      <c r="X3943">
        <v>0.99893699999999996</v>
      </c>
      <c r="Y3943">
        <v>-8.414924E-2</v>
      </c>
      <c r="Z3943">
        <v>7.8036890000000002E-4</v>
      </c>
      <c r="AA3943">
        <v>0.99645289999999997</v>
      </c>
      <c r="AB3943">
        <v>31</v>
      </c>
      <c r="AC3943">
        <v>83.420099999999906</v>
      </c>
      <c r="AD3943">
        <v>-1.1095456532520001</v>
      </c>
      <c r="AE3943">
        <v>5.6548999999999898</v>
      </c>
      <c r="AF3943">
        <v>-7.0605528599861804</v>
      </c>
      <c r="AG3943">
        <v>-1.1095456532520001</v>
      </c>
      <c r="AH3943">
        <v>83.298127460638199</v>
      </c>
      <c r="AI3943">
        <v>90.760418223619396</v>
      </c>
      <c r="AJ3943">
        <v>94.844949323059794</v>
      </c>
      <c r="AK3943">
        <v>83.604189707777394</v>
      </c>
      <c r="AL3943">
        <v>87.417488605332906</v>
      </c>
      <c r="AM3943">
        <v>90.5584262737367</v>
      </c>
      <c r="AN3943">
        <v>1.00000007783281</v>
      </c>
    </row>
    <row r="3944" spans="1:40" x14ac:dyDescent="0.25">
      <c r="A3944" t="str">
        <f>"20190312160412189"</f>
        <v>20190312160412189</v>
      </c>
      <c r="B3944" t="str">
        <f>"1552377852178914"</f>
        <v>1552377852178914</v>
      </c>
      <c r="C3944" t="s">
        <v>40</v>
      </c>
      <c r="D3944">
        <v>5.4583760000000003</v>
      </c>
      <c r="E3944">
        <v>0.48973899999999998</v>
      </c>
      <c r="F3944" t="s">
        <v>70</v>
      </c>
      <c r="G3944">
        <v>-216.09309999999999</v>
      </c>
      <c r="H3944" s="1">
        <v>1.518931E-6</v>
      </c>
      <c r="I3944">
        <v>218.88759999999999</v>
      </c>
      <c r="J3944">
        <v>-293.28059999999999</v>
      </c>
      <c r="K3944">
        <v>1.1095389999999901</v>
      </c>
      <c r="L3944">
        <v>213.71119999999999</v>
      </c>
      <c r="M3944">
        <v>0.99979890000000005</v>
      </c>
      <c r="N3944">
        <v>0</v>
      </c>
      <c r="O3944">
        <v>-1.701625E-2</v>
      </c>
      <c r="P3944">
        <v>0.99941389999999997</v>
      </c>
      <c r="Q3944">
        <v>3.3499639999999997E-2</v>
      </c>
      <c r="R3944">
        <v>-7.0566910000000004E-3</v>
      </c>
      <c r="S3944">
        <v>3.0047299999999999</v>
      </c>
      <c r="T3944">
        <v>-4.3018460000000001E-2</v>
      </c>
      <c r="U3944">
        <v>0.2004852</v>
      </c>
      <c r="V3944">
        <v>-9.9368029999999993E-3</v>
      </c>
      <c r="W3944">
        <v>4.4110589999999998E-2</v>
      </c>
      <c r="X3944">
        <v>0.99897720000000001</v>
      </c>
      <c r="Y3944">
        <v>-8.3534730000000001E-2</v>
      </c>
      <c r="Z3944">
        <v>8.4066179999999998E-4</v>
      </c>
      <c r="AA3944">
        <v>0.99650450000000002</v>
      </c>
      <c r="AB3944">
        <v>31</v>
      </c>
      <c r="AC3944">
        <v>77.1875</v>
      </c>
      <c r="AD3944">
        <v>-1.10953748106899</v>
      </c>
      <c r="AE3944">
        <v>5.1764000000000001</v>
      </c>
      <c r="AF3944">
        <v>-6.4878316270677896</v>
      </c>
      <c r="AG3944">
        <v>-1.10953748106899</v>
      </c>
      <c r="AH3944">
        <v>77.072381088455899</v>
      </c>
      <c r="AI3944">
        <v>90.821869312163798</v>
      </c>
      <c r="AJ3944">
        <v>94.811724552387901</v>
      </c>
      <c r="AK3944">
        <v>77.352924697694903</v>
      </c>
      <c r="AL3944">
        <v>87.471828958288995</v>
      </c>
      <c r="AM3944">
        <v>90.569900992427094</v>
      </c>
      <c r="AN3944">
        <v>0.99999996516192302</v>
      </c>
    </row>
    <row r="3945" spans="1:40" x14ac:dyDescent="0.25">
      <c r="A3945" t="str">
        <f>"20190312160412214"</f>
        <v>20190312160412214</v>
      </c>
      <c r="B3945" t="str">
        <f>"1552377852209170"</f>
        <v>1552377852209170</v>
      </c>
      <c r="C3945" t="s">
        <v>40</v>
      </c>
      <c r="D3945">
        <v>5.0540589999999996</v>
      </c>
      <c r="E3945">
        <v>0.51851659999999999</v>
      </c>
      <c r="F3945" t="s">
        <v>70</v>
      </c>
      <c r="G3945">
        <v>-278.94049999999999</v>
      </c>
      <c r="H3945" s="1">
        <v>3.2486469999999999E-6</v>
      </c>
      <c r="I3945">
        <v>213.98169999999999</v>
      </c>
      <c r="J3945">
        <v>-292.94690000000003</v>
      </c>
      <c r="K3945">
        <v>1.1095349999999999</v>
      </c>
      <c r="L3945">
        <v>213.7054</v>
      </c>
      <c r="M3945">
        <v>0.99979629999999997</v>
      </c>
      <c r="N3945">
        <v>0</v>
      </c>
      <c r="O3945">
        <v>-1.7168610000000001E-2</v>
      </c>
      <c r="P3945">
        <v>0.99943309999999996</v>
      </c>
      <c r="Q3945">
        <v>3.2953250000000003E-2</v>
      </c>
      <c r="R3945">
        <v>-6.9240830000000001E-3</v>
      </c>
      <c r="S3945">
        <v>3.009979</v>
      </c>
      <c r="T3945">
        <v>-0.23289099999999999</v>
      </c>
      <c r="U3945">
        <v>5.6777950000000001E-2</v>
      </c>
      <c r="V3945">
        <v>-1.0221900000000001E-2</v>
      </c>
      <c r="W3945">
        <v>4.3568000000000003E-2</v>
      </c>
      <c r="X3945">
        <v>0.99899819999999995</v>
      </c>
      <c r="Y3945">
        <v>-3.5865170000000002E-2</v>
      </c>
      <c r="Z3945">
        <v>2.7116699999999998E-3</v>
      </c>
      <c r="AA3945">
        <v>0.99935289999999999</v>
      </c>
      <c r="AB3945">
        <v>31</v>
      </c>
      <c r="AC3945">
        <v>14.006399999999999</v>
      </c>
      <c r="AD3945">
        <v>-1.1095317513530001</v>
      </c>
      <c r="AE3945">
        <v>0.276299999999992</v>
      </c>
      <c r="AF3945">
        <v>-0.51352203812585595</v>
      </c>
      <c r="AG3945">
        <v>-1.1095317513530001</v>
      </c>
      <c r="AH3945">
        <v>13.9123229722435</v>
      </c>
      <c r="AI3945">
        <v>94.556696329605799</v>
      </c>
      <c r="AJ3945">
        <v>92.113902487799095</v>
      </c>
      <c r="AK3945">
        <v>13.9659405725113</v>
      </c>
      <c r="AL3945">
        <v>87.502947157608801</v>
      </c>
      <c r="AM3945">
        <v>90.586238584363301</v>
      </c>
      <c r="AN3945">
        <v>1.00000003073342</v>
      </c>
    </row>
    <row r="3946" spans="1:40" x14ac:dyDescent="0.25">
      <c r="A3946" t="str">
        <f>"20190312160412235"</f>
        <v>20190312160412235</v>
      </c>
      <c r="B3946" t="str">
        <f>"1552377852228690"</f>
        <v>1552377852228690</v>
      </c>
      <c r="C3946" t="s">
        <v>40</v>
      </c>
      <c r="D3946">
        <v>5.0423989999999996</v>
      </c>
      <c r="E3946">
        <v>0.52064469999999996</v>
      </c>
      <c r="F3946" t="s">
        <v>70</v>
      </c>
      <c r="G3946">
        <v>-250.07409999999999</v>
      </c>
      <c r="H3946" s="1">
        <v>-1.3511770000000001E-6</v>
      </c>
      <c r="I3946">
        <v>211.27209999999999</v>
      </c>
      <c r="J3946">
        <v>-292.63619999999997</v>
      </c>
      <c r="K3946">
        <v>1.109537</v>
      </c>
      <c r="L3946">
        <v>213.69990000000001</v>
      </c>
      <c r="M3946">
        <v>0.99979379999999995</v>
      </c>
      <c r="N3946">
        <v>0</v>
      </c>
      <c r="O3946">
        <v>-1.730988E-2</v>
      </c>
      <c r="P3946">
        <v>0.99942690000000001</v>
      </c>
      <c r="Q3946">
        <v>3.3219289999999999E-2</v>
      </c>
      <c r="R3946">
        <v>-6.524874E-3</v>
      </c>
      <c r="S3946">
        <v>3.003082</v>
      </c>
      <c r="T3946">
        <v>-7.7718969999999998E-2</v>
      </c>
      <c r="U3946">
        <v>-0.1704407</v>
      </c>
      <c r="V3946">
        <v>-1.076244E-2</v>
      </c>
      <c r="W3946">
        <v>4.3836680000000003E-2</v>
      </c>
      <c r="X3946">
        <v>0.9989808</v>
      </c>
      <c r="Y3946">
        <v>3.9365160000000003E-2</v>
      </c>
      <c r="Z3946" s="1">
        <v>-6.1391619999999998E-5</v>
      </c>
      <c r="AA3946">
        <v>0.99922489999999997</v>
      </c>
      <c r="AB3946">
        <v>31</v>
      </c>
      <c r="AC3946">
        <v>42.562100000000001</v>
      </c>
      <c r="AD3946">
        <v>-1.1095383511770001</v>
      </c>
      <c r="AE3946">
        <v>-2.4278000000000102</v>
      </c>
      <c r="AF3946">
        <v>1.6895054114441499</v>
      </c>
      <c r="AG3946">
        <v>-1.1095383511770001</v>
      </c>
      <c r="AH3946">
        <v>42.568914590844798</v>
      </c>
      <c r="AI3946">
        <v>91.491874978573904</v>
      </c>
      <c r="AJ3946">
        <v>87.727197148572898</v>
      </c>
      <c r="AK3946">
        <v>42.616874513866797</v>
      </c>
      <c r="AL3946">
        <v>87.487538284076294</v>
      </c>
      <c r="AM3946">
        <v>90.617247632519096</v>
      </c>
      <c r="AN3946">
        <v>1.0000000616983999</v>
      </c>
    </row>
    <row r="3947" spans="1:40" x14ac:dyDescent="0.25">
      <c r="A3947" t="str">
        <f>"20190312160412256"</f>
        <v>20190312160412256</v>
      </c>
      <c r="B3947" t="str">
        <f>"1552377852249187"</f>
        <v>1552377852249187</v>
      </c>
      <c r="C3947" t="s">
        <v>40</v>
      </c>
      <c r="D3947">
        <v>5.0569280000000001</v>
      </c>
      <c r="E3947">
        <v>0.52087150000000004</v>
      </c>
      <c r="F3947" t="s">
        <v>70</v>
      </c>
      <c r="G3947">
        <v>-250.44470000000001</v>
      </c>
      <c r="H3947" s="1">
        <v>-1.145756E-6</v>
      </c>
      <c r="I3947">
        <v>211.08410000000001</v>
      </c>
      <c r="J3947">
        <v>-292.33030000000002</v>
      </c>
      <c r="K3947">
        <v>1.109545</v>
      </c>
      <c r="L3947">
        <v>213.6944</v>
      </c>
      <c r="M3947">
        <v>0.99979150000000006</v>
      </c>
      <c r="N3947">
        <v>0</v>
      </c>
      <c r="O3947">
        <v>-1.7446969999999999E-2</v>
      </c>
      <c r="P3947">
        <v>0.99940700000000005</v>
      </c>
      <c r="Q3947">
        <v>3.3796680000000003E-2</v>
      </c>
      <c r="R3947">
        <v>-6.6240719999999999E-3</v>
      </c>
      <c r="S3947">
        <v>3.003174</v>
      </c>
      <c r="T3947">
        <v>-7.897651E-2</v>
      </c>
      <c r="U3947">
        <v>-0.18618770000000001</v>
      </c>
      <c r="V3947">
        <v>-1.0799319999999999E-2</v>
      </c>
      <c r="W3947">
        <v>4.4416419999999998E-2</v>
      </c>
      <c r="X3947">
        <v>0.99895469999999997</v>
      </c>
      <c r="Y3947">
        <v>4.4444949999999997E-2</v>
      </c>
      <c r="Z3947">
        <v>-1.2549619999999999E-4</v>
      </c>
      <c r="AA3947">
        <v>0.99901180000000001</v>
      </c>
      <c r="AB3947">
        <v>31</v>
      </c>
      <c r="AC3947">
        <v>41.885599999999997</v>
      </c>
      <c r="AD3947">
        <v>-1.1095461457560001</v>
      </c>
      <c r="AE3947">
        <v>-2.6102999999999899</v>
      </c>
      <c r="AF3947">
        <v>1.8777721387536099</v>
      </c>
      <c r="AG3947">
        <v>-1.1095461457560001</v>
      </c>
      <c r="AH3947">
        <v>41.895483278594803</v>
      </c>
      <c r="AI3947">
        <v>91.515527121954094</v>
      </c>
      <c r="AJ3947">
        <v>87.433698024316101</v>
      </c>
      <c r="AK3947">
        <v>41.952218534919702</v>
      </c>
      <c r="AL3947">
        <v>87.454289005933305</v>
      </c>
      <c r="AM3947">
        <v>90.619378791402497</v>
      </c>
      <c r="AN3947">
        <v>0.99999996816508296</v>
      </c>
    </row>
    <row r="3948" spans="1:40" x14ac:dyDescent="0.25">
      <c r="A3948" t="str">
        <f>"20190312160412279"</f>
        <v>20190312160412279</v>
      </c>
      <c r="B3948" t="str">
        <f>"1552377852268706"</f>
        <v>1552377852268706</v>
      </c>
      <c r="C3948" t="s">
        <v>40</v>
      </c>
      <c r="D3948">
        <v>5.0371069999999998</v>
      </c>
      <c r="E3948">
        <v>0.52000559999999996</v>
      </c>
      <c r="F3948" t="s">
        <v>70</v>
      </c>
      <c r="G3948">
        <v>-251.1379</v>
      </c>
      <c r="H3948" s="1">
        <v>-7.7803259999999999E-7</v>
      </c>
      <c r="I3948">
        <v>211.11060000000001</v>
      </c>
      <c r="J3948">
        <v>-292.01510000000002</v>
      </c>
      <c r="K3948">
        <v>1.1095489999999999</v>
      </c>
      <c r="L3948">
        <v>213.68879999999999</v>
      </c>
      <c r="M3948">
        <v>0.99978889999999998</v>
      </c>
      <c r="N3948">
        <v>0</v>
      </c>
      <c r="O3948">
        <v>-1.7582130000000001E-2</v>
      </c>
      <c r="P3948">
        <v>0.99937089999999995</v>
      </c>
      <c r="Q3948">
        <v>3.4778209999999997E-2</v>
      </c>
      <c r="R3948">
        <v>-6.9316350000000002E-3</v>
      </c>
      <c r="S3948">
        <v>3.0032649999999999</v>
      </c>
      <c r="T3948">
        <v>-8.0894949999999993E-2</v>
      </c>
      <c r="U3948">
        <v>-0.188385</v>
      </c>
      <c r="V3948">
        <v>-1.0626419999999999E-2</v>
      </c>
      <c r="W3948">
        <v>4.5400570000000001E-2</v>
      </c>
      <c r="X3948">
        <v>0.99891229999999998</v>
      </c>
      <c r="Y3948">
        <v>4.5035459999999999E-2</v>
      </c>
      <c r="Z3948">
        <v>-1.3284589999999999E-4</v>
      </c>
      <c r="AA3948">
        <v>0.99898540000000002</v>
      </c>
      <c r="AB3948">
        <v>32</v>
      </c>
      <c r="AC3948">
        <v>40.877200000000002</v>
      </c>
      <c r="AD3948">
        <v>-1.10954977803259</v>
      </c>
      <c r="AE3948">
        <v>-2.5781999999999798</v>
      </c>
      <c r="AF3948">
        <v>1.8576892948155099</v>
      </c>
      <c r="AG3948">
        <v>-1.10954977803259</v>
      </c>
      <c r="AH3948">
        <v>40.886209066419198</v>
      </c>
      <c r="AI3948">
        <v>91.552881818914997</v>
      </c>
      <c r="AJ3948">
        <v>87.398521258839395</v>
      </c>
      <c r="AK3948">
        <v>40.943426847895203</v>
      </c>
      <c r="AL3948">
        <v>87.397844386817994</v>
      </c>
      <c r="AM3948">
        <v>90.609488992894896</v>
      </c>
      <c r="AN3948">
        <v>0.99999995782481399</v>
      </c>
    </row>
    <row r="3949" spans="1:40" x14ac:dyDescent="0.25">
      <c r="A3949" t="str">
        <f>"20190312160412301"</f>
        <v>20190312160412301</v>
      </c>
      <c r="B3949" t="str">
        <f>"1552377852298962"</f>
        <v>1552377852298962</v>
      </c>
      <c r="C3949" t="s">
        <v>40</v>
      </c>
      <c r="D3949">
        <v>5.0059259999999997</v>
      </c>
      <c r="E3949">
        <v>0.51940410000000004</v>
      </c>
      <c r="F3949" t="s">
        <v>70</v>
      </c>
      <c r="G3949">
        <v>-250.99610000000001</v>
      </c>
      <c r="H3949" s="1">
        <v>-8.5715210000000002E-7</v>
      </c>
      <c r="I3949">
        <v>211.1943</v>
      </c>
      <c r="J3949">
        <v>-291.70589999999999</v>
      </c>
      <c r="K3949">
        <v>1.109559</v>
      </c>
      <c r="L3949">
        <v>213.6832</v>
      </c>
      <c r="M3949">
        <v>0.99978679999999998</v>
      </c>
      <c r="N3949">
        <v>0</v>
      </c>
      <c r="O3949">
        <v>-1.7705680000000001E-2</v>
      </c>
      <c r="P3949">
        <v>0.99935390000000002</v>
      </c>
      <c r="Q3949">
        <v>3.526029E-2</v>
      </c>
      <c r="R3949">
        <v>-6.9642719999999997E-3</v>
      </c>
      <c r="S3949">
        <v>3.003479</v>
      </c>
      <c r="T3949">
        <v>-8.1242919999999996E-2</v>
      </c>
      <c r="U3949">
        <v>-0.1826477</v>
      </c>
      <c r="V3949">
        <v>-1.071715E-2</v>
      </c>
      <c r="W3949">
        <v>4.5885000000000002E-2</v>
      </c>
      <c r="X3949">
        <v>0.99888929999999998</v>
      </c>
      <c r="Y3949">
        <v>4.3007150000000001E-2</v>
      </c>
      <c r="Z3949">
        <v>-1.026742E-4</v>
      </c>
      <c r="AA3949">
        <v>0.99907480000000004</v>
      </c>
      <c r="AB3949">
        <v>32</v>
      </c>
      <c r="AC3949">
        <v>40.709799999999902</v>
      </c>
      <c r="AD3949">
        <v>-1.1095598571520999</v>
      </c>
      <c r="AE3949">
        <v>-2.4889000000000001</v>
      </c>
      <c r="AF3949">
        <v>1.7663671637734799</v>
      </c>
      <c r="AG3949">
        <v>-1.1095598571520999</v>
      </c>
      <c r="AH3949">
        <v>40.717353436370097</v>
      </c>
      <c r="AI3949">
        <v>91.559474552749705</v>
      </c>
      <c r="AJ3949">
        <v>87.515998473733603</v>
      </c>
      <c r="AK3949">
        <v>40.770749893718403</v>
      </c>
      <c r="AL3949">
        <v>87.370059908736707</v>
      </c>
      <c r="AM3949">
        <v>90.614706658131595</v>
      </c>
      <c r="AN3949">
        <v>1.0000000620917999</v>
      </c>
    </row>
    <row r="3950" spans="1:40" x14ac:dyDescent="0.25">
      <c r="A3950" t="str">
        <f>"20190312160412324"</f>
        <v>20190312160412324</v>
      </c>
      <c r="B3950" t="str">
        <f>"1552377852318486"</f>
        <v>1552377852318486</v>
      </c>
      <c r="C3950" t="s">
        <v>40</v>
      </c>
      <c r="D3950">
        <v>4.9490210000000001</v>
      </c>
      <c r="E3950">
        <v>0.51920540000000004</v>
      </c>
      <c r="F3950" t="s">
        <v>70</v>
      </c>
      <c r="G3950">
        <v>-248.5196</v>
      </c>
      <c r="H3950" s="1">
        <v>3.1495990000000001E-6</v>
      </c>
      <c r="I3950">
        <v>211.1234</v>
      </c>
      <c r="J3950">
        <v>-291.38310000000001</v>
      </c>
      <c r="K3950">
        <v>1.1095729999999999</v>
      </c>
      <c r="L3950">
        <v>213.67740000000001</v>
      </c>
      <c r="M3950">
        <v>0.99978469999999997</v>
      </c>
      <c r="N3950">
        <v>0</v>
      </c>
      <c r="O3950">
        <v>-1.7820240000000001E-2</v>
      </c>
      <c r="P3950">
        <v>0.9993514</v>
      </c>
      <c r="Q3950">
        <v>3.5265980000000002E-2</v>
      </c>
      <c r="R3950">
        <v>-7.30205E-3</v>
      </c>
      <c r="S3950">
        <v>3.0034179999999999</v>
      </c>
      <c r="T3950">
        <v>-7.7164769999999994E-2</v>
      </c>
      <c r="U3950">
        <v>-0.1780243</v>
      </c>
      <c r="V3950">
        <v>-1.049567E-2</v>
      </c>
      <c r="W3950">
        <v>4.5893110000000001E-2</v>
      </c>
      <c r="X3950">
        <v>0.99889119999999998</v>
      </c>
      <c r="Y3950">
        <v>4.1362889999999999E-2</v>
      </c>
      <c r="Z3950" s="1">
        <v>-7.3486940000000006E-5</v>
      </c>
      <c r="AA3950">
        <v>0.99914420000000004</v>
      </c>
      <c r="AB3950">
        <v>32</v>
      </c>
      <c r="AC3950">
        <v>42.863500000000002</v>
      </c>
      <c r="AD3950">
        <v>-1.1095698504010001</v>
      </c>
      <c r="AE3950">
        <v>-2.5539999999999998</v>
      </c>
      <c r="AF3950">
        <v>1.78851915030307</v>
      </c>
      <c r="AG3950">
        <v>-1.1095698504010001</v>
      </c>
      <c r="AH3950">
        <v>42.873580687681297</v>
      </c>
      <c r="AI3950">
        <v>91.481198288314005</v>
      </c>
      <c r="AJ3950">
        <v>87.611227801039604</v>
      </c>
      <c r="AK3950">
        <v>42.925212486218904</v>
      </c>
      <c r="AL3950">
        <v>87.369594541873298</v>
      </c>
      <c r="AM3950">
        <v>90.602002965798306</v>
      </c>
      <c r="AN3950">
        <v>0.99999998303583004</v>
      </c>
    </row>
    <row r="3951" spans="1:40" x14ac:dyDescent="0.25">
      <c r="A3951" t="str">
        <f>"20190312160412346"</f>
        <v>20190312160412346</v>
      </c>
      <c r="B3951" t="str">
        <f>"1552377852338784"</f>
        <v>1552377852338784</v>
      </c>
      <c r="C3951" t="s">
        <v>40</v>
      </c>
      <c r="D3951">
        <v>4.9595359999999999</v>
      </c>
      <c r="E3951">
        <v>0.51895360000000001</v>
      </c>
      <c r="F3951" t="s">
        <v>70</v>
      </c>
      <c r="G3951">
        <v>-250.321</v>
      </c>
      <c r="H3951" s="1">
        <v>-1.2190060000000001E-6</v>
      </c>
      <c r="I3951">
        <v>211.25360000000001</v>
      </c>
      <c r="J3951">
        <v>-291.07049999999998</v>
      </c>
      <c r="K3951">
        <v>1.1095900000000001</v>
      </c>
      <c r="L3951">
        <v>213.67169999999999</v>
      </c>
      <c r="M3951">
        <v>0.99978310000000004</v>
      </c>
      <c r="N3951">
        <v>0</v>
      </c>
      <c r="O3951">
        <v>-1.7912689999999998E-2</v>
      </c>
      <c r="P3951">
        <v>0.99931570000000003</v>
      </c>
      <c r="Q3951">
        <v>3.6207070000000001E-2</v>
      </c>
      <c r="R3951">
        <v>-7.585545E-3</v>
      </c>
      <c r="S3951">
        <v>3.003479</v>
      </c>
      <c r="T3951">
        <v>-8.1159469999999997E-2</v>
      </c>
      <c r="U3951">
        <v>-0.177291899999999</v>
      </c>
      <c r="V3951">
        <v>-1.0305170000000001E-2</v>
      </c>
      <c r="W3951">
        <v>4.683623E-2</v>
      </c>
      <c r="X3951">
        <v>0.99884949999999995</v>
      </c>
      <c r="Y3951">
        <v>4.1025829999999999E-2</v>
      </c>
      <c r="Z3951" s="1">
        <v>-7.0244830000000004E-5</v>
      </c>
      <c r="AA3951">
        <v>0.99915810000000005</v>
      </c>
      <c r="AB3951">
        <v>32</v>
      </c>
      <c r="AC3951">
        <v>40.749499999999898</v>
      </c>
      <c r="AD3951">
        <v>-1.10959121900599</v>
      </c>
      <c r="AE3951">
        <v>-2.4180999999999799</v>
      </c>
      <c r="AF3951">
        <v>1.6864915585123399</v>
      </c>
      <c r="AG3951">
        <v>-1.10959121900599</v>
      </c>
      <c r="AH3951">
        <v>40.7561657303741</v>
      </c>
      <c r="AI3951">
        <v>91.558166045518902</v>
      </c>
      <c r="AJ3951">
        <v>87.6304504952803</v>
      </c>
      <c r="AK3951">
        <v>40.806133013211998</v>
      </c>
      <c r="AL3951">
        <v>87.315499819144407</v>
      </c>
      <c r="AM3951">
        <v>90.591101863029607</v>
      </c>
      <c r="AN3951">
        <v>1.00000007630979</v>
      </c>
    </row>
    <row r="3952" spans="1:40" x14ac:dyDescent="0.25">
      <c r="A3952" t="str">
        <f>"20190312160412369"</f>
        <v>20190312160412369</v>
      </c>
      <c r="B3952" t="str">
        <f>"1552377852358308"</f>
        <v>1552377852358308</v>
      </c>
      <c r="C3952" t="s">
        <v>40</v>
      </c>
      <c r="D3952">
        <v>4.9304550000000003</v>
      </c>
      <c r="E3952">
        <v>0.51847310000000002</v>
      </c>
      <c r="F3952" t="s">
        <v>70</v>
      </c>
      <c r="G3952">
        <v>-250.62430000000001</v>
      </c>
      <c r="H3952" s="1">
        <v>-1.059723E-6</v>
      </c>
      <c r="I3952">
        <v>211.30250000000001</v>
      </c>
      <c r="J3952">
        <v>-290.76049999999998</v>
      </c>
      <c r="K3952">
        <v>1.1096109999999999</v>
      </c>
      <c r="L3952">
        <v>213.6661</v>
      </c>
      <c r="M3952">
        <v>0.99978180000000005</v>
      </c>
      <c r="N3952">
        <v>0</v>
      </c>
      <c r="O3952">
        <v>-1.7980070000000001E-2</v>
      </c>
      <c r="P3952">
        <v>0.99927639999999995</v>
      </c>
      <c r="Q3952">
        <v>3.7280920000000002E-2</v>
      </c>
      <c r="R3952">
        <v>-7.5362279999999999E-3</v>
      </c>
      <c r="S3952">
        <v>3.0037539999999998</v>
      </c>
      <c r="T3952">
        <v>-8.2404259999999993E-2</v>
      </c>
      <c r="U3952">
        <v>-0.1759491</v>
      </c>
      <c r="V3952">
        <v>-1.042275E-2</v>
      </c>
      <c r="W3952">
        <v>4.791219E-2</v>
      </c>
      <c r="X3952">
        <v>0.99879720000000005</v>
      </c>
      <c r="Y3952">
        <v>4.0507969999999997E-2</v>
      </c>
      <c r="Z3952" s="1">
        <v>-6.2373819999999997E-5</v>
      </c>
      <c r="AA3952">
        <v>0.99917920000000005</v>
      </c>
      <c r="AB3952">
        <v>32</v>
      </c>
      <c r="AC3952">
        <v>40.136199999999903</v>
      </c>
      <c r="AD3952">
        <v>-1.1096120597229999</v>
      </c>
      <c r="AE3952">
        <v>-2.3635999999999902</v>
      </c>
      <c r="AF3952">
        <v>1.6402760352596399</v>
      </c>
      <c r="AG3952">
        <v>-1.1096120597229999</v>
      </c>
      <c r="AH3952">
        <v>40.141636521414199</v>
      </c>
      <c r="AI3952">
        <v>91.582071325742305</v>
      </c>
      <c r="AJ3952">
        <v>87.660069512162593</v>
      </c>
      <c r="AK3952">
        <v>40.190455670622399</v>
      </c>
      <c r="AL3952">
        <v>87.253782429042701</v>
      </c>
      <c r="AM3952">
        <v>90.597877037109399</v>
      </c>
      <c r="AN3952">
        <v>1.00000002919799</v>
      </c>
    </row>
    <row r="3953" spans="1:40" x14ac:dyDescent="0.25">
      <c r="A3953" t="str">
        <f>"20190312160412391"</f>
        <v>20190312160412391</v>
      </c>
      <c r="B3953" t="str">
        <f>"1552377852378801"</f>
        <v>1552377852378801</v>
      </c>
      <c r="C3953" t="s">
        <v>40</v>
      </c>
      <c r="D3953">
        <v>4.8784939999999999</v>
      </c>
      <c r="E3953">
        <v>0.5185128</v>
      </c>
      <c r="F3953" t="s">
        <v>70</v>
      </c>
      <c r="G3953">
        <v>-248.6754</v>
      </c>
      <c r="H3953" s="1">
        <v>3.2268230000000002E-6</v>
      </c>
      <c r="I3953">
        <v>211.25399999999999</v>
      </c>
      <c r="J3953">
        <v>-290.43810000000002</v>
      </c>
      <c r="K3953">
        <v>1.109631</v>
      </c>
      <c r="L3953">
        <v>213.6602</v>
      </c>
      <c r="M3953">
        <v>0.99978109999999998</v>
      </c>
      <c r="N3953">
        <v>0</v>
      </c>
      <c r="O3953">
        <v>-1.802453E-2</v>
      </c>
      <c r="P3953">
        <v>0.99925909999999996</v>
      </c>
      <c r="Q3953">
        <v>3.7746729999999999E-2</v>
      </c>
      <c r="R3953">
        <v>-7.5595539999999996E-3</v>
      </c>
      <c r="S3953">
        <v>3.0038149999999999</v>
      </c>
      <c r="T3953">
        <v>-7.9198000000000005E-2</v>
      </c>
      <c r="U3953">
        <v>-0.17216489999999901</v>
      </c>
      <c r="V3953">
        <v>-1.044586E-2</v>
      </c>
      <c r="W3953">
        <v>4.8379909999999998E-2</v>
      </c>
      <c r="X3953">
        <v>0.99877439999999995</v>
      </c>
      <c r="Y3953">
        <v>3.920887E-2</v>
      </c>
      <c r="Z3953" s="1">
        <v>-4.1667720000000002E-5</v>
      </c>
      <c r="AA3953">
        <v>0.99923099999999998</v>
      </c>
      <c r="AB3953">
        <v>32</v>
      </c>
      <c r="AC3953">
        <v>41.762700000000002</v>
      </c>
      <c r="AD3953">
        <v>-1.1096277731769999</v>
      </c>
      <c r="AE3953">
        <v>-2.4061999999999801</v>
      </c>
      <c r="AF3953">
        <v>1.6518512572676201</v>
      </c>
      <c r="AG3953">
        <v>-1.1096277731769999</v>
      </c>
      <c r="AH3953">
        <v>41.769897607899701</v>
      </c>
      <c r="AI3953">
        <v>91.520530837148797</v>
      </c>
      <c r="AJ3953">
        <v>87.7353352910784</v>
      </c>
      <c r="AK3953">
        <v>41.817271940498102</v>
      </c>
      <c r="AL3953">
        <v>87.226952899434906</v>
      </c>
      <c r="AM3953">
        <v>90.599216270044806</v>
      </c>
      <c r="AN3953">
        <v>1.0000000168890499</v>
      </c>
    </row>
    <row r="3954" spans="1:40" x14ac:dyDescent="0.25">
      <c r="A3954" t="str">
        <f>"20190312160412414"</f>
        <v>20190312160412414</v>
      </c>
      <c r="B3954" t="str">
        <f>"1552377852409056"</f>
        <v>1552377852409056</v>
      </c>
      <c r="C3954" t="s">
        <v>40</v>
      </c>
      <c r="D3954">
        <v>4.9856509999999998</v>
      </c>
      <c r="E3954">
        <v>0.51839150000000001</v>
      </c>
      <c r="F3954" t="s">
        <v>70</v>
      </c>
      <c r="G3954">
        <v>-247.7903</v>
      </c>
      <c r="H3954" s="1">
        <v>2.757734E-6</v>
      </c>
      <c r="I3954">
        <v>211.20959999999999</v>
      </c>
      <c r="J3954">
        <v>-290.11</v>
      </c>
      <c r="K3954">
        <v>1.1096410000000001</v>
      </c>
      <c r="L3954">
        <v>213.65430000000001</v>
      </c>
      <c r="M3954">
        <v>0.99978049999999996</v>
      </c>
      <c r="N3954">
        <v>0</v>
      </c>
      <c r="O3954">
        <v>-1.8049590000000001E-2</v>
      </c>
      <c r="P3954">
        <v>0.99926499999999996</v>
      </c>
      <c r="Q3954">
        <v>3.7535880000000001E-2</v>
      </c>
      <c r="R3954">
        <v>-7.7718850000000001E-3</v>
      </c>
      <c r="S3954">
        <v>3.0039060000000002</v>
      </c>
      <c r="T3954">
        <v>-7.8156950000000003E-2</v>
      </c>
      <c r="U3954">
        <v>-0.17260739999999999</v>
      </c>
      <c r="V3954">
        <v>-1.0260699999999999E-2</v>
      </c>
      <c r="W3954">
        <v>4.81713E-2</v>
      </c>
      <c r="X3954">
        <v>0.99878639999999996</v>
      </c>
      <c r="Y3954">
        <v>3.9328950000000001E-2</v>
      </c>
      <c r="Z3954" s="1">
        <v>-4.202832E-5</v>
      </c>
      <c r="AA3954">
        <v>0.99922630000000001</v>
      </c>
      <c r="AB3954">
        <v>32</v>
      </c>
      <c r="AC3954">
        <v>42.319699999999997</v>
      </c>
      <c r="AD3954">
        <v>-1.1096382422659901</v>
      </c>
      <c r="AE3954">
        <v>-2.4447000000000099</v>
      </c>
      <c r="AF3954">
        <v>1.67925457702059</v>
      </c>
      <c r="AG3954">
        <v>-1.1096382422659901</v>
      </c>
      <c r="AH3954">
        <v>42.3279293730536</v>
      </c>
      <c r="AI3954">
        <v>91.500500764391006</v>
      </c>
      <c r="AJ3954">
        <v>87.728124866179996</v>
      </c>
      <c r="AK3954">
        <v>42.375757196460299</v>
      </c>
      <c r="AL3954">
        <v>87.2389193173385</v>
      </c>
      <c r="AM3954">
        <v>90.588588435342899</v>
      </c>
      <c r="AN3954">
        <v>1.0000000144665699</v>
      </c>
    </row>
    <row r="3955" spans="1:40" x14ac:dyDescent="0.25">
      <c r="A3955" t="str">
        <f>"20190312160412437"</f>
        <v>20190312160412437</v>
      </c>
      <c r="B3955" t="str">
        <f>"1552377852428577"</f>
        <v>1552377852428577</v>
      </c>
      <c r="C3955" t="s">
        <v>40</v>
      </c>
      <c r="D3955">
        <v>4.9752020000000003</v>
      </c>
      <c r="E3955">
        <v>0.49833899999999998</v>
      </c>
      <c r="F3955" t="s">
        <v>70</v>
      </c>
      <c r="G3955">
        <v>-247.90860000000001</v>
      </c>
      <c r="H3955" s="1">
        <v>2.81955E-6</v>
      </c>
      <c r="I3955">
        <v>211.23509999999999</v>
      </c>
      <c r="J3955">
        <v>-289.78609999999998</v>
      </c>
      <c r="K3955">
        <v>1.1096490000000001</v>
      </c>
      <c r="L3955">
        <v>213.64840000000001</v>
      </c>
      <c r="M3955">
        <v>0.99978029999999996</v>
      </c>
      <c r="N3955">
        <v>0</v>
      </c>
      <c r="O3955">
        <v>-1.8060409999999999E-2</v>
      </c>
      <c r="P3955">
        <v>0.99925419999999998</v>
      </c>
      <c r="Q3955">
        <v>3.7738910000000001E-2</v>
      </c>
      <c r="R3955">
        <v>-8.1875579999999993E-3</v>
      </c>
      <c r="S3955">
        <v>3.0038450000000001</v>
      </c>
      <c r="T3955">
        <v>-7.8982590000000005E-2</v>
      </c>
      <c r="U3955">
        <v>-0.1721954</v>
      </c>
      <c r="V3955">
        <v>-9.8567329999999995E-3</v>
      </c>
      <c r="W3955">
        <v>4.8376570000000001E-2</v>
      </c>
      <c r="X3955">
        <v>0.99878049999999996</v>
      </c>
      <c r="Y3955">
        <v>3.918261E-2</v>
      </c>
      <c r="Z3955" s="1">
        <v>-4.0267009999999898E-5</v>
      </c>
      <c r="AA3955">
        <v>0.99923209999999996</v>
      </c>
      <c r="AB3955">
        <v>32</v>
      </c>
      <c r="AC3955">
        <v>41.877499999999898</v>
      </c>
      <c r="AD3955">
        <v>-1.10964618045</v>
      </c>
      <c r="AE3955">
        <v>-2.41330000000002</v>
      </c>
      <c r="AF3955">
        <v>1.65538030043759</v>
      </c>
      <c r="AG3955">
        <v>-1.10964618045</v>
      </c>
      <c r="AH3955">
        <v>41.8849458932944</v>
      </c>
      <c r="AI3955">
        <v>91.516382842866193</v>
      </c>
      <c r="AJ3955">
        <v>87.736729372322699</v>
      </c>
      <c r="AK3955">
        <v>41.932329902702399</v>
      </c>
      <c r="AL3955">
        <v>87.227144354465494</v>
      </c>
      <c r="AM3955">
        <v>90.565420397806193</v>
      </c>
      <c r="AN3955">
        <v>0.99999996744532305</v>
      </c>
    </row>
    <row r="3956" spans="1:40" x14ac:dyDescent="0.25">
      <c r="A3956" t="str">
        <f>"20190312160412457"</f>
        <v>20190312160412457</v>
      </c>
      <c r="B3956" t="str">
        <f>"1552377852449077"</f>
        <v>1552377852449077</v>
      </c>
      <c r="C3956" t="s">
        <v>40</v>
      </c>
      <c r="D3956">
        <v>4.9936360000000004</v>
      </c>
      <c r="E3956">
        <v>0.49660969999999999</v>
      </c>
      <c r="F3956" t="s">
        <v>43</v>
      </c>
      <c r="G3956">
        <v>-101.9421</v>
      </c>
      <c r="H3956">
        <v>-0.05</v>
      </c>
      <c r="I3956">
        <v>212.84280000000001</v>
      </c>
      <c r="J3956">
        <v>-289.49169999999998</v>
      </c>
      <c r="K3956">
        <v>1.109659</v>
      </c>
      <c r="L3956">
        <v>213.6431</v>
      </c>
      <c r="M3956">
        <v>0.99978009999999995</v>
      </c>
      <c r="N3956">
        <v>0</v>
      </c>
      <c r="O3956">
        <v>-1.8061270000000001E-2</v>
      </c>
      <c r="P3956">
        <v>0.99924659999999998</v>
      </c>
      <c r="Q3956">
        <v>3.7987279999999998E-2</v>
      </c>
      <c r="R3956">
        <v>-7.9505089999999997E-3</v>
      </c>
      <c r="S3956">
        <v>3.002869</v>
      </c>
      <c r="T3956">
        <v>-1.8538120000000002E-2</v>
      </c>
      <c r="U3956">
        <v>-1.287842E-2</v>
      </c>
      <c r="V3956">
        <v>-1.0095689999999999E-2</v>
      </c>
      <c r="W3956">
        <v>4.8627089999999998E-2</v>
      </c>
      <c r="X3956">
        <v>0.99876600000000004</v>
      </c>
      <c r="Y3956">
        <v>-1.3773560000000001E-2</v>
      </c>
      <c r="Z3956">
        <v>1.5401459999999999E-4</v>
      </c>
      <c r="AA3956">
        <v>0.99990509999999999</v>
      </c>
      <c r="AB3956">
        <v>32</v>
      </c>
      <c r="AC3956">
        <v>187.5496</v>
      </c>
      <c r="AD3956">
        <v>-1.159659</v>
      </c>
      <c r="AE3956">
        <v>-0.80029999999999202</v>
      </c>
      <c r="AF3956">
        <v>-2.5873079275731201</v>
      </c>
      <c r="AG3956">
        <v>-1.159659</v>
      </c>
      <c r="AH3956">
        <v>187.526289661421</v>
      </c>
      <c r="AI3956">
        <v>90.354277774304407</v>
      </c>
      <c r="AJ3956">
        <v>90.790462070872593</v>
      </c>
      <c r="AK3956">
        <v>187.54772268808699</v>
      </c>
      <c r="AL3956">
        <v>87.212773848396296</v>
      </c>
      <c r="AM3956">
        <v>90.579135381830298</v>
      </c>
      <c r="AN3956">
        <v>1.0000000197972201</v>
      </c>
    </row>
    <row r="3957" spans="1:40" x14ac:dyDescent="0.25">
      <c r="A3957" t="str">
        <f>"20190312160412480"</f>
        <v>20190312160412480</v>
      </c>
      <c r="B3957" t="str">
        <f>"1552377852468593"</f>
        <v>1552377852468593</v>
      </c>
      <c r="C3957" t="s">
        <v>40</v>
      </c>
      <c r="D3957">
        <v>4.9628639999999997</v>
      </c>
      <c r="E3957">
        <v>0.49706990000000001</v>
      </c>
      <c r="F3957" t="s">
        <v>59</v>
      </c>
      <c r="G3957">
        <v>-200.0378</v>
      </c>
      <c r="H3957" s="1">
        <v>2.3157129999999998E-6</v>
      </c>
      <c r="I3957">
        <v>213.67850000000001</v>
      </c>
      <c r="J3957">
        <v>-289.17419999999998</v>
      </c>
      <c r="K3957">
        <v>1.109672</v>
      </c>
      <c r="L3957">
        <v>213.63730000000001</v>
      </c>
      <c r="M3957">
        <v>0.99978020000000001</v>
      </c>
      <c r="N3957">
        <v>0</v>
      </c>
      <c r="O3957">
        <v>-1.8054649999999998E-2</v>
      </c>
      <c r="P3957">
        <v>0.99926230000000005</v>
      </c>
      <c r="Q3957">
        <v>3.7600210000000002E-2</v>
      </c>
      <c r="R3957">
        <v>-7.8134350000000005E-3</v>
      </c>
      <c r="S3957">
        <v>3.0036930000000002</v>
      </c>
      <c r="T3957">
        <v>-3.7260170000000002E-2</v>
      </c>
      <c r="U3957">
        <v>1.190186E-3</v>
      </c>
      <c r="V3957">
        <v>-1.022733E-2</v>
      </c>
      <c r="W3957">
        <v>4.8243220000000003E-2</v>
      </c>
      <c r="X3957">
        <v>0.99878319999999998</v>
      </c>
      <c r="Y3957">
        <v>-1.8449050000000002E-2</v>
      </c>
      <c r="Z3957">
        <v>3.3838329999999998E-4</v>
      </c>
      <c r="AA3957">
        <v>0.99982979999999999</v>
      </c>
      <c r="AB3957">
        <v>32</v>
      </c>
      <c r="AC3957">
        <v>89.136399999999895</v>
      </c>
      <c r="AD3957">
        <v>-1.109669684287</v>
      </c>
      <c r="AE3957">
        <v>4.1200000000003401E-2</v>
      </c>
      <c r="AF3957">
        <v>-1.6503554174714401</v>
      </c>
      <c r="AG3957">
        <v>-1.109669684287</v>
      </c>
      <c r="AH3957">
        <v>89.107315458243704</v>
      </c>
      <c r="AI3957">
        <v>90.713355605506607</v>
      </c>
      <c r="AJ3957">
        <v>91.061053066513495</v>
      </c>
      <c r="AK3957">
        <v>89.129505260531801</v>
      </c>
      <c r="AL3957">
        <v>87.234793612256794</v>
      </c>
      <c r="AM3957">
        <v>90.586676232872094</v>
      </c>
      <c r="AN3957">
        <v>0.99999994357856703</v>
      </c>
    </row>
    <row r="3958" spans="1:40" x14ac:dyDescent="0.25">
      <c r="A3958" t="str">
        <f>"20190312160412502"</f>
        <v>20190312160412502</v>
      </c>
      <c r="B3958" t="str">
        <f>"1552377852498848"</f>
        <v>1552377852498848</v>
      </c>
      <c r="C3958" t="s">
        <v>40</v>
      </c>
      <c r="D3958">
        <v>4.8841390000000002</v>
      </c>
      <c r="E3958">
        <v>0.49713099999999999</v>
      </c>
      <c r="F3958" t="s">
        <v>70</v>
      </c>
      <c r="G3958">
        <v>-228.72929999999999</v>
      </c>
      <c r="H3958" s="1">
        <v>3.153233E-6</v>
      </c>
      <c r="I3958">
        <v>213.59309999999999</v>
      </c>
      <c r="J3958">
        <v>-288.85469999999998</v>
      </c>
      <c r="K3958">
        <v>1.1096790000000001</v>
      </c>
      <c r="L3958">
        <v>213.63159999999999</v>
      </c>
      <c r="M3958">
        <v>0.99978060000000002</v>
      </c>
      <c r="N3958">
        <v>0</v>
      </c>
      <c r="O3958">
        <v>-1.8037520000000001E-2</v>
      </c>
      <c r="P3958">
        <v>0.9992567</v>
      </c>
      <c r="Q3958">
        <v>3.765052E-2</v>
      </c>
      <c r="R3958">
        <v>-8.2931719999999997E-3</v>
      </c>
      <c r="S3958">
        <v>3.0042719999999998</v>
      </c>
      <c r="T3958">
        <v>-5.5153489999999999E-2</v>
      </c>
      <c r="U3958">
        <v>-2.1972659999999998E-3</v>
      </c>
      <c r="V3958">
        <v>-9.7315160000000008E-3</v>
      </c>
      <c r="W3958">
        <v>4.8295610000000003E-2</v>
      </c>
      <c r="X3958">
        <v>0.9987857</v>
      </c>
      <c r="Y3958">
        <v>-1.7301319999999999E-2</v>
      </c>
      <c r="Z3958">
        <v>4.8991439999999996E-4</v>
      </c>
      <c r="AA3958">
        <v>0.99985020000000002</v>
      </c>
      <c r="AB3958">
        <v>32</v>
      </c>
      <c r="AC3958">
        <v>60.1253999999999</v>
      </c>
      <c r="AD3958">
        <v>-1.109675846767</v>
      </c>
      <c r="AE3958">
        <v>-3.8499999999999E-2</v>
      </c>
      <c r="AF3958">
        <v>-1.0457246665906099</v>
      </c>
      <c r="AG3958">
        <v>-1.109675846767</v>
      </c>
      <c r="AH3958">
        <v>60.0958414876308</v>
      </c>
      <c r="AI3958">
        <v>91.057692116726699</v>
      </c>
      <c r="AJ3958">
        <v>90.996900321235003</v>
      </c>
      <c r="AK3958">
        <v>60.115181815159303</v>
      </c>
      <c r="AL3958">
        <v>87.231788598855601</v>
      </c>
      <c r="AM3958">
        <v>90.558235016801106</v>
      </c>
      <c r="AN3958">
        <v>1.00000002143671</v>
      </c>
    </row>
    <row r="3959" spans="1:40" x14ac:dyDescent="0.25">
      <c r="A3959" t="str">
        <f>"20190312160412525"</f>
        <v>20190312160412525</v>
      </c>
      <c r="B3959" t="str">
        <f>"1552377852518368"</f>
        <v>1552377852518368</v>
      </c>
      <c r="C3959" t="s">
        <v>40</v>
      </c>
      <c r="D3959">
        <v>4.9008010000000004</v>
      </c>
      <c r="E3959">
        <v>0.49733090000000002</v>
      </c>
      <c r="F3959" t="s">
        <v>70</v>
      </c>
      <c r="G3959">
        <v>-222.60130000000001</v>
      </c>
      <c r="H3959" s="1">
        <v>-1.057369E-7</v>
      </c>
      <c r="I3959">
        <v>213.54679999999999</v>
      </c>
      <c r="J3959">
        <v>-288.5258</v>
      </c>
      <c r="K3959">
        <v>1.109686</v>
      </c>
      <c r="L3959">
        <v>213.62569999999999</v>
      </c>
      <c r="M3959">
        <v>0.99978109999999998</v>
      </c>
      <c r="N3959">
        <v>0</v>
      </c>
      <c r="O3959">
        <v>-1.8007220000000001E-2</v>
      </c>
      <c r="P3959">
        <v>0.99923799999999996</v>
      </c>
      <c r="Q3959">
        <v>3.8068669999999999E-2</v>
      </c>
      <c r="R3959">
        <v>-8.61402E-3</v>
      </c>
      <c r="S3959">
        <v>3.0040589999999998</v>
      </c>
      <c r="T3959">
        <v>-5.0315020000000002E-2</v>
      </c>
      <c r="U3959">
        <v>-3.8452149999999999E-3</v>
      </c>
      <c r="V3959">
        <v>-9.3812730000000007E-3</v>
      </c>
      <c r="W3959">
        <v>4.8716629999999997E-2</v>
      </c>
      <c r="X3959">
        <v>0.99876860000000001</v>
      </c>
      <c r="Y3959">
        <v>-1.6723559999999998E-2</v>
      </c>
      <c r="Z3959">
        <v>4.4162770000000001E-4</v>
      </c>
      <c r="AA3959">
        <v>0.99985999999999997</v>
      </c>
      <c r="AB3959">
        <v>32</v>
      </c>
      <c r="AC3959">
        <v>65.924499999999995</v>
      </c>
      <c r="AD3959">
        <v>-1.1096861057369001</v>
      </c>
      <c r="AE3959">
        <v>-7.8900000000004397E-2</v>
      </c>
      <c r="AF3959">
        <v>-1.10798320479055</v>
      </c>
      <c r="AG3959">
        <v>-1.1096861057369001</v>
      </c>
      <c r="AH3959">
        <v>65.896559382784702</v>
      </c>
      <c r="AI3959">
        <v>90.964623025778394</v>
      </c>
      <c r="AJ3959">
        <v>90.963279124361506</v>
      </c>
      <c r="AK3959">
        <v>65.915215000212498</v>
      </c>
      <c r="AL3959">
        <v>87.207637490027395</v>
      </c>
      <c r="AM3959">
        <v>90.538154226038102</v>
      </c>
      <c r="AN3959">
        <v>1.0000000173338</v>
      </c>
    </row>
    <row r="3960" spans="1:40" x14ac:dyDescent="0.25">
      <c r="A3960" t="str">
        <f>"20190312160412547"</f>
        <v>20190312160412547</v>
      </c>
      <c r="B3960" t="str">
        <f>"1552377852538414"</f>
        <v>1552377852538414</v>
      </c>
      <c r="C3960" t="s">
        <v>40</v>
      </c>
      <c r="D3960">
        <v>4.8488470000000001</v>
      </c>
      <c r="E3960">
        <v>0.49731789999999998</v>
      </c>
      <c r="F3960" t="s">
        <v>70</v>
      </c>
      <c r="G3960">
        <v>-213.51259999999999</v>
      </c>
      <c r="H3960" s="1">
        <v>3.8271179999999998E-7</v>
      </c>
      <c r="I3960">
        <v>213.4657</v>
      </c>
      <c r="J3960">
        <v>-288.22129999999999</v>
      </c>
      <c r="K3960">
        <v>1.1097060000000001</v>
      </c>
      <c r="L3960">
        <v>213.62020000000001</v>
      </c>
      <c r="M3960">
        <v>0.9997819</v>
      </c>
      <c r="N3960">
        <v>0</v>
      </c>
      <c r="O3960">
        <v>-1.796642E-2</v>
      </c>
      <c r="P3960">
        <v>0.99920469999999895</v>
      </c>
      <c r="Q3960">
        <v>3.8985110000000003E-2</v>
      </c>
      <c r="R3960">
        <v>-8.4131680000000004E-3</v>
      </c>
      <c r="S3960">
        <v>3.0039669999999998</v>
      </c>
      <c r="T3960">
        <v>-4.4438239999999997E-2</v>
      </c>
      <c r="U3960">
        <v>-6.4086909999999898E-3</v>
      </c>
      <c r="V3960">
        <v>-9.5422890000000007E-3</v>
      </c>
      <c r="W3960">
        <v>4.9634860000000003E-2</v>
      </c>
      <c r="X3960">
        <v>0.99872179999999999</v>
      </c>
      <c r="Y3960">
        <v>-1.583064E-2</v>
      </c>
      <c r="Z3960">
        <v>3.8285499999999998E-4</v>
      </c>
      <c r="AA3960">
        <v>0.99987459999999995</v>
      </c>
      <c r="AB3960">
        <v>32</v>
      </c>
      <c r="AC3960">
        <v>74.708699999999993</v>
      </c>
      <c r="AD3960">
        <v>-1.1097056172881901</v>
      </c>
      <c r="AE3960">
        <v>-0.15450000000001199</v>
      </c>
      <c r="AF3960">
        <v>-1.1875868862080501</v>
      </c>
      <c r="AG3960">
        <v>-1.1097056172881901</v>
      </c>
      <c r="AH3960">
        <v>74.682938379986098</v>
      </c>
      <c r="AI3960">
        <v>90.851181482813999</v>
      </c>
      <c r="AJ3960">
        <v>90.911024438095694</v>
      </c>
      <c r="AK3960">
        <v>74.700623118138296</v>
      </c>
      <c r="AL3960">
        <v>87.154962877061806</v>
      </c>
      <c r="AM3960">
        <v>90.547415957774106</v>
      </c>
      <c r="AN3960">
        <v>0.99999995420090804</v>
      </c>
    </row>
    <row r="3961" spans="1:40" x14ac:dyDescent="0.25">
      <c r="A3961" t="str">
        <f>"20190312160412569"</f>
        <v>20190312160412569</v>
      </c>
      <c r="B3961" t="str">
        <f>"1552377852558892"</f>
        <v>1552377852558892</v>
      </c>
      <c r="C3961" t="s">
        <v>40</v>
      </c>
      <c r="D3961">
        <v>4.8768750000000001</v>
      </c>
      <c r="E3961">
        <v>0.49787490000000001</v>
      </c>
      <c r="F3961" t="s">
        <v>59</v>
      </c>
      <c r="G3961">
        <v>-196.62039999999999</v>
      </c>
      <c r="H3961" s="1">
        <v>2.8926340000000001E-6</v>
      </c>
      <c r="I3961">
        <v>213.4453</v>
      </c>
      <c r="J3961">
        <v>-287.90570000000002</v>
      </c>
      <c r="K3961">
        <v>1.1097239999999999</v>
      </c>
      <c r="L3961">
        <v>213.6146</v>
      </c>
      <c r="M3961">
        <v>0.99978290000000003</v>
      </c>
      <c r="N3961">
        <v>0</v>
      </c>
      <c r="O3961">
        <v>-1.790986E-2</v>
      </c>
      <c r="P3961">
        <v>0.99919619999999998</v>
      </c>
      <c r="Q3961">
        <v>3.9226900000000002E-2</v>
      </c>
      <c r="R3961">
        <v>-8.2777110000000001E-3</v>
      </c>
      <c r="S3961">
        <v>3.0037539999999998</v>
      </c>
      <c r="T3961">
        <v>-3.6389110000000002E-2</v>
      </c>
      <c r="U3961">
        <v>-5.7373049999999998E-3</v>
      </c>
      <c r="V3961">
        <v>-9.6226560000000003E-3</v>
      </c>
      <c r="W3961">
        <v>4.987917E-2</v>
      </c>
      <c r="X3961">
        <v>0.99870890000000001</v>
      </c>
      <c r="Y3961">
        <v>-1.5998620000000002E-2</v>
      </c>
      <c r="Z3961">
        <v>3.1386869999999999E-4</v>
      </c>
      <c r="AA3961">
        <v>0.99987199999999998</v>
      </c>
      <c r="AB3961">
        <v>32</v>
      </c>
      <c r="AC3961">
        <v>91.285300000000007</v>
      </c>
      <c r="AD3961">
        <v>-1.1097211073659901</v>
      </c>
      <c r="AE3961">
        <v>-0.16929999999999201</v>
      </c>
      <c r="AF3961">
        <v>-1.46551022215482</v>
      </c>
      <c r="AG3961">
        <v>-1.1097211073659901</v>
      </c>
      <c r="AH3961">
        <v>91.260202291934505</v>
      </c>
      <c r="AI3961">
        <v>90.696590685209202</v>
      </c>
      <c r="AJ3961">
        <v>90.920010385324701</v>
      </c>
      <c r="AK3961">
        <v>91.278714515007195</v>
      </c>
      <c r="AL3961">
        <v>87.140947707020104</v>
      </c>
      <c r="AM3961">
        <v>90.552033246426305</v>
      </c>
      <c r="AN3961">
        <v>0.99999999702379605</v>
      </c>
    </row>
    <row r="3962" spans="1:40" x14ac:dyDescent="0.25">
      <c r="A3962" t="str">
        <f>"20190312160412592"</f>
        <v>20190312160412592</v>
      </c>
      <c r="B3962" t="str">
        <f>"1552377852578413"</f>
        <v>1552377852578413</v>
      </c>
      <c r="C3962" t="s">
        <v>40</v>
      </c>
      <c r="D3962">
        <v>4.8543919999999998</v>
      </c>
      <c r="E3962">
        <v>0.49807079999999998</v>
      </c>
      <c r="F3962" t="s">
        <v>59</v>
      </c>
      <c r="G3962">
        <v>-191.4196</v>
      </c>
      <c r="H3962" s="1">
        <v>3.8279649999999997E-6</v>
      </c>
      <c r="I3962">
        <v>213.2989</v>
      </c>
      <c r="J3962">
        <v>-287.58359999999999</v>
      </c>
      <c r="K3962">
        <v>1.1097379999999999</v>
      </c>
      <c r="L3962">
        <v>213.60890000000001</v>
      </c>
      <c r="M3962">
        <v>0.99978400000000001</v>
      </c>
      <c r="N3962">
        <v>0</v>
      </c>
      <c r="O3962">
        <v>-1.783962E-2</v>
      </c>
      <c r="P3962">
        <v>0.99920790000000004</v>
      </c>
      <c r="Q3962">
        <v>3.8727780000000003E-2</v>
      </c>
      <c r="R3962">
        <v>-9.1563340000000003E-3</v>
      </c>
      <c r="S3962">
        <v>3.0036930000000002</v>
      </c>
      <c r="T3962">
        <v>-3.4546489999999999E-2</v>
      </c>
      <c r="U3962">
        <v>-9.8266599999999992E-3</v>
      </c>
      <c r="V3962">
        <v>-8.6761379999999999E-3</v>
      </c>
      <c r="W3962">
        <v>4.9382450000000001E-2</v>
      </c>
      <c r="X3962">
        <v>0.99874229999999997</v>
      </c>
      <c r="Y3962">
        <v>-1.4567399999999999E-2</v>
      </c>
      <c r="Z3962">
        <v>2.8894359999999999E-4</v>
      </c>
      <c r="AA3962">
        <v>0.99989380000000005</v>
      </c>
      <c r="AB3962">
        <v>32</v>
      </c>
      <c r="AC3962">
        <v>96.164000000000001</v>
      </c>
      <c r="AD3962">
        <v>-1.10973417203499</v>
      </c>
      <c r="AE3962">
        <v>-0.310000000000002</v>
      </c>
      <c r="AF3962">
        <v>-1.40548892374541</v>
      </c>
      <c r="AG3962">
        <v>-1.10973417203499</v>
      </c>
      <c r="AH3962">
        <v>96.141422232747701</v>
      </c>
      <c r="AI3962">
        <v>90.6612495119263</v>
      </c>
      <c r="AJ3962">
        <v>90.837545832407102</v>
      </c>
      <c r="AK3962">
        <v>96.158098868388805</v>
      </c>
      <c r="AL3962">
        <v>87.169442910192004</v>
      </c>
      <c r="AM3962">
        <v>90.497719567623093</v>
      </c>
      <c r="AN3962">
        <v>1.0000000417739401</v>
      </c>
    </row>
    <row r="3963" spans="1:40" x14ac:dyDescent="0.25">
      <c r="A3963" t="str">
        <f>"20190312160412615"</f>
        <v>20190312160412615</v>
      </c>
      <c r="B3963" t="str">
        <f>"1552377852608668"</f>
        <v>1552377852608668</v>
      </c>
      <c r="C3963" t="s">
        <v>40</v>
      </c>
      <c r="D3963">
        <v>4.8418169999999998</v>
      </c>
      <c r="E3963">
        <v>0.49842229999999998</v>
      </c>
      <c r="F3963" t="s">
        <v>59</v>
      </c>
      <c r="G3963">
        <v>-189.9513</v>
      </c>
      <c r="H3963" s="1">
        <v>4.098692E-6</v>
      </c>
      <c r="I3963">
        <v>213.1551</v>
      </c>
      <c r="J3963">
        <v>-287.24799999999999</v>
      </c>
      <c r="K3963">
        <v>1.1097490000000001</v>
      </c>
      <c r="L3963">
        <v>213.60300000000001</v>
      </c>
      <c r="M3963">
        <v>0.99978540000000005</v>
      </c>
      <c r="N3963">
        <v>0</v>
      </c>
      <c r="O3963">
        <v>-1.7754519999999999E-2</v>
      </c>
      <c r="P3963">
        <v>0.99920589999999998</v>
      </c>
      <c r="Q3963">
        <v>3.8770060000000002E-2</v>
      </c>
      <c r="R3963">
        <v>-9.1849900000000005E-3</v>
      </c>
      <c r="S3963">
        <v>3.0035400000000001</v>
      </c>
      <c r="T3963">
        <v>-3.4139629999999997E-2</v>
      </c>
      <c r="U3963">
        <v>-1.396179E-2</v>
      </c>
      <c r="V3963">
        <v>-8.5632499999999997E-3</v>
      </c>
      <c r="W3963">
        <v>4.9427699999999998E-2</v>
      </c>
      <c r="X3963">
        <v>0.99874099999999999</v>
      </c>
      <c r="Y3963">
        <v>-1.310568E-2</v>
      </c>
      <c r="Z3963">
        <v>2.7627979999999999E-4</v>
      </c>
      <c r="AA3963">
        <v>0.99991410000000003</v>
      </c>
      <c r="AB3963">
        <v>32</v>
      </c>
      <c r="AC3963">
        <v>97.296700000000001</v>
      </c>
      <c r="AD3963">
        <v>-1.1097449013080001</v>
      </c>
      <c r="AE3963">
        <v>-0.44789999999997498</v>
      </c>
      <c r="AF3963">
        <v>-1.2795587710240801</v>
      </c>
      <c r="AG3963">
        <v>-1.1097449013080001</v>
      </c>
      <c r="AH3963">
        <v>97.276660035712098</v>
      </c>
      <c r="AI3963">
        <v>90.653552884249507</v>
      </c>
      <c r="AJ3963">
        <v>90.753614375127299</v>
      </c>
      <c r="AK3963">
        <v>97.291404512927002</v>
      </c>
      <c r="AL3963">
        <v>87.166847004707293</v>
      </c>
      <c r="AM3963">
        <v>90.491244538356995</v>
      </c>
      <c r="AN3963">
        <v>1.0000000059294201</v>
      </c>
    </row>
    <row r="3964" spans="1:40" x14ac:dyDescent="0.25">
      <c r="A3964" t="str">
        <f>"20190312160412637"</f>
        <v>20190312160412637</v>
      </c>
      <c r="B3964" t="str">
        <f>"1552377852629164"</f>
        <v>1552377852629164</v>
      </c>
      <c r="C3964" t="s">
        <v>40</v>
      </c>
      <c r="D3964">
        <v>4.8555339999999996</v>
      </c>
      <c r="E3964">
        <v>0.49862479999999998</v>
      </c>
      <c r="F3964" t="s">
        <v>59</v>
      </c>
      <c r="G3964">
        <v>-184.67320000000001</v>
      </c>
      <c r="H3964" s="1">
        <v>3.173395E-6</v>
      </c>
      <c r="I3964">
        <v>213.02979999999999</v>
      </c>
      <c r="J3964">
        <v>-286.93720000000002</v>
      </c>
      <c r="K3964">
        <v>1.1097589999999999</v>
      </c>
      <c r="L3964">
        <v>213.5975</v>
      </c>
      <c r="M3964">
        <v>0.99978710000000004</v>
      </c>
      <c r="N3964">
        <v>0</v>
      </c>
      <c r="O3964">
        <v>-1.7666589999999999E-2</v>
      </c>
      <c r="P3964">
        <v>0.99919369999999996</v>
      </c>
      <c r="Q3964">
        <v>3.9165150000000003E-2</v>
      </c>
      <c r="R3964">
        <v>-8.8576669999999996E-3</v>
      </c>
      <c r="S3964">
        <v>3.003479</v>
      </c>
      <c r="T3964">
        <v>-3.2494309999999998E-2</v>
      </c>
      <c r="U3964">
        <v>-1.6784670000000002E-2</v>
      </c>
      <c r="V3964">
        <v>-8.8035760000000005E-3</v>
      </c>
      <c r="W3964">
        <v>4.9825359999999999E-2</v>
      </c>
      <c r="X3964">
        <v>0.99871920000000003</v>
      </c>
      <c r="Y3964">
        <v>-1.2078129999999999E-2</v>
      </c>
      <c r="Z3964">
        <v>2.564604E-4</v>
      </c>
      <c r="AA3964">
        <v>0.99992700000000001</v>
      </c>
      <c r="AB3964">
        <v>32</v>
      </c>
      <c r="AC3964">
        <v>102.264</v>
      </c>
      <c r="AD3964">
        <v>-1.1097558266050001</v>
      </c>
      <c r="AE3964">
        <v>-0.56770000000000198</v>
      </c>
      <c r="AF3964">
        <v>-1.2390015331394499</v>
      </c>
      <c r="AG3964">
        <v>-1.1097558266050001</v>
      </c>
      <c r="AH3964">
        <v>102.246027666194</v>
      </c>
      <c r="AI3964">
        <v>90.621805683559401</v>
      </c>
      <c r="AJ3964">
        <v>90.694267404141499</v>
      </c>
      <c r="AK3964">
        <v>102.25955630800399</v>
      </c>
      <c r="AL3964">
        <v>87.144034796767798</v>
      </c>
      <c r="AM3964">
        <v>90.505041542765497</v>
      </c>
      <c r="AN3964">
        <v>1.00000005494907</v>
      </c>
    </row>
    <row r="3965" spans="1:40" x14ac:dyDescent="0.25">
      <c r="A3965" t="str">
        <f>"20190312160412658"</f>
        <v>20190312160412658</v>
      </c>
      <c r="B3965" t="str">
        <f>"1552377852649192"</f>
        <v>1552377852649192</v>
      </c>
      <c r="C3965" t="s">
        <v>40</v>
      </c>
      <c r="D3965">
        <v>4.9024960000000002</v>
      </c>
      <c r="E3965">
        <v>0.498691</v>
      </c>
      <c r="F3965" t="s">
        <v>59</v>
      </c>
      <c r="G3965">
        <v>-181.15880000000001</v>
      </c>
      <c r="H3965" s="1">
        <v>2.5542579999999999E-6</v>
      </c>
      <c r="I3965">
        <v>212.9812</v>
      </c>
      <c r="J3965">
        <v>-286.6284</v>
      </c>
      <c r="K3965">
        <v>1.109766</v>
      </c>
      <c r="L3965">
        <v>213.59219999999999</v>
      </c>
      <c r="M3965">
        <v>0.99978860000000003</v>
      </c>
      <c r="N3965">
        <v>0</v>
      </c>
      <c r="O3965">
        <v>-1.757152E-2</v>
      </c>
      <c r="P3965">
        <v>0.99917429999999996</v>
      </c>
      <c r="Q3965">
        <v>3.9694670000000001E-2</v>
      </c>
      <c r="R3965">
        <v>-8.6778740000000004E-3</v>
      </c>
      <c r="S3965">
        <v>3.0035099999999999</v>
      </c>
      <c r="T3965">
        <v>-3.1510829999999997E-2</v>
      </c>
      <c r="U3965">
        <v>-1.7501829999999999E-2</v>
      </c>
      <c r="V3965">
        <v>-8.8885839999999997E-3</v>
      </c>
      <c r="W3965">
        <v>5.0357319999999997E-2</v>
      </c>
      <c r="X3965">
        <v>0.99869169999999996</v>
      </c>
      <c r="Y3965">
        <v>-1.174448E-2</v>
      </c>
      <c r="Z3965">
        <v>2.459486E-4</v>
      </c>
      <c r="AA3965">
        <v>0.99993100000000001</v>
      </c>
      <c r="AB3965">
        <v>32</v>
      </c>
      <c r="AC3965">
        <v>105.4696</v>
      </c>
      <c r="AD3965">
        <v>-1.109763445742</v>
      </c>
      <c r="AE3965">
        <v>-0.61099999999999</v>
      </c>
      <c r="AF3965">
        <v>-1.2423236324584199</v>
      </c>
      <c r="AG3965">
        <v>-1.109763445742</v>
      </c>
      <c r="AH3965">
        <v>105.452376627216</v>
      </c>
      <c r="AI3965">
        <v>90.602907255626903</v>
      </c>
      <c r="AJ3965">
        <v>90.674964476584194</v>
      </c>
      <c r="AK3965">
        <v>105.465533134013</v>
      </c>
      <c r="AL3965">
        <v>87.1135172347945</v>
      </c>
      <c r="AM3965">
        <v>90.509932046447503</v>
      </c>
      <c r="AN3965">
        <v>0.99999998912599797</v>
      </c>
    </row>
    <row r="3966" spans="1:40" x14ac:dyDescent="0.25">
      <c r="A3966" t="str">
        <f>"20190312160412681"</f>
        <v>20190312160412681</v>
      </c>
      <c r="B3966" t="str">
        <f>"1552377852678470"</f>
        <v>1552377852678470</v>
      </c>
      <c r="C3966" t="s">
        <v>40</v>
      </c>
      <c r="D3966">
        <v>4.8875960000000003</v>
      </c>
      <c r="E3966">
        <v>0.49877650000000001</v>
      </c>
      <c r="F3966" t="s">
        <v>59</v>
      </c>
      <c r="G3966">
        <v>-180.297</v>
      </c>
      <c r="H3966" s="1">
        <v>2.4021770000000001E-6</v>
      </c>
      <c r="I3966">
        <v>212.97200000000001</v>
      </c>
      <c r="J3966">
        <v>-286.30489999999998</v>
      </c>
      <c r="K3966">
        <v>1.1097729999999999</v>
      </c>
      <c r="L3966">
        <v>213.5866</v>
      </c>
      <c r="M3966">
        <v>0.99979059999999997</v>
      </c>
      <c r="N3966">
        <v>0</v>
      </c>
      <c r="O3966">
        <v>-1.7465709999999999E-2</v>
      </c>
      <c r="P3966">
        <v>0.99919210000000003</v>
      </c>
      <c r="Q3966">
        <v>3.929444E-2</v>
      </c>
      <c r="R3966">
        <v>-8.4397399999999994E-3</v>
      </c>
      <c r="S3966">
        <v>3.003571</v>
      </c>
      <c r="T3966">
        <v>-3.1347750000000001E-2</v>
      </c>
      <c r="U3966">
        <v>-1.7517089999999999E-2</v>
      </c>
      <c r="V3966">
        <v>-9.0216259999999996E-3</v>
      </c>
      <c r="W3966">
        <v>4.9959660000000003E-2</v>
      </c>
      <c r="X3966">
        <v>0.99871049999999995</v>
      </c>
      <c r="Y3966">
        <v>-1.163373E-2</v>
      </c>
      <c r="Z3966">
        <v>2.4298869999999999E-4</v>
      </c>
      <c r="AA3966">
        <v>0.9999323</v>
      </c>
      <c r="AB3966">
        <v>32</v>
      </c>
      <c r="AC3966">
        <v>106.007899999999</v>
      </c>
      <c r="AD3966">
        <v>-1.1097705978229999</v>
      </c>
      <c r="AE3966">
        <v>-0.61459999999999504</v>
      </c>
      <c r="AF3966">
        <v>-1.2369667102149</v>
      </c>
      <c r="AG3966">
        <v>-1.1097705978229999</v>
      </c>
      <c r="AH3966">
        <v>105.990847398364</v>
      </c>
      <c r="AI3966">
        <v>90.599849140992902</v>
      </c>
      <c r="AJ3966">
        <v>90.668640323639593</v>
      </c>
      <c r="AK3966">
        <v>106.003874502988</v>
      </c>
      <c r="AL3966">
        <v>87.136330250284502</v>
      </c>
      <c r="AM3966">
        <v>90.517554421542599</v>
      </c>
      <c r="AN3966">
        <v>1.00000001008662</v>
      </c>
    </row>
    <row r="3967" spans="1:40" x14ac:dyDescent="0.25">
      <c r="A3967" t="str">
        <f>"20190312160412697"</f>
        <v>20190312160412697</v>
      </c>
      <c r="B3967" t="str">
        <f>"1552377852689207"</f>
        <v>1552377852689207</v>
      </c>
      <c r="C3967" t="s">
        <v>40</v>
      </c>
      <c r="D3967">
        <v>4.8917650000000004</v>
      </c>
      <c r="E3967">
        <v>0.49876540000000003</v>
      </c>
      <c r="F3967" t="s">
        <v>59</v>
      </c>
      <c r="G3967">
        <v>-195.52029999999999</v>
      </c>
      <c r="H3967" s="1">
        <v>3.121298E-6</v>
      </c>
      <c r="I3967">
        <v>213.06180000000001</v>
      </c>
      <c r="J3967">
        <v>-286.08210000000003</v>
      </c>
      <c r="K3967">
        <v>1.1097790000000001</v>
      </c>
      <c r="L3967">
        <v>213.58279999999999</v>
      </c>
      <c r="M3967">
        <v>0.99979169999999995</v>
      </c>
      <c r="N3967">
        <v>0</v>
      </c>
      <c r="O3967">
        <v>-1.7388420000000002E-2</v>
      </c>
      <c r="P3967">
        <v>0.9991987</v>
      </c>
      <c r="Q3967">
        <v>3.9133870000000001E-2</v>
      </c>
      <c r="R3967">
        <v>-8.3999969999999993E-3</v>
      </c>
      <c r="S3967">
        <v>3.0037229999999999</v>
      </c>
      <c r="T3967">
        <v>-3.6718130000000002E-2</v>
      </c>
      <c r="U3967">
        <v>-1.7364500000000001E-2</v>
      </c>
      <c r="V3967">
        <v>-8.9855049999999995E-3</v>
      </c>
      <c r="W3967">
        <v>4.980155E-2</v>
      </c>
      <c r="X3967">
        <v>0.99871869999999996</v>
      </c>
      <c r="Y3967">
        <v>-1.160693E-2</v>
      </c>
      <c r="Z3967">
        <v>2.8349089999999999E-4</v>
      </c>
      <c r="AA3967">
        <v>0.99993259999999995</v>
      </c>
      <c r="AB3967">
        <v>32</v>
      </c>
      <c r="AC3967">
        <v>90.561800000000005</v>
      </c>
      <c r="AD3967">
        <v>-1.109775878702</v>
      </c>
      <c r="AE3967">
        <v>-0.52099999999998603</v>
      </c>
      <c r="AF3967">
        <v>-1.05373708403947</v>
      </c>
      <c r="AG3967">
        <v>-1.109775878702</v>
      </c>
      <c r="AH3967">
        <v>90.543569888270795</v>
      </c>
      <c r="AI3967">
        <v>90.7021811193665</v>
      </c>
      <c r="AJ3967">
        <v>90.666772496348202</v>
      </c>
      <c r="AK3967">
        <v>90.556501767986802</v>
      </c>
      <c r="AL3967">
        <v>87.145400512813595</v>
      </c>
      <c r="AM3967">
        <v>90.515478104776903</v>
      </c>
      <c r="AN3967">
        <v>0.99999998770609799</v>
      </c>
    </row>
    <row r="3968" spans="1:40" x14ac:dyDescent="0.25">
      <c r="A3968" t="str">
        <f>"20190312160412716"</f>
        <v>20190312160412716</v>
      </c>
      <c r="B3968" t="str">
        <f>"1552377852708727"</f>
        <v>1552377852708727</v>
      </c>
      <c r="C3968" t="s">
        <v>40</v>
      </c>
      <c r="D3968">
        <v>4.8647260000000001</v>
      </c>
      <c r="E3968">
        <v>0.49887860000000001</v>
      </c>
      <c r="F3968" t="s">
        <v>59</v>
      </c>
      <c r="G3968">
        <v>-198.06229999999999</v>
      </c>
      <c r="H3968" s="1">
        <v>2.668502E-6</v>
      </c>
      <c r="I3968">
        <v>213.08330000000001</v>
      </c>
      <c r="J3968">
        <v>-285.80709999999999</v>
      </c>
      <c r="K3968">
        <v>1.1097840000000001</v>
      </c>
      <c r="L3968">
        <v>213.57810000000001</v>
      </c>
      <c r="M3968">
        <v>0.9997935</v>
      </c>
      <c r="N3968">
        <v>0</v>
      </c>
      <c r="O3968">
        <v>-1.7288330000000001E-2</v>
      </c>
      <c r="P3968">
        <v>0.99918430000000003</v>
      </c>
      <c r="Q3968">
        <v>3.96129E-2</v>
      </c>
      <c r="R3968">
        <v>-7.8396739999999996E-3</v>
      </c>
      <c r="S3968">
        <v>3.0037539999999998</v>
      </c>
      <c r="T3968">
        <v>-3.7872080000000002E-2</v>
      </c>
      <c r="U3968">
        <v>-1.7044070000000001E-2</v>
      </c>
      <c r="V3968">
        <v>-9.4457859999999994E-3</v>
      </c>
      <c r="W3968">
        <v>5.0282069999999998E-2</v>
      </c>
      <c r="X3968">
        <v>0.99869039999999998</v>
      </c>
      <c r="Y3968">
        <v>-1.1613429999999999E-2</v>
      </c>
      <c r="Z3968">
        <v>2.9117580000000002E-4</v>
      </c>
      <c r="AA3968">
        <v>0.9999325</v>
      </c>
      <c r="AB3968">
        <v>32</v>
      </c>
      <c r="AC3968">
        <v>87.744799999999998</v>
      </c>
      <c r="AD3968">
        <v>-1.1097813314980001</v>
      </c>
      <c r="AE3968">
        <v>-0.49479999999999702</v>
      </c>
      <c r="AF3968">
        <v>-1.0221580376914801</v>
      </c>
      <c r="AG3968">
        <v>-1.1097813314980001</v>
      </c>
      <c r="AH3968">
        <v>87.726206510534794</v>
      </c>
      <c r="AI3968">
        <v>90.724733032584894</v>
      </c>
      <c r="AJ3968">
        <v>90.667562109311405</v>
      </c>
      <c r="AK3968">
        <v>87.739180132861705</v>
      </c>
      <c r="AL3968">
        <v>87.117834277849198</v>
      </c>
      <c r="AM3968">
        <v>90.541897203270395</v>
      </c>
      <c r="AN3968">
        <v>1.0000000122443999</v>
      </c>
    </row>
    <row r="3969" spans="1:40" x14ac:dyDescent="0.25">
      <c r="A3969" t="str">
        <f>"20190312160412737"</f>
        <v>20190312160412737</v>
      </c>
      <c r="B3969" t="str">
        <f>"1552377852729223"</f>
        <v>1552377852729223</v>
      </c>
      <c r="C3969" t="s">
        <v>40</v>
      </c>
      <c r="D3969">
        <v>4.9217329999999997</v>
      </c>
      <c r="E3969">
        <v>0.49903599999999998</v>
      </c>
      <c r="F3969" t="s">
        <v>59</v>
      </c>
      <c r="G3969">
        <v>-191.6131</v>
      </c>
      <c r="H3969" s="1">
        <v>3.8137379999999998E-6</v>
      </c>
      <c r="I3969">
        <v>213.06890000000001</v>
      </c>
      <c r="J3969">
        <v>-285.50240000000002</v>
      </c>
      <c r="K3969">
        <v>1.1097859999999999</v>
      </c>
      <c r="L3969">
        <v>213.5729</v>
      </c>
      <c r="M3969">
        <v>0.99979560000000001</v>
      </c>
      <c r="N3969">
        <v>0</v>
      </c>
      <c r="O3969">
        <v>-1.71713E-2</v>
      </c>
      <c r="P3969">
        <v>0.9991563</v>
      </c>
      <c r="Q3969">
        <v>4.0380119999999999E-2</v>
      </c>
      <c r="R3969">
        <v>-7.5081519999999997E-3</v>
      </c>
      <c r="S3969">
        <v>3.0036930000000002</v>
      </c>
      <c r="T3969">
        <v>-3.5389070000000002E-2</v>
      </c>
      <c r="U3969">
        <v>-1.6235349999999999E-2</v>
      </c>
      <c r="V3969">
        <v>-9.6611319999999994E-3</v>
      </c>
      <c r="W3969">
        <v>5.1051649999999997E-2</v>
      </c>
      <c r="X3969">
        <v>0.99864929999999996</v>
      </c>
      <c r="Y3969">
        <v>-1.176577E-2</v>
      </c>
      <c r="Z3969">
        <v>2.7161140000000003E-4</v>
      </c>
      <c r="AA3969">
        <v>0.99993069999999895</v>
      </c>
      <c r="AB3969">
        <v>32</v>
      </c>
      <c r="AC3969">
        <v>93.889300000000006</v>
      </c>
      <c r="AD3969">
        <v>-1.1097821862620001</v>
      </c>
      <c r="AE3969">
        <v>-0.50399999999999001</v>
      </c>
      <c r="AF3969">
        <v>-1.1082126510453101</v>
      </c>
      <c r="AG3969">
        <v>-1.1097821862620001</v>
      </c>
      <c r="AH3969">
        <v>93.870995618046805</v>
      </c>
      <c r="AI3969">
        <v>90.677295929229302</v>
      </c>
      <c r="AJ3969">
        <v>90.676385262911197</v>
      </c>
      <c r="AK3969">
        <v>93.884096470617607</v>
      </c>
      <c r="AL3969">
        <v>87.073683897177105</v>
      </c>
      <c r="AM3969">
        <v>90.554273478384502</v>
      </c>
      <c r="AN3969">
        <v>1.0000000164148599</v>
      </c>
    </row>
    <row r="3970" spans="1:40" x14ac:dyDescent="0.25">
      <c r="A3970" t="str">
        <f>"20190312160412752"</f>
        <v>20190312160412752</v>
      </c>
      <c r="B3970" t="str">
        <f>"1552377852749250"</f>
        <v>1552377852749250</v>
      </c>
      <c r="C3970" t="s">
        <v>40</v>
      </c>
      <c r="D3970">
        <v>4.8837460000000004</v>
      </c>
      <c r="E3970">
        <v>0.4990694</v>
      </c>
      <c r="F3970" t="s">
        <v>59</v>
      </c>
      <c r="G3970">
        <v>-186.04509999999999</v>
      </c>
      <c r="H3970" s="1">
        <v>3.4172340000000002E-6</v>
      </c>
      <c r="I3970">
        <v>213.02420000000001</v>
      </c>
      <c r="J3970">
        <v>-285.2867</v>
      </c>
      <c r="K3970">
        <v>1.1097919999999999</v>
      </c>
      <c r="L3970">
        <v>213.5693</v>
      </c>
      <c r="M3970">
        <v>0.99979709999999999</v>
      </c>
      <c r="N3970">
        <v>0</v>
      </c>
      <c r="O3970">
        <v>-1.7084220000000001E-2</v>
      </c>
      <c r="P3970">
        <v>0.9991584</v>
      </c>
      <c r="Q3970">
        <v>4.033171E-2</v>
      </c>
      <c r="R3970">
        <v>-7.4969900000000003E-3</v>
      </c>
      <c r="S3970">
        <v>3.003784</v>
      </c>
      <c r="T3970">
        <v>-3.3517360000000003E-2</v>
      </c>
      <c r="U3970">
        <v>-1.6571039999999999E-2</v>
      </c>
      <c r="V3970">
        <v>-9.5859169999999994E-3</v>
      </c>
      <c r="W3970">
        <v>5.1004979999999998E-2</v>
      </c>
      <c r="X3970">
        <v>0.9986524</v>
      </c>
      <c r="Y3970">
        <v>-1.1567320000000001E-2</v>
      </c>
      <c r="Z3970">
        <v>2.5516029999999998E-4</v>
      </c>
      <c r="AA3970">
        <v>0.99993310000000002</v>
      </c>
      <c r="AB3970">
        <v>32</v>
      </c>
      <c r="AC3970">
        <v>99.241600000000005</v>
      </c>
      <c r="AD3970">
        <v>-1.1097885827659999</v>
      </c>
      <c r="AE3970">
        <v>-0.54509999999999004</v>
      </c>
      <c r="AF3970">
        <v>-1.15039759083104</v>
      </c>
      <c r="AG3970">
        <v>-1.1097885827659999</v>
      </c>
      <c r="AH3970">
        <v>99.224019725675802</v>
      </c>
      <c r="AI3970">
        <v>90.640764990075198</v>
      </c>
      <c r="AJ3970">
        <v>90.664254217974204</v>
      </c>
      <c r="AK3970">
        <v>99.236894025542398</v>
      </c>
      <c r="AL3970">
        <v>87.076361351548798</v>
      </c>
      <c r="AM3970">
        <v>90.549956841242903</v>
      </c>
      <c r="AN3970">
        <v>1.00000000690764</v>
      </c>
    </row>
    <row r="3971" spans="1:40" x14ac:dyDescent="0.25">
      <c r="A3971" t="str">
        <f>"20190312160412770"</f>
        <v>20190312160412770</v>
      </c>
      <c r="B3971" t="str">
        <f>"1552377852759010"</f>
        <v>1552377852759010</v>
      </c>
      <c r="C3971" t="s">
        <v>40</v>
      </c>
      <c r="D3971">
        <v>4.8462199999999998</v>
      </c>
      <c r="E3971">
        <v>0.4990694</v>
      </c>
      <c r="F3971" t="s">
        <v>59</v>
      </c>
      <c r="G3971">
        <v>-184.64670000000001</v>
      </c>
      <c r="H3971" s="1">
        <v>3.1711450000000002E-6</v>
      </c>
      <c r="I3971">
        <v>213.0018</v>
      </c>
      <c r="J3971">
        <v>-285.02690000000001</v>
      </c>
      <c r="K3971">
        <v>1.109791</v>
      </c>
      <c r="L3971">
        <v>213.56489999999999</v>
      </c>
      <c r="M3971">
        <v>0.99979879999999999</v>
      </c>
      <c r="N3971">
        <v>0</v>
      </c>
      <c r="O3971">
        <v>-1.697425E-2</v>
      </c>
      <c r="P3971">
        <v>0.99916159999999998</v>
      </c>
      <c r="Q3971">
        <v>4.0213939999999997E-2</v>
      </c>
      <c r="R3971">
        <v>-7.6925669999999896E-3</v>
      </c>
      <c r="S3971">
        <v>3.0036930000000002</v>
      </c>
      <c r="T3971">
        <v>-3.3122659999999998E-2</v>
      </c>
      <c r="U3971">
        <v>-1.6937259999999999E-2</v>
      </c>
      <c r="V3971">
        <v>-9.2812069999999997E-3</v>
      </c>
      <c r="W3971">
        <v>5.0889749999999997E-2</v>
      </c>
      <c r="X3971">
        <v>0.99866120000000003</v>
      </c>
      <c r="Y3971">
        <v>-1.1335319999999999E-2</v>
      </c>
      <c r="Z3971">
        <v>2.4967160000000002E-4</v>
      </c>
      <c r="AA3971">
        <v>0.99993569999999998</v>
      </c>
      <c r="AB3971">
        <v>32</v>
      </c>
      <c r="AC3971">
        <v>100.3802</v>
      </c>
      <c r="AD3971">
        <v>-1.109787828855</v>
      </c>
      <c r="AE3971">
        <v>-0.56309999999999105</v>
      </c>
      <c r="AF3971">
        <v>-1.1408176360043301</v>
      </c>
      <c r="AG3971">
        <v>-1.109787828855</v>
      </c>
      <c r="AH3971">
        <v>100.363027865174</v>
      </c>
      <c r="AI3971">
        <v>90.633494840467094</v>
      </c>
      <c r="AJ3971">
        <v>90.651247996290493</v>
      </c>
      <c r="AK3971">
        <v>100.37564672852299</v>
      </c>
      <c r="AL3971">
        <v>87.082972254916797</v>
      </c>
      <c r="AM3971">
        <v>90.532471553483305</v>
      </c>
      <c r="AN3971">
        <v>1.0000000499219299</v>
      </c>
    </row>
    <row r="3972" spans="1:40" x14ac:dyDescent="0.25">
      <c r="A3972" t="str">
        <f>"20190312160412785"</f>
        <v>20190312160412785</v>
      </c>
      <c r="B3972" t="str">
        <f>"1552377852778529"</f>
        <v>1552377852778529</v>
      </c>
      <c r="C3972" t="s">
        <v>40</v>
      </c>
      <c r="D3972">
        <v>4.9657210000000003</v>
      </c>
      <c r="E3972">
        <v>0.49911660000000002</v>
      </c>
      <c r="F3972" t="s">
        <v>59</v>
      </c>
      <c r="G3972">
        <v>-185.4511</v>
      </c>
      <c r="H3972" s="1">
        <v>3.3150119999999999E-6</v>
      </c>
      <c r="I3972">
        <v>212.98830000000001</v>
      </c>
      <c r="J3972">
        <v>-284.79919999999998</v>
      </c>
      <c r="K3972">
        <v>1.109793</v>
      </c>
      <c r="L3972">
        <v>213.56120000000001</v>
      </c>
      <c r="M3972">
        <v>0.99980040000000003</v>
      </c>
      <c r="N3972">
        <v>0</v>
      </c>
      <c r="O3972">
        <v>-1.6874429999999999E-2</v>
      </c>
      <c r="P3972">
        <v>0.99916649999999996</v>
      </c>
      <c r="Q3972">
        <v>4.0128869999999997E-2</v>
      </c>
      <c r="R3972">
        <v>-7.4931989999999999E-3</v>
      </c>
      <c r="S3972">
        <v>3.0036930000000002</v>
      </c>
      <c r="T3972">
        <v>-3.3476590000000001E-2</v>
      </c>
      <c r="U3972">
        <v>-1.7395020000000001E-2</v>
      </c>
      <c r="V3972">
        <v>-9.3817250000000005E-3</v>
      </c>
      <c r="W3972">
        <v>5.0806410000000003E-2</v>
      </c>
      <c r="X3972">
        <v>0.99866440000000001</v>
      </c>
      <c r="Y3972">
        <v>-1.108309E-2</v>
      </c>
      <c r="Z3972">
        <v>2.4982120000000002E-4</v>
      </c>
      <c r="AA3972">
        <v>0.99993849999999995</v>
      </c>
      <c r="AB3972">
        <v>32</v>
      </c>
      <c r="AC3972">
        <v>99.348100000000002</v>
      </c>
      <c r="AD3972">
        <v>-1.109789684988</v>
      </c>
      <c r="AE3972">
        <v>-0.57290000000000396</v>
      </c>
      <c r="AF3972">
        <v>-1.1035823462191101</v>
      </c>
      <c r="AG3972">
        <v>-1.109789684988</v>
      </c>
      <c r="AH3972">
        <v>99.331226151251798</v>
      </c>
      <c r="AI3972">
        <v>90.640077631794696</v>
      </c>
      <c r="AJ3972">
        <v>90.636537087128602</v>
      </c>
      <c r="AK3972">
        <v>99.343555482230101</v>
      </c>
      <c r="AL3972">
        <v>87.087753166855293</v>
      </c>
      <c r="AM3972">
        <v>90.538236303439703</v>
      </c>
      <c r="AN3972">
        <v>0.99999994594421004</v>
      </c>
    </row>
    <row r="3973" spans="1:40" x14ac:dyDescent="0.25">
      <c r="A3973" t="str">
        <f>"20190312160412804"</f>
        <v>20190312160412804</v>
      </c>
      <c r="B3973" t="str">
        <f>"1552377852799029"</f>
        <v>1552377852799029</v>
      </c>
      <c r="C3973" t="s">
        <v>40</v>
      </c>
      <c r="D3973">
        <v>4.9270969999999998</v>
      </c>
      <c r="E3973">
        <v>0.49916450000000001</v>
      </c>
      <c r="F3973" t="s">
        <v>59</v>
      </c>
      <c r="G3973">
        <v>-182.14490000000001</v>
      </c>
      <c r="H3973" s="1">
        <v>2.7300600000000001E-6</v>
      </c>
      <c r="I3973">
        <v>212.9709</v>
      </c>
      <c r="J3973">
        <v>-284.52780000000001</v>
      </c>
      <c r="K3973">
        <v>1.1097950000000001</v>
      </c>
      <c r="L3973">
        <v>213.55670000000001</v>
      </c>
      <c r="M3973">
        <v>0.99980259999999999</v>
      </c>
      <c r="N3973">
        <v>0</v>
      </c>
      <c r="O3973">
        <v>-1.6751720000000001E-2</v>
      </c>
      <c r="P3973">
        <v>0.9991698</v>
      </c>
      <c r="Q3973">
        <v>4.0119849999999999E-2</v>
      </c>
      <c r="R3973">
        <v>-7.1158419999999998E-3</v>
      </c>
      <c r="S3973">
        <v>3.0037229999999999</v>
      </c>
      <c r="T3973">
        <v>-3.2473090000000003E-2</v>
      </c>
      <c r="U3973">
        <v>-1.7272949999999999E-2</v>
      </c>
      <c r="V3973">
        <v>-9.6364940000000007E-3</v>
      </c>
      <c r="W3973">
        <v>5.0799730000000001E-2</v>
      </c>
      <c r="X3973">
        <v>0.99866239999999995</v>
      </c>
      <c r="Y3973">
        <v>-1.1001169999999999E-2</v>
      </c>
      <c r="Z3973">
        <v>2.405613E-4</v>
      </c>
      <c r="AA3973">
        <v>0.99993940000000003</v>
      </c>
      <c r="AB3973">
        <v>32</v>
      </c>
      <c r="AC3973">
        <v>102.38290000000001</v>
      </c>
      <c r="AD3973">
        <v>-1.10979226994</v>
      </c>
      <c r="AE3973">
        <v>-0.58580000000000598</v>
      </c>
      <c r="AF3973">
        <v>-1.1293370817886901</v>
      </c>
      <c r="AG3973">
        <v>-1.10979226994</v>
      </c>
      <c r="AH3973">
        <v>102.366318328354</v>
      </c>
      <c r="AI3973">
        <v>90.621103253424593</v>
      </c>
      <c r="AJ3973">
        <v>90.632079227905507</v>
      </c>
      <c r="AK3973">
        <v>102.378563035572</v>
      </c>
      <c r="AL3973">
        <v>87.088136647999306</v>
      </c>
      <c r="AM3973">
        <v>90.552852795898801</v>
      </c>
      <c r="AN3973">
        <v>1.0000000318792199</v>
      </c>
    </row>
    <row r="3974" spans="1:40" x14ac:dyDescent="0.25">
      <c r="A3974" t="str">
        <f>"20190312160412827"</f>
        <v>20190312160412827</v>
      </c>
      <c r="B3974" t="str">
        <f>"1552377852818547"</f>
        <v>1552377852818547</v>
      </c>
      <c r="C3974" t="s">
        <v>40</v>
      </c>
      <c r="D3974">
        <v>4.9140309999999996</v>
      </c>
      <c r="E3974">
        <v>0.49925039999999998</v>
      </c>
      <c r="F3974" t="s">
        <v>59</v>
      </c>
      <c r="G3974">
        <v>-179.95769999999999</v>
      </c>
      <c r="H3974">
        <v>2.0255499999999999E-2</v>
      </c>
      <c r="I3974">
        <v>212.9761</v>
      </c>
      <c r="J3974">
        <v>-284.21120000000002</v>
      </c>
      <c r="K3974">
        <v>1.1097999999999999</v>
      </c>
      <c r="L3974">
        <v>213.55160000000001</v>
      </c>
      <c r="M3974">
        <v>0.9998049</v>
      </c>
      <c r="N3974">
        <v>0</v>
      </c>
      <c r="O3974">
        <v>-1.6604460000000001E-2</v>
      </c>
      <c r="P3974">
        <v>0.99917670000000003</v>
      </c>
      <c r="Q3974">
        <v>3.9942409999999998E-2</v>
      </c>
      <c r="R3974">
        <v>-7.1051469999999896E-3</v>
      </c>
      <c r="S3974">
        <v>3.0036320000000001</v>
      </c>
      <c r="T3974">
        <v>-3.1295539999999997E-2</v>
      </c>
      <c r="U3974">
        <v>-1.6677859999999999E-2</v>
      </c>
      <c r="V3974">
        <v>-9.5008620000000005E-3</v>
      </c>
      <c r="W3974">
        <v>5.0624959999999997E-2</v>
      </c>
      <c r="X3974">
        <v>0.99867249999999996</v>
      </c>
      <c r="Y3974">
        <v>-1.105194E-2</v>
      </c>
      <c r="Z3974">
        <v>2.30576E-4</v>
      </c>
      <c r="AA3974">
        <v>0.99993889999999996</v>
      </c>
      <c r="AB3974">
        <v>32</v>
      </c>
      <c r="AC3974">
        <v>104.2535</v>
      </c>
      <c r="AD3974">
        <v>-1.0895444999999999</v>
      </c>
      <c r="AE3974">
        <v>-0.57550000000000501</v>
      </c>
      <c r="AF3974">
        <v>-1.1556252772217299</v>
      </c>
      <c r="AG3974">
        <v>-1.0895444999999999</v>
      </c>
      <c r="AH3974">
        <v>104.23729739008201</v>
      </c>
      <c r="AI3974">
        <v>90.598827809611706</v>
      </c>
      <c r="AJ3974">
        <v>90.635182801296807</v>
      </c>
      <c r="AK3974">
        <v>104.249396852871</v>
      </c>
      <c r="AL3974">
        <v>87.098162916426304</v>
      </c>
      <c r="AM3974">
        <v>90.545066448250594</v>
      </c>
      <c r="AN3974">
        <v>0.99999995760499605</v>
      </c>
    </row>
    <row r="3975" spans="1:40" x14ac:dyDescent="0.25">
      <c r="A3975" t="str">
        <f>"20190312160412849"</f>
        <v>20190312160412849</v>
      </c>
      <c r="B3975" t="str">
        <f>"1552377852838573"</f>
        <v>1552377852838573</v>
      </c>
      <c r="C3975" t="s">
        <v>40</v>
      </c>
      <c r="D3975">
        <v>4.955082</v>
      </c>
      <c r="E3975">
        <v>0.49943749999999998</v>
      </c>
      <c r="F3975" t="s">
        <v>59</v>
      </c>
      <c r="G3975">
        <v>-179.95769999999999</v>
      </c>
      <c r="H3975">
        <v>1.8674619999999999E-2</v>
      </c>
      <c r="I3975">
        <v>212.95310000000001</v>
      </c>
      <c r="J3975">
        <v>-283.8997</v>
      </c>
      <c r="K3975">
        <v>1.1098030000000001</v>
      </c>
      <c r="L3975">
        <v>213.54650000000001</v>
      </c>
      <c r="M3975">
        <v>0.99980740000000001</v>
      </c>
      <c r="N3975">
        <v>0</v>
      </c>
      <c r="O3975">
        <v>-1.6455540000000001E-2</v>
      </c>
      <c r="P3975">
        <v>0.99918479999999998</v>
      </c>
      <c r="Q3975">
        <v>3.9685049999999999E-2</v>
      </c>
      <c r="R3975">
        <v>-7.4306160000000001E-3</v>
      </c>
      <c r="S3975">
        <v>3.003571</v>
      </c>
      <c r="T3975">
        <v>-3.1435610000000003E-2</v>
      </c>
      <c r="U3975">
        <v>-1.724243E-2</v>
      </c>
      <c r="V3975">
        <v>-9.0271540000000008E-3</v>
      </c>
      <c r="W3975">
        <v>5.0370659999999998E-2</v>
      </c>
      <c r="X3975">
        <v>0.99868979999999996</v>
      </c>
      <c r="Y3975">
        <v>-1.0714950000000001E-2</v>
      </c>
      <c r="Z3975">
        <v>2.2829060000000001E-4</v>
      </c>
      <c r="AA3975">
        <v>0.99994249999999996</v>
      </c>
      <c r="AB3975">
        <v>32</v>
      </c>
      <c r="AC3975">
        <v>103.94199999999999</v>
      </c>
      <c r="AD3975">
        <v>-1.09112838</v>
      </c>
      <c r="AE3975">
        <v>-0.59340000000000204</v>
      </c>
      <c r="AF3975">
        <v>-1.1170768265091799</v>
      </c>
      <c r="AG3975">
        <v>-1.09112838</v>
      </c>
      <c r="AH3975">
        <v>103.926237775445</v>
      </c>
      <c r="AI3975">
        <v>90.601495298183295</v>
      </c>
      <c r="AJ3975">
        <v>90.615834116457705</v>
      </c>
      <c r="AK3975">
        <v>103.937968615594</v>
      </c>
      <c r="AL3975">
        <v>87.112751983051993</v>
      </c>
      <c r="AM3975">
        <v>90.517882269091302</v>
      </c>
      <c r="AN3975">
        <v>1.0000000047611</v>
      </c>
    </row>
    <row r="3976" spans="1:40" x14ac:dyDescent="0.25">
      <c r="A3976" t="str">
        <f>"20190312160412871"</f>
        <v>20190312160412871</v>
      </c>
      <c r="B3976" t="str">
        <f>"1552377852859069"</f>
        <v>1552377852859069</v>
      </c>
      <c r="C3976" t="s">
        <v>40</v>
      </c>
      <c r="D3976">
        <v>4.9219119999999998</v>
      </c>
      <c r="E3976">
        <v>0.51919659999999901</v>
      </c>
      <c r="F3976" t="s">
        <v>59</v>
      </c>
      <c r="G3976">
        <v>-179.95769999999999</v>
      </c>
      <c r="H3976">
        <v>1.3682669999999999E-2</v>
      </c>
      <c r="I3976">
        <v>212.87110000000001</v>
      </c>
      <c r="J3976">
        <v>-283.57619999999997</v>
      </c>
      <c r="K3976">
        <v>1.109804</v>
      </c>
      <c r="L3976">
        <v>213.54140000000001</v>
      </c>
      <c r="M3976">
        <v>0.99980990000000003</v>
      </c>
      <c r="N3976">
        <v>0</v>
      </c>
      <c r="O3976">
        <v>-1.629792E-2</v>
      </c>
      <c r="P3976">
        <v>0.99919000000000002</v>
      </c>
      <c r="Q3976">
        <v>3.9445069999999999E-2</v>
      </c>
      <c r="R3976">
        <v>-7.994569E-3</v>
      </c>
      <c r="S3976">
        <v>3.003571</v>
      </c>
      <c r="T3976">
        <v>-3.1674149999999998E-2</v>
      </c>
      <c r="U3976">
        <v>-1.951599E-2</v>
      </c>
      <c r="V3976">
        <v>-8.3067419999999902E-3</v>
      </c>
      <c r="W3976">
        <v>5.013397E-2</v>
      </c>
      <c r="X3976">
        <v>0.99870800000000004</v>
      </c>
      <c r="Y3976">
        <v>-9.8004589999999992E-3</v>
      </c>
      <c r="Z3976">
        <v>2.2353830000000001E-4</v>
      </c>
      <c r="AA3976">
        <v>0.99995199999999995</v>
      </c>
      <c r="AB3976">
        <v>32</v>
      </c>
      <c r="AC3976">
        <v>103.618499999999</v>
      </c>
      <c r="AD3976">
        <v>-1.0961213299999999</v>
      </c>
      <c r="AE3976">
        <v>-0.67029999999999701</v>
      </c>
      <c r="AF3976">
        <v>-1.01853781534613</v>
      </c>
      <c r="AG3976">
        <v>-1.0961213299999999</v>
      </c>
      <c r="AH3976">
        <v>103.604067798473</v>
      </c>
      <c r="AI3976">
        <v>90.606132074392207</v>
      </c>
      <c r="AJ3976">
        <v>90.563260105035198</v>
      </c>
      <c r="AK3976">
        <v>103.61487231880299</v>
      </c>
      <c r="AL3976">
        <v>87.126330586991401</v>
      </c>
      <c r="AM3976">
        <v>90.476545980664397</v>
      </c>
      <c r="AN3976">
        <v>1.0000000430873</v>
      </c>
    </row>
    <row r="3977" spans="1:40" x14ac:dyDescent="0.25">
      <c r="A3977" t="str">
        <f>"20190312160412894"</f>
        <v>20190312160412894</v>
      </c>
      <c r="B3977" t="str">
        <f>"1552377852888350"</f>
        <v>1552377852888350</v>
      </c>
      <c r="C3977" t="s">
        <v>40</v>
      </c>
      <c r="D3977">
        <v>4.8658590000000004</v>
      </c>
      <c r="E3977">
        <v>0.51902879999999996</v>
      </c>
      <c r="F3977" t="s">
        <v>70</v>
      </c>
      <c r="G3977">
        <v>-240.64930000000001</v>
      </c>
      <c r="H3977" s="1">
        <v>-1.0323470000000001E-6</v>
      </c>
      <c r="I3977">
        <v>210.98089999999999</v>
      </c>
      <c r="J3977">
        <v>-283.25200000000001</v>
      </c>
      <c r="K3977">
        <v>1.109802</v>
      </c>
      <c r="L3977">
        <v>213.53620000000001</v>
      </c>
      <c r="M3977">
        <v>0.99981249999999999</v>
      </c>
      <c r="N3977">
        <v>0</v>
      </c>
      <c r="O3977">
        <v>-1.6138639999999999E-2</v>
      </c>
      <c r="P3977">
        <v>0.99919290000000005</v>
      </c>
      <c r="Q3977">
        <v>3.9266820000000001E-2</v>
      </c>
      <c r="R3977">
        <v>-8.4605540000000003E-3</v>
      </c>
      <c r="S3977">
        <v>3.0040589999999998</v>
      </c>
      <c r="T3977">
        <v>-7.7665090000000006E-2</v>
      </c>
      <c r="U3977">
        <v>-0.17918399999999901</v>
      </c>
      <c r="V3977">
        <v>-7.6815290000000003E-3</v>
      </c>
      <c r="W3977">
        <v>4.9958229999999999E-2</v>
      </c>
      <c r="X3977">
        <v>0.99872179999999999</v>
      </c>
      <c r="Y3977">
        <v>4.3413710000000001E-2</v>
      </c>
      <c r="Z3977">
        <v>-1.4384519999999999E-4</v>
      </c>
      <c r="AA3977">
        <v>0.99905719999999998</v>
      </c>
      <c r="AB3977">
        <v>32</v>
      </c>
      <c r="AC3977">
        <v>42.602699999999999</v>
      </c>
      <c r="AD3977">
        <v>-1.1098030323469901</v>
      </c>
      <c r="AE3977">
        <v>-2.5553000000000101</v>
      </c>
      <c r="AF3977">
        <v>1.86611634402828</v>
      </c>
      <c r="AG3977">
        <v>-1.1098030323469901</v>
      </c>
      <c r="AH3977">
        <v>42.609580915926102</v>
      </c>
      <c r="AI3977">
        <v>91.490552179173406</v>
      </c>
      <c r="AJ3977">
        <v>87.492293828970901</v>
      </c>
      <c r="AK3977">
        <v>42.664861874977497</v>
      </c>
      <c r="AL3977">
        <v>87.136412349104404</v>
      </c>
      <c r="AM3977">
        <v>90.440673782731096</v>
      </c>
      <c r="AN3977">
        <v>1.00000003221387</v>
      </c>
    </row>
    <row r="3978" spans="1:40" x14ac:dyDescent="0.25">
      <c r="A3978" t="str">
        <f>"20190312160412908"</f>
        <v>20190312160412908</v>
      </c>
      <c r="B3978" t="str">
        <f>"1552377852899085"</f>
        <v>1552377852899085</v>
      </c>
      <c r="C3978" t="s">
        <v>40</v>
      </c>
      <c r="D3978">
        <v>4.9335899999999997</v>
      </c>
      <c r="E3978">
        <v>0.5190688</v>
      </c>
      <c r="F3978" t="s">
        <v>70</v>
      </c>
      <c r="G3978">
        <v>-247.5128</v>
      </c>
      <c r="H3978" s="1">
        <v>2.601661E-6</v>
      </c>
      <c r="I3978">
        <v>211.4023</v>
      </c>
      <c r="J3978">
        <v>-283.02569999999997</v>
      </c>
      <c r="K3978">
        <v>1.10981</v>
      </c>
      <c r="L3978">
        <v>213.53270000000001</v>
      </c>
      <c r="M3978">
        <v>0.99981419999999999</v>
      </c>
      <c r="N3978">
        <v>0</v>
      </c>
      <c r="O3978">
        <v>-1.6027050000000001E-2</v>
      </c>
      <c r="P3978">
        <v>0.99919930000000001</v>
      </c>
      <c r="Q3978">
        <v>3.9095820000000003E-2</v>
      </c>
      <c r="R3978">
        <v>-8.5098299999999995E-3</v>
      </c>
      <c r="S3978">
        <v>3.004578</v>
      </c>
      <c r="T3978">
        <v>-9.3300460000000002E-2</v>
      </c>
      <c r="U3978">
        <v>-0.17939759999999999</v>
      </c>
      <c r="V3978">
        <v>-7.5211039999999998E-3</v>
      </c>
      <c r="W3978">
        <v>4.9789640000000003E-2</v>
      </c>
      <c r="X3978">
        <v>0.99873140000000005</v>
      </c>
      <c r="Y3978">
        <v>4.358157E-2</v>
      </c>
      <c r="Z3978">
        <v>-1.7882449999999999E-4</v>
      </c>
      <c r="AA3978">
        <v>0.99904979999999999</v>
      </c>
      <c r="AB3978">
        <v>32</v>
      </c>
      <c r="AC3978">
        <v>35.512899999999902</v>
      </c>
      <c r="AD3978">
        <v>-1.109807398339</v>
      </c>
      <c r="AE3978">
        <v>-2.1303999999999998</v>
      </c>
      <c r="AF3978">
        <v>1.5594091889143999</v>
      </c>
      <c r="AG3978">
        <v>-1.109807398339</v>
      </c>
      <c r="AH3978">
        <v>35.507930939932102</v>
      </c>
      <c r="AI3978">
        <v>91.788485326235701</v>
      </c>
      <c r="AJ3978">
        <v>87.485345191964299</v>
      </c>
      <c r="AK3978">
        <v>35.559479595669899</v>
      </c>
      <c r="AL3978">
        <v>87.146083766288896</v>
      </c>
      <c r="AM3978">
        <v>90.4314667293675</v>
      </c>
      <c r="AN3978">
        <v>0.99999999230133396</v>
      </c>
    </row>
    <row r="3979" spans="1:40" x14ac:dyDescent="0.25">
      <c r="A3979" t="str">
        <f>"20190312160412926"</f>
        <v>20190312160412926</v>
      </c>
      <c r="B3979" t="str">
        <f>"1552377852918609"</f>
        <v>1552377852918609</v>
      </c>
      <c r="C3979" t="s">
        <v>40</v>
      </c>
      <c r="D3979">
        <v>4.8891530000000003</v>
      </c>
      <c r="E3979">
        <v>0.51887109999999903</v>
      </c>
      <c r="F3979" t="s">
        <v>70</v>
      </c>
      <c r="G3979">
        <v>-240.3562</v>
      </c>
      <c r="H3979" s="1">
        <v>-1.188218E-6</v>
      </c>
      <c r="I3979">
        <v>210.97880000000001</v>
      </c>
      <c r="J3979">
        <v>-282.76780000000002</v>
      </c>
      <c r="K3979">
        <v>1.109809</v>
      </c>
      <c r="L3979">
        <v>213.52869999999999</v>
      </c>
      <c r="M3979">
        <v>0.99981640000000005</v>
      </c>
      <c r="N3979">
        <v>0</v>
      </c>
      <c r="O3979">
        <v>-1.589925E-2</v>
      </c>
      <c r="P3979">
        <v>0.99919709999999995</v>
      </c>
      <c r="Q3979">
        <v>3.9063929999999997E-2</v>
      </c>
      <c r="R3979">
        <v>-8.907557E-3</v>
      </c>
      <c r="S3979">
        <v>3.0039370000000001</v>
      </c>
      <c r="T3979">
        <v>-7.8130839999999993E-2</v>
      </c>
      <c r="U3979">
        <v>-0.17979429999999999</v>
      </c>
      <c r="V3979">
        <v>-6.9958279999999999E-3</v>
      </c>
      <c r="W3979">
        <v>4.976059E-2</v>
      </c>
      <c r="X3979">
        <v>0.99873670000000003</v>
      </c>
      <c r="Y3979">
        <v>4.3857239999999999E-2</v>
      </c>
      <c r="Z3979">
        <v>-1.5669269999999999E-4</v>
      </c>
      <c r="AA3979">
        <v>0.99903779999999998</v>
      </c>
      <c r="AB3979">
        <v>32</v>
      </c>
      <c r="AC3979">
        <v>42.4116</v>
      </c>
      <c r="AD3979">
        <v>-1.109810188218</v>
      </c>
      <c r="AE3979">
        <v>-2.5498999999999801</v>
      </c>
      <c r="AF3979">
        <v>1.8739479019081</v>
      </c>
      <c r="AG3979">
        <v>-1.109810188218</v>
      </c>
      <c r="AH3979">
        <v>42.417841591384203</v>
      </c>
      <c r="AI3979">
        <v>91.497271301999504</v>
      </c>
      <c r="AJ3979">
        <v>87.470414999975404</v>
      </c>
      <c r="AK3979">
        <v>42.473717104401203</v>
      </c>
      <c r="AL3979">
        <v>87.147750373257495</v>
      </c>
      <c r="AM3979">
        <v>90.401331865673697</v>
      </c>
      <c r="AN3979">
        <v>1.00000002692672</v>
      </c>
    </row>
    <row r="3980" spans="1:40" x14ac:dyDescent="0.25">
      <c r="A3980" t="str">
        <f>"20190312160412942"</f>
        <v>20190312160412942</v>
      </c>
      <c r="B3980" t="str">
        <f>"1552377852938633"</f>
        <v>1552377852938633</v>
      </c>
      <c r="C3980" t="s">
        <v>40</v>
      </c>
      <c r="D3980">
        <v>4.9842120000000003</v>
      </c>
      <c r="E3980">
        <v>0.51967569999999996</v>
      </c>
      <c r="F3980" t="s">
        <v>70</v>
      </c>
      <c r="G3980">
        <v>-243.95439999999999</v>
      </c>
      <c r="H3980" s="1">
        <v>7.1654200000000004E-7</v>
      </c>
      <c r="I3980">
        <v>211.2081</v>
      </c>
      <c r="J3980">
        <v>-282.55180000000001</v>
      </c>
      <c r="K3980">
        <v>1.109815</v>
      </c>
      <c r="L3980">
        <v>213.52529999999999</v>
      </c>
      <c r="M3980">
        <v>0.99981799999999998</v>
      </c>
      <c r="N3980">
        <v>0</v>
      </c>
      <c r="O3980">
        <v>-1.5790169999999999E-2</v>
      </c>
      <c r="P3980">
        <v>0.99920710000000001</v>
      </c>
      <c r="Q3980">
        <v>3.8788450000000002E-2</v>
      </c>
      <c r="R3980">
        <v>-8.99146199999999E-3</v>
      </c>
      <c r="S3980">
        <v>3.0041500000000001</v>
      </c>
      <c r="T3980">
        <v>-8.5899000000000003E-2</v>
      </c>
      <c r="U3980">
        <v>-0.1796112</v>
      </c>
      <c r="V3980">
        <v>-6.8030460000000001E-3</v>
      </c>
      <c r="W3980">
        <v>4.9486750000000003E-2</v>
      </c>
      <c r="X3980">
        <v>0.99875159999999996</v>
      </c>
      <c r="Y3980">
        <v>4.3899300000000002E-2</v>
      </c>
      <c r="Z3980">
        <v>-1.759691E-4</v>
      </c>
      <c r="AA3980">
        <v>0.99903600000000004</v>
      </c>
      <c r="AB3980">
        <v>32</v>
      </c>
      <c r="AC3980">
        <v>38.5974</v>
      </c>
      <c r="AD3980">
        <v>-1.109814283458</v>
      </c>
      <c r="AE3980">
        <v>-2.3171999999999802</v>
      </c>
      <c r="AF3980">
        <v>1.70601121889289</v>
      </c>
      <c r="AG3980">
        <v>-1.109814283458</v>
      </c>
      <c r="AH3980">
        <v>38.597381951218601</v>
      </c>
      <c r="AI3980">
        <v>91.645401414834495</v>
      </c>
      <c r="AJ3980">
        <v>87.469163518539901</v>
      </c>
      <c r="AK3980">
        <v>38.651003292424498</v>
      </c>
      <c r="AL3980">
        <v>87.163459495971097</v>
      </c>
      <c r="AM3980">
        <v>90.390267004805395</v>
      </c>
      <c r="AN3980">
        <v>0.99999998918150002</v>
      </c>
    </row>
    <row r="3981" spans="1:40" x14ac:dyDescent="0.25">
      <c r="A3981" t="str">
        <f>"20190312160412960"</f>
        <v>20190312160412960</v>
      </c>
      <c r="B3981" t="str">
        <f>"1552377852948394"</f>
        <v>1552377852948394</v>
      </c>
      <c r="C3981" t="s">
        <v>40</v>
      </c>
      <c r="D3981">
        <v>4.8859380000000003</v>
      </c>
      <c r="E3981">
        <v>0.51931549999999904</v>
      </c>
      <c r="F3981" t="s">
        <v>70</v>
      </c>
      <c r="G3981">
        <v>-246.78870000000001</v>
      </c>
      <c r="H3981" s="1">
        <v>2.2204599999999999E-6</v>
      </c>
      <c r="I3981">
        <v>211.30709999999999</v>
      </c>
      <c r="J3981">
        <v>-282.2903</v>
      </c>
      <c r="K3981">
        <v>1.109815</v>
      </c>
      <c r="L3981">
        <v>213.5213</v>
      </c>
      <c r="M3981">
        <v>0.99982009999999999</v>
      </c>
      <c r="N3981">
        <v>0</v>
      </c>
      <c r="O3981">
        <v>-1.5655079999999998E-2</v>
      </c>
      <c r="P3981">
        <v>0.9992164</v>
      </c>
      <c r="Q3981">
        <v>3.8580999999999997E-2</v>
      </c>
      <c r="R3981">
        <v>-8.8442550000000005E-3</v>
      </c>
      <c r="S3981">
        <v>3.0043030000000002</v>
      </c>
      <c r="T3981">
        <v>-9.3230489999999999E-2</v>
      </c>
      <c r="U3981">
        <v>-0.18634029999999999</v>
      </c>
      <c r="V3981">
        <v>-6.8159739999999998E-3</v>
      </c>
      <c r="W3981">
        <v>4.9281489999999997E-2</v>
      </c>
      <c r="X3981">
        <v>0.99876169999999997</v>
      </c>
      <c r="Y3981">
        <v>4.6257310000000003E-2</v>
      </c>
      <c r="Z3981">
        <v>-2.3168989999999999E-4</v>
      </c>
      <c r="AA3981">
        <v>0.99892959999999997</v>
      </c>
      <c r="AB3981">
        <v>32</v>
      </c>
      <c r="AC3981">
        <v>35.501600000000003</v>
      </c>
      <c r="AD3981">
        <v>-1.1098127795399999</v>
      </c>
      <c r="AE3981">
        <v>-2.2141999999999999</v>
      </c>
      <c r="AF3981">
        <v>1.65650382350138</v>
      </c>
      <c r="AG3981">
        <v>-1.1098127795399999</v>
      </c>
      <c r="AH3981">
        <v>35.497359095994099</v>
      </c>
      <c r="AI3981">
        <v>91.788804219973599</v>
      </c>
      <c r="AJ3981">
        <v>87.328199187203694</v>
      </c>
      <c r="AK3981">
        <v>35.553314783756299</v>
      </c>
      <c r="AL3981">
        <v>87.175234504794901</v>
      </c>
      <c r="AM3981">
        <v>90.3910046620787</v>
      </c>
      <c r="AN3981">
        <v>1.0000000280725301</v>
      </c>
    </row>
    <row r="3982" spans="1:40" x14ac:dyDescent="0.25">
      <c r="A3982" t="str">
        <f>"20190312160412976"</f>
        <v>20190312160412976</v>
      </c>
      <c r="B3982" t="str">
        <f>"1552377852968890"</f>
        <v>1552377852968890</v>
      </c>
      <c r="C3982" t="s">
        <v>40</v>
      </c>
      <c r="D3982">
        <v>4.911143</v>
      </c>
      <c r="E3982">
        <v>0.51915169999999999</v>
      </c>
      <c r="F3982" t="s">
        <v>70</v>
      </c>
      <c r="G3982">
        <v>-247.26820000000001</v>
      </c>
      <c r="H3982" s="1">
        <v>2.4720199999999999E-6</v>
      </c>
      <c r="I3982">
        <v>211.3904</v>
      </c>
      <c r="J3982">
        <v>-282.05579999999998</v>
      </c>
      <c r="K3982">
        <v>1.109818</v>
      </c>
      <c r="L3982">
        <v>213.51769999999999</v>
      </c>
      <c r="M3982">
        <v>0.99982199999999999</v>
      </c>
      <c r="N3982">
        <v>0</v>
      </c>
      <c r="O3982">
        <v>-1.552976E-2</v>
      </c>
      <c r="P3982">
        <v>0.99922060000000001</v>
      </c>
      <c r="Q3982">
        <v>3.8550750000000002E-2</v>
      </c>
      <c r="R3982">
        <v>-8.4822149999999995E-3</v>
      </c>
      <c r="S3982">
        <v>3.0044249999999999</v>
      </c>
      <c r="T3982">
        <v>-9.520721E-2</v>
      </c>
      <c r="U3982">
        <v>-0.1828003</v>
      </c>
      <c r="V3982">
        <v>-7.0531539999999998E-3</v>
      </c>
      <c r="W3982">
        <v>4.9253379999999999E-2</v>
      </c>
      <c r="X3982">
        <v>0.99876140000000002</v>
      </c>
      <c r="Y3982">
        <v>4.5207240000000003E-2</v>
      </c>
      <c r="Z3982">
        <v>-2.23945E-4</v>
      </c>
      <c r="AA3982">
        <v>0.99897760000000002</v>
      </c>
      <c r="AB3982">
        <v>32</v>
      </c>
      <c r="AC3982">
        <v>34.787599999999898</v>
      </c>
      <c r="AD3982">
        <v>-1.1098155279799999</v>
      </c>
      <c r="AE3982">
        <v>-2.1272999999999902</v>
      </c>
      <c r="AF3982">
        <v>1.5851620097418999</v>
      </c>
      <c r="AG3982">
        <v>-1.1098155279799999</v>
      </c>
      <c r="AH3982">
        <v>34.781175097021702</v>
      </c>
      <c r="AI3982">
        <v>91.825709123691098</v>
      </c>
      <c r="AJ3982">
        <v>87.390534163467294</v>
      </c>
      <c r="AK3982">
        <v>34.834961895098402</v>
      </c>
      <c r="AL3982">
        <v>87.176846934905299</v>
      </c>
      <c r="AM3982">
        <v>90.4046103892709</v>
      </c>
      <c r="AN3982">
        <v>0.99999998827636605</v>
      </c>
    </row>
    <row r="3983" spans="1:40" x14ac:dyDescent="0.25">
      <c r="A3983" t="str">
        <f>"20190312160412995"</f>
        <v>20190312160412995</v>
      </c>
      <c r="B3983" t="str">
        <f>"1552377852988408"</f>
        <v>1552377852988408</v>
      </c>
      <c r="C3983" t="s">
        <v>40</v>
      </c>
      <c r="D3983">
        <v>4.9117410000000001</v>
      </c>
      <c r="E3983">
        <v>0.51890239999999999</v>
      </c>
      <c r="F3983" t="s">
        <v>70</v>
      </c>
      <c r="G3983">
        <v>-242.59370000000001</v>
      </c>
      <c r="H3983" s="1">
        <v>-4.9033279999999996E-9</v>
      </c>
      <c r="I3983">
        <v>211.14670000000001</v>
      </c>
      <c r="J3983">
        <v>-281.79000000000002</v>
      </c>
      <c r="K3983">
        <v>1.1098250000000001</v>
      </c>
      <c r="L3983">
        <v>213.5138</v>
      </c>
      <c r="M3983">
        <v>0.99982420000000005</v>
      </c>
      <c r="N3983">
        <v>0</v>
      </c>
      <c r="O3983">
        <v>-1.538248E-2</v>
      </c>
      <c r="P3983">
        <v>0.99922420000000001</v>
      </c>
      <c r="Q3983">
        <v>3.8680869999999999E-2</v>
      </c>
      <c r="R3983">
        <v>-7.4152699999999998E-3</v>
      </c>
      <c r="S3983">
        <v>3.0040589999999998</v>
      </c>
      <c r="T3983">
        <v>-8.448493E-2</v>
      </c>
      <c r="U3983">
        <v>-0.1804962</v>
      </c>
      <c r="V3983">
        <v>-7.9732069999999995E-3</v>
      </c>
      <c r="W3983">
        <v>4.93853E-2</v>
      </c>
      <c r="X3983">
        <v>0.99874799999999997</v>
      </c>
      <c r="Y3983">
        <v>4.4601689999999999E-2</v>
      </c>
      <c r="Z3983">
        <v>-1.9439359999999999E-4</v>
      </c>
      <c r="AA3983">
        <v>0.99900480000000003</v>
      </c>
      <c r="AB3983">
        <v>32</v>
      </c>
      <c r="AC3983">
        <v>39.196300000000001</v>
      </c>
      <c r="AD3983">
        <v>-1.10982500490332</v>
      </c>
      <c r="AE3983">
        <v>-2.36709999999999</v>
      </c>
      <c r="AF3983">
        <v>1.76244110444129</v>
      </c>
      <c r="AG3983">
        <v>-1.10982500490332</v>
      </c>
      <c r="AH3983">
        <v>39.196765464791703</v>
      </c>
      <c r="AI3983">
        <v>91.620214629346705</v>
      </c>
      <c r="AJ3983">
        <v>87.425489946545795</v>
      </c>
      <c r="AK3983">
        <v>39.252061513887597</v>
      </c>
      <c r="AL3983">
        <v>87.169279366527306</v>
      </c>
      <c r="AM3983">
        <v>90.457394063176295</v>
      </c>
      <c r="AN3983">
        <v>1.00000002369497</v>
      </c>
    </row>
    <row r="3984" spans="1:40" x14ac:dyDescent="0.25">
      <c r="A3984" t="str">
        <f>"20190312160413017"</f>
        <v>20190312160413017</v>
      </c>
      <c r="B3984" t="str">
        <f>"1552377853008905"</f>
        <v>1552377853008905</v>
      </c>
      <c r="C3984" t="s">
        <v>40</v>
      </c>
      <c r="D3984">
        <v>4.8932769999999897</v>
      </c>
      <c r="E3984">
        <v>0.51892939999999999</v>
      </c>
      <c r="F3984" t="s">
        <v>70</v>
      </c>
      <c r="G3984">
        <v>-243.4254</v>
      </c>
      <c r="H3984" s="1">
        <v>4.321252E-7</v>
      </c>
      <c r="I3984">
        <v>211.27440000000001</v>
      </c>
      <c r="J3984">
        <v>-281.46559999999999</v>
      </c>
      <c r="K3984">
        <v>1.109834</v>
      </c>
      <c r="L3984">
        <v>213.50899999999999</v>
      </c>
      <c r="M3984">
        <v>0.99982729999999997</v>
      </c>
      <c r="N3984">
        <v>0</v>
      </c>
      <c r="O3984">
        <v>-1.5193450000000001E-2</v>
      </c>
      <c r="P3984">
        <v>0.99922960000000005</v>
      </c>
      <c r="Q3984">
        <v>3.8624989999999998E-2</v>
      </c>
      <c r="R3984">
        <v>-6.9937159999999996E-3</v>
      </c>
      <c r="S3984">
        <v>3.0043639999999998</v>
      </c>
      <c r="T3984">
        <v>-8.691132E-2</v>
      </c>
      <c r="U3984">
        <v>-0.17536930000000001</v>
      </c>
      <c r="V3984">
        <v>-8.2075389999999998E-3</v>
      </c>
      <c r="W3984">
        <v>4.9331970000000003E-2</v>
      </c>
      <c r="X3984">
        <v>0.99874870000000004</v>
      </c>
      <c r="Y3984">
        <v>4.3085470000000001E-2</v>
      </c>
      <c r="Z3984">
        <v>-1.8351620000000001E-4</v>
      </c>
      <c r="AA3984">
        <v>0.99907140000000005</v>
      </c>
      <c r="AB3984">
        <v>32</v>
      </c>
      <c r="AC3984">
        <v>38.040199999999999</v>
      </c>
      <c r="AD3984">
        <v>-1.1098335678747999</v>
      </c>
      <c r="AE3984">
        <v>-2.2345999999999999</v>
      </c>
      <c r="AF3984">
        <v>1.65494322215033</v>
      </c>
      <c r="AG3984">
        <v>-1.1098335678747999</v>
      </c>
      <c r="AH3984">
        <v>38.037495790510903</v>
      </c>
      <c r="AI3984">
        <v>91.669686536444701</v>
      </c>
      <c r="AJ3984">
        <v>87.508734558434895</v>
      </c>
      <c r="AK3984">
        <v>38.0896528420785</v>
      </c>
      <c r="AL3984">
        <v>87.172338573645007</v>
      </c>
      <c r="AM3984">
        <v>90.470835916400006</v>
      </c>
      <c r="AN3984">
        <v>0.99999998635610299</v>
      </c>
    </row>
    <row r="3985" spans="1:40" x14ac:dyDescent="0.25">
      <c r="A3985" t="str">
        <f>"20190312160413039"</f>
        <v>20190312160413039</v>
      </c>
      <c r="B3985" t="str">
        <f>"1552377853028426"</f>
        <v>1552377853028426</v>
      </c>
      <c r="C3985" t="s">
        <v>40</v>
      </c>
      <c r="D3985">
        <v>4.9209050000000003</v>
      </c>
      <c r="E3985">
        <v>0.51887669999999997</v>
      </c>
      <c r="F3985" t="s">
        <v>70</v>
      </c>
      <c r="G3985">
        <v>-242.40690000000001</v>
      </c>
      <c r="H3985" s="1">
        <v>-1.085343E-7</v>
      </c>
      <c r="I3985">
        <v>211.24350000000001</v>
      </c>
      <c r="J3985">
        <v>-281.1472</v>
      </c>
      <c r="K3985">
        <v>1.109837</v>
      </c>
      <c r="L3985">
        <v>213.5043</v>
      </c>
      <c r="M3985">
        <v>0.9998302</v>
      </c>
      <c r="N3985">
        <v>0</v>
      </c>
      <c r="O3985">
        <v>-1.4995700000000001E-2</v>
      </c>
      <c r="P3985">
        <v>0.9992394</v>
      </c>
      <c r="Q3985">
        <v>3.835015E-2</v>
      </c>
      <c r="R3985">
        <v>-7.0668850000000002E-3</v>
      </c>
      <c r="S3985">
        <v>3.0043639999999998</v>
      </c>
      <c r="T3985">
        <v>-8.5367559999999995E-2</v>
      </c>
      <c r="U3985">
        <v>-0.17425539999999901</v>
      </c>
      <c r="V3985">
        <v>-7.937141E-3</v>
      </c>
      <c r="W3985">
        <v>4.9059539999999999E-2</v>
      </c>
      <c r="X3985">
        <v>0.99876430000000005</v>
      </c>
      <c r="Y3985">
        <v>4.2914300000000002E-2</v>
      </c>
      <c r="Z3985">
        <v>-1.8344180000000001E-4</v>
      </c>
      <c r="AA3985">
        <v>0.99907880000000004</v>
      </c>
      <c r="AB3985">
        <v>32</v>
      </c>
      <c r="AC3985">
        <v>38.740299999999898</v>
      </c>
      <c r="AD3985">
        <v>-1.1098371085343</v>
      </c>
      <c r="AE3985">
        <v>-2.2607999999999802</v>
      </c>
      <c r="AF3985">
        <v>1.67820187474952</v>
      </c>
      <c r="AG3985">
        <v>-1.1098371085343</v>
      </c>
      <c r="AH3985">
        <v>38.738162598607602</v>
      </c>
      <c r="AI3985">
        <v>91.639521606847197</v>
      </c>
      <c r="AJ3985">
        <v>87.519402238538802</v>
      </c>
      <c r="AK3985">
        <v>38.790376918200401</v>
      </c>
      <c r="AL3985">
        <v>87.187966573424205</v>
      </c>
      <c r="AM3985">
        <v>90.455317743767196</v>
      </c>
      <c r="AN3985">
        <v>0.99999998181337701</v>
      </c>
    </row>
    <row r="3986" spans="1:40" x14ac:dyDescent="0.25">
      <c r="A3986" t="str">
        <f>"20190312160413061"</f>
        <v>20190312160413061</v>
      </c>
      <c r="B3986" t="str">
        <f>"1552377853048452"</f>
        <v>1552377853048452</v>
      </c>
      <c r="C3986" t="s">
        <v>40</v>
      </c>
      <c r="D3986">
        <v>4.9721929999999999</v>
      </c>
      <c r="E3986">
        <v>0.51886639999999995</v>
      </c>
      <c r="F3986" t="s">
        <v>70</v>
      </c>
      <c r="G3986">
        <v>-244.00550000000001</v>
      </c>
      <c r="H3986" s="1">
        <v>7.3732889999999897E-7</v>
      </c>
      <c r="I3986">
        <v>211.3545</v>
      </c>
      <c r="J3986">
        <v>-280.82670000000002</v>
      </c>
      <c r="K3986">
        <v>1.10985</v>
      </c>
      <c r="L3986">
        <v>213.49969999999999</v>
      </c>
      <c r="M3986">
        <v>0.99983330000000004</v>
      </c>
      <c r="N3986">
        <v>0</v>
      </c>
      <c r="O3986">
        <v>-1.4781600000000001E-2</v>
      </c>
      <c r="P3986">
        <v>0.99921349999999998</v>
      </c>
      <c r="Q3986">
        <v>3.908967E-2</v>
      </c>
      <c r="R3986">
        <v>-6.7113399999999997E-3</v>
      </c>
      <c r="S3986">
        <v>3.0044559999999998</v>
      </c>
      <c r="T3986">
        <v>-8.9776519999999999E-2</v>
      </c>
      <c r="U3986">
        <v>-0.17390439999999999</v>
      </c>
      <c r="V3986">
        <v>-8.0806719999999901E-3</v>
      </c>
      <c r="W3986">
        <v>4.980155E-2</v>
      </c>
      <c r="X3986">
        <v>0.99872640000000001</v>
      </c>
      <c r="Y3986">
        <v>4.3008850000000001E-2</v>
      </c>
      <c r="Z3986">
        <v>-2.0070679999999999E-4</v>
      </c>
      <c r="AA3986">
        <v>0.99907469999999998</v>
      </c>
      <c r="AB3986">
        <v>32</v>
      </c>
      <c r="AC3986">
        <v>36.821199999999997</v>
      </c>
      <c r="AD3986">
        <v>-1.1098492626711001</v>
      </c>
      <c r="AE3986">
        <v>-2.14519999999998</v>
      </c>
      <c r="AF3986">
        <v>1.5992100952703601</v>
      </c>
      <c r="AG3986">
        <v>-1.1098492626711001</v>
      </c>
      <c r="AH3986">
        <v>36.815553650871699</v>
      </c>
      <c r="AI3986">
        <v>91.725101622702496</v>
      </c>
      <c r="AJ3986">
        <v>87.512724536009102</v>
      </c>
      <c r="AK3986">
        <v>36.866980198205503</v>
      </c>
      <c r="AL3986">
        <v>87.145400424657893</v>
      </c>
      <c r="AM3986">
        <v>90.463568699712894</v>
      </c>
      <c r="AN3986">
        <v>0.99999995684966603</v>
      </c>
    </row>
    <row r="3987" spans="1:40" x14ac:dyDescent="0.25">
      <c r="A3987" t="str">
        <f>"20190312160413095"</f>
        <v>20190312160413095</v>
      </c>
      <c r="B3987" t="str">
        <f>"1552377853088471"</f>
        <v>1552377853088471</v>
      </c>
      <c r="C3987" t="s">
        <v>40</v>
      </c>
      <c r="D3987">
        <v>4.9280210000000002</v>
      </c>
      <c r="E3987">
        <v>0.51912309999999995</v>
      </c>
      <c r="F3987" t="s">
        <v>70</v>
      </c>
      <c r="G3987">
        <v>-241.32579999999999</v>
      </c>
      <c r="H3987" s="1">
        <v>-6.8305740000000002E-7</v>
      </c>
      <c r="I3987">
        <v>211.22620000000001</v>
      </c>
      <c r="J3987">
        <v>-280.3372</v>
      </c>
      <c r="K3987">
        <v>1.1098650000000001</v>
      </c>
      <c r="L3987">
        <v>213.49289999999999</v>
      </c>
      <c r="M3987">
        <v>0.99983849999999996</v>
      </c>
      <c r="N3987">
        <v>0</v>
      </c>
      <c r="O3987">
        <v>-1.4423399999999999E-2</v>
      </c>
      <c r="P3987">
        <v>0.99918649999999998</v>
      </c>
      <c r="Q3987">
        <v>3.9882059999999997E-2</v>
      </c>
      <c r="R3987">
        <v>-6.0267769999999997E-3</v>
      </c>
      <c r="S3987">
        <v>3.004486</v>
      </c>
      <c r="T3987">
        <v>-8.4416630000000006E-2</v>
      </c>
      <c r="U3987">
        <v>-0.1729279</v>
      </c>
      <c r="V3987">
        <v>-8.4089330000000004E-3</v>
      </c>
      <c r="W3987">
        <v>5.059781E-2</v>
      </c>
      <c r="X3987">
        <v>0.99868369999999995</v>
      </c>
      <c r="Y3987">
        <v>4.3043820000000003E-2</v>
      </c>
      <c r="Z3987">
        <v>-1.9927080000000001E-4</v>
      </c>
      <c r="AA3987">
        <v>0.99907310000000005</v>
      </c>
      <c r="AB3987">
        <v>32</v>
      </c>
      <c r="AC3987">
        <v>39.011400000000002</v>
      </c>
      <c r="AD3987">
        <v>-1.1098656830574001</v>
      </c>
      <c r="AE3987">
        <v>-2.2666999999999802</v>
      </c>
      <c r="AF3987">
        <v>1.70238156403518</v>
      </c>
      <c r="AG3987">
        <v>-1.1098656830574001</v>
      </c>
      <c r="AH3987">
        <v>39.008569955186502</v>
      </c>
      <c r="AI3987">
        <v>91.628181912874595</v>
      </c>
      <c r="AJ3987">
        <v>87.501127918557998</v>
      </c>
      <c r="AK3987">
        <v>39.061469951509501</v>
      </c>
      <c r="AL3987">
        <v>87.099720588803905</v>
      </c>
      <c r="AM3987">
        <v>90.482419995111997</v>
      </c>
      <c r="AN3987">
        <v>0.99999999058834199</v>
      </c>
    </row>
    <row r="3988" spans="1:40" x14ac:dyDescent="0.25">
      <c r="A3988" t="str">
        <f>"20190312160413116"</f>
        <v>20190312160413116</v>
      </c>
      <c r="B3988" t="str">
        <f>"1552377853108964"</f>
        <v>1552377853108964</v>
      </c>
      <c r="C3988" t="s">
        <v>40</v>
      </c>
      <c r="D3988">
        <v>4.8921219999999996</v>
      </c>
      <c r="E3988">
        <v>0.51916439999999997</v>
      </c>
      <c r="F3988" t="s">
        <v>70</v>
      </c>
      <c r="G3988">
        <v>-240.01669999999999</v>
      </c>
      <c r="H3988" s="1">
        <v>-1.377426E-6</v>
      </c>
      <c r="I3988">
        <v>211.17359999999999</v>
      </c>
      <c r="J3988">
        <v>-280.01839999999999</v>
      </c>
      <c r="K3988">
        <v>1.1098790000000001</v>
      </c>
      <c r="L3988">
        <v>213.48849999999999</v>
      </c>
      <c r="M3988">
        <v>0.99984189999999995</v>
      </c>
      <c r="N3988">
        <v>0</v>
      </c>
      <c r="O3988">
        <v>-1.41745E-2</v>
      </c>
      <c r="P3988">
        <v>0.99918079999999998</v>
      </c>
      <c r="Q3988">
        <v>4.007463E-2</v>
      </c>
      <c r="R3988">
        <v>-5.6345800000000001E-3</v>
      </c>
      <c r="S3988">
        <v>3.0047299999999999</v>
      </c>
      <c r="T3988">
        <v>-8.2708599999999993E-2</v>
      </c>
      <c r="U3988">
        <v>-0.172836299999999</v>
      </c>
      <c r="V3988">
        <v>-8.5540909999999998E-3</v>
      </c>
      <c r="W3988">
        <v>5.0793070000000003E-2</v>
      </c>
      <c r="X3988">
        <v>0.99867249999999996</v>
      </c>
      <c r="Y3988">
        <v>4.3257829999999997E-2</v>
      </c>
      <c r="Z3988">
        <v>-2.050101E-4</v>
      </c>
      <c r="AA3988">
        <v>0.9990639</v>
      </c>
      <c r="AB3988">
        <v>33</v>
      </c>
      <c r="AC3988">
        <v>40.0017</v>
      </c>
      <c r="AD3988">
        <v>-1.109880377426</v>
      </c>
      <c r="AE3988">
        <v>-2.31489999999999</v>
      </c>
      <c r="AF3988">
        <v>1.7462907734319599</v>
      </c>
      <c r="AG3988">
        <v>-1.109880377426</v>
      </c>
      <c r="AH3988">
        <v>39.9998049626506</v>
      </c>
      <c r="AI3988">
        <v>91.587874748930503</v>
      </c>
      <c r="AJ3988">
        <v>87.5001979063682</v>
      </c>
      <c r="AK3988">
        <v>40.0532865438987</v>
      </c>
      <c r="AL3988">
        <v>87.088518449835703</v>
      </c>
      <c r="AM3988">
        <v>90.4907528006717</v>
      </c>
      <c r="AN3988">
        <v>0.999999935344553</v>
      </c>
    </row>
    <row r="3989" spans="1:40" x14ac:dyDescent="0.25">
      <c r="A3989" t="str">
        <f>"20190312160413138"</f>
        <v>20190312160413138</v>
      </c>
      <c r="B3989" t="str">
        <f>"1552377853128483"</f>
        <v>1552377853128483</v>
      </c>
      <c r="C3989" t="s">
        <v>40</v>
      </c>
      <c r="D3989">
        <v>4.9149279999999997</v>
      </c>
      <c r="E3989">
        <v>0.51932219999999996</v>
      </c>
      <c r="F3989" t="s">
        <v>70</v>
      </c>
      <c r="G3989">
        <v>-239.72069999999999</v>
      </c>
      <c r="H3989" s="1">
        <v>3.7861449999999998E-6</v>
      </c>
      <c r="I3989">
        <v>211.1831</v>
      </c>
      <c r="J3989">
        <v>-279.70069999999998</v>
      </c>
      <c r="K3989">
        <v>1.1098969999999999</v>
      </c>
      <c r="L3989">
        <v>213.48429999999999</v>
      </c>
      <c r="M3989">
        <v>0.9998456</v>
      </c>
      <c r="N3989">
        <v>0</v>
      </c>
      <c r="O3989">
        <v>-1.391775E-2</v>
      </c>
      <c r="P3989">
        <v>0.9992027</v>
      </c>
      <c r="Q3989">
        <v>3.9637360000000003E-2</v>
      </c>
      <c r="R3989">
        <v>-4.8034239999999997E-3</v>
      </c>
      <c r="S3989">
        <v>3.0048219999999999</v>
      </c>
      <c r="T3989">
        <v>-8.2758429999999994E-2</v>
      </c>
      <c r="U3989">
        <v>-0.17190549999999999</v>
      </c>
      <c r="V3989">
        <v>-9.1295449999999993E-3</v>
      </c>
      <c r="W3989">
        <v>5.0358269999999997E-2</v>
      </c>
      <c r="X3989">
        <v>0.99868950000000001</v>
      </c>
      <c r="Y3989">
        <v>4.3204069999999997E-2</v>
      </c>
      <c r="Z3989">
        <v>-2.1145189999999999E-4</v>
      </c>
      <c r="AA3989">
        <v>0.99906620000000002</v>
      </c>
      <c r="AB3989">
        <v>33</v>
      </c>
      <c r="AC3989">
        <v>39.979999999999897</v>
      </c>
      <c r="AD3989">
        <v>-1.1098932138549999</v>
      </c>
      <c r="AE3989">
        <v>-2.3011999999999899</v>
      </c>
      <c r="AF3989">
        <v>1.74317442331796</v>
      </c>
      <c r="AG3989">
        <v>-1.1098932138549999</v>
      </c>
      <c r="AH3989">
        <v>39.977448321553602</v>
      </c>
      <c r="AI3989">
        <v>91.588784351089302</v>
      </c>
      <c r="AJ3989">
        <v>87.503259583531204</v>
      </c>
      <c r="AK3989">
        <v>40.0308243022643</v>
      </c>
      <c r="AL3989">
        <v>87.113462796924395</v>
      </c>
      <c r="AM3989">
        <v>90.523756209669898</v>
      </c>
      <c r="AN3989">
        <v>1.00000001067977</v>
      </c>
    </row>
    <row r="3990" spans="1:40" x14ac:dyDescent="0.25">
      <c r="A3990" t="str">
        <f>"20190312160413161"</f>
        <v>20190312160413161</v>
      </c>
      <c r="B3990" t="str">
        <f>"1552377853159245"</f>
        <v>1552377853159245</v>
      </c>
      <c r="C3990" t="s">
        <v>40</v>
      </c>
      <c r="D3990">
        <v>4.8753979999999997</v>
      </c>
      <c r="E3990">
        <v>0.51972559999999901</v>
      </c>
      <c r="F3990" t="s">
        <v>70</v>
      </c>
      <c r="G3990">
        <v>-239.73910000000001</v>
      </c>
      <c r="H3990" s="1">
        <v>3.7944730000000002E-6</v>
      </c>
      <c r="I3990">
        <v>211.21680000000001</v>
      </c>
      <c r="J3990">
        <v>-279.37270000000001</v>
      </c>
      <c r="K3990">
        <v>1.1099000000000001</v>
      </c>
      <c r="L3990">
        <v>213.48</v>
      </c>
      <c r="M3990">
        <v>0.99984919999999999</v>
      </c>
      <c r="N3990">
        <v>0</v>
      </c>
      <c r="O3990">
        <v>-1.364626E-2</v>
      </c>
      <c r="P3990">
        <v>0.99920960000000003</v>
      </c>
      <c r="Q3990">
        <v>3.9566940000000002E-2</v>
      </c>
      <c r="R3990">
        <v>-3.8213489999999999E-3</v>
      </c>
      <c r="S3990">
        <v>3.0048520000000001</v>
      </c>
      <c r="T3990">
        <v>-8.3456639999999999E-2</v>
      </c>
      <c r="U3990">
        <v>-0.17050170000000001</v>
      </c>
      <c r="V3990">
        <v>-9.8410370000000004E-3</v>
      </c>
      <c r="W3990">
        <v>5.0290170000000002E-2</v>
      </c>
      <c r="X3990">
        <v>0.99868610000000002</v>
      </c>
      <c r="Y3990">
        <v>4.3009310000000002E-2</v>
      </c>
      <c r="Z3990">
        <v>-2.1806500000000001E-4</v>
      </c>
      <c r="AA3990">
        <v>0.99907460000000003</v>
      </c>
      <c r="AB3990">
        <v>33</v>
      </c>
      <c r="AC3990">
        <v>39.633600000000001</v>
      </c>
      <c r="AD3990">
        <v>-1.1098962055270001</v>
      </c>
      <c r="AE3990">
        <v>-2.2631999999999799</v>
      </c>
      <c r="AF3990">
        <v>1.72076256065436</v>
      </c>
      <c r="AG3990">
        <v>-1.1098962055270001</v>
      </c>
      <c r="AH3990">
        <v>39.629817637446301</v>
      </c>
      <c r="AI3990">
        <v>91.602730898728893</v>
      </c>
      <c r="AJ3990">
        <v>87.513727114958996</v>
      </c>
      <c r="AK3990">
        <v>39.682683116876603</v>
      </c>
      <c r="AL3990">
        <v>87.117369376400504</v>
      </c>
      <c r="AM3990">
        <v>90.564573430095095</v>
      </c>
      <c r="AN3990">
        <v>0.999999936770535</v>
      </c>
    </row>
    <row r="3991" spans="1:40" x14ac:dyDescent="0.25">
      <c r="A3991" t="str">
        <f>"20190312160413184"</f>
        <v>20190312160413184</v>
      </c>
      <c r="B3991" t="str">
        <f>"1552377853178767"</f>
        <v>1552377853178767</v>
      </c>
      <c r="C3991" t="s">
        <v>40</v>
      </c>
      <c r="D3991">
        <v>4.8974000000000002</v>
      </c>
      <c r="E3991">
        <v>0.52018580000000003</v>
      </c>
      <c r="F3991" t="s">
        <v>70</v>
      </c>
      <c r="G3991">
        <v>-239.0334</v>
      </c>
      <c r="H3991" s="1">
        <v>3.420289E-6</v>
      </c>
      <c r="I3991">
        <v>211.18629999999999</v>
      </c>
      <c r="J3991">
        <v>-279.0401</v>
      </c>
      <c r="K3991">
        <v>1.109899</v>
      </c>
      <c r="L3991">
        <v>213.47569999999999</v>
      </c>
      <c r="M3991">
        <v>0.99985299999999999</v>
      </c>
      <c r="N3991">
        <v>0</v>
      </c>
      <c r="O3991">
        <v>-1.3367530000000001E-2</v>
      </c>
      <c r="P3991">
        <v>0.99920920000000002</v>
      </c>
      <c r="Q3991">
        <v>3.9629030000000003E-2</v>
      </c>
      <c r="R3991">
        <v>-3.2811170000000001E-3</v>
      </c>
      <c r="S3991">
        <v>3.0050050000000001</v>
      </c>
      <c r="T3991">
        <v>-8.2679870000000003E-2</v>
      </c>
      <c r="U3991">
        <v>-0.17086789999999999</v>
      </c>
      <c r="V3991">
        <v>-1.01033999999999E-2</v>
      </c>
      <c r="W3991">
        <v>5.0355419999999998E-2</v>
      </c>
      <c r="X3991">
        <v>0.99868020000000002</v>
      </c>
      <c r="Y3991">
        <v>4.3406279999999998E-2</v>
      </c>
      <c r="Z3991">
        <v>-2.2914020000000001E-4</v>
      </c>
      <c r="AA3991">
        <v>0.99905750000000004</v>
      </c>
      <c r="AB3991">
        <v>33</v>
      </c>
      <c r="AC3991">
        <v>40.006700000000002</v>
      </c>
      <c r="AD3991">
        <v>-1.1098955797109999</v>
      </c>
      <c r="AE3991">
        <v>-2.2894000000000001</v>
      </c>
      <c r="AF3991">
        <v>1.75302899547805</v>
      </c>
      <c r="AG3991">
        <v>-1.1098955797109999</v>
      </c>
      <c r="AH3991">
        <v>40.003042163967798</v>
      </c>
      <c r="AI3991">
        <v>91.587756629276797</v>
      </c>
      <c r="AJ3991">
        <v>87.490767312855496</v>
      </c>
      <c r="AK3991">
        <v>40.056814167242898</v>
      </c>
      <c r="AL3991">
        <v>87.113626105984295</v>
      </c>
      <c r="AM3991">
        <v>90.579627422943702</v>
      </c>
      <c r="AN3991">
        <v>0.99999994444348606</v>
      </c>
    </row>
    <row r="3992" spans="1:40" x14ac:dyDescent="0.25">
      <c r="A3992" t="str">
        <f>"20190312160413206"</f>
        <v>20190312160413206</v>
      </c>
      <c r="B3992" t="str">
        <f>"1552377853199260"</f>
        <v>1552377853199260</v>
      </c>
      <c r="C3992" t="s">
        <v>40</v>
      </c>
      <c r="D3992">
        <v>4.9202760000000003</v>
      </c>
      <c r="E3992">
        <v>0.519879599999999</v>
      </c>
      <c r="F3992" t="s">
        <v>70</v>
      </c>
      <c r="G3992">
        <v>-237.11969999999999</v>
      </c>
      <c r="H3992" s="1">
        <v>2.4073880000000001E-6</v>
      </c>
      <c r="I3992">
        <v>211.06100000000001</v>
      </c>
      <c r="J3992">
        <v>-278.71710000000002</v>
      </c>
      <c r="K3992">
        <v>1.1099000000000001</v>
      </c>
      <c r="L3992">
        <v>213.4717</v>
      </c>
      <c r="M3992">
        <v>0.99985650000000004</v>
      </c>
      <c r="N3992">
        <v>0</v>
      </c>
      <c r="O3992">
        <v>-1.309536E-2</v>
      </c>
      <c r="P3992">
        <v>0.99920969999999998</v>
      </c>
      <c r="Q3992">
        <v>3.9615499999999998E-2</v>
      </c>
      <c r="R3992">
        <v>-3.2931560000000002E-3</v>
      </c>
      <c r="S3992">
        <v>3.0049739999999998</v>
      </c>
      <c r="T3992">
        <v>-7.9560640000000002E-2</v>
      </c>
      <c r="U3992">
        <v>-0.17309569999999999</v>
      </c>
      <c r="V3992">
        <v>-9.8191070000000005E-3</v>
      </c>
      <c r="W3992">
        <v>5.0344939999999998E-2</v>
      </c>
      <c r="X3992">
        <v>0.9986836</v>
      </c>
      <c r="Y3992">
        <v>4.4417409999999997E-2</v>
      </c>
      <c r="Z3992">
        <v>-2.410658E-4</v>
      </c>
      <c r="AA3992">
        <v>0.99901300000000004</v>
      </c>
      <c r="AB3992">
        <v>33</v>
      </c>
      <c r="AC3992">
        <v>41.5974</v>
      </c>
      <c r="AD3992">
        <v>-1.1098975926120001</v>
      </c>
      <c r="AE3992">
        <v>-2.4107000000000198</v>
      </c>
      <c r="AF3992">
        <v>1.86440600514747</v>
      </c>
      <c r="AG3992">
        <v>-1.1098975926120001</v>
      </c>
      <c r="AH3992">
        <v>41.595889531039802</v>
      </c>
      <c r="AI3992">
        <v>91.5269207029516</v>
      </c>
      <c r="AJ3992">
        <v>87.433613101302797</v>
      </c>
      <c r="AK3992">
        <v>41.652441804732</v>
      </c>
      <c r="AL3992">
        <v>87.114227432147302</v>
      </c>
      <c r="AM3992">
        <v>90.563316812505406</v>
      </c>
      <c r="AN3992">
        <v>0.99999998037741999</v>
      </c>
    </row>
    <row r="3993" spans="1:40" x14ac:dyDescent="0.25">
      <c r="A3993" t="str">
        <f>"20190312160413230"</f>
        <v>20190312160413230</v>
      </c>
      <c r="B3993" t="str">
        <f>"1552377853218782"</f>
        <v>1552377853218782</v>
      </c>
      <c r="C3993" t="s">
        <v>40</v>
      </c>
      <c r="D3993">
        <v>4.9734970000000001</v>
      </c>
      <c r="E3993">
        <v>0.50192429999999999</v>
      </c>
      <c r="F3993" t="s">
        <v>70</v>
      </c>
      <c r="G3993">
        <v>-236.08510000000001</v>
      </c>
      <c r="H3993" s="1">
        <v>1.857086E-6</v>
      </c>
      <c r="I3993">
        <v>211.05420000000001</v>
      </c>
      <c r="J3993">
        <v>-278.38040000000001</v>
      </c>
      <c r="K3993">
        <v>1.109901</v>
      </c>
      <c r="L3993">
        <v>213.4675</v>
      </c>
      <c r="M3993">
        <v>0.99986019999999998</v>
      </c>
      <c r="N3993">
        <v>0</v>
      </c>
      <c r="O3993">
        <v>-1.2811879999999999E-2</v>
      </c>
      <c r="P3993">
        <v>0.99924469999999999</v>
      </c>
      <c r="Q3993">
        <v>3.8734360000000002E-2</v>
      </c>
      <c r="R3993">
        <v>-3.1387590000000001E-3</v>
      </c>
      <c r="S3993">
        <v>3.0049130000000002</v>
      </c>
      <c r="T3993">
        <v>-7.8230980000000006E-2</v>
      </c>
      <c r="U3993">
        <v>-0.17039489999999999</v>
      </c>
      <c r="V3993">
        <v>-9.6904780000000006E-3</v>
      </c>
      <c r="W3993">
        <v>4.9467219999999999E-2</v>
      </c>
      <c r="X3993">
        <v>0.99872879999999997</v>
      </c>
      <c r="Y3993">
        <v>4.3807289999999999E-2</v>
      </c>
      <c r="Z3993">
        <v>-2.36486E-4</v>
      </c>
      <c r="AA3993">
        <v>0.99903989999999998</v>
      </c>
      <c r="AB3993">
        <v>33</v>
      </c>
      <c r="AC3993">
        <v>42.295299999999997</v>
      </c>
      <c r="AD3993">
        <v>-1.1098991429139999</v>
      </c>
      <c r="AE3993">
        <v>-2.4132999999999898</v>
      </c>
      <c r="AF3993">
        <v>1.86990483232307</v>
      </c>
      <c r="AG3993">
        <v>-1.1098991429139999</v>
      </c>
      <c r="AH3993">
        <v>42.293718883628898</v>
      </c>
      <c r="AI3993">
        <v>91.501781505705495</v>
      </c>
      <c r="AJ3993">
        <v>87.468467396674498</v>
      </c>
      <c r="AK3993">
        <v>42.349581783021399</v>
      </c>
      <c r="AL3993">
        <v>87.164580065835295</v>
      </c>
      <c r="AM3993">
        <v>90.555912744371099</v>
      </c>
      <c r="AN3993">
        <v>1.0000000635839099</v>
      </c>
    </row>
    <row r="3994" spans="1:40" x14ac:dyDescent="0.25">
      <c r="A3994" t="str">
        <f>"20190312160413251"</f>
        <v>20190312160413251</v>
      </c>
      <c r="B3994" t="str">
        <f>"1552377853248570"</f>
        <v>1552377853248570</v>
      </c>
      <c r="C3994" t="s">
        <v>40</v>
      </c>
      <c r="D3994">
        <v>4.9429959999999999</v>
      </c>
      <c r="E3994">
        <v>0.50310100000000002</v>
      </c>
      <c r="F3994" t="s">
        <v>43</v>
      </c>
      <c r="G3994">
        <v>-158.9014</v>
      </c>
      <c r="H3994">
        <v>-0.05</v>
      </c>
      <c r="I3994">
        <v>212.42590000000001</v>
      </c>
      <c r="J3994">
        <v>-278.05540000000002</v>
      </c>
      <c r="K3994">
        <v>1.1099000000000001</v>
      </c>
      <c r="L3994">
        <v>213.46369999999999</v>
      </c>
      <c r="M3994">
        <v>0.99986359999999996</v>
      </c>
      <c r="N3994">
        <v>0</v>
      </c>
      <c r="O3994">
        <v>-1.2539369999999999E-2</v>
      </c>
      <c r="P3994">
        <v>0.99925339999999996</v>
      </c>
      <c r="Q3994">
        <v>3.8510919999999997E-2</v>
      </c>
      <c r="R3994">
        <v>-3.1653599999999999E-3</v>
      </c>
      <c r="S3994">
        <v>3.0032960000000002</v>
      </c>
      <c r="T3994">
        <v>-2.915597E-2</v>
      </c>
      <c r="U3994">
        <v>-2.6184079999999998E-2</v>
      </c>
      <c r="V3994">
        <v>-9.3919820000000001E-3</v>
      </c>
      <c r="W3994">
        <v>4.9247190000000003E-2</v>
      </c>
      <c r="X3994">
        <v>0.99874249999999998</v>
      </c>
      <c r="Y3994">
        <v>-3.821414E-3</v>
      </c>
      <c r="Z3994">
        <v>1.4027829999999999E-4</v>
      </c>
      <c r="AA3994">
        <v>0.99999269999999996</v>
      </c>
      <c r="AB3994">
        <v>33</v>
      </c>
      <c r="AC3994">
        <v>119.154</v>
      </c>
      <c r="AD3994">
        <v>-1.1598999999999999</v>
      </c>
      <c r="AE3994">
        <v>-1.0377999999999701</v>
      </c>
      <c r="AF3994">
        <v>-0.45644077309429498</v>
      </c>
      <c r="AG3994">
        <v>-1.1598999999999999</v>
      </c>
      <c r="AH3994">
        <v>119.14635560109799</v>
      </c>
      <c r="AI3994">
        <v>90.557757620017995</v>
      </c>
      <c r="AJ3994">
        <v>90.219494770352497</v>
      </c>
      <c r="AK3994">
        <v>119.15287558096399</v>
      </c>
      <c r="AL3994">
        <v>87.177202167674807</v>
      </c>
      <c r="AM3994">
        <v>90.538782587511406</v>
      </c>
      <c r="AN3994">
        <v>1.00000003817751</v>
      </c>
    </row>
    <row r="3995" spans="1:40" x14ac:dyDescent="0.25">
      <c r="A3995" t="str">
        <f>"20190312160413272"</f>
        <v>20190312160413272</v>
      </c>
      <c r="B3995" t="str">
        <f>"1552377853269064"</f>
        <v>1552377853269064</v>
      </c>
      <c r="C3995" t="s">
        <v>40</v>
      </c>
      <c r="D3995">
        <v>4.9060629999999996</v>
      </c>
      <c r="E3995">
        <v>0.50362659999999904</v>
      </c>
      <c r="F3995" t="s">
        <v>43</v>
      </c>
      <c r="G3995">
        <v>-149.01599999999999</v>
      </c>
      <c r="H3995">
        <v>-0.05</v>
      </c>
      <c r="I3995">
        <v>211.92429999999999</v>
      </c>
      <c r="J3995">
        <v>-277.73689999999999</v>
      </c>
      <c r="K3995">
        <v>1.1099030000000001</v>
      </c>
      <c r="L3995">
        <v>213.4599</v>
      </c>
      <c r="M3995">
        <v>0.9998669</v>
      </c>
      <c r="N3995">
        <v>0</v>
      </c>
      <c r="O3995">
        <v>-1.2273299999999999E-2</v>
      </c>
      <c r="P3995">
        <v>0.99925390000000003</v>
      </c>
      <c r="Q3995">
        <v>3.8470400000000002E-2</v>
      </c>
      <c r="R3995">
        <v>-3.4569449999999999E-3</v>
      </c>
      <c r="S3995">
        <v>3.003174</v>
      </c>
      <c r="T3995">
        <v>-2.6994710000000002E-2</v>
      </c>
      <c r="U3995">
        <v>-3.5827640000000001E-2</v>
      </c>
      <c r="V3995">
        <v>-8.8347990000000008E-3</v>
      </c>
      <c r="W3995">
        <v>4.9209080000000002E-2</v>
      </c>
      <c r="X3995">
        <v>0.99874940000000001</v>
      </c>
      <c r="Y3995">
        <v>-3.4444759999999999E-4</v>
      </c>
      <c r="Z3995">
        <v>1.118654E-4</v>
      </c>
      <c r="AA3995">
        <v>0.99999990000000005</v>
      </c>
      <c r="AB3995">
        <v>33</v>
      </c>
      <c r="AC3995">
        <v>128.7209</v>
      </c>
      <c r="AD3995">
        <v>-1.1599029999999999</v>
      </c>
      <c r="AE3995">
        <v>-1.5356000000000101</v>
      </c>
      <c r="AF3995">
        <v>-4.4433570323738597E-2</v>
      </c>
      <c r="AG3995">
        <v>-1.1599029999999999</v>
      </c>
      <c r="AH3995">
        <v>128.71960133379801</v>
      </c>
      <c r="AI3995">
        <v>90.516283015240802</v>
      </c>
      <c r="AJ3995">
        <v>90.019778308204394</v>
      </c>
      <c r="AK3995">
        <v>128.72483488761401</v>
      </c>
      <c r="AL3995">
        <v>87.179388183765397</v>
      </c>
      <c r="AM3995">
        <v>90.506817318731393</v>
      </c>
      <c r="AN3995">
        <v>0.99999997561408804</v>
      </c>
    </row>
    <row r="3996" spans="1:40" x14ac:dyDescent="0.25">
      <c r="A3996" t="str">
        <f>"20190312160413295"</f>
        <v>20190312160413295</v>
      </c>
      <c r="B3996" t="str">
        <f>"1552377853288588"</f>
        <v>1552377853288588</v>
      </c>
      <c r="C3996" t="s">
        <v>40</v>
      </c>
      <c r="D3996">
        <v>4.9335579999999997</v>
      </c>
      <c r="E3996">
        <v>0.50336419999999904</v>
      </c>
      <c r="F3996" t="s">
        <v>43</v>
      </c>
      <c r="G3996">
        <v>-145.20509999999999</v>
      </c>
      <c r="H3996">
        <v>-0.05</v>
      </c>
      <c r="I3996">
        <v>211.65049999999999</v>
      </c>
      <c r="J3996">
        <v>-277.40940000000001</v>
      </c>
      <c r="K3996">
        <v>1.109907</v>
      </c>
      <c r="L3996">
        <v>213.4562</v>
      </c>
      <c r="M3996">
        <v>0.99987009999999998</v>
      </c>
      <c r="N3996">
        <v>0</v>
      </c>
      <c r="O3996">
        <v>-1.200032E-2</v>
      </c>
      <c r="P3996">
        <v>0.99925399999999998</v>
      </c>
      <c r="Q3996">
        <v>3.8447090000000003E-2</v>
      </c>
      <c r="R3996">
        <v>-3.6282530000000001E-3</v>
      </c>
      <c r="S3996">
        <v>3.0031129999999999</v>
      </c>
      <c r="T3996">
        <v>-2.628291E-2</v>
      </c>
      <c r="U3996">
        <v>-4.1000370000000001E-2</v>
      </c>
      <c r="V3996">
        <v>-8.3909509999999903E-3</v>
      </c>
      <c r="W3996">
        <v>4.9189089999999998E-2</v>
      </c>
      <c r="X3996">
        <v>0.99875429999999998</v>
      </c>
      <c r="Y3996">
        <v>1.65087E-3</v>
      </c>
      <c r="Z3996" s="1">
        <v>9.7796929999999994E-5</v>
      </c>
      <c r="AA3996">
        <v>0.99999859999999896</v>
      </c>
      <c r="AB3996">
        <v>33</v>
      </c>
      <c r="AC3996">
        <v>132.20429999999999</v>
      </c>
      <c r="AD3996">
        <v>-1.159907</v>
      </c>
      <c r="AE3996">
        <v>-1.8057000000000001</v>
      </c>
      <c r="AF3996">
        <v>0.21896735897694999</v>
      </c>
      <c r="AG3996">
        <v>-1.159907</v>
      </c>
      <c r="AH3996">
        <v>132.20627476173499</v>
      </c>
      <c r="AI3996">
        <v>90.502668875695804</v>
      </c>
      <c r="AJ3996">
        <v>89.905103641478107</v>
      </c>
      <c r="AK3996">
        <v>132.21154419084701</v>
      </c>
      <c r="AL3996">
        <v>87.180535162275106</v>
      </c>
      <c r="AM3996">
        <v>90.481354390611898</v>
      </c>
      <c r="AN3996">
        <v>1.0000000632010899</v>
      </c>
    </row>
    <row r="3997" spans="1:40" x14ac:dyDescent="0.25">
      <c r="A3997" t="str">
        <f>"20190312160413317"</f>
        <v>20190312160413317</v>
      </c>
      <c r="B3997" t="str">
        <f>"1552377853309080"</f>
        <v>1552377853309080</v>
      </c>
      <c r="C3997" t="s">
        <v>40</v>
      </c>
      <c r="D3997">
        <v>4.9136139999999999</v>
      </c>
      <c r="E3997">
        <v>0.50348479999999995</v>
      </c>
      <c r="F3997" t="s">
        <v>88</v>
      </c>
      <c r="G3997">
        <v>-107.39749999999999</v>
      </c>
      <c r="H3997">
        <v>9.5292210000000002E-2</v>
      </c>
      <c r="I3997">
        <v>211.23500000000001</v>
      </c>
      <c r="J3997">
        <v>-277.08920000000001</v>
      </c>
      <c r="K3997">
        <v>1.1099019999999999</v>
      </c>
      <c r="L3997">
        <v>213.45259999999999</v>
      </c>
      <c r="M3997">
        <v>0.99987329999999996</v>
      </c>
      <c r="N3997">
        <v>0</v>
      </c>
      <c r="O3997">
        <v>-1.1734130000000001E-2</v>
      </c>
      <c r="P3997">
        <v>0.99925399999999998</v>
      </c>
      <c r="Q3997">
        <v>3.8494599999999997E-2</v>
      </c>
      <c r="R3997">
        <v>-3.101028E-3</v>
      </c>
      <c r="S3997">
        <v>3.002777</v>
      </c>
      <c r="T3997">
        <v>-1.7919419999999998E-2</v>
      </c>
      <c r="U3997">
        <v>-3.9230349999999997E-2</v>
      </c>
      <c r="V3997">
        <v>-8.6523850000000003E-3</v>
      </c>
      <c r="W3997">
        <v>4.9239079999999998E-2</v>
      </c>
      <c r="X3997">
        <v>0.99874960000000002</v>
      </c>
      <c r="Y3997">
        <v>1.329046E-3</v>
      </c>
      <c r="Z3997" s="1">
        <v>6.6057310000000003E-5</v>
      </c>
      <c r="AA3997">
        <v>0.99999910000000003</v>
      </c>
      <c r="AB3997">
        <v>33</v>
      </c>
      <c r="AC3997">
        <v>169.6917</v>
      </c>
      <c r="AD3997">
        <v>-1.01460979</v>
      </c>
      <c r="AE3997">
        <v>-2.2175999999999698</v>
      </c>
      <c r="AF3997">
        <v>0.22613956159135201</v>
      </c>
      <c r="AG3997">
        <v>-1.01460979</v>
      </c>
      <c r="AH3997">
        <v>169.699973199407</v>
      </c>
      <c r="AI3997">
        <v>90.342558183369704</v>
      </c>
      <c r="AJ3997">
        <v>89.923648574915205</v>
      </c>
      <c r="AK3997">
        <v>169.703156941781</v>
      </c>
      <c r="AL3997">
        <v>87.177667454381407</v>
      </c>
      <c r="AM3997">
        <v>90.496353381937496</v>
      </c>
      <c r="AN3997">
        <v>1.0000000571327901</v>
      </c>
    </row>
    <row r="3998" spans="1:40" x14ac:dyDescent="0.25">
      <c r="A3998" t="str">
        <f>"20190312160413339"</f>
        <v>20190312160413339</v>
      </c>
      <c r="B3998" t="str">
        <f>"1552377853328601"</f>
        <v>1552377853328601</v>
      </c>
      <c r="C3998" t="s">
        <v>40</v>
      </c>
      <c r="D3998">
        <v>4.9375470000000004</v>
      </c>
      <c r="E3998">
        <v>0.50378630000000002</v>
      </c>
      <c r="F3998" t="s">
        <v>88</v>
      </c>
      <c r="G3998">
        <v>-107.39749999999999</v>
      </c>
      <c r="H3998">
        <v>9.8917950000000004E-2</v>
      </c>
      <c r="I3998">
        <v>211.27449999999999</v>
      </c>
      <c r="J3998">
        <v>-276.76459999999997</v>
      </c>
      <c r="K3998">
        <v>1.109901</v>
      </c>
      <c r="L3998">
        <v>213.44909999999999</v>
      </c>
      <c r="M3998">
        <v>0.9998764</v>
      </c>
      <c r="N3998">
        <v>0</v>
      </c>
      <c r="O3998">
        <v>-1.1463660000000001E-2</v>
      </c>
      <c r="P3998">
        <v>0.99925299999999995</v>
      </c>
      <c r="Q3998">
        <v>3.8554369999999998E-2</v>
      </c>
      <c r="R3998">
        <v>-2.6987669999999999E-3</v>
      </c>
      <c r="S3998">
        <v>3.0028079999999999</v>
      </c>
      <c r="T3998">
        <v>-1.7889140000000001E-2</v>
      </c>
      <c r="U3998">
        <v>-3.8543699999999903E-2</v>
      </c>
      <c r="V3998">
        <v>-8.7842779999999995E-3</v>
      </c>
      <c r="W3998">
        <v>4.9301959999999999E-2</v>
      </c>
      <c r="X3998">
        <v>0.99874529999999995</v>
      </c>
      <c r="Y3998">
        <v>1.370787E-3</v>
      </c>
      <c r="Z3998" s="1">
        <v>6.4209589999999995E-5</v>
      </c>
      <c r="AA3998">
        <v>0.99999899999999997</v>
      </c>
      <c r="AB3998">
        <v>33</v>
      </c>
      <c r="AC3998">
        <v>169.36709999999999</v>
      </c>
      <c r="AD3998">
        <v>-1.0109830500000001</v>
      </c>
      <c r="AE3998">
        <v>-2.1745999999999901</v>
      </c>
      <c r="AF3998">
        <v>0.23276955202294999</v>
      </c>
      <c r="AG3998">
        <v>-1.0109830500000001</v>
      </c>
      <c r="AH3998">
        <v>169.374865908971</v>
      </c>
      <c r="AI3998">
        <v>90.341988871927498</v>
      </c>
      <c r="AJ3998">
        <v>89.921259246687399</v>
      </c>
      <c r="AK3998">
        <v>169.378043057752</v>
      </c>
      <c r="AL3998">
        <v>87.174060183207004</v>
      </c>
      <c r="AM3998">
        <v>90.503921348117899</v>
      </c>
      <c r="AN3998">
        <v>1.0000000105359499</v>
      </c>
    </row>
    <row r="3999" spans="1:40" x14ac:dyDescent="0.25">
      <c r="A3999" t="str">
        <f>"20190312160413362"</f>
        <v>20190312160413362</v>
      </c>
      <c r="B3999" t="str">
        <f>"1552377853358386"</f>
        <v>1552377853358386</v>
      </c>
      <c r="C3999" t="s">
        <v>40</v>
      </c>
      <c r="D3999">
        <v>4.9250600000000002</v>
      </c>
      <c r="E3999">
        <v>0.50405749999999905</v>
      </c>
      <c r="F3999" t="s">
        <v>88</v>
      </c>
      <c r="G3999">
        <v>-107.39749999999999</v>
      </c>
      <c r="H3999">
        <v>0.14731</v>
      </c>
      <c r="I3999">
        <v>211.2123</v>
      </c>
      <c r="J3999">
        <v>-276.43290000000002</v>
      </c>
      <c r="K3999">
        <v>1.109899</v>
      </c>
      <c r="L3999">
        <v>213.44560000000001</v>
      </c>
      <c r="M3999">
        <v>0.99987959999999998</v>
      </c>
      <c r="N3999">
        <v>0</v>
      </c>
      <c r="O3999">
        <v>-1.1186990000000001E-2</v>
      </c>
      <c r="P3999">
        <v>0.99926340000000002</v>
      </c>
      <c r="Q3999">
        <v>3.8342699999999903E-2</v>
      </c>
      <c r="R3999">
        <v>-1.6606570000000001E-3</v>
      </c>
      <c r="S3999">
        <v>3.002777</v>
      </c>
      <c r="T3999">
        <v>-1.706529E-2</v>
      </c>
      <c r="U3999">
        <v>-3.965759E-2</v>
      </c>
      <c r="V3999">
        <v>-9.5458799999999996E-3</v>
      </c>
      <c r="W3999">
        <v>4.9092879999999998E-2</v>
      </c>
      <c r="X3999">
        <v>0.99874859999999999</v>
      </c>
      <c r="Y3999">
        <v>2.0184809999999999E-3</v>
      </c>
      <c r="Z3999" s="1">
        <v>5.7840370000000001E-5</v>
      </c>
      <c r="AA3999">
        <v>0.99999800000000005</v>
      </c>
      <c r="AB3999">
        <v>33</v>
      </c>
      <c r="AC3999">
        <v>169.03540000000001</v>
      </c>
      <c r="AD3999">
        <v>-0.96258900000000003</v>
      </c>
      <c r="AE3999">
        <v>-2.2333000000000101</v>
      </c>
      <c r="AF3999">
        <v>0.34204246881011402</v>
      </c>
      <c r="AG3999">
        <v>-0.96258900000000003</v>
      </c>
      <c r="AH3999">
        <v>169.04432561892301</v>
      </c>
      <c r="AI3999">
        <v>90.326255128142606</v>
      </c>
      <c r="AJ3999">
        <v>89.884068494695001</v>
      </c>
      <c r="AK3999">
        <v>169.04741226824399</v>
      </c>
      <c r="AL3999">
        <v>87.186054079747095</v>
      </c>
      <c r="AM3999">
        <v>90.547607257669199</v>
      </c>
      <c r="AN3999">
        <v>1.0000000003468099</v>
      </c>
    </row>
    <row r="4000" spans="1:40" x14ac:dyDescent="0.25">
      <c r="A4000" t="str">
        <f>"20190312160413385"</f>
        <v>20190312160413385</v>
      </c>
      <c r="B4000" t="str">
        <f>"1552377853378882"</f>
        <v>1552377853378882</v>
      </c>
      <c r="C4000" t="s">
        <v>40</v>
      </c>
      <c r="D4000">
        <v>4.9702359999999999</v>
      </c>
      <c r="E4000">
        <v>0.50431550000000003</v>
      </c>
      <c r="F4000" t="s">
        <v>88</v>
      </c>
      <c r="G4000">
        <v>-107.39749999999999</v>
      </c>
      <c r="H4000">
        <v>0.1073557</v>
      </c>
      <c r="I4000">
        <v>211.2544</v>
      </c>
      <c r="J4000">
        <v>-276.08510000000001</v>
      </c>
      <c r="K4000">
        <v>1.1098969999999999</v>
      </c>
      <c r="L4000">
        <v>213.44200000000001</v>
      </c>
      <c r="M4000">
        <v>0.99988279999999996</v>
      </c>
      <c r="N4000">
        <v>0</v>
      </c>
      <c r="O4000">
        <v>-1.089649E-2</v>
      </c>
      <c r="P4000">
        <v>0.99926700000000002</v>
      </c>
      <c r="Q4000">
        <v>3.8284400000000003E-2</v>
      </c>
      <c r="R4000">
        <v>-4.4929790000000001E-4</v>
      </c>
      <c r="S4000">
        <v>3.0028079999999999</v>
      </c>
      <c r="T4000">
        <v>-1.780868E-2</v>
      </c>
      <c r="U4000">
        <v>-3.8925170000000002E-2</v>
      </c>
      <c r="V4000">
        <v>-1.0466960000000001E-2</v>
      </c>
      <c r="W4000">
        <v>4.9036209999999997E-2</v>
      </c>
      <c r="X4000">
        <v>0.99874220000000002</v>
      </c>
      <c r="Y4000">
        <v>2.0650199999999999E-3</v>
      </c>
      <c r="Z4000" s="1">
        <v>5.8498719999999903E-5</v>
      </c>
      <c r="AA4000">
        <v>0.9999979</v>
      </c>
      <c r="AB4000">
        <v>33</v>
      </c>
      <c r="AC4000">
        <v>168.6876</v>
      </c>
      <c r="AD4000">
        <v>-1.0025413000000001</v>
      </c>
      <c r="AE4000">
        <v>-2.1876000000000002</v>
      </c>
      <c r="AF4000">
        <v>0.34924872995588102</v>
      </c>
      <c r="AG4000">
        <v>-1.0025413000000001</v>
      </c>
      <c r="AH4000">
        <v>168.695465087858</v>
      </c>
      <c r="AI4000">
        <v>90.340498696428995</v>
      </c>
      <c r="AJ4000">
        <v>89.881381223689502</v>
      </c>
      <c r="AK4000">
        <v>168.698805582441</v>
      </c>
      <c r="AL4000">
        <v>87.189305071370697</v>
      </c>
      <c r="AM4000">
        <v>90.600445918501194</v>
      </c>
      <c r="AN4000">
        <v>1.00000004460182</v>
      </c>
    </row>
    <row r="4001" spans="1:40" x14ac:dyDescent="0.25">
      <c r="A4001" t="str">
        <f>"20190312160413407"</f>
        <v>20190312160413407</v>
      </c>
      <c r="B4001" t="str">
        <f>"1552377853398402"</f>
        <v>1552377853398402</v>
      </c>
      <c r="C4001" t="s">
        <v>40</v>
      </c>
      <c r="D4001">
        <v>4.8539729999999999</v>
      </c>
      <c r="E4001">
        <v>0.50439579999999995</v>
      </c>
      <c r="F4001" t="s">
        <v>43</v>
      </c>
      <c r="G4001">
        <v>-98.964939999999999</v>
      </c>
      <c r="H4001">
        <v>-0.05</v>
      </c>
      <c r="I4001">
        <v>211.23159999999999</v>
      </c>
      <c r="J4001">
        <v>-275.77170000000001</v>
      </c>
      <c r="K4001">
        <v>1.109899</v>
      </c>
      <c r="L4001">
        <v>213.43879999999999</v>
      </c>
      <c r="M4001">
        <v>0.99988540000000004</v>
      </c>
      <c r="N4001">
        <v>0</v>
      </c>
      <c r="O4001">
        <v>-1.0634360000000001E-2</v>
      </c>
      <c r="P4001">
        <v>0.99929579999999996</v>
      </c>
      <c r="Q4001">
        <v>3.751968E-2</v>
      </c>
      <c r="R4001">
        <v>4.9036279999999999E-4</v>
      </c>
      <c r="S4001">
        <v>3.0029300000000001</v>
      </c>
      <c r="T4001">
        <v>-1.9665120000000001E-2</v>
      </c>
      <c r="U4001">
        <v>-3.7475590000000003E-2</v>
      </c>
      <c r="V4001">
        <v>-1.1144569999999999E-2</v>
      </c>
      <c r="W4001">
        <v>4.8274640000000001E-2</v>
      </c>
      <c r="X4001">
        <v>0.99877190000000005</v>
      </c>
      <c r="Y4001">
        <v>1.844037E-3</v>
      </c>
      <c r="Z4001" s="1">
        <v>6.3601430000000006E-5</v>
      </c>
      <c r="AA4001">
        <v>0.99999830000000001</v>
      </c>
      <c r="AB4001">
        <v>33</v>
      </c>
      <c r="AC4001">
        <v>176.80676</v>
      </c>
      <c r="AD4001">
        <v>-1.159899</v>
      </c>
      <c r="AE4001">
        <v>-2.2071999999999998</v>
      </c>
      <c r="AF4001">
        <v>0.326725226821038</v>
      </c>
      <c r="AG4001">
        <v>-1.159899</v>
      </c>
      <c r="AH4001">
        <v>176.81262626421201</v>
      </c>
      <c r="AI4001">
        <v>90.375856928435496</v>
      </c>
      <c r="AJ4001">
        <v>89.894125461253196</v>
      </c>
      <c r="AK4001">
        <v>176.81673258352001</v>
      </c>
      <c r="AL4001">
        <v>87.232991366544894</v>
      </c>
      <c r="AM4001">
        <v>90.639295445421695</v>
      </c>
      <c r="AN4001">
        <v>0.99999997526861195</v>
      </c>
    </row>
    <row r="4002" spans="1:40" x14ac:dyDescent="0.25">
      <c r="A4002" t="str">
        <f>"20190312160413430"</f>
        <v>20190312160413430</v>
      </c>
      <c r="B4002" t="str">
        <f>"1552377853418898"</f>
        <v>1552377853418898</v>
      </c>
      <c r="C4002" t="s">
        <v>40</v>
      </c>
      <c r="D4002">
        <v>4.9126750000000001</v>
      </c>
      <c r="E4002">
        <v>0.50437500000000002</v>
      </c>
      <c r="F4002" t="s">
        <v>43</v>
      </c>
      <c r="G4002">
        <v>-116.31270000000001</v>
      </c>
      <c r="H4002">
        <v>-0.05</v>
      </c>
      <c r="I4002">
        <v>211.57849999999999</v>
      </c>
      <c r="J4002">
        <v>-275.43860000000001</v>
      </c>
      <c r="K4002">
        <v>1.1098969999999999</v>
      </c>
      <c r="L4002">
        <v>213.43559999999999</v>
      </c>
      <c r="M4002">
        <v>0.99988840000000001</v>
      </c>
      <c r="N4002">
        <v>0</v>
      </c>
      <c r="O4002">
        <v>-1.035554E-2</v>
      </c>
      <c r="P4002">
        <v>0.99930209999999997</v>
      </c>
      <c r="Q4002">
        <v>3.7347489999999997E-2</v>
      </c>
      <c r="R4002">
        <v>6.2175429999999996E-4</v>
      </c>
      <c r="S4002">
        <v>3.0029300000000001</v>
      </c>
      <c r="T4002">
        <v>-2.1843189999999998E-2</v>
      </c>
      <c r="U4002">
        <v>-3.5034179999999998E-2</v>
      </c>
      <c r="V4002">
        <v>-1.099703E-2</v>
      </c>
      <c r="W4002">
        <v>4.810557E-2</v>
      </c>
      <c r="X4002">
        <v>0.99878169999999999</v>
      </c>
      <c r="Y4002">
        <v>1.3100469999999999E-3</v>
      </c>
      <c r="Z4002" s="1">
        <v>7.0560109999999996E-5</v>
      </c>
      <c r="AA4002">
        <v>0.99999919999999998</v>
      </c>
      <c r="AB4002">
        <v>33</v>
      </c>
      <c r="AC4002">
        <v>159.1259</v>
      </c>
      <c r="AD4002">
        <v>-1.159897</v>
      </c>
      <c r="AE4002">
        <v>-1.8571</v>
      </c>
      <c r="AF4002">
        <v>0.20905914014653901</v>
      </c>
      <c r="AG4002">
        <v>-1.159897</v>
      </c>
      <c r="AH4002">
        <v>159.128145397965</v>
      </c>
      <c r="AI4002">
        <v>90.417625482409704</v>
      </c>
      <c r="AJ4002">
        <v>89.924726078610604</v>
      </c>
      <c r="AK4002">
        <v>159.132509954976</v>
      </c>
      <c r="AL4002">
        <v>87.242689651521502</v>
      </c>
      <c r="AM4002">
        <v>90.630826482289194</v>
      </c>
      <c r="AN4002">
        <v>0.99999998239436705</v>
      </c>
    </row>
    <row r="4003" spans="1:40" x14ac:dyDescent="0.25">
      <c r="A4003" t="str">
        <f>"20190312160413452"</f>
        <v>20190312160413452</v>
      </c>
      <c r="B4003" t="str">
        <f>"1552377853448684"</f>
        <v>1552377853448684</v>
      </c>
      <c r="C4003" t="s">
        <v>40</v>
      </c>
      <c r="D4003">
        <v>4.9305709999999996</v>
      </c>
      <c r="E4003">
        <v>0.50462850000000004</v>
      </c>
      <c r="F4003" t="s">
        <v>43</v>
      </c>
      <c r="G4003">
        <v>-136.05000000000001</v>
      </c>
      <c r="H4003">
        <v>-0.05</v>
      </c>
      <c r="I4003">
        <v>211.8279</v>
      </c>
      <c r="J4003">
        <v>-275.11149999999998</v>
      </c>
      <c r="K4003">
        <v>1.1098859999999999</v>
      </c>
      <c r="L4003">
        <v>213.4325</v>
      </c>
      <c r="M4003">
        <v>0.99989119999999998</v>
      </c>
      <c r="N4003">
        <v>0</v>
      </c>
      <c r="O4003">
        <v>-1.0081379999999999E-2</v>
      </c>
      <c r="P4003">
        <v>0.99930160000000001</v>
      </c>
      <c r="Q4003">
        <v>3.7350830000000002E-2</v>
      </c>
      <c r="R4003">
        <v>1.070346E-3</v>
      </c>
      <c r="S4003">
        <v>3.003082</v>
      </c>
      <c r="T4003">
        <v>-2.4989600000000001E-2</v>
      </c>
      <c r="U4003">
        <v>-3.463745E-2</v>
      </c>
      <c r="V4003">
        <v>-1.117229E-2</v>
      </c>
      <c r="W4003">
        <v>4.8111279999999999E-2</v>
      </c>
      <c r="X4003">
        <v>0.99877950000000004</v>
      </c>
      <c r="Y4003">
        <v>1.45162E-3</v>
      </c>
      <c r="Z4003" s="1">
        <v>7.7849320000000002E-5</v>
      </c>
      <c r="AA4003">
        <v>0.99999890000000002</v>
      </c>
      <c r="AB4003">
        <v>33</v>
      </c>
      <c r="AC4003">
        <v>139.061499999999</v>
      </c>
      <c r="AD4003">
        <v>-1.159886</v>
      </c>
      <c r="AE4003">
        <v>-1.6046</v>
      </c>
      <c r="AF4003">
        <v>0.202491250364183</v>
      </c>
      <c r="AG4003">
        <v>-1.159886</v>
      </c>
      <c r="AH4003">
        <v>139.06093675204301</v>
      </c>
      <c r="AI4003">
        <v>90.4778837433512</v>
      </c>
      <c r="AJ4003">
        <v>89.916569770740296</v>
      </c>
      <c r="AK4003">
        <v>139.065921305671</v>
      </c>
      <c r="AL4003">
        <v>87.242362168778897</v>
      </c>
      <c r="AM4003">
        <v>90.640880562611699</v>
      </c>
      <c r="AN4003">
        <v>1.0000000024736599</v>
      </c>
    </row>
    <row r="4004" spans="1:40" x14ac:dyDescent="0.25">
      <c r="A4004" t="str">
        <f>"20190312160413475"</f>
        <v>20190312160413475</v>
      </c>
      <c r="B4004" t="str">
        <f>"1552377853469180"</f>
        <v>1552377853469180</v>
      </c>
      <c r="C4004" t="s">
        <v>40</v>
      </c>
      <c r="D4004">
        <v>4.8699339999999998</v>
      </c>
      <c r="E4004">
        <v>0.50456849999999998</v>
      </c>
      <c r="F4004" t="s">
        <v>43</v>
      </c>
      <c r="G4004">
        <v>-130.81</v>
      </c>
      <c r="H4004">
        <v>-0.05</v>
      </c>
      <c r="I4004">
        <v>211.7336</v>
      </c>
      <c r="J4004">
        <v>-274.77809999999999</v>
      </c>
      <c r="K4004">
        <v>1.10989</v>
      </c>
      <c r="L4004">
        <v>213.42939999999999</v>
      </c>
      <c r="M4004">
        <v>0.99989399999999995</v>
      </c>
      <c r="N4004">
        <v>0</v>
      </c>
      <c r="O4004">
        <v>-9.8018510000000003E-3</v>
      </c>
      <c r="P4004">
        <v>0.99929559999999995</v>
      </c>
      <c r="Q4004">
        <v>3.7503599999999998E-2</v>
      </c>
      <c r="R4004">
        <v>1.497705E-3</v>
      </c>
      <c r="S4004">
        <v>3.0030209999999999</v>
      </c>
      <c r="T4004">
        <v>-2.4138090000000001E-2</v>
      </c>
      <c r="U4004">
        <v>-3.5354610000000002E-2</v>
      </c>
      <c r="V4004">
        <v>-1.1319839999999999E-2</v>
      </c>
      <c r="W4004">
        <v>4.8266549999999998E-2</v>
      </c>
      <c r="X4004">
        <v>0.99877039999999995</v>
      </c>
      <c r="Y4004">
        <v>1.9701480000000001E-3</v>
      </c>
      <c r="Z4004" s="1">
        <v>7.0867589999999998E-5</v>
      </c>
      <c r="AA4004">
        <v>0.99999800000000005</v>
      </c>
      <c r="AB4004">
        <v>33</v>
      </c>
      <c r="AC4004">
        <v>143.96809999999999</v>
      </c>
      <c r="AD4004">
        <v>-1.1598899999999901</v>
      </c>
      <c r="AE4004">
        <v>-1.69579999999999</v>
      </c>
      <c r="AF4004">
        <v>0.28446440670744999</v>
      </c>
      <c r="AG4004">
        <v>-1.1598899999999901</v>
      </c>
      <c r="AH4004">
        <v>143.96846254489401</v>
      </c>
      <c r="AI4004">
        <v>90.461595775914702</v>
      </c>
      <c r="AJ4004">
        <v>89.886790562130798</v>
      </c>
      <c r="AK4004">
        <v>143.973415852898</v>
      </c>
      <c r="AL4004">
        <v>87.233455651877307</v>
      </c>
      <c r="AM4004">
        <v>90.649349728367994</v>
      </c>
      <c r="AN4004">
        <v>1.0000000552713399</v>
      </c>
    </row>
    <row r="4005" spans="1:40" x14ac:dyDescent="0.25">
      <c r="A4005" t="str">
        <f>"20190312160413496"</f>
        <v>20190312160413496</v>
      </c>
      <c r="B4005" t="str">
        <f>"1552377853488702"</f>
        <v>1552377853488702</v>
      </c>
      <c r="C4005" t="s">
        <v>40</v>
      </c>
      <c r="D4005">
        <v>4.6533379999999998</v>
      </c>
      <c r="E4005">
        <v>0.50256520000000005</v>
      </c>
      <c r="F4005" t="s">
        <v>43</v>
      </c>
      <c r="G4005">
        <v>-128.3749</v>
      </c>
      <c r="H4005">
        <v>-0.05</v>
      </c>
      <c r="I4005">
        <v>211.7928</v>
      </c>
      <c r="J4005">
        <v>-274.46179999999998</v>
      </c>
      <c r="K4005">
        <v>1.109888</v>
      </c>
      <c r="L4005">
        <v>213.4265</v>
      </c>
      <c r="M4005">
        <v>0.99989640000000002</v>
      </c>
      <c r="N4005">
        <v>0</v>
      </c>
      <c r="O4005">
        <v>-9.5366259999999994E-3</v>
      </c>
      <c r="P4005">
        <v>0.99930350000000001</v>
      </c>
      <c r="Q4005">
        <v>3.728687E-2</v>
      </c>
      <c r="R4005">
        <v>1.5384649999999999E-3</v>
      </c>
      <c r="S4005">
        <v>3.0030519999999998</v>
      </c>
      <c r="T4005">
        <v>-2.3791909999999999E-2</v>
      </c>
      <c r="U4005">
        <v>-3.3569340000000003E-2</v>
      </c>
      <c r="V4005">
        <v>-1.109564E-2</v>
      </c>
      <c r="W4005">
        <v>4.8052699999999997E-2</v>
      </c>
      <c r="X4005">
        <v>0.99878319999999998</v>
      </c>
      <c r="Y4005">
        <v>1.6408639999999999E-3</v>
      </c>
      <c r="Z4005" s="1">
        <v>6.9053999999999898E-5</v>
      </c>
      <c r="AA4005">
        <v>0.99999859999999896</v>
      </c>
      <c r="AB4005">
        <v>33</v>
      </c>
      <c r="AC4005">
        <v>146.08690000000001</v>
      </c>
      <c r="AD4005">
        <v>-1.159888</v>
      </c>
      <c r="AE4005">
        <v>-1.6336999999999999</v>
      </c>
      <c r="AF4005">
        <v>0.24035344099867501</v>
      </c>
      <c r="AG4005">
        <v>-1.159888</v>
      </c>
      <c r="AH4005">
        <v>146.08662885956301</v>
      </c>
      <c r="AI4005">
        <v>90.454902692173903</v>
      </c>
      <c r="AJ4005">
        <v>89.905732472285806</v>
      </c>
      <c r="AK4005">
        <v>146.09143110224099</v>
      </c>
      <c r="AL4005">
        <v>87.245722512147196</v>
      </c>
      <c r="AM4005">
        <v>90.636481663153106</v>
      </c>
      <c r="AN4005">
        <v>1.0000000279032599</v>
      </c>
    </row>
    <row r="4006" spans="1:40" x14ac:dyDescent="0.25">
      <c r="A4006" t="str">
        <f>"20190312160413843"</f>
        <v>20190312160413843</v>
      </c>
      <c r="B4006" t="str">
        <f>"1552377853838509"</f>
        <v>1552377853838509</v>
      </c>
      <c r="C4006" t="s">
        <v>40</v>
      </c>
      <c r="D4006">
        <v>5.0286099999999996</v>
      </c>
      <c r="E4006">
        <v>0.524648</v>
      </c>
      <c r="F4006" t="s">
        <v>43</v>
      </c>
      <c r="G4006">
        <v>-102.0081</v>
      </c>
      <c r="H4006">
        <v>-0.05</v>
      </c>
      <c r="I4006">
        <v>212.42930000000001</v>
      </c>
      <c r="J4006">
        <v>-269.31959999999998</v>
      </c>
      <c r="K4006">
        <v>1.1098889999999999</v>
      </c>
      <c r="L4006">
        <v>213.3922</v>
      </c>
      <c r="M4006">
        <v>0.99992760000000003</v>
      </c>
      <c r="N4006">
        <v>0</v>
      </c>
      <c r="O4006">
        <v>-5.2349889999999998E-3</v>
      </c>
      <c r="P4006">
        <v>0.99928839999999997</v>
      </c>
      <c r="Q4006">
        <v>3.7218389999999997E-2</v>
      </c>
      <c r="R4006">
        <v>6.0870940000000004E-3</v>
      </c>
      <c r="S4006">
        <v>3.002869</v>
      </c>
      <c r="T4006">
        <v>-2.0196680000000002E-2</v>
      </c>
      <c r="U4006">
        <v>-1.7364500000000001E-2</v>
      </c>
      <c r="V4006">
        <v>-1.134569E-2</v>
      </c>
      <c r="W4006">
        <v>4.802555E-2</v>
      </c>
      <c r="X4006">
        <v>0.99878169999999999</v>
      </c>
      <c r="Y4006">
        <v>5.4735989999999996E-4</v>
      </c>
      <c r="Z4006" s="1">
        <v>3.33699E-5</v>
      </c>
      <c r="AA4006">
        <v>0.99999979999999999</v>
      </c>
      <c r="AB4006">
        <v>33</v>
      </c>
      <c r="AC4006">
        <v>167.311499999999</v>
      </c>
      <c r="AD4006">
        <v>-1.1598889999999999</v>
      </c>
      <c r="AE4006">
        <v>-0.96289999999998999</v>
      </c>
      <c r="AF4006">
        <v>8.69573493001045E-2</v>
      </c>
      <c r="AG4006">
        <v>-1.1598889999999999</v>
      </c>
      <c r="AH4006">
        <v>167.30620776302999</v>
      </c>
      <c r="AI4006">
        <v>90.397209832490603</v>
      </c>
      <c r="AJ4006">
        <v>89.970220539150802</v>
      </c>
      <c r="AK4006">
        <v>167.31025091164901</v>
      </c>
      <c r="AL4006">
        <v>87.247279899648603</v>
      </c>
      <c r="AM4006">
        <v>90.650825094023403</v>
      </c>
      <c r="AN4006">
        <v>1.00000003119463</v>
      </c>
    </row>
    <row r="4007" spans="1:40" x14ac:dyDescent="0.25">
      <c r="A4007" t="str">
        <f>"20190312160413865"</f>
        <v>20190312160413865</v>
      </c>
      <c r="B4007" t="str">
        <f>"1552377853859003"</f>
        <v>1552377853859003</v>
      </c>
      <c r="C4007" t="s">
        <v>40</v>
      </c>
      <c r="D4007">
        <v>5.0425199999999997</v>
      </c>
      <c r="E4007">
        <v>0.52521809999999902</v>
      </c>
      <c r="F4007" t="s">
        <v>55</v>
      </c>
      <c r="G4007">
        <v>-168.4194</v>
      </c>
      <c r="H4007">
        <v>27.968340000000001</v>
      </c>
      <c r="I4007">
        <v>207.6189</v>
      </c>
      <c r="J4007">
        <v>-268.98880000000003</v>
      </c>
      <c r="K4007">
        <v>1.10989</v>
      </c>
      <c r="L4007">
        <v>213.39070000000001</v>
      </c>
      <c r="M4007">
        <v>0.99992910000000002</v>
      </c>
      <c r="N4007">
        <v>0</v>
      </c>
      <c r="O4007">
        <v>-4.9587980000000004E-3</v>
      </c>
      <c r="P4007">
        <v>0.99926150000000002</v>
      </c>
      <c r="Q4007">
        <v>3.7846980000000002E-2</v>
      </c>
      <c r="R4007">
        <v>6.6761569999999899E-3</v>
      </c>
      <c r="S4007">
        <v>2.9737239999999998</v>
      </c>
      <c r="T4007">
        <v>0.79157140000000004</v>
      </c>
      <c r="U4007">
        <v>-0.17015079999999999</v>
      </c>
      <c r="V4007">
        <v>-1.1659660000000001E-2</v>
      </c>
      <c r="W4007">
        <v>4.8656619999999998E-2</v>
      </c>
      <c r="X4007">
        <v>0.99874750000000001</v>
      </c>
      <c r="Y4007">
        <v>5.0589229999999999E-2</v>
      </c>
      <c r="Z4007">
        <v>5.3163689999999996E-3</v>
      </c>
      <c r="AA4007">
        <v>0.99870539999999997</v>
      </c>
      <c r="AB4007">
        <v>33</v>
      </c>
      <c r="AC4007">
        <v>100.5694</v>
      </c>
      <c r="AD4007">
        <v>26.858450000000001</v>
      </c>
      <c r="AE4007">
        <v>-5.7718000000000096</v>
      </c>
      <c r="AF4007">
        <v>4.92302388834353</v>
      </c>
      <c r="AG4007">
        <v>26.858450000000001</v>
      </c>
      <c r="AH4007">
        <v>93.920105090603698</v>
      </c>
      <c r="AI4007">
        <v>74.061760158202205</v>
      </c>
      <c r="AJ4007">
        <v>86.999464780174193</v>
      </c>
      <c r="AK4007">
        <v>97.808990593082697</v>
      </c>
      <c r="AL4007">
        <v>87.211079820061201</v>
      </c>
      <c r="AM4007">
        <v>90.668856704835306</v>
      </c>
      <c r="AN4007">
        <v>0.99999999154869501</v>
      </c>
    </row>
    <row r="4008" spans="1:40" x14ac:dyDescent="0.25">
      <c r="A4008" t="str">
        <f>"20190312160413887"</f>
        <v>20190312160413887</v>
      </c>
      <c r="B4008" t="str">
        <f>"1552377853878524"</f>
        <v>1552377853878524</v>
      </c>
      <c r="C4008" t="s">
        <v>40</v>
      </c>
      <c r="D4008">
        <v>5.0318759999999996</v>
      </c>
      <c r="E4008">
        <v>0.52566729999999995</v>
      </c>
      <c r="F4008" t="s">
        <v>55</v>
      </c>
      <c r="G4008">
        <v>-168.4195</v>
      </c>
      <c r="H4008">
        <v>28.284749999999999</v>
      </c>
      <c r="I4008">
        <v>207.53469999999999</v>
      </c>
      <c r="J4008">
        <v>-268.6644</v>
      </c>
      <c r="K4008">
        <v>1.109896</v>
      </c>
      <c r="L4008">
        <v>213.38939999999999</v>
      </c>
      <c r="M4008">
        <v>0.9999304</v>
      </c>
      <c r="N4008">
        <v>0</v>
      </c>
      <c r="O4008">
        <v>-4.6876160000000004E-3</v>
      </c>
      <c r="P4008">
        <v>0.99925580000000003</v>
      </c>
      <c r="Q4008">
        <v>3.7895030000000003E-2</v>
      </c>
      <c r="R4008">
        <v>7.2028789999999997E-3</v>
      </c>
      <c r="S4008">
        <v>2.9729610000000002</v>
      </c>
      <c r="T4008">
        <v>0.80332510000000001</v>
      </c>
      <c r="U4008">
        <v>-0.17311099999999999</v>
      </c>
      <c r="V4008">
        <v>-1.1914900000000001E-2</v>
      </c>
      <c r="W4008">
        <v>4.8706630000000001E-2</v>
      </c>
      <c r="X4008">
        <v>0.99874200000000002</v>
      </c>
      <c r="Y4008">
        <v>5.1766699999999902E-2</v>
      </c>
      <c r="Z4008">
        <v>5.6218709999999996E-3</v>
      </c>
      <c r="AA4008">
        <v>0.99864339999999996</v>
      </c>
      <c r="AB4008">
        <v>33</v>
      </c>
      <c r="AC4008">
        <v>100.2449</v>
      </c>
      <c r="AD4008">
        <v>27.1748539999999</v>
      </c>
      <c r="AE4008">
        <v>-5.8547000000000002</v>
      </c>
      <c r="AF4008">
        <v>5.0172498192733697</v>
      </c>
      <c r="AG4008">
        <v>27.1748539999999</v>
      </c>
      <c r="AH4008">
        <v>93.428793056744496</v>
      </c>
      <c r="AI4008">
        <v>73.804421857130194</v>
      </c>
      <c r="AJ4008">
        <v>86.926093429885398</v>
      </c>
      <c r="AK4008">
        <v>97.429897145128393</v>
      </c>
      <c r="AL4008">
        <v>87.208210917204795</v>
      </c>
      <c r="AM4008">
        <v>90.683500943628204</v>
      </c>
      <c r="AN4008">
        <v>0.99999994160598105</v>
      </c>
    </row>
    <row r="4009" spans="1:40" x14ac:dyDescent="0.25">
      <c r="A4009" t="str">
        <f>"20190312160413903"</f>
        <v>20190312160413903</v>
      </c>
      <c r="B4009" t="str">
        <f>"1552377853899019"</f>
        <v>1552377853899019</v>
      </c>
      <c r="C4009" t="s">
        <v>40</v>
      </c>
      <c r="D4009">
        <v>5.0821550000000002</v>
      </c>
      <c r="E4009">
        <v>0.52539519999999995</v>
      </c>
      <c r="F4009" t="s">
        <v>55</v>
      </c>
      <c r="G4009">
        <v>-168.4196</v>
      </c>
      <c r="H4009">
        <v>28.55725</v>
      </c>
      <c r="I4009">
        <v>207.46879999999999</v>
      </c>
      <c r="J4009">
        <v>-268.41379999999998</v>
      </c>
      <c r="K4009">
        <v>1.1098969999999999</v>
      </c>
      <c r="L4009">
        <v>213.38839999999999</v>
      </c>
      <c r="M4009">
        <v>0.99993129999999997</v>
      </c>
      <c r="N4009">
        <v>0</v>
      </c>
      <c r="O4009">
        <v>-4.4780599999999999E-3</v>
      </c>
      <c r="P4009">
        <v>0.99924679999999999</v>
      </c>
      <c r="Q4009">
        <v>3.806097E-2</v>
      </c>
      <c r="R4009">
        <v>7.5619540000000001E-3</v>
      </c>
      <c r="S4009">
        <v>2.972626</v>
      </c>
      <c r="T4009">
        <v>0.81391559999999996</v>
      </c>
      <c r="U4009">
        <v>-0.17556759999999999</v>
      </c>
      <c r="V4009">
        <v>-1.206481E-2</v>
      </c>
      <c r="W4009">
        <v>4.8874750000000002E-2</v>
      </c>
      <c r="X4009">
        <v>0.99873199999999995</v>
      </c>
      <c r="Y4009">
        <v>5.2718220000000003E-2</v>
      </c>
      <c r="Z4009">
        <v>5.8779669999999996E-3</v>
      </c>
      <c r="AA4009">
        <v>0.99859209999999998</v>
      </c>
      <c r="AB4009">
        <v>33</v>
      </c>
      <c r="AC4009">
        <v>99.994199999999907</v>
      </c>
      <c r="AD4009">
        <v>27.447353</v>
      </c>
      <c r="AE4009">
        <v>-5.9196</v>
      </c>
      <c r="AF4009">
        <v>5.0896003715050604</v>
      </c>
      <c r="AG4009">
        <v>27.447353</v>
      </c>
      <c r="AH4009">
        <v>93.034549422227698</v>
      </c>
      <c r="AI4009">
        <v>73.585936452339197</v>
      </c>
      <c r="AJ4009">
        <v>86.8686662078144</v>
      </c>
      <c r="AK4009">
        <v>97.132325231331507</v>
      </c>
      <c r="AL4009">
        <v>87.198566900015194</v>
      </c>
      <c r="AM4009">
        <v>90.692106662616794</v>
      </c>
      <c r="AN4009">
        <v>0.99999995432594802</v>
      </c>
    </row>
    <row r="4010" spans="1:40" x14ac:dyDescent="0.25">
      <c r="A4010" t="str">
        <f>"20190312160413920"</f>
        <v>20190312160413920</v>
      </c>
      <c r="B4010" t="str">
        <f>"1552377853908780"</f>
        <v>1552377853908780</v>
      </c>
      <c r="C4010" t="s">
        <v>40</v>
      </c>
      <c r="D4010">
        <v>5.0576319999999999</v>
      </c>
      <c r="E4010">
        <v>0.52560580000000001</v>
      </c>
      <c r="F4010" t="s">
        <v>55</v>
      </c>
      <c r="G4010">
        <v>-168.41970000000001</v>
      </c>
      <c r="H4010">
        <v>28.853840000000002</v>
      </c>
      <c r="I4010">
        <v>207.5941</v>
      </c>
      <c r="J4010">
        <v>-268.16289999999998</v>
      </c>
      <c r="K4010">
        <v>1.109891</v>
      </c>
      <c r="L4010">
        <v>213.38749999999999</v>
      </c>
      <c r="M4010">
        <v>0.99993220000000005</v>
      </c>
      <c r="N4010">
        <v>0</v>
      </c>
      <c r="O4010">
        <v>-4.2686219999999997E-3</v>
      </c>
      <c r="P4010">
        <v>0.99924239999999998</v>
      </c>
      <c r="Q4010">
        <v>3.8073540000000003E-2</v>
      </c>
      <c r="R4010">
        <v>8.0754729999999997E-3</v>
      </c>
      <c r="S4010">
        <v>2.972137</v>
      </c>
      <c r="T4010">
        <v>0.82463719999999996</v>
      </c>
      <c r="U4010">
        <v>-0.17222599999999999</v>
      </c>
      <c r="V4010">
        <v>-1.2369109999999999E-2</v>
      </c>
      <c r="W4010">
        <v>4.8889040000000002E-2</v>
      </c>
      <c r="X4010">
        <v>0.99872760000000005</v>
      </c>
      <c r="Y4010">
        <v>5.1798030000000002E-2</v>
      </c>
      <c r="Z4010">
        <v>5.8855219999999998E-3</v>
      </c>
      <c r="AA4010">
        <v>0.99864019999999998</v>
      </c>
      <c r="AB4010">
        <v>33</v>
      </c>
      <c r="AC4010">
        <v>99.743199999999902</v>
      </c>
      <c r="AD4010">
        <v>27.743949000000001</v>
      </c>
      <c r="AE4010">
        <v>-5.7933999999999903</v>
      </c>
      <c r="AF4010">
        <v>4.9832971984058601</v>
      </c>
      <c r="AG4010">
        <v>27.743949000000001</v>
      </c>
      <c r="AH4010">
        <v>92.624782021679593</v>
      </c>
      <c r="AI4010">
        <v>73.348183397210406</v>
      </c>
      <c r="AJ4010">
        <v>86.920404192671498</v>
      </c>
      <c r="AK4010">
        <v>96.818955797126407</v>
      </c>
      <c r="AL4010">
        <v>87.197747224294503</v>
      </c>
      <c r="AM4010">
        <v>90.709564417902996</v>
      </c>
      <c r="AN4010">
        <v>0.99999997605803603</v>
      </c>
    </row>
    <row r="4011" spans="1:40" x14ac:dyDescent="0.25">
      <c r="A4011" t="str">
        <f>"20190312160413943"</f>
        <v>20190312160413943</v>
      </c>
      <c r="B4011" t="str">
        <f>"1552377853939036"</f>
        <v>1552377853939036</v>
      </c>
      <c r="C4011" t="s">
        <v>40</v>
      </c>
      <c r="D4011">
        <v>5.0382759999999998</v>
      </c>
      <c r="E4011">
        <v>0.5264219</v>
      </c>
      <c r="F4011" t="s">
        <v>55</v>
      </c>
      <c r="G4011">
        <v>-168.41970000000001</v>
      </c>
      <c r="H4011">
        <v>28.86966</v>
      </c>
      <c r="I4011">
        <v>207.62459999999999</v>
      </c>
      <c r="J4011">
        <v>-267.82510000000002</v>
      </c>
      <c r="K4011">
        <v>1.1098939999999999</v>
      </c>
      <c r="L4011">
        <v>213.38630000000001</v>
      </c>
      <c r="M4011">
        <v>0.99993339999999997</v>
      </c>
      <c r="N4011">
        <v>0</v>
      </c>
      <c r="O4011">
        <v>-3.9868280000000004E-3</v>
      </c>
      <c r="P4011">
        <v>0.99924020000000002</v>
      </c>
      <c r="Q4011">
        <v>3.8007840000000001E-2</v>
      </c>
      <c r="R4011">
        <v>8.6398929999999992E-3</v>
      </c>
      <c r="S4011">
        <v>2.972137</v>
      </c>
      <c r="T4011">
        <v>0.82718309999999995</v>
      </c>
      <c r="U4011">
        <v>-0.1717224</v>
      </c>
      <c r="V4011">
        <v>-1.265203E-2</v>
      </c>
      <c r="W4011">
        <v>4.8825699999999903E-2</v>
      </c>
      <c r="X4011">
        <v>0.99872720000000004</v>
      </c>
      <c r="Y4011">
        <v>5.188591E-2</v>
      </c>
      <c r="Z4011">
        <v>5.9919530000000004E-3</v>
      </c>
      <c r="AA4011">
        <v>0.9986351</v>
      </c>
      <c r="AB4011">
        <v>33</v>
      </c>
      <c r="AC4011">
        <v>99.4054</v>
      </c>
      <c r="AD4011">
        <v>27.759765999999999</v>
      </c>
      <c r="AE4011">
        <v>-5.76170000000001</v>
      </c>
      <c r="AF4011">
        <v>4.9783792526989901</v>
      </c>
      <c r="AG4011">
        <v>27.759765999999999</v>
      </c>
      <c r="AH4011">
        <v>92.257000446064396</v>
      </c>
      <c r="AI4011">
        <v>73.276636609226301</v>
      </c>
      <c r="AJ4011">
        <v>86.9111965787815</v>
      </c>
      <c r="AK4011">
        <v>96.471462099750397</v>
      </c>
      <c r="AL4011">
        <v>87.201380805336996</v>
      </c>
      <c r="AM4011">
        <v>90.725792936000403</v>
      </c>
      <c r="AN4011">
        <v>1.00000002143172</v>
      </c>
    </row>
    <row r="4012" spans="1:40" x14ac:dyDescent="0.25">
      <c r="A4012" t="str">
        <f>"20190312160413965"</f>
        <v>20190312160413965</v>
      </c>
      <c r="B4012" t="str">
        <f>"1552377853958559"</f>
        <v>1552377853958559</v>
      </c>
      <c r="C4012" t="s">
        <v>40</v>
      </c>
      <c r="D4012">
        <v>5.1065860000000001</v>
      </c>
      <c r="E4012">
        <v>0.52655620000000003</v>
      </c>
      <c r="F4012" t="s">
        <v>55</v>
      </c>
      <c r="G4012">
        <v>-168.41980000000001</v>
      </c>
      <c r="H4012">
        <v>29.014379999999999</v>
      </c>
      <c r="I4012">
        <v>207.49940000000001</v>
      </c>
      <c r="J4012">
        <v>-267.4905</v>
      </c>
      <c r="K4012">
        <v>1.1098920000000001</v>
      </c>
      <c r="L4012">
        <v>213.3853</v>
      </c>
      <c r="M4012">
        <v>0.99993449999999995</v>
      </c>
      <c r="N4012">
        <v>0</v>
      </c>
      <c r="O4012">
        <v>-3.7075379999999998E-3</v>
      </c>
      <c r="P4012">
        <v>0.99923850000000003</v>
      </c>
      <c r="Q4012">
        <v>3.8020329999999998E-2</v>
      </c>
      <c r="R4012">
        <v>8.7995590000000002E-3</v>
      </c>
      <c r="S4012">
        <v>2.9720759999999999</v>
      </c>
      <c r="T4012">
        <v>0.83430459999999995</v>
      </c>
      <c r="U4012">
        <v>-0.1760101</v>
      </c>
      <c r="V4012">
        <v>-1.253249E-2</v>
      </c>
      <c r="W4012">
        <v>4.8840460000000002E-2</v>
      </c>
      <c r="X4012">
        <v>0.99872799999999995</v>
      </c>
      <c r="Y4012">
        <v>5.3498160000000003E-2</v>
      </c>
      <c r="Z4012">
        <v>6.3401789999999996E-3</v>
      </c>
      <c r="AA4012">
        <v>0.99854779999999999</v>
      </c>
      <c r="AB4012">
        <v>33</v>
      </c>
      <c r="AC4012">
        <v>99.070700000000002</v>
      </c>
      <c r="AD4012">
        <v>27.904488000000001</v>
      </c>
      <c r="AE4012">
        <v>-5.8858999999999897</v>
      </c>
      <c r="AF4012">
        <v>5.1142262446668996</v>
      </c>
      <c r="AG4012">
        <v>27.904488000000001</v>
      </c>
      <c r="AH4012">
        <v>91.832088663228603</v>
      </c>
      <c r="AI4012">
        <v>73.122511227254193</v>
      </c>
      <c r="AJ4012">
        <v>86.812430065744095</v>
      </c>
      <c r="AK4012">
        <v>96.114245920544306</v>
      </c>
      <c r="AL4012">
        <v>87.200534150069402</v>
      </c>
      <c r="AM4012">
        <v>90.718935584030305</v>
      </c>
      <c r="AN4012">
        <v>1.0000000359112999</v>
      </c>
    </row>
    <row r="4013" spans="1:40" x14ac:dyDescent="0.25">
      <c r="A4013" t="str">
        <f>"20190312160413982"</f>
        <v>20190312160413982</v>
      </c>
      <c r="B4013" t="str">
        <f>"1552377853979052"</f>
        <v>1552377853979052</v>
      </c>
      <c r="C4013" t="s">
        <v>40</v>
      </c>
      <c r="D4013">
        <v>5.2291349999999897</v>
      </c>
      <c r="E4013">
        <v>0.5268235</v>
      </c>
      <c r="F4013" t="s">
        <v>55</v>
      </c>
      <c r="G4013">
        <v>-168.41970000000001</v>
      </c>
      <c r="H4013">
        <v>28.843589999999999</v>
      </c>
      <c r="I4013">
        <v>207.49299999999999</v>
      </c>
      <c r="J4013">
        <v>-267.23719999999997</v>
      </c>
      <c r="K4013">
        <v>1.109891</v>
      </c>
      <c r="L4013">
        <v>213.38460000000001</v>
      </c>
      <c r="M4013">
        <v>0.99993520000000002</v>
      </c>
      <c r="N4013">
        <v>0</v>
      </c>
      <c r="O4013">
        <v>-3.4958350000000001E-3</v>
      </c>
      <c r="P4013">
        <v>0.99923309999999999</v>
      </c>
      <c r="Q4013">
        <v>3.8136040000000003E-2</v>
      </c>
      <c r="R4013">
        <v>8.8792939999999994E-3</v>
      </c>
      <c r="S4013">
        <v>2.9721980000000001</v>
      </c>
      <c r="T4013">
        <v>0.83203240000000001</v>
      </c>
      <c r="U4013">
        <v>-0.17677309999999999</v>
      </c>
      <c r="V4013">
        <v>-1.24005E-2</v>
      </c>
      <c r="W4013">
        <v>4.8958580000000002E-2</v>
      </c>
      <c r="X4013">
        <v>0.99872380000000005</v>
      </c>
      <c r="Y4013">
        <v>5.3947639999999998E-2</v>
      </c>
      <c r="Z4013">
        <v>6.4430269999999996E-3</v>
      </c>
      <c r="AA4013">
        <v>0.99852300000000005</v>
      </c>
      <c r="AB4013">
        <v>33</v>
      </c>
      <c r="AC4013">
        <v>98.817499999999896</v>
      </c>
      <c r="AD4013">
        <v>27.733698999999898</v>
      </c>
      <c r="AE4013">
        <v>-5.8916000000000102</v>
      </c>
      <c r="AF4013">
        <v>5.1424686448310197</v>
      </c>
      <c r="AG4013">
        <v>27.733698999999898</v>
      </c>
      <c r="AH4013">
        <v>91.644444994661697</v>
      </c>
      <c r="AI4013">
        <v>73.187939752352904</v>
      </c>
      <c r="AJ4013">
        <v>86.788315029892601</v>
      </c>
      <c r="AK4013">
        <v>95.886950845071894</v>
      </c>
      <c r="AL4013">
        <v>87.193758086867206</v>
      </c>
      <c r="AM4013">
        <v>90.711367653254598</v>
      </c>
      <c r="AN4013">
        <v>0.99999997182115297</v>
      </c>
    </row>
    <row r="4014" spans="1:40" x14ac:dyDescent="0.25">
      <c r="A4014" t="str">
        <f>"20190312160413998"</f>
        <v>20190312160413998</v>
      </c>
      <c r="B4014" t="str">
        <f>"1552377853988813"</f>
        <v>1552377853988813</v>
      </c>
      <c r="C4014" t="s">
        <v>40</v>
      </c>
      <c r="D4014">
        <v>5.1969989999999999</v>
      </c>
      <c r="E4014">
        <v>0.5268235</v>
      </c>
      <c r="F4014" t="s">
        <v>55</v>
      </c>
      <c r="G4014">
        <v>-168.4196</v>
      </c>
      <c r="H4014">
        <v>28.60089</v>
      </c>
      <c r="I4014">
        <v>207.43819999999999</v>
      </c>
      <c r="J4014">
        <v>-266.99149999999997</v>
      </c>
      <c r="K4014">
        <v>1.109888</v>
      </c>
      <c r="L4014">
        <v>213.38390000000001</v>
      </c>
      <c r="M4014">
        <v>0.99993580000000004</v>
      </c>
      <c r="N4014">
        <v>0</v>
      </c>
      <c r="O4014">
        <v>-3.2906900000000002E-3</v>
      </c>
      <c r="P4014">
        <v>0.99922449999999996</v>
      </c>
      <c r="Q4014">
        <v>3.8306340000000001E-2</v>
      </c>
      <c r="R4014">
        <v>9.121845E-3</v>
      </c>
      <c r="S4014">
        <v>2.9723510000000002</v>
      </c>
      <c r="T4014">
        <v>0.82690810000000003</v>
      </c>
      <c r="U4014">
        <v>-0.17886350000000001</v>
      </c>
      <c r="V4014">
        <v>-1.2438019999999999E-2</v>
      </c>
      <c r="W4014">
        <v>4.9130500000000001E-2</v>
      </c>
      <c r="X4014">
        <v>0.99871489999999996</v>
      </c>
      <c r="Y4014">
        <v>5.4831560000000001E-2</v>
      </c>
      <c r="Z4014">
        <v>6.5808749999999999E-3</v>
      </c>
      <c r="AA4014">
        <v>0.99847390000000003</v>
      </c>
      <c r="AB4014">
        <v>33</v>
      </c>
      <c r="AC4014">
        <v>98.5718999999999</v>
      </c>
      <c r="AD4014">
        <v>27.491002000000002</v>
      </c>
      <c r="AE4014">
        <v>-5.9457000000000102</v>
      </c>
      <c r="AF4014">
        <v>5.2169679252972401</v>
      </c>
      <c r="AG4014">
        <v>27.491002000000002</v>
      </c>
      <c r="AH4014">
        <v>91.499767022779906</v>
      </c>
      <c r="AI4014">
        <v>73.302768746252099</v>
      </c>
      <c r="AJ4014">
        <v>86.736746110844706</v>
      </c>
      <c r="AK4014">
        <v>95.682701208319699</v>
      </c>
      <c r="AL4014">
        <v>87.183895953629701</v>
      </c>
      <c r="AM4014">
        <v>90.713526162950203</v>
      </c>
      <c r="AN4014">
        <v>0.99999998092689002</v>
      </c>
    </row>
    <row r="4015" spans="1:40" x14ac:dyDescent="0.25">
      <c r="A4015" t="str">
        <f>"20190312160414016"</f>
        <v>20190312160414016</v>
      </c>
      <c r="B4015" t="str">
        <f>"1552377854009308"</f>
        <v>1552377854009308</v>
      </c>
      <c r="C4015" t="s">
        <v>40</v>
      </c>
      <c r="D4015">
        <v>5.5068339999999996</v>
      </c>
      <c r="E4015">
        <v>0.54432179999999997</v>
      </c>
      <c r="F4015" t="s">
        <v>55</v>
      </c>
      <c r="G4015">
        <v>-168.4196</v>
      </c>
      <c r="H4015">
        <v>28.549630000000001</v>
      </c>
      <c r="I4015">
        <v>207.46979999999999</v>
      </c>
      <c r="J4015">
        <v>-266.73809999999997</v>
      </c>
      <c r="K4015">
        <v>1.109888</v>
      </c>
      <c r="L4015">
        <v>213.38329999999999</v>
      </c>
      <c r="M4015">
        <v>0.99993659999999995</v>
      </c>
      <c r="N4015">
        <v>0</v>
      </c>
      <c r="O4015">
        <v>-3.0791080000000001E-3</v>
      </c>
      <c r="P4015">
        <v>0.99923360000000006</v>
      </c>
      <c r="Q4015">
        <v>3.8040919999999999E-2</v>
      </c>
      <c r="R4015">
        <v>9.2506759999999993E-3</v>
      </c>
      <c r="S4015">
        <v>2.9722599999999999</v>
      </c>
      <c r="T4015">
        <v>0.82739779999999996</v>
      </c>
      <c r="U4015">
        <v>-0.1783295</v>
      </c>
      <c r="V4015">
        <v>-1.235579E-2</v>
      </c>
      <c r="W4015">
        <v>4.8867130000000002E-2</v>
      </c>
      <c r="X4015">
        <v>0.99872890000000003</v>
      </c>
      <c r="Y4015">
        <v>5.485458E-2</v>
      </c>
      <c r="Z4015">
        <v>6.6457540000000002E-3</v>
      </c>
      <c r="AA4015">
        <v>0.99847220000000003</v>
      </c>
      <c r="AB4015">
        <v>34</v>
      </c>
      <c r="AC4015">
        <v>98.318499999999901</v>
      </c>
      <c r="AD4015">
        <v>27.439741999999999</v>
      </c>
      <c r="AE4015">
        <v>-5.9134999999999902</v>
      </c>
      <c r="AF4015">
        <v>5.2066309358283798</v>
      </c>
      <c r="AG4015">
        <v>27.439741999999999</v>
      </c>
      <c r="AH4015">
        <v>91.253964157977407</v>
      </c>
      <c r="AI4015">
        <v>73.289813425226995</v>
      </c>
      <c r="AJ4015">
        <v>86.734444441625399</v>
      </c>
      <c r="AK4015">
        <v>95.432355211814397</v>
      </c>
      <c r="AL4015">
        <v>87.199004253035298</v>
      </c>
      <c r="AM4015">
        <v>90.708799460359003</v>
      </c>
      <c r="AN4015">
        <v>1.0000000388180801</v>
      </c>
    </row>
    <row r="4016" spans="1:40" x14ac:dyDescent="0.25">
      <c r="A4016" t="str">
        <f>"20190312160414033"</f>
        <v>20190312160414033</v>
      </c>
      <c r="B4016" t="str">
        <f>"1552377854028828"</f>
        <v>1552377854028828</v>
      </c>
      <c r="C4016" t="s">
        <v>40</v>
      </c>
      <c r="D4016">
        <v>5.2496400000000003</v>
      </c>
      <c r="E4016">
        <v>0.54861890000000002</v>
      </c>
      <c r="F4016" t="s">
        <v>55</v>
      </c>
      <c r="G4016">
        <v>-168.4222</v>
      </c>
      <c r="H4016">
        <v>31.78715</v>
      </c>
      <c r="I4016">
        <v>202.91210000000001</v>
      </c>
      <c r="J4016">
        <v>-266.47980000000001</v>
      </c>
      <c r="K4016">
        <v>1.109885</v>
      </c>
      <c r="L4016">
        <v>213.3827</v>
      </c>
      <c r="M4016">
        <v>0.99993719999999997</v>
      </c>
      <c r="N4016">
        <v>0</v>
      </c>
      <c r="O4016">
        <v>-2.863591E-3</v>
      </c>
      <c r="P4016">
        <v>0.99922750000000005</v>
      </c>
      <c r="Q4016">
        <v>3.8149200000000001E-2</v>
      </c>
      <c r="R4016">
        <v>9.4605499999999999E-3</v>
      </c>
      <c r="S4016">
        <v>2.9699399999999998</v>
      </c>
      <c r="T4016">
        <v>0.92670390000000002</v>
      </c>
      <c r="U4016">
        <v>-0.3163147</v>
      </c>
      <c r="V4016">
        <v>-1.235001E-2</v>
      </c>
      <c r="W4016">
        <v>4.8977140000000002E-2</v>
      </c>
      <c r="X4016">
        <v>0.99872360000000004</v>
      </c>
      <c r="Y4016">
        <v>9.8558300000000001E-2</v>
      </c>
      <c r="Z4016">
        <v>1.4109379999999999E-2</v>
      </c>
      <c r="AA4016">
        <v>0.9950312</v>
      </c>
      <c r="AB4016">
        <v>34</v>
      </c>
      <c r="AC4016">
        <v>98.057599999999994</v>
      </c>
      <c r="AD4016">
        <v>30.677264999999998</v>
      </c>
      <c r="AE4016">
        <v>-10.4705999999999</v>
      </c>
      <c r="AF4016">
        <v>9.2906724831598702</v>
      </c>
      <c r="AG4016">
        <v>30.677264999999998</v>
      </c>
      <c r="AH4016">
        <v>89.432660800141903</v>
      </c>
      <c r="AI4016">
        <v>71.1611424821143</v>
      </c>
      <c r="AJ4016">
        <v>84.069127513768805</v>
      </c>
      <c r="AK4016">
        <v>95.003221002568097</v>
      </c>
      <c r="AL4016">
        <v>87.192693636689896</v>
      </c>
      <c r="AM4016">
        <v>90.708471679283505</v>
      </c>
      <c r="AN4016">
        <v>1.00000005609326</v>
      </c>
    </row>
    <row r="4017" spans="1:40" x14ac:dyDescent="0.25">
      <c r="A4017" t="str">
        <f>"20190312160414056"</f>
        <v>20190312160414056</v>
      </c>
      <c r="B4017" t="str">
        <f>"1552377854049324"</f>
        <v>1552377854049324</v>
      </c>
      <c r="C4017" t="s">
        <v>40</v>
      </c>
      <c r="D4017">
        <v>5.3615059999999897</v>
      </c>
      <c r="E4017">
        <v>0.55116209999999999</v>
      </c>
      <c r="F4017" t="s">
        <v>55</v>
      </c>
      <c r="G4017">
        <v>-168.42250000000001</v>
      </c>
      <c r="H4017">
        <v>31.595300000000002</v>
      </c>
      <c r="I4017">
        <v>201.83500000000001</v>
      </c>
      <c r="J4017">
        <v>-266.14</v>
      </c>
      <c r="K4017">
        <v>1.109893</v>
      </c>
      <c r="L4017">
        <v>213.38200000000001</v>
      </c>
      <c r="M4017">
        <v>0.99993790000000005</v>
      </c>
      <c r="N4017">
        <v>0</v>
      </c>
      <c r="O4017">
        <v>-2.5797709999999998E-3</v>
      </c>
      <c r="P4017">
        <v>0.99922840000000002</v>
      </c>
      <c r="Q4017">
        <v>3.8216550000000002E-2</v>
      </c>
      <c r="R4017">
        <v>9.0786500000000006E-3</v>
      </c>
      <c r="S4017">
        <v>2.9703979999999999</v>
      </c>
      <c r="T4017">
        <v>0.9234793</v>
      </c>
      <c r="U4017">
        <v>-0.3498077</v>
      </c>
      <c r="V4017">
        <v>-1.168515E-2</v>
      </c>
      <c r="W4017">
        <v>4.9047640000000003E-2</v>
      </c>
      <c r="X4017">
        <v>0.99872810000000001</v>
      </c>
      <c r="Y4017">
        <v>0.1094175</v>
      </c>
      <c r="Z4017">
        <v>1.578193E-2</v>
      </c>
      <c r="AA4017">
        <v>0.99387060000000005</v>
      </c>
      <c r="AB4017">
        <v>34</v>
      </c>
      <c r="AC4017">
        <v>97.717499999999902</v>
      </c>
      <c r="AD4017">
        <v>30.485406999999999</v>
      </c>
      <c r="AE4017">
        <v>-11.546999999999899</v>
      </c>
      <c r="AF4017">
        <v>10.3056400991763</v>
      </c>
      <c r="AG4017">
        <v>30.485406999999999</v>
      </c>
      <c r="AH4017">
        <v>89.186162884081398</v>
      </c>
      <c r="AI4017">
        <v>71.2446571443934</v>
      </c>
      <c r="AJ4017">
        <v>83.408590715028794</v>
      </c>
      <c r="AK4017">
        <v>94.814228403733296</v>
      </c>
      <c r="AL4017">
        <v>87.188649310425902</v>
      </c>
      <c r="AM4017">
        <v>90.670331825640801</v>
      </c>
      <c r="AN4017">
        <v>1.0000000157248501</v>
      </c>
    </row>
    <row r="4018" spans="1:40" x14ac:dyDescent="0.25">
      <c r="A4018" t="str">
        <f>"20190312160414077"</f>
        <v>20190312160414077</v>
      </c>
      <c r="B4018" t="str">
        <f>"1552377854068844"</f>
        <v>1552377854068844</v>
      </c>
      <c r="C4018" t="s">
        <v>40</v>
      </c>
      <c r="D4018">
        <v>5.2571719999999997</v>
      </c>
      <c r="E4018">
        <v>0.5522435</v>
      </c>
      <c r="F4018" t="s">
        <v>55</v>
      </c>
      <c r="G4018">
        <v>-168.42259999999999</v>
      </c>
      <c r="H4018">
        <v>31.362120000000001</v>
      </c>
      <c r="I4018">
        <v>201.15899999999999</v>
      </c>
      <c r="J4018">
        <v>-265.8177</v>
      </c>
      <c r="K4018">
        <v>1.1098889999999999</v>
      </c>
      <c r="L4018">
        <v>213.38140000000001</v>
      </c>
      <c r="M4018">
        <v>0.99993860000000001</v>
      </c>
      <c r="N4018">
        <v>0</v>
      </c>
      <c r="O4018">
        <v>-2.3109710000000002E-3</v>
      </c>
      <c r="P4018">
        <v>0.99920719999999996</v>
      </c>
      <c r="Q4018">
        <v>3.879722E-2</v>
      </c>
      <c r="R4018">
        <v>8.9397450000000007E-3</v>
      </c>
      <c r="S4018">
        <v>2.97052</v>
      </c>
      <c r="T4018">
        <v>0.91964140000000005</v>
      </c>
      <c r="U4018">
        <v>-0.37156679999999997</v>
      </c>
      <c r="V4018">
        <v>-1.127765E-2</v>
      </c>
      <c r="W4018">
        <v>4.9631050000000003E-2</v>
      </c>
      <c r="X4018">
        <v>0.99870400000000004</v>
      </c>
      <c r="Y4018">
        <v>0.1165553</v>
      </c>
      <c r="Z4018">
        <v>1.6868919999999999E-2</v>
      </c>
      <c r="AA4018">
        <v>0.9930409</v>
      </c>
      <c r="AB4018">
        <v>34</v>
      </c>
      <c r="AC4018">
        <v>97.395099999999999</v>
      </c>
      <c r="AD4018">
        <v>30.252230999999998</v>
      </c>
      <c r="AE4018">
        <v>-12.222399999999899</v>
      </c>
      <c r="AF4018">
        <v>10.9565686738033</v>
      </c>
      <c r="AG4018">
        <v>30.252230999999998</v>
      </c>
      <c r="AH4018">
        <v>88.972085495067901</v>
      </c>
      <c r="AI4018">
        <v>71.3519982072647</v>
      </c>
      <c r="AJ4018">
        <v>82.979591769556606</v>
      </c>
      <c r="AK4018">
        <v>94.6111826103173</v>
      </c>
      <c r="AL4018">
        <v>87.155181724850394</v>
      </c>
      <c r="AM4018">
        <v>90.646972761370506</v>
      </c>
      <c r="AN4018">
        <v>1.0000000530648101</v>
      </c>
    </row>
    <row r="4019" spans="1:40" x14ac:dyDescent="0.25">
      <c r="A4019" t="str">
        <f>"20190312160414100"</f>
        <v>20190312160414100</v>
      </c>
      <c r="B4019" t="str">
        <f>"1552377854088364"</f>
        <v>1552377854088364</v>
      </c>
      <c r="C4019" t="s">
        <v>40</v>
      </c>
      <c r="D4019">
        <v>5.2853899999999996</v>
      </c>
      <c r="E4019">
        <v>0.55323440000000002</v>
      </c>
      <c r="F4019" t="s">
        <v>55</v>
      </c>
      <c r="G4019">
        <v>-168.42269999999999</v>
      </c>
      <c r="H4019">
        <v>31.23498</v>
      </c>
      <c r="I4019">
        <v>200.9015</v>
      </c>
      <c r="J4019">
        <v>-265.48149999999998</v>
      </c>
      <c r="K4019">
        <v>1.10989</v>
      </c>
      <c r="L4019">
        <v>213.3809</v>
      </c>
      <c r="M4019">
        <v>0.99993900000000002</v>
      </c>
      <c r="N4019">
        <v>0</v>
      </c>
      <c r="O4019">
        <v>-2.0304870000000001E-3</v>
      </c>
      <c r="P4019">
        <v>0.99921009999999999</v>
      </c>
      <c r="Q4019">
        <v>3.8637749999999998E-2</v>
      </c>
      <c r="R4019">
        <v>9.282439E-3</v>
      </c>
      <c r="S4019">
        <v>2.9701230000000001</v>
      </c>
      <c r="T4019">
        <v>0.91868499999999997</v>
      </c>
      <c r="U4019">
        <v>-0.3805847</v>
      </c>
      <c r="V4019">
        <v>-1.134013E-2</v>
      </c>
      <c r="W4019">
        <v>4.9474369999999997E-2</v>
      </c>
      <c r="X4019">
        <v>0.99871100000000002</v>
      </c>
      <c r="Y4019">
        <v>0.1196724</v>
      </c>
      <c r="Z4019">
        <v>1.7405009999999999E-2</v>
      </c>
      <c r="AA4019">
        <v>0.99266089999999996</v>
      </c>
      <c r="AB4019">
        <v>34</v>
      </c>
      <c r="AC4019">
        <v>97.058800000000005</v>
      </c>
      <c r="AD4019">
        <v>30.12509</v>
      </c>
      <c r="AE4019">
        <v>-12.479399999999901</v>
      </c>
      <c r="AF4019">
        <v>11.2190671194356</v>
      </c>
      <c r="AG4019">
        <v>30.12509</v>
      </c>
      <c r="AH4019">
        <v>88.679847078253403</v>
      </c>
      <c r="AI4019">
        <v>71.375164161251604</v>
      </c>
      <c r="AJ4019">
        <v>82.789699687515906</v>
      </c>
      <c r="AK4019">
        <v>94.326580518753701</v>
      </c>
      <c r="AL4019">
        <v>87.164169680547403</v>
      </c>
      <c r="AM4019">
        <v>90.650552228228705</v>
      </c>
      <c r="AN4019">
        <v>0.99999998667815604</v>
      </c>
    </row>
    <row r="4020" spans="1:40" x14ac:dyDescent="0.25">
      <c r="A4020" t="str">
        <f>"20190312160414121"</f>
        <v>20190312160414121</v>
      </c>
      <c r="B4020" t="str">
        <f>"1552377854118619"</f>
        <v>1552377854118619</v>
      </c>
      <c r="C4020" t="s">
        <v>40</v>
      </c>
      <c r="D4020">
        <v>5.0659669999999997</v>
      </c>
      <c r="E4020">
        <v>0.55370269999999899</v>
      </c>
      <c r="F4020" t="s">
        <v>55</v>
      </c>
      <c r="G4020">
        <v>-168.42269999999999</v>
      </c>
      <c r="H4020">
        <v>31.13156</v>
      </c>
      <c r="I4020">
        <v>200.73390000000001</v>
      </c>
      <c r="J4020">
        <v>-265.15030000000002</v>
      </c>
      <c r="K4020">
        <v>1.1098920000000001</v>
      </c>
      <c r="L4020">
        <v>213.38050000000001</v>
      </c>
      <c r="M4020">
        <v>0.99993960000000004</v>
      </c>
      <c r="N4020">
        <v>0</v>
      </c>
      <c r="O4020">
        <v>-1.7544150000000001E-3</v>
      </c>
      <c r="P4020">
        <v>0.99919979999999997</v>
      </c>
      <c r="Q4020">
        <v>3.8880930000000001E-2</v>
      </c>
      <c r="R4020">
        <v>9.3807379999999996E-3</v>
      </c>
      <c r="S4020">
        <v>2.9704280000000001</v>
      </c>
      <c r="T4020">
        <v>0.91879650000000002</v>
      </c>
      <c r="U4020">
        <v>-0.38705440000000002</v>
      </c>
      <c r="V4020">
        <v>-1.116283E-2</v>
      </c>
      <c r="W4020">
        <v>4.9720109999999998E-2</v>
      </c>
      <c r="X4020">
        <v>0.99870080000000006</v>
      </c>
      <c r="Y4020">
        <v>0.121944</v>
      </c>
      <c r="Z4020">
        <v>1.7828139999999999E-2</v>
      </c>
      <c r="AA4020">
        <v>0.99237690000000001</v>
      </c>
      <c r="AB4020">
        <v>34</v>
      </c>
      <c r="AC4020">
        <v>96.727599999999995</v>
      </c>
      <c r="AD4020">
        <v>30.021667999999998</v>
      </c>
      <c r="AE4020">
        <v>-12.646599999999999</v>
      </c>
      <c r="AF4020">
        <v>11.3973936345252</v>
      </c>
      <c r="AG4020">
        <v>30.021667999999998</v>
      </c>
      <c r="AH4020">
        <v>88.379033512095504</v>
      </c>
      <c r="AI4020">
        <v>71.381211906513798</v>
      </c>
      <c r="AJ4020">
        <v>82.651671613549297</v>
      </c>
      <c r="AK4020">
        <v>94.032200312949399</v>
      </c>
      <c r="AL4020">
        <v>87.150072484096498</v>
      </c>
      <c r="AM4020">
        <v>90.640388405985505</v>
      </c>
      <c r="AN4020">
        <v>0.99999999301633002</v>
      </c>
    </row>
    <row r="4021" spans="1:40" x14ac:dyDescent="0.25">
      <c r="A4021" t="str">
        <f>"20190312160414144"</f>
        <v>20190312160414144</v>
      </c>
      <c r="B4021" t="str">
        <f>"1552377854139115"</f>
        <v>1552377854139115</v>
      </c>
      <c r="C4021" t="s">
        <v>40</v>
      </c>
      <c r="D4021">
        <v>5.0097579999999997</v>
      </c>
      <c r="E4021">
        <v>0.55389619999999995</v>
      </c>
      <c r="F4021" t="s">
        <v>55</v>
      </c>
      <c r="G4021">
        <v>-168.42269999999999</v>
      </c>
      <c r="H4021">
        <v>31.185849999999999</v>
      </c>
      <c r="I4021">
        <v>200.67140000000001</v>
      </c>
      <c r="J4021">
        <v>-264.80610000000001</v>
      </c>
      <c r="K4021">
        <v>1.109896</v>
      </c>
      <c r="L4021">
        <v>213.3802</v>
      </c>
      <c r="M4021">
        <v>0.99994000000000005</v>
      </c>
      <c r="N4021">
        <v>0</v>
      </c>
      <c r="O4021">
        <v>-1.467496E-3</v>
      </c>
      <c r="P4021">
        <v>0.99919429999999998</v>
      </c>
      <c r="Q4021">
        <v>3.8824930000000001E-2</v>
      </c>
      <c r="R4021">
        <v>1.018237E-2</v>
      </c>
      <c r="S4021">
        <v>2.9700929999999999</v>
      </c>
      <c r="T4021">
        <v>0.92350580000000004</v>
      </c>
      <c r="U4021">
        <v>-0.39024350000000002</v>
      </c>
      <c r="V4021">
        <v>-1.1677649999999999E-2</v>
      </c>
      <c r="W4021">
        <v>4.9666299999999997E-2</v>
      </c>
      <c r="X4021">
        <v>0.99869759999999996</v>
      </c>
      <c r="Y4021">
        <v>0.1231646</v>
      </c>
      <c r="Z4021">
        <v>1.8187660000000001E-2</v>
      </c>
      <c r="AA4021">
        <v>0.99221959999999998</v>
      </c>
      <c r="AB4021">
        <v>34</v>
      </c>
      <c r="AC4021">
        <v>96.383399999999995</v>
      </c>
      <c r="AD4021">
        <v>30.075953999999999</v>
      </c>
      <c r="AE4021">
        <v>-12.708799999999901</v>
      </c>
      <c r="AF4021">
        <v>11.469602372007101</v>
      </c>
      <c r="AG4021">
        <v>30.075953999999999</v>
      </c>
      <c r="AH4021">
        <v>87.981416979301699</v>
      </c>
      <c r="AI4021">
        <v>71.274568353371805</v>
      </c>
      <c r="AJ4021">
        <v>82.572584293999199</v>
      </c>
      <c r="AK4021">
        <v>93.684814784829598</v>
      </c>
      <c r="AL4021">
        <v>87.153159410966396</v>
      </c>
      <c r="AM4021">
        <v>90.669922075673298</v>
      </c>
      <c r="AN4021">
        <v>1.00000000255548</v>
      </c>
    </row>
    <row r="4022" spans="1:40" x14ac:dyDescent="0.25">
      <c r="A4022" t="str">
        <f>"20190312160414166"</f>
        <v>20190312160414166</v>
      </c>
      <c r="B4022" t="str">
        <f>"1552377854158637"</f>
        <v>1552377854158637</v>
      </c>
      <c r="C4022" t="s">
        <v>40</v>
      </c>
      <c r="D4022">
        <v>4.9408519999999996</v>
      </c>
      <c r="E4022">
        <v>0.55437049999999999</v>
      </c>
      <c r="F4022" t="s">
        <v>55</v>
      </c>
      <c r="G4022">
        <v>-168.42269999999999</v>
      </c>
      <c r="H4022">
        <v>31.194710000000001</v>
      </c>
      <c r="I4022">
        <v>200.73990000000001</v>
      </c>
      <c r="J4022">
        <v>-264.46980000000002</v>
      </c>
      <c r="K4022">
        <v>1.1098950000000001</v>
      </c>
      <c r="L4022">
        <v>213.38</v>
      </c>
      <c r="M4022">
        <v>0.99994039999999995</v>
      </c>
      <c r="N4022">
        <v>0</v>
      </c>
      <c r="O4022">
        <v>-1.1871339999999901E-3</v>
      </c>
      <c r="P4022">
        <v>0.99918119999999999</v>
      </c>
      <c r="Q4022">
        <v>3.892499E-2</v>
      </c>
      <c r="R4022">
        <v>1.1057819999999999E-2</v>
      </c>
      <c r="S4022">
        <v>2.9703979999999999</v>
      </c>
      <c r="T4022">
        <v>0.9271722</v>
      </c>
      <c r="U4022">
        <v>-0.38955689999999998</v>
      </c>
      <c r="V4022">
        <v>-1.227286E-2</v>
      </c>
      <c r="W4022">
        <v>4.976821E-2</v>
      </c>
      <c r="X4022">
        <v>0.99868539999999995</v>
      </c>
      <c r="Y4022">
        <v>0.1231486</v>
      </c>
      <c r="Z4022">
        <v>1.833781E-2</v>
      </c>
      <c r="AA4022">
        <v>0.99221879999999996</v>
      </c>
      <c r="AB4022">
        <v>34</v>
      </c>
      <c r="AC4022">
        <v>96.0471</v>
      </c>
      <c r="AD4022">
        <v>30.084814999999899</v>
      </c>
      <c r="AE4022">
        <v>-12.640099999999901</v>
      </c>
      <c r="AF4022">
        <v>11.424276778147499</v>
      </c>
      <c r="AG4022">
        <v>30.084814999999899</v>
      </c>
      <c r="AH4022">
        <v>87.612465738434693</v>
      </c>
      <c r="AI4022">
        <v>71.196162189913693</v>
      </c>
      <c r="AJ4022">
        <v>82.570801578137804</v>
      </c>
      <c r="AK4022">
        <v>93.335707777122195</v>
      </c>
      <c r="AL4022">
        <v>87.147313198039498</v>
      </c>
      <c r="AM4022">
        <v>90.704073260258795</v>
      </c>
      <c r="AN4022">
        <v>1.0000000129961699</v>
      </c>
    </row>
    <row r="4023" spans="1:40" x14ac:dyDescent="0.25">
      <c r="A4023" t="str">
        <f>"20190312160414188"</f>
        <v>20190312160414188</v>
      </c>
      <c r="B4023" t="str">
        <f>"1552377854179132"</f>
        <v>1552377854179132</v>
      </c>
      <c r="C4023" t="s">
        <v>40</v>
      </c>
      <c r="D4023">
        <v>4.8506130000000001</v>
      </c>
      <c r="E4023">
        <v>0.55471119999999996</v>
      </c>
      <c r="F4023" t="s">
        <v>55</v>
      </c>
      <c r="G4023">
        <v>-168.42269999999999</v>
      </c>
      <c r="H4023">
        <v>31.274470000000001</v>
      </c>
      <c r="I4023">
        <v>200.7689</v>
      </c>
      <c r="J4023">
        <v>-264.142</v>
      </c>
      <c r="K4023">
        <v>1.1098920000000001</v>
      </c>
      <c r="L4023">
        <v>213.37989999999999</v>
      </c>
      <c r="M4023">
        <v>0.99994059999999996</v>
      </c>
      <c r="N4023">
        <v>0</v>
      </c>
      <c r="O4023">
        <v>-9.1380390000000001E-4</v>
      </c>
      <c r="P4023">
        <v>0.99917829999999996</v>
      </c>
      <c r="Q4023">
        <v>3.8745950000000001E-2</v>
      </c>
      <c r="R4023">
        <v>1.191158E-2</v>
      </c>
      <c r="S4023">
        <v>2.970367</v>
      </c>
      <c r="T4023">
        <v>0.93287549999999997</v>
      </c>
      <c r="U4023">
        <v>-0.39001459999999999</v>
      </c>
      <c r="V4023">
        <v>-1.2853949999999999E-2</v>
      </c>
      <c r="W4023">
        <v>4.9591530000000002E-2</v>
      </c>
      <c r="X4023">
        <v>0.99868690000000004</v>
      </c>
      <c r="Y4023">
        <v>0.123474</v>
      </c>
      <c r="Z4023">
        <v>1.857872E-2</v>
      </c>
      <c r="AA4023">
        <v>0.99217390000000005</v>
      </c>
      <c r="AB4023">
        <v>34</v>
      </c>
      <c r="AC4023">
        <v>95.719300000000004</v>
      </c>
      <c r="AD4023">
        <v>30.164577999999999</v>
      </c>
      <c r="AE4023">
        <v>-12.610999999999899</v>
      </c>
      <c r="AF4023">
        <v>11.409745491178001</v>
      </c>
      <c r="AG4023">
        <v>30.164577999999999</v>
      </c>
      <c r="AH4023">
        <v>87.216997303467394</v>
      </c>
      <c r="AI4023">
        <v>71.071383799283495</v>
      </c>
      <c r="AJ4023">
        <v>82.546879430499303</v>
      </c>
      <c r="AK4023">
        <v>92.988648106769304</v>
      </c>
      <c r="AL4023">
        <v>87.157448791584201</v>
      </c>
      <c r="AM4023">
        <v>90.737404707265398</v>
      </c>
      <c r="AN4023">
        <v>1.00000003405497</v>
      </c>
    </row>
    <row r="4024" spans="1:40" x14ac:dyDescent="0.25">
      <c r="A4024" t="str">
        <f>"20190312160414211"</f>
        <v>20190312160414211</v>
      </c>
      <c r="B4024" t="str">
        <f>"1552377854198658"</f>
        <v>1552377854198658</v>
      </c>
      <c r="C4024" t="s">
        <v>40</v>
      </c>
      <c r="D4024">
        <v>4.786276</v>
      </c>
      <c r="E4024">
        <v>0.55479009999999995</v>
      </c>
      <c r="F4024" t="s">
        <v>55</v>
      </c>
      <c r="G4024">
        <v>-168.4228</v>
      </c>
      <c r="H4024">
        <v>31.376930000000002</v>
      </c>
      <c r="I4024">
        <v>200.81950000000001</v>
      </c>
      <c r="J4024">
        <v>-263.80579999999998</v>
      </c>
      <c r="K4024">
        <v>1.1098939999999999</v>
      </c>
      <c r="L4024">
        <v>213.37989999999999</v>
      </c>
      <c r="M4024">
        <v>0.99994079999999996</v>
      </c>
      <c r="N4024">
        <v>0</v>
      </c>
      <c r="O4024">
        <v>-6.3344200000000001E-4</v>
      </c>
      <c r="P4024">
        <v>0.99919080000000005</v>
      </c>
      <c r="Q4024">
        <v>3.817661E-2</v>
      </c>
      <c r="R4024">
        <v>1.2665579999999999E-2</v>
      </c>
      <c r="S4024">
        <v>2.9706730000000001</v>
      </c>
      <c r="T4024">
        <v>0.93934640000000003</v>
      </c>
      <c r="U4024">
        <v>-0.3898163</v>
      </c>
      <c r="V4024">
        <v>-1.3327200000000001E-2</v>
      </c>
      <c r="W4024">
        <v>4.9024779999999997E-2</v>
      </c>
      <c r="X4024">
        <v>0.9987087</v>
      </c>
      <c r="Y4024">
        <v>0.12357750000000001</v>
      </c>
      <c r="Z4024">
        <v>1.8802030000000001E-2</v>
      </c>
      <c r="AA4024">
        <v>0.99215679999999995</v>
      </c>
      <c r="AB4024">
        <v>34</v>
      </c>
      <c r="AC4024">
        <v>95.382999999999896</v>
      </c>
      <c r="AD4024">
        <v>30.267036000000001</v>
      </c>
      <c r="AE4024">
        <v>-12.5603999999999</v>
      </c>
      <c r="AF4024">
        <v>11.3741977270069</v>
      </c>
      <c r="AG4024">
        <v>30.267036000000001</v>
      </c>
      <c r="AH4024">
        <v>86.799809210024407</v>
      </c>
      <c r="AI4024">
        <v>70.927504305657394</v>
      </c>
      <c r="AJ4024">
        <v>82.534530340404203</v>
      </c>
      <c r="AK4024">
        <v>92.626522773204599</v>
      </c>
      <c r="AL4024">
        <v>87.189960781023501</v>
      </c>
      <c r="AM4024">
        <v>90.764534235350993</v>
      </c>
      <c r="AN4024">
        <v>1.0000000553847801</v>
      </c>
    </row>
    <row r="4025" spans="1:40" x14ac:dyDescent="0.25">
      <c r="A4025" t="str">
        <f>"20190312160414235"</f>
        <v>20190312160414235</v>
      </c>
      <c r="B4025" t="str">
        <f>"1552377854228908"</f>
        <v>1552377854228908</v>
      </c>
      <c r="C4025" t="s">
        <v>40</v>
      </c>
      <c r="D4025">
        <v>4.660266</v>
      </c>
      <c r="E4025">
        <v>0.55991069999999998</v>
      </c>
      <c r="F4025" t="s">
        <v>55</v>
      </c>
      <c r="G4025">
        <v>-168.42269999999999</v>
      </c>
      <c r="H4025">
        <v>31.338010000000001</v>
      </c>
      <c r="I4025">
        <v>200.9109</v>
      </c>
      <c r="J4025">
        <v>-263.43950000000001</v>
      </c>
      <c r="K4025">
        <v>1.109891</v>
      </c>
      <c r="L4025">
        <v>213.38</v>
      </c>
      <c r="M4025">
        <v>0.99994090000000002</v>
      </c>
      <c r="N4025">
        <v>0</v>
      </c>
      <c r="O4025">
        <v>-3.2804969999999998E-4</v>
      </c>
      <c r="P4025">
        <v>0.99917350000000005</v>
      </c>
      <c r="Q4025">
        <v>3.8408770000000002E-2</v>
      </c>
      <c r="R4025">
        <v>1.332171E-2</v>
      </c>
      <c r="S4025">
        <v>2.9714360000000002</v>
      </c>
      <c r="T4025">
        <v>0.94168620000000003</v>
      </c>
      <c r="U4025">
        <v>-0.38844299999999998</v>
      </c>
      <c r="V4025">
        <v>-1.3678010000000001E-2</v>
      </c>
      <c r="W4025">
        <v>4.92591E-2</v>
      </c>
      <c r="X4025">
        <v>0.99869240000000004</v>
      </c>
      <c r="Y4025">
        <v>0.1233658</v>
      </c>
      <c r="Z4025">
        <v>1.890414E-2</v>
      </c>
      <c r="AA4025">
        <v>0.99218119999999999</v>
      </c>
      <c r="AB4025">
        <v>34</v>
      </c>
      <c r="AC4025">
        <v>95.016800000000003</v>
      </c>
      <c r="AD4025">
        <v>30.228119</v>
      </c>
      <c r="AE4025">
        <v>-12.4690999999999</v>
      </c>
      <c r="AF4025">
        <v>11.3123889715415</v>
      </c>
      <c r="AG4025">
        <v>30.228119</v>
      </c>
      <c r="AH4025">
        <v>86.422214600377799</v>
      </c>
      <c r="AI4025">
        <v>70.872736730598305</v>
      </c>
      <c r="AJ4025">
        <v>82.542566304362197</v>
      </c>
      <c r="AK4025">
        <v>92.252417306840101</v>
      </c>
      <c r="AL4025">
        <v>87.176518918000298</v>
      </c>
      <c r="AM4025">
        <v>90.784669283015106</v>
      </c>
      <c r="AN4025">
        <v>1.00000002835406</v>
      </c>
    </row>
    <row r="4026" spans="1:40" x14ac:dyDescent="0.25">
      <c r="A4026" t="str">
        <f>"20190312160414257"</f>
        <v>20190312160414257</v>
      </c>
      <c r="B4026" t="str">
        <f>"1552377854248429"</f>
        <v>1552377854248429</v>
      </c>
      <c r="C4026" t="s">
        <v>40</v>
      </c>
      <c r="D4026">
        <v>4.6107909999999999</v>
      </c>
      <c r="E4026">
        <v>0.55969760000000002</v>
      </c>
      <c r="F4026" t="s">
        <v>55</v>
      </c>
      <c r="G4026">
        <v>-169.7225</v>
      </c>
      <c r="H4026">
        <v>34.144300000000001</v>
      </c>
      <c r="I4026">
        <v>199.92959999999999</v>
      </c>
      <c r="J4026">
        <v>-263.11239999999998</v>
      </c>
      <c r="K4026">
        <v>1.1098920000000001</v>
      </c>
      <c r="L4026">
        <v>213.3801</v>
      </c>
      <c r="M4026">
        <v>0.99994090000000002</v>
      </c>
      <c r="N4026">
        <v>0</v>
      </c>
      <c r="O4026" s="1">
        <v>-5.50793E-5</v>
      </c>
      <c r="P4026">
        <v>0.99918750000000001</v>
      </c>
      <c r="Q4026">
        <v>3.7883819999999999E-2</v>
      </c>
      <c r="R4026">
        <v>1.3754399999999899E-2</v>
      </c>
      <c r="S4026">
        <v>2.9679570000000002</v>
      </c>
      <c r="T4026">
        <v>1.0461780000000001</v>
      </c>
      <c r="U4026">
        <v>-0.42596440000000002</v>
      </c>
      <c r="V4026">
        <v>-1.38378999999999E-2</v>
      </c>
      <c r="W4026">
        <v>4.8737589999999997E-2</v>
      </c>
      <c r="X4026">
        <v>0.99871580000000004</v>
      </c>
      <c r="Y4026">
        <v>0.1340865</v>
      </c>
      <c r="Z4026">
        <v>2.2814500000000001E-2</v>
      </c>
      <c r="AA4026">
        <v>0.990707</v>
      </c>
      <c r="AB4026">
        <v>34</v>
      </c>
      <c r="AC4026">
        <v>93.389899999999898</v>
      </c>
      <c r="AD4026">
        <v>33.034407999999999</v>
      </c>
      <c r="AE4026">
        <v>-13.4505</v>
      </c>
      <c r="AF4026">
        <v>11.977200411056799</v>
      </c>
      <c r="AG4026">
        <v>33.034407999999999</v>
      </c>
      <c r="AH4026">
        <v>83.192920683649007</v>
      </c>
      <c r="AI4026">
        <v>68.543700565286599</v>
      </c>
      <c r="AJ4026">
        <v>81.807477560501098</v>
      </c>
      <c r="AK4026">
        <v>90.309398699542896</v>
      </c>
      <c r="AL4026">
        <v>87.206435218680497</v>
      </c>
      <c r="AM4026">
        <v>90.793821961943806</v>
      </c>
      <c r="AN4026">
        <v>1.0000000446625199</v>
      </c>
    </row>
    <row r="4027" spans="1:40" x14ac:dyDescent="0.25">
      <c r="A4027" t="str">
        <f>"20190312160414277"</f>
        <v>20190312160414277</v>
      </c>
      <c r="B4027" t="str">
        <f>"1552377854268925"</f>
        <v>1552377854268925</v>
      </c>
      <c r="C4027" t="s">
        <v>40</v>
      </c>
      <c r="D4027">
        <v>4.5347910000000002</v>
      </c>
      <c r="E4027">
        <v>0.55981059999999905</v>
      </c>
      <c r="F4027" t="s">
        <v>55</v>
      </c>
      <c r="G4027">
        <v>-169.7225</v>
      </c>
      <c r="H4027">
        <v>34.490859999999998</v>
      </c>
      <c r="I4027">
        <v>200.08410000000001</v>
      </c>
      <c r="J4027">
        <v>-262.79410000000001</v>
      </c>
      <c r="K4027">
        <v>1.1098859999999999</v>
      </c>
      <c r="L4027">
        <v>213.38040000000001</v>
      </c>
      <c r="M4027">
        <v>0.99994090000000002</v>
      </c>
      <c r="N4027">
        <v>0</v>
      </c>
      <c r="O4027">
        <v>2.1020279999999999E-4</v>
      </c>
      <c r="P4027">
        <v>0.99917929999999999</v>
      </c>
      <c r="Q4027">
        <v>3.801247E-2</v>
      </c>
      <c r="R4027">
        <v>1.399504E-2</v>
      </c>
      <c r="S4027">
        <v>2.9680179999999998</v>
      </c>
      <c r="T4027">
        <v>1.0608789999999999</v>
      </c>
      <c r="U4027">
        <v>-0.42256159999999998</v>
      </c>
      <c r="V4027">
        <v>-1.3813519999999999E-2</v>
      </c>
      <c r="W4027">
        <v>4.8868080000000001E-2</v>
      </c>
      <c r="X4027">
        <v>0.99870970000000003</v>
      </c>
      <c r="Y4027">
        <v>0.13306019999999999</v>
      </c>
      <c r="Z4027">
        <v>2.3032480000000001E-2</v>
      </c>
      <c r="AA4027">
        <v>0.99084030000000001</v>
      </c>
      <c r="AB4027">
        <v>34</v>
      </c>
      <c r="AC4027">
        <v>93.071600000000004</v>
      </c>
      <c r="AD4027">
        <v>33.380973999999902</v>
      </c>
      <c r="AE4027">
        <v>-13.2963</v>
      </c>
      <c r="AF4027">
        <v>11.825145850781499</v>
      </c>
      <c r="AG4027">
        <v>33.380973999999902</v>
      </c>
      <c r="AH4027">
        <v>82.649695436701094</v>
      </c>
      <c r="AI4027">
        <v>68.207800844330393</v>
      </c>
      <c r="AJ4027">
        <v>81.857637737634505</v>
      </c>
      <c r="AK4027">
        <v>89.917159960490196</v>
      </c>
      <c r="AL4027">
        <v>87.198949602499297</v>
      </c>
      <c r="AM4027">
        <v>90.792428402074705</v>
      </c>
      <c r="AN4027">
        <v>0.99999998372588295</v>
      </c>
    </row>
    <row r="4028" spans="1:40" x14ac:dyDescent="0.25">
      <c r="A4028" t="str">
        <f>"20190312160414300"</f>
        <v>20190312160414300</v>
      </c>
      <c r="B4028" t="str">
        <f>"1552377854288444"</f>
        <v>1552377854288444</v>
      </c>
      <c r="C4028" t="s">
        <v>40</v>
      </c>
      <c r="D4028">
        <v>4.5314019999999999</v>
      </c>
      <c r="E4028">
        <v>0.56011979999999995</v>
      </c>
      <c r="F4028" t="s">
        <v>55</v>
      </c>
      <c r="G4028">
        <v>-169.7226</v>
      </c>
      <c r="H4028">
        <v>34.786909999999999</v>
      </c>
      <c r="I4028">
        <v>200.1395</v>
      </c>
      <c r="J4028">
        <v>-262.45710000000003</v>
      </c>
      <c r="K4028">
        <v>1.109885</v>
      </c>
      <c r="L4028">
        <v>213.38069999999999</v>
      </c>
      <c r="M4028">
        <v>0.99994090000000002</v>
      </c>
      <c r="N4028">
        <v>0</v>
      </c>
      <c r="O4028">
        <v>4.9121919999999995E-4</v>
      </c>
      <c r="P4028">
        <v>0.99916859999999996</v>
      </c>
      <c r="Q4028">
        <v>3.8084399999999997E-2</v>
      </c>
      <c r="R4028">
        <v>1.4561869999999999E-2</v>
      </c>
      <c r="S4028">
        <v>2.9675600000000002</v>
      </c>
      <c r="T4028">
        <v>1.0737829999999999</v>
      </c>
      <c r="U4028">
        <v>-0.42218020000000001</v>
      </c>
      <c r="V4028">
        <v>-1.409968E-2</v>
      </c>
      <c r="W4028">
        <v>4.8942859999999998E-2</v>
      </c>
      <c r="X4028">
        <v>0.99870199999999998</v>
      </c>
      <c r="Y4028">
        <v>0.13302449999999999</v>
      </c>
      <c r="Z4028">
        <v>2.339167E-2</v>
      </c>
      <c r="AA4028">
        <v>0.99083670000000001</v>
      </c>
      <c r="AB4028">
        <v>34</v>
      </c>
      <c r="AC4028">
        <v>92.734499999999997</v>
      </c>
      <c r="AD4028">
        <v>33.677025</v>
      </c>
      <c r="AE4028">
        <v>-13.2411999999999</v>
      </c>
      <c r="AF4028">
        <v>11.7660330573034</v>
      </c>
      <c r="AG4028">
        <v>33.677025</v>
      </c>
      <c r="AH4028">
        <v>82.114903429337502</v>
      </c>
      <c r="AI4028">
        <v>67.904110328048205</v>
      </c>
      <c r="AJ4028">
        <v>81.845738825118602</v>
      </c>
      <c r="AK4028">
        <v>89.5289836419783</v>
      </c>
      <c r="AL4028">
        <v>87.194659781343802</v>
      </c>
      <c r="AM4028">
        <v>90.808848374915996</v>
      </c>
      <c r="AN4028">
        <v>0.99999994466253905</v>
      </c>
    </row>
    <row r="4029" spans="1:40" x14ac:dyDescent="0.25">
      <c r="A4029" t="str">
        <f>"20190312160414568"</f>
        <v>20190312160414568</v>
      </c>
      <c r="B4029" t="str">
        <f>"1552377854558796"</f>
        <v>1552377854558796</v>
      </c>
      <c r="C4029" t="s">
        <v>40</v>
      </c>
      <c r="D4029">
        <v>5.4713390000000004</v>
      </c>
      <c r="E4029">
        <v>0.55524359999999995</v>
      </c>
      <c r="F4029" t="s">
        <v>55</v>
      </c>
      <c r="G4029">
        <v>-169.7226</v>
      </c>
      <c r="H4029">
        <v>34.835999999999999</v>
      </c>
      <c r="I4029">
        <v>200.17060000000001</v>
      </c>
      <c r="J4029">
        <v>-258.3854</v>
      </c>
      <c r="K4029">
        <v>1.1098699999999999</v>
      </c>
      <c r="L4029">
        <v>213.39240000000001</v>
      </c>
      <c r="M4029">
        <v>0.99993310000000002</v>
      </c>
      <c r="N4029">
        <v>0</v>
      </c>
      <c r="O4029">
        <v>3.880545E-3</v>
      </c>
      <c r="P4029">
        <v>0.99926159999999997</v>
      </c>
      <c r="Q4029">
        <v>3.523544E-2</v>
      </c>
      <c r="R4029">
        <v>1.532297E-2</v>
      </c>
      <c r="S4029">
        <v>2.9675289999999999</v>
      </c>
      <c r="T4029">
        <v>1.0792459999999999</v>
      </c>
      <c r="U4029">
        <v>-0.42272949999999998</v>
      </c>
      <c r="V4029">
        <v>-1.147197E-2</v>
      </c>
      <c r="W4029">
        <v>4.6128420000000003E-2</v>
      </c>
      <c r="X4029">
        <v>0.99886969999999997</v>
      </c>
      <c r="Y4029">
        <v>0.13607250000000001</v>
      </c>
      <c r="Z4029">
        <v>2.5227220000000002E-2</v>
      </c>
      <c r="AA4029">
        <v>0.99037770000000003</v>
      </c>
      <c r="AB4029">
        <v>34</v>
      </c>
      <c r="AC4029">
        <v>88.662800000000004</v>
      </c>
      <c r="AD4029">
        <v>33.726129999999998</v>
      </c>
      <c r="AE4029">
        <v>-13.2218</v>
      </c>
      <c r="AF4029">
        <v>11.8836902585905</v>
      </c>
      <c r="AG4029">
        <v>33.726129999999998</v>
      </c>
      <c r="AH4029">
        <v>77.623512280274099</v>
      </c>
      <c r="AI4029">
        <v>66.757465659110395</v>
      </c>
      <c r="AJ4029">
        <v>81.295943998920606</v>
      </c>
      <c r="AK4029">
        <v>85.463931559839196</v>
      </c>
      <c r="AL4029">
        <v>87.356098174876493</v>
      </c>
      <c r="AM4029">
        <v>90.658010315055805</v>
      </c>
      <c r="AN4029">
        <v>1.0000000574027299</v>
      </c>
    </row>
    <row r="4030" spans="1:40" x14ac:dyDescent="0.25">
      <c r="A4030" t="str">
        <f>"20190312160414591"</f>
        <v>20190312160414591</v>
      </c>
      <c r="B4030" t="str">
        <f>"1552377854579294"</f>
        <v>1552377854579294</v>
      </c>
      <c r="C4030" t="s">
        <v>40</v>
      </c>
      <c r="D4030">
        <v>4.0101969999999998</v>
      </c>
      <c r="E4030">
        <v>0.47463529999999998</v>
      </c>
      <c r="F4030" t="s">
        <v>55</v>
      </c>
      <c r="G4030">
        <v>-169.42179999999999</v>
      </c>
      <c r="H4030">
        <v>34.039490000000001</v>
      </c>
      <c r="I4030">
        <v>201.96680000000001</v>
      </c>
      <c r="J4030">
        <v>-258.04199999999997</v>
      </c>
      <c r="K4030">
        <v>1.1098730000000001</v>
      </c>
      <c r="L4030">
        <v>213.39400000000001</v>
      </c>
      <c r="M4030">
        <v>0.99993180000000004</v>
      </c>
      <c r="N4030">
        <v>0</v>
      </c>
      <c r="O4030">
        <v>4.1665670000000004E-3</v>
      </c>
      <c r="P4030">
        <v>0.99926470000000001</v>
      </c>
      <c r="Q4030">
        <v>3.5163939999999998E-2</v>
      </c>
      <c r="R4030">
        <v>1.528414E-2</v>
      </c>
      <c r="S4030">
        <v>2.9693149999999999</v>
      </c>
      <c r="T4030">
        <v>1.0990839999999999</v>
      </c>
      <c r="U4030">
        <v>-0.38134770000000001</v>
      </c>
      <c r="V4030">
        <v>-1.114765E-2</v>
      </c>
      <c r="W4030">
        <v>4.6059820000000001E-2</v>
      </c>
      <c r="X4030">
        <v>0.99887649999999994</v>
      </c>
      <c r="Y4030">
        <v>0.1232014</v>
      </c>
      <c r="Z4030">
        <v>2.3475050000000001E-2</v>
      </c>
      <c r="AA4030">
        <v>0.99210399999999999</v>
      </c>
      <c r="AB4030">
        <v>34</v>
      </c>
      <c r="AC4030">
        <v>88.620199999999997</v>
      </c>
      <c r="AD4030">
        <v>32.929617</v>
      </c>
      <c r="AE4030">
        <v>-11.427199999999999</v>
      </c>
      <c r="AF4030">
        <v>10.3858194943023</v>
      </c>
      <c r="AG4030">
        <v>32.929617</v>
      </c>
      <c r="AH4030">
        <v>77.980878592598899</v>
      </c>
      <c r="AI4030">
        <v>67.286691680695995</v>
      </c>
      <c r="AJ4030">
        <v>82.413753290325104</v>
      </c>
      <c r="AK4030">
        <v>85.283306387642895</v>
      </c>
      <c r="AL4030">
        <v>87.360032747641995</v>
      </c>
      <c r="AM4030">
        <v>90.639405152953898</v>
      </c>
      <c r="AN4030">
        <v>1.0000000196856</v>
      </c>
    </row>
    <row r="4031" spans="1:40" x14ac:dyDescent="0.25">
      <c r="A4031" t="str">
        <f>"20190312160414613"</f>
        <v>20190312160414613</v>
      </c>
      <c r="B4031" t="str">
        <f>"1552377854608574"</f>
        <v>1552377854608574</v>
      </c>
      <c r="C4031" t="s">
        <v>40</v>
      </c>
      <c r="D4031">
        <v>4.079548</v>
      </c>
      <c r="E4031">
        <v>0.54980130000000005</v>
      </c>
      <c r="F4031" t="s">
        <v>54</v>
      </c>
      <c r="G4031">
        <v>-157.8382</v>
      </c>
      <c r="H4031">
        <v>5.6960559999999996</v>
      </c>
      <c r="I4031">
        <v>221.71530000000001</v>
      </c>
      <c r="J4031">
        <v>-257.69499999999999</v>
      </c>
      <c r="K4031">
        <v>1.10988</v>
      </c>
      <c r="L4031">
        <v>213.39580000000001</v>
      </c>
      <c r="M4031">
        <v>0.9999306</v>
      </c>
      <c r="N4031">
        <v>0</v>
      </c>
      <c r="O4031">
        <v>4.4552130000000004E-3</v>
      </c>
      <c r="P4031">
        <v>0.99925549999999996</v>
      </c>
      <c r="Q4031">
        <v>3.5361160000000003E-2</v>
      </c>
      <c r="R4031">
        <v>1.5432889999999999E-2</v>
      </c>
      <c r="S4031">
        <v>2.9935610000000001</v>
      </c>
      <c r="T4031">
        <v>0.13701259999999901</v>
      </c>
      <c r="U4031">
        <v>0.24859619999999999</v>
      </c>
      <c r="V4031">
        <v>-1.100799E-2</v>
      </c>
      <c r="W4031">
        <v>4.6259889999999998E-2</v>
      </c>
      <c r="X4031">
        <v>0.9988688</v>
      </c>
      <c r="Y4031">
        <v>-7.8241050000000006E-2</v>
      </c>
      <c r="Z4031">
        <v>-1.5830480000000001E-3</v>
      </c>
      <c r="AA4031">
        <v>0.99693319999999996</v>
      </c>
      <c r="AB4031">
        <v>34</v>
      </c>
      <c r="AC4031">
        <v>99.856800000000007</v>
      </c>
      <c r="AD4031">
        <v>4.586176</v>
      </c>
      <c r="AE4031">
        <v>8.3194999999999997</v>
      </c>
      <c r="AF4031">
        <v>-7.8580466339762198</v>
      </c>
      <c r="AG4031">
        <v>4.586176</v>
      </c>
      <c r="AH4031">
        <v>99.684058306427204</v>
      </c>
      <c r="AI4031">
        <v>87.373979007047197</v>
      </c>
      <c r="AJ4031">
        <v>94.507278097457998</v>
      </c>
      <c r="AK4031">
        <v>100.09841850720601</v>
      </c>
      <c r="AL4031">
        <v>87.348557340610299</v>
      </c>
      <c r="AM4031">
        <v>90.631400076153994</v>
      </c>
      <c r="AN4031">
        <v>1.00000001644004</v>
      </c>
    </row>
    <row r="4032" spans="1:40" x14ac:dyDescent="0.25">
      <c r="A4032" t="str">
        <f>"20190312160414631"</f>
        <v>20190312160414631</v>
      </c>
      <c r="B4032" t="str">
        <f>"1552377854619308"</f>
        <v>1552377854619308</v>
      </c>
      <c r="C4032" t="s">
        <v>40</v>
      </c>
      <c r="D4032">
        <v>4.1308930000000004</v>
      </c>
      <c r="E4032">
        <v>0.54870559999999902</v>
      </c>
      <c r="F4032" t="s">
        <v>55</v>
      </c>
      <c r="G4032">
        <v>-168.41229999999999</v>
      </c>
      <c r="H4032">
        <v>2.0768800000000001</v>
      </c>
      <c r="I4032">
        <v>202.9487</v>
      </c>
      <c r="J4032">
        <v>-257.4298</v>
      </c>
      <c r="K4032">
        <v>1.1098790000000001</v>
      </c>
      <c r="L4032">
        <v>213.3972</v>
      </c>
      <c r="M4032">
        <v>0.99992939999999997</v>
      </c>
      <c r="N4032">
        <v>0</v>
      </c>
      <c r="O4032">
        <v>4.6760329999999996E-3</v>
      </c>
      <c r="P4032">
        <v>0.99923700000000004</v>
      </c>
      <c r="Q4032">
        <v>3.5745619999999999E-2</v>
      </c>
      <c r="R4032">
        <v>1.573486E-2</v>
      </c>
      <c r="S4032">
        <v>3.0064850000000001</v>
      </c>
      <c r="T4032">
        <v>3.2563689999999999E-2</v>
      </c>
      <c r="U4032">
        <v>-0.35179139999999998</v>
      </c>
      <c r="V4032">
        <v>-1.1089709999999999E-2</v>
      </c>
      <c r="W4032">
        <v>4.6646170000000001E-2</v>
      </c>
      <c r="X4032">
        <v>0.99884989999999996</v>
      </c>
      <c r="Y4032">
        <v>0.12085410000000001</v>
      </c>
      <c r="Z4032">
        <v>7.0272960000000002E-4</v>
      </c>
      <c r="AA4032">
        <v>0.9926701</v>
      </c>
      <c r="AB4032">
        <v>34</v>
      </c>
      <c r="AC4032">
        <v>89.017499999999998</v>
      </c>
      <c r="AD4032">
        <v>0.967001</v>
      </c>
      <c r="AE4032">
        <v>-10.4484999999999</v>
      </c>
      <c r="AF4032">
        <v>10.8633948399329</v>
      </c>
      <c r="AG4032">
        <v>0.967001</v>
      </c>
      <c r="AH4032">
        <v>88.957311423359201</v>
      </c>
      <c r="AI4032">
        <v>89.381789147678106</v>
      </c>
      <c r="AJ4032">
        <v>83.037559739489595</v>
      </c>
      <c r="AK4032">
        <v>89.623388097386695</v>
      </c>
      <c r="AL4032">
        <v>87.326401124345196</v>
      </c>
      <c r="AM4032">
        <v>90.636099051201995</v>
      </c>
      <c r="AN4032">
        <v>0.99999998478678098</v>
      </c>
    </row>
    <row r="4033" spans="1:40" x14ac:dyDescent="0.25">
      <c r="A4033" t="str">
        <f>"20190312160414646"</f>
        <v>20190312160414646</v>
      </c>
      <c r="B4033" t="str">
        <f>"1552377854638828"</f>
        <v>1552377854638828</v>
      </c>
      <c r="C4033" t="s">
        <v>40</v>
      </c>
      <c r="D4033">
        <v>4.1838449999999998</v>
      </c>
      <c r="E4033">
        <v>0.54705669999999995</v>
      </c>
      <c r="F4033" t="s">
        <v>55</v>
      </c>
      <c r="G4033">
        <v>-168.41229999999999</v>
      </c>
      <c r="H4033">
        <v>2.1334819999999999</v>
      </c>
      <c r="I4033">
        <v>203.26560000000001</v>
      </c>
      <c r="J4033">
        <v>-257.17509999999999</v>
      </c>
      <c r="K4033">
        <v>1.1098730000000001</v>
      </c>
      <c r="L4033">
        <v>213.39859999999999</v>
      </c>
      <c r="M4033">
        <v>0.9999285</v>
      </c>
      <c r="N4033">
        <v>0</v>
      </c>
      <c r="O4033">
        <v>4.8879140000000001E-3</v>
      </c>
      <c r="P4033">
        <v>0.99921170000000004</v>
      </c>
      <c r="Q4033">
        <v>3.6328060000000002E-2</v>
      </c>
      <c r="R4033">
        <v>1.6019209999999999E-2</v>
      </c>
      <c r="S4033">
        <v>3.0064389999999999</v>
      </c>
      <c r="T4033">
        <v>3.4571770000000002E-2</v>
      </c>
      <c r="U4033">
        <v>-0.34217829999999999</v>
      </c>
      <c r="V4033">
        <v>-1.116323E-2</v>
      </c>
      <c r="W4033">
        <v>4.7230139999999997E-2</v>
      </c>
      <c r="X4033">
        <v>0.99882170000000003</v>
      </c>
      <c r="Y4033">
        <v>0.1179326</v>
      </c>
      <c r="Z4033">
        <v>7.3189520000000005E-4</v>
      </c>
      <c r="AA4033">
        <v>0.9930213</v>
      </c>
      <c r="AB4033">
        <v>34</v>
      </c>
      <c r="AC4033">
        <v>88.762799999999999</v>
      </c>
      <c r="AD4033">
        <v>1.023609</v>
      </c>
      <c r="AE4033">
        <v>-10.1329999999999</v>
      </c>
      <c r="AF4033">
        <v>10.5653827362678</v>
      </c>
      <c r="AG4033">
        <v>1.023609</v>
      </c>
      <c r="AH4033">
        <v>88.700563145198004</v>
      </c>
      <c r="AI4033">
        <v>89.3434736921416</v>
      </c>
      <c r="AJ4033">
        <v>83.207336489354105</v>
      </c>
      <c r="AK4033">
        <v>89.333448327174594</v>
      </c>
      <c r="AL4033">
        <v>87.292905353814504</v>
      </c>
      <c r="AM4033">
        <v>90.640333840628998</v>
      </c>
      <c r="AN4033">
        <v>1.0000000461096701</v>
      </c>
    </row>
    <row r="4034" spans="1:40" x14ac:dyDescent="0.25">
      <c r="A4034" t="str">
        <f>"20190312160414670"</f>
        <v>20190312160414670</v>
      </c>
      <c r="B4034" t="str">
        <f>"1552377854659324"</f>
        <v>1552377854659324</v>
      </c>
      <c r="C4034" t="s">
        <v>40</v>
      </c>
      <c r="D4034">
        <v>4.1454839999999997</v>
      </c>
      <c r="E4034">
        <v>0.54594480000000001</v>
      </c>
      <c r="F4034" t="s">
        <v>55</v>
      </c>
      <c r="G4034">
        <v>-168.41220000000001</v>
      </c>
      <c r="H4034">
        <v>2.3017270000000001</v>
      </c>
      <c r="I4034">
        <v>203.70959999999999</v>
      </c>
      <c r="J4034">
        <v>-256.84019999999998</v>
      </c>
      <c r="K4034">
        <v>1.109874</v>
      </c>
      <c r="L4034">
        <v>213.40049999999999</v>
      </c>
      <c r="M4034">
        <v>0.99992700000000001</v>
      </c>
      <c r="N4034">
        <v>0</v>
      </c>
      <c r="O4034">
        <v>5.1660739999999997E-3</v>
      </c>
      <c r="P4034">
        <v>0.99917319999999998</v>
      </c>
      <c r="Q4034">
        <v>3.6962580000000002E-2</v>
      </c>
      <c r="R4034">
        <v>1.6933819999999999E-2</v>
      </c>
      <c r="S4034">
        <v>3.0061650000000002</v>
      </c>
      <c r="T4034">
        <v>4.0366050000000001E-2</v>
      </c>
      <c r="U4034">
        <v>-0.3281403</v>
      </c>
      <c r="V4034">
        <v>-1.1800130000000001E-2</v>
      </c>
      <c r="W4034">
        <v>4.7866470000000001E-2</v>
      </c>
      <c r="X4034">
        <v>0.99878409999999995</v>
      </c>
      <c r="Y4034">
        <v>0.1136351</v>
      </c>
      <c r="Z4034">
        <v>8.2980839999999897E-4</v>
      </c>
      <c r="AA4034">
        <v>0.99352220000000002</v>
      </c>
      <c r="AB4034">
        <v>34</v>
      </c>
      <c r="AC4034">
        <v>88.427999999999898</v>
      </c>
      <c r="AD4034">
        <v>1.1918530000000001</v>
      </c>
      <c r="AE4034">
        <v>-9.6908999999999992</v>
      </c>
      <c r="AF4034">
        <v>10.1458022714618</v>
      </c>
      <c r="AG4034">
        <v>1.1918530000000001</v>
      </c>
      <c r="AH4034">
        <v>88.360891579497306</v>
      </c>
      <c r="AI4034">
        <v>89.232258447127904</v>
      </c>
      <c r="AJ4034">
        <v>83.449851428758905</v>
      </c>
      <c r="AK4034">
        <v>88.949451814099902</v>
      </c>
      <c r="AL4034">
        <v>87.256405086184003</v>
      </c>
      <c r="AM4034">
        <v>90.676889221857095</v>
      </c>
      <c r="AN4034">
        <v>1.0000000602155401</v>
      </c>
    </row>
    <row r="4035" spans="1:40" x14ac:dyDescent="0.25">
      <c r="A4035" t="str">
        <f>"20190312160414691"</f>
        <v>20190312160414691</v>
      </c>
      <c r="B4035" t="str">
        <f>"1552377854678845"</f>
        <v>1552377854678845</v>
      </c>
      <c r="C4035" t="s">
        <v>40</v>
      </c>
      <c r="D4035">
        <v>4.1677429999999998</v>
      </c>
      <c r="E4035">
        <v>0.54552389999999995</v>
      </c>
      <c r="F4035" t="s">
        <v>55</v>
      </c>
      <c r="G4035">
        <v>-168.41210000000001</v>
      </c>
      <c r="H4035">
        <v>2.5979920000000001</v>
      </c>
      <c r="I4035">
        <v>204.0917</v>
      </c>
      <c r="J4035">
        <v>-256.50420000000003</v>
      </c>
      <c r="K4035">
        <v>1.1098809999999999</v>
      </c>
      <c r="L4035">
        <v>213.4025</v>
      </c>
      <c r="M4035">
        <v>0.99992550000000002</v>
      </c>
      <c r="N4035">
        <v>0</v>
      </c>
      <c r="O4035">
        <v>5.4453039999999998E-3</v>
      </c>
      <c r="P4035">
        <v>0.9991603</v>
      </c>
      <c r="Q4035">
        <v>3.7018460000000003E-2</v>
      </c>
      <c r="R4035">
        <v>1.7557329999999999E-2</v>
      </c>
      <c r="S4035">
        <v>3.0059809999999998</v>
      </c>
      <c r="T4035">
        <v>5.0587529999999999E-2</v>
      </c>
      <c r="U4035">
        <v>-0.31643680000000002</v>
      </c>
      <c r="V4035">
        <v>-1.21449E-2</v>
      </c>
      <c r="W4035">
        <v>4.7925059999999998E-2</v>
      </c>
      <c r="X4035">
        <v>0.99877709999999997</v>
      </c>
      <c r="Y4035">
        <v>0.11008850000000001</v>
      </c>
      <c r="Z4035">
        <v>1.0151120000000001E-3</v>
      </c>
      <c r="AA4035">
        <v>0.99392130000000001</v>
      </c>
      <c r="AB4035">
        <v>34</v>
      </c>
      <c r="AC4035">
        <v>88.092100000000002</v>
      </c>
      <c r="AD4035">
        <v>1.48811099999999</v>
      </c>
      <c r="AE4035">
        <v>-9.3108000000000004</v>
      </c>
      <c r="AF4035">
        <v>9.7876166735010397</v>
      </c>
      <c r="AG4035">
        <v>1.48811099999999</v>
      </c>
      <c r="AH4035">
        <v>88.015251884770393</v>
      </c>
      <c r="AI4035">
        <v>89.037301440766399</v>
      </c>
      <c r="AJ4035">
        <v>83.654571259644399</v>
      </c>
      <c r="AK4035">
        <v>88.570291175062195</v>
      </c>
      <c r="AL4035">
        <v>87.253044111551006</v>
      </c>
      <c r="AM4035">
        <v>90.696669176182198</v>
      </c>
      <c r="AN4035">
        <v>1.0000000027282101</v>
      </c>
    </row>
    <row r="4036" spans="1:40" x14ac:dyDescent="0.25">
      <c r="A4036" t="str">
        <f>"20190312160414708"</f>
        <v>20190312160414708</v>
      </c>
      <c r="B4036" t="str">
        <f>"1552377854699341"</f>
        <v>1552377854699341</v>
      </c>
      <c r="C4036" t="s">
        <v>40</v>
      </c>
      <c r="D4036">
        <v>4.1883059999999999</v>
      </c>
      <c r="E4036">
        <v>0.5455757</v>
      </c>
      <c r="F4036" t="s">
        <v>55</v>
      </c>
      <c r="G4036">
        <v>-168.41210000000001</v>
      </c>
      <c r="H4036">
        <v>2.7492350000000001</v>
      </c>
      <c r="I4036">
        <v>204.29079999999999</v>
      </c>
      <c r="J4036">
        <v>-256.24419999999998</v>
      </c>
      <c r="K4036">
        <v>1.109882</v>
      </c>
      <c r="L4036">
        <v>213.4041</v>
      </c>
      <c r="M4036">
        <v>0.99992440000000005</v>
      </c>
      <c r="N4036">
        <v>0</v>
      </c>
      <c r="O4036">
        <v>5.6608229999999997E-3</v>
      </c>
      <c r="P4036">
        <v>0.99914369999999997</v>
      </c>
      <c r="Q4036">
        <v>3.7328970000000003E-2</v>
      </c>
      <c r="R4036">
        <v>1.7857749999999999E-2</v>
      </c>
      <c r="S4036">
        <v>3.0059049999999998</v>
      </c>
      <c r="T4036">
        <v>5.5939669999999997E-2</v>
      </c>
      <c r="U4036">
        <v>-0.3109131</v>
      </c>
      <c r="V4036">
        <v>-1.222997E-2</v>
      </c>
      <c r="W4036">
        <v>4.8237500000000003E-2</v>
      </c>
      <c r="X4036">
        <v>0.99876100000000001</v>
      </c>
      <c r="Y4036">
        <v>0.1084951</v>
      </c>
      <c r="Z4036">
        <v>1.111842E-3</v>
      </c>
      <c r="AA4036">
        <v>0.99409630000000004</v>
      </c>
      <c r="AB4036">
        <v>34</v>
      </c>
      <c r="AC4036">
        <v>87.832099999999897</v>
      </c>
      <c r="AD4036">
        <v>1.6393529999999901</v>
      </c>
      <c r="AE4036">
        <v>-9.1133000000000095</v>
      </c>
      <c r="AF4036">
        <v>9.6070744075292698</v>
      </c>
      <c r="AG4036">
        <v>1.6393529999999901</v>
      </c>
      <c r="AH4036">
        <v>87.748857369280003</v>
      </c>
      <c r="AI4036">
        <v>88.936062001102997</v>
      </c>
      <c r="AJ4036">
        <v>83.7519281807391</v>
      </c>
      <c r="AK4036">
        <v>88.288421248455094</v>
      </c>
      <c r="AL4036">
        <v>87.235121832027701</v>
      </c>
      <c r="AM4036">
        <v>90.701559877324797</v>
      </c>
      <c r="AN4036">
        <v>0.99999998184672501</v>
      </c>
    </row>
    <row r="4037" spans="1:40" x14ac:dyDescent="0.25">
      <c r="A4037" t="str">
        <f>"20190312160414724"</f>
        <v>20190312160414724</v>
      </c>
      <c r="B4037" t="str">
        <f>"1552377854718860"</f>
        <v>1552377854718860</v>
      </c>
      <c r="C4037" t="s">
        <v>40</v>
      </c>
      <c r="D4037">
        <v>4.2627620000000004</v>
      </c>
      <c r="E4037">
        <v>0.54497830000000003</v>
      </c>
      <c r="F4037" t="s">
        <v>55</v>
      </c>
      <c r="G4037">
        <v>-168.41210000000001</v>
      </c>
      <c r="H4037">
        <v>2.8408679999999999</v>
      </c>
      <c r="I4037">
        <v>204.32759999999999</v>
      </c>
      <c r="J4037">
        <v>-255.9786</v>
      </c>
      <c r="K4037">
        <v>1.109888</v>
      </c>
      <c r="L4037">
        <v>213.4058</v>
      </c>
      <c r="M4037">
        <v>0.99992300000000001</v>
      </c>
      <c r="N4037">
        <v>0</v>
      </c>
      <c r="O4037">
        <v>5.8817009999999996E-3</v>
      </c>
      <c r="P4037">
        <v>0.99912339999999999</v>
      </c>
      <c r="Q4037">
        <v>3.7389140000000001E-2</v>
      </c>
      <c r="R4037">
        <v>1.882961E-2</v>
      </c>
      <c r="S4037">
        <v>3.0058750000000001</v>
      </c>
      <c r="T4037">
        <v>5.9240580000000001E-2</v>
      </c>
      <c r="U4037">
        <v>-0.31062319999999999</v>
      </c>
      <c r="V4037">
        <v>-1.298144E-2</v>
      </c>
      <c r="W4037">
        <v>4.8298929999999997E-2</v>
      </c>
      <c r="X4037">
        <v>0.99874850000000004</v>
      </c>
      <c r="Y4037">
        <v>0.1086184</v>
      </c>
      <c r="Z4037">
        <v>1.18301E-3</v>
      </c>
      <c r="AA4037">
        <v>0.99408280000000004</v>
      </c>
      <c r="AB4037">
        <v>34</v>
      </c>
      <c r="AC4037">
        <v>87.566499999999905</v>
      </c>
      <c r="AD4037">
        <v>1.73098</v>
      </c>
      <c r="AE4037">
        <v>-9.0782000000000096</v>
      </c>
      <c r="AF4037">
        <v>9.5894063798813498</v>
      </c>
      <c r="AG4037">
        <v>1.73098</v>
      </c>
      <c r="AH4037">
        <v>87.477767533166798</v>
      </c>
      <c r="AI4037">
        <v>88.873147339564397</v>
      </c>
      <c r="AJ4037">
        <v>83.744153982788205</v>
      </c>
      <c r="AK4037">
        <v>88.018820822967598</v>
      </c>
      <c r="AL4037">
        <v>87.231597916082706</v>
      </c>
      <c r="AM4037">
        <v>90.744671800083395</v>
      </c>
      <c r="AN4037">
        <v>0.99999993533793197</v>
      </c>
    </row>
    <row r="4038" spans="1:40" x14ac:dyDescent="0.25">
      <c r="A4038" t="str">
        <f>"20190312160414746"</f>
        <v>20190312160414746</v>
      </c>
      <c r="B4038" t="str">
        <f>"1552377854739356"</f>
        <v>1552377854739356</v>
      </c>
      <c r="C4038" t="s">
        <v>40</v>
      </c>
      <c r="D4038">
        <v>4.1959439999999999</v>
      </c>
      <c r="E4038">
        <v>0.54487790000000003</v>
      </c>
      <c r="F4038" t="s">
        <v>55</v>
      </c>
      <c r="G4038">
        <v>-168.41200000000001</v>
      </c>
      <c r="H4038">
        <v>2.771963</v>
      </c>
      <c r="I4038">
        <v>204.58090000000001</v>
      </c>
      <c r="J4038">
        <v>-255.6532</v>
      </c>
      <c r="K4038">
        <v>1.1098889999999999</v>
      </c>
      <c r="L4038">
        <v>213.40799999999999</v>
      </c>
      <c r="M4038">
        <v>0.99992139999999996</v>
      </c>
      <c r="N4038">
        <v>0</v>
      </c>
      <c r="O4038">
        <v>6.1521070000000004E-3</v>
      </c>
      <c r="P4038">
        <v>0.99911360000000005</v>
      </c>
      <c r="Q4038">
        <v>3.7560049999999998E-2</v>
      </c>
      <c r="R4038">
        <v>1.901487E-2</v>
      </c>
      <c r="S4038">
        <v>3.0062099999999998</v>
      </c>
      <c r="T4038">
        <v>5.706108E-2</v>
      </c>
      <c r="U4038">
        <v>-0.30296329999999999</v>
      </c>
      <c r="V4038">
        <v>-1.289656E-2</v>
      </c>
      <c r="W4038">
        <v>4.8472300000000003E-2</v>
      </c>
      <c r="X4038">
        <v>0.99874130000000005</v>
      </c>
      <c r="Y4038">
        <v>0.106370699999999</v>
      </c>
      <c r="Z4038">
        <v>1.1233580000000001E-3</v>
      </c>
      <c r="AA4038">
        <v>0.99432589999999998</v>
      </c>
      <c r="AB4038">
        <v>34</v>
      </c>
      <c r="AC4038">
        <v>87.241199999999907</v>
      </c>
      <c r="AD4038">
        <v>1.6620740000000001</v>
      </c>
      <c r="AE4038">
        <v>-8.8270999999999695</v>
      </c>
      <c r="AF4038">
        <v>9.3603191773191092</v>
      </c>
      <c r="AG4038">
        <v>1.6620740000000001</v>
      </c>
      <c r="AH4038">
        <v>87.153927581541794</v>
      </c>
      <c r="AI4038">
        <v>88.913715493075301</v>
      </c>
      <c r="AJ4038">
        <v>83.869939060034298</v>
      </c>
      <c r="AK4038">
        <v>87.670891166745903</v>
      </c>
      <c r="AL4038">
        <v>87.221653174184894</v>
      </c>
      <c r="AM4038">
        <v>90.7398085901455</v>
      </c>
      <c r="AN4038">
        <v>1.0000000347264</v>
      </c>
    </row>
    <row r="4039" spans="1:40" x14ac:dyDescent="0.25">
      <c r="A4039" t="str">
        <f>"20190312160414769"</f>
        <v>20190312160414769</v>
      </c>
      <c r="B4039" t="str">
        <f>"1552377854758876"</f>
        <v>1552377854758876</v>
      </c>
      <c r="C4039" t="s">
        <v>40</v>
      </c>
      <c r="D4039">
        <v>4.2403620000000002</v>
      </c>
      <c r="E4039">
        <v>0.54506880000000002</v>
      </c>
      <c r="F4039" t="s">
        <v>55</v>
      </c>
      <c r="G4039">
        <v>-168.41200000000001</v>
      </c>
      <c r="H4039">
        <v>2.7785869999999999</v>
      </c>
      <c r="I4039">
        <v>204.65809999999999</v>
      </c>
      <c r="J4039">
        <v>-255.3047</v>
      </c>
      <c r="K4039">
        <v>1.1098889999999999</v>
      </c>
      <c r="L4039">
        <v>213.41040000000001</v>
      </c>
      <c r="M4039">
        <v>0.99991949999999996</v>
      </c>
      <c r="N4039">
        <v>0</v>
      </c>
      <c r="O4039">
        <v>6.4416500000000002E-3</v>
      </c>
      <c r="P4039">
        <v>0.99909809999999999</v>
      </c>
      <c r="Q4039">
        <v>3.7861079999999998E-2</v>
      </c>
      <c r="R4039">
        <v>1.922449E-2</v>
      </c>
      <c r="S4039">
        <v>3.0062410000000002</v>
      </c>
      <c r="T4039">
        <v>5.7502749999999998E-2</v>
      </c>
      <c r="U4039">
        <v>-0.3015137</v>
      </c>
      <c r="V4039">
        <v>-1.281732E-2</v>
      </c>
      <c r="W4039">
        <v>4.8775689999999997E-2</v>
      </c>
      <c r="X4039">
        <v>0.99872749999999999</v>
      </c>
      <c r="Y4039">
        <v>0.1061826</v>
      </c>
      <c r="Z4039">
        <v>1.1357979999999999E-3</v>
      </c>
      <c r="AA4039">
        <v>0.99434599999999995</v>
      </c>
      <c r="AB4039">
        <v>34</v>
      </c>
      <c r="AC4039">
        <v>86.892699999999905</v>
      </c>
      <c r="AD4039">
        <v>1.668698</v>
      </c>
      <c r="AE4039">
        <v>-8.7523000000000195</v>
      </c>
      <c r="AF4039">
        <v>9.3084857221789896</v>
      </c>
      <c r="AG4039">
        <v>1.668698</v>
      </c>
      <c r="AH4039">
        <v>86.802823136681596</v>
      </c>
      <c r="AI4039">
        <v>88.904958083794497</v>
      </c>
      <c r="AJ4039">
        <v>83.879156292025002</v>
      </c>
      <c r="AK4039">
        <v>87.316450706343105</v>
      </c>
      <c r="AL4039">
        <v>87.204249484556996</v>
      </c>
      <c r="AM4039">
        <v>90.735273662381999</v>
      </c>
      <c r="AN4039">
        <v>0.99999998544160396</v>
      </c>
    </row>
    <row r="4040" spans="1:40" x14ac:dyDescent="0.25">
      <c r="A4040" t="str">
        <f>"20190312160414792"</f>
        <v>20190312160414792</v>
      </c>
      <c r="B4040" t="str">
        <f>"1552377854789133"</f>
        <v>1552377854789133</v>
      </c>
      <c r="C4040" t="s">
        <v>40</v>
      </c>
      <c r="D4040">
        <v>4.2874809999999997</v>
      </c>
      <c r="E4040">
        <v>0.5453422</v>
      </c>
      <c r="F4040" t="s">
        <v>44</v>
      </c>
      <c r="G4040">
        <v>-177.495</v>
      </c>
      <c r="H4040">
        <v>2.6566730000000001</v>
      </c>
      <c r="I4040">
        <v>205.58439999999999</v>
      </c>
      <c r="J4040">
        <v>-254.9572</v>
      </c>
      <c r="K4040">
        <v>1.1098859999999999</v>
      </c>
      <c r="L4040">
        <v>213.41300000000001</v>
      </c>
      <c r="M4040">
        <v>0.99991759999999996</v>
      </c>
      <c r="N4040">
        <v>0</v>
      </c>
      <c r="O4040">
        <v>6.7301180000000002E-3</v>
      </c>
      <c r="P4040">
        <v>0.99910480000000002</v>
      </c>
      <c r="Q4040">
        <v>3.7798869999999998E-2</v>
      </c>
      <c r="R4040">
        <v>1.899841E-2</v>
      </c>
      <c r="S4040">
        <v>3.0062709999999999</v>
      </c>
      <c r="T4040">
        <v>5.9761880000000003E-2</v>
      </c>
      <c r="U4040">
        <v>-0.30236819999999998</v>
      </c>
      <c r="V4040">
        <v>-1.2302550000000001E-2</v>
      </c>
      <c r="W4040">
        <v>4.8716629999999997E-2</v>
      </c>
      <c r="X4040">
        <v>0.99873690000000004</v>
      </c>
      <c r="Y4040">
        <v>0.10674649999999999</v>
      </c>
      <c r="Z4040">
        <v>1.1916940000000001E-3</v>
      </c>
      <c r="AA4040">
        <v>0.99428559999999999</v>
      </c>
      <c r="AB4040">
        <v>34</v>
      </c>
      <c r="AC4040">
        <v>77.462199999999996</v>
      </c>
      <c r="AD4040">
        <v>1.5467869999999999</v>
      </c>
      <c r="AE4040">
        <v>-7.82859999999999</v>
      </c>
      <c r="AF4040">
        <v>8.3464892126386498</v>
      </c>
      <c r="AG4040">
        <v>1.5467869999999999</v>
      </c>
      <c r="AH4040">
        <v>77.377214062739199</v>
      </c>
      <c r="AI4040">
        <v>88.861400804760294</v>
      </c>
      <c r="AJ4040">
        <v>83.8434499409247</v>
      </c>
      <c r="AK4040">
        <v>77.841439402872197</v>
      </c>
      <c r="AL4040">
        <v>87.207637522904193</v>
      </c>
      <c r="AM4040">
        <v>90.705739963584307</v>
      </c>
      <c r="AN4040">
        <v>1.00000002909833</v>
      </c>
    </row>
    <row r="4041" spans="1:40" x14ac:dyDescent="0.25">
      <c r="A4041" t="str">
        <f>"20190312160414814"</f>
        <v>20190312160414814</v>
      </c>
      <c r="B4041" t="str">
        <f>"1552377854808653"</f>
        <v>1552377854808653</v>
      </c>
      <c r="C4041" t="s">
        <v>40</v>
      </c>
      <c r="D4041">
        <v>4.3323039999999997</v>
      </c>
      <c r="E4041">
        <v>0.54585130000000004</v>
      </c>
      <c r="F4041" t="s">
        <v>55</v>
      </c>
      <c r="G4041">
        <v>-168.41200000000001</v>
      </c>
      <c r="H4041">
        <v>2.8307880000000001</v>
      </c>
      <c r="I4041">
        <v>204.62569999999999</v>
      </c>
      <c r="J4041">
        <v>-254.60890000000001</v>
      </c>
      <c r="K4041">
        <v>1.1098809999999999</v>
      </c>
      <c r="L4041">
        <v>213.41560000000001</v>
      </c>
      <c r="M4041">
        <v>0.99991569999999996</v>
      </c>
      <c r="N4041">
        <v>0</v>
      </c>
      <c r="O4041">
        <v>7.0194219999999896E-3</v>
      </c>
      <c r="P4041">
        <v>0.99910889999999997</v>
      </c>
      <c r="Q4041">
        <v>3.7461359999999999E-2</v>
      </c>
      <c r="R4041">
        <v>1.944531E-2</v>
      </c>
      <c r="S4041">
        <v>3.0062410000000002</v>
      </c>
      <c r="T4041">
        <v>5.9778570000000003E-2</v>
      </c>
      <c r="U4041">
        <v>-0.30523679999999997</v>
      </c>
      <c r="V4041">
        <v>-1.246038E-2</v>
      </c>
      <c r="W4041">
        <v>4.8381809999999997E-2</v>
      </c>
      <c r="X4041">
        <v>0.99875119999999895</v>
      </c>
      <c r="Y4041">
        <v>0.107974</v>
      </c>
      <c r="Z4041">
        <v>1.209892E-3</v>
      </c>
      <c r="AA4041">
        <v>0.99415299999999995</v>
      </c>
      <c r="AB4041">
        <v>34</v>
      </c>
      <c r="AC4041">
        <v>86.196899999999999</v>
      </c>
      <c r="AD4041">
        <v>1.720907</v>
      </c>
      <c r="AE4041">
        <v>-8.78990000000001</v>
      </c>
      <c r="AF4041">
        <v>9.3910672343717199</v>
      </c>
      <c r="AG4041">
        <v>1.720907</v>
      </c>
      <c r="AH4041">
        <v>86.099107016648603</v>
      </c>
      <c r="AI4041">
        <v>88.861701622440705</v>
      </c>
      <c r="AJ4041">
        <v>83.775198575137594</v>
      </c>
      <c r="AK4041">
        <v>86.626842801567193</v>
      </c>
      <c r="AL4041">
        <v>87.226843890857893</v>
      </c>
      <c r="AM4041">
        <v>90.714782768487794</v>
      </c>
      <c r="AN4041">
        <v>1.0000000100550299</v>
      </c>
    </row>
    <row r="4042" spans="1:40" x14ac:dyDescent="0.25">
      <c r="A4042" t="str">
        <f>"20190312160414837"</f>
        <v>20190312160414837</v>
      </c>
      <c r="B4042" t="str">
        <f>"1552377854829148"</f>
        <v>1552377854829148</v>
      </c>
      <c r="C4042" t="s">
        <v>40</v>
      </c>
      <c r="D4042">
        <v>4.3171900000000001</v>
      </c>
      <c r="E4042">
        <v>0.54659690000000005</v>
      </c>
      <c r="F4042" t="s">
        <v>55</v>
      </c>
      <c r="G4042">
        <v>-168.41200000000001</v>
      </c>
      <c r="H4042">
        <v>2.8126829999999998</v>
      </c>
      <c r="I4042">
        <v>204.58500000000001</v>
      </c>
      <c r="J4042">
        <v>-254.27279999999999</v>
      </c>
      <c r="K4042">
        <v>1.109888</v>
      </c>
      <c r="L4042">
        <v>213.41820000000001</v>
      </c>
      <c r="M4042">
        <v>0.99991359999999996</v>
      </c>
      <c r="N4042">
        <v>0</v>
      </c>
      <c r="O4042">
        <v>7.2984130000000001E-3</v>
      </c>
      <c r="P4042">
        <v>0.99911300000000003</v>
      </c>
      <c r="Q4042">
        <v>3.7292409999999998E-2</v>
      </c>
      <c r="R4042">
        <v>1.9559980000000001E-2</v>
      </c>
      <c r="S4042">
        <v>3.0064389999999999</v>
      </c>
      <c r="T4042">
        <v>5.9392809999999997E-2</v>
      </c>
      <c r="U4042">
        <v>-0.30799870000000001</v>
      </c>
      <c r="V4042">
        <v>-1.229618E-2</v>
      </c>
      <c r="W4042">
        <v>4.8216059999999998E-2</v>
      </c>
      <c r="X4042">
        <v>0.99876120000000002</v>
      </c>
      <c r="Y4042">
        <v>0.1091486</v>
      </c>
      <c r="Z4042">
        <v>1.219021E-3</v>
      </c>
      <c r="AA4042">
        <v>0.99402469999999998</v>
      </c>
      <c r="AB4042">
        <v>34</v>
      </c>
      <c r="AC4042">
        <v>85.860799999999898</v>
      </c>
      <c r="AD4042">
        <v>1.7027950000000001</v>
      </c>
      <c r="AE4042">
        <v>-8.8331999999999997</v>
      </c>
      <c r="AF4042">
        <v>9.4559695672407909</v>
      </c>
      <c r="AG4042">
        <v>1.7027950000000001</v>
      </c>
      <c r="AH4042">
        <v>85.760663479427905</v>
      </c>
      <c r="AI4042">
        <v>88.869380444924104</v>
      </c>
      <c r="AJ4042">
        <v>83.707983905665699</v>
      </c>
      <c r="AK4042">
        <v>86.297197357157998</v>
      </c>
      <c r="AL4042">
        <v>87.236351622950295</v>
      </c>
      <c r="AM4042">
        <v>90.705357423170994</v>
      </c>
      <c r="AN4042">
        <v>0.999999959554977</v>
      </c>
    </row>
    <row r="4043" spans="1:40" x14ac:dyDescent="0.25">
      <c r="A4043" t="str">
        <f>"20190312160414859"</f>
        <v>20190312160414859</v>
      </c>
      <c r="B4043" t="str">
        <f>"1552377854848668"</f>
        <v>1552377854848668</v>
      </c>
      <c r="C4043" t="s">
        <v>40</v>
      </c>
      <c r="D4043">
        <v>4.326702</v>
      </c>
      <c r="E4043">
        <v>0.54721830000000005</v>
      </c>
      <c r="F4043" t="s">
        <v>55</v>
      </c>
      <c r="G4043">
        <v>-168.41210000000001</v>
      </c>
      <c r="H4043">
        <v>2.8408509999999998</v>
      </c>
      <c r="I4043">
        <v>204.46680000000001</v>
      </c>
      <c r="J4043">
        <v>-253.92509999999999</v>
      </c>
      <c r="K4043">
        <v>1.109888</v>
      </c>
      <c r="L4043">
        <v>213.42099999999999</v>
      </c>
      <c r="M4043">
        <v>0.99991140000000001</v>
      </c>
      <c r="N4043">
        <v>0</v>
      </c>
      <c r="O4043">
        <v>7.5869409999999998E-3</v>
      </c>
      <c r="P4043">
        <v>0.99909950000000003</v>
      </c>
      <c r="Q4043">
        <v>3.7473340000000001E-2</v>
      </c>
      <c r="R4043">
        <v>1.990101E-2</v>
      </c>
      <c r="S4043">
        <v>3.0065460000000002</v>
      </c>
      <c r="T4043">
        <v>6.0613510000000002E-2</v>
      </c>
      <c r="U4043">
        <v>-0.313446</v>
      </c>
      <c r="V4043">
        <v>-1.234941E-2</v>
      </c>
      <c r="W4043">
        <v>4.8399440000000002E-2</v>
      </c>
      <c r="X4043">
        <v>0.99875170000000002</v>
      </c>
      <c r="Y4043">
        <v>0.1112122</v>
      </c>
      <c r="Z4043">
        <v>1.2704560000000001E-3</v>
      </c>
      <c r="AA4043">
        <v>0.99379589999999995</v>
      </c>
      <c r="AB4043">
        <v>34</v>
      </c>
      <c r="AC4043">
        <v>85.512999999999906</v>
      </c>
      <c r="AD4043">
        <v>1.73096299999999</v>
      </c>
      <c r="AE4043">
        <v>-8.9541999999999806</v>
      </c>
      <c r="AF4043">
        <v>9.5988727402581908</v>
      </c>
      <c r="AG4043">
        <v>1.73096299999999</v>
      </c>
      <c r="AH4043">
        <v>85.407983725663001</v>
      </c>
      <c r="AI4043">
        <v>88.846207817205595</v>
      </c>
      <c r="AJ4043">
        <v>83.587523599212204</v>
      </c>
      <c r="AK4043">
        <v>85.963121598009394</v>
      </c>
      <c r="AL4043">
        <v>87.225832514690694</v>
      </c>
      <c r="AM4043">
        <v>90.708417333205901</v>
      </c>
      <c r="AN4043">
        <v>0.99999998598627504</v>
      </c>
    </row>
    <row r="4044" spans="1:40" x14ac:dyDescent="0.25">
      <c r="A4044" t="str">
        <f>"20190312160414880"</f>
        <v>20190312160414880</v>
      </c>
      <c r="B4044" t="str">
        <f>"1552377854869164"</f>
        <v>1552377854869164</v>
      </c>
      <c r="C4044" t="s">
        <v>40</v>
      </c>
      <c r="D4044">
        <v>4.3855309999999896</v>
      </c>
      <c r="E4044">
        <v>0.54759519999999995</v>
      </c>
      <c r="F4044" t="s">
        <v>55</v>
      </c>
      <c r="G4044">
        <v>-168.41210000000001</v>
      </c>
      <c r="H4044">
        <v>2.8974820000000001</v>
      </c>
      <c r="I4044">
        <v>204.393</v>
      </c>
      <c r="J4044">
        <v>-253.58850000000001</v>
      </c>
      <c r="K4044">
        <v>1.1098889999999999</v>
      </c>
      <c r="L4044">
        <v>213.4239</v>
      </c>
      <c r="M4044">
        <v>0.99990919999999905</v>
      </c>
      <c r="N4044">
        <v>0</v>
      </c>
      <c r="O4044">
        <v>7.8661709999999999E-3</v>
      </c>
      <c r="P4044">
        <v>0.99911669999999997</v>
      </c>
      <c r="Q4044">
        <v>3.6924369999999998E-2</v>
      </c>
      <c r="R4044">
        <v>2.0068099999999998E-2</v>
      </c>
      <c r="S4044">
        <v>3.0066679999999999</v>
      </c>
      <c r="T4044">
        <v>6.2853690000000004E-2</v>
      </c>
      <c r="U4044">
        <v>-0.31742859999999901</v>
      </c>
      <c r="V4044">
        <v>-1.223686E-2</v>
      </c>
      <c r="W4044">
        <v>4.7853609999999998E-2</v>
      </c>
      <c r="X4044">
        <v>0.99877939999999998</v>
      </c>
      <c r="Y4044">
        <v>0.1127852</v>
      </c>
      <c r="Z4044">
        <v>1.3394730000000001E-3</v>
      </c>
      <c r="AA4044">
        <v>0.99361849999999996</v>
      </c>
      <c r="AB4044">
        <v>34</v>
      </c>
      <c r="AC4044">
        <v>85.176400000000001</v>
      </c>
      <c r="AD4044">
        <v>1.787593</v>
      </c>
      <c r="AE4044">
        <v>-9.0309000000000008</v>
      </c>
      <c r="AF4044">
        <v>9.6964494524662594</v>
      </c>
      <c r="AG4044">
        <v>1.787593</v>
      </c>
      <c r="AH4044">
        <v>85.065670721721702</v>
      </c>
      <c r="AI4044">
        <v>88.803891486780103</v>
      </c>
      <c r="AJ4044">
        <v>83.497047448518401</v>
      </c>
      <c r="AK4044">
        <v>85.635185268990199</v>
      </c>
      <c r="AL4044">
        <v>87.257142587980198</v>
      </c>
      <c r="AM4044">
        <v>90.701942145215099</v>
      </c>
      <c r="AN4044">
        <v>0.99999999929852501</v>
      </c>
    </row>
    <row r="4045" spans="1:40" x14ac:dyDescent="0.25">
      <c r="A4045" t="str">
        <f>"20190312160414904"</f>
        <v>20190312160414904</v>
      </c>
      <c r="B4045" t="str">
        <f>"1552377854899421"</f>
        <v>1552377854899421</v>
      </c>
      <c r="C4045" t="s">
        <v>40</v>
      </c>
      <c r="D4045">
        <v>4.4620480000000002</v>
      </c>
      <c r="E4045">
        <v>0.5304989</v>
      </c>
      <c r="F4045" t="s">
        <v>55</v>
      </c>
      <c r="G4045">
        <v>-168.41210000000001</v>
      </c>
      <c r="H4045">
        <v>2.8918080000000002</v>
      </c>
      <c r="I4045">
        <v>204.36410000000001</v>
      </c>
      <c r="J4045">
        <v>-253.23169999999999</v>
      </c>
      <c r="K4045">
        <v>1.109885</v>
      </c>
      <c r="L4045">
        <v>213.42699999999999</v>
      </c>
      <c r="M4045">
        <v>0.99990679999999998</v>
      </c>
      <c r="N4045">
        <v>0</v>
      </c>
      <c r="O4045">
        <v>8.1625050000000005E-3</v>
      </c>
      <c r="P4045">
        <v>0.9991255</v>
      </c>
      <c r="Q4045">
        <v>3.6704019999999997E-2</v>
      </c>
      <c r="R4045">
        <v>2.0029620000000001E-2</v>
      </c>
      <c r="S4045">
        <v>3.0067140000000001</v>
      </c>
      <c r="T4045">
        <v>6.2902689999999997E-2</v>
      </c>
      <c r="U4045">
        <v>-0.31980900000000001</v>
      </c>
      <c r="V4045">
        <v>-1.190218E-2</v>
      </c>
      <c r="W4045">
        <v>4.7635950000000003E-2</v>
      </c>
      <c r="X4045">
        <v>0.99879379999999995</v>
      </c>
      <c r="Y4045">
        <v>0.1138556</v>
      </c>
      <c r="Z4045">
        <v>1.357788E-3</v>
      </c>
      <c r="AA4045">
        <v>0.99349639999999995</v>
      </c>
      <c r="AB4045">
        <v>34</v>
      </c>
      <c r="AC4045">
        <v>84.819599999999895</v>
      </c>
      <c r="AD4045">
        <v>1.7819229999999999</v>
      </c>
      <c r="AE4045">
        <v>-9.0629000000000097</v>
      </c>
      <c r="AF4045">
        <v>9.7507249882055795</v>
      </c>
      <c r="AG4045">
        <v>1.7819229999999999</v>
      </c>
      <c r="AH4045">
        <v>84.705830483834902</v>
      </c>
      <c r="AI4045">
        <v>88.8027729082999</v>
      </c>
      <c r="AJ4045">
        <v>83.433425297973599</v>
      </c>
      <c r="AK4045">
        <v>85.283817957041094</v>
      </c>
      <c r="AL4045">
        <v>87.269627691983104</v>
      </c>
      <c r="AM4045">
        <v>90.682735920140203</v>
      </c>
      <c r="AN4045">
        <v>0.99999995026979605</v>
      </c>
    </row>
    <row r="4046" spans="1:40" x14ac:dyDescent="0.25">
      <c r="A4046" t="str">
        <f>"20190312160414920"</f>
        <v>20190312160414920</v>
      </c>
      <c r="B4046" t="str">
        <f>"1552377854909180"</f>
        <v>1552377854909180</v>
      </c>
      <c r="C4046" t="s">
        <v>40</v>
      </c>
      <c r="D4046">
        <v>4.5084980000000003</v>
      </c>
      <c r="E4046">
        <v>0.530748</v>
      </c>
      <c r="F4046" t="s">
        <v>55</v>
      </c>
      <c r="G4046">
        <v>-169.3938</v>
      </c>
      <c r="H4046">
        <v>3.6601720000000002</v>
      </c>
      <c r="I4046">
        <v>208.3081</v>
      </c>
      <c r="J4046">
        <v>-252.98140000000001</v>
      </c>
      <c r="K4046">
        <v>1.109885</v>
      </c>
      <c r="L4046">
        <v>213.42920000000001</v>
      </c>
      <c r="M4046">
        <v>0.99990500000000004</v>
      </c>
      <c r="N4046">
        <v>0</v>
      </c>
      <c r="O4046">
        <v>8.3703930000000003E-3</v>
      </c>
      <c r="P4046">
        <v>0.99912780000000001</v>
      </c>
      <c r="Q4046">
        <v>3.6584319999999997E-2</v>
      </c>
      <c r="R4046">
        <v>2.012895E-2</v>
      </c>
      <c r="S4046">
        <v>3.0029300000000001</v>
      </c>
      <c r="T4046">
        <v>9.1348170000000006E-2</v>
      </c>
      <c r="U4046">
        <v>-0.1833496</v>
      </c>
      <c r="V4046">
        <v>-1.179318E-2</v>
      </c>
      <c r="W4046">
        <v>4.7518299999999999E-2</v>
      </c>
      <c r="X4046">
        <v>0.99880080000000004</v>
      </c>
      <c r="Y4046">
        <v>6.9260840000000004E-2</v>
      </c>
      <c r="Z4046">
        <v>1.3065819999999999E-3</v>
      </c>
      <c r="AA4046">
        <v>0.99759779999999998</v>
      </c>
      <c r="AB4046">
        <v>34</v>
      </c>
      <c r="AC4046">
        <v>83.587599999999995</v>
      </c>
      <c r="AD4046">
        <v>2.550287</v>
      </c>
      <c r="AE4046">
        <v>-5.12110000000001</v>
      </c>
      <c r="AF4046">
        <v>5.8152305468244601</v>
      </c>
      <c r="AG4046">
        <v>2.550287</v>
      </c>
      <c r="AH4046">
        <v>83.464398267045098</v>
      </c>
      <c r="AI4046">
        <v>88.254079703329694</v>
      </c>
      <c r="AJ4046">
        <v>86.014461238965794</v>
      </c>
      <c r="AK4046">
        <v>83.705595082855794</v>
      </c>
      <c r="AL4046">
        <v>87.276376463017101</v>
      </c>
      <c r="AM4046">
        <v>90.676479277125594</v>
      </c>
      <c r="AN4046">
        <v>1.0000000530050099</v>
      </c>
    </row>
    <row r="4047" spans="1:40" x14ac:dyDescent="0.25">
      <c r="A4047" t="str">
        <f>"20190312160414937"</f>
        <v>20190312160414937</v>
      </c>
      <c r="B4047" t="str">
        <f>"1552377854928700"</f>
        <v>1552377854928700</v>
      </c>
      <c r="C4047" t="s">
        <v>40</v>
      </c>
      <c r="D4047">
        <v>4.504105</v>
      </c>
      <c r="E4047">
        <v>0.53079399999999999</v>
      </c>
      <c r="F4047" t="s">
        <v>55</v>
      </c>
      <c r="G4047">
        <v>-169.3939</v>
      </c>
      <c r="H4047">
        <v>4.0117909999999997</v>
      </c>
      <c r="I4047">
        <v>208.2807</v>
      </c>
      <c r="J4047">
        <v>-252.72239999999999</v>
      </c>
      <c r="K4047">
        <v>1.109877</v>
      </c>
      <c r="L4047">
        <v>213.4316</v>
      </c>
      <c r="M4047">
        <v>0.99990330000000005</v>
      </c>
      <c r="N4047">
        <v>0</v>
      </c>
      <c r="O4047">
        <v>8.5850749999999993E-3</v>
      </c>
      <c r="P4047">
        <v>0.99911490000000003</v>
      </c>
      <c r="Q4047">
        <v>3.6855310000000002E-2</v>
      </c>
      <c r="R4047">
        <v>2.0273030000000001E-2</v>
      </c>
      <c r="S4047">
        <v>3.0025179999999998</v>
      </c>
      <c r="T4047">
        <v>0.1042396</v>
      </c>
      <c r="U4047">
        <v>-0.1849365</v>
      </c>
      <c r="V4047">
        <v>-1.172349E-2</v>
      </c>
      <c r="W4047">
        <v>4.7791220000000002E-2</v>
      </c>
      <c r="X4047">
        <v>0.99878849999999997</v>
      </c>
      <c r="Y4047">
        <v>6.9997219999999999E-2</v>
      </c>
      <c r="Z4047">
        <v>1.5112599999999999E-3</v>
      </c>
      <c r="AA4047">
        <v>0.99754600000000004</v>
      </c>
      <c r="AB4047">
        <v>34</v>
      </c>
      <c r="AC4047">
        <v>83.328499999999906</v>
      </c>
      <c r="AD4047">
        <v>2.9019140000000001</v>
      </c>
      <c r="AE4047">
        <v>-5.1509</v>
      </c>
      <c r="AF4047">
        <v>5.8590556945849501</v>
      </c>
      <c r="AG4047">
        <v>2.9019140000000001</v>
      </c>
      <c r="AH4047">
        <v>83.180709379149206</v>
      </c>
      <c r="AI4047">
        <v>88.006874639826293</v>
      </c>
      <c r="AJ4047">
        <v>85.970873223259503</v>
      </c>
      <c r="AK4047">
        <v>83.437282142422006</v>
      </c>
      <c r="AL4047">
        <v>87.260721243036301</v>
      </c>
      <c r="AM4047">
        <v>90.672490374941205</v>
      </c>
      <c r="AN4047">
        <v>0.99999995432955802</v>
      </c>
    </row>
    <row r="4048" spans="1:40" x14ac:dyDescent="0.25">
      <c r="A4048" t="str">
        <f>"20190312160414954"</f>
        <v>20190312160414954</v>
      </c>
      <c r="B4048" t="str">
        <f>"1552377854949196"</f>
        <v>1552377854949196</v>
      </c>
      <c r="C4048" t="s">
        <v>40</v>
      </c>
      <c r="D4048">
        <v>4.5346169999999999</v>
      </c>
      <c r="E4048">
        <v>0.53091599999999906</v>
      </c>
      <c r="F4048" t="s">
        <v>55</v>
      </c>
      <c r="G4048">
        <v>-169.3939</v>
      </c>
      <c r="H4048">
        <v>4.2242220000000001</v>
      </c>
      <c r="I4048">
        <v>208.30420000000001</v>
      </c>
      <c r="J4048">
        <v>-252.47130000000001</v>
      </c>
      <c r="K4048">
        <v>1.1098760000000001</v>
      </c>
      <c r="L4048">
        <v>213.434</v>
      </c>
      <c r="M4048">
        <v>0.99990140000000005</v>
      </c>
      <c r="N4048">
        <v>0</v>
      </c>
      <c r="O4048">
        <v>8.7933209999999998E-3</v>
      </c>
      <c r="P4048">
        <v>0.99911090000000002</v>
      </c>
      <c r="Q4048">
        <v>3.690591E-2</v>
      </c>
      <c r="R4048">
        <v>2.03816E-2</v>
      </c>
      <c r="S4048">
        <v>3.0022739999999999</v>
      </c>
      <c r="T4048">
        <v>0.112209199999999</v>
      </c>
      <c r="U4048">
        <v>-0.18473819999999999</v>
      </c>
      <c r="V4048">
        <v>-1.1623919999999999E-2</v>
      </c>
      <c r="W4048">
        <v>4.7844089999999999E-2</v>
      </c>
      <c r="X4048">
        <v>0.99878719999999999</v>
      </c>
      <c r="Y4048">
        <v>7.0136560000000001E-2</v>
      </c>
      <c r="Z4048">
        <v>1.637236E-3</v>
      </c>
      <c r="AA4048">
        <v>0.99753610000000004</v>
      </c>
      <c r="AB4048">
        <v>34</v>
      </c>
      <c r="AC4048">
        <v>83.077399999999997</v>
      </c>
      <c r="AD4048">
        <v>3.1143459999999998</v>
      </c>
      <c r="AE4048">
        <v>-5.1298000000000101</v>
      </c>
      <c r="AF4048">
        <v>5.8519791518866997</v>
      </c>
      <c r="AG4048">
        <v>3.1143459999999998</v>
      </c>
      <c r="AH4048">
        <v>82.913002213885605</v>
      </c>
      <c r="AI4048">
        <v>87.854222391718906</v>
      </c>
      <c r="AJ4048">
        <v>85.962773013977596</v>
      </c>
      <c r="AK4048">
        <v>83.177585605267694</v>
      </c>
      <c r="AL4048">
        <v>87.257688730696998</v>
      </c>
      <c r="AM4048">
        <v>90.666780162216796</v>
      </c>
      <c r="AN4048">
        <v>1.00000002167396</v>
      </c>
    </row>
    <row r="4049" spans="1:40" x14ac:dyDescent="0.25">
      <c r="A4049" t="str">
        <f>"20190312160414970"</f>
        <v>20190312160414970</v>
      </c>
      <c r="B4049" t="str">
        <f>"1552377854958956"</f>
        <v>1552377854958956</v>
      </c>
      <c r="C4049" t="s">
        <v>40</v>
      </c>
      <c r="D4049">
        <v>4.5942119999999997</v>
      </c>
      <c r="E4049">
        <v>0.53076029999999996</v>
      </c>
      <c r="F4049" t="s">
        <v>55</v>
      </c>
      <c r="G4049">
        <v>-169.39400000000001</v>
      </c>
      <c r="H4049">
        <v>4.2825089999999904</v>
      </c>
      <c r="I4049">
        <v>208.30080000000001</v>
      </c>
      <c r="J4049">
        <v>-252.21039999999999</v>
      </c>
      <c r="K4049">
        <v>1.109877</v>
      </c>
      <c r="L4049">
        <v>213.43639999999999</v>
      </c>
      <c r="M4049">
        <v>0.99989930000000005</v>
      </c>
      <c r="N4049">
        <v>0</v>
      </c>
      <c r="O4049">
        <v>9.0098520000000005E-3</v>
      </c>
      <c r="P4049">
        <v>0.99912749999999995</v>
      </c>
      <c r="Q4049">
        <v>3.633049E-2</v>
      </c>
      <c r="R4049">
        <v>2.0598849999999998E-2</v>
      </c>
      <c r="S4049">
        <v>3.0022280000000001</v>
      </c>
      <c r="T4049">
        <v>0.114653</v>
      </c>
      <c r="U4049">
        <v>-0.1855011</v>
      </c>
      <c r="V4049">
        <v>-1.1624239999999999E-2</v>
      </c>
      <c r="W4049">
        <v>4.7271100000000003E-2</v>
      </c>
      <c r="X4049">
        <v>0.99881450000000005</v>
      </c>
      <c r="Y4049">
        <v>7.060313E-2</v>
      </c>
      <c r="Z4049">
        <v>1.6900369999999999E-3</v>
      </c>
      <c r="AA4049">
        <v>0.99750300000000003</v>
      </c>
      <c r="AB4049">
        <v>35</v>
      </c>
      <c r="AC4049">
        <v>82.816399999999902</v>
      </c>
      <c r="AD4049">
        <v>3.1726319999999899</v>
      </c>
      <c r="AE4049">
        <v>-5.1355999999999797</v>
      </c>
      <c r="AF4049">
        <v>5.8730136864843301</v>
      </c>
      <c r="AG4049">
        <v>3.1726319999999899</v>
      </c>
      <c r="AH4049">
        <v>82.6459380730455</v>
      </c>
      <c r="AI4049">
        <v>87.807119885289296</v>
      </c>
      <c r="AJ4049">
        <v>85.9352608068275</v>
      </c>
      <c r="AK4049">
        <v>82.915070786574901</v>
      </c>
      <c r="AL4049">
        <v>87.2905558851687</v>
      </c>
      <c r="AM4049">
        <v>90.666780293083505</v>
      </c>
      <c r="AN4049">
        <v>1.00000004263051</v>
      </c>
    </row>
    <row r="4050" spans="1:40" x14ac:dyDescent="0.25">
      <c r="A4050" t="str">
        <f>"20190312160414990"</f>
        <v>20190312160414990</v>
      </c>
      <c r="B4050" t="str">
        <f>"1552377854978477"</f>
        <v>1552377854978477</v>
      </c>
      <c r="C4050" t="s">
        <v>40</v>
      </c>
      <c r="D4050">
        <v>4.5754089999999996</v>
      </c>
      <c r="E4050">
        <v>0.53107519999999997</v>
      </c>
      <c r="F4050" t="s">
        <v>55</v>
      </c>
      <c r="G4050">
        <v>-169.3939</v>
      </c>
      <c r="H4050">
        <v>4.1753229999999997</v>
      </c>
      <c r="I4050">
        <v>208.37350000000001</v>
      </c>
      <c r="J4050">
        <v>-251.9134</v>
      </c>
      <c r="K4050">
        <v>1.1098760000000001</v>
      </c>
      <c r="L4050">
        <v>213.43940000000001</v>
      </c>
      <c r="M4050">
        <v>0.99989720000000004</v>
      </c>
      <c r="N4050">
        <v>0</v>
      </c>
      <c r="O4050">
        <v>9.2561799999999993E-3</v>
      </c>
      <c r="P4050">
        <v>0.99912029999999996</v>
      </c>
      <c r="Q4050">
        <v>3.6224279999999998E-2</v>
      </c>
      <c r="R4050">
        <v>2.1136510000000001E-2</v>
      </c>
      <c r="S4050">
        <v>3.0023499999999999</v>
      </c>
      <c r="T4050">
        <v>0.111133</v>
      </c>
      <c r="U4050">
        <v>-0.18354799999999999</v>
      </c>
      <c r="V4050">
        <v>-1.1915780000000001E-2</v>
      </c>
      <c r="W4050">
        <v>4.7166779999999998E-2</v>
      </c>
      <c r="X4050">
        <v>0.99881600000000004</v>
      </c>
      <c r="Y4050">
        <v>7.0203500000000002E-2</v>
      </c>
      <c r="Z4050">
        <v>1.6398729999999901E-3</v>
      </c>
      <c r="AA4050">
        <v>0.99753139999999996</v>
      </c>
      <c r="AB4050">
        <v>35</v>
      </c>
      <c r="AC4050">
        <v>82.519499999999994</v>
      </c>
      <c r="AD4050">
        <v>3.0654469999999998</v>
      </c>
      <c r="AE4050">
        <v>-5.0658999999999903</v>
      </c>
      <c r="AF4050">
        <v>5.8215406222961699</v>
      </c>
      <c r="AG4050">
        <v>3.0654469999999998</v>
      </c>
      <c r="AH4050">
        <v>82.355847656712399</v>
      </c>
      <c r="AI4050">
        <v>87.8736232068551</v>
      </c>
      <c r="AJ4050">
        <v>85.956622109601398</v>
      </c>
      <c r="AK4050">
        <v>82.618236145432604</v>
      </c>
      <c r="AL4050">
        <v>87.296539665353194</v>
      </c>
      <c r="AM4050">
        <v>90.683500782276795</v>
      </c>
      <c r="AN4050">
        <v>1.00000004640228</v>
      </c>
    </row>
    <row r="4051" spans="1:40" x14ac:dyDescent="0.25">
      <c r="A4051" t="str">
        <f>"20190312160415003"</f>
        <v>20190312160415003</v>
      </c>
      <c r="B4051" t="str">
        <f>"1552377854998977"</f>
        <v>1552377854998977</v>
      </c>
      <c r="C4051" t="s">
        <v>40</v>
      </c>
      <c r="D4051">
        <v>4.5809870000000004</v>
      </c>
      <c r="E4051">
        <v>0.53121169999999995</v>
      </c>
      <c r="F4051" t="s">
        <v>55</v>
      </c>
      <c r="G4051">
        <v>-169.3939</v>
      </c>
      <c r="H4051">
        <v>4.1298620000000001</v>
      </c>
      <c r="I4051">
        <v>208.37190000000001</v>
      </c>
      <c r="J4051">
        <v>-251.67910000000001</v>
      </c>
      <c r="K4051">
        <v>1.10988</v>
      </c>
      <c r="L4051">
        <v>213.4417</v>
      </c>
      <c r="M4051">
        <v>0.99989539999999999</v>
      </c>
      <c r="N4051">
        <v>0</v>
      </c>
      <c r="O4051">
        <v>9.4506550000000005E-3</v>
      </c>
      <c r="P4051">
        <v>0.99909720000000002</v>
      </c>
      <c r="Q4051">
        <v>3.6274199999999999E-2</v>
      </c>
      <c r="R4051">
        <v>2.212391E-2</v>
      </c>
      <c r="S4051">
        <v>3.0025629999999999</v>
      </c>
      <c r="T4051">
        <v>0.10988680000000001</v>
      </c>
      <c r="U4051">
        <v>-0.1843872</v>
      </c>
      <c r="V4051">
        <v>-1.270922E-2</v>
      </c>
      <c r="W4051">
        <v>4.721823E-2</v>
      </c>
      <c r="X4051">
        <v>0.99880369999999996</v>
      </c>
      <c r="Y4051">
        <v>7.0671730000000002E-2</v>
      </c>
      <c r="Z4051">
        <v>1.6370340000000001E-3</v>
      </c>
      <c r="AA4051">
        <v>0.99749829999999995</v>
      </c>
      <c r="AB4051">
        <v>35</v>
      </c>
      <c r="AC4051">
        <v>82.285200000000003</v>
      </c>
      <c r="AD4051">
        <v>3.0199820000000002</v>
      </c>
      <c r="AE4051">
        <v>-5.0697999999999803</v>
      </c>
      <c r="AF4051">
        <v>5.8394332863662202</v>
      </c>
      <c r="AG4051">
        <v>3.0199820000000002</v>
      </c>
      <c r="AH4051">
        <v>82.123407731012804</v>
      </c>
      <c r="AI4051">
        <v>87.899270059056505</v>
      </c>
      <c r="AJ4051">
        <v>85.9327952290935</v>
      </c>
      <c r="AK4051">
        <v>82.386123647981094</v>
      </c>
      <c r="AL4051">
        <v>87.293588270945193</v>
      </c>
      <c r="AM4051">
        <v>90.729017493874906</v>
      </c>
      <c r="AN4051">
        <v>0.99999995832551403</v>
      </c>
    </row>
    <row r="4052" spans="1:40" x14ac:dyDescent="0.25">
      <c r="A4052" t="str">
        <f>"20190312160415026"</f>
        <v>20190312160415026</v>
      </c>
      <c r="B4052" t="str">
        <f>"1552377855018492"</f>
        <v>1552377855018492</v>
      </c>
      <c r="C4052" t="s">
        <v>40</v>
      </c>
      <c r="D4052">
        <v>4.619599</v>
      </c>
      <c r="E4052">
        <v>0.53123240000000005</v>
      </c>
      <c r="F4052" t="s">
        <v>55</v>
      </c>
      <c r="G4052">
        <v>-169.3938</v>
      </c>
      <c r="H4052">
        <v>4.0660129999999999</v>
      </c>
      <c r="I4052">
        <v>208.43790000000001</v>
      </c>
      <c r="J4052">
        <v>-251.3442</v>
      </c>
      <c r="K4052">
        <v>1.1098790000000001</v>
      </c>
      <c r="L4052">
        <v>213.4452</v>
      </c>
      <c r="M4052">
        <v>0.99989269999999997</v>
      </c>
      <c r="N4052">
        <v>0</v>
      </c>
      <c r="O4052">
        <v>9.7282770000000005E-3</v>
      </c>
      <c r="P4052">
        <v>0.99906620000000002</v>
      </c>
      <c r="Q4052">
        <v>3.619961E-2</v>
      </c>
      <c r="R4052">
        <v>2.3595950000000001E-2</v>
      </c>
      <c r="S4052">
        <v>3.0028380000000001</v>
      </c>
      <c r="T4052">
        <v>0.1078795</v>
      </c>
      <c r="U4052">
        <v>-0.18260190000000001</v>
      </c>
      <c r="V4052">
        <v>-1.390373E-2</v>
      </c>
      <c r="W4052">
        <v>4.7145359999999997E-2</v>
      </c>
      <c r="X4052">
        <v>0.99879130000000005</v>
      </c>
      <c r="Y4052">
        <v>7.0354239999999998E-2</v>
      </c>
      <c r="Z4052">
        <v>1.6113010000000001E-3</v>
      </c>
      <c r="AA4052">
        <v>0.99752070000000004</v>
      </c>
      <c r="AB4052">
        <v>35</v>
      </c>
      <c r="AC4052">
        <v>81.950400000000002</v>
      </c>
      <c r="AD4052">
        <v>2.956134</v>
      </c>
      <c r="AE4052">
        <v>-5.0072999999999803</v>
      </c>
      <c r="AF4052">
        <v>5.7968322143916504</v>
      </c>
      <c r="AG4052">
        <v>2.956134</v>
      </c>
      <c r="AH4052">
        <v>81.791774160993995</v>
      </c>
      <c r="AI4052">
        <v>87.935280435033306</v>
      </c>
      <c r="AJ4052">
        <v>85.946052130490997</v>
      </c>
      <c r="AK4052">
        <v>82.0502060469735</v>
      </c>
      <c r="AL4052">
        <v>87.297768262864807</v>
      </c>
      <c r="AM4052">
        <v>90.797537580980901</v>
      </c>
      <c r="AN4052">
        <v>1.0000000298165601</v>
      </c>
    </row>
    <row r="4053" spans="1:40" x14ac:dyDescent="0.25">
      <c r="A4053" t="str">
        <f>"20190312160415060"</f>
        <v>20190312160415060</v>
      </c>
      <c r="B4053" t="str">
        <f>"1552377855049255"</f>
        <v>1552377855049255</v>
      </c>
      <c r="C4053" t="s">
        <v>40</v>
      </c>
      <c r="D4053">
        <v>4.6436929999999998</v>
      </c>
      <c r="E4053">
        <v>0.53127309999999905</v>
      </c>
      <c r="F4053" t="s">
        <v>55</v>
      </c>
      <c r="G4053">
        <v>-169.3938</v>
      </c>
      <c r="H4053">
        <v>3.9849700000000001</v>
      </c>
      <c r="I4053">
        <v>208.58189999999999</v>
      </c>
      <c r="J4053">
        <v>-250.8253</v>
      </c>
      <c r="K4053">
        <v>1.1098840000000001</v>
      </c>
      <c r="L4053">
        <v>213.45070000000001</v>
      </c>
      <c r="M4053">
        <v>0.9998882</v>
      </c>
      <c r="N4053">
        <v>0</v>
      </c>
      <c r="O4053">
        <v>1.015901E-2</v>
      </c>
      <c r="P4053">
        <v>0.99904380000000004</v>
      </c>
      <c r="Q4053">
        <v>3.5863279999999997E-2</v>
      </c>
      <c r="R4053">
        <v>2.5000720000000001E-2</v>
      </c>
      <c r="S4053">
        <v>3.0032040000000002</v>
      </c>
      <c r="T4053">
        <v>0.1053636</v>
      </c>
      <c r="U4053">
        <v>-0.17822270000000001</v>
      </c>
      <c r="V4053">
        <v>-1.487838E-2</v>
      </c>
      <c r="W4053">
        <v>4.681242E-2</v>
      </c>
      <c r="X4053">
        <v>0.99879289999999998</v>
      </c>
      <c r="Y4053">
        <v>6.9329929999999998E-2</v>
      </c>
      <c r="Z4053">
        <v>1.570772E-3</v>
      </c>
      <c r="AA4053">
        <v>0.99759260000000005</v>
      </c>
      <c r="AB4053">
        <v>35</v>
      </c>
      <c r="AC4053">
        <v>81.4315</v>
      </c>
      <c r="AD4053">
        <v>2.875086</v>
      </c>
      <c r="AE4053">
        <v>-4.8688000000000198</v>
      </c>
      <c r="AF4053">
        <v>5.6887957173713399</v>
      </c>
      <c r="AG4053">
        <v>2.875086</v>
      </c>
      <c r="AH4053">
        <v>81.276875689273695</v>
      </c>
      <c r="AI4053">
        <v>87.979005648084495</v>
      </c>
      <c r="AJ4053">
        <v>85.996237849315904</v>
      </c>
      <c r="AK4053">
        <v>81.526431530093504</v>
      </c>
      <c r="AL4053">
        <v>87.316865359481099</v>
      </c>
      <c r="AM4053">
        <v>90.853435515702301</v>
      </c>
      <c r="AN4053">
        <v>1.0000000129740401</v>
      </c>
    </row>
    <row r="4054" spans="1:40" x14ac:dyDescent="0.25">
      <c r="A4054" t="str">
        <f>"20190312160415082"</f>
        <v>20190312160415082</v>
      </c>
      <c r="B4054" t="str">
        <f>"1552377855078536"</f>
        <v>1552377855078536</v>
      </c>
      <c r="C4054" t="s">
        <v>40</v>
      </c>
      <c r="D4054">
        <v>4.6739230000000003</v>
      </c>
      <c r="E4054">
        <v>0.53154969999999901</v>
      </c>
      <c r="F4054" t="s">
        <v>55</v>
      </c>
      <c r="G4054">
        <v>-169.3937</v>
      </c>
      <c r="H4054">
        <v>3.8356170000000001</v>
      </c>
      <c r="I4054">
        <v>208.71940000000001</v>
      </c>
      <c r="J4054">
        <v>-250.48269999999999</v>
      </c>
      <c r="K4054">
        <v>1.109877</v>
      </c>
      <c r="L4054">
        <v>213.4545</v>
      </c>
      <c r="M4054">
        <v>0.99988540000000004</v>
      </c>
      <c r="N4054">
        <v>0</v>
      </c>
      <c r="O4054">
        <v>1.0442949999999999E-2</v>
      </c>
      <c r="P4054">
        <v>0.99901859999999998</v>
      </c>
      <c r="Q4054">
        <v>3.6237499999999999E-2</v>
      </c>
      <c r="R4054">
        <v>2.547106E-2</v>
      </c>
      <c r="S4054">
        <v>3.0036320000000001</v>
      </c>
      <c r="T4054">
        <v>0.1005408</v>
      </c>
      <c r="U4054">
        <v>-0.1745148</v>
      </c>
      <c r="V4054">
        <v>-1.506529E-2</v>
      </c>
      <c r="W4054">
        <v>4.7189179999999997E-2</v>
      </c>
      <c r="X4054">
        <v>0.9987724</v>
      </c>
      <c r="Y4054">
        <v>6.838226E-2</v>
      </c>
      <c r="Z4054">
        <v>1.4924059999999999E-3</v>
      </c>
      <c r="AA4054">
        <v>0.99765809999999999</v>
      </c>
      <c r="AB4054">
        <v>35</v>
      </c>
      <c r="AC4054">
        <v>81.088999999999999</v>
      </c>
      <c r="AD4054">
        <v>2.7257400000000001</v>
      </c>
      <c r="AE4054">
        <v>-4.7350999999999797</v>
      </c>
      <c r="AF4054">
        <v>5.57542267581983</v>
      </c>
      <c r="AG4054">
        <v>2.7257400000000001</v>
      </c>
      <c r="AH4054">
        <v>80.943977535617805</v>
      </c>
      <c r="AI4054">
        <v>88.075883315066704</v>
      </c>
      <c r="AJ4054">
        <v>86.059689323387005</v>
      </c>
      <c r="AK4054">
        <v>81.181540363855106</v>
      </c>
      <c r="AL4054">
        <v>87.295254803672606</v>
      </c>
      <c r="AM4054">
        <v>90.864172938036404</v>
      </c>
      <c r="AN4054">
        <v>1.0000000443368</v>
      </c>
    </row>
    <row r="4055" spans="1:40" x14ac:dyDescent="0.25">
      <c r="A4055" t="str">
        <f>"20190312160415104"</f>
        <v>20190312160415104</v>
      </c>
      <c r="B4055" t="str">
        <f>"1552377855099034"</f>
        <v>1552377855099034</v>
      </c>
      <c r="C4055" t="s">
        <v>40</v>
      </c>
      <c r="D4055">
        <v>4.6847240000000001</v>
      </c>
      <c r="E4055">
        <v>0.53164549999999999</v>
      </c>
      <c r="F4055" t="s">
        <v>55</v>
      </c>
      <c r="G4055">
        <v>-169.39359999999999</v>
      </c>
      <c r="H4055">
        <v>3.7486480000000002</v>
      </c>
      <c r="I4055">
        <v>208.72239999999999</v>
      </c>
      <c r="J4055">
        <v>-250.1251</v>
      </c>
      <c r="K4055">
        <v>1.1098749999999999</v>
      </c>
      <c r="L4055">
        <v>213.45849999999999</v>
      </c>
      <c r="M4055">
        <v>0.99988220000000005</v>
      </c>
      <c r="N4055">
        <v>0</v>
      </c>
      <c r="O4055">
        <v>1.0739210000000001E-2</v>
      </c>
      <c r="P4055">
        <v>0.99900630000000001</v>
      </c>
      <c r="Q4055">
        <v>3.6335029999999997E-2</v>
      </c>
      <c r="R4055">
        <v>2.5810039999999999E-2</v>
      </c>
      <c r="S4055">
        <v>3.00386</v>
      </c>
      <c r="T4055">
        <v>9.7751859999999996E-2</v>
      </c>
      <c r="U4055">
        <v>-0.175293</v>
      </c>
      <c r="V4055">
        <v>-1.5108079999999999E-2</v>
      </c>
      <c r="W4055">
        <v>4.7293010000000003E-2</v>
      </c>
      <c r="X4055">
        <v>0.99876679999999995</v>
      </c>
      <c r="Y4055">
        <v>6.8932999999999994E-2</v>
      </c>
      <c r="Z4055">
        <v>1.469492E-3</v>
      </c>
      <c r="AA4055">
        <v>0.99762019999999996</v>
      </c>
      <c r="AB4055">
        <v>35</v>
      </c>
      <c r="AC4055">
        <v>80.731499999999997</v>
      </c>
      <c r="AD4055">
        <v>2.638773</v>
      </c>
      <c r="AE4055">
        <v>-4.7360999999999898</v>
      </c>
      <c r="AF4055">
        <v>5.5969125030660098</v>
      </c>
      <c r="AG4055">
        <v>2.638773</v>
      </c>
      <c r="AH4055">
        <v>80.590174769101594</v>
      </c>
      <c r="AI4055">
        <v>88.129131090601604</v>
      </c>
      <c r="AJ4055">
        <v>86.027240437929294</v>
      </c>
      <c r="AK4055">
        <v>80.827376685296699</v>
      </c>
      <c r="AL4055">
        <v>87.289299018427002</v>
      </c>
      <c r="AM4055">
        <v>90.866631936237695</v>
      </c>
      <c r="AN4055">
        <v>1.0000000018291899</v>
      </c>
    </row>
    <row r="4056" spans="1:40" x14ac:dyDescent="0.25">
      <c r="A4056" t="str">
        <f>"20190312160415126"</f>
        <v>20190312160415126</v>
      </c>
      <c r="B4056" t="str">
        <f>"1552377855118554"</f>
        <v>1552377855118554</v>
      </c>
      <c r="C4056" t="s">
        <v>40</v>
      </c>
      <c r="D4056">
        <v>4.6752190000000002</v>
      </c>
      <c r="E4056">
        <v>0.53167559999999903</v>
      </c>
      <c r="F4056" t="s">
        <v>55</v>
      </c>
      <c r="G4056">
        <v>-169.39359999999999</v>
      </c>
      <c r="H4056">
        <v>3.667494</v>
      </c>
      <c r="I4056">
        <v>208.75489999999999</v>
      </c>
      <c r="J4056">
        <v>-249.79079999999999</v>
      </c>
      <c r="K4056">
        <v>1.1098779999999999</v>
      </c>
      <c r="L4056">
        <v>213.4624</v>
      </c>
      <c r="M4056">
        <v>0.99987890000000001</v>
      </c>
      <c r="N4056">
        <v>0</v>
      </c>
      <c r="O4056">
        <v>1.1016450000000001E-2</v>
      </c>
      <c r="P4056">
        <v>0.99901490000000004</v>
      </c>
      <c r="Q4056">
        <v>3.6039189999999999E-2</v>
      </c>
      <c r="R4056">
        <v>2.5894839999999999E-2</v>
      </c>
      <c r="S4056">
        <v>3.004013</v>
      </c>
      <c r="T4056">
        <v>9.517014E-2</v>
      </c>
      <c r="U4056">
        <v>-0.17501829999999999</v>
      </c>
      <c r="V4056">
        <v>-1.4915869999999999E-2</v>
      </c>
      <c r="W4056">
        <v>4.7015319999999999E-2</v>
      </c>
      <c r="X4056">
        <v>0.99878279999999997</v>
      </c>
      <c r="Y4056">
        <v>6.9117730000000002E-2</v>
      </c>
      <c r="Z4056">
        <v>1.442331E-3</v>
      </c>
      <c r="AA4056">
        <v>0.99760749999999998</v>
      </c>
      <c r="AB4056">
        <v>35</v>
      </c>
      <c r="AC4056">
        <v>80.397199999999998</v>
      </c>
      <c r="AD4056">
        <v>2.5576159999999999</v>
      </c>
      <c r="AE4056">
        <v>-4.7074999999999996</v>
      </c>
      <c r="AF4056">
        <v>5.5873243847375704</v>
      </c>
      <c r="AG4056">
        <v>2.5576159999999999</v>
      </c>
      <c r="AH4056">
        <v>80.259510942527299</v>
      </c>
      <c r="AI4056">
        <v>88.179186775384693</v>
      </c>
      <c r="AJ4056">
        <v>86.017737378309405</v>
      </c>
      <c r="AK4056">
        <v>80.494401607300603</v>
      </c>
      <c r="AL4056">
        <v>87.305227203497594</v>
      </c>
      <c r="AM4056">
        <v>90.855594302821601</v>
      </c>
      <c r="AN4056">
        <v>1.00000000253419</v>
      </c>
    </row>
    <row r="4057" spans="1:40" x14ac:dyDescent="0.25">
      <c r="A4057" t="str">
        <f>"20190312160415149"</f>
        <v>20190312160415149</v>
      </c>
      <c r="B4057" t="str">
        <f>"1552377855139046"</f>
        <v>1552377855139046</v>
      </c>
      <c r="C4057" t="s">
        <v>40</v>
      </c>
      <c r="D4057">
        <v>4.7217750000000001</v>
      </c>
      <c r="E4057">
        <v>0.53202689999999997</v>
      </c>
      <c r="F4057" t="s">
        <v>55</v>
      </c>
      <c r="G4057">
        <v>-169.39359999999999</v>
      </c>
      <c r="H4057">
        <v>3.5917219999999999</v>
      </c>
      <c r="I4057">
        <v>208.7765</v>
      </c>
      <c r="J4057">
        <v>-249.44479999999999</v>
      </c>
      <c r="K4057">
        <v>1.109883</v>
      </c>
      <c r="L4057">
        <v>213.4665</v>
      </c>
      <c r="M4057">
        <v>0.99987530000000002</v>
      </c>
      <c r="N4057">
        <v>0</v>
      </c>
      <c r="O4057">
        <v>1.1303270000000001E-2</v>
      </c>
      <c r="P4057">
        <v>0.99901490000000004</v>
      </c>
      <c r="Q4057">
        <v>3.579338E-2</v>
      </c>
      <c r="R4057">
        <v>2.6232399999999999E-2</v>
      </c>
      <c r="S4057">
        <v>3.0041500000000001</v>
      </c>
      <c r="T4057">
        <v>9.2738749999999995E-2</v>
      </c>
      <c r="U4057">
        <v>-0.17509459999999999</v>
      </c>
      <c r="V4057">
        <v>-1.496698E-2</v>
      </c>
      <c r="W4057">
        <v>4.680289E-2</v>
      </c>
      <c r="X4057">
        <v>0.99879200000000001</v>
      </c>
      <c r="Y4057">
        <v>6.9428240000000002E-2</v>
      </c>
      <c r="Z4057">
        <v>1.419069E-3</v>
      </c>
      <c r="AA4057">
        <v>0.99758599999999997</v>
      </c>
      <c r="AB4057">
        <v>35</v>
      </c>
      <c r="AC4057">
        <v>80.051199999999994</v>
      </c>
      <c r="AD4057">
        <v>2.4818389999999999</v>
      </c>
      <c r="AE4057">
        <v>-4.6899999999999897</v>
      </c>
      <c r="AF4057">
        <v>5.5892417297555701</v>
      </c>
      <c r="AG4057">
        <v>2.4818389999999999</v>
      </c>
      <c r="AH4057">
        <v>79.916517234287298</v>
      </c>
      <c r="AI4057">
        <v>88.225560300540806</v>
      </c>
      <c r="AJ4057">
        <v>85.999333305204104</v>
      </c>
      <c r="AK4057">
        <v>80.150164533790601</v>
      </c>
      <c r="AL4057">
        <v>87.317411926083096</v>
      </c>
      <c r="AM4057">
        <v>90.858517696086494</v>
      </c>
      <c r="AN4057">
        <v>0.99999999013333596</v>
      </c>
    </row>
    <row r="4058" spans="1:40" x14ac:dyDescent="0.25">
      <c r="A4058" t="str">
        <f>"20190312160415172"</f>
        <v>20190312160415172</v>
      </c>
      <c r="B4058" t="str">
        <f>"1552377855169303"</f>
        <v>1552377855169303</v>
      </c>
      <c r="C4058" t="s">
        <v>40</v>
      </c>
      <c r="D4058">
        <v>4.7839099999999997</v>
      </c>
      <c r="E4058">
        <v>0.53267069999999905</v>
      </c>
      <c r="F4058" t="s">
        <v>55</v>
      </c>
      <c r="G4058">
        <v>-169.39359999999999</v>
      </c>
      <c r="H4058">
        <v>3.542948</v>
      </c>
      <c r="I4058">
        <v>208.7542</v>
      </c>
      <c r="J4058">
        <v>-249.0986</v>
      </c>
      <c r="K4058">
        <v>1.1098969999999999</v>
      </c>
      <c r="L4058">
        <v>213.47069999999999</v>
      </c>
      <c r="M4058">
        <v>0.99987159999999997</v>
      </c>
      <c r="N4058">
        <v>0</v>
      </c>
      <c r="O4058">
        <v>1.158966E-2</v>
      </c>
      <c r="P4058">
        <v>0.9989768</v>
      </c>
      <c r="Q4058">
        <v>3.6494350000000002E-2</v>
      </c>
      <c r="R4058">
        <v>2.6718780000000001E-2</v>
      </c>
      <c r="S4058">
        <v>3.004318</v>
      </c>
      <c r="T4058">
        <v>9.1314080000000006E-2</v>
      </c>
      <c r="U4058">
        <v>-0.17684939999999999</v>
      </c>
      <c r="V4058">
        <v>-1.516838E-2</v>
      </c>
      <c r="W4058">
        <v>4.7552120000000003E-2</v>
      </c>
      <c r="X4058">
        <v>0.99875360000000002</v>
      </c>
      <c r="Y4058">
        <v>7.029204E-2</v>
      </c>
      <c r="Z4058">
        <v>1.4189879999999999E-3</v>
      </c>
      <c r="AA4058">
        <v>0.99752549999999995</v>
      </c>
      <c r="AB4058">
        <v>35</v>
      </c>
      <c r="AC4058">
        <v>79.704999999999998</v>
      </c>
      <c r="AD4058">
        <v>2.4330509999999999</v>
      </c>
      <c r="AE4058">
        <v>-4.7164999999999901</v>
      </c>
      <c r="AF4058">
        <v>5.63476135527561</v>
      </c>
      <c r="AG4058">
        <v>2.4330509999999999</v>
      </c>
      <c r="AH4058">
        <v>79.571093102993999</v>
      </c>
      <c r="AI4058">
        <v>88.252980688795702</v>
      </c>
      <c r="AJ4058">
        <v>85.949408344217801</v>
      </c>
      <c r="AK4058">
        <v>79.807450343341003</v>
      </c>
      <c r="AL4058">
        <v>87.274436433284507</v>
      </c>
      <c r="AM4058">
        <v>90.870101840878405</v>
      </c>
      <c r="AN4058">
        <v>1.0000000186906299</v>
      </c>
    </row>
    <row r="4059" spans="1:40" x14ac:dyDescent="0.25">
      <c r="A4059" t="str">
        <f>"20190312160415194"</f>
        <v>20190312160415194</v>
      </c>
      <c r="B4059" t="str">
        <f>"1552377855188823"</f>
        <v>1552377855188823</v>
      </c>
      <c r="C4059" t="s">
        <v>40</v>
      </c>
      <c r="D4059">
        <v>4.8632569999999999</v>
      </c>
      <c r="E4059">
        <v>0.49165690000000001</v>
      </c>
      <c r="F4059" t="s">
        <v>55</v>
      </c>
      <c r="G4059">
        <v>-169.39359999999999</v>
      </c>
      <c r="H4059">
        <v>3.5722450000000001</v>
      </c>
      <c r="I4059">
        <v>208.68029999999999</v>
      </c>
      <c r="J4059">
        <v>-248.74639999999999</v>
      </c>
      <c r="K4059">
        <v>1.109909</v>
      </c>
      <c r="L4059">
        <v>213.47499999999999</v>
      </c>
      <c r="M4059">
        <v>0.99986750000000002</v>
      </c>
      <c r="N4059">
        <v>0</v>
      </c>
      <c r="O4059">
        <v>1.188058E-2</v>
      </c>
      <c r="P4059">
        <v>0.99896589999999996</v>
      </c>
      <c r="Q4059">
        <v>3.6231159999999998E-2</v>
      </c>
      <c r="R4059">
        <v>2.7469569999999999E-2</v>
      </c>
      <c r="S4059">
        <v>3.0045009999999999</v>
      </c>
      <c r="T4059">
        <v>9.2820169999999994E-2</v>
      </c>
      <c r="U4059">
        <v>-0.1805725</v>
      </c>
      <c r="V4059">
        <v>-1.5628099999999999E-2</v>
      </c>
      <c r="W4059">
        <v>4.7347779999999999E-2</v>
      </c>
      <c r="X4059">
        <v>0.99875619999999998</v>
      </c>
      <c r="Y4059">
        <v>7.1808300000000005E-2</v>
      </c>
      <c r="Z4059">
        <v>1.4746150000000001E-3</v>
      </c>
      <c r="AA4059">
        <v>0.99741740000000001</v>
      </c>
      <c r="AB4059">
        <v>35</v>
      </c>
      <c r="AC4059">
        <v>79.352800000000002</v>
      </c>
      <c r="AD4059">
        <v>2.4623360000000001</v>
      </c>
      <c r="AE4059">
        <v>-4.7946999999999997</v>
      </c>
      <c r="AF4059">
        <v>5.7316784145008004</v>
      </c>
      <c r="AG4059">
        <v>2.4623360000000001</v>
      </c>
      <c r="AH4059">
        <v>79.214235522103095</v>
      </c>
      <c r="AI4059">
        <v>88.224201382451895</v>
      </c>
      <c r="AJ4059">
        <v>85.861480439682893</v>
      </c>
      <c r="AK4059">
        <v>79.459488705725803</v>
      </c>
      <c r="AL4059">
        <v>87.286157399952998</v>
      </c>
      <c r="AM4059">
        <v>90.896466126705903</v>
      </c>
      <c r="AN4059">
        <v>0.99999999840948905</v>
      </c>
    </row>
    <row r="4060" spans="1:40" x14ac:dyDescent="0.25">
      <c r="A4060" t="str">
        <f>"20190312160415216"</f>
        <v>20190312160415216</v>
      </c>
      <c r="B4060" t="str">
        <f>"1552377855209319"</f>
        <v>1552377855209319</v>
      </c>
      <c r="C4060" t="s">
        <v>40</v>
      </c>
      <c r="D4060">
        <v>4.7361319999999996</v>
      </c>
      <c r="E4060">
        <v>0.47616760000000002</v>
      </c>
      <c r="F4060" t="s">
        <v>54</v>
      </c>
      <c r="G4060">
        <v>-138.36609999999999</v>
      </c>
      <c r="H4060">
        <v>0.68730740000000001</v>
      </c>
      <c r="I4060">
        <v>218.89709999999999</v>
      </c>
      <c r="J4060">
        <v>-248.40049999999999</v>
      </c>
      <c r="K4060">
        <v>1.1099250000000001</v>
      </c>
      <c r="L4060">
        <v>213.4794</v>
      </c>
      <c r="M4060">
        <v>0.9998631</v>
      </c>
      <c r="N4060">
        <v>0</v>
      </c>
      <c r="O4060">
        <v>1.216709E-2</v>
      </c>
      <c r="P4060">
        <v>0.99899439999999995</v>
      </c>
      <c r="Q4060">
        <v>3.5396230000000001E-2</v>
      </c>
      <c r="R4060">
        <v>2.7522959999999999E-2</v>
      </c>
      <c r="S4060">
        <v>2.9994809999999998</v>
      </c>
      <c r="T4060">
        <v>-1.1482239999999999E-2</v>
      </c>
      <c r="U4060">
        <v>0.14733889999999999</v>
      </c>
      <c r="V4060">
        <v>-1.5394339999999999E-2</v>
      </c>
      <c r="W4060">
        <v>4.6585689999999999E-2</v>
      </c>
      <c r="X4060">
        <v>0.99879569999999995</v>
      </c>
      <c r="Y4060">
        <v>-3.6905279999999999E-2</v>
      </c>
      <c r="Z4060" s="1">
        <v>2.404838E-5</v>
      </c>
      <c r="AA4060">
        <v>0.99931879999999995</v>
      </c>
      <c r="AB4060">
        <v>35</v>
      </c>
      <c r="AC4060">
        <v>110.03440000000001</v>
      </c>
      <c r="AD4060">
        <v>-0.42261759999999898</v>
      </c>
      <c r="AE4060">
        <v>5.4176999999999902</v>
      </c>
      <c r="AF4060">
        <v>-4.0783562768928503</v>
      </c>
      <c r="AG4060">
        <v>-0.42261759999999898</v>
      </c>
      <c r="AH4060">
        <v>110.09055574090701</v>
      </c>
      <c r="AI4060">
        <v>90.219796218334196</v>
      </c>
      <c r="AJ4060">
        <v>92.121578854237399</v>
      </c>
      <c r="AK4060">
        <v>110.16688276836599</v>
      </c>
      <c r="AL4060">
        <v>87.329870268588195</v>
      </c>
      <c r="AM4060">
        <v>90.883024302161303</v>
      </c>
      <c r="AN4060">
        <v>1.00000003127765</v>
      </c>
    </row>
    <row r="4061" spans="1:40" x14ac:dyDescent="0.25">
      <c r="A4061" t="str">
        <f>"20190312160415238"</f>
        <v>20190312160415238</v>
      </c>
      <c r="B4061" t="str">
        <f>"1552377855228839"</f>
        <v>1552377855228839</v>
      </c>
      <c r="C4061" t="s">
        <v>40</v>
      </c>
      <c r="D4061">
        <v>4.7917100000000001</v>
      </c>
      <c r="E4061">
        <v>0.47093459999999998</v>
      </c>
      <c r="F4061" t="s">
        <v>54</v>
      </c>
      <c r="G4061">
        <v>-157.8382</v>
      </c>
      <c r="H4061">
        <v>0.94712350000000001</v>
      </c>
      <c r="I4061">
        <v>221.6754</v>
      </c>
      <c r="J4061">
        <v>-248.0592</v>
      </c>
      <c r="K4061">
        <v>1.1099399999999999</v>
      </c>
      <c r="L4061">
        <v>213.48390000000001</v>
      </c>
      <c r="M4061">
        <v>0.99985860000000004</v>
      </c>
      <c r="N4061">
        <v>0</v>
      </c>
      <c r="O4061">
        <v>1.2452649999999999E-2</v>
      </c>
      <c r="P4061">
        <v>0.99903399999999998</v>
      </c>
      <c r="Q4061">
        <v>3.4479330000000002E-2</v>
      </c>
      <c r="R4061">
        <v>2.7242220000000001E-2</v>
      </c>
      <c r="S4061">
        <v>2.995743</v>
      </c>
      <c r="T4061">
        <v>-5.3834919999999897E-3</v>
      </c>
      <c r="U4061">
        <v>0.27111819999999998</v>
      </c>
      <c r="V4061">
        <v>-1.4827669999999999E-2</v>
      </c>
      <c r="W4061">
        <v>4.5765930000000003E-2</v>
      </c>
      <c r="X4061">
        <v>0.99884209999999995</v>
      </c>
      <c r="Y4061">
        <v>-7.7722940000000004E-2</v>
      </c>
      <c r="Z4061" s="1">
        <v>4.7363230000000003E-5</v>
      </c>
      <c r="AA4061">
        <v>0.99697499999999994</v>
      </c>
      <c r="AB4061">
        <v>35</v>
      </c>
      <c r="AC4061">
        <v>90.221000000000004</v>
      </c>
      <c r="AD4061">
        <v>-0.162816499999999</v>
      </c>
      <c r="AE4061">
        <v>8.1914999999999907</v>
      </c>
      <c r="AF4061">
        <v>-7.0672796605816499</v>
      </c>
      <c r="AG4061">
        <v>-0.162816499999999</v>
      </c>
      <c r="AH4061">
        <v>90.315724285866494</v>
      </c>
      <c r="AI4061">
        <v>90.102974959675294</v>
      </c>
      <c r="AJ4061">
        <v>94.474324324457001</v>
      </c>
      <c r="AK4061">
        <v>90.591958828000898</v>
      </c>
      <c r="AL4061">
        <v>87.376889024479894</v>
      </c>
      <c r="AM4061">
        <v>90.850485290167597</v>
      </c>
      <c r="AN4061">
        <v>0.99999996043940098</v>
      </c>
    </row>
    <row r="4062" spans="1:40" x14ac:dyDescent="0.25">
      <c r="A4062" t="str">
        <f>"20190312160415262"</f>
        <v>20190312160415262</v>
      </c>
      <c r="B4062" t="str">
        <f>"1552377855249335"</f>
        <v>1552377855249335</v>
      </c>
      <c r="C4062" t="s">
        <v>40</v>
      </c>
      <c r="D4062">
        <v>4.7863619999999996</v>
      </c>
      <c r="E4062">
        <v>0.468725</v>
      </c>
      <c r="F4062" t="s">
        <v>54</v>
      </c>
      <c r="G4062">
        <v>-168.35059999999999</v>
      </c>
      <c r="H4062">
        <v>0.98100379999999998</v>
      </c>
      <c r="I4062">
        <v>221.79429999999999</v>
      </c>
      <c r="J4062">
        <v>-247.7002</v>
      </c>
      <c r="K4062">
        <v>1.10997099999999</v>
      </c>
      <c r="L4062">
        <v>213.48869999999999</v>
      </c>
      <c r="M4062">
        <v>0.9998532</v>
      </c>
      <c r="N4062">
        <v>0</v>
      </c>
      <c r="O4062">
        <v>1.274756E-2</v>
      </c>
      <c r="P4062">
        <v>0.99903229999999998</v>
      </c>
      <c r="Q4062">
        <v>3.4886540000000001E-2</v>
      </c>
      <c r="R4062">
        <v>2.6782170000000001E-2</v>
      </c>
      <c r="S4062">
        <v>2.9945369999999998</v>
      </c>
      <c r="T4062">
        <v>-4.8418050000000002E-3</v>
      </c>
      <c r="U4062">
        <v>0.31221009999999999</v>
      </c>
      <c r="V4062">
        <v>-1.4073820000000001E-2</v>
      </c>
      <c r="W4062">
        <v>4.6314180000000003E-2</v>
      </c>
      <c r="X4062">
        <v>0.99882780000000004</v>
      </c>
      <c r="Y4062">
        <v>-9.1009610000000005E-2</v>
      </c>
      <c r="Z4062" s="1">
        <v>5.282379E-5</v>
      </c>
      <c r="AA4062">
        <v>0.99585000000000001</v>
      </c>
      <c r="AB4062">
        <v>35</v>
      </c>
      <c r="AC4062">
        <v>79.349599999999995</v>
      </c>
      <c r="AD4062">
        <v>-0.128967199999999</v>
      </c>
      <c r="AE4062">
        <v>8.3055999999999894</v>
      </c>
      <c r="AF4062">
        <v>-7.2933259083958699</v>
      </c>
      <c r="AG4062">
        <v>-0.128967199999999</v>
      </c>
      <c r="AH4062">
        <v>79.448827201960299</v>
      </c>
      <c r="AI4062">
        <v>90.092617230062999</v>
      </c>
      <c r="AJ4062">
        <v>95.244997097429106</v>
      </c>
      <c r="AK4062">
        <v>79.782989284130693</v>
      </c>
      <c r="AL4062">
        <v>87.345443437608594</v>
      </c>
      <c r="AM4062">
        <v>90.807263403193502</v>
      </c>
      <c r="AN4062">
        <v>1.00000002486565</v>
      </c>
    </row>
    <row r="4063" spans="1:40" x14ac:dyDescent="0.25">
      <c r="A4063" t="str">
        <f>"20190312160415285"</f>
        <v>20190312160415285</v>
      </c>
      <c r="B4063" t="str">
        <f>"1552377855278614"</f>
        <v>1552377855278614</v>
      </c>
      <c r="C4063" t="s">
        <v>40</v>
      </c>
      <c r="D4063">
        <v>4.7083180000000002</v>
      </c>
      <c r="E4063">
        <v>0.46752470000000002</v>
      </c>
      <c r="F4063" t="s">
        <v>54</v>
      </c>
      <c r="G4063">
        <v>-168.35059999999999</v>
      </c>
      <c r="H4063">
        <v>0.99360280000000001</v>
      </c>
      <c r="I4063">
        <v>222.18860000000001</v>
      </c>
      <c r="J4063">
        <v>-247.32919999999999</v>
      </c>
      <c r="K4063">
        <v>1.1100049999999999</v>
      </c>
      <c r="L4063">
        <v>213.49369999999999</v>
      </c>
      <c r="M4063">
        <v>0.99984709999999999</v>
      </c>
      <c r="N4063">
        <v>0</v>
      </c>
      <c r="O4063">
        <v>1.304376E-2</v>
      </c>
      <c r="P4063">
        <v>0.99903629999999999</v>
      </c>
      <c r="Q4063">
        <v>3.5020019999999999E-2</v>
      </c>
      <c r="R4063">
        <v>2.645923E-2</v>
      </c>
      <c r="S4063">
        <v>2.994278</v>
      </c>
      <c r="T4063">
        <v>-4.3890480000000004E-3</v>
      </c>
      <c r="U4063">
        <v>0.3282928</v>
      </c>
      <c r="V4063">
        <v>-1.3455409999999999E-2</v>
      </c>
      <c r="W4063">
        <v>4.6645230000000003E-2</v>
      </c>
      <c r="X4063">
        <v>0.99882090000000001</v>
      </c>
      <c r="Y4063">
        <v>-9.6010659999999998E-2</v>
      </c>
      <c r="Z4063" s="1">
        <v>5.1096459999999998E-5</v>
      </c>
      <c r="AA4063">
        <v>0.9953803</v>
      </c>
      <c r="AB4063">
        <v>35</v>
      </c>
      <c r="AC4063">
        <v>78.9786</v>
      </c>
      <c r="AD4063">
        <v>-0.116402199999999</v>
      </c>
      <c r="AE4063">
        <v>8.6949000000000094</v>
      </c>
      <c r="AF4063">
        <v>-7.6638959704197003</v>
      </c>
      <c r="AG4063">
        <v>-0.116402199999999</v>
      </c>
      <c r="AH4063">
        <v>79.085132254220099</v>
      </c>
      <c r="AI4063">
        <v>90.083938066638297</v>
      </c>
      <c r="AJ4063">
        <v>95.535073721708599</v>
      </c>
      <c r="AK4063">
        <v>79.455692021308707</v>
      </c>
      <c r="AL4063">
        <v>87.326455102929003</v>
      </c>
      <c r="AM4063">
        <v>90.771801605435599</v>
      </c>
      <c r="AN4063">
        <v>1.0000000079084099</v>
      </c>
    </row>
    <row r="4064" spans="1:40" x14ac:dyDescent="0.25">
      <c r="A4064" t="str">
        <f>"20190312160415306"</f>
        <v>20190312160415306</v>
      </c>
      <c r="B4064" t="str">
        <f>"1552377855299111"</f>
        <v>1552377855299111</v>
      </c>
      <c r="C4064" t="s">
        <v>40</v>
      </c>
      <c r="D4064">
        <v>4.7982839999999998</v>
      </c>
      <c r="E4064">
        <v>0.46678249999999999</v>
      </c>
      <c r="F4064" t="s">
        <v>54</v>
      </c>
      <c r="G4064">
        <v>-168.35059999999999</v>
      </c>
      <c r="H4064">
        <v>0.82258030000000004</v>
      </c>
      <c r="I4064">
        <v>222.37459999999999</v>
      </c>
      <c r="J4064">
        <v>-247.00700000000001</v>
      </c>
      <c r="K4064">
        <v>1.1100460000000001</v>
      </c>
      <c r="L4064">
        <v>213.4982</v>
      </c>
      <c r="M4064">
        <v>0.99984110000000004</v>
      </c>
      <c r="N4064">
        <v>0</v>
      </c>
      <c r="O4064">
        <v>1.330484E-2</v>
      </c>
      <c r="P4064">
        <v>0.99905460000000001</v>
      </c>
      <c r="Q4064">
        <v>3.4444059999999999E-2</v>
      </c>
      <c r="R4064">
        <v>2.6527450000000001E-2</v>
      </c>
      <c r="S4064">
        <v>2.9943240000000002</v>
      </c>
      <c r="T4064">
        <v>-1.089501E-2</v>
      </c>
      <c r="U4064">
        <v>0.33670040000000001</v>
      </c>
      <c r="V4064">
        <v>-1.32613E-2</v>
      </c>
      <c r="W4064">
        <v>4.6293699999999903E-2</v>
      </c>
      <c r="X4064">
        <v>0.9988399</v>
      </c>
      <c r="Y4064">
        <v>-9.8509139999999995E-2</v>
      </c>
      <c r="Z4064">
        <v>1.304004E-4</v>
      </c>
      <c r="AA4064">
        <v>0.99513609999999997</v>
      </c>
      <c r="AB4064">
        <v>35</v>
      </c>
      <c r="AC4064">
        <v>78.656400000000005</v>
      </c>
      <c r="AD4064">
        <v>-0.28746569999999899</v>
      </c>
      <c r="AE4064">
        <v>8.8763999999999896</v>
      </c>
      <c r="AF4064">
        <v>-7.8289264790445401</v>
      </c>
      <c r="AG4064">
        <v>-0.28746569999999899</v>
      </c>
      <c r="AH4064">
        <v>78.7665054342133</v>
      </c>
      <c r="AI4064">
        <v>90.208080061079002</v>
      </c>
      <c r="AJ4064">
        <v>95.676219688952202</v>
      </c>
      <c r="AK4064">
        <v>79.155145787629706</v>
      </c>
      <c r="AL4064">
        <v>87.346618201187695</v>
      </c>
      <c r="AM4064">
        <v>90.760654316155296</v>
      </c>
      <c r="AN4064">
        <v>1.0000000572846901</v>
      </c>
    </row>
    <row r="4065" spans="1:40" x14ac:dyDescent="0.25">
      <c r="A4065" t="str">
        <f>"20190312160415328"</f>
        <v>20190312160415328</v>
      </c>
      <c r="B4065" t="str">
        <f>"1552377855318631"</f>
        <v>1552377855318631</v>
      </c>
      <c r="C4065" t="s">
        <v>40</v>
      </c>
      <c r="D4065">
        <v>4.8060729999999996</v>
      </c>
      <c r="E4065">
        <v>0.46631289999999997</v>
      </c>
      <c r="F4065" t="s">
        <v>54</v>
      </c>
      <c r="G4065">
        <v>-168.35059999999999</v>
      </c>
      <c r="H4065">
        <v>0.82064530000000002</v>
      </c>
      <c r="I4065">
        <v>222.5059</v>
      </c>
      <c r="J4065">
        <v>-246.67519999999999</v>
      </c>
      <c r="K4065">
        <v>1.1100829999999999</v>
      </c>
      <c r="L4065">
        <v>213.50290000000001</v>
      </c>
      <c r="M4065">
        <v>0.99983429999999995</v>
      </c>
      <c r="N4065">
        <v>0</v>
      </c>
      <c r="O4065">
        <v>1.358067E-2</v>
      </c>
      <c r="P4065">
        <v>0.99908750000000002</v>
      </c>
      <c r="Q4065">
        <v>3.342299E-2</v>
      </c>
      <c r="R4065">
        <v>2.6587349999999999E-2</v>
      </c>
      <c r="S4065">
        <v>2.9940950000000002</v>
      </c>
      <c r="T4065">
        <v>-1.101398E-2</v>
      </c>
      <c r="U4065">
        <v>0.34288020000000002</v>
      </c>
      <c r="V4065">
        <v>-1.304314E-2</v>
      </c>
      <c r="W4065">
        <v>4.553347E-2</v>
      </c>
      <c r="X4065">
        <v>0.99887760000000003</v>
      </c>
      <c r="Y4065">
        <v>-0.1002707</v>
      </c>
      <c r="Z4065">
        <v>1.340375E-4</v>
      </c>
      <c r="AA4065">
        <v>0.99496019999999996</v>
      </c>
      <c r="AB4065">
        <v>35</v>
      </c>
      <c r="AC4065">
        <v>78.324600000000004</v>
      </c>
      <c r="AD4065">
        <v>-0.28943769999999902</v>
      </c>
      <c r="AE4065">
        <v>9.0029999999999806</v>
      </c>
      <c r="AF4065">
        <v>-7.9382839150548499</v>
      </c>
      <c r="AG4065">
        <v>-0.28943769999999902</v>
      </c>
      <c r="AH4065">
        <v>78.438594312154706</v>
      </c>
      <c r="AI4065">
        <v>90.210345498618807</v>
      </c>
      <c r="AJ4065">
        <v>95.778874803777796</v>
      </c>
      <c r="AK4065">
        <v>78.839794541620805</v>
      </c>
      <c r="AL4065">
        <v>87.390221848193903</v>
      </c>
      <c r="AM4065">
        <v>90.748114087181307</v>
      </c>
      <c r="AN4065">
        <v>0.99999994008652804</v>
      </c>
    </row>
    <row r="4066" spans="1:40" x14ac:dyDescent="0.25">
      <c r="A4066" t="str">
        <f>"20190312160415349"</f>
        <v>20190312160415349</v>
      </c>
      <c r="B4066" t="str">
        <f>"1552377855339128"</f>
        <v>1552377855339128</v>
      </c>
      <c r="C4066" t="s">
        <v>40</v>
      </c>
      <c r="D4066">
        <v>4.829186</v>
      </c>
      <c r="E4066">
        <v>0.46594780000000002</v>
      </c>
      <c r="F4066" t="s">
        <v>54</v>
      </c>
      <c r="G4066">
        <v>-168.35059999999999</v>
      </c>
      <c r="H4066">
        <v>0.69376090000000001</v>
      </c>
      <c r="I4066">
        <v>222.57650000000001</v>
      </c>
      <c r="J4066">
        <v>-246.3297</v>
      </c>
      <c r="K4066">
        <v>1.1101179999999999</v>
      </c>
      <c r="L4066">
        <v>213.50790000000001</v>
      </c>
      <c r="M4066">
        <v>0.99982700000000002</v>
      </c>
      <c r="N4066">
        <v>0</v>
      </c>
      <c r="O4066">
        <v>1.3870260000000001E-2</v>
      </c>
      <c r="P4066">
        <v>0.9990907</v>
      </c>
      <c r="Q4066">
        <v>3.2760020000000001E-2</v>
      </c>
      <c r="R4066">
        <v>2.728993E-2</v>
      </c>
      <c r="S4066">
        <v>2.994049</v>
      </c>
      <c r="T4066">
        <v>-1.5912180000000001E-2</v>
      </c>
      <c r="U4066">
        <v>0.34684749999999998</v>
      </c>
      <c r="V4066">
        <v>-1.345586E-2</v>
      </c>
      <c r="W4066">
        <v>4.5140010000000001E-2</v>
      </c>
      <c r="X4066">
        <v>0.99888999999999994</v>
      </c>
      <c r="Y4066">
        <v>-0.1012846</v>
      </c>
      <c r="Z4066">
        <v>1.9478679999999999E-4</v>
      </c>
      <c r="AA4066">
        <v>0.99485749999999995</v>
      </c>
      <c r="AB4066">
        <v>35</v>
      </c>
      <c r="AC4066">
        <v>77.979100000000003</v>
      </c>
      <c r="AD4066">
        <v>-0.41635709999999898</v>
      </c>
      <c r="AE4066">
        <v>9.0686</v>
      </c>
      <c r="AF4066">
        <v>-7.9858294104297798</v>
      </c>
      <c r="AG4066">
        <v>-0.41635709999999898</v>
      </c>
      <c r="AH4066">
        <v>78.095194343543596</v>
      </c>
      <c r="AI4066">
        <v>90.303879489299305</v>
      </c>
      <c r="AJ4066">
        <v>95.838636198004394</v>
      </c>
      <c r="AK4066">
        <v>78.503542621738106</v>
      </c>
      <c r="AL4066">
        <v>87.412788693357598</v>
      </c>
      <c r="AM4066">
        <v>90.771774028207602</v>
      </c>
      <c r="AN4066">
        <v>0.99999995638556805</v>
      </c>
    </row>
    <row r="4067" spans="1:40" x14ac:dyDescent="0.25">
      <c r="A4067" t="str">
        <f>"20190312160415373"</f>
        <v>20190312160415373</v>
      </c>
      <c r="B4067" t="str">
        <f>"1552377855369384"</f>
        <v>1552377855369384</v>
      </c>
      <c r="C4067" t="s">
        <v>40</v>
      </c>
      <c r="D4067">
        <v>5.1114410000000001</v>
      </c>
      <c r="E4067">
        <v>0.5025172</v>
      </c>
      <c r="F4067" t="s">
        <v>54</v>
      </c>
      <c r="G4067">
        <v>-168.35059999999999</v>
      </c>
      <c r="H4067">
        <v>0.59669779999999994</v>
      </c>
      <c r="I4067">
        <v>222.6806</v>
      </c>
      <c r="J4067">
        <v>-245.98410000000001</v>
      </c>
      <c r="K4067">
        <v>1.1101510000000001</v>
      </c>
      <c r="L4067">
        <v>213.51300000000001</v>
      </c>
      <c r="M4067">
        <v>0.99981980000000004</v>
      </c>
      <c r="N4067">
        <v>0</v>
      </c>
      <c r="O4067">
        <v>1.4156159999999999E-2</v>
      </c>
      <c r="P4067">
        <v>0.99908470000000005</v>
      </c>
      <c r="Q4067">
        <v>3.2739589999999999E-2</v>
      </c>
      <c r="R4067">
        <v>2.753247E-2</v>
      </c>
      <c r="S4067">
        <v>2.9937740000000002</v>
      </c>
      <c r="T4067">
        <v>-1.9708989999999999E-2</v>
      </c>
      <c r="U4067">
        <v>0.35215760000000002</v>
      </c>
      <c r="V4067">
        <v>-1.341238E-2</v>
      </c>
      <c r="W4067">
        <v>4.5373419999999998E-2</v>
      </c>
      <c r="X4067">
        <v>0.99887999999999999</v>
      </c>
      <c r="Y4067">
        <v>-0.1027506</v>
      </c>
      <c r="Z4067">
        <v>2.441953E-4</v>
      </c>
      <c r="AA4067">
        <v>0.99470709999999996</v>
      </c>
      <c r="AB4067">
        <v>35</v>
      </c>
      <c r="AC4067">
        <v>77.633499999999998</v>
      </c>
      <c r="AD4067">
        <v>-0.51345320000000005</v>
      </c>
      <c r="AE4067">
        <v>9.1675999999999895</v>
      </c>
      <c r="AF4067">
        <v>-8.0672530382146004</v>
      </c>
      <c r="AG4067">
        <v>-0.51345320000000005</v>
      </c>
      <c r="AH4067">
        <v>77.752153707588803</v>
      </c>
      <c r="AI4067">
        <v>90.376339375537995</v>
      </c>
      <c r="AJ4067">
        <v>95.923585595357906</v>
      </c>
      <c r="AK4067">
        <v>78.171232636691101</v>
      </c>
      <c r="AL4067">
        <v>87.399401543291901</v>
      </c>
      <c r="AM4067">
        <v>90.769288190915503</v>
      </c>
      <c r="AN4067">
        <v>0.99999994678987902</v>
      </c>
    </row>
    <row r="4068" spans="1:40" x14ac:dyDescent="0.25">
      <c r="A4068" t="str">
        <f>"20190312160415395"</f>
        <v>20190312160415395</v>
      </c>
      <c r="B4068" t="str">
        <f>"1552377855388903"</f>
        <v>1552377855388903</v>
      </c>
      <c r="C4068" t="s">
        <v>40</v>
      </c>
      <c r="D4068">
        <v>4.8809750000000003</v>
      </c>
      <c r="E4068">
        <v>0.51825089999999996</v>
      </c>
      <c r="F4068" t="s">
        <v>88</v>
      </c>
      <c r="G4068">
        <v>-107.39749999999999</v>
      </c>
      <c r="H4068">
        <v>0.832539899999999</v>
      </c>
      <c r="I4068">
        <v>216.35249999999999</v>
      </c>
      <c r="J4068">
        <v>-245.63140000000001</v>
      </c>
      <c r="K4068">
        <v>1.1101780000000001</v>
      </c>
      <c r="L4068">
        <v>213.51820000000001</v>
      </c>
      <c r="M4068">
        <v>0.9998127</v>
      </c>
      <c r="N4068">
        <v>0</v>
      </c>
      <c r="O4068">
        <v>1.444223E-2</v>
      </c>
      <c r="P4068">
        <v>0.99908560000000002</v>
      </c>
      <c r="Q4068">
        <v>3.2606589999999998E-2</v>
      </c>
      <c r="R4068">
        <v>2.765782E-2</v>
      </c>
      <c r="S4068">
        <v>3.0012509999999999</v>
      </c>
      <c r="T4068">
        <v>-6.0108899999999996E-3</v>
      </c>
      <c r="U4068">
        <v>6.149292E-2</v>
      </c>
      <c r="V4068">
        <v>-1.3251799999999999E-2</v>
      </c>
      <c r="W4068">
        <v>4.5477730000000001E-2</v>
      </c>
      <c r="X4068">
        <v>0.99887749999999997</v>
      </c>
      <c r="Y4068">
        <v>-6.0422740000000003E-3</v>
      </c>
      <c r="Z4068" s="1">
        <v>-2.2872269999999999E-5</v>
      </c>
      <c r="AA4068">
        <v>0.99998180000000003</v>
      </c>
      <c r="AB4068">
        <v>34</v>
      </c>
      <c r="AC4068">
        <v>138.23390000000001</v>
      </c>
      <c r="AD4068">
        <v>-0.2776381</v>
      </c>
      <c r="AE4068">
        <v>2.8342999999999798</v>
      </c>
      <c r="AF4068">
        <v>-0.837429485627051</v>
      </c>
      <c r="AG4068">
        <v>-0.2776381</v>
      </c>
      <c r="AH4068">
        <v>138.25986009200099</v>
      </c>
      <c r="AI4068">
        <v>90.115052757792895</v>
      </c>
      <c r="AJ4068">
        <v>90.347031946916104</v>
      </c>
      <c r="AK4068">
        <v>138.26267494778801</v>
      </c>
      <c r="AL4068">
        <v>87.393419105986496</v>
      </c>
      <c r="AM4068">
        <v>90.760080861157803</v>
      </c>
      <c r="AN4068">
        <v>1.0000000470677199</v>
      </c>
    </row>
    <row r="4069" spans="1:40" x14ac:dyDescent="0.25">
      <c r="A4069" t="str">
        <f>"20190312160415418"</f>
        <v>20190312160415418</v>
      </c>
      <c r="B4069" t="str">
        <f>"1552377855409399"</f>
        <v>1552377855409399</v>
      </c>
      <c r="C4069" t="s">
        <v>40</v>
      </c>
      <c r="D4069">
        <v>4.7816580000000002</v>
      </c>
      <c r="E4069">
        <v>0.52440059999999999</v>
      </c>
      <c r="F4069" t="s">
        <v>88</v>
      </c>
      <c r="G4069">
        <v>-107.39749999999999</v>
      </c>
      <c r="H4069">
        <v>1.607499</v>
      </c>
      <c r="I4069">
        <v>210.59460000000001</v>
      </c>
      <c r="J4069">
        <v>-245.29079999999999</v>
      </c>
      <c r="K4069">
        <v>1.110198</v>
      </c>
      <c r="L4069">
        <v>213.52350000000001</v>
      </c>
      <c r="M4069">
        <v>0.99980599999999997</v>
      </c>
      <c r="N4069">
        <v>0</v>
      </c>
      <c r="O4069">
        <v>1.471571E-2</v>
      </c>
      <c r="P4069">
        <v>0.99912749999999995</v>
      </c>
      <c r="Q4069">
        <v>3.188071E-2</v>
      </c>
      <c r="R4069">
        <v>2.6984930000000001E-2</v>
      </c>
      <c r="S4069">
        <v>3.0041500000000001</v>
      </c>
      <c r="T4069">
        <v>1.0809060000000001E-2</v>
      </c>
      <c r="U4069">
        <v>-6.35376E-2</v>
      </c>
      <c r="V4069">
        <v>-1.230472E-2</v>
      </c>
      <c r="W4069">
        <v>4.4961370000000001E-2</v>
      </c>
      <c r="X4069">
        <v>0.99891289999999999</v>
      </c>
      <c r="Y4069">
        <v>3.5856279999999997E-2</v>
      </c>
      <c r="Z4069">
        <v>1.1744570000000001E-4</v>
      </c>
      <c r="AA4069">
        <v>0.99935689999999999</v>
      </c>
      <c r="AB4069">
        <v>34</v>
      </c>
      <c r="AC4069">
        <v>137.89330000000001</v>
      </c>
      <c r="AD4069">
        <v>0.49730099999999999</v>
      </c>
      <c r="AE4069">
        <v>-2.9288999999999898</v>
      </c>
      <c r="AF4069">
        <v>4.9578900929364202</v>
      </c>
      <c r="AG4069">
        <v>0.49730099999999999</v>
      </c>
      <c r="AH4069">
        <v>137.83346966177001</v>
      </c>
      <c r="AI4069">
        <v>89.793412224379907</v>
      </c>
      <c r="AJ4069">
        <v>87.939950578127707</v>
      </c>
      <c r="AK4069">
        <v>137.92350539868201</v>
      </c>
      <c r="AL4069">
        <v>87.423034414253294</v>
      </c>
      <c r="AM4069">
        <v>90.705740079018099</v>
      </c>
      <c r="AN4069">
        <v>0.99999995635648098</v>
      </c>
    </row>
    <row r="4070" spans="1:40" x14ac:dyDescent="0.25">
      <c r="A4070" t="str">
        <f>"20190312160415439"</f>
        <v>20190312160415439</v>
      </c>
      <c r="B4070" t="str">
        <f>"1552377855428920"</f>
        <v>1552377855428920</v>
      </c>
      <c r="C4070" t="s">
        <v>40</v>
      </c>
      <c r="D4070">
        <v>4.7412590000000003</v>
      </c>
      <c r="E4070">
        <v>0.52748919999999999</v>
      </c>
      <c r="F4070" t="s">
        <v>55</v>
      </c>
      <c r="G4070">
        <v>-151.66829999999999</v>
      </c>
      <c r="H4070">
        <v>0.30428309999999997</v>
      </c>
      <c r="I4070">
        <v>209.94460000000001</v>
      </c>
      <c r="J4070">
        <v>-244.953</v>
      </c>
      <c r="K4070">
        <v>1.110209</v>
      </c>
      <c r="L4070">
        <v>213.52869999999999</v>
      </c>
      <c r="M4070">
        <v>0.99979949999999995</v>
      </c>
      <c r="N4070">
        <v>0</v>
      </c>
      <c r="O4070">
        <v>1.498727E-2</v>
      </c>
      <c r="P4070">
        <v>0.99913909999999995</v>
      </c>
      <c r="Q4070">
        <v>3.1445510000000003E-2</v>
      </c>
      <c r="R4070">
        <v>2.7060500000000001E-2</v>
      </c>
      <c r="S4070">
        <v>3.0065460000000002</v>
      </c>
      <c r="T4070">
        <v>-2.5879619999999999E-2</v>
      </c>
      <c r="U4070">
        <v>-0.1149292</v>
      </c>
      <c r="V4070">
        <v>-1.2108610000000001E-2</v>
      </c>
      <c r="W4070">
        <v>4.4713669999999997E-2</v>
      </c>
      <c r="X4070">
        <v>0.99892650000000005</v>
      </c>
      <c r="Y4070">
        <v>5.3169269999999998E-2</v>
      </c>
      <c r="Z4070">
        <v>-3.5772069999999998E-4</v>
      </c>
      <c r="AA4070">
        <v>0.99858550000000001</v>
      </c>
      <c r="AB4070">
        <v>34</v>
      </c>
      <c r="AC4070">
        <v>93.284700000000001</v>
      </c>
      <c r="AD4070">
        <v>-0.80592589999999997</v>
      </c>
      <c r="AE4070">
        <v>-3.5840999999999701</v>
      </c>
      <c r="AF4070">
        <v>4.9815323797684297</v>
      </c>
      <c r="AG4070">
        <v>-0.80592589999999997</v>
      </c>
      <c r="AH4070">
        <v>93.213553060415606</v>
      </c>
      <c r="AI4070">
        <v>90.494662046665994</v>
      </c>
      <c r="AJ4070">
        <v>86.940900656419402</v>
      </c>
      <c r="AK4070">
        <v>93.350049038840297</v>
      </c>
      <c r="AL4070">
        <v>87.437241085535504</v>
      </c>
      <c r="AM4070">
        <v>90.694483800609603</v>
      </c>
      <c r="AN4070">
        <v>1.0000000415616199</v>
      </c>
    </row>
    <row r="4071" spans="1:40" x14ac:dyDescent="0.25">
      <c r="A4071" t="str">
        <f>"20190312160415462"</f>
        <v>20190312160415462</v>
      </c>
      <c r="B4071" t="str">
        <f>"1552377855459175"</f>
        <v>1552377855459175</v>
      </c>
      <c r="C4071" t="s">
        <v>40</v>
      </c>
      <c r="D4071">
        <v>4.7731579999999996</v>
      </c>
      <c r="E4071">
        <v>0.53006830000000005</v>
      </c>
      <c r="F4071" t="s">
        <v>55</v>
      </c>
      <c r="G4071">
        <v>-169.3921</v>
      </c>
      <c r="H4071">
        <v>0.4792786</v>
      </c>
      <c r="I4071">
        <v>210.03049999999999</v>
      </c>
      <c r="J4071">
        <v>-244.60599999999999</v>
      </c>
      <c r="K4071">
        <v>1.11022</v>
      </c>
      <c r="L4071">
        <v>213.5342</v>
      </c>
      <c r="M4071">
        <v>0.99979280000000004</v>
      </c>
      <c r="N4071">
        <v>0</v>
      </c>
      <c r="O4071">
        <v>1.526837E-2</v>
      </c>
      <c r="P4071">
        <v>0.99915140000000002</v>
      </c>
      <c r="Q4071">
        <v>3.119336E-2</v>
      </c>
      <c r="R4071">
        <v>2.6896400000000001E-2</v>
      </c>
      <c r="S4071">
        <v>3.0071409999999998</v>
      </c>
      <c r="T4071">
        <v>-2.5108100000000001E-2</v>
      </c>
      <c r="U4071">
        <v>-0.13922119999999999</v>
      </c>
      <c r="V4071">
        <v>-1.166328E-2</v>
      </c>
      <c r="W4071">
        <v>4.463317E-2</v>
      </c>
      <c r="X4071">
        <v>0.99893529999999997</v>
      </c>
      <c r="Y4071">
        <v>6.1492680000000001E-2</v>
      </c>
      <c r="Z4071">
        <v>-3.8400629999999999E-4</v>
      </c>
      <c r="AA4071">
        <v>0.99810739999999998</v>
      </c>
      <c r="AB4071">
        <v>34</v>
      </c>
      <c r="AC4071">
        <v>75.213899999999995</v>
      </c>
      <c r="AD4071">
        <v>-0.63094139999999999</v>
      </c>
      <c r="AE4071">
        <v>-3.5036999999999998</v>
      </c>
      <c r="AF4071">
        <v>4.6514626274879003</v>
      </c>
      <c r="AG4071">
        <v>-0.63094139999999999</v>
      </c>
      <c r="AH4071">
        <v>75.146353684485803</v>
      </c>
      <c r="AI4071">
        <v>90.4801347950132</v>
      </c>
      <c r="AJ4071">
        <v>86.457984025280098</v>
      </c>
      <c r="AK4071">
        <v>75.292819469714303</v>
      </c>
      <c r="AL4071">
        <v>87.441857752045294</v>
      </c>
      <c r="AM4071">
        <v>90.668938574581006</v>
      </c>
      <c r="AN4071">
        <v>0.99999994277534698</v>
      </c>
    </row>
    <row r="4072" spans="1:40" x14ac:dyDescent="0.25">
      <c r="A4072" t="str">
        <f>"20190312160415485"</f>
        <v>20190312160415485</v>
      </c>
      <c r="B4072" t="str">
        <f>"1552377855478695"</f>
        <v>1552377855478695</v>
      </c>
      <c r="C4072" t="s">
        <v>40</v>
      </c>
      <c r="D4072">
        <v>4.7920389999999999</v>
      </c>
      <c r="E4072">
        <v>0.53125730000000004</v>
      </c>
      <c r="F4072" t="s">
        <v>55</v>
      </c>
      <c r="G4072">
        <v>-169.3922</v>
      </c>
      <c r="H4072">
        <v>0.2705784</v>
      </c>
      <c r="I4072">
        <v>209.52330000000001</v>
      </c>
      <c r="J4072">
        <v>-244.25810000000001</v>
      </c>
      <c r="K4072">
        <v>1.1102190000000001</v>
      </c>
      <c r="L4072">
        <v>213.53980000000001</v>
      </c>
      <c r="M4072">
        <v>0.99978650000000002</v>
      </c>
      <c r="N4072">
        <v>0</v>
      </c>
      <c r="O4072">
        <v>1.555173E-2</v>
      </c>
      <c r="P4072">
        <v>0.99915699999999996</v>
      </c>
      <c r="Q4072">
        <v>3.0925939999999999E-2</v>
      </c>
      <c r="R4072">
        <v>2.7004029999999998E-2</v>
      </c>
      <c r="S4072">
        <v>3.0079039999999999</v>
      </c>
      <c r="T4072">
        <v>-3.3577080000000002E-2</v>
      </c>
      <c r="U4072">
        <v>-0.1604004</v>
      </c>
      <c r="V4072">
        <v>-1.1487580000000001E-2</v>
      </c>
      <c r="W4072">
        <v>4.4516939999999998E-2</v>
      </c>
      <c r="X4072">
        <v>0.99894260000000001</v>
      </c>
      <c r="Y4072">
        <v>6.8770059999999994E-2</v>
      </c>
      <c r="Z4072">
        <v>-5.5705730000000001E-4</v>
      </c>
      <c r="AA4072">
        <v>0.99763239999999997</v>
      </c>
      <c r="AB4072">
        <v>34</v>
      </c>
      <c r="AC4072">
        <v>74.865899999999996</v>
      </c>
      <c r="AD4072">
        <v>-0.83964059999999996</v>
      </c>
      <c r="AE4072">
        <v>-4.0164999999999997</v>
      </c>
      <c r="AF4072">
        <v>5.1797665531358197</v>
      </c>
      <c r="AG4072">
        <v>-0.83964059999999996</v>
      </c>
      <c r="AH4072">
        <v>74.784995460724204</v>
      </c>
      <c r="AI4072">
        <v>90.641717989602398</v>
      </c>
      <c r="AJ4072">
        <v>86.037901067094197</v>
      </c>
      <c r="AK4072">
        <v>74.968863696488597</v>
      </c>
      <c r="AL4072">
        <v>87.448524064598203</v>
      </c>
      <c r="AM4072">
        <v>90.658857515167597</v>
      </c>
      <c r="AN4072">
        <v>1.00000002026799</v>
      </c>
    </row>
    <row r="4073" spans="1:40" x14ac:dyDescent="0.25">
      <c r="A4073" t="str">
        <f>"20190312160415507"</f>
        <v>20190312160415507</v>
      </c>
      <c r="B4073" t="str">
        <f>"1552377855499191"</f>
        <v>1552377855499191</v>
      </c>
      <c r="C4073" t="s">
        <v>40</v>
      </c>
      <c r="D4073">
        <v>4.8253430000000002</v>
      </c>
      <c r="E4073">
        <v>0.53234359999999903</v>
      </c>
      <c r="F4073" t="s">
        <v>55</v>
      </c>
      <c r="G4073">
        <v>-169.3922</v>
      </c>
      <c r="H4073">
        <v>7.3375699999999999E-3</v>
      </c>
      <c r="I4073">
        <v>209.32230000000001</v>
      </c>
      <c r="J4073">
        <v>-243.92570000000001</v>
      </c>
      <c r="K4073">
        <v>1.1102320000000001</v>
      </c>
      <c r="L4073">
        <v>213.5453</v>
      </c>
      <c r="M4073">
        <v>0.99978060000000002</v>
      </c>
      <c r="N4073">
        <v>0</v>
      </c>
      <c r="O4073">
        <v>1.5823670000000001E-2</v>
      </c>
      <c r="P4073">
        <v>0.99915379999999998</v>
      </c>
      <c r="Q4073">
        <v>3.082118E-2</v>
      </c>
      <c r="R4073">
        <v>2.7241049999999999E-2</v>
      </c>
      <c r="S4073">
        <v>3.0084840000000002</v>
      </c>
      <c r="T4073">
        <v>-4.4317839999999997E-2</v>
      </c>
      <c r="U4073">
        <v>-0.169479399999999</v>
      </c>
      <c r="V4073">
        <v>-1.145232E-2</v>
      </c>
      <c r="W4073">
        <v>4.453932E-2</v>
      </c>
      <c r="X4073">
        <v>0.998942</v>
      </c>
      <c r="Y4073">
        <v>7.2028199999999903E-2</v>
      </c>
      <c r="Z4073">
        <v>-7.6301419999999997E-4</v>
      </c>
      <c r="AA4073">
        <v>0.99740229999999996</v>
      </c>
      <c r="AB4073">
        <v>34</v>
      </c>
      <c r="AC4073">
        <v>74.533500000000004</v>
      </c>
      <c r="AD4073">
        <v>-1.1028944300000001</v>
      </c>
      <c r="AE4073">
        <v>-4.2229999999999803</v>
      </c>
      <c r="AF4073">
        <v>5.4007969982408</v>
      </c>
      <c r="AG4073">
        <v>-1.1028944300000001</v>
      </c>
      <c r="AH4073">
        <v>74.441089372812598</v>
      </c>
      <c r="AI4073">
        <v>90.846588277757206</v>
      </c>
      <c r="AJ4073">
        <v>85.850387899682204</v>
      </c>
      <c r="AK4073">
        <v>74.644897825310295</v>
      </c>
      <c r="AL4073">
        <v>87.447240493426705</v>
      </c>
      <c r="AM4073">
        <v>90.656835788586804</v>
      </c>
      <c r="AN4073">
        <v>1.0000000130117199</v>
      </c>
    </row>
    <row r="4074" spans="1:40" x14ac:dyDescent="0.25">
      <c r="A4074" t="str">
        <f>"20190312160415529"</f>
        <v>20190312160415529</v>
      </c>
      <c r="B4074" t="str">
        <f>"1552377855518711"</f>
        <v>1552377855518711</v>
      </c>
      <c r="C4074" t="s">
        <v>40</v>
      </c>
      <c r="D4074">
        <v>4.7792870000000001</v>
      </c>
      <c r="E4074">
        <v>0.53299640000000004</v>
      </c>
      <c r="F4074" t="s">
        <v>59</v>
      </c>
      <c r="G4074">
        <v>-176.97099999999901</v>
      </c>
      <c r="H4074">
        <v>8.0004629999999993E-2</v>
      </c>
      <c r="I4074">
        <v>209.59280000000001</v>
      </c>
      <c r="J4074">
        <v>-243.59020000000001</v>
      </c>
      <c r="K4074">
        <v>1.1102399999999999</v>
      </c>
      <c r="L4074">
        <v>213.55080000000001</v>
      </c>
      <c r="M4074">
        <v>0.99977450000000001</v>
      </c>
      <c r="N4074">
        <v>0</v>
      </c>
      <c r="O4074">
        <v>1.6098319999999999E-2</v>
      </c>
      <c r="P4074">
        <v>0.99916039999999995</v>
      </c>
      <c r="Q4074">
        <v>3.0515279999999999E-2</v>
      </c>
      <c r="R4074">
        <v>2.7340420000000001E-2</v>
      </c>
      <c r="S4074">
        <v>3.0087739999999998</v>
      </c>
      <c r="T4074">
        <v>-4.6295759999999998E-2</v>
      </c>
      <c r="U4074">
        <v>-0.177612299999999</v>
      </c>
      <c r="V4074">
        <v>-1.1276649999999999E-2</v>
      </c>
      <c r="W4074">
        <v>4.4345919999999997E-2</v>
      </c>
      <c r="X4074">
        <v>0.99895259999999997</v>
      </c>
      <c r="Y4074">
        <v>7.4982389999999996E-2</v>
      </c>
      <c r="Z4074">
        <v>-8.23857E-4</v>
      </c>
      <c r="AA4074">
        <v>0.99718450000000003</v>
      </c>
      <c r="AB4074">
        <v>34</v>
      </c>
      <c r="AC4074">
        <v>66.619200000000006</v>
      </c>
      <c r="AD4074">
        <v>-1.03023537</v>
      </c>
      <c r="AE4074">
        <v>-3.95799999999999</v>
      </c>
      <c r="AF4074">
        <v>5.0288486292374799</v>
      </c>
      <c r="AG4074">
        <v>-1.03023537</v>
      </c>
      <c r="AH4074">
        <v>66.530987087571305</v>
      </c>
      <c r="AI4074">
        <v>90.884633754909402</v>
      </c>
      <c r="AJ4074">
        <v>85.677428552976195</v>
      </c>
      <c r="AK4074">
        <v>66.728726544869403</v>
      </c>
      <c r="AL4074">
        <v>87.458332449577199</v>
      </c>
      <c r="AM4074">
        <v>90.646754420439393</v>
      </c>
      <c r="AN4074">
        <v>1.00000001025131</v>
      </c>
    </row>
    <row r="4075" spans="1:40" x14ac:dyDescent="0.25">
      <c r="A4075" t="str">
        <f>"20190312160415551"</f>
        <v>20190312160415551</v>
      </c>
      <c r="B4075" t="str">
        <f>"1552377855539208"</f>
        <v>1552377855539208</v>
      </c>
      <c r="C4075" t="s">
        <v>40</v>
      </c>
      <c r="D4075">
        <v>4.8265979999999997</v>
      </c>
      <c r="E4075">
        <v>0.53358729999999999</v>
      </c>
      <c r="F4075" t="s">
        <v>59</v>
      </c>
      <c r="G4075">
        <v>-180.32839999999999</v>
      </c>
      <c r="H4075" s="1">
        <v>2.6926720000000001E-6</v>
      </c>
      <c r="I4075">
        <v>209.71289999999999</v>
      </c>
      <c r="J4075">
        <v>-243.24619999999999</v>
      </c>
      <c r="K4075">
        <v>1.110249</v>
      </c>
      <c r="L4075">
        <v>213.55670000000001</v>
      </c>
      <c r="M4075">
        <v>0.99976880000000001</v>
      </c>
      <c r="N4075">
        <v>0</v>
      </c>
      <c r="O4075">
        <v>1.6379379999999999E-2</v>
      </c>
      <c r="P4075">
        <v>0.99913870000000005</v>
      </c>
      <c r="Q4075">
        <v>3.0828270000000001E-2</v>
      </c>
      <c r="R4075">
        <v>2.778191E-2</v>
      </c>
      <c r="S4075">
        <v>3.0091399999999999</v>
      </c>
      <c r="T4075">
        <v>-5.2810070000000001E-2</v>
      </c>
      <c r="U4075">
        <v>-0.1825562</v>
      </c>
      <c r="V4075">
        <v>-1.1437920000000001E-2</v>
      </c>
      <c r="W4075">
        <v>4.4757499999999999E-2</v>
      </c>
      <c r="X4075">
        <v>0.99893240000000005</v>
      </c>
      <c r="Y4075">
        <v>7.6884339999999995E-2</v>
      </c>
      <c r="Z4075">
        <v>-9.6120850000000002E-4</v>
      </c>
      <c r="AA4075">
        <v>0.99703960000000003</v>
      </c>
      <c r="AB4075">
        <v>34</v>
      </c>
      <c r="AC4075">
        <v>62.9178</v>
      </c>
      <c r="AD4075">
        <v>-1.110246307328</v>
      </c>
      <c r="AE4075">
        <v>-3.8438000000000101</v>
      </c>
      <c r="AF4075">
        <v>4.8724272775479296</v>
      </c>
      <c r="AG4075">
        <v>-1.110246307328</v>
      </c>
      <c r="AH4075">
        <v>62.8269023642764</v>
      </c>
      <c r="AI4075">
        <v>91.009367393085</v>
      </c>
      <c r="AJ4075">
        <v>85.565405401578801</v>
      </c>
      <c r="AK4075">
        <v>63.025335025910401</v>
      </c>
      <c r="AL4075">
        <v>87.434727187759506</v>
      </c>
      <c r="AM4075">
        <v>90.656016267804603</v>
      </c>
      <c r="AN4075">
        <v>0.99999999979496801</v>
      </c>
    </row>
    <row r="4076" spans="1:40" x14ac:dyDescent="0.25">
      <c r="A4076" t="str">
        <f>"20190312160415574"</f>
        <v>20190312160415574</v>
      </c>
      <c r="B4076" t="str">
        <f>"1552377855568487"</f>
        <v>1552377855568487</v>
      </c>
      <c r="C4076" t="s">
        <v>40</v>
      </c>
      <c r="D4076">
        <v>4.8189659999999996</v>
      </c>
      <c r="E4076">
        <v>0.53452429999999995</v>
      </c>
      <c r="F4076" t="s">
        <v>59</v>
      </c>
      <c r="G4076">
        <v>-179.95339999999999</v>
      </c>
      <c r="H4076">
        <v>5.4339310000000002E-2</v>
      </c>
      <c r="I4076">
        <v>209.64940000000001</v>
      </c>
      <c r="J4076">
        <v>-242.898</v>
      </c>
      <c r="K4076">
        <v>1.1102559999999999</v>
      </c>
      <c r="L4076">
        <v>213.56270000000001</v>
      </c>
      <c r="M4076">
        <v>0.99976279999999995</v>
      </c>
      <c r="N4076">
        <v>0</v>
      </c>
      <c r="O4076">
        <v>1.6663319999999999E-2</v>
      </c>
      <c r="P4076">
        <v>0.99912069999999997</v>
      </c>
      <c r="Q4076">
        <v>3.0842959999999999E-2</v>
      </c>
      <c r="R4076">
        <v>2.840761E-2</v>
      </c>
      <c r="S4076">
        <v>3.0093079999999999</v>
      </c>
      <c r="T4076">
        <v>-5.0204039999999998E-2</v>
      </c>
      <c r="U4076">
        <v>-0.18577579999999999</v>
      </c>
      <c r="V4076">
        <v>-1.177987E-2</v>
      </c>
      <c r="W4076">
        <v>4.4859429999999999E-2</v>
      </c>
      <c r="X4076">
        <v>0.99892380000000003</v>
      </c>
      <c r="Y4076">
        <v>7.8227999999999895E-2</v>
      </c>
      <c r="Z4076">
        <v>-9.296323E-4</v>
      </c>
      <c r="AA4076">
        <v>0.99693509999999996</v>
      </c>
      <c r="AB4076">
        <v>34</v>
      </c>
      <c r="AC4076">
        <v>62.944600000000001</v>
      </c>
      <c r="AD4076">
        <v>-1.0559166900000001</v>
      </c>
      <c r="AE4076">
        <v>-3.9132999999999898</v>
      </c>
      <c r="AF4076">
        <v>4.9603352088165797</v>
      </c>
      <c r="AG4076">
        <v>-1.0559166900000001</v>
      </c>
      <c r="AH4076">
        <v>62.8530244130543</v>
      </c>
      <c r="AI4076">
        <v>90.959482908132003</v>
      </c>
      <c r="AJ4076">
        <v>85.487593008894194</v>
      </c>
      <c r="AK4076">
        <v>63.057295876909002</v>
      </c>
      <c r="AL4076">
        <v>87.428881018773794</v>
      </c>
      <c r="AM4076">
        <v>90.675632666114097</v>
      </c>
      <c r="AN4076">
        <v>0.99999994600178899</v>
      </c>
    </row>
    <row r="4077" spans="1:40" x14ac:dyDescent="0.25">
      <c r="A4077" t="str">
        <f>"20190312160415590"</f>
        <v>20190312160415590</v>
      </c>
      <c r="B4077" t="str">
        <f>"1552377855579224"</f>
        <v>1552377855579224</v>
      </c>
      <c r="C4077" t="s">
        <v>40</v>
      </c>
      <c r="D4077">
        <v>4.883832</v>
      </c>
      <c r="E4077">
        <v>0.53490439999999995</v>
      </c>
      <c r="F4077" t="s">
        <v>59</v>
      </c>
      <c r="G4077">
        <v>-182.5823</v>
      </c>
      <c r="H4077" s="1">
        <v>3.0915770000000002E-6</v>
      </c>
      <c r="I4077">
        <v>209.72329999999999</v>
      </c>
      <c r="J4077">
        <v>-242.63910000000001</v>
      </c>
      <c r="K4077">
        <v>1.11026</v>
      </c>
      <c r="L4077">
        <v>213.56720000000001</v>
      </c>
      <c r="M4077">
        <v>0.99975829999999999</v>
      </c>
      <c r="N4077">
        <v>0</v>
      </c>
      <c r="O4077">
        <v>1.687468E-2</v>
      </c>
      <c r="P4077">
        <v>0.99911810000000001</v>
      </c>
      <c r="Q4077">
        <v>3.0912789999999999E-2</v>
      </c>
      <c r="R4077">
        <v>2.8415329999999999E-2</v>
      </c>
      <c r="S4077">
        <v>3.0097960000000001</v>
      </c>
      <c r="T4077">
        <v>-5.5402399999999997E-2</v>
      </c>
      <c r="U4077">
        <v>-0.19158939999999999</v>
      </c>
      <c r="V4077">
        <v>-1.1576410000000001E-2</v>
      </c>
      <c r="W4077">
        <v>4.4986619999999998E-2</v>
      </c>
      <c r="X4077">
        <v>0.99892049999999999</v>
      </c>
      <c r="Y4077">
        <v>8.0343510000000007E-2</v>
      </c>
      <c r="Z4077">
        <v>-1.048986E-3</v>
      </c>
      <c r="AA4077">
        <v>0.99676670000000001</v>
      </c>
      <c r="AB4077">
        <v>34</v>
      </c>
      <c r="AC4077">
        <v>60.056800000000003</v>
      </c>
      <c r="AD4077">
        <v>-1.1102569084230001</v>
      </c>
      <c r="AE4077">
        <v>-3.8439000000000099</v>
      </c>
      <c r="AF4077">
        <v>4.8552399302284801</v>
      </c>
      <c r="AG4077">
        <v>-1.1102569084230001</v>
      </c>
      <c r="AH4077">
        <v>59.962966537468297</v>
      </c>
      <c r="AI4077">
        <v>91.057291359113904</v>
      </c>
      <c r="AJ4077">
        <v>85.370822963007797</v>
      </c>
      <c r="AK4077">
        <v>60.169455549774803</v>
      </c>
      <c r="AL4077">
        <v>87.4215863102215</v>
      </c>
      <c r="AM4077">
        <v>90.663966495648907</v>
      </c>
      <c r="AN4077">
        <v>0.99999998728388095</v>
      </c>
    </row>
    <row r="4078" spans="1:40" x14ac:dyDescent="0.25">
      <c r="A4078" t="str">
        <f>"20190312160415606"</f>
        <v>20190312160415606</v>
      </c>
      <c r="B4078" t="str">
        <f>"1552377855598743"</f>
        <v>1552377855598743</v>
      </c>
      <c r="C4078" t="s">
        <v>40</v>
      </c>
      <c r="D4078">
        <v>4.8179080000000001</v>
      </c>
      <c r="E4078">
        <v>0.53537639999999997</v>
      </c>
      <c r="F4078" t="s">
        <v>59</v>
      </c>
      <c r="G4078">
        <v>-179.95769999999999</v>
      </c>
      <c r="H4078">
        <v>2.2940189999999999E-2</v>
      </c>
      <c r="I4078">
        <v>209.51490000000001</v>
      </c>
      <c r="J4078">
        <v>-242.39230000000001</v>
      </c>
      <c r="K4078">
        <v>1.11026</v>
      </c>
      <c r="L4078">
        <v>213.57149999999999</v>
      </c>
      <c r="M4078">
        <v>0.99975429999999998</v>
      </c>
      <c r="N4078">
        <v>0</v>
      </c>
      <c r="O4078">
        <v>1.7076089999999999E-2</v>
      </c>
      <c r="P4078">
        <v>0.99911470000000002</v>
      </c>
      <c r="Q4078">
        <v>3.096784E-2</v>
      </c>
      <c r="R4078">
        <v>2.8480080000000001E-2</v>
      </c>
      <c r="S4078">
        <v>3.0097960000000001</v>
      </c>
      <c r="T4078">
        <v>-5.2210329999999999E-2</v>
      </c>
      <c r="U4078">
        <v>-0.19458010000000001</v>
      </c>
      <c r="V4078">
        <v>-1.1439650000000001E-2</v>
      </c>
      <c r="W4078">
        <v>4.5090949999999998E-2</v>
      </c>
      <c r="X4078">
        <v>0.99891739999999996</v>
      </c>
      <c r="Y4078">
        <v>8.1532279999999999E-2</v>
      </c>
      <c r="Z4078">
        <v>-1.0023160000000001E-3</v>
      </c>
      <c r="AA4078">
        <v>0.99667019999999995</v>
      </c>
      <c r="AB4078">
        <v>34</v>
      </c>
      <c r="AC4078">
        <v>62.434600000000003</v>
      </c>
      <c r="AD4078">
        <v>-1.0873198100000001</v>
      </c>
      <c r="AE4078">
        <v>-4.0565999999999702</v>
      </c>
      <c r="AF4078">
        <v>5.1207071931852699</v>
      </c>
      <c r="AG4078">
        <v>-1.0873198100000001</v>
      </c>
      <c r="AH4078">
        <v>62.337389908394698</v>
      </c>
      <c r="AI4078">
        <v>90.995926366446795</v>
      </c>
      <c r="AJ4078">
        <v>85.303979751945207</v>
      </c>
      <c r="AK4078">
        <v>62.556806880776698</v>
      </c>
      <c r="AL4078">
        <v>87.415602642870795</v>
      </c>
      <c r="AM4078">
        <v>90.656125333966102</v>
      </c>
      <c r="AN4078">
        <v>1.0000000156933899</v>
      </c>
    </row>
    <row r="4079" spans="1:40" x14ac:dyDescent="0.25">
      <c r="A4079" t="str">
        <f>"20190312160415625"</f>
        <v>20190312160415625</v>
      </c>
      <c r="B4079" t="str">
        <f>"1552377855619241"</f>
        <v>1552377855619241</v>
      </c>
      <c r="C4079" t="s">
        <v>40</v>
      </c>
      <c r="D4079">
        <v>4.8285799999999997</v>
      </c>
      <c r="E4079">
        <v>0.53555980000000003</v>
      </c>
      <c r="F4079" t="s">
        <v>59</v>
      </c>
      <c r="G4079">
        <v>-181.34630000000001</v>
      </c>
      <c r="H4079" s="1">
        <v>2.901919E-6</v>
      </c>
      <c r="I4079">
        <v>209.559</v>
      </c>
      <c r="J4079">
        <v>-242.12889999999999</v>
      </c>
      <c r="K4079">
        <v>1.1102620000000001</v>
      </c>
      <c r="L4079">
        <v>213.5763</v>
      </c>
      <c r="M4079">
        <v>0.99975000000000003</v>
      </c>
      <c r="N4079">
        <v>0</v>
      </c>
      <c r="O4079">
        <v>1.729116E-2</v>
      </c>
      <c r="P4079">
        <v>0.99910860000000001</v>
      </c>
      <c r="Q4079">
        <v>3.114161E-2</v>
      </c>
      <c r="R4079">
        <v>2.850455E-2</v>
      </c>
      <c r="S4079">
        <v>3.0100099999999999</v>
      </c>
      <c r="T4079">
        <v>-5.4743649999999998E-2</v>
      </c>
      <c r="U4079">
        <v>-0.19784550000000001</v>
      </c>
      <c r="V4079">
        <v>-1.124901E-2</v>
      </c>
      <c r="W4079">
        <v>4.5310549999999998E-2</v>
      </c>
      <c r="X4079">
        <v>0.99890959999999995</v>
      </c>
      <c r="Y4079">
        <v>8.2817009999999996E-2</v>
      </c>
      <c r="Z4079">
        <v>-1.0664089999999999E-3</v>
      </c>
      <c r="AA4079">
        <v>0.99656420000000001</v>
      </c>
      <c r="AB4079">
        <v>34</v>
      </c>
      <c r="AC4079">
        <v>60.782599999999903</v>
      </c>
      <c r="AD4079">
        <v>-1.1102590980810001</v>
      </c>
      <c r="AE4079">
        <v>-4.0172999999999703</v>
      </c>
      <c r="AF4079">
        <v>5.0661236019374503</v>
      </c>
      <c r="AG4079">
        <v>-1.1102590980810001</v>
      </c>
      <c r="AH4079">
        <v>60.683881147331</v>
      </c>
      <c r="AI4079">
        <v>91.044521392274305</v>
      </c>
      <c r="AJ4079">
        <v>85.2277943243446</v>
      </c>
      <c r="AK4079">
        <v>60.9051041762377</v>
      </c>
      <c r="AL4079">
        <v>87.403007543698493</v>
      </c>
      <c r="AM4079">
        <v>90.645197076345397</v>
      </c>
      <c r="AN4079">
        <v>0.99999998756972097</v>
      </c>
    </row>
    <row r="4080" spans="1:40" x14ac:dyDescent="0.25">
      <c r="A4080" t="str">
        <f>"20190312160415640"</f>
        <v>20190312160415640</v>
      </c>
      <c r="B4080" t="str">
        <f>"1552377855629000"</f>
        <v>1552377855629000</v>
      </c>
      <c r="C4080" t="s">
        <v>40</v>
      </c>
      <c r="D4080">
        <v>4.8660750000000004</v>
      </c>
      <c r="E4080">
        <v>0.53564299999999998</v>
      </c>
      <c r="F4080" t="s">
        <v>59</v>
      </c>
      <c r="G4080">
        <v>-185.52109999999999</v>
      </c>
      <c r="H4080" s="1">
        <v>3.6033450000000001E-6</v>
      </c>
      <c r="I4080">
        <v>209.8322</v>
      </c>
      <c r="J4080">
        <v>-241.88939999999999</v>
      </c>
      <c r="K4080">
        <v>1.110258</v>
      </c>
      <c r="L4080">
        <v>213.5806</v>
      </c>
      <c r="M4080">
        <v>0.99974600000000002</v>
      </c>
      <c r="N4080">
        <v>0</v>
      </c>
      <c r="O4080">
        <v>1.7487220000000001E-2</v>
      </c>
      <c r="P4080">
        <v>0.99911179999999999</v>
      </c>
      <c r="Q4080">
        <v>3.1074709999999998E-2</v>
      </c>
      <c r="R4080">
        <v>2.8457699999999999E-2</v>
      </c>
      <c r="S4080">
        <v>3.010208</v>
      </c>
      <c r="T4080">
        <v>-5.9039710000000002E-2</v>
      </c>
      <c r="U4080">
        <v>-0.19909669999999999</v>
      </c>
      <c r="V4080">
        <v>-1.100658E-2</v>
      </c>
      <c r="W4080">
        <v>4.5281000000000002E-2</v>
      </c>
      <c r="X4080">
        <v>0.99891359999999996</v>
      </c>
      <c r="Y4080">
        <v>8.3417770000000002E-2</v>
      </c>
      <c r="Z4080">
        <v>-1.1597160000000001E-3</v>
      </c>
      <c r="AA4080">
        <v>0.99651400000000001</v>
      </c>
      <c r="AB4080">
        <v>34</v>
      </c>
      <c r="AC4080">
        <v>56.368299999999998</v>
      </c>
      <c r="AD4080">
        <v>-1.110254396655</v>
      </c>
      <c r="AE4080">
        <v>-3.7484000000000002</v>
      </c>
      <c r="AF4080">
        <v>4.7318235798843702</v>
      </c>
      <c r="AG4080">
        <v>-1.110254396655</v>
      </c>
      <c r="AH4080">
        <v>56.272388353364398</v>
      </c>
      <c r="AI4080">
        <v>91.126325310503105</v>
      </c>
      <c r="AJ4080">
        <v>85.193429097019703</v>
      </c>
      <c r="AK4080">
        <v>56.481895419756398</v>
      </c>
      <c r="AL4080">
        <v>87.404702268219694</v>
      </c>
      <c r="AM4080">
        <v>90.631290895866201</v>
      </c>
      <c r="AN4080">
        <v>0.99999994701462602</v>
      </c>
    </row>
    <row r="4081" spans="1:40" x14ac:dyDescent="0.25">
      <c r="A4081" t="str">
        <f>"20190312160415664"</f>
        <v>20190312160415664</v>
      </c>
      <c r="B4081" t="str">
        <f>"1552377855659256"</f>
        <v>1552377855659256</v>
      </c>
      <c r="C4081" t="s">
        <v>40</v>
      </c>
      <c r="D4081">
        <v>6.8301170000000004</v>
      </c>
      <c r="E4081">
        <v>0.53619910000000004</v>
      </c>
      <c r="F4081" t="s">
        <v>59</v>
      </c>
      <c r="G4081">
        <v>-184.09870000000001</v>
      </c>
      <c r="H4081" s="1">
        <v>3.35931E-6</v>
      </c>
      <c r="I4081">
        <v>209.73750000000001</v>
      </c>
      <c r="J4081">
        <v>-241.5368</v>
      </c>
      <c r="K4081">
        <v>1.1102590000000001</v>
      </c>
      <c r="L4081">
        <v>213.58709999999999</v>
      </c>
      <c r="M4081">
        <v>0.99974010000000002</v>
      </c>
      <c r="N4081">
        <v>0</v>
      </c>
      <c r="O4081">
        <v>1.777546E-2</v>
      </c>
      <c r="P4081">
        <v>0.99910889999999997</v>
      </c>
      <c r="Q4081">
        <v>3.1123899999999999E-2</v>
      </c>
      <c r="R4081">
        <v>2.8517230000000001E-2</v>
      </c>
      <c r="S4081">
        <v>3.0101779999999998</v>
      </c>
      <c r="T4081">
        <v>-5.7830449999999999E-2</v>
      </c>
      <c r="U4081">
        <v>-0.2001801</v>
      </c>
      <c r="V4081">
        <v>-1.0778370000000001E-2</v>
      </c>
      <c r="W4081">
        <v>4.5379139999999998E-2</v>
      </c>
      <c r="X4081">
        <v>0.99891169999999996</v>
      </c>
      <c r="Y4081">
        <v>8.406342E-2</v>
      </c>
      <c r="Z4081">
        <v>-1.1476920000000001E-3</v>
      </c>
      <c r="AA4081">
        <v>0.99645969999999995</v>
      </c>
      <c r="AB4081">
        <v>34</v>
      </c>
      <c r="AC4081">
        <v>57.438099999999899</v>
      </c>
      <c r="AD4081">
        <v>-1.1102556406899999</v>
      </c>
      <c r="AE4081">
        <v>-3.8495999999999801</v>
      </c>
      <c r="AF4081">
        <v>4.8682735245766304</v>
      </c>
      <c r="AG4081">
        <v>-1.1102556406899999</v>
      </c>
      <c r="AH4081">
        <v>57.339259712013998</v>
      </c>
      <c r="AI4081">
        <v>91.105299481679495</v>
      </c>
      <c r="AJ4081">
        <v>85.147056580207803</v>
      </c>
      <c r="AK4081">
        <v>57.556263421278203</v>
      </c>
      <c r="AL4081">
        <v>87.399073643221001</v>
      </c>
      <c r="AM4081">
        <v>90.618203937448797</v>
      </c>
      <c r="AN4081">
        <v>1.0000000120019401</v>
      </c>
    </row>
    <row r="4082" spans="1:40" x14ac:dyDescent="0.25">
      <c r="A4082" t="str">
        <f>"20190312160415686"</f>
        <v>20190312160415686</v>
      </c>
      <c r="B4082" t="str">
        <f>"1552377855678775"</f>
        <v>1552377855678775</v>
      </c>
      <c r="C4082" t="s">
        <v>40</v>
      </c>
      <c r="D4082">
        <v>3.8666049999999998</v>
      </c>
      <c r="E4082">
        <v>0.53619910000000004</v>
      </c>
      <c r="F4082" t="s">
        <v>59</v>
      </c>
      <c r="G4082">
        <v>-179.84809999999999</v>
      </c>
      <c r="H4082">
        <v>8.0004140000000001E-2</v>
      </c>
      <c r="I4082">
        <v>209.40170000000001</v>
      </c>
      <c r="J4082">
        <v>-241.196</v>
      </c>
      <c r="K4082">
        <v>1.110255</v>
      </c>
      <c r="L4082">
        <v>213.5934</v>
      </c>
      <c r="M4082">
        <v>0.99973449999999997</v>
      </c>
      <c r="N4082">
        <v>0</v>
      </c>
      <c r="O4082">
        <v>1.8054290000000001E-2</v>
      </c>
      <c r="P4082">
        <v>0.99910750000000004</v>
      </c>
      <c r="Q4082">
        <v>3.1115509999999999E-2</v>
      </c>
      <c r="R4082">
        <v>2.8563999999999999E-2</v>
      </c>
      <c r="S4082">
        <v>3.0100709999999999</v>
      </c>
      <c r="T4082">
        <v>-5.0270799999999997E-2</v>
      </c>
      <c r="U4082">
        <v>-0.20422360000000001</v>
      </c>
      <c r="V4082">
        <v>-1.054591E-2</v>
      </c>
      <c r="W4082">
        <v>4.5410579999999999E-2</v>
      </c>
      <c r="X4082">
        <v>0.99891280000000005</v>
      </c>
      <c r="Y4082">
        <v>8.5680450000000005E-2</v>
      </c>
      <c r="Z4082">
        <v>-1.0158179999999999E-3</v>
      </c>
      <c r="AA4082">
        <v>0.99632220000000005</v>
      </c>
      <c r="AB4082">
        <v>34</v>
      </c>
      <c r="AC4082">
        <v>61.347900000000003</v>
      </c>
      <c r="AD4082">
        <v>-1.03025086</v>
      </c>
      <c r="AE4082">
        <v>-4.1916999999999902</v>
      </c>
      <c r="AF4082">
        <v>5.2972359469713002</v>
      </c>
      <c r="AG4082">
        <v>-1.03025086</v>
      </c>
      <c r="AH4082">
        <v>61.245020487233703</v>
      </c>
      <c r="AI4082">
        <v>90.960142637080494</v>
      </c>
      <c r="AJ4082">
        <v>85.056646350521802</v>
      </c>
      <c r="AK4082">
        <v>61.482311765206802</v>
      </c>
      <c r="AL4082">
        <v>87.397270528722501</v>
      </c>
      <c r="AM4082">
        <v>90.604871302633597</v>
      </c>
      <c r="AN4082">
        <v>1.0000000594987499</v>
      </c>
    </row>
    <row r="4083" spans="1:40" x14ac:dyDescent="0.25">
      <c r="A4083" t="str">
        <f>"20190312160415807"</f>
        <v>20190312160415807</v>
      </c>
      <c r="B4083" t="str">
        <f>"1552377855798823"</f>
        <v>1552377855798823</v>
      </c>
      <c r="C4083" t="s">
        <v>40</v>
      </c>
      <c r="D4083">
        <v>3.8399649999999999</v>
      </c>
      <c r="E4083">
        <v>0.55770050000000004</v>
      </c>
      <c r="F4083" t="s">
        <v>59</v>
      </c>
      <c r="G4083">
        <v>-179.65780000000001</v>
      </c>
      <c r="H4083">
        <v>8.0004179999999994E-2</v>
      </c>
      <c r="I4083">
        <v>209.42269999999999</v>
      </c>
      <c r="J4083">
        <v>-239.3647</v>
      </c>
      <c r="K4083">
        <v>1.1102810000000001</v>
      </c>
      <c r="L4083">
        <v>213.6292</v>
      </c>
      <c r="M4083">
        <v>0.9997045</v>
      </c>
      <c r="N4083">
        <v>0</v>
      </c>
      <c r="O4083">
        <v>1.9553859999999999E-2</v>
      </c>
      <c r="P4083">
        <v>0.99912250000000002</v>
      </c>
      <c r="Q4083">
        <v>3.0682629999999999E-2</v>
      </c>
      <c r="R4083">
        <v>2.8512849999999999E-2</v>
      </c>
      <c r="S4083">
        <v>3.0100859999999998</v>
      </c>
      <c r="T4083">
        <v>-5.0393819999999999E-2</v>
      </c>
      <c r="U4083">
        <v>-0.20401</v>
      </c>
      <c r="V4083">
        <v>-8.9941810000000004E-3</v>
      </c>
      <c r="W4083">
        <v>4.5108090000000003E-2</v>
      </c>
      <c r="X4083">
        <v>0.99894159999999999</v>
      </c>
      <c r="Y4083">
        <v>8.7103680000000003E-2</v>
      </c>
      <c r="Z4083">
        <v>-1.0552820000000001E-3</v>
      </c>
      <c r="AA4083">
        <v>0.99619869999999999</v>
      </c>
      <c r="AB4083">
        <v>34</v>
      </c>
      <c r="AC4083">
        <v>59.706899999999898</v>
      </c>
      <c r="AD4083">
        <v>-1.0302768200000001</v>
      </c>
      <c r="AE4083">
        <v>-4.2065000000000001</v>
      </c>
      <c r="AF4083">
        <v>5.3717261420180096</v>
      </c>
      <c r="AG4083">
        <v>-1.0302768200000001</v>
      </c>
      <c r="AH4083">
        <v>59.595562843064002</v>
      </c>
      <c r="AI4083">
        <v>90.986421719811304</v>
      </c>
      <c r="AJ4083">
        <v>84.849486379737797</v>
      </c>
      <c r="AK4083">
        <v>59.846035981109502</v>
      </c>
      <c r="AL4083">
        <v>87.414619494529404</v>
      </c>
      <c r="AM4083">
        <v>90.515860673743404</v>
      </c>
      <c r="AN4083">
        <v>0.99999997764293402</v>
      </c>
    </row>
    <row r="4084" spans="1:40" x14ac:dyDescent="0.25">
      <c r="A4084" t="str">
        <f>"20190312160415830"</f>
        <v>20190312160415830</v>
      </c>
      <c r="B4084" t="str">
        <f>"1552377855819320"</f>
        <v>1552377855819320</v>
      </c>
      <c r="C4084" t="s">
        <v>40</v>
      </c>
      <c r="D4084">
        <v>5.4333629999999999</v>
      </c>
      <c r="E4084">
        <v>0.56104790000000004</v>
      </c>
      <c r="F4084" t="s">
        <v>49</v>
      </c>
      <c r="G4084">
        <v>-238.45840000000001</v>
      </c>
      <c r="H4084">
        <v>0.77139880000000005</v>
      </c>
      <c r="I4084">
        <v>213.51499999999999</v>
      </c>
      <c r="J4084">
        <v>-239.02680000000001</v>
      </c>
      <c r="K4084">
        <v>1.1102829999999999</v>
      </c>
      <c r="L4084">
        <v>213.6361</v>
      </c>
      <c r="M4084">
        <v>0.99969889999999995</v>
      </c>
      <c r="N4084">
        <v>0</v>
      </c>
      <c r="O4084">
        <v>1.9830489999999999E-2</v>
      </c>
      <c r="P4084">
        <v>0.99912429999999997</v>
      </c>
      <c r="Q4084">
        <v>3.0696899999999999E-2</v>
      </c>
      <c r="R4084">
        <v>2.8438390000000001E-2</v>
      </c>
      <c r="S4084">
        <v>3.0485989999999998</v>
      </c>
      <c r="T4084">
        <v>-1.13998</v>
      </c>
      <c r="U4084">
        <v>-0.38346859999999999</v>
      </c>
      <c r="V4084">
        <v>-8.6435869999999995E-3</v>
      </c>
      <c r="W4084">
        <v>4.5135250000000002E-2</v>
      </c>
      <c r="X4084">
        <v>0.99894349999999998</v>
      </c>
      <c r="Y4084">
        <v>0.13418939999999999</v>
      </c>
      <c r="Z4084">
        <v>-3.1331909999999998E-2</v>
      </c>
      <c r="AA4084">
        <v>0.99046029999999996</v>
      </c>
      <c r="AB4084">
        <v>34</v>
      </c>
      <c r="AC4084">
        <v>0.56839999999999602</v>
      </c>
      <c r="AD4084">
        <v>-0.33888419999999903</v>
      </c>
      <c r="AE4084">
        <v>-0.121100000000012</v>
      </c>
      <c r="AF4084">
        <v>9.8765818188600696E-2</v>
      </c>
      <c r="AG4084">
        <v>-0.33888419999999903</v>
      </c>
      <c r="AH4084">
        <v>0.42229436868590797</v>
      </c>
      <c r="AI4084">
        <v>128.00395824401099</v>
      </c>
      <c r="AJ4084">
        <v>76.836326848996407</v>
      </c>
      <c r="AK4084">
        <v>0.55039051742915501</v>
      </c>
      <c r="AL4084">
        <v>87.413061836488893</v>
      </c>
      <c r="AM4084">
        <v>90.495752458463201</v>
      </c>
      <c r="AN4084">
        <v>1.0000000092905099</v>
      </c>
    </row>
    <row r="4085" spans="1:40" x14ac:dyDescent="0.25">
      <c r="A4085" t="str">
        <f>"20190312160415852"</f>
        <v>20190312160415852</v>
      </c>
      <c r="B4085" t="str">
        <f>"1552377855849576"</f>
        <v>1552377855849576</v>
      </c>
      <c r="C4085" t="s">
        <v>40</v>
      </c>
      <c r="D4085">
        <v>5.2478429999999996</v>
      </c>
      <c r="E4085">
        <v>0.55423859999999903</v>
      </c>
      <c r="F4085" t="s">
        <v>49</v>
      </c>
      <c r="G4085">
        <v>-238.12870000000001</v>
      </c>
      <c r="H4085">
        <v>0.84306819999999905</v>
      </c>
      <c r="I4085">
        <v>213.5153</v>
      </c>
      <c r="J4085">
        <v>-238.6891</v>
      </c>
      <c r="K4085">
        <v>1.11029</v>
      </c>
      <c r="L4085">
        <v>213.6431</v>
      </c>
      <c r="M4085">
        <v>0.99969319999999895</v>
      </c>
      <c r="N4085">
        <v>0</v>
      </c>
      <c r="O4085">
        <v>2.0107429999999999E-2</v>
      </c>
      <c r="P4085">
        <v>0.99914139999999996</v>
      </c>
      <c r="Q4085">
        <v>3.030072E-2</v>
      </c>
      <c r="R4085">
        <v>2.825511E-2</v>
      </c>
      <c r="S4085">
        <v>3.042084</v>
      </c>
      <c r="T4085">
        <v>-0.90514349999999999</v>
      </c>
      <c r="U4085">
        <v>-0.40882869999999999</v>
      </c>
      <c r="V4085">
        <v>-8.1826360000000001E-3</v>
      </c>
      <c r="W4085">
        <v>4.4750350000000001E-2</v>
      </c>
      <c r="X4085">
        <v>0.99896470000000004</v>
      </c>
      <c r="Y4085">
        <v>0.1460195</v>
      </c>
      <c r="Z4085">
        <v>-2.700698E-2</v>
      </c>
      <c r="AA4085">
        <v>0.98891300000000004</v>
      </c>
      <c r="AB4085">
        <v>34</v>
      </c>
      <c r="AC4085">
        <v>0.56039999999998702</v>
      </c>
      <c r="AD4085">
        <v>-0.26722180000000001</v>
      </c>
      <c r="AE4085">
        <v>-0.12780000000000699</v>
      </c>
      <c r="AF4085">
        <v>0.11433215395235</v>
      </c>
      <c r="AG4085">
        <v>-0.26722180000000001</v>
      </c>
      <c r="AH4085">
        <v>0.45859699462881398</v>
      </c>
      <c r="AI4085">
        <v>119.483307888974</v>
      </c>
      <c r="AJ4085">
        <v>76.001049082041504</v>
      </c>
      <c r="AK4085">
        <v>0.54294616243712901</v>
      </c>
      <c r="AL4085">
        <v>87.435137291198004</v>
      </c>
      <c r="AM4085">
        <v>90.469305895609295</v>
      </c>
      <c r="AN4085">
        <v>1.0000000106015601</v>
      </c>
    </row>
    <row r="4086" spans="1:40" x14ac:dyDescent="0.25">
      <c r="A4086" t="str">
        <f>"20190312160415875"</f>
        <v>20190312160415875</v>
      </c>
      <c r="B4086" t="str">
        <f>"1552377855869098"</f>
        <v>1552377855869098</v>
      </c>
      <c r="C4086" t="s">
        <v>40</v>
      </c>
      <c r="D4086">
        <v>5.0964390000000002</v>
      </c>
      <c r="E4086">
        <v>0.55182769999999903</v>
      </c>
      <c r="F4086" t="s">
        <v>70</v>
      </c>
      <c r="G4086">
        <v>-214.5762</v>
      </c>
      <c r="H4086" s="1">
        <v>1.0630780000000001E-6</v>
      </c>
      <c r="I4086">
        <v>210.85</v>
      </c>
      <c r="J4086">
        <v>-238.34889999999999</v>
      </c>
      <c r="K4086">
        <v>1.1102989999999999</v>
      </c>
      <c r="L4086">
        <v>213.65020000000001</v>
      </c>
      <c r="M4086">
        <v>0.99968749999999995</v>
      </c>
      <c r="N4086">
        <v>0</v>
      </c>
      <c r="O4086">
        <v>2.038599E-2</v>
      </c>
      <c r="P4086">
        <v>0.99911760000000005</v>
      </c>
      <c r="Q4086">
        <v>3.0860200000000001E-2</v>
      </c>
      <c r="R4086">
        <v>2.8499E-2</v>
      </c>
      <c r="S4086">
        <v>3.0166469999999999</v>
      </c>
      <c r="T4086">
        <v>-0.1389032</v>
      </c>
      <c r="U4086">
        <v>-0.34942630000000002</v>
      </c>
      <c r="V4086">
        <v>-8.1486089999999994E-3</v>
      </c>
      <c r="W4086">
        <v>4.531864E-2</v>
      </c>
      <c r="X4086">
        <v>0.99893929999999997</v>
      </c>
      <c r="Y4086">
        <v>0.13512939999999901</v>
      </c>
      <c r="Z4086">
        <v>-4.0344539999999998E-3</v>
      </c>
      <c r="AA4086">
        <v>0.99081980000000003</v>
      </c>
      <c r="AB4086">
        <v>34</v>
      </c>
      <c r="AC4086">
        <v>23.772699999999901</v>
      </c>
      <c r="AD4086">
        <v>-1.1102979369220001</v>
      </c>
      <c r="AE4086">
        <v>-2.80020000000001</v>
      </c>
      <c r="AF4086">
        <v>3.27724776357605</v>
      </c>
      <c r="AG4086">
        <v>-1.1102979369220001</v>
      </c>
      <c r="AH4086">
        <v>23.659764230412399</v>
      </c>
      <c r="AI4086">
        <v>92.661413740934094</v>
      </c>
      <c r="AJ4086">
        <v>82.113818325422301</v>
      </c>
      <c r="AK4086">
        <v>23.911452441273799</v>
      </c>
      <c r="AL4086">
        <v>87.402543451804206</v>
      </c>
      <c r="AM4086">
        <v>90.467366284873407</v>
      </c>
      <c r="AN4086">
        <v>0.99999995202228598</v>
      </c>
    </row>
    <row r="4087" spans="1:40" x14ac:dyDescent="0.25">
      <c r="A4087" t="str">
        <f>"20190312160415898"</f>
        <v>20190312160415898</v>
      </c>
      <c r="B4087" t="str">
        <f>"1552377855888615"</f>
        <v>1552377855888615</v>
      </c>
      <c r="C4087" t="s">
        <v>40</v>
      </c>
      <c r="D4087">
        <v>5.3356750000000002</v>
      </c>
      <c r="E4087">
        <v>0.55965189999999998</v>
      </c>
      <c r="F4087" t="s">
        <v>59</v>
      </c>
      <c r="G4087">
        <v>-179.45779999999999</v>
      </c>
      <c r="H4087">
        <v>8.0003969999999994E-2</v>
      </c>
      <c r="I4087">
        <v>207.22319999999999</v>
      </c>
      <c r="J4087">
        <v>-238.0085</v>
      </c>
      <c r="K4087">
        <v>1.110304</v>
      </c>
      <c r="L4087">
        <v>213.6575</v>
      </c>
      <c r="M4087">
        <v>0.99968170000000001</v>
      </c>
      <c r="N4087">
        <v>0</v>
      </c>
      <c r="O4087">
        <v>2.0665409999999999E-2</v>
      </c>
      <c r="P4087">
        <v>0.99909930000000002</v>
      </c>
      <c r="Q4087">
        <v>3.0764050000000001E-2</v>
      </c>
      <c r="R4087">
        <v>2.9229339999999999E-2</v>
      </c>
      <c r="S4087">
        <v>3.0136259999999999</v>
      </c>
      <c r="T4087">
        <v>-5.272317E-2</v>
      </c>
      <c r="U4087">
        <v>-0.32888790000000001</v>
      </c>
      <c r="V4087">
        <v>-8.6002040000000002E-3</v>
      </c>
      <c r="W4087">
        <v>4.5229079999999998E-2</v>
      </c>
      <c r="X4087">
        <v>0.99893960000000004</v>
      </c>
      <c r="Y4087">
        <v>0.1289893</v>
      </c>
      <c r="Z4087">
        <v>-1.485466E-3</v>
      </c>
      <c r="AA4087">
        <v>0.99164490000000005</v>
      </c>
      <c r="AB4087">
        <v>34</v>
      </c>
      <c r="AC4087">
        <v>58.550699999999999</v>
      </c>
      <c r="AD4087">
        <v>-1.03030003</v>
      </c>
      <c r="AE4087">
        <v>-6.4343000000000004</v>
      </c>
      <c r="AF4087">
        <v>7.6406889354458496</v>
      </c>
      <c r="AG4087">
        <v>-1.03030003</v>
      </c>
      <c r="AH4087">
        <v>58.387348776803201</v>
      </c>
      <c r="AI4087">
        <v>91.002388645641105</v>
      </c>
      <c r="AJ4087">
        <v>82.544521505086905</v>
      </c>
      <c r="AK4087">
        <v>58.894177494418997</v>
      </c>
      <c r="AL4087">
        <v>87.407680198656294</v>
      </c>
      <c r="AM4087">
        <v>90.493266277808701</v>
      </c>
      <c r="AN4087">
        <v>0.99999997881732305</v>
      </c>
    </row>
    <row r="4088" spans="1:40" x14ac:dyDescent="0.25">
      <c r="A4088" t="str">
        <f>"20190312160415919"</f>
        <v>20190312160415919</v>
      </c>
      <c r="B4088" t="str">
        <f>"1552377855909112"</f>
        <v>1552377855909112</v>
      </c>
      <c r="C4088" t="s">
        <v>40</v>
      </c>
      <c r="D4088">
        <v>5.2567170000000001</v>
      </c>
      <c r="E4088">
        <v>0.56164040000000004</v>
      </c>
      <c r="F4088" t="s">
        <v>59</v>
      </c>
      <c r="G4088">
        <v>-205.2336</v>
      </c>
      <c r="H4088">
        <v>8.0001559999999999E-2</v>
      </c>
      <c r="I4088">
        <v>209.42509999999999</v>
      </c>
      <c r="J4088">
        <v>-237.6876</v>
      </c>
      <c r="K4088">
        <v>1.110309</v>
      </c>
      <c r="L4088">
        <v>213.6644</v>
      </c>
      <c r="M4088">
        <v>0.99967609999999996</v>
      </c>
      <c r="N4088">
        <v>0</v>
      </c>
      <c r="O4088">
        <v>2.0928740000000001E-2</v>
      </c>
      <c r="P4088">
        <v>0.99907789999999996</v>
      </c>
      <c r="Q4088">
        <v>3.0984910000000001E-2</v>
      </c>
      <c r="R4088">
        <v>2.973195E-2</v>
      </c>
      <c r="S4088">
        <v>3.0170140000000001</v>
      </c>
      <c r="T4088">
        <v>-9.4841960000000003E-2</v>
      </c>
      <c r="U4088">
        <v>-0.38960270000000002</v>
      </c>
      <c r="V4088">
        <v>-8.8397089999999994E-3</v>
      </c>
      <c r="W4088">
        <v>4.5454880000000003E-2</v>
      </c>
      <c r="X4088">
        <v>0.99892729999999996</v>
      </c>
      <c r="Y4088">
        <v>0.14871980000000001</v>
      </c>
      <c r="Z4088">
        <v>-2.9826060000000001E-3</v>
      </c>
      <c r="AA4088">
        <v>0.9888749</v>
      </c>
      <c r="AB4088">
        <v>33</v>
      </c>
      <c r="AC4088">
        <v>32.454000000000001</v>
      </c>
      <c r="AD4088">
        <v>-1.0303074400000001</v>
      </c>
      <c r="AE4088">
        <v>-4.2393000000000098</v>
      </c>
      <c r="AF4088">
        <v>4.9127955122008302</v>
      </c>
      <c r="AG4088">
        <v>-1.0303074400000001</v>
      </c>
      <c r="AH4088">
        <v>32.326124195482201</v>
      </c>
      <c r="AI4088">
        <v>91.804819650409399</v>
      </c>
      <c r="AJ4088">
        <v>81.358540671204906</v>
      </c>
      <c r="AK4088">
        <v>32.713535404589898</v>
      </c>
      <c r="AL4088">
        <v>87.394729595632398</v>
      </c>
      <c r="AM4088">
        <v>90.507008666152103</v>
      </c>
      <c r="AN4088">
        <v>1.0000000186281499</v>
      </c>
    </row>
    <row r="4089" spans="1:40" x14ac:dyDescent="0.25">
      <c r="A4089" t="str">
        <f>"20190312160415942"</f>
        <v>20190312160415942</v>
      </c>
      <c r="B4089" t="str">
        <f>"1552377855928631"</f>
        <v>1552377855928631</v>
      </c>
      <c r="C4089" t="s">
        <v>40</v>
      </c>
      <c r="D4089">
        <v>5.2351349999999996</v>
      </c>
      <c r="E4089">
        <v>0.56163229999999997</v>
      </c>
      <c r="F4089" t="s">
        <v>59</v>
      </c>
      <c r="G4089">
        <v>-208.37649999999999</v>
      </c>
      <c r="H4089" s="1">
        <v>6.3578000000000004E-6</v>
      </c>
      <c r="I4089">
        <v>209.7413</v>
      </c>
      <c r="J4089">
        <v>-237.35919999999999</v>
      </c>
      <c r="K4089">
        <v>1.1103130000000001</v>
      </c>
      <c r="L4089">
        <v>213.67150000000001</v>
      </c>
      <c r="M4089">
        <v>0.99967030000000001</v>
      </c>
      <c r="N4089">
        <v>0</v>
      </c>
      <c r="O4089">
        <v>2.119822E-2</v>
      </c>
      <c r="P4089">
        <v>0.99907520000000005</v>
      </c>
      <c r="Q4089">
        <v>3.058044E-2</v>
      </c>
      <c r="R4089">
        <v>3.0230980000000001E-2</v>
      </c>
      <c r="S4089">
        <v>3.0183110000000002</v>
      </c>
      <c r="T4089">
        <v>-0.1143333</v>
      </c>
      <c r="U4089">
        <v>-0.40397640000000001</v>
      </c>
      <c r="V4089">
        <v>-9.0689859999999994E-3</v>
      </c>
      <c r="W4089">
        <v>4.5054749999999998E-2</v>
      </c>
      <c r="X4089">
        <v>0.99894329999999998</v>
      </c>
      <c r="Y4089">
        <v>0.15351899999999999</v>
      </c>
      <c r="Z4089">
        <v>-3.6931720000000002E-3</v>
      </c>
      <c r="AA4089">
        <v>0.98813879999999998</v>
      </c>
      <c r="AB4089">
        <v>33</v>
      </c>
      <c r="AC4089">
        <v>28.982699999999902</v>
      </c>
      <c r="AD4089">
        <v>-1.1103066422000001</v>
      </c>
      <c r="AE4089">
        <v>-3.9302000000000099</v>
      </c>
      <c r="AF4089">
        <v>4.5372242163758703</v>
      </c>
      <c r="AG4089">
        <v>-1.1103066422000001</v>
      </c>
      <c r="AH4089">
        <v>28.851286375583602</v>
      </c>
      <c r="AI4089">
        <v>92.177139503177003</v>
      </c>
      <c r="AJ4089">
        <v>81.062722529147607</v>
      </c>
      <c r="AK4089">
        <v>29.2269723022299</v>
      </c>
      <c r="AL4089">
        <v>87.417678682110505</v>
      </c>
      <c r="AM4089">
        <v>90.520149989813206</v>
      </c>
      <c r="AN4089">
        <v>0.99999994680975801</v>
      </c>
    </row>
    <row r="4090" spans="1:40" x14ac:dyDescent="0.25">
      <c r="A4090" t="str">
        <f>"20190312160415964"</f>
        <v>20190312160415964</v>
      </c>
      <c r="B4090" t="str">
        <f>"1552377855958899"</f>
        <v>1552377855958899</v>
      </c>
      <c r="C4090" t="s">
        <v>40</v>
      </c>
      <c r="D4090">
        <v>5.2805390000000001</v>
      </c>
      <c r="E4090">
        <v>0.5616061</v>
      </c>
      <c r="F4090" t="s">
        <v>70</v>
      </c>
      <c r="G4090">
        <v>-210.6841</v>
      </c>
      <c r="H4090" s="1">
        <v>-9.760120999999999E-7</v>
      </c>
      <c r="I4090">
        <v>210.11609999999999</v>
      </c>
      <c r="J4090">
        <v>-237.01750000000001</v>
      </c>
      <c r="K4090">
        <v>1.110314</v>
      </c>
      <c r="L4090">
        <v>213.67910000000001</v>
      </c>
      <c r="M4090">
        <v>0.99966440000000001</v>
      </c>
      <c r="N4090">
        <v>0</v>
      </c>
      <c r="O4090">
        <v>2.1478730000000001E-2</v>
      </c>
      <c r="P4090">
        <v>0.99907610000000002</v>
      </c>
      <c r="Q4090">
        <v>3.0575979999999999E-2</v>
      </c>
      <c r="R4090">
        <v>3.0209529999999998E-2</v>
      </c>
      <c r="S4090">
        <v>3.018799</v>
      </c>
      <c r="T4090">
        <v>-0.1256534</v>
      </c>
      <c r="U4090">
        <v>-0.40235900000000002</v>
      </c>
      <c r="V4090">
        <v>-8.7669900000000005E-3</v>
      </c>
      <c r="W4090">
        <v>4.5053309999999999E-2</v>
      </c>
      <c r="X4090">
        <v>0.99894609999999995</v>
      </c>
      <c r="Y4090">
        <v>0.15322959999999999</v>
      </c>
      <c r="Z4090">
        <v>-4.0636580000000004E-3</v>
      </c>
      <c r="AA4090">
        <v>0.98818220000000001</v>
      </c>
      <c r="AB4090">
        <v>33</v>
      </c>
      <c r="AC4090">
        <v>26.333400000000001</v>
      </c>
      <c r="AD4090">
        <v>-1.1103149760121001</v>
      </c>
      <c r="AE4090">
        <v>-3.5630000000000099</v>
      </c>
      <c r="AF4090">
        <v>4.1206512587428303</v>
      </c>
      <c r="AG4090">
        <v>-1.1103149760121001</v>
      </c>
      <c r="AH4090">
        <v>26.205037699207399</v>
      </c>
      <c r="AI4090">
        <v>92.396771540371702</v>
      </c>
      <c r="AJ4090">
        <v>81.063613096141793</v>
      </c>
      <c r="AK4090">
        <v>26.550264913160799</v>
      </c>
      <c r="AL4090">
        <v>87.417761372602797</v>
      </c>
      <c r="AM4090">
        <v>90.502828561240904</v>
      </c>
      <c r="AN4090">
        <v>0.99999998578041205</v>
      </c>
    </row>
    <row r="4091" spans="1:40" x14ac:dyDescent="0.25">
      <c r="A4091" t="str">
        <f>"20190312160415987"</f>
        <v>20190312160415987</v>
      </c>
      <c r="B4091" t="str">
        <f>"1552377855979384"</f>
        <v>1552377855979384</v>
      </c>
      <c r="C4091" t="s">
        <v>40</v>
      </c>
      <c r="D4091">
        <v>5.2613300000000001</v>
      </c>
      <c r="E4091">
        <v>0.56134869999999903</v>
      </c>
      <c r="F4091" t="s">
        <v>70</v>
      </c>
      <c r="G4091">
        <v>-211.73830000000001</v>
      </c>
      <c r="H4091" s="1">
        <v>-4.235487E-7</v>
      </c>
      <c r="I4091">
        <v>210.31059999999999</v>
      </c>
      <c r="J4091">
        <v>-236.68109999999999</v>
      </c>
      <c r="K4091">
        <v>1.1103190000000001</v>
      </c>
      <c r="L4091">
        <v>213.6866</v>
      </c>
      <c r="M4091">
        <v>0.9996583</v>
      </c>
      <c r="N4091">
        <v>0</v>
      </c>
      <c r="O4091">
        <v>2.1755130000000001E-2</v>
      </c>
      <c r="P4091">
        <v>0.9990521</v>
      </c>
      <c r="Q4091">
        <v>3.0950869999999998E-2</v>
      </c>
      <c r="R4091">
        <v>3.061295E-2</v>
      </c>
      <c r="S4091">
        <v>3.019012</v>
      </c>
      <c r="T4091">
        <v>-0.1326011</v>
      </c>
      <c r="U4091">
        <v>-0.40228269999999999</v>
      </c>
      <c r="V4091">
        <v>-8.8949709999999998E-3</v>
      </c>
      <c r="W4091">
        <v>4.5430100000000001E-2</v>
      </c>
      <c r="X4091">
        <v>0.99892789999999998</v>
      </c>
      <c r="Y4091">
        <v>0.153451799999999</v>
      </c>
      <c r="Z4091">
        <v>-4.3047909999999997E-3</v>
      </c>
      <c r="AA4091">
        <v>0.98814679999999999</v>
      </c>
      <c r="AB4091">
        <v>33</v>
      </c>
      <c r="AC4091">
        <v>24.942799999999899</v>
      </c>
      <c r="AD4091">
        <v>-1.1103194235486999</v>
      </c>
      <c r="AE4091">
        <v>-3.3759999999999999</v>
      </c>
      <c r="AF4091">
        <v>3.9102826385420602</v>
      </c>
      <c r="AG4091">
        <v>-1.1103194235486999</v>
      </c>
      <c r="AH4091">
        <v>24.8151545882737</v>
      </c>
      <c r="AI4091">
        <v>92.530725522239095</v>
      </c>
      <c r="AJ4091">
        <v>81.045170150593705</v>
      </c>
      <c r="AK4091">
        <v>25.145874746675901</v>
      </c>
      <c r="AL4091">
        <v>87.3961507576646</v>
      </c>
      <c r="AM4091">
        <v>90.510177789467804</v>
      </c>
      <c r="AN4091">
        <v>0.99999998194675499</v>
      </c>
    </row>
    <row r="4092" spans="1:40" x14ac:dyDescent="0.25">
      <c r="A4092" t="str">
        <f>"20190312160416008"</f>
        <v>20190312160416008</v>
      </c>
      <c r="B4092" t="str">
        <f>"1552377855998905"</f>
        <v>1552377855998905</v>
      </c>
      <c r="C4092" t="s">
        <v>40</v>
      </c>
      <c r="D4092">
        <v>5.2102050000000002</v>
      </c>
      <c r="E4092">
        <v>0.56030979999999997</v>
      </c>
      <c r="F4092" t="s">
        <v>70</v>
      </c>
      <c r="G4092">
        <v>-212.4478</v>
      </c>
      <c r="H4092" s="1">
        <v>-5.3520909999999998E-8</v>
      </c>
      <c r="I4092">
        <v>210.4829</v>
      </c>
      <c r="J4092">
        <v>-236.3621</v>
      </c>
      <c r="K4092">
        <v>1.110325</v>
      </c>
      <c r="L4092">
        <v>213.69380000000001</v>
      </c>
      <c r="M4092">
        <v>0.9996526</v>
      </c>
      <c r="N4092">
        <v>0</v>
      </c>
      <c r="O4092">
        <v>2.2017060000000001E-2</v>
      </c>
      <c r="P4092">
        <v>0.99905790000000005</v>
      </c>
      <c r="Q4092">
        <v>3.0705739999999999E-2</v>
      </c>
      <c r="R4092">
        <v>3.0667449999999999E-2</v>
      </c>
      <c r="S4092">
        <v>3.0193629999999998</v>
      </c>
      <c r="T4092">
        <v>-0.13834089999999999</v>
      </c>
      <c r="U4092">
        <v>-0.39916990000000002</v>
      </c>
      <c r="V4092">
        <v>-8.6869119999999998E-3</v>
      </c>
      <c r="W4092">
        <v>4.5187169999999999E-2</v>
      </c>
      <c r="X4092">
        <v>0.99894079999999996</v>
      </c>
      <c r="Y4092">
        <v>0.15268039999999999</v>
      </c>
      <c r="Z4092">
        <v>-4.4850879999999999E-3</v>
      </c>
      <c r="AA4092">
        <v>0.98826550000000002</v>
      </c>
      <c r="AB4092">
        <v>33</v>
      </c>
      <c r="AC4092">
        <v>23.914300000000001</v>
      </c>
      <c r="AD4092">
        <v>-1.1103250535209099</v>
      </c>
      <c r="AE4092">
        <v>-3.2109000000000001</v>
      </c>
      <c r="AF4092">
        <v>3.7288035743812902</v>
      </c>
      <c r="AG4092">
        <v>-1.1103250535209099</v>
      </c>
      <c r="AH4092">
        <v>23.787429731630201</v>
      </c>
      <c r="AI4092">
        <v>92.6402582789608</v>
      </c>
      <c r="AJ4092">
        <v>81.091086411335098</v>
      </c>
      <c r="AK4092">
        <v>24.103497900886499</v>
      </c>
      <c r="AL4092">
        <v>87.410084061128202</v>
      </c>
      <c r="AM4092">
        <v>90.498238583106598</v>
      </c>
      <c r="AN4092">
        <v>1.00000003233867</v>
      </c>
    </row>
    <row r="4093" spans="1:40" x14ac:dyDescent="0.25">
      <c r="A4093" t="str">
        <f>"20190312160416031"</f>
        <v>20190312160416031</v>
      </c>
      <c r="B4093" t="str">
        <f>"1552377856019400"</f>
        <v>1552377856019400</v>
      </c>
      <c r="C4093" t="s">
        <v>40</v>
      </c>
      <c r="D4093">
        <v>5.4000339999999998</v>
      </c>
      <c r="E4093">
        <v>0.55991409999999997</v>
      </c>
      <c r="F4093" t="s">
        <v>70</v>
      </c>
      <c r="G4093">
        <v>-211.7345</v>
      </c>
      <c r="H4093" s="1">
        <v>-4.3411159999999999E-7</v>
      </c>
      <c r="I4093">
        <v>210.50630000000001</v>
      </c>
      <c r="J4093">
        <v>-236.02969999999999</v>
      </c>
      <c r="K4093">
        <v>1.1103240000000001</v>
      </c>
      <c r="L4093">
        <v>213.70140000000001</v>
      </c>
      <c r="M4093">
        <v>0.99964649999999999</v>
      </c>
      <c r="N4093">
        <v>0</v>
      </c>
      <c r="O4093">
        <v>2.2289900000000001E-2</v>
      </c>
      <c r="P4093">
        <v>0.9990966</v>
      </c>
      <c r="Q4093">
        <v>2.9835649999999998E-2</v>
      </c>
      <c r="R4093">
        <v>3.0262440000000002E-2</v>
      </c>
      <c r="S4093">
        <v>3.019028</v>
      </c>
      <c r="T4093">
        <v>-0.13611180000000001</v>
      </c>
      <c r="U4093">
        <v>-0.39074710000000001</v>
      </c>
      <c r="V4093">
        <v>-8.0074959999999994E-3</v>
      </c>
      <c r="W4093">
        <v>4.431877E-2</v>
      </c>
      <c r="X4093">
        <v>0.99898540000000002</v>
      </c>
      <c r="Y4093">
        <v>0.1502609</v>
      </c>
      <c r="Z4093">
        <v>-4.3721309999999996E-3</v>
      </c>
      <c r="AA4093">
        <v>0.98863670000000003</v>
      </c>
      <c r="AB4093">
        <v>33</v>
      </c>
      <c r="AC4093">
        <v>24.295199999999902</v>
      </c>
      <c r="AD4093">
        <v>-1.1103244341116001</v>
      </c>
      <c r="AE4093">
        <v>-3.1950999999999898</v>
      </c>
      <c r="AF4093">
        <v>3.7282459751501502</v>
      </c>
      <c r="AG4093">
        <v>-1.1103244341116001</v>
      </c>
      <c r="AH4093">
        <v>24.1683164682089</v>
      </c>
      <c r="AI4093">
        <v>92.599687220974701</v>
      </c>
      <c r="AJ4093">
        <v>81.230579743887503</v>
      </c>
      <c r="AK4093">
        <v>24.4793823310088</v>
      </c>
      <c r="AL4093">
        <v>87.459889665432101</v>
      </c>
      <c r="AM4093">
        <v>90.459251856658994</v>
      </c>
      <c r="AN4093">
        <v>1.0000000513898299</v>
      </c>
    </row>
    <row r="4094" spans="1:40" x14ac:dyDescent="0.25">
      <c r="A4094" t="str">
        <f>"20190312160416065"</f>
        <v>20190312160416065</v>
      </c>
      <c r="B4094" t="str">
        <f>"1552377856058535"</f>
        <v>1552377856058535</v>
      </c>
      <c r="C4094" t="s">
        <v>40</v>
      </c>
      <c r="D4094">
        <v>5.2889339999999896</v>
      </c>
      <c r="E4094">
        <v>0.5596797</v>
      </c>
      <c r="F4094" t="s">
        <v>70</v>
      </c>
      <c r="G4094">
        <v>-212.2216</v>
      </c>
      <c r="H4094" s="1">
        <v>-1.805194E-7</v>
      </c>
      <c r="I4094">
        <v>210.63499999999999</v>
      </c>
      <c r="J4094">
        <v>-235.52029999999999</v>
      </c>
      <c r="K4094">
        <v>1.110328</v>
      </c>
      <c r="L4094">
        <v>213.7133</v>
      </c>
      <c r="M4094">
        <v>0.999637</v>
      </c>
      <c r="N4094">
        <v>0</v>
      </c>
      <c r="O4094">
        <v>2.2708530000000001E-2</v>
      </c>
      <c r="P4094">
        <v>0.99911050000000001</v>
      </c>
      <c r="Q4094">
        <v>2.94384E-2</v>
      </c>
      <c r="R4094">
        <v>3.019544E-2</v>
      </c>
      <c r="S4094">
        <v>3.0186920000000002</v>
      </c>
      <c r="T4094">
        <v>-0.14078089999999999</v>
      </c>
      <c r="U4094">
        <v>-0.38879390000000003</v>
      </c>
      <c r="V4094">
        <v>-7.52127099999999E-3</v>
      </c>
      <c r="W4094">
        <v>4.3922419999999997E-2</v>
      </c>
      <c r="X4094">
        <v>0.99900659999999997</v>
      </c>
      <c r="Y4094">
        <v>0.1500474</v>
      </c>
      <c r="Z4094">
        <v>-4.537124E-3</v>
      </c>
      <c r="AA4094">
        <v>0.9886684</v>
      </c>
      <c r="AB4094">
        <v>33</v>
      </c>
      <c r="AC4094">
        <v>23.2987</v>
      </c>
      <c r="AD4094">
        <v>-1.1103281805193901</v>
      </c>
      <c r="AE4094">
        <v>-3.0783000000000098</v>
      </c>
      <c r="AF4094">
        <v>3.5986082313091101</v>
      </c>
      <c r="AG4094">
        <v>-1.1103281805193901</v>
      </c>
      <c r="AH4094">
        <v>23.171058351230801</v>
      </c>
      <c r="AI4094">
        <v>92.710993229794298</v>
      </c>
      <c r="AJ4094">
        <v>81.172137356201105</v>
      </c>
      <c r="AK4094">
        <v>23.4751092646455</v>
      </c>
      <c r="AL4094">
        <v>87.482620771205802</v>
      </c>
      <c r="AM4094">
        <v>90.431357453508895</v>
      </c>
      <c r="AN4094">
        <v>0.99999996766983501</v>
      </c>
    </row>
    <row r="4095" spans="1:40" x14ac:dyDescent="0.25">
      <c r="A4095" t="str">
        <f>"20190312160416088"</f>
        <v>20190312160416088</v>
      </c>
      <c r="B4095" t="str">
        <f>"1552377856079027"</f>
        <v>1552377856079027</v>
      </c>
      <c r="C4095" t="s">
        <v>40</v>
      </c>
      <c r="D4095">
        <v>5.3953439999999997</v>
      </c>
      <c r="E4095">
        <v>0.55951830000000002</v>
      </c>
      <c r="F4095" t="s">
        <v>70</v>
      </c>
      <c r="G4095">
        <v>-211.8492</v>
      </c>
      <c r="H4095" s="1">
        <v>-3.8065639999999999E-7</v>
      </c>
      <c r="I4095">
        <v>210.67959999999999</v>
      </c>
      <c r="J4095">
        <v>-235.19470000000001</v>
      </c>
      <c r="K4095">
        <v>1.110328</v>
      </c>
      <c r="L4095">
        <v>213.7209</v>
      </c>
      <c r="M4095">
        <v>0.99963080000000004</v>
      </c>
      <c r="N4095">
        <v>0</v>
      </c>
      <c r="O4095">
        <v>2.297565E-2</v>
      </c>
      <c r="P4095">
        <v>0.99910160000000003</v>
      </c>
      <c r="Q4095">
        <v>2.9853950000000001E-2</v>
      </c>
      <c r="R4095">
        <v>3.0079990000000001E-2</v>
      </c>
      <c r="S4095">
        <v>3.0185240000000002</v>
      </c>
      <c r="T4095">
        <v>-0.1415884</v>
      </c>
      <c r="U4095">
        <v>-0.38685609999999998</v>
      </c>
      <c r="V4095">
        <v>-7.1390960000000002E-3</v>
      </c>
      <c r="W4095">
        <v>4.4337340000000003E-2</v>
      </c>
      <c r="X4095">
        <v>0.99899110000000002</v>
      </c>
      <c r="Y4095">
        <v>0.14969209999999999</v>
      </c>
      <c r="Z4095">
        <v>-4.5677399999999998E-3</v>
      </c>
      <c r="AA4095">
        <v>0.98872210000000005</v>
      </c>
      <c r="AB4095">
        <v>33</v>
      </c>
      <c r="AC4095">
        <v>23.345500000000001</v>
      </c>
      <c r="AD4095">
        <v>-1.1103283806563999</v>
      </c>
      <c r="AE4095">
        <v>-3.0413000000000001</v>
      </c>
      <c r="AF4095">
        <v>3.5689930610910499</v>
      </c>
      <c r="AG4095">
        <v>-1.1103283806563999</v>
      </c>
      <c r="AH4095">
        <v>23.217810154191302</v>
      </c>
      <c r="AI4095">
        <v>92.706190518922895</v>
      </c>
      <c r="AJ4095">
        <v>81.261016274305703</v>
      </c>
      <c r="AK4095">
        <v>23.5167440122793</v>
      </c>
      <c r="AL4095">
        <v>87.458824485316498</v>
      </c>
      <c r="AM4095">
        <v>90.409446197637905</v>
      </c>
      <c r="AN4095">
        <v>0.99999999214459101</v>
      </c>
    </row>
    <row r="4096" spans="1:40" x14ac:dyDescent="0.25">
      <c r="A4096" t="str">
        <f>"20190312160416109"</f>
        <v>20190312160416109</v>
      </c>
      <c r="B4096" t="str">
        <f>"1552377856098547"</f>
        <v>1552377856098547</v>
      </c>
      <c r="C4096" t="s">
        <v>40</v>
      </c>
      <c r="D4096">
        <v>5.8627469999999997</v>
      </c>
      <c r="E4096">
        <v>0.559612</v>
      </c>
      <c r="F4096" t="s">
        <v>70</v>
      </c>
      <c r="G4096">
        <v>-210.73179999999999</v>
      </c>
      <c r="H4096" s="1">
        <v>-9.7146880000000004E-7</v>
      </c>
      <c r="I4096">
        <v>210.59289999999999</v>
      </c>
      <c r="J4096">
        <v>-234.87180000000001</v>
      </c>
      <c r="K4096">
        <v>1.1103289999999999</v>
      </c>
      <c r="L4096">
        <v>213.7286</v>
      </c>
      <c r="M4096">
        <v>0.99962490000000004</v>
      </c>
      <c r="N4096">
        <v>0</v>
      </c>
      <c r="O4096">
        <v>2.3239550000000001E-2</v>
      </c>
      <c r="P4096">
        <v>0.99910030000000005</v>
      </c>
      <c r="Q4096">
        <v>2.998201E-2</v>
      </c>
      <c r="R4096">
        <v>2.9995069999999999E-2</v>
      </c>
      <c r="S4096">
        <v>3.0184479999999998</v>
      </c>
      <c r="T4096">
        <v>-0.1370026</v>
      </c>
      <c r="U4096">
        <v>-0.38597110000000001</v>
      </c>
      <c r="V4096">
        <v>-6.7903640000000001E-3</v>
      </c>
      <c r="W4096">
        <v>4.4464530000000002E-2</v>
      </c>
      <c r="X4096">
        <v>0.99898790000000004</v>
      </c>
      <c r="Y4096">
        <v>0.1496827</v>
      </c>
      <c r="Z4096">
        <v>-4.4318609999999996E-3</v>
      </c>
      <c r="AA4096">
        <v>0.98872420000000005</v>
      </c>
      <c r="AB4096">
        <v>33</v>
      </c>
      <c r="AC4096">
        <v>24.14</v>
      </c>
      <c r="AD4096">
        <v>-1.1103299714688</v>
      </c>
      <c r="AE4096">
        <v>-3.1357000000000101</v>
      </c>
      <c r="AF4096">
        <v>3.68824129537825</v>
      </c>
      <c r="AG4096">
        <v>-1.1103299714688</v>
      </c>
      <c r="AH4096">
        <v>24.010645528498401</v>
      </c>
      <c r="AI4096">
        <v>92.617004645718396</v>
      </c>
      <c r="AJ4096">
        <v>81.267135157799999</v>
      </c>
      <c r="AK4096">
        <v>24.317628486217</v>
      </c>
      <c r="AL4096">
        <v>87.451529896525003</v>
      </c>
      <c r="AM4096">
        <v>90.389447366564994</v>
      </c>
      <c r="AN4096">
        <v>1.00000001390889</v>
      </c>
    </row>
    <row r="4097" spans="1:40" x14ac:dyDescent="0.25">
      <c r="A4097" t="str">
        <f>"20190312160416132"</f>
        <v>20190312160416132</v>
      </c>
      <c r="B4097" t="str">
        <f>"1552377856128804"</f>
        <v>1552377856128804</v>
      </c>
      <c r="C4097" t="s">
        <v>40</v>
      </c>
      <c r="D4097">
        <v>5.3959590000000004</v>
      </c>
      <c r="E4097">
        <v>0.559724</v>
      </c>
      <c r="F4097" t="s">
        <v>70</v>
      </c>
      <c r="G4097">
        <v>-210.20869999999999</v>
      </c>
      <c r="H4097" s="1">
        <v>-1.2487880000000001E-6</v>
      </c>
      <c r="I4097">
        <v>210.56790000000001</v>
      </c>
      <c r="J4097">
        <v>-234.53659999999999</v>
      </c>
      <c r="K4097">
        <v>1.110328</v>
      </c>
      <c r="L4097">
        <v>213.73670000000001</v>
      </c>
      <c r="M4097">
        <v>0.99961860000000002</v>
      </c>
      <c r="N4097">
        <v>0</v>
      </c>
      <c r="O4097">
        <v>2.3512930000000001E-2</v>
      </c>
      <c r="P4097">
        <v>0.99912230000000002</v>
      </c>
      <c r="Q4097">
        <v>2.9874020000000001E-2</v>
      </c>
      <c r="R4097">
        <v>2.9366320000000001E-2</v>
      </c>
      <c r="S4097">
        <v>3.0183719999999998</v>
      </c>
      <c r="T4097">
        <v>-0.1358868</v>
      </c>
      <c r="U4097">
        <v>-0.38682559999999999</v>
      </c>
      <c r="V4097">
        <v>-5.8876980000000002E-3</v>
      </c>
      <c r="W4097">
        <v>4.4355930000000002E-2</v>
      </c>
      <c r="X4097">
        <v>0.99899850000000001</v>
      </c>
      <c r="Y4097">
        <v>0.15023359999999999</v>
      </c>
      <c r="Z4097">
        <v>-4.4204400000000003E-3</v>
      </c>
      <c r="AA4097">
        <v>0.98864070000000004</v>
      </c>
      <c r="AB4097">
        <v>33</v>
      </c>
      <c r="AC4097">
        <v>24.3279</v>
      </c>
      <c r="AD4097">
        <v>-1.1103292487880001</v>
      </c>
      <c r="AE4097">
        <v>-3.1688000000000001</v>
      </c>
      <c r="AF4097">
        <v>3.73235907936464</v>
      </c>
      <c r="AG4097">
        <v>-1.1103292487880001</v>
      </c>
      <c r="AH4097">
        <v>24.1970948743683</v>
      </c>
      <c r="AI4097">
        <v>92.596616073913694</v>
      </c>
      <c r="AJ4097">
        <v>81.231334430161894</v>
      </c>
      <c r="AK4097">
        <v>24.5084217300342</v>
      </c>
      <c r="AL4097">
        <v>87.457758476052803</v>
      </c>
      <c r="AM4097">
        <v>90.337674521777998</v>
      </c>
      <c r="AN4097">
        <v>1.0000000582580699</v>
      </c>
    </row>
    <row r="4098" spans="1:40" x14ac:dyDescent="0.25">
      <c r="A4098" t="str">
        <f>"20190312160416154"</f>
        <v>20190312160416154</v>
      </c>
      <c r="B4098" t="str">
        <f>"1552377856149299"</f>
        <v>1552377856149299</v>
      </c>
      <c r="C4098" t="s">
        <v>40</v>
      </c>
      <c r="D4098">
        <v>5.4454209999999996</v>
      </c>
      <c r="E4098">
        <v>0.55990359999999995</v>
      </c>
      <c r="F4098" t="s">
        <v>59</v>
      </c>
      <c r="G4098">
        <v>-209.42070000000001</v>
      </c>
      <c r="H4098" s="1">
        <v>6.7550690000000001E-6</v>
      </c>
      <c r="I4098">
        <v>210.494</v>
      </c>
      <c r="J4098">
        <v>-234.2106</v>
      </c>
      <c r="K4098">
        <v>1.1103240000000001</v>
      </c>
      <c r="L4098">
        <v>213.74469999999999</v>
      </c>
      <c r="M4098">
        <v>0.99961219999999995</v>
      </c>
      <c r="N4098">
        <v>0</v>
      </c>
      <c r="O4098">
        <v>2.377845E-2</v>
      </c>
      <c r="P4098">
        <v>0.99910220000000005</v>
      </c>
      <c r="Q4098">
        <v>3.018742E-2</v>
      </c>
      <c r="R4098">
        <v>2.9725649999999999E-2</v>
      </c>
      <c r="S4098">
        <v>3.0180820000000002</v>
      </c>
      <c r="T4098">
        <v>-0.13342319999999999</v>
      </c>
      <c r="U4098">
        <v>-0.3896637</v>
      </c>
      <c r="V4098">
        <v>-5.9819340000000004E-3</v>
      </c>
      <c r="W4098">
        <v>4.4667459999999999E-2</v>
      </c>
      <c r="X4098">
        <v>0.99898399999999998</v>
      </c>
      <c r="Y4098">
        <v>0.15142749999999999</v>
      </c>
      <c r="Z4098">
        <v>-4.3784920000000003E-3</v>
      </c>
      <c r="AA4098">
        <v>0.98845870000000002</v>
      </c>
      <c r="AB4098">
        <v>33</v>
      </c>
      <c r="AC4098">
        <v>24.7898999999999</v>
      </c>
      <c r="AD4098">
        <v>-1.1103172449309999</v>
      </c>
      <c r="AE4098">
        <v>-3.2506999999999602</v>
      </c>
      <c r="AF4098">
        <v>3.83175119623546</v>
      </c>
      <c r="AG4098">
        <v>-1.1103172449309999</v>
      </c>
      <c r="AH4098">
        <v>24.656957257572898</v>
      </c>
      <c r="AI4098">
        <v>92.547780963734198</v>
      </c>
      <c r="AJ4098">
        <v>81.166751530111796</v>
      </c>
      <c r="AK4098">
        <v>24.977603224008899</v>
      </c>
      <c r="AL4098">
        <v>87.439891262031296</v>
      </c>
      <c r="AM4098">
        <v>90.343084048543005</v>
      </c>
      <c r="AN4098">
        <v>0.99999999888661595</v>
      </c>
    </row>
    <row r="4099" spans="1:40" x14ac:dyDescent="0.25">
      <c r="A4099" t="str">
        <f>"20190312160416176"</f>
        <v>20190312160416176</v>
      </c>
      <c r="B4099" t="str">
        <f>"1552377856168819"</f>
        <v>1552377856168819</v>
      </c>
      <c r="C4099" t="s">
        <v>40</v>
      </c>
      <c r="D4099">
        <v>5.3938300000000003</v>
      </c>
      <c r="E4099">
        <v>0.55983809999999901</v>
      </c>
      <c r="F4099" t="s">
        <v>59</v>
      </c>
      <c r="G4099">
        <v>-208.14410000000001</v>
      </c>
      <c r="H4099" s="1">
        <v>6.1995690000000001E-6</v>
      </c>
      <c r="I4099">
        <v>210.3724</v>
      </c>
      <c r="J4099">
        <v>-233.88239999999999</v>
      </c>
      <c r="K4099">
        <v>1.11032999999999</v>
      </c>
      <c r="L4099">
        <v>213.7527</v>
      </c>
      <c r="M4099">
        <v>0.99960579999999999</v>
      </c>
      <c r="N4099">
        <v>0</v>
      </c>
      <c r="O4099">
        <v>2.4045219999999999E-2</v>
      </c>
      <c r="P4099">
        <v>0.99911079999999997</v>
      </c>
      <c r="Q4099">
        <v>2.9818770000000001E-2</v>
      </c>
      <c r="R4099">
        <v>2.9811089999999998E-2</v>
      </c>
      <c r="S4099">
        <v>3.0182039999999999</v>
      </c>
      <c r="T4099">
        <v>-0.12856219999999999</v>
      </c>
      <c r="U4099">
        <v>-0.3904724</v>
      </c>
      <c r="V4099">
        <v>-5.8005399999999999E-3</v>
      </c>
      <c r="W4099">
        <v>4.4297330000000003E-2</v>
      </c>
      <c r="X4099">
        <v>0.99900160000000005</v>
      </c>
      <c r="Y4099">
        <v>0.15195799999999901</v>
      </c>
      <c r="Z4099">
        <v>-4.24144E-3</v>
      </c>
      <c r="AA4099">
        <v>0.98837790000000003</v>
      </c>
      <c r="AB4099">
        <v>33</v>
      </c>
      <c r="AC4099">
        <v>25.738299999999899</v>
      </c>
      <c r="AD4099">
        <v>-1.1103238004310001</v>
      </c>
      <c r="AE4099">
        <v>-3.3803000000000001</v>
      </c>
      <c r="AF4099">
        <v>3.9909694117740901</v>
      </c>
      <c r="AG4099">
        <v>-1.1103238004310001</v>
      </c>
      <c r="AH4099">
        <v>25.602730123983601</v>
      </c>
      <c r="AI4099">
        <v>92.453618765534998</v>
      </c>
      <c r="AJ4099">
        <v>81.140001618050903</v>
      </c>
      <c r="AK4099">
        <v>25.935698286127899</v>
      </c>
      <c r="AL4099">
        <v>87.461119286518894</v>
      </c>
      <c r="AM4099">
        <v>90.332674868701602</v>
      </c>
      <c r="AN4099">
        <v>1.0000000482559801</v>
      </c>
    </row>
    <row r="4100" spans="1:40" x14ac:dyDescent="0.25">
      <c r="A4100" t="str">
        <f>"20190312160416199"</f>
        <v>20190312160416199</v>
      </c>
      <c r="B4100" t="str">
        <f>"1552377856189315"</f>
        <v>1552377856189315</v>
      </c>
      <c r="C4100" t="s">
        <v>40</v>
      </c>
      <c r="D4100">
        <v>5.4432790000000004</v>
      </c>
      <c r="E4100">
        <v>0.55992219999999904</v>
      </c>
      <c r="F4100" t="s">
        <v>59</v>
      </c>
      <c r="G4100">
        <v>-207.64510000000001</v>
      </c>
      <c r="H4100" s="1">
        <v>5.978537E-6</v>
      </c>
      <c r="I4100">
        <v>210.36949999999999</v>
      </c>
      <c r="J4100">
        <v>-233.5557</v>
      </c>
      <c r="K4100">
        <v>1.110336</v>
      </c>
      <c r="L4100">
        <v>213.76089999999999</v>
      </c>
      <c r="M4100">
        <v>0.99959960000000003</v>
      </c>
      <c r="N4100">
        <v>0</v>
      </c>
      <c r="O4100">
        <v>2.4310209999999999E-2</v>
      </c>
      <c r="P4100">
        <v>0.99913529999999995</v>
      </c>
      <c r="Q4100">
        <v>2.9126699999999998E-2</v>
      </c>
      <c r="R4100">
        <v>2.9675179999999999E-2</v>
      </c>
      <c r="S4100">
        <v>3.0180660000000001</v>
      </c>
      <c r="T4100">
        <v>-0.12772</v>
      </c>
      <c r="U4100">
        <v>-0.3891754</v>
      </c>
      <c r="V4100">
        <v>-5.3986559999999999E-3</v>
      </c>
      <c r="W4100">
        <v>4.3604200000000003E-2</v>
      </c>
      <c r="X4100">
        <v>0.99903430000000004</v>
      </c>
      <c r="Y4100">
        <v>0.1518099</v>
      </c>
      <c r="Z4100">
        <v>-4.2220340000000004E-3</v>
      </c>
      <c r="AA4100">
        <v>0.98840070000000002</v>
      </c>
      <c r="AB4100">
        <v>33</v>
      </c>
      <c r="AC4100">
        <v>25.910599999999899</v>
      </c>
      <c r="AD4100">
        <v>-1.1103300214630001</v>
      </c>
      <c r="AE4100">
        <v>-3.3914</v>
      </c>
      <c r="AF4100">
        <v>4.0131104278846799</v>
      </c>
      <c r="AG4100">
        <v>-1.1103300214630001</v>
      </c>
      <c r="AH4100">
        <v>25.773954425151501</v>
      </c>
      <c r="AI4100">
        <v>92.437417345519194</v>
      </c>
      <c r="AJ4100">
        <v>81.149875626460798</v>
      </c>
      <c r="AK4100">
        <v>26.108133115424899</v>
      </c>
      <c r="AL4100">
        <v>87.500871006048996</v>
      </c>
      <c r="AM4100">
        <v>90.309616189341298</v>
      </c>
      <c r="AN4100">
        <v>1.0000000021603599</v>
      </c>
    </row>
    <row r="4101" spans="1:40" x14ac:dyDescent="0.25">
      <c r="A4101" t="str">
        <f>"20190312160416221"</f>
        <v>20190312160416221</v>
      </c>
      <c r="B4101" t="str">
        <f>"1552377856218596"</f>
        <v>1552377856218596</v>
      </c>
      <c r="C4101" t="s">
        <v>40</v>
      </c>
      <c r="D4101">
        <v>5.3835689999999996</v>
      </c>
      <c r="E4101">
        <v>0.55970719999999996</v>
      </c>
      <c r="F4101" t="s">
        <v>59</v>
      </c>
      <c r="G4101">
        <v>-207.32990000000001</v>
      </c>
      <c r="H4101" s="1">
        <v>5.8385979999999998E-6</v>
      </c>
      <c r="I4101">
        <v>210.37139999999999</v>
      </c>
      <c r="J4101">
        <v>-233.227</v>
      </c>
      <c r="K4101">
        <v>1.110333</v>
      </c>
      <c r="L4101">
        <v>213.76910000000001</v>
      </c>
      <c r="M4101">
        <v>0.99959299999999995</v>
      </c>
      <c r="N4101">
        <v>0</v>
      </c>
      <c r="O4101">
        <v>2.4576580000000001E-2</v>
      </c>
      <c r="P4101">
        <v>0.9991255</v>
      </c>
      <c r="Q4101">
        <v>2.9850600000000001E-2</v>
      </c>
      <c r="R4101">
        <v>2.928103E-2</v>
      </c>
      <c r="S4101">
        <v>3.0178989999999999</v>
      </c>
      <c r="T4101">
        <v>-0.12776970000000001</v>
      </c>
      <c r="U4101">
        <v>-0.39004519999999998</v>
      </c>
      <c r="V4101">
        <v>-4.7382450000000003E-3</v>
      </c>
      <c r="W4101">
        <v>4.4325440000000001E-2</v>
      </c>
      <c r="X4101">
        <v>0.9990059</v>
      </c>
      <c r="Y4101">
        <v>0.15235950000000001</v>
      </c>
      <c r="Z4101">
        <v>-4.2466470000000001E-3</v>
      </c>
      <c r="AA4101">
        <v>0.98831599999999997</v>
      </c>
      <c r="AB4101">
        <v>33</v>
      </c>
      <c r="AC4101">
        <v>25.897099999999899</v>
      </c>
      <c r="AD4101">
        <v>-1.1103271614020001</v>
      </c>
      <c r="AE4101">
        <v>-3.3977000000000102</v>
      </c>
      <c r="AF4101">
        <v>4.0259271006870696</v>
      </c>
      <c r="AG4101">
        <v>-1.1103271614020001</v>
      </c>
      <c r="AH4101">
        <v>25.759213485781299</v>
      </c>
      <c r="AI4101">
        <v>92.438586603250599</v>
      </c>
      <c r="AJ4101">
        <v>81.117061040674898</v>
      </c>
      <c r="AK4101">
        <v>26.095555078048299</v>
      </c>
      <c r="AL4101">
        <v>87.459506975486406</v>
      </c>
      <c r="AM4101">
        <v>90.271749551336498</v>
      </c>
      <c r="AN4101">
        <v>0.99999999191584099</v>
      </c>
    </row>
    <row r="4102" spans="1:40" x14ac:dyDescent="0.25">
      <c r="A4102" t="str">
        <f>"20190312160416243"</f>
        <v>20190312160416243</v>
      </c>
      <c r="B4102" t="str">
        <f>"1552377856239094"</f>
        <v>1552377856239094</v>
      </c>
      <c r="C4102" t="s">
        <v>40</v>
      </c>
      <c r="D4102">
        <v>5.4248329999999996</v>
      </c>
      <c r="E4102">
        <v>0.55982200000000004</v>
      </c>
      <c r="F4102" t="s">
        <v>59</v>
      </c>
      <c r="G4102">
        <v>-205.97370000000001</v>
      </c>
      <c r="H4102" s="1">
        <v>5.2475619999999998E-6</v>
      </c>
      <c r="I4102">
        <v>210.2527</v>
      </c>
      <c r="J4102">
        <v>-232.89940000000001</v>
      </c>
      <c r="K4102">
        <v>1.11032999999999</v>
      </c>
      <c r="L4102">
        <v>213.7775</v>
      </c>
      <c r="M4102">
        <v>0.99958659999999999</v>
      </c>
      <c r="N4102">
        <v>0</v>
      </c>
      <c r="O4102">
        <v>2.4841820000000001E-2</v>
      </c>
      <c r="P4102">
        <v>0.99911859999999997</v>
      </c>
      <c r="Q4102">
        <v>3.0131379999999999E-2</v>
      </c>
      <c r="R4102">
        <v>2.9231920000000002E-2</v>
      </c>
      <c r="S4102">
        <v>3.0177149999999999</v>
      </c>
      <c r="T4102">
        <v>-0.1229447</v>
      </c>
      <c r="U4102">
        <v>-0.38937379999999999</v>
      </c>
      <c r="V4102">
        <v>-4.424267E-3</v>
      </c>
      <c r="W4102">
        <v>4.4603629999999998E-2</v>
      </c>
      <c r="X4102">
        <v>0.99899490000000002</v>
      </c>
      <c r="Y4102">
        <v>0.15242439999999999</v>
      </c>
      <c r="Z4102">
        <v>-4.0987970000000004E-3</v>
      </c>
      <c r="AA4102">
        <v>0.98830660000000004</v>
      </c>
      <c r="AB4102">
        <v>33</v>
      </c>
      <c r="AC4102">
        <v>26.925699999999999</v>
      </c>
      <c r="AD4102">
        <v>-1.11032475243799</v>
      </c>
      <c r="AE4102">
        <v>-3.5247999999999902</v>
      </c>
      <c r="AF4102">
        <v>4.1856678366588502</v>
      </c>
      <c r="AG4102">
        <v>-1.11032475243799</v>
      </c>
      <c r="AH4102">
        <v>26.7850377552171</v>
      </c>
      <c r="AI4102">
        <v>92.345301719944999</v>
      </c>
      <c r="AJ4102">
        <v>81.118284918029403</v>
      </c>
      <c r="AK4102">
        <v>27.132837740330899</v>
      </c>
      <c r="AL4102">
        <v>87.443551934495602</v>
      </c>
      <c r="AM4102">
        <v>90.253745208576404</v>
      </c>
      <c r="AN4102">
        <v>0.99999993408683396</v>
      </c>
    </row>
    <row r="4103" spans="1:40" x14ac:dyDescent="0.25">
      <c r="A4103" t="str">
        <f>"20190312160416266"</f>
        <v>20190312160416266</v>
      </c>
      <c r="B4103" t="str">
        <f>"1552377856258616"</f>
        <v>1552377856258616</v>
      </c>
      <c r="C4103" t="s">
        <v>40</v>
      </c>
      <c r="D4103">
        <v>5.3866579999999997</v>
      </c>
      <c r="E4103">
        <v>0.56000319999999904</v>
      </c>
      <c r="F4103" t="s">
        <v>59</v>
      </c>
      <c r="G4103">
        <v>-204.56800000000001</v>
      </c>
      <c r="H4103" s="1">
        <v>4.6366980000000004E-6</v>
      </c>
      <c r="I4103">
        <v>210.1096</v>
      </c>
      <c r="J4103">
        <v>-232.5701</v>
      </c>
      <c r="K4103">
        <v>1.1103240000000001</v>
      </c>
      <c r="L4103">
        <v>213.7859</v>
      </c>
      <c r="M4103">
        <v>0.99957980000000002</v>
      </c>
      <c r="N4103">
        <v>0</v>
      </c>
      <c r="O4103">
        <v>2.5108660000000001E-2</v>
      </c>
      <c r="P4103">
        <v>0.99913669999999999</v>
      </c>
      <c r="Q4103">
        <v>2.9872369999999999E-2</v>
      </c>
      <c r="R4103">
        <v>2.886992E-2</v>
      </c>
      <c r="S4103">
        <v>3.0176240000000001</v>
      </c>
      <c r="T4103">
        <v>-0.1182626</v>
      </c>
      <c r="U4103">
        <v>-0.39067079999999998</v>
      </c>
      <c r="V4103">
        <v>-3.7950409999999999E-3</v>
      </c>
      <c r="W4103">
        <v>4.4343059999999997E-2</v>
      </c>
      <c r="X4103">
        <v>0.99900909999999998</v>
      </c>
      <c r="Y4103">
        <v>0.1531198</v>
      </c>
      <c r="Z4103">
        <v>-3.9668189999999999E-3</v>
      </c>
      <c r="AA4103">
        <v>0.98819970000000001</v>
      </c>
      <c r="AB4103">
        <v>33</v>
      </c>
      <c r="AC4103">
        <v>28.002099999999999</v>
      </c>
      <c r="AD4103">
        <v>-1.1103193633020001</v>
      </c>
      <c r="AE4103">
        <v>-3.6762999999999901</v>
      </c>
      <c r="AF4103">
        <v>4.3715530830273597</v>
      </c>
      <c r="AG4103">
        <v>-1.1103193633020001</v>
      </c>
      <c r="AH4103">
        <v>27.8578964755222</v>
      </c>
      <c r="AI4103">
        <v>92.254838702417899</v>
      </c>
      <c r="AJ4103">
        <v>81.081686780650401</v>
      </c>
      <c r="AK4103">
        <v>28.220660543069499</v>
      </c>
      <c r="AL4103">
        <v>87.458496312425495</v>
      </c>
      <c r="AM4103">
        <v>90.217654460240396</v>
      </c>
      <c r="AN4103">
        <v>0.99999994559458105</v>
      </c>
    </row>
    <row r="4104" spans="1:40" x14ac:dyDescent="0.25">
      <c r="A4104" t="str">
        <f>"20190312160416288"</f>
        <v>20190312160416288</v>
      </c>
      <c r="B4104" t="str">
        <f>"1552377856279107"</f>
        <v>1552377856279107</v>
      </c>
      <c r="C4104" t="s">
        <v>40</v>
      </c>
      <c r="D4104">
        <v>5.4126629999999896</v>
      </c>
      <c r="E4104">
        <v>0.56016619999999995</v>
      </c>
      <c r="F4104" t="s">
        <v>59</v>
      </c>
      <c r="G4104">
        <v>-203.7979</v>
      </c>
      <c r="H4104" s="1">
        <v>4.3014570000000001E-6</v>
      </c>
      <c r="I4104">
        <v>210.03800000000001</v>
      </c>
      <c r="J4104">
        <v>-232.24170000000001</v>
      </c>
      <c r="K4104">
        <v>1.110333</v>
      </c>
      <c r="L4104">
        <v>213.7944</v>
      </c>
      <c r="M4104">
        <v>0.99957309999999999</v>
      </c>
      <c r="N4104">
        <v>0</v>
      </c>
      <c r="O4104">
        <v>2.5374790000000001E-2</v>
      </c>
      <c r="P4104">
        <v>0.99918130000000005</v>
      </c>
      <c r="Q4104">
        <v>2.897914E-2</v>
      </c>
      <c r="R4104">
        <v>2.823198E-2</v>
      </c>
      <c r="S4104">
        <v>3.0174099999999999</v>
      </c>
      <c r="T4104">
        <v>-0.1164418</v>
      </c>
      <c r="U4104">
        <v>-0.39305109999999999</v>
      </c>
      <c r="V4104">
        <v>-2.8895840000000002E-3</v>
      </c>
      <c r="W4104">
        <v>4.3447949999999999E-2</v>
      </c>
      <c r="X4104">
        <v>0.99905149999999998</v>
      </c>
      <c r="Y4104">
        <v>0.15416160000000001</v>
      </c>
      <c r="Z4104">
        <v>-3.9361070000000003E-3</v>
      </c>
      <c r="AA4104">
        <v>0.98803779999999997</v>
      </c>
      <c r="AB4104">
        <v>33</v>
      </c>
      <c r="AC4104">
        <v>28.4438</v>
      </c>
      <c r="AD4104">
        <v>-1.1103286985430001</v>
      </c>
      <c r="AE4104">
        <v>-3.75640000000001</v>
      </c>
      <c r="AF4104">
        <v>4.4703262561954498</v>
      </c>
      <c r="AG4104">
        <v>-1.1103286985430001</v>
      </c>
      <c r="AH4104">
        <v>28.296931830760698</v>
      </c>
      <c r="AI4104">
        <v>92.219548384108194</v>
      </c>
      <c r="AJ4104">
        <v>81.0226525628308</v>
      </c>
      <c r="AK4104">
        <v>28.669373862893401</v>
      </c>
      <c r="AL4104">
        <v>87.509831925824798</v>
      </c>
      <c r="AM4104">
        <v>90.165717689309204</v>
      </c>
      <c r="AN4104">
        <v>0.99999998685357205</v>
      </c>
    </row>
    <row r="4105" spans="1:40" x14ac:dyDescent="0.25">
      <c r="A4105" t="str">
        <f>"20190312160416311"</f>
        <v>20190312160416311</v>
      </c>
      <c r="B4105" t="str">
        <f>"1552377856298628"</f>
        <v>1552377856298628</v>
      </c>
      <c r="C4105" t="s">
        <v>40</v>
      </c>
      <c r="D4105">
        <v>5.3979280000000003</v>
      </c>
      <c r="E4105">
        <v>0.56033310000000003</v>
      </c>
      <c r="F4105" t="s">
        <v>59</v>
      </c>
      <c r="G4105">
        <v>-203.74979999999999</v>
      </c>
      <c r="H4105" s="1">
        <v>4.2788420000000003E-6</v>
      </c>
      <c r="I4105">
        <v>210.05260000000001</v>
      </c>
      <c r="J4105">
        <v>-231.91550000000001</v>
      </c>
      <c r="K4105">
        <v>1.1103320000000001</v>
      </c>
      <c r="L4105">
        <v>213.803</v>
      </c>
      <c r="M4105">
        <v>0.99956650000000002</v>
      </c>
      <c r="N4105">
        <v>0</v>
      </c>
      <c r="O4105">
        <v>2.5639729999999999E-2</v>
      </c>
      <c r="P4105">
        <v>0.99920580000000003</v>
      </c>
      <c r="Q4105">
        <v>2.859457E-2</v>
      </c>
      <c r="R4105">
        <v>2.7758410000000001E-2</v>
      </c>
      <c r="S4105">
        <v>3.0170590000000002</v>
      </c>
      <c r="T4105">
        <v>-0.1175746</v>
      </c>
      <c r="U4105">
        <v>-0.39622499999999999</v>
      </c>
      <c r="V4105">
        <v>-2.1502700000000001E-3</v>
      </c>
      <c r="W4105">
        <v>4.3061120000000001E-2</v>
      </c>
      <c r="X4105">
        <v>0.99907009999999996</v>
      </c>
      <c r="Y4105">
        <v>0.15545619999999999</v>
      </c>
      <c r="Z4105">
        <v>-4.0099559999999899E-3</v>
      </c>
      <c r="AA4105">
        <v>0.98783460000000001</v>
      </c>
      <c r="AB4105">
        <v>33</v>
      </c>
      <c r="AC4105">
        <v>28.165700000000001</v>
      </c>
      <c r="AD4105">
        <v>-1.1103277211579901</v>
      </c>
      <c r="AE4105">
        <v>-3.75039999999998</v>
      </c>
      <c r="AF4105">
        <v>4.46458610269642</v>
      </c>
      <c r="AG4105">
        <v>-1.1103277211579901</v>
      </c>
      <c r="AH4105">
        <v>28.017487543613601</v>
      </c>
      <c r="AI4105">
        <v>92.2411865010599</v>
      </c>
      <c r="AJ4105">
        <v>80.946040481436</v>
      </c>
      <c r="AK4105">
        <v>28.3926921050701</v>
      </c>
      <c r="AL4105">
        <v>87.532016384239498</v>
      </c>
      <c r="AM4105">
        <v>90.123315877013994</v>
      </c>
      <c r="AN4105">
        <v>0.99999997421536801</v>
      </c>
    </row>
    <row r="4106" spans="1:40" x14ac:dyDescent="0.25">
      <c r="A4106" t="str">
        <f>"20190312160416332"</f>
        <v>20190312160416332</v>
      </c>
      <c r="B4106" t="str">
        <f>"1552377856328884"</f>
        <v>1552377856328884</v>
      </c>
      <c r="C4106" t="s">
        <v>40</v>
      </c>
      <c r="D4106">
        <v>5.3905379999999896</v>
      </c>
      <c r="E4106">
        <v>0.56068070000000003</v>
      </c>
      <c r="F4106" t="s">
        <v>59</v>
      </c>
      <c r="G4106">
        <v>-203.369</v>
      </c>
      <c r="H4106" s="1">
        <v>4.111856E-6</v>
      </c>
      <c r="I4106">
        <v>210.0309</v>
      </c>
      <c r="J4106">
        <v>-231.59450000000001</v>
      </c>
      <c r="K4106">
        <v>1.1103320000000001</v>
      </c>
      <c r="L4106">
        <v>213.8115</v>
      </c>
      <c r="M4106">
        <v>0.99955970000000005</v>
      </c>
      <c r="N4106">
        <v>0</v>
      </c>
      <c r="O4106">
        <v>2.5900260000000001E-2</v>
      </c>
      <c r="P4106">
        <v>0.99921409999999999</v>
      </c>
      <c r="Q4106">
        <v>2.873086E-2</v>
      </c>
      <c r="R4106">
        <v>2.7311370000000001E-2</v>
      </c>
      <c r="S4106">
        <v>3.0168149999999998</v>
      </c>
      <c r="T4106">
        <v>-0.11734029999999999</v>
      </c>
      <c r="U4106">
        <v>-0.39863589999999999</v>
      </c>
      <c r="V4106">
        <v>-1.4428170000000001E-3</v>
      </c>
      <c r="W4106">
        <v>4.3195459999999998E-2</v>
      </c>
      <c r="X4106">
        <v>0.9990656</v>
      </c>
      <c r="Y4106">
        <v>0.15649939999999901</v>
      </c>
      <c r="Z4106">
        <v>-4.0323700000000004E-3</v>
      </c>
      <c r="AA4106">
        <v>0.98766980000000004</v>
      </c>
      <c r="AB4106">
        <v>33</v>
      </c>
      <c r="AC4106">
        <v>28.225499999999901</v>
      </c>
      <c r="AD4106">
        <v>-1.110327888144</v>
      </c>
      <c r="AE4106">
        <v>-3.78059999999999</v>
      </c>
      <c r="AF4106">
        <v>4.5036095473730704</v>
      </c>
      <c r="AG4106">
        <v>-1.110327888144</v>
      </c>
      <c r="AH4106">
        <v>28.075420613517402</v>
      </c>
      <c r="AI4106">
        <v>92.236197314247505</v>
      </c>
      <c r="AJ4106">
        <v>80.886757314032707</v>
      </c>
      <c r="AK4106">
        <v>28.456011132980301</v>
      </c>
      <c r="AL4106">
        <v>87.524312167586999</v>
      </c>
      <c r="AM4106">
        <v>90.082744583778094</v>
      </c>
      <c r="AN4106">
        <v>1.0000000012944299</v>
      </c>
    </row>
    <row r="4107" spans="1:40" x14ac:dyDescent="0.25">
      <c r="A4107" t="str">
        <f>"20190312160416356"</f>
        <v>20190312160416356</v>
      </c>
      <c r="B4107" t="str">
        <f>"1552377856349381"</f>
        <v>1552377856349381</v>
      </c>
      <c r="C4107" t="s">
        <v>40</v>
      </c>
      <c r="D4107">
        <v>5.2912530000000002</v>
      </c>
      <c r="E4107">
        <v>0.56080160000000001</v>
      </c>
      <c r="F4107" t="s">
        <v>59</v>
      </c>
      <c r="G4107">
        <v>-202.18109999999999</v>
      </c>
      <c r="H4107" s="1">
        <v>3.5981840000000001E-6</v>
      </c>
      <c r="I4107">
        <v>209.88120000000001</v>
      </c>
      <c r="J4107">
        <v>-231.26609999999999</v>
      </c>
      <c r="K4107">
        <v>1.1103320000000001</v>
      </c>
      <c r="L4107">
        <v>213.8203</v>
      </c>
      <c r="M4107">
        <v>0.99955280000000002</v>
      </c>
      <c r="N4107">
        <v>0</v>
      </c>
      <c r="O4107">
        <v>2.6166990000000001E-2</v>
      </c>
      <c r="P4107">
        <v>0.99921439999999995</v>
      </c>
      <c r="Q4107">
        <v>2.9052700000000001E-2</v>
      </c>
      <c r="R4107">
        <v>2.69521E-2</v>
      </c>
      <c r="S4107">
        <v>3.016632</v>
      </c>
      <c r="T4107">
        <v>-0.1138753</v>
      </c>
      <c r="U4107">
        <v>-0.40309139999999999</v>
      </c>
      <c r="V4107">
        <v>-8.1682649999999897E-4</v>
      </c>
      <c r="W4107">
        <v>4.3514160000000003E-2</v>
      </c>
      <c r="X4107">
        <v>0.99905250000000001</v>
      </c>
      <c r="Y4107">
        <v>0.1582105</v>
      </c>
      <c r="Z4107">
        <v>-3.9554120000000002E-3</v>
      </c>
      <c r="AA4107">
        <v>0.98739750000000004</v>
      </c>
      <c r="AB4107">
        <v>33</v>
      </c>
      <c r="AC4107">
        <v>29.085000000000001</v>
      </c>
      <c r="AD4107">
        <v>-1.11032840181599</v>
      </c>
      <c r="AE4107">
        <v>-3.9390999999999901</v>
      </c>
      <c r="AF4107">
        <v>4.6921825499825998</v>
      </c>
      <c r="AG4107">
        <v>-1.11032840181599</v>
      </c>
      <c r="AH4107">
        <v>28.930551001379399</v>
      </c>
      <c r="AI4107">
        <v>92.169559378578001</v>
      </c>
      <c r="AJ4107">
        <v>80.787541911992406</v>
      </c>
      <c r="AK4107">
        <v>29.3296128083147</v>
      </c>
      <c r="AL4107">
        <v>87.506034872624696</v>
      </c>
      <c r="AM4107">
        <v>90.046845086335395</v>
      </c>
      <c r="AN4107">
        <v>1.0000000235411399</v>
      </c>
    </row>
    <row r="4108" spans="1:40" x14ac:dyDescent="0.25">
      <c r="A4108" t="str">
        <f>"20190312160416377"</f>
        <v>20190312160416377</v>
      </c>
      <c r="B4108" t="str">
        <f>"1552377856368899"</f>
        <v>1552377856368899</v>
      </c>
      <c r="C4108" t="s">
        <v>40</v>
      </c>
      <c r="D4108">
        <v>5.1325890000000003</v>
      </c>
      <c r="E4108">
        <v>0.56116709999999903</v>
      </c>
      <c r="F4108" t="s">
        <v>59</v>
      </c>
      <c r="G4108">
        <v>-201.2585</v>
      </c>
      <c r="H4108" s="1">
        <v>3.1971740000000002E-6</v>
      </c>
      <c r="I4108">
        <v>209.78800000000001</v>
      </c>
      <c r="J4108">
        <v>-230.9417</v>
      </c>
      <c r="K4108">
        <v>1.110336</v>
      </c>
      <c r="L4108">
        <v>213.82910000000001</v>
      </c>
      <c r="M4108">
        <v>0.99954609999999999</v>
      </c>
      <c r="N4108">
        <v>0</v>
      </c>
      <c r="O4108">
        <v>2.6430499999999999E-2</v>
      </c>
      <c r="P4108">
        <v>0.99923260000000003</v>
      </c>
      <c r="Q4108">
        <v>2.8796260000000001E-2</v>
      </c>
      <c r="R4108">
        <v>2.6561169999999999E-2</v>
      </c>
      <c r="S4108">
        <v>3.0165250000000001</v>
      </c>
      <c r="T4108">
        <v>-0.1116163</v>
      </c>
      <c r="U4108">
        <v>-0.40534969999999998</v>
      </c>
      <c r="V4108">
        <v>-1.622746E-4</v>
      </c>
      <c r="W4108">
        <v>4.3255490000000001E-2</v>
      </c>
      <c r="X4108">
        <v>0.99906399999999995</v>
      </c>
      <c r="Y4108">
        <v>0.15920570000000001</v>
      </c>
      <c r="Z4108">
        <v>-3.9049789999999998E-3</v>
      </c>
      <c r="AA4108">
        <v>0.9872377</v>
      </c>
      <c r="AB4108">
        <v>33</v>
      </c>
      <c r="AC4108">
        <v>29.683199999999999</v>
      </c>
      <c r="AD4108">
        <v>-1.110332802826</v>
      </c>
      <c r="AE4108">
        <v>-4.0411000000000197</v>
      </c>
      <c r="AF4108">
        <v>4.8176934544455001</v>
      </c>
      <c r="AG4108">
        <v>-1.110332802826</v>
      </c>
      <c r="AH4108">
        <v>29.525447920862302</v>
      </c>
      <c r="AI4108">
        <v>92.125563806312101</v>
      </c>
      <c r="AJ4108">
        <v>80.732667797256795</v>
      </c>
      <c r="AK4108">
        <v>29.936517567706399</v>
      </c>
      <c r="AL4108">
        <v>87.520869406391697</v>
      </c>
      <c r="AM4108">
        <v>90.009306360373699</v>
      </c>
      <c r="AN4108">
        <v>0.99999996992209195</v>
      </c>
    </row>
    <row r="4109" spans="1:40" x14ac:dyDescent="0.25">
      <c r="A4109" t="str">
        <f>"20190312160416400"</f>
        <v>20190312160416400</v>
      </c>
      <c r="B4109" t="str">
        <f>"1552377856389396"</f>
        <v>1552377856389396</v>
      </c>
      <c r="C4109" t="s">
        <v>40</v>
      </c>
      <c r="D4109">
        <v>5.1917030000000004</v>
      </c>
      <c r="E4109">
        <v>0.56139059999999996</v>
      </c>
      <c r="F4109" t="s">
        <v>59</v>
      </c>
      <c r="G4109">
        <v>-199.798</v>
      </c>
      <c r="H4109" s="1">
        <v>2.6662169999999998E-6</v>
      </c>
      <c r="I4109">
        <v>209.6069</v>
      </c>
      <c r="J4109">
        <v>-230.62119999999999</v>
      </c>
      <c r="K4109">
        <v>1.1103400000000001</v>
      </c>
      <c r="L4109">
        <v>213.83779999999999</v>
      </c>
      <c r="M4109">
        <v>0.99953910000000001</v>
      </c>
      <c r="N4109">
        <v>0</v>
      </c>
      <c r="O4109">
        <v>2.6691260000000001E-2</v>
      </c>
      <c r="P4109">
        <v>0.99925600000000003</v>
      </c>
      <c r="Q4109">
        <v>2.8780460000000001E-2</v>
      </c>
      <c r="R4109">
        <v>2.5681740000000002E-2</v>
      </c>
      <c r="S4109">
        <v>3.0162960000000001</v>
      </c>
      <c r="T4109">
        <v>-0.1075368</v>
      </c>
      <c r="U4109">
        <v>-0.40892030000000001</v>
      </c>
      <c r="V4109">
        <v>9.7855909999999997E-4</v>
      </c>
      <c r="W4109">
        <v>4.3237379999999999E-2</v>
      </c>
      <c r="X4109">
        <v>0.99906430000000002</v>
      </c>
      <c r="Y4109">
        <v>0.16062860000000001</v>
      </c>
      <c r="Z4109">
        <v>-3.7968379999999999E-3</v>
      </c>
      <c r="AA4109">
        <v>0.98700759999999998</v>
      </c>
      <c r="AB4109">
        <v>33</v>
      </c>
      <c r="AC4109">
        <v>30.8231999999999</v>
      </c>
      <c r="AD4109">
        <v>-1.11033733378299</v>
      </c>
      <c r="AE4109">
        <v>-4.2308999999999903</v>
      </c>
      <c r="AF4109">
        <v>5.0457619172925501</v>
      </c>
      <c r="AG4109">
        <v>-1.11033733378299</v>
      </c>
      <c r="AH4109">
        <v>30.660226097962699</v>
      </c>
      <c r="AI4109">
        <v>92.046513554320398</v>
      </c>
      <c r="AJ4109">
        <v>80.6545852931729</v>
      </c>
      <c r="AK4109">
        <v>31.092475403206201</v>
      </c>
      <c r="AL4109">
        <v>87.521907960401293</v>
      </c>
      <c r="AM4109">
        <v>89.943880200199004</v>
      </c>
      <c r="AN4109">
        <v>0.99999995207083203</v>
      </c>
    </row>
    <row r="4110" spans="1:40" x14ac:dyDescent="0.25">
      <c r="A4110" t="str">
        <f>"20190312160416422"</f>
        <v>20190312160416422</v>
      </c>
      <c r="B4110" t="str">
        <f>"1552377856418676"</f>
        <v>1552377856418676</v>
      </c>
      <c r="C4110" t="s">
        <v>40</v>
      </c>
      <c r="D4110">
        <v>5.2624810000000002</v>
      </c>
      <c r="E4110">
        <v>0.56194829999999996</v>
      </c>
      <c r="F4110" t="s">
        <v>59</v>
      </c>
      <c r="G4110">
        <v>-198.06120000000001</v>
      </c>
      <c r="H4110" s="1">
        <v>3.0353139999999999E-6</v>
      </c>
      <c r="I4110">
        <v>209.37649999999999</v>
      </c>
      <c r="J4110">
        <v>-230.29499999999999</v>
      </c>
      <c r="K4110">
        <v>1.1103449999999999</v>
      </c>
      <c r="L4110">
        <v>213.8468</v>
      </c>
      <c r="M4110">
        <v>0.99953199999999998</v>
      </c>
      <c r="N4110">
        <v>0</v>
      </c>
      <c r="O4110">
        <v>2.6955349999999999E-2</v>
      </c>
      <c r="P4110">
        <v>0.99923850000000003</v>
      </c>
      <c r="Q4110">
        <v>2.914566E-2</v>
      </c>
      <c r="R4110">
        <v>2.5946159999999999E-2</v>
      </c>
      <c r="S4110">
        <v>3.0158230000000001</v>
      </c>
      <c r="T4110">
        <v>-0.1028432</v>
      </c>
      <c r="U4110">
        <v>-0.41322330000000002</v>
      </c>
      <c r="V4110">
        <v>9.7795900000000003E-4</v>
      </c>
      <c r="W4110">
        <v>4.3598480000000002E-2</v>
      </c>
      <c r="X4110">
        <v>0.99904870000000001</v>
      </c>
      <c r="Y4110">
        <v>0.16230129999999901</v>
      </c>
      <c r="Z4110">
        <v>-3.6687820000000002E-3</v>
      </c>
      <c r="AA4110">
        <v>0.98673440000000001</v>
      </c>
      <c r="AB4110">
        <v>33</v>
      </c>
      <c r="AC4110">
        <v>32.233799999999903</v>
      </c>
      <c r="AD4110">
        <v>-1.110341964686</v>
      </c>
      <c r="AE4110">
        <v>-4.4702999999999999</v>
      </c>
      <c r="AF4110">
        <v>5.3314328781600402</v>
      </c>
      <c r="AG4110">
        <v>-1.110341964686</v>
      </c>
      <c r="AH4110">
        <v>32.064245641268002</v>
      </c>
      <c r="AI4110">
        <v>91.956444673697305</v>
      </c>
      <c r="AJ4110">
        <v>80.559599702045404</v>
      </c>
      <c r="AK4110">
        <v>32.5234205512957</v>
      </c>
      <c r="AL4110">
        <v>87.501199155531296</v>
      </c>
      <c r="AM4110">
        <v>89.943913739801204</v>
      </c>
      <c r="AN4110">
        <v>1.0000000444168999</v>
      </c>
    </row>
    <row r="4111" spans="1:40" x14ac:dyDescent="0.25">
      <c r="A4111" t="str">
        <f>"20190312160416445"</f>
        <v>20190312160416445</v>
      </c>
      <c r="B4111" t="str">
        <f>"1552377856439172"</f>
        <v>1552377856439172</v>
      </c>
      <c r="C4111" t="s">
        <v>40</v>
      </c>
      <c r="D4111">
        <v>5.2249249999999998</v>
      </c>
      <c r="E4111">
        <v>0.56222680000000003</v>
      </c>
      <c r="F4111" t="s">
        <v>59</v>
      </c>
      <c r="G4111">
        <v>-195.46190000000001</v>
      </c>
      <c r="H4111" s="1">
        <v>3.5881079999999998E-6</v>
      </c>
      <c r="I4111">
        <v>209.0301</v>
      </c>
      <c r="J4111">
        <v>-229.96619999999999</v>
      </c>
      <c r="K4111">
        <v>1.1103400000000001</v>
      </c>
      <c r="L4111">
        <v>213.85589999999999</v>
      </c>
      <c r="M4111">
        <v>0.99952510000000006</v>
      </c>
      <c r="N4111">
        <v>0</v>
      </c>
      <c r="O4111">
        <v>2.7217399999999999E-2</v>
      </c>
      <c r="P4111">
        <v>0.99921470000000001</v>
      </c>
      <c r="Q4111">
        <v>3.0292389999999999E-2</v>
      </c>
      <c r="R4111">
        <v>2.5544520000000001E-2</v>
      </c>
      <c r="S4111">
        <v>3.0159150000000001</v>
      </c>
      <c r="T4111">
        <v>-9.6135380000000006E-2</v>
      </c>
      <c r="U4111">
        <v>-0.41703800000000002</v>
      </c>
      <c r="V4111">
        <v>1.640564E-3</v>
      </c>
      <c r="W4111">
        <v>4.4741780000000002E-2</v>
      </c>
      <c r="X4111">
        <v>0.99899720000000003</v>
      </c>
      <c r="Y4111">
        <v>0.1637933</v>
      </c>
      <c r="Z4111">
        <v>-3.461202E-3</v>
      </c>
      <c r="AA4111">
        <v>0.98648860000000005</v>
      </c>
      <c r="AB4111">
        <v>32</v>
      </c>
      <c r="AC4111">
        <v>34.504299999999901</v>
      </c>
      <c r="AD4111">
        <v>-1.1103364118919901</v>
      </c>
      <c r="AE4111">
        <v>-4.8257999999999797</v>
      </c>
      <c r="AF4111">
        <v>5.7573796834675903</v>
      </c>
      <c r="AG4111">
        <v>-1.1103364118919901</v>
      </c>
      <c r="AH4111">
        <v>34.325292435818199</v>
      </c>
      <c r="AI4111">
        <v>91.827220595876796</v>
      </c>
      <c r="AJ4111">
        <v>80.478412753909396</v>
      </c>
      <c r="AK4111">
        <v>34.822492279726603</v>
      </c>
      <c r="AL4111">
        <v>87.435628683531803</v>
      </c>
      <c r="AM4111">
        <v>89.905908336157395</v>
      </c>
      <c r="AN4111">
        <v>0.99999996196782204</v>
      </c>
    </row>
    <row r="4112" spans="1:40" x14ac:dyDescent="0.25">
      <c r="A4112" t="str">
        <f>"20190312160416466"</f>
        <v>20190312160416466</v>
      </c>
      <c r="B4112" t="str">
        <f>"1552377856458691"</f>
        <v>1552377856458691</v>
      </c>
      <c r="C4112" t="s">
        <v>40</v>
      </c>
      <c r="D4112">
        <v>5.3178280000000004</v>
      </c>
      <c r="E4112">
        <v>0.56259269999999995</v>
      </c>
      <c r="F4112" t="s">
        <v>59</v>
      </c>
      <c r="G4112">
        <v>-192.3263</v>
      </c>
      <c r="H4112" s="1">
        <v>4.2555089999999998E-6</v>
      </c>
      <c r="I4112">
        <v>208.61009999999999</v>
      </c>
      <c r="J4112">
        <v>-229.64869999999999</v>
      </c>
      <c r="K4112">
        <v>1.1103400000000001</v>
      </c>
      <c r="L4112">
        <v>213.8648</v>
      </c>
      <c r="M4112">
        <v>0.99951840000000003</v>
      </c>
      <c r="N4112">
        <v>0</v>
      </c>
      <c r="O4112">
        <v>2.746235E-2</v>
      </c>
      <c r="P4112">
        <v>0.99920330000000002</v>
      </c>
      <c r="Q4112">
        <v>3.0533129999999999E-2</v>
      </c>
      <c r="R4112">
        <v>2.5703429999999999E-2</v>
      </c>
      <c r="S4112">
        <v>3.0157780000000001</v>
      </c>
      <c r="T4112">
        <v>-8.8962079999999999E-2</v>
      </c>
      <c r="U4112">
        <v>-0.42030329999999999</v>
      </c>
      <c r="V4112">
        <v>1.7269129999999901E-3</v>
      </c>
      <c r="W4112">
        <v>4.4978999999999998E-2</v>
      </c>
      <c r="X4112">
        <v>0.99898640000000005</v>
      </c>
      <c r="Y4112">
        <v>0.165102</v>
      </c>
      <c r="Z4112">
        <v>-3.2293640000000002E-3</v>
      </c>
      <c r="AA4112">
        <v>0.98627120000000001</v>
      </c>
      <c r="AB4112">
        <v>32</v>
      </c>
      <c r="AC4112">
        <v>37.322399999999902</v>
      </c>
      <c r="AD4112">
        <v>-1.11033574449099</v>
      </c>
      <c r="AE4112">
        <v>-5.2547000000000104</v>
      </c>
      <c r="AF4112">
        <v>6.2723420878348799</v>
      </c>
      <c r="AG4112">
        <v>-1.11033574449099</v>
      </c>
      <c r="AH4112">
        <v>37.131774179522203</v>
      </c>
      <c r="AI4112">
        <v>91.688869320309095</v>
      </c>
      <c r="AJ4112">
        <v>80.412042552146502</v>
      </c>
      <c r="AK4112">
        <v>37.674179147678203</v>
      </c>
      <c r="AL4112">
        <v>87.422023276137594</v>
      </c>
      <c r="AM4112">
        <v>89.900954879938197</v>
      </c>
      <c r="AN4112">
        <v>0.99999996002723401</v>
      </c>
    </row>
    <row r="4113" spans="1:40" x14ac:dyDescent="0.25">
      <c r="A4113" t="str">
        <f>"20190312160416489"</f>
        <v>20190312160416489</v>
      </c>
      <c r="B4113" t="str">
        <f>"1552377856479189"</f>
        <v>1552377856479189</v>
      </c>
      <c r="C4113" t="s">
        <v>40</v>
      </c>
      <c r="D4113">
        <v>5.1661530000000004</v>
      </c>
      <c r="E4113">
        <v>0.56280609999999998</v>
      </c>
      <c r="F4113" t="s">
        <v>59</v>
      </c>
      <c r="G4113">
        <v>-190.49350000000001</v>
      </c>
      <c r="H4113" s="1">
        <v>4.7286099999999998E-6</v>
      </c>
      <c r="I4113">
        <v>208.3767</v>
      </c>
      <c r="J4113">
        <v>-229.32409999999999</v>
      </c>
      <c r="K4113">
        <v>1.1103339999999999</v>
      </c>
      <c r="L4113">
        <v>213.874</v>
      </c>
      <c r="M4113">
        <v>0.99951199999999996</v>
      </c>
      <c r="N4113">
        <v>0</v>
      </c>
      <c r="O4113">
        <v>2.769781E-2</v>
      </c>
      <c r="P4113">
        <v>0.99919970000000002</v>
      </c>
      <c r="Q4113">
        <v>3.072449E-2</v>
      </c>
      <c r="R4113">
        <v>2.5620469999999999E-2</v>
      </c>
      <c r="S4113">
        <v>3.0158839999999998</v>
      </c>
      <c r="T4113">
        <v>-8.5522290000000001E-2</v>
      </c>
      <c r="U4113">
        <v>-0.42271419999999998</v>
      </c>
      <c r="V4113">
        <v>2.045949E-3</v>
      </c>
      <c r="W4113">
        <v>4.5166690000000002E-2</v>
      </c>
      <c r="X4113">
        <v>0.99897740000000002</v>
      </c>
      <c r="Y4113">
        <v>0.1661086</v>
      </c>
      <c r="Z4113">
        <v>-3.125119E-3</v>
      </c>
      <c r="AA4113">
        <v>0.98610249999999999</v>
      </c>
      <c r="AB4113">
        <v>32</v>
      </c>
      <c r="AC4113">
        <v>38.830599999999897</v>
      </c>
      <c r="AD4113">
        <v>-1.1103292713899999</v>
      </c>
      <c r="AE4113">
        <v>-5.4973000000000196</v>
      </c>
      <c r="AF4113">
        <v>6.5655625433881699</v>
      </c>
      <c r="AG4113">
        <v>-1.1103292713899999</v>
      </c>
      <c r="AH4113">
        <v>38.632453861534401</v>
      </c>
      <c r="AI4113">
        <v>91.623016704512594</v>
      </c>
      <c r="AJ4113">
        <v>80.354772168818997</v>
      </c>
      <c r="AK4113">
        <v>39.2021164475291</v>
      </c>
      <c r="AL4113">
        <v>87.411258673826097</v>
      </c>
      <c r="AM4113">
        <v>89.8826559250478</v>
      </c>
      <c r="AN4113">
        <v>1.00000003075181</v>
      </c>
    </row>
    <row r="4114" spans="1:40" x14ac:dyDescent="0.25">
      <c r="A4114" t="str">
        <f>"20190312160416512"</f>
        <v>20190312160416512</v>
      </c>
      <c r="B4114" t="str">
        <f>"1552377856509444"</f>
        <v>1552377856509444</v>
      </c>
      <c r="C4114" t="s">
        <v>40</v>
      </c>
      <c r="D4114">
        <v>5.2145669999999997</v>
      </c>
      <c r="E4114">
        <v>0.56323590000000001</v>
      </c>
      <c r="F4114" t="s">
        <v>59</v>
      </c>
      <c r="G4114">
        <v>-189.12710000000001</v>
      </c>
      <c r="H4114" s="1">
        <v>4.7573680000000004E-6</v>
      </c>
      <c r="I4114">
        <v>208.21459999999999</v>
      </c>
      <c r="J4114">
        <v>-229.0025</v>
      </c>
      <c r="K4114">
        <v>1.1103190000000001</v>
      </c>
      <c r="L4114">
        <v>213.88319999999999</v>
      </c>
      <c r="M4114">
        <v>0.99950609999999995</v>
      </c>
      <c r="N4114">
        <v>0</v>
      </c>
      <c r="O4114">
        <v>2.791283E-2</v>
      </c>
      <c r="P4114">
        <v>0.99922029999999995</v>
      </c>
      <c r="Q4114">
        <v>3.01096E-2</v>
      </c>
      <c r="R4114">
        <v>2.5544029999999999E-2</v>
      </c>
      <c r="S4114">
        <v>3.015854</v>
      </c>
      <c r="T4114">
        <v>-8.3304409999999995E-2</v>
      </c>
      <c r="U4114">
        <v>-0.42460629999999999</v>
      </c>
      <c r="V4114">
        <v>2.3398949999999998E-3</v>
      </c>
      <c r="W4114">
        <v>4.4548850000000001E-2</v>
      </c>
      <c r="X4114">
        <v>0.99900449999999996</v>
      </c>
      <c r="Y4114">
        <v>0.16693229999999901</v>
      </c>
      <c r="Z4114">
        <v>-3.0612360000000002E-3</v>
      </c>
      <c r="AA4114">
        <v>0.98596360000000005</v>
      </c>
      <c r="AB4114">
        <v>32</v>
      </c>
      <c r="AC4114">
        <v>39.8753999999999</v>
      </c>
      <c r="AD4114">
        <v>-1.1103142426320001</v>
      </c>
      <c r="AE4114">
        <v>-5.6685999999999899</v>
      </c>
      <c r="AF4114">
        <v>6.77439381577262</v>
      </c>
      <c r="AG4114">
        <v>-1.1103142426320001</v>
      </c>
      <c r="AH4114">
        <v>39.671467730749498</v>
      </c>
      <c r="AI4114">
        <v>91.580297029361304</v>
      </c>
      <c r="AJ4114">
        <v>80.309506415820707</v>
      </c>
      <c r="AK4114">
        <v>40.261030304755799</v>
      </c>
      <c r="AL4114">
        <v>87.446693973420196</v>
      </c>
      <c r="AM4114">
        <v>89.865800541597906</v>
      </c>
      <c r="AN4114">
        <v>1.00000003308259</v>
      </c>
    </row>
    <row r="4115" spans="1:40" x14ac:dyDescent="0.25">
      <c r="A4115" t="str">
        <f>"20190312160416534"</f>
        <v>20190312160416534</v>
      </c>
      <c r="B4115" t="str">
        <f>"1552377856528964"</f>
        <v>1552377856528964</v>
      </c>
      <c r="C4115" t="s">
        <v>40</v>
      </c>
      <c r="D4115">
        <v>5.2793900000000002</v>
      </c>
      <c r="E4115">
        <v>0.56339169999999905</v>
      </c>
      <c r="F4115" t="s">
        <v>59</v>
      </c>
      <c r="G4115">
        <v>-187.89449999999999</v>
      </c>
      <c r="H4115" s="1">
        <v>4.5981659999999998E-6</v>
      </c>
      <c r="I4115">
        <v>208.04640000000001</v>
      </c>
      <c r="J4115">
        <v>-228.67089999999999</v>
      </c>
      <c r="K4115">
        <v>1.1102970000000001</v>
      </c>
      <c r="L4115">
        <v>213.89259999999999</v>
      </c>
      <c r="M4115">
        <v>0.99950030000000001</v>
      </c>
      <c r="N4115">
        <v>0</v>
      </c>
      <c r="O4115">
        <v>2.811582E-2</v>
      </c>
      <c r="P4115">
        <v>0.99924610000000003</v>
      </c>
      <c r="Q4115">
        <v>2.9502799999999999E-2</v>
      </c>
      <c r="R4115">
        <v>2.5231940000000001E-2</v>
      </c>
      <c r="S4115">
        <v>3.0157470000000002</v>
      </c>
      <c r="T4115">
        <v>-8.1454280000000004E-2</v>
      </c>
      <c r="U4115">
        <v>-0.42819210000000002</v>
      </c>
      <c r="V4115">
        <v>2.8577810000000002E-3</v>
      </c>
      <c r="W4115">
        <v>4.3938619999999998E-2</v>
      </c>
      <c r="X4115">
        <v>0.99903019999999998</v>
      </c>
      <c r="Y4115">
        <v>0.1682892</v>
      </c>
      <c r="Z4115">
        <v>-3.0168230000000001E-3</v>
      </c>
      <c r="AA4115">
        <v>0.98573299999999997</v>
      </c>
      <c r="AB4115">
        <v>32</v>
      </c>
      <c r="AC4115">
        <v>40.776400000000002</v>
      </c>
      <c r="AD4115">
        <v>-1.1102924018339999</v>
      </c>
      <c r="AE4115">
        <v>-5.8461999999999801</v>
      </c>
      <c r="AF4115">
        <v>6.9853951879167004</v>
      </c>
      <c r="AG4115">
        <v>-1.1102924018339999</v>
      </c>
      <c r="AH4115">
        <v>40.566418268263298</v>
      </c>
      <c r="AI4115">
        <v>91.545051257380706</v>
      </c>
      <c r="AJ4115">
        <v>80.229684051232695</v>
      </c>
      <c r="AK4115">
        <v>41.1784262237476</v>
      </c>
      <c r="AL4115">
        <v>87.481691902348302</v>
      </c>
      <c r="AM4115">
        <v>89.836102708944793</v>
      </c>
      <c r="AN4115">
        <v>1.0000000548758901</v>
      </c>
    </row>
    <row r="4116" spans="1:40" x14ac:dyDescent="0.25">
      <c r="A4116" t="str">
        <f>"20190312160416556"</f>
        <v>20190312160416556</v>
      </c>
      <c r="B4116" t="str">
        <f>"1552377856548484"</f>
        <v>1552377856548484</v>
      </c>
      <c r="C4116" t="s">
        <v>40</v>
      </c>
      <c r="D4116">
        <v>5.1417409999999997</v>
      </c>
      <c r="E4116">
        <v>0.56333900000000003</v>
      </c>
      <c r="F4116" t="s">
        <v>59</v>
      </c>
      <c r="G4116">
        <v>-186.68430000000001</v>
      </c>
      <c r="H4116" s="1">
        <v>4.4352359999999996E-6</v>
      </c>
      <c r="I4116">
        <v>207.90010000000001</v>
      </c>
      <c r="J4116">
        <v>-228.36009999999999</v>
      </c>
      <c r="K4116">
        <v>1.1102829999999999</v>
      </c>
      <c r="L4116">
        <v>213.9016</v>
      </c>
      <c r="M4116">
        <v>0.99949569999999999</v>
      </c>
      <c r="N4116">
        <v>0</v>
      </c>
      <c r="O4116">
        <v>2.8283740000000002E-2</v>
      </c>
      <c r="P4116">
        <v>0.99926780000000004</v>
      </c>
      <c r="Q4116">
        <v>2.8948109999999999E-2</v>
      </c>
      <c r="R4116">
        <v>2.5024859999999999E-2</v>
      </c>
      <c r="S4116">
        <v>3.0155029999999998</v>
      </c>
      <c r="T4116">
        <v>-7.9741950000000006E-2</v>
      </c>
      <c r="U4116">
        <v>-0.43038939999999998</v>
      </c>
      <c r="V4116">
        <v>3.2351300000000001E-3</v>
      </c>
      <c r="W4116">
        <v>4.3381259999999998E-2</v>
      </c>
      <c r="X4116">
        <v>0.99905339999999998</v>
      </c>
      <c r="Y4116">
        <v>0.1691724</v>
      </c>
      <c r="Z4116">
        <v>-2.969551E-3</v>
      </c>
      <c r="AA4116">
        <v>0.98558199999999996</v>
      </c>
      <c r="AB4116">
        <v>32</v>
      </c>
      <c r="AC4116">
        <v>41.675799999999903</v>
      </c>
      <c r="AD4116">
        <v>-1.1102785647640001</v>
      </c>
      <c r="AE4116">
        <v>-6.0014999999999903</v>
      </c>
      <c r="AF4116">
        <v>7.1729813446140502</v>
      </c>
      <c r="AG4116">
        <v>-1.1102785647640001</v>
      </c>
      <c r="AH4116">
        <v>41.460532781681103</v>
      </c>
      <c r="AI4116">
        <v>91.511522981953604</v>
      </c>
      <c r="AJ4116">
        <v>80.184563757312503</v>
      </c>
      <c r="AK4116">
        <v>42.091093575748403</v>
      </c>
      <c r="AL4116">
        <v>87.513656739449701</v>
      </c>
      <c r="AM4116">
        <v>89.814465725962805</v>
      </c>
      <c r="AN4116">
        <v>1.0000000479184299</v>
      </c>
    </row>
    <row r="4117" spans="1:40" x14ac:dyDescent="0.25">
      <c r="A4117" t="str">
        <f>"20190312160416578"</f>
        <v>20190312160416578</v>
      </c>
      <c r="B4117" t="str">
        <f>"1552377856568980"</f>
        <v>1552377856568980</v>
      </c>
      <c r="C4117" t="s">
        <v>40</v>
      </c>
      <c r="D4117">
        <v>5.1635879999999998</v>
      </c>
      <c r="E4117">
        <v>0.5633165</v>
      </c>
      <c r="F4117" t="s">
        <v>59</v>
      </c>
      <c r="G4117">
        <v>-184.14500000000001</v>
      </c>
      <c r="H4117" s="1">
        <v>4.094488E-6</v>
      </c>
      <c r="I4117">
        <v>207.5898</v>
      </c>
      <c r="J4117">
        <v>-228.04339999999999</v>
      </c>
      <c r="K4117">
        <v>1.1102590000000001</v>
      </c>
      <c r="L4117">
        <v>213.91069999999999</v>
      </c>
      <c r="M4117">
        <v>0.99949160000000004</v>
      </c>
      <c r="N4117">
        <v>0</v>
      </c>
      <c r="O4117">
        <v>2.8426630000000001E-2</v>
      </c>
      <c r="P4117">
        <v>0.99928870000000003</v>
      </c>
      <c r="Q4117">
        <v>2.873233E-2</v>
      </c>
      <c r="R4117">
        <v>2.4431049999999999E-2</v>
      </c>
      <c r="S4117">
        <v>3.0151669999999999</v>
      </c>
      <c r="T4117">
        <v>-7.5713399999999903E-2</v>
      </c>
      <c r="U4117">
        <v>-0.43041990000000002</v>
      </c>
      <c r="V4117">
        <v>3.974506E-3</v>
      </c>
      <c r="W4117">
        <v>4.3162109999999997E-2</v>
      </c>
      <c r="X4117">
        <v>0.99906019999999895</v>
      </c>
      <c r="Y4117">
        <v>0.169345</v>
      </c>
      <c r="Z4117">
        <v>-2.8256140000000002E-3</v>
      </c>
      <c r="AA4117">
        <v>0.98555280000000001</v>
      </c>
      <c r="AB4117">
        <v>32</v>
      </c>
      <c r="AC4117">
        <v>43.898399999999903</v>
      </c>
      <c r="AD4117">
        <v>-1.1102549055119999</v>
      </c>
      <c r="AE4117">
        <v>-6.3208999999999902</v>
      </c>
      <c r="AF4117">
        <v>7.5616201349939498</v>
      </c>
      <c r="AG4117">
        <v>-1.1102549055119999</v>
      </c>
      <c r="AH4117">
        <v>43.673586798740203</v>
      </c>
      <c r="AI4117">
        <v>91.434900692052906</v>
      </c>
      <c r="AJ4117">
        <v>80.177221908937796</v>
      </c>
      <c r="AK4117">
        <v>44.337263660359703</v>
      </c>
      <c r="AL4117">
        <v>87.526224821378804</v>
      </c>
      <c r="AM4117">
        <v>89.772064568164694</v>
      </c>
      <c r="AN4117">
        <v>1.00000002383081</v>
      </c>
    </row>
    <row r="4118" spans="1:40" x14ac:dyDescent="0.25">
      <c r="A4118" t="str">
        <f>"20190312160416601"</f>
        <v>20190312160416601</v>
      </c>
      <c r="B4118" t="str">
        <f>"1552377856588500"</f>
        <v>1552377856588500</v>
      </c>
      <c r="C4118" t="s">
        <v>40</v>
      </c>
      <c r="D4118">
        <v>5.0803799999999999</v>
      </c>
      <c r="E4118">
        <v>0.56333459999999902</v>
      </c>
      <c r="F4118" t="s">
        <v>59</v>
      </c>
      <c r="G4118">
        <v>-181.054</v>
      </c>
      <c r="H4118" s="1">
        <v>3.5240620000000001E-6</v>
      </c>
      <c r="I4118">
        <v>207.1782</v>
      </c>
      <c r="J4118">
        <v>-227.7234</v>
      </c>
      <c r="K4118">
        <v>1.1102320000000001</v>
      </c>
      <c r="L4118">
        <v>213.91990000000001</v>
      </c>
      <c r="M4118">
        <v>0.99948870000000001</v>
      </c>
      <c r="N4118">
        <v>0</v>
      </c>
      <c r="O4118">
        <v>2.8537070000000001E-2</v>
      </c>
      <c r="P4118">
        <v>0.99928899999999998</v>
      </c>
      <c r="Q4118">
        <v>2.877443E-2</v>
      </c>
      <c r="R4118">
        <v>2.4369769999999999E-2</v>
      </c>
      <c r="S4118">
        <v>3.0147550000000001</v>
      </c>
      <c r="T4118">
        <v>-7.1231959999999997E-2</v>
      </c>
      <c r="U4118">
        <v>-0.43194579999999999</v>
      </c>
      <c r="V4118">
        <v>4.1488810000000001E-3</v>
      </c>
      <c r="W4118">
        <v>4.3200700000000002E-2</v>
      </c>
      <c r="X4118">
        <v>0.9990578</v>
      </c>
      <c r="Y4118">
        <v>0.16996829999999999</v>
      </c>
      <c r="Z4118">
        <v>-2.6686040000000002E-3</v>
      </c>
      <c r="AA4118">
        <v>0.98544589999999999</v>
      </c>
      <c r="AB4118">
        <v>32</v>
      </c>
      <c r="AC4118">
        <v>46.669400000000003</v>
      </c>
      <c r="AD4118">
        <v>-1.1102284759379999</v>
      </c>
      <c r="AE4118">
        <v>-6.7416999999999998</v>
      </c>
      <c r="AF4118">
        <v>8.0664285221879695</v>
      </c>
      <c r="AG4118">
        <v>-1.1102284759379999</v>
      </c>
      <c r="AH4118">
        <v>46.432240738674601</v>
      </c>
      <c r="AI4118">
        <v>91.349517169426207</v>
      </c>
      <c r="AJ4118">
        <v>80.144666155510293</v>
      </c>
      <c r="AK4118">
        <v>47.140777002363699</v>
      </c>
      <c r="AL4118">
        <v>87.524011655754904</v>
      </c>
      <c r="AM4118">
        <v>89.762063812018297</v>
      </c>
      <c r="AN4118">
        <v>1.0000000007174401</v>
      </c>
    </row>
    <row r="4119" spans="1:40" x14ac:dyDescent="0.25">
      <c r="A4119" t="str">
        <f>"20190312160416623"</f>
        <v>20190312160416623</v>
      </c>
      <c r="B4119" t="str">
        <f>"1552377856618755"</f>
        <v>1552377856618755</v>
      </c>
      <c r="C4119" t="s">
        <v>40</v>
      </c>
      <c r="D4119">
        <v>5.0433919999999999</v>
      </c>
      <c r="E4119">
        <v>0.56329790000000002</v>
      </c>
      <c r="F4119" t="s">
        <v>59</v>
      </c>
      <c r="G4119">
        <v>-179.94220000000001</v>
      </c>
      <c r="H4119">
        <v>6.5545740000000005E-2</v>
      </c>
      <c r="I4119">
        <v>207.0685</v>
      </c>
      <c r="J4119">
        <v>-227.40170000000001</v>
      </c>
      <c r="K4119">
        <v>1.1102000000000001</v>
      </c>
      <c r="L4119">
        <v>213.92920000000001</v>
      </c>
      <c r="M4119">
        <v>0.9994864</v>
      </c>
      <c r="N4119">
        <v>0</v>
      </c>
      <c r="O4119">
        <v>2.8613300000000001E-2</v>
      </c>
      <c r="P4119">
        <v>0.9992896</v>
      </c>
      <c r="Q4119">
        <v>2.8825090000000001E-2</v>
      </c>
      <c r="R4119">
        <v>2.4280610000000001E-2</v>
      </c>
      <c r="S4119">
        <v>3.0145569999999999</v>
      </c>
      <c r="T4119">
        <v>-6.5910099999999999E-2</v>
      </c>
      <c r="U4119">
        <v>-0.43226619999999999</v>
      </c>
      <c r="V4119">
        <v>4.3173459999999997E-3</v>
      </c>
      <c r="W4119">
        <v>4.3247389999999997E-2</v>
      </c>
      <c r="X4119">
        <v>0.99905509999999997</v>
      </c>
      <c r="Y4119">
        <v>0.17016300000000001</v>
      </c>
      <c r="Z4119">
        <v>-2.473196E-3</v>
      </c>
      <c r="AA4119">
        <v>0.98541279999999998</v>
      </c>
      <c r="AB4119">
        <v>32</v>
      </c>
      <c r="AC4119">
        <v>47.459499999999899</v>
      </c>
      <c r="AD4119">
        <v>-1.0446542599999999</v>
      </c>
      <c r="AE4119">
        <v>-6.8606999999999996</v>
      </c>
      <c r="AF4119">
        <v>8.21210728139501</v>
      </c>
      <c r="AG4119">
        <v>-1.0446542599999999</v>
      </c>
      <c r="AH4119">
        <v>47.221325547550201</v>
      </c>
      <c r="AI4119">
        <v>91.248585622019306</v>
      </c>
      <c r="AJ4119">
        <v>80.134543031785796</v>
      </c>
      <c r="AK4119">
        <v>47.941460084062797</v>
      </c>
      <c r="AL4119">
        <v>87.521334097153101</v>
      </c>
      <c r="AM4119">
        <v>89.7524018798523</v>
      </c>
      <c r="AN4119">
        <v>1.00000003452715</v>
      </c>
    </row>
    <row r="4120" spans="1:40" x14ac:dyDescent="0.25">
      <c r="A4120" t="str">
        <f>"20190312160416646"</f>
        <v>20190312160416646</v>
      </c>
      <c r="B4120" t="str">
        <f>"1552377856639264"</f>
        <v>1552377856639264</v>
      </c>
      <c r="C4120" t="s">
        <v>40</v>
      </c>
      <c r="D4120">
        <v>5.0590339999999996</v>
      </c>
      <c r="E4120">
        <v>0.56329849999999904</v>
      </c>
      <c r="F4120" t="s">
        <v>55</v>
      </c>
      <c r="G4120">
        <v>-168.41079999999999</v>
      </c>
      <c r="H4120">
        <v>-3.0103680000000001E-2</v>
      </c>
      <c r="I4120">
        <v>205.46850000000001</v>
      </c>
      <c r="J4120">
        <v>-227.0788</v>
      </c>
      <c r="K4120">
        <v>1.110177</v>
      </c>
      <c r="L4120">
        <v>213.9385</v>
      </c>
      <c r="M4120">
        <v>0.99948510000000002</v>
      </c>
      <c r="N4120">
        <v>0</v>
      </c>
      <c r="O4120">
        <v>2.8659750000000001E-2</v>
      </c>
      <c r="P4120">
        <v>0.9993109</v>
      </c>
      <c r="Q4120">
        <v>2.8696240000000001E-2</v>
      </c>
      <c r="R4120">
        <v>2.3548079999999999E-2</v>
      </c>
      <c r="S4120">
        <v>3.0143279999999999</v>
      </c>
      <c r="T4120">
        <v>-5.8265690000000002E-2</v>
      </c>
      <c r="U4120">
        <v>-0.43232730000000003</v>
      </c>
      <c r="V4120">
        <v>5.0993649999999998E-3</v>
      </c>
      <c r="W4120">
        <v>4.3114949999999999E-2</v>
      </c>
      <c r="X4120">
        <v>0.99905710000000003</v>
      </c>
      <c r="Y4120">
        <v>0.17024890000000001</v>
      </c>
      <c r="Z4120">
        <v>-2.1882870000000001E-3</v>
      </c>
      <c r="AA4120">
        <v>0.98539869999999996</v>
      </c>
      <c r="AB4120">
        <v>32</v>
      </c>
      <c r="AC4120">
        <v>58.667999999999999</v>
      </c>
      <c r="AD4120">
        <v>-1.14028068</v>
      </c>
      <c r="AE4120">
        <v>-8.46999999999999</v>
      </c>
      <c r="AF4120">
        <v>10.144351316988301</v>
      </c>
      <c r="AG4120">
        <v>-1.14028068</v>
      </c>
      <c r="AH4120">
        <v>58.379518866241</v>
      </c>
      <c r="AI4120">
        <v>91.102454505122495</v>
      </c>
      <c r="AJ4120">
        <v>80.142393906899898</v>
      </c>
      <c r="AK4120">
        <v>59.265304578019801</v>
      </c>
      <c r="AL4120">
        <v>87.528929338539101</v>
      </c>
      <c r="AM4120">
        <v>89.707554697871998</v>
      </c>
      <c r="AN4120">
        <v>0.99999999574865694</v>
      </c>
    </row>
    <row r="4121" spans="1:40" x14ac:dyDescent="0.25">
      <c r="A4121" t="str">
        <f>"20190312160416668"</f>
        <v>20190312160416668</v>
      </c>
      <c r="B4121" t="str">
        <f>"1552377856659279"</f>
        <v>1552377856659279</v>
      </c>
      <c r="C4121" t="s">
        <v>40</v>
      </c>
      <c r="D4121">
        <v>5.1053439999999997</v>
      </c>
      <c r="E4121">
        <v>0.56331419999999999</v>
      </c>
      <c r="F4121" t="s">
        <v>55</v>
      </c>
      <c r="G4121">
        <v>-168.41079999999999</v>
      </c>
      <c r="H4121">
        <v>5.0489430000000002E-2</v>
      </c>
      <c r="I4121">
        <v>205.48429999999999</v>
      </c>
      <c r="J4121">
        <v>-226.76419999999999</v>
      </c>
      <c r="K4121">
        <v>1.11016</v>
      </c>
      <c r="L4121">
        <v>213.94759999999999</v>
      </c>
      <c r="M4121">
        <v>0.9994847</v>
      </c>
      <c r="N4121">
        <v>0</v>
      </c>
      <c r="O4121">
        <v>2.868163E-2</v>
      </c>
      <c r="P4121">
        <v>0.9993358</v>
      </c>
      <c r="Q4121">
        <v>2.8400379999999999E-2</v>
      </c>
      <c r="R4121">
        <v>2.2841179999999999E-2</v>
      </c>
      <c r="S4121">
        <v>3.0138850000000001</v>
      </c>
      <c r="T4121">
        <v>-5.4436560000000002E-2</v>
      </c>
      <c r="U4121">
        <v>-0.4343109</v>
      </c>
      <c r="V4121">
        <v>5.8309499999999997E-3</v>
      </c>
      <c r="W4121">
        <v>4.2815289999999999E-2</v>
      </c>
      <c r="X4121">
        <v>0.99906600000000001</v>
      </c>
      <c r="Y4121">
        <v>0.17093069999999999</v>
      </c>
      <c r="Z4121">
        <v>-2.0512220000000001E-3</v>
      </c>
      <c r="AA4121">
        <v>0.98528090000000002</v>
      </c>
      <c r="AB4121">
        <v>32</v>
      </c>
      <c r="AC4121">
        <v>58.353399999999901</v>
      </c>
      <c r="AD4121">
        <v>-1.05967057</v>
      </c>
      <c r="AE4121">
        <v>-8.4633000000000003</v>
      </c>
      <c r="AF4121">
        <v>10.1303900566342</v>
      </c>
      <c r="AG4121">
        <v>-1.05967057</v>
      </c>
      <c r="AH4121">
        <v>58.067867361004801</v>
      </c>
      <c r="AI4121">
        <v>91.029912767245193</v>
      </c>
      <c r="AJ4121">
        <v>80.103902153636298</v>
      </c>
      <c r="AK4121">
        <v>58.954430912966401</v>
      </c>
      <c r="AL4121">
        <v>87.546114497875394</v>
      </c>
      <c r="AM4121">
        <v>89.665602640657397</v>
      </c>
      <c r="AN4121">
        <v>1.00000001069584</v>
      </c>
    </row>
    <row r="4122" spans="1:40" x14ac:dyDescent="0.25">
      <c r="A4122" t="str">
        <f>"20190312160416690"</f>
        <v>20190312160416690</v>
      </c>
      <c r="B4122" t="str">
        <f>"1552377856678799"</f>
        <v>1552377856678799</v>
      </c>
      <c r="C4122" t="s">
        <v>40</v>
      </c>
      <c r="D4122">
        <v>5.0529960000000003</v>
      </c>
      <c r="E4122">
        <v>0.56335679999999999</v>
      </c>
      <c r="F4122" t="s">
        <v>55</v>
      </c>
      <c r="G4122">
        <v>-168.4109</v>
      </c>
      <c r="H4122">
        <v>0.1191025</v>
      </c>
      <c r="I4122">
        <v>205.49279999999999</v>
      </c>
      <c r="J4122">
        <v>-226.43729999999999</v>
      </c>
      <c r="K4122">
        <v>1.110142</v>
      </c>
      <c r="L4122">
        <v>213.95699999999999</v>
      </c>
      <c r="M4122">
        <v>0.9994845</v>
      </c>
      <c r="N4122">
        <v>0</v>
      </c>
      <c r="O4122">
        <v>2.8685559999999999E-2</v>
      </c>
      <c r="P4122">
        <v>0.99933479999999997</v>
      </c>
      <c r="Q4122">
        <v>2.8813390000000001E-2</v>
      </c>
      <c r="R4122">
        <v>2.2356379999999999E-2</v>
      </c>
      <c r="S4122">
        <v>3.0134280000000002</v>
      </c>
      <c r="T4122">
        <v>-5.1177500000000001E-2</v>
      </c>
      <c r="U4122">
        <v>-0.43661499999999998</v>
      </c>
      <c r="V4122">
        <v>6.3212279999999999E-3</v>
      </c>
      <c r="W4122">
        <v>4.3224520000000002E-2</v>
      </c>
      <c r="X4122">
        <v>0.99904539999999997</v>
      </c>
      <c r="Y4122">
        <v>0.17169719999999999</v>
      </c>
      <c r="Z4122">
        <v>-1.935162E-3</v>
      </c>
      <c r="AA4122">
        <v>0.98514789999999997</v>
      </c>
      <c r="AB4122">
        <v>32</v>
      </c>
      <c r="AC4122">
        <v>58.026400000000002</v>
      </c>
      <c r="AD4122">
        <v>-0.99103949999999996</v>
      </c>
      <c r="AE4122">
        <v>-8.4641999999999999</v>
      </c>
      <c r="AF4122">
        <v>10.122517755300899</v>
      </c>
      <c r="AG4122">
        <v>-0.99103949999999996</v>
      </c>
      <c r="AH4122">
        <v>57.743198175731699</v>
      </c>
      <c r="AI4122">
        <v>90.968498041164196</v>
      </c>
      <c r="AJ4122">
        <v>80.056947301340003</v>
      </c>
      <c r="AK4122">
        <v>58.632111172622501</v>
      </c>
      <c r="AL4122">
        <v>87.522645627563406</v>
      </c>
      <c r="AM4122">
        <v>89.637479084884205</v>
      </c>
      <c r="AN4122">
        <v>1.0000000141569001</v>
      </c>
    </row>
    <row r="4123" spans="1:40" x14ac:dyDescent="0.25">
      <c r="A4123" t="str">
        <f>"20190312160416712"</f>
        <v>20190312160416712</v>
      </c>
      <c r="B4123" t="str">
        <f>"1552377856709057"</f>
        <v>1552377856709057</v>
      </c>
      <c r="C4123" t="s">
        <v>40</v>
      </c>
      <c r="D4123">
        <v>5.4744590000000004</v>
      </c>
      <c r="E4123">
        <v>0.56346350000000001</v>
      </c>
      <c r="F4123" t="s">
        <v>55</v>
      </c>
      <c r="G4123">
        <v>-168.4109</v>
      </c>
      <c r="H4123">
        <v>0.23028370000000001</v>
      </c>
      <c r="I4123">
        <v>205.51390000000001</v>
      </c>
      <c r="J4123">
        <v>-226.12049999999999</v>
      </c>
      <c r="K4123">
        <v>1.1101350000000001</v>
      </c>
      <c r="L4123">
        <v>213.96610000000001</v>
      </c>
      <c r="M4123">
        <v>0.99948490000000001</v>
      </c>
      <c r="N4123">
        <v>0</v>
      </c>
      <c r="O4123">
        <v>2.8675909999999999E-2</v>
      </c>
      <c r="P4123">
        <v>0.99931749999999997</v>
      </c>
      <c r="Q4123">
        <v>2.964114E-2</v>
      </c>
      <c r="R4123">
        <v>2.2044069999999999E-2</v>
      </c>
      <c r="S4123">
        <v>3.0131070000000002</v>
      </c>
      <c r="T4123">
        <v>-4.5686240000000003E-2</v>
      </c>
      <c r="U4123">
        <v>-0.43841550000000001</v>
      </c>
      <c r="V4123">
        <v>6.6244909999999997E-3</v>
      </c>
      <c r="W4123">
        <v>4.4048179999999999E-2</v>
      </c>
      <c r="X4123">
        <v>0.99900750000000005</v>
      </c>
      <c r="Y4123">
        <v>0.17228479999999999</v>
      </c>
      <c r="Z4123">
        <v>-1.731942E-3</v>
      </c>
      <c r="AA4123">
        <v>0.98504570000000002</v>
      </c>
      <c r="AB4123">
        <v>32</v>
      </c>
      <c r="AC4123">
        <v>57.709600000000002</v>
      </c>
      <c r="AD4123">
        <v>-0.8798513</v>
      </c>
      <c r="AE4123">
        <v>-8.4521999999999995</v>
      </c>
      <c r="AF4123">
        <v>10.101471790176801</v>
      </c>
      <c r="AG4123">
        <v>-0.8798513</v>
      </c>
      <c r="AH4123">
        <v>57.430393838032202</v>
      </c>
      <c r="AI4123">
        <v>90.864452205401903</v>
      </c>
      <c r="AJ4123">
        <v>80.024245468532001</v>
      </c>
      <c r="AK4123">
        <v>58.318642019763601</v>
      </c>
      <c r="AL4123">
        <v>87.475408495327898</v>
      </c>
      <c r="AM4123">
        <v>89.620073109850694</v>
      </c>
      <c r="AN4123">
        <v>1.0000000555492801</v>
      </c>
    </row>
    <row r="4124" spans="1:40" x14ac:dyDescent="0.25">
      <c r="A4124" t="str">
        <f>"20190312160416735"</f>
        <v>20190312160416735</v>
      </c>
      <c r="B4124" t="str">
        <f>"1552377856729552"</f>
        <v>1552377856729552</v>
      </c>
      <c r="C4124" t="s">
        <v>40</v>
      </c>
      <c r="D4124">
        <v>4.7752679999999996</v>
      </c>
      <c r="E4124">
        <v>0.56351549999999995</v>
      </c>
      <c r="F4124" t="s">
        <v>55</v>
      </c>
      <c r="G4124">
        <v>-168.4109</v>
      </c>
      <c r="H4124">
        <v>0.39822580000000002</v>
      </c>
      <c r="I4124">
        <v>205.53139999999999</v>
      </c>
      <c r="J4124">
        <v>-225.80109999999999</v>
      </c>
      <c r="K4124">
        <v>1.1101259999999999</v>
      </c>
      <c r="L4124">
        <v>213.9752</v>
      </c>
      <c r="M4124">
        <v>0.99948570000000003</v>
      </c>
      <c r="N4124">
        <v>0</v>
      </c>
      <c r="O4124">
        <v>2.8647079999999998E-2</v>
      </c>
      <c r="P4124">
        <v>0.99932730000000003</v>
      </c>
      <c r="Q4124">
        <v>2.976475E-2</v>
      </c>
      <c r="R4124">
        <v>2.142575E-2</v>
      </c>
      <c r="S4124">
        <v>3.0128629999999998</v>
      </c>
      <c r="T4124">
        <v>-3.7165160000000003E-2</v>
      </c>
      <c r="U4124">
        <v>-0.44035340000000001</v>
      </c>
      <c r="V4124">
        <v>7.2154119999999896E-3</v>
      </c>
      <c r="W4124">
        <v>4.4168230000000003E-2</v>
      </c>
      <c r="X4124">
        <v>0.99899800000000005</v>
      </c>
      <c r="Y4124">
        <v>0.17289570000000001</v>
      </c>
      <c r="Z4124">
        <v>-1.412382E-3</v>
      </c>
      <c r="AA4124">
        <v>0.98493909999999996</v>
      </c>
      <c r="AB4124">
        <v>32</v>
      </c>
      <c r="AC4124">
        <v>57.390199999999901</v>
      </c>
      <c r="AD4124">
        <v>-0.71190019999999998</v>
      </c>
      <c r="AE4124">
        <v>-8.4438000000000102</v>
      </c>
      <c r="AF4124">
        <v>10.0830476056798</v>
      </c>
      <c r="AG4124">
        <v>-0.71190019999999998</v>
      </c>
      <c r="AH4124">
        <v>57.116123735934899</v>
      </c>
      <c r="AI4124">
        <v>90.703229604712305</v>
      </c>
      <c r="AJ4124">
        <v>79.988389904561402</v>
      </c>
      <c r="AK4124">
        <v>58.003674379575202</v>
      </c>
      <c r="AL4124">
        <v>87.468523167561898</v>
      </c>
      <c r="AM4124">
        <v>89.586179885758199</v>
      </c>
      <c r="AN4124">
        <v>0.99999994935782999</v>
      </c>
    </row>
    <row r="4125" spans="1:40" x14ac:dyDescent="0.25">
      <c r="A4125" t="str">
        <f>"20190312160416756"</f>
        <v>20190312160416756</v>
      </c>
      <c r="B4125" t="str">
        <f>"1552377856749075"</f>
        <v>1552377856749075</v>
      </c>
      <c r="C4125" t="s">
        <v>40</v>
      </c>
      <c r="D4125">
        <v>5.1748510000000003</v>
      </c>
      <c r="E4125">
        <v>0.563612</v>
      </c>
      <c r="F4125" t="s">
        <v>55</v>
      </c>
      <c r="G4125">
        <v>-168.4109</v>
      </c>
      <c r="H4125">
        <v>0.47893330000000001</v>
      </c>
      <c r="I4125">
        <v>205.5437</v>
      </c>
      <c r="J4125">
        <v>-225.48939999999999</v>
      </c>
      <c r="K4125">
        <v>1.110106</v>
      </c>
      <c r="L4125">
        <v>213.98410000000001</v>
      </c>
      <c r="M4125">
        <v>0.99948749999999997</v>
      </c>
      <c r="N4125">
        <v>0</v>
      </c>
      <c r="O4125">
        <v>2.8590580000000001E-2</v>
      </c>
      <c r="P4125">
        <v>0.99934630000000002</v>
      </c>
      <c r="Q4125">
        <v>2.9557190000000001E-2</v>
      </c>
      <c r="R4125">
        <v>2.0827849999999998E-2</v>
      </c>
      <c r="S4125">
        <v>3.0124970000000002</v>
      </c>
      <c r="T4125">
        <v>-3.3130409999999999E-2</v>
      </c>
      <c r="U4125">
        <v>-0.44258120000000001</v>
      </c>
      <c r="V4125">
        <v>7.7594019999999899E-3</v>
      </c>
      <c r="W4125">
        <v>4.3957200000000002E-2</v>
      </c>
      <c r="X4125">
        <v>0.99900330000000004</v>
      </c>
      <c r="Y4125">
        <v>0.17357330000000001</v>
      </c>
      <c r="Z4125">
        <v>-1.2622309999999999E-3</v>
      </c>
      <c r="AA4125">
        <v>0.98482009999999998</v>
      </c>
      <c r="AB4125">
        <v>32</v>
      </c>
      <c r="AC4125">
        <v>57.078499999999899</v>
      </c>
      <c r="AD4125">
        <v>-0.63117270000000003</v>
      </c>
      <c r="AE4125">
        <v>-8.4404000000000092</v>
      </c>
      <c r="AF4125">
        <v>10.0678207671367</v>
      </c>
      <c r="AG4125">
        <v>-0.63117270000000003</v>
      </c>
      <c r="AH4125">
        <v>56.807023196487698</v>
      </c>
      <c r="AI4125">
        <v>90.626809871632503</v>
      </c>
      <c r="AJ4125">
        <v>79.949914703079003</v>
      </c>
      <c r="AK4125">
        <v>57.695730157635701</v>
      </c>
      <c r="AL4125">
        <v>87.480626225781293</v>
      </c>
      <c r="AM4125">
        <v>89.554984406793295</v>
      </c>
      <c r="AN4125">
        <v>1.00000001858106</v>
      </c>
    </row>
    <row r="4126" spans="1:40" x14ac:dyDescent="0.25">
      <c r="A4126" t="str">
        <f>"20190312160416779"</f>
        <v>20190312160416779</v>
      </c>
      <c r="B4126" t="str">
        <f>"1552377856769568"</f>
        <v>1552377856769568</v>
      </c>
      <c r="C4126" t="s">
        <v>40</v>
      </c>
      <c r="D4126">
        <v>5.1296010000000001</v>
      </c>
      <c r="E4126">
        <v>0.56376289999999996</v>
      </c>
      <c r="F4126" t="s">
        <v>55</v>
      </c>
      <c r="G4126">
        <v>-168.41099999999901</v>
      </c>
      <c r="H4126">
        <v>0.52879909999999997</v>
      </c>
      <c r="I4126">
        <v>205.55179999999999</v>
      </c>
      <c r="J4126">
        <v>-225.17169999999999</v>
      </c>
      <c r="K4126">
        <v>1.1100779999999999</v>
      </c>
      <c r="L4126">
        <v>213.9931</v>
      </c>
      <c r="M4126">
        <v>0.99949010000000005</v>
      </c>
      <c r="N4126">
        <v>0</v>
      </c>
      <c r="O4126">
        <v>2.8496819999999999E-2</v>
      </c>
      <c r="P4126">
        <v>0.99936119999999995</v>
      </c>
      <c r="Q4126">
        <v>2.9432630000000001E-2</v>
      </c>
      <c r="R4126">
        <v>2.0277460000000001E-2</v>
      </c>
      <c r="S4126">
        <v>3.0121609999999999</v>
      </c>
      <c r="T4126">
        <v>-3.0675170000000002E-2</v>
      </c>
      <c r="U4126">
        <v>-0.4449921</v>
      </c>
      <c r="V4126">
        <v>8.2196300000000003E-3</v>
      </c>
      <c r="W4126">
        <v>4.3828579999999999E-2</v>
      </c>
      <c r="X4126">
        <v>0.99900529999999998</v>
      </c>
      <c r="Y4126">
        <v>0.174269799999999</v>
      </c>
      <c r="Z4126">
        <v>-1.171334E-3</v>
      </c>
      <c r="AA4126">
        <v>0.98469720000000005</v>
      </c>
      <c r="AB4126">
        <v>32</v>
      </c>
      <c r="AC4126">
        <v>56.7607</v>
      </c>
      <c r="AD4126">
        <v>-0.58127890000000004</v>
      </c>
      <c r="AE4126">
        <v>-8.4413000000000107</v>
      </c>
      <c r="AF4126">
        <v>10.0545067502843</v>
      </c>
      <c r="AG4126">
        <v>-0.58127890000000004</v>
      </c>
      <c r="AH4126">
        <v>56.491272227329901</v>
      </c>
      <c r="AI4126">
        <v>90.580415334842797</v>
      </c>
      <c r="AJ4126">
        <v>79.9079839891902</v>
      </c>
      <c r="AK4126">
        <v>57.382007885864297</v>
      </c>
      <c r="AL4126">
        <v>87.488002792120099</v>
      </c>
      <c r="AM4126">
        <v>89.528591608774093</v>
      </c>
      <c r="AN4126">
        <v>1.0000000480851201</v>
      </c>
    </row>
    <row r="4127" spans="1:40" x14ac:dyDescent="0.25">
      <c r="A4127" t="str">
        <f>"20190312160416803"</f>
        <v>20190312160416803</v>
      </c>
      <c r="B4127" t="str">
        <f>"1552377856798848"</f>
        <v>1552377856798848</v>
      </c>
      <c r="C4127" t="s">
        <v>40</v>
      </c>
      <c r="D4127">
        <v>5.2050700000000001</v>
      </c>
      <c r="E4127">
        <v>0.56399940000000004</v>
      </c>
      <c r="F4127" t="s">
        <v>55</v>
      </c>
      <c r="G4127">
        <v>-168.41099999999901</v>
      </c>
      <c r="H4127">
        <v>0.57906150000000001</v>
      </c>
      <c r="I4127">
        <v>205.55619999999999</v>
      </c>
      <c r="J4127">
        <v>-224.83930000000001</v>
      </c>
      <c r="K4127">
        <v>1.110036</v>
      </c>
      <c r="L4127">
        <v>214.0025</v>
      </c>
      <c r="M4127">
        <v>0.99949429999999995</v>
      </c>
      <c r="N4127">
        <v>0</v>
      </c>
      <c r="O4127">
        <v>2.8349719999999998E-2</v>
      </c>
      <c r="P4127">
        <v>0.99936689999999995</v>
      </c>
      <c r="Q4127">
        <v>2.939141E-2</v>
      </c>
      <c r="R4127">
        <v>2.0059489999999999E-2</v>
      </c>
      <c r="S4127">
        <v>3.0118100000000001</v>
      </c>
      <c r="T4127">
        <v>-2.817476E-2</v>
      </c>
      <c r="U4127">
        <v>-0.44767760000000001</v>
      </c>
      <c r="V4127">
        <v>8.2948819999999999E-3</v>
      </c>
      <c r="W4127">
        <v>4.3783320000000001E-2</v>
      </c>
      <c r="X4127">
        <v>0.99900659999999997</v>
      </c>
      <c r="Y4127">
        <v>0.17500209999999999</v>
      </c>
      <c r="Z4127">
        <v>-1.0779520000000001E-3</v>
      </c>
      <c r="AA4127">
        <v>0.98456750000000004</v>
      </c>
      <c r="AB4127">
        <v>32</v>
      </c>
      <c r="AC4127">
        <v>56.4283</v>
      </c>
      <c r="AD4127">
        <v>-0.53097450000000002</v>
      </c>
      <c r="AE4127">
        <v>-8.4463000000000008</v>
      </c>
      <c r="AF4127">
        <v>10.041927235984501</v>
      </c>
      <c r="AG4127">
        <v>-0.53097450000000002</v>
      </c>
      <c r="AH4127">
        <v>56.161276048252297</v>
      </c>
      <c r="AI4127">
        <v>90.533228045227801</v>
      </c>
      <c r="AJ4127">
        <v>79.8623496124643</v>
      </c>
      <c r="AK4127">
        <v>57.054457879296898</v>
      </c>
      <c r="AL4127">
        <v>87.490598333569494</v>
      </c>
      <c r="AM4127">
        <v>89.524276607598296</v>
      </c>
      <c r="AN4127">
        <v>0.999999985510588</v>
      </c>
    </row>
    <row r="4128" spans="1:40" x14ac:dyDescent="0.25">
      <c r="A4128" t="str">
        <f>"20190312160416825"</f>
        <v>20190312160416825</v>
      </c>
      <c r="B4128" t="str">
        <f>"1552377856819357"</f>
        <v>1552377856819357</v>
      </c>
      <c r="C4128" t="s">
        <v>40</v>
      </c>
      <c r="D4128">
        <v>5.1826080000000001</v>
      </c>
      <c r="E4128">
        <v>0.5644941</v>
      </c>
      <c r="F4128" t="s">
        <v>55</v>
      </c>
      <c r="G4128">
        <v>-168.41099999999901</v>
      </c>
      <c r="H4128">
        <v>0.6578484</v>
      </c>
      <c r="I4128">
        <v>205.56020000000001</v>
      </c>
      <c r="J4128">
        <v>-224.52629999999999</v>
      </c>
      <c r="K4128">
        <v>1.109985</v>
      </c>
      <c r="L4128">
        <v>214.0111</v>
      </c>
      <c r="M4128">
        <v>0.9994999</v>
      </c>
      <c r="N4128">
        <v>0</v>
      </c>
      <c r="O4128">
        <v>2.8153859999999999E-2</v>
      </c>
      <c r="P4128">
        <v>0.99938709999999997</v>
      </c>
      <c r="Q4128">
        <v>2.922025E-2</v>
      </c>
      <c r="R4128">
        <v>1.927531E-2</v>
      </c>
      <c r="S4128">
        <v>3.011673</v>
      </c>
      <c r="T4128">
        <v>-2.4132250000000001E-2</v>
      </c>
      <c r="U4128">
        <v>-0.4505768</v>
      </c>
      <c r="V4128">
        <v>8.8884159999999997E-3</v>
      </c>
      <c r="W4128">
        <v>4.360754E-2</v>
      </c>
      <c r="X4128">
        <v>0.99900919999999904</v>
      </c>
      <c r="Y4128">
        <v>0.17574519999999999</v>
      </c>
      <c r="Z4128">
        <v>-9.2466789999999998E-4</v>
      </c>
      <c r="AA4128">
        <v>0.98443530000000001</v>
      </c>
      <c r="AB4128">
        <v>32</v>
      </c>
      <c r="AC4128">
        <v>56.115299999999998</v>
      </c>
      <c r="AD4128">
        <v>-0.4521366</v>
      </c>
      <c r="AE4128">
        <v>-8.4508999999999901</v>
      </c>
      <c r="AF4128">
        <v>10.026938957338</v>
      </c>
      <c r="AG4128">
        <v>-0.4521366</v>
      </c>
      <c r="AH4128">
        <v>55.851555788210398</v>
      </c>
      <c r="AI4128">
        <v>90.456519676018502</v>
      </c>
      <c r="AJ4128">
        <v>79.822202604595802</v>
      </c>
      <c r="AK4128">
        <v>56.746279316998603</v>
      </c>
      <c r="AL4128">
        <v>87.500679454504706</v>
      </c>
      <c r="AM4128">
        <v>89.490239643471298</v>
      </c>
      <c r="AN4128">
        <v>1.0000000015842401</v>
      </c>
    </row>
    <row r="4129" spans="1:40" x14ac:dyDescent="0.25">
      <c r="A4129" t="str">
        <f>"20190312160416847"</f>
        <v>20190312160416847</v>
      </c>
      <c r="B4129" t="str">
        <f>"1552377856838863"</f>
        <v>1552377856838863</v>
      </c>
      <c r="C4129" t="s">
        <v>40</v>
      </c>
      <c r="D4129">
        <v>5.2454340000000004</v>
      </c>
      <c r="E4129">
        <v>0.56491919999999995</v>
      </c>
      <c r="F4129" t="s">
        <v>55</v>
      </c>
      <c r="G4129">
        <v>-168.41099999999901</v>
      </c>
      <c r="H4129">
        <v>0.64033890000000004</v>
      </c>
      <c r="I4129">
        <v>205.50229999999999</v>
      </c>
      <c r="J4129">
        <v>-224.21289999999999</v>
      </c>
      <c r="K4129">
        <v>1.109936</v>
      </c>
      <c r="L4129">
        <v>214.0197</v>
      </c>
      <c r="M4129">
        <v>0.99950720000000004</v>
      </c>
      <c r="N4129">
        <v>0</v>
      </c>
      <c r="O4129">
        <v>2.7893540000000001E-2</v>
      </c>
      <c r="P4129">
        <v>0.99941869999999999</v>
      </c>
      <c r="Q4129">
        <v>2.8845920000000001E-2</v>
      </c>
      <c r="R4129">
        <v>1.817264E-2</v>
      </c>
      <c r="S4129">
        <v>3.011368</v>
      </c>
      <c r="T4129">
        <v>-2.5201319999999999E-2</v>
      </c>
      <c r="U4129">
        <v>-0.45661930000000001</v>
      </c>
      <c r="V4129">
        <v>9.7361800000000005E-3</v>
      </c>
      <c r="W4129">
        <v>4.3229280000000002E-2</v>
      </c>
      <c r="X4129">
        <v>0.99901770000000001</v>
      </c>
      <c r="Y4129">
        <v>0.17743399999999901</v>
      </c>
      <c r="Z4129">
        <v>-9.7044299999999998E-4</v>
      </c>
      <c r="AA4129">
        <v>0.98413220000000001</v>
      </c>
      <c r="AB4129">
        <v>32</v>
      </c>
      <c r="AC4129">
        <v>55.801900000000003</v>
      </c>
      <c r="AD4129">
        <v>-0.46959709999999899</v>
      </c>
      <c r="AE4129">
        <v>-8.5174000000000092</v>
      </c>
      <c r="AF4129">
        <v>10.0700621614388</v>
      </c>
      <c r="AG4129">
        <v>-0.46959709999999899</v>
      </c>
      <c r="AH4129">
        <v>55.538734207243401</v>
      </c>
      <c r="AI4129">
        <v>90.4766702567414</v>
      </c>
      <c r="AJ4129">
        <v>79.723007128230805</v>
      </c>
      <c r="AK4129">
        <v>56.446236993394002</v>
      </c>
      <c r="AL4129">
        <v>87.522372521093203</v>
      </c>
      <c r="AM4129">
        <v>89.441627147985201</v>
      </c>
      <c r="AN4129">
        <v>0.99999996438179894</v>
      </c>
    </row>
    <row r="4130" spans="1:40" x14ac:dyDescent="0.25">
      <c r="A4130" t="str">
        <f>"20190312160416869"</f>
        <v>20190312160416869</v>
      </c>
      <c r="B4130" t="str">
        <f>"1552377856858892"</f>
        <v>1552377856858892</v>
      </c>
      <c r="C4130" t="s">
        <v>40</v>
      </c>
      <c r="D4130">
        <v>5.214944</v>
      </c>
      <c r="E4130">
        <v>0.56538639999999996</v>
      </c>
      <c r="F4130" t="s">
        <v>55</v>
      </c>
      <c r="G4130">
        <v>-168.41099999999901</v>
      </c>
      <c r="H4130">
        <v>0.59930799999999995</v>
      </c>
      <c r="I4130">
        <v>205.43600000000001</v>
      </c>
      <c r="J4130">
        <v>-223.9067</v>
      </c>
      <c r="K4130">
        <v>1.1098920000000001</v>
      </c>
      <c r="L4130">
        <v>214.02799999999999</v>
      </c>
      <c r="M4130">
        <v>0.99951639999999997</v>
      </c>
      <c r="N4130">
        <v>0</v>
      </c>
      <c r="O4130">
        <v>2.7568519999999999E-2</v>
      </c>
      <c r="P4130">
        <v>0.9994364</v>
      </c>
      <c r="Q4130">
        <v>2.888835E-2</v>
      </c>
      <c r="R4130">
        <v>1.7101979999999999E-2</v>
      </c>
      <c r="S4130">
        <v>3.0109710000000001</v>
      </c>
      <c r="T4130">
        <v>-2.755082E-2</v>
      </c>
      <c r="U4130">
        <v>-0.4631653</v>
      </c>
      <c r="V4130">
        <v>1.048731E-2</v>
      </c>
      <c r="W4130">
        <v>4.3266440000000003E-2</v>
      </c>
      <c r="X4130">
        <v>0.99900849999999997</v>
      </c>
      <c r="Y4130">
        <v>0.1792222</v>
      </c>
      <c r="Z4130">
        <v>-1.0660540000000001E-3</v>
      </c>
      <c r="AA4130">
        <v>0.98380800000000002</v>
      </c>
      <c r="AB4130">
        <v>32</v>
      </c>
      <c r="AC4130">
        <v>55.495699999999999</v>
      </c>
      <c r="AD4130">
        <v>-0.51058400000000004</v>
      </c>
      <c r="AE4130">
        <v>-8.5920000000000094</v>
      </c>
      <c r="AF4130">
        <v>10.117989870934201</v>
      </c>
      <c r="AG4130">
        <v>-0.51058400000000004</v>
      </c>
      <c r="AH4130">
        <v>55.233143456304902</v>
      </c>
      <c r="AI4130">
        <v>90.520967694525694</v>
      </c>
      <c r="AJ4130">
        <v>79.619258030128606</v>
      </c>
      <c r="AK4130">
        <v>56.154559486422301</v>
      </c>
      <c r="AL4130">
        <v>87.520241444231402</v>
      </c>
      <c r="AM4130">
        <v>89.3985471292672</v>
      </c>
      <c r="AN4130">
        <v>0.99999997578677902</v>
      </c>
    </row>
    <row r="4131" spans="1:40" x14ac:dyDescent="0.25">
      <c r="A4131" t="str">
        <f>"20190312160416892"</f>
        <v>20190312160416892</v>
      </c>
      <c r="B4131" t="str">
        <f>"1552377856879388"</f>
        <v>1552377856879388</v>
      </c>
      <c r="C4131" t="s">
        <v>40</v>
      </c>
      <c r="D4131">
        <v>5.2052649999999998</v>
      </c>
      <c r="E4131">
        <v>0.56580379999999997</v>
      </c>
      <c r="F4131" t="s">
        <v>55</v>
      </c>
      <c r="G4131">
        <v>-168.4111</v>
      </c>
      <c r="H4131">
        <v>0.59123419999999904</v>
      </c>
      <c r="I4131">
        <v>205.3604</v>
      </c>
      <c r="J4131">
        <v>-223.5866</v>
      </c>
      <c r="K4131">
        <v>1.109842</v>
      </c>
      <c r="L4131">
        <v>214.03639999999999</v>
      </c>
      <c r="M4131">
        <v>0.99952770000000002</v>
      </c>
      <c r="N4131">
        <v>0</v>
      </c>
      <c r="O4131">
        <v>2.7158910000000001E-2</v>
      </c>
      <c r="P4131">
        <v>0.99943649999999995</v>
      </c>
      <c r="Q4131">
        <v>2.9412319999999999E-2</v>
      </c>
      <c r="R4131">
        <v>1.6180239999999999E-2</v>
      </c>
      <c r="S4131">
        <v>3.0105439999999999</v>
      </c>
      <c r="T4131">
        <v>-2.8134470000000002E-2</v>
      </c>
      <c r="U4131">
        <v>-0.4701996</v>
      </c>
      <c r="V4131">
        <v>1.100538E-2</v>
      </c>
      <c r="W4131">
        <v>4.378522E-2</v>
      </c>
      <c r="X4131">
        <v>0.99898030000000004</v>
      </c>
      <c r="Y4131">
        <v>0.18108399999999999</v>
      </c>
      <c r="Z4131">
        <v>-1.0934370000000001E-3</v>
      </c>
      <c r="AA4131">
        <v>0.98346699999999998</v>
      </c>
      <c r="AB4131">
        <v>32</v>
      </c>
      <c r="AC4131">
        <v>55.1755</v>
      </c>
      <c r="AD4131">
        <v>-0.51860779999999995</v>
      </c>
      <c r="AE4131">
        <v>-8.6759999999999806</v>
      </c>
      <c r="AF4131">
        <v>10.170583550437</v>
      </c>
      <c r="AG4131">
        <v>-0.51860779999999995</v>
      </c>
      <c r="AH4131">
        <v>54.914753645518402</v>
      </c>
      <c r="AI4131">
        <v>90.532030546854401</v>
      </c>
      <c r="AJ4131">
        <v>79.507327881592104</v>
      </c>
      <c r="AK4131">
        <v>55.851050945838203</v>
      </c>
      <c r="AL4131">
        <v>87.490489282522503</v>
      </c>
      <c r="AM4131">
        <v>89.368820067569601</v>
      </c>
      <c r="AN4131">
        <v>0.99999995183374002</v>
      </c>
    </row>
    <row r="4132" spans="1:40" x14ac:dyDescent="0.25">
      <c r="A4132" t="str">
        <f>"20190312160416915"</f>
        <v>20190312160416915</v>
      </c>
      <c r="B4132" t="str">
        <f>"1552377856908667"</f>
        <v>1552377856908667</v>
      </c>
      <c r="C4132" t="s">
        <v>40</v>
      </c>
      <c r="D4132">
        <v>5.2391899999999998</v>
      </c>
      <c r="E4132">
        <v>0.56647809999999998</v>
      </c>
      <c r="F4132" t="s">
        <v>55</v>
      </c>
      <c r="G4132">
        <v>-168.4111</v>
      </c>
      <c r="H4132">
        <v>0.61144259999999995</v>
      </c>
      <c r="I4132">
        <v>205.30789999999999</v>
      </c>
      <c r="J4132">
        <v>-223.25450000000001</v>
      </c>
      <c r="K4132">
        <v>1.109793</v>
      </c>
      <c r="L4132">
        <v>214.04490000000001</v>
      </c>
      <c r="M4132">
        <v>0.99954069999999995</v>
      </c>
      <c r="N4132">
        <v>0</v>
      </c>
      <c r="O4132">
        <v>2.667307E-2</v>
      </c>
      <c r="P4132">
        <v>0.99943890000000002</v>
      </c>
      <c r="Q4132">
        <v>2.995979E-2</v>
      </c>
      <c r="R4132">
        <v>1.498885E-2</v>
      </c>
      <c r="S4132">
        <v>3.010208</v>
      </c>
      <c r="T4132">
        <v>-2.7189250000000002E-2</v>
      </c>
      <c r="U4132">
        <v>-0.47619630000000002</v>
      </c>
      <c r="V4132">
        <v>1.1716249999999999E-2</v>
      </c>
      <c r="W4132">
        <v>4.432734E-2</v>
      </c>
      <c r="X4132">
        <v>0.99894830000000001</v>
      </c>
      <c r="Y4132">
        <v>0.182535</v>
      </c>
      <c r="Z4132">
        <v>-1.058806E-3</v>
      </c>
      <c r="AA4132">
        <v>0.98319880000000004</v>
      </c>
      <c r="AB4132">
        <v>32</v>
      </c>
      <c r="AC4132">
        <v>54.843400000000003</v>
      </c>
      <c r="AD4132">
        <v>-0.49835040000000003</v>
      </c>
      <c r="AE4132">
        <v>-8.7370000000000196</v>
      </c>
      <c r="AF4132">
        <v>10.1960630021275</v>
      </c>
      <c r="AG4132">
        <v>-0.49835040000000003</v>
      </c>
      <c r="AH4132">
        <v>54.5864208898562</v>
      </c>
      <c r="AI4132">
        <v>90.514178789491893</v>
      </c>
      <c r="AJ4132">
        <v>79.419784663615303</v>
      </c>
      <c r="AK4132">
        <v>55.532741688386601</v>
      </c>
      <c r="AL4132">
        <v>87.459397886692201</v>
      </c>
      <c r="AM4132">
        <v>89.328032393302607</v>
      </c>
      <c r="AN4132">
        <v>0.99999994482921195</v>
      </c>
    </row>
    <row r="4133" spans="1:40" x14ac:dyDescent="0.25">
      <c r="A4133" t="str">
        <f>"20190312160416937"</f>
        <v>20190312160416937</v>
      </c>
      <c r="B4133" t="str">
        <f>"1552377856929164"</f>
        <v>1552377856929164</v>
      </c>
      <c r="C4133" t="s">
        <v>40</v>
      </c>
      <c r="D4133">
        <v>5.2163519999999997</v>
      </c>
      <c r="E4133">
        <v>0.56689019999999901</v>
      </c>
      <c r="F4133" t="s">
        <v>55</v>
      </c>
      <c r="G4133">
        <v>-168.4111</v>
      </c>
      <c r="H4133">
        <v>0.64563369999999998</v>
      </c>
      <c r="I4133">
        <v>205.20050000000001</v>
      </c>
      <c r="J4133">
        <v>-222.94380000000001</v>
      </c>
      <c r="K4133">
        <v>1.1097490000000001</v>
      </c>
      <c r="L4133">
        <v>214.05269999999999</v>
      </c>
      <c r="M4133">
        <v>0.99955439999999995</v>
      </c>
      <c r="N4133">
        <v>0</v>
      </c>
      <c r="O4133">
        <v>2.6158270000000001E-2</v>
      </c>
      <c r="P4133">
        <v>0.99946710000000005</v>
      </c>
      <c r="Q4133">
        <v>2.9661750000000001E-2</v>
      </c>
      <c r="R4133">
        <v>1.363694E-2</v>
      </c>
      <c r="S4133">
        <v>3.009735</v>
      </c>
      <c r="T4133">
        <v>-2.5470610000000001E-2</v>
      </c>
      <c r="U4133">
        <v>-0.48536679999999999</v>
      </c>
      <c r="V4133">
        <v>1.2558659999999999E-2</v>
      </c>
      <c r="W4133">
        <v>4.402437E-2</v>
      </c>
      <c r="X4133">
        <v>0.99895149999999999</v>
      </c>
      <c r="Y4133">
        <v>0.1849741</v>
      </c>
      <c r="Z4133">
        <v>-9.9772240000000007E-4</v>
      </c>
      <c r="AA4133">
        <v>0.98274289999999997</v>
      </c>
      <c r="AB4133">
        <v>32</v>
      </c>
      <c r="AC4133">
        <v>54.532699999999998</v>
      </c>
      <c r="AD4133">
        <v>-0.46411529999999901</v>
      </c>
      <c r="AE4133">
        <v>-8.8521999999999803</v>
      </c>
      <c r="AF4133">
        <v>10.2750736983522</v>
      </c>
      <c r="AG4133">
        <v>-0.46411529999999901</v>
      </c>
      <c r="AH4133">
        <v>54.278622994702303</v>
      </c>
      <c r="AI4133">
        <v>90.481353467280996</v>
      </c>
      <c r="AJ4133">
        <v>79.280614652150305</v>
      </c>
      <c r="AK4133">
        <v>55.244560426518802</v>
      </c>
      <c r="AL4133">
        <v>87.476773847288001</v>
      </c>
      <c r="AM4133">
        <v>89.279724482198503</v>
      </c>
      <c r="AN4133">
        <v>0.999999982223571</v>
      </c>
    </row>
    <row r="4134" spans="1:40" x14ac:dyDescent="0.25">
      <c r="A4134" t="str">
        <f>"20190312160416957"</f>
        <v>20190312160416957</v>
      </c>
      <c r="B4134" t="str">
        <f>"1552377856948684"</f>
        <v>1552377856948684</v>
      </c>
      <c r="C4134" t="s">
        <v>40</v>
      </c>
      <c r="D4134">
        <v>5.2495229999999999</v>
      </c>
      <c r="E4134">
        <v>0.56734240000000002</v>
      </c>
      <c r="F4134" t="s">
        <v>55</v>
      </c>
      <c r="G4134">
        <v>-168.4111</v>
      </c>
      <c r="H4134">
        <v>0.63786889999999996</v>
      </c>
      <c r="I4134">
        <v>205.12389999999999</v>
      </c>
      <c r="J4134">
        <v>-222.64959999999999</v>
      </c>
      <c r="K4134">
        <v>1.109702</v>
      </c>
      <c r="L4134">
        <v>214.0598</v>
      </c>
      <c r="M4134">
        <v>0.99956860000000003</v>
      </c>
      <c r="N4134">
        <v>0</v>
      </c>
      <c r="O4134">
        <v>2.560695E-2</v>
      </c>
      <c r="P4134">
        <v>0.99949589999999999</v>
      </c>
      <c r="Q4134">
        <v>2.9511409999999998E-2</v>
      </c>
      <c r="R4134">
        <v>1.1716819999999999E-2</v>
      </c>
      <c r="S4134">
        <v>3.009109</v>
      </c>
      <c r="T4134">
        <v>-2.6036500000000001E-2</v>
      </c>
      <c r="U4134">
        <v>-0.49269099999999999</v>
      </c>
      <c r="V4134">
        <v>1.3932719999999999E-2</v>
      </c>
      <c r="W4134">
        <v>4.3868119999999997E-2</v>
      </c>
      <c r="X4134">
        <v>0.99894019999999994</v>
      </c>
      <c r="Y4134">
        <v>0.18679399999999999</v>
      </c>
      <c r="Z4134">
        <v>-1.022979E-3</v>
      </c>
      <c r="AA4134">
        <v>0.98239860000000001</v>
      </c>
      <c r="AB4134">
        <v>32</v>
      </c>
      <c r="AC4134">
        <v>54.238499999999902</v>
      </c>
      <c r="AD4134">
        <v>-0.47183309999999901</v>
      </c>
      <c r="AE4134">
        <v>-8.9359000000000002</v>
      </c>
      <c r="AF4134">
        <v>10.321235030625999</v>
      </c>
      <c r="AG4134">
        <v>-0.47183309999999901</v>
      </c>
      <c r="AH4134">
        <v>53.987888408016197</v>
      </c>
      <c r="AI4134">
        <v>90.491823408178107</v>
      </c>
      <c r="AJ4134">
        <v>79.176967200980897</v>
      </c>
      <c r="AK4134">
        <v>54.967650611865203</v>
      </c>
      <c r="AL4134">
        <v>87.485735085307894</v>
      </c>
      <c r="AM4134">
        <v>89.200918838880497</v>
      </c>
      <c r="AN4134">
        <v>1.0000000279074801</v>
      </c>
    </row>
    <row r="4135" spans="1:40" x14ac:dyDescent="0.25">
      <c r="A4135" t="str">
        <f>"20190312160416980"</f>
        <v>20190312160416980</v>
      </c>
      <c r="B4135" t="str">
        <f>"1552377856968711"</f>
        <v>1552377856968711</v>
      </c>
      <c r="C4135" t="s">
        <v>40</v>
      </c>
      <c r="D4135">
        <v>5.2597940000000003</v>
      </c>
      <c r="E4135">
        <v>0.56778989999999996</v>
      </c>
      <c r="F4135" t="s">
        <v>55</v>
      </c>
      <c r="G4135">
        <v>-168.41120000000001</v>
      </c>
      <c r="H4135">
        <v>0.61727710000000002</v>
      </c>
      <c r="I4135">
        <v>205.0087</v>
      </c>
      <c r="J4135">
        <v>-222.3329</v>
      </c>
      <c r="K4135">
        <v>1.109637</v>
      </c>
      <c r="L4135">
        <v>214.06720000000001</v>
      </c>
      <c r="M4135">
        <v>0.99958579999999997</v>
      </c>
      <c r="N4135">
        <v>0</v>
      </c>
      <c r="O4135">
        <v>2.4933770000000001E-2</v>
      </c>
      <c r="P4135">
        <v>0.99951950000000001</v>
      </c>
      <c r="Q4135">
        <v>2.940883E-2</v>
      </c>
      <c r="R4135">
        <v>9.8022620000000008E-3</v>
      </c>
      <c r="S4135">
        <v>3.008194</v>
      </c>
      <c r="T4135">
        <v>-2.7309179999999999E-2</v>
      </c>
      <c r="U4135">
        <v>-0.50199890000000003</v>
      </c>
      <c r="V4135">
        <v>1.518067E-2</v>
      </c>
      <c r="W4135">
        <v>4.375855E-2</v>
      </c>
      <c r="X4135">
        <v>0.9989268</v>
      </c>
      <c r="Y4135">
        <v>0.18913749999999999</v>
      </c>
      <c r="Z4135">
        <v>-1.0775260000000001E-3</v>
      </c>
      <c r="AA4135">
        <v>0.98194999999999999</v>
      </c>
      <c r="AB4135">
        <v>31</v>
      </c>
      <c r="AC4135">
        <v>53.921699999999902</v>
      </c>
      <c r="AD4135">
        <v>-0.49235990000000002</v>
      </c>
      <c r="AE4135">
        <v>-9.0585000000000093</v>
      </c>
      <c r="AF4135">
        <v>10.399450045255801</v>
      </c>
      <c r="AG4135">
        <v>-0.49235990000000002</v>
      </c>
      <c r="AH4135">
        <v>53.674694357010701</v>
      </c>
      <c r="AI4135">
        <v>90.515966840747893</v>
      </c>
      <c r="AJ4135">
        <v>79.034825935406303</v>
      </c>
      <c r="AK4135">
        <v>54.675074703501103</v>
      </c>
      <c r="AL4135">
        <v>87.492018966972793</v>
      </c>
      <c r="AM4135">
        <v>89.129344240458494</v>
      </c>
      <c r="AN4135">
        <v>1.0000000075989901</v>
      </c>
    </row>
    <row r="4136" spans="1:40" x14ac:dyDescent="0.25">
      <c r="A4136" t="str">
        <f>"20190312160417003"</f>
        <v>20190312160417003</v>
      </c>
      <c r="B4136" t="str">
        <f>"1552377856998967"</f>
        <v>1552377856998967</v>
      </c>
      <c r="C4136" t="s">
        <v>40</v>
      </c>
      <c r="D4136">
        <v>5.2281979999999999</v>
      </c>
      <c r="E4136">
        <v>0.56843009999999905</v>
      </c>
      <c r="F4136" t="s">
        <v>55</v>
      </c>
      <c r="G4136">
        <v>-168.41120000000001</v>
      </c>
      <c r="H4136">
        <v>0.6012459</v>
      </c>
      <c r="I4136">
        <v>204.9016</v>
      </c>
      <c r="J4136">
        <v>-222.00899999999999</v>
      </c>
      <c r="K4136">
        <v>1.109559</v>
      </c>
      <c r="L4136">
        <v>214.0745</v>
      </c>
      <c r="M4136">
        <v>0.99960499999999997</v>
      </c>
      <c r="N4136">
        <v>0</v>
      </c>
      <c r="O4136">
        <v>2.4150769999999998E-2</v>
      </c>
      <c r="P4136">
        <v>0.99951970000000001</v>
      </c>
      <c r="Q4136">
        <v>2.9815029999999999E-2</v>
      </c>
      <c r="R4136">
        <v>8.4715069999999996E-3</v>
      </c>
      <c r="S4136">
        <v>3.0073089999999998</v>
      </c>
      <c r="T4136">
        <v>-2.8352019999999999E-2</v>
      </c>
      <c r="U4136">
        <v>-0.51118469999999905</v>
      </c>
      <c r="V4136">
        <v>1.5736880000000002E-2</v>
      </c>
      <c r="W4136">
        <v>4.4157759999999997E-2</v>
      </c>
      <c r="X4136">
        <v>0.99890060000000003</v>
      </c>
      <c r="Y4136">
        <v>0.19133059999999999</v>
      </c>
      <c r="Z4136">
        <v>-1.1216450000000001E-3</v>
      </c>
      <c r="AA4136">
        <v>0.98152499999999998</v>
      </c>
      <c r="AB4136">
        <v>31</v>
      </c>
      <c r="AC4136">
        <v>53.597799999999999</v>
      </c>
      <c r="AD4136">
        <v>-0.50831309999999996</v>
      </c>
      <c r="AE4136">
        <v>-9.1728999999999896</v>
      </c>
      <c r="AF4136">
        <v>10.4638714579355</v>
      </c>
      <c r="AG4136">
        <v>-0.50831309999999996</v>
      </c>
      <c r="AH4136">
        <v>53.355945841807497</v>
      </c>
      <c r="AI4136">
        <v>90.5356281467526</v>
      </c>
      <c r="AJ4136">
        <v>78.904290224832806</v>
      </c>
      <c r="AK4136">
        <v>54.374699491305002</v>
      </c>
      <c r="AL4136">
        <v>87.469123725259607</v>
      </c>
      <c r="AM4136">
        <v>89.097425487287495</v>
      </c>
      <c r="AN4136">
        <v>0.99999998292035497</v>
      </c>
    </row>
    <row r="4137" spans="1:40" x14ac:dyDescent="0.25">
      <c r="A4137" t="str">
        <f>"20190312160417026"</f>
        <v>20190312160417026</v>
      </c>
      <c r="B4137" t="str">
        <f>"1552377857019463"</f>
        <v>1552377857019463</v>
      </c>
      <c r="C4137" t="s">
        <v>40</v>
      </c>
      <c r="D4137">
        <v>5.2590180000000002</v>
      </c>
      <c r="E4137">
        <v>0.56885330000000001</v>
      </c>
      <c r="F4137" t="s">
        <v>55</v>
      </c>
      <c r="G4137">
        <v>-168.41130000000001</v>
      </c>
      <c r="H4137">
        <v>0.61939809999999995</v>
      </c>
      <c r="I4137">
        <v>204.79259999999999</v>
      </c>
      <c r="J4137">
        <v>-221.6961</v>
      </c>
      <c r="K4137">
        <v>1.1094710000000001</v>
      </c>
      <c r="L4137">
        <v>214.0812</v>
      </c>
      <c r="M4137">
        <v>0.99962569999999995</v>
      </c>
      <c r="N4137">
        <v>0</v>
      </c>
      <c r="O4137">
        <v>2.328471E-2</v>
      </c>
      <c r="P4137">
        <v>0.99952229999999997</v>
      </c>
      <c r="Q4137">
        <v>2.999222E-2</v>
      </c>
      <c r="R4137">
        <v>7.4942709999999899E-3</v>
      </c>
      <c r="S4137">
        <v>3.0066830000000002</v>
      </c>
      <c r="T4137">
        <v>-2.7494910000000001E-2</v>
      </c>
      <c r="U4137">
        <v>-0.52069089999999996</v>
      </c>
      <c r="V4137">
        <v>1.5857619999999999E-2</v>
      </c>
      <c r="W4137">
        <v>4.4329239999999999E-2</v>
      </c>
      <c r="X4137">
        <v>0.99889110000000003</v>
      </c>
      <c r="Y4137">
        <v>0.19352849999999999</v>
      </c>
      <c r="Z4137">
        <v>-1.08978E-3</v>
      </c>
      <c r="AA4137">
        <v>0.98109409999999997</v>
      </c>
      <c r="AB4137">
        <v>31</v>
      </c>
      <c r="AC4137">
        <v>53.284799999999898</v>
      </c>
      <c r="AD4137">
        <v>-0.49007289999999898</v>
      </c>
      <c r="AE4137">
        <v>-9.2886000000000006</v>
      </c>
      <c r="AF4137">
        <v>10.526066075181101</v>
      </c>
      <c r="AG4137">
        <v>-0.49007289999999898</v>
      </c>
      <c r="AH4137">
        <v>53.049690387692998</v>
      </c>
      <c r="AI4137">
        <v>90.519162687238705</v>
      </c>
      <c r="AJ4137">
        <v>78.777195011232905</v>
      </c>
      <c r="AK4137">
        <v>54.086115489065001</v>
      </c>
      <c r="AL4137">
        <v>87.459289026444694</v>
      </c>
      <c r="AM4137">
        <v>89.090493064258197</v>
      </c>
      <c r="AN4137">
        <v>0.99999998764512599</v>
      </c>
    </row>
    <row r="4138" spans="1:40" x14ac:dyDescent="0.25">
      <c r="A4138" t="str">
        <f>"20190312160417051"</f>
        <v>20190312160417051</v>
      </c>
      <c r="B4138" t="str">
        <f>"1552377857038984"</f>
        <v>1552377857038984</v>
      </c>
      <c r="C4138" t="s">
        <v>40</v>
      </c>
      <c r="D4138">
        <v>5.2409420000000004</v>
      </c>
      <c r="E4138">
        <v>0.5692682</v>
      </c>
      <c r="F4138" t="s">
        <v>55</v>
      </c>
      <c r="G4138">
        <v>-168.41130000000001</v>
      </c>
      <c r="H4138">
        <v>0.62746999999999997</v>
      </c>
      <c r="I4138">
        <v>204.74029999999999</v>
      </c>
      <c r="J4138">
        <v>-221.3391</v>
      </c>
      <c r="K4138">
        <v>1.1093500000000001</v>
      </c>
      <c r="L4138">
        <v>214.0883</v>
      </c>
      <c r="M4138">
        <v>0.99965199999999999</v>
      </c>
      <c r="N4138">
        <v>0</v>
      </c>
      <c r="O4138">
        <v>2.2124680000000001E-2</v>
      </c>
      <c r="P4138">
        <v>0.99956800000000001</v>
      </c>
      <c r="Q4138">
        <v>2.8937870000000001E-2</v>
      </c>
      <c r="R4138">
        <v>5.172612E-3</v>
      </c>
      <c r="S4138">
        <v>3.0062259999999998</v>
      </c>
      <c r="T4138">
        <v>-2.7191759999999999E-2</v>
      </c>
      <c r="U4138">
        <v>-0.52699280000000004</v>
      </c>
      <c r="V4138">
        <v>1.7030549999999998E-2</v>
      </c>
      <c r="W4138">
        <v>4.3265959999999999E-2</v>
      </c>
      <c r="X4138">
        <v>0.99891839999999998</v>
      </c>
      <c r="Y4138">
        <v>0.19441130000000001</v>
      </c>
      <c r="Z4138">
        <v>-1.0712759999999999E-3</v>
      </c>
      <c r="AA4138">
        <v>0.98091950000000006</v>
      </c>
      <c r="AB4138">
        <v>31</v>
      </c>
      <c r="AC4138">
        <v>52.927799999999898</v>
      </c>
      <c r="AD4138">
        <v>-0.48187999999999998</v>
      </c>
      <c r="AE4138">
        <v>-9.3480000000000096</v>
      </c>
      <c r="AF4138">
        <v>10.515997491331101</v>
      </c>
      <c r="AG4138">
        <v>-0.48187999999999998</v>
      </c>
      <c r="AH4138">
        <v>52.703762227425798</v>
      </c>
      <c r="AI4138">
        <v>90.513725110172601</v>
      </c>
      <c r="AJ4138">
        <v>78.715946616043396</v>
      </c>
      <c r="AK4138">
        <v>53.744813372986201</v>
      </c>
      <c r="AL4138">
        <v>87.520268973488697</v>
      </c>
      <c r="AM4138">
        <v>89.023259445708305</v>
      </c>
      <c r="AN4138">
        <v>0.99999997639329097</v>
      </c>
    </row>
    <row r="4139" spans="1:40" x14ac:dyDescent="0.25">
      <c r="A4139" t="str">
        <f>"20190312160417069"</f>
        <v>20190312160417069</v>
      </c>
      <c r="B4139" t="str">
        <f>"1552377857059012"</f>
        <v>1552377857059012</v>
      </c>
      <c r="C4139" t="s">
        <v>40</v>
      </c>
      <c r="D4139">
        <v>5.2133310000000002</v>
      </c>
      <c r="E4139">
        <v>0.56965549999999998</v>
      </c>
      <c r="F4139" t="s">
        <v>55</v>
      </c>
      <c r="G4139">
        <v>-168.41130000000001</v>
      </c>
      <c r="H4139">
        <v>0.55033679999999996</v>
      </c>
      <c r="I4139">
        <v>204.62780000000001</v>
      </c>
      <c r="J4139">
        <v>-221.08600000000001</v>
      </c>
      <c r="K4139">
        <v>1.109256</v>
      </c>
      <c r="L4139">
        <v>214.09299999999999</v>
      </c>
      <c r="M4139">
        <v>0.99967209999999995</v>
      </c>
      <c r="N4139">
        <v>0</v>
      </c>
      <c r="O4139">
        <v>2.1196030000000001E-2</v>
      </c>
      <c r="P4139">
        <v>0.99959180000000003</v>
      </c>
      <c r="Q4139">
        <v>2.847065E-2</v>
      </c>
      <c r="R4139">
        <v>2.4395789999999999E-3</v>
      </c>
      <c r="S4139">
        <v>3.0049899999999998</v>
      </c>
      <c r="T4139">
        <v>-3.173637E-2</v>
      </c>
      <c r="U4139">
        <v>-0.53712459999999995</v>
      </c>
      <c r="V4139">
        <v>1.8843289999999999E-2</v>
      </c>
      <c r="W4139">
        <v>4.2790050000000003E-2</v>
      </c>
      <c r="X4139">
        <v>0.99890639999999997</v>
      </c>
      <c r="Y4139">
        <v>0.19677169999999999</v>
      </c>
      <c r="Z4139">
        <v>-1.2530830000000001E-3</v>
      </c>
      <c r="AA4139">
        <v>0.98044849999999995</v>
      </c>
      <c r="AB4139">
        <v>31</v>
      </c>
      <c r="AC4139">
        <v>52.674699999999902</v>
      </c>
      <c r="AD4139">
        <v>-0.55891919999999995</v>
      </c>
      <c r="AE4139">
        <v>-9.4651999999999799</v>
      </c>
      <c r="AF4139">
        <v>10.5785291056175</v>
      </c>
      <c r="AG4139">
        <v>-0.55891919999999995</v>
      </c>
      <c r="AH4139">
        <v>52.456496966027302</v>
      </c>
      <c r="AI4139">
        <v>90.598412284015197</v>
      </c>
      <c r="AJ4139">
        <v>78.598484451491103</v>
      </c>
      <c r="AK4139">
        <v>53.515434620839599</v>
      </c>
      <c r="AL4139">
        <v>87.547562009785395</v>
      </c>
      <c r="AM4139">
        <v>88.919305198190102</v>
      </c>
      <c r="AN4139">
        <v>1.0000000269589899</v>
      </c>
    </row>
    <row r="4140" spans="1:40" x14ac:dyDescent="0.25">
      <c r="A4140" t="str">
        <f>"20190312160417104"</f>
        <v>20190312160417104</v>
      </c>
      <c r="B4140" t="str">
        <f>"1552377857099027"</f>
        <v>1552377857099027</v>
      </c>
      <c r="C4140" t="s">
        <v>40</v>
      </c>
      <c r="D4140">
        <v>5.3007330000000001</v>
      </c>
      <c r="E4140">
        <v>0.57038089999999997</v>
      </c>
      <c r="F4140" t="s">
        <v>55</v>
      </c>
      <c r="G4140">
        <v>-168.41130000000001</v>
      </c>
      <c r="H4140">
        <v>0.50243570000000004</v>
      </c>
      <c r="I4140">
        <v>204.4787</v>
      </c>
      <c r="J4140">
        <v>-220.602</v>
      </c>
      <c r="K4140">
        <v>1.109084</v>
      </c>
      <c r="L4140">
        <v>214.101</v>
      </c>
      <c r="M4140">
        <v>0.99971290000000002</v>
      </c>
      <c r="N4140">
        <v>0</v>
      </c>
      <c r="O4140">
        <v>1.9174960000000001E-2</v>
      </c>
      <c r="P4140">
        <v>0.9996022</v>
      </c>
      <c r="Q4140">
        <v>2.8168039999999998E-2</v>
      </c>
      <c r="R4140">
        <v>-1.549349E-3</v>
      </c>
      <c r="S4140">
        <v>3.003555</v>
      </c>
      <c r="T4140">
        <v>-3.4599539999999998E-2</v>
      </c>
      <c r="U4140">
        <v>-0.54821779999999998</v>
      </c>
      <c r="V4140">
        <v>2.0827749999999999E-2</v>
      </c>
      <c r="W4140">
        <v>4.2472280000000001E-2</v>
      </c>
      <c r="X4140">
        <v>0.99888049999999995</v>
      </c>
      <c r="Y4140">
        <v>0.19837479999999999</v>
      </c>
      <c r="Z4140">
        <v>-1.3523719999999999E-3</v>
      </c>
      <c r="AA4140">
        <v>0.98012529999999998</v>
      </c>
      <c r="AB4140">
        <v>31</v>
      </c>
      <c r="AC4140">
        <v>52.1906999999999</v>
      </c>
      <c r="AD4140">
        <v>-0.60664829999999903</v>
      </c>
      <c r="AE4140">
        <v>-9.6222999999999903</v>
      </c>
      <c r="AF4140">
        <v>10.620000711819801</v>
      </c>
      <c r="AG4140">
        <v>-0.60664829999999903</v>
      </c>
      <c r="AH4140">
        <v>51.989782732597298</v>
      </c>
      <c r="AI4140">
        <v>90.655006811185501</v>
      </c>
      <c r="AJ4140">
        <v>78.454968047415605</v>
      </c>
      <c r="AK4140">
        <v>53.066844129471399</v>
      </c>
      <c r="AL4140">
        <v>87.565785321493905</v>
      </c>
      <c r="AM4140">
        <v>88.805493475450206</v>
      </c>
      <c r="AN4140">
        <v>0.99999997150935405</v>
      </c>
    </row>
    <row r="4141" spans="1:40" x14ac:dyDescent="0.25">
      <c r="A4141" t="str">
        <f>"20190312160417126"</f>
        <v>20190312160417126</v>
      </c>
      <c r="B4141" t="str">
        <f>"1552377857119523"</f>
        <v>1552377857119523</v>
      </c>
      <c r="C4141" t="s">
        <v>40</v>
      </c>
      <c r="D4141">
        <v>5.2834240000000001</v>
      </c>
      <c r="E4141">
        <v>0.57068359999999996</v>
      </c>
      <c r="F4141" t="s">
        <v>44</v>
      </c>
      <c r="G4141">
        <v>-177.53370000000001</v>
      </c>
      <c r="H4141">
        <v>0.57850840000000003</v>
      </c>
      <c r="I4141">
        <v>205.9742</v>
      </c>
      <c r="J4141">
        <v>-220.29660000000001</v>
      </c>
      <c r="K4141">
        <v>1.108978</v>
      </c>
      <c r="L4141">
        <v>214.1054</v>
      </c>
      <c r="M4141">
        <v>0.99973979999999996</v>
      </c>
      <c r="N4141">
        <v>0</v>
      </c>
      <c r="O4141">
        <v>1.7722580000000002E-2</v>
      </c>
      <c r="P4141">
        <v>0.99960530000000003</v>
      </c>
      <c r="Q4141">
        <v>2.7803649999999999E-2</v>
      </c>
      <c r="R4141">
        <v>-4.0621099999999999E-3</v>
      </c>
      <c r="S4141">
        <v>3.0013730000000001</v>
      </c>
      <c r="T4141">
        <v>-3.6975149999999998E-2</v>
      </c>
      <c r="U4141">
        <v>-0.56634519999999899</v>
      </c>
      <c r="V4141">
        <v>2.1898529999999999E-2</v>
      </c>
      <c r="W4141">
        <v>4.2097830000000003E-2</v>
      </c>
      <c r="X4141">
        <v>0.99887349999999997</v>
      </c>
      <c r="Y4141">
        <v>0.2027949</v>
      </c>
      <c r="Z4141">
        <v>-1.4547029999999999E-3</v>
      </c>
      <c r="AA4141">
        <v>0.97922019999999999</v>
      </c>
      <c r="AB4141">
        <v>31</v>
      </c>
      <c r="AC4141">
        <v>42.762900000000002</v>
      </c>
      <c r="AD4141">
        <v>-0.53046959999999999</v>
      </c>
      <c r="AE4141">
        <v>-8.1311999999999998</v>
      </c>
      <c r="AF4141">
        <v>8.8865499934269003</v>
      </c>
      <c r="AG4141">
        <v>-0.53046959999999999</v>
      </c>
      <c r="AH4141">
        <v>42.605734219931499</v>
      </c>
      <c r="AI4141">
        <v>90.698307157007093</v>
      </c>
      <c r="AJ4141">
        <v>78.218365198061804</v>
      </c>
      <c r="AK4141">
        <v>43.525863083937203</v>
      </c>
      <c r="AL4141">
        <v>87.587259052516004</v>
      </c>
      <c r="AM4141">
        <v>88.744092829610594</v>
      </c>
      <c r="AN4141">
        <v>1.0000000209545501</v>
      </c>
    </row>
    <row r="4142" spans="1:40" x14ac:dyDescent="0.25">
      <c r="A4142" t="str">
        <f>"20190312160417149"</f>
        <v>20190312160417149</v>
      </c>
      <c r="B4142" t="str">
        <f>"1552377857139043"</f>
        <v>1552377857139043</v>
      </c>
      <c r="C4142" t="s">
        <v>40</v>
      </c>
      <c r="D4142">
        <v>5.3123290000000001</v>
      </c>
      <c r="E4142">
        <v>0.57095149999999995</v>
      </c>
      <c r="F4142" t="s">
        <v>44</v>
      </c>
      <c r="G4142">
        <v>-177.76439999999999</v>
      </c>
      <c r="H4142">
        <v>0.55920389999999998</v>
      </c>
      <c r="I4142">
        <v>205.9357</v>
      </c>
      <c r="J4142">
        <v>-219.9923</v>
      </c>
      <c r="K4142">
        <v>1.1088559999999901</v>
      </c>
      <c r="L4142">
        <v>214.10910000000001</v>
      </c>
      <c r="M4142">
        <v>0.99976719999999997</v>
      </c>
      <c r="N4142">
        <v>0</v>
      </c>
      <c r="O4142">
        <v>1.610075E-2</v>
      </c>
      <c r="P4142">
        <v>0.99958469999999999</v>
      </c>
      <c r="Q4142">
        <v>2.7987439999999999E-2</v>
      </c>
      <c r="R4142">
        <v>-6.8682079999999998E-3</v>
      </c>
      <c r="S4142">
        <v>2.999924</v>
      </c>
      <c r="T4142">
        <v>-3.8777230000000003E-2</v>
      </c>
      <c r="U4142">
        <v>-0.57623290000000005</v>
      </c>
      <c r="V4142">
        <v>2.309576E-2</v>
      </c>
      <c r="W4142">
        <v>4.2269809999999998E-2</v>
      </c>
      <c r="X4142">
        <v>0.99883929999999999</v>
      </c>
      <c r="Y4142">
        <v>0.20440520000000001</v>
      </c>
      <c r="Z4142">
        <v>-1.5153790000000001E-3</v>
      </c>
      <c r="AA4142">
        <v>0.97888520000000001</v>
      </c>
      <c r="AB4142">
        <v>31</v>
      </c>
      <c r="AC4142">
        <v>42.227899999999998</v>
      </c>
      <c r="AD4142">
        <v>-0.54965209999999898</v>
      </c>
      <c r="AE4142">
        <v>-8.1734000000000098</v>
      </c>
      <c r="AF4142">
        <v>8.85086590213084</v>
      </c>
      <c r="AG4142">
        <v>-0.54965209999999898</v>
      </c>
      <c r="AH4142">
        <v>42.083941021149897</v>
      </c>
      <c r="AI4142">
        <v>90.732271158816104</v>
      </c>
      <c r="AJ4142">
        <v>78.122959779457602</v>
      </c>
      <c r="AK4142">
        <v>43.008115937810601</v>
      </c>
      <c r="AL4142">
        <v>87.577396613818195</v>
      </c>
      <c r="AM4142">
        <v>88.675408732910796</v>
      </c>
      <c r="AN4142">
        <v>1.00000004909595</v>
      </c>
    </row>
    <row r="4143" spans="1:40" x14ac:dyDescent="0.25">
      <c r="A4143" t="str">
        <f>"20190312160417170"</f>
        <v>20190312160417170</v>
      </c>
      <c r="B4143" t="str">
        <f>"1552377857159070"</f>
        <v>1552377857159070</v>
      </c>
      <c r="C4143" t="s">
        <v>40</v>
      </c>
      <c r="D4143">
        <v>5.2737040000000004</v>
      </c>
      <c r="E4143">
        <v>0.57119069999999905</v>
      </c>
      <c r="F4143" t="s">
        <v>44</v>
      </c>
      <c r="G4143">
        <v>-177.7636</v>
      </c>
      <c r="H4143">
        <v>0.56285839999999998</v>
      </c>
      <c r="I4143">
        <v>205.84559999999999</v>
      </c>
      <c r="J4143">
        <v>-219.67590000000001</v>
      </c>
      <c r="K4143">
        <v>1.1087209999999901</v>
      </c>
      <c r="L4143">
        <v>214.1123</v>
      </c>
      <c r="M4143">
        <v>0.99979560000000001</v>
      </c>
      <c r="N4143">
        <v>0</v>
      </c>
      <c r="O4143">
        <v>1.422151E-2</v>
      </c>
      <c r="P4143">
        <v>0.99955110000000003</v>
      </c>
      <c r="Q4143">
        <v>2.8548710000000001E-2</v>
      </c>
      <c r="R4143">
        <v>-9.0913269999999997E-3</v>
      </c>
      <c r="S4143">
        <v>2.9983219999999999</v>
      </c>
      <c r="T4143">
        <v>-3.8766979999999999E-2</v>
      </c>
      <c r="U4143">
        <v>-0.586731</v>
      </c>
      <c r="V4143">
        <v>2.345643E-2</v>
      </c>
      <c r="W4143">
        <v>4.2821970000000001E-2</v>
      </c>
      <c r="X4143">
        <v>0.99880729999999995</v>
      </c>
      <c r="Y4143">
        <v>0.20596510000000001</v>
      </c>
      <c r="Z4143">
        <v>-1.501177E-3</v>
      </c>
      <c r="AA4143">
        <v>0.97855820000000004</v>
      </c>
      <c r="AB4143">
        <v>31</v>
      </c>
      <c r="AC4143">
        <v>41.912300000000002</v>
      </c>
      <c r="AD4143">
        <v>-0.54586259999999898</v>
      </c>
      <c r="AE4143">
        <v>-8.2667000000000108</v>
      </c>
      <c r="AF4143">
        <v>8.8605348899914294</v>
      </c>
      <c r="AG4143">
        <v>-0.54586259999999898</v>
      </c>
      <c r="AH4143">
        <v>41.783661347503099</v>
      </c>
      <c r="AI4143">
        <v>90.732190803783695</v>
      </c>
      <c r="AJ4143">
        <v>78.027365942684597</v>
      </c>
      <c r="AK4143">
        <v>42.716289634256199</v>
      </c>
      <c r="AL4143">
        <v>87.545731320312697</v>
      </c>
      <c r="AM4143">
        <v>88.654687995300506</v>
      </c>
      <c r="AN4143">
        <v>0.99999997387815698</v>
      </c>
    </row>
    <row r="4144" spans="1:40" x14ac:dyDescent="0.25">
      <c r="A4144" t="str">
        <f>"20190312160417193"</f>
        <v>20190312160417193</v>
      </c>
      <c r="B4144" t="str">
        <f>"1552377857189325"</f>
        <v>1552377857189325</v>
      </c>
      <c r="C4144" t="s">
        <v>40</v>
      </c>
      <c r="D4144">
        <v>5.2878559999999997</v>
      </c>
      <c r="E4144">
        <v>0.57161439999999997</v>
      </c>
      <c r="F4144" t="s">
        <v>44</v>
      </c>
      <c r="G4144">
        <v>-177.7543</v>
      </c>
      <c r="H4144">
        <v>0.60462399999999905</v>
      </c>
      <c r="I4144">
        <v>205.78790000000001</v>
      </c>
      <c r="J4144">
        <v>-219.36660000000001</v>
      </c>
      <c r="K4144">
        <v>1.108589</v>
      </c>
      <c r="L4144">
        <v>214.1146</v>
      </c>
      <c r="M4144">
        <v>0.99982179999999998</v>
      </c>
      <c r="N4144">
        <v>0</v>
      </c>
      <c r="O4144">
        <v>1.223717E-2</v>
      </c>
      <c r="P4144">
        <v>0.99952110000000005</v>
      </c>
      <c r="Q4144">
        <v>2.9077039999999998E-2</v>
      </c>
      <c r="R4144">
        <v>-1.0581220000000001E-2</v>
      </c>
      <c r="S4144">
        <v>2.9969790000000001</v>
      </c>
      <c r="T4144">
        <v>-3.6037920000000001E-2</v>
      </c>
      <c r="U4144">
        <v>-0.59510799999999997</v>
      </c>
      <c r="V4144">
        <v>2.2978740000000001E-2</v>
      </c>
      <c r="W4144">
        <v>4.3345040000000001E-2</v>
      </c>
      <c r="X4144">
        <v>0.99879589999999996</v>
      </c>
      <c r="Y4144">
        <v>0.20674090000000001</v>
      </c>
      <c r="Z4144">
        <v>-1.376721E-3</v>
      </c>
      <c r="AA4144">
        <v>0.97839469999999995</v>
      </c>
      <c r="AB4144">
        <v>31</v>
      </c>
      <c r="AC4144">
        <v>41.612299999999998</v>
      </c>
      <c r="AD4144">
        <v>-0.503965</v>
      </c>
      <c r="AE4144">
        <v>-8.3266999999999793</v>
      </c>
      <c r="AF4144">
        <v>8.8340999375680305</v>
      </c>
      <c r="AG4144">
        <v>-0.503965</v>
      </c>
      <c r="AH4144">
        <v>41.501424896815102</v>
      </c>
      <c r="AI4144">
        <v>90.680482450284202</v>
      </c>
      <c r="AJ4144">
        <v>77.983225994225805</v>
      </c>
      <c r="AK4144">
        <v>42.434226408574297</v>
      </c>
      <c r="AL4144">
        <v>87.515733907829699</v>
      </c>
      <c r="AM4144">
        <v>88.682060462590997</v>
      </c>
      <c r="AN4144">
        <v>1.0000000324206899</v>
      </c>
    </row>
    <row r="4145" spans="1:40" x14ac:dyDescent="0.25">
      <c r="A4145" t="str">
        <f>"20190312160417216"</f>
        <v>20190312160417216</v>
      </c>
      <c r="B4145" t="str">
        <f>"1552377857208845"</f>
        <v>1552377857208845</v>
      </c>
      <c r="C4145" t="s">
        <v>40</v>
      </c>
      <c r="D4145">
        <v>5.3116459999999996</v>
      </c>
      <c r="E4145">
        <v>0.57194690000000004</v>
      </c>
      <c r="F4145" t="s">
        <v>44</v>
      </c>
      <c r="G4145">
        <v>-177.7458</v>
      </c>
      <c r="H4145">
        <v>0.64222380000000001</v>
      </c>
      <c r="I4145">
        <v>205.73339999999999</v>
      </c>
      <c r="J4145">
        <v>-219.04570000000001</v>
      </c>
      <c r="K4145">
        <v>1.1084560000000001</v>
      </c>
      <c r="L4145">
        <v>214.11619999999999</v>
      </c>
      <c r="M4145">
        <v>0.99984669999999998</v>
      </c>
      <c r="N4145">
        <v>0</v>
      </c>
      <c r="O4145">
        <v>1.001294E-2</v>
      </c>
      <c r="P4145">
        <v>0.99949770000000004</v>
      </c>
      <c r="Q4145">
        <v>2.9187879999999999E-2</v>
      </c>
      <c r="R4145">
        <v>-1.2350949999999999E-2</v>
      </c>
      <c r="S4145">
        <v>2.9960330000000002</v>
      </c>
      <c r="T4145">
        <v>-3.3570889999999999E-2</v>
      </c>
      <c r="U4145">
        <v>-0.60331729999999995</v>
      </c>
      <c r="V4145">
        <v>2.2539750000000001E-2</v>
      </c>
      <c r="W4145">
        <v>4.3450330000000002E-2</v>
      </c>
      <c r="X4145">
        <v>0.9988013</v>
      </c>
      <c r="Y4145">
        <v>0.2072032</v>
      </c>
      <c r="Z4145">
        <v>-1.260412E-3</v>
      </c>
      <c r="AA4145">
        <v>0.97829710000000003</v>
      </c>
      <c r="AB4145">
        <v>31</v>
      </c>
      <c r="AC4145">
        <v>41.299900000000001</v>
      </c>
      <c r="AD4145">
        <v>-0.46623219999999899</v>
      </c>
      <c r="AE4145">
        <v>-8.3827999999999996</v>
      </c>
      <c r="AF4145">
        <v>8.7948792917490302</v>
      </c>
      <c r="AG4145">
        <v>-0.46623219999999899</v>
      </c>
      <c r="AH4145">
        <v>41.2088401798635</v>
      </c>
      <c r="AI4145">
        <v>90.633934787596104</v>
      </c>
      <c r="AJ4145">
        <v>77.952557612919904</v>
      </c>
      <c r="AK4145">
        <v>42.1394801010915</v>
      </c>
      <c r="AL4145">
        <v>87.509695476180596</v>
      </c>
      <c r="AM4145">
        <v>88.7072369769174</v>
      </c>
      <c r="AN4145">
        <v>1.0000000041944299</v>
      </c>
    </row>
    <row r="4146" spans="1:40" x14ac:dyDescent="0.25">
      <c r="A4146" t="str">
        <f>"20190312160417237"</f>
        <v>20190312160417237</v>
      </c>
      <c r="B4146" t="str">
        <f>"1552377857229342"</f>
        <v>1552377857229342</v>
      </c>
      <c r="C4146" t="s">
        <v>40</v>
      </c>
      <c r="D4146">
        <v>5.301469</v>
      </c>
      <c r="E4146">
        <v>0.57229859999999999</v>
      </c>
      <c r="F4146" t="s">
        <v>44</v>
      </c>
      <c r="G4146">
        <v>-177.74690000000001</v>
      </c>
      <c r="H4146">
        <v>0.63764149999999997</v>
      </c>
      <c r="I4146">
        <v>205.68950000000001</v>
      </c>
      <c r="J4146">
        <v>-218.75020000000001</v>
      </c>
      <c r="K4146">
        <v>1.1083339999999999</v>
      </c>
      <c r="L4146">
        <v>214.11689999999999</v>
      </c>
      <c r="M4146">
        <v>0.99986640000000004</v>
      </c>
      <c r="N4146">
        <v>0</v>
      </c>
      <c r="O4146">
        <v>7.8044890000000004E-3</v>
      </c>
      <c r="P4146">
        <v>0.99945649999999997</v>
      </c>
      <c r="Q4146">
        <v>2.9609400000000001E-2</v>
      </c>
      <c r="R4146">
        <v>-1.449749E-2</v>
      </c>
      <c r="S4146">
        <v>2.9949490000000001</v>
      </c>
      <c r="T4146">
        <v>-3.4143090000000001E-2</v>
      </c>
      <c r="U4146">
        <v>-0.61109919999999995</v>
      </c>
      <c r="V4146">
        <v>2.2493180000000002E-2</v>
      </c>
      <c r="W4146">
        <v>4.3865729999999999E-2</v>
      </c>
      <c r="X4146">
        <v>0.99878420000000001</v>
      </c>
      <c r="Y4146">
        <v>0.20755209999999999</v>
      </c>
      <c r="Z4146">
        <v>-1.259058E-3</v>
      </c>
      <c r="AA4146">
        <v>0.97822310000000001</v>
      </c>
      <c r="AB4146">
        <v>31</v>
      </c>
      <c r="AC4146">
        <v>41.003300000000003</v>
      </c>
      <c r="AD4146">
        <v>-0.47069250000000001</v>
      </c>
      <c r="AE4146">
        <v>-8.4273999999999702</v>
      </c>
      <c r="AF4146">
        <v>8.7460802871231706</v>
      </c>
      <c r="AG4146">
        <v>-0.47069250000000001</v>
      </c>
      <c r="AH4146">
        <v>40.9310974984014</v>
      </c>
      <c r="AI4146">
        <v>90.644307683957805</v>
      </c>
      <c r="AJ4146">
        <v>77.938530859859497</v>
      </c>
      <c r="AK4146">
        <v>41.857737806073601</v>
      </c>
      <c r="AL4146">
        <v>87.485872113620204</v>
      </c>
      <c r="AM4146">
        <v>88.709885006704695</v>
      </c>
      <c r="AN4146">
        <v>1.00000001179229</v>
      </c>
    </row>
    <row r="4147" spans="1:40" x14ac:dyDescent="0.25">
      <c r="A4147" t="str">
        <f>"20190312160417259"</f>
        <v>20190312160417259</v>
      </c>
      <c r="B4147" t="str">
        <f>"1552377857248862"</f>
        <v>1552377857248862</v>
      </c>
      <c r="C4147" t="s">
        <v>40</v>
      </c>
      <c r="D4147">
        <v>5.3191860000000002</v>
      </c>
      <c r="E4147">
        <v>0.57263660000000005</v>
      </c>
      <c r="F4147" t="s">
        <v>44</v>
      </c>
      <c r="G4147">
        <v>-177.74430000000001</v>
      </c>
      <c r="H4147">
        <v>0.64911450000000004</v>
      </c>
      <c r="I4147">
        <v>205.6207</v>
      </c>
      <c r="J4147">
        <v>-218.4427</v>
      </c>
      <c r="K4147">
        <v>1.108206</v>
      </c>
      <c r="L4147">
        <v>214.11680000000001</v>
      </c>
      <c r="M4147">
        <v>0.99988259999999995</v>
      </c>
      <c r="N4147">
        <v>0</v>
      </c>
      <c r="O4147">
        <v>5.3394039999999999E-3</v>
      </c>
      <c r="P4147">
        <v>0.99940790000000002</v>
      </c>
      <c r="Q4147">
        <v>3.0251980000000001E-2</v>
      </c>
      <c r="R4147">
        <v>-1.640287E-2</v>
      </c>
      <c r="S4147">
        <v>2.9936370000000001</v>
      </c>
      <c r="T4147">
        <v>-3.3525350000000002E-2</v>
      </c>
      <c r="U4147">
        <v>-0.62026979999999998</v>
      </c>
      <c r="V4147">
        <v>2.1951419999999999E-2</v>
      </c>
      <c r="W4147">
        <v>4.4505500000000003E-2</v>
      </c>
      <c r="X4147">
        <v>0.99876790000000004</v>
      </c>
      <c r="Y4147">
        <v>0.20810000000000001</v>
      </c>
      <c r="Z4147">
        <v>-1.212142E-3</v>
      </c>
      <c r="AA4147">
        <v>0.97810680000000005</v>
      </c>
      <c r="AB4147">
        <v>31</v>
      </c>
      <c r="AC4147">
        <v>40.6983999999999</v>
      </c>
      <c r="AD4147">
        <v>-0.45909149999999999</v>
      </c>
      <c r="AE4147">
        <v>-8.4961000000000109</v>
      </c>
      <c r="AF4147">
        <v>8.7122441786681808</v>
      </c>
      <c r="AG4147">
        <v>-0.45909149999999999</v>
      </c>
      <c r="AH4147">
        <v>40.647494710191701</v>
      </c>
      <c r="AI4147">
        <v>90.632727960976197</v>
      </c>
      <c r="AJ4147">
        <v>77.902457619379305</v>
      </c>
      <c r="AK4147">
        <v>41.573222028719101</v>
      </c>
      <c r="AL4147">
        <v>87.449180027867698</v>
      </c>
      <c r="AM4147">
        <v>88.740927434043201</v>
      </c>
      <c r="AN4147">
        <v>0.99999996122033696</v>
      </c>
    </row>
    <row r="4148" spans="1:40" x14ac:dyDescent="0.25">
      <c r="A4148" t="str">
        <f>"20190312160417282"</f>
        <v>20190312160417282</v>
      </c>
      <c r="B4148" t="str">
        <f>"1552377857268889"</f>
        <v>1552377857268889</v>
      </c>
      <c r="C4148" t="s">
        <v>40</v>
      </c>
      <c r="D4148">
        <v>5.3711549999999999</v>
      </c>
      <c r="E4148">
        <v>0.57294339999999999</v>
      </c>
      <c r="F4148" t="s">
        <v>44</v>
      </c>
      <c r="G4148">
        <v>-177.7371</v>
      </c>
      <c r="H4148">
        <v>0.68151260000000002</v>
      </c>
      <c r="I4148">
        <v>205.5616</v>
      </c>
      <c r="J4148">
        <v>-218.13390000000001</v>
      </c>
      <c r="K4148">
        <v>1.1080810000000001</v>
      </c>
      <c r="L4148">
        <v>214.1157</v>
      </c>
      <c r="M4148">
        <v>0.99989309999999998</v>
      </c>
      <c r="N4148">
        <v>0</v>
      </c>
      <c r="O4148">
        <v>2.6981420000000002E-3</v>
      </c>
      <c r="P4148">
        <v>0.99935569999999896</v>
      </c>
      <c r="Q4148">
        <v>3.0469489999999998E-2</v>
      </c>
      <c r="R4148">
        <v>-1.896519E-2</v>
      </c>
      <c r="S4148">
        <v>2.992416</v>
      </c>
      <c r="T4148">
        <v>-3.1367779999999998E-2</v>
      </c>
      <c r="U4148">
        <v>-0.62892150000000002</v>
      </c>
      <c r="V4148">
        <v>2.1889410000000002E-2</v>
      </c>
      <c r="W4148">
        <v>4.4717479999999997E-2</v>
      </c>
      <c r="X4148">
        <v>0.99875979999999998</v>
      </c>
      <c r="Y4148">
        <v>0.2083071</v>
      </c>
      <c r="Z4148">
        <v>-1.107937E-3</v>
      </c>
      <c r="AA4148">
        <v>0.97806280000000001</v>
      </c>
      <c r="AB4148">
        <v>31</v>
      </c>
      <c r="AC4148">
        <v>40.396799999999999</v>
      </c>
      <c r="AD4148">
        <v>-0.42656839999999902</v>
      </c>
      <c r="AE4148">
        <v>-8.5541</v>
      </c>
      <c r="AF4148">
        <v>8.6621520155997906</v>
      </c>
      <c r="AG4148">
        <v>-0.42656839999999902</v>
      </c>
      <c r="AH4148">
        <v>40.369262274105601</v>
      </c>
      <c r="AI4148">
        <v>90.591930310678407</v>
      </c>
      <c r="AJ4148">
        <v>77.8895085405412</v>
      </c>
      <c r="AK4148">
        <v>41.290339968287597</v>
      </c>
      <c r="AL4148">
        <v>87.437022383168198</v>
      </c>
      <c r="AM4148">
        <v>88.744472836524395</v>
      </c>
      <c r="AN4148">
        <v>0.99999996869186802</v>
      </c>
    </row>
    <row r="4149" spans="1:40" x14ac:dyDescent="0.25">
      <c r="A4149" t="str">
        <f>"20190312160417306"</f>
        <v>20190312160417306</v>
      </c>
      <c r="B4149" t="str">
        <f>"1552377857299145"</f>
        <v>1552377857299145</v>
      </c>
      <c r="C4149" t="s">
        <v>40</v>
      </c>
      <c r="D4149">
        <v>5.3208080000000004</v>
      </c>
      <c r="E4149">
        <v>0.57339319999999905</v>
      </c>
      <c r="F4149" t="s">
        <v>44</v>
      </c>
      <c r="G4149">
        <v>-177.73929999999999</v>
      </c>
      <c r="H4149">
        <v>0.67142800000000002</v>
      </c>
      <c r="I4149">
        <v>205.48390000000001</v>
      </c>
      <c r="J4149">
        <v>-217.79660000000001</v>
      </c>
      <c r="K4149">
        <v>1.1079380000000001</v>
      </c>
      <c r="L4149">
        <v>214.11349999999999</v>
      </c>
      <c r="M4149">
        <v>0.99989669999999997</v>
      </c>
      <c r="N4149">
        <v>0</v>
      </c>
      <c r="O4149">
        <v>-3.6328750000000001E-4</v>
      </c>
      <c r="P4149">
        <v>0.99926619999999999</v>
      </c>
      <c r="Q4149">
        <v>3.0866339999999999E-2</v>
      </c>
      <c r="R4149">
        <v>-2.269214E-2</v>
      </c>
      <c r="S4149">
        <v>2.990799</v>
      </c>
      <c r="T4149">
        <v>-3.232968E-2</v>
      </c>
      <c r="U4149">
        <v>-0.63909910000000003</v>
      </c>
      <c r="V4149">
        <v>2.2574690000000001E-2</v>
      </c>
      <c r="W4149">
        <v>4.5105239999999998E-2</v>
      </c>
      <c r="X4149">
        <v>0.99872709999999998</v>
      </c>
      <c r="Y4149">
        <v>0.2086036</v>
      </c>
      <c r="Z4149">
        <v>-1.110972E-3</v>
      </c>
      <c r="AA4149">
        <v>0.97799959999999997</v>
      </c>
      <c r="AB4149">
        <v>31</v>
      </c>
      <c r="AC4149">
        <v>40.057299999999998</v>
      </c>
      <c r="AD4149">
        <v>-0.43650999999999901</v>
      </c>
      <c r="AE4149">
        <v>-8.6295999999999804</v>
      </c>
      <c r="AF4149">
        <v>8.6140680791527409</v>
      </c>
      <c r="AG4149">
        <v>-0.43650999999999901</v>
      </c>
      <c r="AH4149">
        <v>40.055887126313998</v>
      </c>
      <c r="AI4149">
        <v>90.610403372181196</v>
      </c>
      <c r="AJ4149">
        <v>77.8633138956925</v>
      </c>
      <c r="AK4149">
        <v>40.973977148043403</v>
      </c>
      <c r="AL4149">
        <v>87.414782907690395</v>
      </c>
      <c r="AM4149">
        <v>88.705137520230494</v>
      </c>
      <c r="AN4149">
        <v>0.99999995978923095</v>
      </c>
    </row>
    <row r="4150" spans="1:40" x14ac:dyDescent="0.25">
      <c r="A4150" t="str">
        <f>"20190312160417328"</f>
        <v>20190312160417328</v>
      </c>
      <c r="B4150" t="str">
        <f>"1552377857318665"</f>
        <v>1552377857318665</v>
      </c>
      <c r="C4150" t="s">
        <v>40</v>
      </c>
      <c r="D4150">
        <v>4.4605980000000001</v>
      </c>
      <c r="E4150">
        <v>0.57363260000000005</v>
      </c>
      <c r="F4150" t="s">
        <v>55</v>
      </c>
      <c r="G4150">
        <v>-168.4117</v>
      </c>
      <c r="H4150">
        <v>0.5540543</v>
      </c>
      <c r="I4150">
        <v>203.3116</v>
      </c>
      <c r="J4150">
        <v>-217.50040000000001</v>
      </c>
      <c r="K4150">
        <v>1.1078220000000001</v>
      </c>
      <c r="L4150">
        <v>214.1105</v>
      </c>
      <c r="M4150">
        <v>0.99989159999999999</v>
      </c>
      <c r="N4150">
        <v>0</v>
      </c>
      <c r="O4150">
        <v>-3.2161970000000001E-3</v>
      </c>
      <c r="P4150">
        <v>0.99915569999999998</v>
      </c>
      <c r="Q4150">
        <v>3.1697919999999997E-2</v>
      </c>
      <c r="R4150">
        <v>-2.613969E-2</v>
      </c>
      <c r="S4150">
        <v>2.9884189999999999</v>
      </c>
      <c r="T4150">
        <v>-3.351498E-2</v>
      </c>
      <c r="U4150">
        <v>-0.65365600000000001</v>
      </c>
      <c r="V4150">
        <v>2.319038E-2</v>
      </c>
      <c r="W4150">
        <v>4.5928360000000001E-2</v>
      </c>
      <c r="X4150">
        <v>0.99867550000000005</v>
      </c>
      <c r="Y4150">
        <v>0.21052219999999999</v>
      </c>
      <c r="Z4150">
        <v>-1.131024E-3</v>
      </c>
      <c r="AA4150">
        <v>0.97758840000000002</v>
      </c>
      <c r="AB4150">
        <v>31</v>
      </c>
      <c r="AC4150">
        <v>49.088700000000003</v>
      </c>
      <c r="AD4150">
        <v>-0.55376769999999897</v>
      </c>
      <c r="AE4150">
        <v>-10.7989</v>
      </c>
      <c r="AF4150">
        <v>10.639657406001101</v>
      </c>
      <c r="AG4150">
        <v>-0.55376769999999897</v>
      </c>
      <c r="AH4150">
        <v>49.117218910537197</v>
      </c>
      <c r="AI4150">
        <v>90.631308292679194</v>
      </c>
      <c r="AJ4150">
        <v>77.777558899681594</v>
      </c>
      <c r="AK4150">
        <v>50.259428586965399</v>
      </c>
      <c r="AL4150">
        <v>87.367572728709902</v>
      </c>
      <c r="AM4150">
        <v>88.669765951478496</v>
      </c>
      <c r="AN4150">
        <v>0.99999998113854105</v>
      </c>
    </row>
    <row r="4151" spans="1:40" x14ac:dyDescent="0.25">
      <c r="A4151" t="str">
        <f>"20190312160417348"</f>
        <v>20190312160417348</v>
      </c>
      <c r="B4151" t="str">
        <f>"1552377857339161"</f>
        <v>1552377857339161</v>
      </c>
      <c r="C4151" t="s">
        <v>40</v>
      </c>
      <c r="D4151">
        <v>5.3420800000000002</v>
      </c>
      <c r="E4151">
        <v>0.57383300000000004</v>
      </c>
      <c r="F4151" t="s">
        <v>55</v>
      </c>
      <c r="G4151">
        <v>-168.4118</v>
      </c>
      <c r="H4151">
        <v>0.60722540000000003</v>
      </c>
      <c r="I4151">
        <v>203.1671</v>
      </c>
      <c r="J4151">
        <v>-217.20580000000001</v>
      </c>
      <c r="K4151">
        <v>1.107702</v>
      </c>
      <c r="L4151">
        <v>214.10640000000001</v>
      </c>
      <c r="M4151">
        <v>0.99987740000000003</v>
      </c>
      <c r="N4151">
        <v>0</v>
      </c>
      <c r="O4151">
        <v>-6.1997659999999998E-3</v>
      </c>
      <c r="P4151">
        <v>0.99902250000000004</v>
      </c>
      <c r="Q4151">
        <v>3.2651899999999998E-2</v>
      </c>
      <c r="R4151">
        <v>-2.97976E-2</v>
      </c>
      <c r="S4151">
        <v>2.9860989999999998</v>
      </c>
      <c r="T4151">
        <v>-3.0449629999999998E-2</v>
      </c>
      <c r="U4151">
        <v>-0.66569519999999904</v>
      </c>
      <c r="V4151">
        <v>2.3886270000000001E-2</v>
      </c>
      <c r="W4151">
        <v>4.6873860000000003E-2</v>
      </c>
      <c r="X4151">
        <v>0.99861520000000004</v>
      </c>
      <c r="Y4151">
        <v>0.21152380000000001</v>
      </c>
      <c r="Z4151">
        <v>-1.0029170000000001E-3</v>
      </c>
      <c r="AA4151">
        <v>0.97737229999999997</v>
      </c>
      <c r="AB4151">
        <v>31</v>
      </c>
      <c r="AC4151">
        <v>48.793999999999997</v>
      </c>
      <c r="AD4151">
        <v>-0.50047659999999905</v>
      </c>
      <c r="AE4151">
        <v>-10.939299999999999</v>
      </c>
      <c r="AF4151">
        <v>10.6354817042501</v>
      </c>
      <c r="AG4151">
        <v>-0.50047659999999905</v>
      </c>
      <c r="AH4151">
        <v>48.855996264684201</v>
      </c>
      <c r="AI4151">
        <v>90.5734822813546</v>
      </c>
      <c r="AJ4151">
        <v>77.718863321471602</v>
      </c>
      <c r="AK4151">
        <v>50.002723115080698</v>
      </c>
      <c r="AL4151">
        <v>87.313341244128694</v>
      </c>
      <c r="AM4151">
        <v>88.629780977557303</v>
      </c>
      <c r="AN4151">
        <v>1.0000000151584201</v>
      </c>
    </row>
    <row r="4152" spans="1:40" x14ac:dyDescent="0.25">
      <c r="A4152" t="str">
        <f>"20190312160417394"</f>
        <v>20190312160417394</v>
      </c>
      <c r="B4152" t="str">
        <f>"1552377857389443"</f>
        <v>1552377857389443</v>
      </c>
      <c r="C4152" t="s">
        <v>40</v>
      </c>
      <c r="D4152">
        <v>5.3794490000000001</v>
      </c>
      <c r="E4152">
        <v>0.57443180000000005</v>
      </c>
      <c r="F4152" t="s">
        <v>55</v>
      </c>
      <c r="G4152">
        <v>-168.4119</v>
      </c>
      <c r="H4152">
        <v>0.68721009999999905</v>
      </c>
      <c r="I4152">
        <v>203.01169999999999</v>
      </c>
      <c r="J4152">
        <v>-216.58199999999999</v>
      </c>
      <c r="K4152">
        <v>1.107497</v>
      </c>
      <c r="L4152">
        <v>214.09450000000001</v>
      </c>
      <c r="M4152">
        <v>0.99981359999999997</v>
      </c>
      <c r="N4152">
        <v>0</v>
      </c>
      <c r="O4152">
        <v>-1.288424E-2</v>
      </c>
      <c r="P4152">
        <v>0.99874289999999999</v>
      </c>
      <c r="Q4152">
        <v>3.312996E-2</v>
      </c>
      <c r="R4152">
        <v>-3.762016E-2</v>
      </c>
      <c r="S4152">
        <v>2.983536</v>
      </c>
      <c r="T4152">
        <v>-2.570915E-2</v>
      </c>
      <c r="U4152">
        <v>-0.67839050000000001</v>
      </c>
      <c r="V4152">
        <v>2.5057869999999999E-2</v>
      </c>
      <c r="W4152">
        <v>4.7336349999999999E-2</v>
      </c>
      <c r="X4152">
        <v>0.99856469999999997</v>
      </c>
      <c r="Y4152">
        <v>0.2091286</v>
      </c>
      <c r="Z4152">
        <v>-7.8006919999999995E-4</v>
      </c>
      <c r="AA4152">
        <v>0.97788779999999997</v>
      </c>
      <c r="AB4152">
        <v>31</v>
      </c>
      <c r="AC4152">
        <v>48.170099999999898</v>
      </c>
      <c r="AD4152">
        <v>-0.42028690000000002</v>
      </c>
      <c r="AE4152">
        <v>-11.082800000000001</v>
      </c>
      <c r="AF4152">
        <v>10.460424295123101</v>
      </c>
      <c r="AG4152">
        <v>-0.42028690000000002</v>
      </c>
      <c r="AH4152">
        <v>48.305416565524297</v>
      </c>
      <c r="AI4152">
        <v>90.487204244283404</v>
      </c>
      <c r="AJ4152">
        <v>77.781391033717398</v>
      </c>
      <c r="AK4152">
        <v>49.426818500497802</v>
      </c>
      <c r="AL4152">
        <v>87.286813148228504</v>
      </c>
      <c r="AM4152">
        <v>88.562527844910704</v>
      </c>
      <c r="AN4152">
        <v>1.00000004348317</v>
      </c>
    </row>
    <row r="4153" spans="1:40" x14ac:dyDescent="0.25">
      <c r="A4153" t="str">
        <f>"20190312160417417"</f>
        <v>20190312160417417</v>
      </c>
      <c r="B4153" t="str">
        <f>"1552377857408963"</f>
        <v>1552377857408963</v>
      </c>
      <c r="C4153" t="s">
        <v>40</v>
      </c>
      <c r="D4153">
        <v>5.3343040000000004</v>
      </c>
      <c r="E4153">
        <v>0.57478929999999995</v>
      </c>
      <c r="F4153" t="s">
        <v>55</v>
      </c>
      <c r="G4153">
        <v>-168.41200000000001</v>
      </c>
      <c r="H4153">
        <v>0.70855140000000005</v>
      </c>
      <c r="I4153">
        <v>202.66749999999999</v>
      </c>
      <c r="J4153">
        <v>-216.27250000000001</v>
      </c>
      <c r="K4153">
        <v>1.10741</v>
      </c>
      <c r="L4153">
        <v>214.08680000000001</v>
      </c>
      <c r="M4153">
        <v>0.99976240000000005</v>
      </c>
      <c r="N4153">
        <v>0</v>
      </c>
      <c r="O4153">
        <v>-1.6374199999999998E-2</v>
      </c>
      <c r="P4153">
        <v>0.99858769999999997</v>
      </c>
      <c r="Q4153">
        <v>3.3861040000000002E-2</v>
      </c>
      <c r="R4153">
        <v>-4.0939410000000002E-2</v>
      </c>
      <c r="S4153">
        <v>2.9779659999999999</v>
      </c>
      <c r="T4153">
        <v>-2.4661539999999999E-2</v>
      </c>
      <c r="U4153">
        <v>-0.70643619999999996</v>
      </c>
      <c r="V4153">
        <v>2.4906500000000002E-2</v>
      </c>
      <c r="W4153">
        <v>4.806556E-2</v>
      </c>
      <c r="X4153">
        <v>0.99853360000000002</v>
      </c>
      <c r="Y4153">
        <v>0.21484439999999999</v>
      </c>
      <c r="Z4153">
        <v>-7.4372209999999997E-4</v>
      </c>
      <c r="AA4153">
        <v>0.97664799999999996</v>
      </c>
      <c r="AB4153">
        <v>31</v>
      </c>
      <c r="AC4153">
        <v>47.860500000000002</v>
      </c>
      <c r="AD4153">
        <v>-0.39885860000000001</v>
      </c>
      <c r="AE4153">
        <v>-11.4193</v>
      </c>
      <c r="AF4153">
        <v>10.6333114814701</v>
      </c>
      <c r="AG4153">
        <v>-0.39885860000000001</v>
      </c>
      <c r="AH4153">
        <v>48.037926835691302</v>
      </c>
      <c r="AI4153">
        <v>90.464473265514798</v>
      </c>
      <c r="AJ4153">
        <v>77.518691660373406</v>
      </c>
      <c r="AK4153">
        <v>49.20232531005</v>
      </c>
      <c r="AL4153">
        <v>87.244984734483694</v>
      </c>
      <c r="AM4153">
        <v>88.571163258053005</v>
      </c>
      <c r="AN4153">
        <v>0.99999999106466098</v>
      </c>
    </row>
    <row r="4154" spans="1:40" x14ac:dyDescent="0.25">
      <c r="A4154" t="str">
        <f>"20190312160417439"</f>
        <v>20190312160417439</v>
      </c>
      <c r="B4154" t="str">
        <f>"1552377857429459"</f>
        <v>1552377857429459</v>
      </c>
      <c r="C4154" t="s">
        <v>40</v>
      </c>
      <c r="D4154">
        <v>5.3458069999999998</v>
      </c>
      <c r="E4154">
        <v>0.57514960000000004</v>
      </c>
      <c r="F4154" t="s">
        <v>55</v>
      </c>
      <c r="G4154">
        <v>-168.41200000000001</v>
      </c>
      <c r="H4154">
        <v>0.7302341</v>
      </c>
      <c r="I4154">
        <v>202.52099999999999</v>
      </c>
      <c r="J4154">
        <v>-215.9759</v>
      </c>
      <c r="K4154">
        <v>1.1073299999999999</v>
      </c>
      <c r="L4154">
        <v>214.07839999999999</v>
      </c>
      <c r="M4154">
        <v>0.99970000000000003</v>
      </c>
      <c r="N4154">
        <v>0</v>
      </c>
      <c r="O4154">
        <v>-1.9823090000000002E-2</v>
      </c>
      <c r="P4154">
        <v>0.99844770000000005</v>
      </c>
      <c r="Q4154">
        <v>3.3914979999999997E-2</v>
      </c>
      <c r="R4154">
        <v>-4.4181409999999997E-2</v>
      </c>
      <c r="S4154">
        <v>2.9755859999999998</v>
      </c>
      <c r="T4154">
        <v>-2.344775E-2</v>
      </c>
      <c r="U4154">
        <v>-0.7190704</v>
      </c>
      <c r="V4154">
        <v>2.4713840000000001E-2</v>
      </c>
      <c r="W4154">
        <v>4.811795E-2</v>
      </c>
      <c r="X4154">
        <v>0.99853590000000003</v>
      </c>
      <c r="Y4154">
        <v>0.21557299999999999</v>
      </c>
      <c r="Z4154">
        <v>-6.8339360000000001E-4</v>
      </c>
      <c r="AA4154">
        <v>0.97648749999999995</v>
      </c>
      <c r="AB4154">
        <v>31</v>
      </c>
      <c r="AC4154">
        <v>47.563899999999897</v>
      </c>
      <c r="AD4154">
        <v>-0.37709589999999898</v>
      </c>
      <c r="AE4154">
        <v>-11.557399999999999</v>
      </c>
      <c r="AF4154">
        <v>10.611537671603701</v>
      </c>
      <c r="AG4154">
        <v>-0.37709589999999898</v>
      </c>
      <c r="AH4154">
        <v>47.780843116214697</v>
      </c>
      <c r="AI4154">
        <v>90.441425538998502</v>
      </c>
      <c r="AJ4154">
        <v>77.478537210157398</v>
      </c>
      <c r="AK4154">
        <v>48.946459544792297</v>
      </c>
      <c r="AL4154">
        <v>87.241979631313001</v>
      </c>
      <c r="AM4154">
        <v>88.582214517522402</v>
      </c>
      <c r="AN4154">
        <v>1.00000002729427</v>
      </c>
    </row>
    <row r="4155" spans="1:40" x14ac:dyDescent="0.25">
      <c r="A4155" t="str">
        <f>"20190312160417460"</f>
        <v>20190312160417460</v>
      </c>
      <c r="B4155" t="str">
        <f>"1552377857448979"</f>
        <v>1552377857448979</v>
      </c>
      <c r="C4155" t="s">
        <v>40</v>
      </c>
      <c r="D4155">
        <v>5.3429419999999999</v>
      </c>
      <c r="E4155">
        <v>0.57546450000000005</v>
      </c>
      <c r="F4155" t="s">
        <v>55</v>
      </c>
      <c r="G4155">
        <v>-168.41210000000001</v>
      </c>
      <c r="H4155">
        <v>0.71311569999999902</v>
      </c>
      <c r="I4155">
        <v>202.37360000000001</v>
      </c>
      <c r="J4155">
        <v>-215.67</v>
      </c>
      <c r="K4155">
        <v>1.1072409999999999</v>
      </c>
      <c r="L4155">
        <v>214.0685</v>
      </c>
      <c r="M4155">
        <v>0.99962059999999997</v>
      </c>
      <c r="N4155">
        <v>0</v>
      </c>
      <c r="O4155">
        <v>-2.3487560000000001E-2</v>
      </c>
      <c r="P4155">
        <v>0.9982917</v>
      </c>
      <c r="Q4155">
        <v>3.4645210000000003E-2</v>
      </c>
      <c r="R4155">
        <v>-4.7045690000000001E-2</v>
      </c>
      <c r="S4155">
        <v>2.9731139999999998</v>
      </c>
      <c r="T4155">
        <v>-2.4639370000000001E-2</v>
      </c>
      <c r="U4155">
        <v>-0.73164370000000001</v>
      </c>
      <c r="V4155">
        <v>2.39341E-2</v>
      </c>
      <c r="W4155">
        <v>4.885142E-2</v>
      </c>
      <c r="X4155">
        <v>0.99851920000000005</v>
      </c>
      <c r="Y4155">
        <v>0.21607589999999999</v>
      </c>
      <c r="Z4155">
        <v>-6.9052239999999997E-4</v>
      </c>
      <c r="AA4155">
        <v>0.97637629999999997</v>
      </c>
      <c r="AB4155">
        <v>31</v>
      </c>
      <c r="AC4155">
        <v>47.2578999999999</v>
      </c>
      <c r="AD4155">
        <v>-0.39412529999999901</v>
      </c>
      <c r="AE4155">
        <v>-11.694899999999899</v>
      </c>
      <c r="AF4155">
        <v>10.580891923730601</v>
      </c>
      <c r="AG4155">
        <v>-0.39412529999999901</v>
      </c>
      <c r="AH4155">
        <v>47.516459101592602</v>
      </c>
      <c r="AI4155">
        <v>90.463868024150898</v>
      </c>
      <c r="AJ4155">
        <v>77.446284356613702</v>
      </c>
      <c r="AK4155">
        <v>48.681870282550598</v>
      </c>
      <c r="AL4155">
        <v>87.199905190319598</v>
      </c>
      <c r="AM4155">
        <v>88.6269063432552</v>
      </c>
      <c r="AN4155">
        <v>0.99999994757373101</v>
      </c>
    </row>
    <row r="4156" spans="1:40" x14ac:dyDescent="0.25">
      <c r="A4156" t="str">
        <f>"20190312160417484"</f>
        <v>20190312160417484</v>
      </c>
      <c r="B4156" t="str">
        <f>"1552377857479236"</f>
        <v>1552377857479236</v>
      </c>
      <c r="C4156" t="s">
        <v>40</v>
      </c>
      <c r="D4156">
        <v>5.3235749999999999</v>
      </c>
      <c r="E4156">
        <v>0.575936</v>
      </c>
      <c r="F4156" t="s">
        <v>55</v>
      </c>
      <c r="G4156">
        <v>-168.41210000000001</v>
      </c>
      <c r="H4156">
        <v>0.74180979999999996</v>
      </c>
      <c r="I4156">
        <v>202.25630000000001</v>
      </c>
      <c r="J4156">
        <v>-215.3509</v>
      </c>
      <c r="K4156">
        <v>1.107143</v>
      </c>
      <c r="L4156">
        <v>214.05690000000001</v>
      </c>
      <c r="M4156">
        <v>0.99952019999999997</v>
      </c>
      <c r="N4156">
        <v>0</v>
      </c>
      <c r="O4156">
        <v>-2.7429220000000001E-2</v>
      </c>
      <c r="P4156">
        <v>0.99812230000000002</v>
      </c>
      <c r="Q4156">
        <v>3.5192309999999997E-2</v>
      </c>
      <c r="R4156">
        <v>-5.0134619999999998E-2</v>
      </c>
      <c r="S4156">
        <v>2.970917</v>
      </c>
      <c r="T4156">
        <v>-2.2971149999999999E-2</v>
      </c>
      <c r="U4156">
        <v>-0.74258419999999903</v>
      </c>
      <c r="V4156">
        <v>2.310222E-2</v>
      </c>
      <c r="W4156">
        <v>4.9401979999999998E-2</v>
      </c>
      <c r="X4156">
        <v>0.9985117</v>
      </c>
      <c r="Y4156">
        <v>0.21578120000000001</v>
      </c>
      <c r="Z4156">
        <v>-6.1286860000000002E-4</v>
      </c>
      <c r="AA4156">
        <v>0.97644160000000002</v>
      </c>
      <c r="AB4156">
        <v>31</v>
      </c>
      <c r="AC4156">
        <v>46.938799999999901</v>
      </c>
      <c r="AD4156">
        <v>-0.36533319999999903</v>
      </c>
      <c r="AE4156">
        <v>-11.800599999999999</v>
      </c>
      <c r="AF4156">
        <v>10.5079324220901</v>
      </c>
      <c r="AG4156">
        <v>-0.36533319999999903</v>
      </c>
      <c r="AH4156">
        <v>47.2421585888154</v>
      </c>
      <c r="AI4156">
        <v>90.432501875695394</v>
      </c>
      <c r="AJ4156">
        <v>77.460011069708699</v>
      </c>
      <c r="AK4156">
        <v>48.398054302471898</v>
      </c>
      <c r="AL4156">
        <v>87.168322272384103</v>
      </c>
      <c r="AM4156">
        <v>88.674603820771694</v>
      </c>
      <c r="AN4156">
        <v>0.99999994161686701</v>
      </c>
    </row>
    <row r="4157" spans="1:40" x14ac:dyDescent="0.25">
      <c r="A4157" t="str">
        <f>"20190312160417506"</f>
        <v>20190312160417506</v>
      </c>
      <c r="B4157" t="str">
        <f>"1552377857498755"</f>
        <v>1552377857498755</v>
      </c>
      <c r="C4157" t="s">
        <v>40</v>
      </c>
      <c r="D4157">
        <v>5.369021</v>
      </c>
      <c r="E4157">
        <v>0.57624439999999999</v>
      </c>
      <c r="F4157" t="s">
        <v>55</v>
      </c>
      <c r="G4157">
        <v>-168.41220000000001</v>
      </c>
      <c r="H4157">
        <v>0.76476860000000002</v>
      </c>
      <c r="I4157">
        <v>202.10730000000001</v>
      </c>
      <c r="J4157">
        <v>-215.04650000000001</v>
      </c>
      <c r="K4157">
        <v>1.1070439999999999</v>
      </c>
      <c r="L4157">
        <v>214.0446</v>
      </c>
      <c r="M4157">
        <v>0.99940600000000002</v>
      </c>
      <c r="N4157">
        <v>0</v>
      </c>
      <c r="O4157">
        <v>-3.1312819999999998E-2</v>
      </c>
      <c r="P4157">
        <v>0.99797340000000001</v>
      </c>
      <c r="Q4157">
        <v>3.5013570000000001E-2</v>
      </c>
      <c r="R4157">
        <v>-5.3135880000000003E-2</v>
      </c>
      <c r="S4157">
        <v>2.968445</v>
      </c>
      <c r="T4157">
        <v>-2.1650079999999999E-2</v>
      </c>
      <c r="U4157">
        <v>-0.75570680000000001</v>
      </c>
      <c r="V4157">
        <v>2.223464E-2</v>
      </c>
      <c r="W4157">
        <v>4.9228620000000001E-2</v>
      </c>
      <c r="X4157">
        <v>0.99853999999999998</v>
      </c>
      <c r="Y4157">
        <v>0.21623709999999999</v>
      </c>
      <c r="Z4157">
        <v>-5.5159920000000002E-4</v>
      </c>
      <c r="AA4157">
        <v>0.97634069999999995</v>
      </c>
      <c r="AB4157">
        <v>31</v>
      </c>
      <c r="AC4157">
        <v>46.634300000000003</v>
      </c>
      <c r="AD4157">
        <v>-0.34227540000000001</v>
      </c>
      <c r="AE4157">
        <v>-11.937299999999899</v>
      </c>
      <c r="AF4157">
        <v>10.4705130671709</v>
      </c>
      <c r="AG4157">
        <v>-0.34227540000000001</v>
      </c>
      <c r="AH4157">
        <v>46.982881316055597</v>
      </c>
      <c r="AI4157">
        <v>90.407404524503207</v>
      </c>
      <c r="AJ4157">
        <v>77.436481371431597</v>
      </c>
      <c r="AK4157">
        <v>48.136679705790002</v>
      </c>
      <c r="AL4157">
        <v>87.178267289134098</v>
      </c>
      <c r="AM4157">
        <v>88.724397078794894</v>
      </c>
      <c r="AN4157">
        <v>0.99999998392151601</v>
      </c>
    </row>
    <row r="4158" spans="1:40" x14ac:dyDescent="0.25">
      <c r="A4158" t="str">
        <f>"20190312160417529"</f>
        <v>20190312160417529</v>
      </c>
      <c r="B4158" t="str">
        <f>"1552377857519252"</f>
        <v>1552377857519252</v>
      </c>
      <c r="C4158" t="s">
        <v>40</v>
      </c>
      <c r="D4158">
        <v>5.3188709999999997</v>
      </c>
      <c r="E4158">
        <v>0.57657040000000004</v>
      </c>
      <c r="F4158" t="s">
        <v>55</v>
      </c>
      <c r="G4158">
        <v>-168.41220000000001</v>
      </c>
      <c r="H4158">
        <v>0.75539400000000001</v>
      </c>
      <c r="I4158">
        <v>201.98230000000001</v>
      </c>
      <c r="J4158">
        <v>-214.74789999999999</v>
      </c>
      <c r="K4158">
        <v>1.1069439999999999</v>
      </c>
      <c r="L4158">
        <v>214.03110000000001</v>
      </c>
      <c r="M4158">
        <v>0.99927480000000002</v>
      </c>
      <c r="N4158">
        <v>0</v>
      </c>
      <c r="O4158">
        <v>-3.5250209999999997E-2</v>
      </c>
      <c r="P4158">
        <v>0.99775469999999999</v>
      </c>
      <c r="Q4158">
        <v>3.4360509999999997E-2</v>
      </c>
      <c r="R4158">
        <v>-5.749079E-2</v>
      </c>
      <c r="S4158">
        <v>2.9660340000000001</v>
      </c>
      <c r="T4158">
        <v>-2.2363540000000001E-2</v>
      </c>
      <c r="U4158">
        <v>-0.76718140000000001</v>
      </c>
      <c r="V4158">
        <v>2.266425E-2</v>
      </c>
      <c r="W4158">
        <v>4.8570889999999999E-2</v>
      </c>
      <c r="X4158">
        <v>0.99856259999999997</v>
      </c>
      <c r="Y4158">
        <v>0.21612339999999999</v>
      </c>
      <c r="Z4158">
        <v>-5.4040139999999995E-4</v>
      </c>
      <c r="AA4158">
        <v>0.97636590000000001</v>
      </c>
      <c r="AB4158">
        <v>30</v>
      </c>
      <c r="AC4158">
        <v>46.335699999999903</v>
      </c>
      <c r="AD4158">
        <v>-0.35154999999999997</v>
      </c>
      <c r="AE4158">
        <v>-12.0488</v>
      </c>
      <c r="AF4158">
        <v>10.4072367331823</v>
      </c>
      <c r="AG4158">
        <v>-0.35154999999999997</v>
      </c>
      <c r="AH4158">
        <v>46.729144489210498</v>
      </c>
      <c r="AI4158">
        <v>90.420728437929995</v>
      </c>
      <c r="AJ4158">
        <v>77.444341872565602</v>
      </c>
      <c r="AK4158">
        <v>47.875328808442802</v>
      </c>
      <c r="AL4158">
        <v>87.215997716885795</v>
      </c>
      <c r="AM4158">
        <v>88.699788120303396</v>
      </c>
      <c r="AN4158">
        <v>1.0000000328511001</v>
      </c>
    </row>
    <row r="4159" spans="1:40" x14ac:dyDescent="0.25">
      <c r="A4159" t="str">
        <f>"20190312160417550"</f>
        <v>20190312160417550</v>
      </c>
      <c r="B4159" t="str">
        <f>"1552377857538770"</f>
        <v>1552377857538770</v>
      </c>
      <c r="C4159" t="s">
        <v>40</v>
      </c>
      <c r="D4159">
        <v>4.993557</v>
      </c>
      <c r="E4159">
        <v>0.57682119999999903</v>
      </c>
      <c r="F4159" t="s">
        <v>55</v>
      </c>
      <c r="G4159">
        <v>-168.41229999999999</v>
      </c>
      <c r="H4159">
        <v>0.71052550000000003</v>
      </c>
      <c r="I4159">
        <v>201.7893</v>
      </c>
      <c r="J4159">
        <v>-214.44749999999999</v>
      </c>
      <c r="K4159">
        <v>1.106843</v>
      </c>
      <c r="L4159">
        <v>214.0162</v>
      </c>
      <c r="M4159">
        <v>0.99912230000000002</v>
      </c>
      <c r="N4159">
        <v>0</v>
      </c>
      <c r="O4159">
        <v>-3.9335040000000002E-2</v>
      </c>
      <c r="P4159">
        <v>0.99750159999999999</v>
      </c>
      <c r="Q4159">
        <v>3.3306130000000003E-2</v>
      </c>
      <c r="R4159">
        <v>-6.2303579999999997E-2</v>
      </c>
      <c r="S4159">
        <v>2.9625400000000002</v>
      </c>
      <c r="T4159">
        <v>-2.5343540000000001E-2</v>
      </c>
      <c r="U4159">
        <v>-0.78269960000000005</v>
      </c>
      <c r="V4159">
        <v>2.340097E-2</v>
      </c>
      <c r="W4159">
        <v>4.7510200000000002E-2</v>
      </c>
      <c r="X4159">
        <v>0.99859659999999995</v>
      </c>
      <c r="Y4159">
        <v>0.21719649999999999</v>
      </c>
      <c r="Z4159">
        <v>-5.8297099999999897E-4</v>
      </c>
      <c r="AA4159">
        <v>0.97612770000000004</v>
      </c>
      <c r="AB4159">
        <v>30</v>
      </c>
      <c r="AC4159">
        <v>46.035200000000003</v>
      </c>
      <c r="AD4159">
        <v>-0.39631749999999999</v>
      </c>
      <c r="AE4159">
        <v>-12.226900000000001</v>
      </c>
      <c r="AF4159">
        <v>10.405730737434</v>
      </c>
      <c r="AG4159">
        <v>-0.39631749999999999</v>
      </c>
      <c r="AH4159">
        <v>46.477342737804598</v>
      </c>
      <c r="AI4159">
        <v>90.476753482518205</v>
      </c>
      <c r="AJ4159">
        <v>77.380260378719598</v>
      </c>
      <c r="AK4159">
        <v>47.629609359180598</v>
      </c>
      <c r="AL4159">
        <v>87.276840930986296</v>
      </c>
      <c r="AM4159">
        <v>88.657584583113803</v>
      </c>
      <c r="AN4159">
        <v>0.99999999701626996</v>
      </c>
    </row>
    <row r="4160" spans="1:40" x14ac:dyDescent="0.25">
      <c r="A4160" t="str">
        <f>"20190312160417572"</f>
        <v>20190312160417572</v>
      </c>
      <c r="B4160" t="str">
        <f>"1552377857559267"</f>
        <v>1552377857559267</v>
      </c>
      <c r="C4160" t="s">
        <v>40</v>
      </c>
      <c r="D4160">
        <v>5.3147669999999998</v>
      </c>
      <c r="E4160">
        <v>0.57705810000000002</v>
      </c>
      <c r="F4160" t="s">
        <v>55</v>
      </c>
      <c r="G4160">
        <v>-168.41229999999999</v>
      </c>
      <c r="H4160">
        <v>0.66652489999999998</v>
      </c>
      <c r="I4160">
        <v>201.58670000000001</v>
      </c>
      <c r="J4160">
        <v>-214.14670000000001</v>
      </c>
      <c r="K4160">
        <v>1.1067640000000001</v>
      </c>
      <c r="L4160">
        <v>213.9999</v>
      </c>
      <c r="M4160">
        <v>0.99894850000000002</v>
      </c>
      <c r="N4160">
        <v>0</v>
      </c>
      <c r="O4160">
        <v>-4.3525540000000001E-2</v>
      </c>
      <c r="P4160">
        <v>0.99716300000000002</v>
      </c>
      <c r="Q4160">
        <v>3.3352590000000001E-2</v>
      </c>
      <c r="R4160">
        <v>-6.7483379999999996E-2</v>
      </c>
      <c r="S4160">
        <v>2.9585720000000002</v>
      </c>
      <c r="T4160">
        <v>-2.8296109999999999E-2</v>
      </c>
      <c r="U4160">
        <v>-0.79881289999999905</v>
      </c>
      <c r="V4160">
        <v>2.4409239999999999E-2</v>
      </c>
      <c r="W4160">
        <v>4.754688E-2</v>
      </c>
      <c r="X4160">
        <v>0.99857070000000003</v>
      </c>
      <c r="Y4160">
        <v>0.21838569999999999</v>
      </c>
      <c r="Z4160">
        <v>-6.1763200000000001E-4</v>
      </c>
      <c r="AA4160">
        <v>0.97586229999999996</v>
      </c>
      <c r="AB4160">
        <v>30</v>
      </c>
      <c r="AC4160">
        <v>45.734400000000001</v>
      </c>
      <c r="AD4160">
        <v>-0.440239099999999</v>
      </c>
      <c r="AE4160">
        <v>-12.4131999999999</v>
      </c>
      <c r="AF4160">
        <v>10.409714433612701</v>
      </c>
      <c r="AG4160">
        <v>-0.440239099999999</v>
      </c>
      <c r="AH4160">
        <v>46.227406938451999</v>
      </c>
      <c r="AI4160">
        <v>90.532302059440795</v>
      </c>
      <c r="AJ4160">
        <v>77.309532894468504</v>
      </c>
      <c r="AK4160">
        <v>47.3870142265555</v>
      </c>
      <c r="AL4160">
        <v>87.274736897203795</v>
      </c>
      <c r="AM4160">
        <v>88.599730614172103</v>
      </c>
      <c r="AN4160">
        <v>0.9999999798468</v>
      </c>
    </row>
    <row r="4161" spans="1:40" x14ac:dyDescent="0.25">
      <c r="A4161" t="str">
        <f>"20190312160417595"</f>
        <v>20190312160417595</v>
      </c>
      <c r="B4161" t="str">
        <f>"1552377857589522"</f>
        <v>1552377857589522</v>
      </c>
      <c r="C4161" t="s">
        <v>40</v>
      </c>
      <c r="D4161">
        <v>5.3295769999999996</v>
      </c>
      <c r="E4161">
        <v>0.57737780000000005</v>
      </c>
      <c r="F4161" t="s">
        <v>55</v>
      </c>
      <c r="G4161">
        <v>-168.41239999999999</v>
      </c>
      <c r="H4161">
        <v>0.68996809999999997</v>
      </c>
      <c r="I4161">
        <v>201.3647</v>
      </c>
      <c r="J4161">
        <v>-213.83670000000001</v>
      </c>
      <c r="K4161">
        <v>1.10669</v>
      </c>
      <c r="L4161">
        <v>213.98169999999999</v>
      </c>
      <c r="M4161">
        <v>0.99874609999999997</v>
      </c>
      <c r="N4161">
        <v>0</v>
      </c>
      <c r="O4161">
        <v>-4.7945559999999998E-2</v>
      </c>
      <c r="P4161">
        <v>0.99677590000000005</v>
      </c>
      <c r="Q4161">
        <v>3.3991750000000001E-2</v>
      </c>
      <c r="R4161">
        <v>-7.2684349999999995E-2</v>
      </c>
      <c r="S4161">
        <v>2.954224</v>
      </c>
      <c r="T4161">
        <v>-2.6920909999999999E-2</v>
      </c>
      <c r="U4161">
        <v>-0.81617740000000005</v>
      </c>
      <c r="V4161">
        <v>2.5215459999999999E-2</v>
      </c>
      <c r="W4161">
        <v>4.8177490000000003E-2</v>
      </c>
      <c r="X4161">
        <v>0.99852039999999997</v>
      </c>
      <c r="Y4161">
        <v>0.21976660000000001</v>
      </c>
      <c r="Z4161">
        <v>-5.5480429999999999E-4</v>
      </c>
      <c r="AA4161">
        <v>0.97555230000000004</v>
      </c>
      <c r="AB4161">
        <v>30</v>
      </c>
      <c r="AC4161">
        <v>45.424300000000002</v>
      </c>
      <c r="AD4161">
        <v>-0.41672189999999998</v>
      </c>
      <c r="AE4161">
        <v>-12.6169999999999</v>
      </c>
      <c r="AF4161">
        <v>10.4235529376908</v>
      </c>
      <c r="AG4161">
        <v>-0.41672189999999998</v>
      </c>
      <c r="AH4161">
        <v>45.973448751019397</v>
      </c>
      <c r="AI4161">
        <v>90.506483436922906</v>
      </c>
      <c r="AJ4161">
        <v>77.225314488291303</v>
      </c>
      <c r="AK4161">
        <v>47.142147840858797</v>
      </c>
      <c r="AL4161">
        <v>87.2385640372827</v>
      </c>
      <c r="AM4161">
        <v>88.553427202869898</v>
      </c>
      <c r="AN4161">
        <v>0.99999993959093403</v>
      </c>
    </row>
    <row r="4162" spans="1:40" x14ac:dyDescent="0.25">
      <c r="A4162" t="str">
        <f>"20190312160417617"</f>
        <v>20190312160417617</v>
      </c>
      <c r="B4162" t="str">
        <f>"1552377857609043"</f>
        <v>1552377857609043</v>
      </c>
      <c r="C4162" t="s">
        <v>40</v>
      </c>
      <c r="D4162">
        <v>5.2696459999999998</v>
      </c>
      <c r="E4162">
        <v>0.5776289</v>
      </c>
      <c r="F4162" t="s">
        <v>55</v>
      </c>
      <c r="G4162">
        <v>-168.41249999999999</v>
      </c>
      <c r="H4162">
        <v>0.74739840000000002</v>
      </c>
      <c r="I4162">
        <v>201.13409999999999</v>
      </c>
      <c r="J4162">
        <v>-213.53559999999999</v>
      </c>
      <c r="K4162">
        <v>1.106627</v>
      </c>
      <c r="L4162">
        <v>213.96260000000001</v>
      </c>
      <c r="M4162">
        <v>0.99852540000000001</v>
      </c>
      <c r="N4162">
        <v>0</v>
      </c>
      <c r="O4162">
        <v>-5.2337649999999999E-2</v>
      </c>
      <c r="P4162">
        <v>0.99638800000000005</v>
      </c>
      <c r="Q4162">
        <v>3.4353500000000002E-2</v>
      </c>
      <c r="R4162">
        <v>-7.7658199999999997E-2</v>
      </c>
      <c r="S4162">
        <v>2.9496769999999999</v>
      </c>
      <c r="T4162">
        <v>-2.33289E-2</v>
      </c>
      <c r="U4162">
        <v>-0.83427430000000002</v>
      </c>
      <c r="V4162">
        <v>2.5819620000000001E-2</v>
      </c>
      <c r="W4162">
        <v>4.8532319999999997E-2</v>
      </c>
      <c r="X4162">
        <v>0.99848780000000004</v>
      </c>
      <c r="Y4162">
        <v>0.22141430000000001</v>
      </c>
      <c r="Z4162">
        <v>-4.5358639999999999E-4</v>
      </c>
      <c r="AA4162">
        <v>0.97517969999999998</v>
      </c>
      <c r="AB4162">
        <v>30</v>
      </c>
      <c r="AC4162">
        <v>45.123100000000001</v>
      </c>
      <c r="AD4162">
        <v>-0.35922859999999901</v>
      </c>
      <c r="AE4162">
        <v>-12.8285</v>
      </c>
      <c r="AF4162">
        <v>10.4484190819867</v>
      </c>
      <c r="AG4162">
        <v>-0.35922859999999901</v>
      </c>
      <c r="AH4162">
        <v>45.730045231473298</v>
      </c>
      <c r="AI4162">
        <v>90.4387666287722</v>
      </c>
      <c r="AJ4162">
        <v>77.129955068421793</v>
      </c>
      <c r="AK4162">
        <v>46.909866162380801</v>
      </c>
      <c r="AL4162">
        <v>87.218210029286993</v>
      </c>
      <c r="AM4162">
        <v>88.518734378527796</v>
      </c>
      <c r="AN4162">
        <v>0.999999962805182</v>
      </c>
    </row>
    <row r="4163" spans="1:40" x14ac:dyDescent="0.25">
      <c r="A4163" t="str">
        <f>"20190312160417639"</f>
        <v>20190312160417639</v>
      </c>
      <c r="B4163" t="str">
        <f>"1552377857629539"</f>
        <v>1552377857629539</v>
      </c>
      <c r="C4163" t="s">
        <v>40</v>
      </c>
      <c r="D4163">
        <v>5.3271639999999998</v>
      </c>
      <c r="E4163">
        <v>0.57785589999999998</v>
      </c>
      <c r="F4163" t="s">
        <v>55</v>
      </c>
      <c r="G4163">
        <v>-168.4126</v>
      </c>
      <c r="H4163">
        <v>0.78342819999999902</v>
      </c>
      <c r="I4163">
        <v>200.9246</v>
      </c>
      <c r="J4163">
        <v>-213.2336</v>
      </c>
      <c r="K4163">
        <v>1.10656</v>
      </c>
      <c r="L4163">
        <v>213.94210000000001</v>
      </c>
      <c r="M4163">
        <v>0.99827929999999998</v>
      </c>
      <c r="N4163">
        <v>0</v>
      </c>
      <c r="O4163">
        <v>-5.6838470000000002E-2</v>
      </c>
      <c r="P4163">
        <v>0.99599890000000002</v>
      </c>
      <c r="Q4163">
        <v>3.4473490000000002E-2</v>
      </c>
      <c r="R4163">
        <v>-8.245152E-2</v>
      </c>
      <c r="S4163">
        <v>2.9453130000000001</v>
      </c>
      <c r="T4163">
        <v>-2.1093959999999998E-2</v>
      </c>
      <c r="U4163">
        <v>-0.85102840000000002</v>
      </c>
      <c r="V4163">
        <v>2.6132220000000001E-2</v>
      </c>
      <c r="W4163">
        <v>4.8648999999999998E-2</v>
      </c>
      <c r="X4163">
        <v>0.99847399999999997</v>
      </c>
      <c r="Y4163">
        <v>0.22252479999999999</v>
      </c>
      <c r="Z4163">
        <v>-3.8287940000000001E-4</v>
      </c>
      <c r="AA4163">
        <v>0.97492690000000004</v>
      </c>
      <c r="AB4163">
        <v>30</v>
      </c>
      <c r="AC4163">
        <v>44.820999999999998</v>
      </c>
      <c r="AD4163">
        <v>-0.32313180000000002</v>
      </c>
      <c r="AE4163">
        <v>-13.0175</v>
      </c>
      <c r="AF4163">
        <v>10.4481287361218</v>
      </c>
      <c r="AG4163">
        <v>-0.32313180000000002</v>
      </c>
      <c r="AH4163">
        <v>45.486318161140296</v>
      </c>
      <c r="AI4163">
        <v>90.396688538776502</v>
      </c>
      <c r="AJ4163">
        <v>77.063655669824598</v>
      </c>
      <c r="AK4163">
        <v>46.671971761467603</v>
      </c>
      <c r="AL4163">
        <v>87.211516880905094</v>
      </c>
      <c r="AM4163">
        <v>88.500788013445998</v>
      </c>
      <c r="AN4163">
        <v>0.99999997339956304</v>
      </c>
    </row>
    <row r="4164" spans="1:40" x14ac:dyDescent="0.25">
      <c r="A4164" t="str">
        <f>"20190312160417662"</f>
        <v>20190312160417662</v>
      </c>
      <c r="B4164" t="str">
        <f>"1552377857649059"</f>
        <v>1552377857649059</v>
      </c>
      <c r="C4164" t="s">
        <v>40</v>
      </c>
      <c r="D4164">
        <v>5.3079359999999998</v>
      </c>
      <c r="E4164">
        <v>0.57808599999999999</v>
      </c>
      <c r="F4164" t="s">
        <v>55</v>
      </c>
      <c r="G4164">
        <v>-168.4127</v>
      </c>
      <c r="H4164">
        <v>0.80166340000000003</v>
      </c>
      <c r="I4164">
        <v>200.7286</v>
      </c>
      <c r="J4164">
        <v>-212.93459999999999</v>
      </c>
      <c r="K4164">
        <v>1.106492</v>
      </c>
      <c r="L4164">
        <v>213.9203</v>
      </c>
      <c r="M4164">
        <v>0.99801030000000002</v>
      </c>
      <c r="N4164">
        <v>0</v>
      </c>
      <c r="O4164">
        <v>-6.1380919999999999E-2</v>
      </c>
      <c r="P4164">
        <v>0.99559180000000003</v>
      </c>
      <c r="Q4164">
        <v>3.4958299999999998E-2</v>
      </c>
      <c r="R4164">
        <v>-8.7035909999999994E-2</v>
      </c>
      <c r="S4164">
        <v>2.9409939999999999</v>
      </c>
      <c r="T4164">
        <v>-2.0004029999999999E-2</v>
      </c>
      <c r="U4164">
        <v>-0.86701969999999995</v>
      </c>
      <c r="V4164">
        <v>2.6198840000000001E-2</v>
      </c>
      <c r="W4164">
        <v>4.9131939999999999E-2</v>
      </c>
      <c r="X4164">
        <v>0.99844860000000002</v>
      </c>
      <c r="Y4164">
        <v>0.22335440000000001</v>
      </c>
      <c r="Z4164">
        <v>-3.360266E-4</v>
      </c>
      <c r="AA4164">
        <v>0.97473719999999997</v>
      </c>
      <c r="AB4164">
        <v>30</v>
      </c>
      <c r="AC4164">
        <v>44.521899999999903</v>
      </c>
      <c r="AD4164">
        <v>-0.30482859999999901</v>
      </c>
      <c r="AE4164">
        <v>-13.1916999999999</v>
      </c>
      <c r="AF4164">
        <v>10.4332919245924</v>
      </c>
      <c r="AG4164">
        <v>-0.30482859999999901</v>
      </c>
      <c r="AH4164">
        <v>45.245785651016902</v>
      </c>
      <c r="AI4164">
        <v>90.376135419814901</v>
      </c>
      <c r="AJ4164">
        <v>77.015053918192095</v>
      </c>
      <c r="AK4164">
        <v>46.434121290672799</v>
      </c>
      <c r="AL4164">
        <v>87.183813308111795</v>
      </c>
      <c r="AM4164">
        <v>88.496929539585906</v>
      </c>
      <c r="AN4164">
        <v>0.99999996679373404</v>
      </c>
    </row>
    <row r="4165" spans="1:40" x14ac:dyDescent="0.25">
      <c r="A4165" t="str">
        <f>"20190312160417685"</f>
        <v>20190312160417685</v>
      </c>
      <c r="B4165" t="str">
        <f>"1552377857679316"</f>
        <v>1552377857679316</v>
      </c>
      <c r="C4165" t="s">
        <v>40</v>
      </c>
      <c r="D4165">
        <v>5.3195499999999996</v>
      </c>
      <c r="E4165">
        <v>0.57844700000000004</v>
      </c>
      <c r="F4165" t="s">
        <v>55</v>
      </c>
      <c r="G4165">
        <v>-168.4127</v>
      </c>
      <c r="H4165">
        <v>0.8390379</v>
      </c>
      <c r="I4165">
        <v>200.54409999999999</v>
      </c>
      <c r="J4165">
        <v>-212.61519999999999</v>
      </c>
      <c r="K4165">
        <v>1.1064210000000001</v>
      </c>
      <c r="L4165">
        <v>213.8954</v>
      </c>
      <c r="M4165">
        <v>0.99769359999999996</v>
      </c>
      <c r="N4165">
        <v>0</v>
      </c>
      <c r="O4165">
        <v>-6.6327499999999998E-2</v>
      </c>
      <c r="P4165">
        <v>0.99518229999999996</v>
      </c>
      <c r="Q4165">
        <v>3.544042E-2</v>
      </c>
      <c r="R4165">
        <v>-9.1412069999999998E-2</v>
      </c>
      <c r="S4165">
        <v>2.9367830000000001</v>
      </c>
      <c r="T4165">
        <v>-1.763988E-2</v>
      </c>
      <c r="U4165">
        <v>-0.8823242</v>
      </c>
      <c r="V4165">
        <v>2.565284E-2</v>
      </c>
      <c r="W4165">
        <v>4.9618669999999997E-2</v>
      </c>
      <c r="X4165">
        <v>0.99843870000000001</v>
      </c>
      <c r="Y4165">
        <v>0.22356809999999999</v>
      </c>
      <c r="Z4165">
        <v>-2.6825569999999998E-4</v>
      </c>
      <c r="AA4165">
        <v>0.97468829999999995</v>
      </c>
      <c r="AB4165">
        <v>30</v>
      </c>
      <c r="AC4165">
        <v>44.202499999999901</v>
      </c>
      <c r="AD4165">
        <v>-0.26738309999999899</v>
      </c>
      <c r="AE4165">
        <v>-13.3513</v>
      </c>
      <c r="AF4165">
        <v>10.3893982020469</v>
      </c>
      <c r="AG4165">
        <v>-0.26738309999999899</v>
      </c>
      <c r="AH4165">
        <v>44.989283642736297</v>
      </c>
      <c r="AI4165">
        <v>90.331787984279003</v>
      </c>
      <c r="AJ4165">
        <v>76.996610138290805</v>
      </c>
      <c r="AK4165">
        <v>46.174091560196899</v>
      </c>
      <c r="AL4165">
        <v>87.155891654211104</v>
      </c>
      <c r="AM4165">
        <v>88.528225945153295</v>
      </c>
      <c r="AN4165">
        <v>0.99999995913516104</v>
      </c>
    </row>
    <row r="4166" spans="1:40" x14ac:dyDescent="0.25">
      <c r="A4166" t="str">
        <f>"20190312160417706"</f>
        <v>20190312160417706</v>
      </c>
      <c r="B4166" t="str">
        <f>"1552377857698835"</f>
        <v>1552377857698835</v>
      </c>
      <c r="C4166" t="s">
        <v>40</v>
      </c>
      <c r="D4166">
        <v>5.3444669999999999</v>
      </c>
      <c r="E4166">
        <v>0.57869469999999901</v>
      </c>
      <c r="F4166" t="s">
        <v>55</v>
      </c>
      <c r="G4166">
        <v>-168.4128</v>
      </c>
      <c r="H4166">
        <v>0.87966540000000004</v>
      </c>
      <c r="I4166">
        <v>200.3563</v>
      </c>
      <c r="J4166">
        <v>-212.32929999999999</v>
      </c>
      <c r="K4166">
        <v>1.1063529999999999</v>
      </c>
      <c r="L4166">
        <v>213.8717</v>
      </c>
      <c r="M4166">
        <v>0.99738360000000004</v>
      </c>
      <c r="N4166">
        <v>0</v>
      </c>
      <c r="O4166">
        <v>-7.0837979999999995E-2</v>
      </c>
      <c r="P4166">
        <v>0.99483180000000004</v>
      </c>
      <c r="Q4166">
        <v>3.5626459999999999E-2</v>
      </c>
      <c r="R4166">
        <v>-9.508287E-2</v>
      </c>
      <c r="S4166">
        <v>2.9325559999999999</v>
      </c>
      <c r="T4166">
        <v>-1.5041590000000001E-2</v>
      </c>
      <c r="U4166">
        <v>-0.89823909999999996</v>
      </c>
      <c r="V4166">
        <v>2.4831229999999999E-2</v>
      </c>
      <c r="W4166">
        <v>4.981203E-2</v>
      </c>
      <c r="X4166">
        <v>0.9984499</v>
      </c>
      <c r="Y4166">
        <v>0.22439200000000001</v>
      </c>
      <c r="Z4166">
        <v>-2.084996E-4</v>
      </c>
      <c r="AA4166">
        <v>0.97449889999999995</v>
      </c>
      <c r="AB4166">
        <v>30</v>
      </c>
      <c r="AC4166">
        <v>43.9164999999999</v>
      </c>
      <c r="AD4166">
        <v>-0.22668759999999999</v>
      </c>
      <c r="AE4166">
        <v>-13.5154</v>
      </c>
      <c r="AF4166">
        <v>10.3699079828243</v>
      </c>
      <c r="AG4166">
        <v>-0.22668759999999999</v>
      </c>
      <c r="AH4166">
        <v>44.762565242105701</v>
      </c>
      <c r="AI4166">
        <v>90.282670116193799</v>
      </c>
      <c r="AJ4166">
        <v>76.956678214543203</v>
      </c>
      <c r="AK4166">
        <v>45.948597648829299</v>
      </c>
      <c r="AL4166">
        <v>87.144799386466104</v>
      </c>
      <c r="AM4166">
        <v>88.575360199166695</v>
      </c>
      <c r="AN4166">
        <v>1.00000001556302</v>
      </c>
    </row>
    <row r="4167" spans="1:40" x14ac:dyDescent="0.25">
      <c r="A4167" t="str">
        <f>"20190312160417730"</f>
        <v>20190312160417730</v>
      </c>
      <c r="B4167" t="str">
        <f>"1552377857719331"</f>
        <v>1552377857719331</v>
      </c>
      <c r="C4167" t="s">
        <v>40</v>
      </c>
      <c r="D4167">
        <v>5.3658619999999999</v>
      </c>
      <c r="E4167">
        <v>0.57891899999999996</v>
      </c>
      <c r="F4167" t="s">
        <v>55</v>
      </c>
      <c r="G4167">
        <v>-168.41290000000001</v>
      </c>
      <c r="H4167">
        <v>0.90155700000000005</v>
      </c>
      <c r="I4167">
        <v>200.21449999999999</v>
      </c>
      <c r="J4167">
        <v>-212.02699999999999</v>
      </c>
      <c r="K4167">
        <v>1.1062860000000001</v>
      </c>
      <c r="L4167">
        <v>213.845</v>
      </c>
      <c r="M4167">
        <v>0.99702610000000003</v>
      </c>
      <c r="N4167">
        <v>0</v>
      </c>
      <c r="O4167">
        <v>-7.5701999999999894E-2</v>
      </c>
      <c r="P4167">
        <v>0.99445439999999996</v>
      </c>
      <c r="Q4167">
        <v>3.5846919999999997E-2</v>
      </c>
      <c r="R4167">
        <v>-9.8872829999999995E-2</v>
      </c>
      <c r="S4167">
        <v>2.9290310000000002</v>
      </c>
      <c r="T4167">
        <v>-1.3656740000000001E-2</v>
      </c>
      <c r="U4167">
        <v>-0.91087340000000006</v>
      </c>
      <c r="V4167">
        <v>2.3775589999999999E-2</v>
      </c>
      <c r="W4167">
        <v>5.0043009999999999E-2</v>
      </c>
      <c r="X4167">
        <v>0.99846400000000002</v>
      </c>
      <c r="Y4167">
        <v>0.2238049</v>
      </c>
      <c r="Z4167">
        <v>-1.6608829999999999E-4</v>
      </c>
      <c r="AA4167">
        <v>0.97463390000000005</v>
      </c>
      <c r="AB4167">
        <v>30</v>
      </c>
      <c r="AC4167">
        <v>43.614100000000001</v>
      </c>
      <c r="AD4167">
        <v>-0.20472899999999999</v>
      </c>
      <c r="AE4167">
        <v>-13.6305</v>
      </c>
      <c r="AF4167">
        <v>10.2891541025386</v>
      </c>
      <c r="AG4167">
        <v>-0.20472899999999999</v>
      </c>
      <c r="AH4167">
        <v>44.5199924922657</v>
      </c>
      <c r="AI4167">
        <v>90.256711081437203</v>
      </c>
      <c r="AJ4167">
        <v>76.986677779440399</v>
      </c>
      <c r="AK4167">
        <v>45.693963907945502</v>
      </c>
      <c r="AL4167">
        <v>87.131548552171395</v>
      </c>
      <c r="AM4167">
        <v>88.635921197237494</v>
      </c>
      <c r="AN4167">
        <v>0.99999997041285305</v>
      </c>
    </row>
    <row r="4168" spans="1:40" x14ac:dyDescent="0.25">
      <c r="A4168" t="str">
        <f>"20190312160417752"</f>
        <v>20190312160417752</v>
      </c>
      <c r="B4168" t="str">
        <f>"1552377857738851"</f>
        <v>1552377857738851</v>
      </c>
      <c r="C4168" t="s">
        <v>40</v>
      </c>
      <c r="D4168">
        <v>5.3202920000000002</v>
      </c>
      <c r="E4168">
        <v>0.57913349999999997</v>
      </c>
      <c r="F4168" t="s">
        <v>55</v>
      </c>
      <c r="G4168">
        <v>-168.41290000000001</v>
      </c>
      <c r="H4168">
        <v>0.9252167</v>
      </c>
      <c r="I4168">
        <v>200.0685</v>
      </c>
      <c r="J4168">
        <v>-211.72309999999999</v>
      </c>
      <c r="K4168">
        <v>1.106225</v>
      </c>
      <c r="L4168">
        <v>213.81659999999999</v>
      </c>
      <c r="M4168">
        <v>0.99663500000000005</v>
      </c>
      <c r="N4168">
        <v>0</v>
      </c>
      <c r="O4168">
        <v>-8.0685450000000006E-2</v>
      </c>
      <c r="P4168">
        <v>0.99402800000000002</v>
      </c>
      <c r="Q4168">
        <v>3.5572300000000001E-2</v>
      </c>
      <c r="R4168">
        <v>-0.10316599999999999</v>
      </c>
      <c r="S4168">
        <v>2.9253079999999998</v>
      </c>
      <c r="T4168">
        <v>-1.214254E-2</v>
      </c>
      <c r="U4168">
        <v>-0.92402649999999997</v>
      </c>
      <c r="V4168">
        <v>2.3099370000000001E-2</v>
      </c>
      <c r="W4168">
        <v>4.9775350000000003E-2</v>
      </c>
      <c r="X4168">
        <v>0.99849330000000003</v>
      </c>
      <c r="Y4168">
        <v>0.22327420000000001</v>
      </c>
      <c r="Z4168">
        <v>-1.266649E-4</v>
      </c>
      <c r="AA4168">
        <v>0.97475560000000006</v>
      </c>
      <c r="AB4168">
        <v>30</v>
      </c>
      <c r="AC4168">
        <v>43.310199999999902</v>
      </c>
      <c r="AD4168">
        <v>-0.18100830000000001</v>
      </c>
      <c r="AE4168">
        <v>-13.7480999999999</v>
      </c>
      <c r="AF4168">
        <v>10.2082371419302</v>
      </c>
      <c r="AG4168">
        <v>-0.18100830000000001</v>
      </c>
      <c r="AH4168">
        <v>44.2776472461494</v>
      </c>
      <c r="AI4168">
        <v>90.228238254303307</v>
      </c>
      <c r="AJ4168">
        <v>77.017278254889703</v>
      </c>
      <c r="AK4168">
        <v>45.439530314528902</v>
      </c>
      <c r="AL4168">
        <v>87.146903613540303</v>
      </c>
      <c r="AM4168">
        <v>88.674742857282098</v>
      </c>
      <c r="AN4168">
        <v>1.0000000182534501</v>
      </c>
    </row>
    <row r="4169" spans="1:40" x14ac:dyDescent="0.25">
      <c r="A4169" t="str">
        <f>"20190312160417773"</f>
        <v>20190312160417773</v>
      </c>
      <c r="B4169" t="str">
        <f>"1552377857769107"</f>
        <v>1552377857769107</v>
      </c>
      <c r="C4169" t="s">
        <v>40</v>
      </c>
      <c r="D4169">
        <v>5.339213</v>
      </c>
      <c r="E4169">
        <v>0.60704689999999994</v>
      </c>
      <c r="F4169" t="s">
        <v>55</v>
      </c>
      <c r="G4169">
        <v>-168.41299999999899</v>
      </c>
      <c r="H4169">
        <v>0.92448810000000003</v>
      </c>
      <c r="I4169">
        <v>199.90289999999999</v>
      </c>
      <c r="J4169">
        <v>-211.428</v>
      </c>
      <c r="K4169">
        <v>1.1061669999999999</v>
      </c>
      <c r="L4169">
        <v>213.78749999999999</v>
      </c>
      <c r="M4169">
        <v>0.99622509999999997</v>
      </c>
      <c r="N4169">
        <v>0</v>
      </c>
      <c r="O4169">
        <v>-8.5597149999999997E-2</v>
      </c>
      <c r="P4169">
        <v>0.99356820000000001</v>
      </c>
      <c r="Q4169">
        <v>3.5026689999999999E-2</v>
      </c>
      <c r="R4169">
        <v>-0.1076835</v>
      </c>
      <c r="S4169">
        <v>2.9210660000000002</v>
      </c>
      <c r="T4169">
        <v>-1.225507E-2</v>
      </c>
      <c r="U4169">
        <v>-0.93841549999999996</v>
      </c>
      <c r="V4169">
        <v>2.2715920000000001E-2</v>
      </c>
      <c r="W4169">
        <v>4.923433E-2</v>
      </c>
      <c r="X4169">
        <v>0.99852890000000005</v>
      </c>
      <c r="Y4169">
        <v>0.2232345</v>
      </c>
      <c r="Z4169">
        <v>-1.0793699999999999E-4</v>
      </c>
      <c r="AA4169">
        <v>0.97476479999999999</v>
      </c>
      <c r="AB4169">
        <v>30</v>
      </c>
      <c r="AC4169">
        <v>43.015000000000001</v>
      </c>
      <c r="AD4169">
        <v>-0.1816789</v>
      </c>
      <c r="AE4169">
        <v>-13.884600000000001</v>
      </c>
      <c r="AF4169">
        <v>10.1511208483358</v>
      </c>
      <c r="AG4169">
        <v>-0.1816789</v>
      </c>
      <c r="AH4169">
        <v>44.044989213721003</v>
      </c>
      <c r="AI4169">
        <v>90.230297874248095</v>
      </c>
      <c r="AJ4169">
        <v>77.021572905743398</v>
      </c>
      <c r="AK4169">
        <v>45.199992660807197</v>
      </c>
      <c r="AL4169">
        <v>87.177939773369403</v>
      </c>
      <c r="AM4169">
        <v>88.696780949304397</v>
      </c>
      <c r="AN4169">
        <v>0.99999999820360197</v>
      </c>
    </row>
    <row r="4170" spans="1:40" x14ac:dyDescent="0.25">
      <c r="A4170" t="str">
        <f>"20190312160417796"</f>
        <v>20190312160417796</v>
      </c>
      <c r="B4170" t="str">
        <f>"1552377857788626"</f>
        <v>1552377857788626</v>
      </c>
      <c r="C4170" t="s">
        <v>40</v>
      </c>
      <c r="D4170">
        <v>5.340706</v>
      </c>
      <c r="E4170">
        <v>0.60730649999999997</v>
      </c>
      <c r="F4170" t="s">
        <v>59</v>
      </c>
      <c r="G4170">
        <v>-181.52629999999999</v>
      </c>
      <c r="H4170" s="1">
        <v>5.1571320000000002E-6</v>
      </c>
      <c r="I4170">
        <v>201.6694</v>
      </c>
      <c r="J4170">
        <v>-211.124</v>
      </c>
      <c r="K4170">
        <v>1.1061099999999999</v>
      </c>
      <c r="L4170">
        <v>213.7559</v>
      </c>
      <c r="M4170">
        <v>0.99577020000000005</v>
      </c>
      <c r="N4170">
        <v>0</v>
      </c>
      <c r="O4170">
        <v>-9.0735780000000002E-2</v>
      </c>
      <c r="P4170">
        <v>0.99304890000000001</v>
      </c>
      <c r="Q4170">
        <v>3.4697489999999998E-2</v>
      </c>
      <c r="R4170">
        <v>-0.11247210000000001</v>
      </c>
      <c r="S4170">
        <v>2.8959809999999999</v>
      </c>
      <c r="T4170">
        <v>-0.1071318</v>
      </c>
      <c r="U4170">
        <v>-1.173645</v>
      </c>
      <c r="V4170">
        <v>2.2380400000000002E-2</v>
      </c>
      <c r="W4170">
        <v>4.8908569999999998E-2</v>
      </c>
      <c r="X4170">
        <v>0.99855249999999995</v>
      </c>
      <c r="Y4170">
        <v>0.28982790000000003</v>
      </c>
      <c r="Z4170">
        <v>-1.9446299999999999E-3</v>
      </c>
      <c r="AA4170">
        <v>0.95707679999999995</v>
      </c>
      <c r="AB4170">
        <v>30</v>
      </c>
      <c r="AC4170">
        <v>29.5977</v>
      </c>
      <c r="AD4170">
        <v>-1.10610484286799</v>
      </c>
      <c r="AE4170">
        <v>-12.086499999999999</v>
      </c>
      <c r="AF4170">
        <v>9.3396025039395294</v>
      </c>
      <c r="AG4170">
        <v>-1.10610484286799</v>
      </c>
      <c r="AH4170">
        <v>30.5358249152188</v>
      </c>
      <c r="AI4170">
        <v>91.983885522434406</v>
      </c>
      <c r="AJ4170">
        <v>72.993369885467303</v>
      </c>
      <c r="AK4170">
        <v>31.9513418514451</v>
      </c>
      <c r="AL4170">
        <v>87.196627000825202</v>
      </c>
      <c r="AM4170">
        <v>88.716053674542295</v>
      </c>
      <c r="AN4170">
        <v>1.00000001288992</v>
      </c>
    </row>
    <row r="4171" spans="1:40" x14ac:dyDescent="0.25">
      <c r="A4171" t="str">
        <f>"20190312160417818"</f>
        <v>20190312160417818</v>
      </c>
      <c r="B4171" t="str">
        <f>"1552377857809123"</f>
        <v>1552377857809123</v>
      </c>
      <c r="C4171" t="s">
        <v>40</v>
      </c>
      <c r="D4171">
        <v>5.306521</v>
      </c>
      <c r="E4171">
        <v>0.60781200000000002</v>
      </c>
      <c r="F4171" t="s">
        <v>59</v>
      </c>
      <c r="G4171">
        <v>-183.2518</v>
      </c>
      <c r="H4171" s="1">
        <v>5.4540919999999998E-6</v>
      </c>
      <c r="I4171">
        <v>202.2816</v>
      </c>
      <c r="J4171">
        <v>-210.83179999999999</v>
      </c>
      <c r="K4171">
        <v>1.1060479999999999</v>
      </c>
      <c r="L4171">
        <v>213.72389999999999</v>
      </c>
      <c r="M4171">
        <v>0.99529999999999996</v>
      </c>
      <c r="N4171">
        <v>0</v>
      </c>
      <c r="O4171">
        <v>-9.5756369999999993E-2</v>
      </c>
      <c r="P4171">
        <v>0.99245859999999997</v>
      </c>
      <c r="Q4171">
        <v>3.4749740000000001E-2</v>
      </c>
      <c r="R4171">
        <v>-0.1175538</v>
      </c>
      <c r="S4171">
        <v>2.890244</v>
      </c>
      <c r="T4171">
        <v>-0.1146986</v>
      </c>
      <c r="U4171">
        <v>-1.189835</v>
      </c>
      <c r="V4171">
        <v>2.246302E-2</v>
      </c>
      <c r="W4171">
        <v>4.8960959999999998E-2</v>
      </c>
      <c r="X4171">
        <v>0.99854810000000005</v>
      </c>
      <c r="Y4171">
        <v>0.29024179999999999</v>
      </c>
      <c r="Z4171">
        <v>-1.90267E-3</v>
      </c>
      <c r="AA4171">
        <v>0.95695140000000001</v>
      </c>
      <c r="AB4171">
        <v>30</v>
      </c>
      <c r="AC4171">
        <v>27.579999999999899</v>
      </c>
      <c r="AD4171">
        <v>-1.1060425459080001</v>
      </c>
      <c r="AE4171">
        <v>-11.4422999999999</v>
      </c>
      <c r="AF4171">
        <v>8.7364859092118206</v>
      </c>
      <c r="AG4171">
        <v>-1.1060425459080001</v>
      </c>
      <c r="AH4171">
        <v>28.509907214436701</v>
      </c>
      <c r="AI4171">
        <v>92.124271836919405</v>
      </c>
      <c r="AJ4171">
        <v>72.963005904883403</v>
      </c>
      <c r="AK4171">
        <v>29.838973265362299</v>
      </c>
      <c r="AL4171">
        <v>87.193621737866295</v>
      </c>
      <c r="AM4171">
        <v>88.711309747610699</v>
      </c>
      <c r="AN4171">
        <v>1.00000003544262</v>
      </c>
    </row>
    <row r="4172" spans="1:40" x14ac:dyDescent="0.25">
      <c r="A4172" t="str">
        <f>"20190312160417840"</f>
        <v>20190312160417840</v>
      </c>
      <c r="B4172" t="str">
        <f>"1552377857828643"</f>
        <v>1552377857828643</v>
      </c>
      <c r="C4172" t="s">
        <v>40</v>
      </c>
      <c r="D4172">
        <v>5.3365679999999998</v>
      </c>
      <c r="E4172">
        <v>0.60843069999999999</v>
      </c>
      <c r="F4172" t="s">
        <v>59</v>
      </c>
      <c r="G4172">
        <v>-181.9699</v>
      </c>
      <c r="H4172" s="1">
        <v>5.2863999999999999E-6</v>
      </c>
      <c r="I4172">
        <v>201.62690000000001</v>
      </c>
      <c r="J4172">
        <v>-210.53749999999999</v>
      </c>
      <c r="K4172">
        <v>1.1059939999999999</v>
      </c>
      <c r="L4172">
        <v>213.6902</v>
      </c>
      <c r="M4172">
        <v>0.99479139999999999</v>
      </c>
      <c r="N4172">
        <v>0</v>
      </c>
      <c r="O4172">
        <v>-0.1009017</v>
      </c>
      <c r="P4172">
        <v>0.99181490000000005</v>
      </c>
      <c r="Q4172">
        <v>3.4595300000000002E-2</v>
      </c>
      <c r="R4172">
        <v>-0.12291000000000001</v>
      </c>
      <c r="S4172">
        <v>2.883499</v>
      </c>
      <c r="T4172">
        <v>-0.1105011</v>
      </c>
      <c r="U4172">
        <v>-1.208572</v>
      </c>
      <c r="V4172">
        <v>2.2695449999999999E-2</v>
      </c>
      <c r="W4172">
        <v>4.8804269999999997E-2</v>
      </c>
      <c r="X4172">
        <v>0.99855050000000001</v>
      </c>
      <c r="Y4172">
        <v>0.29139429999999999</v>
      </c>
      <c r="Z4172">
        <v>-1.669675E-3</v>
      </c>
      <c r="AA4172">
        <v>0.95660160000000005</v>
      </c>
      <c r="AB4172">
        <v>30</v>
      </c>
      <c r="AC4172">
        <v>28.567599999999999</v>
      </c>
      <c r="AD4172">
        <v>-1.1059887136</v>
      </c>
      <c r="AE4172">
        <v>-12.0632999999999</v>
      </c>
      <c r="AF4172">
        <v>9.1073156279271892</v>
      </c>
      <c r="AG4172">
        <v>-1.1059887136</v>
      </c>
      <c r="AH4172">
        <v>29.601452946872602</v>
      </c>
      <c r="AI4172">
        <v>92.0452041908665</v>
      </c>
      <c r="AJ4172">
        <v>72.898727557185893</v>
      </c>
      <c r="AK4172">
        <v>30.990521543646398</v>
      </c>
      <c r="AL4172">
        <v>87.202610117178295</v>
      </c>
      <c r="AM4172">
        <v>88.697983070107796</v>
      </c>
      <c r="AN4172">
        <v>1.0000000206355899</v>
      </c>
    </row>
    <row r="4173" spans="1:40" x14ac:dyDescent="0.25">
      <c r="A4173" t="str">
        <f>"20190312160417863"</f>
        <v>20190312160417863</v>
      </c>
      <c r="B4173" t="str">
        <f>"1552377857849139"</f>
        <v>1552377857849139</v>
      </c>
      <c r="C4173" t="s">
        <v>40</v>
      </c>
      <c r="D4173">
        <v>5.2866999999999997</v>
      </c>
      <c r="E4173">
        <v>0.60860839999999905</v>
      </c>
      <c r="F4173" t="s">
        <v>59</v>
      </c>
      <c r="G4173">
        <v>-181.09800000000001</v>
      </c>
      <c r="H4173" s="1">
        <v>5.1915850000000002E-6</v>
      </c>
      <c r="I4173">
        <v>201.10890000000001</v>
      </c>
      <c r="J4173">
        <v>-210.23480000000001</v>
      </c>
      <c r="K4173">
        <v>1.105923</v>
      </c>
      <c r="L4173">
        <v>213.65379999999999</v>
      </c>
      <c r="M4173">
        <v>0.99423019999999995</v>
      </c>
      <c r="N4173">
        <v>0</v>
      </c>
      <c r="O4173">
        <v>-0.10628899999999999</v>
      </c>
      <c r="P4173">
        <v>0.99111939999999998</v>
      </c>
      <c r="Q4173">
        <v>3.4095239999999999E-2</v>
      </c>
      <c r="R4173">
        <v>-0.1285308</v>
      </c>
      <c r="S4173">
        <v>2.8761899999999998</v>
      </c>
      <c r="T4173">
        <v>-0.10805339999999999</v>
      </c>
      <c r="U4173">
        <v>-1.2291719999999999</v>
      </c>
      <c r="V4173">
        <v>2.294846E-2</v>
      </c>
      <c r="W4173">
        <v>4.8302270000000001E-2</v>
      </c>
      <c r="X4173">
        <v>0.99856909999999999</v>
      </c>
      <c r="Y4173">
        <v>0.29289399999999999</v>
      </c>
      <c r="Z4173">
        <v>-1.4706000000000001E-3</v>
      </c>
      <c r="AA4173">
        <v>0.95614379999999999</v>
      </c>
      <c r="AB4173">
        <v>30</v>
      </c>
      <c r="AC4173">
        <v>29.136800000000001</v>
      </c>
      <c r="AD4173">
        <v>-1.1059178084150001</v>
      </c>
      <c r="AE4173">
        <v>-12.544899999999901</v>
      </c>
      <c r="AF4173">
        <v>9.3651946879524708</v>
      </c>
      <c r="AG4173">
        <v>-1.1059178084150001</v>
      </c>
      <c r="AH4173">
        <v>30.2684506121625</v>
      </c>
      <c r="AI4173">
        <v>91.999065452666898</v>
      </c>
      <c r="AJ4173">
        <v>72.807697505469093</v>
      </c>
      <c r="AK4173">
        <v>31.703454515291298</v>
      </c>
      <c r="AL4173">
        <v>87.231406487888904</v>
      </c>
      <c r="AM4173">
        <v>88.683497715127004</v>
      </c>
      <c r="AN4173">
        <v>0.99999999428916697</v>
      </c>
    </row>
    <row r="4174" spans="1:40" x14ac:dyDescent="0.25">
      <c r="A4174" t="str">
        <f>"20190312160417885"</f>
        <v>20190312160417885</v>
      </c>
      <c r="B4174" t="str">
        <f>"1552377857879395"</f>
        <v>1552377857879395</v>
      </c>
      <c r="C4174" t="s">
        <v>40</v>
      </c>
      <c r="D4174">
        <v>5.3003660000000004</v>
      </c>
      <c r="E4174">
        <v>0.60896740000000005</v>
      </c>
      <c r="F4174" t="s">
        <v>59</v>
      </c>
      <c r="G4174">
        <v>-181.26429999999999</v>
      </c>
      <c r="H4174" s="1">
        <v>5.2471089999999997E-6</v>
      </c>
      <c r="I4174">
        <v>201.06630000000001</v>
      </c>
      <c r="J4174">
        <v>-209.93819999999999</v>
      </c>
      <c r="K4174">
        <v>1.1058479999999999</v>
      </c>
      <c r="L4174">
        <v>213.6164</v>
      </c>
      <c r="M4174">
        <v>0.99363990000000002</v>
      </c>
      <c r="N4174">
        <v>0</v>
      </c>
      <c r="O4174">
        <v>-0.11167299999999999</v>
      </c>
      <c r="P4174">
        <v>0.9904153</v>
      </c>
      <c r="Q4174">
        <v>3.3668940000000001E-2</v>
      </c>
      <c r="R4174">
        <v>-0.1339563</v>
      </c>
      <c r="S4174">
        <v>2.8689879999999999</v>
      </c>
      <c r="T4174">
        <v>-0.109520699999999</v>
      </c>
      <c r="U4174">
        <v>-1.2465520000000001</v>
      </c>
      <c r="V4174">
        <v>2.3010429999999998E-2</v>
      </c>
      <c r="W4174">
        <v>4.7875519999999998E-2</v>
      </c>
      <c r="X4174">
        <v>0.99858820000000004</v>
      </c>
      <c r="Y4174">
        <v>0.29346470000000002</v>
      </c>
      <c r="Z4174">
        <v>-1.3094820000000001E-3</v>
      </c>
      <c r="AA4174">
        <v>0.95596899999999996</v>
      </c>
      <c r="AB4174">
        <v>30</v>
      </c>
      <c r="AC4174">
        <v>28.6739</v>
      </c>
      <c r="AD4174">
        <v>-1.105842752891</v>
      </c>
      <c r="AE4174">
        <v>-12.550099999999899</v>
      </c>
      <c r="AF4174">
        <v>9.2575922345448909</v>
      </c>
      <c r="AG4174">
        <v>-1.105842752891</v>
      </c>
      <c r="AH4174">
        <v>29.858890344074801</v>
      </c>
      <c r="AI4174">
        <v>92.025959249816793</v>
      </c>
      <c r="AJ4174">
        <v>72.774224574029802</v>
      </c>
      <c r="AK4174">
        <v>31.280652722644898</v>
      </c>
      <c r="AL4174">
        <v>87.255885714417403</v>
      </c>
      <c r="AM4174">
        <v>88.6799691295912</v>
      </c>
      <c r="AN4174">
        <v>0.99999996924164702</v>
      </c>
    </row>
    <row r="4175" spans="1:40" x14ac:dyDescent="0.25">
      <c r="A4175" t="str">
        <f>"20190312160417907"</f>
        <v>20190312160417907</v>
      </c>
      <c r="B4175" t="str">
        <f>"1552377857898915"</f>
        <v>1552377857898915</v>
      </c>
      <c r="C4175" t="s">
        <v>40</v>
      </c>
      <c r="D4175">
        <v>5.2940889999999996</v>
      </c>
      <c r="E4175">
        <v>0.60914769999999996</v>
      </c>
      <c r="F4175" t="s">
        <v>59</v>
      </c>
      <c r="G4175">
        <v>-181.46950000000001</v>
      </c>
      <c r="H4175" s="1">
        <v>5.3119870000000004E-6</v>
      </c>
      <c r="I4175">
        <v>201.0275</v>
      </c>
      <c r="J4175">
        <v>-209.64439999999999</v>
      </c>
      <c r="K4175">
        <v>1.105764</v>
      </c>
      <c r="L4175">
        <v>213.57759999999999</v>
      </c>
      <c r="M4175">
        <v>0.9930118</v>
      </c>
      <c r="N4175">
        <v>0</v>
      </c>
      <c r="O4175">
        <v>-0.1171257</v>
      </c>
      <c r="P4175">
        <v>0.98969099999999999</v>
      </c>
      <c r="Q4175">
        <v>3.3529339999999998E-2</v>
      </c>
      <c r="R4175">
        <v>-0.13924010000000001</v>
      </c>
      <c r="S4175">
        <v>2.8616640000000002</v>
      </c>
      <c r="T4175">
        <v>-0.1111589</v>
      </c>
      <c r="U4175">
        <v>-1.2654270000000001</v>
      </c>
      <c r="V4175">
        <v>2.2865529999999998E-2</v>
      </c>
      <c r="W4175">
        <v>4.7738349999999999E-2</v>
      </c>
      <c r="X4175">
        <v>0.99859810000000004</v>
      </c>
      <c r="Y4175">
        <v>0.29439739999999998</v>
      </c>
      <c r="Z4175">
        <v>-1.149263E-3</v>
      </c>
      <c r="AA4175">
        <v>0.95568240000000004</v>
      </c>
      <c r="AB4175">
        <v>30</v>
      </c>
      <c r="AC4175">
        <v>28.174899999999901</v>
      </c>
      <c r="AD4175">
        <v>-1.1057586880129999</v>
      </c>
      <c r="AE4175">
        <v>-12.550099999999899</v>
      </c>
      <c r="AF4175">
        <v>9.1515886159873308</v>
      </c>
      <c r="AG4175">
        <v>-1.1057586880129999</v>
      </c>
      <c r="AH4175">
        <v>29.413223686983201</v>
      </c>
      <c r="AI4175">
        <v>92.055837498336899</v>
      </c>
      <c r="AJ4175">
        <v>72.717066740567802</v>
      </c>
      <c r="AK4175">
        <v>30.823886908255002</v>
      </c>
      <c r="AL4175">
        <v>87.263753986169803</v>
      </c>
      <c r="AM4175">
        <v>88.688291640886902</v>
      </c>
      <c r="AN4175">
        <v>0.99999997392325601</v>
      </c>
    </row>
    <row r="4176" spans="1:40" x14ac:dyDescent="0.25">
      <c r="A4176" t="str">
        <f>"20190312160417931"</f>
        <v>20190312160417931</v>
      </c>
      <c r="B4176" t="str">
        <f>"1552377857919411"</f>
        <v>1552377857919411</v>
      </c>
      <c r="C4176" t="s">
        <v>40</v>
      </c>
      <c r="D4176">
        <v>5.3685219999999996</v>
      </c>
      <c r="E4176">
        <v>0.60914049999999997</v>
      </c>
      <c r="F4176" t="s">
        <v>59</v>
      </c>
      <c r="G4176">
        <v>-180.87100000000001</v>
      </c>
      <c r="H4176" s="1">
        <v>5.252259E-6</v>
      </c>
      <c r="I4176">
        <v>200.6516</v>
      </c>
      <c r="J4176">
        <v>-209.34450000000001</v>
      </c>
      <c r="K4176">
        <v>1.105674</v>
      </c>
      <c r="L4176">
        <v>213.536</v>
      </c>
      <c r="M4176">
        <v>0.9923225</v>
      </c>
      <c r="N4176">
        <v>0</v>
      </c>
      <c r="O4176">
        <v>-0.1228274</v>
      </c>
      <c r="P4176">
        <v>0.98891620000000002</v>
      </c>
      <c r="Q4176">
        <v>3.3757910000000002E-2</v>
      </c>
      <c r="R4176">
        <v>-0.1445864</v>
      </c>
      <c r="S4176">
        <v>2.854568</v>
      </c>
      <c r="T4176">
        <v>-0.1097007</v>
      </c>
      <c r="U4176">
        <v>-1.2823639999999901</v>
      </c>
      <c r="V4176">
        <v>2.2540129999999999E-2</v>
      </c>
      <c r="W4176">
        <v>4.7971729999999997E-2</v>
      </c>
      <c r="X4176">
        <v>0.99859430000000005</v>
      </c>
      <c r="Y4176">
        <v>0.29452139999999999</v>
      </c>
      <c r="Z4176">
        <v>-9.3288210000000004E-4</v>
      </c>
      <c r="AA4176">
        <v>0.95564439999999995</v>
      </c>
      <c r="AB4176">
        <v>30</v>
      </c>
      <c r="AC4176">
        <v>28.473500000000001</v>
      </c>
      <c r="AD4176">
        <v>-1.1056687477410001</v>
      </c>
      <c r="AE4176">
        <v>-12.8843999999999</v>
      </c>
      <c r="AF4176">
        <v>9.2775152746271097</v>
      </c>
      <c r="AG4176">
        <v>-1.1056687477410001</v>
      </c>
      <c r="AH4176">
        <v>29.803275856994102</v>
      </c>
      <c r="AI4176">
        <v>92.028701222520496</v>
      </c>
      <c r="AJ4176">
        <v>72.709063210550696</v>
      </c>
      <c r="AK4176">
        <v>31.233476349243599</v>
      </c>
      <c r="AL4176">
        <v>87.250366921276495</v>
      </c>
      <c r="AM4176">
        <v>88.706947297300601</v>
      </c>
      <c r="AN4176">
        <v>0.99999996016604897</v>
      </c>
    </row>
    <row r="4177" spans="1:40" x14ac:dyDescent="0.25">
      <c r="A4177" t="str">
        <f>"20190312160417953"</f>
        <v>20190312160417953</v>
      </c>
      <c r="B4177" t="str">
        <f>"1552377857938931"</f>
        <v>1552377857938931</v>
      </c>
      <c r="C4177" t="s">
        <v>40</v>
      </c>
      <c r="D4177">
        <v>5.4383309999999998</v>
      </c>
      <c r="E4177">
        <v>0.60498790000000002</v>
      </c>
      <c r="F4177" t="s">
        <v>59</v>
      </c>
      <c r="G4177">
        <v>-181.94720000000001</v>
      </c>
      <c r="H4177" s="1">
        <v>5.4325909999999998E-6</v>
      </c>
      <c r="I4177">
        <v>201.05199999999999</v>
      </c>
      <c r="J4177">
        <v>-209.04499999999999</v>
      </c>
      <c r="K4177">
        <v>1.105591</v>
      </c>
      <c r="L4177">
        <v>213.49260000000001</v>
      </c>
      <c r="M4177">
        <v>0.99158639999999998</v>
      </c>
      <c r="N4177">
        <v>0</v>
      </c>
      <c r="O4177">
        <v>-0.12863540000000001</v>
      </c>
      <c r="P4177">
        <v>0.98815249999999999</v>
      </c>
      <c r="Q4177">
        <v>3.3566730000000003E-2</v>
      </c>
      <c r="R4177">
        <v>-0.14976099999999901</v>
      </c>
      <c r="S4177">
        <v>2.8478240000000001</v>
      </c>
      <c r="T4177">
        <v>-0.1149292</v>
      </c>
      <c r="U4177">
        <v>-1.2976529999999999</v>
      </c>
      <c r="V4177">
        <v>2.1926999999999999E-2</v>
      </c>
      <c r="W4177">
        <v>4.7789789999999999E-2</v>
      </c>
      <c r="X4177">
        <v>0.99861670000000002</v>
      </c>
      <c r="Y4177">
        <v>0.29402289999999998</v>
      </c>
      <c r="Z4177">
        <v>-7.5023850000000003E-4</v>
      </c>
      <c r="AA4177">
        <v>0.95579809999999998</v>
      </c>
      <c r="AB4177">
        <v>30</v>
      </c>
      <c r="AC4177">
        <v>27.0977999999999</v>
      </c>
      <c r="AD4177">
        <v>-1.105585567409</v>
      </c>
      <c r="AE4177">
        <v>-12.4405999999999</v>
      </c>
      <c r="AF4177">
        <v>8.83896772618826</v>
      </c>
      <c r="AG4177">
        <v>-1.105585567409</v>
      </c>
      <c r="AH4177">
        <v>28.433999650385701</v>
      </c>
      <c r="AI4177">
        <v>92.1264092370387</v>
      </c>
      <c r="AJ4177">
        <v>72.731667165474903</v>
      </c>
      <c r="AK4177">
        <v>29.796677768328301</v>
      </c>
      <c r="AL4177">
        <v>87.260803355007297</v>
      </c>
      <c r="AM4177">
        <v>88.742137285089896</v>
      </c>
      <c r="AN4177">
        <v>0.99999998543806701</v>
      </c>
    </row>
    <row r="4178" spans="1:40" x14ac:dyDescent="0.25">
      <c r="A4178" t="str">
        <f>"20190312160417975"</f>
        <v>20190312160417975</v>
      </c>
      <c r="B4178" t="str">
        <f>"1552377857969187"</f>
        <v>1552377857969187</v>
      </c>
      <c r="C4178" t="s">
        <v>40</v>
      </c>
      <c r="D4178">
        <v>5.5096109999999996</v>
      </c>
      <c r="E4178">
        <v>0.60596130000000004</v>
      </c>
      <c r="F4178" t="s">
        <v>59</v>
      </c>
      <c r="G4178">
        <v>-194.9323</v>
      </c>
      <c r="H4178" s="1">
        <v>4.1808029999999997E-6</v>
      </c>
      <c r="I4178">
        <v>207.14660000000001</v>
      </c>
      <c r="J4178">
        <v>-208.75550000000001</v>
      </c>
      <c r="K4178">
        <v>1.1055109999999999</v>
      </c>
      <c r="L4178">
        <v>213.44890000000001</v>
      </c>
      <c r="M4178">
        <v>0.99082619999999999</v>
      </c>
      <c r="N4178">
        <v>0</v>
      </c>
      <c r="O4178">
        <v>-0.13436439999999999</v>
      </c>
      <c r="P4178">
        <v>0.98730949999999995</v>
      </c>
      <c r="Q4178">
        <v>3.3689499999999997E-2</v>
      </c>
      <c r="R4178">
        <v>-0.15519479999999999</v>
      </c>
      <c r="S4178">
        <v>2.8493650000000001</v>
      </c>
      <c r="T4178">
        <v>-0.22321869999999999</v>
      </c>
      <c r="U4178">
        <v>-1.2812650000000001</v>
      </c>
      <c r="V4178">
        <v>2.165978E-2</v>
      </c>
      <c r="W4178">
        <v>4.7917439999999999E-2</v>
      </c>
      <c r="X4178">
        <v>0.99861650000000002</v>
      </c>
      <c r="Y4178">
        <v>0.2834585</v>
      </c>
      <c r="Z4178">
        <v>-6.4265449999999897E-4</v>
      </c>
      <c r="AA4178">
        <v>0.95898430000000001</v>
      </c>
      <c r="AB4178">
        <v>30</v>
      </c>
      <c r="AC4178">
        <v>13.8232</v>
      </c>
      <c r="AD4178">
        <v>-1.1055068191969999</v>
      </c>
      <c r="AE4178">
        <v>-6.3022999999999998</v>
      </c>
      <c r="AF4178">
        <v>4.3644868435409103</v>
      </c>
      <c r="AG4178">
        <v>-1.1055068191969999</v>
      </c>
      <c r="AH4178">
        <v>14.4681058203529</v>
      </c>
      <c r="AI4178">
        <v>94.183955161504898</v>
      </c>
      <c r="AJ4178">
        <v>73.213399803718005</v>
      </c>
      <c r="AK4178">
        <v>15.1524577796364</v>
      </c>
      <c r="AL4178">
        <v>87.253481394113294</v>
      </c>
      <c r="AM4178">
        <v>88.757461524314493</v>
      </c>
      <c r="AN4178">
        <v>1.00000007059902</v>
      </c>
    </row>
    <row r="4179" spans="1:40" x14ac:dyDescent="0.25">
      <c r="A4179" t="str">
        <f>"20190312160417995"</f>
        <v>20190312160417995</v>
      </c>
      <c r="B4179" t="str">
        <f>"1552377857988707"</f>
        <v>1552377857988707</v>
      </c>
      <c r="C4179" t="s">
        <v>40</v>
      </c>
      <c r="D4179">
        <v>5.4536959999999999</v>
      </c>
      <c r="E4179">
        <v>0.60492570000000001</v>
      </c>
      <c r="F4179" t="s">
        <v>59</v>
      </c>
      <c r="G4179">
        <v>-189.64259999999999</v>
      </c>
      <c r="H4179" s="1">
        <v>6.09246999999999E-6</v>
      </c>
      <c r="I4179">
        <v>204.6705</v>
      </c>
      <c r="J4179">
        <v>-208.4905</v>
      </c>
      <c r="K4179">
        <v>1.1054349999999999</v>
      </c>
      <c r="L4179">
        <v>213.40729999999999</v>
      </c>
      <c r="M4179">
        <v>0.99008459999999998</v>
      </c>
      <c r="N4179">
        <v>0</v>
      </c>
      <c r="O4179">
        <v>-0.13972279999999901</v>
      </c>
      <c r="P4179">
        <v>0.98647300000000004</v>
      </c>
      <c r="Q4179">
        <v>3.312035E-2</v>
      </c>
      <c r="R4179">
        <v>-0.1605432</v>
      </c>
      <c r="S4179">
        <v>2.839188</v>
      </c>
      <c r="T4179">
        <v>-0.16422110000000001</v>
      </c>
      <c r="U4179">
        <v>-1.3040160000000001</v>
      </c>
      <c r="V4179">
        <v>2.1668880000000001E-2</v>
      </c>
      <c r="W4179">
        <v>4.7350160000000002E-2</v>
      </c>
      <c r="X4179">
        <v>0.99864330000000001</v>
      </c>
      <c r="Y4179">
        <v>0.2860954</v>
      </c>
      <c r="Z4179">
        <v>-2.5896909999999999E-4</v>
      </c>
      <c r="AA4179">
        <v>0.95820110000000003</v>
      </c>
      <c r="AB4179">
        <v>30</v>
      </c>
      <c r="AC4179">
        <v>18.847899999999999</v>
      </c>
      <c r="AD4179">
        <v>-1.1054289075299999</v>
      </c>
      <c r="AE4179">
        <v>-8.7367999999999792</v>
      </c>
      <c r="AF4179">
        <v>6.0003321936222003</v>
      </c>
      <c r="AG4179">
        <v>-1.1054289075299999</v>
      </c>
      <c r="AH4179">
        <v>19.827693179267399</v>
      </c>
      <c r="AI4179">
        <v>93.054509875871503</v>
      </c>
      <c r="AJ4179">
        <v>73.162934784978205</v>
      </c>
      <c r="AK4179">
        <v>20.745201284021999</v>
      </c>
      <c r="AL4179">
        <v>87.286020912524194</v>
      </c>
      <c r="AM4179">
        <v>88.756973004799903</v>
      </c>
      <c r="AN4179">
        <v>1.0000000093236801</v>
      </c>
    </row>
    <row r="4180" spans="1:40" x14ac:dyDescent="0.25">
      <c r="A4180" t="str">
        <f>"20190312160418009"</f>
        <v>20190312160418009</v>
      </c>
      <c r="B4180" t="str">
        <f>"1552377857999444"</f>
        <v>1552377857999444</v>
      </c>
      <c r="C4180" t="s">
        <v>40</v>
      </c>
      <c r="D4180">
        <v>5.2636279999999998</v>
      </c>
      <c r="E4180">
        <v>0.60544919999999902</v>
      </c>
      <c r="F4180" t="s">
        <v>59</v>
      </c>
      <c r="G4180">
        <v>-188.57839999999999</v>
      </c>
      <c r="H4180" s="1">
        <v>6.0216089999999997E-6</v>
      </c>
      <c r="I4180">
        <v>204.18989999999999</v>
      </c>
      <c r="J4180">
        <v>-208.30529999999999</v>
      </c>
      <c r="K4180">
        <v>1.105367</v>
      </c>
      <c r="L4180">
        <v>213.37739999999999</v>
      </c>
      <c r="M4180">
        <v>0.98953979999999997</v>
      </c>
      <c r="N4180">
        <v>0</v>
      </c>
      <c r="O4180">
        <v>-0.14353009999999999</v>
      </c>
      <c r="P4180">
        <v>0.98589550000000004</v>
      </c>
      <c r="Q4180">
        <v>3.2114240000000002E-2</v>
      </c>
      <c r="R4180">
        <v>-0.16425149999999999</v>
      </c>
      <c r="S4180">
        <v>2.833008</v>
      </c>
      <c r="T4180">
        <v>-0.157276</v>
      </c>
      <c r="U4180">
        <v>-1.3114170000000001</v>
      </c>
      <c r="V4180">
        <v>2.1573200000000001E-2</v>
      </c>
      <c r="W4180">
        <v>4.6347520000000003E-2</v>
      </c>
      <c r="X4180">
        <v>0.99869240000000004</v>
      </c>
      <c r="Y4180">
        <v>0.28528750000000003</v>
      </c>
      <c r="Z4180" s="1">
        <v>-3.1061E-5</v>
      </c>
      <c r="AA4180">
        <v>0.95844200000000002</v>
      </c>
      <c r="AB4180">
        <v>30</v>
      </c>
      <c r="AC4180">
        <v>19.726900000000001</v>
      </c>
      <c r="AD4180">
        <v>-1.1053609783909999</v>
      </c>
      <c r="AE4180">
        <v>-9.1875</v>
      </c>
      <c r="AF4180">
        <v>6.2445392933300896</v>
      </c>
      <c r="AG4180">
        <v>-1.1053609783909999</v>
      </c>
      <c r="AH4180">
        <v>20.7877908361884</v>
      </c>
      <c r="AI4180">
        <v>92.915298124490704</v>
      </c>
      <c r="AJ4180">
        <v>73.280017968402007</v>
      </c>
      <c r="AK4180">
        <v>21.733576367630199</v>
      </c>
      <c r="AL4180">
        <v>87.343531083905603</v>
      </c>
      <c r="AM4180">
        <v>88.762520764501403</v>
      </c>
      <c r="AN4180">
        <v>1.00000000269307</v>
      </c>
    </row>
    <row r="4181" spans="1:40" x14ac:dyDescent="0.25">
      <c r="A4181" t="str">
        <f>"20190312160418030"</f>
        <v>20190312160418030</v>
      </c>
      <c r="B4181" t="str">
        <f>"1552377858018965"</f>
        <v>1552377858018965</v>
      </c>
      <c r="C4181" t="s">
        <v>40</v>
      </c>
      <c r="D4181">
        <v>5.5075839999999996</v>
      </c>
      <c r="E4181">
        <v>0.60510120000000001</v>
      </c>
      <c r="F4181" t="s">
        <v>59</v>
      </c>
      <c r="G4181">
        <v>-184.99590000000001</v>
      </c>
      <c r="H4181" s="1">
        <v>5.8443720000000004E-6</v>
      </c>
      <c r="I4181">
        <v>202.44409999999999</v>
      </c>
      <c r="J4181">
        <v>-208.02709999999999</v>
      </c>
      <c r="K4181">
        <v>1.1052630000000001</v>
      </c>
      <c r="L4181">
        <v>213.33080000000001</v>
      </c>
      <c r="M4181">
        <v>0.98867360000000004</v>
      </c>
      <c r="N4181">
        <v>0</v>
      </c>
      <c r="O4181">
        <v>-0.14938029999999999</v>
      </c>
      <c r="P4181">
        <v>0.98483940000000003</v>
      </c>
      <c r="Q4181">
        <v>3.1840649999999998E-2</v>
      </c>
      <c r="R4181">
        <v>-0.17052220000000001</v>
      </c>
      <c r="S4181">
        <v>2.826416</v>
      </c>
      <c r="T4181">
        <v>-0.13403219999999999</v>
      </c>
      <c r="U4181">
        <v>-1.3257289999999999</v>
      </c>
      <c r="V4181">
        <v>2.202863E-2</v>
      </c>
      <c r="W4181">
        <v>4.6071729999999998E-2</v>
      </c>
      <c r="X4181">
        <v>0.99869520000000001</v>
      </c>
      <c r="Y4181">
        <v>0.28451110000000002</v>
      </c>
      <c r="Z4181">
        <v>2.4757350000000002E-4</v>
      </c>
      <c r="AA4181">
        <v>0.95867270000000004</v>
      </c>
      <c r="AB4181">
        <v>30</v>
      </c>
      <c r="AC4181">
        <v>23.031199999999899</v>
      </c>
      <c r="AD4181">
        <v>-1.105257155628</v>
      </c>
      <c r="AE4181">
        <v>-10.886699999999999</v>
      </c>
      <c r="AF4181">
        <v>7.3099941832055704</v>
      </c>
      <c r="AG4181">
        <v>-1.105257155628</v>
      </c>
      <c r="AH4181">
        <v>24.3533178418764</v>
      </c>
      <c r="AI4181">
        <v>92.488981349356095</v>
      </c>
      <c r="AJ4181">
        <v>73.292124959522994</v>
      </c>
      <c r="AK4181">
        <v>25.4507700914141</v>
      </c>
      <c r="AL4181">
        <v>87.359349534567798</v>
      </c>
      <c r="AM4181">
        <v>88.736408369061493</v>
      </c>
      <c r="AN4181">
        <v>0.99999998367395404</v>
      </c>
    </row>
    <row r="4182" spans="1:40" x14ac:dyDescent="0.25">
      <c r="A4182" t="str">
        <f>"20190312160418053"</f>
        <v>20190312160418053</v>
      </c>
      <c r="B4182" t="str">
        <f>"1552377858049220"</f>
        <v>1552377858049220</v>
      </c>
      <c r="C4182" t="s">
        <v>40</v>
      </c>
      <c r="D4182">
        <v>5.5077569999999998</v>
      </c>
      <c r="E4182">
        <v>0.60485679999999997</v>
      </c>
      <c r="F4182" t="s">
        <v>59</v>
      </c>
      <c r="G4182">
        <v>-183.89599999999999</v>
      </c>
      <c r="H4182" s="1">
        <v>5.7397140000000003E-6</v>
      </c>
      <c r="I4182">
        <v>201.8503</v>
      </c>
      <c r="J4182">
        <v>-207.73089999999999</v>
      </c>
      <c r="K4182">
        <v>1.1051489999999999</v>
      </c>
      <c r="L4182">
        <v>213.279</v>
      </c>
      <c r="M4182">
        <v>0.98768710000000004</v>
      </c>
      <c r="N4182">
        <v>0</v>
      </c>
      <c r="O4182">
        <v>-0.15576860000000001</v>
      </c>
      <c r="P4182">
        <v>0.98369799999999996</v>
      </c>
      <c r="Q4182">
        <v>3.172842E-2</v>
      </c>
      <c r="R4182">
        <v>-0.17700839999999901</v>
      </c>
      <c r="S4182">
        <v>2.818222</v>
      </c>
      <c r="T4182">
        <v>-0.1290808</v>
      </c>
      <c r="U4182">
        <v>-1.3407750000000001</v>
      </c>
      <c r="V4182">
        <v>2.2164639999999999E-2</v>
      </c>
      <c r="W4182">
        <v>4.5962650000000001E-2</v>
      </c>
      <c r="X4182">
        <v>0.99869719999999995</v>
      </c>
      <c r="Y4182">
        <v>0.28358139999999998</v>
      </c>
      <c r="Z4182">
        <v>5.2878539999999996E-4</v>
      </c>
      <c r="AA4182">
        <v>0.95894800000000002</v>
      </c>
      <c r="AB4182">
        <v>29</v>
      </c>
      <c r="AC4182">
        <v>23.834900000000001</v>
      </c>
      <c r="AD4182">
        <v>-1.1051432602860001</v>
      </c>
      <c r="AE4182">
        <v>-11.428699999999999</v>
      </c>
      <c r="AF4182">
        <v>7.5628277134502699</v>
      </c>
      <c r="AG4182">
        <v>-1.1051432602860001</v>
      </c>
      <c r="AH4182">
        <v>25.2801302440905</v>
      </c>
      <c r="AI4182">
        <v>92.398253533866296</v>
      </c>
      <c r="AJ4182">
        <v>73.344870692090794</v>
      </c>
      <c r="AK4182">
        <v>26.410276216035101</v>
      </c>
      <c r="AL4182">
        <v>87.3656059417996</v>
      </c>
      <c r="AM4182">
        <v>88.728611752022104</v>
      </c>
      <c r="AN4182">
        <v>0.99999996687459503</v>
      </c>
    </row>
    <row r="4183" spans="1:40" x14ac:dyDescent="0.25">
      <c r="A4183" t="str">
        <f>"20190312160418075"</f>
        <v>20190312160418075</v>
      </c>
      <c r="B4183" t="str">
        <f>"1552377858068739"</f>
        <v>1552377858068739</v>
      </c>
      <c r="C4183" t="s">
        <v>40</v>
      </c>
      <c r="D4183">
        <v>5.2947129999999998</v>
      </c>
      <c r="E4183">
        <v>0.60517749999999904</v>
      </c>
      <c r="F4183" t="s">
        <v>59</v>
      </c>
      <c r="G4183">
        <v>-184.67699999999999</v>
      </c>
      <c r="H4183" s="1">
        <v>5.8706640000000002E-6</v>
      </c>
      <c r="I4183">
        <v>202.14060000000001</v>
      </c>
      <c r="J4183">
        <v>-207.4391</v>
      </c>
      <c r="K4183">
        <v>1.105035</v>
      </c>
      <c r="L4183">
        <v>213.226</v>
      </c>
      <c r="M4183">
        <v>0.98664779999999996</v>
      </c>
      <c r="N4183">
        <v>0</v>
      </c>
      <c r="O4183">
        <v>-0.16222029999999901</v>
      </c>
      <c r="P4183">
        <v>0.98257059999999996</v>
      </c>
      <c r="Q4183">
        <v>3.1930630000000002E-2</v>
      </c>
      <c r="R4183">
        <v>-0.18312819999999999</v>
      </c>
      <c r="S4183">
        <v>2.8097840000000001</v>
      </c>
      <c r="T4183">
        <v>-0.1346936</v>
      </c>
      <c r="U4183">
        <v>-1.3575440000000001</v>
      </c>
      <c r="V4183">
        <v>2.187074E-2</v>
      </c>
      <c r="W4183">
        <v>4.617367E-2</v>
      </c>
      <c r="X4183">
        <v>0.99869399999999997</v>
      </c>
      <c r="Y4183">
        <v>0.28307840000000001</v>
      </c>
      <c r="Z4183">
        <v>8.4808889999999997E-4</v>
      </c>
      <c r="AA4183">
        <v>0.95909639999999996</v>
      </c>
      <c r="AB4183">
        <v>29</v>
      </c>
      <c r="AC4183">
        <v>22.762099999999901</v>
      </c>
      <c r="AD4183">
        <v>-1.1050291293359999</v>
      </c>
      <c r="AE4183">
        <v>-11.0853999999999</v>
      </c>
      <c r="AF4183">
        <v>7.23189757431616</v>
      </c>
      <c r="AG4183">
        <v>-1.1050291293359999</v>
      </c>
      <c r="AH4183">
        <v>24.212883534443801</v>
      </c>
      <c r="AI4183">
        <v>92.503903128304401</v>
      </c>
      <c r="AJ4183">
        <v>73.37018074129</v>
      </c>
      <c r="AK4183">
        <v>25.2939747954848</v>
      </c>
      <c r="AL4183">
        <v>87.353502680059805</v>
      </c>
      <c r="AM4183">
        <v>88.745460738481498</v>
      </c>
      <c r="AN4183">
        <v>1.0000000213527001</v>
      </c>
    </row>
    <row r="4184" spans="1:40" x14ac:dyDescent="0.25">
      <c r="A4184" t="str">
        <f>"20190312160418097"</f>
        <v>20190312160418097</v>
      </c>
      <c r="B4184" t="str">
        <f>"1552377858089239"</f>
        <v>1552377858089239</v>
      </c>
      <c r="C4184" t="s">
        <v>40</v>
      </c>
      <c r="D4184">
        <v>5.5067300000000001</v>
      </c>
      <c r="E4184">
        <v>0.60524709999999904</v>
      </c>
      <c r="F4184" t="s">
        <v>59</v>
      </c>
      <c r="G4184">
        <v>-179.95779999999999</v>
      </c>
      <c r="H4184">
        <v>8.258942E-3</v>
      </c>
      <c r="I4184">
        <v>199.70930000000001</v>
      </c>
      <c r="J4184">
        <v>-207.15260000000001</v>
      </c>
      <c r="K4184">
        <v>1.104916</v>
      </c>
      <c r="L4184">
        <v>213.17189999999999</v>
      </c>
      <c r="M4184">
        <v>0.98555649999999995</v>
      </c>
      <c r="N4184">
        <v>0</v>
      </c>
      <c r="O4184">
        <v>-0.16872179999999901</v>
      </c>
      <c r="P4184">
        <v>0.98138009999999998</v>
      </c>
      <c r="Q4184">
        <v>3.1584679999999997E-2</v>
      </c>
      <c r="R4184">
        <v>-0.1894612</v>
      </c>
      <c r="S4184">
        <v>2.8001559999999999</v>
      </c>
      <c r="T4184">
        <v>-0.1117537</v>
      </c>
      <c r="U4184">
        <v>-1.3772580000000001</v>
      </c>
      <c r="V4184">
        <v>2.173431E-2</v>
      </c>
      <c r="W4184">
        <v>4.5834529999999998E-2</v>
      </c>
      <c r="X4184">
        <v>0.99871259999999995</v>
      </c>
      <c r="Y4184">
        <v>0.28353660000000003</v>
      </c>
      <c r="Z4184">
        <v>9.3358009999999997E-4</v>
      </c>
      <c r="AA4184">
        <v>0.95896099999999995</v>
      </c>
      <c r="AB4184">
        <v>29</v>
      </c>
      <c r="AC4184">
        <v>27.194800000000001</v>
      </c>
      <c r="AD4184">
        <v>-1.0966570579999999</v>
      </c>
      <c r="AE4184">
        <v>-13.462599999999901</v>
      </c>
      <c r="AF4184">
        <v>8.6693915616591593</v>
      </c>
      <c r="AG4184">
        <v>-1.0966570579999999</v>
      </c>
      <c r="AH4184">
        <v>29.038591331662602</v>
      </c>
      <c r="AI4184">
        <v>92.072471224342095</v>
      </c>
      <c r="AJ4184">
        <v>73.377150019968795</v>
      </c>
      <c r="AK4184">
        <v>30.3249203342654</v>
      </c>
      <c r="AL4184">
        <v>87.372954563838206</v>
      </c>
      <c r="AM4184">
        <v>88.753307306755502</v>
      </c>
      <c r="AN4184">
        <v>1.0000000208851201</v>
      </c>
    </row>
    <row r="4185" spans="1:40" x14ac:dyDescent="0.25">
      <c r="A4185" t="str">
        <f>"20190312160418132"</f>
        <v>20190312160418132</v>
      </c>
      <c r="B4185" t="str">
        <f>"1552377858119491"</f>
        <v>1552377858119491</v>
      </c>
      <c r="C4185" t="s">
        <v>40</v>
      </c>
      <c r="D4185">
        <v>5.5199590000000001</v>
      </c>
      <c r="E4185">
        <v>0.60475219999999996</v>
      </c>
      <c r="F4185" t="s">
        <v>41</v>
      </c>
      <c r="G4185">
        <v>-179.83949999999999</v>
      </c>
      <c r="H4185">
        <v>7.9986779999999993E-2</v>
      </c>
      <c r="I4185">
        <v>199.50899999999999</v>
      </c>
      <c r="J4185">
        <v>-206.70869999999999</v>
      </c>
      <c r="K4185">
        <v>1.1047209999999901</v>
      </c>
      <c r="L4185">
        <v>213.0838</v>
      </c>
      <c r="M4185">
        <v>0.98371489999999995</v>
      </c>
      <c r="N4185">
        <v>0</v>
      </c>
      <c r="O4185">
        <v>-0.1791459</v>
      </c>
      <c r="P4185">
        <v>0.97932799999999998</v>
      </c>
      <c r="Q4185">
        <v>3.0118200000000001E-2</v>
      </c>
      <c r="R4185">
        <v>-0.20002400000000001</v>
      </c>
      <c r="S4185">
        <v>2.7907709999999999</v>
      </c>
      <c r="T4185">
        <v>-0.1047242</v>
      </c>
      <c r="U4185">
        <v>-1.3960269999999999</v>
      </c>
      <c r="V4185">
        <v>2.1916439999999999E-2</v>
      </c>
      <c r="W4185">
        <v>4.4375930000000001E-2</v>
      </c>
      <c r="X4185">
        <v>0.99877450000000001</v>
      </c>
      <c r="Y4185">
        <v>0.27984740000000002</v>
      </c>
      <c r="Z4185">
        <v>1.2983949999999999E-3</v>
      </c>
      <c r="AA4185">
        <v>0.9600436</v>
      </c>
      <c r="AB4185">
        <v>29</v>
      </c>
      <c r="AC4185">
        <v>26.869199999999999</v>
      </c>
      <c r="AD4185">
        <v>-1.02473421999999</v>
      </c>
      <c r="AE4185">
        <v>-13.5747999999999</v>
      </c>
      <c r="AF4185">
        <v>8.5312448543278503</v>
      </c>
      <c r="AG4185">
        <v>-1.02473421999999</v>
      </c>
      <c r="AH4185">
        <v>28.8331484430296</v>
      </c>
      <c r="AI4185">
        <v>91.951864932876106</v>
      </c>
      <c r="AJ4185">
        <v>73.517398386276099</v>
      </c>
      <c r="AK4185">
        <v>30.086253806745599</v>
      </c>
      <c r="AL4185">
        <v>87.4566113532602</v>
      </c>
      <c r="AM4185">
        <v>88.742941449670596</v>
      </c>
      <c r="AN4185">
        <v>1.0000000276779399</v>
      </c>
    </row>
    <row r="4186" spans="1:40" x14ac:dyDescent="0.25">
      <c r="A4186" t="str">
        <f>"20190312160418154"</f>
        <v>20190312160418154</v>
      </c>
      <c r="B4186" t="str">
        <f>"1552377858148772"</f>
        <v>1552377858148772</v>
      </c>
      <c r="C4186" t="s">
        <v>40</v>
      </c>
      <c r="D4186">
        <v>5.5116480000000001</v>
      </c>
      <c r="E4186">
        <v>0.60440309999999997</v>
      </c>
      <c r="F4186" t="s">
        <v>41</v>
      </c>
      <c r="G4186">
        <v>-179.95779999999999</v>
      </c>
      <c r="H4186">
        <v>1.6601609999999999E-2</v>
      </c>
      <c r="I4186">
        <v>199.38120000000001</v>
      </c>
      <c r="J4186">
        <v>-206.42070000000001</v>
      </c>
      <c r="K4186">
        <v>1.1045830000000001</v>
      </c>
      <c r="L4186">
        <v>213.02359999999999</v>
      </c>
      <c r="M4186">
        <v>0.98241199999999995</v>
      </c>
      <c r="N4186">
        <v>0</v>
      </c>
      <c r="O4186">
        <v>-0.18615660000000001</v>
      </c>
      <c r="P4186">
        <v>0.97782829999999998</v>
      </c>
      <c r="Q4186">
        <v>2.9662480000000001E-2</v>
      </c>
      <c r="R4186">
        <v>-0.20729739999999999</v>
      </c>
      <c r="S4186">
        <v>2.7763209999999998</v>
      </c>
      <c r="T4186">
        <v>-0.1129293</v>
      </c>
      <c r="U4186">
        <v>-1.422104</v>
      </c>
      <c r="V4186">
        <v>2.2223010000000001E-2</v>
      </c>
      <c r="W4186">
        <v>4.39248E-2</v>
      </c>
      <c r="X4186">
        <v>0.9987876</v>
      </c>
      <c r="Y4186">
        <v>0.28216140000000001</v>
      </c>
      <c r="Z4186">
        <v>1.61729E-3</v>
      </c>
      <c r="AA4186">
        <v>0.95936560000000004</v>
      </c>
      <c r="AB4186">
        <v>29</v>
      </c>
      <c r="AC4186">
        <v>26.462900000000001</v>
      </c>
      <c r="AD4186">
        <v>-1.0879813899999999</v>
      </c>
      <c r="AE4186">
        <v>-13.642399999999901</v>
      </c>
      <c r="AF4186">
        <v>8.4658089354400801</v>
      </c>
      <c r="AG4186">
        <v>-1.0879813899999999</v>
      </c>
      <c r="AH4186">
        <v>28.502062381011299</v>
      </c>
      <c r="AI4186">
        <v>92.095632070252293</v>
      </c>
      <c r="AJ4186">
        <v>73.457294030781298</v>
      </c>
      <c r="AK4186">
        <v>29.752666845300102</v>
      </c>
      <c r="AL4186">
        <v>87.482484256370995</v>
      </c>
      <c r="AM4186">
        <v>88.725380025507505</v>
      </c>
      <c r="AN4186">
        <v>0.99999996007112901</v>
      </c>
    </row>
    <row r="4187" spans="1:40" x14ac:dyDescent="0.25">
      <c r="A4187" t="str">
        <f>"20190312160418176"</f>
        <v>20190312160418176</v>
      </c>
      <c r="B4187" t="str">
        <f>"1552377858169268"</f>
        <v>1552377858169268</v>
      </c>
      <c r="C4187" t="s">
        <v>40</v>
      </c>
      <c r="D4187">
        <v>5.5231960000000004</v>
      </c>
      <c r="E4187">
        <v>0.60428979999999999</v>
      </c>
      <c r="F4187" t="s">
        <v>59</v>
      </c>
      <c r="G4187">
        <v>-181.56649999999999</v>
      </c>
      <c r="H4187" s="1">
        <v>5.5875170000000001E-6</v>
      </c>
      <c r="I4187">
        <v>200.08449999999999</v>
      </c>
      <c r="J4187">
        <v>-206.1335</v>
      </c>
      <c r="K4187">
        <v>1.1044590000000001</v>
      </c>
      <c r="L4187">
        <v>212.9614</v>
      </c>
      <c r="M4187">
        <v>0.98102840000000002</v>
      </c>
      <c r="N4187">
        <v>0</v>
      </c>
      <c r="O4187">
        <v>-0.1933144</v>
      </c>
      <c r="P4187">
        <v>0.97628610000000005</v>
      </c>
      <c r="Q4187">
        <v>2.9963400000000001E-2</v>
      </c>
      <c r="R4187">
        <v>-0.21440049999999999</v>
      </c>
      <c r="S4187">
        <v>2.7664339999999998</v>
      </c>
      <c r="T4187">
        <v>-0.12294679999999999</v>
      </c>
      <c r="U4187">
        <v>-1.4402159999999999</v>
      </c>
      <c r="V4187">
        <v>2.2221319999999999E-2</v>
      </c>
      <c r="W4187">
        <v>4.4233969999999997E-2</v>
      </c>
      <c r="X4187">
        <v>0.9987741</v>
      </c>
      <c r="Y4187">
        <v>0.28150599999999998</v>
      </c>
      <c r="Z4187">
        <v>2.0643279999999998E-3</v>
      </c>
      <c r="AA4187">
        <v>0.9595572</v>
      </c>
      <c r="AB4187">
        <v>29</v>
      </c>
      <c r="AC4187">
        <v>24.567</v>
      </c>
      <c r="AD4187">
        <v>-1.1044534124830001</v>
      </c>
      <c r="AE4187">
        <v>-12.876899999999999</v>
      </c>
      <c r="AF4187">
        <v>7.8718079050431697</v>
      </c>
      <c r="AG4187">
        <v>-1.1044534124830001</v>
      </c>
      <c r="AH4187">
        <v>26.550947969914901</v>
      </c>
      <c r="AI4187">
        <v>92.283838637406603</v>
      </c>
      <c r="AJ4187">
        <v>73.4859971410431</v>
      </c>
      <c r="AK4187">
        <v>27.715302905351301</v>
      </c>
      <c r="AL4187">
        <v>87.464753156367905</v>
      </c>
      <c r="AM4187">
        <v>88.725459703448493</v>
      </c>
      <c r="AN4187">
        <v>1.0000000669976501</v>
      </c>
    </row>
    <row r="4188" spans="1:40" x14ac:dyDescent="0.25">
      <c r="A4188" t="str">
        <f>"20190312160418197"</f>
        <v>20190312160418197</v>
      </c>
      <c r="B4188" t="str">
        <f>"1552377858188788"</f>
        <v>1552377858188788</v>
      </c>
      <c r="C4188" t="s">
        <v>40</v>
      </c>
      <c r="D4188">
        <v>5.5581589999999998</v>
      </c>
      <c r="E4188">
        <v>0.6038365</v>
      </c>
      <c r="F4188" t="s">
        <v>59</v>
      </c>
      <c r="G4188">
        <v>-181.01310000000001</v>
      </c>
      <c r="H4188" s="1">
        <v>5.5529160000000002E-6</v>
      </c>
      <c r="I4188">
        <v>199.6591</v>
      </c>
      <c r="J4188">
        <v>-205.8526</v>
      </c>
      <c r="K4188">
        <v>1.1043339999999999</v>
      </c>
      <c r="L4188">
        <v>212.8982</v>
      </c>
      <c r="M4188">
        <v>0.97958599999999996</v>
      </c>
      <c r="N4188">
        <v>0</v>
      </c>
      <c r="O4188">
        <v>-0.20049439999999999</v>
      </c>
      <c r="P4188">
        <v>0.97455950000000002</v>
      </c>
      <c r="Q4188">
        <v>3.034363E-2</v>
      </c>
      <c r="R4188">
        <v>-0.2220657</v>
      </c>
      <c r="S4188">
        <v>2.7561040000000001</v>
      </c>
      <c r="T4188">
        <v>-0.12117609999999999</v>
      </c>
      <c r="U4188">
        <v>-1.459473</v>
      </c>
      <c r="V4188">
        <v>2.2776339999999999E-2</v>
      </c>
      <c r="W4188">
        <v>4.4614590000000003E-2</v>
      </c>
      <c r="X4188">
        <v>0.99874459999999998</v>
      </c>
      <c r="Y4188">
        <v>0.28120849999999997</v>
      </c>
      <c r="Z4188">
        <v>2.3277139999999998E-3</v>
      </c>
      <c r="AA4188">
        <v>0.95964389999999999</v>
      </c>
      <c r="AB4188">
        <v>29</v>
      </c>
      <c r="AC4188">
        <v>24.839499999999902</v>
      </c>
      <c r="AD4188">
        <v>-1.104328447084</v>
      </c>
      <c r="AE4188">
        <v>-13.239100000000001</v>
      </c>
      <c r="AF4188">
        <v>7.9772290675742497</v>
      </c>
      <c r="AG4188">
        <v>-1.104328447084</v>
      </c>
      <c r="AH4188">
        <v>26.948188862654899</v>
      </c>
      <c r="AI4188">
        <v>92.2502339066573</v>
      </c>
      <c r="AJ4188">
        <v>73.510141478887405</v>
      </c>
      <c r="AK4188">
        <v>28.1257996845051</v>
      </c>
      <c r="AL4188">
        <v>87.442923514767898</v>
      </c>
      <c r="AM4188">
        <v>88.693597944468294</v>
      </c>
      <c r="AN4188">
        <v>0.999999999666911</v>
      </c>
    </row>
    <row r="4189" spans="1:40" x14ac:dyDescent="0.25">
      <c r="A4189" t="str">
        <f>"20190312160418220"</f>
        <v>20190312160418220</v>
      </c>
      <c r="B4189" t="str">
        <f>"1552377858209283"</f>
        <v>1552377858209283</v>
      </c>
      <c r="C4189" t="s">
        <v>40</v>
      </c>
      <c r="D4189">
        <v>5.3261520000000004</v>
      </c>
      <c r="E4189">
        <v>0.60356980000000005</v>
      </c>
      <c r="F4189" t="s">
        <v>59</v>
      </c>
      <c r="G4189">
        <v>-181.7567</v>
      </c>
      <c r="H4189" s="1">
        <v>5.6776700000000003E-6</v>
      </c>
      <c r="I4189">
        <v>199.93510000000001</v>
      </c>
      <c r="J4189">
        <v>-205.56610000000001</v>
      </c>
      <c r="K4189">
        <v>1.104203</v>
      </c>
      <c r="L4189">
        <v>212.8313</v>
      </c>
      <c r="M4189">
        <v>0.97801689999999997</v>
      </c>
      <c r="N4189">
        <v>0</v>
      </c>
      <c r="O4189">
        <v>-0.20801330000000001</v>
      </c>
      <c r="P4189">
        <v>0.97259430000000002</v>
      </c>
      <c r="Q4189">
        <v>3.0366279999999999E-2</v>
      </c>
      <c r="R4189">
        <v>-0.23051730000000001</v>
      </c>
      <c r="S4189">
        <v>2.7456510000000001</v>
      </c>
      <c r="T4189">
        <v>-0.12583459999999999</v>
      </c>
      <c r="U4189">
        <v>-1.4770970000000001</v>
      </c>
      <c r="V4189">
        <v>2.3790100000000002E-2</v>
      </c>
      <c r="W4189">
        <v>4.4631730000000001E-2</v>
      </c>
      <c r="X4189">
        <v>0.99872019999999995</v>
      </c>
      <c r="Y4189">
        <v>0.280138</v>
      </c>
      <c r="Z4189">
        <v>2.7527540000000001E-3</v>
      </c>
      <c r="AA4189">
        <v>0.95995580000000003</v>
      </c>
      <c r="AB4189">
        <v>29</v>
      </c>
      <c r="AC4189">
        <v>23.8094</v>
      </c>
      <c r="AD4189">
        <v>-1.1041973223299999</v>
      </c>
      <c r="AE4189">
        <v>-12.896199999999901</v>
      </c>
      <c r="AF4189">
        <v>7.6481289538425603</v>
      </c>
      <c r="AG4189">
        <v>-1.1041973223299999</v>
      </c>
      <c r="AH4189">
        <v>25.928231562256499</v>
      </c>
      <c r="AI4189">
        <v>92.339044471532802</v>
      </c>
      <c r="AJ4189">
        <v>73.565362489635305</v>
      </c>
      <c r="AK4189">
        <v>27.055245705172201</v>
      </c>
      <c r="AL4189">
        <v>87.441940484283506</v>
      </c>
      <c r="AM4189">
        <v>88.635439034579903</v>
      </c>
      <c r="AN4189">
        <v>0.99999999903442105</v>
      </c>
    </row>
    <row r="4190" spans="1:40" x14ac:dyDescent="0.25">
      <c r="A4190" t="str">
        <f>"20190312160418242"</f>
        <v>20190312160418242</v>
      </c>
      <c r="B4190" t="str">
        <f>"1552377858228804"</f>
        <v>1552377858228804</v>
      </c>
      <c r="C4190" t="s">
        <v>40</v>
      </c>
      <c r="D4190">
        <v>5.5388919999999997</v>
      </c>
      <c r="E4190">
        <v>0.60322339999999997</v>
      </c>
      <c r="F4190" t="s">
        <v>41</v>
      </c>
      <c r="G4190">
        <v>-181.07329999999999</v>
      </c>
      <c r="H4190" s="1">
        <v>-5.774074E-6</v>
      </c>
      <c r="I4190">
        <v>199.40119999999999</v>
      </c>
      <c r="J4190">
        <v>-205.28120000000001</v>
      </c>
      <c r="K4190">
        <v>1.1040639999999999</v>
      </c>
      <c r="L4190">
        <v>212.76230000000001</v>
      </c>
      <c r="M4190">
        <v>0.97635260000000001</v>
      </c>
      <c r="N4190">
        <v>0</v>
      </c>
      <c r="O4190">
        <v>-0.21568770000000001</v>
      </c>
      <c r="P4190">
        <v>0.97040800000000005</v>
      </c>
      <c r="Q4190">
        <v>3.0161899999999998E-2</v>
      </c>
      <c r="R4190">
        <v>-0.23957999999999999</v>
      </c>
      <c r="S4190">
        <v>2.7332000000000001</v>
      </c>
      <c r="T4190">
        <v>-0.123220899999999</v>
      </c>
      <c r="U4190">
        <v>-1.498688</v>
      </c>
      <c r="V4190">
        <v>2.5274709999999999E-2</v>
      </c>
      <c r="W4190">
        <v>4.4414990000000001E-2</v>
      </c>
      <c r="X4190">
        <v>0.99869339999999995</v>
      </c>
      <c r="Y4190">
        <v>0.28027929999999901</v>
      </c>
      <c r="Z4190">
        <v>3.0059570000000001E-3</v>
      </c>
      <c r="AA4190">
        <v>0.95991380000000004</v>
      </c>
      <c r="AB4190">
        <v>29</v>
      </c>
      <c r="AC4190">
        <v>24.207899999999999</v>
      </c>
      <c r="AD4190">
        <v>-1.104069774074</v>
      </c>
      <c r="AE4190">
        <v>-13.3611</v>
      </c>
      <c r="AF4190">
        <v>7.8121817701213097</v>
      </c>
      <c r="AG4190">
        <v>-1.104069774074</v>
      </c>
      <c r="AH4190">
        <v>26.477898512069402</v>
      </c>
      <c r="AI4190">
        <v>92.290230201682505</v>
      </c>
      <c r="AJ4190">
        <v>73.561548596916893</v>
      </c>
      <c r="AK4190">
        <v>27.628395966666002</v>
      </c>
      <c r="AL4190">
        <v>87.454371113037595</v>
      </c>
      <c r="AM4190">
        <v>88.5502806352346</v>
      </c>
      <c r="AN4190">
        <v>1.0000000047529201</v>
      </c>
    </row>
    <row r="4191" spans="1:40" x14ac:dyDescent="0.25">
      <c r="A4191" t="str">
        <f>"20190312160418265"</f>
        <v>20190312160418265</v>
      </c>
      <c r="B4191" t="str">
        <f>"1552377858259059"</f>
        <v>1552377858259059</v>
      </c>
      <c r="C4191" t="s">
        <v>40</v>
      </c>
      <c r="D4191">
        <v>5.4033119999999997</v>
      </c>
      <c r="E4191">
        <v>0.60263710000000004</v>
      </c>
      <c r="F4191" t="s">
        <v>41</v>
      </c>
      <c r="G4191">
        <v>-180.35120000000001</v>
      </c>
      <c r="H4191" s="1">
        <v>-5.6870769999999997E-6</v>
      </c>
      <c r="I4191">
        <v>198.81569999999999</v>
      </c>
      <c r="J4191">
        <v>-204.98830000000001</v>
      </c>
      <c r="K4191">
        <v>1.1039099999999999</v>
      </c>
      <c r="L4191">
        <v>212.68870000000001</v>
      </c>
      <c r="M4191">
        <v>0.97452760000000005</v>
      </c>
      <c r="N4191">
        <v>0</v>
      </c>
      <c r="O4191">
        <v>-0.22378819999999999</v>
      </c>
      <c r="P4191">
        <v>0.96804109999999999</v>
      </c>
      <c r="Q4191">
        <v>3.0041209999999999E-2</v>
      </c>
      <c r="R4191">
        <v>-0.2489855</v>
      </c>
      <c r="S4191">
        <v>2.7196199999999999</v>
      </c>
      <c r="T4191">
        <v>-0.1204431</v>
      </c>
      <c r="U4191">
        <v>-1.521439</v>
      </c>
      <c r="V4191">
        <v>2.6687059999999999E-2</v>
      </c>
      <c r="W4191">
        <v>4.4283040000000003E-2</v>
      </c>
      <c r="X4191">
        <v>0.99866250000000001</v>
      </c>
      <c r="Y4191">
        <v>0.28047169999999999</v>
      </c>
      <c r="Z4191">
        <v>3.2582790000000002E-3</v>
      </c>
      <c r="AA4191">
        <v>0.95985670000000001</v>
      </c>
      <c r="AB4191">
        <v>29</v>
      </c>
      <c r="AC4191">
        <v>24.6371</v>
      </c>
      <c r="AD4191">
        <v>-1.1039156870769999</v>
      </c>
      <c r="AE4191">
        <v>-13.872999999999999</v>
      </c>
      <c r="AF4191">
        <v>7.9948023152408103</v>
      </c>
      <c r="AG4191">
        <v>-1.1039156870769999</v>
      </c>
      <c r="AH4191">
        <v>27.075787397238201</v>
      </c>
      <c r="AI4191">
        <v>92.239257602529506</v>
      </c>
      <c r="AJ4191">
        <v>73.549448511957294</v>
      </c>
      <c r="AK4191">
        <v>28.253030936244599</v>
      </c>
      <c r="AL4191">
        <v>87.461938693994199</v>
      </c>
      <c r="AM4191">
        <v>88.469260544916807</v>
      </c>
      <c r="AN4191">
        <v>0.99999998785466704</v>
      </c>
    </row>
    <row r="4192" spans="1:40" x14ac:dyDescent="0.25">
      <c r="A4192" t="str">
        <f>"20190312160418288"</f>
        <v>20190312160418288</v>
      </c>
      <c r="B4192" t="str">
        <f>"1552377858279555"</f>
        <v>1552377858279555</v>
      </c>
      <c r="C4192" t="s">
        <v>40</v>
      </c>
      <c r="D4192">
        <v>5.404871</v>
      </c>
      <c r="E4192">
        <v>0.60247980000000001</v>
      </c>
      <c r="F4192" t="s">
        <v>41</v>
      </c>
      <c r="G4192">
        <v>-181.1696</v>
      </c>
      <c r="H4192" s="1">
        <v>-5.6304749999999997E-6</v>
      </c>
      <c r="I4192">
        <v>199.1063</v>
      </c>
      <c r="J4192">
        <v>-204.71090000000001</v>
      </c>
      <c r="K4192">
        <v>1.1037539999999999</v>
      </c>
      <c r="L4192">
        <v>212.6163</v>
      </c>
      <c r="M4192">
        <v>0.97268350000000003</v>
      </c>
      <c r="N4192">
        <v>0</v>
      </c>
      <c r="O4192">
        <v>-0.23167160000000001</v>
      </c>
      <c r="P4192">
        <v>0.96567729999999996</v>
      </c>
      <c r="Q4192">
        <v>2.9511900000000001E-2</v>
      </c>
      <c r="R4192">
        <v>-0.25806319999999999</v>
      </c>
      <c r="S4192">
        <v>2.7060390000000001</v>
      </c>
      <c r="T4192">
        <v>-0.12541540000000001</v>
      </c>
      <c r="U4192">
        <v>-1.543091</v>
      </c>
      <c r="V4192">
        <v>2.7982010000000002E-2</v>
      </c>
      <c r="W4192">
        <v>4.374426E-2</v>
      </c>
      <c r="X4192">
        <v>0.99865079999999995</v>
      </c>
      <c r="Y4192">
        <v>0.28056759999999997</v>
      </c>
      <c r="Z4192">
        <v>3.7198769999999999E-3</v>
      </c>
      <c r="AA4192">
        <v>0.95982710000000004</v>
      </c>
      <c r="AB4192">
        <v>29</v>
      </c>
      <c r="AC4192">
        <v>23.5413</v>
      </c>
      <c r="AD4192">
        <v>-1.1037596304749999</v>
      </c>
      <c r="AE4192">
        <v>-13.5099999999999</v>
      </c>
      <c r="AF4192">
        <v>7.67523788119298</v>
      </c>
      <c r="AG4192">
        <v>-1.1037596304749999</v>
      </c>
      <c r="AH4192">
        <v>25.987941226008001</v>
      </c>
      <c r="AI4192">
        <v>92.332521066750502</v>
      </c>
      <c r="AJ4192">
        <v>73.5461039316301</v>
      </c>
      <c r="AK4192">
        <v>27.120115247196299</v>
      </c>
      <c r="AL4192">
        <v>87.492838456112594</v>
      </c>
      <c r="AM4192">
        <v>88.395002841151097</v>
      </c>
      <c r="AN4192">
        <v>0.99999998675361301</v>
      </c>
    </row>
    <row r="4193" spans="1:40" x14ac:dyDescent="0.25">
      <c r="A4193" t="str">
        <f>"20190312160418309"</f>
        <v>20190312160418309</v>
      </c>
      <c r="B4193" t="str">
        <f>"1552377858299076"</f>
        <v>1552377858299076</v>
      </c>
      <c r="C4193" t="s">
        <v>40</v>
      </c>
      <c r="D4193">
        <v>5.4273249999999997</v>
      </c>
      <c r="E4193">
        <v>0.60227419999999998</v>
      </c>
      <c r="F4193" t="s">
        <v>41</v>
      </c>
      <c r="G4193">
        <v>-181.0266</v>
      </c>
      <c r="H4193" s="1">
        <v>-5.5346460000000003E-6</v>
      </c>
      <c r="I4193">
        <v>198.82380000000001</v>
      </c>
      <c r="J4193">
        <v>-204.4298</v>
      </c>
      <c r="K4193">
        <v>1.1035870000000001</v>
      </c>
      <c r="L4193">
        <v>212.5401</v>
      </c>
      <c r="M4193">
        <v>0.97068889999999997</v>
      </c>
      <c r="N4193">
        <v>0</v>
      </c>
      <c r="O4193">
        <v>-0.23988950000000001</v>
      </c>
      <c r="P4193">
        <v>0.96322390000000002</v>
      </c>
      <c r="Q4193">
        <v>2.8858910000000002E-2</v>
      </c>
      <c r="R4193">
        <v>-0.2671462</v>
      </c>
      <c r="S4193">
        <v>2.691589</v>
      </c>
      <c r="T4193">
        <v>-0.1254362</v>
      </c>
      <c r="U4193">
        <v>-1.5674440000000001</v>
      </c>
      <c r="V4193">
        <v>2.894323E-2</v>
      </c>
      <c r="W4193">
        <v>4.308828E-2</v>
      </c>
      <c r="X4193">
        <v>0.99865190000000004</v>
      </c>
      <c r="Y4193">
        <v>0.281180599999999</v>
      </c>
      <c r="Z4193">
        <v>4.050522E-3</v>
      </c>
      <c r="AA4193">
        <v>0.95964629999999995</v>
      </c>
      <c r="AB4193">
        <v>29</v>
      </c>
      <c r="AC4193">
        <v>23.403199999999998</v>
      </c>
      <c r="AD4193">
        <v>-1.103592534646</v>
      </c>
      <c r="AE4193">
        <v>-13.716299999999899</v>
      </c>
      <c r="AF4193">
        <v>7.6881854017627598</v>
      </c>
      <c r="AG4193">
        <v>-1.103592534646</v>
      </c>
      <c r="AH4193">
        <v>25.9674539044276</v>
      </c>
      <c r="AI4193">
        <v>92.333542516524204</v>
      </c>
      <c r="AJ4193">
        <v>73.507556067050004</v>
      </c>
      <c r="AK4193">
        <v>27.104146795886798</v>
      </c>
      <c r="AL4193">
        <v>87.530458759671006</v>
      </c>
      <c r="AM4193">
        <v>88.339901178916506</v>
      </c>
      <c r="AN4193">
        <v>0.99999996390489998</v>
      </c>
    </row>
    <row r="4194" spans="1:40" x14ac:dyDescent="0.25">
      <c r="A4194" t="str">
        <f>"20190312160418334"</f>
        <v>20190312160418334</v>
      </c>
      <c r="B4194" t="str">
        <f>"1552377858319571"</f>
        <v>1552377858319571</v>
      </c>
      <c r="C4194" t="s">
        <v>40</v>
      </c>
      <c r="D4194">
        <v>5.5411769999999896</v>
      </c>
      <c r="E4194">
        <v>0.60212310000000002</v>
      </c>
      <c r="F4194" t="s">
        <v>41</v>
      </c>
      <c r="G4194">
        <v>-181.06479999999999</v>
      </c>
      <c r="H4194" s="1">
        <v>-5.4550239999999899E-6</v>
      </c>
      <c r="I4194">
        <v>198.654</v>
      </c>
      <c r="J4194">
        <v>-204.1268</v>
      </c>
      <c r="K4194">
        <v>1.103429</v>
      </c>
      <c r="L4194">
        <v>212.45480000000001</v>
      </c>
      <c r="M4194">
        <v>0.9684026</v>
      </c>
      <c r="N4194">
        <v>0</v>
      </c>
      <c r="O4194">
        <v>-0.24895709999999999</v>
      </c>
      <c r="P4194">
        <v>0.96045769999999997</v>
      </c>
      <c r="Q4194">
        <v>2.806954E-2</v>
      </c>
      <c r="R4194">
        <v>-0.27700740000000001</v>
      </c>
      <c r="S4194">
        <v>2.6770779999999998</v>
      </c>
      <c r="T4194">
        <v>-0.12644540000000001</v>
      </c>
      <c r="U4194">
        <v>-1.591019</v>
      </c>
      <c r="V4194">
        <v>2.984003E-2</v>
      </c>
      <c r="W4194">
        <v>4.2297910000000001E-2</v>
      </c>
      <c r="X4194">
        <v>0.99865930000000003</v>
      </c>
      <c r="Y4194">
        <v>0.2807404</v>
      </c>
      <c r="Z4194">
        <v>4.4743669999999999E-3</v>
      </c>
      <c r="AA4194">
        <v>0.95977330000000005</v>
      </c>
      <c r="AB4194">
        <v>29</v>
      </c>
      <c r="AC4194">
        <v>23.062000000000001</v>
      </c>
      <c r="AD4194">
        <v>-1.1034344550240001</v>
      </c>
      <c r="AE4194">
        <v>-13.800799999999899</v>
      </c>
      <c r="AF4194">
        <v>7.6112784616461404</v>
      </c>
      <c r="AG4194">
        <v>-1.1034344550240001</v>
      </c>
      <c r="AH4194">
        <v>25.728532273664101</v>
      </c>
      <c r="AI4194">
        <v>92.355004597507801</v>
      </c>
      <c r="AJ4194">
        <v>73.5201884939042</v>
      </c>
      <c r="AK4194">
        <v>26.853426231567301</v>
      </c>
      <c r="AL4194">
        <v>87.575784967054304</v>
      </c>
      <c r="AM4194">
        <v>88.288506168594296</v>
      </c>
      <c r="AN4194">
        <v>0.99999996902862898</v>
      </c>
    </row>
    <row r="4195" spans="1:40" x14ac:dyDescent="0.25">
      <c r="A4195" t="str">
        <f>"20190312160418355"</f>
        <v>20190312160418355</v>
      </c>
      <c r="B4195" t="str">
        <f>"1552377858348851"</f>
        <v>1552377858348851</v>
      </c>
      <c r="C4195" t="s">
        <v>40</v>
      </c>
      <c r="D4195">
        <v>5.4585910000000002</v>
      </c>
      <c r="E4195">
        <v>0.60157269999999996</v>
      </c>
      <c r="F4195" t="s">
        <v>41</v>
      </c>
      <c r="G4195">
        <v>-181.40710000000001</v>
      </c>
      <c r="H4195" s="1">
        <v>-5.3912479999999998E-6</v>
      </c>
      <c r="I4195">
        <v>198.64689999999999</v>
      </c>
      <c r="J4195">
        <v>-203.85759999999999</v>
      </c>
      <c r="K4195">
        <v>1.103302</v>
      </c>
      <c r="L4195">
        <v>212.37639999999999</v>
      </c>
      <c r="M4195">
        <v>0.96624880000000002</v>
      </c>
      <c r="N4195">
        <v>0</v>
      </c>
      <c r="O4195">
        <v>-0.25718839999999998</v>
      </c>
      <c r="P4195">
        <v>0.95747079999999996</v>
      </c>
      <c r="Q4195">
        <v>2.7388180000000002E-2</v>
      </c>
      <c r="R4195">
        <v>-0.28722760000000003</v>
      </c>
      <c r="S4195">
        <v>2.660873</v>
      </c>
      <c r="T4195">
        <v>-0.1292316</v>
      </c>
      <c r="U4195">
        <v>-1.617157</v>
      </c>
      <c r="V4195">
        <v>3.1982589999999998E-2</v>
      </c>
      <c r="W4195">
        <v>4.1591870000000003E-2</v>
      </c>
      <c r="X4195">
        <v>0.99862269999999997</v>
      </c>
      <c r="Y4195">
        <v>0.28205520000000001</v>
      </c>
      <c r="Z4195">
        <v>4.8997720000000002E-3</v>
      </c>
      <c r="AA4195">
        <v>0.95938570000000001</v>
      </c>
      <c r="AB4195">
        <v>29</v>
      </c>
      <c r="AC4195">
        <v>22.450499999999899</v>
      </c>
      <c r="AD4195">
        <v>-1.103307391248</v>
      </c>
      <c r="AE4195">
        <v>-13.7295</v>
      </c>
      <c r="AF4195">
        <v>7.4797715876849598</v>
      </c>
      <c r="AG4195">
        <v>-1.103307391248</v>
      </c>
      <c r="AH4195">
        <v>25.182314571159399</v>
      </c>
      <c r="AI4195">
        <v>92.404967762782903</v>
      </c>
      <c r="AJ4195">
        <v>73.457275495588405</v>
      </c>
      <c r="AK4195">
        <v>26.292836236593999</v>
      </c>
      <c r="AL4195">
        <v>87.616273867798895</v>
      </c>
      <c r="AM4195">
        <v>88.165632241528598</v>
      </c>
      <c r="AN4195">
        <v>1.00000003333424</v>
      </c>
    </row>
    <row r="4196" spans="1:40" x14ac:dyDescent="0.25">
      <c r="A4196" t="str">
        <f>"20190312160418378"</f>
        <v>20190312160418378</v>
      </c>
      <c r="B4196" t="str">
        <f>"1552377858369348"</f>
        <v>1552377858369348</v>
      </c>
      <c r="C4196" t="s">
        <v>40</v>
      </c>
      <c r="D4196">
        <v>5.3524949999999896</v>
      </c>
      <c r="E4196">
        <v>0.60132099999999999</v>
      </c>
      <c r="F4196" t="s">
        <v>41</v>
      </c>
      <c r="G4196">
        <v>-181.6301</v>
      </c>
      <c r="H4196" s="1">
        <v>-5.325036E-6</v>
      </c>
      <c r="I4196">
        <v>198.5847</v>
      </c>
      <c r="J4196">
        <v>-203.58109999999999</v>
      </c>
      <c r="K4196">
        <v>1.1031660000000001</v>
      </c>
      <c r="L4196">
        <v>212.29300000000001</v>
      </c>
      <c r="M4196">
        <v>0.96390549999999997</v>
      </c>
      <c r="N4196">
        <v>0</v>
      </c>
      <c r="O4196">
        <v>-0.2658354</v>
      </c>
      <c r="P4196">
        <v>0.95424370000000003</v>
      </c>
      <c r="Q4196">
        <v>2.6416370000000002E-2</v>
      </c>
      <c r="R4196">
        <v>-0.29786190000000001</v>
      </c>
      <c r="S4196">
        <v>2.6447449999999999</v>
      </c>
      <c r="T4196">
        <v>-0.13127739999999999</v>
      </c>
      <c r="U4196">
        <v>-1.641006</v>
      </c>
      <c r="V4196">
        <v>3.4135390000000002E-2</v>
      </c>
      <c r="W4196">
        <v>4.0594690000000003E-2</v>
      </c>
      <c r="X4196">
        <v>0.99859240000000005</v>
      </c>
      <c r="Y4196">
        <v>0.28232940000000001</v>
      </c>
      <c r="Z4196">
        <v>5.3521460000000003E-3</v>
      </c>
      <c r="AA4196">
        <v>0.95930260000000001</v>
      </c>
      <c r="AB4196">
        <v>29</v>
      </c>
      <c r="AC4196">
        <v>21.951000000000001</v>
      </c>
      <c r="AD4196">
        <v>-1.103171325036</v>
      </c>
      <c r="AE4196">
        <v>-13.708299999999999</v>
      </c>
      <c r="AF4196">
        <v>7.3655727122582197</v>
      </c>
      <c r="AG4196">
        <v>-1.103171325036</v>
      </c>
      <c r="AH4196">
        <v>24.760550730296099</v>
      </c>
      <c r="AI4196">
        <v>92.445284272981993</v>
      </c>
      <c r="AJ4196">
        <v>73.433727602853196</v>
      </c>
      <c r="AK4196">
        <v>25.856401931040399</v>
      </c>
      <c r="AL4196">
        <v>87.673456221729495</v>
      </c>
      <c r="AM4196">
        <v>88.042191673685807</v>
      </c>
      <c r="AN4196">
        <v>0.99999996752220299</v>
      </c>
    </row>
    <row r="4197" spans="1:40" x14ac:dyDescent="0.25">
      <c r="A4197" t="str">
        <f>"20190312160418399"</f>
        <v>20190312160418399</v>
      </c>
      <c r="B4197" t="str">
        <f>"1552377858388868"</f>
        <v>1552377858388868</v>
      </c>
      <c r="C4197" t="s">
        <v>40</v>
      </c>
      <c r="D4197">
        <v>5.3843990000000002</v>
      </c>
      <c r="E4197">
        <v>0.60110769999999902</v>
      </c>
      <c r="F4197" t="s">
        <v>41</v>
      </c>
      <c r="G4197">
        <v>-181.51849999999999</v>
      </c>
      <c r="H4197" s="1">
        <v>-5.2144929999999998E-6</v>
      </c>
      <c r="I4197">
        <v>198.2809</v>
      </c>
      <c r="J4197">
        <v>-203.3075</v>
      </c>
      <c r="K4197">
        <v>1.10303</v>
      </c>
      <c r="L4197">
        <v>212.20769999999999</v>
      </c>
      <c r="M4197">
        <v>0.96144879999999999</v>
      </c>
      <c r="N4197">
        <v>0</v>
      </c>
      <c r="O4197">
        <v>-0.27458579999999999</v>
      </c>
      <c r="P4197">
        <v>0.95096049999999999</v>
      </c>
      <c r="Q4197">
        <v>2.613327E-2</v>
      </c>
      <c r="R4197">
        <v>-0.30820690000000001</v>
      </c>
      <c r="S4197">
        <v>2.6267550000000002</v>
      </c>
      <c r="T4197">
        <v>-0.1313426</v>
      </c>
      <c r="U4197">
        <v>-1.668274</v>
      </c>
      <c r="V4197">
        <v>3.5909860000000002E-2</v>
      </c>
      <c r="W4197">
        <v>4.0291670000000002E-2</v>
      </c>
      <c r="X4197">
        <v>0.9985425</v>
      </c>
      <c r="Y4197">
        <v>0.2836822</v>
      </c>
      <c r="Z4197">
        <v>5.7109999999999999E-3</v>
      </c>
      <c r="AA4197">
        <v>0.95890129999999996</v>
      </c>
      <c r="AB4197">
        <v>29</v>
      </c>
      <c r="AC4197">
        <v>21.789000000000001</v>
      </c>
      <c r="AD4197">
        <v>-1.103035214493</v>
      </c>
      <c r="AE4197">
        <v>-13.926799999999901</v>
      </c>
      <c r="AF4197">
        <v>7.3943122860632204</v>
      </c>
      <c r="AG4197">
        <v>-1.103035214493</v>
      </c>
      <c r="AH4197">
        <v>24.730824423482201</v>
      </c>
      <c r="AI4197">
        <v>92.446900865085397</v>
      </c>
      <c r="AJ4197">
        <v>73.3537694563515</v>
      </c>
      <c r="AK4197">
        <v>25.836141692081998</v>
      </c>
      <c r="AL4197">
        <v>87.690832351337505</v>
      </c>
      <c r="AM4197">
        <v>87.940400996887703</v>
      </c>
      <c r="AN4197">
        <v>1.0000000305114201</v>
      </c>
    </row>
    <row r="4198" spans="1:40" x14ac:dyDescent="0.25">
      <c r="A4198" t="str">
        <f>"20190312160418422"</f>
        <v>20190312160418422</v>
      </c>
      <c r="B4198" t="str">
        <f>"1552377858409364"</f>
        <v>1552377858409364</v>
      </c>
      <c r="C4198" t="s">
        <v>40</v>
      </c>
      <c r="D4198">
        <v>5.4454690000000001</v>
      </c>
      <c r="E4198">
        <v>0.6008445</v>
      </c>
      <c r="F4198" t="s">
        <v>41</v>
      </c>
      <c r="G4198">
        <v>-181.10720000000001</v>
      </c>
      <c r="H4198" s="1">
        <v>-5.1350650000000003E-6</v>
      </c>
      <c r="I4198">
        <v>197.78460000000001</v>
      </c>
      <c r="J4198">
        <v>-203.0317</v>
      </c>
      <c r="K4198">
        <v>1.102886</v>
      </c>
      <c r="L4198">
        <v>212.11869999999999</v>
      </c>
      <c r="M4198">
        <v>0.95882610000000001</v>
      </c>
      <c r="N4198">
        <v>0</v>
      </c>
      <c r="O4198">
        <v>-0.28360750000000001</v>
      </c>
      <c r="P4198">
        <v>0.94735100000000005</v>
      </c>
      <c r="Q4198">
        <v>2.590334E-2</v>
      </c>
      <c r="R4198">
        <v>-0.3191484</v>
      </c>
      <c r="S4198">
        <v>2.6089169999999999</v>
      </c>
      <c r="T4198">
        <v>-0.12962560000000001</v>
      </c>
      <c r="U4198">
        <v>-1.6949620000000001</v>
      </c>
      <c r="V4198">
        <v>3.8047030000000003E-2</v>
      </c>
      <c r="W4198">
        <v>4.003582E-2</v>
      </c>
      <c r="X4198">
        <v>0.99847359999999996</v>
      </c>
      <c r="Y4198">
        <v>0.28456979999999998</v>
      </c>
      <c r="Z4198">
        <v>6.010151E-3</v>
      </c>
      <c r="AA4198">
        <v>0.9586365</v>
      </c>
      <c r="AB4198">
        <v>29</v>
      </c>
      <c r="AC4198">
        <v>21.924499999999899</v>
      </c>
      <c r="AD4198">
        <v>-1.1028911350649999</v>
      </c>
      <c r="AE4198">
        <v>-14.3340999999999</v>
      </c>
      <c r="AF4198">
        <v>7.5134624584887701</v>
      </c>
      <c r="AG4198">
        <v>-1.1028911350649999</v>
      </c>
      <c r="AH4198">
        <v>25.045393207340801</v>
      </c>
      <c r="AI4198">
        <v>92.415224879075197</v>
      </c>
      <c r="AJ4198">
        <v>73.301082135672203</v>
      </c>
      <c r="AK4198">
        <v>26.171362361964199</v>
      </c>
      <c r="AL4198">
        <v>87.705503213226706</v>
      </c>
      <c r="AM4198">
        <v>87.817789005264004</v>
      </c>
      <c r="AN4198">
        <v>0.99999998663592604</v>
      </c>
    </row>
    <row r="4199" spans="1:40" x14ac:dyDescent="0.25">
      <c r="A4199" t="str">
        <f>"20190312160418444"</f>
        <v>20190312160418444</v>
      </c>
      <c r="B4199" t="str">
        <f>"1552377858438644"</f>
        <v>1552377858438644</v>
      </c>
      <c r="C4199" t="s">
        <v>40</v>
      </c>
      <c r="D4199">
        <v>5.4013039999999997</v>
      </c>
      <c r="E4199">
        <v>0.60061699999999996</v>
      </c>
      <c r="F4199" t="s">
        <v>41</v>
      </c>
      <c r="G4199">
        <v>-180.72479999999999</v>
      </c>
      <c r="H4199" s="1">
        <v>-5.0652420000000001E-6</v>
      </c>
      <c r="I4199">
        <v>197.28049999999999</v>
      </c>
      <c r="J4199">
        <v>-202.75020000000001</v>
      </c>
      <c r="K4199">
        <v>1.1027309999999999</v>
      </c>
      <c r="L4199">
        <v>212.0247</v>
      </c>
      <c r="M4199">
        <v>0.95598970000000005</v>
      </c>
      <c r="N4199">
        <v>0</v>
      </c>
      <c r="O4199">
        <v>-0.29302499999999998</v>
      </c>
      <c r="P4199">
        <v>0.94362040000000003</v>
      </c>
      <c r="Q4199">
        <v>2.556518E-2</v>
      </c>
      <c r="R4199">
        <v>-0.33004119999999998</v>
      </c>
      <c r="S4199">
        <v>2.589874</v>
      </c>
      <c r="T4199">
        <v>-0.1280481</v>
      </c>
      <c r="U4199">
        <v>-1.7227479999999999</v>
      </c>
      <c r="V4199">
        <v>3.9735979999999997E-2</v>
      </c>
      <c r="W4199">
        <v>3.9679899999999997E-2</v>
      </c>
      <c r="X4199">
        <v>0.99842200000000003</v>
      </c>
      <c r="Y4199">
        <v>0.28552519999999998</v>
      </c>
      <c r="Z4199">
        <v>6.3227839999999997E-3</v>
      </c>
      <c r="AA4199">
        <v>0.95835040000000005</v>
      </c>
      <c r="AB4199">
        <v>29</v>
      </c>
      <c r="AC4199">
        <v>22.025400000000001</v>
      </c>
      <c r="AD4199">
        <v>-1.102736065242</v>
      </c>
      <c r="AE4199">
        <v>-14.744199999999999</v>
      </c>
      <c r="AF4199">
        <v>7.6289458304405899</v>
      </c>
      <c r="AG4199">
        <v>-1.102736065242</v>
      </c>
      <c r="AH4199">
        <v>25.3354121902751</v>
      </c>
      <c r="AI4199">
        <v>92.386535475326994</v>
      </c>
      <c r="AJ4199">
        <v>73.242012108475706</v>
      </c>
      <c r="AK4199">
        <v>26.4820685023757</v>
      </c>
      <c r="AL4199">
        <v>87.725912099002699</v>
      </c>
      <c r="AM4199">
        <v>87.720900547638806</v>
      </c>
      <c r="AN4199">
        <v>0.99999996632728405</v>
      </c>
    </row>
    <row r="4200" spans="1:40" x14ac:dyDescent="0.25">
      <c r="A4200" t="str">
        <f>"20190312160418466"</f>
        <v>20190312160418466</v>
      </c>
      <c r="B4200" t="str">
        <f>"1552377858459140"</f>
        <v>1552377858459140</v>
      </c>
      <c r="C4200" t="s">
        <v>40</v>
      </c>
      <c r="D4200">
        <v>5.438078</v>
      </c>
      <c r="E4200">
        <v>0.60005339999999996</v>
      </c>
      <c r="F4200" t="s">
        <v>41</v>
      </c>
      <c r="G4200">
        <v>-180.56790000000001</v>
      </c>
      <c r="H4200" s="1">
        <v>-4.9832960000000001E-6</v>
      </c>
      <c r="I4200">
        <v>196.917</v>
      </c>
      <c r="J4200">
        <v>-202.47909999999999</v>
      </c>
      <c r="K4200">
        <v>1.1025720000000001</v>
      </c>
      <c r="L4200">
        <v>211.93100000000001</v>
      </c>
      <c r="M4200">
        <v>0.95309390000000005</v>
      </c>
      <c r="N4200">
        <v>0</v>
      </c>
      <c r="O4200">
        <v>-0.30230879999999999</v>
      </c>
      <c r="P4200">
        <v>0.93980540000000001</v>
      </c>
      <c r="Q4200">
        <v>2.5141699999999999E-2</v>
      </c>
      <c r="R4200">
        <v>-0.34078399999999998</v>
      </c>
      <c r="S4200">
        <v>2.5704039999999999</v>
      </c>
      <c r="T4200">
        <v>-0.12778129999999999</v>
      </c>
      <c r="U4200">
        <v>-1.75062599999999</v>
      </c>
      <c r="V4200">
        <v>4.1419480000000002E-2</v>
      </c>
      <c r="W4200">
        <v>3.923774E-2</v>
      </c>
      <c r="X4200">
        <v>0.99837109999999996</v>
      </c>
      <c r="Y4200">
        <v>0.286686</v>
      </c>
      <c r="Z4200">
        <v>6.6852400000000003E-3</v>
      </c>
      <c r="AA4200">
        <v>0.95800129999999994</v>
      </c>
      <c r="AB4200">
        <v>29</v>
      </c>
      <c r="AC4200">
        <v>21.911199999999901</v>
      </c>
      <c r="AD4200">
        <v>-1.102576983296</v>
      </c>
      <c r="AE4200">
        <v>-15.0139999999999</v>
      </c>
      <c r="AF4200">
        <v>7.6734322089234404</v>
      </c>
      <c r="AG4200">
        <v>-1.102576983296</v>
      </c>
      <c r="AH4200">
        <v>25.3813757963981</v>
      </c>
      <c r="AI4200">
        <v>92.381081096508495</v>
      </c>
      <c r="AJ4200">
        <v>73.178604558054005</v>
      </c>
      <c r="AK4200">
        <v>26.538867255160302</v>
      </c>
      <c r="AL4200">
        <v>87.751265853416498</v>
      </c>
      <c r="AM4200">
        <v>87.624329014373004</v>
      </c>
      <c r="AN4200">
        <v>1.00000001343949</v>
      </c>
    </row>
    <row r="4201" spans="1:40" x14ac:dyDescent="0.25">
      <c r="A4201" t="str">
        <f>"20190312160418488"</f>
        <v>20190312160418488</v>
      </c>
      <c r="B4201" t="str">
        <f>"1552377858478660"</f>
        <v>1552377858478660</v>
      </c>
      <c r="C4201" t="s">
        <v>40</v>
      </c>
      <c r="D4201">
        <v>5.3906409999999996</v>
      </c>
      <c r="E4201">
        <v>0.59966059999999999</v>
      </c>
      <c r="F4201" t="s">
        <v>41</v>
      </c>
      <c r="G4201">
        <v>-180.2784</v>
      </c>
      <c r="H4201" s="1">
        <v>-4.9122610000000004E-6</v>
      </c>
      <c r="I4201">
        <v>196.4819</v>
      </c>
      <c r="J4201">
        <v>-202.2131</v>
      </c>
      <c r="K4201">
        <v>1.1024259999999999</v>
      </c>
      <c r="L4201">
        <v>211.83580000000001</v>
      </c>
      <c r="M4201">
        <v>0.95008419999999905</v>
      </c>
      <c r="N4201">
        <v>0</v>
      </c>
      <c r="O4201">
        <v>-0.31163829999999998</v>
      </c>
      <c r="P4201">
        <v>0.93583989999999995</v>
      </c>
      <c r="Q4201">
        <v>2.4361879999999999E-2</v>
      </c>
      <c r="R4201">
        <v>-0.35158270000000003</v>
      </c>
      <c r="S4201">
        <v>2.551666</v>
      </c>
      <c r="T4201">
        <v>-0.1267258</v>
      </c>
      <c r="U4201">
        <v>-1.775665</v>
      </c>
      <c r="V4201">
        <v>4.3121800000000002E-2</v>
      </c>
      <c r="W4201">
        <v>3.843821E-2</v>
      </c>
      <c r="X4201">
        <v>0.9983301</v>
      </c>
      <c r="Y4201">
        <v>0.28692859999999998</v>
      </c>
      <c r="Z4201">
        <v>7.0258179999999996E-3</v>
      </c>
      <c r="AA4201">
        <v>0.95792619999999895</v>
      </c>
      <c r="AB4201">
        <v>29</v>
      </c>
      <c r="AC4201">
        <v>21.9346999999999</v>
      </c>
      <c r="AD4201">
        <v>-1.1024309122609901</v>
      </c>
      <c r="AE4201">
        <v>-15.353899999999999</v>
      </c>
      <c r="AF4201">
        <v>7.7395428920486697</v>
      </c>
      <c r="AG4201">
        <v>-1.1024309122609901</v>
      </c>
      <c r="AH4201">
        <v>25.584140491934601</v>
      </c>
      <c r="AI4201">
        <v>92.361796037070803</v>
      </c>
      <c r="AJ4201">
        <v>73.168735615716898</v>
      </c>
      <c r="AK4201">
        <v>26.751899424250599</v>
      </c>
      <c r="AL4201">
        <v>87.797110079096896</v>
      </c>
      <c r="AM4201">
        <v>87.526707525491602</v>
      </c>
      <c r="AN4201">
        <v>0.99999998709462601</v>
      </c>
    </row>
    <row r="4202" spans="1:40" x14ac:dyDescent="0.25">
      <c r="A4202" t="str">
        <f>"20190312160418510"</f>
        <v>20190312160418510</v>
      </c>
      <c r="B4202" t="str">
        <f>"1552377858499156"</f>
        <v>1552377858499156</v>
      </c>
      <c r="C4202" t="s">
        <v>40</v>
      </c>
      <c r="D4202">
        <v>5.3414359999999999</v>
      </c>
      <c r="E4202">
        <v>0.60045950000000003</v>
      </c>
      <c r="F4202" t="s">
        <v>41</v>
      </c>
      <c r="G4202">
        <v>-180.46270000000001</v>
      </c>
      <c r="H4202" s="1">
        <v>-4.8209629999999997E-6</v>
      </c>
      <c r="I4202">
        <v>196.35769999999999</v>
      </c>
      <c r="J4202">
        <v>-201.94120000000001</v>
      </c>
      <c r="K4202">
        <v>1.102274</v>
      </c>
      <c r="L4202">
        <v>211.73509999999999</v>
      </c>
      <c r="M4202">
        <v>0.94682509999999998</v>
      </c>
      <c r="N4202">
        <v>0</v>
      </c>
      <c r="O4202">
        <v>-0.32140249999999998</v>
      </c>
      <c r="P4202">
        <v>0.93153220000000003</v>
      </c>
      <c r="Q4202">
        <v>2.4015120000000001E-2</v>
      </c>
      <c r="R4202">
        <v>-0.36286580000000002</v>
      </c>
      <c r="S4202">
        <v>2.532089</v>
      </c>
      <c r="T4202">
        <v>-0.12834019999999999</v>
      </c>
      <c r="U4202">
        <v>-1.801895</v>
      </c>
      <c r="V4202">
        <v>4.4913799999999997E-2</v>
      </c>
      <c r="W4202">
        <v>3.8070359999999998E-2</v>
      </c>
      <c r="X4202">
        <v>0.99826519999999996</v>
      </c>
      <c r="Y4202">
        <v>0.28715740000000001</v>
      </c>
      <c r="Z4202">
        <v>7.535351E-3</v>
      </c>
      <c r="AA4202">
        <v>0.95785379999999998</v>
      </c>
      <c r="AB4202">
        <v>29</v>
      </c>
      <c r="AC4202">
        <v>21.4785</v>
      </c>
      <c r="AD4202">
        <v>-1.1022788209629999</v>
      </c>
      <c r="AE4202">
        <v>-15.3773999999999</v>
      </c>
      <c r="AF4202">
        <v>7.6440072147611398</v>
      </c>
      <c r="AG4202">
        <v>-1.1022788209629999</v>
      </c>
      <c r="AH4202">
        <v>25.2375878743572</v>
      </c>
      <c r="AI4202">
        <v>92.393615549116802</v>
      </c>
      <c r="AJ4202">
        <v>73.149392104237407</v>
      </c>
      <c r="AK4202">
        <v>26.3928343800806</v>
      </c>
      <c r="AL4202">
        <v>87.818201810794307</v>
      </c>
      <c r="AM4202">
        <v>87.423894080201705</v>
      </c>
      <c r="AN4202">
        <v>1.0000000056359999</v>
      </c>
    </row>
    <row r="4203" spans="1:40" x14ac:dyDescent="0.25">
      <c r="A4203" t="str">
        <f>"20190312160418533"</f>
        <v>20190312160418533</v>
      </c>
      <c r="B4203" t="str">
        <f>"1552377858529413"</f>
        <v>1552377858529413</v>
      </c>
      <c r="C4203" t="s">
        <v>40</v>
      </c>
      <c r="D4203">
        <v>5.3892530000000001</v>
      </c>
      <c r="E4203">
        <v>0.6198806</v>
      </c>
      <c r="F4203" t="s">
        <v>55</v>
      </c>
      <c r="G4203">
        <v>-168.41800000000001</v>
      </c>
      <c r="H4203">
        <v>3.4262619999999999</v>
      </c>
      <c r="I4203">
        <v>187.16370000000001</v>
      </c>
      <c r="J4203">
        <v>-201.67070000000001</v>
      </c>
      <c r="K4203">
        <v>1.1021350000000001</v>
      </c>
      <c r="L4203">
        <v>211.63159999999999</v>
      </c>
      <c r="M4203">
        <v>0.94340639999999998</v>
      </c>
      <c r="N4203">
        <v>0</v>
      </c>
      <c r="O4203">
        <v>-0.33130169999999998</v>
      </c>
      <c r="P4203">
        <v>0.92709620000000004</v>
      </c>
      <c r="Q4203">
        <v>2.3976910000000001E-2</v>
      </c>
      <c r="R4203">
        <v>-0.37405630000000001</v>
      </c>
      <c r="S4203">
        <v>2.5017399999999999</v>
      </c>
      <c r="T4203">
        <v>0.17343520000000001</v>
      </c>
      <c r="U4203">
        <v>-1.8336939999999999</v>
      </c>
      <c r="V4203">
        <v>4.6491459999999998E-2</v>
      </c>
      <c r="W4203">
        <v>3.8016040000000001E-2</v>
      </c>
      <c r="X4203">
        <v>0.9981951</v>
      </c>
      <c r="Y4203">
        <v>0.29058309999999998</v>
      </c>
      <c r="Z4203">
        <v>-1.0683450000000001E-2</v>
      </c>
      <c r="AA4203">
        <v>0.95679009999999998</v>
      </c>
      <c r="AB4203">
        <v>29</v>
      </c>
      <c r="AC4203">
        <v>33.252699999999997</v>
      </c>
      <c r="AD4203">
        <v>2.3241269999999998</v>
      </c>
      <c r="AE4203">
        <v>-24.467899999999901</v>
      </c>
      <c r="AF4203">
        <v>12.029722345649599</v>
      </c>
      <c r="AG4203">
        <v>2.3241269999999998</v>
      </c>
      <c r="AH4203">
        <v>39.356752589187799</v>
      </c>
      <c r="AI4203">
        <v>86.767732725904096</v>
      </c>
      <c r="AJ4203">
        <v>73.003787059123297</v>
      </c>
      <c r="AK4203">
        <v>41.219773900302897</v>
      </c>
      <c r="AL4203">
        <v>87.821316504630303</v>
      </c>
      <c r="AM4203">
        <v>87.333346161771502</v>
      </c>
      <c r="AN4203">
        <v>1.0000000664071</v>
      </c>
    </row>
    <row r="4204" spans="1:40" x14ac:dyDescent="0.25">
      <c r="A4204" t="str">
        <f>"20190312160418556"</f>
        <v>20190312160418556</v>
      </c>
      <c r="B4204" t="str">
        <f>"1552377858548931"</f>
        <v>1552377858548931</v>
      </c>
      <c r="C4204" t="s">
        <v>40</v>
      </c>
      <c r="D4204">
        <v>5.3733089999999999</v>
      </c>
      <c r="E4204">
        <v>0.62564849999999905</v>
      </c>
      <c r="F4204" t="s">
        <v>55</v>
      </c>
      <c r="G4204">
        <v>-169.4014</v>
      </c>
      <c r="H4204">
        <v>3.427413</v>
      </c>
      <c r="I4204">
        <v>184.88040000000001</v>
      </c>
      <c r="J4204">
        <v>-201.39429999999999</v>
      </c>
      <c r="K4204">
        <v>1.101999</v>
      </c>
      <c r="L4204">
        <v>211.52209999999999</v>
      </c>
      <c r="M4204">
        <v>0.93972089999999997</v>
      </c>
      <c r="N4204">
        <v>0</v>
      </c>
      <c r="O4204">
        <v>-0.34161419999999998</v>
      </c>
      <c r="P4204">
        <v>0.92245319999999997</v>
      </c>
      <c r="Q4204">
        <v>2.4051449999999999E-2</v>
      </c>
      <c r="R4204">
        <v>-0.38535960000000002</v>
      </c>
      <c r="S4204">
        <v>2.4214630000000001</v>
      </c>
      <c r="T4204">
        <v>0.17448949999999999</v>
      </c>
      <c r="U4204">
        <v>-2.0073850000000002</v>
      </c>
      <c r="V4204">
        <v>4.7774110000000002E-2</v>
      </c>
      <c r="W4204">
        <v>3.807895E-2</v>
      </c>
      <c r="X4204">
        <v>0.99813209999999997</v>
      </c>
      <c r="Y4204">
        <v>0.33677439999999997</v>
      </c>
      <c r="Z4204">
        <v>-9.9016759999999999E-3</v>
      </c>
      <c r="AA4204">
        <v>0.94153330000000002</v>
      </c>
      <c r="AB4204">
        <v>28</v>
      </c>
      <c r="AC4204">
        <v>31.992899999999899</v>
      </c>
      <c r="AD4204">
        <v>2.3254139999999901</v>
      </c>
      <c r="AE4204">
        <v>-26.641699999999901</v>
      </c>
      <c r="AF4204">
        <v>14.0642391921533</v>
      </c>
      <c r="AG4204">
        <v>2.3254139999999901</v>
      </c>
      <c r="AH4204">
        <v>39.048153678217901</v>
      </c>
      <c r="AI4204">
        <v>86.793127025271303</v>
      </c>
      <c r="AJ4204">
        <v>70.192156268035603</v>
      </c>
      <c r="AK4204">
        <v>41.568842658934102</v>
      </c>
      <c r="AL4204">
        <v>87.817709337280803</v>
      </c>
      <c r="AM4204">
        <v>87.259713951864299</v>
      </c>
      <c r="AN4204">
        <v>1.0000000305348999</v>
      </c>
    </row>
    <row r="4205" spans="1:40" x14ac:dyDescent="0.25">
      <c r="A4205" t="str">
        <f>"20190312160418578"</f>
        <v>20190312160418578</v>
      </c>
      <c r="B4205" t="str">
        <f>"1552377858569428"</f>
        <v>1552377858569428</v>
      </c>
      <c r="C4205" t="s">
        <v>40</v>
      </c>
      <c r="D4205">
        <v>5.224672</v>
      </c>
      <c r="E4205">
        <v>0.62881619999999905</v>
      </c>
      <c r="F4205" t="s">
        <v>55</v>
      </c>
      <c r="G4205">
        <v>-168.41970000000001</v>
      </c>
      <c r="H4205">
        <v>4.080711</v>
      </c>
      <c r="I4205">
        <v>182.70160000000001</v>
      </c>
      <c r="J4205">
        <v>-201.13120000000001</v>
      </c>
      <c r="K4205">
        <v>1.101874</v>
      </c>
      <c r="L4205">
        <v>211.41460000000001</v>
      </c>
      <c r="M4205">
        <v>0.93602379999999996</v>
      </c>
      <c r="N4205">
        <v>0</v>
      </c>
      <c r="O4205">
        <v>-0.3516167</v>
      </c>
      <c r="P4205">
        <v>0.91788080000000005</v>
      </c>
      <c r="Q4205">
        <v>2.374882E-2</v>
      </c>
      <c r="R4205">
        <v>-0.39614500000000002</v>
      </c>
      <c r="S4205">
        <v>2.37825</v>
      </c>
      <c r="T4205">
        <v>0.21483840000000001</v>
      </c>
      <c r="U4205">
        <v>-2.0786440000000002</v>
      </c>
      <c r="V4205">
        <v>4.8831399999999997E-2</v>
      </c>
      <c r="W4205">
        <v>3.776732E-2</v>
      </c>
      <c r="X4205">
        <v>0.9980928</v>
      </c>
      <c r="Y4205">
        <v>0.35125250000000002</v>
      </c>
      <c r="Z4205">
        <v>-1.235227E-2</v>
      </c>
      <c r="AA4205">
        <v>0.93619929999999996</v>
      </c>
      <c r="AB4205">
        <v>28</v>
      </c>
      <c r="AC4205">
        <v>32.711500000000001</v>
      </c>
      <c r="AD4205">
        <v>2.978837</v>
      </c>
      <c r="AE4205">
        <v>-28.712999999999901</v>
      </c>
      <c r="AF4205">
        <v>15.3041900012068</v>
      </c>
      <c r="AG4205">
        <v>2.978837</v>
      </c>
      <c r="AH4205">
        <v>40.529462641343898</v>
      </c>
      <c r="AI4205">
        <v>86.066574597235302</v>
      </c>
      <c r="AJ4205">
        <v>69.313135805239199</v>
      </c>
      <c r="AK4205">
        <v>43.424981789998498</v>
      </c>
      <c r="AL4205">
        <v>87.835577330478102</v>
      </c>
      <c r="AM4205">
        <v>87.199054030725193</v>
      </c>
      <c r="AN4205">
        <v>1.00000005674888</v>
      </c>
    </row>
    <row r="4206" spans="1:40" x14ac:dyDescent="0.25">
      <c r="A4206" t="str">
        <f>"20190312160418600"</f>
        <v>20190312160418600</v>
      </c>
      <c r="B4206" t="str">
        <f>"1552377858588948"</f>
        <v>1552377858588948</v>
      </c>
      <c r="C4206" t="s">
        <v>40</v>
      </c>
      <c r="D4206">
        <v>5.4035099999999998</v>
      </c>
      <c r="E4206">
        <v>0.62903799999999999</v>
      </c>
      <c r="F4206" t="s">
        <v>55</v>
      </c>
      <c r="G4206">
        <v>-168.42009999999999</v>
      </c>
      <c r="H4206">
        <v>4.2742399999999998</v>
      </c>
      <c r="I4206">
        <v>181.6994</v>
      </c>
      <c r="J4206">
        <v>-200.86879999999999</v>
      </c>
      <c r="K4206">
        <v>1.101742</v>
      </c>
      <c r="L4206">
        <v>211.3039</v>
      </c>
      <c r="M4206">
        <v>0.93214220000000003</v>
      </c>
      <c r="N4206">
        <v>0</v>
      </c>
      <c r="O4206">
        <v>-0.36177989999999999</v>
      </c>
      <c r="P4206">
        <v>0.91301829999999995</v>
      </c>
      <c r="Q4206">
        <v>2.327597E-2</v>
      </c>
      <c r="R4206">
        <v>-0.40725430000000001</v>
      </c>
      <c r="S4206">
        <v>2.343674</v>
      </c>
      <c r="T4206">
        <v>0.227295</v>
      </c>
      <c r="U4206">
        <v>-2.1290279999999999</v>
      </c>
      <c r="V4206">
        <v>5.0081979999999998E-2</v>
      </c>
      <c r="W4206">
        <v>3.7282709999999997E-2</v>
      </c>
      <c r="X4206">
        <v>0.99804899999999996</v>
      </c>
      <c r="Y4206">
        <v>0.3590005</v>
      </c>
      <c r="Z4206">
        <v>-1.35275E-2</v>
      </c>
      <c r="AA4206">
        <v>0.93323929999999999</v>
      </c>
      <c r="AB4206">
        <v>28</v>
      </c>
      <c r="AC4206">
        <v>32.448700000000002</v>
      </c>
      <c r="AD4206">
        <v>3.172498</v>
      </c>
      <c r="AE4206">
        <v>-29.604500000000002</v>
      </c>
      <c r="AF4206">
        <v>15.775813027879799</v>
      </c>
      <c r="AG4206">
        <v>3.172498</v>
      </c>
      <c r="AH4206">
        <v>40.749174381995402</v>
      </c>
      <c r="AI4206">
        <v>85.847425613584406</v>
      </c>
      <c r="AJ4206">
        <v>68.836369070152998</v>
      </c>
      <c r="AK4206">
        <v>43.811371047536198</v>
      </c>
      <c r="AL4206">
        <v>87.863362897727797</v>
      </c>
      <c r="AM4206">
        <v>87.127314148905995</v>
      </c>
      <c r="AN4206">
        <v>1.00000000579333</v>
      </c>
    </row>
    <row r="4207" spans="1:40" x14ac:dyDescent="0.25">
      <c r="A4207" t="str">
        <f>"20190312160418623"</f>
        <v>20190312160418623</v>
      </c>
      <c r="B4207" t="str">
        <f>"1552377858609444"</f>
        <v>1552377858609444</v>
      </c>
      <c r="C4207" t="s">
        <v>40</v>
      </c>
      <c r="D4207">
        <v>5.1435329999999997</v>
      </c>
      <c r="E4207">
        <v>0.62842909999999996</v>
      </c>
      <c r="F4207" t="s">
        <v>55</v>
      </c>
      <c r="G4207">
        <v>-168.4203</v>
      </c>
      <c r="H4207">
        <v>4.0798949999999996</v>
      </c>
      <c r="I4207">
        <v>181.0625</v>
      </c>
      <c r="J4207">
        <v>-200.60749999999999</v>
      </c>
      <c r="K4207">
        <v>1.101613</v>
      </c>
      <c r="L4207">
        <v>211.19</v>
      </c>
      <c r="M4207">
        <v>0.92807070000000003</v>
      </c>
      <c r="N4207">
        <v>0</v>
      </c>
      <c r="O4207">
        <v>-0.37209880000000001</v>
      </c>
      <c r="P4207">
        <v>0.90827040000000003</v>
      </c>
      <c r="Q4207">
        <v>2.2739550000000001E-2</v>
      </c>
      <c r="R4207">
        <v>-0.41776530000000001</v>
      </c>
      <c r="S4207">
        <v>2.3170929999999998</v>
      </c>
      <c r="T4207">
        <v>0.21266669999999999</v>
      </c>
      <c r="U4207">
        <v>-2.1594850000000001</v>
      </c>
      <c r="V4207">
        <v>5.0525500000000001E-2</v>
      </c>
      <c r="W4207">
        <v>3.6751880000000001E-2</v>
      </c>
      <c r="X4207">
        <v>0.99804630000000005</v>
      </c>
      <c r="Y4207">
        <v>0.3605739</v>
      </c>
      <c r="Z4207">
        <v>-1.3343229999999999E-2</v>
      </c>
      <c r="AA4207">
        <v>0.9326352</v>
      </c>
      <c r="AB4207">
        <v>28</v>
      </c>
      <c r="AC4207">
        <v>32.187199999999898</v>
      </c>
      <c r="AD4207">
        <v>2.9782820000000001</v>
      </c>
      <c r="AE4207">
        <v>-30.127500000000001</v>
      </c>
      <c r="AF4207">
        <v>15.912828451532199</v>
      </c>
      <c r="AG4207">
        <v>2.9782820000000001</v>
      </c>
      <c r="AH4207">
        <v>40.900420144396598</v>
      </c>
      <c r="AI4207">
        <v>86.117710654986695</v>
      </c>
      <c r="AJ4207">
        <v>68.740843917525794</v>
      </c>
      <c r="AK4207">
        <v>43.987869248095897</v>
      </c>
      <c r="AL4207">
        <v>87.893798004615604</v>
      </c>
      <c r="AM4207">
        <v>87.101909340736199</v>
      </c>
      <c r="AN4207">
        <v>0.99999997188873602</v>
      </c>
    </row>
    <row r="4208" spans="1:40" x14ac:dyDescent="0.25">
      <c r="A4208" t="str">
        <f>"20190312160418645"</f>
        <v>20190312160418645</v>
      </c>
      <c r="B4208" t="str">
        <f>"1552377858638724"</f>
        <v>1552377858638724</v>
      </c>
      <c r="C4208" t="s">
        <v>40</v>
      </c>
      <c r="D4208">
        <v>5.600619</v>
      </c>
      <c r="E4208">
        <v>0.62867050000000002</v>
      </c>
      <c r="F4208" t="s">
        <v>55</v>
      </c>
      <c r="G4208">
        <v>-168.4204</v>
      </c>
      <c r="H4208">
        <v>3.8818670000000002</v>
      </c>
      <c r="I4208">
        <v>180.5838</v>
      </c>
      <c r="J4208">
        <v>-200.34270000000001</v>
      </c>
      <c r="K4208">
        <v>1.1014710000000001</v>
      </c>
      <c r="L4208">
        <v>211.071</v>
      </c>
      <c r="M4208">
        <v>0.92372849999999995</v>
      </c>
      <c r="N4208">
        <v>0</v>
      </c>
      <c r="O4208">
        <v>-0.38274999999999998</v>
      </c>
      <c r="P4208">
        <v>0.90298880000000004</v>
      </c>
      <c r="Q4208">
        <v>2.2200259999999999E-2</v>
      </c>
      <c r="R4208">
        <v>-0.42908980000000002</v>
      </c>
      <c r="S4208">
        <v>2.294495</v>
      </c>
      <c r="T4208">
        <v>0.19819580000000001</v>
      </c>
      <c r="U4208">
        <v>-2.1817929999999999</v>
      </c>
      <c r="V4208">
        <v>5.1521589999999999E-2</v>
      </c>
      <c r="W4208">
        <v>3.6206269999999999E-2</v>
      </c>
      <c r="X4208">
        <v>0.99801530000000005</v>
      </c>
      <c r="Y4208">
        <v>0.35921019999999998</v>
      </c>
      <c r="Z4208">
        <v>-1.3202190000000001E-2</v>
      </c>
      <c r="AA4208">
        <v>0.93316330000000003</v>
      </c>
      <c r="AB4208">
        <v>28</v>
      </c>
      <c r="AC4208">
        <v>31.9223</v>
      </c>
      <c r="AD4208">
        <v>2.7803960000000001</v>
      </c>
      <c r="AE4208">
        <v>-30.487200000000001</v>
      </c>
      <c r="AF4208">
        <v>15.8824409345716</v>
      </c>
      <c r="AG4208">
        <v>2.7803960000000001</v>
      </c>
      <c r="AH4208">
        <v>40.998548699059498</v>
      </c>
      <c r="AI4208">
        <v>86.381567175288794</v>
      </c>
      <c r="AJ4208">
        <v>68.824114440024204</v>
      </c>
      <c r="AK4208">
        <v>44.055232690182599</v>
      </c>
      <c r="AL4208">
        <v>87.925079938988503</v>
      </c>
      <c r="AM4208">
        <v>87.044783310082096</v>
      </c>
      <c r="AN4208">
        <v>0.99999995362876404</v>
      </c>
    </row>
    <row r="4209" spans="1:40" x14ac:dyDescent="0.25">
      <c r="A4209" t="str">
        <f>"20190312160418667"</f>
        <v>20190312160418667</v>
      </c>
      <c r="B4209" t="str">
        <f>"1552377858659224"</f>
        <v>1552377858659224</v>
      </c>
      <c r="C4209" t="s">
        <v>40</v>
      </c>
      <c r="D4209">
        <v>5.8638560000000002</v>
      </c>
      <c r="E4209">
        <v>0.64201649999999999</v>
      </c>
      <c r="F4209" t="s">
        <v>55</v>
      </c>
      <c r="G4209">
        <v>-168.42060000000001</v>
      </c>
      <c r="H4209">
        <v>3.8278690000000002</v>
      </c>
      <c r="I4209">
        <v>179.91</v>
      </c>
      <c r="J4209">
        <v>-200.08529999999999</v>
      </c>
      <c r="K4209">
        <v>1.1013280000000001</v>
      </c>
      <c r="L4209">
        <v>210.95140000000001</v>
      </c>
      <c r="M4209">
        <v>0.91928399999999999</v>
      </c>
      <c r="N4209">
        <v>0</v>
      </c>
      <c r="O4209">
        <v>-0.39330409999999999</v>
      </c>
      <c r="P4209">
        <v>0.897738699999999</v>
      </c>
      <c r="Q4209">
        <v>2.2130739999999999E-2</v>
      </c>
      <c r="R4209">
        <v>-0.43997249999999999</v>
      </c>
      <c r="S4209">
        <v>2.2662960000000001</v>
      </c>
      <c r="T4209">
        <v>0.19356129999999999</v>
      </c>
      <c r="U4209">
        <v>-2.21225</v>
      </c>
      <c r="V4209">
        <v>5.2165009999999998E-2</v>
      </c>
      <c r="W4209">
        <v>3.6138120000000003E-2</v>
      </c>
      <c r="X4209">
        <v>0.99798439999999999</v>
      </c>
      <c r="Y4209">
        <v>0.36076330000000001</v>
      </c>
      <c r="Z4209">
        <v>-1.3537179999999999E-2</v>
      </c>
      <c r="AA4209">
        <v>0.93255909999999997</v>
      </c>
      <c r="AB4209">
        <v>28</v>
      </c>
      <c r="AC4209">
        <v>31.6646999999999</v>
      </c>
      <c r="AD4209">
        <v>2.7265410000000001</v>
      </c>
      <c r="AE4209">
        <v>-31.041399999999999</v>
      </c>
      <c r="AF4209">
        <v>16.023264362895901</v>
      </c>
      <c r="AG4209">
        <v>2.7265410000000001</v>
      </c>
      <c r="AH4209">
        <v>41.166644090849502</v>
      </c>
      <c r="AI4209">
        <v>86.468113350235399</v>
      </c>
      <c r="AJ4209">
        <v>68.732554162087695</v>
      </c>
      <c r="AK4209">
        <v>44.259141568388003</v>
      </c>
      <c r="AL4209">
        <v>87.928987314799798</v>
      </c>
      <c r="AM4209">
        <v>87.007851683825905</v>
      </c>
      <c r="AN4209">
        <v>1.00000000731439</v>
      </c>
    </row>
    <row r="4210" spans="1:40" x14ac:dyDescent="0.25">
      <c r="A4210" t="str">
        <f>"20190312160418689"</f>
        <v>20190312160418689</v>
      </c>
      <c r="B4210" t="str">
        <f>"1552377858678740"</f>
        <v>1552377858678740</v>
      </c>
      <c r="C4210" t="s">
        <v>40</v>
      </c>
      <c r="D4210">
        <v>5.1402710000000003</v>
      </c>
      <c r="E4210">
        <v>0.64043799999999995</v>
      </c>
      <c r="F4210" t="s">
        <v>59</v>
      </c>
      <c r="G4210">
        <v>-193.34469999999999</v>
      </c>
      <c r="H4210" s="1">
        <v>5.6483629999999996E-6</v>
      </c>
      <c r="I4210">
        <v>203.77549999999999</v>
      </c>
      <c r="J4210">
        <v>-199.8287</v>
      </c>
      <c r="K4210">
        <v>1.1011839999999999</v>
      </c>
      <c r="L4210">
        <v>210.82810000000001</v>
      </c>
      <c r="M4210">
        <v>0.91461000000000003</v>
      </c>
      <c r="N4210">
        <v>0</v>
      </c>
      <c r="O4210">
        <v>-0.40405239999999998</v>
      </c>
      <c r="P4210">
        <v>0.89216169999999995</v>
      </c>
      <c r="Q4210">
        <v>2.1621290000000001E-2</v>
      </c>
      <c r="R4210">
        <v>-0.45119880000000001</v>
      </c>
      <c r="S4210">
        <v>2.2018430000000002</v>
      </c>
      <c r="T4210">
        <v>-0.35974650000000002</v>
      </c>
      <c r="U4210">
        <v>-2.3439939999999999</v>
      </c>
      <c r="V4210">
        <v>5.298249E-2</v>
      </c>
      <c r="W4210">
        <v>3.5627279999999997E-2</v>
      </c>
      <c r="X4210">
        <v>0.99795970000000001</v>
      </c>
      <c r="Y4210">
        <v>0.38999850000000003</v>
      </c>
      <c r="Z4210">
        <v>2.43418E-2</v>
      </c>
      <c r="AA4210">
        <v>0.92049369999999997</v>
      </c>
      <c r="AB4210">
        <v>28</v>
      </c>
      <c r="AC4210">
        <v>6.484</v>
      </c>
      <c r="AD4210">
        <v>-1.101178351637</v>
      </c>
      <c r="AE4210">
        <v>-7.0526000000000098</v>
      </c>
      <c r="AF4210">
        <v>3.7809901830981398</v>
      </c>
      <c r="AG4210">
        <v>-1.101178351637</v>
      </c>
      <c r="AH4210">
        <v>8.6664627777452097</v>
      </c>
      <c r="AI4210">
        <v>96.642798832202601</v>
      </c>
      <c r="AJ4210">
        <v>66.429398277435496</v>
      </c>
      <c r="AK4210">
        <v>9.5192466931392001</v>
      </c>
      <c r="AL4210">
        <v>87.958275147454998</v>
      </c>
      <c r="AM4210">
        <v>86.960973746501907</v>
      </c>
      <c r="AN4210">
        <v>1.0000000050754401</v>
      </c>
    </row>
    <row r="4211" spans="1:40" x14ac:dyDescent="0.25">
      <c r="A4211" t="str">
        <f>"20190312160418711"</f>
        <v>20190312160418711</v>
      </c>
      <c r="B4211" t="str">
        <f>"1552377858699237"</f>
        <v>1552377858699237</v>
      </c>
      <c r="C4211" t="s">
        <v>40</v>
      </c>
      <c r="D4211">
        <v>5.9572779999999996</v>
      </c>
      <c r="E4211">
        <v>0.62251569999999901</v>
      </c>
      <c r="F4211" t="s">
        <v>59</v>
      </c>
      <c r="G4211">
        <v>-193.39250000000001</v>
      </c>
      <c r="H4211" s="1">
        <v>5.6174849999999998E-6</v>
      </c>
      <c r="I4211">
        <v>203.85210000000001</v>
      </c>
      <c r="J4211">
        <v>-199.57239999999999</v>
      </c>
      <c r="K4211">
        <v>1.1010409999999999</v>
      </c>
      <c r="L4211">
        <v>210.70099999999999</v>
      </c>
      <c r="M4211">
        <v>0.90970090000000003</v>
      </c>
      <c r="N4211">
        <v>0</v>
      </c>
      <c r="O4211">
        <v>-0.41498580000000002</v>
      </c>
      <c r="P4211">
        <v>0.88634179999999996</v>
      </c>
      <c r="Q4211">
        <v>2.127097E-2</v>
      </c>
      <c r="R4211">
        <v>-0.46254260000000003</v>
      </c>
      <c r="S4211">
        <v>2.1778559999999998</v>
      </c>
      <c r="T4211">
        <v>-0.37261060000000001</v>
      </c>
      <c r="U4211">
        <v>-2.3604889999999998</v>
      </c>
      <c r="V4211">
        <v>5.3753000000000002E-2</v>
      </c>
      <c r="W4211">
        <v>3.5277030000000001E-2</v>
      </c>
      <c r="X4211">
        <v>0.99793089999999995</v>
      </c>
      <c r="Y4211">
        <v>0.38727990000000001</v>
      </c>
      <c r="Z4211">
        <v>2.6778380000000001E-2</v>
      </c>
      <c r="AA4211">
        <v>0.92157319999999998</v>
      </c>
      <c r="AB4211">
        <v>28</v>
      </c>
      <c r="AC4211">
        <v>6.1798999999999698</v>
      </c>
      <c r="AD4211">
        <v>-1.1010353825150001</v>
      </c>
      <c r="AE4211">
        <v>-6.84889999999998</v>
      </c>
      <c r="AF4211">
        <v>3.6148082944286699</v>
      </c>
      <c r="AG4211">
        <v>-1.1010353825150001</v>
      </c>
      <c r="AH4211">
        <v>8.3461392514544794</v>
      </c>
      <c r="AI4211">
        <v>96.902362352604499</v>
      </c>
      <c r="AJ4211">
        <v>66.582012252911397</v>
      </c>
      <c r="AK4211">
        <v>9.1617224539760702</v>
      </c>
      <c r="AL4211">
        <v>87.978355541354702</v>
      </c>
      <c r="AM4211">
        <v>86.916773861301493</v>
      </c>
      <c r="AN4211">
        <v>0.99999996751471498</v>
      </c>
    </row>
    <row r="4212" spans="1:40" x14ac:dyDescent="0.25">
      <c r="A4212" t="str">
        <f>"20190312160418729"</f>
        <v>20190312160418729</v>
      </c>
      <c r="B4212" t="str">
        <f>"1552377858718756"</f>
        <v>1552377858718756</v>
      </c>
      <c r="C4212" t="s">
        <v>40</v>
      </c>
      <c r="D4212">
        <v>5.5796650000000003</v>
      </c>
      <c r="E4212">
        <v>0.62409179999999997</v>
      </c>
      <c r="F4212" t="s">
        <v>55</v>
      </c>
      <c r="G4212">
        <v>-168.42070000000001</v>
      </c>
      <c r="H4212">
        <v>3.1776339999999998</v>
      </c>
      <c r="I4212">
        <v>178.89349999999999</v>
      </c>
      <c r="J4212">
        <v>-199.37430000000001</v>
      </c>
      <c r="K4212">
        <v>1.1009409999999999</v>
      </c>
      <c r="L4212">
        <v>210.6002</v>
      </c>
      <c r="M4212">
        <v>0.90574619999999995</v>
      </c>
      <c r="N4212">
        <v>0</v>
      </c>
      <c r="O4212">
        <v>-0.4235467</v>
      </c>
      <c r="P4212">
        <v>0.88176019999999899</v>
      </c>
      <c r="Q4212">
        <v>2.103886E-2</v>
      </c>
      <c r="R4212">
        <v>-0.4712286</v>
      </c>
      <c r="S4212">
        <v>2.2058110000000002</v>
      </c>
      <c r="T4212">
        <v>0.147042899999999</v>
      </c>
      <c r="U4212">
        <v>-2.252243</v>
      </c>
      <c r="V4212">
        <v>5.4147359999999999E-2</v>
      </c>
      <c r="W4212">
        <v>3.5050190000000002E-2</v>
      </c>
      <c r="X4212">
        <v>0.99791759999999996</v>
      </c>
      <c r="Y4212">
        <v>0.35082770000000002</v>
      </c>
      <c r="Z4212">
        <v>-1.2095389999999999E-2</v>
      </c>
      <c r="AA4212">
        <v>0.93636189999999997</v>
      </c>
      <c r="AB4212">
        <v>28</v>
      </c>
      <c r="AC4212">
        <v>30.953599999999899</v>
      </c>
      <c r="AD4212">
        <v>2.0766930000000001</v>
      </c>
      <c r="AE4212">
        <v>-31.706700000000001</v>
      </c>
      <c r="AF4212">
        <v>15.575527542427899</v>
      </c>
      <c r="AG4212">
        <v>2.0766930000000001</v>
      </c>
      <c r="AH4212">
        <v>41.3792961146831</v>
      </c>
      <c r="AI4212">
        <v>87.310819826914098</v>
      </c>
      <c r="AJ4212">
        <v>69.373225284672301</v>
      </c>
      <c r="AK4212">
        <v>44.262352614697399</v>
      </c>
      <c r="AL4212">
        <v>87.991360613164602</v>
      </c>
      <c r="AM4212">
        <v>86.894156520121498</v>
      </c>
      <c r="AN4212">
        <v>0.99999999440188203</v>
      </c>
    </row>
    <row r="4213" spans="1:40" x14ac:dyDescent="0.25">
      <c r="A4213" t="str">
        <f>"20190312160418746"</f>
        <v>20190312160418746</v>
      </c>
      <c r="B4213" t="str">
        <f>"1552377858739255"</f>
        <v>1552377858739255</v>
      </c>
      <c r="C4213" t="s">
        <v>40</v>
      </c>
      <c r="D4213">
        <v>5.7682570000000002</v>
      </c>
      <c r="E4213">
        <v>0.62297760000000002</v>
      </c>
      <c r="F4213" t="s">
        <v>55</v>
      </c>
      <c r="G4213">
        <v>-168.42099999999999</v>
      </c>
      <c r="H4213">
        <v>3.453894</v>
      </c>
      <c r="I4213">
        <v>178.11779999999999</v>
      </c>
      <c r="J4213">
        <v>-199.18430000000001</v>
      </c>
      <c r="K4213">
        <v>1.1008450000000001</v>
      </c>
      <c r="L4213">
        <v>210.501</v>
      </c>
      <c r="M4213">
        <v>0.90180890000000002</v>
      </c>
      <c r="N4213">
        <v>0</v>
      </c>
      <c r="O4213">
        <v>-0.43186550000000001</v>
      </c>
      <c r="P4213">
        <v>0.87715359999999998</v>
      </c>
      <c r="Q4213">
        <v>2.04085E-2</v>
      </c>
      <c r="R4213">
        <v>-0.47977589999999998</v>
      </c>
      <c r="S4213">
        <v>2.1772770000000001</v>
      </c>
      <c r="T4213">
        <v>0.16551080000000001</v>
      </c>
      <c r="U4213">
        <v>-2.2848359999999999</v>
      </c>
      <c r="V4213">
        <v>5.4647950000000001E-2</v>
      </c>
      <c r="W4213">
        <v>3.4421630000000002E-2</v>
      </c>
      <c r="X4213">
        <v>0.99791220000000003</v>
      </c>
      <c r="Y4213">
        <v>0.35503600000000002</v>
      </c>
      <c r="Z4213">
        <v>-1.396008E-2</v>
      </c>
      <c r="AA4213">
        <v>0.93474840000000003</v>
      </c>
      <c r="AB4213">
        <v>28</v>
      </c>
      <c r="AC4213">
        <v>30.763300000000001</v>
      </c>
      <c r="AD4213">
        <v>2.3530489999999999</v>
      </c>
      <c r="AE4213">
        <v>-32.383199999999903</v>
      </c>
      <c r="AF4213">
        <v>15.875644528459899</v>
      </c>
      <c r="AG4213">
        <v>2.3530489999999999</v>
      </c>
      <c r="AH4213">
        <v>41.617165084626002</v>
      </c>
      <c r="AI4213">
        <v>86.976036276817197</v>
      </c>
      <c r="AJ4213">
        <v>69.119714220074201</v>
      </c>
      <c r="AK4213">
        <v>44.604499307485099</v>
      </c>
      <c r="AL4213">
        <v>88.0273962125911</v>
      </c>
      <c r="AM4213">
        <v>86.865483198708802</v>
      </c>
      <c r="AN4213">
        <v>1.0000000029799401</v>
      </c>
    </row>
    <row r="4214" spans="1:40" x14ac:dyDescent="0.25">
      <c r="A4214" t="str">
        <f>"20190312160418769"</f>
        <v>20190312160418769</v>
      </c>
      <c r="B4214" t="str">
        <f>"1552377858758772"</f>
        <v>1552377858758772</v>
      </c>
      <c r="C4214" t="s">
        <v>40</v>
      </c>
      <c r="D4214">
        <v>5.6323919999999896</v>
      </c>
      <c r="E4214">
        <v>0.63731349999999998</v>
      </c>
      <c r="F4214" t="s">
        <v>55</v>
      </c>
      <c r="G4214">
        <v>-168.4211</v>
      </c>
      <c r="H4214">
        <v>3.3701699999999999</v>
      </c>
      <c r="I4214">
        <v>177.7628</v>
      </c>
      <c r="J4214">
        <v>-198.9306</v>
      </c>
      <c r="K4214">
        <v>1.100735</v>
      </c>
      <c r="L4214">
        <v>210.36490000000001</v>
      </c>
      <c r="M4214">
        <v>0.89632869999999998</v>
      </c>
      <c r="N4214">
        <v>0</v>
      </c>
      <c r="O4214">
        <v>-0.44312659999999998</v>
      </c>
      <c r="P4214">
        <v>0.87097029999999998</v>
      </c>
      <c r="Q4214">
        <v>1.9843630000000001E-2</v>
      </c>
      <c r="R4214">
        <v>-0.49093490000000001</v>
      </c>
      <c r="S4214">
        <v>2.1594699999999998</v>
      </c>
      <c r="T4214">
        <v>0.15930129999999901</v>
      </c>
      <c r="U4214">
        <v>-2.298111</v>
      </c>
      <c r="V4214">
        <v>5.4880100000000001E-2</v>
      </c>
      <c r="W4214">
        <v>3.3868809999999999E-2</v>
      </c>
      <c r="X4214">
        <v>0.99791839999999998</v>
      </c>
      <c r="Y4214">
        <v>0.34986929999999999</v>
      </c>
      <c r="Z4214">
        <v>-1.419639E-2</v>
      </c>
      <c r="AA4214">
        <v>0.93669089999999999</v>
      </c>
      <c r="AB4214">
        <v>28</v>
      </c>
      <c r="AC4214">
        <v>30.509499999999999</v>
      </c>
      <c r="AD4214">
        <v>2.2694350000000001</v>
      </c>
      <c r="AE4214">
        <v>-32.6021</v>
      </c>
      <c r="AF4214">
        <v>15.663997562442701</v>
      </c>
      <c r="AG4214">
        <v>2.2694350000000001</v>
      </c>
      <c r="AH4214">
        <v>41.6905840889629</v>
      </c>
      <c r="AI4214">
        <v>87.082891632021898</v>
      </c>
      <c r="AJ4214">
        <v>69.407782745722997</v>
      </c>
      <c r="AK4214">
        <v>44.593900440915903</v>
      </c>
      <c r="AL4214">
        <v>88.059088993679794</v>
      </c>
      <c r="AM4214">
        <v>86.852213694978701</v>
      </c>
      <c r="AN4214">
        <v>1.0000000273626899</v>
      </c>
    </row>
    <row r="4215" spans="1:40" x14ac:dyDescent="0.25">
      <c r="A4215" t="str">
        <f>"20190312160418790"</f>
        <v>20190312160418790</v>
      </c>
      <c r="B4215" t="str">
        <f>"1552377858778857"</f>
        <v>1552377858778857</v>
      </c>
      <c r="C4215" t="s">
        <v>40</v>
      </c>
      <c r="D4215">
        <v>5.5964499999999999</v>
      </c>
      <c r="E4215">
        <v>0.6379319</v>
      </c>
      <c r="F4215" t="s">
        <v>59</v>
      </c>
      <c r="G4215">
        <v>-190.65459999999999</v>
      </c>
      <c r="H4215" s="1">
        <v>7.38191299999999E-6</v>
      </c>
      <c r="I4215">
        <v>200.6824</v>
      </c>
      <c r="J4215">
        <v>-198.68799999999999</v>
      </c>
      <c r="K4215">
        <v>1.1006260000000001</v>
      </c>
      <c r="L4215">
        <v>210.23050000000001</v>
      </c>
      <c r="M4215">
        <v>0.89083089999999998</v>
      </c>
      <c r="N4215">
        <v>0</v>
      </c>
      <c r="O4215">
        <v>-0.45407690000000001</v>
      </c>
      <c r="P4215">
        <v>0.86494760000000004</v>
      </c>
      <c r="Q4215">
        <v>1.982942E-2</v>
      </c>
      <c r="R4215">
        <v>-0.50147070000000005</v>
      </c>
      <c r="S4215">
        <v>2.079453</v>
      </c>
      <c r="T4215">
        <v>-0.27657290000000001</v>
      </c>
      <c r="U4215">
        <v>-2.4328460000000001</v>
      </c>
      <c r="V4215">
        <v>5.477303E-2</v>
      </c>
      <c r="W4215">
        <v>3.387453E-2</v>
      </c>
      <c r="X4215">
        <v>0.99792409999999998</v>
      </c>
      <c r="Y4215">
        <v>0.38232850000000002</v>
      </c>
      <c r="Z4215">
        <v>2.389196E-2</v>
      </c>
      <c r="AA4215">
        <v>0.92371760000000003</v>
      </c>
      <c r="AB4215">
        <v>28</v>
      </c>
      <c r="AC4215">
        <v>8.0334000000000003</v>
      </c>
      <c r="AD4215">
        <v>-1.1006186180869999</v>
      </c>
      <c r="AE4215">
        <v>-9.5480999999999998</v>
      </c>
      <c r="AF4215">
        <v>4.8210231680963602</v>
      </c>
      <c r="AG4215">
        <v>-1.1006186180869999</v>
      </c>
      <c r="AH4215">
        <v>11.404592270371801</v>
      </c>
      <c r="AI4215">
        <v>95.079705597113602</v>
      </c>
      <c r="AJ4215">
        <v>67.084932153773295</v>
      </c>
      <c r="AK4215">
        <v>12.4305410414521</v>
      </c>
      <c r="AL4215">
        <v>88.058761096225794</v>
      </c>
      <c r="AM4215">
        <v>86.858360559093896</v>
      </c>
      <c r="AN4215">
        <v>1.0000000389794499</v>
      </c>
    </row>
    <row r="4216" spans="1:40" x14ac:dyDescent="0.25">
      <c r="A4216" t="str">
        <f>"20190312160418813"</f>
        <v>20190312160418813</v>
      </c>
      <c r="B4216" t="str">
        <f>"1552377858809115"</f>
        <v>1552377858809115</v>
      </c>
      <c r="C4216" t="s">
        <v>40</v>
      </c>
      <c r="D4216">
        <v>5.5853099999999998</v>
      </c>
      <c r="E4216">
        <v>0.63534639999999998</v>
      </c>
      <c r="F4216" t="s">
        <v>41</v>
      </c>
      <c r="G4216">
        <v>-188.7577</v>
      </c>
      <c r="H4216" s="1">
        <v>-3.9316800000000003E-6</v>
      </c>
      <c r="I4216">
        <v>198.28399999999999</v>
      </c>
      <c r="J4216">
        <v>-198.4408</v>
      </c>
      <c r="K4216">
        <v>1.100514</v>
      </c>
      <c r="L4216">
        <v>210.08940000000001</v>
      </c>
      <c r="M4216">
        <v>0.884974699999999</v>
      </c>
      <c r="N4216">
        <v>0</v>
      </c>
      <c r="O4216">
        <v>-0.46538580000000002</v>
      </c>
      <c r="P4216">
        <v>0.85827580000000003</v>
      </c>
      <c r="Q4216">
        <v>1.8531479999999999E-2</v>
      </c>
      <c r="R4216">
        <v>-0.51285400000000003</v>
      </c>
      <c r="S4216">
        <v>2.046341</v>
      </c>
      <c r="T4216">
        <v>-0.22680890000000001</v>
      </c>
      <c r="U4216">
        <v>-2.4618530000000001</v>
      </c>
      <c r="V4216">
        <v>5.521272E-2</v>
      </c>
      <c r="W4216">
        <v>3.25854E-2</v>
      </c>
      <c r="X4216">
        <v>0.99794269999999996</v>
      </c>
      <c r="Y4216">
        <v>0.3832354</v>
      </c>
      <c r="Z4216">
        <v>2.0452399999999999E-2</v>
      </c>
      <c r="AA4216">
        <v>0.92342420000000003</v>
      </c>
      <c r="AB4216">
        <v>28</v>
      </c>
      <c r="AC4216">
        <v>9.6830999999999907</v>
      </c>
      <c r="AD4216">
        <v>-1.10051793168</v>
      </c>
      <c r="AE4216">
        <v>-11.805399999999899</v>
      </c>
      <c r="AF4216">
        <v>5.9110948784530999</v>
      </c>
      <c r="AG4216">
        <v>-1.10051793168</v>
      </c>
      <c r="AH4216">
        <v>13.992330715183</v>
      </c>
      <c r="AI4216">
        <v>94.143935276459999</v>
      </c>
      <c r="AJ4216">
        <v>67.098252297055794</v>
      </c>
      <c r="AK4216">
        <v>15.229494450672901</v>
      </c>
      <c r="AL4216">
        <v>88.132663440695893</v>
      </c>
      <c r="AM4216">
        <v>86.833251108020605</v>
      </c>
      <c r="AN4216">
        <v>0.99999994261312197</v>
      </c>
    </row>
    <row r="4217" spans="1:40" x14ac:dyDescent="0.25">
      <c r="A4217" t="str">
        <f>"20190312160418830"</f>
        <v>20190312160418830</v>
      </c>
      <c r="B4217" t="str">
        <f>"1552377858818874"</f>
        <v>1552377858818874</v>
      </c>
      <c r="C4217" t="s">
        <v>40</v>
      </c>
      <c r="D4217">
        <v>5.6848130000000001</v>
      </c>
      <c r="E4217">
        <v>0.63534639999999998</v>
      </c>
      <c r="F4217" t="s">
        <v>41</v>
      </c>
      <c r="G4217">
        <v>-185.63489999999999</v>
      </c>
      <c r="H4217" s="1">
        <v>-2.8456319999999999E-6</v>
      </c>
      <c r="I4217">
        <v>194.46109999999999</v>
      </c>
      <c r="J4217">
        <v>-198.2396</v>
      </c>
      <c r="K4217">
        <v>1.10043</v>
      </c>
      <c r="L4217">
        <v>209.97149999999999</v>
      </c>
      <c r="M4217">
        <v>0.88001409999999902</v>
      </c>
      <c r="N4217">
        <v>0</v>
      </c>
      <c r="O4217">
        <v>-0.47469840000000002</v>
      </c>
      <c r="P4217">
        <v>0.85249540000000001</v>
      </c>
      <c r="Q4217">
        <v>1.7733249999999999E-2</v>
      </c>
      <c r="R4217">
        <v>-0.52243419999999996</v>
      </c>
      <c r="S4217">
        <v>2.0235289999999999</v>
      </c>
      <c r="T4217">
        <v>-0.17389760000000001</v>
      </c>
      <c r="U4217">
        <v>-2.4694980000000002</v>
      </c>
      <c r="V4217">
        <v>5.583859E-2</v>
      </c>
      <c r="W4217">
        <v>3.1787589999999998E-2</v>
      </c>
      <c r="X4217">
        <v>0.99793370000000003</v>
      </c>
      <c r="Y4217">
        <v>0.3799421</v>
      </c>
      <c r="Z4217">
        <v>1.638241E-2</v>
      </c>
      <c r="AA4217">
        <v>0.92486520000000005</v>
      </c>
      <c r="AB4217">
        <v>28</v>
      </c>
      <c r="AC4217">
        <v>12.604699999999999</v>
      </c>
      <c r="AD4217">
        <v>-1.1004328456320001</v>
      </c>
      <c r="AE4217">
        <v>-15.510400000000001</v>
      </c>
      <c r="AF4217">
        <v>7.6436747429601901</v>
      </c>
      <c r="AG4217">
        <v>-1.1004328456320001</v>
      </c>
      <c r="AH4217">
        <v>18.401474685217998</v>
      </c>
      <c r="AI4217">
        <v>93.161026118044404</v>
      </c>
      <c r="AJ4217">
        <v>67.442792511302997</v>
      </c>
      <c r="AK4217">
        <v>19.9562267629587</v>
      </c>
      <c r="AL4217">
        <v>88.178398453585402</v>
      </c>
      <c r="AM4217">
        <v>86.797399551539797</v>
      </c>
      <c r="AN4217">
        <v>1.0000000343034401</v>
      </c>
    </row>
    <row r="4218" spans="1:40" x14ac:dyDescent="0.25">
      <c r="A4218" t="str">
        <f>"20190312160418846"</f>
        <v>20190312160418846</v>
      </c>
      <c r="B4218" t="str">
        <f>"1552377858839373"</f>
        <v>1552377858839373</v>
      </c>
      <c r="C4218" t="s">
        <v>40</v>
      </c>
      <c r="D4218">
        <v>5.5050439999999998</v>
      </c>
      <c r="E4218">
        <v>0.61403399999999997</v>
      </c>
      <c r="F4218" t="s">
        <v>41</v>
      </c>
      <c r="G4218">
        <v>-185.79480000000001</v>
      </c>
      <c r="H4218" s="1">
        <v>-2.804677E-6</v>
      </c>
      <c r="I4218">
        <v>194.43170000000001</v>
      </c>
      <c r="J4218">
        <v>-198.0693</v>
      </c>
      <c r="K4218">
        <v>1.1003579999999999</v>
      </c>
      <c r="L4218">
        <v>209.86940000000001</v>
      </c>
      <c r="M4218">
        <v>0.87567479999999998</v>
      </c>
      <c r="N4218">
        <v>0</v>
      </c>
      <c r="O4218">
        <v>-0.48265560000000002</v>
      </c>
      <c r="P4218">
        <v>0.84719059999999902</v>
      </c>
      <c r="Q4218">
        <v>1.7166609999999999E-2</v>
      </c>
      <c r="R4218">
        <v>-0.53101200000000004</v>
      </c>
      <c r="S4218">
        <v>1.9956210000000001</v>
      </c>
      <c r="T4218">
        <v>-0.1764618</v>
      </c>
      <c r="U4218">
        <v>-2.4918979999999999</v>
      </c>
      <c r="V4218">
        <v>5.6852229999999997E-2</v>
      </c>
      <c r="W4218">
        <v>3.120852E-2</v>
      </c>
      <c r="X4218">
        <v>0.99789470000000002</v>
      </c>
      <c r="Y4218">
        <v>0.3819323</v>
      </c>
      <c r="Z4218">
        <v>1.7056930000000001E-2</v>
      </c>
      <c r="AA4218">
        <v>0.92403290000000005</v>
      </c>
      <c r="AB4218">
        <v>28</v>
      </c>
      <c r="AC4218">
        <v>12.2744999999999</v>
      </c>
      <c r="AD4218">
        <v>-1.1003608046769999</v>
      </c>
      <c r="AE4218">
        <v>-15.4377</v>
      </c>
      <c r="AF4218">
        <v>7.5713821840658104</v>
      </c>
      <c r="AG4218">
        <v>-1.1003608046769999</v>
      </c>
      <c r="AH4218">
        <v>18.145241120169299</v>
      </c>
      <c r="AI4218">
        <v>93.2032270223457</v>
      </c>
      <c r="AJ4218">
        <v>67.350908668409701</v>
      </c>
      <c r="AK4218">
        <v>19.692292842295998</v>
      </c>
      <c r="AL4218">
        <v>88.211593111545199</v>
      </c>
      <c r="AM4218">
        <v>86.739259793913703</v>
      </c>
      <c r="AN4218">
        <v>0.99999999003232598</v>
      </c>
    </row>
    <row r="4219" spans="1:40" x14ac:dyDescent="0.25">
      <c r="A4219" t="str">
        <f>"20190312160418864"</f>
        <v>20190312160418864</v>
      </c>
      <c r="B4219" t="str">
        <f>"1552377858858891"</f>
        <v>1552377858858891</v>
      </c>
      <c r="C4219" t="s">
        <v>40</v>
      </c>
      <c r="D4219">
        <v>5.9847000000000001</v>
      </c>
      <c r="E4219">
        <v>0.61247669999999999</v>
      </c>
      <c r="F4219" t="s">
        <v>55</v>
      </c>
      <c r="G4219">
        <v>-168.42150000000001</v>
      </c>
      <c r="H4219">
        <v>2.6950029999999998</v>
      </c>
      <c r="I4219">
        <v>175.8366</v>
      </c>
      <c r="J4219">
        <v>-197.88149999999999</v>
      </c>
      <c r="K4219">
        <v>1.1002809999999901</v>
      </c>
      <c r="L4219">
        <v>209.75380000000001</v>
      </c>
      <c r="M4219">
        <v>0.87071719999999897</v>
      </c>
      <c r="N4219">
        <v>0</v>
      </c>
      <c r="O4219">
        <v>-0.49154219999999998</v>
      </c>
      <c r="P4219">
        <v>0.84143709999999905</v>
      </c>
      <c r="Q4219">
        <v>1.7070099999999901E-2</v>
      </c>
      <c r="R4219">
        <v>-0.5400857</v>
      </c>
      <c r="S4219">
        <v>2.05809</v>
      </c>
      <c r="T4219">
        <v>0.1106993</v>
      </c>
      <c r="U4219">
        <v>-2.3624879999999999</v>
      </c>
      <c r="V4219">
        <v>5.742353E-2</v>
      </c>
      <c r="W4219">
        <v>3.111129E-2</v>
      </c>
      <c r="X4219">
        <v>0.997865</v>
      </c>
      <c r="Y4219">
        <v>0.33376309999999998</v>
      </c>
      <c r="Z4219">
        <v>-1.207796E-2</v>
      </c>
      <c r="AA4219">
        <v>0.94257959999999996</v>
      </c>
      <c r="AB4219">
        <v>28</v>
      </c>
      <c r="AC4219">
        <v>29.459999999999901</v>
      </c>
      <c r="AD4219">
        <v>1.594722</v>
      </c>
      <c r="AE4219">
        <v>-33.917200000000001</v>
      </c>
      <c r="AF4219">
        <v>15.034302197771</v>
      </c>
      <c r="AG4219">
        <v>1.594722</v>
      </c>
      <c r="AH4219">
        <v>42.2748286116408</v>
      </c>
      <c r="AI4219">
        <v>87.964447467249201</v>
      </c>
      <c r="AJ4219">
        <v>70.422961404144701</v>
      </c>
      <c r="AK4219">
        <v>44.896932133218101</v>
      </c>
      <c r="AL4219">
        <v>88.217166644191494</v>
      </c>
      <c r="AM4219">
        <v>86.706467040374207</v>
      </c>
      <c r="AN4219">
        <v>0.99999996619406195</v>
      </c>
    </row>
    <row r="4220" spans="1:40" x14ac:dyDescent="0.25">
      <c r="A4220" t="str">
        <f>"20190312160418879"</f>
        <v>20190312160418879</v>
      </c>
      <c r="B4220" t="str">
        <f>"1552377858869626"</f>
        <v>1552377858869626</v>
      </c>
      <c r="C4220" t="s">
        <v>40</v>
      </c>
      <c r="D4220">
        <v>5.681432</v>
      </c>
      <c r="E4220">
        <v>0.61377569999999904</v>
      </c>
      <c r="F4220" t="s">
        <v>55</v>
      </c>
      <c r="G4220">
        <v>-168.42169999999999</v>
      </c>
      <c r="H4220">
        <v>2.6783670000000002</v>
      </c>
      <c r="I4220">
        <v>175.45769999999999</v>
      </c>
      <c r="J4220">
        <v>-197.7131</v>
      </c>
      <c r="K4220">
        <v>1.100209</v>
      </c>
      <c r="L4220">
        <v>209.64779999999999</v>
      </c>
      <c r="M4220">
        <v>0.86611479999999996</v>
      </c>
      <c r="N4220">
        <v>0</v>
      </c>
      <c r="O4220">
        <v>-0.49960660000000001</v>
      </c>
      <c r="P4220">
        <v>0.8357502</v>
      </c>
      <c r="Q4220">
        <v>1.7272160000000002E-2</v>
      </c>
      <c r="R4220">
        <v>-0.54883870000000001</v>
      </c>
      <c r="S4220">
        <v>2.039307</v>
      </c>
      <c r="T4220">
        <v>0.1092426</v>
      </c>
      <c r="U4220">
        <v>-2.3740839999999999</v>
      </c>
      <c r="V4220">
        <v>5.8585369999999998E-2</v>
      </c>
      <c r="W4220">
        <v>3.1296690000000002E-2</v>
      </c>
      <c r="X4220">
        <v>0.99779169999999995</v>
      </c>
      <c r="Y4220">
        <v>0.331571</v>
      </c>
      <c r="Z4220">
        <v>-1.2277669999999999E-2</v>
      </c>
      <c r="AA4220">
        <v>0.94335040000000003</v>
      </c>
      <c r="AB4220">
        <v>28</v>
      </c>
      <c r="AC4220">
        <v>29.291399999999999</v>
      </c>
      <c r="AD4220">
        <v>1.57815799999999</v>
      </c>
      <c r="AE4220">
        <v>-34.190100000000001</v>
      </c>
      <c r="AF4220">
        <v>14.9617765359818</v>
      </c>
      <c r="AG4220">
        <v>1.57815799999999</v>
      </c>
      <c r="AH4220">
        <v>42.404272134888302</v>
      </c>
      <c r="AI4220">
        <v>87.989950361530006</v>
      </c>
      <c r="AJ4220">
        <v>70.565296638796994</v>
      </c>
      <c r="AK4220">
        <v>44.994084445349898</v>
      </c>
      <c r="AL4220">
        <v>88.206538896051896</v>
      </c>
      <c r="AM4220">
        <v>86.639734474981793</v>
      </c>
      <c r="AN4220">
        <v>1.0000000024859399</v>
      </c>
    </row>
    <row r="4221" spans="1:40" x14ac:dyDescent="0.25">
      <c r="A4221" t="str">
        <f>"20190312160418902"</f>
        <v>20190312160418902</v>
      </c>
      <c r="B4221" t="str">
        <f>"1552377858889147"</f>
        <v>1552377858889147</v>
      </c>
      <c r="C4221" t="s">
        <v>40</v>
      </c>
      <c r="D4221">
        <v>5.6481560000000002</v>
      </c>
      <c r="E4221">
        <v>0.61356259999999996</v>
      </c>
      <c r="F4221" t="s">
        <v>55</v>
      </c>
      <c r="G4221">
        <v>-168.52279999999999</v>
      </c>
      <c r="H4221">
        <v>2.5998399999999999</v>
      </c>
      <c r="I4221">
        <v>174.7122</v>
      </c>
      <c r="J4221">
        <v>-197.47659999999999</v>
      </c>
      <c r="K4221">
        <v>1.10009</v>
      </c>
      <c r="L4221">
        <v>209.49539999999999</v>
      </c>
      <c r="M4221">
        <v>0.85940399999999995</v>
      </c>
      <c r="N4221">
        <v>0</v>
      </c>
      <c r="O4221">
        <v>-0.51106269999999998</v>
      </c>
      <c r="P4221">
        <v>0.82794639999999997</v>
      </c>
      <c r="Q4221">
        <v>1.7540839999999999E-2</v>
      </c>
      <c r="R4221">
        <v>-0.56053330000000001</v>
      </c>
      <c r="S4221">
        <v>2.0087130000000002</v>
      </c>
      <c r="T4221">
        <v>0.1031981</v>
      </c>
      <c r="U4221">
        <v>-2.4040680000000001</v>
      </c>
      <c r="V4221">
        <v>5.9381799999999998E-2</v>
      </c>
      <c r="W4221">
        <v>3.1562630000000001E-2</v>
      </c>
      <c r="X4221">
        <v>0.99773619999999996</v>
      </c>
      <c r="Y4221">
        <v>0.33191219999999999</v>
      </c>
      <c r="Z4221">
        <v>-1.199704E-2</v>
      </c>
      <c r="AA4221">
        <v>0.94323400000000002</v>
      </c>
      <c r="AB4221">
        <v>28</v>
      </c>
      <c r="AC4221">
        <v>28.953800000000001</v>
      </c>
      <c r="AD4221">
        <v>1.4997499999999999</v>
      </c>
      <c r="AE4221">
        <v>-34.783199999999901</v>
      </c>
      <c r="AF4221">
        <v>15.0808621615008</v>
      </c>
      <c r="AG4221">
        <v>1.4997499999999999</v>
      </c>
      <c r="AH4221">
        <v>42.617719698668303</v>
      </c>
      <c r="AI4221">
        <v>88.099913278479804</v>
      </c>
      <c r="AJ4221">
        <v>70.512979149174797</v>
      </c>
      <c r="AK4221">
        <v>45.232197447293501</v>
      </c>
      <c r="AL4221">
        <v>88.191294050467505</v>
      </c>
      <c r="AM4221">
        <v>86.5939716571622</v>
      </c>
      <c r="AN4221">
        <v>0.99999996128709701</v>
      </c>
    </row>
    <row r="4222" spans="1:40" x14ac:dyDescent="0.25">
      <c r="A4222" t="str">
        <f>"20190312160418919"</f>
        <v>20190312160418919</v>
      </c>
      <c r="B4222" t="str">
        <f>"1552377858909642"</f>
        <v>1552377858909642</v>
      </c>
      <c r="C4222" t="s">
        <v>40</v>
      </c>
      <c r="D4222">
        <v>5.6003170000000004</v>
      </c>
      <c r="E4222">
        <v>0.612390199999999</v>
      </c>
      <c r="F4222" t="s">
        <v>55</v>
      </c>
      <c r="G4222">
        <v>-169.20760000000001</v>
      </c>
      <c r="H4222">
        <v>2.3524919999999998</v>
      </c>
      <c r="I4222">
        <v>174.71250000000001</v>
      </c>
      <c r="J4222">
        <v>-197.29759999999999</v>
      </c>
      <c r="K4222">
        <v>1.1000099999999999</v>
      </c>
      <c r="L4222">
        <v>209.3768</v>
      </c>
      <c r="M4222">
        <v>0.85411429999999999</v>
      </c>
      <c r="N4222">
        <v>0</v>
      </c>
      <c r="O4222">
        <v>-0.51985420000000004</v>
      </c>
      <c r="P4222">
        <v>0.82201119999999905</v>
      </c>
      <c r="Q4222">
        <v>1.7411860000000001E-2</v>
      </c>
      <c r="R4222">
        <v>-0.56920530000000003</v>
      </c>
      <c r="S4222">
        <v>1.9757389999999999</v>
      </c>
      <c r="T4222">
        <v>8.7533470000000002E-2</v>
      </c>
      <c r="U4222">
        <v>-2.431</v>
      </c>
      <c r="V4222">
        <v>5.9634670000000001E-2</v>
      </c>
      <c r="W4222">
        <v>3.1442530000000003E-2</v>
      </c>
      <c r="X4222">
        <v>0.99772499999999997</v>
      </c>
      <c r="Y4222">
        <v>0.33503319999999998</v>
      </c>
      <c r="Z4222">
        <v>-1.040776E-2</v>
      </c>
      <c r="AA4222">
        <v>0.94214880000000001</v>
      </c>
      <c r="AB4222">
        <v>28</v>
      </c>
      <c r="AC4222">
        <v>28.0899999999999</v>
      </c>
      <c r="AD4222">
        <v>1.2524820000000001</v>
      </c>
      <c r="AE4222">
        <v>-34.664299999999997</v>
      </c>
      <c r="AF4222">
        <v>14.994557289580101</v>
      </c>
      <c r="AG4222">
        <v>1.2524820000000001</v>
      </c>
      <c r="AH4222">
        <v>41.984417687564601</v>
      </c>
      <c r="AI4222">
        <v>88.390750922788598</v>
      </c>
      <c r="AJ4222">
        <v>70.346027798159199</v>
      </c>
      <c r="AK4222">
        <v>44.599291340050598</v>
      </c>
      <c r="AL4222">
        <v>88.198178852773097</v>
      </c>
      <c r="AM4222">
        <v>86.579463568105496</v>
      </c>
      <c r="AN4222">
        <v>1.0000000510919</v>
      </c>
    </row>
    <row r="4223" spans="1:40" x14ac:dyDescent="0.25">
      <c r="A4223" t="str">
        <f>"20190312160418935"</f>
        <v>20190312160418935</v>
      </c>
      <c r="B4223" t="str">
        <f>"1552377858929162"</f>
        <v>1552377858929162</v>
      </c>
      <c r="C4223" t="s">
        <v>40</v>
      </c>
      <c r="D4223">
        <v>5.7952890000000004</v>
      </c>
      <c r="E4223">
        <v>0.61288419999999999</v>
      </c>
      <c r="F4223" t="s">
        <v>55</v>
      </c>
      <c r="G4223">
        <v>-169.40440000000001</v>
      </c>
      <c r="H4223">
        <v>2.002418</v>
      </c>
      <c r="I4223">
        <v>174.511</v>
      </c>
      <c r="J4223">
        <v>-197.12190000000001</v>
      </c>
      <c r="K4223">
        <v>1.0999209999999999</v>
      </c>
      <c r="L4223">
        <v>209.2576</v>
      </c>
      <c r="M4223">
        <v>0.84874019999999994</v>
      </c>
      <c r="N4223">
        <v>0</v>
      </c>
      <c r="O4223">
        <v>-0.52858179999999999</v>
      </c>
      <c r="P4223">
        <v>0.81584659999999998</v>
      </c>
      <c r="Q4223">
        <v>1.6836730000000001E-2</v>
      </c>
      <c r="R4223">
        <v>-0.57802330000000002</v>
      </c>
      <c r="S4223">
        <v>1.9555819999999999</v>
      </c>
      <c r="T4223">
        <v>6.3269729999999996E-2</v>
      </c>
      <c r="U4223">
        <v>-2.4444270000000001</v>
      </c>
      <c r="V4223">
        <v>6.0137070000000001E-2</v>
      </c>
      <c r="W4223">
        <v>3.086918E-2</v>
      </c>
      <c r="X4223">
        <v>0.99771270000000001</v>
      </c>
      <c r="Y4223">
        <v>0.3326095</v>
      </c>
      <c r="Z4223">
        <v>-7.7468119999999996E-3</v>
      </c>
      <c r="AA4223">
        <v>0.9430328</v>
      </c>
      <c r="AB4223">
        <v>28</v>
      </c>
      <c r="AC4223">
        <v>27.717500000000001</v>
      </c>
      <c r="AD4223">
        <v>0.90249699999999999</v>
      </c>
      <c r="AE4223">
        <v>-34.746600000000001</v>
      </c>
      <c r="AF4223">
        <v>14.8355448989472</v>
      </c>
      <c r="AG4223">
        <v>0.90249699999999999</v>
      </c>
      <c r="AH4223">
        <v>41.8791670231479</v>
      </c>
      <c r="AI4223">
        <v>88.836303521183794</v>
      </c>
      <c r="AJ4223">
        <v>70.493491469110495</v>
      </c>
      <c r="AK4223">
        <v>44.438412706085799</v>
      </c>
      <c r="AL4223">
        <v>88.2310452563392</v>
      </c>
      <c r="AM4223">
        <v>86.550673680425504</v>
      </c>
      <c r="AN4223">
        <v>1.00000000260167</v>
      </c>
    </row>
    <row r="4224" spans="1:40" x14ac:dyDescent="0.25">
      <c r="A4224" t="str">
        <f>"20190312160418954"</f>
        <v>20190312160418954</v>
      </c>
      <c r="B4224" t="str">
        <f>"1552377858949658"</f>
        <v>1552377858949658</v>
      </c>
      <c r="C4224" t="s">
        <v>40</v>
      </c>
      <c r="D4224">
        <v>5.4595710000000004</v>
      </c>
      <c r="E4224">
        <v>0.65400619999999998</v>
      </c>
      <c r="F4224" t="s">
        <v>55</v>
      </c>
      <c r="G4224">
        <v>-169.40469999999999</v>
      </c>
      <c r="H4224">
        <v>2.1653030000000002</v>
      </c>
      <c r="I4224">
        <v>173.7559</v>
      </c>
      <c r="J4224">
        <v>-196.93729999999999</v>
      </c>
      <c r="K4224">
        <v>1.0998270000000001</v>
      </c>
      <c r="L4224">
        <v>209.12950000000001</v>
      </c>
      <c r="M4224">
        <v>0.84289669999999906</v>
      </c>
      <c r="N4224">
        <v>0</v>
      </c>
      <c r="O4224">
        <v>-0.53785050000000001</v>
      </c>
      <c r="P4224">
        <v>0.80952599999999997</v>
      </c>
      <c r="Q4224">
        <v>1.6554880000000001E-2</v>
      </c>
      <c r="R4224">
        <v>-0.58685089999999995</v>
      </c>
      <c r="S4224">
        <v>1.9269559999999999</v>
      </c>
      <c r="T4224">
        <v>7.4069860000000001E-2</v>
      </c>
      <c r="U4224">
        <v>-2.4681549999999999</v>
      </c>
      <c r="V4224">
        <v>6.003841E-2</v>
      </c>
      <c r="W4224">
        <v>3.0605609999999998E-2</v>
      </c>
      <c r="X4224">
        <v>0.99772669999999997</v>
      </c>
      <c r="Y4224">
        <v>0.33348230000000001</v>
      </c>
      <c r="Z4224">
        <v>-9.2996229999999999E-3</v>
      </c>
      <c r="AA4224">
        <v>0.94271050000000001</v>
      </c>
      <c r="AB4224">
        <v>28</v>
      </c>
      <c r="AC4224">
        <v>27.532599999999999</v>
      </c>
      <c r="AD4224">
        <v>1.0654759999999901</v>
      </c>
      <c r="AE4224">
        <v>-35.373600000000003</v>
      </c>
      <c r="AF4224">
        <v>15.0012088405692</v>
      </c>
      <c r="AG4224">
        <v>1.0654759999999901</v>
      </c>
      <c r="AH4224">
        <v>42.214106854818802</v>
      </c>
      <c r="AI4224">
        <v>88.637603567368899</v>
      </c>
      <c r="AJ4224">
        <v>70.436817179192801</v>
      </c>
      <c r="AK4224">
        <v>44.812970481044999</v>
      </c>
      <c r="AL4224">
        <v>88.246153735704894</v>
      </c>
      <c r="AM4224">
        <v>86.556367170350995</v>
      </c>
      <c r="AN4224">
        <v>0.99999994096584299</v>
      </c>
    </row>
    <row r="4225" spans="1:40" x14ac:dyDescent="0.25">
      <c r="A4225" t="str">
        <f>"20190312160418970"</f>
        <v>20190312160418970</v>
      </c>
      <c r="B4225" t="str">
        <f>"1552377858959418"</f>
        <v>1552377858959418</v>
      </c>
      <c r="C4225" t="s">
        <v>40</v>
      </c>
      <c r="D4225">
        <v>5.6762680000000003</v>
      </c>
      <c r="E4225">
        <v>0.64992810000000001</v>
      </c>
      <c r="F4225" t="s">
        <v>41</v>
      </c>
      <c r="G4225">
        <v>-188.68690000000001</v>
      </c>
      <c r="H4225" s="1">
        <v>-2.8780740000000002E-6</v>
      </c>
      <c r="I4225">
        <v>195.7987</v>
      </c>
      <c r="J4225">
        <v>-196.7756</v>
      </c>
      <c r="K4225">
        <v>1.099747</v>
      </c>
      <c r="L4225">
        <v>209.01480000000001</v>
      </c>
      <c r="M4225">
        <v>0.83760469999999898</v>
      </c>
      <c r="N4225">
        <v>0</v>
      </c>
      <c r="O4225">
        <v>-0.54605429999999999</v>
      </c>
      <c r="P4225">
        <v>0.80396800000000002</v>
      </c>
      <c r="Q4225">
        <v>1.6376959999999999E-2</v>
      </c>
      <c r="R4225">
        <v>-0.59444739999999996</v>
      </c>
      <c r="S4225">
        <v>1.7088620000000001</v>
      </c>
      <c r="T4225">
        <v>-0.22780210000000001</v>
      </c>
      <c r="U4225">
        <v>-2.761139</v>
      </c>
      <c r="V4225">
        <v>5.9691599999999997E-2</v>
      </c>
      <c r="W4225">
        <v>3.0450709999999999E-2</v>
      </c>
      <c r="X4225">
        <v>0.99775230000000004</v>
      </c>
      <c r="Y4225">
        <v>0.42505330000000002</v>
      </c>
      <c r="Z4225">
        <v>2.5160689999999999E-2</v>
      </c>
      <c r="AA4225">
        <v>0.90481860000000003</v>
      </c>
      <c r="AB4225">
        <v>28</v>
      </c>
      <c r="AC4225">
        <v>8.0886999999999798</v>
      </c>
      <c r="AD4225">
        <v>-1.099749878074</v>
      </c>
      <c r="AE4225">
        <v>-13.216100000000001</v>
      </c>
      <c r="AF4225">
        <v>6.62045664926758</v>
      </c>
      <c r="AG4225">
        <v>-1.099749878074</v>
      </c>
      <c r="AH4225">
        <v>13.923403917426</v>
      </c>
      <c r="AI4225">
        <v>94.080135884900997</v>
      </c>
      <c r="AJ4225">
        <v>64.569321484556099</v>
      </c>
      <c r="AK4225">
        <v>15.4564249646206</v>
      </c>
      <c r="AL4225">
        <v>88.255033081000605</v>
      </c>
      <c r="AM4225">
        <v>86.576299388173396</v>
      </c>
      <c r="AN4225">
        <v>0.99999999250267702</v>
      </c>
    </row>
    <row r="4226" spans="1:40" x14ac:dyDescent="0.25">
      <c r="A4226" t="str">
        <f>"20190312160418992"</f>
        <v>20190312160418992</v>
      </c>
      <c r="B4226" t="str">
        <f>"1552377858989675"</f>
        <v>1552377858989675</v>
      </c>
      <c r="C4226" t="s">
        <v>40</v>
      </c>
      <c r="D4226">
        <v>5.5644019999999896</v>
      </c>
      <c r="E4226">
        <v>0.65545209999999998</v>
      </c>
      <c r="F4226" t="s">
        <v>41</v>
      </c>
      <c r="G4226">
        <v>-187.85720000000001</v>
      </c>
      <c r="H4226" s="1">
        <v>-2.5096769999999999E-6</v>
      </c>
      <c r="I4226">
        <v>194.59690000000001</v>
      </c>
      <c r="J4226">
        <v>-196.54239999999999</v>
      </c>
      <c r="K4226">
        <v>1.0996360000000001</v>
      </c>
      <c r="L4226">
        <v>208.84450000000001</v>
      </c>
      <c r="M4226">
        <v>0.82965159999999905</v>
      </c>
      <c r="N4226">
        <v>0</v>
      </c>
      <c r="O4226">
        <v>-0.55806269999999902</v>
      </c>
      <c r="P4226">
        <v>0.7955856</v>
      </c>
      <c r="Q4226">
        <v>1.6269269999999999E-2</v>
      </c>
      <c r="R4226">
        <v>-0.60562289999999996</v>
      </c>
      <c r="S4226">
        <v>1.7016910000000001</v>
      </c>
      <c r="T4226">
        <v>-0.2098411</v>
      </c>
      <c r="U4226">
        <v>-2.7510530000000002</v>
      </c>
      <c r="V4226">
        <v>5.9265669999999999E-2</v>
      </c>
      <c r="W4226">
        <v>3.0375880000000001E-2</v>
      </c>
      <c r="X4226">
        <v>0.99778</v>
      </c>
      <c r="Y4226">
        <v>0.41220879999999999</v>
      </c>
      <c r="Z4226">
        <v>2.4561699999999999E-2</v>
      </c>
      <c r="AA4226">
        <v>0.91075830000000002</v>
      </c>
      <c r="AB4226">
        <v>28</v>
      </c>
      <c r="AC4226">
        <v>8.6851999999999805</v>
      </c>
      <c r="AD4226">
        <v>-1.0996385096770001</v>
      </c>
      <c r="AE4226">
        <v>-14.2476</v>
      </c>
      <c r="AF4226">
        <v>6.9443505269318999</v>
      </c>
      <c r="AG4226">
        <v>-1.0996385096770001</v>
      </c>
      <c r="AH4226">
        <v>15.093046571581599</v>
      </c>
      <c r="AI4226">
        <v>93.786745513721002</v>
      </c>
      <c r="AJ4226">
        <v>65.292716327277404</v>
      </c>
      <c r="AK4226">
        <v>16.650323237246599</v>
      </c>
      <c r="AL4226">
        <v>88.259322558196203</v>
      </c>
      <c r="AM4226">
        <v>86.600765894008802</v>
      </c>
      <c r="AN4226">
        <v>1.0000000210631601</v>
      </c>
    </row>
    <row r="4227" spans="1:40" x14ac:dyDescent="0.25">
      <c r="A4227" t="str">
        <f>"20190312160419014"</f>
        <v>20190312160419014</v>
      </c>
      <c r="B4227" t="str">
        <f>"1552377859009198"</f>
        <v>1552377859009198</v>
      </c>
      <c r="C4227" t="s">
        <v>40</v>
      </c>
      <c r="D4227">
        <v>5.5728280000000003</v>
      </c>
      <c r="E4227">
        <v>0.65729019999999905</v>
      </c>
      <c r="F4227" t="s">
        <v>41</v>
      </c>
      <c r="G4227">
        <v>-186.59970000000001</v>
      </c>
      <c r="H4227" s="1">
        <v>-1.6284670000000001E-6</v>
      </c>
      <c r="I4227">
        <v>191.7748</v>
      </c>
      <c r="J4227">
        <v>-196.3236</v>
      </c>
      <c r="K4227">
        <v>1.0995410000000001</v>
      </c>
      <c r="L4227">
        <v>208.6797</v>
      </c>
      <c r="M4227">
        <v>0.82184789999999996</v>
      </c>
      <c r="N4227">
        <v>0</v>
      </c>
      <c r="O4227">
        <v>-0.56949189999999905</v>
      </c>
      <c r="P4227">
        <v>0.78715849999999998</v>
      </c>
      <c r="Q4227">
        <v>1.6249400000000001E-2</v>
      </c>
      <c r="R4227">
        <v>-0.616537</v>
      </c>
      <c r="S4227">
        <v>1.6362000000000001</v>
      </c>
      <c r="T4227">
        <v>-0.18095990000000001</v>
      </c>
      <c r="U4227">
        <v>-2.8090359999999999</v>
      </c>
      <c r="V4227">
        <v>5.9223280000000003E-2</v>
      </c>
      <c r="W4227">
        <v>3.0377790000000002E-2</v>
      </c>
      <c r="X4227">
        <v>0.99778239999999996</v>
      </c>
      <c r="Y4227">
        <v>0.42367959999999899</v>
      </c>
      <c r="Z4227">
        <v>2.1511249999999999E-2</v>
      </c>
      <c r="AA4227">
        <v>0.90555660000000004</v>
      </c>
      <c r="AB4227">
        <v>28</v>
      </c>
      <c r="AC4227">
        <v>9.7238999999999791</v>
      </c>
      <c r="AD4227">
        <v>-1.09954262846699</v>
      </c>
      <c r="AE4227">
        <v>-16.904899999999898</v>
      </c>
      <c r="AF4227">
        <v>8.3301182354109198</v>
      </c>
      <c r="AG4227">
        <v>-1.09954262846699</v>
      </c>
      <c r="AH4227">
        <v>17.565093173987002</v>
      </c>
      <c r="AI4227">
        <v>93.237206189000403</v>
      </c>
      <c r="AJ4227">
        <v>64.627691978620405</v>
      </c>
      <c r="AK4227">
        <v>19.4713215272767</v>
      </c>
      <c r="AL4227">
        <v>88.259212970555595</v>
      </c>
      <c r="AM4227">
        <v>86.603199665660796</v>
      </c>
      <c r="AN4227">
        <v>0.99999996238449995</v>
      </c>
    </row>
    <row r="4228" spans="1:40" x14ac:dyDescent="0.25">
      <c r="A4228" t="str">
        <f>"20190312160419036"</f>
        <v>20190312160419036</v>
      </c>
      <c r="B4228" t="str">
        <f>"1552377859028714"</f>
        <v>1552377859028714</v>
      </c>
      <c r="C4228" t="s">
        <v>40</v>
      </c>
      <c r="D4228">
        <v>5.5527410000000001</v>
      </c>
      <c r="E4228">
        <v>0.65703020000000001</v>
      </c>
      <c r="F4228" t="s">
        <v>41</v>
      </c>
      <c r="G4228">
        <v>-186.98490000000001</v>
      </c>
      <c r="H4228" s="1">
        <v>-1.59022E-6</v>
      </c>
      <c r="I4228">
        <v>191.96350000000001</v>
      </c>
      <c r="J4228">
        <v>-196.10169999999999</v>
      </c>
      <c r="K4228">
        <v>1.0994469999999901</v>
      </c>
      <c r="L4228">
        <v>208.5076</v>
      </c>
      <c r="M4228">
        <v>0.81358719999999995</v>
      </c>
      <c r="N4228">
        <v>0</v>
      </c>
      <c r="O4228">
        <v>-0.58123119999999995</v>
      </c>
      <c r="P4228">
        <v>0.77844969999999902</v>
      </c>
      <c r="Q4228">
        <v>1.6508749999999999E-2</v>
      </c>
      <c r="R4228">
        <v>-0.62749049999999995</v>
      </c>
      <c r="S4228">
        <v>1.5882719999999999</v>
      </c>
      <c r="T4228">
        <v>-0.187004</v>
      </c>
      <c r="U4228">
        <v>-2.8429869999999999</v>
      </c>
      <c r="V4228">
        <v>5.887792E-2</v>
      </c>
      <c r="W4228">
        <v>3.0668520000000001E-2</v>
      </c>
      <c r="X4228">
        <v>0.99779399999999996</v>
      </c>
      <c r="Y4228">
        <v>0.42695660000000002</v>
      </c>
      <c r="Z4228">
        <v>2.2878869999999999E-2</v>
      </c>
      <c r="AA4228">
        <v>0.90398259999999997</v>
      </c>
      <c r="AB4228">
        <v>27</v>
      </c>
      <c r="AC4228">
        <v>9.11679999999998</v>
      </c>
      <c r="AD4228">
        <v>-1.09944859021999</v>
      </c>
      <c r="AE4228">
        <v>-16.544099999999901</v>
      </c>
      <c r="AF4228">
        <v>8.1345471655115507</v>
      </c>
      <c r="AG4228">
        <v>-1.09944859021999</v>
      </c>
      <c r="AH4228">
        <v>16.977840987401201</v>
      </c>
      <c r="AI4228">
        <v>93.342309772415703</v>
      </c>
      <c r="AJ4228">
        <v>64.399646701163206</v>
      </c>
      <c r="AK4228">
        <v>18.8580680183297</v>
      </c>
      <c r="AL4228">
        <v>88.242547698859994</v>
      </c>
      <c r="AM4228">
        <v>86.623001266205307</v>
      </c>
      <c r="AN4228">
        <v>1.00000001700925</v>
      </c>
    </row>
    <row r="4229" spans="1:40" x14ac:dyDescent="0.25">
      <c r="A4229" t="str">
        <f>"20190312160419057"</f>
        <v>20190312160419057</v>
      </c>
      <c r="B4229" t="str">
        <f>"1552377859049210"</f>
        <v>1552377859049210</v>
      </c>
      <c r="C4229" t="s">
        <v>40</v>
      </c>
      <c r="D4229">
        <v>5.6271259999999996</v>
      </c>
      <c r="E4229">
        <v>0.65684549999999997</v>
      </c>
      <c r="F4229" t="s">
        <v>41</v>
      </c>
      <c r="G4229">
        <v>-186.68450000000001</v>
      </c>
      <c r="H4229" s="1">
        <v>-1.378561E-6</v>
      </c>
      <c r="I4229">
        <v>191.10669999999999</v>
      </c>
      <c r="J4229">
        <v>-195.8871</v>
      </c>
      <c r="K4229">
        <v>1.0993580000000001</v>
      </c>
      <c r="L4229">
        <v>208.33590000000001</v>
      </c>
      <c r="M4229">
        <v>0.80523710000000004</v>
      </c>
      <c r="N4229">
        <v>0</v>
      </c>
      <c r="O4229">
        <v>-0.5927441</v>
      </c>
      <c r="P4229">
        <v>0.77000880000000005</v>
      </c>
      <c r="Q4229">
        <v>1.7421119999999998E-2</v>
      </c>
      <c r="R4229">
        <v>-0.63779529999999995</v>
      </c>
      <c r="S4229">
        <v>1.5496219999999901</v>
      </c>
      <c r="T4229">
        <v>-0.1809151</v>
      </c>
      <c r="U4229">
        <v>-2.863327</v>
      </c>
      <c r="V4229">
        <v>5.8009119999999997E-2</v>
      </c>
      <c r="W4229">
        <v>3.1626019999999998E-2</v>
      </c>
      <c r="X4229">
        <v>0.99781500000000001</v>
      </c>
      <c r="Y4229">
        <v>0.4262222</v>
      </c>
      <c r="Z4229">
        <v>2.2902809999999999E-2</v>
      </c>
      <c r="AA4229">
        <v>0.90432849999999998</v>
      </c>
      <c r="AB4229">
        <v>27</v>
      </c>
      <c r="AC4229">
        <v>9.2025999999999897</v>
      </c>
      <c r="AD4229">
        <v>-1.0993593785609901</v>
      </c>
      <c r="AE4229">
        <v>-17.229199999999999</v>
      </c>
      <c r="AF4229">
        <v>8.3932593063361001</v>
      </c>
      <c r="AG4229">
        <v>-1.0993593785609901</v>
      </c>
      <c r="AH4229">
        <v>17.569309396004499</v>
      </c>
      <c r="AI4229">
        <v>93.231534997982493</v>
      </c>
      <c r="AJ4229">
        <v>64.465131227950394</v>
      </c>
      <c r="AK4229">
        <v>19.502205656775399</v>
      </c>
      <c r="AL4229">
        <v>88.187660360839502</v>
      </c>
      <c r="AM4229">
        <v>86.672789188286202</v>
      </c>
      <c r="AN4229">
        <v>1.0000000186846001</v>
      </c>
    </row>
    <row r="4230" spans="1:40" x14ac:dyDescent="0.25">
      <c r="A4230" t="str">
        <f>"20190312160419081"</f>
        <v>20190312160419081</v>
      </c>
      <c r="B4230" t="str">
        <f>"1552377859068730"</f>
        <v>1552377859068730</v>
      </c>
      <c r="C4230" t="s">
        <v>40</v>
      </c>
      <c r="D4230">
        <v>5.6426379999999998</v>
      </c>
      <c r="E4230">
        <v>0.63273290000000004</v>
      </c>
      <c r="F4230" t="s">
        <v>41</v>
      </c>
      <c r="G4230">
        <v>-186.411</v>
      </c>
      <c r="H4230" s="1">
        <v>-1.1658280000000001E-6</v>
      </c>
      <c r="I4230">
        <v>190.26769999999999</v>
      </c>
      <c r="J4230">
        <v>-195.6669</v>
      </c>
      <c r="K4230">
        <v>1.0992569999999999</v>
      </c>
      <c r="L4230">
        <v>208.15430000000001</v>
      </c>
      <c r="M4230">
        <v>0.79628750000000004</v>
      </c>
      <c r="N4230">
        <v>0</v>
      </c>
      <c r="O4230">
        <v>-0.60471260000000004</v>
      </c>
      <c r="P4230">
        <v>0.76058680000000001</v>
      </c>
      <c r="Q4230">
        <v>1.7816700000000001E-2</v>
      </c>
      <c r="R4230">
        <v>-0.64899189999999995</v>
      </c>
      <c r="S4230">
        <v>1.5120389999999999</v>
      </c>
      <c r="T4230">
        <v>-0.175417299999999</v>
      </c>
      <c r="U4230">
        <v>-2.8830110000000002</v>
      </c>
      <c r="V4230">
        <v>5.7717449999999997E-2</v>
      </c>
      <c r="W4230">
        <v>3.2052570000000002E-2</v>
      </c>
      <c r="X4230">
        <v>0.99781830000000005</v>
      </c>
      <c r="Y4230">
        <v>0.42449039999999999</v>
      </c>
      <c r="Z4230">
        <v>2.300522E-2</v>
      </c>
      <c r="AA4230">
        <v>0.90514019999999995</v>
      </c>
      <c r="AB4230">
        <v>27</v>
      </c>
      <c r="AC4230">
        <v>9.25590000000002</v>
      </c>
      <c r="AD4230">
        <v>-1.0992581658279901</v>
      </c>
      <c r="AE4230">
        <v>-17.886600000000001</v>
      </c>
      <c r="AF4230">
        <v>8.6211087771678603</v>
      </c>
      <c r="AG4230">
        <v>-1.0992581658279901</v>
      </c>
      <c r="AH4230">
        <v>18.134846234614098</v>
      </c>
      <c r="AI4230">
        <v>93.133508252120905</v>
      </c>
      <c r="AJ4230">
        <v>64.574093494470006</v>
      </c>
      <c r="AK4230">
        <v>20.1098118592889</v>
      </c>
      <c r="AL4230">
        <v>88.163208443501603</v>
      </c>
      <c r="AM4230">
        <v>86.689492034674402</v>
      </c>
      <c r="AN4230">
        <v>1.0000000155464901</v>
      </c>
    </row>
    <row r="4231" spans="1:40" x14ac:dyDescent="0.25">
      <c r="A4231" t="str">
        <f>"20190312160419103"</f>
        <v>20190312160419103</v>
      </c>
      <c r="B4231" t="str">
        <f>"1552377859098986"</f>
        <v>1552377859098986</v>
      </c>
      <c r="C4231" t="s">
        <v>40</v>
      </c>
      <c r="D4231">
        <v>5.724386</v>
      </c>
      <c r="E4231">
        <v>0.62604589999999904</v>
      </c>
      <c r="F4231" t="s">
        <v>56</v>
      </c>
      <c r="G4231">
        <v>-143.8623</v>
      </c>
      <c r="H4231">
        <v>8.2865300000000008</v>
      </c>
      <c r="I4231">
        <v>118.88549999999999</v>
      </c>
      <c r="J4231">
        <v>-195.45859999999999</v>
      </c>
      <c r="K4231">
        <v>1.0991599999999999</v>
      </c>
      <c r="L4231">
        <v>207.97710000000001</v>
      </c>
      <c r="M4231">
        <v>0.78744250000000005</v>
      </c>
      <c r="N4231">
        <v>0</v>
      </c>
      <c r="O4231">
        <v>-0.61618569999999995</v>
      </c>
      <c r="P4231">
        <v>0.75144540000000004</v>
      </c>
      <c r="Q4231">
        <v>1.7660849999999999E-2</v>
      </c>
      <c r="R4231">
        <v>-0.65955949999999997</v>
      </c>
      <c r="S4231">
        <v>1.5945739999999999</v>
      </c>
      <c r="T4231">
        <v>0.22122839999999999</v>
      </c>
      <c r="U4231">
        <v>-2.7477420000000001</v>
      </c>
      <c r="V4231">
        <v>5.7209160000000002E-2</v>
      </c>
      <c r="W4231">
        <v>3.1933419999999997E-2</v>
      </c>
      <c r="X4231">
        <v>0.99785140000000006</v>
      </c>
      <c r="Y4231">
        <v>0.37215160000000003</v>
      </c>
      <c r="Z4231">
        <v>-3.227431E-2</v>
      </c>
      <c r="AA4231">
        <v>0.92761070000000001</v>
      </c>
      <c r="AB4231">
        <v>27</v>
      </c>
      <c r="AC4231">
        <v>51.5962999999999</v>
      </c>
      <c r="AD4231">
        <v>7.1873699999999996</v>
      </c>
      <c r="AE4231">
        <v>-89.0916</v>
      </c>
      <c r="AF4231">
        <v>38.1803185741365</v>
      </c>
      <c r="AG4231">
        <v>7.1873699999999996</v>
      </c>
      <c r="AH4231">
        <v>95.074646877152901</v>
      </c>
      <c r="AI4231">
        <v>85.987170843038399</v>
      </c>
      <c r="AJ4231">
        <v>68.120466730042907</v>
      </c>
      <c r="AK4231">
        <v>102.70629724001699</v>
      </c>
      <c r="AL4231">
        <v>88.170038747276095</v>
      </c>
      <c r="AM4231">
        <v>86.718690716233795</v>
      </c>
      <c r="AN4231">
        <v>1.00000002389138</v>
      </c>
    </row>
    <row r="4232" spans="1:40" x14ac:dyDescent="0.25">
      <c r="A4232" t="str">
        <f>"20190312160419119"</f>
        <v>20190312160419119</v>
      </c>
      <c r="B4232" t="str">
        <f>"1552377859108746"</f>
        <v>1552377859108746</v>
      </c>
      <c r="C4232" t="s">
        <v>40</v>
      </c>
      <c r="D4232">
        <v>5.7282640000000002</v>
      </c>
      <c r="E4232">
        <v>0.62686030000000004</v>
      </c>
      <c r="F4232" t="s">
        <v>56</v>
      </c>
      <c r="G4232">
        <v>-143.58629999999999</v>
      </c>
      <c r="H4232">
        <v>4.5254979999999998</v>
      </c>
      <c r="I4232">
        <v>118.88420000000001</v>
      </c>
      <c r="J4232">
        <v>-195.3092</v>
      </c>
      <c r="K4232">
        <v>1.099092</v>
      </c>
      <c r="L4232">
        <v>207.84649999999999</v>
      </c>
      <c r="M4232">
        <v>0.78085119999999997</v>
      </c>
      <c r="N4232">
        <v>0</v>
      </c>
      <c r="O4232">
        <v>-0.62451650000000003</v>
      </c>
      <c r="P4232">
        <v>0.74459359999999997</v>
      </c>
      <c r="Q4232">
        <v>1.7564590000000001E-2</v>
      </c>
      <c r="R4232">
        <v>-0.66728719999999997</v>
      </c>
      <c r="S4232">
        <v>1.591156</v>
      </c>
      <c r="T4232">
        <v>0.1051015</v>
      </c>
      <c r="U4232">
        <v>-2.7328800000000002</v>
      </c>
      <c r="V4232">
        <v>5.6918200000000002E-2</v>
      </c>
      <c r="W4232">
        <v>3.1861939999999998E-2</v>
      </c>
      <c r="X4232">
        <v>0.99787029999999999</v>
      </c>
      <c r="Y4232">
        <v>0.36070210000000003</v>
      </c>
      <c r="Z4232">
        <v>-1.590828E-2</v>
      </c>
      <c r="AA4232">
        <v>0.93254539999999997</v>
      </c>
      <c r="AB4232">
        <v>27</v>
      </c>
      <c r="AC4232">
        <v>51.722900000000003</v>
      </c>
      <c r="AD4232">
        <v>3.4264060000000001</v>
      </c>
      <c r="AE4232">
        <v>-88.9622999999999</v>
      </c>
      <c r="AF4232">
        <v>37.128008285164199</v>
      </c>
      <c r="AG4232">
        <v>3.4264060000000001</v>
      </c>
      <c r="AH4232">
        <v>95.852066648070505</v>
      </c>
      <c r="AI4232">
        <v>88.090836319574507</v>
      </c>
      <c r="AJ4232">
        <v>68.826273817191094</v>
      </c>
      <c r="AK4232">
        <v>102.848665222287</v>
      </c>
      <c r="AL4232">
        <v>88.174136291266606</v>
      </c>
      <c r="AM4232">
        <v>86.735404634275895</v>
      </c>
      <c r="AN4232">
        <v>1.00000000016694</v>
      </c>
    </row>
    <row r="4233" spans="1:40" x14ac:dyDescent="0.25">
      <c r="A4233" t="str">
        <f>"20190312160419137"</f>
        <v>20190312160419137</v>
      </c>
      <c r="B4233" t="str">
        <f>"1552377859129242"</f>
        <v>1552377859129242</v>
      </c>
      <c r="C4233" t="s">
        <v>40</v>
      </c>
      <c r="D4233">
        <v>5.7066879999999998</v>
      </c>
      <c r="E4233">
        <v>0.64766539999999995</v>
      </c>
      <c r="F4233" t="s">
        <v>89</v>
      </c>
      <c r="G4233">
        <v>-147.4881</v>
      </c>
      <c r="H4233">
        <v>4.9106129999999997</v>
      </c>
      <c r="I4233">
        <v>123.3668</v>
      </c>
      <c r="J4233">
        <v>-195.1446</v>
      </c>
      <c r="K4233">
        <v>1.0990249999999999</v>
      </c>
      <c r="L4233">
        <v>207.69909999999999</v>
      </c>
      <c r="M4233">
        <v>0.77334729999999996</v>
      </c>
      <c r="N4233">
        <v>0</v>
      </c>
      <c r="O4233">
        <v>-0.63378440000000003</v>
      </c>
      <c r="P4233">
        <v>0.73661330000000003</v>
      </c>
      <c r="Q4233">
        <v>1.7928739999999999E-2</v>
      </c>
      <c r="R4233">
        <v>-0.67607709999999999</v>
      </c>
      <c r="S4233">
        <v>1.558594</v>
      </c>
      <c r="T4233">
        <v>0.1242268</v>
      </c>
      <c r="U4233">
        <v>-2.7533720000000002</v>
      </c>
      <c r="V4233">
        <v>5.6881599999999997E-2</v>
      </c>
      <c r="W4233">
        <v>3.2246549999999999E-2</v>
      </c>
      <c r="X4233">
        <v>0.99785999999999997</v>
      </c>
      <c r="Y4233">
        <v>0.36094710000000002</v>
      </c>
      <c r="Z4233">
        <v>-1.9205409999999999E-2</v>
      </c>
      <c r="AA4233">
        <v>0.93238849999999995</v>
      </c>
      <c r="AB4233">
        <v>27</v>
      </c>
      <c r="AC4233">
        <v>47.656500000000001</v>
      </c>
      <c r="AD4233">
        <v>3.811588</v>
      </c>
      <c r="AE4233">
        <v>-84.332299999999904</v>
      </c>
      <c r="AF4233">
        <v>34.964473483837502</v>
      </c>
      <c r="AG4233">
        <v>3.811588</v>
      </c>
      <c r="AH4233">
        <v>90.175247979431603</v>
      </c>
      <c r="AI4233">
        <v>87.743147748079195</v>
      </c>
      <c r="AJ4233">
        <v>68.806738333895893</v>
      </c>
      <c r="AK4233">
        <v>96.791621317321201</v>
      </c>
      <c r="AL4233">
        <v>88.152088372199003</v>
      </c>
      <c r="AM4233">
        <v>86.737465721549995</v>
      </c>
      <c r="AN4233">
        <v>0.99999996800273006</v>
      </c>
    </row>
    <row r="4234" spans="1:40" x14ac:dyDescent="0.25">
      <c r="A4234" t="str">
        <f>"20190312160419159"</f>
        <v>20190312160419159</v>
      </c>
      <c r="B4234" t="str">
        <f>"1552377859148763"</f>
        <v>1552377859148763</v>
      </c>
      <c r="C4234" t="s">
        <v>40</v>
      </c>
      <c r="D4234">
        <v>5.8351759999999997</v>
      </c>
      <c r="E4234">
        <v>0.64932309999999904</v>
      </c>
      <c r="F4234" t="s">
        <v>41</v>
      </c>
      <c r="G4234">
        <v>-188.17910000000001</v>
      </c>
      <c r="H4234" s="1">
        <v>-1.931521E-6</v>
      </c>
      <c r="I4234">
        <v>193.38229999999999</v>
      </c>
      <c r="J4234">
        <v>-194.93889999999999</v>
      </c>
      <c r="K4234">
        <v>1.09894</v>
      </c>
      <c r="L4234">
        <v>207.50989999999999</v>
      </c>
      <c r="M4234">
        <v>0.76361279999999998</v>
      </c>
      <c r="N4234">
        <v>0</v>
      </c>
      <c r="O4234">
        <v>-0.64547880000000002</v>
      </c>
      <c r="P4234">
        <v>0.72560409999999997</v>
      </c>
      <c r="Q4234">
        <v>1.7875849999999999E-2</v>
      </c>
      <c r="R4234">
        <v>-0.68788090000000002</v>
      </c>
      <c r="S4234">
        <v>1.4128419999999999</v>
      </c>
      <c r="T4234">
        <v>-0.22292049999999999</v>
      </c>
      <c r="U4234">
        <v>-2.9039459999999999</v>
      </c>
      <c r="V4234">
        <v>5.7811929999999997E-2</v>
      </c>
      <c r="W4234">
        <v>3.2191270000000001E-2</v>
      </c>
      <c r="X4234">
        <v>0.99780829999999998</v>
      </c>
      <c r="Y4234">
        <v>0.40457789999999999</v>
      </c>
      <c r="Z4234">
        <v>3.3363940000000002E-2</v>
      </c>
      <c r="AA4234">
        <v>0.91389469999999995</v>
      </c>
      <c r="AB4234">
        <v>27</v>
      </c>
      <c r="AC4234">
        <v>6.7597999999999798</v>
      </c>
      <c r="AD4234">
        <v>-1.0989419315210001</v>
      </c>
      <c r="AE4234">
        <v>-14.127599999999999</v>
      </c>
      <c r="AF4234">
        <v>6.3940387178654996</v>
      </c>
      <c r="AG4234">
        <v>-1.0989419315210001</v>
      </c>
      <c r="AH4234">
        <v>14.2127626361182</v>
      </c>
      <c r="AI4234">
        <v>94.033458292174998</v>
      </c>
      <c r="AJ4234">
        <v>65.777969040566504</v>
      </c>
      <c r="AK4234">
        <v>15.6235087686811</v>
      </c>
      <c r="AL4234">
        <v>88.155257295590005</v>
      </c>
      <c r="AM4234">
        <v>86.684051856478703</v>
      </c>
      <c r="AN4234">
        <v>0.99999995033171196</v>
      </c>
    </row>
    <row r="4235" spans="1:40" x14ac:dyDescent="0.25">
      <c r="A4235" t="str">
        <f>"20190312160419181"</f>
        <v>20190312160419181</v>
      </c>
      <c r="B4235" t="str">
        <f>"1552377859179018"</f>
        <v>1552377859179018</v>
      </c>
      <c r="C4235" t="s">
        <v>40</v>
      </c>
      <c r="D4235">
        <v>5.7856820000000004</v>
      </c>
      <c r="E4235">
        <v>0.64790579999999998</v>
      </c>
      <c r="F4235" t="s">
        <v>41</v>
      </c>
      <c r="G4235">
        <v>-188.81460000000001</v>
      </c>
      <c r="H4235" s="1">
        <v>-2.1914669999999998E-6</v>
      </c>
      <c r="I4235">
        <v>194.251</v>
      </c>
      <c r="J4235">
        <v>-194.73589999999999</v>
      </c>
      <c r="K4235">
        <v>1.0988549999999999</v>
      </c>
      <c r="L4235">
        <v>207.31710000000001</v>
      </c>
      <c r="M4235">
        <v>0.75358800000000004</v>
      </c>
      <c r="N4235">
        <v>0</v>
      </c>
      <c r="O4235">
        <v>-0.65715409999999996</v>
      </c>
      <c r="P4235">
        <v>0.71469769999999999</v>
      </c>
      <c r="Q4235">
        <v>1.8426850000000002E-2</v>
      </c>
      <c r="R4235">
        <v>-0.69919119999999901</v>
      </c>
      <c r="S4235">
        <v>1.3564609999999999</v>
      </c>
      <c r="T4235">
        <v>-0.24340000000000001</v>
      </c>
      <c r="U4235">
        <v>-2.936661</v>
      </c>
      <c r="V4235">
        <v>5.815683E-2</v>
      </c>
      <c r="W4235">
        <v>3.2756019999999997E-2</v>
      </c>
      <c r="X4235">
        <v>0.99777000000000005</v>
      </c>
      <c r="Y4235">
        <v>0.40892509999999999</v>
      </c>
      <c r="Z4235">
        <v>3.7250650000000003E-2</v>
      </c>
      <c r="AA4235">
        <v>0.91180740000000005</v>
      </c>
      <c r="AB4235">
        <v>27</v>
      </c>
      <c r="AC4235">
        <v>5.9212999999999703</v>
      </c>
      <c r="AD4235">
        <v>-1.098857191467</v>
      </c>
      <c r="AE4235">
        <v>-13.0661</v>
      </c>
      <c r="AF4235">
        <v>5.9212606163918799</v>
      </c>
      <c r="AG4235">
        <v>-1.098857191467</v>
      </c>
      <c r="AH4235">
        <v>12.9741879074798</v>
      </c>
      <c r="AI4235">
        <v>94.405963715678297</v>
      </c>
      <c r="AJ4235">
        <v>65.468624128276701</v>
      </c>
      <c r="AK4235">
        <v>14.303788528675501</v>
      </c>
      <c r="AL4235">
        <v>88.122882658237401</v>
      </c>
      <c r="AM4235">
        <v>86.664186038090804</v>
      </c>
      <c r="AN4235">
        <v>1.00000007331094</v>
      </c>
    </row>
    <row r="4236" spans="1:40" x14ac:dyDescent="0.25">
      <c r="A4236" t="str">
        <f>"20190312160419204"</f>
        <v>20190312160419204</v>
      </c>
      <c r="B4236" t="str">
        <f>"1552377859199514"</f>
        <v>1552377859199514</v>
      </c>
      <c r="C4236" t="s">
        <v>40</v>
      </c>
      <c r="D4236">
        <v>5.2369709999999996</v>
      </c>
      <c r="E4236">
        <v>0.62047330000000001</v>
      </c>
      <c r="F4236" t="s">
        <v>41</v>
      </c>
      <c r="G4236">
        <v>-188.96369999999999</v>
      </c>
      <c r="H4236" s="1">
        <v>-2.228203E-6</v>
      </c>
      <c r="I4236">
        <v>194.39830000000001</v>
      </c>
      <c r="J4236">
        <v>-194.5377</v>
      </c>
      <c r="K4236">
        <v>1.098789</v>
      </c>
      <c r="L4236">
        <v>207.12289999999999</v>
      </c>
      <c r="M4236">
        <v>0.74338689999999996</v>
      </c>
      <c r="N4236">
        <v>0</v>
      </c>
      <c r="O4236">
        <v>-0.66867109999999996</v>
      </c>
      <c r="P4236">
        <v>0.70338849999999997</v>
      </c>
      <c r="Q4236">
        <v>1.7786940000000001E-2</v>
      </c>
      <c r="R4236">
        <v>-0.71058319999999997</v>
      </c>
      <c r="S4236">
        <v>1.318085</v>
      </c>
      <c r="T4236">
        <v>-0.25092350000000002</v>
      </c>
      <c r="U4236">
        <v>-2.9500120000000001</v>
      </c>
      <c r="V4236">
        <v>5.881231E-2</v>
      </c>
      <c r="W4236">
        <v>3.2120250000000003E-2</v>
      </c>
      <c r="X4236">
        <v>0.99775219999999998</v>
      </c>
      <c r="Y4236">
        <v>0.4063351</v>
      </c>
      <c r="Z4236">
        <v>3.9586990000000002E-2</v>
      </c>
      <c r="AA4236">
        <v>0.91286619999999996</v>
      </c>
      <c r="AB4236">
        <v>27</v>
      </c>
      <c r="AC4236">
        <v>5.5740000000000096</v>
      </c>
      <c r="AD4236">
        <v>-1.0987912282029999</v>
      </c>
      <c r="AE4236">
        <v>-12.724599999999899</v>
      </c>
      <c r="AF4236">
        <v>5.69721624356393</v>
      </c>
      <c r="AG4236">
        <v>-1.0987912282029999</v>
      </c>
      <c r="AH4236">
        <v>12.575151541389101</v>
      </c>
      <c r="AI4236">
        <v>94.550615527518403</v>
      </c>
      <c r="AJ4236">
        <v>65.626930936449</v>
      </c>
      <c r="AK4236">
        <v>13.8491895567215</v>
      </c>
      <c r="AL4236">
        <v>88.1593286857116</v>
      </c>
      <c r="AM4236">
        <v>86.626614702268398</v>
      </c>
      <c r="AN4236">
        <v>1.00000002543621</v>
      </c>
    </row>
    <row r="4237" spans="1:40" x14ac:dyDescent="0.25">
      <c r="A4237" t="str">
        <f>"20190312160419226"</f>
        <v>20190312160419226</v>
      </c>
      <c r="B4237" t="str">
        <f>"1552377859219038"</f>
        <v>1552377859219038</v>
      </c>
      <c r="C4237" t="s">
        <v>40</v>
      </c>
      <c r="D4237">
        <v>5.3193349999999997</v>
      </c>
      <c r="E4237">
        <v>0.62292499999999995</v>
      </c>
      <c r="F4237" t="s">
        <v>89</v>
      </c>
      <c r="G4237">
        <v>-152.81030000000001</v>
      </c>
      <c r="H4237">
        <v>5.6207859999999998</v>
      </c>
      <c r="I4237">
        <v>125.14109999999999</v>
      </c>
      <c r="J4237">
        <v>-194.345</v>
      </c>
      <c r="K4237">
        <v>1.098738</v>
      </c>
      <c r="L4237">
        <v>206.9281</v>
      </c>
      <c r="M4237">
        <v>0.73305949999999998</v>
      </c>
      <c r="N4237">
        <v>0</v>
      </c>
      <c r="O4237">
        <v>-0.67997659999999904</v>
      </c>
      <c r="P4237">
        <v>0.69214059999999999</v>
      </c>
      <c r="Q4237">
        <v>1.7050010000000001E-2</v>
      </c>
      <c r="R4237">
        <v>-0.72156169999999997</v>
      </c>
      <c r="S4237">
        <v>1.4276279999999999</v>
      </c>
      <c r="T4237">
        <v>0.15471289999999999</v>
      </c>
      <c r="U4237">
        <v>-2.8048549999999999</v>
      </c>
      <c r="V4237">
        <v>5.9202610000000003E-2</v>
      </c>
      <c r="W4237">
        <v>3.1392969999999999E-2</v>
      </c>
      <c r="X4237">
        <v>0.99775219999999998</v>
      </c>
      <c r="Y4237">
        <v>0.34510960000000002</v>
      </c>
      <c r="Z4237">
        <v>-2.6989849999999999E-2</v>
      </c>
      <c r="AA4237">
        <v>0.93817419999999996</v>
      </c>
      <c r="AB4237">
        <v>27</v>
      </c>
      <c r="AC4237">
        <v>41.534700000000001</v>
      </c>
      <c r="AD4237">
        <v>4.5220479999999998</v>
      </c>
      <c r="AE4237">
        <v>-81.786999999999907</v>
      </c>
      <c r="AF4237">
        <v>31.639274612055399</v>
      </c>
      <c r="AG4237">
        <v>4.5220479999999998</v>
      </c>
      <c r="AH4237">
        <v>85.862982400167297</v>
      </c>
      <c r="AI4237">
        <v>87.170880778200996</v>
      </c>
      <c r="AJ4237">
        <v>69.771883146741203</v>
      </c>
      <c r="AK4237">
        <v>91.618471733285304</v>
      </c>
      <c r="AL4237">
        <v>88.201019670192295</v>
      </c>
      <c r="AM4237">
        <v>86.604279897946199</v>
      </c>
      <c r="AN4237">
        <v>0.99999996010053505</v>
      </c>
    </row>
    <row r="4238" spans="1:40" x14ac:dyDescent="0.25">
      <c r="A4238" t="str">
        <f>"20190312160419249"</f>
        <v>20190312160419249</v>
      </c>
      <c r="B4238" t="str">
        <f>"1552377859239530"</f>
        <v>1552377859239530</v>
      </c>
      <c r="C4238" t="s">
        <v>40</v>
      </c>
      <c r="D4238">
        <v>4.7291270000000001</v>
      </c>
      <c r="E4238">
        <v>0.63762580000000002</v>
      </c>
      <c r="F4238" t="s">
        <v>89</v>
      </c>
      <c r="G4238">
        <v>-153.7167</v>
      </c>
      <c r="H4238">
        <v>6.4803620000000004</v>
      </c>
      <c r="I4238">
        <v>122.6837</v>
      </c>
      <c r="J4238">
        <v>-194.1568</v>
      </c>
      <c r="K4238">
        <v>1.098689</v>
      </c>
      <c r="L4238">
        <v>206.73140000000001</v>
      </c>
      <c r="M4238">
        <v>0.7225568</v>
      </c>
      <c r="N4238">
        <v>0</v>
      </c>
      <c r="O4238">
        <v>-0.69112600000000002</v>
      </c>
      <c r="P4238">
        <v>0.68058359999999996</v>
      </c>
      <c r="Q4238">
        <v>1.6758249999999999E-2</v>
      </c>
      <c r="R4238">
        <v>-0.73247890000000004</v>
      </c>
      <c r="S4238">
        <v>1.369507</v>
      </c>
      <c r="T4238">
        <v>0.18140590000000001</v>
      </c>
      <c r="U4238">
        <v>-2.8397220000000001</v>
      </c>
      <c r="V4238">
        <v>5.9778779999999997E-2</v>
      </c>
      <c r="W4238">
        <v>3.11051E-2</v>
      </c>
      <c r="X4238">
        <v>0.99772689999999997</v>
      </c>
      <c r="Y4238">
        <v>0.35092380000000001</v>
      </c>
      <c r="Z4238">
        <v>-3.2196219999999998E-2</v>
      </c>
      <c r="AA4238">
        <v>0.93585039999999997</v>
      </c>
      <c r="AB4238">
        <v>27</v>
      </c>
      <c r="AC4238">
        <v>40.440100000000001</v>
      </c>
      <c r="AD4238">
        <v>5.3816730000000002</v>
      </c>
      <c r="AE4238">
        <v>-84.047700000000006</v>
      </c>
      <c r="AF4238">
        <v>32.675453570965097</v>
      </c>
      <c r="AG4238">
        <v>5.3816730000000002</v>
      </c>
      <c r="AH4238">
        <v>87.029279428708406</v>
      </c>
      <c r="AI4238">
        <v>86.686752727854397</v>
      </c>
      <c r="AJ4238">
        <v>69.4211745374066</v>
      </c>
      <c r="AK4238">
        <v>93.116825269268205</v>
      </c>
      <c r="AL4238">
        <v>88.217521534205801</v>
      </c>
      <c r="AM4238">
        <v>86.571223891019599</v>
      </c>
      <c r="AN4238">
        <v>0.99999999838395404</v>
      </c>
    </row>
    <row r="4239" spans="1:40" x14ac:dyDescent="0.25">
      <c r="A4239" t="str">
        <f>"20190312160419270"</f>
        <v>20190312160419270</v>
      </c>
      <c r="B4239" t="str">
        <f>"1552377859259054"</f>
        <v>1552377859259054</v>
      </c>
      <c r="C4239" t="s">
        <v>40</v>
      </c>
      <c r="D4239">
        <v>5.2322259999999998</v>
      </c>
      <c r="E4239">
        <v>0.64428249999999998</v>
      </c>
      <c r="F4239" t="s">
        <v>56</v>
      </c>
      <c r="G4239">
        <v>-157.2851</v>
      </c>
      <c r="H4239">
        <v>7.6112039999999901</v>
      </c>
      <c r="I4239">
        <v>119.2011</v>
      </c>
      <c r="J4239">
        <v>-193.97120000000001</v>
      </c>
      <c r="K4239">
        <v>1.098652</v>
      </c>
      <c r="L4239">
        <v>206.53120000000001</v>
      </c>
      <c r="M4239">
        <v>0.71179059999999905</v>
      </c>
      <c r="N4239">
        <v>0</v>
      </c>
      <c r="O4239">
        <v>-0.70220859999999996</v>
      </c>
      <c r="P4239">
        <v>0.66866789999999998</v>
      </c>
      <c r="Q4239">
        <v>1.6191049999999998E-2</v>
      </c>
      <c r="R4239">
        <v>-0.74338499999999996</v>
      </c>
      <c r="S4239">
        <v>1.2384489999999999</v>
      </c>
      <c r="T4239">
        <v>0.21874279999999999</v>
      </c>
      <c r="U4239">
        <v>-2.939972</v>
      </c>
      <c r="V4239">
        <v>6.0467550000000002E-2</v>
      </c>
      <c r="W4239">
        <v>3.0537450000000001E-2</v>
      </c>
      <c r="X4239">
        <v>0.99770300000000001</v>
      </c>
      <c r="Y4239">
        <v>0.38373210000000002</v>
      </c>
      <c r="Z4239">
        <v>-3.8347510000000001E-2</v>
      </c>
      <c r="AA4239">
        <v>0.92264789999999997</v>
      </c>
      <c r="AB4239">
        <v>27</v>
      </c>
      <c r="AC4239">
        <v>36.686100000000003</v>
      </c>
      <c r="AD4239">
        <v>6.5125520000000003</v>
      </c>
      <c r="AE4239">
        <v>-87.330100000000002</v>
      </c>
      <c r="AF4239">
        <v>36.232856038024501</v>
      </c>
      <c r="AG4239">
        <v>6.5125520000000003</v>
      </c>
      <c r="AH4239">
        <v>87.036587022246707</v>
      </c>
      <c r="AI4239">
        <v>86.048355559231993</v>
      </c>
      <c r="AJ4239">
        <v>67.398304657566399</v>
      </c>
      <c r="AK4239">
        <v>94.501855382347003</v>
      </c>
      <c r="AL4239">
        <v>88.250061065474696</v>
      </c>
      <c r="AM4239">
        <v>86.531730602123403</v>
      </c>
      <c r="AN4239">
        <v>1.0000000683322501</v>
      </c>
    </row>
    <row r="4240" spans="1:40" x14ac:dyDescent="0.25">
      <c r="A4240" t="str">
        <f>"20190312160419294"</f>
        <v>20190312160419294</v>
      </c>
      <c r="B4240" t="str">
        <f>"1552377859289307"</f>
        <v>1552377859289307</v>
      </c>
      <c r="C4240" t="s">
        <v>40</v>
      </c>
      <c r="D4240">
        <v>5.3895989999999996</v>
      </c>
      <c r="E4240">
        <v>0.69576530000000003</v>
      </c>
      <c r="F4240" t="s">
        <v>56</v>
      </c>
      <c r="G4240">
        <v>-158.99520000000001</v>
      </c>
      <c r="H4240">
        <v>9.6953420000000001</v>
      </c>
      <c r="I4240">
        <v>115.6365</v>
      </c>
      <c r="J4240">
        <v>-193.78290000000001</v>
      </c>
      <c r="K4240">
        <v>1.0986320000000001</v>
      </c>
      <c r="L4240">
        <v>206.32140000000001</v>
      </c>
      <c r="M4240">
        <v>0.70044289999999998</v>
      </c>
      <c r="N4240">
        <v>0</v>
      </c>
      <c r="O4240">
        <v>-0.71352769999999899</v>
      </c>
      <c r="P4240">
        <v>0.65575150000000004</v>
      </c>
      <c r="Q4240">
        <v>1.5595390000000001E-2</v>
      </c>
      <c r="R4240">
        <v>-0.75481580000000004</v>
      </c>
      <c r="S4240">
        <v>1.1518250000000001</v>
      </c>
      <c r="T4240">
        <v>0.2831053</v>
      </c>
      <c r="U4240">
        <v>-2.9933320000000001</v>
      </c>
      <c r="V4240">
        <v>6.167139E-2</v>
      </c>
      <c r="W4240">
        <v>2.9925469999999999E-2</v>
      </c>
      <c r="X4240">
        <v>0.99764779999999997</v>
      </c>
      <c r="Y4240">
        <v>0.39799960000000001</v>
      </c>
      <c r="Z4240">
        <v>-5.0003569999999997E-2</v>
      </c>
      <c r="AA4240">
        <v>0.9160218</v>
      </c>
      <c r="AB4240">
        <v>27</v>
      </c>
      <c r="AC4240">
        <v>34.787700000000001</v>
      </c>
      <c r="AD4240">
        <v>8.5967099999999999</v>
      </c>
      <c r="AE4240">
        <v>-90.684899999999999</v>
      </c>
      <c r="AF4240">
        <v>38.401767850707799</v>
      </c>
      <c r="AG4240">
        <v>8.5967099999999999</v>
      </c>
      <c r="AH4240">
        <v>88.392032474374801</v>
      </c>
      <c r="AI4240">
        <v>84.902591522193404</v>
      </c>
      <c r="AJ4240">
        <v>66.517545756892702</v>
      </c>
      <c r="AK4240">
        <v>96.756139866339694</v>
      </c>
      <c r="AL4240">
        <v>88.285140874814999</v>
      </c>
      <c r="AM4240">
        <v>86.462659699737898</v>
      </c>
      <c r="AN4240">
        <v>1.0000000134720399</v>
      </c>
    </row>
    <row r="4241" spans="1:40" x14ac:dyDescent="0.25">
      <c r="A4241" t="str">
        <f>"20190312160419316"</f>
        <v>20190312160419316</v>
      </c>
      <c r="B4241" t="str">
        <f>"1552377859308826"</f>
        <v>1552377859308826</v>
      </c>
      <c r="C4241" t="s">
        <v>40</v>
      </c>
      <c r="D4241">
        <v>5.6496570000000004</v>
      </c>
      <c r="E4241">
        <v>0.66102090000000002</v>
      </c>
      <c r="F4241" t="s">
        <v>56</v>
      </c>
      <c r="G4241">
        <v>-169.67140000000001</v>
      </c>
      <c r="H4241">
        <v>0.1176343</v>
      </c>
      <c r="I4241">
        <v>105.59050000000001</v>
      </c>
      <c r="J4241">
        <v>-193.59630000000001</v>
      </c>
      <c r="K4241">
        <v>1.0986290000000001</v>
      </c>
      <c r="L4241">
        <v>206.10659999999999</v>
      </c>
      <c r="M4241">
        <v>0.68876359999999903</v>
      </c>
      <c r="N4241">
        <v>0</v>
      </c>
      <c r="O4241">
        <v>-0.72480789999999995</v>
      </c>
      <c r="P4241">
        <v>0.64226640000000002</v>
      </c>
      <c r="Q4241">
        <v>1.6084810000000001E-2</v>
      </c>
      <c r="R4241">
        <v>-0.76631319999999903</v>
      </c>
      <c r="S4241">
        <v>0.78770450000000003</v>
      </c>
      <c r="T4241">
        <v>-3.2047989999999998E-2</v>
      </c>
      <c r="U4241">
        <v>-3.2907869999999999</v>
      </c>
      <c r="V4241">
        <v>6.3166280000000005E-2</v>
      </c>
      <c r="W4241">
        <v>3.0387790000000001E-2</v>
      </c>
      <c r="X4241">
        <v>0.99754030000000005</v>
      </c>
      <c r="Y4241">
        <v>0.50117889999999998</v>
      </c>
      <c r="Z4241">
        <v>5.1125459999999999E-3</v>
      </c>
      <c r="AA4241">
        <v>0.8653286</v>
      </c>
      <c r="AB4241">
        <v>27</v>
      </c>
      <c r="AC4241">
        <v>23.924900000000001</v>
      </c>
      <c r="AD4241">
        <v>-0.9809947</v>
      </c>
      <c r="AE4241">
        <v>-100.516099999999</v>
      </c>
      <c r="AF4241">
        <v>51.892897320140797</v>
      </c>
      <c r="AG4241">
        <v>-0.9809947</v>
      </c>
      <c r="AH4241">
        <v>89.336946253793002</v>
      </c>
      <c r="AI4241">
        <v>90.544018164149904</v>
      </c>
      <c r="AJ4241">
        <v>59.8491033415972</v>
      </c>
      <c r="AK4241">
        <v>103.319529174465</v>
      </c>
      <c r="AL4241">
        <v>88.258639854415406</v>
      </c>
      <c r="AM4241">
        <v>86.376752267830199</v>
      </c>
      <c r="AN4241">
        <v>1.0000000234171</v>
      </c>
    </row>
    <row r="4242" spans="1:40" x14ac:dyDescent="0.25">
      <c r="A4242" t="str">
        <f>"20190312160419337"</f>
        <v>20190312160419337</v>
      </c>
      <c r="B4242" t="str">
        <f>"1552377859329322"</f>
        <v>1552377859329322</v>
      </c>
      <c r="C4242" t="s">
        <v>40</v>
      </c>
      <c r="D4242">
        <v>5.5213469999999996</v>
      </c>
      <c r="E4242">
        <v>0.66059780000000001</v>
      </c>
      <c r="F4242" t="s">
        <v>49</v>
      </c>
      <c r="G4242">
        <v>-193.405</v>
      </c>
      <c r="H4242">
        <v>1.203891</v>
      </c>
      <c r="I4242">
        <v>205.47739999999999</v>
      </c>
      <c r="J4242">
        <v>-193.4298</v>
      </c>
      <c r="K4242">
        <v>1.098624</v>
      </c>
      <c r="L4242">
        <v>205.90870000000001</v>
      </c>
      <c r="M4242">
        <v>0.67795589999999994</v>
      </c>
      <c r="N4242">
        <v>0</v>
      </c>
      <c r="O4242">
        <v>-0.73492639999999998</v>
      </c>
      <c r="P4242">
        <v>0.63031969999999904</v>
      </c>
      <c r="Q4242">
        <v>1.6307430000000001E-2</v>
      </c>
      <c r="R4242">
        <v>-0.77616450000000003</v>
      </c>
      <c r="S4242">
        <v>0.94606020000000002</v>
      </c>
      <c r="T4242">
        <v>0.52053739999999904</v>
      </c>
      <c r="U4242">
        <v>-3.111008</v>
      </c>
      <c r="V4242">
        <v>6.3850680000000007E-2</v>
      </c>
      <c r="W4242">
        <v>3.0603700000000001E-2</v>
      </c>
      <c r="X4242">
        <v>0.99749010000000005</v>
      </c>
      <c r="Y4242">
        <v>0.4359847</v>
      </c>
      <c r="Z4242">
        <v>-9.1824279999999994E-2</v>
      </c>
      <c r="AA4242">
        <v>0.89525730000000003</v>
      </c>
      <c r="AB4242">
        <v>27</v>
      </c>
      <c r="AC4242">
        <v>2.4799999999999E-2</v>
      </c>
      <c r="AD4242">
        <v>0.105267</v>
      </c>
      <c r="AE4242">
        <v>-0.431300000000021</v>
      </c>
      <c r="AF4242">
        <v>0.25884330454884302</v>
      </c>
      <c r="AG4242">
        <v>0.105267</v>
      </c>
      <c r="AH4242">
        <v>0.31512051282912901</v>
      </c>
      <c r="AI4242">
        <v>75.525977440784402</v>
      </c>
      <c r="AJ4242">
        <v>50.599956884667598</v>
      </c>
      <c r="AK4242">
        <v>0.421167348217379</v>
      </c>
      <c r="AL4242">
        <v>88.246263321454606</v>
      </c>
      <c r="AM4242">
        <v>86.337417223289904</v>
      </c>
      <c r="AN4242">
        <v>0.99999999769408099</v>
      </c>
    </row>
    <row r="4243" spans="1:40" x14ac:dyDescent="0.25">
      <c r="A4243" t="str">
        <f>"20190312160419360"</f>
        <v>20190312160419360</v>
      </c>
      <c r="B4243" t="str">
        <f>"1552377859348842"</f>
        <v>1552377859348842</v>
      </c>
      <c r="C4243" t="s">
        <v>40</v>
      </c>
      <c r="D4243">
        <v>5.3509099999999998</v>
      </c>
      <c r="E4243">
        <v>0.65893349999999995</v>
      </c>
      <c r="F4243" t="s">
        <v>49</v>
      </c>
      <c r="G4243">
        <v>-193.25190000000001</v>
      </c>
      <c r="H4243">
        <v>1.200485</v>
      </c>
      <c r="I4243">
        <v>205.29069999999999</v>
      </c>
      <c r="J4243">
        <v>-193.2509</v>
      </c>
      <c r="K4243">
        <v>1.0986260000000001</v>
      </c>
      <c r="L4243">
        <v>205.6893</v>
      </c>
      <c r="M4243">
        <v>0.66592959999999901</v>
      </c>
      <c r="N4243">
        <v>0</v>
      </c>
      <c r="O4243">
        <v>-0.74584069999999902</v>
      </c>
      <c r="P4243">
        <v>0.61747719999999995</v>
      </c>
      <c r="Q4243">
        <v>1.6030389999999999E-2</v>
      </c>
      <c r="R4243">
        <v>-0.78642539999999905</v>
      </c>
      <c r="S4243">
        <v>0.90020750000000005</v>
      </c>
      <c r="T4243">
        <v>0.5147851</v>
      </c>
      <c r="U4243">
        <v>-3.123291</v>
      </c>
      <c r="V4243">
        <v>6.4040559999999996E-2</v>
      </c>
      <c r="W4243">
        <v>3.033346E-2</v>
      </c>
      <c r="X4243">
        <v>0.99748619999999999</v>
      </c>
      <c r="Y4243">
        <v>0.43447350000000001</v>
      </c>
      <c r="Z4243">
        <v>-9.30898E-2</v>
      </c>
      <c r="AA4243">
        <v>0.89586109999999897</v>
      </c>
      <c r="AB4243">
        <v>27</v>
      </c>
      <c r="AC4243">
        <v>-1.0000000000047701E-3</v>
      </c>
      <c r="AD4243">
        <v>0.10185899999999901</v>
      </c>
      <c r="AE4243">
        <v>-0.398600000000016</v>
      </c>
      <c r="AF4243">
        <v>0.249901060985563</v>
      </c>
      <c r="AG4243">
        <v>0.10185899999999901</v>
      </c>
      <c r="AH4243">
        <v>0.27847959065151801</v>
      </c>
      <c r="AI4243">
        <v>74.771497379793203</v>
      </c>
      <c r="AJ4243">
        <v>48.095940799462397</v>
      </c>
      <c r="AK4243">
        <v>0.38778431965739402</v>
      </c>
      <c r="AL4243">
        <v>88.261754156216497</v>
      </c>
      <c r="AM4243">
        <v>86.326540841989797</v>
      </c>
      <c r="AN4243">
        <v>1.00000001565556</v>
      </c>
    </row>
    <row r="4244" spans="1:40" x14ac:dyDescent="0.25">
      <c r="A4244" t="str">
        <f>"20190312160419383"</f>
        <v>20190312160419383</v>
      </c>
      <c r="B4244" t="str">
        <f>"1552377859379099"</f>
        <v>1552377859379099</v>
      </c>
      <c r="C4244" t="s">
        <v>40</v>
      </c>
      <c r="D4244">
        <v>5.4413869999999998</v>
      </c>
      <c r="E4244">
        <v>0.65587910000000005</v>
      </c>
      <c r="F4244" t="s">
        <v>49</v>
      </c>
      <c r="G4244">
        <v>-193.08349999999999</v>
      </c>
      <c r="H4244">
        <v>1.1959059999999999</v>
      </c>
      <c r="I4244">
        <v>205.0795</v>
      </c>
      <c r="J4244">
        <v>-193.07749999999999</v>
      </c>
      <c r="K4244">
        <v>1.0986260000000001</v>
      </c>
      <c r="L4244">
        <v>205.46969999999999</v>
      </c>
      <c r="M4244">
        <v>0.65383690000000005</v>
      </c>
      <c r="N4244">
        <v>0</v>
      </c>
      <c r="O4244">
        <v>-0.75646389999999997</v>
      </c>
      <c r="P4244">
        <v>0.60492239999999997</v>
      </c>
      <c r="Q4244">
        <v>1.5912619999999999E-2</v>
      </c>
      <c r="R4244">
        <v>-0.79612550000000004</v>
      </c>
      <c r="S4244">
        <v>0.859375</v>
      </c>
      <c r="T4244">
        <v>0.49918750000000001</v>
      </c>
      <c r="U4244">
        <v>-3.1298370000000002</v>
      </c>
      <c r="V4244">
        <v>6.3807260000000005E-2</v>
      </c>
      <c r="W4244">
        <v>3.0233369999999999E-2</v>
      </c>
      <c r="X4244">
        <v>0.99750419999999995</v>
      </c>
      <c r="Y4244">
        <v>0.43130570000000001</v>
      </c>
      <c r="Z4244">
        <v>-9.266692E-2</v>
      </c>
      <c r="AA4244">
        <v>0.89743419999999896</v>
      </c>
      <c r="AB4244">
        <v>27</v>
      </c>
      <c r="AC4244">
        <v>-6.0000000000002196E-3</v>
      </c>
      <c r="AD4244">
        <v>9.7279999999999797E-2</v>
      </c>
      <c r="AE4244">
        <v>-0.390199999999993</v>
      </c>
      <c r="AF4244">
        <v>0.24450610031065201</v>
      </c>
      <c r="AG4244">
        <v>9.7279999999999797E-2</v>
      </c>
      <c r="AH4244">
        <v>0.27424545459948901</v>
      </c>
      <c r="AI4244">
        <v>75.170156457670501</v>
      </c>
      <c r="AJ4244">
        <v>48.281101388924597</v>
      </c>
      <c r="AK4244">
        <v>0.38007525683422699</v>
      </c>
      <c r="AL4244">
        <v>88.267491540151497</v>
      </c>
      <c r="AM4244">
        <v>86.339952691094496</v>
      </c>
      <c r="AN4244">
        <v>1.0000000260539501</v>
      </c>
    </row>
    <row r="4245" spans="1:40" x14ac:dyDescent="0.25">
      <c r="A4245" t="str">
        <f>"20190312160419406"</f>
        <v>20190312160419406</v>
      </c>
      <c r="B4245" t="str">
        <f>"1552377859399594"</f>
        <v>1552377859399594</v>
      </c>
      <c r="C4245" t="s">
        <v>40</v>
      </c>
      <c r="D4245">
        <v>5.6722010000000003</v>
      </c>
      <c r="E4245">
        <v>0.6540589</v>
      </c>
      <c r="F4245" t="s">
        <v>49</v>
      </c>
      <c r="G4245">
        <v>-192.91489999999999</v>
      </c>
      <c r="H4245">
        <v>1.194437</v>
      </c>
      <c r="I4245">
        <v>204.8554</v>
      </c>
      <c r="J4245">
        <v>-192.91220000000001</v>
      </c>
      <c r="K4245">
        <v>1.098638</v>
      </c>
      <c r="L4245">
        <v>205.25309999999999</v>
      </c>
      <c r="M4245">
        <v>0.64187620000000001</v>
      </c>
      <c r="N4245">
        <v>0</v>
      </c>
      <c r="O4245">
        <v>-0.76663859999999995</v>
      </c>
      <c r="P4245">
        <v>0.592904599999999</v>
      </c>
      <c r="Q4245">
        <v>1.598815E-2</v>
      </c>
      <c r="R4245">
        <v>-0.80511390000000005</v>
      </c>
      <c r="S4245">
        <v>0.82905580000000001</v>
      </c>
      <c r="T4245">
        <v>0.48793690000000001</v>
      </c>
      <c r="U4245">
        <v>-3.128571</v>
      </c>
      <c r="V4245">
        <v>6.3114890000000007E-2</v>
      </c>
      <c r="W4245">
        <v>3.0338230000000001E-2</v>
      </c>
      <c r="X4245">
        <v>0.99754509999999996</v>
      </c>
      <c r="Y4245">
        <v>0.42516999999999999</v>
      </c>
      <c r="Z4245">
        <v>-9.3125719999999995E-2</v>
      </c>
      <c r="AA4245">
        <v>0.90031000000000005</v>
      </c>
      <c r="AB4245">
        <v>27</v>
      </c>
      <c r="AC4245">
        <v>-2.69999999997594E-3</v>
      </c>
      <c r="AD4245">
        <v>9.5798999999999898E-2</v>
      </c>
      <c r="AE4245">
        <v>-0.39769999999998601</v>
      </c>
      <c r="AF4245">
        <v>0.243263031566053</v>
      </c>
      <c r="AG4245">
        <v>9.5798999999999898E-2</v>
      </c>
      <c r="AH4245">
        <v>0.28657119479200299</v>
      </c>
      <c r="AI4245">
        <v>75.702349795643798</v>
      </c>
      <c r="AJ4245">
        <v>49.672915875983399</v>
      </c>
      <c r="AK4245">
        <v>0.387914166552632</v>
      </c>
      <c r="AL4245">
        <v>88.261480810170397</v>
      </c>
      <c r="AM4245">
        <v>86.379709553607398</v>
      </c>
      <c r="AN4245">
        <v>1.0000000620366201</v>
      </c>
    </row>
    <row r="4246" spans="1:40" x14ac:dyDescent="0.25">
      <c r="A4246" t="str">
        <f>"20190312160419427"</f>
        <v>20190312160419427</v>
      </c>
      <c r="B4246" t="str">
        <f>"1552377859419115"</f>
        <v>1552377859419115</v>
      </c>
      <c r="C4246" t="s">
        <v>40</v>
      </c>
      <c r="D4246">
        <v>5.8110290000000004</v>
      </c>
      <c r="E4246">
        <v>0.65230909999999998</v>
      </c>
      <c r="F4246" t="s">
        <v>49</v>
      </c>
      <c r="G4246">
        <v>-192.75559999999999</v>
      </c>
      <c r="H4246">
        <v>1.1930069999999999</v>
      </c>
      <c r="I4246">
        <v>204.6354</v>
      </c>
      <c r="J4246">
        <v>-192.75370000000001</v>
      </c>
      <c r="K4246">
        <v>1.098651</v>
      </c>
      <c r="L4246">
        <v>205.0385</v>
      </c>
      <c r="M4246">
        <v>0.62998750000000003</v>
      </c>
      <c r="N4246">
        <v>0</v>
      </c>
      <c r="O4246">
        <v>-0.77643790000000001</v>
      </c>
      <c r="P4246">
        <v>0.58169409999999999</v>
      </c>
      <c r="Q4246">
        <v>1.6472919999999999E-2</v>
      </c>
      <c r="R4246">
        <v>-0.81324129999999994</v>
      </c>
      <c r="S4246">
        <v>0.79382319999999995</v>
      </c>
      <c r="T4246">
        <v>0.47849209999999898</v>
      </c>
      <c r="U4246">
        <v>-3.1321110000000001</v>
      </c>
      <c r="V4246">
        <v>6.1570720000000002E-2</v>
      </c>
      <c r="W4246">
        <v>3.0876319999999999E-2</v>
      </c>
      <c r="X4246">
        <v>0.99762510000000004</v>
      </c>
      <c r="Y4246">
        <v>0.4209813</v>
      </c>
      <c r="Z4246">
        <v>-9.3549450000000006E-2</v>
      </c>
      <c r="AA4246">
        <v>0.90223229999999999</v>
      </c>
      <c r="AB4246">
        <v>27</v>
      </c>
      <c r="AC4246">
        <v>-1.8999999999778001E-3</v>
      </c>
      <c r="AD4246">
        <v>9.4355999999999801E-2</v>
      </c>
      <c r="AE4246">
        <v>-0.40309999999999402</v>
      </c>
      <c r="AF4246">
        <v>0.24218690015107699</v>
      </c>
      <c r="AG4246">
        <v>9.4355999999999801E-2</v>
      </c>
      <c r="AH4246">
        <v>0.29562811390125698</v>
      </c>
      <c r="AI4246">
        <v>76.131140800211099</v>
      </c>
      <c r="AJ4246">
        <v>50.6746974991268</v>
      </c>
      <c r="AK4246">
        <v>0.39364137367609398</v>
      </c>
      <c r="AL4246">
        <v>88.230636089417402</v>
      </c>
      <c r="AM4246">
        <v>86.468339137603607</v>
      </c>
      <c r="AN4246">
        <v>1.0000000704240299</v>
      </c>
    </row>
    <row r="4247" spans="1:40" x14ac:dyDescent="0.25">
      <c r="A4247" t="str">
        <f>"20190312160419449"</f>
        <v>20190312160419449</v>
      </c>
      <c r="B4247" t="str">
        <f>"1552377859439612"</f>
        <v>1552377859439612</v>
      </c>
      <c r="C4247" t="s">
        <v>40</v>
      </c>
      <c r="D4247">
        <v>5.768275</v>
      </c>
      <c r="E4247">
        <v>0.65174200000000004</v>
      </c>
      <c r="F4247" t="s">
        <v>49</v>
      </c>
      <c r="G4247">
        <v>-192.5728</v>
      </c>
      <c r="H4247">
        <v>1.2105629999999901</v>
      </c>
      <c r="I4247">
        <v>204.29419999999999</v>
      </c>
      <c r="J4247">
        <v>-192.6001</v>
      </c>
      <c r="K4247">
        <v>1.09866</v>
      </c>
      <c r="L4247">
        <v>204.82329999999999</v>
      </c>
      <c r="M4247">
        <v>0.61803839999999999</v>
      </c>
      <c r="N4247">
        <v>0</v>
      </c>
      <c r="O4247">
        <v>-0.78598230000000002</v>
      </c>
      <c r="P4247">
        <v>0.57087639999999995</v>
      </c>
      <c r="Q4247">
        <v>1.6326719999999999E-2</v>
      </c>
      <c r="R4247">
        <v>-0.82087399999999999</v>
      </c>
      <c r="S4247">
        <v>0.76214599999999999</v>
      </c>
      <c r="T4247">
        <v>0.47125630000000002</v>
      </c>
      <c r="U4247">
        <v>-3.1342159999999999</v>
      </c>
      <c r="V4247">
        <v>5.951679E-2</v>
      </c>
      <c r="W4247">
        <v>3.0795300000000001E-2</v>
      </c>
      <c r="X4247">
        <v>0.99775219999999998</v>
      </c>
      <c r="Y4247">
        <v>0.41586260000000003</v>
      </c>
      <c r="Z4247">
        <v>-9.4337389999999993E-2</v>
      </c>
      <c r="AA4247">
        <v>0.90452129999999997</v>
      </c>
      <c r="AB4247">
        <v>27</v>
      </c>
      <c r="AC4247">
        <v>2.7299999999996698E-2</v>
      </c>
      <c r="AD4247">
        <v>0.111902999999999</v>
      </c>
      <c r="AE4247">
        <v>-0.52909999999999902</v>
      </c>
      <c r="AF4247">
        <v>0.29253592450823002</v>
      </c>
      <c r="AG4247">
        <v>0.111902999999999</v>
      </c>
      <c r="AH4247">
        <v>0.41430881586040802</v>
      </c>
      <c r="AI4247">
        <v>77.557680133272896</v>
      </c>
      <c r="AJ4247">
        <v>54.774779707447301</v>
      </c>
      <c r="AK4247">
        <v>0.51937591726661503</v>
      </c>
      <c r="AL4247">
        <v>88.235280322736998</v>
      </c>
      <c r="AM4247">
        <v>86.586301788801407</v>
      </c>
      <c r="AN4247">
        <v>1.0000000256994099</v>
      </c>
    </row>
    <row r="4248" spans="1:40" x14ac:dyDescent="0.25">
      <c r="A4248" t="str">
        <f>"20190312160419471"</f>
        <v>20190312160419471</v>
      </c>
      <c r="B4248" t="str">
        <f>"1552377859459138"</f>
        <v>1552377859459138</v>
      </c>
      <c r="C4248" t="s">
        <v>40</v>
      </c>
      <c r="D4248">
        <v>5.3898739999999998</v>
      </c>
      <c r="E4248">
        <v>0.64895570000000002</v>
      </c>
      <c r="F4248" t="s">
        <v>49</v>
      </c>
      <c r="G4248">
        <v>-192.43360000000001</v>
      </c>
      <c r="H4248">
        <v>1.20581</v>
      </c>
      <c r="I4248">
        <v>204.1002</v>
      </c>
      <c r="J4248">
        <v>-192.44540000000001</v>
      </c>
      <c r="K4248">
        <v>1.0986670000000001</v>
      </c>
      <c r="L4248">
        <v>204.5992</v>
      </c>
      <c r="M4248">
        <v>0.6055661</v>
      </c>
      <c r="N4248">
        <v>0</v>
      </c>
      <c r="O4248">
        <v>-0.79563130000000004</v>
      </c>
      <c r="P4248">
        <v>0.55913480000000004</v>
      </c>
      <c r="Q4248">
        <v>1.6164390000000001E-2</v>
      </c>
      <c r="R4248">
        <v>-0.82891909999999902</v>
      </c>
      <c r="S4248">
        <v>0.72422790000000004</v>
      </c>
      <c r="T4248">
        <v>0.46557470000000001</v>
      </c>
      <c r="U4248">
        <v>-3.141724</v>
      </c>
      <c r="V4248">
        <v>5.7978849999999998E-2</v>
      </c>
      <c r="W4248">
        <v>3.068282E-2</v>
      </c>
      <c r="X4248">
        <v>0.99784620000000002</v>
      </c>
      <c r="Y4248">
        <v>0.41237469999999998</v>
      </c>
      <c r="Z4248">
        <v>-9.5196840000000005E-2</v>
      </c>
      <c r="AA4248">
        <v>0.90602680000000002</v>
      </c>
      <c r="AB4248">
        <v>27</v>
      </c>
      <c r="AC4248">
        <v>1.17999999999938E-2</v>
      </c>
      <c r="AD4248">
        <v>0.107143</v>
      </c>
      <c r="AE4248">
        <v>-0.498999999999995</v>
      </c>
      <c r="AF4248">
        <v>0.27992891205553599</v>
      </c>
      <c r="AG4248">
        <v>0.107143</v>
      </c>
      <c r="AH4248">
        <v>0.38641359807643499</v>
      </c>
      <c r="AI4248">
        <v>77.344372904444299</v>
      </c>
      <c r="AJ4248">
        <v>54.079367801448399</v>
      </c>
      <c r="AK4248">
        <v>0.48903505705825701</v>
      </c>
      <c r="AL4248">
        <v>88.241727972316099</v>
      </c>
      <c r="AM4248">
        <v>86.674625223144901</v>
      </c>
      <c r="AN4248">
        <v>1.00000001067245</v>
      </c>
    </row>
    <row r="4249" spans="1:40" x14ac:dyDescent="0.25">
      <c r="A4249" t="str">
        <f>"20190312160419495"</f>
        <v>20190312160419495</v>
      </c>
      <c r="B4249" t="str">
        <f>"1552377859489390"</f>
        <v>1552377859489390</v>
      </c>
      <c r="C4249" t="s">
        <v>40</v>
      </c>
      <c r="D4249">
        <v>5.6274170000000003</v>
      </c>
      <c r="E4249">
        <v>0.64271350000000005</v>
      </c>
      <c r="F4249" t="s">
        <v>56</v>
      </c>
      <c r="G4249">
        <v>-168.8595</v>
      </c>
      <c r="H4249">
        <v>3.8108909999999998</v>
      </c>
      <c r="I4249">
        <v>97.334800000000001</v>
      </c>
      <c r="J4249">
        <v>-192.28980000000001</v>
      </c>
      <c r="K4249">
        <v>1.0986940000000001</v>
      </c>
      <c r="L4249">
        <v>204.3657</v>
      </c>
      <c r="M4249">
        <v>0.59254700000000005</v>
      </c>
      <c r="N4249">
        <v>0</v>
      </c>
      <c r="O4249">
        <v>-0.80537409999999998</v>
      </c>
      <c r="P4249">
        <v>0.54643799999999998</v>
      </c>
      <c r="Q4249">
        <v>1.685882E-2</v>
      </c>
      <c r="R4249">
        <v>-0.83732980000000001</v>
      </c>
      <c r="S4249">
        <v>0.69271850000000001</v>
      </c>
      <c r="T4249">
        <v>7.9657790000000006E-2</v>
      </c>
      <c r="U4249">
        <v>-3.1503450000000002</v>
      </c>
      <c r="V4249">
        <v>5.6966599999999902E-2</v>
      </c>
      <c r="W4249">
        <v>3.1410599999999997E-2</v>
      </c>
      <c r="X4249">
        <v>0.99788180000000004</v>
      </c>
      <c r="Y4249">
        <v>0.40584379999999998</v>
      </c>
      <c r="Z4249">
        <v>-1.6783969999999999E-2</v>
      </c>
      <c r="AA4249">
        <v>0.9137883</v>
      </c>
      <c r="AB4249">
        <v>27</v>
      </c>
      <c r="AC4249">
        <v>23.430299999999999</v>
      </c>
      <c r="AD4249">
        <v>2.7121970000000002</v>
      </c>
      <c r="AE4249">
        <v>-107.0309</v>
      </c>
      <c r="AF4249">
        <v>44.529202274581202</v>
      </c>
      <c r="AG4249">
        <v>2.7121970000000002</v>
      </c>
      <c r="AH4249">
        <v>100.035214520043</v>
      </c>
      <c r="AI4249">
        <v>88.581114339479598</v>
      </c>
      <c r="AJ4249">
        <v>66.004466977597602</v>
      </c>
      <c r="AK4249">
        <v>109.531958860637</v>
      </c>
      <c r="AL4249">
        <v>88.200009034448797</v>
      </c>
      <c r="AM4249">
        <v>86.732672192895393</v>
      </c>
      <c r="AN4249">
        <v>0.999999953039579</v>
      </c>
    </row>
    <row r="4250" spans="1:40" x14ac:dyDescent="0.25">
      <c r="A4250" t="str">
        <f>"20190312160419516"</f>
        <v>20190312160419516</v>
      </c>
      <c r="B4250" t="str">
        <f>"1552377859508910"</f>
        <v>1552377859508910</v>
      </c>
      <c r="C4250" t="s">
        <v>40</v>
      </c>
      <c r="D4250">
        <v>5.6766690000000004</v>
      </c>
      <c r="E4250">
        <v>0.64037730000000004</v>
      </c>
      <c r="F4250" t="s">
        <v>56</v>
      </c>
      <c r="G4250">
        <v>-169.94220000000001</v>
      </c>
      <c r="H4250">
        <v>7.6292669999999996</v>
      </c>
      <c r="I4250">
        <v>102.6498</v>
      </c>
      <c r="J4250">
        <v>-192.1447</v>
      </c>
      <c r="K4250">
        <v>1.098724</v>
      </c>
      <c r="L4250">
        <v>204.1405</v>
      </c>
      <c r="M4250">
        <v>0.57995790000000003</v>
      </c>
      <c r="N4250">
        <v>0</v>
      </c>
      <c r="O4250">
        <v>-0.8144865</v>
      </c>
      <c r="P4250">
        <v>0.53491140000000004</v>
      </c>
      <c r="Q4250">
        <v>1.777581E-2</v>
      </c>
      <c r="R4250">
        <v>-0.844721099999999</v>
      </c>
      <c r="S4250">
        <v>0.68768309999999999</v>
      </c>
      <c r="T4250">
        <v>0.2009592</v>
      </c>
      <c r="U4250">
        <v>-3.1300050000000001</v>
      </c>
      <c r="V4250">
        <v>5.5144680000000001E-2</v>
      </c>
      <c r="W4250">
        <v>3.2383330000000002E-2</v>
      </c>
      <c r="X4250">
        <v>0.99795310000000004</v>
      </c>
      <c r="Y4250">
        <v>0.39191599999999999</v>
      </c>
      <c r="Z4250">
        <v>-4.3583320000000002E-2</v>
      </c>
      <c r="AA4250">
        <v>0.91896809999999995</v>
      </c>
      <c r="AB4250">
        <v>26</v>
      </c>
      <c r="AC4250">
        <v>22.202499999999901</v>
      </c>
      <c r="AD4250">
        <v>6.5305429999999998</v>
      </c>
      <c r="AE4250">
        <v>-101.4907</v>
      </c>
      <c r="AF4250">
        <v>40.621501325050701</v>
      </c>
      <c r="AG4250">
        <v>6.5305429999999998</v>
      </c>
      <c r="AH4250">
        <v>95.175699304917799</v>
      </c>
      <c r="AI4250">
        <v>86.388965427176998</v>
      </c>
      <c r="AJ4250">
        <v>66.886949382651693</v>
      </c>
      <c r="AK4250">
        <v>103.687839691817</v>
      </c>
      <c r="AL4250">
        <v>88.144247424733294</v>
      </c>
      <c r="AM4250">
        <v>86.837178537225498</v>
      </c>
      <c r="AN4250">
        <v>1.0000000027969</v>
      </c>
    </row>
    <row r="4251" spans="1:40" x14ac:dyDescent="0.25">
      <c r="A4251" t="str">
        <f>"20190312160419538"</f>
        <v>20190312160419538</v>
      </c>
      <c r="B4251" t="str">
        <f>"1552377859529403"</f>
        <v>1552377859529403</v>
      </c>
      <c r="C4251" t="s">
        <v>40</v>
      </c>
      <c r="D4251">
        <v>5.7459040000000003</v>
      </c>
      <c r="E4251">
        <v>0.63897740000000003</v>
      </c>
      <c r="F4251" t="s">
        <v>56</v>
      </c>
      <c r="G4251">
        <v>-168.8802</v>
      </c>
      <c r="H4251">
        <v>9.0774690000000007</v>
      </c>
      <c r="I4251">
        <v>93.992710000000002</v>
      </c>
      <c r="J4251">
        <v>-192.00579999999999</v>
      </c>
      <c r="K4251">
        <v>1.0987499999999999</v>
      </c>
      <c r="L4251">
        <v>203.91749999999999</v>
      </c>
      <c r="M4251">
        <v>0.56746419999999997</v>
      </c>
      <c r="N4251">
        <v>0</v>
      </c>
      <c r="O4251">
        <v>-0.82323989999999903</v>
      </c>
      <c r="P4251">
        <v>0.52379569999999998</v>
      </c>
      <c r="Q4251">
        <v>1.837917E-2</v>
      </c>
      <c r="R4251">
        <v>-0.85164569999999995</v>
      </c>
      <c r="S4251">
        <v>0.66073609999999905</v>
      </c>
      <c r="T4251">
        <v>0.22660469999999999</v>
      </c>
      <c r="U4251">
        <v>-3.1283110000000001</v>
      </c>
      <c r="V4251">
        <v>5.3004030000000001E-2</v>
      </c>
      <c r="W4251">
        <v>3.3049589999999997E-2</v>
      </c>
      <c r="X4251">
        <v>0.99804720000000002</v>
      </c>
      <c r="Y4251">
        <v>0.38539299999999999</v>
      </c>
      <c r="Z4251">
        <v>-5.0181299999999998E-2</v>
      </c>
      <c r="AA4251">
        <v>0.92138699999999996</v>
      </c>
      <c r="AB4251">
        <v>26</v>
      </c>
      <c r="AC4251">
        <v>23.125599999999899</v>
      </c>
      <c r="AD4251">
        <v>7.9787189999999999</v>
      </c>
      <c r="AE4251">
        <v>-109.92479</v>
      </c>
      <c r="AF4251">
        <v>43.128525087023696</v>
      </c>
      <c r="AG4251">
        <v>7.9787189999999999</v>
      </c>
      <c r="AH4251">
        <v>103.11071868601201</v>
      </c>
      <c r="AI4251">
        <v>85.916753347298197</v>
      </c>
      <c r="AJ4251">
        <v>67.301713347570995</v>
      </c>
      <c r="AK4251">
        <v>112.051550373071</v>
      </c>
      <c r="AL4251">
        <v>88.106053006775895</v>
      </c>
      <c r="AM4251">
        <v>86.960006592798607</v>
      </c>
      <c r="AN4251">
        <v>0.999999958011623</v>
      </c>
    </row>
    <row r="4252" spans="1:40" x14ac:dyDescent="0.25">
      <c r="A4252" t="str">
        <f>"20190312160419561"</f>
        <v>20190312160419561</v>
      </c>
      <c r="B4252" t="str">
        <f>"1552377859559658"</f>
        <v>1552377859559658</v>
      </c>
      <c r="C4252" t="s">
        <v>40</v>
      </c>
      <c r="D4252">
        <v>5.755846</v>
      </c>
      <c r="E4252">
        <v>0.637378</v>
      </c>
      <c r="F4252" t="s">
        <v>56</v>
      </c>
      <c r="G4252">
        <v>-169.67449999999999</v>
      </c>
      <c r="H4252">
        <v>9.5347329999999992</v>
      </c>
      <c r="I4252">
        <v>92.87012</v>
      </c>
      <c r="J4252">
        <v>-191.8631</v>
      </c>
      <c r="K4252">
        <v>1.098773</v>
      </c>
      <c r="L4252">
        <v>203.68010000000001</v>
      </c>
      <c r="M4252">
        <v>0.55414869999999905</v>
      </c>
      <c r="N4252">
        <v>0</v>
      </c>
      <c r="O4252">
        <v>-0.83226129999999998</v>
      </c>
      <c r="P4252">
        <v>0.51094669999999998</v>
      </c>
      <c r="Q4252">
        <v>1.6735380000000001E-2</v>
      </c>
      <c r="R4252">
        <v>-0.85944940000000003</v>
      </c>
      <c r="S4252">
        <v>0.62948609999999905</v>
      </c>
      <c r="T4252">
        <v>0.23779729999999999</v>
      </c>
      <c r="U4252">
        <v>-3.1302490000000001</v>
      </c>
      <c r="V4252">
        <v>5.1909370000000003E-2</v>
      </c>
      <c r="W4252">
        <v>3.1438239999999999E-2</v>
      </c>
      <c r="X4252">
        <v>0.99815679999999996</v>
      </c>
      <c r="Y4252">
        <v>0.37951689999999999</v>
      </c>
      <c r="Z4252">
        <v>-5.3724340000000002E-2</v>
      </c>
      <c r="AA4252">
        <v>0.92362359999999999</v>
      </c>
      <c r="AB4252">
        <v>26</v>
      </c>
      <c r="AC4252">
        <v>22.188600000000001</v>
      </c>
      <c r="AD4252">
        <v>8.4359599999999997</v>
      </c>
      <c r="AE4252">
        <v>-110.80998</v>
      </c>
      <c r="AF4252">
        <v>42.706110746380403</v>
      </c>
      <c r="AG4252">
        <v>8.4359599999999997</v>
      </c>
      <c r="AH4252">
        <v>103.95298839704201</v>
      </c>
      <c r="AI4252">
        <v>85.707195153224504</v>
      </c>
      <c r="AJ4252">
        <v>67.6660931543435</v>
      </c>
      <c r="AK4252">
        <v>112.699605646511</v>
      </c>
      <c r="AL4252">
        <v>88.198424629805501</v>
      </c>
      <c r="AM4252">
        <v>87.023001909830498</v>
      </c>
      <c r="AN4252">
        <v>0.99999997150716602</v>
      </c>
    </row>
    <row r="4253" spans="1:40" x14ac:dyDescent="0.25">
      <c r="A4253" t="str">
        <f>"20190312160419585"</f>
        <v>20190312160419585</v>
      </c>
      <c r="B4253" t="str">
        <f>"1552377859579179"</f>
        <v>1552377859579179</v>
      </c>
      <c r="C4253" t="s">
        <v>40</v>
      </c>
      <c r="D4253">
        <v>4.4309260000000004</v>
      </c>
      <c r="E4253">
        <v>0.63595400000000002</v>
      </c>
      <c r="F4253" t="s">
        <v>56</v>
      </c>
      <c r="G4253">
        <v>-168.86160000000001</v>
      </c>
      <c r="H4253">
        <v>10.179679999999999</v>
      </c>
      <c r="I4253">
        <v>82.254649999999998</v>
      </c>
      <c r="J4253">
        <v>-191.72380000000001</v>
      </c>
      <c r="K4253">
        <v>1.0988020000000001</v>
      </c>
      <c r="L4253">
        <v>203.43969999999999</v>
      </c>
      <c r="M4253">
        <v>0.54063899999999998</v>
      </c>
      <c r="N4253">
        <v>0</v>
      </c>
      <c r="O4253">
        <v>-0.84109990000000001</v>
      </c>
      <c r="P4253">
        <v>0.49678070000000002</v>
      </c>
      <c r="Q4253">
        <v>1.4770709999999999E-2</v>
      </c>
      <c r="R4253">
        <v>-0.86775049999999898</v>
      </c>
      <c r="S4253">
        <v>0.59352109999999902</v>
      </c>
      <c r="T4253">
        <v>0.2343199</v>
      </c>
      <c r="U4253">
        <v>-3.1332089999999999</v>
      </c>
      <c r="V4253">
        <v>5.2129000000000002E-2</v>
      </c>
      <c r="W4253">
        <v>2.9468390000000001E-2</v>
      </c>
      <c r="X4253">
        <v>0.99820549999999997</v>
      </c>
      <c r="Y4253">
        <v>0.37495810000000002</v>
      </c>
      <c r="Z4253">
        <v>-5.3951829999999999E-2</v>
      </c>
      <c r="AA4253">
        <v>0.92547049999999997</v>
      </c>
      <c r="AB4253">
        <v>26</v>
      </c>
      <c r="AC4253">
        <v>22.862200000000001</v>
      </c>
      <c r="AD4253">
        <v>9.0808780000000002</v>
      </c>
      <c r="AE4253">
        <v>-121.18505</v>
      </c>
      <c r="AF4253">
        <v>46.044340578928001</v>
      </c>
      <c r="AG4253">
        <v>9.0808780000000002</v>
      </c>
      <c r="AH4253">
        <v>113.68738836587001</v>
      </c>
      <c r="AI4253">
        <v>85.765870081543298</v>
      </c>
      <c r="AJ4253">
        <v>67.951641965422397</v>
      </c>
      <c r="AK4253">
        <v>122.993357211076</v>
      </c>
      <c r="AL4253">
        <v>88.311341195346998</v>
      </c>
      <c r="AM4253">
        <v>87.010574537828603</v>
      </c>
      <c r="AN4253">
        <v>1.0000000194402201</v>
      </c>
    </row>
    <row r="4254" spans="1:40" x14ac:dyDescent="0.25">
      <c r="A4254" t="str">
        <f>"20190312160419606"</f>
        <v>20190312160419606</v>
      </c>
      <c r="B4254" t="str">
        <f>"1552377859599674"</f>
        <v>1552377859599674</v>
      </c>
      <c r="C4254" t="s">
        <v>40</v>
      </c>
      <c r="D4254">
        <v>5.6943720000000004</v>
      </c>
      <c r="E4254">
        <v>0.63524809999999998</v>
      </c>
      <c r="F4254" t="s">
        <v>56</v>
      </c>
      <c r="G4254">
        <v>-168.86160000000001</v>
      </c>
      <c r="H4254">
        <v>10.28646</v>
      </c>
      <c r="I4254">
        <v>73.422619999999995</v>
      </c>
      <c r="J4254">
        <v>-191.59559999999999</v>
      </c>
      <c r="K4254">
        <v>1.0988420000000001</v>
      </c>
      <c r="L4254">
        <v>203.21029999999999</v>
      </c>
      <c r="M4254">
        <v>0.52772779999999997</v>
      </c>
      <c r="N4254">
        <v>0</v>
      </c>
      <c r="O4254">
        <v>-0.84926049999999997</v>
      </c>
      <c r="P4254">
        <v>0.48290840000000002</v>
      </c>
      <c r="Q4254">
        <v>1.4674619999999999E-2</v>
      </c>
      <c r="R4254">
        <v>-0.87554799999999999</v>
      </c>
      <c r="S4254">
        <v>0.55171199999999998</v>
      </c>
      <c r="T4254">
        <v>0.22171779999999999</v>
      </c>
      <c r="U4254">
        <v>-3.1375890000000002</v>
      </c>
      <c r="V4254">
        <v>5.2762259999999998E-2</v>
      </c>
      <c r="W4254">
        <v>2.9354470000000001E-2</v>
      </c>
      <c r="X4254">
        <v>0.99817560000000005</v>
      </c>
      <c r="Y4254">
        <v>0.3729478</v>
      </c>
      <c r="Z4254">
        <v>-5.1895709999999998E-2</v>
      </c>
      <c r="AA4254">
        <v>0.92639990000000005</v>
      </c>
      <c r="AB4254">
        <v>26</v>
      </c>
      <c r="AC4254">
        <v>22.733999999999899</v>
      </c>
      <c r="AD4254">
        <v>9.1876179999999898</v>
      </c>
      <c r="AE4254">
        <v>-129.78767999999999</v>
      </c>
      <c r="AF4254">
        <v>48.953860050793999</v>
      </c>
      <c r="AG4254">
        <v>9.1876179999999898</v>
      </c>
      <c r="AH4254">
        <v>121.645365203312</v>
      </c>
      <c r="AI4254">
        <v>85.992007026042998</v>
      </c>
      <c r="AJ4254">
        <v>68.078619484578297</v>
      </c>
      <c r="AK4254">
        <v>131.447661119678</v>
      </c>
      <c r="AL4254">
        <v>88.317871181046698</v>
      </c>
      <c r="AM4254">
        <v>86.9742357833113</v>
      </c>
      <c r="AN4254">
        <v>1.0000000347123199</v>
      </c>
    </row>
    <row r="4255" spans="1:40" x14ac:dyDescent="0.25">
      <c r="A4255" t="str">
        <f>"20190312160419628"</f>
        <v>20190312160419628</v>
      </c>
      <c r="B4255" t="str">
        <f>"1552377859619198"</f>
        <v>1552377859619198</v>
      </c>
      <c r="C4255" t="s">
        <v>40</v>
      </c>
      <c r="D4255">
        <v>5.5063190000000004</v>
      </c>
      <c r="E4255">
        <v>0.63531419999999905</v>
      </c>
      <c r="F4255" t="s">
        <v>57</v>
      </c>
      <c r="G4255">
        <v>-167.33269999999999</v>
      </c>
      <c r="H4255">
        <v>11.24499</v>
      </c>
      <c r="I4255">
        <v>52.638840000000002</v>
      </c>
      <c r="J4255">
        <v>-191.47200000000001</v>
      </c>
      <c r="K4255">
        <v>1.0988800000000001</v>
      </c>
      <c r="L4255">
        <v>202.98070000000001</v>
      </c>
      <c r="M4255">
        <v>0.51478869999999999</v>
      </c>
      <c r="N4255">
        <v>0</v>
      </c>
      <c r="O4255">
        <v>-0.85716530000000002</v>
      </c>
      <c r="P4255">
        <v>0.46977000000000002</v>
      </c>
      <c r="Q4255">
        <v>1.5085930000000001E-2</v>
      </c>
      <c r="R4255">
        <v>-0.88266009999999995</v>
      </c>
      <c r="S4255">
        <v>0.50654600000000005</v>
      </c>
      <c r="T4255">
        <v>0.21182509999999999</v>
      </c>
      <c r="U4255">
        <v>-3.1435390000000001</v>
      </c>
      <c r="V4255">
        <v>5.2547969999999999E-2</v>
      </c>
      <c r="W4255">
        <v>2.9771519999999999E-2</v>
      </c>
      <c r="X4255">
        <v>0.99817449999999996</v>
      </c>
      <c r="Y4255">
        <v>0.37210700000000002</v>
      </c>
      <c r="Z4255">
        <v>-5.0321339999999999E-2</v>
      </c>
      <c r="AA4255">
        <v>0.92682469999999995</v>
      </c>
      <c r="AB4255">
        <v>26</v>
      </c>
      <c r="AC4255">
        <v>24.139299999999999</v>
      </c>
      <c r="AD4255">
        <v>10.14611</v>
      </c>
      <c r="AE4255">
        <v>-150.34186</v>
      </c>
      <c r="AF4255">
        <v>56.459618223217298</v>
      </c>
      <c r="AG4255">
        <v>10.14611</v>
      </c>
      <c r="AH4255">
        <v>140.688195055325</v>
      </c>
      <c r="AI4255">
        <v>86.170942680498101</v>
      </c>
      <c r="AJ4255">
        <v>68.133901477623496</v>
      </c>
      <c r="AK4255">
        <v>151.93353897664801</v>
      </c>
      <c r="AL4255">
        <v>88.293965439055398</v>
      </c>
      <c r="AM4255">
        <v>86.986498688555301</v>
      </c>
      <c r="AN4255">
        <v>0.99999998250223998</v>
      </c>
    </row>
    <row r="4256" spans="1:40" x14ac:dyDescent="0.25">
      <c r="A4256" t="str">
        <f>"20190312160419640"</f>
        <v>20190312160419640</v>
      </c>
      <c r="B4256" t="str">
        <f>"1552377859628955"</f>
        <v>1552377859628955</v>
      </c>
      <c r="C4256" t="s">
        <v>40</v>
      </c>
      <c r="D4256">
        <v>5.7967209999999998</v>
      </c>
      <c r="E4256">
        <v>0.63547779999999998</v>
      </c>
      <c r="F4256" t="s">
        <v>57</v>
      </c>
      <c r="G4256">
        <v>-168.67660000000001</v>
      </c>
      <c r="H4256">
        <v>12.430759999999999</v>
      </c>
      <c r="I4256">
        <v>46.64141</v>
      </c>
      <c r="J4256">
        <v>-191.40299999999999</v>
      </c>
      <c r="K4256">
        <v>1.098895</v>
      </c>
      <c r="L4256">
        <v>202.84809999999999</v>
      </c>
      <c r="M4256">
        <v>0.50731599999999999</v>
      </c>
      <c r="N4256">
        <v>0</v>
      </c>
      <c r="O4256">
        <v>-0.86160930000000002</v>
      </c>
      <c r="P4256">
        <v>0.46222809999999998</v>
      </c>
      <c r="Q4256">
        <v>1.4679599999999999E-2</v>
      </c>
      <c r="R4256">
        <v>-0.88663979999999998</v>
      </c>
      <c r="S4256">
        <v>0.4593506</v>
      </c>
      <c r="T4256">
        <v>0.22834960000000001</v>
      </c>
      <c r="U4256">
        <v>-3.1504059999999998</v>
      </c>
      <c r="V4256">
        <v>5.2369190000000003E-2</v>
      </c>
      <c r="W4256">
        <v>2.9368769999999999E-2</v>
      </c>
      <c r="X4256">
        <v>0.99819579999999997</v>
      </c>
      <c r="Y4256">
        <v>0.37793840000000001</v>
      </c>
      <c r="Z4256">
        <v>-5.4537929999999998E-2</v>
      </c>
      <c r="AA4256">
        <v>0.92422300000000002</v>
      </c>
      <c r="AB4256">
        <v>26</v>
      </c>
      <c r="AC4256">
        <v>22.726399999999899</v>
      </c>
      <c r="AD4256">
        <v>11.331864999999899</v>
      </c>
      <c r="AE4256">
        <v>-156.20668999999901</v>
      </c>
      <c r="AF4256">
        <v>59.366680920310998</v>
      </c>
      <c r="AG4256">
        <v>11.331864999999899</v>
      </c>
      <c r="AH4256">
        <v>145.388327907909</v>
      </c>
      <c r="AI4256">
        <v>85.872792300540794</v>
      </c>
      <c r="AJ4256">
        <v>67.788243501993705</v>
      </c>
      <c r="AK4256">
        <v>157.45024566424101</v>
      </c>
      <c r="AL4256">
        <v>88.317051365392601</v>
      </c>
      <c r="AM4256">
        <v>86.996796463763701</v>
      </c>
      <c r="AN4256">
        <v>0.99999995592510305</v>
      </c>
    </row>
    <row r="4257" spans="1:40" x14ac:dyDescent="0.25">
      <c r="A4257" t="str">
        <f>"20190312160419652"</f>
        <v>20190312160419652</v>
      </c>
      <c r="B4257" t="str">
        <f>"1552377859649451"</f>
        <v>1552377859649451</v>
      </c>
      <c r="C4257" t="s">
        <v>40</v>
      </c>
      <c r="D4257">
        <v>5.6340469999999998</v>
      </c>
      <c r="E4257">
        <v>0.63557299999999906</v>
      </c>
      <c r="F4257" t="s">
        <v>57</v>
      </c>
      <c r="G4257">
        <v>-169.08629999999999</v>
      </c>
      <c r="H4257">
        <v>13.11863</v>
      </c>
      <c r="I4257">
        <v>39.701340000000002</v>
      </c>
      <c r="J4257">
        <v>-191.339</v>
      </c>
      <c r="K4257">
        <v>1.098913</v>
      </c>
      <c r="L4257">
        <v>202.72329999999999</v>
      </c>
      <c r="M4257">
        <v>0.50027179999999905</v>
      </c>
      <c r="N4257">
        <v>0</v>
      </c>
      <c r="O4257">
        <v>-0.86571849999999995</v>
      </c>
      <c r="P4257">
        <v>0.45499600000000001</v>
      </c>
      <c r="Q4257">
        <v>1.424914E-2</v>
      </c>
      <c r="R4257">
        <v>-0.89037960000000005</v>
      </c>
      <c r="S4257">
        <v>0.43153380000000002</v>
      </c>
      <c r="T4257">
        <v>0.23242350000000001</v>
      </c>
      <c r="U4257">
        <v>-3.1547390000000002</v>
      </c>
      <c r="V4257">
        <v>5.2342979999999997E-2</v>
      </c>
      <c r="W4257">
        <v>2.8938849999999999E-2</v>
      </c>
      <c r="X4257">
        <v>0.99820980000000004</v>
      </c>
      <c r="Y4257">
        <v>0.37856689999999998</v>
      </c>
      <c r="Z4257">
        <v>-5.5885940000000002E-2</v>
      </c>
      <c r="AA4257">
        <v>0.92388519999999996</v>
      </c>
      <c r="AB4257">
        <v>26</v>
      </c>
      <c r="AC4257">
        <v>22.252700000000001</v>
      </c>
      <c r="AD4257">
        <v>12.019717</v>
      </c>
      <c r="AE4257">
        <v>-163.02195999999901</v>
      </c>
      <c r="AF4257">
        <v>61.968092745870401</v>
      </c>
      <c r="AG4257">
        <v>12.019717</v>
      </c>
      <c r="AH4257">
        <v>151.47490586118701</v>
      </c>
      <c r="AI4257">
        <v>85.799562533781</v>
      </c>
      <c r="AJ4257">
        <v>67.750624516193398</v>
      </c>
      <c r="AK4257">
        <v>164.101082327255</v>
      </c>
      <c r="AL4257">
        <v>88.3416945571404</v>
      </c>
      <c r="AM4257">
        <v>86.998338795204901</v>
      </c>
      <c r="AN4257">
        <v>1.00000002470532</v>
      </c>
    </row>
    <row r="4258" spans="1:40" x14ac:dyDescent="0.25">
      <c r="A4258" t="str">
        <f>"20190312160419664"</f>
        <v>20190312160419664</v>
      </c>
      <c r="B4258" t="str">
        <f>"1552377859659211"</f>
        <v>1552377859659211</v>
      </c>
      <c r="C4258" t="s">
        <v>40</v>
      </c>
      <c r="D4258">
        <v>5.7648799999999998</v>
      </c>
      <c r="E4258">
        <v>0.63554560000000004</v>
      </c>
      <c r="F4258" t="s">
        <v>57</v>
      </c>
      <c r="G4258">
        <v>-168.82259999999999</v>
      </c>
      <c r="H4258">
        <v>14.426500000000001</v>
      </c>
      <c r="I4258">
        <v>27.192039999999999</v>
      </c>
      <c r="J4258">
        <v>-191.27619999999999</v>
      </c>
      <c r="K4258">
        <v>1.098932</v>
      </c>
      <c r="L4258">
        <v>202.59819999999999</v>
      </c>
      <c r="M4258">
        <v>0.49320819999999999</v>
      </c>
      <c r="N4258">
        <v>0</v>
      </c>
      <c r="O4258">
        <v>-0.86976209999999898</v>
      </c>
      <c r="P4258">
        <v>0.4476966</v>
      </c>
      <c r="Q4258">
        <v>1.37866E-2</v>
      </c>
      <c r="R4258">
        <v>-0.89407939999999997</v>
      </c>
      <c r="S4258">
        <v>0.40515139999999999</v>
      </c>
      <c r="T4258">
        <v>0.23981189999999999</v>
      </c>
      <c r="U4258">
        <v>-3.1584469999999998</v>
      </c>
      <c r="V4258">
        <v>5.2373530000000001E-2</v>
      </c>
      <c r="W4258">
        <v>2.8474599999999999E-2</v>
      </c>
      <c r="X4258">
        <v>0.99822149999999998</v>
      </c>
      <c r="Y4258">
        <v>0.378776</v>
      </c>
      <c r="Z4258">
        <v>-5.8052920000000001E-2</v>
      </c>
      <c r="AA4258">
        <v>0.92366590000000004</v>
      </c>
      <c r="AB4258">
        <v>26</v>
      </c>
      <c r="AC4258">
        <v>22.453599999999899</v>
      </c>
      <c r="AD4258">
        <v>13.327567999999999</v>
      </c>
      <c r="AE4258">
        <v>-175.40616</v>
      </c>
      <c r="AF4258">
        <v>66.612795848048606</v>
      </c>
      <c r="AG4258">
        <v>13.327567999999999</v>
      </c>
      <c r="AH4258">
        <v>162.73283749205299</v>
      </c>
      <c r="AI4258">
        <v>85.665594395674006</v>
      </c>
      <c r="AJ4258">
        <v>67.7388311722206</v>
      </c>
      <c r="AK4258">
        <v>176.34303229133701</v>
      </c>
      <c r="AL4258">
        <v>88.368305010129106</v>
      </c>
      <c r="AM4258">
        <v>86.996625219146395</v>
      </c>
      <c r="AN4258">
        <v>0.99999997627603499</v>
      </c>
    </row>
    <row r="4259" spans="1:40" x14ac:dyDescent="0.25">
      <c r="A4259" t="str">
        <f>"20190312160419675"</f>
        <v>20190312160419675</v>
      </c>
      <c r="B4259" t="str">
        <f>"1552377859668971"</f>
        <v>1552377859668971</v>
      </c>
      <c r="C4259" t="s">
        <v>40</v>
      </c>
      <c r="D4259">
        <v>5.3819480000000004</v>
      </c>
      <c r="E4259">
        <v>0.63551809999999997</v>
      </c>
      <c r="F4259" t="s">
        <v>45</v>
      </c>
      <c r="G4259">
        <v>0</v>
      </c>
      <c r="H4259">
        <v>0</v>
      </c>
      <c r="I4259">
        <v>0</v>
      </c>
      <c r="J4259">
        <v>-191.21559999999999</v>
      </c>
      <c r="K4259">
        <v>1.098951</v>
      </c>
      <c r="L4259">
        <v>202.47460000000001</v>
      </c>
      <c r="M4259">
        <v>0.48622799999999999</v>
      </c>
      <c r="N4259">
        <v>0</v>
      </c>
      <c r="O4259">
        <v>-0.87368349999999995</v>
      </c>
      <c r="P4259">
        <v>0.44048120000000002</v>
      </c>
      <c r="Q4259">
        <v>1.370358E-2</v>
      </c>
      <c r="R4259">
        <v>-0.8976575</v>
      </c>
      <c r="S4259">
        <v>0.37960820000000001</v>
      </c>
      <c r="T4259">
        <v>0.24119640000000001</v>
      </c>
      <c r="U4259">
        <v>-3.161591</v>
      </c>
      <c r="V4259">
        <v>5.2417140000000001E-2</v>
      </c>
      <c r="W4259">
        <v>2.8389279999999999E-2</v>
      </c>
      <c r="X4259">
        <v>0.99822160000000004</v>
      </c>
      <c r="Y4259">
        <v>0.37883480000000003</v>
      </c>
      <c r="Z4259">
        <v>-5.8785120000000003E-2</v>
      </c>
      <c r="AA4259">
        <v>0.92359539999999996</v>
      </c>
      <c r="AB4259">
        <v>26</v>
      </c>
      <c r="AC4259">
        <v>0.37960820000000001</v>
      </c>
      <c r="AD4259">
        <v>0.24119640000000001</v>
      </c>
      <c r="AE4259">
        <v>-3.161591</v>
      </c>
      <c r="AF4259">
        <v>1.19887468360495</v>
      </c>
      <c r="AG4259">
        <v>0.24119640000000001</v>
      </c>
      <c r="AH4259">
        <v>2.9303757176782099</v>
      </c>
      <c r="AI4259">
        <v>85.643615694635699</v>
      </c>
      <c r="AJ4259">
        <v>67.749559078264795</v>
      </c>
      <c r="AK4259">
        <v>3.1753075531544899</v>
      </c>
      <c r="AL4259">
        <v>88.373195396448494</v>
      </c>
      <c r="AM4259">
        <v>86.994129276278301</v>
      </c>
      <c r="AN4259">
        <v>0.99999993524562603</v>
      </c>
    </row>
    <row r="4260" spans="1:40" x14ac:dyDescent="0.25">
      <c r="A4260" t="str">
        <f>"20190312160419687"</f>
        <v>20190312160419687</v>
      </c>
      <c r="B4260" t="str">
        <f>"1552377859678731"</f>
        <v>1552377859678731</v>
      </c>
      <c r="C4260" t="s">
        <v>40</v>
      </c>
      <c r="D4260">
        <v>5.6307739999999997</v>
      </c>
      <c r="E4260">
        <v>0.63547330000000002</v>
      </c>
      <c r="F4260" t="s">
        <v>45</v>
      </c>
      <c r="G4260">
        <v>0</v>
      </c>
      <c r="H4260">
        <v>0</v>
      </c>
      <c r="I4260">
        <v>0</v>
      </c>
      <c r="J4260">
        <v>-191.1514</v>
      </c>
      <c r="K4260">
        <v>1.0989690000000001</v>
      </c>
      <c r="L4260">
        <v>202.34200000000001</v>
      </c>
      <c r="M4260">
        <v>0.47872019999999998</v>
      </c>
      <c r="N4260">
        <v>0</v>
      </c>
      <c r="O4260">
        <v>-0.87781969999999998</v>
      </c>
      <c r="P4260">
        <v>0.43297160000000001</v>
      </c>
      <c r="Q4260">
        <v>1.334158E-2</v>
      </c>
      <c r="R4260">
        <v>-0.90130889999999997</v>
      </c>
      <c r="S4260">
        <v>0.35450739999999997</v>
      </c>
      <c r="T4260">
        <v>0.2435023</v>
      </c>
      <c r="U4260">
        <v>-3.1643829999999999</v>
      </c>
      <c r="V4260">
        <v>5.2184969999999997E-2</v>
      </c>
      <c r="W4260">
        <v>2.8032749999999999E-2</v>
      </c>
      <c r="X4260">
        <v>0.99824389999999996</v>
      </c>
      <c r="Y4260">
        <v>0.37823210000000002</v>
      </c>
      <c r="Z4260">
        <v>-5.9786279999999997E-2</v>
      </c>
      <c r="AA4260">
        <v>0.92377819999999999</v>
      </c>
      <c r="AB4260">
        <v>26</v>
      </c>
      <c r="AC4260">
        <v>0.35450739999999997</v>
      </c>
      <c r="AD4260">
        <v>0.2435023</v>
      </c>
      <c r="AE4260">
        <v>-3.1643829999999999</v>
      </c>
      <c r="AF4260">
        <v>1.1968176634449501</v>
      </c>
      <c r="AG4260">
        <v>0.2435023</v>
      </c>
      <c r="AH4260">
        <v>2.9307112118605398</v>
      </c>
      <c r="AI4260">
        <v>85.601482905765195</v>
      </c>
      <c r="AJ4260">
        <v>67.786316343039502</v>
      </c>
      <c r="AK4260">
        <v>3.1750171805777998</v>
      </c>
      <c r="AL4260">
        <v>88.393631291856806</v>
      </c>
      <c r="AM4260">
        <v>87.007485584900095</v>
      </c>
      <c r="AN4260">
        <v>0.99999999502683601</v>
      </c>
    </row>
    <row r="4261" spans="1:40" x14ac:dyDescent="0.25">
      <c r="A4261" t="str">
        <f>"20190312160419699"</f>
        <v>20190312160419699</v>
      </c>
      <c r="B4261" t="str">
        <f>"1552377859689467"</f>
        <v>1552377859689467</v>
      </c>
      <c r="C4261" t="s">
        <v>40</v>
      </c>
      <c r="D4261">
        <v>5.6476439999999997</v>
      </c>
      <c r="E4261">
        <v>0.6351059</v>
      </c>
      <c r="F4261" t="s">
        <v>45</v>
      </c>
      <c r="G4261">
        <v>0</v>
      </c>
      <c r="H4261">
        <v>0</v>
      </c>
      <c r="I4261">
        <v>0</v>
      </c>
      <c r="J4261">
        <v>-191.09039999999999</v>
      </c>
      <c r="K4261">
        <v>1.0989880000000001</v>
      </c>
      <c r="L4261">
        <v>202.21170000000001</v>
      </c>
      <c r="M4261">
        <v>0.47135100000000002</v>
      </c>
      <c r="N4261">
        <v>0</v>
      </c>
      <c r="O4261">
        <v>-0.88179869999999905</v>
      </c>
      <c r="P4261">
        <v>0.42556690000000003</v>
      </c>
      <c r="Q4261">
        <v>1.2690740000000001E-2</v>
      </c>
      <c r="R4261">
        <v>-0.90483809999999998</v>
      </c>
      <c r="S4261">
        <v>0.32843020000000001</v>
      </c>
      <c r="T4261">
        <v>0.2445891</v>
      </c>
      <c r="U4261">
        <v>-3.1670989999999999</v>
      </c>
      <c r="V4261">
        <v>5.1994230000000002E-2</v>
      </c>
      <c r="W4261">
        <v>2.738498E-2</v>
      </c>
      <c r="X4261">
        <v>0.99827180000000004</v>
      </c>
      <c r="Y4261">
        <v>0.37808849999999999</v>
      </c>
      <c r="Z4261">
        <v>-6.0471539999999997E-2</v>
      </c>
      <c r="AA4261">
        <v>0.92379230000000001</v>
      </c>
      <c r="AB4261">
        <v>26</v>
      </c>
      <c r="AC4261">
        <v>0.32843020000000001</v>
      </c>
      <c r="AD4261">
        <v>0.2445891</v>
      </c>
      <c r="AE4261">
        <v>-3.1670989999999999</v>
      </c>
      <c r="AF4261">
        <v>1.1963029187980501</v>
      </c>
      <c r="AG4261">
        <v>0.2445891</v>
      </c>
      <c r="AH4261">
        <v>2.9306389890621301</v>
      </c>
      <c r="AI4261">
        <v>85.581565538042796</v>
      </c>
      <c r="AJ4261">
        <v>67.794447788540097</v>
      </c>
      <c r="AK4261">
        <v>3.1748400566917798</v>
      </c>
      <c r="AL4261">
        <v>88.430759983870502</v>
      </c>
      <c r="AM4261">
        <v>87.018486858845193</v>
      </c>
      <c r="AN4261">
        <v>0.99999996187906603</v>
      </c>
    </row>
    <row r="4262" spans="1:40" x14ac:dyDescent="0.25">
      <c r="A4262" t="str">
        <f>"20190312160419711"</f>
        <v>20190312160419711</v>
      </c>
      <c r="B4262" t="str">
        <f>"1552377859708987"</f>
        <v>1552377859708987</v>
      </c>
      <c r="C4262" t="s">
        <v>40</v>
      </c>
      <c r="D4262">
        <v>5.8151469999999996</v>
      </c>
      <c r="E4262">
        <v>0.63434760000000001</v>
      </c>
      <c r="F4262" t="s">
        <v>45</v>
      </c>
      <c r="G4262">
        <v>0</v>
      </c>
      <c r="H4262">
        <v>0</v>
      </c>
      <c r="I4262">
        <v>0</v>
      </c>
      <c r="J4262">
        <v>-191.03</v>
      </c>
      <c r="K4262">
        <v>1.099005</v>
      </c>
      <c r="L4262">
        <v>202.08070000000001</v>
      </c>
      <c r="M4262">
        <v>0.46393430000000002</v>
      </c>
      <c r="N4262">
        <v>0</v>
      </c>
      <c r="O4262">
        <v>-0.8857235</v>
      </c>
      <c r="P4262">
        <v>0.41865229999999998</v>
      </c>
      <c r="Q4262">
        <v>1.2085719999999999E-2</v>
      </c>
      <c r="R4262">
        <v>-0.90806640000000005</v>
      </c>
      <c r="S4262">
        <v>0.30509950000000002</v>
      </c>
      <c r="T4262">
        <v>0.2372397</v>
      </c>
      <c r="U4262">
        <v>-3.1686709999999998</v>
      </c>
      <c r="V4262">
        <v>5.1217770000000003E-2</v>
      </c>
      <c r="W4262">
        <v>2.6800589999999999E-2</v>
      </c>
      <c r="X4262">
        <v>0.99832790000000005</v>
      </c>
      <c r="Y4262">
        <v>0.3770946</v>
      </c>
      <c r="Z4262">
        <v>-5.9096509999999998E-2</v>
      </c>
      <c r="AA4262">
        <v>0.92428739999999998</v>
      </c>
      <c r="AB4262">
        <v>26</v>
      </c>
      <c r="AC4262">
        <v>0.30509950000000002</v>
      </c>
      <c r="AD4262">
        <v>0.2372397</v>
      </c>
      <c r="AE4262">
        <v>-3.1686709999999998</v>
      </c>
      <c r="AF4262">
        <v>1.1933487187431699</v>
      </c>
      <c r="AG4262">
        <v>0.2372397</v>
      </c>
      <c r="AH4262">
        <v>2.93220838203808</v>
      </c>
      <c r="AI4262">
        <v>85.714284312098599</v>
      </c>
      <c r="AJ4262">
        <v>67.854684207894607</v>
      </c>
      <c r="AK4262">
        <v>3.1746196363464398</v>
      </c>
      <c r="AL4262">
        <v>88.464255518084101</v>
      </c>
      <c r="AM4262">
        <v>87.063097732955796</v>
      </c>
      <c r="AN4262">
        <v>1.00000006375326</v>
      </c>
    </row>
    <row r="4263" spans="1:40" x14ac:dyDescent="0.25">
      <c r="A4263" t="str">
        <f>"20190312160419724"</f>
        <v>20190312160419724</v>
      </c>
      <c r="B4263" t="str">
        <f>"1552377859718749"</f>
        <v>1552377859718749</v>
      </c>
      <c r="C4263" t="s">
        <v>40</v>
      </c>
      <c r="D4263">
        <v>5.794359</v>
      </c>
      <c r="E4263">
        <v>0.63412250000000003</v>
      </c>
      <c r="F4263" t="s">
        <v>45</v>
      </c>
      <c r="G4263">
        <v>0</v>
      </c>
      <c r="H4263">
        <v>0</v>
      </c>
      <c r="I4263">
        <v>0</v>
      </c>
      <c r="J4263">
        <v>-190.9683</v>
      </c>
      <c r="K4263">
        <v>1.0990249999999999</v>
      </c>
      <c r="L4263">
        <v>201.94390000000001</v>
      </c>
      <c r="M4263">
        <v>0.456177</v>
      </c>
      <c r="N4263">
        <v>0</v>
      </c>
      <c r="O4263">
        <v>-0.88974359999999997</v>
      </c>
      <c r="P4263">
        <v>0.41143790000000002</v>
      </c>
      <c r="Q4263">
        <v>1.170596E-2</v>
      </c>
      <c r="R4263">
        <v>-0.91136289999999998</v>
      </c>
      <c r="S4263">
        <v>0.28656009999999998</v>
      </c>
      <c r="T4263">
        <v>0.2312351</v>
      </c>
      <c r="U4263">
        <v>-3.168488</v>
      </c>
      <c r="V4263">
        <v>5.0401969999999997E-2</v>
      </c>
      <c r="W4263">
        <v>2.6441659999999999E-2</v>
      </c>
      <c r="X4263">
        <v>0.99837889999999996</v>
      </c>
      <c r="Y4263">
        <v>0.37435309999999999</v>
      </c>
      <c r="Z4263">
        <v>-5.8094399999999997E-2</v>
      </c>
      <c r="AA4263">
        <v>0.92546470000000003</v>
      </c>
      <c r="AB4263">
        <v>26</v>
      </c>
      <c r="AC4263">
        <v>0.28656009999999998</v>
      </c>
      <c r="AD4263">
        <v>0.2312351</v>
      </c>
      <c r="AE4263">
        <v>-3.168488</v>
      </c>
      <c r="AF4263">
        <v>1.18432388308836</v>
      </c>
      <c r="AG4263">
        <v>0.2312351</v>
      </c>
      <c r="AH4263">
        <v>2.9347422332526101</v>
      </c>
      <c r="AI4263">
        <v>85.820998145566193</v>
      </c>
      <c r="AJ4263">
        <v>68.023315293066304</v>
      </c>
      <c r="AK4263">
        <v>3.1731379905642298</v>
      </c>
      <c r="AL4263">
        <v>88.484827845929004</v>
      </c>
      <c r="AM4263">
        <v>87.109944339836105</v>
      </c>
      <c r="AN4263">
        <v>0.99999997396432205</v>
      </c>
    </row>
    <row r="4264" spans="1:40" x14ac:dyDescent="0.25">
      <c r="A4264" t="str">
        <f>"20190312160419736"</f>
        <v>20190312160419736</v>
      </c>
      <c r="B4264" t="str">
        <f>"1552377859729485"</f>
        <v>1552377859729485</v>
      </c>
      <c r="C4264" t="s">
        <v>40</v>
      </c>
      <c r="D4264">
        <v>5.819121</v>
      </c>
      <c r="E4264">
        <v>0.63389649999999997</v>
      </c>
      <c r="F4264" t="s">
        <v>45</v>
      </c>
      <c r="G4264">
        <v>0</v>
      </c>
      <c r="H4264">
        <v>0</v>
      </c>
      <c r="I4264">
        <v>0</v>
      </c>
      <c r="J4264">
        <v>-190.91220000000001</v>
      </c>
      <c r="K4264">
        <v>1.099045</v>
      </c>
      <c r="L4264">
        <v>201.816</v>
      </c>
      <c r="M4264">
        <v>0.44893230000000001</v>
      </c>
      <c r="N4264">
        <v>0</v>
      </c>
      <c r="O4264">
        <v>-0.89342089999999996</v>
      </c>
      <c r="P4264">
        <v>0.40479130000000002</v>
      </c>
      <c r="Q4264">
        <v>1.154263E-2</v>
      </c>
      <c r="R4264">
        <v>-0.91433620000000004</v>
      </c>
      <c r="S4264">
        <v>0.26298519999999997</v>
      </c>
      <c r="T4264">
        <v>0.23008120000000001</v>
      </c>
      <c r="U4264">
        <v>-3.1700900000000001</v>
      </c>
      <c r="V4264">
        <v>4.955408E-2</v>
      </c>
      <c r="W4264">
        <v>2.630008E-2</v>
      </c>
      <c r="X4264">
        <v>0.99842509999999995</v>
      </c>
      <c r="Y4264">
        <v>0.37369200000000002</v>
      </c>
      <c r="Z4264">
        <v>-5.8192290000000001E-2</v>
      </c>
      <c r="AA4264">
        <v>0.92572560000000004</v>
      </c>
      <c r="AB4264">
        <v>26</v>
      </c>
      <c r="AC4264">
        <v>0.26298519999999997</v>
      </c>
      <c r="AD4264">
        <v>0.23008120000000001</v>
      </c>
      <c r="AE4264">
        <v>-3.1700900000000001</v>
      </c>
      <c r="AF4264">
        <v>1.18216843744649</v>
      </c>
      <c r="AG4264">
        <v>0.23008120000000001</v>
      </c>
      <c r="AH4264">
        <v>2.93531258752154</v>
      </c>
      <c r="AI4264">
        <v>85.841416052653898</v>
      </c>
      <c r="AJ4264">
        <v>68.063371082139497</v>
      </c>
      <c r="AK4264">
        <v>3.1727778931955699</v>
      </c>
      <c r="AL4264">
        <v>88.492942629894699</v>
      </c>
      <c r="AM4264">
        <v>87.158613375109994</v>
      </c>
      <c r="AN4264">
        <v>0.99999999068133105</v>
      </c>
    </row>
    <row r="4265" spans="1:40" x14ac:dyDescent="0.25">
      <c r="A4265" t="str">
        <f>"20190312160419751"</f>
        <v>20190312160419751</v>
      </c>
      <c r="B4265" t="str">
        <f>"1552377859739243"</f>
        <v>1552377859739243</v>
      </c>
      <c r="C4265" t="s">
        <v>40</v>
      </c>
      <c r="D4265">
        <v>5.8669710000000004</v>
      </c>
      <c r="E4265">
        <v>0.63355689999999998</v>
      </c>
      <c r="F4265" t="s">
        <v>45</v>
      </c>
      <c r="G4265">
        <v>0</v>
      </c>
      <c r="H4265">
        <v>0</v>
      </c>
      <c r="I4265">
        <v>0</v>
      </c>
      <c r="J4265">
        <v>-190.8407</v>
      </c>
      <c r="K4265">
        <v>1.0990660000000001</v>
      </c>
      <c r="L4265">
        <v>201.64959999999999</v>
      </c>
      <c r="M4265">
        <v>0.43949149999999998</v>
      </c>
      <c r="N4265">
        <v>0</v>
      </c>
      <c r="O4265">
        <v>-0.89810259999999997</v>
      </c>
      <c r="P4265">
        <v>0.39732790000000001</v>
      </c>
      <c r="Q4265">
        <v>1.13207E-2</v>
      </c>
      <c r="R4265">
        <v>-0.91760699999999995</v>
      </c>
      <c r="S4265">
        <v>0.2415466</v>
      </c>
      <c r="T4265">
        <v>0.22909489999999999</v>
      </c>
      <c r="U4265">
        <v>-3.1712189999999998</v>
      </c>
      <c r="V4265">
        <v>4.7160189999999998E-2</v>
      </c>
      <c r="W4265">
        <v>2.6141350000000001E-2</v>
      </c>
      <c r="X4265">
        <v>0.99854520000000002</v>
      </c>
      <c r="Y4265">
        <v>0.3701622</v>
      </c>
      <c r="Z4265">
        <v>-5.8484179999999997E-2</v>
      </c>
      <c r="AA4265">
        <v>0.92712439999999996</v>
      </c>
      <c r="AB4265">
        <v>26</v>
      </c>
      <c r="AC4265">
        <v>0.2415466</v>
      </c>
      <c r="AD4265">
        <v>0.22909489999999999</v>
      </c>
      <c r="AE4265">
        <v>-3.1712189999999998</v>
      </c>
      <c r="AF4265">
        <v>1.1708671719088699</v>
      </c>
      <c r="AG4265">
        <v>0.22909489999999999</v>
      </c>
      <c r="AH4265">
        <v>2.9393685039578901</v>
      </c>
      <c r="AI4265">
        <v>85.858610875834103</v>
      </c>
      <c r="AJ4265">
        <v>68.280644424156705</v>
      </c>
      <c r="AK4265">
        <v>3.1722707339569101</v>
      </c>
      <c r="AL4265">
        <v>88.502040308651999</v>
      </c>
      <c r="AM4265">
        <v>87.295992736059603</v>
      </c>
      <c r="AN4265">
        <v>0.99999998507184895</v>
      </c>
    </row>
    <row r="4266" spans="1:40" x14ac:dyDescent="0.25">
      <c r="A4266" t="str">
        <f>"20190312160419763"</f>
        <v>20190312160419763</v>
      </c>
      <c r="B4266" t="str">
        <f>"1552377859758763"</f>
        <v>1552377859758763</v>
      </c>
      <c r="C4266" t="s">
        <v>40</v>
      </c>
      <c r="D4266">
        <v>5.4411829999999997</v>
      </c>
      <c r="E4266">
        <v>0.63280199999999998</v>
      </c>
      <c r="F4266" t="s">
        <v>45</v>
      </c>
      <c r="G4266">
        <v>0</v>
      </c>
      <c r="H4266">
        <v>0</v>
      </c>
      <c r="I4266">
        <v>0</v>
      </c>
      <c r="J4266">
        <v>-190.78559999999999</v>
      </c>
      <c r="K4266">
        <v>1.099086</v>
      </c>
      <c r="L4266">
        <v>201.5179</v>
      </c>
      <c r="M4266">
        <v>0.43201289999999998</v>
      </c>
      <c r="N4266">
        <v>0</v>
      </c>
      <c r="O4266">
        <v>-0.90172419999999998</v>
      </c>
      <c r="P4266">
        <v>0.39075399999999999</v>
      </c>
      <c r="Q4266">
        <v>1.0899799999999999E-2</v>
      </c>
      <c r="R4266">
        <v>-0.92043079999999999</v>
      </c>
      <c r="S4266">
        <v>0.2185211</v>
      </c>
      <c r="T4266">
        <v>0.22897509999999999</v>
      </c>
      <c r="U4266">
        <v>-3.171951</v>
      </c>
      <c r="V4266">
        <v>4.599425E-2</v>
      </c>
      <c r="W4266">
        <v>2.5750479999999999E-2</v>
      </c>
      <c r="X4266">
        <v>0.99860979999999999</v>
      </c>
      <c r="Y4266">
        <v>0.3691546</v>
      </c>
      <c r="Z4266">
        <v>-5.885116E-2</v>
      </c>
      <c r="AA4266">
        <v>0.92750279999999996</v>
      </c>
      <c r="AB4266">
        <v>26</v>
      </c>
      <c r="AC4266">
        <v>0.2185211</v>
      </c>
      <c r="AD4266">
        <v>0.22897509999999999</v>
      </c>
      <c r="AE4266">
        <v>-3.171951</v>
      </c>
      <c r="AF4266">
        <v>1.1673750653477999</v>
      </c>
      <c r="AG4266">
        <v>0.22897509999999999</v>
      </c>
      <c r="AH4266">
        <v>2.9397637730930799</v>
      </c>
      <c r="AI4266">
        <v>85.859564994700705</v>
      </c>
      <c r="AJ4266">
        <v>68.342059392905298</v>
      </c>
      <c r="AK4266">
        <v>3.1713412274945001</v>
      </c>
      <c r="AL4266">
        <v>88.524443141512407</v>
      </c>
      <c r="AM4266">
        <v>87.362918615529097</v>
      </c>
      <c r="AN4266">
        <v>1.00000004545466</v>
      </c>
    </row>
    <row r="4267" spans="1:40" x14ac:dyDescent="0.25">
      <c r="A4267" t="str">
        <f>"20190312160419786"</f>
        <v>20190312160419786</v>
      </c>
      <c r="B4267" t="str">
        <f>"1552377859779259"</f>
        <v>1552377859779259</v>
      </c>
      <c r="C4267" t="s">
        <v>40</v>
      </c>
      <c r="D4267">
        <v>5.644539</v>
      </c>
      <c r="E4267">
        <v>0.63236990000000004</v>
      </c>
      <c r="F4267" t="s">
        <v>45</v>
      </c>
      <c r="G4267">
        <v>0</v>
      </c>
      <c r="H4267">
        <v>0</v>
      </c>
      <c r="I4267">
        <v>0</v>
      </c>
      <c r="J4267">
        <v>-190.68459999999999</v>
      </c>
      <c r="K4267">
        <v>1.099119</v>
      </c>
      <c r="L4267">
        <v>201.268</v>
      </c>
      <c r="M4267">
        <v>0.41782560000000002</v>
      </c>
      <c r="N4267">
        <v>0</v>
      </c>
      <c r="O4267">
        <v>-0.90838529999999995</v>
      </c>
      <c r="P4267">
        <v>0.37781520000000002</v>
      </c>
      <c r="Q4267">
        <v>9.0669879999999998E-3</v>
      </c>
      <c r="R4267">
        <v>-0.92583669999999996</v>
      </c>
      <c r="S4267">
        <v>0.2013855</v>
      </c>
      <c r="T4267">
        <v>0.22468109999999999</v>
      </c>
      <c r="U4267">
        <v>-3.171173</v>
      </c>
      <c r="V4267">
        <v>4.4294109999999998E-2</v>
      </c>
      <c r="W4267">
        <v>2.396003E-2</v>
      </c>
      <c r="X4267">
        <v>0.99873120000000004</v>
      </c>
      <c r="Y4267">
        <v>0.35954390000000003</v>
      </c>
      <c r="Z4267">
        <v>-5.860551E-2</v>
      </c>
      <c r="AA4267">
        <v>0.93128599999999995</v>
      </c>
      <c r="AB4267">
        <v>26</v>
      </c>
      <c r="AC4267">
        <v>0.2013855</v>
      </c>
      <c r="AD4267">
        <v>0.22468109999999999</v>
      </c>
      <c r="AE4267">
        <v>-3.171173</v>
      </c>
      <c r="AF4267">
        <v>1.1365266298018999</v>
      </c>
      <c r="AG4267">
        <v>0.22468109999999999</v>
      </c>
      <c r="AH4267">
        <v>2.9504220895489399</v>
      </c>
      <c r="AI4267">
        <v>85.935269430881903</v>
      </c>
      <c r="AJ4267">
        <v>68.932908651831099</v>
      </c>
      <c r="AK4267">
        <v>3.16972631049503</v>
      </c>
      <c r="AL4267">
        <v>88.627060060959096</v>
      </c>
      <c r="AM4267">
        <v>87.460574412459806</v>
      </c>
      <c r="AN4267">
        <v>1.0000000305358601</v>
      </c>
    </row>
    <row r="4268" spans="1:40" x14ac:dyDescent="0.25">
      <c r="A4268" t="str">
        <f>"20190312160419799"</f>
        <v>20190312160419799</v>
      </c>
      <c r="B4268" t="str">
        <f>"1552377859789019"</f>
        <v>1552377859789019</v>
      </c>
      <c r="C4268" t="s">
        <v>40</v>
      </c>
      <c r="D4268">
        <v>5.7205510000000004</v>
      </c>
      <c r="E4268">
        <v>0.63218079999999999</v>
      </c>
      <c r="F4268" t="s">
        <v>58</v>
      </c>
      <c r="G4268">
        <v>-176.42740000000001</v>
      </c>
      <c r="H4268">
        <v>20.810199999999998</v>
      </c>
      <c r="I4268">
        <v>-80.955529999999996</v>
      </c>
      <c r="J4268">
        <v>-190.62700000000001</v>
      </c>
      <c r="K4268">
        <v>1.099143</v>
      </c>
      <c r="L4268">
        <v>201.1191</v>
      </c>
      <c r="M4268">
        <v>0.40937509999999999</v>
      </c>
      <c r="N4268">
        <v>0</v>
      </c>
      <c r="O4268">
        <v>-0.91222460000000005</v>
      </c>
      <c r="P4268">
        <v>0.3695175</v>
      </c>
      <c r="Q4268">
        <v>8.5073879999999994E-3</v>
      </c>
      <c r="R4268">
        <v>-0.92918460000000003</v>
      </c>
      <c r="S4268">
        <v>0.16027829999999901</v>
      </c>
      <c r="T4268">
        <v>0.22159000000000001</v>
      </c>
      <c r="U4268">
        <v>-3.1727289999999999</v>
      </c>
      <c r="V4268">
        <v>4.394327E-2</v>
      </c>
      <c r="W4268">
        <v>2.3406099999999999E-2</v>
      </c>
      <c r="X4268">
        <v>0.99875979999999998</v>
      </c>
      <c r="Y4268">
        <v>0.36293379999999997</v>
      </c>
      <c r="Z4268">
        <v>-5.8139730000000001E-2</v>
      </c>
      <c r="AA4268">
        <v>0.92999940000000003</v>
      </c>
      <c r="AB4268">
        <v>26</v>
      </c>
      <c r="AC4268">
        <v>14.1996</v>
      </c>
      <c r="AD4268">
        <v>19.711057</v>
      </c>
      <c r="AE4268">
        <v>-282.07462999999899</v>
      </c>
      <c r="AF4268">
        <v>102.037354183685</v>
      </c>
      <c r="AG4268">
        <v>19.711057</v>
      </c>
      <c r="AH4268">
        <v>261.88679403949999</v>
      </c>
      <c r="AI4268">
        <v>85.988390506674406</v>
      </c>
      <c r="AJ4268">
        <v>68.712922793914501</v>
      </c>
      <c r="AK4268">
        <v>281.75315492315502</v>
      </c>
      <c r="AL4268">
        <v>88.658806771381094</v>
      </c>
      <c r="AM4268">
        <v>87.480734450641705</v>
      </c>
      <c r="AN4268">
        <v>0.99999999729577105</v>
      </c>
    </row>
    <row r="4269" spans="1:40" x14ac:dyDescent="0.25">
      <c r="A4269" t="str">
        <f>"20190312160419819"</f>
        <v>20190312160419819</v>
      </c>
      <c r="B4269" t="str">
        <f>"1552377859809515"</f>
        <v>1552377859809515</v>
      </c>
      <c r="C4269" t="s">
        <v>40</v>
      </c>
      <c r="D4269">
        <v>5.4443320000000002</v>
      </c>
      <c r="E4269">
        <v>0.63160369999999999</v>
      </c>
      <c r="F4269" t="s">
        <v>58</v>
      </c>
      <c r="G4269">
        <v>-178.7259</v>
      </c>
      <c r="H4269">
        <v>20.884699999999999</v>
      </c>
      <c r="I4269">
        <v>-81.82208</v>
      </c>
      <c r="J4269">
        <v>-190.5472</v>
      </c>
      <c r="K4269">
        <v>1.0991799999999901</v>
      </c>
      <c r="L4269">
        <v>200.90710000000001</v>
      </c>
      <c r="M4269">
        <v>0.39733679999999999</v>
      </c>
      <c r="N4269">
        <v>0</v>
      </c>
      <c r="O4269">
        <v>-0.91753240000000003</v>
      </c>
      <c r="P4269">
        <v>0.35791060000000002</v>
      </c>
      <c r="Q4269">
        <v>8.417651E-3</v>
      </c>
      <c r="R4269">
        <v>-0.93371789999999999</v>
      </c>
      <c r="S4269">
        <v>0.13348389999999999</v>
      </c>
      <c r="T4269">
        <v>0.22191759999999999</v>
      </c>
      <c r="U4269">
        <v>-3.173508</v>
      </c>
      <c r="V4269">
        <v>4.3242370000000002E-2</v>
      </c>
      <c r="W4269">
        <v>2.3330300000000002E-2</v>
      </c>
      <c r="X4269">
        <v>0.99879220000000002</v>
      </c>
      <c r="Y4269">
        <v>0.35851850000000002</v>
      </c>
      <c r="Z4269">
        <v>-5.8828650000000003E-2</v>
      </c>
      <c r="AA4269">
        <v>0.93166709999999997</v>
      </c>
      <c r="AB4269">
        <v>26</v>
      </c>
      <c r="AC4269">
        <v>11.821300000000001</v>
      </c>
      <c r="AD4269">
        <v>19.785520000000002</v>
      </c>
      <c r="AE4269">
        <v>-282.72917999999999</v>
      </c>
      <c r="AF4269">
        <v>101.011547755278</v>
      </c>
      <c r="AG4269">
        <v>19.785520000000002</v>
      </c>
      <c r="AH4269">
        <v>262.85922105119698</v>
      </c>
      <c r="AI4269">
        <v>85.980935020131795</v>
      </c>
      <c r="AJ4269">
        <v>68.979229479278104</v>
      </c>
      <c r="AK4269">
        <v>282.29376485007498</v>
      </c>
      <c r="AL4269">
        <v>88.663151024333999</v>
      </c>
      <c r="AM4269">
        <v>87.520946794382994</v>
      </c>
      <c r="AN4269">
        <v>1.00000003212107</v>
      </c>
    </row>
    <row r="4270" spans="1:40" x14ac:dyDescent="0.25">
      <c r="A4270" t="str">
        <f>"20190312160419831"</f>
        <v>20190312160419831</v>
      </c>
      <c r="B4270" t="str">
        <f>"1552377859829035"</f>
        <v>1552377859829035</v>
      </c>
      <c r="C4270" t="s">
        <v>40</v>
      </c>
      <c r="D4270">
        <v>6.0410240000000002</v>
      </c>
      <c r="E4270">
        <v>0.63093049999999995</v>
      </c>
      <c r="F4270" t="s">
        <v>58</v>
      </c>
      <c r="G4270">
        <v>-181.79329999999999</v>
      </c>
      <c r="H4270">
        <v>21.08006</v>
      </c>
      <c r="I4270">
        <v>-81.822159999999997</v>
      </c>
      <c r="J4270">
        <v>-190.4933</v>
      </c>
      <c r="K4270">
        <v>1.099213</v>
      </c>
      <c r="L4270">
        <v>200.75919999999999</v>
      </c>
      <c r="M4270">
        <v>0.38893810000000001</v>
      </c>
      <c r="N4270">
        <v>0</v>
      </c>
      <c r="O4270">
        <v>-0.92112419999999995</v>
      </c>
      <c r="P4270">
        <v>0.34986139999999999</v>
      </c>
      <c r="Q4270">
        <v>9.1143869999999998E-3</v>
      </c>
      <c r="R4270">
        <v>-0.93675730000000001</v>
      </c>
      <c r="S4270">
        <v>9.8251340000000006E-2</v>
      </c>
      <c r="T4270">
        <v>0.22425909999999999</v>
      </c>
      <c r="U4270">
        <v>-3.1732640000000001</v>
      </c>
      <c r="V4270">
        <v>4.2727899999999999E-2</v>
      </c>
      <c r="W4270">
        <v>2.403773E-2</v>
      </c>
      <c r="X4270">
        <v>0.9987975</v>
      </c>
      <c r="Y4270">
        <v>0.36031790000000002</v>
      </c>
      <c r="Z4270">
        <v>-5.9810049999999997E-2</v>
      </c>
      <c r="AA4270">
        <v>0.93091020000000002</v>
      </c>
      <c r="AB4270">
        <v>26</v>
      </c>
      <c r="AC4270">
        <v>8.7000000000000099</v>
      </c>
      <c r="AD4270">
        <v>19.980847000000001</v>
      </c>
      <c r="AE4270">
        <v>-282.58136000000002</v>
      </c>
      <c r="AF4270">
        <v>101.39950762640601</v>
      </c>
      <c r="AG4270">
        <v>19.980847000000001</v>
      </c>
      <c r="AH4270">
        <v>262.39956025809198</v>
      </c>
      <c r="AI4270">
        <v>85.937228334103494</v>
      </c>
      <c r="AJ4270">
        <v>68.871887802411806</v>
      </c>
      <c r="AK4270">
        <v>282.01883557194401</v>
      </c>
      <c r="AL4270">
        <v>88.622606807477894</v>
      </c>
      <c r="AM4270">
        <v>87.550417819409901</v>
      </c>
      <c r="AN4270">
        <v>0.99999996595410501</v>
      </c>
    </row>
    <row r="4271" spans="1:40" x14ac:dyDescent="0.25">
      <c r="A4271" t="str">
        <f>"20190312160419843"</f>
        <v>20190312160419843</v>
      </c>
      <c r="B4271" t="str">
        <f>"1552377859838795"</f>
        <v>1552377859838795</v>
      </c>
      <c r="C4271" t="s">
        <v>40</v>
      </c>
      <c r="D4271">
        <v>5.5369089999999996</v>
      </c>
      <c r="E4271">
        <v>0.63064900000000002</v>
      </c>
      <c r="F4271" t="s">
        <v>58</v>
      </c>
      <c r="G4271">
        <v>-183.751</v>
      </c>
      <c r="H4271">
        <v>21.308319999999998</v>
      </c>
      <c r="I4271">
        <v>-81.822230000000005</v>
      </c>
      <c r="J4271">
        <v>-190.44489999999999</v>
      </c>
      <c r="K4271">
        <v>1.0992360000000001</v>
      </c>
      <c r="L4271">
        <v>200.6225</v>
      </c>
      <c r="M4271">
        <v>0.38117610000000002</v>
      </c>
      <c r="N4271">
        <v>0</v>
      </c>
      <c r="O4271">
        <v>-0.9243633</v>
      </c>
      <c r="P4271">
        <v>0.3422808</v>
      </c>
      <c r="Q4271">
        <v>9.9115499999999999E-3</v>
      </c>
      <c r="R4271">
        <v>-0.93954590000000004</v>
      </c>
      <c r="S4271">
        <v>7.5683589999999995E-2</v>
      </c>
      <c r="T4271">
        <v>0.2268519</v>
      </c>
      <c r="U4271">
        <v>-3.1720429999999999</v>
      </c>
      <c r="V4271">
        <v>4.2412850000000002E-2</v>
      </c>
      <c r="W4271">
        <v>2.4839529999999999E-2</v>
      </c>
      <c r="X4271">
        <v>0.99879130000000005</v>
      </c>
      <c r="Y4271">
        <v>0.35907919999999999</v>
      </c>
      <c r="Z4271">
        <v>-6.0885620000000001E-2</v>
      </c>
      <c r="AA4271">
        <v>0.93131900000000001</v>
      </c>
      <c r="AB4271">
        <v>26</v>
      </c>
      <c r="AC4271">
        <v>6.69390000000001</v>
      </c>
      <c r="AD4271">
        <v>20.209084000000001</v>
      </c>
      <c r="AE4271">
        <v>-282.44472999999999</v>
      </c>
      <c r="AF4271">
        <v>100.970016404528</v>
      </c>
      <c r="AG4271">
        <v>20.209084000000001</v>
      </c>
      <c r="AH4271">
        <v>262.32480233849799</v>
      </c>
      <c r="AI4271">
        <v>85.887710614334097</v>
      </c>
      <c r="AJ4271">
        <v>68.948056244116998</v>
      </c>
      <c r="AK4271">
        <v>281.811378781592</v>
      </c>
      <c r="AL4271">
        <v>88.5766533104118</v>
      </c>
      <c r="AM4271">
        <v>87.568442739897804</v>
      </c>
      <c r="AN4271">
        <v>0.99999995652571505</v>
      </c>
    </row>
    <row r="4272" spans="1:40" x14ac:dyDescent="0.25">
      <c r="A4272" t="str">
        <f>"20190312160419856"</f>
        <v>20190312160419856</v>
      </c>
      <c r="B4272" t="str">
        <f>"1552377859849530"</f>
        <v>1552377859849530</v>
      </c>
      <c r="C4272" t="s">
        <v>40</v>
      </c>
      <c r="D4272">
        <v>5.7690519999999896</v>
      </c>
      <c r="E4272">
        <v>0.6302238</v>
      </c>
      <c r="F4272" t="s">
        <v>58</v>
      </c>
      <c r="G4272">
        <v>-185.79079999999999</v>
      </c>
      <c r="H4272">
        <v>21.561</v>
      </c>
      <c r="I4272">
        <v>-81.822310000000002</v>
      </c>
      <c r="J4272">
        <v>-190.40039999999999</v>
      </c>
      <c r="K4272">
        <v>1.099267</v>
      </c>
      <c r="L4272">
        <v>200.49260000000001</v>
      </c>
      <c r="M4272">
        <v>0.37381019999999998</v>
      </c>
      <c r="N4272">
        <v>0</v>
      </c>
      <c r="O4272">
        <v>-0.92736640000000004</v>
      </c>
      <c r="P4272">
        <v>0.33548410000000001</v>
      </c>
      <c r="Q4272">
        <v>1.0496109999999999E-2</v>
      </c>
      <c r="R4272">
        <v>-0.94198749999999998</v>
      </c>
      <c r="S4272">
        <v>5.2261349999999998E-2</v>
      </c>
      <c r="T4272">
        <v>0.2297672</v>
      </c>
      <c r="U4272">
        <v>-3.1716000000000002</v>
      </c>
      <c r="V4272">
        <v>4.1693760000000003E-2</v>
      </c>
      <c r="W4272">
        <v>2.5439679999999999E-2</v>
      </c>
      <c r="X4272">
        <v>0.99880650000000004</v>
      </c>
      <c r="Y4272">
        <v>0.35852709999999999</v>
      </c>
      <c r="Z4272">
        <v>-6.2005659999999997E-2</v>
      </c>
      <c r="AA4272">
        <v>0.9314578</v>
      </c>
      <c r="AB4272">
        <v>26</v>
      </c>
      <c r="AC4272">
        <v>4.6096000000000004</v>
      </c>
      <c r="AD4272">
        <v>20.461732999999999</v>
      </c>
      <c r="AE4272">
        <v>-282.31491</v>
      </c>
      <c r="AF4272">
        <v>100.741378595359</v>
      </c>
      <c r="AG4272">
        <v>20.461732999999999</v>
      </c>
      <c r="AH4272">
        <v>262.18946764469899</v>
      </c>
      <c r="AI4272">
        <v>85.833401418387794</v>
      </c>
      <c r="AJ4272">
        <v>68.981666064499095</v>
      </c>
      <c r="AK4272">
        <v>281.62177618655102</v>
      </c>
      <c r="AL4272">
        <v>88.542256417704706</v>
      </c>
      <c r="AM4272">
        <v>87.609656756626194</v>
      </c>
      <c r="AN4272">
        <v>0.99999998569184401</v>
      </c>
    </row>
    <row r="4273" spans="1:40" x14ac:dyDescent="0.25">
      <c r="A4273" t="str">
        <f>"20190312160419875"</f>
        <v>20190312160419875</v>
      </c>
      <c r="B4273" t="str">
        <f>"1552377859869054"</f>
        <v>1552377859869054</v>
      </c>
      <c r="C4273" t="s">
        <v>40</v>
      </c>
      <c r="D4273">
        <v>5.5135329999999998</v>
      </c>
      <c r="E4273">
        <v>0.62933899999999998</v>
      </c>
      <c r="F4273" t="s">
        <v>58</v>
      </c>
      <c r="G4273">
        <v>-187.51050000000001</v>
      </c>
      <c r="H4273">
        <v>21.750139999999998</v>
      </c>
      <c r="I4273">
        <v>-81.822369999999907</v>
      </c>
      <c r="J4273">
        <v>-190.3279</v>
      </c>
      <c r="K4273">
        <v>1.099321</v>
      </c>
      <c r="L4273">
        <v>200.2749</v>
      </c>
      <c r="M4273">
        <v>0.36146099999999998</v>
      </c>
      <c r="N4273">
        <v>0</v>
      </c>
      <c r="O4273">
        <v>-0.93224949999999995</v>
      </c>
      <c r="P4273">
        <v>0.32348909999999997</v>
      </c>
      <c r="Q4273">
        <v>1.0329980000000001E-2</v>
      </c>
      <c r="R4273">
        <v>-0.94617560000000001</v>
      </c>
      <c r="S4273">
        <v>3.2455440000000002E-2</v>
      </c>
      <c r="T4273">
        <v>0.23192579999999999</v>
      </c>
      <c r="U4273">
        <v>-3.1706240000000001</v>
      </c>
      <c r="V4273">
        <v>4.1111380000000003E-2</v>
      </c>
      <c r="W4273">
        <v>2.528238E-2</v>
      </c>
      <c r="X4273">
        <v>0.99883469999999996</v>
      </c>
      <c r="Y4273">
        <v>0.35193489999999999</v>
      </c>
      <c r="Z4273">
        <v>-6.3228519999999996E-2</v>
      </c>
      <c r="AA4273">
        <v>0.93388649999999995</v>
      </c>
      <c r="AB4273">
        <v>26</v>
      </c>
      <c r="AC4273">
        <v>2.8173999999999899</v>
      </c>
      <c r="AD4273">
        <v>20.650818999999998</v>
      </c>
      <c r="AE4273">
        <v>-282.09726999999998</v>
      </c>
      <c r="AF4273">
        <v>98.823864344115194</v>
      </c>
      <c r="AG4273">
        <v>20.650818999999998</v>
      </c>
      <c r="AH4273">
        <v>262.63005418666501</v>
      </c>
      <c r="AI4273">
        <v>85.791008327171198</v>
      </c>
      <c r="AJ4273">
        <v>69.379412190014605</v>
      </c>
      <c r="AK4273">
        <v>281.36658979233101</v>
      </c>
      <c r="AL4273">
        <v>88.551272038537306</v>
      </c>
      <c r="AM4273">
        <v>87.643073708455006</v>
      </c>
      <c r="AN4273">
        <v>1.0000000511140199</v>
      </c>
    </row>
    <row r="4274" spans="1:40" x14ac:dyDescent="0.25">
      <c r="A4274" t="str">
        <f>"20190312160419888"</f>
        <v>20190312160419888</v>
      </c>
      <c r="B4274" t="str">
        <f>"1552377859878812"</f>
        <v>1552377859878812</v>
      </c>
      <c r="C4274" t="s">
        <v>40</v>
      </c>
      <c r="D4274">
        <v>6.0188160000000002</v>
      </c>
      <c r="E4274">
        <v>0.62889859999999997</v>
      </c>
      <c r="F4274" t="s">
        <v>58</v>
      </c>
      <c r="G4274">
        <v>-190.40530000000001</v>
      </c>
      <c r="H4274">
        <v>21.7104</v>
      </c>
      <c r="I4274">
        <v>-81.822360000000003</v>
      </c>
      <c r="J4274">
        <v>-190.28149999999999</v>
      </c>
      <c r="K4274">
        <v>1.0993550000000001</v>
      </c>
      <c r="L4274">
        <v>200.1311</v>
      </c>
      <c r="M4274">
        <v>0.3533094</v>
      </c>
      <c r="N4274">
        <v>0</v>
      </c>
      <c r="O4274">
        <v>-0.93536940000000002</v>
      </c>
      <c r="P4274">
        <v>0.31531609999999999</v>
      </c>
      <c r="Q4274">
        <v>9.9698730000000006E-3</v>
      </c>
      <c r="R4274">
        <v>-0.94893459999999996</v>
      </c>
      <c r="S4274">
        <v>-8.6975099999999999E-4</v>
      </c>
      <c r="T4274">
        <v>0.23149819999999999</v>
      </c>
      <c r="U4274">
        <v>-3.1684420000000002</v>
      </c>
      <c r="V4274">
        <v>4.0997180000000001E-2</v>
      </c>
      <c r="W4274">
        <v>2.492105E-2</v>
      </c>
      <c r="X4274">
        <v>0.99884839999999997</v>
      </c>
      <c r="Y4274">
        <v>0.35357959999999999</v>
      </c>
      <c r="Z4274">
        <v>-6.3470620000000005E-2</v>
      </c>
      <c r="AA4274">
        <v>0.93324859999999998</v>
      </c>
      <c r="AB4274">
        <v>26</v>
      </c>
      <c r="AC4274">
        <v>-0.12380000000001699</v>
      </c>
      <c r="AD4274">
        <v>20.611045000000001</v>
      </c>
      <c r="AE4274">
        <v>-281.95346000000001</v>
      </c>
      <c r="AF4274">
        <v>99.215222282143202</v>
      </c>
      <c r="AG4274">
        <v>20.611045000000001</v>
      </c>
      <c r="AH4274">
        <v>262.31896681051001</v>
      </c>
      <c r="AI4274">
        <v>85.796803446329506</v>
      </c>
      <c r="AJ4274">
        <v>69.282199359782496</v>
      </c>
      <c r="AK4274">
        <v>281.21115884157302</v>
      </c>
      <c r="AL4274">
        <v>88.571981140942498</v>
      </c>
      <c r="AM4274">
        <v>87.649645673192097</v>
      </c>
      <c r="AN4274">
        <v>0.99999997684180697</v>
      </c>
    </row>
    <row r="4275" spans="1:40" x14ac:dyDescent="0.25">
      <c r="A4275" t="str">
        <f>"20190312160419900"</f>
        <v>20190312160419900</v>
      </c>
      <c r="B4275" t="str">
        <f>"1552377859889547"</f>
        <v>1552377859889547</v>
      </c>
      <c r="C4275" t="s">
        <v>40</v>
      </c>
      <c r="D4275">
        <v>5.8081759999999996</v>
      </c>
      <c r="E4275">
        <v>0.62844990000000001</v>
      </c>
      <c r="F4275" t="s">
        <v>58</v>
      </c>
      <c r="G4275">
        <v>-192.4888</v>
      </c>
      <c r="H4275">
        <v>21.52261</v>
      </c>
      <c r="I4275">
        <v>-81.822299999999998</v>
      </c>
      <c r="J4275">
        <v>-190.23740000000001</v>
      </c>
      <c r="K4275">
        <v>1.0993930000000001</v>
      </c>
      <c r="L4275">
        <v>199.98840000000001</v>
      </c>
      <c r="M4275">
        <v>0.3452345</v>
      </c>
      <c r="N4275">
        <v>0</v>
      </c>
      <c r="O4275">
        <v>-0.93837999999999999</v>
      </c>
      <c r="P4275">
        <v>0.30734109999999998</v>
      </c>
      <c r="Q4275">
        <v>9.6440369999999994E-3</v>
      </c>
      <c r="R4275">
        <v>-0.95155080000000003</v>
      </c>
      <c r="S4275">
        <v>-2.479553E-2</v>
      </c>
      <c r="T4275">
        <v>0.2294205</v>
      </c>
      <c r="U4275">
        <v>-3.1672669999999998</v>
      </c>
      <c r="V4275">
        <v>4.0761430000000001E-2</v>
      </c>
      <c r="W4275">
        <v>2.459594E-2</v>
      </c>
      <c r="X4275">
        <v>0.99886609999999998</v>
      </c>
      <c r="Y4275">
        <v>0.35256859999999901</v>
      </c>
      <c r="Z4275">
        <v>-6.3262810000000003E-2</v>
      </c>
      <c r="AA4275">
        <v>0.93364510000000001</v>
      </c>
      <c r="AB4275">
        <v>26</v>
      </c>
      <c r="AC4275">
        <v>-2.2513999999999799</v>
      </c>
      <c r="AD4275">
        <v>20.423217000000001</v>
      </c>
      <c r="AE4275">
        <v>-281.8107</v>
      </c>
      <c r="AF4275">
        <v>98.896793543702401</v>
      </c>
      <c r="AG4275">
        <v>20.423217000000001</v>
      </c>
      <c r="AH4275">
        <v>262.32436795416402</v>
      </c>
      <c r="AI4275">
        <v>85.833381135576801</v>
      </c>
      <c r="AJ4275">
        <v>69.343460142665407</v>
      </c>
      <c r="AK4275">
        <v>281.09030148407197</v>
      </c>
      <c r="AL4275">
        <v>88.590614274584695</v>
      </c>
      <c r="AM4275">
        <v>87.663187476785097</v>
      </c>
      <c r="AN4275">
        <v>0.99999997008466801</v>
      </c>
    </row>
    <row r="4276" spans="1:40" x14ac:dyDescent="0.25">
      <c r="A4276" t="str">
        <f>"20190312160419918"</f>
        <v>20190312160419918</v>
      </c>
      <c r="B4276" t="str">
        <f>"1552377859909067"</f>
        <v>1552377859909067</v>
      </c>
      <c r="C4276" t="s">
        <v>40</v>
      </c>
      <c r="D4276">
        <v>6.0509639999999996</v>
      </c>
      <c r="E4276">
        <v>0.60757109999999903</v>
      </c>
      <c r="F4276" t="s">
        <v>58</v>
      </c>
      <c r="G4276">
        <v>-194.52529999999999</v>
      </c>
      <c r="H4276">
        <v>21.26763</v>
      </c>
      <c r="I4276">
        <v>-81.822209999999998</v>
      </c>
      <c r="J4276">
        <v>-190.17580000000001</v>
      </c>
      <c r="K4276">
        <v>1.0994459999999999</v>
      </c>
      <c r="L4276">
        <v>199.7825</v>
      </c>
      <c r="M4276">
        <v>0.33359329999999998</v>
      </c>
      <c r="N4276">
        <v>0</v>
      </c>
      <c r="O4276">
        <v>-0.94258120000000001</v>
      </c>
      <c r="P4276">
        <v>0.29531929999999901</v>
      </c>
      <c r="Q4276">
        <v>9.9233700000000008E-3</v>
      </c>
      <c r="R4276">
        <v>-0.95534730000000001</v>
      </c>
      <c r="S4276">
        <v>-4.8172E-2</v>
      </c>
      <c r="T4276">
        <v>0.22658</v>
      </c>
      <c r="U4276">
        <v>-3.1659999999999999</v>
      </c>
      <c r="V4276">
        <v>4.0994799999999998E-2</v>
      </c>
      <c r="W4276">
        <v>2.4861459999999998E-2</v>
      </c>
      <c r="X4276">
        <v>0.99885000000000002</v>
      </c>
      <c r="Y4276">
        <v>0.34788000000000002</v>
      </c>
      <c r="Z4276">
        <v>-6.3015370000000001E-2</v>
      </c>
      <c r="AA4276">
        <v>0.93541890000000005</v>
      </c>
      <c r="AB4276">
        <v>26</v>
      </c>
      <c r="AC4276">
        <v>-4.3494999999999697</v>
      </c>
      <c r="AD4276">
        <v>20.168184</v>
      </c>
      <c r="AE4276">
        <v>-281.60471000000001</v>
      </c>
      <c r="AF4276">
        <v>97.553505658570899</v>
      </c>
      <c r="AG4276">
        <v>20.168184</v>
      </c>
      <c r="AH4276">
        <v>262.67117872662999</v>
      </c>
      <c r="AI4276">
        <v>85.883095562615395</v>
      </c>
      <c r="AJ4276">
        <v>69.625496018408796</v>
      </c>
      <c r="AK4276">
        <v>280.926307500333</v>
      </c>
      <c r="AL4276">
        <v>88.575396479384906</v>
      </c>
      <c r="AM4276">
        <v>87.649785725232107</v>
      </c>
      <c r="AN4276">
        <v>0.99999999416018504</v>
      </c>
    </row>
    <row r="4277" spans="1:40" x14ac:dyDescent="0.25">
      <c r="A4277" t="str">
        <f>"20190312160419933"</f>
        <v>20190312160419933</v>
      </c>
      <c r="B4277" t="str">
        <f>"1552377859929563"</f>
        <v>1552377859929563</v>
      </c>
      <c r="C4277" t="s">
        <v>40</v>
      </c>
      <c r="D4277">
        <v>5.9219710000000001</v>
      </c>
      <c r="E4277">
        <v>0.6069291</v>
      </c>
      <c r="F4277" t="s">
        <v>58</v>
      </c>
      <c r="G4277">
        <v>-183.85159999999999</v>
      </c>
      <c r="H4277">
        <v>18.101050000000001</v>
      </c>
      <c r="I4277">
        <v>-81.821169999999995</v>
      </c>
      <c r="J4277">
        <v>-190.12960000000001</v>
      </c>
      <c r="K4277">
        <v>1.0994900000000001</v>
      </c>
      <c r="L4277">
        <v>199.62209999999999</v>
      </c>
      <c r="M4277">
        <v>0.32453710000000002</v>
      </c>
      <c r="N4277">
        <v>0</v>
      </c>
      <c r="O4277">
        <v>-0.94573779999999996</v>
      </c>
      <c r="P4277">
        <v>0.28612919999999997</v>
      </c>
      <c r="Q4277">
        <v>1.038947E-2</v>
      </c>
      <c r="R4277">
        <v>-0.95813459999999995</v>
      </c>
      <c r="S4277">
        <v>6.9992070000000003E-2</v>
      </c>
      <c r="T4277">
        <v>0.18816279999999999</v>
      </c>
      <c r="U4277">
        <v>-3.1166079999999998</v>
      </c>
      <c r="V4277">
        <v>4.1016049999999998E-2</v>
      </c>
      <c r="W4277">
        <v>2.5320990000000002E-2</v>
      </c>
      <c r="X4277">
        <v>0.99883759999999999</v>
      </c>
      <c r="Y4277">
        <v>0.30328050000000001</v>
      </c>
      <c r="Z4277">
        <v>-5.395349E-2</v>
      </c>
      <c r="AA4277">
        <v>0.95137269999999896</v>
      </c>
      <c r="AB4277">
        <v>26</v>
      </c>
      <c r="AC4277">
        <v>6.2780000000000102</v>
      </c>
      <c r="AD4277">
        <v>17.001560000000001</v>
      </c>
      <c r="AE4277">
        <v>-281.44326999999998</v>
      </c>
      <c r="AF4277">
        <v>85.101962447113195</v>
      </c>
      <c r="AG4277">
        <v>17.001560000000001</v>
      </c>
      <c r="AH4277">
        <v>267.26845109972197</v>
      </c>
      <c r="AI4277">
        <v>86.531332732496494</v>
      </c>
      <c r="AJ4277">
        <v>72.337807071459494</v>
      </c>
      <c r="AK4277">
        <v>281.00502132173398</v>
      </c>
      <c r="AL4277">
        <v>88.549059080549597</v>
      </c>
      <c r="AM4277">
        <v>87.6485396800704</v>
      </c>
      <c r="AN4277">
        <v>1.00000001003297</v>
      </c>
    </row>
    <row r="4278" spans="1:40" x14ac:dyDescent="0.25">
      <c r="A4278" t="str">
        <f>"20190312160419945"</f>
        <v>20190312160419945</v>
      </c>
      <c r="B4278" t="str">
        <f>"1552377859939323"</f>
        <v>1552377859939323</v>
      </c>
      <c r="C4278" t="s">
        <v>40</v>
      </c>
      <c r="D4278">
        <v>6.1166869999999998</v>
      </c>
      <c r="E4278">
        <v>0.6064119</v>
      </c>
      <c r="F4278" t="s">
        <v>58</v>
      </c>
      <c r="G4278">
        <v>-186.07579999999999</v>
      </c>
      <c r="H4278">
        <v>18.278739999999999</v>
      </c>
      <c r="I4278">
        <v>-81.82123</v>
      </c>
      <c r="J4278">
        <v>-190.09129999999999</v>
      </c>
      <c r="K4278">
        <v>1.0995330000000001</v>
      </c>
      <c r="L4278">
        <v>199.4854</v>
      </c>
      <c r="M4278">
        <v>0.316826</v>
      </c>
      <c r="N4278">
        <v>0</v>
      </c>
      <c r="O4278">
        <v>-0.94834890000000005</v>
      </c>
      <c r="P4278">
        <v>0.27845140000000002</v>
      </c>
      <c r="Q4278">
        <v>1.138544E-2</v>
      </c>
      <c r="R4278">
        <v>-0.96038290000000004</v>
      </c>
      <c r="S4278">
        <v>4.4876100000000002E-2</v>
      </c>
      <c r="T4278">
        <v>0.1901776</v>
      </c>
      <c r="U4278">
        <v>-3.115631</v>
      </c>
      <c r="V4278">
        <v>4.089719E-2</v>
      </c>
      <c r="W4278">
        <v>2.6314379999999998E-2</v>
      </c>
      <c r="X4278">
        <v>0.99881679999999995</v>
      </c>
      <c r="Y4278">
        <v>0.30318220000000001</v>
      </c>
      <c r="Z4278">
        <v>-5.4787089999999997E-2</v>
      </c>
      <c r="AA4278">
        <v>0.95135639999999999</v>
      </c>
      <c r="AB4278">
        <v>26</v>
      </c>
      <c r="AC4278">
        <v>4.0155000000000003</v>
      </c>
      <c r="AD4278">
        <v>17.179206999999899</v>
      </c>
      <c r="AE4278">
        <v>-281.30662999999998</v>
      </c>
      <c r="AF4278">
        <v>85.011085986554605</v>
      </c>
      <c r="AG4278">
        <v>17.179206999999899</v>
      </c>
      <c r="AH4278">
        <v>267.08742808474898</v>
      </c>
      <c r="AI4278">
        <v>86.492683611330406</v>
      </c>
      <c r="AJ4278">
        <v>72.344280830737105</v>
      </c>
      <c r="AK4278">
        <v>280.81613937715201</v>
      </c>
      <c r="AL4278">
        <v>88.492123050770601</v>
      </c>
      <c r="AM4278">
        <v>87.655297565320694</v>
      </c>
      <c r="AN4278">
        <v>1.0000000133534599</v>
      </c>
    </row>
    <row r="4279" spans="1:40" x14ac:dyDescent="0.25">
      <c r="A4279" t="str">
        <f>"20190312160419957"</f>
        <v>20190312160419957</v>
      </c>
      <c r="B4279" t="str">
        <f>"1552377859949083"</f>
        <v>1552377859949083</v>
      </c>
      <c r="C4279" t="s">
        <v>40</v>
      </c>
      <c r="D4279">
        <v>6.130414</v>
      </c>
      <c r="E4279">
        <v>0.60517940000000003</v>
      </c>
      <c r="F4279" t="s">
        <v>58</v>
      </c>
      <c r="G4279">
        <v>-187.92619999999999</v>
      </c>
      <c r="H4279">
        <v>18.28331</v>
      </c>
      <c r="I4279">
        <v>-81.82123</v>
      </c>
      <c r="J4279">
        <v>-190.054</v>
      </c>
      <c r="K4279">
        <v>1.0995740000000001</v>
      </c>
      <c r="L4279">
        <v>199.3458</v>
      </c>
      <c r="M4279">
        <v>0.30896950000000001</v>
      </c>
      <c r="N4279">
        <v>0</v>
      </c>
      <c r="O4279">
        <v>-0.9509379</v>
      </c>
      <c r="P4279">
        <v>0.27062219999999998</v>
      </c>
      <c r="Q4279">
        <v>1.1916110000000001E-2</v>
      </c>
      <c r="R4279">
        <v>-0.96261220000000003</v>
      </c>
      <c r="S4279">
        <v>2.3971559999999999E-2</v>
      </c>
      <c r="T4279">
        <v>0.19025400000000001</v>
      </c>
      <c r="U4279">
        <v>-3.1145480000000001</v>
      </c>
      <c r="V4279">
        <v>4.0775680000000002E-2</v>
      </c>
      <c r="W4279">
        <v>2.684158E-2</v>
      </c>
      <c r="X4279">
        <v>0.99880769999999997</v>
      </c>
      <c r="Y4279">
        <v>0.30167850000000002</v>
      </c>
      <c r="Z4279">
        <v>-5.5079330000000003E-2</v>
      </c>
      <c r="AA4279">
        <v>0.95181740000000004</v>
      </c>
      <c r="AB4279">
        <v>26</v>
      </c>
      <c r="AC4279">
        <v>2.1278000000000001</v>
      </c>
      <c r="AD4279">
        <v>17.183736</v>
      </c>
      <c r="AE4279">
        <v>-281.16702999999899</v>
      </c>
      <c r="AF4279">
        <v>84.543685454292302</v>
      </c>
      <c r="AG4279">
        <v>17.183736</v>
      </c>
      <c r="AH4279">
        <v>267.06651255474998</v>
      </c>
      <c r="AI4279">
        <v>86.489745668963195</v>
      </c>
      <c r="AJ4279">
        <v>72.434079450902004</v>
      </c>
      <c r="AK4279">
        <v>280.65537169501698</v>
      </c>
      <c r="AL4279">
        <v>88.461905981011199</v>
      </c>
      <c r="AM4279">
        <v>87.662234915642998</v>
      </c>
      <c r="AN4279">
        <v>0.99999997403782304</v>
      </c>
    </row>
    <row r="4280" spans="1:40" x14ac:dyDescent="0.25">
      <c r="A4280" t="str">
        <f>"20190312160419971"</f>
        <v>20190312160419971</v>
      </c>
      <c r="B4280" t="str">
        <f>"1552377859958845"</f>
        <v>1552377859958845</v>
      </c>
      <c r="C4280" t="s">
        <v>40</v>
      </c>
      <c r="D4280">
        <v>5.9143089999999896</v>
      </c>
      <c r="E4280">
        <v>0.60466929999999997</v>
      </c>
      <c r="F4280" t="s">
        <v>58</v>
      </c>
      <c r="G4280">
        <v>-189.3357</v>
      </c>
      <c r="H4280">
        <v>18.119009999999999</v>
      </c>
      <c r="I4280">
        <v>-81.821169999999995</v>
      </c>
      <c r="J4280">
        <v>-190.0145</v>
      </c>
      <c r="K4280">
        <v>1.099618</v>
      </c>
      <c r="L4280">
        <v>199.19470000000001</v>
      </c>
      <c r="M4280">
        <v>0.300479</v>
      </c>
      <c r="N4280">
        <v>0</v>
      </c>
      <c r="O4280">
        <v>-0.95365489999999997</v>
      </c>
      <c r="P4280">
        <v>0.26197110000000001</v>
      </c>
      <c r="Q4280">
        <v>1.209271E-2</v>
      </c>
      <c r="R4280">
        <v>-0.96499999999999997</v>
      </c>
      <c r="S4280">
        <v>7.9498290000000003E-3</v>
      </c>
      <c r="T4280">
        <v>0.18837010000000001</v>
      </c>
      <c r="U4280">
        <v>-3.1119379999999999</v>
      </c>
      <c r="V4280">
        <v>4.0836419999999998E-2</v>
      </c>
      <c r="W4280">
        <v>2.700984E-2</v>
      </c>
      <c r="X4280">
        <v>0.99880069999999999</v>
      </c>
      <c r="Y4280">
        <v>0.29807099999999997</v>
      </c>
      <c r="Z4280">
        <v>-5.4861260000000002E-2</v>
      </c>
      <c r="AA4280">
        <v>0.95296590000000003</v>
      </c>
      <c r="AB4280">
        <v>26</v>
      </c>
      <c r="AC4280">
        <v>0.67879999999999496</v>
      </c>
      <c r="AD4280">
        <v>17.019392</v>
      </c>
      <c r="AE4280">
        <v>-281.01587000000001</v>
      </c>
      <c r="AF4280">
        <v>83.496438625921201</v>
      </c>
      <c r="AG4280">
        <v>17.019392</v>
      </c>
      <c r="AH4280">
        <v>267.25002740537298</v>
      </c>
      <c r="AI4280">
        <v>86.521511443035294</v>
      </c>
      <c r="AJ4280">
        <v>72.649724524981806</v>
      </c>
      <c r="AK4280">
        <v>280.50649210924598</v>
      </c>
      <c r="AL4280">
        <v>88.452261923318204</v>
      </c>
      <c r="AM4280">
        <v>87.658740031535501</v>
      </c>
      <c r="AN4280">
        <v>0.999999991487865</v>
      </c>
    </row>
    <row r="4281" spans="1:40" x14ac:dyDescent="0.25">
      <c r="A4281" t="str">
        <f>"20190312160419989"</f>
        <v>20190312160419989</v>
      </c>
      <c r="B4281" t="str">
        <f>"1552377859979339"</f>
        <v>1552377859979339</v>
      </c>
      <c r="C4281" t="s">
        <v>40</v>
      </c>
      <c r="D4281">
        <v>5.6059510000000001</v>
      </c>
      <c r="E4281">
        <v>0.60295019999999999</v>
      </c>
      <c r="F4281" t="s">
        <v>58</v>
      </c>
      <c r="G4281">
        <v>-191.46870000000001</v>
      </c>
      <c r="H4281">
        <v>17.865100000000002</v>
      </c>
      <c r="I4281">
        <v>-81.821089999999998</v>
      </c>
      <c r="J4281">
        <v>-189.9657</v>
      </c>
      <c r="K4281">
        <v>1.0996699999999999</v>
      </c>
      <c r="L4281">
        <v>198.99959999999999</v>
      </c>
      <c r="M4281">
        <v>0.28953250000000003</v>
      </c>
      <c r="N4281">
        <v>0</v>
      </c>
      <c r="O4281">
        <v>-0.95703550000000004</v>
      </c>
      <c r="P4281">
        <v>0.25144860000000002</v>
      </c>
      <c r="Q4281">
        <v>1.1324819999999999E-2</v>
      </c>
      <c r="R4281">
        <v>-0.96780460000000001</v>
      </c>
      <c r="S4281">
        <v>-1.6098020000000001E-2</v>
      </c>
      <c r="T4281">
        <v>0.1855946</v>
      </c>
      <c r="U4281">
        <v>-3.1108549999999999</v>
      </c>
      <c r="V4281">
        <v>4.0246530000000003E-2</v>
      </c>
      <c r="W4281">
        <v>2.6247650000000001E-2</v>
      </c>
      <c r="X4281">
        <v>0.99884499999999998</v>
      </c>
      <c r="Y4281">
        <v>0.29449880000000001</v>
      </c>
      <c r="Z4281">
        <v>-5.4407459999999998E-2</v>
      </c>
      <c r="AA4281">
        <v>0.9541018</v>
      </c>
      <c r="AB4281">
        <v>26</v>
      </c>
      <c r="AC4281">
        <v>-1.5030000000000101</v>
      </c>
      <c r="AD4281">
        <v>16.765429999999999</v>
      </c>
      <c r="AE4281">
        <v>-280.82069000000001</v>
      </c>
      <c r="AF4281">
        <v>82.461742824250607</v>
      </c>
      <c r="AG4281">
        <v>16.765429999999999</v>
      </c>
      <c r="AH4281">
        <v>267.40121887400301</v>
      </c>
      <c r="AI4281">
        <v>86.571309291694803</v>
      </c>
      <c r="AJ4281">
        <v>72.861175272022706</v>
      </c>
      <c r="AK4281">
        <v>280.32914676858098</v>
      </c>
      <c r="AL4281">
        <v>88.495947741433099</v>
      </c>
      <c r="AM4281">
        <v>87.692625389854499</v>
      </c>
      <c r="AN4281">
        <v>1.00000002816628</v>
      </c>
    </row>
    <row r="4282" spans="1:40" x14ac:dyDescent="0.25">
      <c r="A4282" t="str">
        <f>"20190312160420004"</f>
        <v>20190312160420004</v>
      </c>
      <c r="B4282" t="str">
        <f>"1552377859998859"</f>
        <v>1552377859998859</v>
      </c>
      <c r="C4282" t="s">
        <v>40</v>
      </c>
      <c r="D4282">
        <v>6.0070129999999997</v>
      </c>
      <c r="E4282">
        <v>0.60235369999999899</v>
      </c>
      <c r="F4282" t="s">
        <v>58</v>
      </c>
      <c r="G4282">
        <v>-193.3193</v>
      </c>
      <c r="H4282">
        <v>16.605119999999999</v>
      </c>
      <c r="I4282">
        <v>-81.820669999999893</v>
      </c>
      <c r="J4282">
        <v>-189.92150000000001</v>
      </c>
      <c r="K4282">
        <v>1.0997250000000001</v>
      </c>
      <c r="L4282">
        <v>198.8135</v>
      </c>
      <c r="M4282">
        <v>0.279126599999999</v>
      </c>
      <c r="N4282">
        <v>0</v>
      </c>
      <c r="O4282">
        <v>-0.96012249999999999</v>
      </c>
      <c r="P4282">
        <v>0.24118890000000001</v>
      </c>
      <c r="Q4282">
        <v>1.0842310000000001E-2</v>
      </c>
      <c r="R4282">
        <v>-0.9704178</v>
      </c>
      <c r="S4282">
        <v>-3.7109379999999997E-2</v>
      </c>
      <c r="T4282">
        <v>0.1715759</v>
      </c>
      <c r="U4282">
        <v>-3.1074220000000001</v>
      </c>
      <c r="V4282">
        <v>3.9963150000000003E-2</v>
      </c>
      <c r="W4282">
        <v>2.5762400000000001E-2</v>
      </c>
      <c r="X4282">
        <v>0.99886900000000001</v>
      </c>
      <c r="Y4282">
        <v>0.29058329999999999</v>
      </c>
      <c r="Z4282">
        <v>-5.0651670000000003E-2</v>
      </c>
      <c r="AA4282">
        <v>0.95550809999999997</v>
      </c>
      <c r="AB4282">
        <v>26</v>
      </c>
      <c r="AC4282">
        <v>-3.3977999999999802</v>
      </c>
      <c r="AD4282">
        <v>15.505395</v>
      </c>
      <c r="AE4282">
        <v>-280.63416999999998</v>
      </c>
      <c r="AF4282">
        <v>81.356773120235204</v>
      </c>
      <c r="AG4282">
        <v>15.505395</v>
      </c>
      <c r="AH4282">
        <v>267.71162816646302</v>
      </c>
      <c r="AI4282">
        <v>86.828149744913503</v>
      </c>
      <c r="AJ4282">
        <v>73.096128118224499</v>
      </c>
      <c r="AK4282">
        <v>280.23000849691698</v>
      </c>
      <c r="AL4282">
        <v>88.523759907018103</v>
      </c>
      <c r="AM4282">
        <v>87.708909470411498</v>
      </c>
      <c r="AN4282">
        <v>1.0000000168863401</v>
      </c>
    </row>
    <row r="4283" spans="1:40" x14ac:dyDescent="0.25">
      <c r="A4283" t="str">
        <f>"20190312160420019"</f>
        <v>20190312160420019</v>
      </c>
      <c r="B4283" t="str">
        <f>"1552377860009595"</f>
        <v>1552377860009595</v>
      </c>
      <c r="C4283" t="s">
        <v>40</v>
      </c>
      <c r="D4283">
        <v>6.0032680000000003</v>
      </c>
      <c r="E4283">
        <v>0.60137309999999999</v>
      </c>
      <c r="F4283" t="s">
        <v>58</v>
      </c>
      <c r="G4283">
        <v>-195.84440000000001</v>
      </c>
      <c r="H4283">
        <v>15.500590000000001</v>
      </c>
      <c r="I4283">
        <v>-81.820300000000003</v>
      </c>
      <c r="J4283">
        <v>-189.88470000000001</v>
      </c>
      <c r="K4283">
        <v>1.099774</v>
      </c>
      <c r="L4283">
        <v>198.65049999999999</v>
      </c>
      <c r="M4283">
        <v>0.27003379999999999</v>
      </c>
      <c r="N4283">
        <v>0</v>
      </c>
      <c r="O4283">
        <v>-0.9627194</v>
      </c>
      <c r="P4283">
        <v>0.23331840000000001</v>
      </c>
      <c r="Q4283">
        <v>9.9799060000000002E-3</v>
      </c>
      <c r="R4283">
        <v>-0.97234929999999997</v>
      </c>
      <c r="S4283">
        <v>-6.5551760000000001E-2</v>
      </c>
      <c r="T4283">
        <v>0.1593822</v>
      </c>
      <c r="U4283">
        <v>-3.1059269999999999</v>
      </c>
      <c r="V4283">
        <v>3.8586830000000003E-2</v>
      </c>
      <c r="W4283">
        <v>2.492581E-2</v>
      </c>
      <c r="X4283">
        <v>0.99894430000000001</v>
      </c>
      <c r="Y4283">
        <v>0.2902922</v>
      </c>
      <c r="Z4283">
        <v>-4.7281320000000002E-2</v>
      </c>
      <c r="AA4283">
        <v>0.95576930000000004</v>
      </c>
      <c r="AB4283">
        <v>26</v>
      </c>
      <c r="AC4283">
        <v>-5.95969999999999</v>
      </c>
      <c r="AD4283">
        <v>14.400816000000001</v>
      </c>
      <c r="AE4283">
        <v>-280.4708</v>
      </c>
      <c r="AF4283">
        <v>81.270269258505905</v>
      </c>
      <c r="AG4283">
        <v>14.400816000000001</v>
      </c>
      <c r="AH4283">
        <v>267.733818778326</v>
      </c>
      <c r="AI4283">
        <v>87.053652766945007</v>
      </c>
      <c r="AJ4283">
        <v>73.114397994313805</v>
      </c>
      <c r="AK4283">
        <v>280.16716061030701</v>
      </c>
      <c r="AL4283">
        <v>88.5717083284746</v>
      </c>
      <c r="AM4283">
        <v>87.787900803269494</v>
      </c>
      <c r="AN4283">
        <v>0.99999997697804699</v>
      </c>
    </row>
    <row r="4284" spans="1:40" x14ac:dyDescent="0.25">
      <c r="A4284" t="str">
        <f>"20190312160420042"</f>
        <v>20190312160420042</v>
      </c>
      <c r="B4284" t="str">
        <f>"1552377860038875"</f>
        <v>1552377860038875</v>
      </c>
      <c r="C4284" t="s">
        <v>40</v>
      </c>
      <c r="D4284">
        <v>6.0386920000000002</v>
      </c>
      <c r="E4284">
        <v>0.59910160000000001</v>
      </c>
      <c r="F4284" t="s">
        <v>58</v>
      </c>
      <c r="G4284">
        <v>-197.4255</v>
      </c>
      <c r="H4284">
        <v>14.355370000000001</v>
      </c>
      <c r="I4284">
        <v>-81.819929999999999</v>
      </c>
      <c r="J4284">
        <v>-189.827</v>
      </c>
      <c r="K4284">
        <v>1.09986299999999</v>
      </c>
      <c r="L4284">
        <v>198.38200000000001</v>
      </c>
      <c r="M4284">
        <v>0.25510500000000003</v>
      </c>
      <c r="N4284">
        <v>0</v>
      </c>
      <c r="O4284">
        <v>-0.96678269999999999</v>
      </c>
      <c r="P4284">
        <v>0.21972369999999999</v>
      </c>
      <c r="Q4284">
        <v>1.0246190000000001E-2</v>
      </c>
      <c r="R4284">
        <v>-0.97550840000000005</v>
      </c>
      <c r="S4284">
        <v>-8.3450319999999995E-2</v>
      </c>
      <c r="T4284">
        <v>0.1466914</v>
      </c>
      <c r="U4284">
        <v>-3.10379</v>
      </c>
      <c r="V4284">
        <v>3.7072729999999998E-2</v>
      </c>
      <c r="W4284">
        <v>2.5214210000000001E-2</v>
      </c>
      <c r="X4284">
        <v>0.99899439999999995</v>
      </c>
      <c r="Y4284">
        <v>0.28099980000000002</v>
      </c>
      <c r="Z4284">
        <v>-4.3904789999999999E-2</v>
      </c>
      <c r="AA4284">
        <v>0.95870299999999997</v>
      </c>
      <c r="AB4284">
        <v>25</v>
      </c>
      <c r="AC4284">
        <v>-7.5984999999999996</v>
      </c>
      <c r="AD4284">
        <v>13.255507</v>
      </c>
      <c r="AE4284">
        <v>-280.20193</v>
      </c>
      <c r="AF4284">
        <v>78.661061220316299</v>
      </c>
      <c r="AG4284">
        <v>13.255507</v>
      </c>
      <c r="AH4284">
        <v>268.38974384739703</v>
      </c>
      <c r="AI4284">
        <v>87.286477138829994</v>
      </c>
      <c r="AJ4284">
        <v>73.664920052433402</v>
      </c>
      <c r="AK4284">
        <v>279.99343853134201</v>
      </c>
      <c r="AL4284">
        <v>88.555179030733399</v>
      </c>
      <c r="AM4284">
        <v>87.874726132803204</v>
      </c>
      <c r="AN4284">
        <v>0.99999997746346803</v>
      </c>
    </row>
    <row r="4285" spans="1:40" x14ac:dyDescent="0.25">
      <c r="A4285" t="str">
        <f>"20190312160420055"</f>
        <v>20190312160420055</v>
      </c>
      <c r="B4285" t="str">
        <f>"1552377860049611"</f>
        <v>1552377860049611</v>
      </c>
      <c r="C4285" t="s">
        <v>40</v>
      </c>
      <c r="D4285">
        <v>5.9750069999999997</v>
      </c>
      <c r="E4285">
        <v>0.59838709999999995</v>
      </c>
      <c r="F4285" t="s">
        <v>58</v>
      </c>
      <c r="G4285">
        <v>-199.7234</v>
      </c>
      <c r="H4285">
        <v>13.47312</v>
      </c>
      <c r="I4285">
        <v>-81.819630000000004</v>
      </c>
      <c r="J4285">
        <v>-189.79920000000001</v>
      </c>
      <c r="K4285">
        <v>1.099912</v>
      </c>
      <c r="L4285">
        <v>198.24420000000001</v>
      </c>
      <c r="M4285">
        <v>0.247476</v>
      </c>
      <c r="N4285">
        <v>0</v>
      </c>
      <c r="O4285">
        <v>-0.96876390000000001</v>
      </c>
      <c r="P4285">
        <v>0.2125377</v>
      </c>
      <c r="Q4285">
        <v>1.029265E-2</v>
      </c>
      <c r="R4285">
        <v>-0.97709880000000005</v>
      </c>
      <c r="S4285">
        <v>-0.10943600000000001</v>
      </c>
      <c r="T4285">
        <v>0.136826</v>
      </c>
      <c r="U4285">
        <v>-3.0985260000000001</v>
      </c>
      <c r="V4285">
        <v>3.6548360000000002E-2</v>
      </c>
      <c r="W4285">
        <v>2.5264740000000001E-2</v>
      </c>
      <c r="X4285">
        <v>0.99901249999999997</v>
      </c>
      <c r="Y4285">
        <v>0.28151579999999998</v>
      </c>
      <c r="Z4285">
        <v>-4.1149159999999997E-2</v>
      </c>
      <c r="AA4285">
        <v>0.95867389999999997</v>
      </c>
      <c r="AB4285">
        <v>25</v>
      </c>
      <c r="AC4285">
        <v>-9.9241999999999795</v>
      </c>
      <c r="AD4285">
        <v>12.373208</v>
      </c>
      <c r="AE4285">
        <v>-280.06383</v>
      </c>
      <c r="AF4285">
        <v>78.779659945677494</v>
      </c>
      <c r="AG4285">
        <v>12.373208</v>
      </c>
      <c r="AH4285">
        <v>268.37046087816702</v>
      </c>
      <c r="AI4285">
        <v>87.466982694554602</v>
      </c>
      <c r="AJ4285">
        <v>73.640494657649498</v>
      </c>
      <c r="AK4285">
        <v>279.96791846446899</v>
      </c>
      <c r="AL4285">
        <v>88.5522830319306</v>
      </c>
      <c r="AM4285">
        <v>87.904797712312302</v>
      </c>
      <c r="AN4285">
        <v>1.0000000324311</v>
      </c>
    </row>
    <row r="4286" spans="1:40" x14ac:dyDescent="0.25">
      <c r="A4286" t="str">
        <f>"20190312160420068"</f>
        <v>20190312160420068</v>
      </c>
      <c r="B4286" t="str">
        <f>"1552377860059373"</f>
        <v>1552377860059373</v>
      </c>
      <c r="C4286" t="s">
        <v>40</v>
      </c>
      <c r="D4286">
        <v>6.0073879999999997</v>
      </c>
      <c r="E4286">
        <v>0.5976709</v>
      </c>
      <c r="F4286" t="s">
        <v>58</v>
      </c>
      <c r="G4286">
        <v>-201.25819999999999</v>
      </c>
      <c r="H4286">
        <v>13.36523</v>
      </c>
      <c r="I4286">
        <v>-81.819599999999994</v>
      </c>
      <c r="J4286">
        <v>-189.7696</v>
      </c>
      <c r="K4286">
        <v>1.099969</v>
      </c>
      <c r="L4286">
        <v>198.09299999999999</v>
      </c>
      <c r="M4286">
        <v>0.23911969999999999</v>
      </c>
      <c r="N4286">
        <v>0</v>
      </c>
      <c r="O4286">
        <v>-0.97086059999999996</v>
      </c>
      <c r="P4286">
        <v>0.20466880000000001</v>
      </c>
      <c r="Q4286">
        <v>1.030848E-2</v>
      </c>
      <c r="R4286">
        <v>-0.97877700000000001</v>
      </c>
      <c r="S4286">
        <v>-0.12669369999999999</v>
      </c>
      <c r="T4286">
        <v>0.1356089</v>
      </c>
      <c r="U4286">
        <v>-3.0964659999999999</v>
      </c>
      <c r="V4286">
        <v>3.5975529999999999E-2</v>
      </c>
      <c r="W4286">
        <v>2.5285229999999999E-2</v>
      </c>
      <c r="X4286">
        <v>0.9990327</v>
      </c>
      <c r="Y4286">
        <v>0.27860499999999999</v>
      </c>
      <c r="Z4286">
        <v>-4.0962480000000003E-2</v>
      </c>
      <c r="AA4286">
        <v>0.95953180000000005</v>
      </c>
      <c r="AB4286">
        <v>25</v>
      </c>
      <c r="AC4286">
        <v>-11.4885999999999</v>
      </c>
      <c r="AD4286">
        <v>12.265261000000001</v>
      </c>
      <c r="AE4286">
        <v>-279.9126</v>
      </c>
      <c r="AF4286">
        <v>77.946857014086902</v>
      </c>
      <c r="AG4286">
        <v>12.265261000000001</v>
      </c>
      <c r="AH4286">
        <v>268.528077977934</v>
      </c>
      <c r="AI4286">
        <v>87.488316988009004</v>
      </c>
      <c r="AJ4286">
        <v>73.8133337700407</v>
      </c>
      <c r="AK4286">
        <v>279.88118516308998</v>
      </c>
      <c r="AL4286">
        <v>88.551108559344499</v>
      </c>
      <c r="AM4286">
        <v>87.9376493318846</v>
      </c>
      <c r="AN4286">
        <v>0.999999958642111</v>
      </c>
    </row>
    <row r="4287" spans="1:40" x14ac:dyDescent="0.25">
      <c r="A4287" t="str">
        <f>"20190312160420078"</f>
        <v>20190312160420078</v>
      </c>
      <c r="B4287" t="str">
        <f>"1552377860069131"</f>
        <v>1552377860069131</v>
      </c>
      <c r="C4287" t="s">
        <v>40</v>
      </c>
      <c r="D4287">
        <v>6.0058119999999997</v>
      </c>
      <c r="E4287">
        <v>0.59701419999999905</v>
      </c>
      <c r="F4287" t="s">
        <v>58</v>
      </c>
      <c r="G4287">
        <v>-202.97030000000001</v>
      </c>
      <c r="H4287">
        <v>13.198429999999901</v>
      </c>
      <c r="I4287">
        <v>-81.819540000000003</v>
      </c>
      <c r="J4287">
        <v>-189.74549999999999</v>
      </c>
      <c r="K4287">
        <v>1.1000209999999999</v>
      </c>
      <c r="L4287">
        <v>197.96180000000001</v>
      </c>
      <c r="M4287">
        <v>0.2319078</v>
      </c>
      <c r="N4287">
        <v>0</v>
      </c>
      <c r="O4287">
        <v>-0.97260869999999999</v>
      </c>
      <c r="P4287">
        <v>0.1977729</v>
      </c>
      <c r="Q4287">
        <v>1.0216970000000001E-2</v>
      </c>
      <c r="R4287">
        <v>-0.98019500000000004</v>
      </c>
      <c r="S4287">
        <v>-0.14591979999999999</v>
      </c>
      <c r="T4287">
        <v>0.1337361</v>
      </c>
      <c r="U4287">
        <v>-3.094147</v>
      </c>
      <c r="V4287">
        <v>3.5589129999999997E-2</v>
      </c>
      <c r="W4287">
        <v>2.5193710000000001E-2</v>
      </c>
      <c r="X4287">
        <v>0.99904890000000002</v>
      </c>
      <c r="Y4287">
        <v>0.27745839999999999</v>
      </c>
      <c r="Z4287">
        <v>-4.054265E-2</v>
      </c>
      <c r="AA4287">
        <v>0.95988180000000001</v>
      </c>
      <c r="AB4287">
        <v>25</v>
      </c>
      <c r="AC4287">
        <v>-13.2248</v>
      </c>
      <c r="AD4287">
        <v>12.098408999999901</v>
      </c>
      <c r="AE4287">
        <v>-279.78134</v>
      </c>
      <c r="AF4287">
        <v>77.610991519353405</v>
      </c>
      <c r="AG4287">
        <v>12.098408999999901</v>
      </c>
      <c r="AH4287">
        <v>268.58350988023199</v>
      </c>
      <c r="AI4287">
        <v>87.522086395372398</v>
      </c>
      <c r="AJ4287">
        <v>73.882604639177899</v>
      </c>
      <c r="AK4287">
        <v>279.83377080783703</v>
      </c>
      <c r="AL4287">
        <v>88.556354009979302</v>
      </c>
      <c r="AM4287">
        <v>87.959814519404205</v>
      </c>
      <c r="AN4287">
        <v>1.0000000068944599</v>
      </c>
    </row>
    <row r="4288" spans="1:40" x14ac:dyDescent="0.25">
      <c r="A4288" t="str">
        <f>"20190312160420091"</f>
        <v>20190312160420091</v>
      </c>
      <c r="B4288" t="str">
        <f>"1552377860078893"</f>
        <v>1552377860078893</v>
      </c>
      <c r="C4288" t="s">
        <v>40</v>
      </c>
      <c r="D4288">
        <v>5.8348639999999996</v>
      </c>
      <c r="E4288">
        <v>0.59701419999999905</v>
      </c>
      <c r="F4288" t="s">
        <v>58</v>
      </c>
      <c r="G4288">
        <v>-204.4151</v>
      </c>
      <c r="H4288">
        <v>13.06382</v>
      </c>
      <c r="I4288">
        <v>-80.952960000000004</v>
      </c>
      <c r="J4288">
        <v>-189.7208</v>
      </c>
      <c r="K4288">
        <v>1.1000749999999999</v>
      </c>
      <c r="L4288">
        <v>197.82329999999999</v>
      </c>
      <c r="M4288">
        <v>0.22430310000000001</v>
      </c>
      <c r="N4288">
        <v>0</v>
      </c>
      <c r="O4288">
        <v>-0.97439100000000001</v>
      </c>
      <c r="P4288">
        <v>0.1901853</v>
      </c>
      <c r="Q4288">
        <v>9.8386480000000002E-3</v>
      </c>
      <c r="R4288">
        <v>-0.98169930000000005</v>
      </c>
      <c r="S4288">
        <v>-0.1626282</v>
      </c>
      <c r="T4288">
        <v>0.13263169999999999</v>
      </c>
      <c r="U4288">
        <v>-3.0920719999999999</v>
      </c>
      <c r="V4288">
        <v>3.5500360000000002E-2</v>
      </c>
      <c r="W4288">
        <v>2.4807119999999998E-2</v>
      </c>
      <c r="X4288">
        <v>0.99906170000000005</v>
      </c>
      <c r="Y4288">
        <v>0.275157599999999</v>
      </c>
      <c r="Z4288">
        <v>-4.035851E-2</v>
      </c>
      <c r="AA4288">
        <v>0.96055170000000001</v>
      </c>
      <c r="AB4288">
        <v>25</v>
      </c>
      <c r="AC4288">
        <v>-14.694299999999901</v>
      </c>
      <c r="AD4288">
        <v>11.963744999999999</v>
      </c>
      <c r="AE4288">
        <v>-278.77625999999998</v>
      </c>
      <c r="AF4288">
        <v>76.717092667273903</v>
      </c>
      <c r="AG4288">
        <v>11.963744999999999</v>
      </c>
      <c r="AH4288">
        <v>267.88269372838403</v>
      </c>
      <c r="AI4288">
        <v>87.541547751876095</v>
      </c>
      <c r="AJ4288">
        <v>74.019178976910993</v>
      </c>
      <c r="AK4288">
        <v>278.90819475397097</v>
      </c>
      <c r="AL4288">
        <v>88.578510864773193</v>
      </c>
      <c r="AM4288">
        <v>87.964925123412897</v>
      </c>
      <c r="AN4288">
        <v>0.99999997458485601</v>
      </c>
    </row>
    <row r="4289" spans="1:40" x14ac:dyDescent="0.25">
      <c r="A4289" t="str">
        <f>"20190312160420104"</f>
        <v>20190312160420104</v>
      </c>
      <c r="B4289" t="str">
        <f>"1552377860099387"</f>
        <v>1552377860099387</v>
      </c>
      <c r="C4289" t="s">
        <v>40</v>
      </c>
      <c r="D4289">
        <v>6.0170510000000004</v>
      </c>
      <c r="E4289">
        <v>0.59037580000000001</v>
      </c>
      <c r="F4289" t="s">
        <v>58</v>
      </c>
      <c r="G4289">
        <v>-206.56360000000001</v>
      </c>
      <c r="H4289">
        <v>12.938499999999999</v>
      </c>
      <c r="I4289">
        <v>-80.952929999999995</v>
      </c>
      <c r="J4289">
        <v>-189.69649999999999</v>
      </c>
      <c r="K4289">
        <v>1.1001339999999999</v>
      </c>
      <c r="L4289">
        <v>197.68100000000001</v>
      </c>
      <c r="M4289">
        <v>0.2165194</v>
      </c>
      <c r="N4289">
        <v>0</v>
      </c>
      <c r="O4289">
        <v>-0.97615030000000003</v>
      </c>
      <c r="P4289">
        <v>0.18238850000000001</v>
      </c>
      <c r="Q4289">
        <v>9.303235E-3</v>
      </c>
      <c r="R4289">
        <v>-0.98318300000000003</v>
      </c>
      <c r="S4289">
        <v>-0.18673709999999999</v>
      </c>
      <c r="T4289">
        <v>0.13125319999999999</v>
      </c>
      <c r="U4289">
        <v>-3.090805</v>
      </c>
      <c r="V4289">
        <v>3.543996E-2</v>
      </c>
      <c r="W4289">
        <v>2.4261789999999998E-2</v>
      </c>
      <c r="X4289">
        <v>0.99907729999999995</v>
      </c>
      <c r="Y4289">
        <v>0.27497500000000002</v>
      </c>
      <c r="Z4289">
        <v>-4.0060190000000002E-2</v>
      </c>
      <c r="AA4289">
        <v>0.96061640000000004</v>
      </c>
      <c r="AB4289">
        <v>25</v>
      </c>
      <c r="AC4289">
        <v>-16.867100000000001</v>
      </c>
      <c r="AD4289">
        <v>11.838366000000001</v>
      </c>
      <c r="AE4289">
        <v>-278.63393000000002</v>
      </c>
      <c r="AF4289">
        <v>76.666185539238597</v>
      </c>
      <c r="AG4289">
        <v>11.838366000000001</v>
      </c>
      <c r="AH4289">
        <v>267.88826507985499</v>
      </c>
      <c r="AI4289">
        <v>87.567205527240503</v>
      </c>
      <c r="AJ4289">
        <v>74.029557592888494</v>
      </c>
      <c r="AK4289">
        <v>278.89419764882399</v>
      </c>
      <c r="AL4289">
        <v>88.609765470069803</v>
      </c>
      <c r="AM4289">
        <v>87.968416373816396</v>
      </c>
      <c r="AN4289">
        <v>1.00000003829704</v>
      </c>
    </row>
    <row r="4290" spans="1:40" x14ac:dyDescent="0.25">
      <c r="A4290" t="str">
        <f>"20190312160420115"</f>
        <v>20190312160420115</v>
      </c>
      <c r="B4290" t="str">
        <f>"1552377860109147"</f>
        <v>1552377860109147</v>
      </c>
      <c r="C4290" t="s">
        <v>40</v>
      </c>
      <c r="D4290">
        <v>6.0214639999999999</v>
      </c>
      <c r="E4290">
        <v>0.59041549999999998</v>
      </c>
      <c r="F4290" t="s">
        <v>41</v>
      </c>
      <c r="G4290">
        <v>-193.93520000000001</v>
      </c>
      <c r="H4290" s="1">
        <v>-4.3982749999999998E-6</v>
      </c>
      <c r="I4290">
        <v>117.8601</v>
      </c>
      <c r="J4290">
        <v>-189.6764</v>
      </c>
      <c r="K4290">
        <v>1.100182</v>
      </c>
      <c r="L4290">
        <v>197.55600000000001</v>
      </c>
      <c r="M4290">
        <v>0.20971090000000001</v>
      </c>
      <c r="N4290">
        <v>0</v>
      </c>
      <c r="O4290">
        <v>-0.97763580000000005</v>
      </c>
      <c r="P4290">
        <v>0.1757861</v>
      </c>
      <c r="Q4290">
        <v>9.3537220000000001E-3</v>
      </c>
      <c r="R4290">
        <v>-0.98438419999999904</v>
      </c>
      <c r="S4290">
        <v>-0.1636658</v>
      </c>
      <c r="T4290">
        <v>-4.24794E-2</v>
      </c>
      <c r="U4290">
        <v>-3.0821079999999998</v>
      </c>
      <c r="V4290">
        <v>3.5179589999999997E-2</v>
      </c>
      <c r="W4290">
        <v>2.43085E-2</v>
      </c>
      <c r="X4290">
        <v>0.99908529999999995</v>
      </c>
      <c r="Y4290">
        <v>0.26128479999999998</v>
      </c>
      <c r="Z4290">
        <v>1.307205E-2</v>
      </c>
      <c r="AA4290">
        <v>0.96517319999999995</v>
      </c>
      <c r="AB4290">
        <v>25</v>
      </c>
      <c r="AC4290">
        <v>-4.2587999999999999</v>
      </c>
      <c r="AD4290">
        <v>-1.100186398275</v>
      </c>
      <c r="AE4290">
        <v>-79.695899999999895</v>
      </c>
      <c r="AF4290">
        <v>20.875293024113901</v>
      </c>
      <c r="AG4290">
        <v>-1.100186398275</v>
      </c>
      <c r="AH4290">
        <v>77.015426149917303</v>
      </c>
      <c r="AI4290">
        <v>90.789930201061495</v>
      </c>
      <c r="AJ4290">
        <v>74.834185437746299</v>
      </c>
      <c r="AK4290">
        <v>79.802030888987701</v>
      </c>
      <c r="AL4290">
        <v>88.607088301986195</v>
      </c>
      <c r="AM4290">
        <v>87.983345760382704</v>
      </c>
      <c r="AN4290">
        <v>0.99999997170045296</v>
      </c>
    </row>
    <row r="4291" spans="1:40" x14ac:dyDescent="0.25">
      <c r="A4291" t="str">
        <f>"20190312160420131"</f>
        <v>20190312160420131</v>
      </c>
      <c r="B4291" t="str">
        <f>"1552377860118908"</f>
        <v>1552377860118908</v>
      </c>
      <c r="C4291" t="s">
        <v>40</v>
      </c>
      <c r="D4291">
        <v>5.9265280000000002</v>
      </c>
      <c r="E4291">
        <v>0.58960469999999998</v>
      </c>
      <c r="F4291" t="s">
        <v>60</v>
      </c>
      <c r="G4291">
        <v>-193.52950000000001</v>
      </c>
      <c r="H4291" s="1">
        <v>-6.5453550000000003E-6</v>
      </c>
      <c r="I4291">
        <v>133.30779999999999</v>
      </c>
      <c r="J4291">
        <v>-189.6474</v>
      </c>
      <c r="K4291">
        <v>1.1002609999999999</v>
      </c>
      <c r="L4291">
        <v>197.36779999999999</v>
      </c>
      <c r="M4291">
        <v>0.19949529999999999</v>
      </c>
      <c r="N4291">
        <v>0</v>
      </c>
      <c r="O4291">
        <v>-0.97977179999999997</v>
      </c>
      <c r="P4291">
        <v>0.16550179999999901</v>
      </c>
      <c r="Q4291">
        <v>9.6815809999999999E-3</v>
      </c>
      <c r="R4291">
        <v>-0.98616199999999998</v>
      </c>
      <c r="S4291">
        <v>-0.1847839</v>
      </c>
      <c r="T4291">
        <v>-5.2761200000000001E-2</v>
      </c>
      <c r="U4291">
        <v>-3.0811160000000002</v>
      </c>
      <c r="V4291">
        <v>3.5181629999999998E-2</v>
      </c>
      <c r="W4291">
        <v>2.4621210000000001E-2</v>
      </c>
      <c r="X4291">
        <v>0.99907760000000001</v>
      </c>
      <c r="Y4291">
        <v>0.25781549999999998</v>
      </c>
      <c r="Z4291">
        <v>1.6300100000000001E-2</v>
      </c>
      <c r="AA4291">
        <v>0.96605660000000004</v>
      </c>
      <c r="AB4291">
        <v>25</v>
      </c>
      <c r="AC4291">
        <v>-3.8820999999999999</v>
      </c>
      <c r="AD4291">
        <v>-1.1002675453549999</v>
      </c>
      <c r="AE4291">
        <v>-64.06</v>
      </c>
      <c r="AF4291">
        <v>16.580431399794399</v>
      </c>
      <c r="AG4291">
        <v>-1.1002675453549999</v>
      </c>
      <c r="AH4291">
        <v>61.979218167853297</v>
      </c>
      <c r="AI4291">
        <v>90.982478494749799</v>
      </c>
      <c r="AJ4291">
        <v>75.023160946409305</v>
      </c>
      <c r="AK4291">
        <v>64.168097827292698</v>
      </c>
      <c r="AL4291">
        <v>88.589166015143306</v>
      </c>
      <c r="AM4291">
        <v>87.9832133842242</v>
      </c>
      <c r="AN4291">
        <v>1.00000000094654</v>
      </c>
    </row>
    <row r="4292" spans="1:40" x14ac:dyDescent="0.25">
      <c r="A4292" t="str">
        <f>"20190312160420144"</f>
        <v>20190312160420144</v>
      </c>
      <c r="B4292" t="str">
        <f>"1552377860139403"</f>
        <v>1552377860139403</v>
      </c>
      <c r="C4292" t="s">
        <v>40</v>
      </c>
      <c r="D4292">
        <v>5.5934549999999996</v>
      </c>
      <c r="E4292">
        <v>0.58906789999999998</v>
      </c>
      <c r="F4292" t="s">
        <v>60</v>
      </c>
      <c r="G4292">
        <v>-193.97210000000001</v>
      </c>
      <c r="H4292" s="1">
        <v>-6.8935719999999996E-6</v>
      </c>
      <c r="I4292">
        <v>134.1978</v>
      </c>
      <c r="J4292">
        <v>-189.62629999999999</v>
      </c>
      <c r="K4292">
        <v>1.1003309999999999</v>
      </c>
      <c r="L4292">
        <v>197.22229999999999</v>
      </c>
      <c r="M4292">
        <v>0.19163640000000001</v>
      </c>
      <c r="N4292">
        <v>0</v>
      </c>
      <c r="O4292">
        <v>-0.98133959999999998</v>
      </c>
      <c r="P4292">
        <v>0.1580443</v>
      </c>
      <c r="Q4292">
        <v>1.01326E-2</v>
      </c>
      <c r="R4292">
        <v>-0.98738040000000005</v>
      </c>
      <c r="S4292">
        <v>-0.21072389999999999</v>
      </c>
      <c r="T4292">
        <v>-5.3611279999999997E-2</v>
      </c>
      <c r="U4292">
        <v>-3.0780029999999998</v>
      </c>
      <c r="V4292">
        <v>3.4730209999999997E-2</v>
      </c>
      <c r="W4292">
        <v>2.5070729999999999E-2</v>
      </c>
      <c r="X4292">
        <v>0.99908220000000003</v>
      </c>
      <c r="Y4292">
        <v>0.25823760000000001</v>
      </c>
      <c r="Z4292">
        <v>1.6614799999999999E-2</v>
      </c>
      <c r="AA4292">
        <v>0.96593859999999998</v>
      </c>
      <c r="AB4292">
        <v>25</v>
      </c>
      <c r="AC4292">
        <v>-4.3458000000000201</v>
      </c>
      <c r="AD4292">
        <v>-1.1003378935719901</v>
      </c>
      <c r="AE4292">
        <v>-63.024499999999897</v>
      </c>
      <c r="AF4292">
        <v>16.339564481796401</v>
      </c>
      <c r="AG4292">
        <v>-1.1003378935719901</v>
      </c>
      <c r="AH4292">
        <v>61.004686909622002</v>
      </c>
      <c r="AI4292">
        <v>90.998152892262596</v>
      </c>
      <c r="AJ4292">
        <v>75.005776744674506</v>
      </c>
      <c r="AK4292">
        <v>63.164578173813702</v>
      </c>
      <c r="AL4292">
        <v>88.5634024407628</v>
      </c>
      <c r="AM4292">
        <v>88.009079230218404</v>
      </c>
      <c r="AN4292">
        <v>0.99999998567310799</v>
      </c>
    </row>
    <row r="4293" spans="1:40" x14ac:dyDescent="0.25">
      <c r="A4293" t="str">
        <f>"20190312160420155"</f>
        <v>20190312160420155</v>
      </c>
      <c r="B4293" t="str">
        <f>"1552377860149164"</f>
        <v>1552377860149164</v>
      </c>
      <c r="C4293" t="s">
        <v>40</v>
      </c>
      <c r="D4293">
        <v>5.7951959999999998</v>
      </c>
      <c r="E4293">
        <v>0.59030329999999998</v>
      </c>
      <c r="F4293" t="s">
        <v>60</v>
      </c>
      <c r="G4293">
        <v>-194.07409999999999</v>
      </c>
      <c r="H4293" s="1">
        <v>-8.0403580000000002E-6</v>
      </c>
      <c r="I4293">
        <v>137.73699999999999</v>
      </c>
      <c r="J4293">
        <v>-189.60910000000001</v>
      </c>
      <c r="K4293">
        <v>1.10039</v>
      </c>
      <c r="L4293">
        <v>197.09630000000001</v>
      </c>
      <c r="M4293">
        <v>0.18486440000000001</v>
      </c>
      <c r="N4293">
        <v>0</v>
      </c>
      <c r="O4293">
        <v>-0.98263789999999995</v>
      </c>
      <c r="P4293">
        <v>0.1514315</v>
      </c>
      <c r="Q4293">
        <v>1.027286E-2</v>
      </c>
      <c r="R4293">
        <v>-0.98841429999999997</v>
      </c>
      <c r="S4293">
        <v>-0.2299805</v>
      </c>
      <c r="T4293">
        <v>-5.689466E-2</v>
      </c>
      <c r="U4293">
        <v>-3.0757750000000001</v>
      </c>
      <c r="V4293">
        <v>3.452711E-2</v>
      </c>
      <c r="W4293">
        <v>2.52042E-2</v>
      </c>
      <c r="X4293">
        <v>0.99908589999999997</v>
      </c>
      <c r="Y4293">
        <v>0.25763819999999998</v>
      </c>
      <c r="Z4293">
        <v>1.7678289999999999E-2</v>
      </c>
      <c r="AA4293">
        <v>0.96607969999999999</v>
      </c>
      <c r="AB4293">
        <v>25</v>
      </c>
      <c r="AC4293">
        <v>-4.4649999999999697</v>
      </c>
      <c r="AD4293">
        <v>-1.100398040358</v>
      </c>
      <c r="AE4293">
        <v>-59.359299999999998</v>
      </c>
      <c r="AF4293">
        <v>15.3575560248856</v>
      </c>
      <c r="AG4293">
        <v>-1.100398040358</v>
      </c>
      <c r="AH4293">
        <v>57.490761723237298</v>
      </c>
      <c r="AI4293">
        <v>91.059393717623294</v>
      </c>
      <c r="AJ4293">
        <v>75.043755659205402</v>
      </c>
      <c r="AK4293">
        <v>59.516830278693199</v>
      </c>
      <c r="AL4293">
        <v>88.555752782594496</v>
      </c>
      <c r="AM4293">
        <v>88.020720041402797</v>
      </c>
      <c r="AN4293">
        <v>1.0000000043007</v>
      </c>
    </row>
    <row r="4294" spans="1:40" x14ac:dyDescent="0.25">
      <c r="A4294" t="str">
        <f>"20190312160420167"</f>
        <v>20190312160420167</v>
      </c>
      <c r="B4294" t="str">
        <f>"1552377860158926"</f>
        <v>1552377860158926</v>
      </c>
      <c r="C4294" t="s">
        <v>40</v>
      </c>
      <c r="D4294">
        <v>5.6925980000000003</v>
      </c>
      <c r="E4294">
        <v>0.58909840000000002</v>
      </c>
      <c r="F4294" t="s">
        <v>58</v>
      </c>
      <c r="G4294">
        <v>-212.78360000000001</v>
      </c>
      <c r="H4294">
        <v>6.441783</v>
      </c>
      <c r="I4294">
        <v>-80.065860000000001</v>
      </c>
      <c r="J4294">
        <v>-189.59049999999999</v>
      </c>
      <c r="K4294">
        <v>1.100455</v>
      </c>
      <c r="L4294">
        <v>196.95580000000001</v>
      </c>
      <c r="M4294">
        <v>0.1773303</v>
      </c>
      <c r="N4294">
        <v>0</v>
      </c>
      <c r="O4294">
        <v>-0.9840257</v>
      </c>
      <c r="P4294">
        <v>0.144113299999999</v>
      </c>
      <c r="Q4294">
        <v>1.050997E-2</v>
      </c>
      <c r="R4294">
        <v>-0.98950539999999998</v>
      </c>
      <c r="S4294">
        <v>-0.257019</v>
      </c>
      <c r="T4294">
        <v>5.9239390000000003E-2</v>
      </c>
      <c r="U4294">
        <v>-3.0738979999999998</v>
      </c>
      <c r="V4294">
        <v>3.4266060000000001E-2</v>
      </c>
      <c r="W4294">
        <v>2.543492E-2</v>
      </c>
      <c r="X4294">
        <v>0.99908909999999995</v>
      </c>
      <c r="Y4294">
        <v>0.25872220000000001</v>
      </c>
      <c r="Z4294">
        <v>-1.844867E-2</v>
      </c>
      <c r="AA4294">
        <v>0.96577550000000001</v>
      </c>
      <c r="AB4294">
        <v>25</v>
      </c>
      <c r="AC4294">
        <v>-23.193100000000001</v>
      </c>
      <c r="AD4294">
        <v>5.3413279999999999</v>
      </c>
      <c r="AE4294">
        <v>-277.02166</v>
      </c>
      <c r="AF4294">
        <v>71.929286726849</v>
      </c>
      <c r="AG4294">
        <v>5.3413279999999999</v>
      </c>
      <c r="AH4294">
        <v>268.41771498991</v>
      </c>
      <c r="AI4294">
        <v>88.898845681839603</v>
      </c>
      <c r="AJ4294">
        <v>74.998610527220094</v>
      </c>
      <c r="AK4294">
        <v>277.93960098237397</v>
      </c>
      <c r="AL4294">
        <v>88.542529347880205</v>
      </c>
      <c r="AM4294">
        <v>88.035679352283793</v>
      </c>
      <c r="AN4294">
        <v>1.00000006388106</v>
      </c>
    </row>
    <row r="4295" spans="1:40" x14ac:dyDescent="0.25">
      <c r="A4295" t="str">
        <f>"20190312160420181"</f>
        <v>20190312160420181</v>
      </c>
      <c r="B4295" t="str">
        <f>"1552377860169660"</f>
        <v>1552377860169660</v>
      </c>
      <c r="C4295" t="s">
        <v>40</v>
      </c>
      <c r="D4295">
        <v>5.6993080000000003</v>
      </c>
      <c r="E4295">
        <v>0.58851900000000001</v>
      </c>
      <c r="F4295" t="s">
        <v>58</v>
      </c>
      <c r="G4295">
        <v>-213.97069999999999</v>
      </c>
      <c r="H4295">
        <v>6.6348260000000003</v>
      </c>
      <c r="I4295">
        <v>-80.065919999999906</v>
      </c>
      <c r="J4295">
        <v>-189.5719</v>
      </c>
      <c r="K4295">
        <v>1.100527</v>
      </c>
      <c r="L4295">
        <v>196.8006</v>
      </c>
      <c r="M4295">
        <v>0.16908199999999901</v>
      </c>
      <c r="N4295">
        <v>0</v>
      </c>
      <c r="O4295">
        <v>-0.98547700000000005</v>
      </c>
      <c r="P4295">
        <v>0.13614479999999901</v>
      </c>
      <c r="Q4295">
        <v>1.0671460000000001E-2</v>
      </c>
      <c r="R4295">
        <v>-0.99063179999999995</v>
      </c>
      <c r="S4295">
        <v>-0.27023320000000001</v>
      </c>
      <c r="T4295">
        <v>6.1343670000000003E-2</v>
      </c>
      <c r="U4295">
        <v>-3.070541</v>
      </c>
      <c r="V4295">
        <v>3.3936969999999997E-2</v>
      </c>
      <c r="W4295">
        <v>2.5588409999999999E-2</v>
      </c>
      <c r="X4295">
        <v>0.99909630000000005</v>
      </c>
      <c r="Y4295">
        <v>0.2548417</v>
      </c>
      <c r="Z4295">
        <v>-1.9174799999999999E-2</v>
      </c>
      <c r="AA4295">
        <v>0.9667926</v>
      </c>
      <c r="AB4295">
        <v>25</v>
      </c>
      <c r="AC4295">
        <v>-24.398799999999898</v>
      </c>
      <c r="AD4295">
        <v>5.5342989999999901</v>
      </c>
      <c r="AE4295">
        <v>-276.86651999999998</v>
      </c>
      <c r="AF4295">
        <v>70.838244839896007</v>
      </c>
      <c r="AG4295">
        <v>5.5342989999999901</v>
      </c>
      <c r="AH4295">
        <v>268.64678275993901</v>
      </c>
      <c r="AI4295">
        <v>88.858831730899794</v>
      </c>
      <c r="AJ4295">
        <v>75.228172423792302</v>
      </c>
      <c r="AK4295">
        <v>277.88447111108002</v>
      </c>
      <c r="AL4295">
        <v>88.533731989926594</v>
      </c>
      <c r="AM4295">
        <v>88.0545440588606</v>
      </c>
      <c r="AN4295">
        <v>0.99999995066639802</v>
      </c>
    </row>
    <row r="4296" spans="1:40" x14ac:dyDescent="0.25">
      <c r="A4296" t="str">
        <f>"20190312160420195"</f>
        <v>20190312160420195</v>
      </c>
      <c r="B4296" t="str">
        <f>"1552377860189180"</f>
        <v>1552377860189180</v>
      </c>
      <c r="C4296" t="s">
        <v>40</v>
      </c>
      <c r="D4296">
        <v>5.0871849999999998</v>
      </c>
      <c r="E4296">
        <v>0.58781470000000002</v>
      </c>
      <c r="F4296" t="s">
        <v>61</v>
      </c>
      <c r="G4296">
        <v>-210.93190000000001</v>
      </c>
      <c r="H4296">
        <v>6.8503990000000003</v>
      </c>
      <c r="I4296">
        <v>-29.19183</v>
      </c>
      <c r="J4296">
        <v>-189.5548</v>
      </c>
      <c r="K4296">
        <v>1.1006020000000001</v>
      </c>
      <c r="L4296">
        <v>196.65119999999999</v>
      </c>
      <c r="M4296">
        <v>0.1611764</v>
      </c>
      <c r="N4296">
        <v>0</v>
      </c>
      <c r="O4296">
        <v>-0.98680109999999999</v>
      </c>
      <c r="P4296">
        <v>0.12876219999999999</v>
      </c>
      <c r="Q4296">
        <v>1.043287E-2</v>
      </c>
      <c r="R4296">
        <v>-0.99162090000000003</v>
      </c>
      <c r="S4296">
        <v>-0.28991699999999998</v>
      </c>
      <c r="T4296">
        <v>7.8042269999999997E-2</v>
      </c>
      <c r="U4296">
        <v>-3.0673680000000001</v>
      </c>
      <c r="V4296">
        <v>3.335921E-2</v>
      </c>
      <c r="W4296">
        <v>2.5348639999999999E-2</v>
      </c>
      <c r="X4296">
        <v>0.99912190000000001</v>
      </c>
      <c r="Y4296">
        <v>0.25331819999999999</v>
      </c>
      <c r="Z4296">
        <v>-2.4465049999999999E-2</v>
      </c>
      <c r="AA4296">
        <v>0.96707359999999998</v>
      </c>
      <c r="AB4296">
        <v>25</v>
      </c>
      <c r="AC4296">
        <v>-21.377099999999999</v>
      </c>
      <c r="AD4296">
        <v>5.749797</v>
      </c>
      <c r="AE4296">
        <v>-225.843029999999</v>
      </c>
      <c r="AF4296">
        <v>57.465661611045</v>
      </c>
      <c r="AG4296">
        <v>5.749797</v>
      </c>
      <c r="AH4296">
        <v>219.30274888689101</v>
      </c>
      <c r="AI4296">
        <v>88.547161300523499</v>
      </c>
      <c r="AJ4296">
        <v>75.316461217113897</v>
      </c>
      <c r="AK4296">
        <v>226.779756811059</v>
      </c>
      <c r="AL4296">
        <v>88.547474301053896</v>
      </c>
      <c r="AM4296">
        <v>88.087688634543696</v>
      </c>
      <c r="AN4296">
        <v>0.999999980750641</v>
      </c>
    </row>
    <row r="4297" spans="1:40" x14ac:dyDescent="0.25">
      <c r="A4297" t="str">
        <f>"20190312160420211"</f>
        <v>20190312160420211</v>
      </c>
      <c r="B4297" t="str">
        <f>"1552377860198939"</f>
        <v>1552377860198939</v>
      </c>
      <c r="C4297" t="s">
        <v>40</v>
      </c>
      <c r="D4297">
        <v>5.644495</v>
      </c>
      <c r="E4297">
        <v>0.58677760000000001</v>
      </c>
      <c r="F4297" t="s">
        <v>61</v>
      </c>
      <c r="G4297">
        <v>-211.32300000000001</v>
      </c>
      <c r="H4297">
        <v>7.0663399999999896</v>
      </c>
      <c r="I4297">
        <v>-20.633890000000001</v>
      </c>
      <c r="J4297">
        <v>-189.53380000000001</v>
      </c>
      <c r="K4297">
        <v>1.100711</v>
      </c>
      <c r="L4297">
        <v>196.45150000000001</v>
      </c>
      <c r="M4297">
        <v>0.15067710000000001</v>
      </c>
      <c r="N4297">
        <v>0</v>
      </c>
      <c r="O4297">
        <v>-0.98845899999999998</v>
      </c>
      <c r="P4297">
        <v>0.1188164</v>
      </c>
      <c r="Q4297">
        <v>1.016338E-2</v>
      </c>
      <c r="R4297">
        <v>-0.99286439999999998</v>
      </c>
      <c r="S4297">
        <v>-0.30699159999999998</v>
      </c>
      <c r="T4297">
        <v>8.4133269999999996E-2</v>
      </c>
      <c r="U4297">
        <v>-3.0643159999999998</v>
      </c>
      <c r="V4297">
        <v>3.2739650000000002E-2</v>
      </c>
      <c r="W4297">
        <v>2.5072629999999999E-2</v>
      </c>
      <c r="X4297">
        <v>0.99914939999999997</v>
      </c>
      <c r="Y4297">
        <v>0.24845419999999999</v>
      </c>
      <c r="Z4297">
        <v>-2.6477649999999998E-2</v>
      </c>
      <c r="AA4297">
        <v>0.96828170000000002</v>
      </c>
      <c r="AB4297">
        <v>25</v>
      </c>
      <c r="AC4297">
        <v>-21.789199999999902</v>
      </c>
      <c r="AD4297">
        <v>5.9656289999999998</v>
      </c>
      <c r="AE4297">
        <v>-217.08538999999999</v>
      </c>
      <c r="AF4297">
        <v>54.213647494830198</v>
      </c>
      <c r="AG4297">
        <v>5.9656289999999998</v>
      </c>
      <c r="AH4297">
        <v>211.16490830350699</v>
      </c>
      <c r="AI4297">
        <v>88.432571269037595</v>
      </c>
      <c r="AJ4297">
        <v>75.601090959406903</v>
      </c>
      <c r="AK4297">
        <v>218.09476564761499</v>
      </c>
      <c r="AL4297">
        <v>88.563293597453693</v>
      </c>
      <c r="AM4297">
        <v>88.123230791243003</v>
      </c>
      <c r="AN4297">
        <v>1.0000000224887899</v>
      </c>
    </row>
    <row r="4298" spans="1:40" x14ac:dyDescent="0.25">
      <c r="A4298" t="str">
        <f>"20190312160420234"</f>
        <v>20190312160420234</v>
      </c>
      <c r="B4298" t="str">
        <f>"1552377860229197"</f>
        <v>1552377860229197</v>
      </c>
      <c r="C4298" t="s">
        <v>40</v>
      </c>
      <c r="D4298">
        <v>5.6201679999999996</v>
      </c>
      <c r="E4298">
        <v>0.58392699999999997</v>
      </c>
      <c r="F4298" t="s">
        <v>90</v>
      </c>
      <c r="G4298">
        <v>-211.07</v>
      </c>
      <c r="H4298">
        <v>6.8656949999999997</v>
      </c>
      <c r="I4298">
        <v>-3.6393409999999999</v>
      </c>
      <c r="J4298">
        <v>-189.5102</v>
      </c>
      <c r="K4298">
        <v>1.1008519999999999</v>
      </c>
      <c r="L4298">
        <v>196.19810000000001</v>
      </c>
      <c r="M4298">
        <v>0.13749900000000001</v>
      </c>
      <c r="N4298">
        <v>0</v>
      </c>
      <c r="O4298">
        <v>-0.99037889999999995</v>
      </c>
      <c r="P4298">
        <v>0.1062517</v>
      </c>
      <c r="Q4298">
        <v>9.9206880000000004E-3</v>
      </c>
      <c r="R4298">
        <v>-0.9942898</v>
      </c>
      <c r="S4298">
        <v>-0.32936100000000001</v>
      </c>
      <c r="T4298">
        <v>8.8165759999999996E-2</v>
      </c>
      <c r="U4298">
        <v>-3.0600589999999999</v>
      </c>
      <c r="V4298">
        <v>3.2052450000000003E-2</v>
      </c>
      <c r="W4298">
        <v>2.481713E-2</v>
      </c>
      <c r="X4298">
        <v>0.99917809999999996</v>
      </c>
      <c r="Y4298">
        <v>0.2426807</v>
      </c>
      <c r="Z4298">
        <v>-2.7877510000000001E-2</v>
      </c>
      <c r="AA4298">
        <v>0.96970559999999995</v>
      </c>
      <c r="AB4298">
        <v>25</v>
      </c>
      <c r="AC4298">
        <v>-21.559799999999999</v>
      </c>
      <c r="AD4298">
        <v>5.7648429999999999</v>
      </c>
      <c r="AE4298">
        <v>-199.83744099999899</v>
      </c>
      <c r="AF4298">
        <v>48.795629410146901</v>
      </c>
      <c r="AG4298">
        <v>5.7648429999999999</v>
      </c>
      <c r="AH4298">
        <v>194.81383279207699</v>
      </c>
      <c r="AI4298">
        <v>88.355786422771502</v>
      </c>
      <c r="AJ4298">
        <v>75.938245922944503</v>
      </c>
      <c r="AK4298">
        <v>200.914599547884</v>
      </c>
      <c r="AL4298">
        <v>88.577937282434505</v>
      </c>
      <c r="AM4298">
        <v>88.162649324872802</v>
      </c>
      <c r="AN4298">
        <v>1.0000000625060199</v>
      </c>
    </row>
    <row r="4299" spans="1:40" x14ac:dyDescent="0.25">
      <c r="A4299" t="str">
        <f>"20190312160420245"</f>
        <v>20190312160420245</v>
      </c>
      <c r="B4299" t="str">
        <f>"1552377860238956"</f>
        <v>1552377860238956</v>
      </c>
      <c r="C4299" t="s">
        <v>40</v>
      </c>
      <c r="D4299">
        <v>5.6090790000000004</v>
      </c>
      <c r="E4299">
        <v>0.56810190000000005</v>
      </c>
      <c r="F4299" t="s">
        <v>90</v>
      </c>
      <c r="G4299">
        <v>-210.4597</v>
      </c>
      <c r="H4299">
        <v>5.2078049999999996</v>
      </c>
      <c r="I4299">
        <v>11.31808</v>
      </c>
      <c r="J4299">
        <v>-189.49870000000001</v>
      </c>
      <c r="K4299">
        <v>1.1009230000000001</v>
      </c>
      <c r="L4299">
        <v>196.0617</v>
      </c>
      <c r="M4299">
        <v>0.13045409999999999</v>
      </c>
      <c r="N4299">
        <v>0</v>
      </c>
      <c r="O4299">
        <v>-0.99133170000000004</v>
      </c>
      <c r="P4299">
        <v>9.9831829999999996E-2</v>
      </c>
      <c r="Q4299">
        <v>9.8951219999999993E-3</v>
      </c>
      <c r="R4299">
        <v>-0.99495520000000004</v>
      </c>
      <c r="S4299">
        <v>-0.34600829999999999</v>
      </c>
      <c r="T4299">
        <v>6.7831749999999996E-2</v>
      </c>
      <c r="U4299">
        <v>-3.0535429999999999</v>
      </c>
      <c r="V4299">
        <v>3.1391950000000002E-2</v>
      </c>
      <c r="W4299">
        <v>2.4790909999999999E-2</v>
      </c>
      <c r="X4299">
        <v>0.99919959999999997</v>
      </c>
      <c r="Y4299">
        <v>0.24124429999999999</v>
      </c>
      <c r="Z4299">
        <v>-2.152637E-2</v>
      </c>
      <c r="AA4299">
        <v>0.97022560000000002</v>
      </c>
      <c r="AB4299">
        <v>25</v>
      </c>
      <c r="AC4299">
        <v>-20.960999999999899</v>
      </c>
      <c r="AD4299">
        <v>4.1068819999999997</v>
      </c>
      <c r="AE4299">
        <v>-184.74361999999999</v>
      </c>
      <c r="AF4299">
        <v>44.863435714126297</v>
      </c>
      <c r="AG4299">
        <v>4.1068819999999997</v>
      </c>
      <c r="AH4299">
        <v>180.34171037090201</v>
      </c>
      <c r="AI4299">
        <v>88.7340136221694</v>
      </c>
      <c r="AJ4299">
        <v>76.0301553284379</v>
      </c>
      <c r="AK4299">
        <v>185.883637911839</v>
      </c>
      <c r="AL4299">
        <v>88.579439869079806</v>
      </c>
      <c r="AM4299">
        <v>88.200524872592993</v>
      </c>
      <c r="AN4299">
        <v>0.999999942191793</v>
      </c>
    </row>
    <row r="4300" spans="1:40" x14ac:dyDescent="0.25">
      <c r="A4300" t="str">
        <f>"20190312160420257"</f>
        <v>20190312160420257</v>
      </c>
      <c r="B4300" t="str">
        <f>"1552377860249691"</f>
        <v>1552377860249691</v>
      </c>
      <c r="C4300" t="s">
        <v>40</v>
      </c>
      <c r="D4300">
        <v>5.3683199999999998</v>
      </c>
      <c r="E4300">
        <v>0.57056890000000005</v>
      </c>
      <c r="F4300" t="s">
        <v>41</v>
      </c>
      <c r="G4300">
        <v>-191.32400000000001</v>
      </c>
      <c r="H4300" s="1">
        <v>-2.0459140000000001E-6</v>
      </c>
      <c r="I4300">
        <v>173.53700000000001</v>
      </c>
      <c r="J4300">
        <v>-189.48910000000001</v>
      </c>
      <c r="K4300">
        <v>1.1009979999999999</v>
      </c>
      <c r="L4300">
        <v>195.93350000000001</v>
      </c>
      <c r="M4300">
        <v>0.1238993</v>
      </c>
      <c r="N4300">
        <v>0</v>
      </c>
      <c r="O4300">
        <v>-0.99217270000000002</v>
      </c>
      <c r="P4300">
        <v>9.3747769999999994E-2</v>
      </c>
      <c r="Q4300">
        <v>1.00076E-2</v>
      </c>
      <c r="R4300">
        <v>-0.99554600000000004</v>
      </c>
      <c r="S4300">
        <v>-0.24647520000000001</v>
      </c>
      <c r="T4300">
        <v>-0.14865449999999999</v>
      </c>
      <c r="U4300">
        <v>-3.0414430000000001</v>
      </c>
      <c r="V4300">
        <v>3.0893480000000001E-2</v>
      </c>
      <c r="W4300">
        <v>2.489912E-2</v>
      </c>
      <c r="X4300">
        <v>0.99921249999999995</v>
      </c>
      <c r="Y4300">
        <v>0.2035669</v>
      </c>
      <c r="Z4300">
        <v>4.7663749999999998E-2</v>
      </c>
      <c r="AA4300">
        <v>0.97790010000000005</v>
      </c>
      <c r="AB4300">
        <v>25</v>
      </c>
      <c r="AC4300">
        <v>-1.8349</v>
      </c>
      <c r="AD4300">
        <v>-1.1010000459139999</v>
      </c>
      <c r="AE4300">
        <v>-22.3965</v>
      </c>
      <c r="AF4300">
        <v>4.5849987170878803</v>
      </c>
      <c r="AG4300">
        <v>-1.1010000459139999</v>
      </c>
      <c r="AH4300">
        <v>21.943840975943299</v>
      </c>
      <c r="AI4300">
        <v>92.811704155567597</v>
      </c>
      <c r="AJ4300">
        <v>78.198270013598204</v>
      </c>
      <c r="AK4300">
        <v>22.444744844045101</v>
      </c>
      <c r="AL4300">
        <v>88.573238055800601</v>
      </c>
      <c r="AM4300">
        <v>88.229103086103606</v>
      </c>
      <c r="AN4300">
        <v>0.99999999671976703</v>
      </c>
    </row>
    <row r="4301" spans="1:40" x14ac:dyDescent="0.25">
      <c r="A4301" t="str">
        <f>"20190312160420269"</f>
        <v>20190312160420269</v>
      </c>
      <c r="B4301" t="str">
        <f>"1552377860259452"</f>
        <v>1552377860259452</v>
      </c>
      <c r="C4301" t="s">
        <v>40</v>
      </c>
      <c r="D4301">
        <v>5.5757919999999999</v>
      </c>
      <c r="E4301">
        <v>0.568909</v>
      </c>
      <c r="F4301" t="s">
        <v>41</v>
      </c>
      <c r="G4301">
        <v>-191.94239999999999</v>
      </c>
      <c r="H4301" s="1">
        <v>-5.5405750000000001E-7</v>
      </c>
      <c r="I4301">
        <v>169.67590000000001</v>
      </c>
      <c r="J4301">
        <v>-189.47909999999999</v>
      </c>
      <c r="K4301">
        <v>1.1010799999999901</v>
      </c>
      <c r="L4301">
        <v>195.7953</v>
      </c>
      <c r="M4301">
        <v>0.1168492</v>
      </c>
      <c r="N4301">
        <v>0</v>
      </c>
      <c r="O4301">
        <v>-0.99302789999999996</v>
      </c>
      <c r="P4301">
        <v>8.7476369999999998E-2</v>
      </c>
      <c r="Q4301">
        <v>1.006283E-2</v>
      </c>
      <c r="R4301">
        <v>-0.9961158</v>
      </c>
      <c r="S4301">
        <v>-0.28417969999999998</v>
      </c>
      <c r="T4301">
        <v>-0.1275307</v>
      </c>
      <c r="U4301">
        <v>-3.0414729999999999</v>
      </c>
      <c r="V4301">
        <v>3.008477E-2</v>
      </c>
      <c r="W4301">
        <v>2.4955850000000002E-2</v>
      </c>
      <c r="X4301">
        <v>0.99923569999999995</v>
      </c>
      <c r="Y4301">
        <v>0.2086692</v>
      </c>
      <c r="Z4301">
        <v>4.091235E-2</v>
      </c>
      <c r="AA4301">
        <v>0.97713019999999995</v>
      </c>
      <c r="AB4301">
        <v>25</v>
      </c>
      <c r="AC4301">
        <v>-2.4632999999999998</v>
      </c>
      <c r="AD4301">
        <v>-1.1010805540574999</v>
      </c>
      <c r="AE4301">
        <v>-26.119399999999899</v>
      </c>
      <c r="AF4301">
        <v>5.4891528419712001</v>
      </c>
      <c r="AG4301">
        <v>-1.1010805540574999</v>
      </c>
      <c r="AH4301">
        <v>25.607454756602799</v>
      </c>
      <c r="AI4301">
        <v>92.407489053494004</v>
      </c>
      <c r="AJ4301">
        <v>77.901304418058203</v>
      </c>
      <c r="AK4301">
        <v>26.212304675867401</v>
      </c>
      <c r="AL4301">
        <v>88.5699865690286</v>
      </c>
      <c r="AM4301">
        <v>88.275472153149096</v>
      </c>
      <c r="AN4301">
        <v>0.99999993599482995</v>
      </c>
    </row>
    <row r="4302" spans="1:40" x14ac:dyDescent="0.25">
      <c r="A4302" t="str">
        <f>"20190312160420279"</f>
        <v>20190312160420279</v>
      </c>
      <c r="B4302" t="str">
        <f>"1552377860269212"</f>
        <v>1552377860269212</v>
      </c>
      <c r="C4302" t="s">
        <v>40</v>
      </c>
      <c r="D4302">
        <v>5.5868200000000003</v>
      </c>
      <c r="E4302">
        <v>0.56996769999999997</v>
      </c>
      <c r="F4302" t="s">
        <v>41</v>
      </c>
      <c r="G4302">
        <v>-191.89189999999999</v>
      </c>
      <c r="H4302" s="1">
        <v>-9.0495339999999996E-7</v>
      </c>
      <c r="I4302">
        <v>170.52520000000001</v>
      </c>
      <c r="J4302">
        <v>-189.47120000000001</v>
      </c>
      <c r="K4302">
        <v>1.1011660000000001</v>
      </c>
      <c r="L4302">
        <v>195.66759999999999</v>
      </c>
      <c r="M4302">
        <v>0.11041719999999999</v>
      </c>
      <c r="N4302">
        <v>0</v>
      </c>
      <c r="O4302">
        <v>-0.99376399999999998</v>
      </c>
      <c r="P4302">
        <v>8.1877790000000006E-2</v>
      </c>
      <c r="Q4302">
        <v>1.012367E-2</v>
      </c>
      <c r="R4302">
        <v>-0.996591</v>
      </c>
      <c r="S4302">
        <v>-0.29011540000000002</v>
      </c>
      <c r="T4302">
        <v>-0.13239479999999901</v>
      </c>
      <c r="U4302">
        <v>-3.0384980000000001</v>
      </c>
      <c r="V4302">
        <v>2.9225540000000001E-2</v>
      </c>
      <c r="W4302">
        <v>2.501925E-2</v>
      </c>
      <c r="X4302">
        <v>0.99925969999999997</v>
      </c>
      <c r="Y4302">
        <v>0.20430909999999999</v>
      </c>
      <c r="Z4302">
        <v>4.257536E-2</v>
      </c>
      <c r="AA4302">
        <v>0.97798010000000002</v>
      </c>
      <c r="AB4302">
        <v>25</v>
      </c>
      <c r="AC4302">
        <v>-2.4206999999999801</v>
      </c>
      <c r="AD4302">
        <v>-1.1011669049533901</v>
      </c>
      <c r="AE4302">
        <v>-25.142399999999899</v>
      </c>
      <c r="AF4302">
        <v>5.1725520027707104</v>
      </c>
      <c r="AG4302">
        <v>-1.1011669049533901</v>
      </c>
      <c r="AH4302">
        <v>24.674410452659501</v>
      </c>
      <c r="AI4302">
        <v>92.501002306697899</v>
      </c>
      <c r="AJ4302">
        <v>78.160403326788099</v>
      </c>
      <c r="AK4302">
        <v>25.234785395565499</v>
      </c>
      <c r="AL4302">
        <v>88.566353004484199</v>
      </c>
      <c r="AM4302">
        <v>88.324736916651503</v>
      </c>
      <c r="AN4302">
        <v>1.0000000215514699</v>
      </c>
    </row>
    <row r="4303" spans="1:40" x14ac:dyDescent="0.25">
      <c r="A4303" t="str">
        <f>"20190312160420292"</f>
        <v>20190312160420292</v>
      </c>
      <c r="B4303" t="str">
        <f>"1552377860289707"</f>
        <v>1552377860289707</v>
      </c>
      <c r="C4303" t="s">
        <v>40</v>
      </c>
      <c r="D4303">
        <v>5.3817649999999997</v>
      </c>
      <c r="E4303">
        <v>0.56831790000000004</v>
      </c>
      <c r="F4303" t="s">
        <v>41</v>
      </c>
      <c r="G4303">
        <v>-192.85640000000001</v>
      </c>
      <c r="H4303" s="1">
        <v>-2.3841580000000001E-6</v>
      </c>
      <c r="I4303">
        <v>163.0274</v>
      </c>
      <c r="J4303">
        <v>-189.4632</v>
      </c>
      <c r="K4303">
        <v>1.101259</v>
      </c>
      <c r="L4303">
        <v>195.52969999999999</v>
      </c>
      <c r="M4303">
        <v>0.1035147</v>
      </c>
      <c r="N4303">
        <v>0</v>
      </c>
      <c r="O4303">
        <v>-0.99450720000000004</v>
      </c>
      <c r="P4303">
        <v>7.5622990000000001E-2</v>
      </c>
      <c r="Q4303">
        <v>9.9181010000000003E-3</v>
      </c>
      <c r="R4303">
        <v>-0.99708739999999996</v>
      </c>
      <c r="S4303">
        <v>-0.31500240000000002</v>
      </c>
      <c r="T4303">
        <v>-0.1024644</v>
      </c>
      <c r="U4303">
        <v>-3.0371860000000002</v>
      </c>
      <c r="V4303">
        <v>2.8547139999999999E-2</v>
      </c>
      <c r="W4303">
        <v>2.4810929999999998E-2</v>
      </c>
      <c r="X4303">
        <v>0.99928450000000002</v>
      </c>
      <c r="Y4303">
        <v>0.20552519999999999</v>
      </c>
      <c r="Z4303">
        <v>3.2996890000000001E-2</v>
      </c>
      <c r="AA4303">
        <v>0.97809539999999995</v>
      </c>
      <c r="AB4303">
        <v>25</v>
      </c>
      <c r="AC4303">
        <v>-3.3932000000000002</v>
      </c>
      <c r="AD4303">
        <v>-1.1012613841579999</v>
      </c>
      <c r="AE4303">
        <v>-32.502299999999899</v>
      </c>
      <c r="AF4303">
        <v>6.7321915334012603</v>
      </c>
      <c r="AG4303">
        <v>-1.1012613841579999</v>
      </c>
      <c r="AH4303">
        <v>31.9400920637352</v>
      </c>
      <c r="AI4303">
        <v>91.932294312837598</v>
      </c>
      <c r="AJ4303">
        <v>78.097666806524401</v>
      </c>
      <c r="AK4303">
        <v>32.660444891619498</v>
      </c>
      <c r="AL4303">
        <v>88.578292560517696</v>
      </c>
      <c r="AM4303">
        <v>88.363643279519707</v>
      </c>
      <c r="AN4303">
        <v>1.0000000166949401</v>
      </c>
    </row>
    <row r="4304" spans="1:40" x14ac:dyDescent="0.25">
      <c r="A4304" t="str">
        <f>"20190312160420304"</f>
        <v>20190312160420304</v>
      </c>
      <c r="B4304" t="str">
        <f>"1552377860299468"</f>
        <v>1552377860299468</v>
      </c>
      <c r="C4304" t="s">
        <v>40</v>
      </c>
      <c r="D4304">
        <v>5.3706180000000003</v>
      </c>
      <c r="E4304">
        <v>0.5670366</v>
      </c>
      <c r="F4304" t="s">
        <v>60</v>
      </c>
      <c r="G4304">
        <v>-194.01130000000001</v>
      </c>
      <c r="H4304" s="1">
        <v>-1.2612149999999999E-5</v>
      </c>
      <c r="I4304">
        <v>152.42660000000001</v>
      </c>
      <c r="J4304">
        <v>-189.4562</v>
      </c>
      <c r="K4304">
        <v>1.101351</v>
      </c>
      <c r="L4304">
        <v>195.39320000000001</v>
      </c>
      <c r="M4304">
        <v>9.6735489999999993E-2</v>
      </c>
      <c r="N4304">
        <v>0</v>
      </c>
      <c r="O4304">
        <v>-0.99518989999999996</v>
      </c>
      <c r="P4304">
        <v>6.9472450000000005E-2</v>
      </c>
      <c r="Q4304">
        <v>9.8566620000000004E-3</v>
      </c>
      <c r="R4304">
        <v>-0.99753539999999996</v>
      </c>
      <c r="S4304">
        <v>-0.32011410000000001</v>
      </c>
      <c r="T4304">
        <v>-7.7512499999999998E-2</v>
      </c>
      <c r="U4304">
        <v>-3.033798</v>
      </c>
      <c r="V4304">
        <v>2.7892989999999999E-2</v>
      </c>
      <c r="W4304">
        <v>2.474467E-2</v>
      </c>
      <c r="X4304">
        <v>0.99930459999999999</v>
      </c>
      <c r="Y4304">
        <v>0.20062079999999999</v>
      </c>
      <c r="Z4304">
        <v>2.5032209999999999E-2</v>
      </c>
      <c r="AA4304">
        <v>0.97934909999999997</v>
      </c>
      <c r="AB4304">
        <v>25</v>
      </c>
      <c r="AC4304">
        <v>-4.5551000000000004</v>
      </c>
      <c r="AD4304">
        <v>-1.1013636121499999</v>
      </c>
      <c r="AE4304">
        <v>-42.9666</v>
      </c>
      <c r="AF4304">
        <v>8.6849814902915892</v>
      </c>
      <c r="AG4304">
        <v>-1.1013636121499999</v>
      </c>
      <c r="AH4304">
        <v>42.296868759568902</v>
      </c>
      <c r="AI4304">
        <v>91.461111510200197</v>
      </c>
      <c r="AJ4304">
        <v>78.396514867989396</v>
      </c>
      <c r="AK4304">
        <v>43.193367687147003</v>
      </c>
      <c r="AL4304">
        <v>88.582090121877499</v>
      </c>
      <c r="AM4304">
        <v>88.401152403298298</v>
      </c>
      <c r="AN4304">
        <v>1.00000000058285</v>
      </c>
    </row>
    <row r="4305" spans="1:40" x14ac:dyDescent="0.25">
      <c r="A4305" t="str">
        <f>"20190312160420317"</f>
        <v>20190312160420317</v>
      </c>
      <c r="B4305" t="str">
        <f>"1552377860309228"</f>
        <v>1552377860309228</v>
      </c>
      <c r="C4305" t="s">
        <v>40</v>
      </c>
      <c r="D4305">
        <v>5.3937900000000001</v>
      </c>
      <c r="E4305">
        <v>0.56647569999999903</v>
      </c>
      <c r="F4305" t="s">
        <v>60</v>
      </c>
      <c r="G4305">
        <v>-194.87610000000001</v>
      </c>
      <c r="H4305" s="1">
        <v>-1.0430569999999999E-5</v>
      </c>
      <c r="I4305">
        <v>145.33369999999999</v>
      </c>
      <c r="J4305">
        <v>-189.45</v>
      </c>
      <c r="K4305">
        <v>1.101456</v>
      </c>
      <c r="L4305">
        <v>195.25020000000001</v>
      </c>
      <c r="M4305">
        <v>8.9716190000000001E-2</v>
      </c>
      <c r="N4305">
        <v>0</v>
      </c>
      <c r="O4305">
        <v>-0.99584779999999995</v>
      </c>
      <c r="P4305">
        <v>6.3226530000000003E-2</v>
      </c>
      <c r="Q4305">
        <v>9.7660809999999994E-3</v>
      </c>
      <c r="R4305">
        <v>-0.9979517</v>
      </c>
      <c r="S4305">
        <v>-0.32815549999999999</v>
      </c>
      <c r="T4305">
        <v>-6.6683290000000006E-2</v>
      </c>
      <c r="U4305">
        <v>-3.0309140000000001</v>
      </c>
      <c r="V4305">
        <v>2.7094110000000001E-2</v>
      </c>
      <c r="W4305">
        <v>2.4649810000000001E-2</v>
      </c>
      <c r="X4305">
        <v>0.99932889999999996</v>
      </c>
      <c r="Y4305">
        <v>0.19638639999999999</v>
      </c>
      <c r="Z4305">
        <v>2.1585219999999999E-2</v>
      </c>
      <c r="AA4305">
        <v>0.98028899999999997</v>
      </c>
      <c r="AB4305">
        <v>25</v>
      </c>
      <c r="AC4305">
        <v>-5.4261000000000204</v>
      </c>
      <c r="AD4305">
        <v>-1.1014664305699999</v>
      </c>
      <c r="AE4305">
        <v>-49.916499999999999</v>
      </c>
      <c r="AF4305">
        <v>9.8783111753410395</v>
      </c>
      <c r="AG4305">
        <v>-1.1014664305699999</v>
      </c>
      <c r="AH4305">
        <v>49.204611527676398</v>
      </c>
      <c r="AI4305">
        <v>91.257297724607795</v>
      </c>
      <c r="AJ4305">
        <v>78.648211085948205</v>
      </c>
      <c r="AK4305">
        <v>50.198486586391098</v>
      </c>
      <c r="AL4305">
        <v>88.587526824750896</v>
      </c>
      <c r="AM4305">
        <v>88.446959806925705</v>
      </c>
      <c r="AN4305">
        <v>0.99999997715246802</v>
      </c>
    </row>
    <row r="4306" spans="1:40" x14ac:dyDescent="0.25">
      <c r="A4306" t="str">
        <f>"20190312160420328"</f>
        <v>20190312160420328</v>
      </c>
      <c r="B4306" t="str">
        <f>"1552377860318988"</f>
        <v>1552377860318988</v>
      </c>
      <c r="C4306" t="s">
        <v>40</v>
      </c>
      <c r="D4306">
        <v>5.351648</v>
      </c>
      <c r="E4306">
        <v>0.56586769999999997</v>
      </c>
      <c r="F4306" t="s">
        <v>60</v>
      </c>
      <c r="G4306">
        <v>-194.93639999999999</v>
      </c>
      <c r="H4306" s="1">
        <v>-1.081978E-5</v>
      </c>
      <c r="I4306">
        <v>146.76900000000001</v>
      </c>
      <c r="J4306">
        <v>-189.44470000000001</v>
      </c>
      <c r="K4306">
        <v>1.101553</v>
      </c>
      <c r="L4306">
        <v>195.1181</v>
      </c>
      <c r="M4306">
        <v>8.3263920000000005E-2</v>
      </c>
      <c r="N4306">
        <v>0</v>
      </c>
      <c r="O4306">
        <v>-0.99640810000000002</v>
      </c>
      <c r="P4306">
        <v>5.7594850000000003E-2</v>
      </c>
      <c r="Q4306">
        <v>9.5082580000000003E-3</v>
      </c>
      <c r="R4306">
        <v>-0.99829489999999999</v>
      </c>
      <c r="S4306">
        <v>-0.34272770000000002</v>
      </c>
      <c r="T4306">
        <v>-6.8806649999999997E-2</v>
      </c>
      <c r="U4306">
        <v>-3.0285340000000001</v>
      </c>
      <c r="V4306">
        <v>2.624814E-2</v>
      </c>
      <c r="W4306">
        <v>2.4390490000000001E-2</v>
      </c>
      <c r="X4306">
        <v>0.99935790000000002</v>
      </c>
      <c r="Y4306">
        <v>0.19477530000000001</v>
      </c>
      <c r="Z4306">
        <v>2.2306409999999999E-2</v>
      </c>
      <c r="AA4306">
        <v>0.98059419999999997</v>
      </c>
      <c r="AB4306">
        <v>25</v>
      </c>
      <c r="AC4306">
        <v>-5.4916999999999803</v>
      </c>
      <c r="AD4306">
        <v>-1.10156381978</v>
      </c>
      <c r="AE4306">
        <v>-48.3490999999999</v>
      </c>
      <c r="AF4306">
        <v>9.4939750165523105</v>
      </c>
      <c r="AG4306">
        <v>-1.10156381978</v>
      </c>
      <c r="AH4306">
        <v>47.699409395734897</v>
      </c>
      <c r="AI4306">
        <v>91.297503616319304</v>
      </c>
      <c r="AJ4306">
        <v>78.7430990572242</v>
      </c>
      <c r="AK4306">
        <v>48.6475349957826</v>
      </c>
      <c r="AL4306">
        <v>88.602389318333493</v>
      </c>
      <c r="AM4306">
        <v>88.495471981221499</v>
      </c>
      <c r="AN4306">
        <v>1.0000000365741499</v>
      </c>
    </row>
    <row r="4307" spans="1:40" x14ac:dyDescent="0.25">
      <c r="A4307" t="str">
        <f>"20190312160420344"</f>
        <v>20190312160420344</v>
      </c>
      <c r="B4307" t="str">
        <f>"1552377860339484"</f>
        <v>1552377860339484</v>
      </c>
      <c r="C4307" t="s">
        <v>40</v>
      </c>
      <c r="D4307">
        <v>5.3508680000000002</v>
      </c>
      <c r="E4307">
        <v>0.56379179999999995</v>
      </c>
      <c r="F4307" t="s">
        <v>60</v>
      </c>
      <c r="G4307">
        <v>-195.7509</v>
      </c>
      <c r="H4307" s="1">
        <v>-9.3901250000000002E-6</v>
      </c>
      <c r="I4307">
        <v>141.32329999999999</v>
      </c>
      <c r="J4307">
        <v>-189.4393</v>
      </c>
      <c r="K4307">
        <v>1.101688</v>
      </c>
      <c r="L4307">
        <v>194.93960000000001</v>
      </c>
      <c r="M4307">
        <v>7.4685219999999997E-2</v>
      </c>
      <c r="N4307">
        <v>0</v>
      </c>
      <c r="O4307">
        <v>-0.99708859999999999</v>
      </c>
      <c r="P4307">
        <v>5.0711489999999998E-2</v>
      </c>
      <c r="Q4307">
        <v>9.0264160000000006E-3</v>
      </c>
      <c r="R4307">
        <v>-0.99867300000000003</v>
      </c>
      <c r="S4307">
        <v>-0.354751599999999</v>
      </c>
      <c r="T4307">
        <v>-6.1967849999999998E-2</v>
      </c>
      <c r="U4307">
        <v>-3.0261990000000001</v>
      </c>
      <c r="V4307">
        <v>2.4517899999999999E-2</v>
      </c>
      <c r="W4307">
        <v>2.3917130000000002E-2</v>
      </c>
      <c r="X4307">
        <v>0.99941329999999995</v>
      </c>
      <c r="Y4307">
        <v>0.19026650000000001</v>
      </c>
      <c r="Z4307">
        <v>2.0131030000000001E-2</v>
      </c>
      <c r="AA4307">
        <v>0.98152609999999996</v>
      </c>
      <c r="AB4307">
        <v>25</v>
      </c>
      <c r="AC4307">
        <v>-6.3115999999999897</v>
      </c>
      <c r="AD4307">
        <v>-1.101697390125</v>
      </c>
      <c r="AE4307">
        <v>-53.616300000000003</v>
      </c>
      <c r="AF4307">
        <v>10.2945001145955</v>
      </c>
      <c r="AG4307">
        <v>-1.101697390125</v>
      </c>
      <c r="AH4307">
        <v>52.973023595712498</v>
      </c>
      <c r="AI4307">
        <v>91.169553643137107</v>
      </c>
      <c r="AJ4307">
        <v>79.002514478187706</v>
      </c>
      <c r="AK4307">
        <v>53.975287851207703</v>
      </c>
      <c r="AL4307">
        <v>88.629518781601007</v>
      </c>
      <c r="AM4307">
        <v>88.594685020402395</v>
      </c>
      <c r="AN4307">
        <v>1.0000000503723601</v>
      </c>
    </row>
    <row r="4308" spans="1:40" x14ac:dyDescent="0.25">
      <c r="A4308" t="str">
        <f>"20190312160420357"</f>
        <v>20190312160420357</v>
      </c>
      <c r="B4308" t="str">
        <f>"1552377860349244"</f>
        <v>1552377860349244</v>
      </c>
      <c r="C4308" t="s">
        <v>40</v>
      </c>
      <c r="D4308">
        <v>5.3481509999999997</v>
      </c>
      <c r="E4308">
        <v>0.56281199999999998</v>
      </c>
      <c r="F4308" t="s">
        <v>60</v>
      </c>
      <c r="G4308">
        <v>-197.58789999999999</v>
      </c>
      <c r="H4308" s="1">
        <v>-5.0673679999999999E-6</v>
      </c>
      <c r="I4308">
        <v>126.2629</v>
      </c>
      <c r="J4308">
        <v>-189.43610000000001</v>
      </c>
      <c r="K4308">
        <v>1.1017999999999999</v>
      </c>
      <c r="L4308">
        <v>194.79810000000001</v>
      </c>
      <c r="M4308">
        <v>6.7970310000000006E-2</v>
      </c>
      <c r="N4308">
        <v>0</v>
      </c>
      <c r="O4308">
        <v>-0.99756909999999999</v>
      </c>
      <c r="P4308">
        <v>4.4976210000000003E-2</v>
      </c>
      <c r="Q4308">
        <v>8.8370140000000007E-3</v>
      </c>
      <c r="R4308">
        <v>-0.99894939999999999</v>
      </c>
      <c r="S4308">
        <v>-0.35864259999999998</v>
      </c>
      <c r="T4308">
        <v>-4.8488620000000003E-2</v>
      </c>
      <c r="U4308">
        <v>-3.022659</v>
      </c>
      <c r="V4308">
        <v>2.351688E-2</v>
      </c>
      <c r="W4308">
        <v>2.3725489999999998E-2</v>
      </c>
      <c r="X4308">
        <v>0.99944189999999999</v>
      </c>
      <c r="Y4308">
        <v>0.18504229999999999</v>
      </c>
      <c r="Z4308">
        <v>1.579005E-2</v>
      </c>
      <c r="AA4308">
        <v>0.98260369999999997</v>
      </c>
      <c r="AB4308">
        <v>25</v>
      </c>
      <c r="AC4308">
        <v>-8.1517999999999802</v>
      </c>
      <c r="AD4308">
        <v>-1.101805067368</v>
      </c>
      <c r="AE4308">
        <v>-68.535200000000003</v>
      </c>
      <c r="AF4308">
        <v>12.788592498486</v>
      </c>
      <c r="AG4308">
        <v>-1.101805067368</v>
      </c>
      <c r="AH4308">
        <v>67.805238464265202</v>
      </c>
      <c r="AI4308">
        <v>90.914822649806197</v>
      </c>
      <c r="AJ4308">
        <v>79.319044000716104</v>
      </c>
      <c r="AK4308">
        <v>69.009509748256306</v>
      </c>
      <c r="AL4308">
        <v>88.640502029166697</v>
      </c>
      <c r="AM4308">
        <v>88.65207834217</v>
      </c>
      <c r="AN4308">
        <v>1.0000000269981399</v>
      </c>
    </row>
    <row r="4309" spans="1:40" x14ac:dyDescent="0.25">
      <c r="A4309" t="str">
        <f>"20190312160420368"</f>
        <v>20190312160420368</v>
      </c>
      <c r="B4309" t="str">
        <f>"1552377860359004"</f>
        <v>1552377860359004</v>
      </c>
      <c r="C4309" t="s">
        <v>40</v>
      </c>
      <c r="D4309">
        <v>5.2506709999999996</v>
      </c>
      <c r="E4309">
        <v>0.56164969999999903</v>
      </c>
      <c r="F4309" t="s">
        <v>60</v>
      </c>
      <c r="G4309">
        <v>-198.50399999999999</v>
      </c>
      <c r="H4309" s="1">
        <v>-2.7056130000000001E-6</v>
      </c>
      <c r="I4309">
        <v>120.41549999999999</v>
      </c>
      <c r="J4309">
        <v>-189.43350000000001</v>
      </c>
      <c r="K4309">
        <v>1.101907</v>
      </c>
      <c r="L4309">
        <v>194.6643</v>
      </c>
      <c r="M4309">
        <v>6.166576E-2</v>
      </c>
      <c r="N4309">
        <v>0</v>
      </c>
      <c r="O4309">
        <v>-0.99797919999999996</v>
      </c>
      <c r="P4309">
        <v>3.9618420000000001E-2</v>
      </c>
      <c r="Q4309">
        <v>8.6238340000000004E-3</v>
      </c>
      <c r="R4309">
        <v>-0.9991778</v>
      </c>
      <c r="S4309">
        <v>-0.36817929999999999</v>
      </c>
      <c r="T4309">
        <v>-4.4736030000000003E-2</v>
      </c>
      <c r="U4309">
        <v>-3.0201259999999999</v>
      </c>
      <c r="V4309">
        <v>2.255076E-2</v>
      </c>
      <c r="W4309">
        <v>2.351002E-2</v>
      </c>
      <c r="X4309">
        <v>0.99946919999999995</v>
      </c>
      <c r="Y4309">
        <v>0.18198909999999999</v>
      </c>
      <c r="Z4309">
        <v>1.4591E-2</v>
      </c>
      <c r="AA4309">
        <v>0.98319230000000002</v>
      </c>
      <c r="AB4309">
        <v>25</v>
      </c>
      <c r="AC4309">
        <v>-9.0705000000000098</v>
      </c>
      <c r="AD4309">
        <v>-1.1019097056130001</v>
      </c>
      <c r="AE4309">
        <v>-74.248800000000003</v>
      </c>
      <c r="AF4309">
        <v>13.629422173513699</v>
      </c>
      <c r="AG4309">
        <v>-1.1019097056130001</v>
      </c>
      <c r="AH4309">
        <v>73.532098454773504</v>
      </c>
      <c r="AI4309">
        <v>90.844160958491898</v>
      </c>
      <c r="AJ4309">
        <v>79.499206552482093</v>
      </c>
      <c r="AK4309">
        <v>74.792679166785405</v>
      </c>
      <c r="AL4309">
        <v>88.652850917973893</v>
      </c>
      <c r="AM4309">
        <v>88.707469738457405</v>
      </c>
      <c r="AN4309">
        <v>0.99999996978280803</v>
      </c>
    </row>
    <row r="4310" spans="1:40" x14ac:dyDescent="0.25">
      <c r="A4310" t="str">
        <f>"20190312160420383"</f>
        <v>20190312160420383</v>
      </c>
      <c r="B4310" t="str">
        <f>"1552377860379198"</f>
        <v>1552377860379198</v>
      </c>
      <c r="C4310" t="s">
        <v>40</v>
      </c>
      <c r="D4310">
        <v>5.3652829999999998</v>
      </c>
      <c r="E4310">
        <v>0.56033669999999902</v>
      </c>
      <c r="F4310" t="s">
        <v>41</v>
      </c>
      <c r="G4310">
        <v>-199.63319999999999</v>
      </c>
      <c r="H4310" s="1">
        <v>-3.5966640000000001E-6</v>
      </c>
      <c r="I4310">
        <v>112.53440000000001</v>
      </c>
      <c r="J4310">
        <v>-189.43170000000001</v>
      </c>
      <c r="K4310">
        <v>1.102047</v>
      </c>
      <c r="L4310">
        <v>194.49539999999999</v>
      </c>
      <c r="M4310">
        <v>5.3847029999999997E-2</v>
      </c>
      <c r="N4310">
        <v>0</v>
      </c>
      <c r="O4310">
        <v>-0.99843199999999999</v>
      </c>
      <c r="P4310">
        <v>3.254373E-2</v>
      </c>
      <c r="Q4310">
        <v>8.6067720000000004E-3</v>
      </c>
      <c r="R4310">
        <v>-0.99943340000000003</v>
      </c>
      <c r="S4310">
        <v>-0.37477110000000002</v>
      </c>
      <c r="T4310">
        <v>-4.0487530000000001E-2</v>
      </c>
      <c r="U4310">
        <v>-3.0177</v>
      </c>
      <c r="V4310">
        <v>2.178886E-2</v>
      </c>
      <c r="W4310">
        <v>2.347904E-2</v>
      </c>
      <c r="X4310">
        <v>0.99948689999999996</v>
      </c>
      <c r="Y4310">
        <v>0.1764973</v>
      </c>
      <c r="Z4310">
        <v>1.323013E-2</v>
      </c>
      <c r="AA4310">
        <v>0.98421219999999998</v>
      </c>
      <c r="AB4310">
        <v>25</v>
      </c>
      <c r="AC4310">
        <v>-10.2014999999999</v>
      </c>
      <c r="AD4310">
        <v>-1.102050596664</v>
      </c>
      <c r="AE4310">
        <v>-81.960999999999899</v>
      </c>
      <c r="AF4310">
        <v>14.597970134173901</v>
      </c>
      <c r="AG4310">
        <v>-1.102050596664</v>
      </c>
      <c r="AH4310">
        <v>81.278207464923995</v>
      </c>
      <c r="AI4310">
        <v>90.764592707332199</v>
      </c>
      <c r="AJ4310">
        <v>79.817950943600394</v>
      </c>
      <c r="AK4310">
        <v>82.586089968390397</v>
      </c>
      <c r="AL4310">
        <v>88.654626527891594</v>
      </c>
      <c r="AM4310">
        <v>88.751147204428605</v>
      </c>
      <c r="AN4310">
        <v>1.0000000415055099</v>
      </c>
    </row>
    <row r="4311" spans="1:40" x14ac:dyDescent="0.25">
      <c r="A4311" t="str">
        <f>"20190312160420398"</f>
        <v>20190312160420398</v>
      </c>
      <c r="B4311" t="str">
        <f>"1552377860388958"</f>
        <v>1552377860388958</v>
      </c>
      <c r="C4311" t="s">
        <v>40</v>
      </c>
      <c r="D4311">
        <v>5.2487009999999996</v>
      </c>
      <c r="E4311">
        <v>0.55941790000000002</v>
      </c>
      <c r="F4311" t="s">
        <v>41</v>
      </c>
      <c r="G4311">
        <v>-199.02699999999999</v>
      </c>
      <c r="H4311" s="1">
        <v>-5.8566699999999896E-6</v>
      </c>
      <c r="I4311">
        <v>119.49160000000001</v>
      </c>
      <c r="J4311">
        <v>-189.43109999999999</v>
      </c>
      <c r="K4311">
        <v>1.1021890000000001</v>
      </c>
      <c r="L4311">
        <v>194.33179999999999</v>
      </c>
      <c r="M4311">
        <v>4.638718E-2</v>
      </c>
      <c r="N4311">
        <v>0</v>
      </c>
      <c r="O4311">
        <v>-0.998807</v>
      </c>
      <c r="P4311">
        <v>2.5983619999999999E-2</v>
      </c>
      <c r="Q4311">
        <v>8.5233300000000008E-3</v>
      </c>
      <c r="R4311">
        <v>-0.99962629999999997</v>
      </c>
      <c r="S4311">
        <v>-0.38566590000000001</v>
      </c>
      <c r="T4311">
        <v>-4.429483E-2</v>
      </c>
      <c r="U4311">
        <v>-3.0146329999999999</v>
      </c>
      <c r="V4311">
        <v>2.0872100000000001E-2</v>
      </c>
      <c r="W4311">
        <v>2.338465E-2</v>
      </c>
      <c r="X4311">
        <v>0.99950859999999997</v>
      </c>
      <c r="Y4311">
        <v>0.17276459999999999</v>
      </c>
      <c r="Z4311">
        <v>1.449841E-2</v>
      </c>
      <c r="AA4311">
        <v>0.98485639999999997</v>
      </c>
      <c r="AB4311">
        <v>25</v>
      </c>
      <c r="AC4311">
        <v>-9.5959000000000199</v>
      </c>
      <c r="AD4311">
        <v>-1.1021948566699999</v>
      </c>
      <c r="AE4311">
        <v>-74.840199999999896</v>
      </c>
      <c r="AF4311">
        <v>13.054812244695199</v>
      </c>
      <c r="AG4311">
        <v>-1.1021948566699999</v>
      </c>
      <c r="AH4311">
        <v>74.298585589258593</v>
      </c>
      <c r="AI4311">
        <v>90.837079994349295</v>
      </c>
      <c r="AJ4311">
        <v>80.034431858622199</v>
      </c>
      <c r="AK4311">
        <v>75.444832671367905</v>
      </c>
      <c r="AL4311">
        <v>88.660036057635907</v>
      </c>
      <c r="AM4311">
        <v>88.803702685264497</v>
      </c>
      <c r="AN4311">
        <v>0.99999996394399504</v>
      </c>
    </row>
    <row r="4312" spans="1:40" x14ac:dyDescent="0.25">
      <c r="A4312" t="str">
        <f>"20190312160420412"</f>
        <v>20190312160420412</v>
      </c>
      <c r="B4312" t="str">
        <f>"1552377860409453"</f>
        <v>1552377860409453</v>
      </c>
      <c r="C4312" t="s">
        <v>40</v>
      </c>
      <c r="D4312">
        <v>5.2974300000000003</v>
      </c>
      <c r="E4312">
        <v>0.55760269999999901</v>
      </c>
      <c r="F4312" t="s">
        <v>60</v>
      </c>
      <c r="G4312">
        <v>-198.72980000000001</v>
      </c>
      <c r="H4312" s="1">
        <v>-4.4055969999999999E-6</v>
      </c>
      <c r="I4312">
        <v>124.006</v>
      </c>
      <c r="J4312">
        <v>-189.43129999999999</v>
      </c>
      <c r="K4312">
        <v>1.102328</v>
      </c>
      <c r="L4312">
        <v>194.17490000000001</v>
      </c>
      <c r="M4312">
        <v>3.9332640000000002E-2</v>
      </c>
      <c r="N4312">
        <v>0</v>
      </c>
      <c r="O4312">
        <v>-0.99911030000000001</v>
      </c>
      <c r="P4312">
        <v>2.103783E-2</v>
      </c>
      <c r="Q4312">
        <v>8.6949639999999995E-3</v>
      </c>
      <c r="R4312">
        <v>-0.9997414</v>
      </c>
      <c r="S4312">
        <v>-0.39823910000000001</v>
      </c>
      <c r="T4312">
        <v>-4.7204139999999999E-2</v>
      </c>
      <c r="U4312">
        <v>-3.0118710000000002</v>
      </c>
      <c r="V4312">
        <v>1.8753120000000002E-2</v>
      </c>
      <c r="W4312">
        <v>2.3569130000000001E-2</v>
      </c>
      <c r="X4312">
        <v>0.9995463</v>
      </c>
      <c r="Y4312">
        <v>0.1699629</v>
      </c>
      <c r="Z4312">
        <v>1.5471240000000001E-2</v>
      </c>
      <c r="AA4312">
        <v>0.98532900000000001</v>
      </c>
      <c r="AB4312">
        <v>25</v>
      </c>
      <c r="AC4312">
        <v>-9.2985000000000095</v>
      </c>
      <c r="AD4312">
        <v>-1.1023324055970001</v>
      </c>
      <c r="AE4312">
        <v>-70.168899999999994</v>
      </c>
      <c r="AF4312">
        <v>12.0486283458479</v>
      </c>
      <c r="AG4312">
        <v>-1.1023324055970001</v>
      </c>
      <c r="AH4312">
        <v>69.731899406475804</v>
      </c>
      <c r="AI4312">
        <v>90.892443267246094</v>
      </c>
      <c r="AJ4312">
        <v>80.196937972574801</v>
      </c>
      <c r="AK4312">
        <v>70.773740727643201</v>
      </c>
      <c r="AL4312">
        <v>88.649463259185495</v>
      </c>
      <c r="AM4312">
        <v>88.925163762751893</v>
      </c>
      <c r="AN4312">
        <v>0.99999999462119005</v>
      </c>
    </row>
    <row r="4313" spans="1:40" x14ac:dyDescent="0.25">
      <c r="A4313" t="str">
        <f>"20190312160420434"</f>
        <v>20190312160420434</v>
      </c>
      <c r="B4313" t="str">
        <f>"1552377860428974"</f>
        <v>1552377860428974</v>
      </c>
      <c r="C4313" t="s">
        <v>40</v>
      </c>
      <c r="D4313">
        <v>5.4863150000000003</v>
      </c>
      <c r="E4313">
        <v>0.55673419999999996</v>
      </c>
      <c r="F4313" t="s">
        <v>41</v>
      </c>
      <c r="G4313">
        <v>-199.56200000000001</v>
      </c>
      <c r="H4313" s="1">
        <v>-5.3453990000000003E-6</v>
      </c>
      <c r="I4313">
        <v>117.7103</v>
      </c>
      <c r="J4313">
        <v>-189.4341</v>
      </c>
      <c r="K4313">
        <v>1.1025670000000001</v>
      </c>
      <c r="L4313">
        <v>193.91820000000001</v>
      </c>
      <c r="M4313">
        <v>2.8063709999999999E-2</v>
      </c>
      <c r="N4313">
        <v>0</v>
      </c>
      <c r="O4313">
        <v>-0.99949109999999997</v>
      </c>
      <c r="P4313">
        <v>1.1952900000000001E-2</v>
      </c>
      <c r="Q4313">
        <v>8.6163079999999996E-3</v>
      </c>
      <c r="R4313">
        <v>-0.99989159999999999</v>
      </c>
      <c r="S4313">
        <v>-0.39872740000000001</v>
      </c>
      <c r="T4313">
        <v>-4.3386220000000003E-2</v>
      </c>
      <c r="U4313">
        <v>-3.0095369999999999</v>
      </c>
      <c r="V4313">
        <v>1.6547570000000001E-2</v>
      </c>
      <c r="W4313">
        <v>2.3481419999999999E-2</v>
      </c>
      <c r="X4313">
        <v>0.99958729999999996</v>
      </c>
      <c r="Y4313">
        <v>0.15909899999999999</v>
      </c>
      <c r="Z4313">
        <v>1.425217E-2</v>
      </c>
      <c r="AA4313">
        <v>0.98715969999999997</v>
      </c>
      <c r="AB4313">
        <v>25</v>
      </c>
      <c r="AC4313">
        <v>-10.1279</v>
      </c>
      <c r="AD4313">
        <v>-1.102572345399</v>
      </c>
      <c r="AE4313">
        <v>-76.207899999999995</v>
      </c>
      <c r="AF4313">
        <v>12.260310626283401</v>
      </c>
      <c r="AG4313">
        <v>-1.102572345399</v>
      </c>
      <c r="AH4313">
        <v>75.878011192665198</v>
      </c>
      <c r="AI4313">
        <v>90.821840421559301</v>
      </c>
      <c r="AJ4313">
        <v>80.821520214039793</v>
      </c>
      <c r="AK4313">
        <v>76.870042701848504</v>
      </c>
      <c r="AL4313">
        <v>88.654490049943306</v>
      </c>
      <c r="AM4313">
        <v>89.051589263368697</v>
      </c>
      <c r="AN4313">
        <v>0.99999998473970497</v>
      </c>
    </row>
    <row r="4314" spans="1:40" x14ac:dyDescent="0.25">
      <c r="A4314" t="str">
        <f>"20190312160420457"</f>
        <v>20190312160420457</v>
      </c>
      <c r="B4314" t="str">
        <f>"1552377860449470"</f>
        <v>1552377860449470</v>
      </c>
      <c r="C4314" t="s">
        <v>40</v>
      </c>
      <c r="D4314">
        <v>5.2769240000000002</v>
      </c>
      <c r="E4314">
        <v>0.53410849999999999</v>
      </c>
      <c r="F4314" t="s">
        <v>41</v>
      </c>
      <c r="G4314">
        <v>-199.95779999999999</v>
      </c>
      <c r="H4314">
        <v>1.5485229999999999E-2</v>
      </c>
      <c r="I4314">
        <v>118.4218</v>
      </c>
      <c r="J4314">
        <v>-189.4393</v>
      </c>
      <c r="K4314">
        <v>1.1028150000000001</v>
      </c>
      <c r="L4314">
        <v>193.66399999999999</v>
      </c>
      <c r="M4314">
        <v>1.722021E-2</v>
      </c>
      <c r="N4314">
        <v>0</v>
      </c>
      <c r="O4314">
        <v>-0.9997376</v>
      </c>
      <c r="P4314">
        <v>3.141773E-3</v>
      </c>
      <c r="Q4314">
        <v>8.3466410000000001E-3</v>
      </c>
      <c r="R4314">
        <v>-0.99996030000000002</v>
      </c>
      <c r="S4314">
        <v>-0.41897580000000001</v>
      </c>
      <c r="T4314">
        <v>-4.3279770000000002E-2</v>
      </c>
      <c r="U4314">
        <v>-3.005722</v>
      </c>
      <c r="V4314">
        <v>1.4492649999999999E-2</v>
      </c>
      <c r="W4314">
        <v>2.3197300000000001E-2</v>
      </c>
      <c r="X4314">
        <v>0.99962589999999996</v>
      </c>
      <c r="Y4314">
        <v>0.15508069999999999</v>
      </c>
      <c r="Z4314">
        <v>1.4238519999999999E-2</v>
      </c>
      <c r="AA4314">
        <v>0.98779919999999999</v>
      </c>
      <c r="AB4314">
        <v>25</v>
      </c>
      <c r="AC4314">
        <v>-10.5184999999999</v>
      </c>
      <c r="AD4314">
        <v>-1.08732977</v>
      </c>
      <c r="AE4314">
        <v>-75.242199999999997</v>
      </c>
      <c r="AF4314">
        <v>11.810355200012699</v>
      </c>
      <c r="AG4314">
        <v>-1.08732977</v>
      </c>
      <c r="AH4314">
        <v>75.034519838456006</v>
      </c>
      <c r="AI4314">
        <v>90.820123017754099</v>
      </c>
      <c r="AJ4314">
        <v>81.055090604766207</v>
      </c>
      <c r="AK4314">
        <v>75.966084165019694</v>
      </c>
      <c r="AL4314">
        <v>88.670773443861407</v>
      </c>
      <c r="AM4314">
        <v>89.1693797581448</v>
      </c>
      <c r="AN4314">
        <v>1.0000000457910601</v>
      </c>
    </row>
    <row r="4315" spans="1:40" x14ac:dyDescent="0.25">
      <c r="A4315" t="str">
        <f>"20190312160420470"</f>
        <v>20190312160420470</v>
      </c>
      <c r="B4315" t="str">
        <f>"1552377860459230"</f>
        <v>1552377860459230</v>
      </c>
      <c r="C4315" t="s">
        <v>40</v>
      </c>
      <c r="D4315">
        <v>5.297472</v>
      </c>
      <c r="E4315">
        <v>0.53401369999999904</v>
      </c>
      <c r="F4315" t="s">
        <v>43</v>
      </c>
      <c r="G4315">
        <v>-209.9144</v>
      </c>
      <c r="H4315">
        <v>-0.05</v>
      </c>
      <c r="I4315">
        <v>-39.081270000000004</v>
      </c>
      <c r="J4315">
        <v>-189.44370000000001</v>
      </c>
      <c r="K4315">
        <v>1.1029679999999999</v>
      </c>
      <c r="L4315">
        <v>193.5086</v>
      </c>
      <c r="M4315">
        <v>1.072566E-2</v>
      </c>
      <c r="N4315">
        <v>0</v>
      </c>
      <c r="O4315">
        <v>-0.99982910000000003</v>
      </c>
      <c r="P4315">
        <v>-2.370788E-3</v>
      </c>
      <c r="Q4315">
        <v>8.0888809999999992E-3</v>
      </c>
      <c r="R4315">
        <v>-0.99996470000000004</v>
      </c>
      <c r="S4315">
        <v>-0.26400759999999901</v>
      </c>
      <c r="T4315">
        <v>-1.4864560000000001E-2</v>
      </c>
      <c r="U4315">
        <v>-3.0010530000000002</v>
      </c>
      <c r="V4315">
        <v>1.349622E-2</v>
      </c>
      <c r="W4315">
        <v>2.292462E-2</v>
      </c>
      <c r="X4315">
        <v>0.99964609999999998</v>
      </c>
      <c r="Y4315">
        <v>9.8312700000000003E-2</v>
      </c>
      <c r="Z4315">
        <v>4.9311090000000004E-3</v>
      </c>
      <c r="AA4315">
        <v>0.99514340000000001</v>
      </c>
      <c r="AB4315">
        <v>25</v>
      </c>
      <c r="AC4315">
        <v>-20.470699999999901</v>
      </c>
      <c r="AD4315">
        <v>-1.152968</v>
      </c>
      <c r="AE4315">
        <v>-232.58986999999999</v>
      </c>
      <c r="AF4315">
        <v>22.963925002193701</v>
      </c>
      <c r="AG4315">
        <v>-1.152968</v>
      </c>
      <c r="AH4315">
        <v>232.35123576263101</v>
      </c>
      <c r="AI4315">
        <v>90.282931032314906</v>
      </c>
      <c r="AJ4315">
        <v>84.355627547961205</v>
      </c>
      <c r="AK4315">
        <v>233.486119388578</v>
      </c>
      <c r="AL4315">
        <v>88.686400959664695</v>
      </c>
      <c r="AM4315">
        <v>89.226496790186104</v>
      </c>
      <c r="AN4315">
        <v>1.00000000570082</v>
      </c>
    </row>
    <row r="4316" spans="1:40" x14ac:dyDescent="0.25">
      <c r="A4316" t="str">
        <f>"20190312160420485"</f>
        <v>20190312160420485</v>
      </c>
      <c r="B4316" t="str">
        <f>"1552377860479261"</f>
        <v>1552377860479261</v>
      </c>
      <c r="C4316" t="s">
        <v>40</v>
      </c>
      <c r="D4316">
        <v>5.3114309999999998</v>
      </c>
      <c r="E4316">
        <v>0.5326883</v>
      </c>
      <c r="F4316" t="s">
        <v>41</v>
      </c>
      <c r="G4316">
        <v>-203.64599999999999</v>
      </c>
      <c r="H4316">
        <v>7.9986489999999993E-2</v>
      </c>
      <c r="I4316">
        <v>41.26023</v>
      </c>
      <c r="J4316">
        <v>-189.44900000000001</v>
      </c>
      <c r="K4316">
        <v>1.103124</v>
      </c>
      <c r="L4316">
        <v>193.3501</v>
      </c>
      <c r="M4316">
        <v>4.2431470000000001E-3</v>
      </c>
      <c r="N4316">
        <v>0</v>
      </c>
      <c r="O4316">
        <v>-0.99987800000000004</v>
      </c>
      <c r="P4316">
        <v>-7.8326439999999997E-3</v>
      </c>
      <c r="Q4316">
        <v>8.2184749999999994E-3</v>
      </c>
      <c r="R4316">
        <v>-0.99993540000000003</v>
      </c>
      <c r="S4316">
        <v>-0.2798157</v>
      </c>
      <c r="T4316">
        <v>-2.0154829999999999E-2</v>
      </c>
      <c r="U4316">
        <v>-2.999603</v>
      </c>
      <c r="V4316">
        <v>1.2468079999999999E-2</v>
      </c>
      <c r="W4316">
        <v>2.303856E-2</v>
      </c>
      <c r="X4316">
        <v>0.99965689999999996</v>
      </c>
      <c r="Y4316">
        <v>9.7103350000000005E-2</v>
      </c>
      <c r="Z4316">
        <v>6.6885290000000003E-3</v>
      </c>
      <c r="AA4316">
        <v>0.99525180000000002</v>
      </c>
      <c r="AB4316">
        <v>25</v>
      </c>
      <c r="AC4316">
        <v>-14.1969999999999</v>
      </c>
      <c r="AD4316">
        <v>-1.02313751</v>
      </c>
      <c r="AE4316">
        <v>-152.08986999999999</v>
      </c>
      <c r="AF4316">
        <v>14.8416189153521</v>
      </c>
      <c r="AG4316">
        <v>-1.02313751</v>
      </c>
      <c r="AH4316">
        <v>152.02143346825801</v>
      </c>
      <c r="AI4316">
        <v>90.383782725637602</v>
      </c>
      <c r="AJ4316">
        <v>84.423971927091799</v>
      </c>
      <c r="AK4316">
        <v>152.74762419146401</v>
      </c>
      <c r="AL4316">
        <v>88.679871042778601</v>
      </c>
      <c r="AM4316">
        <v>89.285423505036306</v>
      </c>
      <c r="AN4316">
        <v>1.00000007299168</v>
      </c>
    </row>
    <row r="4317" spans="1:40" x14ac:dyDescent="0.25">
      <c r="A4317" t="str">
        <f>"20190312160420500"</f>
        <v>20190312160420500</v>
      </c>
      <c r="B4317" t="str">
        <f>"1552377860489021"</f>
        <v>1552377860489021</v>
      </c>
      <c r="C4317" t="s">
        <v>40</v>
      </c>
      <c r="D4317">
        <v>5.3266260000000001</v>
      </c>
      <c r="E4317">
        <v>0.53260929999999995</v>
      </c>
      <c r="F4317" t="s">
        <v>41</v>
      </c>
      <c r="G4317">
        <v>-201.9684</v>
      </c>
      <c r="H4317">
        <v>7.9986199999999993E-2</v>
      </c>
      <c r="I4317">
        <v>62.0302199999999</v>
      </c>
      <c r="J4317">
        <v>-189.45609999999999</v>
      </c>
      <c r="K4317">
        <v>1.103308</v>
      </c>
      <c r="L4317">
        <v>193.1746</v>
      </c>
      <c r="M4317">
        <v>-2.7489680000000001E-3</v>
      </c>
      <c r="N4317">
        <v>0</v>
      </c>
      <c r="O4317">
        <v>-0.99988390000000005</v>
      </c>
      <c r="P4317">
        <v>-1.3376580000000001E-2</v>
      </c>
      <c r="Q4317">
        <v>8.0181439999999996E-3</v>
      </c>
      <c r="R4317">
        <v>-0.99987839999999995</v>
      </c>
      <c r="S4317">
        <v>-0.28582760000000001</v>
      </c>
      <c r="T4317">
        <v>-2.3359060000000001E-2</v>
      </c>
      <c r="U4317">
        <v>-2.998138</v>
      </c>
      <c r="V4317">
        <v>1.1005900000000001E-2</v>
      </c>
      <c r="W4317">
        <v>2.2824509999999999E-2</v>
      </c>
      <c r="X4317">
        <v>0.99967890000000004</v>
      </c>
      <c r="Y4317">
        <v>9.2164670000000004E-2</v>
      </c>
      <c r="Z4317">
        <v>7.7567440000000003E-3</v>
      </c>
      <c r="AA4317">
        <v>0.99571359999999998</v>
      </c>
      <c r="AB4317">
        <v>25</v>
      </c>
      <c r="AC4317">
        <v>-12.5123</v>
      </c>
      <c r="AD4317">
        <v>-1.0233217999999999</v>
      </c>
      <c r="AE4317">
        <v>-131.14438000000001</v>
      </c>
      <c r="AF4317">
        <v>12.150967348039</v>
      </c>
      <c r="AG4317">
        <v>-1.0233217999999999</v>
      </c>
      <c r="AH4317">
        <v>131.170369611084</v>
      </c>
      <c r="AI4317">
        <v>90.445076779489696</v>
      </c>
      <c r="AJ4317">
        <v>84.707509623879105</v>
      </c>
      <c r="AK4317">
        <v>131.735944445348</v>
      </c>
      <c r="AL4317">
        <v>88.692138328133197</v>
      </c>
      <c r="AM4317">
        <v>89.369231316091799</v>
      </c>
      <c r="AN4317">
        <v>0.99999999559838004</v>
      </c>
    </row>
    <row r="4318" spans="1:40" x14ac:dyDescent="0.25">
      <c r="A4318" t="str">
        <f>"20190312160420515"</f>
        <v>20190312160420515</v>
      </c>
      <c r="B4318" t="str">
        <f>"1552377860509516"</f>
        <v>1552377860509516</v>
      </c>
      <c r="C4318" t="s">
        <v>40</v>
      </c>
      <c r="D4318">
        <v>5.4755630000000002</v>
      </c>
      <c r="E4318">
        <v>0.54875430000000003</v>
      </c>
      <c r="F4318" t="s">
        <v>41</v>
      </c>
      <c r="G4318">
        <v>-201.5735</v>
      </c>
      <c r="H4318">
        <v>7.9985920000000002E-2</v>
      </c>
      <c r="I4318">
        <v>72.900540000000007</v>
      </c>
      <c r="J4318">
        <v>-189.4632</v>
      </c>
      <c r="K4318">
        <v>1.10348</v>
      </c>
      <c r="L4318">
        <v>193.01939999999999</v>
      </c>
      <c r="M4318">
        <v>-8.7815949999999997E-3</v>
      </c>
      <c r="N4318">
        <v>0</v>
      </c>
      <c r="O4318">
        <v>-0.99984989999999996</v>
      </c>
      <c r="P4318">
        <v>-1.8433370000000001E-2</v>
      </c>
      <c r="Q4318">
        <v>8.1950040000000005E-3</v>
      </c>
      <c r="R4318">
        <v>-0.99979669999999998</v>
      </c>
      <c r="S4318">
        <v>-0.30189510000000003</v>
      </c>
      <c r="T4318">
        <v>-2.549529E-2</v>
      </c>
      <c r="U4318">
        <v>-2.9965359999999999</v>
      </c>
      <c r="V4318">
        <v>1.002319E-2</v>
      </c>
      <c r="W4318">
        <v>2.2982780000000001E-2</v>
      </c>
      <c r="X4318">
        <v>0.99968559999999995</v>
      </c>
      <c r="Y4318">
        <v>9.1494779999999998E-2</v>
      </c>
      <c r="Z4318">
        <v>8.4681770000000003E-3</v>
      </c>
      <c r="AA4318">
        <v>0.99576960000000003</v>
      </c>
      <c r="AB4318">
        <v>25</v>
      </c>
      <c r="AC4318">
        <v>-12.110299999999899</v>
      </c>
      <c r="AD4318">
        <v>-1.0234940800000001</v>
      </c>
      <c r="AE4318">
        <v>-120.118859999999</v>
      </c>
      <c r="AF4318">
        <v>11.0540856162908</v>
      </c>
      <c r="AG4318">
        <v>-1.0234940800000001</v>
      </c>
      <c r="AH4318">
        <v>120.211947120727</v>
      </c>
      <c r="AI4318">
        <v>90.485759736374902</v>
      </c>
      <c r="AJ4318">
        <v>84.746143621087498</v>
      </c>
      <c r="AK4318">
        <v>120.723454968372</v>
      </c>
      <c r="AL4318">
        <v>88.683067732575793</v>
      </c>
      <c r="AM4318">
        <v>89.425552152047302</v>
      </c>
      <c r="AN4318">
        <v>0.99999998568083204</v>
      </c>
    </row>
    <row r="4319" spans="1:40" x14ac:dyDescent="0.25">
      <c r="A4319" t="str">
        <f>"20190312160420526"</f>
        <v>20190312160420526</v>
      </c>
      <c r="B4319" t="str">
        <f>"1552377860519277"</f>
        <v>1552377860519277</v>
      </c>
      <c r="C4319" t="s">
        <v>40</v>
      </c>
      <c r="D4319">
        <v>5.496956</v>
      </c>
      <c r="E4319">
        <v>0.54875430000000003</v>
      </c>
      <c r="F4319" t="s">
        <v>62</v>
      </c>
      <c r="G4319">
        <v>-211.83510000000001</v>
      </c>
      <c r="H4319">
        <v>5.5252030000000003</v>
      </c>
      <c r="I4319">
        <v>41.67586</v>
      </c>
      <c r="J4319">
        <v>-189.4701</v>
      </c>
      <c r="K4319">
        <v>1.1036440000000001</v>
      </c>
      <c r="L4319">
        <v>192.8792</v>
      </c>
      <c r="M4319">
        <v>-1.413321E-2</v>
      </c>
      <c r="N4319">
        <v>0</v>
      </c>
      <c r="O4319">
        <v>-0.99978889999999998</v>
      </c>
      <c r="P4319">
        <v>-2.3239200000000002E-2</v>
      </c>
      <c r="Q4319">
        <v>8.4487580000000007E-3</v>
      </c>
      <c r="R4319">
        <v>-0.99969450000000004</v>
      </c>
      <c r="S4319">
        <v>-0.44224550000000001</v>
      </c>
      <c r="T4319">
        <v>8.7407949999999998E-2</v>
      </c>
      <c r="U4319">
        <v>-2.99173</v>
      </c>
      <c r="V4319">
        <v>9.4722880000000006E-3</v>
      </c>
      <c r="W4319">
        <v>2.321399E-2</v>
      </c>
      <c r="X4319">
        <v>0.99968559999999995</v>
      </c>
      <c r="Y4319">
        <v>0.13217499999999999</v>
      </c>
      <c r="Z4319">
        <v>-2.891461E-2</v>
      </c>
      <c r="AA4319">
        <v>0.99080460000000004</v>
      </c>
      <c r="AB4319">
        <v>25</v>
      </c>
      <c r="AC4319">
        <v>-22.364999999999998</v>
      </c>
      <c r="AD4319">
        <v>4.4215589999999896</v>
      </c>
      <c r="AE4319">
        <v>-151.20334</v>
      </c>
      <c r="AF4319">
        <v>20.208628614854199</v>
      </c>
      <c r="AG4319">
        <v>4.4215589999999896</v>
      </c>
      <c r="AH4319">
        <v>151.377684083796</v>
      </c>
      <c r="AI4319">
        <v>88.341639137134493</v>
      </c>
      <c r="AJ4319">
        <v>82.396083003407</v>
      </c>
      <c r="AK4319">
        <v>152.784626494478</v>
      </c>
      <c r="AL4319">
        <v>88.669816800584201</v>
      </c>
      <c r="AM4319">
        <v>89.457123435989004</v>
      </c>
      <c r="AN4319">
        <v>0.99999995620951598</v>
      </c>
    </row>
    <row r="4320" spans="1:40" x14ac:dyDescent="0.25">
      <c r="A4320" t="str">
        <f>"20190312160420538"</f>
        <v>20190312160420538</v>
      </c>
      <c r="B4320" t="str">
        <f>"1552377860529037"</f>
        <v>1552377860529037</v>
      </c>
      <c r="C4320" t="s">
        <v>40</v>
      </c>
      <c r="D4320">
        <v>5.5200060000000004</v>
      </c>
      <c r="E4320">
        <v>0.57642590000000005</v>
      </c>
      <c r="F4320" t="s">
        <v>62</v>
      </c>
      <c r="G4320">
        <v>-212.227</v>
      </c>
      <c r="H4320">
        <v>5.5000039999999997</v>
      </c>
      <c r="I4320">
        <v>43.851300000000002</v>
      </c>
      <c r="J4320">
        <v>-189.47730000000001</v>
      </c>
      <c r="K4320">
        <v>1.103809</v>
      </c>
      <c r="L4320">
        <v>192.74879999999999</v>
      </c>
      <c r="M4320">
        <v>-1.892195E-2</v>
      </c>
      <c r="N4320">
        <v>0</v>
      </c>
      <c r="O4320">
        <v>-0.9997104</v>
      </c>
      <c r="P4320">
        <v>-2.754618E-2</v>
      </c>
      <c r="Q4320">
        <v>8.7089990000000003E-3</v>
      </c>
      <c r="R4320">
        <v>-0.99958279999999999</v>
      </c>
      <c r="S4320">
        <v>-0.45651249999999999</v>
      </c>
      <c r="T4320">
        <v>8.8192580000000007E-2</v>
      </c>
      <c r="U4320">
        <v>-2.9895480000000001</v>
      </c>
      <c r="V4320">
        <v>8.9854489999999995E-3</v>
      </c>
      <c r="W4320">
        <v>2.3449009999999999E-2</v>
      </c>
      <c r="X4320">
        <v>0.99968460000000003</v>
      </c>
      <c r="Y4320">
        <v>0.13215450000000001</v>
      </c>
      <c r="Z4320">
        <v>-2.9181269999999999E-2</v>
      </c>
      <c r="AA4320">
        <v>0.99079950000000006</v>
      </c>
      <c r="AB4320">
        <v>25</v>
      </c>
      <c r="AC4320">
        <v>-22.749699999999901</v>
      </c>
      <c r="AD4320">
        <v>4.3961949999999996</v>
      </c>
      <c r="AE4320">
        <v>-148.89749999999901</v>
      </c>
      <c r="AF4320">
        <v>19.9109226502421</v>
      </c>
      <c r="AG4320">
        <v>4.3961949999999996</v>
      </c>
      <c r="AH4320">
        <v>149.174279913893</v>
      </c>
      <c r="AI4320">
        <v>88.326800805584497</v>
      </c>
      <c r="AJ4320">
        <v>82.397424813060297</v>
      </c>
      <c r="AK4320">
        <v>150.561406605711</v>
      </c>
      <c r="AL4320">
        <v>88.656347466806906</v>
      </c>
      <c r="AM4320">
        <v>89.485023135091794</v>
      </c>
      <c r="AN4320">
        <v>0.99999994692043404</v>
      </c>
    </row>
    <row r="4321" spans="1:40" x14ac:dyDescent="0.25">
      <c r="A4321" t="str">
        <f>"20190312160420551"</f>
        <v>20190312160420551</v>
      </c>
      <c r="B4321" t="str">
        <f>"1552377860538796"</f>
        <v>1552377860538796</v>
      </c>
      <c r="C4321" t="s">
        <v>40</v>
      </c>
      <c r="D4321">
        <v>5.4220259999999998</v>
      </c>
      <c r="E4321">
        <v>0.57548069999999996</v>
      </c>
      <c r="F4321" t="s">
        <v>62</v>
      </c>
      <c r="G4321">
        <v>-211.3597</v>
      </c>
      <c r="H4321">
        <v>3.0956679999999999</v>
      </c>
      <c r="I4321">
        <v>98.325789999999998</v>
      </c>
      <c r="J4321">
        <v>-189.48509999999999</v>
      </c>
      <c r="K4321">
        <v>1.1039810000000001</v>
      </c>
      <c r="L4321">
        <v>192.61490000000001</v>
      </c>
      <c r="M4321">
        <v>-2.3775890000000001E-2</v>
      </c>
      <c r="N4321">
        <v>0</v>
      </c>
      <c r="O4321">
        <v>-0.99960720000000003</v>
      </c>
      <c r="P4321">
        <v>-3.1644899999999997E-2</v>
      </c>
      <c r="Q4321">
        <v>9.1677349999999998E-3</v>
      </c>
      <c r="R4321">
        <v>-0.99945720000000005</v>
      </c>
      <c r="S4321">
        <v>-0.69099429999999995</v>
      </c>
      <c r="T4321">
        <v>6.2899109999999994E-2</v>
      </c>
      <c r="U4321">
        <v>-2.9816590000000001</v>
      </c>
      <c r="V4321">
        <v>8.2275070000000002E-3</v>
      </c>
      <c r="W4321">
        <v>2.388614E-2</v>
      </c>
      <c r="X4321">
        <v>0.99968080000000004</v>
      </c>
      <c r="Y4321">
        <v>0.20248869999999999</v>
      </c>
      <c r="Z4321">
        <v>-2.0590540000000001E-2</v>
      </c>
      <c r="AA4321">
        <v>0.9790681</v>
      </c>
      <c r="AB4321">
        <v>25</v>
      </c>
      <c r="AC4321">
        <v>-21.874600000000001</v>
      </c>
      <c r="AD4321">
        <v>1.991687</v>
      </c>
      <c r="AE4321">
        <v>-94.289109999999994</v>
      </c>
      <c r="AF4321">
        <v>19.618054361488898</v>
      </c>
      <c r="AG4321">
        <v>1.991687</v>
      </c>
      <c r="AH4321">
        <v>94.7424811498568</v>
      </c>
      <c r="AI4321">
        <v>88.820708604255003</v>
      </c>
      <c r="AJ4321">
        <v>78.301258509429104</v>
      </c>
      <c r="AK4321">
        <v>96.772788574409105</v>
      </c>
      <c r="AL4321">
        <v>88.631294776086193</v>
      </c>
      <c r="AM4321">
        <v>89.528458700045405</v>
      </c>
      <c r="AN4321">
        <v>0.99999997072208602</v>
      </c>
    </row>
    <row r="4322" spans="1:40" x14ac:dyDescent="0.25">
      <c r="A4322" t="str">
        <f>"20190312160420562"</f>
        <v>20190312160420562</v>
      </c>
      <c r="B4322" t="str">
        <f>"1552377860549532"</f>
        <v>1552377860549532</v>
      </c>
      <c r="C4322" t="s">
        <v>40</v>
      </c>
      <c r="D4322">
        <v>5.4767060000000001</v>
      </c>
      <c r="E4322">
        <v>0.57506659999999998</v>
      </c>
      <c r="F4322" t="s">
        <v>62</v>
      </c>
      <c r="G4322">
        <v>-211.48869999999999</v>
      </c>
      <c r="H4322">
        <v>3.3840889999999999</v>
      </c>
      <c r="I4322">
        <v>98.375470000000007</v>
      </c>
      <c r="J4322">
        <v>-189.4933</v>
      </c>
      <c r="K4322">
        <v>1.1041540000000001</v>
      </c>
      <c r="L4322">
        <v>192.48509999999999</v>
      </c>
      <c r="M4322">
        <v>-2.8333170000000001E-2</v>
      </c>
      <c r="N4322">
        <v>0</v>
      </c>
      <c r="O4322">
        <v>-0.99948910000000002</v>
      </c>
      <c r="P4322">
        <v>-3.5693750000000003E-2</v>
      </c>
      <c r="Q4322">
        <v>9.0978740000000006E-3</v>
      </c>
      <c r="R4322">
        <v>-0.99932160000000003</v>
      </c>
      <c r="S4322">
        <v>-0.69554139999999998</v>
      </c>
      <c r="T4322">
        <v>7.2075840000000002E-2</v>
      </c>
      <c r="U4322">
        <v>-2.9789430000000001</v>
      </c>
      <c r="V4322">
        <v>7.7080450000000002E-3</v>
      </c>
      <c r="W4322">
        <v>2.379175E-2</v>
      </c>
      <c r="X4322">
        <v>0.9996872</v>
      </c>
      <c r="Y4322">
        <v>0.19962189999999999</v>
      </c>
      <c r="Z4322">
        <v>-2.3612709999999999E-2</v>
      </c>
      <c r="AA4322">
        <v>0.97958840000000003</v>
      </c>
      <c r="AB4322">
        <v>25</v>
      </c>
      <c r="AC4322">
        <v>-21.995399999999901</v>
      </c>
      <c r="AD4322">
        <v>2.279935</v>
      </c>
      <c r="AE4322">
        <v>-94.109629999999996</v>
      </c>
      <c r="AF4322">
        <v>19.3091059788457</v>
      </c>
      <c r="AG4322">
        <v>2.279935</v>
      </c>
      <c r="AH4322">
        <v>94.642437474167906</v>
      </c>
      <c r="AI4322">
        <v>88.647856189868804</v>
      </c>
      <c r="AJ4322">
        <v>78.468678882471295</v>
      </c>
      <c r="AK4322">
        <v>96.618997347096894</v>
      </c>
      <c r="AL4322">
        <v>88.636704474327701</v>
      </c>
      <c r="AM4322">
        <v>89.558232119868293</v>
      </c>
      <c r="AN4322">
        <v>0.99999997958481202</v>
      </c>
    </row>
    <row r="4323" spans="1:40" x14ac:dyDescent="0.25">
      <c r="A4323" t="str">
        <f>"20190312160420579"</f>
        <v>20190312160420579</v>
      </c>
      <c r="B4323" t="str">
        <f>"1552377860569056"</f>
        <v>1552377860569056</v>
      </c>
      <c r="C4323" t="s">
        <v>40</v>
      </c>
      <c r="D4323">
        <v>5.2750309999999896</v>
      </c>
      <c r="E4323">
        <v>0.57806809999999997</v>
      </c>
      <c r="F4323" t="s">
        <v>62</v>
      </c>
      <c r="G4323">
        <v>-211.76240000000001</v>
      </c>
      <c r="H4323">
        <v>3.3520279999999998</v>
      </c>
      <c r="I4323">
        <v>98.375470000000007</v>
      </c>
      <c r="J4323">
        <v>-189.50559999999999</v>
      </c>
      <c r="K4323">
        <v>1.1043989999999999</v>
      </c>
      <c r="L4323">
        <v>192.30070000000001</v>
      </c>
      <c r="M4323">
        <v>-3.4608630000000001E-2</v>
      </c>
      <c r="N4323">
        <v>0</v>
      </c>
      <c r="O4323">
        <v>-0.99929210000000002</v>
      </c>
      <c r="P4323">
        <v>-4.0875839999999997E-2</v>
      </c>
      <c r="Q4323">
        <v>9.001617E-3</v>
      </c>
      <c r="R4323">
        <v>-0.9991236</v>
      </c>
      <c r="S4323">
        <v>-0.70426940000000005</v>
      </c>
      <c r="T4323">
        <v>7.1090459999999994E-2</v>
      </c>
      <c r="U4323">
        <v>-2.9762420000000001</v>
      </c>
      <c r="V4323">
        <v>6.5988059999999996E-3</v>
      </c>
      <c r="W4323">
        <v>2.3664950000000001E-2</v>
      </c>
      <c r="X4323">
        <v>0.99969819999999998</v>
      </c>
      <c r="Y4323">
        <v>0.1963887</v>
      </c>
      <c r="Z4323">
        <v>-2.3303649999999999E-2</v>
      </c>
      <c r="AA4323">
        <v>0.98024920000000004</v>
      </c>
      <c r="AB4323">
        <v>25</v>
      </c>
      <c r="AC4323">
        <v>-22.256799999999998</v>
      </c>
      <c r="AD4323">
        <v>2.2476289999999999</v>
      </c>
      <c r="AE4323">
        <v>-93.925229999999999</v>
      </c>
      <c r="AF4323">
        <v>18.982194696459398</v>
      </c>
      <c r="AG4323">
        <v>2.2476289999999999</v>
      </c>
      <c r="AH4323">
        <v>94.588026728633594</v>
      </c>
      <c r="AI4323">
        <v>88.665376565989902</v>
      </c>
      <c r="AJ4323">
        <v>78.652452881821304</v>
      </c>
      <c r="AK4323">
        <v>96.500105450888697</v>
      </c>
      <c r="AL4323">
        <v>88.643971697331594</v>
      </c>
      <c r="AM4323">
        <v>89.621807618873802</v>
      </c>
      <c r="AN4323">
        <v>1.00000003259118</v>
      </c>
    </row>
    <row r="4324" spans="1:40" x14ac:dyDescent="0.25">
      <c r="A4324" t="str">
        <f>"20190312160420592"</f>
        <v>20190312160420592</v>
      </c>
      <c r="B4324" t="str">
        <f>"1552377860579318"</f>
        <v>1552377860579318</v>
      </c>
      <c r="C4324" t="s">
        <v>40</v>
      </c>
      <c r="D4324">
        <v>5.3237610000000002</v>
      </c>
      <c r="E4324">
        <v>0.57880600000000004</v>
      </c>
      <c r="F4324" t="s">
        <v>62</v>
      </c>
      <c r="G4324">
        <v>-213.01159999999999</v>
      </c>
      <c r="H4324">
        <v>3.3851399999999998</v>
      </c>
      <c r="I4324">
        <v>98.375470000000007</v>
      </c>
      <c r="J4324">
        <v>-189.51589999999999</v>
      </c>
      <c r="K4324">
        <v>1.1045929999999999</v>
      </c>
      <c r="L4324">
        <v>192.1559</v>
      </c>
      <c r="M4324">
        <v>-3.9388810000000003E-2</v>
      </c>
      <c r="N4324">
        <v>0</v>
      </c>
      <c r="O4324">
        <v>-0.99911559999999999</v>
      </c>
      <c r="P4324">
        <v>-4.5430810000000002E-2</v>
      </c>
      <c r="Q4324">
        <v>8.8905249999999998E-3</v>
      </c>
      <c r="R4324">
        <v>-0.99892789999999998</v>
      </c>
      <c r="S4324">
        <v>-0.74366759999999998</v>
      </c>
      <c r="T4324">
        <v>7.2157379999999993E-2</v>
      </c>
      <c r="U4324">
        <v>-2.9715419999999999</v>
      </c>
      <c r="V4324">
        <v>6.3611880000000003E-3</v>
      </c>
      <c r="W4324">
        <v>2.3520989999999999E-2</v>
      </c>
      <c r="X4324">
        <v>0.99970309999999996</v>
      </c>
      <c r="Y4324">
        <v>0.20430519999999999</v>
      </c>
      <c r="Z4324">
        <v>-2.3627309999999999E-2</v>
      </c>
      <c r="AA4324">
        <v>0.97862210000000005</v>
      </c>
      <c r="AB4324">
        <v>25</v>
      </c>
      <c r="AC4324">
        <v>-23.495699999999999</v>
      </c>
      <c r="AD4324">
        <v>2.2805469999999999</v>
      </c>
      <c r="AE4324">
        <v>-93.780429999999996</v>
      </c>
      <c r="AF4324">
        <v>19.772160978573101</v>
      </c>
      <c r="AG4324">
        <v>2.2805469999999999</v>
      </c>
      <c r="AH4324">
        <v>94.580576789920599</v>
      </c>
      <c r="AI4324">
        <v>88.647956211509097</v>
      </c>
      <c r="AJ4324">
        <v>78.192309747266904</v>
      </c>
      <c r="AK4324">
        <v>96.652080941363494</v>
      </c>
      <c r="AL4324">
        <v>88.652222243279198</v>
      </c>
      <c r="AM4324">
        <v>89.635427452169694</v>
      </c>
      <c r="AN4324">
        <v>0.99999999491647995</v>
      </c>
    </row>
    <row r="4325" spans="1:40" x14ac:dyDescent="0.25">
      <c r="A4325" t="str">
        <f>"20190312160420605"</f>
        <v>20190312160420605</v>
      </c>
      <c r="B4325" t="str">
        <f>"1552377860598838"</f>
        <v>1552377860598838</v>
      </c>
      <c r="C4325" t="s">
        <v>40</v>
      </c>
      <c r="D4325">
        <v>5.3057210000000001</v>
      </c>
      <c r="E4325">
        <v>0.57950159999999995</v>
      </c>
      <c r="F4325" t="s">
        <v>62</v>
      </c>
      <c r="G4325">
        <v>-213.6268</v>
      </c>
      <c r="H4325">
        <v>3.312427</v>
      </c>
      <c r="I4325">
        <v>98.375470000000007</v>
      </c>
      <c r="J4325">
        <v>-189.52760000000001</v>
      </c>
      <c r="K4325">
        <v>1.1048020000000001</v>
      </c>
      <c r="L4325">
        <v>191.99799999999999</v>
      </c>
      <c r="M4325">
        <v>-4.4438239999999997E-2</v>
      </c>
      <c r="N4325">
        <v>0</v>
      </c>
      <c r="O4325">
        <v>-0.99890460000000003</v>
      </c>
      <c r="P4325">
        <v>-5.004161E-2</v>
      </c>
      <c r="Q4325">
        <v>8.7716879999999997E-3</v>
      </c>
      <c r="R4325">
        <v>-0.99870899999999996</v>
      </c>
      <c r="S4325">
        <v>-0.76304629999999996</v>
      </c>
      <c r="T4325">
        <v>6.9872859999999995E-2</v>
      </c>
      <c r="U4325">
        <v>-2.9678960000000001</v>
      </c>
      <c r="V4325">
        <v>5.9091469999999896E-3</v>
      </c>
      <c r="W4325">
        <v>2.336939E-2</v>
      </c>
      <c r="X4325">
        <v>0.99970939999999997</v>
      </c>
      <c r="Y4325">
        <v>0.20564789999999999</v>
      </c>
      <c r="Z4325">
        <v>-2.2878229999999999E-2</v>
      </c>
      <c r="AA4325">
        <v>0.97835859999999997</v>
      </c>
      <c r="AB4325">
        <v>25</v>
      </c>
      <c r="AC4325">
        <v>-24.0992</v>
      </c>
      <c r="AD4325">
        <v>2.2076250000000002</v>
      </c>
      <c r="AE4325">
        <v>-93.622529999999998</v>
      </c>
      <c r="AF4325">
        <v>19.904141279553599</v>
      </c>
      <c r="AG4325">
        <v>2.2076250000000002</v>
      </c>
      <c r="AH4325">
        <v>94.551758983474599</v>
      </c>
      <c r="AI4325">
        <v>88.691158433317895</v>
      </c>
      <c r="AJ4325">
        <v>78.112207814173402</v>
      </c>
      <c r="AK4325">
        <v>96.649281296273102</v>
      </c>
      <c r="AL4325">
        <v>88.660910632253305</v>
      </c>
      <c r="AM4325">
        <v>89.661336343649396</v>
      </c>
      <c r="AN4325">
        <v>0.99999996542779901</v>
      </c>
    </row>
    <row r="4326" spans="1:40" x14ac:dyDescent="0.25">
      <c r="A4326" t="str">
        <f>"20190312160420619"</f>
        <v>20190312160420619</v>
      </c>
      <c r="B4326" t="str">
        <f>"1552377860609574"</f>
        <v>1552377860609574</v>
      </c>
      <c r="C4326" t="s">
        <v>40</v>
      </c>
      <c r="D4326">
        <v>5.4580760000000001</v>
      </c>
      <c r="E4326">
        <v>0.58030680000000001</v>
      </c>
      <c r="F4326" t="s">
        <v>62</v>
      </c>
      <c r="G4326">
        <v>-214.2466</v>
      </c>
      <c r="H4326">
        <v>3.151014</v>
      </c>
      <c r="I4326">
        <v>98.375470000000007</v>
      </c>
      <c r="J4326">
        <v>-189.53899999999999</v>
      </c>
      <c r="K4326">
        <v>1.1049910000000001</v>
      </c>
      <c r="L4326">
        <v>191.8552</v>
      </c>
      <c r="M4326">
        <v>-4.880172E-2</v>
      </c>
      <c r="N4326">
        <v>0</v>
      </c>
      <c r="O4326">
        <v>-0.99870119999999896</v>
      </c>
      <c r="P4326">
        <v>-5.3778670000000001E-2</v>
      </c>
      <c r="Q4326">
        <v>8.8506139999999997E-3</v>
      </c>
      <c r="R4326">
        <v>-0.99851380000000001</v>
      </c>
      <c r="S4326">
        <v>-0.78260799999999997</v>
      </c>
      <c r="T4326">
        <v>6.4784410000000001E-2</v>
      </c>
      <c r="U4326">
        <v>-2.9641109999999999</v>
      </c>
      <c r="V4326">
        <v>5.2730919999999896E-3</v>
      </c>
      <c r="W4326">
        <v>2.3421359999999999E-2</v>
      </c>
      <c r="X4326">
        <v>0.99971180000000004</v>
      </c>
      <c r="Y4326">
        <v>0.20772840000000001</v>
      </c>
      <c r="Z4326">
        <v>-2.1210509999999998E-2</v>
      </c>
      <c r="AA4326">
        <v>0.97795650000000001</v>
      </c>
      <c r="AB4326">
        <v>25</v>
      </c>
      <c r="AC4326">
        <v>-24.7075999999999</v>
      </c>
      <c r="AD4326">
        <v>2.0460229999999999</v>
      </c>
      <c r="AE4326">
        <v>-93.479730000000004</v>
      </c>
      <c r="AF4326">
        <v>20.106690462151501</v>
      </c>
      <c r="AG4326">
        <v>2.0460229999999999</v>
      </c>
      <c r="AH4326">
        <v>94.531897352891406</v>
      </c>
      <c r="AI4326">
        <v>88.787220489049403</v>
      </c>
      <c r="AJ4326">
        <v>77.992278626138202</v>
      </c>
      <c r="AK4326">
        <v>96.668220365303597</v>
      </c>
      <c r="AL4326">
        <v>88.657932234319006</v>
      </c>
      <c r="AM4326">
        <v>89.697789788254696</v>
      </c>
      <c r="AN4326">
        <v>1.00000002433136</v>
      </c>
    </row>
    <row r="4327" spans="1:40" x14ac:dyDescent="0.25">
      <c r="A4327" t="str">
        <f>"20190312160420635"</f>
        <v>20190312160420635</v>
      </c>
      <c r="B4327" t="str">
        <f>"1552377860629095"</f>
        <v>1552377860629095</v>
      </c>
      <c r="C4327" t="s">
        <v>40</v>
      </c>
      <c r="D4327">
        <v>4.9814870000000004</v>
      </c>
      <c r="E4327">
        <v>0.57967190000000002</v>
      </c>
      <c r="F4327" t="s">
        <v>62</v>
      </c>
      <c r="G4327">
        <v>-214.7893</v>
      </c>
      <c r="H4327">
        <v>3.2023999999999999</v>
      </c>
      <c r="I4327">
        <v>98.375470000000007</v>
      </c>
      <c r="J4327">
        <v>-189.55420000000001</v>
      </c>
      <c r="K4327">
        <v>1.1052249999999999</v>
      </c>
      <c r="L4327">
        <v>191.6711</v>
      </c>
      <c r="M4327">
        <v>-5.4247240000000002E-2</v>
      </c>
      <c r="N4327">
        <v>0</v>
      </c>
      <c r="O4327">
        <v>-0.998421</v>
      </c>
      <c r="P4327">
        <v>-5.8174389999999999E-2</v>
      </c>
      <c r="Q4327">
        <v>9.6417829999999993E-3</v>
      </c>
      <c r="R4327">
        <v>-0.99826000000000004</v>
      </c>
      <c r="S4327">
        <v>-0.79975889999999905</v>
      </c>
      <c r="T4327">
        <v>6.6432480000000002E-2</v>
      </c>
      <c r="U4327">
        <v>-2.9607999999999999</v>
      </c>
      <c r="V4327">
        <v>4.2188190000000004E-3</v>
      </c>
      <c r="W4327">
        <v>2.4180739999999999E-2</v>
      </c>
      <c r="X4327">
        <v>0.99969870000000005</v>
      </c>
      <c r="Y4327">
        <v>0.20794840000000001</v>
      </c>
      <c r="Z4327">
        <v>-2.1747590000000001E-2</v>
      </c>
      <c r="AA4327">
        <v>0.97789800000000004</v>
      </c>
      <c r="AB4327">
        <v>25</v>
      </c>
      <c r="AC4327">
        <v>-25.2350999999999</v>
      </c>
      <c r="AD4327">
        <v>2.097175</v>
      </c>
      <c r="AE4327">
        <v>-93.295630000000003</v>
      </c>
      <c r="AF4327">
        <v>20.126888683748302</v>
      </c>
      <c r="AG4327">
        <v>2.097175</v>
      </c>
      <c r="AH4327">
        <v>94.482819198723604</v>
      </c>
      <c r="AI4327">
        <v>88.756346142016099</v>
      </c>
      <c r="AJ4327">
        <v>77.974505185254998</v>
      </c>
      <c r="AK4327">
        <v>96.6255293119128</v>
      </c>
      <c r="AL4327">
        <v>88.614410600743</v>
      </c>
      <c r="AM4327">
        <v>89.758208059790206</v>
      </c>
      <c r="AN4327">
        <v>0.99999999870119605</v>
      </c>
    </row>
    <row r="4328" spans="1:40" x14ac:dyDescent="0.25">
      <c r="A4328" t="str">
        <f>"20190312160420648"</f>
        <v>20190312160420648</v>
      </c>
      <c r="B4328" t="str">
        <f>"1552377860638854"</f>
        <v>1552377860638854</v>
      </c>
      <c r="C4328" t="s">
        <v>40</v>
      </c>
      <c r="D4328">
        <v>5.33127</v>
      </c>
      <c r="E4328">
        <v>0.57961200000000002</v>
      </c>
      <c r="F4328" t="s">
        <v>62</v>
      </c>
      <c r="G4328">
        <v>-215.0395</v>
      </c>
      <c r="H4328">
        <v>3.209775</v>
      </c>
      <c r="I4328">
        <v>98.375470000000007</v>
      </c>
      <c r="J4328">
        <v>-189.56630000000001</v>
      </c>
      <c r="K4328">
        <v>1.105407</v>
      </c>
      <c r="L4328">
        <v>191.52889999999999</v>
      </c>
      <c r="M4328">
        <v>-5.8311870000000002E-2</v>
      </c>
      <c r="N4328">
        <v>0</v>
      </c>
      <c r="O4328">
        <v>-0.99819230000000003</v>
      </c>
      <c r="P4328">
        <v>-6.1856000000000001E-2</v>
      </c>
      <c r="Q4328">
        <v>1.0071800000000001E-2</v>
      </c>
      <c r="R4328">
        <v>-0.99803419999999998</v>
      </c>
      <c r="S4328">
        <v>-0.80789180000000005</v>
      </c>
      <c r="T4328">
        <v>6.6715479999999994E-2</v>
      </c>
      <c r="U4328">
        <v>-2.9574889999999998</v>
      </c>
      <c r="V4328">
        <v>3.8302010000000001E-3</v>
      </c>
      <c r="W4328">
        <v>2.4580689999999999E-2</v>
      </c>
      <c r="X4328">
        <v>0.99969050000000004</v>
      </c>
      <c r="Y4328">
        <v>0.20674509999999999</v>
      </c>
      <c r="Z4328">
        <v>-2.1851280000000001E-2</v>
      </c>
      <c r="AA4328">
        <v>0.97815079999999999</v>
      </c>
      <c r="AB4328">
        <v>25</v>
      </c>
      <c r="AC4328">
        <v>-25.473199999999899</v>
      </c>
      <c r="AD4328">
        <v>2.104368</v>
      </c>
      <c r="AE4328">
        <v>-93.15343</v>
      </c>
      <c r="AF4328">
        <v>19.987829222633302</v>
      </c>
      <c r="AG4328">
        <v>2.104368</v>
      </c>
      <c r="AH4328">
        <v>94.435595495682804</v>
      </c>
      <c r="AI4328">
        <v>88.751111638499296</v>
      </c>
      <c r="AJ4328">
        <v>78.049395061494806</v>
      </c>
      <c r="AK4328">
        <v>96.550625986250395</v>
      </c>
      <c r="AL4328">
        <v>88.591488325126704</v>
      </c>
      <c r="AM4328">
        <v>89.780478780014704</v>
      </c>
      <c r="AN4328">
        <v>0.99999998827541303</v>
      </c>
    </row>
    <row r="4329" spans="1:40" x14ac:dyDescent="0.25">
      <c r="A4329" t="str">
        <f>"20190312160420661"</f>
        <v>20190312160420661</v>
      </c>
      <c r="B4329" t="str">
        <f>"1552377860649591"</f>
        <v>1552377860649591</v>
      </c>
      <c r="C4329" t="s">
        <v>40</v>
      </c>
      <c r="D4329">
        <v>5.3121280000000004</v>
      </c>
      <c r="E4329">
        <v>0.57949410000000001</v>
      </c>
      <c r="F4329" t="s">
        <v>62</v>
      </c>
      <c r="G4329">
        <v>-215.71019999999999</v>
      </c>
      <c r="H4329">
        <v>3.1701069999999998</v>
      </c>
      <c r="I4329">
        <v>97.150019999999998</v>
      </c>
      <c r="J4329">
        <v>-189.5789</v>
      </c>
      <c r="K4329">
        <v>1.1055790000000001</v>
      </c>
      <c r="L4329">
        <v>191.38919999999999</v>
      </c>
      <c r="M4329">
        <v>-6.2114589999999997E-2</v>
      </c>
      <c r="N4329">
        <v>0</v>
      </c>
      <c r="O4329">
        <v>-0.9979635</v>
      </c>
      <c r="P4329">
        <v>-6.5032950000000006E-2</v>
      </c>
      <c r="Q4329">
        <v>1.058162E-2</v>
      </c>
      <c r="R4329">
        <v>-0.99782720000000003</v>
      </c>
      <c r="S4329">
        <v>-0.81843569999999999</v>
      </c>
      <c r="T4329">
        <v>6.4636230000000003E-2</v>
      </c>
      <c r="U4329">
        <v>-2.954529</v>
      </c>
      <c r="V4329">
        <v>3.1993109999999998E-3</v>
      </c>
      <c r="W4329">
        <v>2.5063579999999998E-2</v>
      </c>
      <c r="X4329">
        <v>0.99968080000000004</v>
      </c>
      <c r="Y4329">
        <v>0.20651530000000001</v>
      </c>
      <c r="Z4329">
        <v>-2.117436E-2</v>
      </c>
      <c r="AA4329">
        <v>0.97821420000000003</v>
      </c>
      <c r="AB4329">
        <v>24</v>
      </c>
      <c r="AC4329">
        <v>-26.1312999999999</v>
      </c>
      <c r="AD4329">
        <v>2.0645280000000001</v>
      </c>
      <c r="AE4329">
        <v>-94.239180000000005</v>
      </c>
      <c r="AF4329">
        <v>20.217575604208601</v>
      </c>
      <c r="AG4329">
        <v>2.0645280000000001</v>
      </c>
      <c r="AH4329">
        <v>95.637851643452294</v>
      </c>
      <c r="AI4329">
        <v>88.790083023129696</v>
      </c>
      <c r="AJ4329">
        <v>78.063569164818901</v>
      </c>
      <c r="AK4329">
        <v>97.773264782094998</v>
      </c>
      <c r="AL4329">
        <v>88.563812341506406</v>
      </c>
      <c r="AM4329">
        <v>89.816635078081305</v>
      </c>
      <c r="AN4329">
        <v>1.00000006026096</v>
      </c>
    </row>
    <row r="4330" spans="1:40" x14ac:dyDescent="0.25">
      <c r="A4330" t="str">
        <f>"20190312160420673"</f>
        <v>20190312160420673</v>
      </c>
      <c r="B4330" t="str">
        <f>"1552377860669111"</f>
        <v>1552377860669111</v>
      </c>
      <c r="C4330" t="s">
        <v>40</v>
      </c>
      <c r="D4330">
        <v>5.3489170000000001</v>
      </c>
      <c r="E4330">
        <v>0.57940749999999996</v>
      </c>
      <c r="F4330" t="s">
        <v>62</v>
      </c>
      <c r="G4330">
        <v>-215.97989999999999</v>
      </c>
      <c r="H4330">
        <v>3.1174819999999999</v>
      </c>
      <c r="I4330">
        <v>97.150019999999998</v>
      </c>
      <c r="J4330">
        <v>-189.5909</v>
      </c>
      <c r="K4330">
        <v>1.1057360000000001</v>
      </c>
      <c r="L4330">
        <v>191.2587</v>
      </c>
      <c r="M4330">
        <v>-6.5575439999999999E-2</v>
      </c>
      <c r="N4330">
        <v>0</v>
      </c>
      <c r="O4330">
        <v>-0.99774260000000004</v>
      </c>
      <c r="P4330">
        <v>-6.7732990000000007E-2</v>
      </c>
      <c r="Q4330">
        <v>1.097733E-2</v>
      </c>
      <c r="R4330">
        <v>-0.99764330000000001</v>
      </c>
      <c r="S4330">
        <v>-0.82699579999999995</v>
      </c>
      <c r="T4330">
        <v>6.3022380000000003E-2</v>
      </c>
      <c r="U4330">
        <v>-2.951981</v>
      </c>
      <c r="V4330">
        <v>2.4321490000000002E-3</v>
      </c>
      <c r="W4330">
        <v>2.5436819999999999E-2</v>
      </c>
      <c r="X4330">
        <v>0.99967349999999999</v>
      </c>
      <c r="Y4330">
        <v>0.2059742</v>
      </c>
      <c r="Z4330">
        <v>-2.0649460000000001E-2</v>
      </c>
      <c r="AA4330">
        <v>0.97833959999999998</v>
      </c>
      <c r="AB4330">
        <v>24</v>
      </c>
      <c r="AC4330">
        <v>-26.3889999999999</v>
      </c>
      <c r="AD4330">
        <v>2.011746</v>
      </c>
      <c r="AE4330">
        <v>-94.108680000000007</v>
      </c>
      <c r="AF4330">
        <v>20.151786491732999</v>
      </c>
      <c r="AG4330">
        <v>2.011746</v>
      </c>
      <c r="AH4330">
        <v>95.596230942802606</v>
      </c>
      <c r="AI4330">
        <v>88.820351837143207</v>
      </c>
      <c r="AJ4330">
        <v>78.096269379262296</v>
      </c>
      <c r="AK4330">
        <v>97.717864238053096</v>
      </c>
      <c r="AL4330">
        <v>88.542420396731401</v>
      </c>
      <c r="AM4330">
        <v>89.860602888946403</v>
      </c>
      <c r="AN4330">
        <v>1.00000002688135</v>
      </c>
    </row>
    <row r="4331" spans="1:40" x14ac:dyDescent="0.25">
      <c r="A4331" t="str">
        <f>"20190312160420685"</f>
        <v>20190312160420685</v>
      </c>
      <c r="B4331" t="str">
        <f>"1552377860679379"</f>
        <v>1552377860679379</v>
      </c>
      <c r="C4331" t="s">
        <v>40</v>
      </c>
      <c r="D4331">
        <v>5.3609499999999999</v>
      </c>
      <c r="E4331">
        <v>0.57924709999999902</v>
      </c>
      <c r="F4331" t="s">
        <v>62</v>
      </c>
      <c r="G4331">
        <v>-216.21629999999999</v>
      </c>
      <c r="H4331">
        <v>2.9473549999999999</v>
      </c>
      <c r="I4331">
        <v>97.150019999999998</v>
      </c>
      <c r="J4331">
        <v>-189.60339999999999</v>
      </c>
      <c r="K4331">
        <v>1.1058920000000001</v>
      </c>
      <c r="L4331">
        <v>191.12569999999999</v>
      </c>
      <c r="M4331">
        <v>-6.9011429999999999E-2</v>
      </c>
      <c r="N4331">
        <v>0</v>
      </c>
      <c r="O4331">
        <v>-0.99751129999999999</v>
      </c>
      <c r="P4331">
        <v>-7.0868669999999995E-2</v>
      </c>
      <c r="Q4331">
        <v>1.121552E-2</v>
      </c>
      <c r="R4331">
        <v>-0.9974227</v>
      </c>
      <c r="S4331">
        <v>-0.83456419999999998</v>
      </c>
      <c r="T4331">
        <v>5.772567E-2</v>
      </c>
      <c r="U4331">
        <v>-2.9497990000000001</v>
      </c>
      <c r="V4331">
        <v>2.1244089999999998E-3</v>
      </c>
      <c r="W4331">
        <v>2.5647039999999999E-2</v>
      </c>
      <c r="X4331">
        <v>0.99966880000000002</v>
      </c>
      <c r="Y4331">
        <v>0.2051268</v>
      </c>
      <c r="Z4331">
        <v>-1.8916720000000001E-2</v>
      </c>
      <c r="AA4331">
        <v>0.97855259999999999</v>
      </c>
      <c r="AB4331">
        <v>24</v>
      </c>
      <c r="AC4331">
        <v>-26.6129</v>
      </c>
      <c r="AD4331">
        <v>1.8414630000000001</v>
      </c>
      <c r="AE4331">
        <v>-93.975679999999997</v>
      </c>
      <c r="AF4331">
        <v>20.056236204500301</v>
      </c>
      <c r="AG4331">
        <v>1.8414630000000001</v>
      </c>
      <c r="AH4331">
        <v>95.554402879205497</v>
      </c>
      <c r="AI4331">
        <v>88.919507633070594</v>
      </c>
      <c r="AJ4331">
        <v>78.146072081689098</v>
      </c>
      <c r="AK4331">
        <v>97.6539170042482</v>
      </c>
      <c r="AL4331">
        <v>88.530371703097103</v>
      </c>
      <c r="AM4331">
        <v>89.878240186722607</v>
      </c>
      <c r="AN4331">
        <v>0.99999999673390005</v>
      </c>
    </row>
    <row r="4332" spans="1:40" x14ac:dyDescent="0.25">
      <c r="A4332" t="str">
        <f>"20190312160420697"</f>
        <v>20190312160420697</v>
      </c>
      <c r="B4332" t="str">
        <f>"1552377860689138"</f>
        <v>1552377860689138</v>
      </c>
      <c r="C4332" t="s">
        <v>40</v>
      </c>
      <c r="D4332">
        <v>5.2744460000000002</v>
      </c>
      <c r="E4332">
        <v>0.57908760000000004</v>
      </c>
      <c r="F4332" t="s">
        <v>62</v>
      </c>
      <c r="G4332">
        <v>-216.4718</v>
      </c>
      <c r="H4332">
        <v>2.8513419999999998</v>
      </c>
      <c r="I4332">
        <v>97.150019999999998</v>
      </c>
      <c r="J4332">
        <v>-189.61670000000001</v>
      </c>
      <c r="K4332">
        <v>1.1060509999999999</v>
      </c>
      <c r="L4332">
        <v>190.99010000000001</v>
      </c>
      <c r="M4332">
        <v>-7.2349620000000003E-2</v>
      </c>
      <c r="N4332">
        <v>0</v>
      </c>
      <c r="O4332">
        <v>-0.99727520000000003</v>
      </c>
      <c r="P4332">
        <v>-7.37424E-2</v>
      </c>
      <c r="Q4332">
        <v>1.1288080000000001E-2</v>
      </c>
      <c r="R4332">
        <v>-0.99721360000000003</v>
      </c>
      <c r="S4332">
        <v>-0.84265140000000005</v>
      </c>
      <c r="T4332">
        <v>5.4741980000000003E-2</v>
      </c>
      <c r="U4332">
        <v>-2.9472809999999998</v>
      </c>
      <c r="V4332">
        <v>1.6500229999999901E-3</v>
      </c>
      <c r="W4332">
        <v>2.569376E-2</v>
      </c>
      <c r="X4332">
        <v>0.99966849999999996</v>
      </c>
      <c r="Y4332">
        <v>0.20455899999999999</v>
      </c>
      <c r="Z4332">
        <v>-1.7942090000000001E-2</v>
      </c>
      <c r="AA4332">
        <v>0.97868980000000005</v>
      </c>
      <c r="AB4332">
        <v>24</v>
      </c>
      <c r="AC4332">
        <v>-26.8551</v>
      </c>
      <c r="AD4332">
        <v>1.7452909999999899</v>
      </c>
      <c r="AE4332">
        <v>-93.84008</v>
      </c>
      <c r="AF4332">
        <v>19.988317029915098</v>
      </c>
      <c r="AG4332">
        <v>1.7452909999999899</v>
      </c>
      <c r="AH4332">
        <v>95.506727678165802</v>
      </c>
      <c r="AI4332">
        <v>88.975289128361794</v>
      </c>
      <c r="AJ4332">
        <v>78.179352604972493</v>
      </c>
      <c r="AK4332">
        <v>97.591566695869702</v>
      </c>
      <c r="AL4332">
        <v>88.527693967962904</v>
      </c>
      <c r="AM4332">
        <v>89.905429381694105</v>
      </c>
      <c r="AN4332">
        <v>1.0000000008855401</v>
      </c>
    </row>
    <row r="4333" spans="1:40" x14ac:dyDescent="0.25">
      <c r="A4333" t="str">
        <f>"20190312160420713"</f>
        <v>20190312160420713</v>
      </c>
      <c r="B4333" t="str">
        <f>"1552377860709634"</f>
        <v>1552377860709634</v>
      </c>
      <c r="C4333" t="s">
        <v>40</v>
      </c>
      <c r="D4333">
        <v>5.3856999999999999</v>
      </c>
      <c r="E4333">
        <v>0.57875509999999997</v>
      </c>
      <c r="F4333" t="s">
        <v>62</v>
      </c>
      <c r="G4333">
        <v>-216.7013</v>
      </c>
      <c r="H4333">
        <v>2.700348</v>
      </c>
      <c r="I4333">
        <v>97.150019999999998</v>
      </c>
      <c r="J4333">
        <v>-189.63329999999999</v>
      </c>
      <c r="K4333">
        <v>1.106239</v>
      </c>
      <c r="L4333">
        <v>190.82339999999999</v>
      </c>
      <c r="M4333">
        <v>-7.6325829999999997E-2</v>
      </c>
      <c r="N4333">
        <v>0</v>
      </c>
      <c r="O4333">
        <v>-0.99697910000000001</v>
      </c>
      <c r="P4333">
        <v>-7.6930429999999994E-2</v>
      </c>
      <c r="Q4333">
        <v>1.1692340000000001E-2</v>
      </c>
      <c r="R4333">
        <v>-0.99696799999999997</v>
      </c>
      <c r="S4333">
        <v>-0.84999080000000005</v>
      </c>
      <c r="T4333">
        <v>5.003428E-2</v>
      </c>
      <c r="U4333">
        <v>-2.9449619999999999</v>
      </c>
      <c r="V4333">
        <v>8.5191550000000003E-4</v>
      </c>
      <c r="W4333">
        <v>2.6068419999999998E-2</v>
      </c>
      <c r="X4333">
        <v>0.99965979999999999</v>
      </c>
      <c r="Y4333">
        <v>0.20311960000000001</v>
      </c>
      <c r="Z4333">
        <v>-1.6401559999999999E-2</v>
      </c>
      <c r="AA4333">
        <v>0.97901649999999996</v>
      </c>
      <c r="AB4333">
        <v>24</v>
      </c>
      <c r="AC4333">
        <v>-27.068000000000001</v>
      </c>
      <c r="AD4333">
        <v>1.594109</v>
      </c>
      <c r="AE4333">
        <v>-93.673379999999995</v>
      </c>
      <c r="AF4333">
        <v>19.8332844690045</v>
      </c>
      <c r="AG4333">
        <v>1.594109</v>
      </c>
      <c r="AH4333">
        <v>95.440762998448207</v>
      </c>
      <c r="AI4333">
        <v>89.063112156443793</v>
      </c>
      <c r="AJ4333">
        <v>78.260601478240702</v>
      </c>
      <c r="AK4333">
        <v>97.492766901233793</v>
      </c>
      <c r="AL4333">
        <v>88.506220339727406</v>
      </c>
      <c r="AM4333">
        <v>89.951172237959995</v>
      </c>
      <c r="AN4333">
        <v>1.0000000020086699</v>
      </c>
    </row>
    <row r="4334" spans="1:40" x14ac:dyDescent="0.25">
      <c r="A4334" t="str">
        <f>"20190312160420725"</f>
        <v>20190312160420725</v>
      </c>
      <c r="B4334" t="str">
        <f>"1552377860719394"</f>
        <v>1552377860719394</v>
      </c>
      <c r="C4334" t="s">
        <v>40</v>
      </c>
      <c r="D4334">
        <v>5.3664440000000004</v>
      </c>
      <c r="E4334">
        <v>0.57853980000000005</v>
      </c>
      <c r="F4334" t="s">
        <v>62</v>
      </c>
      <c r="G4334">
        <v>-216.9186</v>
      </c>
      <c r="H4334">
        <v>2.4690379999999998</v>
      </c>
      <c r="I4334">
        <v>97.150019999999998</v>
      </c>
      <c r="J4334">
        <v>-189.64750000000001</v>
      </c>
      <c r="K4334">
        <v>1.1064020000000001</v>
      </c>
      <c r="L4334">
        <v>190.6849</v>
      </c>
      <c r="M4334">
        <v>-7.9498739999999998E-2</v>
      </c>
      <c r="N4334">
        <v>0</v>
      </c>
      <c r="O4334">
        <v>-0.99673179999999995</v>
      </c>
      <c r="P4334">
        <v>-7.9851499999999895E-2</v>
      </c>
      <c r="Q4334">
        <v>1.171727E-2</v>
      </c>
      <c r="R4334">
        <v>-0.99673820000000002</v>
      </c>
      <c r="S4334">
        <v>-0.85710140000000001</v>
      </c>
      <c r="T4334">
        <v>4.2809840000000002E-2</v>
      </c>
      <c r="U4334">
        <v>-2.94252</v>
      </c>
      <c r="V4334">
        <v>5.8930910000000003E-4</v>
      </c>
      <c r="W4334">
        <v>2.6065560000000002E-2</v>
      </c>
      <c r="X4334">
        <v>0.99966010000000005</v>
      </c>
      <c r="Y4334">
        <v>0.2024118</v>
      </c>
      <c r="Z4334">
        <v>-1.40362E-2</v>
      </c>
      <c r="AA4334">
        <v>0.97919990000000001</v>
      </c>
      <c r="AB4334">
        <v>24</v>
      </c>
      <c r="AC4334">
        <v>-27.271099999999901</v>
      </c>
      <c r="AD4334">
        <v>1.362636</v>
      </c>
      <c r="AE4334">
        <v>-93.534880000000001</v>
      </c>
      <c r="AF4334">
        <v>19.7442363079351</v>
      </c>
      <c r="AG4334">
        <v>1.362636</v>
      </c>
      <c r="AH4334">
        <v>95.388360610735205</v>
      </c>
      <c r="AI4334">
        <v>89.198563515394895</v>
      </c>
      <c r="AJ4334">
        <v>78.305611970429297</v>
      </c>
      <c r="AK4334">
        <v>97.419869555731395</v>
      </c>
      <c r="AL4334">
        <v>88.506384315302498</v>
      </c>
      <c r="AM4334">
        <v>89.966223599054004</v>
      </c>
      <c r="AN4334">
        <v>1.0000000381176599</v>
      </c>
    </row>
    <row r="4335" spans="1:40" x14ac:dyDescent="0.25">
      <c r="A4335" t="str">
        <f>"20190312160420737"</f>
        <v>20190312160420737</v>
      </c>
      <c r="B4335" t="str">
        <f>"1552377860729154"</f>
        <v>1552377860729154</v>
      </c>
      <c r="C4335" t="s">
        <v>40</v>
      </c>
      <c r="D4335">
        <v>5.2816859999999997</v>
      </c>
      <c r="E4335">
        <v>0.57833409999999996</v>
      </c>
      <c r="F4335" t="s">
        <v>62</v>
      </c>
      <c r="G4335">
        <v>-217.1352</v>
      </c>
      <c r="H4335">
        <v>2.3777949999999999</v>
      </c>
      <c r="I4335">
        <v>97.150019999999998</v>
      </c>
      <c r="J4335">
        <v>-189.66149999999999</v>
      </c>
      <c r="K4335">
        <v>1.106555</v>
      </c>
      <c r="L4335">
        <v>190.55179999999999</v>
      </c>
      <c r="M4335">
        <v>-8.2396189999999994E-2</v>
      </c>
      <c r="N4335">
        <v>0</v>
      </c>
      <c r="O4335">
        <v>-0.99649690000000002</v>
      </c>
      <c r="P4335">
        <v>-8.1981460000000006E-2</v>
      </c>
      <c r="Q4335">
        <v>1.200356E-2</v>
      </c>
      <c r="R4335">
        <v>-0.9965619</v>
      </c>
      <c r="S4335">
        <v>-0.86402889999999999</v>
      </c>
      <c r="T4335">
        <v>3.9964909999999999E-2</v>
      </c>
      <c r="U4335">
        <v>-2.9401090000000001</v>
      </c>
      <c r="V4335">
        <v>-1.8763389999999999E-4</v>
      </c>
      <c r="W4335">
        <v>2.6330119999999999E-2</v>
      </c>
      <c r="X4335">
        <v>0.99965329999999997</v>
      </c>
      <c r="Y4335">
        <v>0.2019089</v>
      </c>
      <c r="Z4335">
        <v>-1.310567E-2</v>
      </c>
      <c r="AA4335">
        <v>0.97931670000000004</v>
      </c>
      <c r="AB4335">
        <v>24</v>
      </c>
      <c r="AC4335">
        <v>-27.473700000000001</v>
      </c>
      <c r="AD4335">
        <v>1.2712399999999999</v>
      </c>
      <c r="AE4335">
        <v>-93.401780000000002</v>
      </c>
      <c r="AF4335">
        <v>19.680166398397901</v>
      </c>
      <c r="AG4335">
        <v>1.2712399999999999</v>
      </c>
      <c r="AH4335">
        <v>95.331822984262601</v>
      </c>
      <c r="AI4335">
        <v>89.251787053734304</v>
      </c>
      <c r="AJ4335">
        <v>78.335795702014494</v>
      </c>
      <c r="AK4335">
        <v>97.350302896852895</v>
      </c>
      <c r="AL4335">
        <v>88.491220905584996</v>
      </c>
      <c r="AM4335">
        <v>90.0107543589736</v>
      </c>
      <c r="AN4335">
        <v>1.00000001531329</v>
      </c>
    </row>
    <row r="4336" spans="1:40" x14ac:dyDescent="0.25">
      <c r="A4336" t="str">
        <f>"20190312160420750"</f>
        <v>20190312160420750</v>
      </c>
      <c r="B4336" t="str">
        <f>"1552377860738915"</f>
        <v>1552377860738915</v>
      </c>
      <c r="C4336" t="s">
        <v>40</v>
      </c>
      <c r="D4336">
        <v>5.3518980000000003</v>
      </c>
      <c r="E4336">
        <v>0.57809339999999998</v>
      </c>
      <c r="F4336" t="s">
        <v>62</v>
      </c>
      <c r="G4336">
        <v>-217.27629999999999</v>
      </c>
      <c r="H4336">
        <v>2.2605749999999998</v>
      </c>
      <c r="I4336">
        <v>97.150019999999998</v>
      </c>
      <c r="J4336">
        <v>-189.67609999999999</v>
      </c>
      <c r="K4336">
        <v>1.1067100000000001</v>
      </c>
      <c r="L4336">
        <v>190.41489999999999</v>
      </c>
      <c r="M4336">
        <v>-8.530749E-2</v>
      </c>
      <c r="N4336">
        <v>0</v>
      </c>
      <c r="O4336">
        <v>-0.99625220000000003</v>
      </c>
      <c r="P4336">
        <v>-8.4535260000000001E-2</v>
      </c>
      <c r="Q4336">
        <v>1.2364730000000001E-2</v>
      </c>
      <c r="R4336">
        <v>-0.99634370000000005</v>
      </c>
      <c r="S4336">
        <v>-0.86875919999999895</v>
      </c>
      <c r="T4336">
        <v>3.630626E-2</v>
      </c>
      <c r="U4336">
        <v>-2.9384160000000001</v>
      </c>
      <c r="V4336">
        <v>-5.5323619999999999E-4</v>
      </c>
      <c r="W4336">
        <v>2.6665689999999999E-2</v>
      </c>
      <c r="X4336">
        <v>0.99964430000000004</v>
      </c>
      <c r="Y4336">
        <v>0.20065440000000001</v>
      </c>
      <c r="Z4336">
        <v>-1.190715E-2</v>
      </c>
      <c r="AA4336">
        <v>0.97958970000000001</v>
      </c>
      <c r="AB4336">
        <v>24</v>
      </c>
      <c r="AC4336">
        <v>-27.600200000000001</v>
      </c>
      <c r="AD4336">
        <v>1.1538649999999899</v>
      </c>
      <c r="AE4336">
        <v>-93.264880000000005</v>
      </c>
      <c r="AF4336">
        <v>19.539812404700001</v>
      </c>
      <c r="AG4336">
        <v>1.1538649999999899</v>
      </c>
      <c r="AH4336">
        <v>95.266165902708707</v>
      </c>
      <c r="AI4336">
        <v>89.320216992474201</v>
      </c>
      <c r="AJ4336">
        <v>78.408958806387403</v>
      </c>
      <c r="AK4336">
        <v>97.256249357311304</v>
      </c>
      <c r="AL4336">
        <v>88.471987454185296</v>
      </c>
      <c r="AM4336">
        <v>90.031709375122304</v>
      </c>
      <c r="AN4336">
        <v>1.0000000458079701</v>
      </c>
    </row>
    <row r="4337" spans="1:40" x14ac:dyDescent="0.25">
      <c r="A4337" t="str">
        <f>"20190312160420762"</f>
        <v>20190312160420762</v>
      </c>
      <c r="B4337" t="str">
        <f>"1552377860749650"</f>
        <v>1552377860749650</v>
      </c>
      <c r="C4337" t="s">
        <v>40</v>
      </c>
      <c r="D4337">
        <v>5.3405820000000004</v>
      </c>
      <c r="E4337">
        <v>0.57775600000000005</v>
      </c>
      <c r="F4337" t="s">
        <v>62</v>
      </c>
      <c r="G4337">
        <v>-217.45310000000001</v>
      </c>
      <c r="H4337">
        <v>2.183926</v>
      </c>
      <c r="I4337">
        <v>97.150019999999998</v>
      </c>
      <c r="J4337">
        <v>-189.69059999999999</v>
      </c>
      <c r="K4337">
        <v>1.106862</v>
      </c>
      <c r="L4337">
        <v>190.28200000000001</v>
      </c>
      <c r="M4337">
        <v>-8.7992470000000003E-2</v>
      </c>
      <c r="N4337">
        <v>0</v>
      </c>
      <c r="O4337">
        <v>-0.99601910000000005</v>
      </c>
      <c r="P4337">
        <v>-8.6639069999999999E-2</v>
      </c>
      <c r="Q4337">
        <v>1.236962E-2</v>
      </c>
      <c r="R4337">
        <v>-0.99616320000000003</v>
      </c>
      <c r="S4337">
        <v>-0.87454219999999905</v>
      </c>
      <c r="T4337">
        <v>3.3916349999999998E-2</v>
      </c>
      <c r="U4337">
        <v>-2.9363860000000002</v>
      </c>
      <c r="V4337">
        <v>-1.1462110000000001E-3</v>
      </c>
      <c r="W4337">
        <v>2.664853E-2</v>
      </c>
      <c r="X4337">
        <v>0.99964419999999998</v>
      </c>
      <c r="Y4337">
        <v>0.1999735</v>
      </c>
      <c r="Z4337">
        <v>-1.112462E-2</v>
      </c>
      <c r="AA4337">
        <v>0.9797382</v>
      </c>
      <c r="AB4337">
        <v>24</v>
      </c>
      <c r="AC4337">
        <v>-27.762499999999999</v>
      </c>
      <c r="AD4337">
        <v>1.077064</v>
      </c>
      <c r="AE4337">
        <v>-93.131979999999999</v>
      </c>
      <c r="AF4337">
        <v>19.456655298880801</v>
      </c>
      <c r="AG4337">
        <v>1.077064</v>
      </c>
      <c r="AH4337">
        <v>95.202105876085696</v>
      </c>
      <c r="AI4337">
        <v>89.364940665147998</v>
      </c>
      <c r="AJ4337">
        <v>78.449402563120998</v>
      </c>
      <c r="AK4337">
        <v>97.175935629768901</v>
      </c>
      <c r="AL4337">
        <v>88.472970917463101</v>
      </c>
      <c r="AM4337">
        <v>90.065696398729202</v>
      </c>
      <c r="AN4337">
        <v>0.99999999227222802</v>
      </c>
    </row>
    <row r="4338" spans="1:40" x14ac:dyDescent="0.25">
      <c r="A4338" t="str">
        <f>"20190312160420775"</f>
        <v>20190312160420775</v>
      </c>
      <c r="B4338" t="str">
        <f>"1552377860769171"</f>
        <v>1552377860769171</v>
      </c>
      <c r="C4338" t="s">
        <v>40</v>
      </c>
      <c r="D4338">
        <v>5.3436599999999999</v>
      </c>
      <c r="E4338">
        <v>0.57702339999999996</v>
      </c>
      <c r="F4338" t="s">
        <v>62</v>
      </c>
      <c r="G4338">
        <v>-217.55590000000001</v>
      </c>
      <c r="H4338">
        <v>2.086551</v>
      </c>
      <c r="I4338">
        <v>97.150019999999998</v>
      </c>
      <c r="J4338">
        <v>-189.70590000000001</v>
      </c>
      <c r="K4338">
        <v>1.107011</v>
      </c>
      <c r="L4338">
        <v>190.14449999999999</v>
      </c>
      <c r="M4338">
        <v>-9.0667059999999994E-2</v>
      </c>
      <c r="N4338">
        <v>0</v>
      </c>
      <c r="O4338">
        <v>-0.99577930000000003</v>
      </c>
      <c r="P4338">
        <v>-8.8778129999999997E-2</v>
      </c>
      <c r="Q4338">
        <v>1.286085E-2</v>
      </c>
      <c r="R4338">
        <v>-0.99596819999999997</v>
      </c>
      <c r="S4338">
        <v>-0.87809749999999998</v>
      </c>
      <c r="T4338">
        <v>3.0873060000000001E-2</v>
      </c>
      <c r="U4338">
        <v>-2.9347989999999999</v>
      </c>
      <c r="V4338">
        <v>-1.690067E-3</v>
      </c>
      <c r="W4338">
        <v>2.7116620000000001E-2</v>
      </c>
      <c r="X4338">
        <v>0.99963089999999999</v>
      </c>
      <c r="Y4338">
        <v>0.1985796</v>
      </c>
      <c r="Z4338">
        <v>-1.0127830000000001E-2</v>
      </c>
      <c r="AA4338">
        <v>0.98003240000000003</v>
      </c>
      <c r="AB4338">
        <v>24</v>
      </c>
      <c r="AC4338">
        <v>-27.849999999999898</v>
      </c>
      <c r="AD4338">
        <v>0.97953999999999997</v>
      </c>
      <c r="AE4338">
        <v>-92.994479999999996</v>
      </c>
      <c r="AF4338">
        <v>19.300912229110299</v>
      </c>
      <c r="AG4338">
        <v>0.97953999999999997</v>
      </c>
      <c r="AH4338">
        <v>95.127030298524502</v>
      </c>
      <c r="AI4338">
        <v>89.421816148937296</v>
      </c>
      <c r="AJ4338">
        <v>78.530599453902397</v>
      </c>
      <c r="AK4338">
        <v>97.070266327561995</v>
      </c>
      <c r="AL4338">
        <v>88.446141731983204</v>
      </c>
      <c r="AM4338">
        <v>90.096869368414005</v>
      </c>
      <c r="AN4338">
        <v>1.0000000518207399</v>
      </c>
    </row>
    <row r="4339" spans="1:40" x14ac:dyDescent="0.25">
      <c r="A4339" t="str">
        <f>"20190312160420792"</f>
        <v>20190312160420792</v>
      </c>
      <c r="B4339" t="str">
        <f>"1552377860779438"</f>
        <v>1552377860779438</v>
      </c>
      <c r="C4339" t="s">
        <v>40</v>
      </c>
      <c r="D4339">
        <v>5.2639860000000001</v>
      </c>
      <c r="E4339">
        <v>0.57668599999999903</v>
      </c>
      <c r="F4339" t="s">
        <v>62</v>
      </c>
      <c r="G4339">
        <v>-217.56290000000001</v>
      </c>
      <c r="H4339">
        <v>1.9510510000000001</v>
      </c>
      <c r="I4339">
        <v>97.150019999999998</v>
      </c>
      <c r="J4339">
        <v>-189.72640000000001</v>
      </c>
      <c r="K4339">
        <v>1.107205</v>
      </c>
      <c r="L4339">
        <v>189.96260000000001</v>
      </c>
      <c r="M4339">
        <v>-9.405906E-2</v>
      </c>
      <c r="N4339">
        <v>0</v>
      </c>
      <c r="O4339">
        <v>-0.9954653</v>
      </c>
      <c r="P4339">
        <v>-9.1013440000000001E-2</v>
      </c>
      <c r="Q4339">
        <v>1.332157E-2</v>
      </c>
      <c r="R4339">
        <v>-0.99576100000000001</v>
      </c>
      <c r="S4339">
        <v>-0.87873840000000003</v>
      </c>
      <c r="T4339">
        <v>2.662575E-2</v>
      </c>
      <c r="U4339">
        <v>-2.9334720000000001</v>
      </c>
      <c r="V4339">
        <v>-2.8607120000000001E-3</v>
      </c>
      <c r="W4339">
        <v>2.7551800000000001E-2</v>
      </c>
      <c r="X4339">
        <v>0.99961630000000001</v>
      </c>
      <c r="Y4339">
        <v>0.1955617</v>
      </c>
      <c r="Z4339">
        <v>-8.736677E-3</v>
      </c>
      <c r="AA4339">
        <v>0.98065250000000004</v>
      </c>
      <c r="AB4339">
        <v>24</v>
      </c>
      <c r="AC4339">
        <v>-27.836500000000001</v>
      </c>
      <c r="AD4339">
        <v>0.84384599999999899</v>
      </c>
      <c r="AE4339">
        <v>-92.812579999999997</v>
      </c>
      <c r="AF4339">
        <v>18.9808810062876</v>
      </c>
      <c r="AG4339">
        <v>0.84384599999999899</v>
      </c>
      <c r="AH4339">
        <v>95.0123565889497</v>
      </c>
      <c r="AI4339">
        <v>89.501004008551106</v>
      </c>
      <c r="AJ4339">
        <v>78.702587028828702</v>
      </c>
      <c r="AK4339">
        <v>96.893414762987405</v>
      </c>
      <c r="AL4339">
        <v>88.421198379596007</v>
      </c>
      <c r="AM4339">
        <v>90.163969191520394</v>
      </c>
      <c r="AN4339">
        <v>1.0000000162910301</v>
      </c>
    </row>
    <row r="4340" spans="1:40" x14ac:dyDescent="0.25">
      <c r="A4340" t="str">
        <f>"20190312160420804"</f>
        <v>20190312160420804</v>
      </c>
      <c r="B4340" t="str">
        <f>"1552377860798958"</f>
        <v>1552377860798958</v>
      </c>
      <c r="C4340" t="s">
        <v>40</v>
      </c>
      <c r="D4340">
        <v>5.2038699999999896</v>
      </c>
      <c r="E4340">
        <v>0.55722930000000004</v>
      </c>
      <c r="F4340" t="s">
        <v>91</v>
      </c>
      <c r="G4340">
        <v>-212.7021</v>
      </c>
      <c r="H4340">
        <v>1.71734599999999</v>
      </c>
      <c r="I4340">
        <v>113.6486</v>
      </c>
      <c r="J4340">
        <v>-189.7432</v>
      </c>
      <c r="K4340">
        <v>1.1073500000000001</v>
      </c>
      <c r="L4340">
        <v>189.8159</v>
      </c>
      <c r="M4340">
        <v>-9.666487E-2</v>
      </c>
      <c r="N4340">
        <v>0</v>
      </c>
      <c r="O4340">
        <v>-0.99521599999999999</v>
      </c>
      <c r="P4340">
        <v>-9.2982960000000003E-2</v>
      </c>
      <c r="Q4340">
        <v>1.3614680000000001E-2</v>
      </c>
      <c r="R4340">
        <v>-0.99557470000000003</v>
      </c>
      <c r="S4340">
        <v>-0.88267519999999999</v>
      </c>
      <c r="T4340">
        <v>2.3441199999999999E-2</v>
      </c>
      <c r="U4340">
        <v>-2.9318080000000002</v>
      </c>
      <c r="V4340">
        <v>-3.5075039999999998E-3</v>
      </c>
      <c r="W4340">
        <v>2.7822070000000001E-2</v>
      </c>
      <c r="X4340">
        <v>0.99960669999999996</v>
      </c>
      <c r="Y4340">
        <v>0.19435740000000001</v>
      </c>
      <c r="Z4340">
        <v>-7.6925539999999999E-3</v>
      </c>
      <c r="AA4340">
        <v>0.98090060000000001</v>
      </c>
      <c r="AB4340">
        <v>24</v>
      </c>
      <c r="AC4340">
        <v>-22.9589</v>
      </c>
      <c r="AD4340">
        <v>0.60999599999999898</v>
      </c>
      <c r="AE4340">
        <v>-76.167299999999997</v>
      </c>
      <c r="AF4340">
        <v>15.4870086340018</v>
      </c>
      <c r="AG4340">
        <v>0.60999599999999898</v>
      </c>
      <c r="AH4340">
        <v>78.025490177623297</v>
      </c>
      <c r="AI4340">
        <v>89.5606467002426</v>
      </c>
      <c r="AJ4340">
        <v>78.773472091257702</v>
      </c>
      <c r="AK4340">
        <v>79.549963224429305</v>
      </c>
      <c r="AL4340">
        <v>88.405707024889296</v>
      </c>
      <c r="AM4340">
        <v>90.201043421430001</v>
      </c>
      <c r="AN4340">
        <v>0.99999996242414102</v>
      </c>
    </row>
    <row r="4341" spans="1:40" x14ac:dyDescent="0.25">
      <c r="A4341" t="str">
        <f>"20190312160420819"</f>
        <v>20190312160420819</v>
      </c>
      <c r="B4341" t="str">
        <f>"1552377860809696"</f>
        <v>1552377860809696</v>
      </c>
      <c r="C4341" t="s">
        <v>40</v>
      </c>
      <c r="D4341">
        <v>5.3331169999999997</v>
      </c>
      <c r="E4341">
        <v>0.55722930000000004</v>
      </c>
      <c r="F4341" t="s">
        <v>60</v>
      </c>
      <c r="G4341">
        <v>-197.49459999999999</v>
      </c>
      <c r="H4341" s="1">
        <v>-1.47870799999999E-5</v>
      </c>
      <c r="I4341">
        <v>158.8595</v>
      </c>
      <c r="J4341">
        <v>-189.76079999999999</v>
      </c>
      <c r="K4341">
        <v>1.10748</v>
      </c>
      <c r="L4341">
        <v>189.66569999999999</v>
      </c>
      <c r="M4341">
        <v>-9.9188390000000001E-2</v>
      </c>
      <c r="N4341">
        <v>0</v>
      </c>
      <c r="O4341">
        <v>-0.99496810000000002</v>
      </c>
      <c r="P4341">
        <v>-9.4905110000000001E-2</v>
      </c>
      <c r="Q4341">
        <v>1.354315E-2</v>
      </c>
      <c r="R4341">
        <v>-0.99539420000000001</v>
      </c>
      <c r="S4341">
        <v>-0.73764039999999997</v>
      </c>
      <c r="T4341">
        <v>-0.1053799</v>
      </c>
      <c r="U4341">
        <v>-2.9458920000000002</v>
      </c>
      <c r="V4341">
        <v>-4.1223930000000002E-3</v>
      </c>
      <c r="W4341">
        <v>2.7729119999999999E-2</v>
      </c>
      <c r="X4341">
        <v>0.99960700000000002</v>
      </c>
      <c r="Y4341">
        <v>0.1453246</v>
      </c>
      <c r="Z4341">
        <v>3.4760100000000002E-2</v>
      </c>
      <c r="AA4341">
        <v>0.98877320000000002</v>
      </c>
      <c r="AB4341">
        <v>24</v>
      </c>
      <c r="AC4341">
        <v>-7.7337999999999996</v>
      </c>
      <c r="AD4341">
        <v>-1.1074947870799901</v>
      </c>
      <c r="AE4341">
        <v>-30.806199999999901</v>
      </c>
      <c r="AF4341">
        <v>4.6340970832674602</v>
      </c>
      <c r="AG4341">
        <v>-1.1074947870799901</v>
      </c>
      <c r="AH4341">
        <v>31.383278066056501</v>
      </c>
      <c r="AI4341">
        <v>91.999428623597097</v>
      </c>
      <c r="AJ4341">
        <v>81.600325590796601</v>
      </c>
      <c r="AK4341">
        <v>31.742897515066002</v>
      </c>
      <c r="AL4341">
        <v>88.411034824887295</v>
      </c>
      <c r="AM4341">
        <v>90.236287242261994</v>
      </c>
      <c r="AN4341">
        <v>1.0000000263345099</v>
      </c>
    </row>
    <row r="4342" spans="1:40" x14ac:dyDescent="0.25">
      <c r="A4342" t="str">
        <f>"20190312160420834"</f>
        <v>20190312160420834</v>
      </c>
      <c r="B4342" t="str">
        <f>"1552377860829214"</f>
        <v>1552377860829214</v>
      </c>
      <c r="C4342" t="s">
        <v>40</v>
      </c>
      <c r="D4342">
        <v>5.2474020000000001</v>
      </c>
      <c r="E4342">
        <v>0.55738779999999999</v>
      </c>
      <c r="F4342" t="s">
        <v>60</v>
      </c>
      <c r="G4342">
        <v>-197.55770000000001</v>
      </c>
      <c r="H4342" s="1">
        <v>-1.476546E-5</v>
      </c>
      <c r="I4342">
        <v>158.77359999999999</v>
      </c>
      <c r="J4342">
        <v>-189.77950000000001</v>
      </c>
      <c r="K4342">
        <v>1.1076170000000001</v>
      </c>
      <c r="L4342">
        <v>189.50829999999999</v>
      </c>
      <c r="M4342">
        <v>-0.1017286</v>
      </c>
      <c r="N4342">
        <v>0</v>
      </c>
      <c r="O4342">
        <v>-0.99471180000000003</v>
      </c>
      <c r="P4342">
        <v>-9.6783419999999995E-2</v>
      </c>
      <c r="Q4342">
        <v>1.350114E-2</v>
      </c>
      <c r="R4342">
        <v>-0.99521400000000004</v>
      </c>
      <c r="S4342">
        <v>-0.74314880000000005</v>
      </c>
      <c r="T4342">
        <v>-0.1055596</v>
      </c>
      <c r="U4342">
        <v>-2.9444430000000001</v>
      </c>
      <c r="V4342">
        <v>-4.7982900000000002E-3</v>
      </c>
      <c r="W4342">
        <v>2.766478E-2</v>
      </c>
      <c r="X4342">
        <v>0.99960570000000004</v>
      </c>
      <c r="Y4342">
        <v>0.14465229999999901</v>
      </c>
      <c r="Z4342">
        <v>3.4816340000000001E-2</v>
      </c>
      <c r="AA4342">
        <v>0.98886980000000002</v>
      </c>
      <c r="AB4342">
        <v>24</v>
      </c>
      <c r="AC4342">
        <v>-7.7781999999999902</v>
      </c>
      <c r="AD4342">
        <v>-1.1076317654600001</v>
      </c>
      <c r="AE4342">
        <v>-30.7347</v>
      </c>
      <c r="AF4342">
        <v>4.6053085853400502</v>
      </c>
      <c r="AG4342">
        <v>-1.1076317654600001</v>
      </c>
      <c r="AH4342">
        <v>31.3283274540108</v>
      </c>
      <c r="AI4342">
        <v>92.003370821906898</v>
      </c>
      <c r="AJ4342">
        <v>81.637333325318707</v>
      </c>
      <c r="AK4342">
        <v>31.6843781122463</v>
      </c>
      <c r="AL4342">
        <v>88.414722544130598</v>
      </c>
      <c r="AM4342">
        <v>90.2750280979281</v>
      </c>
      <c r="AN4342">
        <v>0.99999995955593002</v>
      </c>
    </row>
    <row r="4343" spans="1:40" x14ac:dyDescent="0.25">
      <c r="A4343" t="str">
        <f>"20190312160420847"</f>
        <v>20190312160420847</v>
      </c>
      <c r="B4343" t="str">
        <f>"1552377860838974"</f>
        <v>1552377860838974</v>
      </c>
      <c r="C4343" t="s">
        <v>40</v>
      </c>
      <c r="D4343">
        <v>5.304176</v>
      </c>
      <c r="E4343">
        <v>0.55596519999999905</v>
      </c>
      <c r="F4343" t="s">
        <v>43</v>
      </c>
      <c r="G4343">
        <v>-208.50319999999999</v>
      </c>
      <c r="H4343">
        <v>-0.05</v>
      </c>
      <c r="I4343">
        <v>115.8978</v>
      </c>
      <c r="J4343">
        <v>-189.79769999999999</v>
      </c>
      <c r="K4343">
        <v>1.107747</v>
      </c>
      <c r="L4343">
        <v>189.3569</v>
      </c>
      <c r="M4343">
        <v>-0.10407329999999999</v>
      </c>
      <c r="N4343">
        <v>0</v>
      </c>
      <c r="O4343">
        <v>-0.99446950000000001</v>
      </c>
      <c r="P4343">
        <v>-9.8043870000000005E-2</v>
      </c>
      <c r="Q4343">
        <v>1.366143E-2</v>
      </c>
      <c r="R4343">
        <v>-0.99508869999999905</v>
      </c>
      <c r="S4343">
        <v>-0.7483978</v>
      </c>
      <c r="T4343">
        <v>-4.6270730000000003E-2</v>
      </c>
      <c r="U4343">
        <v>-2.9422609999999998</v>
      </c>
      <c r="V4343">
        <v>-5.8959859999999998E-3</v>
      </c>
      <c r="W4343">
        <v>2.7806819999999999E-2</v>
      </c>
      <c r="X4343">
        <v>0.99959589999999998</v>
      </c>
      <c r="Y4343">
        <v>0.1442725</v>
      </c>
      <c r="Z4343">
        <v>1.5271430000000001E-2</v>
      </c>
      <c r="AA4343">
        <v>0.98942010000000002</v>
      </c>
      <c r="AB4343">
        <v>24</v>
      </c>
      <c r="AC4343">
        <v>-18.705500000000001</v>
      </c>
      <c r="AD4343">
        <v>-1.1577469999999901</v>
      </c>
      <c r="AE4343">
        <v>-73.459099999999907</v>
      </c>
      <c r="AF4343">
        <v>10.955454007743199</v>
      </c>
      <c r="AG4343">
        <v>-1.1577469999999901</v>
      </c>
      <c r="AH4343">
        <v>74.989554686066697</v>
      </c>
      <c r="AI4343">
        <v>90.875217299956603</v>
      </c>
      <c r="AJ4343">
        <v>81.688283852402606</v>
      </c>
      <c r="AK4343">
        <v>75.794430287761699</v>
      </c>
      <c r="AL4343">
        <v>88.406581139953104</v>
      </c>
      <c r="AM4343">
        <v>90.337947761025006</v>
      </c>
      <c r="AN4343">
        <v>0.99999997259311602</v>
      </c>
    </row>
    <row r="4344" spans="1:40" x14ac:dyDescent="0.25">
      <c r="A4344" t="str">
        <f>"20190312160420859"</f>
        <v>20190312160420859</v>
      </c>
      <c r="B4344" t="str">
        <f>"1552377860849711"</f>
        <v>1552377860849711</v>
      </c>
      <c r="C4344" t="s">
        <v>40</v>
      </c>
      <c r="D4344">
        <v>5.2368110000000003</v>
      </c>
      <c r="E4344">
        <v>0.55534090000000003</v>
      </c>
      <c r="F4344" t="s">
        <v>62</v>
      </c>
      <c r="G4344">
        <v>-212.6867</v>
      </c>
      <c r="H4344">
        <v>0.33758379999999999</v>
      </c>
      <c r="I4344">
        <v>98.375470000000007</v>
      </c>
      <c r="J4344">
        <v>-189.81360000000001</v>
      </c>
      <c r="K4344">
        <v>1.10785</v>
      </c>
      <c r="L4344">
        <v>189.226</v>
      </c>
      <c r="M4344">
        <v>-0.1059725</v>
      </c>
      <c r="N4344">
        <v>0</v>
      </c>
      <c r="O4344">
        <v>-0.99426930000000002</v>
      </c>
      <c r="P4344">
        <v>-9.9381419999999998E-2</v>
      </c>
      <c r="Q4344">
        <v>1.3558260000000001E-2</v>
      </c>
      <c r="R4344">
        <v>-0.99495739999999999</v>
      </c>
      <c r="S4344">
        <v>-0.74020390000000003</v>
      </c>
      <c r="T4344">
        <v>-2.4905199999999999E-2</v>
      </c>
      <c r="U4344">
        <v>-2.9422299999999999</v>
      </c>
      <c r="V4344">
        <v>-6.4694110000000004E-3</v>
      </c>
      <c r="W4344">
        <v>2.7686700000000002E-2</v>
      </c>
      <c r="X4344">
        <v>0.99959569999999998</v>
      </c>
      <c r="Y4344">
        <v>0.1398141</v>
      </c>
      <c r="Z4344">
        <v>8.2235550000000004E-3</v>
      </c>
      <c r="AA4344">
        <v>0.99014360000000001</v>
      </c>
      <c r="AB4344">
        <v>24</v>
      </c>
      <c r="AC4344">
        <v>-22.873099999999901</v>
      </c>
      <c r="AD4344">
        <v>-0.77026619999999901</v>
      </c>
      <c r="AE4344">
        <v>-90.850530000000006</v>
      </c>
      <c r="AF4344">
        <v>13.114777860706599</v>
      </c>
      <c r="AG4344">
        <v>-0.77026619999999901</v>
      </c>
      <c r="AH4344">
        <v>92.756744265993206</v>
      </c>
      <c r="AI4344">
        <v>90.471096693088001</v>
      </c>
      <c r="AJ4344">
        <v>81.952353861053695</v>
      </c>
      <c r="AK4344">
        <v>93.682465356017502</v>
      </c>
      <c r="AL4344">
        <v>88.413466179783995</v>
      </c>
      <c r="AM4344">
        <v>90.3708146913104</v>
      </c>
      <c r="AN4344">
        <v>0.99999998504703302</v>
      </c>
    </row>
    <row r="4345" spans="1:40" x14ac:dyDescent="0.25">
      <c r="A4345" t="str">
        <f>"20190312160420873"</f>
        <v>20190312160420873</v>
      </c>
      <c r="B4345" t="str">
        <f>"1552377860869230"</f>
        <v>1552377860869230</v>
      </c>
      <c r="C4345" t="s">
        <v>40</v>
      </c>
      <c r="D4345">
        <v>5.3868229999999997</v>
      </c>
      <c r="E4345">
        <v>0.55467639999999996</v>
      </c>
      <c r="F4345" t="s">
        <v>62</v>
      </c>
      <c r="G4345">
        <v>-212.63740000000001</v>
      </c>
      <c r="H4345">
        <v>0.72642240000000002</v>
      </c>
      <c r="I4345">
        <v>98.375470000000007</v>
      </c>
      <c r="J4345">
        <v>-189.8304</v>
      </c>
      <c r="K4345">
        <v>1.107953</v>
      </c>
      <c r="L4345">
        <v>189.08940000000001</v>
      </c>
      <c r="M4345">
        <v>-0.1079046</v>
      </c>
      <c r="N4345">
        <v>0</v>
      </c>
      <c r="O4345">
        <v>-0.9940618</v>
      </c>
      <c r="P4345">
        <v>-0.1005205</v>
      </c>
      <c r="Q4345">
        <v>1.3760029999999999E-2</v>
      </c>
      <c r="R4345">
        <v>-0.9948401</v>
      </c>
      <c r="S4345">
        <v>-0.73898319999999995</v>
      </c>
      <c r="T4345">
        <v>-1.234889E-2</v>
      </c>
      <c r="U4345">
        <v>-2.9415439999999999</v>
      </c>
      <c r="V4345">
        <v>-7.2734699999999998E-3</v>
      </c>
      <c r="W4345">
        <v>2.787212E-2</v>
      </c>
      <c r="X4345">
        <v>0.99958499999999995</v>
      </c>
      <c r="Y4345">
        <v>0.13756380000000001</v>
      </c>
      <c r="Z4345">
        <v>4.0781350000000001E-3</v>
      </c>
      <c r="AA4345">
        <v>0.99048449999999999</v>
      </c>
      <c r="AB4345">
        <v>24</v>
      </c>
      <c r="AC4345">
        <v>-22.806999999999999</v>
      </c>
      <c r="AD4345">
        <v>-0.3815306</v>
      </c>
      <c r="AE4345">
        <v>-90.713930000000005</v>
      </c>
      <c r="AF4345">
        <v>12.8841766903211</v>
      </c>
      <c r="AG4345">
        <v>-0.3815306</v>
      </c>
      <c r="AH4345">
        <v>92.643851453431296</v>
      </c>
      <c r="AI4345">
        <v>90.233707817562305</v>
      </c>
      <c r="AJ4345">
        <v>82.082537949872503</v>
      </c>
      <c r="AK4345">
        <v>93.536253862935894</v>
      </c>
      <c r="AL4345">
        <v>88.402838263138605</v>
      </c>
      <c r="AM4345">
        <v>90.416904794067094</v>
      </c>
      <c r="AN4345">
        <v>0.99999996533206703</v>
      </c>
    </row>
    <row r="4346" spans="1:40" x14ac:dyDescent="0.25">
      <c r="A4346" t="str">
        <f>"20190312160420884"</f>
        <v>20190312160420884</v>
      </c>
      <c r="B4346" t="str">
        <f>"1552377860878991"</f>
        <v>1552377860878991</v>
      </c>
      <c r="C4346" t="s">
        <v>40</v>
      </c>
      <c r="D4346">
        <v>5.3047550000000001</v>
      </c>
      <c r="E4346">
        <v>0.55502559999999901</v>
      </c>
      <c r="F4346" t="s">
        <v>62</v>
      </c>
      <c r="G4346">
        <v>-212.56780000000001</v>
      </c>
      <c r="H4346">
        <v>0.558585</v>
      </c>
      <c r="I4346">
        <v>98.375470000000007</v>
      </c>
      <c r="J4346">
        <v>-189.84700000000001</v>
      </c>
      <c r="K4346">
        <v>1.1080509999999999</v>
      </c>
      <c r="L4346">
        <v>188.95599999999999</v>
      </c>
      <c r="M4346">
        <v>-0.109724</v>
      </c>
      <c r="N4346">
        <v>0</v>
      </c>
      <c r="O4346">
        <v>-0.99386289999999999</v>
      </c>
      <c r="P4346">
        <v>-0.1017189</v>
      </c>
      <c r="Q4346">
        <v>1.358151E-2</v>
      </c>
      <c r="R4346">
        <v>-0.99472079999999996</v>
      </c>
      <c r="S4346">
        <v>-0.73724369999999995</v>
      </c>
      <c r="T4346">
        <v>-1.781189E-2</v>
      </c>
      <c r="U4346">
        <v>-2.9413299999999998</v>
      </c>
      <c r="V4346">
        <v>-7.9069629999999995E-3</v>
      </c>
      <c r="W4346">
        <v>2.7678120000000001E-2</v>
      </c>
      <c r="X4346">
        <v>0.99958559999999996</v>
      </c>
      <c r="Y4346">
        <v>0.13521420000000001</v>
      </c>
      <c r="Z4346">
        <v>5.8822249999999996E-3</v>
      </c>
      <c r="AA4346">
        <v>0.99079899999999999</v>
      </c>
      <c r="AB4346">
        <v>24</v>
      </c>
      <c r="AC4346">
        <v>-22.720800000000001</v>
      </c>
      <c r="AD4346">
        <v>-0.54946600000000001</v>
      </c>
      <c r="AE4346">
        <v>-90.580529999999996</v>
      </c>
      <c r="AF4346">
        <v>12.6433110158872</v>
      </c>
      <c r="AG4346">
        <v>-0.54946600000000001</v>
      </c>
      <c r="AH4346">
        <v>92.523564889493201</v>
      </c>
      <c r="AI4346">
        <v>90.337123217805896</v>
      </c>
      <c r="AJ4346">
        <v>82.218747444319007</v>
      </c>
      <c r="AK4346">
        <v>93.385037806866407</v>
      </c>
      <c r="AL4346">
        <v>88.413957966066405</v>
      </c>
      <c r="AM4346">
        <v>90.453213971789197</v>
      </c>
      <c r="AN4346">
        <v>0.99999998505898802</v>
      </c>
    </row>
    <row r="4347" spans="1:40" x14ac:dyDescent="0.25">
      <c r="A4347" t="str">
        <f>"20190312160420896"</f>
        <v>20190312160420896</v>
      </c>
      <c r="B4347" t="str">
        <f>"1552377860889728"</f>
        <v>1552377860889728</v>
      </c>
      <c r="C4347" t="s">
        <v>40</v>
      </c>
      <c r="D4347">
        <v>5.308891</v>
      </c>
      <c r="E4347">
        <v>0.55534799999999995</v>
      </c>
      <c r="F4347" t="s">
        <v>62</v>
      </c>
      <c r="G4347">
        <v>-212.7604</v>
      </c>
      <c r="H4347">
        <v>0.32893430000000001</v>
      </c>
      <c r="I4347">
        <v>98.375470000000007</v>
      </c>
      <c r="J4347">
        <v>-189.8621</v>
      </c>
      <c r="K4347">
        <v>1.108131</v>
      </c>
      <c r="L4347">
        <v>188.83609999999999</v>
      </c>
      <c r="M4347">
        <v>-0.1112785</v>
      </c>
      <c r="N4347">
        <v>0</v>
      </c>
      <c r="O4347">
        <v>-0.99369010000000002</v>
      </c>
      <c r="P4347">
        <v>-0.102725</v>
      </c>
      <c r="Q4347">
        <v>1.321424E-2</v>
      </c>
      <c r="R4347">
        <v>-0.99462209999999995</v>
      </c>
      <c r="S4347">
        <v>-0.74375919999999995</v>
      </c>
      <c r="T4347">
        <v>-2.528882E-2</v>
      </c>
      <c r="U4347">
        <v>-2.9402010000000001</v>
      </c>
      <c r="V4347">
        <v>-8.4671030000000001E-3</v>
      </c>
      <c r="W4347">
        <v>2.7296790000000001E-2</v>
      </c>
      <c r="X4347">
        <v>0.99959149999999997</v>
      </c>
      <c r="Y4347">
        <v>0.135814299999999</v>
      </c>
      <c r="Z4347">
        <v>8.3496270000000001E-3</v>
      </c>
      <c r="AA4347">
        <v>0.99069910000000005</v>
      </c>
      <c r="AB4347">
        <v>24</v>
      </c>
      <c r="AC4347">
        <v>-22.898299999999999</v>
      </c>
      <c r="AD4347">
        <v>-0.77919669999999996</v>
      </c>
      <c r="AE4347">
        <v>-90.460629999999995</v>
      </c>
      <c r="AF4347">
        <v>12.687856525400701</v>
      </c>
      <c r="AG4347">
        <v>-0.77919669999999996</v>
      </c>
      <c r="AH4347">
        <v>92.440585522137496</v>
      </c>
      <c r="AI4347">
        <v>90.478458457362393</v>
      </c>
      <c r="AJ4347">
        <v>82.184747199168399</v>
      </c>
      <c r="AK4347">
        <v>93.310506923829706</v>
      </c>
      <c r="AL4347">
        <v>88.435814827380398</v>
      </c>
      <c r="AM4347">
        <v>90.485315915907293</v>
      </c>
      <c r="AN4347">
        <v>0.99999998672488299</v>
      </c>
    </row>
    <row r="4348" spans="1:40" x14ac:dyDescent="0.25">
      <c r="A4348" t="str">
        <f>"20190312160420908"</f>
        <v>20190312160420908</v>
      </c>
      <c r="B4348" t="str">
        <f>"1552377860899486"</f>
        <v>1552377860899486</v>
      </c>
      <c r="C4348" t="s">
        <v>40</v>
      </c>
      <c r="D4348">
        <v>5.2545599999999997</v>
      </c>
      <c r="E4348">
        <v>0.5558708</v>
      </c>
      <c r="F4348" t="s">
        <v>92</v>
      </c>
      <c r="G4348">
        <v>-209.94370000000001</v>
      </c>
      <c r="H4348">
        <v>0.28716019999999998</v>
      </c>
      <c r="I4348">
        <v>110.0686</v>
      </c>
      <c r="J4348">
        <v>-189.87860000000001</v>
      </c>
      <c r="K4348">
        <v>1.1082179999999999</v>
      </c>
      <c r="L4348">
        <v>188.70570000000001</v>
      </c>
      <c r="M4348">
        <v>-0.112934199999999</v>
      </c>
      <c r="N4348">
        <v>0</v>
      </c>
      <c r="O4348">
        <v>-0.99350349999999998</v>
      </c>
      <c r="P4348">
        <v>-0.1038954</v>
      </c>
      <c r="Q4348">
        <v>1.264355E-2</v>
      </c>
      <c r="R4348">
        <v>-0.99450799999999995</v>
      </c>
      <c r="S4348">
        <v>-0.74935909999999994</v>
      </c>
      <c r="T4348">
        <v>-3.0634049999999999E-2</v>
      </c>
      <c r="U4348">
        <v>-2.9392550000000002</v>
      </c>
      <c r="V4348">
        <v>-8.9662890000000006E-3</v>
      </c>
      <c r="W4348">
        <v>2.6710979999999999E-2</v>
      </c>
      <c r="X4348">
        <v>0.99960300000000002</v>
      </c>
      <c r="Y4348">
        <v>0.1360083</v>
      </c>
      <c r="Z4348">
        <v>1.011213E-2</v>
      </c>
      <c r="AA4348">
        <v>0.99065610000000004</v>
      </c>
      <c r="AB4348">
        <v>24</v>
      </c>
      <c r="AC4348">
        <v>-20.065100000000001</v>
      </c>
      <c r="AD4348">
        <v>-0.82105779999999995</v>
      </c>
      <c r="AE4348">
        <v>-78.637100000000004</v>
      </c>
      <c r="AF4348">
        <v>11.053884808242501</v>
      </c>
      <c r="AG4348">
        <v>-0.82105779999999995</v>
      </c>
      <c r="AH4348">
        <v>80.391947981217896</v>
      </c>
      <c r="AI4348">
        <v>90.579698110398695</v>
      </c>
      <c r="AJ4348">
        <v>82.170929113189601</v>
      </c>
      <c r="AK4348">
        <v>81.152497222695999</v>
      </c>
      <c r="AL4348">
        <v>88.469391555424707</v>
      </c>
      <c r="AM4348">
        <v>90.513920766858206</v>
      </c>
      <c r="AN4348">
        <v>1.0000000141999901</v>
      </c>
    </row>
    <row r="4349" spans="1:40" x14ac:dyDescent="0.25">
      <c r="A4349" t="str">
        <f>"20190312160420919"</f>
        <v>20190312160420919</v>
      </c>
      <c r="B4349" t="str">
        <f>"1552377860909246"</f>
        <v>1552377860909246</v>
      </c>
      <c r="C4349" t="s">
        <v>40</v>
      </c>
      <c r="D4349">
        <v>5.3059079999999996</v>
      </c>
      <c r="E4349">
        <v>0.55634159999999999</v>
      </c>
      <c r="F4349" t="s">
        <v>92</v>
      </c>
      <c r="G4349">
        <v>-209.9308</v>
      </c>
      <c r="H4349">
        <v>0.18162610000000001</v>
      </c>
      <c r="I4349">
        <v>110.8875</v>
      </c>
      <c r="J4349">
        <v>-189.89570000000001</v>
      </c>
      <c r="K4349">
        <v>1.108306</v>
      </c>
      <c r="L4349">
        <v>188.57220000000001</v>
      </c>
      <c r="M4349">
        <v>-0.1145125</v>
      </c>
      <c r="N4349">
        <v>0</v>
      </c>
      <c r="O4349">
        <v>-0.99332310000000001</v>
      </c>
      <c r="P4349">
        <v>-0.1052075</v>
      </c>
      <c r="Q4349">
        <v>1.209089E-2</v>
      </c>
      <c r="R4349">
        <v>-0.99437710000000001</v>
      </c>
      <c r="S4349">
        <v>-0.75704959999999999</v>
      </c>
      <c r="T4349">
        <v>-3.4981489999999997E-2</v>
      </c>
      <c r="U4349">
        <v>-2.9379430000000002</v>
      </c>
      <c r="V4349">
        <v>-9.2447889999999998E-3</v>
      </c>
      <c r="W4349">
        <v>2.6142780000000001E-2</v>
      </c>
      <c r="X4349">
        <v>0.99961549999999999</v>
      </c>
      <c r="Y4349">
        <v>0.1369696</v>
      </c>
      <c r="Z4349">
        <v>1.154439E-2</v>
      </c>
      <c r="AA4349">
        <v>0.99050800000000006</v>
      </c>
      <c r="AB4349">
        <v>24</v>
      </c>
      <c r="AC4349">
        <v>-20.0351</v>
      </c>
      <c r="AD4349">
        <v>-0.9266799</v>
      </c>
      <c r="AE4349">
        <v>-77.684700000000007</v>
      </c>
      <c r="AF4349">
        <v>11.005069410976301</v>
      </c>
      <c r="AG4349">
        <v>-0.9266799</v>
      </c>
      <c r="AH4349">
        <v>79.457467652466093</v>
      </c>
      <c r="AI4349">
        <v>90.6618693274837</v>
      </c>
      <c r="AJ4349">
        <v>82.114549786079493</v>
      </c>
      <c r="AK4349">
        <v>80.221315459921001</v>
      </c>
      <c r="AL4349">
        <v>88.501958414177906</v>
      </c>
      <c r="AM4349">
        <v>90.529876028576496</v>
      </c>
      <c r="AN4349">
        <v>1.00000002945501</v>
      </c>
    </row>
    <row r="4350" spans="1:40" x14ac:dyDescent="0.25">
      <c r="A4350" t="str">
        <f>"20190312160420937"</f>
        <v>20190312160420937</v>
      </c>
      <c r="B4350" t="str">
        <f>"1552377860928766"</f>
        <v>1552377860928766</v>
      </c>
      <c r="C4350" t="s">
        <v>40</v>
      </c>
      <c r="D4350">
        <v>5.3020420000000001</v>
      </c>
      <c r="E4350">
        <v>0.55641529999999995</v>
      </c>
      <c r="F4350" t="s">
        <v>43</v>
      </c>
      <c r="G4350">
        <v>-212.1438</v>
      </c>
      <c r="H4350">
        <v>-0.05</v>
      </c>
      <c r="I4350">
        <v>103.1396</v>
      </c>
      <c r="J4350">
        <v>-189.91839999999999</v>
      </c>
      <c r="K4350">
        <v>1.1084210000000001</v>
      </c>
      <c r="L4350">
        <v>188.3964</v>
      </c>
      <c r="M4350">
        <v>-0.11650149999999999</v>
      </c>
      <c r="N4350">
        <v>0</v>
      </c>
      <c r="O4350">
        <v>-0.99309210000000003</v>
      </c>
      <c r="P4350">
        <v>-0.10736809999999999</v>
      </c>
      <c r="Q4350">
        <v>1.095196E-2</v>
      </c>
      <c r="R4350">
        <v>-0.99415920000000002</v>
      </c>
      <c r="S4350">
        <v>-0.76472469999999904</v>
      </c>
      <c r="T4350">
        <v>-3.9814000000000002E-2</v>
      </c>
      <c r="U4350">
        <v>-2.9365389999999998</v>
      </c>
      <c r="V4350">
        <v>-9.0887169999999996E-3</v>
      </c>
      <c r="W4350">
        <v>2.4981590000000001E-2</v>
      </c>
      <c r="X4350">
        <v>0.99964660000000005</v>
      </c>
      <c r="Y4350">
        <v>0.13752130000000001</v>
      </c>
      <c r="Z4350">
        <v>1.313567E-2</v>
      </c>
      <c r="AA4350">
        <v>0.99041170000000001</v>
      </c>
      <c r="AB4350">
        <v>24</v>
      </c>
      <c r="AC4350">
        <v>-22.2254</v>
      </c>
      <c r="AD4350">
        <v>-1.1584209999999999</v>
      </c>
      <c r="AE4350">
        <v>-85.256799999999998</v>
      </c>
      <c r="AF4350">
        <v>12.1384123823153</v>
      </c>
      <c r="AG4350">
        <v>-1.1584209999999999</v>
      </c>
      <c r="AH4350">
        <v>87.250593772160698</v>
      </c>
      <c r="AI4350">
        <v>90.753412741718094</v>
      </c>
      <c r="AJ4350">
        <v>82.079775895335999</v>
      </c>
      <c r="AK4350">
        <v>88.098519329050006</v>
      </c>
      <c r="AL4350">
        <v>88.568511414081897</v>
      </c>
      <c r="AM4350">
        <v>90.520914868496703</v>
      </c>
      <c r="AN4350">
        <v>1.00000000475359</v>
      </c>
    </row>
    <row r="4351" spans="1:40" x14ac:dyDescent="0.25">
      <c r="A4351" t="str">
        <f>"20190312160420949"</f>
        <v>20190312160420949</v>
      </c>
      <c r="B4351" t="str">
        <f>"1552377860939503"</f>
        <v>1552377860939503</v>
      </c>
      <c r="C4351" t="s">
        <v>40</v>
      </c>
      <c r="D4351">
        <v>5.5220209999999996</v>
      </c>
      <c r="E4351">
        <v>0.55641529999999995</v>
      </c>
      <c r="F4351" t="s">
        <v>43</v>
      </c>
      <c r="G4351">
        <v>-208.89949999999999</v>
      </c>
      <c r="H4351">
        <v>-0.05</v>
      </c>
      <c r="I4351">
        <v>116.2188</v>
      </c>
      <c r="J4351">
        <v>-189.9357</v>
      </c>
      <c r="K4351">
        <v>1.1085069999999999</v>
      </c>
      <c r="L4351">
        <v>188.2629</v>
      </c>
      <c r="M4351">
        <v>-0.1179446</v>
      </c>
      <c r="N4351">
        <v>0</v>
      </c>
      <c r="O4351">
        <v>-0.99292190000000002</v>
      </c>
      <c r="P4351">
        <v>-0.1088771</v>
      </c>
      <c r="Q4351">
        <v>1.039752E-2</v>
      </c>
      <c r="R4351">
        <v>-0.99400100000000002</v>
      </c>
      <c r="S4351">
        <v>-0.77178959999999996</v>
      </c>
      <c r="T4351">
        <v>-4.7102570000000003E-2</v>
      </c>
      <c r="U4351">
        <v>-2.9348139999999998</v>
      </c>
      <c r="V4351">
        <v>-9.0321199999999994E-3</v>
      </c>
      <c r="W4351">
        <v>2.441099E-2</v>
      </c>
      <c r="X4351">
        <v>0.99966120000000003</v>
      </c>
      <c r="Y4351">
        <v>0.13844609999999999</v>
      </c>
      <c r="Z4351">
        <v>1.5538980000000001E-2</v>
      </c>
      <c r="AA4351">
        <v>0.99024809999999996</v>
      </c>
      <c r="AB4351">
        <v>24</v>
      </c>
      <c r="AC4351">
        <v>-18.9637999999999</v>
      </c>
      <c r="AD4351">
        <v>-1.158507</v>
      </c>
      <c r="AE4351">
        <v>-72.0441</v>
      </c>
      <c r="AF4351">
        <v>10.330869920177401</v>
      </c>
      <c r="AG4351">
        <v>-1.158507</v>
      </c>
      <c r="AH4351">
        <v>73.760205249099002</v>
      </c>
      <c r="AI4351">
        <v>90.891139413252205</v>
      </c>
      <c r="AJ4351">
        <v>82.027006107149205</v>
      </c>
      <c r="AK4351">
        <v>74.489172972760898</v>
      </c>
      <c r="AL4351">
        <v>88.601214347196802</v>
      </c>
      <c r="AM4351">
        <v>90.517663659178098</v>
      </c>
      <c r="AN4351">
        <v>0.99999999520495697</v>
      </c>
    </row>
    <row r="4352" spans="1:40" x14ac:dyDescent="0.25">
      <c r="A4352" t="str">
        <f>"20190312160420961"</f>
        <v>20190312160420961</v>
      </c>
      <c r="B4352" t="str">
        <f>"1552377860959022"</f>
        <v>1552377860959022</v>
      </c>
      <c r="C4352" t="s">
        <v>40</v>
      </c>
      <c r="D4352">
        <v>5.4664989999999998</v>
      </c>
      <c r="E4352">
        <v>0.55246450000000003</v>
      </c>
      <c r="F4352" t="s">
        <v>60</v>
      </c>
      <c r="G4352">
        <v>-206.23339999999999</v>
      </c>
      <c r="H4352">
        <v>7.9987790000000003E-2</v>
      </c>
      <c r="I4352">
        <v>126.66079999999999</v>
      </c>
      <c r="J4352">
        <v>-189.95330000000001</v>
      </c>
      <c r="K4352">
        <v>1.1086009999999999</v>
      </c>
      <c r="L4352">
        <v>188.12880000000001</v>
      </c>
      <c r="M4352">
        <v>-0.1192954</v>
      </c>
      <c r="N4352">
        <v>0</v>
      </c>
      <c r="O4352">
        <v>-0.99276070000000005</v>
      </c>
      <c r="P4352">
        <v>-0.1105896</v>
      </c>
      <c r="Q4352">
        <v>1.013704E-2</v>
      </c>
      <c r="R4352">
        <v>-0.9938148</v>
      </c>
      <c r="S4352">
        <v>-0.77612300000000001</v>
      </c>
      <c r="T4352">
        <v>-4.8980000000000003E-2</v>
      </c>
      <c r="U4352">
        <v>-2.9336090000000001</v>
      </c>
      <c r="V4352">
        <v>-8.6770559999999903E-3</v>
      </c>
      <c r="W4352">
        <v>2.4134030000000001E-2</v>
      </c>
      <c r="X4352">
        <v>0.99967110000000003</v>
      </c>
      <c r="Y4352">
        <v>0.13856379999999999</v>
      </c>
      <c r="Z4352">
        <v>1.615753E-2</v>
      </c>
      <c r="AA4352">
        <v>0.99022169999999998</v>
      </c>
      <c r="AB4352">
        <v>24</v>
      </c>
      <c r="AC4352">
        <v>-16.280099999999901</v>
      </c>
      <c r="AD4352">
        <v>-1.0286132100000001</v>
      </c>
      <c r="AE4352">
        <v>-61.468000000000004</v>
      </c>
      <c r="AF4352">
        <v>8.8279438820932707</v>
      </c>
      <c r="AG4352">
        <v>-1.0286132100000001</v>
      </c>
      <c r="AH4352">
        <v>62.9548157558661</v>
      </c>
      <c r="AI4352">
        <v>90.9269993619682</v>
      </c>
      <c r="AJ4352">
        <v>82.017652684962897</v>
      </c>
      <c r="AK4352">
        <v>63.579080405241903</v>
      </c>
      <c r="AL4352">
        <v>88.617087704846895</v>
      </c>
      <c r="AM4352">
        <v>90.497309767692599</v>
      </c>
      <c r="AN4352">
        <v>1.0000000254400301</v>
      </c>
    </row>
    <row r="4353" spans="1:40" x14ac:dyDescent="0.25">
      <c r="A4353" t="str">
        <f>"20190312160420974"</f>
        <v>20190312160420974</v>
      </c>
      <c r="B4353" t="str">
        <f>"1552377860969759"</f>
        <v>1552377860969759</v>
      </c>
      <c r="C4353" t="s">
        <v>40</v>
      </c>
      <c r="D4353">
        <v>5.4063160000000003</v>
      </c>
      <c r="E4353">
        <v>0.48603380000000002</v>
      </c>
      <c r="F4353" t="s">
        <v>43</v>
      </c>
      <c r="G4353">
        <v>-208.56379999999999</v>
      </c>
      <c r="H4353">
        <v>-0.05</v>
      </c>
      <c r="I4353">
        <v>115.25579999999999</v>
      </c>
      <c r="J4353">
        <v>-189.9709</v>
      </c>
      <c r="K4353">
        <v>1.108695</v>
      </c>
      <c r="L4353">
        <v>187.99510000000001</v>
      </c>
      <c r="M4353">
        <v>-0.120572</v>
      </c>
      <c r="N4353">
        <v>0</v>
      </c>
      <c r="O4353">
        <v>-0.99260649999999995</v>
      </c>
      <c r="P4353">
        <v>-0.1123111</v>
      </c>
      <c r="Q4353">
        <v>9.9817359999999997E-3</v>
      </c>
      <c r="R4353">
        <v>-0.99362329999999999</v>
      </c>
      <c r="S4353">
        <v>-0.74972530000000004</v>
      </c>
      <c r="T4353">
        <v>-4.667437E-2</v>
      </c>
      <c r="U4353">
        <v>-2.9356990000000001</v>
      </c>
      <c r="V4353">
        <v>-8.2371130000000008E-3</v>
      </c>
      <c r="W4353">
        <v>2.3962420000000002E-2</v>
      </c>
      <c r="X4353">
        <v>0.99967890000000004</v>
      </c>
      <c r="Y4353">
        <v>0.12877160000000001</v>
      </c>
      <c r="Z4353">
        <v>1.541037E-2</v>
      </c>
      <c r="AA4353">
        <v>0.99155459999999995</v>
      </c>
      <c r="AB4353">
        <v>24</v>
      </c>
      <c r="AC4353">
        <v>-18.592899999999901</v>
      </c>
      <c r="AD4353">
        <v>-1.158695</v>
      </c>
      <c r="AE4353">
        <v>-72.7393</v>
      </c>
      <c r="AF4353">
        <v>9.6837471208395502</v>
      </c>
      <c r="AG4353">
        <v>-1.158695</v>
      </c>
      <c r="AH4353">
        <v>74.432805586175505</v>
      </c>
      <c r="AI4353">
        <v>90.884398863254205</v>
      </c>
      <c r="AJ4353">
        <v>82.587423978723606</v>
      </c>
      <c r="AK4353">
        <v>75.069035426284799</v>
      </c>
      <c r="AL4353">
        <v>88.6269230089394</v>
      </c>
      <c r="AM4353">
        <v>90.472092718839704</v>
      </c>
      <c r="AN4353">
        <v>0.99999997535401997</v>
      </c>
    </row>
    <row r="4354" spans="1:40" x14ac:dyDescent="0.25">
      <c r="A4354" t="str">
        <f>"20190312160420989"</f>
        <v>20190312160420989</v>
      </c>
      <c r="B4354" t="str">
        <f>"1552377860979518"</f>
        <v>1552377860979518</v>
      </c>
      <c r="C4354" t="s">
        <v>40</v>
      </c>
      <c r="D4354">
        <v>5.4190670000000001</v>
      </c>
      <c r="E4354">
        <v>0.48338209999999998</v>
      </c>
      <c r="F4354" t="s">
        <v>60</v>
      </c>
      <c r="G4354">
        <v>-193.0145</v>
      </c>
      <c r="H4354" s="1">
        <v>-1.0866829999999999E-5</v>
      </c>
      <c r="I4354">
        <v>148.24010000000001</v>
      </c>
      <c r="J4354">
        <v>-189.99029999999999</v>
      </c>
      <c r="K4354">
        <v>1.1088009999999999</v>
      </c>
      <c r="L4354">
        <v>187.8484</v>
      </c>
      <c r="M4354">
        <v>-0.1219073</v>
      </c>
      <c r="N4354">
        <v>0</v>
      </c>
      <c r="O4354">
        <v>-0.99244359999999998</v>
      </c>
      <c r="P4354">
        <v>-0.11400929999999999</v>
      </c>
      <c r="Q4354">
        <v>9.9498169999999997E-3</v>
      </c>
      <c r="R4354">
        <v>-0.99342980000000003</v>
      </c>
      <c r="S4354">
        <v>-0.22923279999999999</v>
      </c>
      <c r="T4354">
        <v>-8.3503720000000003E-2</v>
      </c>
      <c r="U4354">
        <v>-2.994202</v>
      </c>
      <c r="V4354">
        <v>-7.8791309999999993E-3</v>
      </c>
      <c r="W4354">
        <v>2.3913790000000001E-2</v>
      </c>
      <c r="X4354">
        <v>0.99968299999999999</v>
      </c>
      <c r="Y4354">
        <v>-4.5826459999999999E-2</v>
      </c>
      <c r="Z4354">
        <v>2.7511379999999998E-2</v>
      </c>
      <c r="AA4354">
        <v>0.99857050000000003</v>
      </c>
      <c r="AB4354">
        <v>24</v>
      </c>
      <c r="AC4354">
        <v>-3.0242</v>
      </c>
      <c r="AD4354">
        <v>-1.10881186683</v>
      </c>
      <c r="AE4354">
        <v>-39.6082999999999</v>
      </c>
      <c r="AF4354">
        <v>-1.8259478432235401</v>
      </c>
      <c r="AG4354">
        <v>-1.10881186683</v>
      </c>
      <c r="AH4354">
        <v>39.650637728851002</v>
      </c>
      <c r="AI4354">
        <v>91.600137770906201</v>
      </c>
      <c r="AJ4354">
        <v>92.636659842443194</v>
      </c>
      <c r="AK4354">
        <v>39.708143013578102</v>
      </c>
      <c r="AL4354">
        <v>88.629710169845197</v>
      </c>
      <c r="AM4354">
        <v>90.4515747542263</v>
      </c>
      <c r="AN4354">
        <v>1.00000002527323</v>
      </c>
    </row>
    <row r="4355" spans="1:40" x14ac:dyDescent="0.25">
      <c r="A4355" t="str">
        <f>"20190312160421004"</f>
        <v>20190312160421004</v>
      </c>
      <c r="B4355" t="str">
        <f>"1552377860999038"</f>
        <v>1552377860999038</v>
      </c>
      <c r="C4355" t="s">
        <v>40</v>
      </c>
      <c r="D4355">
        <v>5.3669549999999999</v>
      </c>
      <c r="E4355">
        <v>0.48027130000000001</v>
      </c>
      <c r="F4355" t="s">
        <v>60</v>
      </c>
      <c r="G4355">
        <v>-192.2979</v>
      </c>
      <c r="H4355" s="1">
        <v>-1.3401700000000001E-5</v>
      </c>
      <c r="I4355">
        <v>155.45930000000001</v>
      </c>
      <c r="J4355">
        <v>-190.0136</v>
      </c>
      <c r="K4355">
        <v>1.1089329999999999</v>
      </c>
      <c r="L4355">
        <v>187.673</v>
      </c>
      <c r="M4355">
        <v>-0.1233455</v>
      </c>
      <c r="N4355">
        <v>0</v>
      </c>
      <c r="O4355">
        <v>-0.99226630000000005</v>
      </c>
      <c r="P4355">
        <v>-0.11636059999999999</v>
      </c>
      <c r="Q4355">
        <v>9.7023690000000006E-3</v>
      </c>
      <c r="R4355">
        <v>-0.99315989999999998</v>
      </c>
      <c r="S4355">
        <v>-0.2134857</v>
      </c>
      <c r="T4355">
        <v>-0.1025788</v>
      </c>
      <c r="U4355">
        <v>-2.9963839999999999</v>
      </c>
      <c r="V4355">
        <v>-6.9696549999999999E-3</v>
      </c>
      <c r="W4355">
        <v>2.3646839999999999E-2</v>
      </c>
      <c r="X4355">
        <v>0.99969609999999998</v>
      </c>
      <c r="Y4355">
        <v>-5.2561480000000001E-2</v>
      </c>
      <c r="Z4355">
        <v>3.375649E-2</v>
      </c>
      <c r="AA4355">
        <v>0.99804700000000002</v>
      </c>
      <c r="AB4355">
        <v>24</v>
      </c>
      <c r="AC4355">
        <v>-2.2843</v>
      </c>
      <c r="AD4355">
        <v>-1.1089464016999999</v>
      </c>
      <c r="AE4355">
        <v>-32.213699999999903</v>
      </c>
      <c r="AF4355">
        <v>-1.70493581962017</v>
      </c>
      <c r="AG4355">
        <v>-1.1089464016999999</v>
      </c>
      <c r="AH4355">
        <v>32.211465460381099</v>
      </c>
      <c r="AI4355">
        <v>91.968993124090105</v>
      </c>
      <c r="AJ4355">
        <v>93.029808032869198</v>
      </c>
      <c r="AK4355">
        <v>32.275611154185697</v>
      </c>
      <c r="AL4355">
        <v>88.645009598259506</v>
      </c>
      <c r="AM4355">
        <v>90.399446738289996</v>
      </c>
      <c r="AN4355">
        <v>1.0000000207440001</v>
      </c>
    </row>
    <row r="4356" spans="1:40" x14ac:dyDescent="0.25">
      <c r="A4356" t="str">
        <f>"20190312160421018"</f>
        <v>20190312160421018</v>
      </c>
      <c r="B4356" t="str">
        <f>"1552377861009775"</f>
        <v>1552377861009775</v>
      </c>
      <c r="C4356" t="s">
        <v>40</v>
      </c>
      <c r="D4356">
        <v>5.3922869999999996</v>
      </c>
      <c r="E4356">
        <v>0.47918369999999999</v>
      </c>
      <c r="F4356" t="s">
        <v>41</v>
      </c>
      <c r="G4356">
        <v>-191.72980000000001</v>
      </c>
      <c r="H4356" s="1">
        <v>-1.3547659999999901E-6</v>
      </c>
      <c r="I4356">
        <v>161.48390000000001</v>
      </c>
      <c r="J4356">
        <v>-190.03319999999999</v>
      </c>
      <c r="K4356">
        <v>1.1090409999999999</v>
      </c>
      <c r="L4356">
        <v>187.52619999999999</v>
      </c>
      <c r="M4356">
        <v>-0.12443650000000001</v>
      </c>
      <c r="N4356">
        <v>0</v>
      </c>
      <c r="O4356">
        <v>-0.99213010000000001</v>
      </c>
      <c r="P4356">
        <v>-0.1177849</v>
      </c>
      <c r="Q4356">
        <v>9.9393680000000005E-3</v>
      </c>
      <c r="R4356">
        <v>-0.99298949999999997</v>
      </c>
      <c r="S4356">
        <v>-0.1965179</v>
      </c>
      <c r="T4356">
        <v>-0.12698409999999999</v>
      </c>
      <c r="U4356">
        <v>-2.9989170000000001</v>
      </c>
      <c r="V4356">
        <v>-6.6402249999999996E-3</v>
      </c>
      <c r="W4356">
        <v>2.3868980000000001E-2</v>
      </c>
      <c r="X4356">
        <v>0.99969300000000005</v>
      </c>
      <c r="Y4356">
        <v>-5.9358389999999997E-2</v>
      </c>
      <c r="Z4356">
        <v>4.1731039999999997E-2</v>
      </c>
      <c r="AA4356">
        <v>0.99736409999999998</v>
      </c>
      <c r="AB4356">
        <v>24</v>
      </c>
      <c r="AC4356">
        <v>-1.6966000000000101</v>
      </c>
      <c r="AD4356">
        <v>-1.109042354766</v>
      </c>
      <c r="AE4356">
        <v>-26.042299999999901</v>
      </c>
      <c r="AF4356">
        <v>-1.5547076965689499</v>
      </c>
      <c r="AG4356">
        <v>-1.109042354766</v>
      </c>
      <c r="AH4356">
        <v>26.004027046488201</v>
      </c>
      <c r="AI4356">
        <v>92.437772492852204</v>
      </c>
      <c r="AJ4356">
        <v>93.421480810723295</v>
      </c>
      <c r="AK4356">
        <v>26.074058249549999</v>
      </c>
      <c r="AL4356">
        <v>88.632278234031901</v>
      </c>
      <c r="AM4356">
        <v>90.380568106863194</v>
      </c>
      <c r="AN4356">
        <v>0.99999995752164395</v>
      </c>
    </row>
    <row r="4357" spans="1:40" x14ac:dyDescent="0.25">
      <c r="A4357" t="str">
        <f>"20190312160421049"</f>
        <v>20190312160421049</v>
      </c>
      <c r="B4357" t="str">
        <f>"1552377861039054"</f>
        <v>1552377861039054</v>
      </c>
      <c r="C4357" t="s">
        <v>40</v>
      </c>
      <c r="D4357">
        <v>5.6833790000000004</v>
      </c>
      <c r="E4357">
        <v>0.4784099</v>
      </c>
      <c r="F4357" t="s">
        <v>41</v>
      </c>
      <c r="G4357">
        <v>-191.58580000000001</v>
      </c>
      <c r="H4357" s="1">
        <v>-2.1769880000000002E-6</v>
      </c>
      <c r="I4357">
        <v>163.30439999999999</v>
      </c>
      <c r="J4357">
        <v>-190.07759999999999</v>
      </c>
      <c r="K4357">
        <v>1.109291</v>
      </c>
      <c r="L4357">
        <v>187.19499999999999</v>
      </c>
      <c r="M4357">
        <v>-0.12655469999999999</v>
      </c>
      <c r="N4357">
        <v>0</v>
      </c>
      <c r="O4357">
        <v>-0.99186269999999999</v>
      </c>
      <c r="P4357">
        <v>-0.1198943</v>
      </c>
      <c r="Q4357">
        <v>8.9804769999999902E-3</v>
      </c>
      <c r="R4357">
        <v>-0.99274640000000003</v>
      </c>
      <c r="S4357">
        <v>-0.192276</v>
      </c>
      <c r="T4357">
        <v>-0.1373492</v>
      </c>
      <c r="U4357">
        <v>-2.9997410000000002</v>
      </c>
      <c r="V4357">
        <v>-6.668981E-3</v>
      </c>
      <c r="W4357">
        <v>2.2881720000000001E-2</v>
      </c>
      <c r="X4357">
        <v>0.99971589999999999</v>
      </c>
      <c r="Y4357">
        <v>-6.2921260000000007E-2</v>
      </c>
      <c r="Z4357">
        <v>4.5096900000000002E-2</v>
      </c>
      <c r="AA4357">
        <v>0.99699910000000003</v>
      </c>
      <c r="AB4357">
        <v>24</v>
      </c>
      <c r="AC4357">
        <v>-1.50820000000001</v>
      </c>
      <c r="AD4357">
        <v>-1.1092931769879999</v>
      </c>
      <c r="AE4357">
        <v>-23.890599999999999</v>
      </c>
      <c r="AF4357">
        <v>-1.5244137669823501</v>
      </c>
      <c r="AG4357">
        <v>-1.1092931769879999</v>
      </c>
      <c r="AH4357">
        <v>23.838171914445802</v>
      </c>
      <c r="AI4357">
        <v>92.658875015590297</v>
      </c>
      <c r="AJ4357">
        <v>93.658993112699605</v>
      </c>
      <c r="AK4357">
        <v>23.912607739603601</v>
      </c>
      <c r="AL4357">
        <v>88.688859539577194</v>
      </c>
      <c r="AM4357">
        <v>90.382207382263601</v>
      </c>
      <c r="AN4357">
        <v>0.99999996456527196</v>
      </c>
    </row>
    <row r="4358" spans="1:40" x14ac:dyDescent="0.25">
      <c r="A4358" t="str">
        <f>"20190312160421063"</f>
        <v>20190312160421063</v>
      </c>
      <c r="B4358" t="str">
        <f>"1552377861059550"</f>
        <v>1552377861059550</v>
      </c>
      <c r="C4358" t="s">
        <v>40</v>
      </c>
      <c r="D4358">
        <v>5.3537350000000004</v>
      </c>
      <c r="E4358">
        <v>0.47707319999999998</v>
      </c>
      <c r="F4358" t="s">
        <v>41</v>
      </c>
      <c r="G4358">
        <v>-191.6095</v>
      </c>
      <c r="H4358" s="1">
        <v>-2.1876149999999998E-6</v>
      </c>
      <c r="I4358">
        <v>163.3135</v>
      </c>
      <c r="J4358">
        <v>-190.09719999999999</v>
      </c>
      <c r="K4358">
        <v>1.1094010000000001</v>
      </c>
      <c r="L4358">
        <v>187.04949999999999</v>
      </c>
      <c r="M4358">
        <v>-0.12730030000000001</v>
      </c>
      <c r="N4358">
        <v>0</v>
      </c>
      <c r="O4358">
        <v>-0.99176710000000001</v>
      </c>
      <c r="P4358">
        <v>-0.1204781</v>
      </c>
      <c r="Q4358">
        <v>9.1059379999999992E-3</v>
      </c>
      <c r="R4358">
        <v>-0.99267439999999996</v>
      </c>
      <c r="S4358">
        <v>-0.19242860000000001</v>
      </c>
      <c r="T4358">
        <v>-0.13934779999999999</v>
      </c>
      <c r="U4358">
        <v>-2.9999539999999998</v>
      </c>
      <c r="V4358">
        <v>-6.8381919999999999E-3</v>
      </c>
      <c r="W4358">
        <v>2.2995660000000001E-2</v>
      </c>
      <c r="X4358">
        <v>0.99971220000000005</v>
      </c>
      <c r="Y4358">
        <v>-6.3627489999999995E-2</v>
      </c>
      <c r="Z4358">
        <v>4.5740749999999997E-2</v>
      </c>
      <c r="AA4358">
        <v>0.9969249</v>
      </c>
      <c r="AB4358">
        <v>24</v>
      </c>
      <c r="AC4358">
        <v>-1.51230000000001</v>
      </c>
      <c r="AD4358">
        <v>-1.1094031876149999</v>
      </c>
      <c r="AE4358">
        <v>-23.735999999999901</v>
      </c>
      <c r="AF4358">
        <v>-1.5185930979246001</v>
      </c>
      <c r="AG4358">
        <v>-1.1094031876149999</v>
      </c>
      <c r="AH4358">
        <v>23.683856984852</v>
      </c>
      <c r="AI4358">
        <v>92.676410009382707</v>
      </c>
      <c r="AJ4358">
        <v>93.668744874021201</v>
      </c>
      <c r="AK4358">
        <v>23.758408661117802</v>
      </c>
      <c r="AL4358">
        <v>88.6823296157539</v>
      </c>
      <c r="AM4358">
        <v>90.391906221403005</v>
      </c>
      <c r="AN4358">
        <v>1.0000000220387499</v>
      </c>
    </row>
    <row r="4359" spans="1:40" x14ac:dyDescent="0.25">
      <c r="A4359" t="str">
        <f>"20190312160421075"</f>
        <v>20190312160421075</v>
      </c>
      <c r="B4359" t="str">
        <f>"1552377861069311"</f>
        <v>1552377861069311</v>
      </c>
      <c r="C4359" t="s">
        <v>40</v>
      </c>
      <c r="D4359">
        <v>5.4083269999999999</v>
      </c>
      <c r="E4359">
        <v>0.47647489999999998</v>
      </c>
      <c r="F4359" t="s">
        <v>41</v>
      </c>
      <c r="G4359">
        <v>-191.70670000000001</v>
      </c>
      <c r="H4359" s="1">
        <v>-9.6012889999999994E-7</v>
      </c>
      <c r="I4359">
        <v>160.66210000000001</v>
      </c>
      <c r="J4359">
        <v>-190.11410000000001</v>
      </c>
      <c r="K4359">
        <v>1.109499</v>
      </c>
      <c r="L4359">
        <v>186.923</v>
      </c>
      <c r="M4359">
        <v>-0.12786359999999999</v>
      </c>
      <c r="N4359">
        <v>0</v>
      </c>
      <c r="O4359">
        <v>-0.99169470000000004</v>
      </c>
      <c r="P4359">
        <v>-0.1206445</v>
      </c>
      <c r="Q4359">
        <v>8.9442669999999901E-3</v>
      </c>
      <c r="R4359">
        <v>-0.99265559999999997</v>
      </c>
      <c r="S4359">
        <v>-0.18305969999999999</v>
      </c>
      <c r="T4359">
        <v>-0.1261729</v>
      </c>
      <c r="U4359">
        <v>-3.0010530000000002</v>
      </c>
      <c r="V4359">
        <v>-7.2443680000000002E-3</v>
      </c>
      <c r="W4359">
        <v>2.282499E-2</v>
      </c>
      <c r="X4359">
        <v>0.99971319999999997</v>
      </c>
      <c r="Y4359">
        <v>-6.7305770000000001E-2</v>
      </c>
      <c r="Z4359">
        <v>4.1403339999999997E-2</v>
      </c>
      <c r="AA4359">
        <v>0.99687300000000001</v>
      </c>
      <c r="AB4359">
        <v>24</v>
      </c>
      <c r="AC4359">
        <v>-1.5926</v>
      </c>
      <c r="AD4359">
        <v>-1.1094999601289</v>
      </c>
      <c r="AE4359">
        <v>-26.2608999999999</v>
      </c>
      <c r="AF4359">
        <v>-1.7754539015802999</v>
      </c>
      <c r="AG4359">
        <v>-1.1094999601289</v>
      </c>
      <c r="AH4359">
        <v>26.202358269911699</v>
      </c>
      <c r="AI4359">
        <v>92.4191157970765</v>
      </c>
      <c r="AJ4359">
        <v>93.876397535713295</v>
      </c>
      <c r="AK4359">
        <v>26.2858670319807</v>
      </c>
      <c r="AL4359">
        <v>88.692110787658706</v>
      </c>
      <c r="AM4359">
        <v>90.415183521227704</v>
      </c>
      <c r="AN4359">
        <v>0.99999997164522902</v>
      </c>
    </row>
    <row r="4360" spans="1:40" x14ac:dyDescent="0.25">
      <c r="A4360" t="str">
        <f>"20190312160421088"</f>
        <v>20190312160421088</v>
      </c>
      <c r="B4360" t="str">
        <f>"1552377861079448"</f>
        <v>1552377861079448</v>
      </c>
      <c r="C4360" t="s">
        <v>40</v>
      </c>
      <c r="D4360">
        <v>5.2535109999999996</v>
      </c>
      <c r="E4360">
        <v>0.47633340000000002</v>
      </c>
      <c r="F4360" t="s">
        <v>41</v>
      </c>
      <c r="G4360">
        <v>-191.67080000000001</v>
      </c>
      <c r="H4360" s="1">
        <v>-1.019049E-6</v>
      </c>
      <c r="I4360">
        <v>160.80699999999999</v>
      </c>
      <c r="J4360">
        <v>-190.1319</v>
      </c>
      <c r="K4360">
        <v>1.1095950000000001</v>
      </c>
      <c r="L4360">
        <v>186.79079999999999</v>
      </c>
      <c r="M4360">
        <v>-0.12840370000000001</v>
      </c>
      <c r="N4360">
        <v>0</v>
      </c>
      <c r="O4360">
        <v>-0.99162519999999998</v>
      </c>
      <c r="P4360">
        <v>-0.1206494</v>
      </c>
      <c r="Q4360">
        <v>8.9045930000000006E-3</v>
      </c>
      <c r="R4360">
        <v>-0.99265559999999997</v>
      </c>
      <c r="S4360">
        <v>-0.17890929999999999</v>
      </c>
      <c r="T4360">
        <v>-0.1275192</v>
      </c>
      <c r="U4360">
        <v>-3.001617</v>
      </c>
      <c r="V4360">
        <v>-7.7901979999999999E-3</v>
      </c>
      <c r="W4360">
        <v>2.277589E-2</v>
      </c>
      <c r="X4360">
        <v>0.99971030000000005</v>
      </c>
      <c r="Y4360">
        <v>-6.9234820000000002E-2</v>
      </c>
      <c r="Z4360">
        <v>4.1831010000000002E-2</v>
      </c>
      <c r="AA4360">
        <v>0.99672300000000003</v>
      </c>
      <c r="AB4360">
        <v>24</v>
      </c>
      <c r="AC4360">
        <v>-1.5389000000000099</v>
      </c>
      <c r="AD4360">
        <v>-1.109596019049</v>
      </c>
      <c r="AE4360">
        <v>-25.983799999999899</v>
      </c>
      <c r="AF4360">
        <v>-1.8072935988633201</v>
      </c>
      <c r="AG4360">
        <v>-1.109596019049</v>
      </c>
      <c r="AH4360">
        <v>25.919183140380699</v>
      </c>
      <c r="AI4360">
        <v>92.445395929498602</v>
      </c>
      <c r="AJ4360">
        <v>93.988665939630295</v>
      </c>
      <c r="AK4360">
        <v>26.005798740715001</v>
      </c>
      <c r="AL4360">
        <v>88.694924852327901</v>
      </c>
      <c r="AM4360">
        <v>90.446465774051404</v>
      </c>
      <c r="AN4360">
        <v>1.0000000561381199</v>
      </c>
    </row>
    <row r="4361" spans="1:40" x14ac:dyDescent="0.25">
      <c r="A4361" t="str">
        <f>"20190312160421103"</f>
        <v>20190312160421103</v>
      </c>
      <c r="B4361" t="str">
        <f>"1552377861098968"</f>
        <v>1552377861098968</v>
      </c>
      <c r="C4361" t="s">
        <v>40</v>
      </c>
      <c r="D4361">
        <v>5.341513</v>
      </c>
      <c r="E4361">
        <v>0.47575719999999999</v>
      </c>
      <c r="F4361" t="s">
        <v>41</v>
      </c>
      <c r="G4361">
        <v>-191.62960000000001</v>
      </c>
      <c r="H4361" s="1">
        <v>-1.3305879999999999E-6</v>
      </c>
      <c r="I4361">
        <v>161.48920000000001</v>
      </c>
      <c r="J4361">
        <v>-190.15530000000001</v>
      </c>
      <c r="K4361">
        <v>1.1097349999999999</v>
      </c>
      <c r="L4361">
        <v>186.61609999999999</v>
      </c>
      <c r="M4361">
        <v>-0.12893550000000001</v>
      </c>
      <c r="N4361">
        <v>0</v>
      </c>
      <c r="O4361">
        <v>-0.99155599999999999</v>
      </c>
      <c r="P4361">
        <v>-0.1205422</v>
      </c>
      <c r="Q4361">
        <v>9.7141239999999993E-3</v>
      </c>
      <c r="R4361">
        <v>-0.99266049999999995</v>
      </c>
      <c r="S4361">
        <v>-0.1776886</v>
      </c>
      <c r="T4361">
        <v>-0.13164219999999999</v>
      </c>
      <c r="U4361">
        <v>-3.00177</v>
      </c>
      <c r="V4361">
        <v>-8.4402569999999996E-3</v>
      </c>
      <c r="W4361">
        <v>2.3573899999999998E-2</v>
      </c>
      <c r="X4361">
        <v>0.99968650000000003</v>
      </c>
      <c r="Y4361">
        <v>-7.0180110000000004E-2</v>
      </c>
      <c r="Z4361">
        <v>4.3173299999999998E-2</v>
      </c>
      <c r="AA4361">
        <v>0.99659960000000003</v>
      </c>
      <c r="AB4361">
        <v>24</v>
      </c>
      <c r="AC4361">
        <v>-1.47429999999999</v>
      </c>
      <c r="AD4361">
        <v>-1.1097363305879999</v>
      </c>
      <c r="AE4361">
        <v>-25.1268999999999</v>
      </c>
      <c r="AF4361">
        <v>-1.7746197594211901</v>
      </c>
      <c r="AG4361">
        <v>-1.1097363305879999</v>
      </c>
      <c r="AH4361">
        <v>25.058521954429001</v>
      </c>
      <c r="AI4361">
        <v>92.5294050427012</v>
      </c>
      <c r="AJ4361">
        <v>94.050867364273103</v>
      </c>
      <c r="AK4361">
        <v>25.145781207879701</v>
      </c>
      <c r="AL4361">
        <v>88.649189933523104</v>
      </c>
      <c r="AM4361">
        <v>90.483731263800493</v>
      </c>
      <c r="AN4361">
        <v>1.00000003249084</v>
      </c>
    </row>
    <row r="4362" spans="1:40" x14ac:dyDescent="0.25">
      <c r="A4362" t="str">
        <f>"20190312160421116"</f>
        <v>20190312160421116</v>
      </c>
      <c r="B4362" t="str">
        <f>"1552377861109705"</f>
        <v>1552377861109705</v>
      </c>
      <c r="C4362" t="s">
        <v>40</v>
      </c>
      <c r="D4362">
        <v>5.3984670000000001</v>
      </c>
      <c r="E4362">
        <v>0.47530600000000001</v>
      </c>
      <c r="F4362" t="s">
        <v>41</v>
      </c>
      <c r="G4362">
        <v>-191.5275</v>
      </c>
      <c r="H4362" s="1">
        <v>-1.90833E-6</v>
      </c>
      <c r="I4362">
        <v>162.7689</v>
      </c>
      <c r="J4362">
        <v>-190.17250000000001</v>
      </c>
      <c r="K4362">
        <v>1.1098399999999999</v>
      </c>
      <c r="L4362">
        <v>186.4872</v>
      </c>
      <c r="M4362">
        <v>-0.12922310000000001</v>
      </c>
      <c r="N4362">
        <v>0</v>
      </c>
      <c r="O4362">
        <v>-0.99151900000000004</v>
      </c>
      <c r="P4362">
        <v>-0.1203149</v>
      </c>
      <c r="Q4362">
        <v>1.0255500000000001E-2</v>
      </c>
      <c r="R4362">
        <v>-0.99268310000000004</v>
      </c>
      <c r="S4362">
        <v>-0.17277529999999999</v>
      </c>
      <c r="T4362">
        <v>-0.13972490000000001</v>
      </c>
      <c r="U4362">
        <v>-3.0025629999999999</v>
      </c>
      <c r="V4362">
        <v>-8.9635449999999998E-3</v>
      </c>
      <c r="W4362">
        <v>2.4106860000000001E-2</v>
      </c>
      <c r="X4362">
        <v>0.99966920000000004</v>
      </c>
      <c r="Y4362">
        <v>-7.2116899999999998E-2</v>
      </c>
      <c r="Z4362">
        <v>4.5802849999999999E-2</v>
      </c>
      <c r="AA4362">
        <v>0.99634400000000001</v>
      </c>
      <c r="AB4362">
        <v>24</v>
      </c>
      <c r="AC4362">
        <v>-1.35499999999998</v>
      </c>
      <c r="AD4362">
        <v>-1.10984190833</v>
      </c>
      <c r="AE4362">
        <v>-23.718299999999999</v>
      </c>
      <c r="AF4362">
        <v>-1.7178597218826801</v>
      </c>
      <c r="AG4362">
        <v>-1.10984190833</v>
      </c>
      <c r="AH4362">
        <v>23.642911854343801</v>
      </c>
      <c r="AI4362">
        <v>92.6805407170948</v>
      </c>
      <c r="AJ4362">
        <v>94.155725538352698</v>
      </c>
      <c r="AK4362">
        <v>23.731204605704701</v>
      </c>
      <c r="AL4362">
        <v>88.618644845764393</v>
      </c>
      <c r="AM4362">
        <v>90.513729476873294</v>
      </c>
      <c r="AN4362">
        <v>0.99999999763333303</v>
      </c>
    </row>
    <row r="4363" spans="1:40" x14ac:dyDescent="0.25">
      <c r="A4363" t="str">
        <f>"20190312160421128"</f>
        <v>20190312160421128</v>
      </c>
      <c r="B4363" t="str">
        <f>"1552377861119464"</f>
        <v>1552377861119464</v>
      </c>
      <c r="C4363" t="s">
        <v>40</v>
      </c>
      <c r="D4363">
        <v>5.4004320000000003</v>
      </c>
      <c r="E4363">
        <v>0.4748927</v>
      </c>
      <c r="F4363" t="s">
        <v>41</v>
      </c>
      <c r="G4363">
        <v>-191.536</v>
      </c>
      <c r="H4363" s="1">
        <v>-1.630588E-6</v>
      </c>
      <c r="I4363">
        <v>162.1765</v>
      </c>
      <c r="J4363">
        <v>-190.1893</v>
      </c>
      <c r="K4363">
        <v>1.109936</v>
      </c>
      <c r="L4363">
        <v>186.3612</v>
      </c>
      <c r="M4363">
        <v>-0.12945899999999999</v>
      </c>
      <c r="N4363">
        <v>0</v>
      </c>
      <c r="O4363">
        <v>-0.99148829999999999</v>
      </c>
      <c r="P4363">
        <v>-0.12010179999999999</v>
      </c>
      <c r="Q4363">
        <v>1.057955E-2</v>
      </c>
      <c r="R4363">
        <v>-0.99270530000000001</v>
      </c>
      <c r="S4363">
        <v>-0.1684418</v>
      </c>
      <c r="T4363">
        <v>-0.13709839999999901</v>
      </c>
      <c r="U4363">
        <v>-3.003098</v>
      </c>
      <c r="V4363">
        <v>-9.4215600000000007E-3</v>
      </c>
      <c r="W4363">
        <v>2.4422429999999998E-2</v>
      </c>
      <c r="X4363">
        <v>0.99965729999999997</v>
      </c>
      <c r="Y4363">
        <v>-7.3795139999999995E-2</v>
      </c>
      <c r="Z4363">
        <v>4.4932630000000001E-2</v>
      </c>
      <c r="AA4363">
        <v>0.9962607</v>
      </c>
      <c r="AB4363">
        <v>24</v>
      </c>
      <c r="AC4363">
        <v>-1.34669999999996</v>
      </c>
      <c r="AD4363">
        <v>-1.109937630588</v>
      </c>
      <c r="AE4363">
        <v>-24.1846999999999</v>
      </c>
      <c r="AF4363">
        <v>-1.7920985921242001</v>
      </c>
      <c r="AG4363">
        <v>-1.109937630588</v>
      </c>
      <c r="AH4363">
        <v>24.104885674003899</v>
      </c>
      <c r="AI4363">
        <v>92.629143104873805</v>
      </c>
      <c r="AJ4363">
        <v>94.251882019899298</v>
      </c>
      <c r="AK4363">
        <v>24.1968818706974</v>
      </c>
      <c r="AL4363">
        <v>88.600558651549505</v>
      </c>
      <c r="AM4363">
        <v>90.539984694695505</v>
      </c>
      <c r="AN4363">
        <v>0.99999996916161304</v>
      </c>
    </row>
    <row r="4364" spans="1:40" x14ac:dyDescent="0.25">
      <c r="A4364" t="str">
        <f>"20190312160421140"</f>
        <v>20190312160421140</v>
      </c>
      <c r="B4364" t="str">
        <f>"1552377861129225"</f>
        <v>1552377861129225</v>
      </c>
      <c r="C4364" t="s">
        <v>40</v>
      </c>
      <c r="D4364">
        <v>5.3786949999999996</v>
      </c>
      <c r="E4364">
        <v>0.47449839999999999</v>
      </c>
      <c r="F4364" t="s">
        <v>41</v>
      </c>
      <c r="G4364">
        <v>-191.53380000000001</v>
      </c>
      <c r="H4364" s="1">
        <v>-1.462194E-6</v>
      </c>
      <c r="I4364">
        <v>161.82149999999999</v>
      </c>
      <c r="J4364">
        <v>-190.2064</v>
      </c>
      <c r="K4364">
        <v>1.110033</v>
      </c>
      <c r="L4364">
        <v>186.232</v>
      </c>
      <c r="M4364">
        <v>-0.12958349999999999</v>
      </c>
      <c r="N4364">
        <v>0</v>
      </c>
      <c r="O4364">
        <v>-0.99147209999999997</v>
      </c>
      <c r="P4364">
        <v>-0.1199886</v>
      </c>
      <c r="Q4364">
        <v>1.0515699999999999E-2</v>
      </c>
      <c r="R4364">
        <v>-0.99271989999999999</v>
      </c>
      <c r="S4364">
        <v>-0.16456599999999999</v>
      </c>
      <c r="T4364">
        <v>-0.13585410000000001</v>
      </c>
      <c r="U4364">
        <v>-3.0036010000000002</v>
      </c>
      <c r="V4364">
        <v>-9.6670660000000002E-3</v>
      </c>
      <c r="W4364">
        <v>2.4350449999999999E-2</v>
      </c>
      <c r="X4364">
        <v>0.99965669999999995</v>
      </c>
      <c r="Y4364">
        <v>-7.521013E-2</v>
      </c>
      <c r="Z4364">
        <v>4.4516279999999998E-2</v>
      </c>
      <c r="AA4364">
        <v>0.99617359999999999</v>
      </c>
      <c r="AB4364">
        <v>24</v>
      </c>
      <c r="AC4364">
        <v>-1.3274000000000099</v>
      </c>
      <c r="AD4364">
        <v>-1.1100344621939999</v>
      </c>
      <c r="AE4364">
        <v>-24.410499999999999</v>
      </c>
      <c r="AF4364">
        <v>-1.8434937288914699</v>
      </c>
      <c r="AG4364">
        <v>-1.1100344621939999</v>
      </c>
      <c r="AH4364">
        <v>24.3265139161287</v>
      </c>
      <c r="AI4364">
        <v>92.605171498770403</v>
      </c>
      <c r="AJ4364">
        <v>94.333662899768996</v>
      </c>
      <c r="AK4364">
        <v>24.421505378402099</v>
      </c>
      <c r="AL4364">
        <v>88.604684012078096</v>
      </c>
      <c r="AM4364">
        <v>90.554055024453803</v>
      </c>
      <c r="AN4364">
        <v>0.99999995721756896</v>
      </c>
    </row>
    <row r="4365" spans="1:40" x14ac:dyDescent="0.25">
      <c r="A4365" t="str">
        <f>"20190312160421153"</f>
        <v>20190312160421153</v>
      </c>
      <c r="B4365" t="str">
        <f>"1552377861149721"</f>
        <v>1552377861149721</v>
      </c>
      <c r="C4365" t="s">
        <v>40</v>
      </c>
      <c r="D4365">
        <v>5.3864460000000003</v>
      </c>
      <c r="E4365">
        <v>0.4737362</v>
      </c>
      <c r="F4365" t="s">
        <v>41</v>
      </c>
      <c r="G4365">
        <v>-191.52350000000001</v>
      </c>
      <c r="H4365" s="1">
        <v>-1.3723179999999901E-6</v>
      </c>
      <c r="I4365">
        <v>161.63720000000001</v>
      </c>
      <c r="J4365">
        <v>-190.2243</v>
      </c>
      <c r="K4365">
        <v>1.1101379999999901</v>
      </c>
      <c r="L4365">
        <v>186.09649999999999</v>
      </c>
      <c r="M4365">
        <v>-0.12964980000000001</v>
      </c>
      <c r="N4365">
        <v>0</v>
      </c>
      <c r="O4365">
        <v>-0.9914636</v>
      </c>
      <c r="P4365">
        <v>-0.1197182</v>
      </c>
      <c r="Q4365">
        <v>1.002607E-2</v>
      </c>
      <c r="R4365">
        <v>-0.99275760000000002</v>
      </c>
      <c r="S4365">
        <v>-0.1608734</v>
      </c>
      <c r="T4365">
        <v>-0.135579799999999</v>
      </c>
      <c r="U4365">
        <v>-3.004013</v>
      </c>
      <c r="V4365">
        <v>-1.0012770000000001E-2</v>
      </c>
      <c r="W4365">
        <v>2.3853249999999999E-2</v>
      </c>
      <c r="X4365">
        <v>0.99966529999999998</v>
      </c>
      <c r="Y4365">
        <v>-7.6504929999999999E-2</v>
      </c>
      <c r="Z4365">
        <v>4.4419199999999902E-2</v>
      </c>
      <c r="AA4365">
        <v>0.9960793</v>
      </c>
      <c r="AB4365">
        <v>24</v>
      </c>
      <c r="AC4365">
        <v>-1.2992000000000099</v>
      </c>
      <c r="AD4365">
        <v>-1.11013937231799</v>
      </c>
      <c r="AE4365">
        <v>-24.459299999999899</v>
      </c>
      <c r="AF4365">
        <v>-1.8793529942687299</v>
      </c>
      <c r="AG4365">
        <v>-1.11013937231799</v>
      </c>
      <c r="AH4365">
        <v>24.371213853849898</v>
      </c>
      <c r="AI4365">
        <v>92.600382291530494</v>
      </c>
      <c r="AJ4365">
        <v>94.409559390253705</v>
      </c>
      <c r="AK4365">
        <v>24.4687646155895</v>
      </c>
      <c r="AL4365">
        <v>88.633179773920304</v>
      </c>
      <c r="AM4365">
        <v>90.573862350425102</v>
      </c>
      <c r="AN4365">
        <v>0.99999997256136197</v>
      </c>
    </row>
    <row r="4366" spans="1:40" x14ac:dyDescent="0.25">
      <c r="A4366" t="str">
        <f>"20190312160421165"</f>
        <v>20190312160421165</v>
      </c>
      <c r="B4366" t="str">
        <f>"1552377861159481"</f>
        <v>1552377861159481</v>
      </c>
      <c r="C4366" t="s">
        <v>40</v>
      </c>
      <c r="D4366">
        <v>5.3345120000000001</v>
      </c>
      <c r="E4366">
        <v>0.47348240000000003</v>
      </c>
      <c r="F4366" t="s">
        <v>41</v>
      </c>
      <c r="G4366">
        <v>-191.46879999999999</v>
      </c>
      <c r="H4366" s="1">
        <v>-1.456741E-6</v>
      </c>
      <c r="I4366">
        <v>161.8466</v>
      </c>
      <c r="J4366">
        <v>-190.24080000000001</v>
      </c>
      <c r="K4366">
        <v>1.110225</v>
      </c>
      <c r="L4366">
        <v>185.971</v>
      </c>
      <c r="M4366">
        <v>-0.1296522</v>
      </c>
      <c r="N4366">
        <v>0</v>
      </c>
      <c r="O4366">
        <v>-0.99146330000000005</v>
      </c>
      <c r="P4366">
        <v>-0.1192973</v>
      </c>
      <c r="Q4366">
        <v>9.5699670000000004E-3</v>
      </c>
      <c r="R4366">
        <v>-0.99281260000000005</v>
      </c>
      <c r="S4366">
        <v>-0.1541901</v>
      </c>
      <c r="T4366">
        <v>-0.13755129999999999</v>
      </c>
      <c r="U4366">
        <v>-3.0046689999999998</v>
      </c>
      <c r="V4366">
        <v>-1.044523E-2</v>
      </c>
      <c r="W4366">
        <v>2.3389900000000002E-2</v>
      </c>
      <c r="X4366">
        <v>0.99967189999999995</v>
      </c>
      <c r="Y4366">
        <v>-7.8729740000000006E-2</v>
      </c>
      <c r="Z4366">
        <v>4.5052549999999997E-2</v>
      </c>
      <c r="AA4366">
        <v>0.99587740000000002</v>
      </c>
      <c r="AB4366">
        <v>24</v>
      </c>
      <c r="AC4366">
        <v>-1.22799999999998</v>
      </c>
      <c r="AD4366">
        <v>-1.1102264567410001</v>
      </c>
      <c r="AE4366">
        <v>-24.124399999999898</v>
      </c>
      <c r="AF4366">
        <v>-1.9064196823777</v>
      </c>
      <c r="AG4366">
        <v>-1.1102264567410001</v>
      </c>
      <c r="AH4366">
        <v>24.029207379197199</v>
      </c>
      <c r="AI4366">
        <v>92.637092719175001</v>
      </c>
      <c r="AJ4366">
        <v>94.536208000413097</v>
      </c>
      <c r="AK4366">
        <v>24.130268255099701</v>
      </c>
      <c r="AL4366">
        <v>88.659735286436899</v>
      </c>
      <c r="AM4366">
        <v>90.598642231861007</v>
      </c>
      <c r="AN4366">
        <v>1.00000004895068</v>
      </c>
    </row>
    <row r="4367" spans="1:40" x14ac:dyDescent="0.25">
      <c r="A4367" t="str">
        <f>"20190312160421178"</f>
        <v>20190312160421178</v>
      </c>
      <c r="B4367" t="str">
        <f>"1552377861169240"</f>
        <v>1552377861169240</v>
      </c>
      <c r="C4367" t="s">
        <v>40</v>
      </c>
      <c r="D4367">
        <v>5.4096669999999998</v>
      </c>
      <c r="E4367">
        <v>0.47314220000000001</v>
      </c>
      <c r="F4367" t="s">
        <v>41</v>
      </c>
      <c r="G4367">
        <v>-191.44980000000001</v>
      </c>
      <c r="H4367" s="1">
        <v>-1.4574800000000001E-6</v>
      </c>
      <c r="I4367">
        <v>161.8588</v>
      </c>
      <c r="J4367">
        <v>-190.25739999999999</v>
      </c>
      <c r="K4367">
        <v>1.110311</v>
      </c>
      <c r="L4367">
        <v>185.84450000000001</v>
      </c>
      <c r="M4367">
        <v>-0.12955179999999999</v>
      </c>
      <c r="N4367">
        <v>0</v>
      </c>
      <c r="O4367">
        <v>-0.99147649999999998</v>
      </c>
      <c r="P4367">
        <v>-0.11897099999999999</v>
      </c>
      <c r="Q4367">
        <v>8.9418350000000004E-3</v>
      </c>
      <c r="R4367">
        <v>-0.99285780000000001</v>
      </c>
      <c r="S4367">
        <v>-0.150665299999999</v>
      </c>
      <c r="T4367">
        <v>-0.13836119999999999</v>
      </c>
      <c r="U4367">
        <v>-3.0049589999999999</v>
      </c>
      <c r="V4367">
        <v>-1.067801E-2</v>
      </c>
      <c r="W4367">
        <v>2.2754920000000001E-2</v>
      </c>
      <c r="X4367">
        <v>0.99968400000000002</v>
      </c>
      <c r="Y4367">
        <v>-7.979936E-2</v>
      </c>
      <c r="Z4367">
        <v>4.5313190000000003E-2</v>
      </c>
      <c r="AA4367">
        <v>0.99578049999999996</v>
      </c>
      <c r="AB4367">
        <v>24</v>
      </c>
      <c r="AC4367">
        <v>-1.1924000000000201</v>
      </c>
      <c r="AD4367">
        <v>-1.1103124574800001</v>
      </c>
      <c r="AE4367">
        <v>-23.985700000000001</v>
      </c>
      <c r="AF4367">
        <v>-1.9212308999174501</v>
      </c>
      <c r="AG4367">
        <v>-1.1103124574800001</v>
      </c>
      <c r="AH4367">
        <v>23.886958565896201</v>
      </c>
      <c r="AI4367">
        <v>92.652749923507301</v>
      </c>
      <c r="AJ4367">
        <v>94.598407658099006</v>
      </c>
      <c r="AK4367">
        <v>23.989804322938401</v>
      </c>
      <c r="AL4367">
        <v>88.696126521810399</v>
      </c>
      <c r="AM4367">
        <v>90.611975024952102</v>
      </c>
      <c r="AN4367">
        <v>0.99999995306888201</v>
      </c>
    </row>
    <row r="4368" spans="1:40" x14ac:dyDescent="0.25">
      <c r="A4368" t="str">
        <f>"20190312160421195"</f>
        <v>20190312160421195</v>
      </c>
      <c r="B4368" t="str">
        <f>"1552377861189735"</f>
        <v>1552377861189735</v>
      </c>
      <c r="C4368" t="s">
        <v>40</v>
      </c>
      <c r="D4368">
        <v>5.4617069999999996</v>
      </c>
      <c r="E4368">
        <v>0.47265790000000002</v>
      </c>
      <c r="F4368" t="s">
        <v>41</v>
      </c>
      <c r="G4368">
        <v>-191.42</v>
      </c>
      <c r="H4368" s="1">
        <v>-1.557978E-6</v>
      </c>
      <c r="I4368">
        <v>162.0882</v>
      </c>
      <c r="J4368">
        <v>-190.2807</v>
      </c>
      <c r="K4368">
        <v>1.1104240000000001</v>
      </c>
      <c r="L4368">
        <v>185.6652</v>
      </c>
      <c r="M4368">
        <v>-0.12931229999999999</v>
      </c>
      <c r="N4368">
        <v>0</v>
      </c>
      <c r="O4368">
        <v>-0.9915079</v>
      </c>
      <c r="P4368">
        <v>-0.11788120000000001</v>
      </c>
      <c r="Q4368">
        <v>8.3161439999999993E-3</v>
      </c>
      <c r="R4368">
        <v>-0.99299340000000003</v>
      </c>
      <c r="S4368">
        <v>-0.1470795</v>
      </c>
      <c r="T4368">
        <v>-0.14045659999999999</v>
      </c>
      <c r="U4368">
        <v>-3.0052189999999999</v>
      </c>
      <c r="V4368">
        <v>-1.15405E-2</v>
      </c>
      <c r="W4368">
        <v>2.2119460000000001E-2</v>
      </c>
      <c r="X4368">
        <v>0.99968869999999999</v>
      </c>
      <c r="Y4368">
        <v>-8.0749580000000001E-2</v>
      </c>
      <c r="Z4368">
        <v>4.5995719999999997E-2</v>
      </c>
      <c r="AA4368">
        <v>0.99567260000000002</v>
      </c>
      <c r="AB4368">
        <v>24</v>
      </c>
      <c r="AC4368">
        <v>-1.13929999999999</v>
      </c>
      <c r="AD4368">
        <v>-1.110425557978</v>
      </c>
      <c r="AE4368">
        <v>-23.577000000000002</v>
      </c>
      <c r="AF4368">
        <v>-1.91511566668886</v>
      </c>
      <c r="AG4368">
        <v>-1.110425557978</v>
      </c>
      <c r="AH4368">
        <v>23.474397497503102</v>
      </c>
      <c r="AI4368">
        <v>92.699327904371202</v>
      </c>
      <c r="AJ4368">
        <v>94.664041727435304</v>
      </c>
      <c r="AK4368">
        <v>23.578550651119102</v>
      </c>
      <c r="AL4368">
        <v>88.732544896491007</v>
      </c>
      <c r="AM4368">
        <v>90.661398466338696</v>
      </c>
      <c r="AN4368">
        <v>0.99999997527931495</v>
      </c>
    </row>
    <row r="4369" spans="1:40" x14ac:dyDescent="0.25">
      <c r="A4369" t="str">
        <f>"20190312160421209"</f>
        <v>20190312160421209</v>
      </c>
      <c r="B4369" t="str">
        <f>"1552377861199496"</f>
        <v>1552377861199496</v>
      </c>
      <c r="C4369" t="s">
        <v>40</v>
      </c>
      <c r="D4369">
        <v>5.3717750000000004</v>
      </c>
      <c r="E4369">
        <v>0.47246700000000003</v>
      </c>
      <c r="F4369" t="s">
        <v>41</v>
      </c>
      <c r="G4369">
        <v>-191.38890000000001</v>
      </c>
      <c r="H4369" s="1">
        <v>-1.4348020000000001E-6</v>
      </c>
      <c r="I4369">
        <v>161.8451</v>
      </c>
      <c r="J4369">
        <v>-190.29949999999999</v>
      </c>
      <c r="K4369">
        <v>1.110519</v>
      </c>
      <c r="L4369">
        <v>185.51949999999999</v>
      </c>
      <c r="M4369">
        <v>-0.12902819999999901</v>
      </c>
      <c r="N4369">
        <v>0</v>
      </c>
      <c r="O4369">
        <v>-0.99154489999999995</v>
      </c>
      <c r="P4369">
        <v>-0.1170399</v>
      </c>
      <c r="Q4369">
        <v>7.6292290000000004E-3</v>
      </c>
      <c r="R4369">
        <v>-0.99309820000000004</v>
      </c>
      <c r="S4369">
        <v>-0.13984679999999999</v>
      </c>
      <c r="T4369">
        <v>-0.1401192</v>
      </c>
      <c r="U4369">
        <v>-3.0057369999999999</v>
      </c>
      <c r="V4369">
        <v>-1.2106509999999999E-2</v>
      </c>
      <c r="W4369">
        <v>2.1425340000000001E-2</v>
      </c>
      <c r="X4369">
        <v>0.99969710000000001</v>
      </c>
      <c r="Y4369">
        <v>-8.2862340000000007E-2</v>
      </c>
      <c r="Z4369">
        <v>4.5878719999999998E-2</v>
      </c>
      <c r="AA4369">
        <v>0.99550439999999996</v>
      </c>
      <c r="AB4369">
        <v>24</v>
      </c>
      <c r="AC4369">
        <v>-1.0894000000000099</v>
      </c>
      <c r="AD4369">
        <v>-1.1105204348019999</v>
      </c>
      <c r="AE4369">
        <v>-23.674399999999899</v>
      </c>
      <c r="AF4369">
        <v>-1.9703379294721699</v>
      </c>
      <c r="AG4369">
        <v>-1.1105204348019999</v>
      </c>
      <c r="AH4369">
        <v>23.5653000154356</v>
      </c>
      <c r="AI4369">
        <v>92.688713185176496</v>
      </c>
      <c r="AJ4369">
        <v>94.779488133273702</v>
      </c>
      <c r="AK4369">
        <v>23.673589757574199</v>
      </c>
      <c r="AL4369">
        <v>88.772324446111298</v>
      </c>
      <c r="AM4369">
        <v>90.693828181670895</v>
      </c>
      <c r="AN4369">
        <v>0.99999995226345095</v>
      </c>
    </row>
    <row r="4370" spans="1:40" x14ac:dyDescent="0.25">
      <c r="A4370" t="str">
        <f>"20190312160421229"</f>
        <v>20190312160421229</v>
      </c>
      <c r="B4370" t="str">
        <f>"1552377861219016"</f>
        <v>1552377861219016</v>
      </c>
      <c r="C4370" t="s">
        <v>40</v>
      </c>
      <c r="D4370">
        <v>5.3895239999999998</v>
      </c>
      <c r="E4370">
        <v>0.47214220000000001</v>
      </c>
      <c r="F4370" t="s">
        <v>41</v>
      </c>
      <c r="G4370">
        <v>-191.37989999999999</v>
      </c>
      <c r="H4370" s="1">
        <v>-1.3109950000000001E-6</v>
      </c>
      <c r="I4370">
        <v>161.5883</v>
      </c>
      <c r="J4370">
        <v>-190.327</v>
      </c>
      <c r="K4370">
        <v>1.1106529999999999</v>
      </c>
      <c r="L4370">
        <v>185.30420000000001</v>
      </c>
      <c r="M4370">
        <v>-0.12843389999999999</v>
      </c>
      <c r="N4370">
        <v>0</v>
      </c>
      <c r="O4370">
        <v>-0.99162209999999995</v>
      </c>
      <c r="P4370">
        <v>-0.11537169999999999</v>
      </c>
      <c r="Q4370">
        <v>6.3238900000000004E-3</v>
      </c>
      <c r="R4370">
        <v>-0.99330269999999998</v>
      </c>
      <c r="S4370">
        <v>-0.13571169999999999</v>
      </c>
      <c r="T4370">
        <v>-0.1394879</v>
      </c>
      <c r="U4370">
        <v>-3.0059049999999998</v>
      </c>
      <c r="V4370">
        <v>-1.3193720000000001E-2</v>
      </c>
      <c r="W4370">
        <v>2.0109080000000001E-2</v>
      </c>
      <c r="X4370">
        <v>0.99971069999999995</v>
      </c>
      <c r="Y4370">
        <v>-8.3633849999999996E-2</v>
      </c>
      <c r="Z4370">
        <v>4.5675199999999902E-2</v>
      </c>
      <c r="AA4370">
        <v>0.99544920000000003</v>
      </c>
      <c r="AB4370">
        <v>24</v>
      </c>
      <c r="AC4370">
        <v>-1.05289999999999</v>
      </c>
      <c r="AD4370">
        <v>-1.110654310995</v>
      </c>
      <c r="AE4370">
        <v>-23.715900000000001</v>
      </c>
      <c r="AF4370">
        <v>-1.9976645043021499</v>
      </c>
      <c r="AG4370">
        <v>-1.110654310995</v>
      </c>
      <c r="AH4370">
        <v>23.6030256217431</v>
      </c>
      <c r="AI4370">
        <v>92.684515818503002</v>
      </c>
      <c r="AJ4370">
        <v>94.837753396127496</v>
      </c>
      <c r="AK4370">
        <v>23.7134357479245</v>
      </c>
      <c r="AL4370">
        <v>88.847756882226307</v>
      </c>
      <c r="AM4370">
        <v>90.756119333107605</v>
      </c>
      <c r="AN4370">
        <v>0.99999996652018597</v>
      </c>
    </row>
    <row r="4371" spans="1:40" x14ac:dyDescent="0.25">
      <c r="A4371" t="str">
        <f>"20190312160421249"</f>
        <v>20190312160421249</v>
      </c>
      <c r="B4371" t="str">
        <f>"1552377861239511"</f>
        <v>1552377861239511</v>
      </c>
      <c r="C4371" t="s">
        <v>40</v>
      </c>
      <c r="D4371">
        <v>5.3914949999999999</v>
      </c>
      <c r="E4371">
        <v>0.47184480000000001</v>
      </c>
      <c r="F4371" t="s">
        <v>41</v>
      </c>
      <c r="G4371">
        <v>-191.352</v>
      </c>
      <c r="H4371" s="1">
        <v>-1.1271439999999999E-6</v>
      </c>
      <c r="I4371">
        <v>161.21510000000001</v>
      </c>
      <c r="J4371">
        <v>-190.35329999999999</v>
      </c>
      <c r="K4371">
        <v>1.1107689999999999</v>
      </c>
      <c r="L4371">
        <v>185.09520000000001</v>
      </c>
      <c r="M4371">
        <v>-0.12771649999999901</v>
      </c>
      <c r="N4371">
        <v>0</v>
      </c>
      <c r="O4371">
        <v>-0.99171480000000001</v>
      </c>
      <c r="P4371">
        <v>-0.1135806</v>
      </c>
      <c r="Q4371">
        <v>5.1591919999999999E-3</v>
      </c>
      <c r="R4371">
        <v>-0.9935157</v>
      </c>
      <c r="S4371">
        <v>-0.12791440000000001</v>
      </c>
      <c r="T4371">
        <v>-0.13860819999999999</v>
      </c>
      <c r="U4371">
        <v>-3.0062869999999999</v>
      </c>
      <c r="V4371">
        <v>-1.427805E-2</v>
      </c>
      <c r="W4371">
        <v>1.8934380000000001E-2</v>
      </c>
      <c r="X4371">
        <v>0.99971880000000002</v>
      </c>
      <c r="Y4371">
        <v>-8.5494780000000006E-2</v>
      </c>
      <c r="Z4371">
        <v>4.5387289999999997E-2</v>
      </c>
      <c r="AA4371">
        <v>0.99530430000000003</v>
      </c>
      <c r="AB4371">
        <v>24</v>
      </c>
      <c r="AC4371">
        <v>-0.99870000000001302</v>
      </c>
      <c r="AD4371">
        <v>-1.110770127144</v>
      </c>
      <c r="AE4371">
        <v>-23.880099999999999</v>
      </c>
      <c r="AF4371">
        <v>-2.0552142669393598</v>
      </c>
      <c r="AG4371">
        <v>-1.110770127144</v>
      </c>
      <c r="AH4371">
        <v>23.760745420197299</v>
      </c>
      <c r="AI4371">
        <v>92.666579152968097</v>
      </c>
      <c r="AJ4371">
        <v>94.943563318396301</v>
      </c>
      <c r="AK4371">
        <v>23.875316518986999</v>
      </c>
      <c r="AL4371">
        <v>88.915075134011005</v>
      </c>
      <c r="AM4371">
        <v>90.818246479656295</v>
      </c>
      <c r="AN4371">
        <v>1.0000000262656099</v>
      </c>
    </row>
    <row r="4372" spans="1:40" x14ac:dyDescent="0.25">
      <c r="A4372" t="str">
        <f>"20190312160421260"</f>
        <v>20190312160421260</v>
      </c>
      <c r="B4372" t="str">
        <f>"1552377861249272"</f>
        <v>1552377861249272</v>
      </c>
      <c r="C4372" t="s">
        <v>40</v>
      </c>
      <c r="D4372">
        <v>5.3814399999999996</v>
      </c>
      <c r="E4372">
        <v>0.47158539999999999</v>
      </c>
      <c r="F4372" t="s">
        <v>41</v>
      </c>
      <c r="G4372">
        <v>-191.30549999999999</v>
      </c>
      <c r="H4372" s="1">
        <v>-1.1194419999999999E-6</v>
      </c>
      <c r="I4372">
        <v>161.22489999999999</v>
      </c>
      <c r="J4372">
        <v>-190.36920000000001</v>
      </c>
      <c r="K4372">
        <v>1.1108309999999999</v>
      </c>
      <c r="L4372">
        <v>184.96799999999999</v>
      </c>
      <c r="M4372">
        <v>-0.1272104</v>
      </c>
      <c r="N4372">
        <v>0</v>
      </c>
      <c r="O4372">
        <v>-0.99177990000000005</v>
      </c>
      <c r="P4372">
        <v>-0.1123461</v>
      </c>
      <c r="Q4372">
        <v>5.2574369999999898E-3</v>
      </c>
      <c r="R4372">
        <v>-0.99365550000000002</v>
      </c>
      <c r="S4372">
        <v>-0.1199341</v>
      </c>
      <c r="T4372">
        <v>-0.139908</v>
      </c>
      <c r="U4372">
        <v>-3.0066069999999998</v>
      </c>
      <c r="V4372">
        <v>-1.5012620000000001E-2</v>
      </c>
      <c r="W4372">
        <v>1.902686E-2</v>
      </c>
      <c r="X4372">
        <v>0.99970630000000005</v>
      </c>
      <c r="Y4372">
        <v>-8.7628739999999997E-2</v>
      </c>
      <c r="Z4372">
        <v>4.5809820000000001E-2</v>
      </c>
      <c r="AA4372">
        <v>0.99509930000000002</v>
      </c>
      <c r="AB4372">
        <v>24</v>
      </c>
      <c r="AC4372">
        <v>-0.93629999999998803</v>
      </c>
      <c r="AD4372">
        <v>-1.1108321194420001</v>
      </c>
      <c r="AE4372">
        <v>-23.743099999999998</v>
      </c>
      <c r="AF4372">
        <v>-2.0874026444186198</v>
      </c>
      <c r="AG4372">
        <v>-1.1108321194420001</v>
      </c>
      <c r="AH4372">
        <v>23.617670848465</v>
      </c>
      <c r="AI4372">
        <v>92.682420516436295</v>
      </c>
      <c r="AJ4372">
        <v>95.050853420370998</v>
      </c>
      <c r="AK4372">
        <v>23.735744650293601</v>
      </c>
      <c r="AL4372">
        <v>88.909775484208893</v>
      </c>
      <c r="AM4372">
        <v>90.860347799774701</v>
      </c>
      <c r="AN4372">
        <v>1.0000000432102001</v>
      </c>
    </row>
    <row r="4373" spans="1:40" x14ac:dyDescent="0.25">
      <c r="A4373" t="str">
        <f>"20190312160421274"</f>
        <v>20190312160421274</v>
      </c>
      <c r="B4373" t="str">
        <f>"1552377861269768"</f>
        <v>1552377861269768</v>
      </c>
      <c r="C4373" t="s">
        <v>40</v>
      </c>
      <c r="D4373">
        <v>5.3842129999999999</v>
      </c>
      <c r="E4373">
        <v>0.47120630000000002</v>
      </c>
      <c r="F4373" t="s">
        <v>41</v>
      </c>
      <c r="G4373">
        <v>-191.2732</v>
      </c>
      <c r="H4373" s="1">
        <v>-1.0653789999999901E-6</v>
      </c>
      <c r="I4373">
        <v>161.12870000000001</v>
      </c>
      <c r="J4373">
        <v>-190.3861</v>
      </c>
      <c r="K4373">
        <v>1.110892</v>
      </c>
      <c r="L4373">
        <v>184.83179999999999</v>
      </c>
      <c r="M4373">
        <v>-0.12662370000000001</v>
      </c>
      <c r="N4373">
        <v>0</v>
      </c>
      <c r="O4373">
        <v>-0.99185480000000004</v>
      </c>
      <c r="P4373">
        <v>-0.1110631</v>
      </c>
      <c r="Q4373">
        <v>5.2041199999999996E-3</v>
      </c>
      <c r="R4373">
        <v>-0.99379989999999996</v>
      </c>
      <c r="S4373">
        <v>-0.1140289</v>
      </c>
      <c r="T4373">
        <v>-0.1401164</v>
      </c>
      <c r="U4373">
        <v>-3.0070039999999998</v>
      </c>
      <c r="V4373">
        <v>-1.571529E-2</v>
      </c>
      <c r="W4373">
        <v>1.8966799999999999E-2</v>
      </c>
      <c r="X4373">
        <v>0.99969660000000005</v>
      </c>
      <c r="Y4373">
        <v>-8.8995989999999997E-2</v>
      </c>
      <c r="Z4373">
        <v>4.5876E-2</v>
      </c>
      <c r="AA4373">
        <v>0.9949749</v>
      </c>
      <c r="AB4373">
        <v>24</v>
      </c>
      <c r="AC4373">
        <v>-0.887100000000003</v>
      </c>
      <c r="AD4373">
        <v>-1.1108930653789999</v>
      </c>
      <c r="AE4373">
        <v>-23.7030999999999</v>
      </c>
      <c r="AF4373">
        <v>-2.1170582795930599</v>
      </c>
      <c r="AG4373">
        <v>-1.1108930653789999</v>
      </c>
      <c r="AH4373">
        <v>23.572905854925999</v>
      </c>
      <c r="AI4373">
        <v>92.687315978289206</v>
      </c>
      <c r="AJ4373">
        <v>95.131906826333505</v>
      </c>
      <c r="AK4373">
        <v>23.693836954092198</v>
      </c>
      <c r="AL4373">
        <v>88.913217243736199</v>
      </c>
      <c r="AM4373">
        <v>90.900618878927006</v>
      </c>
      <c r="AN4373">
        <v>1.00000000094679</v>
      </c>
    </row>
    <row r="4374" spans="1:40" x14ac:dyDescent="0.25">
      <c r="A4374" t="str">
        <f>"20190312160421287"</f>
        <v>20190312160421287</v>
      </c>
      <c r="B4374" t="str">
        <f>"1552377861279528"</f>
        <v>1552377861279528</v>
      </c>
      <c r="C4374" t="s">
        <v>40</v>
      </c>
      <c r="D4374">
        <v>5.3703440000000002</v>
      </c>
      <c r="E4374">
        <v>0.47109030000000002</v>
      </c>
      <c r="F4374" t="s">
        <v>41</v>
      </c>
      <c r="G4374">
        <v>-191.2302</v>
      </c>
      <c r="H4374" s="1">
        <v>-1.0838769999999999E-6</v>
      </c>
      <c r="I4374">
        <v>161.19210000000001</v>
      </c>
      <c r="J4374">
        <v>-190.40299999999999</v>
      </c>
      <c r="K4374">
        <v>1.110948</v>
      </c>
      <c r="L4374">
        <v>184.69479999999999</v>
      </c>
      <c r="M4374">
        <v>-0.12599540000000001</v>
      </c>
      <c r="N4374">
        <v>0</v>
      </c>
      <c r="O4374">
        <v>-0.99193500000000001</v>
      </c>
      <c r="P4374">
        <v>-0.1099678</v>
      </c>
      <c r="Q4374">
        <v>5.1533100000000004E-3</v>
      </c>
      <c r="R4374">
        <v>-0.99392190000000002</v>
      </c>
      <c r="S4374">
        <v>-0.1073914</v>
      </c>
      <c r="T4374">
        <v>-0.1413287</v>
      </c>
      <c r="U4374">
        <v>-3.0074619999999999</v>
      </c>
      <c r="V4374">
        <v>-1.6186269999999999E-2</v>
      </c>
      <c r="W4374">
        <v>1.891054E-2</v>
      </c>
      <c r="X4374">
        <v>0.99969019999999997</v>
      </c>
      <c r="Y4374">
        <v>-9.0564229999999996E-2</v>
      </c>
      <c r="Z4374">
        <v>4.6269190000000002E-2</v>
      </c>
      <c r="AA4374">
        <v>0.99481520000000001</v>
      </c>
      <c r="AB4374">
        <v>24</v>
      </c>
      <c r="AC4374">
        <v>-0.82720000000000404</v>
      </c>
      <c r="AD4374">
        <v>-1.110949083877</v>
      </c>
      <c r="AE4374">
        <v>-23.502699999999901</v>
      </c>
      <c r="AF4374">
        <v>-2.1361399777563101</v>
      </c>
      <c r="AG4374">
        <v>-1.110949083877</v>
      </c>
      <c r="AH4374">
        <v>23.367453768570002</v>
      </c>
      <c r="AI4374">
        <v>92.710654143122895</v>
      </c>
      <c r="AJ4374">
        <v>95.223186648009602</v>
      </c>
      <c r="AK4374">
        <v>23.4911727569697</v>
      </c>
      <c r="AL4374">
        <v>88.916441335598407</v>
      </c>
      <c r="AM4374">
        <v>90.927611301655006</v>
      </c>
      <c r="AN4374">
        <v>1.0000000499178201</v>
      </c>
    </row>
    <row r="4375" spans="1:40" x14ac:dyDescent="0.25">
      <c r="A4375" t="str">
        <f>"20190312160421299"</f>
        <v>20190312160421299</v>
      </c>
      <c r="B4375" t="str">
        <f>"1552377861289289"</f>
        <v>1552377861289289</v>
      </c>
      <c r="C4375" t="s">
        <v>40</v>
      </c>
      <c r="D4375">
        <v>5.3466230000000001</v>
      </c>
      <c r="E4375">
        <v>0.47096070000000001</v>
      </c>
      <c r="F4375" t="s">
        <v>41</v>
      </c>
      <c r="G4375">
        <v>-191.221</v>
      </c>
      <c r="H4375" s="1">
        <v>-9.4098239999999997E-7</v>
      </c>
      <c r="I4375">
        <v>160.89500000000001</v>
      </c>
      <c r="J4375">
        <v>-190.41800000000001</v>
      </c>
      <c r="K4375">
        <v>1.110992</v>
      </c>
      <c r="L4375">
        <v>184.57079999999999</v>
      </c>
      <c r="M4375">
        <v>-0.12535539999999901</v>
      </c>
      <c r="N4375">
        <v>0</v>
      </c>
      <c r="O4375">
        <v>-0.99201629999999996</v>
      </c>
      <c r="P4375">
        <v>-0.1088572</v>
      </c>
      <c r="Q4375">
        <v>4.9847140000000003E-3</v>
      </c>
      <c r="R4375">
        <v>-0.99404510000000001</v>
      </c>
      <c r="S4375">
        <v>-0.10337830000000001</v>
      </c>
      <c r="T4375">
        <v>-0.14039289999999999</v>
      </c>
      <c r="U4375">
        <v>-3.0076290000000001</v>
      </c>
      <c r="V4375">
        <v>-1.6659690000000001E-2</v>
      </c>
      <c r="W4375">
        <v>1.8737480000000001E-2</v>
      </c>
      <c r="X4375">
        <v>0.99968559999999995</v>
      </c>
      <c r="Y4375">
        <v>-9.1248880000000004E-2</v>
      </c>
      <c r="Z4375">
        <v>4.5966170000000001E-2</v>
      </c>
      <c r="AA4375">
        <v>0.9947667</v>
      </c>
      <c r="AB4375">
        <v>24</v>
      </c>
      <c r="AC4375">
        <v>-0.80299999999996796</v>
      </c>
      <c r="AD4375">
        <v>-1.1109929409824</v>
      </c>
      <c r="AE4375">
        <v>-23.675799999999899</v>
      </c>
      <c r="AF4375">
        <v>-2.16674061403394</v>
      </c>
      <c r="AG4375">
        <v>-1.1109929409824</v>
      </c>
      <c r="AH4375">
        <v>23.537906866994501</v>
      </c>
      <c r="AI4375">
        <v>92.691003624696094</v>
      </c>
      <c r="AJ4375">
        <v>95.259439810124306</v>
      </c>
      <c r="AK4375">
        <v>23.663518966601799</v>
      </c>
      <c r="AL4375">
        <v>88.926358612673795</v>
      </c>
      <c r="AM4375">
        <v>90.954741746546006</v>
      </c>
      <c r="AN4375">
        <v>0.99999996863750196</v>
      </c>
    </row>
    <row r="4376" spans="1:40" x14ac:dyDescent="0.25">
      <c r="A4376" t="str">
        <f>"20190312160421311"</f>
        <v>20190312160421311</v>
      </c>
      <c r="B4376" t="str">
        <f>"1552377861299049"</f>
        <v>1552377861299049</v>
      </c>
      <c r="C4376" t="s">
        <v>40</v>
      </c>
      <c r="D4376">
        <v>5.3881370000000004</v>
      </c>
      <c r="E4376">
        <v>0.4708465</v>
      </c>
      <c r="F4376" t="s">
        <v>41</v>
      </c>
      <c r="G4376">
        <v>-191.1968</v>
      </c>
      <c r="H4376" s="1">
        <v>-9.3267059999999995E-7</v>
      </c>
      <c r="I4376">
        <v>160.89099999999999</v>
      </c>
      <c r="J4376">
        <v>-190.43270000000001</v>
      </c>
      <c r="K4376">
        <v>1.111029</v>
      </c>
      <c r="L4376">
        <v>184.44919999999999</v>
      </c>
      <c r="M4376">
        <v>-0.1247065</v>
      </c>
      <c r="N4376">
        <v>0</v>
      </c>
      <c r="O4376">
        <v>-0.99209820000000004</v>
      </c>
      <c r="P4376">
        <v>-0.1083778</v>
      </c>
      <c r="Q4376">
        <v>4.6719609999999996E-3</v>
      </c>
      <c r="R4376">
        <v>-0.99409919999999996</v>
      </c>
      <c r="S4376">
        <v>-9.892273E-2</v>
      </c>
      <c r="T4376">
        <v>-0.14111979999999999</v>
      </c>
      <c r="U4376">
        <v>-3.0078429999999998</v>
      </c>
      <c r="V4376">
        <v>-1.64896E-2</v>
      </c>
      <c r="W4376">
        <v>1.8421389999999999E-2</v>
      </c>
      <c r="X4376">
        <v>0.99969430000000004</v>
      </c>
      <c r="Y4376">
        <v>-9.2072169999999995E-2</v>
      </c>
      <c r="Z4376">
        <v>4.6205490000000002E-2</v>
      </c>
      <c r="AA4376">
        <v>0.99467969999999895</v>
      </c>
      <c r="AB4376">
        <v>24</v>
      </c>
      <c r="AC4376">
        <v>-0.76409999999998401</v>
      </c>
      <c r="AD4376">
        <v>-1.1110299326705999</v>
      </c>
      <c r="AE4376">
        <v>-23.558199999999999</v>
      </c>
      <c r="AF4376">
        <v>-2.1751720840076501</v>
      </c>
      <c r="AG4376">
        <v>-1.1110299326705999</v>
      </c>
      <c r="AH4376">
        <v>23.417529564841701</v>
      </c>
      <c r="AI4376">
        <v>92.704699773844496</v>
      </c>
      <c r="AJ4376">
        <v>95.306776593451801</v>
      </c>
      <c r="AK4376">
        <v>23.544563109698402</v>
      </c>
      <c r="AL4376">
        <v>88.944472368570402</v>
      </c>
      <c r="AM4376">
        <v>90.9449876990614</v>
      </c>
      <c r="AN4376">
        <v>0.99999997398509</v>
      </c>
    </row>
    <row r="4377" spans="1:40" x14ac:dyDescent="0.25">
      <c r="A4377" t="str">
        <f>"20190312160421327"</f>
        <v>20190312160421327</v>
      </c>
      <c r="B4377" t="str">
        <f>"1552377861319545"</f>
        <v>1552377861319545</v>
      </c>
      <c r="C4377" t="s">
        <v>40</v>
      </c>
      <c r="D4377">
        <v>5.3552970000000002</v>
      </c>
      <c r="E4377">
        <v>0.47070010000000001</v>
      </c>
      <c r="F4377" t="s">
        <v>41</v>
      </c>
      <c r="G4377">
        <v>-191.18790000000001</v>
      </c>
      <c r="H4377" s="1">
        <v>-9.6174539999999998E-7</v>
      </c>
      <c r="I4377">
        <v>160.95760000000001</v>
      </c>
      <c r="J4377">
        <v>-190.45310000000001</v>
      </c>
      <c r="K4377">
        <v>1.1110739999999999</v>
      </c>
      <c r="L4377">
        <v>184.27860000000001</v>
      </c>
      <c r="M4377">
        <v>-0.12374</v>
      </c>
      <c r="N4377">
        <v>0</v>
      </c>
      <c r="O4377">
        <v>-0.99221919999999997</v>
      </c>
      <c r="P4377">
        <v>-0.1077531</v>
      </c>
      <c r="Q4377">
        <v>3.8710620000000002E-3</v>
      </c>
      <c r="R4377">
        <v>-0.99417049999999996</v>
      </c>
      <c r="S4377">
        <v>-9.6694950000000002E-2</v>
      </c>
      <c r="T4377">
        <v>-0.14226029999999901</v>
      </c>
      <c r="U4377">
        <v>-3.0079500000000001</v>
      </c>
      <c r="V4377">
        <v>-1.614471E-2</v>
      </c>
      <c r="W4377">
        <v>1.76171E-2</v>
      </c>
      <c r="X4377">
        <v>0.9997144</v>
      </c>
      <c r="Y4377">
        <v>-9.1839770000000001E-2</v>
      </c>
      <c r="Z4377">
        <v>4.658603E-2</v>
      </c>
      <c r="AA4377">
        <v>0.9946834</v>
      </c>
      <c r="AB4377">
        <v>24</v>
      </c>
      <c r="AC4377">
        <v>-0.734800000000007</v>
      </c>
      <c r="AD4377">
        <v>-1.1110749617454001</v>
      </c>
      <c r="AE4377">
        <v>-23.321000000000002</v>
      </c>
      <c r="AF4377">
        <v>-2.1519824343540899</v>
      </c>
      <c r="AG4377">
        <v>-1.1110749617454001</v>
      </c>
      <c r="AH4377">
        <v>23.1801065799472</v>
      </c>
      <c r="AI4377">
        <v>92.732483863348605</v>
      </c>
      <c r="AJ4377">
        <v>95.303992031983498</v>
      </c>
      <c r="AK4377">
        <v>23.3062836382401</v>
      </c>
      <c r="AL4377">
        <v>88.990562250149694</v>
      </c>
      <c r="AM4377">
        <v>90.925207580743503</v>
      </c>
      <c r="AN4377">
        <v>0.99999994772037504</v>
      </c>
    </row>
    <row r="4378" spans="1:40" x14ac:dyDescent="0.25">
      <c r="A4378" t="str">
        <f>"20190312160421339"</f>
        <v>20190312160421339</v>
      </c>
      <c r="B4378" t="str">
        <f>"1552377861329304"</f>
        <v>1552377861329304</v>
      </c>
      <c r="C4378" t="s">
        <v>40</v>
      </c>
      <c r="D4378">
        <v>5.2932680000000003</v>
      </c>
      <c r="E4378">
        <v>0.47062359999999998</v>
      </c>
      <c r="F4378" t="s">
        <v>41</v>
      </c>
      <c r="G4378">
        <v>-191.1711</v>
      </c>
      <c r="H4378" s="1">
        <v>-1.042831E-6</v>
      </c>
      <c r="I4378">
        <v>161.13849999999999</v>
      </c>
      <c r="J4378">
        <v>-190.4675</v>
      </c>
      <c r="K4378">
        <v>1.1111009999999999</v>
      </c>
      <c r="L4378">
        <v>184.15649999999999</v>
      </c>
      <c r="M4378">
        <v>-0.1230045</v>
      </c>
      <c r="N4378">
        <v>0</v>
      </c>
      <c r="O4378">
        <v>-0.99231069999999999</v>
      </c>
      <c r="P4378">
        <v>-0.1070285</v>
      </c>
      <c r="Q4378">
        <v>3.6812949999999998E-3</v>
      </c>
      <c r="R4378">
        <v>-0.99424990000000002</v>
      </c>
      <c r="S4378">
        <v>-9.3338009999999999E-2</v>
      </c>
      <c r="T4378">
        <v>-0.1444318</v>
      </c>
      <c r="U4378">
        <v>-3.008041</v>
      </c>
      <c r="V4378">
        <v>-1.613332E-2</v>
      </c>
      <c r="W4378">
        <v>1.742496E-2</v>
      </c>
      <c r="X4378">
        <v>0.999718</v>
      </c>
      <c r="Y4378">
        <v>-9.2212600000000006E-2</v>
      </c>
      <c r="Z4378">
        <v>4.7300639999999998E-2</v>
      </c>
      <c r="AA4378">
        <v>0.99461529999999998</v>
      </c>
      <c r="AB4378">
        <v>23</v>
      </c>
      <c r="AC4378">
        <v>-0.70359999999999401</v>
      </c>
      <c r="AD4378">
        <v>-1.1111020428309999</v>
      </c>
      <c r="AE4378">
        <v>-23.018000000000001</v>
      </c>
      <c r="AF4378">
        <v>-2.1283750975242501</v>
      </c>
      <c r="AG4378">
        <v>-1.1111020428309999</v>
      </c>
      <c r="AH4378">
        <v>22.8764703568634</v>
      </c>
      <c r="AI4378">
        <v>92.768712044735494</v>
      </c>
      <c r="AJ4378">
        <v>95.315368422861994</v>
      </c>
      <c r="AK4378">
        <v>23.0021178219266</v>
      </c>
      <c r="AL4378">
        <v>89.001572800578103</v>
      </c>
      <c r="AM4378">
        <v>90.924551636702901</v>
      </c>
      <c r="AN4378">
        <v>0.99999999638461201</v>
      </c>
    </row>
    <row r="4379" spans="1:40" x14ac:dyDescent="0.25">
      <c r="A4379" t="str">
        <f>"20190312160421352"</f>
        <v>20190312160421352</v>
      </c>
      <c r="B4379" t="str">
        <f>"1552377861339064"</f>
        <v>1552377861339064</v>
      </c>
      <c r="C4379" t="s">
        <v>40</v>
      </c>
      <c r="D4379">
        <v>5.3298690000000004</v>
      </c>
      <c r="E4379">
        <v>0.47058460000000002</v>
      </c>
      <c r="F4379" t="s">
        <v>41</v>
      </c>
      <c r="G4379">
        <v>-191.16730000000001</v>
      </c>
      <c r="H4379" s="1">
        <v>-9.318476E-7</v>
      </c>
      <c r="I4379">
        <v>160.9059</v>
      </c>
      <c r="J4379">
        <v>-190.48339999999999</v>
      </c>
      <c r="K4379">
        <v>1.111129</v>
      </c>
      <c r="L4379">
        <v>184.02160000000001</v>
      </c>
      <c r="M4379">
        <v>-0.1221781</v>
      </c>
      <c r="N4379">
        <v>0</v>
      </c>
      <c r="O4379">
        <v>-0.99241279999999998</v>
      </c>
      <c r="P4379">
        <v>-0.1062273</v>
      </c>
      <c r="Q4379">
        <v>3.7618439999999999E-3</v>
      </c>
      <c r="R4379">
        <v>-0.99433519999999997</v>
      </c>
      <c r="S4379">
        <v>-9.0530399999999997E-2</v>
      </c>
      <c r="T4379">
        <v>-0.14375270000000001</v>
      </c>
      <c r="U4379">
        <v>-3.0081329999999999</v>
      </c>
      <c r="V4379">
        <v>-1.6108040000000001E-2</v>
      </c>
      <c r="W4379">
        <v>1.7502670000000001E-2</v>
      </c>
      <c r="X4379">
        <v>0.99971710000000003</v>
      </c>
      <c r="Y4379">
        <v>-9.2311459999999998E-2</v>
      </c>
      <c r="Z4379">
        <v>4.7085050000000003E-2</v>
      </c>
      <c r="AA4379">
        <v>0.99461630000000001</v>
      </c>
      <c r="AB4379">
        <v>23</v>
      </c>
      <c r="AC4379">
        <v>-0.68390000000002205</v>
      </c>
      <c r="AD4379">
        <v>-1.1111299318476</v>
      </c>
      <c r="AE4379">
        <v>-23.1157</v>
      </c>
      <c r="AF4379">
        <v>-2.1407822831989698</v>
      </c>
      <c r="AG4379">
        <v>-1.1111299318476</v>
      </c>
      <c r="AH4379">
        <v>22.9730202982715</v>
      </c>
      <c r="AI4379">
        <v>92.757125039871994</v>
      </c>
      <c r="AJ4379">
        <v>95.323835619153698</v>
      </c>
      <c r="AK4379">
        <v>23.0992904682006</v>
      </c>
      <c r="AL4379">
        <v>88.997119716398998</v>
      </c>
      <c r="AM4379">
        <v>90.923103998341801</v>
      </c>
      <c r="AN4379">
        <v>1.0000000462210801</v>
      </c>
    </row>
    <row r="4380" spans="1:40" x14ac:dyDescent="0.25">
      <c r="A4380" t="str">
        <f>"20190312160421365"</f>
        <v>20190312160421365</v>
      </c>
      <c r="B4380" t="str">
        <f>"1552377861359560"</f>
        <v>1552377861359560</v>
      </c>
      <c r="C4380" t="s">
        <v>40</v>
      </c>
      <c r="D4380">
        <v>5.3348060000000004</v>
      </c>
      <c r="E4380">
        <v>0.47042659999999997</v>
      </c>
      <c r="F4380" t="s">
        <v>41</v>
      </c>
      <c r="G4380">
        <v>-191.16839999999999</v>
      </c>
      <c r="H4380" s="1">
        <v>-7.6337080000000003E-7</v>
      </c>
      <c r="I4380">
        <v>160.5488</v>
      </c>
      <c r="J4380">
        <v>-190.5</v>
      </c>
      <c r="K4380">
        <v>1.111154</v>
      </c>
      <c r="L4380">
        <v>183.8784</v>
      </c>
      <c r="M4380">
        <v>-0.1212796</v>
      </c>
      <c r="N4380">
        <v>0</v>
      </c>
      <c r="O4380">
        <v>-0.99252289999999999</v>
      </c>
      <c r="P4380">
        <v>-0.10477549999999999</v>
      </c>
      <c r="Q4380">
        <v>4.0798220000000003E-3</v>
      </c>
      <c r="R4380">
        <v>-0.99448780000000003</v>
      </c>
      <c r="S4380">
        <v>-8.7799070000000007E-2</v>
      </c>
      <c r="T4380">
        <v>-0.14240229999999901</v>
      </c>
      <c r="U4380">
        <v>-3.00827</v>
      </c>
      <c r="V4380">
        <v>-1.666378E-2</v>
      </c>
      <c r="W4380">
        <v>1.781686E-2</v>
      </c>
      <c r="X4380">
        <v>0.99970239999999999</v>
      </c>
      <c r="Y4380">
        <v>-9.2313099999999995E-2</v>
      </c>
      <c r="Z4380">
        <v>4.6650030000000002E-2</v>
      </c>
      <c r="AA4380">
        <v>0.99463670000000004</v>
      </c>
      <c r="AB4380">
        <v>23</v>
      </c>
      <c r="AC4380">
        <v>-0.668399999999991</v>
      </c>
      <c r="AD4380">
        <v>-1.1111547633708001</v>
      </c>
      <c r="AE4380">
        <v>-23.329599999999999</v>
      </c>
      <c r="AF4380">
        <v>-2.1613087041055801</v>
      </c>
      <c r="AG4380">
        <v>-1.1111547633708001</v>
      </c>
      <c r="AH4380">
        <v>23.185874575405599</v>
      </c>
      <c r="AI4380">
        <v>92.7319056529345</v>
      </c>
      <c r="AJ4380">
        <v>95.325528997304303</v>
      </c>
      <c r="AK4380">
        <v>23.312886995158799</v>
      </c>
      <c r="AL4380">
        <v>88.979115106690202</v>
      </c>
      <c r="AM4380">
        <v>90.954960049482196</v>
      </c>
      <c r="AN4380">
        <v>1.00000000531495</v>
      </c>
    </row>
    <row r="4381" spans="1:40" x14ac:dyDescent="0.25">
      <c r="A4381" t="str">
        <f>"20190312160421378"</f>
        <v>20190312160421378</v>
      </c>
      <c r="B4381" t="str">
        <f>"1552377861369319"</f>
        <v>1552377861369319</v>
      </c>
      <c r="C4381" t="s">
        <v>40</v>
      </c>
      <c r="D4381">
        <v>5.3503080000000001</v>
      </c>
      <c r="E4381">
        <v>0.47036620000000001</v>
      </c>
      <c r="F4381" t="s">
        <v>41</v>
      </c>
      <c r="G4381">
        <v>-191.15960000000001</v>
      </c>
      <c r="H4381" s="1">
        <v>-4.0870260000000001E-7</v>
      </c>
      <c r="I4381">
        <v>159.80350000000001</v>
      </c>
      <c r="J4381">
        <v>-190.51390000000001</v>
      </c>
      <c r="K4381">
        <v>1.111164</v>
      </c>
      <c r="L4381">
        <v>183.7577</v>
      </c>
      <c r="M4381">
        <v>-0.12050569999999999</v>
      </c>
      <c r="N4381">
        <v>0</v>
      </c>
      <c r="O4381">
        <v>-0.99261710000000003</v>
      </c>
      <c r="P4381">
        <v>-0.1034298</v>
      </c>
      <c r="Q4381">
        <v>4.3620070000000002E-3</v>
      </c>
      <c r="R4381">
        <v>-0.99462720000000004</v>
      </c>
      <c r="S4381">
        <v>-8.2427979999999998E-2</v>
      </c>
      <c r="T4381">
        <v>-0.13885520000000001</v>
      </c>
      <c r="U4381">
        <v>-3.0085139999999999</v>
      </c>
      <c r="V4381">
        <v>-1.7238099999999899E-2</v>
      </c>
      <c r="W4381">
        <v>1.8095279999999998E-2</v>
      </c>
      <c r="X4381">
        <v>0.99968769999999996</v>
      </c>
      <c r="Y4381">
        <v>-9.331188E-2</v>
      </c>
      <c r="Z4381">
        <v>4.5492329999999997E-2</v>
      </c>
      <c r="AA4381">
        <v>0.99459710000000001</v>
      </c>
      <c r="AB4381">
        <v>23</v>
      </c>
      <c r="AC4381">
        <v>-0.64570000000000405</v>
      </c>
      <c r="AD4381">
        <v>-1.1111644087026</v>
      </c>
      <c r="AE4381">
        <v>-23.954199999999901</v>
      </c>
      <c r="AF4381">
        <v>-2.24107901922953</v>
      </c>
      <c r="AG4381">
        <v>-1.1111644087026</v>
      </c>
      <c r="AH4381">
        <v>23.806233636388399</v>
      </c>
      <c r="AI4381">
        <v>92.660615122856697</v>
      </c>
      <c r="AJ4381">
        <v>95.377879925416195</v>
      </c>
      <c r="AK4381">
        <v>23.937290604074398</v>
      </c>
      <c r="AL4381">
        <v>88.963160284016496</v>
      </c>
      <c r="AM4381">
        <v>90.987881018954596</v>
      </c>
      <c r="AN4381">
        <v>1.0000000443905801</v>
      </c>
    </row>
    <row r="4382" spans="1:40" x14ac:dyDescent="0.25">
      <c r="A4382" t="str">
        <f>"20190312160421391"</f>
        <v>20190312160421391</v>
      </c>
      <c r="B4382" t="str">
        <f>"1552377861379081"</f>
        <v>1552377861379081</v>
      </c>
      <c r="C4382" t="s">
        <v>40</v>
      </c>
      <c r="D4382">
        <v>5.3540169999999998</v>
      </c>
      <c r="E4382">
        <v>0.47030889999999997</v>
      </c>
      <c r="F4382" t="s">
        <v>60</v>
      </c>
      <c r="G4382">
        <v>-191.1464</v>
      </c>
      <c r="H4382" s="1">
        <v>-1.49120899999999E-5</v>
      </c>
      <c r="I4382">
        <v>159.35640000000001</v>
      </c>
      <c r="J4382">
        <v>-190.5292</v>
      </c>
      <c r="K4382">
        <v>1.1111709999999999</v>
      </c>
      <c r="L4382">
        <v>183.62370000000001</v>
      </c>
      <c r="M4382">
        <v>-0.1196416</v>
      </c>
      <c r="N4382">
        <v>0</v>
      </c>
      <c r="O4382">
        <v>-0.99272169999999904</v>
      </c>
      <c r="P4382">
        <v>-0.1025075</v>
      </c>
      <c r="Q4382">
        <v>3.9527909999999998E-3</v>
      </c>
      <c r="R4382">
        <v>-0.99472450000000001</v>
      </c>
      <c r="S4382">
        <v>-7.7987669999999995E-2</v>
      </c>
      <c r="T4382">
        <v>-0.1370092</v>
      </c>
      <c r="U4382">
        <v>-3.0086979999999999</v>
      </c>
      <c r="V4382">
        <v>-1.7294480000000001E-2</v>
      </c>
      <c r="W4382">
        <v>1.768337E-2</v>
      </c>
      <c r="X4382">
        <v>0.99969399999999997</v>
      </c>
      <c r="Y4382">
        <v>-9.3912910000000002E-2</v>
      </c>
      <c r="Z4382">
        <v>4.4892759999999997E-2</v>
      </c>
      <c r="AA4382">
        <v>0.9945678</v>
      </c>
      <c r="AB4382">
        <v>23</v>
      </c>
      <c r="AC4382">
        <v>-0.61719999999999597</v>
      </c>
      <c r="AD4382">
        <v>-1.1111859120899901</v>
      </c>
      <c r="AE4382">
        <v>-24.267299999999999</v>
      </c>
      <c r="AF4382">
        <v>-2.28609775519211</v>
      </c>
      <c r="AG4382">
        <v>-1.1111859120899901</v>
      </c>
      <c r="AH4382">
        <v>24.1162769467388</v>
      </c>
      <c r="AI4382">
        <v>92.626347517355498</v>
      </c>
      <c r="AJ4382">
        <v>95.415160586278603</v>
      </c>
      <c r="AK4382">
        <v>24.249861666601898</v>
      </c>
      <c r="AL4382">
        <v>88.986764666460203</v>
      </c>
      <c r="AM4382">
        <v>90.991105155826006</v>
      </c>
      <c r="AN4382">
        <v>0.99999994712451201</v>
      </c>
    </row>
    <row r="4383" spans="1:40" x14ac:dyDescent="0.25">
      <c r="A4383" t="str">
        <f>"20190312160421442"</f>
        <v>20190312160421442</v>
      </c>
      <c r="B4383" t="str">
        <f>"1552377861439593"</f>
        <v>1552377861439593</v>
      </c>
      <c r="C4383" t="s">
        <v>40</v>
      </c>
      <c r="D4383">
        <v>5.4707109999999997</v>
      </c>
      <c r="E4383">
        <v>0.53152519999999903</v>
      </c>
      <c r="F4383" t="s">
        <v>60</v>
      </c>
      <c r="G4383">
        <v>-191.13560000000001</v>
      </c>
      <c r="H4383" s="1">
        <v>-1.488439E-5</v>
      </c>
      <c r="I4383">
        <v>159.24629999999999</v>
      </c>
      <c r="J4383">
        <v>-190.58920000000001</v>
      </c>
      <c r="K4383">
        <v>1.111157</v>
      </c>
      <c r="L4383">
        <v>183.08709999999999</v>
      </c>
      <c r="M4383">
        <v>-0.1161476</v>
      </c>
      <c r="N4383">
        <v>0</v>
      </c>
      <c r="O4383">
        <v>-0.99313680000000004</v>
      </c>
      <c r="P4383">
        <v>-9.9450979999999994E-2</v>
      </c>
      <c r="Q4383">
        <v>1.7566159999999999E-3</v>
      </c>
      <c r="R4383">
        <v>-0.99504110000000001</v>
      </c>
      <c r="S4383">
        <v>-7.4844359999999999E-2</v>
      </c>
      <c r="T4383">
        <v>-0.1371472</v>
      </c>
      <c r="U4383">
        <v>-3.008759</v>
      </c>
      <c r="V4383">
        <v>-1.6842240000000001E-2</v>
      </c>
      <c r="W4383">
        <v>1.5482589999999999E-2</v>
      </c>
      <c r="X4383">
        <v>0.99973829999999997</v>
      </c>
      <c r="Y4383">
        <v>-9.1448280000000007E-2</v>
      </c>
      <c r="Z4383">
        <v>4.49711E-2</v>
      </c>
      <c r="AA4383">
        <v>0.99479379999999995</v>
      </c>
      <c r="AB4383">
        <v>23</v>
      </c>
      <c r="AC4383">
        <v>-0.54640000000000499</v>
      </c>
      <c r="AD4383">
        <v>-1.11117188439</v>
      </c>
      <c r="AE4383">
        <v>-23.840800000000002</v>
      </c>
      <c r="AF4383">
        <v>-2.2217883458983598</v>
      </c>
      <c r="AG4383">
        <v>-1.11117188439</v>
      </c>
      <c r="AH4383">
        <v>23.691445022306802</v>
      </c>
      <c r="AI4383">
        <v>92.673594553247497</v>
      </c>
      <c r="AJ4383">
        <v>95.3575400395668</v>
      </c>
      <c r="AK4383">
        <v>23.8213268659748</v>
      </c>
      <c r="AL4383">
        <v>89.112877510351396</v>
      </c>
      <c r="AM4383">
        <v>90.965150573929293</v>
      </c>
      <c r="AN4383">
        <v>1.0000000200640999</v>
      </c>
    </row>
    <row r="4384" spans="1:40" x14ac:dyDescent="0.25">
      <c r="A4384" t="str">
        <f>"20190312160421457"</f>
        <v>20190312160421457</v>
      </c>
      <c r="B4384" t="str">
        <f>"1552377861449353"</f>
        <v>1552377861449353</v>
      </c>
      <c r="C4384" t="s">
        <v>40</v>
      </c>
      <c r="D4384">
        <v>5.3721860000000001</v>
      </c>
      <c r="E4384">
        <v>0.53792079999999998</v>
      </c>
      <c r="F4384" t="s">
        <v>60</v>
      </c>
      <c r="G4384">
        <v>-196.75030000000001</v>
      </c>
      <c r="H4384" s="1">
        <v>-1.203083E-5</v>
      </c>
      <c r="I4384">
        <v>149.93899999999999</v>
      </c>
      <c r="J4384">
        <v>-190.6053</v>
      </c>
      <c r="K4384">
        <v>1.111143</v>
      </c>
      <c r="L4384">
        <v>182.93979999999999</v>
      </c>
      <c r="M4384">
        <v>-0.1151967</v>
      </c>
      <c r="N4384">
        <v>0</v>
      </c>
      <c r="O4384">
        <v>-0.99324730000000006</v>
      </c>
      <c r="P4384">
        <v>-9.8235000000000003E-2</v>
      </c>
      <c r="Q4384">
        <v>2.102348E-3</v>
      </c>
      <c r="R4384">
        <v>-0.99516110000000002</v>
      </c>
      <c r="S4384">
        <v>-0.55018619999999996</v>
      </c>
      <c r="T4384">
        <v>-9.9227789999999996E-2</v>
      </c>
      <c r="U4384">
        <v>-2.9601440000000001</v>
      </c>
      <c r="V4384">
        <v>-1.7106719999999999E-2</v>
      </c>
      <c r="W4384">
        <v>1.5825869999999999E-2</v>
      </c>
      <c r="X4384">
        <v>0.99972839999999996</v>
      </c>
      <c r="Y4384">
        <v>6.8151320000000001E-2</v>
      </c>
      <c r="Z4384">
        <v>3.2849250000000003E-2</v>
      </c>
      <c r="AA4384">
        <v>0.99713399999999996</v>
      </c>
      <c r="AB4384">
        <v>23</v>
      </c>
      <c r="AC4384">
        <v>-6.1449999999999996</v>
      </c>
      <c r="AD4384">
        <v>-1.11115503083</v>
      </c>
      <c r="AE4384">
        <v>-33.000799999999998</v>
      </c>
      <c r="AF4384">
        <v>2.2996198384971298</v>
      </c>
      <c r="AG4384">
        <v>-1.11115503083</v>
      </c>
      <c r="AH4384">
        <v>33.452358598944102</v>
      </c>
      <c r="AI4384">
        <v>91.897963755887503</v>
      </c>
      <c r="AJ4384">
        <v>86.067495493930707</v>
      </c>
      <c r="AK4384">
        <v>33.549712558179998</v>
      </c>
      <c r="AL4384">
        <v>89.093206574100705</v>
      </c>
      <c r="AM4384">
        <v>90.980313465669397</v>
      </c>
      <c r="AN4384">
        <v>0.99999998589848704</v>
      </c>
    </row>
    <row r="4385" spans="1:40" x14ac:dyDescent="0.25">
      <c r="A4385" t="str">
        <f>"20190312160421472"</f>
        <v>20190312160421472</v>
      </c>
      <c r="B4385" t="str">
        <f>"1552377861469848"</f>
        <v>1552377861469848</v>
      </c>
      <c r="C4385" t="s">
        <v>40</v>
      </c>
      <c r="D4385">
        <v>5.3135190000000003</v>
      </c>
      <c r="E4385">
        <v>0.54316339999999996</v>
      </c>
      <c r="F4385" t="s">
        <v>60</v>
      </c>
      <c r="G4385">
        <v>-197.47120000000001</v>
      </c>
      <c r="H4385" s="1">
        <v>-1.1850399999999999E-5</v>
      </c>
      <c r="I4385">
        <v>148.97210000000001</v>
      </c>
      <c r="J4385">
        <v>-190.62299999999999</v>
      </c>
      <c r="K4385">
        <v>1.111124</v>
      </c>
      <c r="L4385">
        <v>182.7774</v>
      </c>
      <c r="M4385">
        <v>-0.11415599999999999</v>
      </c>
      <c r="N4385">
        <v>0</v>
      </c>
      <c r="O4385">
        <v>-0.99336760000000002</v>
      </c>
      <c r="P4385">
        <v>-9.6664440000000004E-2</v>
      </c>
      <c r="Q4385">
        <v>2.4903400000000002E-3</v>
      </c>
      <c r="R4385">
        <v>-0.99531409999999998</v>
      </c>
      <c r="S4385">
        <v>-0.59745789999999999</v>
      </c>
      <c r="T4385">
        <v>-9.669113E-2</v>
      </c>
      <c r="U4385">
        <v>-2.9558260000000001</v>
      </c>
      <c r="V4385">
        <v>-1.7637659999999999E-2</v>
      </c>
      <c r="W4385">
        <v>1.6211099999999999E-2</v>
      </c>
      <c r="X4385">
        <v>0.99971299999999996</v>
      </c>
      <c r="Y4385">
        <v>8.4821110000000005E-2</v>
      </c>
      <c r="Z4385">
        <v>3.1993199999999999E-2</v>
      </c>
      <c r="AA4385">
        <v>0.9958825</v>
      </c>
      <c r="AB4385">
        <v>23</v>
      </c>
      <c r="AC4385">
        <v>-6.8482000000000101</v>
      </c>
      <c r="AD4385">
        <v>-1.1111358504</v>
      </c>
      <c r="AE4385">
        <v>-33.805299999999903</v>
      </c>
      <c r="AF4385">
        <v>2.9409287255555299</v>
      </c>
      <c r="AG4385">
        <v>-1.1111358504</v>
      </c>
      <c r="AH4385">
        <v>34.330477454180901</v>
      </c>
      <c r="AI4385">
        <v>91.847020644297899</v>
      </c>
      <c r="AJ4385">
        <v>85.103696951256694</v>
      </c>
      <c r="AK4385">
        <v>34.474126049529801</v>
      </c>
      <c r="AL4385">
        <v>89.071131686996907</v>
      </c>
      <c r="AM4385">
        <v>91.010748731703799</v>
      </c>
      <c r="AN4385">
        <v>0.99999998459124195</v>
      </c>
    </row>
    <row r="4386" spans="1:40" x14ac:dyDescent="0.25">
      <c r="A4386" t="str">
        <f>"20190312160421485"</f>
        <v>20190312160421485</v>
      </c>
      <c r="B4386" t="str">
        <f>"1552377861479611"</f>
        <v>1552377861479611</v>
      </c>
      <c r="C4386" t="s">
        <v>40</v>
      </c>
      <c r="D4386">
        <v>5.3328389999999999</v>
      </c>
      <c r="E4386">
        <v>0.54453189999999996</v>
      </c>
      <c r="F4386" t="s">
        <v>60</v>
      </c>
      <c r="G4386">
        <v>-197.2774</v>
      </c>
      <c r="H4386" s="1">
        <v>-1.277848E-5</v>
      </c>
      <c r="I4386">
        <v>151.82140000000001</v>
      </c>
      <c r="J4386">
        <v>-190.63669999999999</v>
      </c>
      <c r="K4386">
        <v>1.111111</v>
      </c>
      <c r="L4386">
        <v>182.65020000000001</v>
      </c>
      <c r="M4386">
        <v>-0.113347</v>
      </c>
      <c r="N4386">
        <v>0</v>
      </c>
      <c r="O4386">
        <v>-0.99346029999999996</v>
      </c>
      <c r="P4386">
        <v>-9.5754580000000006E-2</v>
      </c>
      <c r="Q4386">
        <v>2.4255380000000001E-3</v>
      </c>
      <c r="R4386">
        <v>-0.99540229999999996</v>
      </c>
      <c r="S4386">
        <v>-0.6347351</v>
      </c>
      <c r="T4386">
        <v>-0.1059866</v>
      </c>
      <c r="U4386">
        <v>-2.9527589999999999</v>
      </c>
      <c r="V4386">
        <v>-1.7736829999999999E-2</v>
      </c>
      <c r="W4386">
        <v>1.6144829999999999E-2</v>
      </c>
      <c r="X4386">
        <v>0.9997123</v>
      </c>
      <c r="Y4386">
        <v>9.7852099999999997E-2</v>
      </c>
      <c r="Z4386">
        <v>3.5039979999999998E-2</v>
      </c>
      <c r="AA4386">
        <v>0.99458389999999997</v>
      </c>
      <c r="AB4386">
        <v>23</v>
      </c>
      <c r="AC4386">
        <v>-6.6407000000000096</v>
      </c>
      <c r="AD4386">
        <v>-1.1111237784800001</v>
      </c>
      <c r="AE4386">
        <v>-30.828800000000001</v>
      </c>
      <c r="AF4386">
        <v>3.0993656545124399</v>
      </c>
      <c r="AG4386">
        <v>-1.1111237784800001</v>
      </c>
      <c r="AH4386">
        <v>31.343948964289002</v>
      </c>
      <c r="AI4386">
        <v>92.020404868050093</v>
      </c>
      <c r="AJ4386">
        <v>84.352812250763904</v>
      </c>
      <c r="AK4386">
        <v>31.516405254841899</v>
      </c>
      <c r="AL4386">
        <v>89.074929158817596</v>
      </c>
      <c r="AM4386">
        <v>91.016431318388101</v>
      </c>
      <c r="AN4386">
        <v>0.99999996672273295</v>
      </c>
    </row>
    <row r="4387" spans="1:40" x14ac:dyDescent="0.25">
      <c r="A4387" t="str">
        <f>"20190312160421497"</f>
        <v>20190312160421497</v>
      </c>
      <c r="B4387" t="str">
        <f>"1552377861489368"</f>
        <v>1552377861489368</v>
      </c>
      <c r="C4387" t="s">
        <v>40</v>
      </c>
      <c r="D4387">
        <v>5.3370989999999896</v>
      </c>
      <c r="E4387">
        <v>0.54517569999999904</v>
      </c>
      <c r="F4387" t="s">
        <v>60</v>
      </c>
      <c r="G4387">
        <v>-197.95150000000001</v>
      </c>
      <c r="H4387" s="1">
        <v>-1.19561899999999E-5</v>
      </c>
      <c r="I4387">
        <v>149.05019999999999</v>
      </c>
      <c r="J4387">
        <v>-190.6498</v>
      </c>
      <c r="K4387">
        <v>1.1110990000000001</v>
      </c>
      <c r="L4387">
        <v>182.52719999999999</v>
      </c>
      <c r="M4387">
        <v>-0.11257300000000001</v>
      </c>
      <c r="N4387">
        <v>0</v>
      </c>
      <c r="O4387">
        <v>-0.99354830000000005</v>
      </c>
      <c r="P4387">
        <v>-9.5020510000000002E-2</v>
      </c>
      <c r="Q4387">
        <v>2.4179869999999999E-3</v>
      </c>
      <c r="R4387">
        <v>-0.99547240000000004</v>
      </c>
      <c r="S4387">
        <v>-0.6427155</v>
      </c>
      <c r="T4387">
        <v>-9.7629069999999998E-2</v>
      </c>
      <c r="U4387">
        <v>-2.9522710000000001</v>
      </c>
      <c r="V4387">
        <v>-1.7694410000000001E-2</v>
      </c>
      <c r="W4387">
        <v>1.6136729999999998E-2</v>
      </c>
      <c r="X4387">
        <v>0.99971319999999997</v>
      </c>
      <c r="Y4387">
        <v>0.1012488</v>
      </c>
      <c r="Z4387">
        <v>3.2274810000000001E-2</v>
      </c>
      <c r="AA4387">
        <v>0.99433749999999999</v>
      </c>
      <c r="AB4387">
        <v>23</v>
      </c>
      <c r="AC4387">
        <v>-7.3017000000000101</v>
      </c>
      <c r="AD4387">
        <v>-1.1111109561900001</v>
      </c>
      <c r="AE4387">
        <v>-33.476999999999997</v>
      </c>
      <c r="AF4387">
        <v>3.4826526900324799</v>
      </c>
      <c r="AG4387">
        <v>-1.1111109561900001</v>
      </c>
      <c r="AH4387">
        <v>34.050407284816004</v>
      </c>
      <c r="AI4387">
        <v>91.859282919084507</v>
      </c>
      <c r="AJ4387">
        <v>84.160133551622295</v>
      </c>
      <c r="AK4387">
        <v>34.246075301824099</v>
      </c>
      <c r="AL4387">
        <v>89.075393331299395</v>
      </c>
      <c r="AM4387">
        <v>91.013999982507997</v>
      </c>
      <c r="AN4387">
        <v>0.99999998422728997</v>
      </c>
    </row>
    <row r="4388" spans="1:40" x14ac:dyDescent="0.25">
      <c r="A4388" t="str">
        <f>"20190312160421507"</f>
        <v>20190312160421507</v>
      </c>
      <c r="B4388" t="str">
        <f>"1552377861499128"</f>
        <v>1552377861499128</v>
      </c>
      <c r="C4388" t="s">
        <v>40</v>
      </c>
      <c r="D4388">
        <v>5.3361489999999998</v>
      </c>
      <c r="E4388">
        <v>0.54557089999999997</v>
      </c>
      <c r="F4388" t="s">
        <v>60</v>
      </c>
      <c r="G4388">
        <v>-198.27459999999999</v>
      </c>
      <c r="H4388" s="1">
        <v>-1.16399E-5</v>
      </c>
      <c r="I4388">
        <v>147.66749999999999</v>
      </c>
      <c r="J4388">
        <v>-190.6619</v>
      </c>
      <c r="K4388">
        <v>1.1110910000000001</v>
      </c>
      <c r="L4388">
        <v>182.41399999999999</v>
      </c>
      <c r="M4388">
        <v>-0.11186309999999999</v>
      </c>
      <c r="N4388">
        <v>0</v>
      </c>
      <c r="O4388">
        <v>-0.99362839999999997</v>
      </c>
      <c r="P4388">
        <v>-9.4594810000000001E-2</v>
      </c>
      <c r="Q4388">
        <v>2.112984E-3</v>
      </c>
      <c r="R4388">
        <v>-0.99551369999999895</v>
      </c>
      <c r="S4388">
        <v>-0.64573669999999905</v>
      </c>
      <c r="T4388">
        <v>-9.4099039999999995E-2</v>
      </c>
      <c r="U4388">
        <v>-2.9522400000000002</v>
      </c>
      <c r="V4388">
        <v>-1.740657E-2</v>
      </c>
      <c r="W4388">
        <v>1.5830629999999998E-2</v>
      </c>
      <c r="X4388">
        <v>0.99972309999999998</v>
      </c>
      <c r="Y4388">
        <v>0.1029409</v>
      </c>
      <c r="Z4388">
        <v>3.1107010000000001E-2</v>
      </c>
      <c r="AA4388">
        <v>0.99420090000000005</v>
      </c>
      <c r="AB4388">
        <v>23</v>
      </c>
      <c r="AC4388">
        <v>-7.6126999999999896</v>
      </c>
      <c r="AD4388">
        <v>-1.1111026398999999</v>
      </c>
      <c r="AE4388">
        <v>-34.746499999999997</v>
      </c>
      <c r="AF4388">
        <v>3.67410684172946</v>
      </c>
      <c r="AG4388">
        <v>-1.1111026398999999</v>
      </c>
      <c r="AH4388">
        <v>35.345550120522297</v>
      </c>
      <c r="AI4388">
        <v>91.790881542405202</v>
      </c>
      <c r="AJ4388">
        <v>84.065519232138101</v>
      </c>
      <c r="AK4388">
        <v>35.553361634073198</v>
      </c>
      <c r="AL4388">
        <v>89.092933767748605</v>
      </c>
      <c r="AM4388">
        <v>90.997498440780504</v>
      </c>
      <c r="AN4388">
        <v>0.99999993709948298</v>
      </c>
    </row>
    <row r="4389" spans="1:40" x14ac:dyDescent="0.25">
      <c r="A4389" t="str">
        <f>"20190312160421518"</f>
        <v>20190312160421518</v>
      </c>
      <c r="B4389" t="str">
        <f>"1552377861508888"</f>
        <v>1552377861508888</v>
      </c>
      <c r="C4389" t="s">
        <v>40</v>
      </c>
      <c r="D4389">
        <v>5.2920989999999897</v>
      </c>
      <c r="E4389">
        <v>0.54590959999999999</v>
      </c>
      <c r="F4389" t="s">
        <v>60</v>
      </c>
      <c r="G4389">
        <v>-198.54220000000001</v>
      </c>
      <c r="H4389" s="1">
        <v>-1.1321920000000001E-5</v>
      </c>
      <c r="I4389">
        <v>146.46950000000001</v>
      </c>
      <c r="J4389">
        <v>-190.67420000000001</v>
      </c>
      <c r="K4389">
        <v>1.1110819999999999</v>
      </c>
      <c r="L4389">
        <v>182.2971</v>
      </c>
      <c r="M4389">
        <v>-0.11113580000000001</v>
      </c>
      <c r="N4389">
        <v>0</v>
      </c>
      <c r="O4389">
        <v>-0.99371030000000005</v>
      </c>
      <c r="P4389">
        <v>-9.4098840000000003E-2</v>
      </c>
      <c r="Q4389">
        <v>1.982794E-3</v>
      </c>
      <c r="R4389">
        <v>-0.99556129999999998</v>
      </c>
      <c r="S4389">
        <v>-0.64723209999999998</v>
      </c>
      <c r="T4389">
        <v>-9.1257809999999995E-2</v>
      </c>
      <c r="U4389">
        <v>-2.9522249999999999</v>
      </c>
      <c r="V4389">
        <v>-1.717254E-2</v>
      </c>
      <c r="W4389">
        <v>1.5700479999999999E-2</v>
      </c>
      <c r="X4389">
        <v>0.99972930000000004</v>
      </c>
      <c r="Y4389">
        <v>0.1041567</v>
      </c>
      <c r="Z4389">
        <v>3.0168960000000002E-2</v>
      </c>
      <c r="AA4389">
        <v>0.99410319999999996</v>
      </c>
      <c r="AB4389">
        <v>23</v>
      </c>
      <c r="AC4389">
        <v>-7.8679999999999897</v>
      </c>
      <c r="AD4389">
        <v>-1.1110933219200001</v>
      </c>
      <c r="AE4389">
        <v>-35.827599999999897</v>
      </c>
      <c r="AF4389">
        <v>3.8336282664642498</v>
      </c>
      <c r="AG4389">
        <v>-1.1110933219200001</v>
      </c>
      <c r="AH4389">
        <v>36.446673061523697</v>
      </c>
      <c r="AI4389">
        <v>91.736572761684499</v>
      </c>
      <c r="AJ4389">
        <v>83.995446504839407</v>
      </c>
      <c r="AK4389">
        <v>36.664577064368899</v>
      </c>
      <c r="AL4389">
        <v>89.100391830929098</v>
      </c>
      <c r="AM4389">
        <v>90.984083704238699</v>
      </c>
      <c r="AN4389">
        <v>1.0000000372403799</v>
      </c>
    </row>
    <row r="4390" spans="1:40" x14ac:dyDescent="0.25">
      <c r="A4390" t="str">
        <f>"20190312160421530"</f>
        <v>20190312160421530</v>
      </c>
      <c r="B4390" t="str">
        <f>"1552377861519625"</f>
        <v>1552377861519625</v>
      </c>
      <c r="C4390" t="s">
        <v>40</v>
      </c>
      <c r="D4390">
        <v>5.2954169999999996</v>
      </c>
      <c r="E4390">
        <v>0.54636809999999902</v>
      </c>
      <c r="F4390" t="s">
        <v>60</v>
      </c>
      <c r="G4390">
        <v>-198.76230000000001</v>
      </c>
      <c r="H4390" s="1">
        <v>-1.105655E-5</v>
      </c>
      <c r="I4390">
        <v>145.47120000000001</v>
      </c>
      <c r="J4390">
        <v>-190.6858</v>
      </c>
      <c r="K4390">
        <v>1.1110739999999999</v>
      </c>
      <c r="L4390">
        <v>182.1867</v>
      </c>
      <c r="M4390">
        <v>-0.1104511</v>
      </c>
      <c r="N4390">
        <v>0</v>
      </c>
      <c r="O4390">
        <v>-0.99378639999999996</v>
      </c>
      <c r="P4390">
        <v>-9.3621109999999994E-2</v>
      </c>
      <c r="Q4390">
        <v>2.1911449999999998E-3</v>
      </c>
      <c r="R4390">
        <v>-0.99560559999999998</v>
      </c>
      <c r="S4390">
        <v>-0.64840699999999996</v>
      </c>
      <c r="T4390">
        <v>-8.9074609999999999E-2</v>
      </c>
      <c r="U4390">
        <v>-2.9522710000000001</v>
      </c>
      <c r="V4390">
        <v>-1.696369E-2</v>
      </c>
      <c r="W4390">
        <v>1.5907870000000001E-2</v>
      </c>
      <c r="X4390">
        <v>0.9997296</v>
      </c>
      <c r="Y4390">
        <v>0.1052207</v>
      </c>
      <c r="Z4390">
        <v>2.9447899999999999E-2</v>
      </c>
      <c r="AA4390">
        <v>0.99401280000000003</v>
      </c>
      <c r="AB4390">
        <v>23</v>
      </c>
      <c r="AC4390">
        <v>-8.07650000000001</v>
      </c>
      <c r="AD4390">
        <v>-1.1110850565499999</v>
      </c>
      <c r="AE4390">
        <v>-36.715499999999899</v>
      </c>
      <c r="AF4390">
        <v>3.9679580105297099</v>
      </c>
      <c r="AG4390">
        <v>-1.1110850565499999</v>
      </c>
      <c r="AH4390">
        <v>37.350332168099797</v>
      </c>
      <c r="AI4390">
        <v>91.694383900288301</v>
      </c>
      <c r="AJ4390">
        <v>83.935858421632801</v>
      </c>
      <c r="AK4390">
        <v>37.576941251831599</v>
      </c>
      <c r="AL4390">
        <v>89.088507787125295</v>
      </c>
      <c r="AM4390">
        <v>90.972117436761494</v>
      </c>
      <c r="AN4390">
        <v>1.00000005011125</v>
      </c>
    </row>
    <row r="4391" spans="1:40" x14ac:dyDescent="0.25">
      <c r="A4391" t="str">
        <f>"20190312160421541"</f>
        <v>20190312160421541</v>
      </c>
      <c r="B4391" t="str">
        <f>"1552377861529385"</f>
        <v>1552377861529385</v>
      </c>
      <c r="C4391" t="s">
        <v>40</v>
      </c>
      <c r="D4391">
        <v>5.2878270000000001</v>
      </c>
      <c r="E4391">
        <v>0.54664269999999904</v>
      </c>
      <c r="F4391" t="s">
        <v>60</v>
      </c>
      <c r="G4391">
        <v>-198.81880000000001</v>
      </c>
      <c r="H4391" s="1">
        <v>-1.1007599999999999E-5</v>
      </c>
      <c r="I4391">
        <v>145.27940000000001</v>
      </c>
      <c r="J4391">
        <v>-190.69800000000001</v>
      </c>
      <c r="K4391">
        <v>1.1110690000000001</v>
      </c>
      <c r="L4391">
        <v>182.0693</v>
      </c>
      <c r="M4391">
        <v>-0.1097259</v>
      </c>
      <c r="N4391">
        <v>0</v>
      </c>
      <c r="O4391">
        <v>-0.99386680000000005</v>
      </c>
      <c r="P4391">
        <v>-9.2772569999999999E-2</v>
      </c>
      <c r="Q4391">
        <v>2.620776E-3</v>
      </c>
      <c r="R4391">
        <v>-0.99568389999999996</v>
      </c>
      <c r="S4391">
        <v>-0.65057369999999903</v>
      </c>
      <c r="T4391">
        <v>-8.8876839999999999E-2</v>
      </c>
      <c r="U4391">
        <v>-2.9522550000000001</v>
      </c>
      <c r="V4391">
        <v>-1.7086560000000001E-2</v>
      </c>
      <c r="W4391">
        <v>1.6335539999999999E-2</v>
      </c>
      <c r="X4391">
        <v>0.99972059999999996</v>
      </c>
      <c r="Y4391">
        <v>0.10664369999999999</v>
      </c>
      <c r="Z4391">
        <v>2.9381750000000002E-2</v>
      </c>
      <c r="AA4391">
        <v>0.9938631</v>
      </c>
      <c r="AB4391">
        <v>23</v>
      </c>
      <c r="AC4391">
        <v>-8.1208000000000293</v>
      </c>
      <c r="AD4391">
        <v>-1.1110800076</v>
      </c>
      <c r="AE4391">
        <v>-36.789899999999903</v>
      </c>
      <c r="AF4391">
        <v>4.03106408776683</v>
      </c>
      <c r="AG4391">
        <v>-1.1110800076</v>
      </c>
      <c r="AH4391">
        <v>37.426312623941101</v>
      </c>
      <c r="AI4391">
        <v>91.690675593279906</v>
      </c>
      <c r="AJ4391">
        <v>83.852559991460794</v>
      </c>
      <c r="AK4391">
        <v>37.659166919728101</v>
      </c>
      <c r="AL4391">
        <v>89.064000906968801</v>
      </c>
      <c r="AM4391">
        <v>90.979166044832894</v>
      </c>
      <c r="AN4391">
        <v>1.0000000392320401</v>
      </c>
    </row>
    <row r="4392" spans="1:40" x14ac:dyDescent="0.25">
      <c r="A4392" t="str">
        <f>"20190312160421552"</f>
        <v>20190312160421552</v>
      </c>
      <c r="B4392" t="str">
        <f>"1552377861548905"</f>
        <v>1552377861548905</v>
      </c>
      <c r="C4392" t="s">
        <v>40</v>
      </c>
      <c r="D4392">
        <v>5.2979139999999996</v>
      </c>
      <c r="E4392">
        <v>0.54712729999999998</v>
      </c>
      <c r="F4392" t="s">
        <v>60</v>
      </c>
      <c r="G4392">
        <v>-199.03370000000001</v>
      </c>
      <c r="H4392" s="1">
        <v>-1.0722109999999999E-5</v>
      </c>
      <c r="I4392">
        <v>144.21600000000001</v>
      </c>
      <c r="J4392">
        <v>-190.7098</v>
      </c>
      <c r="K4392">
        <v>1.1110629999999999</v>
      </c>
      <c r="L4392">
        <v>181.95500000000001</v>
      </c>
      <c r="M4392">
        <v>-0.1090219</v>
      </c>
      <c r="N4392">
        <v>0</v>
      </c>
      <c r="O4392">
        <v>-0.9939443</v>
      </c>
      <c r="P4392">
        <v>-9.172806E-2</v>
      </c>
      <c r="Q4392">
        <v>3.0032449999999999E-3</v>
      </c>
      <c r="R4392">
        <v>-0.99577959999999999</v>
      </c>
      <c r="S4392">
        <v>-0.65020749999999905</v>
      </c>
      <c r="T4392">
        <v>-8.6667060000000004E-2</v>
      </c>
      <c r="U4392">
        <v>-2.9526520000000001</v>
      </c>
      <c r="V4392">
        <v>-1.7427769999999999E-2</v>
      </c>
      <c r="W4392">
        <v>1.671601E-2</v>
      </c>
      <c r="X4392">
        <v>0.99970840000000005</v>
      </c>
      <c r="Y4392">
        <v>0.10720689999999999</v>
      </c>
      <c r="Z4392">
        <v>2.8650930000000002E-2</v>
      </c>
      <c r="AA4392">
        <v>0.99382380000000003</v>
      </c>
      <c r="AB4392">
        <v>23</v>
      </c>
      <c r="AC4392">
        <v>-8.3239000000000001</v>
      </c>
      <c r="AD4392">
        <v>-1.11107372211</v>
      </c>
      <c r="AE4392">
        <v>-37.738999999999997</v>
      </c>
      <c r="AF4392">
        <v>4.1560732229759401</v>
      </c>
      <c r="AG4392">
        <v>-1.11107372211</v>
      </c>
      <c r="AH4392">
        <v>38.389849904681398</v>
      </c>
      <c r="AI4392">
        <v>91.648158902344804</v>
      </c>
      <c r="AJ4392">
        <v>83.821240413201494</v>
      </c>
      <c r="AK4392">
        <v>38.630143737173199</v>
      </c>
      <c r="AL4392">
        <v>89.042198585371196</v>
      </c>
      <c r="AM4392">
        <v>90.998727761457403</v>
      </c>
      <c r="AN4392">
        <v>1.0000000185940201</v>
      </c>
    </row>
    <row r="4393" spans="1:40" x14ac:dyDescent="0.25">
      <c r="A4393" t="str">
        <f>"20190312160421563"</f>
        <v>20190312160421563</v>
      </c>
      <c r="B4393" t="str">
        <f>"1552377861559640"</f>
        <v>1552377861559640</v>
      </c>
      <c r="C4393" t="s">
        <v>40</v>
      </c>
      <c r="D4393">
        <v>5.4561599999999997</v>
      </c>
      <c r="E4393">
        <v>0.54800079999999995</v>
      </c>
      <c r="F4393" t="s">
        <v>60</v>
      </c>
      <c r="G4393">
        <v>-199.1944</v>
      </c>
      <c r="H4393" s="1">
        <v>-1.052205E-5</v>
      </c>
      <c r="I4393">
        <v>143.4659</v>
      </c>
      <c r="J4393">
        <v>-190.72120000000001</v>
      </c>
      <c r="K4393">
        <v>1.111057</v>
      </c>
      <c r="L4393">
        <v>181.8433</v>
      </c>
      <c r="M4393">
        <v>-0.10833479999999999</v>
      </c>
      <c r="N4393">
        <v>0</v>
      </c>
      <c r="O4393">
        <v>-0.99401949999999994</v>
      </c>
      <c r="P4393">
        <v>-9.1016899999999998E-2</v>
      </c>
      <c r="Q4393">
        <v>3.480922E-3</v>
      </c>
      <c r="R4393">
        <v>-0.99584340000000005</v>
      </c>
      <c r="S4393">
        <v>-0.65097050000000001</v>
      </c>
      <c r="T4393">
        <v>-8.5245009999999996E-2</v>
      </c>
      <c r="U4393">
        <v>-2.9530029999999998</v>
      </c>
      <c r="V4393">
        <v>-1.7451459999999999E-2</v>
      </c>
      <c r="W4393">
        <v>1.719277E-2</v>
      </c>
      <c r="X4393">
        <v>0.99969989999999997</v>
      </c>
      <c r="Y4393">
        <v>0.10811709999999999</v>
      </c>
      <c r="Z4393">
        <v>2.8178950000000001E-2</v>
      </c>
      <c r="AA4393">
        <v>0.99373869999999997</v>
      </c>
      <c r="AB4393">
        <v>23</v>
      </c>
      <c r="AC4393">
        <v>-8.4731999999999896</v>
      </c>
      <c r="AD4393">
        <v>-1.1110675220499999</v>
      </c>
      <c r="AE4393">
        <v>-38.377400000000002</v>
      </c>
      <c r="AF4393">
        <v>4.2619145973736403</v>
      </c>
      <c r="AG4393">
        <v>-1.1110675220499999</v>
      </c>
      <c r="AH4393">
        <v>39.038315121561602</v>
      </c>
      <c r="AI4393">
        <v>91.620628141994899</v>
      </c>
      <c r="AJ4393">
        <v>83.769545137046293</v>
      </c>
      <c r="AK4393">
        <v>39.285982673266602</v>
      </c>
      <c r="AL4393">
        <v>89.014878321725803</v>
      </c>
      <c r="AM4393">
        <v>91.000093582880595</v>
      </c>
      <c r="AN4393">
        <v>1.0000000174282</v>
      </c>
    </row>
    <row r="4394" spans="1:40" x14ac:dyDescent="0.25">
      <c r="A4394" t="str">
        <f>"20190312160421576"</f>
        <v>20190312160421576</v>
      </c>
      <c r="B4394" t="str">
        <f>"1552377861569401"</f>
        <v>1552377861569401</v>
      </c>
      <c r="C4394" t="s">
        <v>40</v>
      </c>
      <c r="D4394">
        <v>5.3115489999999896</v>
      </c>
      <c r="E4394">
        <v>0.54805919999999997</v>
      </c>
      <c r="F4394" t="s">
        <v>60</v>
      </c>
      <c r="G4394">
        <v>-199.19049999999999</v>
      </c>
      <c r="H4394" s="1">
        <v>-1.059704E-5</v>
      </c>
      <c r="I4394">
        <v>143.7199</v>
      </c>
      <c r="J4394">
        <v>-190.73419999999999</v>
      </c>
      <c r="K4394">
        <v>1.1110530000000001</v>
      </c>
      <c r="L4394">
        <v>181.71629999999999</v>
      </c>
      <c r="M4394">
        <v>-0.107558</v>
      </c>
      <c r="N4394">
        <v>0</v>
      </c>
      <c r="O4394">
        <v>-0.99410370000000003</v>
      </c>
      <c r="P4394">
        <v>-9.013533E-2</v>
      </c>
      <c r="Q4394">
        <v>3.8936000000000001E-3</v>
      </c>
      <c r="R4394">
        <v>-0.99592199999999997</v>
      </c>
      <c r="S4394">
        <v>-0.65599059999999998</v>
      </c>
      <c r="T4394">
        <v>-8.6058380000000004E-2</v>
      </c>
      <c r="U4394">
        <v>-2.9528660000000002</v>
      </c>
      <c r="V4394">
        <v>-1.755526E-2</v>
      </c>
      <c r="W4394">
        <v>1.7603750000000001E-2</v>
      </c>
      <c r="X4394">
        <v>0.99969090000000005</v>
      </c>
      <c r="Y4394">
        <v>0.11051229999999999</v>
      </c>
      <c r="Z4394">
        <v>2.8443570000000001E-2</v>
      </c>
      <c r="AA4394">
        <v>0.99346769999999995</v>
      </c>
      <c r="AB4394">
        <v>23</v>
      </c>
      <c r="AC4394">
        <v>-8.4562999999999899</v>
      </c>
      <c r="AD4394">
        <v>-1.11106359704</v>
      </c>
      <c r="AE4394">
        <v>-37.996400000000001</v>
      </c>
      <c r="AF4394">
        <v>4.3165141634087796</v>
      </c>
      <c r="AG4394">
        <v>-1.11106359704</v>
      </c>
      <c r="AH4394">
        <v>38.654071161639003</v>
      </c>
      <c r="AI4394">
        <v>91.636277953636906</v>
      </c>
      <c r="AJ4394">
        <v>83.628158184788802</v>
      </c>
      <c r="AK4394">
        <v>38.910203985697997</v>
      </c>
      <c r="AL4394">
        <v>88.991327307464502</v>
      </c>
      <c r="AM4394">
        <v>91.006049902272295</v>
      </c>
      <c r="AN4394">
        <v>0.99999998735526996</v>
      </c>
    </row>
    <row r="4395" spans="1:40" x14ac:dyDescent="0.25">
      <c r="A4395" t="str">
        <f>"20190312160421586"</f>
        <v>20190312160421586</v>
      </c>
      <c r="B4395" t="str">
        <f>"1552377861579160"</f>
        <v>1552377861579160</v>
      </c>
      <c r="C4395" t="s">
        <v>40</v>
      </c>
      <c r="D4395">
        <v>5.3383010000000004</v>
      </c>
      <c r="E4395">
        <v>0.54827919999999997</v>
      </c>
      <c r="F4395" t="s">
        <v>60</v>
      </c>
      <c r="G4395">
        <v>-199.3545</v>
      </c>
      <c r="H4395" s="1">
        <v>-1.034032E-5</v>
      </c>
      <c r="I4395">
        <v>142.77780000000001</v>
      </c>
      <c r="J4395">
        <v>-190.74610000000001</v>
      </c>
      <c r="K4395">
        <v>1.111048</v>
      </c>
      <c r="L4395">
        <v>181.59880000000001</v>
      </c>
      <c r="M4395">
        <v>-0.1068402</v>
      </c>
      <c r="N4395">
        <v>0</v>
      </c>
      <c r="O4395">
        <v>-0.99418130000000005</v>
      </c>
      <c r="P4395">
        <v>-8.9439989999999997E-2</v>
      </c>
      <c r="Q4395">
        <v>4.0525370000000002E-3</v>
      </c>
      <c r="R4395">
        <v>-0.99598419999999999</v>
      </c>
      <c r="S4395">
        <v>-0.65383910000000001</v>
      </c>
      <c r="T4395">
        <v>-8.4272979999999997E-2</v>
      </c>
      <c r="U4395">
        <v>-2.9534449999999999</v>
      </c>
      <c r="V4395">
        <v>-1.7531850000000002E-2</v>
      </c>
      <c r="W4395">
        <v>1.7761550000000001E-2</v>
      </c>
      <c r="X4395">
        <v>0.99968849999999998</v>
      </c>
      <c r="Y4395">
        <v>0.1105024</v>
      </c>
      <c r="Z4395">
        <v>2.785404E-2</v>
      </c>
      <c r="AA4395">
        <v>0.99348550000000002</v>
      </c>
      <c r="AB4395">
        <v>23</v>
      </c>
      <c r="AC4395">
        <v>-8.6083999999999801</v>
      </c>
      <c r="AD4395">
        <v>-1.1110583403200001</v>
      </c>
      <c r="AE4395">
        <v>-38.820999999999998</v>
      </c>
      <c r="AF4395">
        <v>4.4076420126539801</v>
      </c>
      <c r="AG4395">
        <v>-1.1110583403200001</v>
      </c>
      <c r="AH4395">
        <v>39.487735696566503</v>
      </c>
      <c r="AI4395">
        <v>91.601752288427804</v>
      </c>
      <c r="AJ4395">
        <v>83.630978225047599</v>
      </c>
      <c r="AK4395">
        <v>39.748497194097801</v>
      </c>
      <c r="AL4395">
        <v>88.982284599529294</v>
      </c>
      <c r="AM4395">
        <v>91.004711017983794</v>
      </c>
      <c r="AN4395">
        <v>0.99999996772753696</v>
      </c>
    </row>
    <row r="4396" spans="1:40" x14ac:dyDescent="0.25">
      <c r="A4396" t="str">
        <f>"20190312160421598"</f>
        <v>20190312160421598</v>
      </c>
      <c r="B4396" t="str">
        <f>"1552377861588920"</f>
        <v>1552377861588920</v>
      </c>
      <c r="C4396" t="s">
        <v>40</v>
      </c>
      <c r="D4396">
        <v>5.3249779999999998</v>
      </c>
      <c r="E4396">
        <v>0.54852040000000002</v>
      </c>
      <c r="F4396" t="s">
        <v>60</v>
      </c>
      <c r="G4396">
        <v>-199.41829999999999</v>
      </c>
      <c r="H4396" s="1">
        <v>-1.023806E-5</v>
      </c>
      <c r="I4396">
        <v>142.4033</v>
      </c>
      <c r="J4396">
        <v>-190.75800000000001</v>
      </c>
      <c r="K4396">
        <v>1.1110390000000001</v>
      </c>
      <c r="L4396">
        <v>181.4796</v>
      </c>
      <c r="M4396">
        <v>-0.1061211</v>
      </c>
      <c r="N4396">
        <v>0</v>
      </c>
      <c r="O4396">
        <v>-0.99425830000000004</v>
      </c>
      <c r="P4396">
        <v>-8.9035390000000006E-2</v>
      </c>
      <c r="Q4396">
        <v>4.2029900000000002E-3</v>
      </c>
      <c r="R4396">
        <v>-0.99601980000000001</v>
      </c>
      <c r="S4396">
        <v>-0.6535339</v>
      </c>
      <c r="T4396">
        <v>-8.3729150000000002E-2</v>
      </c>
      <c r="U4396">
        <v>-2.9537659999999999</v>
      </c>
      <c r="V4396">
        <v>-1.721433E-2</v>
      </c>
      <c r="W4396">
        <v>1.7911739999999999E-2</v>
      </c>
      <c r="X4396">
        <v>0.99969140000000001</v>
      </c>
      <c r="Y4396">
        <v>0.1111017</v>
      </c>
      <c r="Z4396">
        <v>2.767408E-2</v>
      </c>
      <c r="AA4396">
        <v>0.99342359999999996</v>
      </c>
      <c r="AB4396">
        <v>23</v>
      </c>
      <c r="AC4396">
        <v>-8.6602999999999994</v>
      </c>
      <c r="AD4396">
        <v>-1.1110492380600001</v>
      </c>
      <c r="AE4396">
        <v>-39.076300000000003</v>
      </c>
      <c r="AF4396">
        <v>4.4607391923905304</v>
      </c>
      <c r="AG4396">
        <v>-1.1110492380600001</v>
      </c>
      <c r="AH4396">
        <v>39.7441041357948</v>
      </c>
      <c r="AI4396">
        <v>91.591304218809896</v>
      </c>
      <c r="AJ4396">
        <v>83.596122385787098</v>
      </c>
      <c r="AK4396">
        <v>40.009079445906103</v>
      </c>
      <c r="AL4396">
        <v>88.973678040241893</v>
      </c>
      <c r="AM4396">
        <v>90.986515426687603</v>
      </c>
      <c r="AN4396">
        <v>1.00000002941056</v>
      </c>
    </row>
    <row r="4397" spans="1:40" x14ac:dyDescent="0.25">
      <c r="A4397" t="str">
        <f>"20190312160421611"</f>
        <v>20190312160421611</v>
      </c>
      <c r="B4397" t="str">
        <f>"1552377861599656"</f>
        <v>1552377861599656</v>
      </c>
      <c r="C4397" t="s">
        <v>40</v>
      </c>
      <c r="D4397">
        <v>5.2971159999999999</v>
      </c>
      <c r="E4397">
        <v>0.54870200000000002</v>
      </c>
      <c r="F4397" t="s">
        <v>60</v>
      </c>
      <c r="G4397">
        <v>-199.35059999999999</v>
      </c>
      <c r="H4397" s="1">
        <v>-1.030891E-5</v>
      </c>
      <c r="I4397">
        <v>142.67410000000001</v>
      </c>
      <c r="J4397">
        <v>-190.77019999999999</v>
      </c>
      <c r="K4397">
        <v>1.111032</v>
      </c>
      <c r="L4397">
        <v>181.35820000000001</v>
      </c>
      <c r="M4397">
        <v>-0.10539229999999999</v>
      </c>
      <c r="N4397">
        <v>0</v>
      </c>
      <c r="O4397">
        <v>-0.99433559999999999</v>
      </c>
      <c r="P4397">
        <v>-8.8691930000000002E-2</v>
      </c>
      <c r="Q4397">
        <v>4.2507550000000002E-3</v>
      </c>
      <c r="R4397">
        <v>-0.99604990000000004</v>
      </c>
      <c r="S4397">
        <v>-0.65406799999999998</v>
      </c>
      <c r="T4397">
        <v>-8.4572910000000001E-2</v>
      </c>
      <c r="U4397">
        <v>-2.9538730000000002</v>
      </c>
      <c r="V4397">
        <v>-1.682581E-2</v>
      </c>
      <c r="W4397">
        <v>1.795894E-2</v>
      </c>
      <c r="X4397">
        <v>0.99969710000000001</v>
      </c>
      <c r="Y4397">
        <v>0.1119921</v>
      </c>
      <c r="Z4397">
        <v>2.795307E-2</v>
      </c>
      <c r="AA4397">
        <v>0.99331590000000003</v>
      </c>
      <c r="AB4397">
        <v>23</v>
      </c>
      <c r="AC4397">
        <v>-8.5803999999999903</v>
      </c>
      <c r="AD4397">
        <v>-1.1110423089100001</v>
      </c>
      <c r="AE4397">
        <v>-38.684100000000001</v>
      </c>
      <c r="AF4397">
        <v>4.45171236183928</v>
      </c>
      <c r="AG4397">
        <v>-1.1110423089100001</v>
      </c>
      <c r="AH4397">
        <v>39.342079157978503</v>
      </c>
      <c r="AI4397">
        <v>91.607382740484198</v>
      </c>
      <c r="AJ4397">
        <v>83.544214660518307</v>
      </c>
      <c r="AK4397">
        <v>39.608728210299603</v>
      </c>
      <c r="AL4397">
        <v>88.970973174649899</v>
      </c>
      <c r="AM4397">
        <v>90.964248954708296</v>
      </c>
      <c r="AN4397">
        <v>0.999999961578244</v>
      </c>
    </row>
    <row r="4398" spans="1:40" x14ac:dyDescent="0.25">
      <c r="A4398" t="str">
        <f>"20190312160421624"</f>
        <v>20190312160421624</v>
      </c>
      <c r="B4398" t="str">
        <f>"1552377861619178"</f>
        <v>1552377861619178</v>
      </c>
      <c r="C4398" t="s">
        <v>40</v>
      </c>
      <c r="D4398">
        <v>5.32097</v>
      </c>
      <c r="E4398">
        <v>0.549512</v>
      </c>
      <c r="F4398" t="s">
        <v>60</v>
      </c>
      <c r="G4398">
        <v>-199.3621</v>
      </c>
      <c r="H4398" s="1">
        <v>-1.0280619999999999E-5</v>
      </c>
      <c r="I4398">
        <v>142.57339999999999</v>
      </c>
      <c r="J4398">
        <v>-190.78309999999999</v>
      </c>
      <c r="K4398">
        <v>1.11102099999999</v>
      </c>
      <c r="L4398">
        <v>181.22819999999999</v>
      </c>
      <c r="M4398">
        <v>-0.104620699999999</v>
      </c>
      <c r="N4398">
        <v>0</v>
      </c>
      <c r="O4398">
        <v>-0.99441740000000001</v>
      </c>
      <c r="P4398">
        <v>-8.8263999999999995E-2</v>
      </c>
      <c r="Q4398">
        <v>4.1315149999999997E-3</v>
      </c>
      <c r="R4398">
        <v>-0.99608890000000005</v>
      </c>
      <c r="S4398">
        <v>-0.65438839999999998</v>
      </c>
      <c r="T4398">
        <v>-8.4620710000000002E-2</v>
      </c>
      <c r="U4398">
        <v>-2.9539789999999999</v>
      </c>
      <c r="V4398">
        <v>-1.647881E-2</v>
      </c>
      <c r="W4398">
        <v>1.783974E-2</v>
      </c>
      <c r="X4398">
        <v>0.99970510000000001</v>
      </c>
      <c r="Y4398">
        <v>0.11285820000000001</v>
      </c>
      <c r="Z4398">
        <v>2.7969609999999999E-2</v>
      </c>
      <c r="AA4398">
        <v>0.99321729999999997</v>
      </c>
      <c r="AB4398">
        <v>23</v>
      </c>
      <c r="AC4398">
        <v>-8.5790000000000006</v>
      </c>
      <c r="AD4398">
        <v>-1.11103128061999</v>
      </c>
      <c r="AE4398">
        <v>-38.654800000000002</v>
      </c>
      <c r="AF4398">
        <v>4.4839073267331102</v>
      </c>
      <c r="AG4398">
        <v>-1.11103128061999</v>
      </c>
      <c r="AH4398">
        <v>39.309305650445502</v>
      </c>
      <c r="AI4398">
        <v>91.608541497967806</v>
      </c>
      <c r="AJ4398">
        <v>83.492550035269602</v>
      </c>
      <c r="AK4398">
        <v>39.579809576871298</v>
      </c>
      <c r="AL4398">
        <v>88.977804013728402</v>
      </c>
      <c r="AM4398">
        <v>90.944359256298398</v>
      </c>
      <c r="AN4398">
        <v>1.0000000472341399</v>
      </c>
    </row>
    <row r="4399" spans="1:40" x14ac:dyDescent="0.25">
      <c r="A4399" t="str">
        <f>"20190312160421640"</f>
        <v>20190312160421640</v>
      </c>
      <c r="B4399" t="str">
        <f>"1552377861628936"</f>
        <v>1552377861628936</v>
      </c>
      <c r="C4399" t="s">
        <v>40</v>
      </c>
      <c r="D4399">
        <v>5.3682280000000002</v>
      </c>
      <c r="E4399">
        <v>0.54996869999999998</v>
      </c>
      <c r="F4399" t="s">
        <v>60</v>
      </c>
      <c r="G4399">
        <v>-199.19319999999999</v>
      </c>
      <c r="H4399" s="1">
        <v>-1.05551E-5</v>
      </c>
      <c r="I4399">
        <v>143.57759999999999</v>
      </c>
      <c r="J4399">
        <v>-190.79949999999999</v>
      </c>
      <c r="K4399">
        <v>1.1110009999999999</v>
      </c>
      <c r="L4399">
        <v>181.06049999999999</v>
      </c>
      <c r="M4399">
        <v>-0.1036463</v>
      </c>
      <c r="N4399">
        <v>0</v>
      </c>
      <c r="O4399">
        <v>-0.99451940000000005</v>
      </c>
      <c r="P4399">
        <v>-8.8205619999999998E-2</v>
      </c>
      <c r="Q4399">
        <v>4.3572949999999997E-3</v>
      </c>
      <c r="R4399">
        <v>-0.99609289999999995</v>
      </c>
      <c r="S4399">
        <v>-0.65977479999999999</v>
      </c>
      <c r="T4399">
        <v>-8.715987E-2</v>
      </c>
      <c r="U4399">
        <v>-2.9536739999999999</v>
      </c>
      <c r="V4399">
        <v>-1.555729E-2</v>
      </c>
      <c r="W4399">
        <v>1.806572E-2</v>
      </c>
      <c r="X4399">
        <v>0.99971569999999998</v>
      </c>
      <c r="Y4399">
        <v>0.1155736</v>
      </c>
      <c r="Z4399">
        <v>2.8805339999999999E-2</v>
      </c>
      <c r="AA4399">
        <v>0.99288120000000002</v>
      </c>
      <c r="AB4399">
        <v>23</v>
      </c>
      <c r="AC4399">
        <v>-8.3936999999999902</v>
      </c>
      <c r="AD4399">
        <v>-1.1110115550999999</v>
      </c>
      <c r="AE4399">
        <v>-37.482900000000001</v>
      </c>
      <c r="AF4399">
        <v>4.4594237216180401</v>
      </c>
      <c r="AG4399">
        <v>-1.1110115550999999</v>
      </c>
      <c r="AH4399">
        <v>38.119154415500702</v>
      </c>
      <c r="AI4399">
        <v>91.658154498847395</v>
      </c>
      <c r="AJ4399">
        <v>83.327500653061605</v>
      </c>
      <c r="AK4399">
        <v>38.395191625479399</v>
      </c>
      <c r="AL4399">
        <v>88.964854116188306</v>
      </c>
      <c r="AM4399">
        <v>90.8915485821625</v>
      </c>
      <c r="AN4399">
        <v>0.99999994016887395</v>
      </c>
    </row>
    <row r="4400" spans="1:40" x14ac:dyDescent="0.25">
      <c r="A4400" t="str">
        <f>"20190312160421654"</f>
        <v>20190312160421654</v>
      </c>
      <c r="B4400" t="str">
        <f>"1552377861649434"</f>
        <v>1552377861649434</v>
      </c>
      <c r="C4400" t="s">
        <v>40</v>
      </c>
      <c r="D4400">
        <v>5.2939249999999998</v>
      </c>
      <c r="E4400">
        <v>0.55022320000000002</v>
      </c>
      <c r="F4400" t="s">
        <v>60</v>
      </c>
      <c r="G4400">
        <v>-199.05420000000001</v>
      </c>
      <c r="H4400" s="1">
        <v>-1.074925E-5</v>
      </c>
      <c r="I4400">
        <v>144.29730000000001</v>
      </c>
      <c r="J4400">
        <v>-190.8133</v>
      </c>
      <c r="K4400">
        <v>1.110978</v>
      </c>
      <c r="L4400">
        <v>180.9194</v>
      </c>
      <c r="M4400">
        <v>-0.1028477</v>
      </c>
      <c r="N4400">
        <v>0</v>
      </c>
      <c r="O4400">
        <v>-0.99460249999999994</v>
      </c>
      <c r="P4400">
        <v>-8.7523009999999998E-2</v>
      </c>
      <c r="Q4400">
        <v>4.6319919999999997E-3</v>
      </c>
      <c r="R4400">
        <v>-0.99615229999999999</v>
      </c>
      <c r="S4400">
        <v>-0.66314700000000004</v>
      </c>
      <c r="T4400">
        <v>-8.9254379999999994E-2</v>
      </c>
      <c r="U4400">
        <v>-2.9534150000000001</v>
      </c>
      <c r="V4400">
        <v>-1.543899E-2</v>
      </c>
      <c r="W4400">
        <v>1.8339859999999999E-2</v>
      </c>
      <c r="X4400">
        <v>0.99971259999999995</v>
      </c>
      <c r="Y4400">
        <v>0.1174646</v>
      </c>
      <c r="Z4400">
        <v>2.949622E-2</v>
      </c>
      <c r="AA4400">
        <v>0.99263889999999999</v>
      </c>
      <c r="AB4400">
        <v>23</v>
      </c>
      <c r="AC4400">
        <v>-8.2408999999999999</v>
      </c>
      <c r="AD4400">
        <v>-1.1109887492499999</v>
      </c>
      <c r="AE4400">
        <v>-36.622099999999897</v>
      </c>
      <c r="AF4400">
        <v>4.4264605737516698</v>
      </c>
      <c r="AG4400">
        <v>-1.1109887492499999</v>
      </c>
      <c r="AH4400">
        <v>37.242874966572501</v>
      </c>
      <c r="AI4400">
        <v>91.696743139122702</v>
      </c>
      <c r="AJ4400">
        <v>83.221970404591801</v>
      </c>
      <c r="AK4400">
        <v>37.5214549956114</v>
      </c>
      <c r="AL4400">
        <v>88.949144507857994</v>
      </c>
      <c r="AM4400">
        <v>90.884772936078093</v>
      </c>
      <c r="AN4400">
        <v>0.99999999773789905</v>
      </c>
    </row>
    <row r="4401" spans="1:40" x14ac:dyDescent="0.25">
      <c r="A4401" t="str">
        <f>"20190312160421666"</f>
        <v>20190312160421666</v>
      </c>
      <c r="B4401" t="str">
        <f>"1552377861659192"</f>
        <v>1552377861659192</v>
      </c>
      <c r="C4401" t="s">
        <v>40</v>
      </c>
      <c r="D4401">
        <v>5.2750769999999996</v>
      </c>
      <c r="E4401">
        <v>0.55040940000000005</v>
      </c>
      <c r="F4401" t="s">
        <v>60</v>
      </c>
      <c r="G4401">
        <v>-198.83099999999999</v>
      </c>
      <c r="H4401" s="1">
        <v>-1.098915E-5</v>
      </c>
      <c r="I4401">
        <v>145.2115</v>
      </c>
      <c r="J4401">
        <v>-190.8253</v>
      </c>
      <c r="K4401">
        <v>1.110951</v>
      </c>
      <c r="L4401">
        <v>180.79669999999999</v>
      </c>
      <c r="M4401">
        <v>-0.1021697</v>
      </c>
      <c r="N4401">
        <v>0</v>
      </c>
      <c r="O4401">
        <v>-0.99467240000000001</v>
      </c>
      <c r="P4401">
        <v>-8.6677370000000004E-2</v>
      </c>
      <c r="Q4401">
        <v>5.3205780000000003E-3</v>
      </c>
      <c r="R4401">
        <v>-0.99622239999999995</v>
      </c>
      <c r="S4401">
        <v>-0.66322329999999996</v>
      </c>
      <c r="T4401">
        <v>-9.1900830000000003E-2</v>
      </c>
      <c r="U4401">
        <v>-2.953751</v>
      </c>
      <c r="V4401">
        <v>-1.5606109999999999E-2</v>
      </c>
      <c r="W4401">
        <v>1.9026870000000001E-2</v>
      </c>
      <c r="X4401">
        <v>0.99969710000000001</v>
      </c>
      <c r="Y4401">
        <v>0.11813609999999999</v>
      </c>
      <c r="Z4401">
        <v>3.036852E-2</v>
      </c>
      <c r="AA4401">
        <v>0.99253290000000005</v>
      </c>
      <c r="AB4401">
        <v>23</v>
      </c>
      <c r="AC4401">
        <v>-8.0056999999999903</v>
      </c>
      <c r="AD4401">
        <v>-1.11096198915</v>
      </c>
      <c r="AE4401">
        <v>-35.585199999999901</v>
      </c>
      <c r="AF4401">
        <v>4.3237156181462497</v>
      </c>
      <c r="AG4401">
        <v>-1.11096198915</v>
      </c>
      <c r="AH4401">
        <v>36.183395812642402</v>
      </c>
      <c r="AI4401">
        <v>91.746221422122503</v>
      </c>
      <c r="AJ4401">
        <v>83.185781993043705</v>
      </c>
      <c r="AK4401">
        <v>36.457741095990698</v>
      </c>
      <c r="AL4401">
        <v>88.909774789997499</v>
      </c>
      <c r="AM4401">
        <v>90.894362515212805</v>
      </c>
      <c r="AN4401">
        <v>0.99999993209986704</v>
      </c>
    </row>
    <row r="4402" spans="1:40" x14ac:dyDescent="0.25">
      <c r="A4402" t="str">
        <f>"20190312160421677"</f>
        <v>20190312160421677</v>
      </c>
      <c r="B4402" t="str">
        <f>"1552377861668953"</f>
        <v>1552377861668953</v>
      </c>
      <c r="C4402" t="s">
        <v>40</v>
      </c>
      <c r="D4402">
        <v>5.2963129999999996</v>
      </c>
      <c r="E4402">
        <v>0.55063680000000004</v>
      </c>
      <c r="F4402" t="s">
        <v>60</v>
      </c>
      <c r="G4402">
        <v>-198.96969999999999</v>
      </c>
      <c r="H4402" s="1">
        <v>-1.0788460000000001E-5</v>
      </c>
      <c r="I4402">
        <v>144.4699</v>
      </c>
      <c r="J4402">
        <v>-190.8365</v>
      </c>
      <c r="K4402">
        <v>1.110919</v>
      </c>
      <c r="L4402">
        <v>180.68010000000001</v>
      </c>
      <c r="M4402">
        <v>-0.1015568</v>
      </c>
      <c r="N4402">
        <v>0</v>
      </c>
      <c r="O4402">
        <v>-0.99473489999999998</v>
      </c>
      <c r="P4402">
        <v>-8.6028679999999996E-2</v>
      </c>
      <c r="Q4402">
        <v>5.3352829999999997E-3</v>
      </c>
      <c r="R4402">
        <v>-0.99627869999999996</v>
      </c>
      <c r="S4402">
        <v>-0.66233830000000005</v>
      </c>
      <c r="T4402">
        <v>-9.0347289999999997E-2</v>
      </c>
      <c r="U4402">
        <v>-2.954224</v>
      </c>
      <c r="V4402">
        <v>-1.5639469999999999E-2</v>
      </c>
      <c r="W4402">
        <v>1.9040689999999999E-2</v>
      </c>
      <c r="X4402">
        <v>0.99969640000000004</v>
      </c>
      <c r="Y4402">
        <v>0.11843430000000001</v>
      </c>
      <c r="Z4402">
        <v>2.9854220000000001E-2</v>
      </c>
      <c r="AA4402">
        <v>0.99251299999999998</v>
      </c>
      <c r="AB4402">
        <v>23</v>
      </c>
      <c r="AC4402">
        <v>-8.1331999999999791</v>
      </c>
      <c r="AD4402">
        <v>-1.11092978846</v>
      </c>
      <c r="AE4402">
        <v>-36.2102</v>
      </c>
      <c r="AF4402">
        <v>4.4094511398087404</v>
      </c>
      <c r="AG4402">
        <v>-1.11092978846</v>
      </c>
      <c r="AH4402">
        <v>36.816018940481001</v>
      </c>
      <c r="AI4402">
        <v>91.716128129315393</v>
      </c>
      <c r="AJ4402">
        <v>83.170223191294397</v>
      </c>
      <c r="AK4402">
        <v>37.095777050428602</v>
      </c>
      <c r="AL4402">
        <v>88.908982910929893</v>
      </c>
      <c r="AM4402">
        <v>90.896274642206293</v>
      </c>
      <c r="AN4402">
        <v>1.0000000165352501</v>
      </c>
    </row>
    <row r="4403" spans="1:40" x14ac:dyDescent="0.25">
      <c r="A4403" t="str">
        <f>"20190312160421688"</f>
        <v>20190312160421688</v>
      </c>
      <c r="B4403" t="str">
        <f>"1552377861679689"</f>
        <v>1552377861679689</v>
      </c>
      <c r="C4403" t="s">
        <v>40</v>
      </c>
      <c r="D4403">
        <v>5.3174390000000002</v>
      </c>
      <c r="E4403">
        <v>0.55089829999999995</v>
      </c>
      <c r="F4403" t="s">
        <v>60</v>
      </c>
      <c r="G4403">
        <v>-198.9409</v>
      </c>
      <c r="H4403" s="1">
        <v>-1.0805659999999999E-5</v>
      </c>
      <c r="I4403">
        <v>144.54169999999999</v>
      </c>
      <c r="J4403">
        <v>-190.8477</v>
      </c>
      <c r="K4403">
        <v>1.110887</v>
      </c>
      <c r="L4403">
        <v>180.56319999999999</v>
      </c>
      <c r="M4403">
        <v>-0.1009531</v>
      </c>
      <c r="N4403">
        <v>0</v>
      </c>
      <c r="O4403">
        <v>-0.99479660000000003</v>
      </c>
      <c r="P4403">
        <v>-8.5364270000000006E-2</v>
      </c>
      <c r="Q4403">
        <v>5.4800509999999997E-3</v>
      </c>
      <c r="R4403">
        <v>-0.99633499999999997</v>
      </c>
      <c r="S4403">
        <v>-0.66256709999999996</v>
      </c>
      <c r="T4403">
        <v>-9.082353E-2</v>
      </c>
      <c r="U4403">
        <v>-2.9544830000000002</v>
      </c>
      <c r="V4403">
        <v>-1.569806E-2</v>
      </c>
      <c r="W4403">
        <v>1.918419E-2</v>
      </c>
      <c r="X4403">
        <v>0.99969269999999999</v>
      </c>
      <c r="Y4403">
        <v>0.1190905</v>
      </c>
      <c r="Z4403">
        <v>3.0010220000000001E-2</v>
      </c>
      <c r="AA4403">
        <v>0.99242980000000003</v>
      </c>
      <c r="AB4403">
        <v>23</v>
      </c>
      <c r="AC4403">
        <v>-8.0931999999999906</v>
      </c>
      <c r="AD4403">
        <v>-1.1108978056600001</v>
      </c>
      <c r="AE4403">
        <v>-36.021500000000003</v>
      </c>
      <c r="AF4403">
        <v>4.4110275043784801</v>
      </c>
      <c r="AG4403">
        <v>-1.1108978056600001</v>
      </c>
      <c r="AH4403">
        <v>36.621391903545899</v>
      </c>
      <c r="AI4403">
        <v>91.725054757181795</v>
      </c>
      <c r="AJ4403">
        <v>83.131840380562906</v>
      </c>
      <c r="AK4403">
        <v>36.902812935223501</v>
      </c>
      <c r="AL4403">
        <v>88.900759422611102</v>
      </c>
      <c r="AM4403">
        <v>90.899635125806796</v>
      </c>
      <c r="AN4403">
        <v>0.99999997833350396</v>
      </c>
    </row>
    <row r="4404" spans="1:40" x14ac:dyDescent="0.25">
      <c r="A4404" t="str">
        <f>"20190312160421700"</f>
        <v>20190312160421700</v>
      </c>
      <c r="B4404" t="str">
        <f>"1552377861689449"</f>
        <v>1552377861689449</v>
      </c>
      <c r="C4404" t="s">
        <v>40</v>
      </c>
      <c r="D4404">
        <v>5.297771</v>
      </c>
      <c r="E4404">
        <v>0.55114469999999904</v>
      </c>
      <c r="F4404" t="s">
        <v>60</v>
      </c>
      <c r="G4404">
        <v>-198.9873</v>
      </c>
      <c r="H4404" s="1">
        <v>-1.0734360000000001E-5</v>
      </c>
      <c r="I4404">
        <v>144.27959999999999</v>
      </c>
      <c r="J4404">
        <v>-190.85910000000001</v>
      </c>
      <c r="K4404">
        <v>1.110851</v>
      </c>
      <c r="L4404">
        <v>180.4442</v>
      </c>
      <c r="M4404">
        <v>-0.1003817</v>
      </c>
      <c r="N4404">
        <v>0</v>
      </c>
      <c r="O4404">
        <v>-0.99485429999999997</v>
      </c>
      <c r="P4404">
        <v>-8.5027859999999997E-2</v>
      </c>
      <c r="Q4404">
        <v>5.3664189999999999E-3</v>
      </c>
      <c r="R4404">
        <v>-0.99636440000000004</v>
      </c>
      <c r="S4404">
        <v>-0.66284180000000004</v>
      </c>
      <c r="T4404">
        <v>-9.0466019999999994E-2</v>
      </c>
      <c r="U4404">
        <v>-2.954758</v>
      </c>
      <c r="V4404">
        <v>-1.5459270000000001E-2</v>
      </c>
      <c r="W4404">
        <v>1.9070730000000001E-2</v>
      </c>
      <c r="X4404">
        <v>0.99969859999999999</v>
      </c>
      <c r="Y4404">
        <v>0.11972960000000001</v>
      </c>
      <c r="Z4404">
        <v>2.9890630000000001E-2</v>
      </c>
      <c r="AA4404">
        <v>0.99235649999999997</v>
      </c>
      <c r="AB4404">
        <v>23</v>
      </c>
      <c r="AC4404">
        <v>-8.1281999999999908</v>
      </c>
      <c r="AD4404">
        <v>-1.11086173436</v>
      </c>
      <c r="AE4404">
        <v>-36.1646</v>
      </c>
      <c r="AF4404">
        <v>4.4525315437903803</v>
      </c>
      <c r="AG4404">
        <v>-1.11086173436</v>
      </c>
      <c r="AH4404">
        <v>36.764877052540299</v>
      </c>
      <c r="AI4404">
        <v>91.718135861476199</v>
      </c>
      <c r="AJ4404">
        <v>83.094635669938995</v>
      </c>
      <c r="AK4404">
        <v>37.050171870447798</v>
      </c>
      <c r="AL4404">
        <v>88.907261400126004</v>
      </c>
      <c r="AM4404">
        <v>90.885947355876496</v>
      </c>
      <c r="AN4404">
        <v>0.99999998630681197</v>
      </c>
    </row>
    <row r="4405" spans="1:40" x14ac:dyDescent="0.25">
      <c r="A4405" t="str">
        <f>"20190312160421711"</f>
        <v>20190312160421711</v>
      </c>
      <c r="B4405" t="str">
        <f>"1552377861699208"</f>
        <v>1552377861699208</v>
      </c>
      <c r="C4405" t="s">
        <v>40</v>
      </c>
      <c r="D4405">
        <v>5.2757750000000003</v>
      </c>
      <c r="E4405">
        <v>0.55142340000000001</v>
      </c>
      <c r="F4405" t="s">
        <v>60</v>
      </c>
      <c r="G4405">
        <v>-198.93860000000001</v>
      </c>
      <c r="H4405" s="1">
        <v>-1.0782670000000001E-5</v>
      </c>
      <c r="I4405">
        <v>144.46549999999999</v>
      </c>
      <c r="J4405">
        <v>-190.87010000000001</v>
      </c>
      <c r="K4405">
        <v>1.1108100000000001</v>
      </c>
      <c r="L4405">
        <v>180.32990000000001</v>
      </c>
      <c r="M4405">
        <v>-9.9853869999999997E-2</v>
      </c>
      <c r="N4405">
        <v>0</v>
      </c>
      <c r="O4405">
        <v>-0.9949074</v>
      </c>
      <c r="P4405">
        <v>-8.4920819999999994E-2</v>
      </c>
      <c r="Q4405">
        <v>4.8993730000000003E-3</v>
      </c>
      <c r="R4405">
        <v>-0.99637609999999999</v>
      </c>
      <c r="S4405">
        <v>-0.66354369999999996</v>
      </c>
      <c r="T4405">
        <v>-9.1232659999999993E-2</v>
      </c>
      <c r="U4405">
        <v>-2.9548489999999998</v>
      </c>
      <c r="V4405">
        <v>-1.5034189999999999E-2</v>
      </c>
      <c r="W4405">
        <v>1.860446E-2</v>
      </c>
      <c r="X4405">
        <v>0.99971390000000004</v>
      </c>
      <c r="Y4405">
        <v>0.1204725</v>
      </c>
      <c r="Z4405">
        <v>3.0143070000000001E-2</v>
      </c>
      <c r="AA4405">
        <v>0.99225890000000005</v>
      </c>
      <c r="AB4405">
        <v>23</v>
      </c>
      <c r="AC4405">
        <v>-8.0685000000000002</v>
      </c>
      <c r="AD4405">
        <v>-1.1108207826700001</v>
      </c>
      <c r="AE4405">
        <v>-35.864400000000003</v>
      </c>
      <c r="AF4405">
        <v>4.4425737564793897</v>
      </c>
      <c r="AG4405">
        <v>-1.1108207826700001</v>
      </c>
      <c r="AH4405">
        <v>36.457577379462002</v>
      </c>
      <c r="AI4405">
        <v>91.732390368871805</v>
      </c>
      <c r="AJ4405">
        <v>83.052419548650604</v>
      </c>
      <c r="AK4405">
        <v>36.744051665166602</v>
      </c>
      <c r="AL4405">
        <v>88.933981478210995</v>
      </c>
      <c r="AM4405">
        <v>90.861577204775202</v>
      </c>
      <c r="AN4405">
        <v>1.00000001732702</v>
      </c>
    </row>
    <row r="4406" spans="1:40" x14ac:dyDescent="0.25">
      <c r="A4406" t="str">
        <f>"20190312160421722"</f>
        <v>20190312160421722</v>
      </c>
      <c r="B4406" t="str">
        <f>"1552377861719705"</f>
        <v>1552377861719705</v>
      </c>
      <c r="C4406" t="s">
        <v>40</v>
      </c>
      <c r="D4406">
        <v>5.270213</v>
      </c>
      <c r="E4406">
        <v>0.5517476</v>
      </c>
      <c r="F4406" t="s">
        <v>60</v>
      </c>
      <c r="G4406">
        <v>-198.80269999999999</v>
      </c>
      <c r="H4406" s="1">
        <v>-1.0954440000000001E-5</v>
      </c>
      <c r="I4406">
        <v>145.10849999999999</v>
      </c>
      <c r="J4406">
        <v>-190.8811</v>
      </c>
      <c r="K4406">
        <v>1.1107670000000001</v>
      </c>
      <c r="L4406">
        <v>180.2132</v>
      </c>
      <c r="M4406">
        <v>-9.934656E-2</v>
      </c>
      <c r="N4406">
        <v>0</v>
      </c>
      <c r="O4406">
        <v>-0.99495820000000001</v>
      </c>
      <c r="P4406">
        <v>-8.501272E-2</v>
      </c>
      <c r="Q4406">
        <v>4.6011519999999998E-3</v>
      </c>
      <c r="R4406">
        <v>-0.99636919999999995</v>
      </c>
      <c r="S4406">
        <v>-0.66545100000000001</v>
      </c>
      <c r="T4406">
        <v>-9.3184349999999999E-2</v>
      </c>
      <c r="U4406">
        <v>-2.9546510000000001</v>
      </c>
      <c r="V4406">
        <v>-1.442981E-2</v>
      </c>
      <c r="W4406">
        <v>1.8306490000000002E-2</v>
      </c>
      <c r="X4406">
        <v>0.99972830000000001</v>
      </c>
      <c r="Y4406">
        <v>0.1215982</v>
      </c>
      <c r="Z4406">
        <v>3.0787370000000001E-2</v>
      </c>
      <c r="AA4406">
        <v>0.99210180000000003</v>
      </c>
      <c r="AB4406">
        <v>23</v>
      </c>
      <c r="AC4406">
        <v>-7.9215999999999802</v>
      </c>
      <c r="AD4406">
        <v>-1.1107779544399901</v>
      </c>
      <c r="AE4406">
        <v>-35.104700000000001</v>
      </c>
      <c r="AF4406">
        <v>4.3903610925262697</v>
      </c>
      <c r="AG4406">
        <v>-1.1107779544399901</v>
      </c>
      <c r="AH4406">
        <v>35.684062334746798</v>
      </c>
      <c r="AI4406">
        <v>91.769599771001296</v>
      </c>
      <c r="AJ4406">
        <v>82.985907963361299</v>
      </c>
      <c r="AK4406">
        <v>35.970284998828397</v>
      </c>
      <c r="AL4406">
        <v>88.951056802355694</v>
      </c>
      <c r="AM4406">
        <v>90.826934483260203</v>
      </c>
      <c r="AN4406">
        <v>1.0000000104068201</v>
      </c>
    </row>
    <row r="4407" spans="1:40" x14ac:dyDescent="0.25">
      <c r="A4407" t="str">
        <f>"20190312160421734"</f>
        <v>20190312160421734</v>
      </c>
      <c r="B4407" t="str">
        <f>"1552377861729465"</f>
        <v>1552377861729465</v>
      </c>
      <c r="C4407" t="s">
        <v>40</v>
      </c>
      <c r="D4407">
        <v>5.2630210000000002</v>
      </c>
      <c r="E4407">
        <v>0.55187229999999998</v>
      </c>
      <c r="F4407" t="s">
        <v>60</v>
      </c>
      <c r="G4407">
        <v>-198.95580000000001</v>
      </c>
      <c r="H4407" s="1">
        <v>-1.0799799999999999E-5</v>
      </c>
      <c r="I4407">
        <v>144.51480000000001</v>
      </c>
      <c r="J4407">
        <v>-190.8921</v>
      </c>
      <c r="K4407">
        <v>1.110722</v>
      </c>
      <c r="L4407">
        <v>180.09829999999999</v>
      </c>
      <c r="M4407">
        <v>-9.8886840000000004E-2</v>
      </c>
      <c r="N4407">
        <v>0</v>
      </c>
      <c r="O4407">
        <v>-0.99500390000000005</v>
      </c>
      <c r="P4407">
        <v>-8.5572700000000002E-2</v>
      </c>
      <c r="Q4407">
        <v>4.4348620000000004E-3</v>
      </c>
      <c r="R4407">
        <v>-0.99632189999999998</v>
      </c>
      <c r="S4407">
        <v>-0.66824340000000004</v>
      </c>
      <c r="T4407">
        <v>-9.1926220000000003E-2</v>
      </c>
      <c r="U4407">
        <v>-2.9543460000000001</v>
      </c>
      <c r="V4407">
        <v>-1.3403969999999999E-2</v>
      </c>
      <c r="W4407">
        <v>1.8141529999999999E-2</v>
      </c>
      <c r="X4407">
        <v>0.99974549999999995</v>
      </c>
      <c r="Y4407">
        <v>0.12297379999999999</v>
      </c>
      <c r="Z4407">
        <v>3.0371519999999999E-2</v>
      </c>
      <c r="AA4407">
        <v>0.99194510000000002</v>
      </c>
      <c r="AB4407">
        <v>23</v>
      </c>
      <c r="AC4407">
        <v>-8.0637000000000096</v>
      </c>
      <c r="AD4407">
        <v>-1.1107327998000001</v>
      </c>
      <c r="AE4407">
        <v>-35.583499999999901</v>
      </c>
      <c r="AF4407">
        <v>4.5009266657587101</v>
      </c>
      <c r="AG4407">
        <v>-1.1107327998000001</v>
      </c>
      <c r="AH4407">
        <v>36.173005961677802</v>
      </c>
      <c r="AI4407">
        <v>91.745328166717698</v>
      </c>
      <c r="AJ4407">
        <v>82.907267568148995</v>
      </c>
      <c r="AK4407">
        <v>36.468869306665702</v>
      </c>
      <c r="AL4407">
        <v>88.960509793223395</v>
      </c>
      <c r="AM4407">
        <v>90.768140388934597</v>
      </c>
      <c r="AN4407">
        <v>0.99999992314637198</v>
      </c>
    </row>
    <row r="4408" spans="1:40" x14ac:dyDescent="0.25">
      <c r="A4408" t="str">
        <f>"20190312160421751"</f>
        <v>20190312160421751</v>
      </c>
      <c r="B4408" t="str">
        <f>"1552377861739224"</f>
        <v>1552377861739224</v>
      </c>
      <c r="C4408" t="s">
        <v>40</v>
      </c>
      <c r="D4408">
        <v>5.3058750000000003</v>
      </c>
      <c r="E4408">
        <v>0.55209209999999997</v>
      </c>
      <c r="F4408" t="s">
        <v>60</v>
      </c>
      <c r="G4408">
        <v>-198.9897</v>
      </c>
      <c r="H4408" s="1">
        <v>-1.078251E-5</v>
      </c>
      <c r="I4408">
        <v>144.44030000000001</v>
      </c>
      <c r="J4408">
        <v>-190.90819999999999</v>
      </c>
      <c r="K4408">
        <v>1.110649</v>
      </c>
      <c r="L4408">
        <v>179.92789999999999</v>
      </c>
      <c r="M4408">
        <v>-9.8263959999999997E-2</v>
      </c>
      <c r="N4408">
        <v>0</v>
      </c>
      <c r="O4408">
        <v>-0.99506570000000005</v>
      </c>
      <c r="P4408">
        <v>-8.6687120000000006E-2</v>
      </c>
      <c r="Q4408">
        <v>4.7471220000000003E-3</v>
      </c>
      <c r="R4408">
        <v>-0.9962242</v>
      </c>
      <c r="S4408">
        <v>-0.67079160000000004</v>
      </c>
      <c r="T4408">
        <v>-9.2011090000000004E-2</v>
      </c>
      <c r="U4408">
        <v>-2.9538419999999999</v>
      </c>
      <c r="V4408">
        <v>-1.1656720000000001E-2</v>
      </c>
      <c r="W4408">
        <v>1.845571E-2</v>
      </c>
      <c r="X4408">
        <v>0.99976169999999998</v>
      </c>
      <c r="Y4408">
        <v>0.124445</v>
      </c>
      <c r="Z4408">
        <v>3.0401750000000002E-2</v>
      </c>
      <c r="AA4408">
        <v>0.99176070000000005</v>
      </c>
      <c r="AB4408">
        <v>23</v>
      </c>
      <c r="AC4408">
        <v>-8.0815000000000001</v>
      </c>
      <c r="AD4408">
        <v>-1.11065978251</v>
      </c>
      <c r="AE4408">
        <v>-35.487599999999901</v>
      </c>
      <c r="AF4408">
        <v>4.5506628907045297</v>
      </c>
      <c r="AG4408">
        <v>-1.11065978251</v>
      </c>
      <c r="AH4408">
        <v>36.076421314170901</v>
      </c>
      <c r="AI4408">
        <v>91.749513726013006</v>
      </c>
      <c r="AJ4408">
        <v>82.810706801767694</v>
      </c>
      <c r="AK4408">
        <v>36.379256077260301</v>
      </c>
      <c r="AL4408">
        <v>88.942505643632501</v>
      </c>
      <c r="AM4408">
        <v>90.6680097833882</v>
      </c>
      <c r="AN4408">
        <v>0.99999997456982503</v>
      </c>
    </row>
    <row r="4409" spans="1:40" x14ac:dyDescent="0.25">
      <c r="A4409" t="str">
        <f>"20190312160421763"</f>
        <v>20190312160421763</v>
      </c>
      <c r="B4409" t="str">
        <f>"1552377861759720"</f>
        <v>1552377861759720</v>
      </c>
      <c r="C4409" t="s">
        <v>40</v>
      </c>
      <c r="D4409">
        <v>5.2433430000000003</v>
      </c>
      <c r="E4409">
        <v>0.552396</v>
      </c>
      <c r="F4409" t="s">
        <v>60</v>
      </c>
      <c r="G4409">
        <v>-199.25890000000001</v>
      </c>
      <c r="H4409" s="1">
        <v>-1.052335E-5</v>
      </c>
      <c r="I4409">
        <v>143.4391</v>
      </c>
      <c r="J4409">
        <v>-190.91990000000001</v>
      </c>
      <c r="K4409">
        <v>1.1105929999999999</v>
      </c>
      <c r="L4409">
        <v>179.80430000000001</v>
      </c>
      <c r="M4409">
        <v>-9.7870460000000006E-2</v>
      </c>
      <c r="N4409">
        <v>0</v>
      </c>
      <c r="O4409">
        <v>-0.99510469999999895</v>
      </c>
      <c r="P4409">
        <v>-8.6931590000000003E-2</v>
      </c>
      <c r="Q4409">
        <v>5.2143770000000001E-3</v>
      </c>
      <c r="R4409">
        <v>-0.99620089999999994</v>
      </c>
      <c r="S4409">
        <v>-0.67581179999999996</v>
      </c>
      <c r="T4409">
        <v>-8.9884279999999997E-2</v>
      </c>
      <c r="U4409">
        <v>-2.9529879999999999</v>
      </c>
      <c r="V4409">
        <v>-1.1013520000000001E-2</v>
      </c>
      <c r="W4409">
        <v>1.8923410000000002E-2</v>
      </c>
      <c r="X4409">
        <v>0.99976030000000005</v>
      </c>
      <c r="Y4409">
        <v>0.12650639999999999</v>
      </c>
      <c r="Z4409">
        <v>2.9700310000000001E-2</v>
      </c>
      <c r="AA4409">
        <v>0.99152110000000004</v>
      </c>
      <c r="AB4409">
        <v>23</v>
      </c>
      <c r="AC4409">
        <v>-8.3389999999999898</v>
      </c>
      <c r="AD4409">
        <v>-1.11060352335</v>
      </c>
      <c r="AE4409">
        <v>-36.365200000000002</v>
      </c>
      <c r="AF4409">
        <v>4.7353487455614101</v>
      </c>
      <c r="AG4409">
        <v>-1.11060352335</v>
      </c>
      <c r="AH4409">
        <v>36.974038986284597</v>
      </c>
      <c r="AI4409">
        <v>91.706567479111399</v>
      </c>
      <c r="AJ4409">
        <v>82.701730257803504</v>
      </c>
      <c r="AK4409">
        <v>37.292580051364901</v>
      </c>
      <c r="AL4409">
        <v>88.915703780241103</v>
      </c>
      <c r="AM4409">
        <v>90.631153976739697</v>
      </c>
      <c r="AN4409">
        <v>1.0000000252624499</v>
      </c>
    </row>
    <row r="4410" spans="1:40" x14ac:dyDescent="0.25">
      <c r="A4410" t="str">
        <f>"20190312160421775"</f>
        <v>20190312160421775</v>
      </c>
      <c r="B4410" t="str">
        <f>"1552377861769481"</f>
        <v>1552377861769481</v>
      </c>
      <c r="C4410" t="s">
        <v>40</v>
      </c>
      <c r="D4410">
        <v>5.2254740000000002</v>
      </c>
      <c r="E4410">
        <v>0.55256309999999997</v>
      </c>
      <c r="F4410" t="s">
        <v>60</v>
      </c>
      <c r="G4410">
        <v>-199.66040000000001</v>
      </c>
      <c r="H4410" s="1">
        <v>-1.009014E-5</v>
      </c>
      <c r="I4410">
        <v>141.78909999999999</v>
      </c>
      <c r="J4410">
        <v>-190.93049999999999</v>
      </c>
      <c r="K4410">
        <v>1.110549</v>
      </c>
      <c r="L4410">
        <v>179.69319999999999</v>
      </c>
      <c r="M4410">
        <v>-9.7561620000000002E-2</v>
      </c>
      <c r="N4410">
        <v>0</v>
      </c>
      <c r="O4410">
        <v>-0.99513499999999999</v>
      </c>
      <c r="P4410">
        <v>-8.7360289999999993E-2</v>
      </c>
      <c r="Q4410">
        <v>5.5349369999999898E-3</v>
      </c>
      <c r="R4410">
        <v>-0.99616159999999998</v>
      </c>
      <c r="S4410">
        <v>-0.6788788</v>
      </c>
      <c r="T4410">
        <v>-8.6261030000000002E-2</v>
      </c>
      <c r="U4410">
        <v>-2.9526520000000001</v>
      </c>
      <c r="V4410">
        <v>-1.0270720000000001E-2</v>
      </c>
      <c r="W4410">
        <v>1.9244259999999999E-2</v>
      </c>
      <c r="X4410">
        <v>0.99976209999999999</v>
      </c>
      <c r="Y4410">
        <v>0.12782499999999999</v>
      </c>
      <c r="Z4410">
        <v>2.8502860000000001E-2</v>
      </c>
      <c r="AA4410">
        <v>0.99138709999999997</v>
      </c>
      <c r="AB4410">
        <v>23</v>
      </c>
      <c r="AC4410">
        <v>-8.7299000000000095</v>
      </c>
      <c r="AD4410">
        <v>-1.11055909014</v>
      </c>
      <c r="AE4410">
        <v>-37.9041</v>
      </c>
      <c r="AF4410">
        <v>4.9858484030810803</v>
      </c>
      <c r="AG4410">
        <v>-1.11055909014</v>
      </c>
      <c r="AH4410">
        <v>38.5436064285554</v>
      </c>
      <c r="AI4410">
        <v>91.636780098699603</v>
      </c>
      <c r="AJ4410">
        <v>82.629373703053304</v>
      </c>
      <c r="AK4410">
        <v>38.880607278058001</v>
      </c>
      <c r="AL4410">
        <v>88.897317100780597</v>
      </c>
      <c r="AM4410">
        <v>90.588588233088103</v>
      </c>
      <c r="AN4410">
        <v>1.0000000429143301</v>
      </c>
    </row>
    <row r="4411" spans="1:40" x14ac:dyDescent="0.25">
      <c r="A4411" t="str">
        <f>"20190312160421786"</f>
        <v>20190312160421786</v>
      </c>
      <c r="B4411" t="str">
        <f>"1552377861779241"</f>
        <v>1552377861779241</v>
      </c>
      <c r="C4411" t="s">
        <v>40</v>
      </c>
      <c r="D4411">
        <v>5.2110960000000004</v>
      </c>
      <c r="E4411">
        <v>0.55273660000000002</v>
      </c>
      <c r="F4411" t="s">
        <v>60</v>
      </c>
      <c r="G4411">
        <v>-199.8563</v>
      </c>
      <c r="H4411" s="1">
        <v>-9.8939729999999999E-6</v>
      </c>
      <c r="I4411">
        <v>141.0352</v>
      </c>
      <c r="J4411">
        <v>-190.9418</v>
      </c>
      <c r="K4411">
        <v>1.110492</v>
      </c>
      <c r="L4411">
        <v>179.57400000000001</v>
      </c>
      <c r="M4411">
        <v>-9.725541E-2</v>
      </c>
      <c r="N4411">
        <v>0</v>
      </c>
      <c r="O4411">
        <v>-0.99516510000000002</v>
      </c>
      <c r="P4411">
        <v>-8.7746019999999994E-2</v>
      </c>
      <c r="Q4411">
        <v>6.021953E-3</v>
      </c>
      <c r="R4411">
        <v>-0.99612489999999998</v>
      </c>
      <c r="S4411">
        <v>-0.68165589999999998</v>
      </c>
      <c r="T4411">
        <v>-8.481205E-2</v>
      </c>
      <c r="U4411">
        <v>-2.9522710000000001</v>
      </c>
      <c r="V4411">
        <v>-9.5731819999999995E-3</v>
      </c>
      <c r="W4411">
        <v>1.9731019999999998E-2</v>
      </c>
      <c r="X4411">
        <v>0.99975950000000002</v>
      </c>
      <c r="Y4411">
        <v>0.12904669999999999</v>
      </c>
      <c r="Z4411">
        <v>2.80241E-2</v>
      </c>
      <c r="AA4411">
        <v>0.99124250000000003</v>
      </c>
      <c r="AB4411">
        <v>23</v>
      </c>
      <c r="AC4411">
        <v>-8.9145000000000003</v>
      </c>
      <c r="AD4411">
        <v>-1.110501893973</v>
      </c>
      <c r="AE4411">
        <v>-38.538800000000002</v>
      </c>
      <c r="AF4411">
        <v>5.1197385667204003</v>
      </c>
      <c r="AG4411">
        <v>-1.110501893973</v>
      </c>
      <c r="AH4411">
        <v>39.1922463833763</v>
      </c>
      <c r="AI4411">
        <v>91.609360289046094</v>
      </c>
      <c r="AJ4411">
        <v>82.557514621157694</v>
      </c>
      <c r="AK4411">
        <v>39.5408284438168</v>
      </c>
      <c r="AL4411">
        <v>88.869422471801599</v>
      </c>
      <c r="AM4411">
        <v>90.548618104625405</v>
      </c>
      <c r="AN4411">
        <v>1.00000000840204</v>
      </c>
    </row>
    <row r="4412" spans="1:40" x14ac:dyDescent="0.25">
      <c r="A4412" t="str">
        <f>"20190312160421796"</f>
        <v>20190312160421796</v>
      </c>
      <c r="B4412" t="str">
        <f>"1552377861789000"</f>
        <v>1552377861789000</v>
      </c>
      <c r="C4412" t="s">
        <v>40</v>
      </c>
      <c r="D4412">
        <v>5.2212430000000003</v>
      </c>
      <c r="E4412">
        <v>0.55285139999999999</v>
      </c>
      <c r="F4412" t="s">
        <v>60</v>
      </c>
      <c r="G4412">
        <v>-200.1396</v>
      </c>
      <c r="H4412" s="1">
        <v>-9.4904899999999993E-6</v>
      </c>
      <c r="I4412">
        <v>139.89089999999999</v>
      </c>
      <c r="J4412">
        <v>-190.95189999999999</v>
      </c>
      <c r="K4412">
        <v>1.1104400000000001</v>
      </c>
      <c r="L4412">
        <v>179.46709999999999</v>
      </c>
      <c r="M4412">
        <v>-9.7046259999999995E-2</v>
      </c>
      <c r="N4412">
        <v>0</v>
      </c>
      <c r="O4412">
        <v>-0.99518530000000005</v>
      </c>
      <c r="P4412">
        <v>-8.8216379999999997E-2</v>
      </c>
      <c r="Q4412">
        <v>5.7932640000000002E-3</v>
      </c>
      <c r="R4412">
        <v>-0.99608459999999999</v>
      </c>
      <c r="S4412">
        <v>-0.68420409999999998</v>
      </c>
      <c r="T4412">
        <v>-8.2607390000000003E-2</v>
      </c>
      <c r="U4412">
        <v>-2.9519199999999999</v>
      </c>
      <c r="V4412">
        <v>-8.8881700000000008E-3</v>
      </c>
      <c r="W4412">
        <v>1.9502660000000002E-2</v>
      </c>
      <c r="X4412">
        <v>0.9997703</v>
      </c>
      <c r="Y4412">
        <v>0.13009760000000001</v>
      </c>
      <c r="Z4412">
        <v>2.7295670000000001E-2</v>
      </c>
      <c r="AA4412">
        <v>0.99112540000000005</v>
      </c>
      <c r="AB4412">
        <v>23</v>
      </c>
      <c r="AC4412">
        <v>-9.1876999999999995</v>
      </c>
      <c r="AD4412">
        <v>-1.11044949049</v>
      </c>
      <c r="AE4412">
        <v>-39.5762</v>
      </c>
      <c r="AF4412">
        <v>5.2992822858502802</v>
      </c>
      <c r="AG4412">
        <v>-1.11044949049</v>
      </c>
      <c r="AH4412">
        <v>40.251007559314303</v>
      </c>
      <c r="AI4412">
        <v>91.566768358409405</v>
      </c>
      <c r="AJ4412">
        <v>82.499808853597997</v>
      </c>
      <c r="AK4412">
        <v>40.613533463071597</v>
      </c>
      <c r="AL4412">
        <v>88.882509048168501</v>
      </c>
      <c r="AM4412">
        <v>90.509358212351302</v>
      </c>
      <c r="AN4412">
        <v>1.00000000303755</v>
      </c>
    </row>
    <row r="4413" spans="1:40" x14ac:dyDescent="0.25">
      <c r="A4413" t="str">
        <f>"20190312160421819"</f>
        <v>20190312160421819</v>
      </c>
      <c r="B4413" t="str">
        <f>"1552377861809496"</f>
        <v>1552377861809496</v>
      </c>
      <c r="C4413" t="s">
        <v>40</v>
      </c>
      <c r="D4413">
        <v>5.2484609999999998</v>
      </c>
      <c r="E4413">
        <v>0.55319399999999996</v>
      </c>
      <c r="F4413" t="s">
        <v>60</v>
      </c>
      <c r="G4413">
        <v>-200.26339999999999</v>
      </c>
      <c r="H4413" s="1">
        <v>-9.3156340000000007E-6</v>
      </c>
      <c r="I4413">
        <v>139.4349</v>
      </c>
      <c r="J4413">
        <v>-190.9734</v>
      </c>
      <c r="K4413">
        <v>1.1103229999999999</v>
      </c>
      <c r="L4413">
        <v>179.24100000000001</v>
      </c>
      <c r="M4413">
        <v>-9.6707749999999995E-2</v>
      </c>
      <c r="N4413">
        <v>0</v>
      </c>
      <c r="O4413">
        <v>-0.9952183</v>
      </c>
      <c r="P4413">
        <v>-8.9754150000000005E-2</v>
      </c>
      <c r="Q4413">
        <v>5.1126599999999998E-3</v>
      </c>
      <c r="R4413">
        <v>-0.99595109999999998</v>
      </c>
      <c r="S4413">
        <v>-0.68650819999999901</v>
      </c>
      <c r="T4413">
        <v>-8.1870319999999996E-2</v>
      </c>
      <c r="U4413">
        <v>-2.9514619999999998</v>
      </c>
      <c r="V4413">
        <v>-6.9989739999999998E-3</v>
      </c>
      <c r="W4413">
        <v>1.882234E-2</v>
      </c>
      <c r="X4413">
        <v>0.99979839999999998</v>
      </c>
      <c r="Y4413">
        <v>0.1312043</v>
      </c>
      <c r="Z4413">
        <v>2.705339E-2</v>
      </c>
      <c r="AA4413">
        <v>0.99098620000000004</v>
      </c>
      <c r="AB4413">
        <v>23</v>
      </c>
      <c r="AC4413">
        <v>-9.2899999999999903</v>
      </c>
      <c r="AD4413">
        <v>-1.1103323156339999</v>
      </c>
      <c r="AE4413">
        <v>-39.806100000000001</v>
      </c>
      <c r="AF4413">
        <v>5.3925483883147098</v>
      </c>
      <c r="AG4413">
        <v>-1.1103323156339999</v>
      </c>
      <c r="AH4413">
        <v>40.4881114611321</v>
      </c>
      <c r="AI4413">
        <v>91.557122965682595</v>
      </c>
      <c r="AJ4413">
        <v>82.413513575354003</v>
      </c>
      <c r="AK4413">
        <v>40.860734032326398</v>
      </c>
      <c r="AL4413">
        <v>88.921495726452406</v>
      </c>
      <c r="AM4413">
        <v>90.401085979669503</v>
      </c>
      <c r="AN4413">
        <v>1.00000005338134</v>
      </c>
    </row>
    <row r="4414" spans="1:40" x14ac:dyDescent="0.25">
      <c r="A4414" t="str">
        <f>"20190312160421831"</f>
        <v>20190312160421831</v>
      </c>
      <c r="B4414" t="str">
        <f>"1552377861819257"</f>
        <v>1552377861819257</v>
      </c>
      <c r="C4414" t="s">
        <v>40</v>
      </c>
      <c r="D4414">
        <v>5.2357769999999997</v>
      </c>
      <c r="E4414">
        <v>0.55335019999999902</v>
      </c>
      <c r="F4414" t="s">
        <v>60</v>
      </c>
      <c r="G4414">
        <v>-200.3004</v>
      </c>
      <c r="H4414" s="1">
        <v>-9.3415690000000007E-6</v>
      </c>
      <c r="I4414">
        <v>139.56460000000001</v>
      </c>
      <c r="J4414">
        <v>-190.98560000000001</v>
      </c>
      <c r="K4414">
        <v>1.1102540000000001</v>
      </c>
      <c r="L4414">
        <v>179.11359999999999</v>
      </c>
      <c r="M4414">
        <v>-9.6588919999999995E-2</v>
      </c>
      <c r="N4414">
        <v>0</v>
      </c>
      <c r="O4414">
        <v>-0.99523010000000001</v>
      </c>
      <c r="P4414">
        <v>-9.0579140000000002E-2</v>
      </c>
      <c r="Q4414">
        <v>4.8165270000000001E-3</v>
      </c>
      <c r="R4414">
        <v>-0.99587789999999998</v>
      </c>
      <c r="S4414">
        <v>-0.69349669999999997</v>
      </c>
      <c r="T4414">
        <v>-8.2557679999999994E-2</v>
      </c>
      <c r="U4414">
        <v>-2.9501040000000001</v>
      </c>
      <c r="V4414">
        <v>-6.0483840000000004E-3</v>
      </c>
      <c r="W4414">
        <v>1.8525320000000001E-2</v>
      </c>
      <c r="X4414">
        <v>0.99981010000000003</v>
      </c>
      <c r="Y4414">
        <v>0.13364719999999999</v>
      </c>
      <c r="Z4414">
        <v>2.728129E-2</v>
      </c>
      <c r="AA4414">
        <v>0.99065340000000002</v>
      </c>
      <c r="AB4414">
        <v>23</v>
      </c>
      <c r="AC4414">
        <v>-9.3147999999999893</v>
      </c>
      <c r="AD4414">
        <v>-1.110263341569</v>
      </c>
      <c r="AE4414">
        <v>-39.5489999999999</v>
      </c>
      <c r="AF4414">
        <v>5.4468185063416703</v>
      </c>
      <c r="AG4414">
        <v>-1.110263341569</v>
      </c>
      <c r="AH4414">
        <v>40.233797451122101</v>
      </c>
      <c r="AI4414">
        <v>91.566410723700102</v>
      </c>
      <c r="AJ4414">
        <v>82.290216749948797</v>
      </c>
      <c r="AK4414">
        <v>40.615994064734899</v>
      </c>
      <c r="AL4414">
        <v>88.938516632777905</v>
      </c>
      <c r="AM4414">
        <v>90.346608469607901</v>
      </c>
      <c r="AN4414">
        <v>1.0000000032460601</v>
      </c>
    </row>
    <row r="4415" spans="1:40" x14ac:dyDescent="0.25">
      <c r="A4415" t="str">
        <f>"20190312160421844"</f>
        <v>20190312160421844</v>
      </c>
      <c r="B4415" t="str">
        <f>"1552377861839753"</f>
        <v>1552377861839753</v>
      </c>
      <c r="C4415" t="s">
        <v>40</v>
      </c>
      <c r="D4415">
        <v>5.2456750000000003</v>
      </c>
      <c r="E4415">
        <v>0.55367509999999998</v>
      </c>
      <c r="F4415" t="s">
        <v>60</v>
      </c>
      <c r="G4415">
        <v>-200.321</v>
      </c>
      <c r="H4415" s="1">
        <v>-9.3514490000000007E-6</v>
      </c>
      <c r="I4415">
        <v>139.62289999999999</v>
      </c>
      <c r="J4415">
        <v>-190.9982</v>
      </c>
      <c r="K4415">
        <v>1.110193</v>
      </c>
      <c r="L4415">
        <v>178.9821</v>
      </c>
      <c r="M4415">
        <v>-9.652049E-2</v>
      </c>
      <c r="N4415">
        <v>0</v>
      </c>
      <c r="O4415">
        <v>-0.99523660000000003</v>
      </c>
      <c r="P4415">
        <v>-9.1466560000000002E-2</v>
      </c>
      <c r="Q4415">
        <v>4.2879219999999996E-3</v>
      </c>
      <c r="R4415">
        <v>-0.99579899999999999</v>
      </c>
      <c r="S4415">
        <v>-0.69721979999999995</v>
      </c>
      <c r="T4415">
        <v>-8.2920789999999994E-2</v>
      </c>
      <c r="U4415">
        <v>-2.9493870000000002</v>
      </c>
      <c r="V4415">
        <v>-5.0858789999999997E-3</v>
      </c>
      <c r="W4415">
        <v>1.7996120000000001E-2</v>
      </c>
      <c r="X4415">
        <v>0.99982510000000002</v>
      </c>
      <c r="Y4415">
        <v>0.13495289999999999</v>
      </c>
      <c r="Z4415">
        <v>2.7401579999999998E-2</v>
      </c>
      <c r="AA4415">
        <v>0.99047300000000005</v>
      </c>
      <c r="AB4415">
        <v>23</v>
      </c>
      <c r="AC4415">
        <v>-9.3228000000000009</v>
      </c>
      <c r="AD4415">
        <v>-1.110202351449</v>
      </c>
      <c r="AE4415">
        <v>-39.359200000000001</v>
      </c>
      <c r="AF4415">
        <v>5.4758121040798304</v>
      </c>
      <c r="AG4415">
        <v>-1.110202351449</v>
      </c>
      <c r="AH4415">
        <v>40.045154396466501</v>
      </c>
      <c r="AI4415">
        <v>91.573413487443901</v>
      </c>
      <c r="AJ4415">
        <v>82.213611726445905</v>
      </c>
      <c r="AK4415">
        <v>40.4330490823682</v>
      </c>
      <c r="AL4415">
        <v>88.968842590658994</v>
      </c>
      <c r="AM4415">
        <v>90.291447862743595</v>
      </c>
      <c r="AN4415">
        <v>0.99999997854513301</v>
      </c>
    </row>
    <row r="4416" spans="1:40" x14ac:dyDescent="0.25">
      <c r="A4416" t="str">
        <f>"20190312160421864"</f>
        <v>20190312160421864</v>
      </c>
      <c r="B4416" t="str">
        <f>"1552377861859273"</f>
        <v>1552377861859273</v>
      </c>
      <c r="C4416" t="s">
        <v>40</v>
      </c>
      <c r="D4416">
        <v>5.2177730000000002</v>
      </c>
      <c r="E4416">
        <v>0.55391009999999996</v>
      </c>
      <c r="F4416" t="s">
        <v>60</v>
      </c>
      <c r="G4416">
        <v>-200.31479999999999</v>
      </c>
      <c r="H4416" s="1">
        <v>-9.4199779999999994E-6</v>
      </c>
      <c r="I4416">
        <v>139.87370000000001</v>
      </c>
      <c r="J4416">
        <v>-191.0164</v>
      </c>
      <c r="K4416">
        <v>1.110109</v>
      </c>
      <c r="L4416">
        <v>178.79300000000001</v>
      </c>
      <c r="M4416">
        <v>-9.6513009999999996E-2</v>
      </c>
      <c r="N4416">
        <v>0</v>
      </c>
      <c r="O4416">
        <v>-0.9952375</v>
      </c>
      <c r="P4416">
        <v>-9.3168490000000007E-2</v>
      </c>
      <c r="Q4416">
        <v>4.4460120000000001E-3</v>
      </c>
      <c r="R4416">
        <v>-0.99564059999999999</v>
      </c>
      <c r="S4416">
        <v>-0.70240780000000003</v>
      </c>
      <c r="T4416">
        <v>-8.3701609999999996E-2</v>
      </c>
      <c r="U4416">
        <v>-2.948502</v>
      </c>
      <c r="V4416">
        <v>-3.3652579999999999E-3</v>
      </c>
      <c r="W4416">
        <v>1.8152970000000001E-2</v>
      </c>
      <c r="X4416">
        <v>0.99982950000000004</v>
      </c>
      <c r="Y4416">
        <v>0.13667489999999999</v>
      </c>
      <c r="Z4416">
        <v>2.7658680000000001E-2</v>
      </c>
      <c r="AA4416">
        <v>0.99022980000000005</v>
      </c>
      <c r="AB4416">
        <v>23</v>
      </c>
      <c r="AC4416">
        <v>-9.2983999999999796</v>
      </c>
      <c r="AD4416">
        <v>-1.1101184199779901</v>
      </c>
      <c r="AE4416">
        <v>-38.9192999999999</v>
      </c>
      <c r="AF4416">
        <v>5.4941845680141999</v>
      </c>
      <c r="AG4416">
        <v>-1.1101184199779901</v>
      </c>
      <c r="AH4416">
        <v>39.604598315912703</v>
      </c>
      <c r="AI4416">
        <v>91.590360220270597</v>
      </c>
      <c r="AJ4416">
        <v>82.101997891496694</v>
      </c>
      <c r="AK4416">
        <v>39.999282927804799</v>
      </c>
      <c r="AL4416">
        <v>88.959854241294707</v>
      </c>
      <c r="AM4416">
        <v>90.192847232708004</v>
      </c>
      <c r="AN4416">
        <v>0.99999994217573696</v>
      </c>
    </row>
    <row r="4417" spans="1:40" x14ac:dyDescent="0.25">
      <c r="A4417" t="str">
        <f>"20190312160421875"</f>
        <v>20190312160421875</v>
      </c>
      <c r="B4417" t="str">
        <f>"1552377861869033"</f>
        <v>1552377861869033</v>
      </c>
      <c r="C4417" t="s">
        <v>40</v>
      </c>
      <c r="D4417">
        <v>5.162674</v>
      </c>
      <c r="E4417">
        <v>0.55378809999999901</v>
      </c>
      <c r="F4417" t="s">
        <v>60</v>
      </c>
      <c r="G4417">
        <v>-200.5532</v>
      </c>
      <c r="H4417" s="1">
        <v>-9.1240579999999997E-6</v>
      </c>
      <c r="I4417">
        <v>139.16640000000001</v>
      </c>
      <c r="J4417">
        <v>-191.02850000000001</v>
      </c>
      <c r="K4417">
        <v>1.11006</v>
      </c>
      <c r="L4417">
        <v>178.6688</v>
      </c>
      <c r="M4417">
        <v>-9.6566079999999999E-2</v>
      </c>
      <c r="N4417">
        <v>0</v>
      </c>
      <c r="O4417">
        <v>-0.99523220000000001</v>
      </c>
      <c r="P4417">
        <v>-9.379316E-2</v>
      </c>
      <c r="Q4417">
        <v>4.8949029999999999E-3</v>
      </c>
      <c r="R4417">
        <v>-0.99557989999999996</v>
      </c>
      <c r="S4417">
        <v>-0.70927430000000002</v>
      </c>
      <c r="T4417">
        <v>-8.2562689999999994E-2</v>
      </c>
      <c r="U4417">
        <v>-2.9471440000000002</v>
      </c>
      <c r="V4417">
        <v>-2.7883600000000001E-3</v>
      </c>
      <c r="W4417">
        <v>1.860065E-2</v>
      </c>
      <c r="X4417">
        <v>0.99982309999999996</v>
      </c>
      <c r="Y4417">
        <v>0.1389089</v>
      </c>
      <c r="Z4417">
        <v>2.7283040000000001E-2</v>
      </c>
      <c r="AA4417">
        <v>0.98992930000000001</v>
      </c>
      <c r="AB4417">
        <v>23</v>
      </c>
      <c r="AC4417">
        <v>-9.5246999999999904</v>
      </c>
      <c r="AD4417">
        <v>-1.1100691240580001</v>
      </c>
      <c r="AE4417">
        <v>-39.502400000000002</v>
      </c>
      <c r="AF4417">
        <v>5.6610035940552104</v>
      </c>
      <c r="AG4417">
        <v>-1.1100691240580001</v>
      </c>
      <c r="AH4417">
        <v>40.207596339148097</v>
      </c>
      <c r="AI4417">
        <v>91.566007967391101</v>
      </c>
      <c r="AJ4417">
        <v>81.985754805049794</v>
      </c>
      <c r="AK4417">
        <v>40.619330601623297</v>
      </c>
      <c r="AL4417">
        <v>88.934199789336205</v>
      </c>
      <c r="AM4417">
        <v>90.159789112267106</v>
      </c>
      <c r="AN4417">
        <v>0.99999999521276095</v>
      </c>
    </row>
    <row r="4418" spans="1:40" x14ac:dyDescent="0.25">
      <c r="A4418" t="str">
        <f>"20190312160421887"</f>
        <v>20190312160421887</v>
      </c>
      <c r="B4418" t="str">
        <f>"1552377861879769"</f>
        <v>1552377861879769</v>
      </c>
      <c r="C4418" t="s">
        <v>40</v>
      </c>
      <c r="D4418">
        <v>5.7523609999999996</v>
      </c>
      <c r="E4418">
        <v>0.55378809999999901</v>
      </c>
      <c r="F4418" t="s">
        <v>60</v>
      </c>
      <c r="G4418">
        <v>-200.6224</v>
      </c>
      <c r="H4418" s="1">
        <v>-9.0033400000000001E-6</v>
      </c>
      <c r="I4418">
        <v>138.85839999999999</v>
      </c>
      <c r="J4418">
        <v>-191.04050000000001</v>
      </c>
      <c r="K4418">
        <v>1.110012</v>
      </c>
      <c r="L4418">
        <v>178.54519999999999</v>
      </c>
      <c r="M4418">
        <v>-9.6644809999999998E-2</v>
      </c>
      <c r="N4418">
        <v>0</v>
      </c>
      <c r="O4418">
        <v>-0.99522480000000002</v>
      </c>
      <c r="P4418">
        <v>-9.4661200000000001E-2</v>
      </c>
      <c r="Q4418">
        <v>5.1501530000000002E-3</v>
      </c>
      <c r="R4418">
        <v>-0.99549659999999995</v>
      </c>
      <c r="S4418">
        <v>-0.71015930000000005</v>
      </c>
      <c r="T4418">
        <v>-8.2169060000000002E-2</v>
      </c>
      <c r="U4418">
        <v>-2.9468230000000002</v>
      </c>
      <c r="V4418">
        <v>-1.993126E-3</v>
      </c>
      <c r="W4418">
        <v>1.8854280000000001E-2</v>
      </c>
      <c r="X4418">
        <v>0.99982020000000005</v>
      </c>
      <c r="Y4418">
        <v>0.13913689999999901</v>
      </c>
      <c r="Z4418">
        <v>2.715424E-2</v>
      </c>
      <c r="AA4418">
        <v>0.98990080000000003</v>
      </c>
      <c r="AB4418">
        <v>23</v>
      </c>
      <c r="AC4418">
        <v>-9.5818999999999903</v>
      </c>
      <c r="AD4418">
        <v>-1.11002100334</v>
      </c>
      <c r="AE4418">
        <v>-39.686799999999998</v>
      </c>
      <c r="AF4418">
        <v>5.69694421990945</v>
      </c>
      <c r="AG4418">
        <v>-1.11002100334</v>
      </c>
      <c r="AH4418">
        <v>40.397254422595097</v>
      </c>
      <c r="AI4418">
        <v>91.558542715600197</v>
      </c>
      <c r="AJ4418">
        <v>81.972907785844598</v>
      </c>
      <c r="AK4418">
        <v>40.812075234622597</v>
      </c>
      <c r="AL4418">
        <v>88.919665256768795</v>
      </c>
      <c r="AM4418">
        <v>90.114218092978106</v>
      </c>
      <c r="AN4418">
        <v>0.99999994437680295</v>
      </c>
    </row>
    <row r="4419" spans="1:40" x14ac:dyDescent="0.25">
      <c r="A4419" t="str">
        <f>"20190312160421899"</f>
        <v>20190312160421899</v>
      </c>
      <c r="B4419" t="str">
        <f>"1552377861889528"</f>
        <v>1552377861889528</v>
      </c>
      <c r="C4419" t="s">
        <v>40</v>
      </c>
      <c r="D4419">
        <v>5.4053209999999998</v>
      </c>
      <c r="E4419">
        <v>0.55253169999999996</v>
      </c>
      <c r="F4419" t="s">
        <v>60</v>
      </c>
      <c r="G4419">
        <v>-200.7773</v>
      </c>
      <c r="H4419" s="1">
        <v>-8.7703990000000005E-6</v>
      </c>
      <c r="I4419">
        <v>138.2901</v>
      </c>
      <c r="J4419">
        <v>-191.05179999999999</v>
      </c>
      <c r="K4419">
        <v>1.1099699999999999</v>
      </c>
      <c r="L4419">
        <v>178.42959999999999</v>
      </c>
      <c r="M4419">
        <v>-9.6777779999999994E-2</v>
      </c>
      <c r="N4419">
        <v>0</v>
      </c>
      <c r="O4419">
        <v>-0.99521179999999998</v>
      </c>
      <c r="P4419">
        <v>-9.5642550000000007E-2</v>
      </c>
      <c r="Q4419">
        <v>5.3745349999999997E-3</v>
      </c>
      <c r="R4419">
        <v>-0.9954016</v>
      </c>
      <c r="S4419">
        <v>-0.71263120000000002</v>
      </c>
      <c r="T4419">
        <v>-8.1241729999999998E-2</v>
      </c>
      <c r="U4419">
        <v>-2.9462429999999999</v>
      </c>
      <c r="V4419">
        <v>-1.139258E-3</v>
      </c>
      <c r="W4419">
        <v>1.9076920000000001E-2</v>
      </c>
      <c r="X4419">
        <v>0.99981739999999997</v>
      </c>
      <c r="Y4419">
        <v>0.13983570000000001</v>
      </c>
      <c r="Z4419">
        <v>2.684868E-2</v>
      </c>
      <c r="AA4419">
        <v>0.98981059999999998</v>
      </c>
      <c r="AB4419">
        <v>23</v>
      </c>
      <c r="AC4419">
        <v>-9.7255000000000091</v>
      </c>
      <c r="AD4419">
        <v>-1.1099787703990001</v>
      </c>
      <c r="AE4419">
        <v>-40.139499999999998</v>
      </c>
      <c r="AF4419">
        <v>5.7906815165642396</v>
      </c>
      <c r="AG4419">
        <v>-1.1099787703990001</v>
      </c>
      <c r="AH4419">
        <v>40.862836165068998</v>
      </c>
      <c r="AI4419">
        <v>91.5405883936279</v>
      </c>
      <c r="AJ4419">
        <v>81.934307504364</v>
      </c>
      <c r="AK4419">
        <v>41.286019725208199</v>
      </c>
      <c r="AL4419">
        <v>88.906906722550204</v>
      </c>
      <c r="AM4419">
        <v>90.065286568253399</v>
      </c>
      <c r="AN4419">
        <v>1.0000000300641101</v>
      </c>
    </row>
    <row r="4420" spans="1:40" x14ac:dyDescent="0.25">
      <c r="A4420" t="str">
        <f>"20190312160421919"</f>
        <v>20190312160421919</v>
      </c>
      <c r="B4420" t="str">
        <f>"1552377861909052"</f>
        <v>1552377861909052</v>
      </c>
      <c r="C4420" t="s">
        <v>40</v>
      </c>
      <c r="D4420">
        <v>5.2565039999999996</v>
      </c>
      <c r="E4420">
        <v>0.46986440000000002</v>
      </c>
      <c r="F4420" t="s">
        <v>60</v>
      </c>
      <c r="G4420">
        <v>-200.2758</v>
      </c>
      <c r="H4420" s="1">
        <v>-9.4449020000000005E-6</v>
      </c>
      <c r="I4420">
        <v>139.91249999999999</v>
      </c>
      <c r="J4420">
        <v>-191.07140000000001</v>
      </c>
      <c r="K4420">
        <v>1.109904</v>
      </c>
      <c r="L4420">
        <v>178.23060000000001</v>
      </c>
      <c r="M4420">
        <v>-9.7061170000000002E-2</v>
      </c>
      <c r="N4420">
        <v>0</v>
      </c>
      <c r="O4420">
        <v>-0.99518439999999997</v>
      </c>
      <c r="P4420">
        <v>-9.7296540000000001E-2</v>
      </c>
      <c r="Q4420">
        <v>5.4459290000000004E-3</v>
      </c>
      <c r="R4420">
        <v>-0.99524089999999998</v>
      </c>
      <c r="S4420">
        <v>-0.70562740000000002</v>
      </c>
      <c r="T4420">
        <v>-8.4912420000000002E-2</v>
      </c>
      <c r="U4420">
        <v>-2.9465180000000002</v>
      </c>
      <c r="V4420">
        <v>2.4147550000000001E-4</v>
      </c>
      <c r="W4420">
        <v>1.9145100000000002E-2</v>
      </c>
      <c r="X4420">
        <v>0.9998167</v>
      </c>
      <c r="Y4420">
        <v>0.13730039999999999</v>
      </c>
      <c r="Z4420">
        <v>2.806983E-2</v>
      </c>
      <c r="AA4420">
        <v>0.99013169999999995</v>
      </c>
      <c r="AB4420">
        <v>23</v>
      </c>
      <c r="AC4420">
        <v>-9.2043999999999908</v>
      </c>
      <c r="AD4420">
        <v>-1.1099134449020001</v>
      </c>
      <c r="AE4420">
        <v>-38.318100000000001</v>
      </c>
      <c r="AF4420">
        <v>5.4370719148062596</v>
      </c>
      <c r="AG4420">
        <v>-1.1099134449020001</v>
      </c>
      <c r="AH4420">
        <v>38.999681136771798</v>
      </c>
      <c r="AI4420">
        <v>91.6145656840296</v>
      </c>
      <c r="AJ4420">
        <v>82.063364854887595</v>
      </c>
      <c r="AK4420">
        <v>39.392496590490701</v>
      </c>
      <c r="AL4420">
        <v>88.902999564547997</v>
      </c>
      <c r="AM4420">
        <v>89.9861619367462</v>
      </c>
      <c r="AN4420">
        <v>1.00000001338165</v>
      </c>
    </row>
    <row r="4421" spans="1:40" x14ac:dyDescent="0.25">
      <c r="A4421" t="str">
        <f>"20190312160421930"</f>
        <v>20190312160421930</v>
      </c>
      <c r="B4421" t="str">
        <f>"1552377861919784"</f>
        <v>1552377861919784</v>
      </c>
      <c r="C4421" t="s">
        <v>40</v>
      </c>
      <c r="D4421">
        <v>5.3025949999999904</v>
      </c>
      <c r="E4421">
        <v>0.4683541</v>
      </c>
      <c r="F4421" t="s">
        <v>60</v>
      </c>
      <c r="G4421">
        <v>-191.85050000000001</v>
      </c>
      <c r="H4421" s="1">
        <v>-6.8252640000000004E-6</v>
      </c>
      <c r="I4421">
        <v>134.9367</v>
      </c>
      <c r="J4421">
        <v>-191.08250000000001</v>
      </c>
      <c r="K4421">
        <v>1.1098669999999999</v>
      </c>
      <c r="L4421">
        <v>178.119</v>
      </c>
      <c r="M4421">
        <v>-9.7252920000000007E-2</v>
      </c>
      <c r="N4421">
        <v>0</v>
      </c>
      <c r="O4421">
        <v>-0.99516570000000004</v>
      </c>
      <c r="P4421">
        <v>-9.8357700000000006E-2</v>
      </c>
      <c r="Q4421">
        <v>5.5674269999999998E-3</v>
      </c>
      <c r="R4421">
        <v>-0.99513560000000001</v>
      </c>
      <c r="S4421">
        <v>-5.4153439999999997E-2</v>
      </c>
      <c r="T4421">
        <v>-7.715321E-2</v>
      </c>
      <c r="U4421">
        <v>-3.0094910000000001</v>
      </c>
      <c r="V4421">
        <v>1.1169939999999901E-3</v>
      </c>
      <c r="W4421">
        <v>1.9264280000000002E-2</v>
      </c>
      <c r="X4421">
        <v>0.99981379999999997</v>
      </c>
      <c r="Y4421">
        <v>-7.9346070000000005E-2</v>
      </c>
      <c r="Z4421">
        <v>2.540357E-2</v>
      </c>
      <c r="AA4421">
        <v>0.99652339999999995</v>
      </c>
      <c r="AB4421">
        <v>23</v>
      </c>
      <c r="AC4421">
        <v>-0.76800000000000002</v>
      </c>
      <c r="AD4421">
        <v>-1.1098738252639999</v>
      </c>
      <c r="AE4421">
        <v>-43.182299999999998</v>
      </c>
      <c r="AF4421">
        <v>-3.4333715742382598</v>
      </c>
      <c r="AG4421">
        <v>-1.1098738252639999</v>
      </c>
      <c r="AH4421">
        <v>43.023849379067002</v>
      </c>
      <c r="AI4421">
        <v>91.473034114066493</v>
      </c>
      <c r="AJ4421">
        <v>94.562625300457</v>
      </c>
      <c r="AK4421">
        <v>43.174894043499798</v>
      </c>
      <c r="AL4421">
        <v>88.896169776411796</v>
      </c>
      <c r="AM4421">
        <v>89.935989065849199</v>
      </c>
      <c r="AN4421">
        <v>0.99999999741497703</v>
      </c>
    </row>
    <row r="4422" spans="1:40" x14ac:dyDescent="0.25">
      <c r="A4422" t="str">
        <f>"20190312160421941"</f>
        <v>20190312160421941</v>
      </c>
      <c r="B4422" t="str">
        <f>"1552377861929546"</f>
        <v>1552377861929546</v>
      </c>
      <c r="C4422" t="s">
        <v>40</v>
      </c>
      <c r="D4422">
        <v>5.2489780000000001</v>
      </c>
      <c r="E4422">
        <v>0.46714739999999999</v>
      </c>
      <c r="F4422" t="s">
        <v>60</v>
      </c>
      <c r="G4422">
        <v>-191.7722</v>
      </c>
      <c r="H4422" s="1">
        <v>-5.9954199999999898E-6</v>
      </c>
      <c r="I4422">
        <v>132.3776</v>
      </c>
      <c r="J4422">
        <v>-191.0934</v>
      </c>
      <c r="K4422">
        <v>1.109836</v>
      </c>
      <c r="L4422">
        <v>178.00899999999999</v>
      </c>
      <c r="M4422">
        <v>-9.7475259999999994E-2</v>
      </c>
      <c r="N4422">
        <v>0</v>
      </c>
      <c r="O4422">
        <v>-0.99514349999999996</v>
      </c>
      <c r="P4422">
        <v>-9.9401039999999996E-2</v>
      </c>
      <c r="Q4422">
        <v>5.385529E-3</v>
      </c>
      <c r="R4422">
        <v>-0.99503260000000004</v>
      </c>
      <c r="S4422">
        <v>-4.5394900000000002E-2</v>
      </c>
      <c r="T4422">
        <v>-7.3048829999999995E-2</v>
      </c>
      <c r="U4422">
        <v>-3.0105740000000001</v>
      </c>
      <c r="V4422">
        <v>1.943429E-3</v>
      </c>
      <c r="W4422">
        <v>1.9080260000000002E-2</v>
      </c>
      <c r="X4422">
        <v>0.99981609999999999</v>
      </c>
      <c r="Y4422">
        <v>-8.2472729999999994E-2</v>
      </c>
      <c r="Z4422">
        <v>2.404102E-2</v>
      </c>
      <c r="AA4422">
        <v>0.9963033</v>
      </c>
      <c r="AB4422">
        <v>23</v>
      </c>
      <c r="AC4422">
        <v>-0.67879999999999496</v>
      </c>
      <c r="AD4422">
        <v>-1.1098419954200001</v>
      </c>
      <c r="AE4422">
        <v>-45.631399999999999</v>
      </c>
      <c r="AF4422">
        <v>-3.7705538128574898</v>
      </c>
      <c r="AG4422">
        <v>-1.1098419954200001</v>
      </c>
      <c r="AH4422">
        <v>45.453350201819802</v>
      </c>
      <c r="AI4422">
        <v>91.393936614879607</v>
      </c>
      <c r="AJ4422">
        <v>94.742077488356799</v>
      </c>
      <c r="AK4422">
        <v>45.6229752414255</v>
      </c>
      <c r="AL4422">
        <v>88.906715323602697</v>
      </c>
      <c r="AM4422">
        <v>89.888629379697704</v>
      </c>
      <c r="AN4422">
        <v>1.0000000335285699</v>
      </c>
    </row>
    <row r="4423" spans="1:40" x14ac:dyDescent="0.25">
      <c r="A4423" t="str">
        <f>"20190312160421953"</f>
        <v>20190312160421953</v>
      </c>
      <c r="B4423" t="str">
        <f>"1552377861949065"</f>
        <v>1552377861949065</v>
      </c>
      <c r="C4423" t="s">
        <v>40</v>
      </c>
      <c r="D4423">
        <v>5.2084159999999997</v>
      </c>
      <c r="E4423">
        <v>0.46631109999999998</v>
      </c>
      <c r="F4423" t="s">
        <v>60</v>
      </c>
      <c r="G4423">
        <v>-191.65899999999999</v>
      </c>
      <c r="H4423" s="1">
        <v>-6.4916639999999999E-6</v>
      </c>
      <c r="I4423">
        <v>133.97980000000001</v>
      </c>
      <c r="J4423">
        <v>-191.10489999999999</v>
      </c>
      <c r="K4423">
        <v>1.109801</v>
      </c>
      <c r="L4423">
        <v>177.89410000000001</v>
      </c>
      <c r="M4423">
        <v>-9.7728839999999997E-2</v>
      </c>
      <c r="N4423">
        <v>0</v>
      </c>
      <c r="O4423">
        <v>-0.99511899999999998</v>
      </c>
      <c r="P4423">
        <v>-0.1001428</v>
      </c>
      <c r="Q4423">
        <v>5.7769070000000004E-3</v>
      </c>
      <c r="R4423">
        <v>-0.99495639999999996</v>
      </c>
      <c r="S4423">
        <v>-3.8681029999999998E-2</v>
      </c>
      <c r="T4423">
        <v>-7.5911640000000002E-2</v>
      </c>
      <c r="U4423">
        <v>-3.011536</v>
      </c>
      <c r="V4423">
        <v>2.4363269999999999E-3</v>
      </c>
      <c r="W4423">
        <v>1.9469770000000001E-2</v>
      </c>
      <c r="X4423">
        <v>0.99980749999999996</v>
      </c>
      <c r="Y4423">
        <v>-8.4952169999999994E-2</v>
      </c>
      <c r="Z4423">
        <v>2.4971460000000001E-2</v>
      </c>
      <c r="AA4423">
        <v>0.99607210000000002</v>
      </c>
      <c r="AB4423">
        <v>23</v>
      </c>
      <c r="AC4423">
        <v>-0.55410000000003301</v>
      </c>
      <c r="AD4423">
        <v>-1.1098074916639999</v>
      </c>
      <c r="AE4423">
        <v>-43.914299999999997</v>
      </c>
      <c r="AF4423">
        <v>-3.73826122155524</v>
      </c>
      <c r="AG4423">
        <v>-1.1098074916639999</v>
      </c>
      <c r="AH4423">
        <v>43.730277686674398</v>
      </c>
      <c r="AI4423">
        <v>91.448486519547799</v>
      </c>
      <c r="AJ4423">
        <v>94.886022857798693</v>
      </c>
      <c r="AK4423">
        <v>43.903797742140597</v>
      </c>
      <c r="AL4423">
        <v>88.884393885771004</v>
      </c>
      <c r="AM4423">
        <v>89.8603821452446</v>
      </c>
      <c r="AN4423">
        <v>1.0000000223446699</v>
      </c>
    </row>
    <row r="4424" spans="1:40" x14ac:dyDescent="0.25">
      <c r="A4424" t="str">
        <f>"20190312160421964"</f>
        <v>20190312160421964</v>
      </c>
      <c r="B4424" t="str">
        <f>"1552377861959801"</f>
        <v>1552377861959801</v>
      </c>
      <c r="C4424" t="s">
        <v>40</v>
      </c>
      <c r="D4424">
        <v>5.2202630000000001</v>
      </c>
      <c r="E4424">
        <v>0.46595039999999999</v>
      </c>
      <c r="F4424" t="s">
        <v>60</v>
      </c>
      <c r="G4424">
        <v>-191.57320000000001</v>
      </c>
      <c r="H4424" s="1">
        <v>-7.4358500000000001E-6</v>
      </c>
      <c r="I4424">
        <v>136.97</v>
      </c>
      <c r="J4424">
        <v>-191.11750000000001</v>
      </c>
      <c r="K4424">
        <v>1.109764</v>
      </c>
      <c r="L4424">
        <v>177.7687</v>
      </c>
      <c r="M4424">
        <v>-9.8031869999999993E-2</v>
      </c>
      <c r="N4424">
        <v>0</v>
      </c>
      <c r="O4424">
        <v>-0.99508920000000001</v>
      </c>
      <c r="P4424">
        <v>-0.1008917</v>
      </c>
      <c r="Q4424">
        <v>6.2979300000000002E-3</v>
      </c>
      <c r="R4424">
        <v>-0.99487769999999998</v>
      </c>
      <c r="S4424">
        <v>-3.4469600000000003E-2</v>
      </c>
      <c r="T4424">
        <v>-8.1687090000000004E-2</v>
      </c>
      <c r="U4424">
        <v>-3.0122070000000001</v>
      </c>
      <c r="V4424">
        <v>2.8870720000000001E-3</v>
      </c>
      <c r="W4424">
        <v>1.998894E-2</v>
      </c>
      <c r="X4424">
        <v>0.99979600000000002</v>
      </c>
      <c r="Y4424">
        <v>-8.6651270000000002E-2</v>
      </c>
      <c r="Z4424">
        <v>2.6861019999999999E-2</v>
      </c>
      <c r="AA4424">
        <v>0.99587650000000005</v>
      </c>
      <c r="AB4424">
        <v>23</v>
      </c>
      <c r="AC4424">
        <v>-0.45570000000000699</v>
      </c>
      <c r="AD4424">
        <v>-1.1097714358499999</v>
      </c>
      <c r="AE4424">
        <v>-40.798699999999997</v>
      </c>
      <c r="AF4424">
        <v>-3.54382097889069</v>
      </c>
      <c r="AG4424">
        <v>-1.1097714358499999</v>
      </c>
      <c r="AH4424">
        <v>40.616775629167499</v>
      </c>
      <c r="AI4424">
        <v>91.559181649753</v>
      </c>
      <c r="AJ4424">
        <v>94.986439406051403</v>
      </c>
      <c r="AK4424">
        <v>40.786182982480597</v>
      </c>
      <c r="AL4424">
        <v>88.854641782136696</v>
      </c>
      <c r="AM4424">
        <v>89.8345496671608</v>
      </c>
      <c r="AN4424">
        <v>0.99999996726152696</v>
      </c>
    </row>
    <row r="4425" spans="1:40" x14ac:dyDescent="0.25">
      <c r="A4425" t="str">
        <f>"20190312160421975"</f>
        <v>20190312160421975</v>
      </c>
      <c r="B4425" t="str">
        <f>"1552377861969561"</f>
        <v>1552377861969561</v>
      </c>
      <c r="C4425" t="s">
        <v>40</v>
      </c>
      <c r="D4425">
        <v>5.2727120000000003</v>
      </c>
      <c r="E4425">
        <v>0.46560679999999999</v>
      </c>
      <c r="F4425" t="s">
        <v>60</v>
      </c>
      <c r="G4425">
        <v>-191.5667</v>
      </c>
      <c r="H4425" s="1">
        <v>-7.7095079999999998E-6</v>
      </c>
      <c r="I4425">
        <v>137.82839999999999</v>
      </c>
      <c r="J4425">
        <v>-191.12790000000001</v>
      </c>
      <c r="K4425">
        <v>1.109739</v>
      </c>
      <c r="L4425">
        <v>177.6662</v>
      </c>
      <c r="M4425">
        <v>-9.8311079999999995E-2</v>
      </c>
      <c r="N4425">
        <v>0</v>
      </c>
      <c r="O4425">
        <v>-0.99506170000000005</v>
      </c>
      <c r="P4425">
        <v>-0.1014346</v>
      </c>
      <c r="Q4425">
        <v>6.6299230000000002E-3</v>
      </c>
      <c r="R4425">
        <v>-0.99482040000000005</v>
      </c>
      <c r="S4425">
        <v>-3.3874509999999997E-2</v>
      </c>
      <c r="T4425">
        <v>-8.3705539999999995E-2</v>
      </c>
      <c r="U4425">
        <v>-3.012527</v>
      </c>
      <c r="V4425">
        <v>3.1542010000000001E-3</v>
      </c>
      <c r="W4425">
        <v>2.0319319999999998E-2</v>
      </c>
      <c r="X4425">
        <v>0.99978860000000003</v>
      </c>
      <c r="Y4425">
        <v>-8.7128919999999999E-2</v>
      </c>
      <c r="Z4425">
        <v>2.7519620000000002E-2</v>
      </c>
      <c r="AA4425">
        <v>0.9958169</v>
      </c>
      <c r="AB4425">
        <v>23</v>
      </c>
      <c r="AC4425">
        <v>-0.43879999999998598</v>
      </c>
      <c r="AD4425">
        <v>-1.109746709508</v>
      </c>
      <c r="AE4425">
        <v>-39.837800000000001</v>
      </c>
      <c r="AF4425">
        <v>-3.47749155670888</v>
      </c>
      <c r="AG4425">
        <v>-1.109746709508</v>
      </c>
      <c r="AH4425">
        <v>39.657151875959698</v>
      </c>
      <c r="AI4425">
        <v>91.596795081712202</v>
      </c>
      <c r="AJ4425">
        <v>95.011384687089105</v>
      </c>
      <c r="AK4425">
        <v>39.824793536177701</v>
      </c>
      <c r="AL4425">
        <v>88.835708634140204</v>
      </c>
      <c r="AM4425">
        <v>89.819239981880898</v>
      </c>
      <c r="AN4425">
        <v>1.0000000342195801</v>
      </c>
    </row>
    <row r="4426" spans="1:40" x14ac:dyDescent="0.25">
      <c r="A4426" t="str">
        <f>"20190312160421988"</f>
        <v>20190312160421988</v>
      </c>
      <c r="B4426" t="str">
        <f>"1552377861979320"</f>
        <v>1552377861979320</v>
      </c>
      <c r="C4426" t="s">
        <v>40</v>
      </c>
      <c r="D4426">
        <v>5.2428939999999997</v>
      </c>
      <c r="E4426">
        <v>0.46529090000000001</v>
      </c>
      <c r="F4426" t="s">
        <v>60</v>
      </c>
      <c r="G4426">
        <v>-191.541</v>
      </c>
      <c r="H4426" s="1">
        <v>-8.2801659999999994E-6</v>
      </c>
      <c r="I4426">
        <v>139.62450000000001</v>
      </c>
      <c r="J4426">
        <v>-191.1403</v>
      </c>
      <c r="K4426">
        <v>1.1097079999999999</v>
      </c>
      <c r="L4426">
        <v>177.5444</v>
      </c>
      <c r="M4426">
        <v>-9.8654169999999999E-2</v>
      </c>
      <c r="N4426">
        <v>0</v>
      </c>
      <c r="O4426">
        <v>-0.99502769999999996</v>
      </c>
      <c r="P4426">
        <v>-0.1019736</v>
      </c>
      <c r="Q4426">
        <v>7.2695540000000001E-3</v>
      </c>
      <c r="R4426">
        <v>-0.99476089999999995</v>
      </c>
      <c r="S4426">
        <v>-3.2714840000000002E-2</v>
      </c>
      <c r="T4426">
        <v>-8.7890739999999995E-2</v>
      </c>
      <c r="U4426">
        <v>-3.0128629999999998</v>
      </c>
      <c r="V4426">
        <v>3.353998E-3</v>
      </c>
      <c r="W4426">
        <v>2.0957190000000001E-2</v>
      </c>
      <c r="X4426">
        <v>0.99977479999999996</v>
      </c>
      <c r="Y4426">
        <v>-8.7857290000000005E-2</v>
      </c>
      <c r="Z4426">
        <v>2.8888859999999999E-2</v>
      </c>
      <c r="AA4426">
        <v>0.99571410000000005</v>
      </c>
      <c r="AB4426">
        <v>23</v>
      </c>
      <c r="AC4426">
        <v>-0.4007</v>
      </c>
      <c r="AD4426">
        <v>-1.1097162801660001</v>
      </c>
      <c r="AE4426">
        <v>-37.919899999999899</v>
      </c>
      <c r="AF4426">
        <v>-3.3397017056848899</v>
      </c>
      <c r="AG4426">
        <v>-1.1097162801660001</v>
      </c>
      <c r="AH4426">
        <v>37.742098359759503</v>
      </c>
      <c r="AI4426">
        <v>91.677609080672397</v>
      </c>
      <c r="AJ4426">
        <v>95.056786103040096</v>
      </c>
      <c r="AK4426">
        <v>37.905818370049502</v>
      </c>
      <c r="AL4426">
        <v>88.799153611232995</v>
      </c>
      <c r="AM4426">
        <v>89.807787504763098</v>
      </c>
      <c r="AN4426">
        <v>1.00000005191515</v>
      </c>
    </row>
    <row r="4427" spans="1:40" x14ac:dyDescent="0.25">
      <c r="A4427" t="str">
        <f>"20190312160422008"</f>
        <v>20190312160422008</v>
      </c>
      <c r="B4427" t="str">
        <f>"1552377861998840"</f>
        <v>1552377861998840</v>
      </c>
      <c r="C4427" t="s">
        <v>40</v>
      </c>
      <c r="D4427">
        <v>5.2229890000000001</v>
      </c>
      <c r="E4427">
        <v>0.46479559999999998</v>
      </c>
      <c r="F4427" t="s">
        <v>60</v>
      </c>
      <c r="G4427">
        <v>-191.55420000000001</v>
      </c>
      <c r="H4427" s="1">
        <v>-7.9798790000000005E-6</v>
      </c>
      <c r="I4427">
        <v>138.67920000000001</v>
      </c>
      <c r="J4427">
        <v>-191.1618</v>
      </c>
      <c r="K4427">
        <v>1.1096619999999999</v>
      </c>
      <c r="L4427">
        <v>177.33529999999999</v>
      </c>
      <c r="M4427">
        <v>-9.9323499999999995E-2</v>
      </c>
      <c r="N4427">
        <v>0</v>
      </c>
      <c r="O4427">
        <v>-0.99496110000000004</v>
      </c>
      <c r="P4427">
        <v>-0.10249709999999999</v>
      </c>
      <c r="Q4427">
        <v>8.5297059999999997E-3</v>
      </c>
      <c r="R4427">
        <v>-0.99469689999999999</v>
      </c>
      <c r="S4427">
        <v>-3.2089230000000003E-2</v>
      </c>
      <c r="T4427">
        <v>-8.6034540000000007E-2</v>
      </c>
      <c r="U4427">
        <v>-3.013153</v>
      </c>
      <c r="V4427">
        <v>3.212899E-3</v>
      </c>
      <c r="W4427">
        <v>2.22148E-2</v>
      </c>
      <c r="X4427">
        <v>0.99974810000000003</v>
      </c>
      <c r="Y4427">
        <v>-8.8734919999999995E-2</v>
      </c>
      <c r="Z4427">
        <v>2.8272599999999998E-2</v>
      </c>
      <c r="AA4427">
        <v>0.99565389999999998</v>
      </c>
      <c r="AB4427">
        <v>23</v>
      </c>
      <c r="AC4427">
        <v>-0.39240000000000902</v>
      </c>
      <c r="AD4427">
        <v>-1.109669979879</v>
      </c>
      <c r="AE4427">
        <v>-38.656099999999903</v>
      </c>
      <c r="AF4427">
        <v>-3.4465195782586902</v>
      </c>
      <c r="AG4427">
        <v>-1.109669979879</v>
      </c>
      <c r="AH4427">
        <v>38.472195847070402</v>
      </c>
      <c r="AI4427">
        <v>91.645562261479597</v>
      </c>
      <c r="AJ4427">
        <v>95.119159131899707</v>
      </c>
      <c r="AK4427">
        <v>38.642201256694896</v>
      </c>
      <c r="AL4427">
        <v>88.727081058768206</v>
      </c>
      <c r="AM4427">
        <v>89.815868698359793</v>
      </c>
      <c r="AN4427">
        <v>1.00000004175631</v>
      </c>
    </row>
    <row r="4428" spans="1:40" x14ac:dyDescent="0.25">
      <c r="A4428" t="str">
        <f>"20190312160422021"</f>
        <v>20190312160422021</v>
      </c>
      <c r="B4428" t="str">
        <f>"1552377862009578"</f>
        <v>1552377862009578</v>
      </c>
      <c r="C4428" t="s">
        <v>40</v>
      </c>
      <c r="D4428">
        <v>5.2115019999999896</v>
      </c>
      <c r="E4428">
        <v>0.46447579999999999</v>
      </c>
      <c r="F4428" t="s">
        <v>60</v>
      </c>
      <c r="G4428">
        <v>-191.56200000000001</v>
      </c>
      <c r="H4428" s="1">
        <v>-7.3045640000000002E-6</v>
      </c>
      <c r="I4428">
        <v>136.56460000000001</v>
      </c>
      <c r="J4428">
        <v>-191.17529999999999</v>
      </c>
      <c r="K4428">
        <v>1.1096360000000001</v>
      </c>
      <c r="L4428">
        <v>177.20490000000001</v>
      </c>
      <c r="M4428">
        <v>-9.9780859999999999E-2</v>
      </c>
      <c r="N4428">
        <v>0</v>
      </c>
      <c r="O4428">
        <v>-0.99491560000000001</v>
      </c>
      <c r="P4428">
        <v>-0.10272589999999999</v>
      </c>
      <c r="Q4428">
        <v>9.0511529999999993E-3</v>
      </c>
      <c r="R4428">
        <v>-0.99466880000000002</v>
      </c>
      <c r="S4428">
        <v>-2.9586790000000002E-2</v>
      </c>
      <c r="T4428">
        <v>-8.2022670000000006E-2</v>
      </c>
      <c r="U4428">
        <v>-3.0136259999999999</v>
      </c>
      <c r="V4428">
        <v>2.9858799999999998E-3</v>
      </c>
      <c r="W4428">
        <v>2.2734890000000001E-2</v>
      </c>
      <c r="X4428">
        <v>0.99973710000000005</v>
      </c>
      <c r="Y4428">
        <v>-9.002069E-2</v>
      </c>
      <c r="Z4428">
        <v>2.694767E-2</v>
      </c>
      <c r="AA4428">
        <v>0.99557519999999999</v>
      </c>
      <c r="AB4428">
        <v>22</v>
      </c>
      <c r="AC4428">
        <v>-0.38670000000001797</v>
      </c>
      <c r="AD4428">
        <v>-1.109643304564</v>
      </c>
      <c r="AE4428">
        <v>-40.640300000000003</v>
      </c>
      <c r="AF4428">
        <v>-3.6679986749664999</v>
      </c>
      <c r="AG4428">
        <v>-1.109643304564</v>
      </c>
      <c r="AH4428">
        <v>40.445882868900902</v>
      </c>
      <c r="AI4428">
        <v>91.565110646767195</v>
      </c>
      <c r="AJ4428">
        <v>95.181924557459496</v>
      </c>
      <c r="AK4428">
        <v>40.627022578423997</v>
      </c>
      <c r="AL4428">
        <v>88.697274553415994</v>
      </c>
      <c r="AM4428">
        <v>89.828877198362704</v>
      </c>
      <c r="AN4428">
        <v>1.00000002990954</v>
      </c>
    </row>
    <row r="4429" spans="1:40" x14ac:dyDescent="0.25">
      <c r="A4429" t="str">
        <f>"20190312160422035"</f>
        <v>20190312160422035</v>
      </c>
      <c r="B4429" t="str">
        <f>"1552377862029097"</f>
        <v>1552377862029097</v>
      </c>
      <c r="C4429" t="s">
        <v>40</v>
      </c>
      <c r="D4429">
        <v>5.2681230000000001</v>
      </c>
      <c r="E4429">
        <v>0.46426499999999998</v>
      </c>
      <c r="F4429" t="s">
        <v>60</v>
      </c>
      <c r="G4429">
        <v>-191.5497</v>
      </c>
      <c r="H4429" s="1">
        <v>-7.33266499999999E-6</v>
      </c>
      <c r="I4429">
        <v>136.65790000000001</v>
      </c>
      <c r="J4429">
        <v>-191.18979999999999</v>
      </c>
      <c r="K4429">
        <v>1.1096109999999999</v>
      </c>
      <c r="L4429">
        <v>177.06610000000001</v>
      </c>
      <c r="M4429">
        <v>-0.1002883</v>
      </c>
      <c r="N4429">
        <v>0</v>
      </c>
      <c r="O4429">
        <v>-0.99486419999999998</v>
      </c>
      <c r="P4429">
        <v>-0.102813</v>
      </c>
      <c r="Q4429">
        <v>9.3225430000000008E-3</v>
      </c>
      <c r="R4429">
        <v>-0.99465700000000001</v>
      </c>
      <c r="S4429">
        <v>-2.7832030000000001E-2</v>
      </c>
      <c r="T4429">
        <v>-8.2482219999999995E-2</v>
      </c>
      <c r="U4429">
        <v>-3.0139469999999999</v>
      </c>
      <c r="V4429">
        <v>2.565454E-3</v>
      </c>
      <c r="W4429">
        <v>2.3005669999999999E-2</v>
      </c>
      <c r="X4429">
        <v>0.99973199999999995</v>
      </c>
      <c r="Y4429">
        <v>-9.1109309999999999E-2</v>
      </c>
      <c r="Z4429">
        <v>2.709228E-2</v>
      </c>
      <c r="AA4429">
        <v>0.99547229999999998</v>
      </c>
      <c r="AB4429">
        <v>22</v>
      </c>
      <c r="AC4429">
        <v>-0.35990000000000999</v>
      </c>
      <c r="AD4429">
        <v>-1.109618332665</v>
      </c>
      <c r="AE4429">
        <v>-40.408200000000001</v>
      </c>
      <c r="AF4429">
        <v>-3.6919806536909299</v>
      </c>
      <c r="AG4429">
        <v>-1.109618332665</v>
      </c>
      <c r="AH4429">
        <v>40.2102189838185</v>
      </c>
      <c r="AI4429">
        <v>91.574082823559294</v>
      </c>
      <c r="AJ4429">
        <v>95.246016196471999</v>
      </c>
      <c r="AK4429">
        <v>40.394599697460201</v>
      </c>
      <c r="AL4429">
        <v>88.681755847645505</v>
      </c>
      <c r="AM4429">
        <v>89.852971232200403</v>
      </c>
      <c r="AN4429">
        <v>0.99999995711518597</v>
      </c>
    </row>
    <row r="4430" spans="1:40" x14ac:dyDescent="0.25">
      <c r="A4430" t="str">
        <f>"20190312160422049"</f>
        <v>20190312160422049</v>
      </c>
      <c r="B4430" t="str">
        <f>"1552377862039833"</f>
        <v>1552377862039833</v>
      </c>
      <c r="C4430" t="s">
        <v>40</v>
      </c>
      <c r="D4430">
        <v>5.2857390000000004</v>
      </c>
      <c r="E4430">
        <v>0.46401819999999999</v>
      </c>
      <c r="F4430" t="s">
        <v>60</v>
      </c>
      <c r="G4430">
        <v>-191.54470000000001</v>
      </c>
      <c r="H4430" s="1">
        <v>-7.352488E-6</v>
      </c>
      <c r="I4430">
        <v>136.72219999999999</v>
      </c>
      <c r="J4430">
        <v>-191.20439999999999</v>
      </c>
      <c r="K4430">
        <v>1.1095889999999999</v>
      </c>
      <c r="L4430">
        <v>176.92679999999999</v>
      </c>
      <c r="M4430">
        <v>-0.1008179</v>
      </c>
      <c r="N4430">
        <v>0</v>
      </c>
      <c r="O4430">
        <v>-0.99481090000000005</v>
      </c>
      <c r="P4430">
        <v>-0.102997699999999</v>
      </c>
      <c r="Q4430">
        <v>9.4359270000000002E-3</v>
      </c>
      <c r="R4430">
        <v>-0.99463699999999999</v>
      </c>
      <c r="S4430">
        <v>-2.651978E-2</v>
      </c>
      <c r="T4430">
        <v>-8.2900879999999996E-2</v>
      </c>
      <c r="U4430">
        <v>-3.0141450000000001</v>
      </c>
      <c r="V4430">
        <v>2.2202630000000001E-3</v>
      </c>
      <c r="W4430">
        <v>2.311817E-2</v>
      </c>
      <c r="X4430">
        <v>0.99973029999999996</v>
      </c>
      <c r="Y4430">
        <v>-9.2073420000000003E-2</v>
      </c>
      <c r="Z4430">
        <v>2.722453E-2</v>
      </c>
      <c r="AA4430">
        <v>0.99538000000000004</v>
      </c>
      <c r="AB4430">
        <v>22</v>
      </c>
      <c r="AC4430">
        <v>-0.34030000000001298</v>
      </c>
      <c r="AD4430">
        <v>-1.1095963524879999</v>
      </c>
      <c r="AE4430">
        <v>-40.204599999999999</v>
      </c>
      <c r="AF4430">
        <v>-3.7123291781915499</v>
      </c>
      <c r="AG4430">
        <v>-1.1095963524879999</v>
      </c>
      <c r="AH4430">
        <v>40.003558335797599</v>
      </c>
      <c r="AI4430">
        <v>91.582036902115902</v>
      </c>
      <c r="AJ4430">
        <v>95.301862063276801</v>
      </c>
      <c r="AK4430">
        <v>40.190761021885002</v>
      </c>
      <c r="AL4430">
        <v>88.675308448713494</v>
      </c>
      <c r="AM4430">
        <v>89.872754191641505</v>
      </c>
      <c r="AN4430">
        <v>1.0000000260450099</v>
      </c>
    </row>
    <row r="4431" spans="1:40" x14ac:dyDescent="0.25">
      <c r="A4431" t="str">
        <f>"20190312160422066"</f>
        <v>20190312160422066</v>
      </c>
      <c r="B4431" t="str">
        <f>"1552377862059353"</f>
        <v>1552377862059353</v>
      </c>
      <c r="C4431" t="s">
        <v>40</v>
      </c>
      <c r="D4431">
        <v>5.2886329999999999</v>
      </c>
      <c r="E4431">
        <v>0.4636248</v>
      </c>
      <c r="F4431" t="s">
        <v>60</v>
      </c>
      <c r="G4431">
        <v>-191.53819999999999</v>
      </c>
      <c r="H4431" s="1">
        <v>-7.3427159999999996E-6</v>
      </c>
      <c r="I4431">
        <v>136.69450000000001</v>
      </c>
      <c r="J4431">
        <v>-191.2218</v>
      </c>
      <c r="K4431">
        <v>1.109567</v>
      </c>
      <c r="L4431">
        <v>176.7621</v>
      </c>
      <c r="M4431">
        <v>-0.1014814</v>
      </c>
      <c r="N4431">
        <v>0</v>
      </c>
      <c r="O4431">
        <v>-0.9947433</v>
      </c>
      <c r="P4431">
        <v>-0.1032352</v>
      </c>
      <c r="Q4431">
        <v>9.4462350000000007E-3</v>
      </c>
      <c r="R4431">
        <v>-0.9946123</v>
      </c>
      <c r="S4431">
        <v>-2.5009159999999999E-2</v>
      </c>
      <c r="T4431">
        <v>-8.3135249999999994E-2</v>
      </c>
      <c r="U4431">
        <v>-3.0143589999999998</v>
      </c>
      <c r="V4431">
        <v>1.7933059999999999E-3</v>
      </c>
      <c r="W4431">
        <v>2.3127700000000001E-2</v>
      </c>
      <c r="X4431">
        <v>0.99973089999999998</v>
      </c>
      <c r="Y4431">
        <v>-9.3236890000000003E-2</v>
      </c>
      <c r="Z4431">
        <v>2.7295280000000002E-2</v>
      </c>
      <c r="AA4431">
        <v>0.99526970000000003</v>
      </c>
      <c r="AB4431">
        <v>22</v>
      </c>
      <c r="AC4431">
        <v>-0.31639999999998702</v>
      </c>
      <c r="AD4431">
        <v>-1.1095743427160001</v>
      </c>
      <c r="AE4431">
        <v>-40.067599999999999</v>
      </c>
      <c r="AF4431">
        <v>-3.74885597951753</v>
      </c>
      <c r="AG4431">
        <v>-1.1095743427160001</v>
      </c>
      <c r="AH4431">
        <v>39.862253780837399</v>
      </c>
      <c r="AI4431">
        <v>91.587427601849996</v>
      </c>
      <c r="AJ4431">
        <v>95.372594284505197</v>
      </c>
      <c r="AK4431">
        <v>40.0535186077961</v>
      </c>
      <c r="AL4431">
        <v>88.674762225391206</v>
      </c>
      <c r="AM4431">
        <v>89.897223587895994</v>
      </c>
      <c r="AN4431">
        <v>0.99999998943425406</v>
      </c>
    </row>
    <row r="4432" spans="1:40" x14ac:dyDescent="0.25">
      <c r="A4432" t="str">
        <f>"20190312160422088"</f>
        <v>20190312160422088</v>
      </c>
      <c r="B4432" t="str">
        <f>"1552377862078873"</f>
        <v>1552377862078873</v>
      </c>
      <c r="C4432" t="s">
        <v>40</v>
      </c>
      <c r="D4432">
        <v>5.3101200000000004</v>
      </c>
      <c r="E4432">
        <v>0.4631267</v>
      </c>
      <c r="F4432" t="s">
        <v>60</v>
      </c>
      <c r="G4432">
        <v>-191.51419999999999</v>
      </c>
      <c r="H4432" s="1">
        <v>-7.7727980000000007E-6</v>
      </c>
      <c r="I4432">
        <v>138.04990000000001</v>
      </c>
      <c r="J4432">
        <v>-191.2457</v>
      </c>
      <c r="K4432">
        <v>1.109545</v>
      </c>
      <c r="L4432">
        <v>176.53909999999999</v>
      </c>
      <c r="M4432">
        <v>-0.1024299</v>
      </c>
      <c r="N4432">
        <v>0</v>
      </c>
      <c r="O4432">
        <v>-0.99464629999999998</v>
      </c>
      <c r="P4432">
        <v>-0.1046739</v>
      </c>
      <c r="Q4432">
        <v>9.5247030000000007E-3</v>
      </c>
      <c r="R4432">
        <v>-0.99446100000000004</v>
      </c>
      <c r="S4432">
        <v>-2.2766109999999999E-2</v>
      </c>
      <c r="T4432">
        <v>-8.6407899999999996E-2</v>
      </c>
      <c r="U4432">
        <v>-3.0147089999999999</v>
      </c>
      <c r="V4432">
        <v>2.2879799999999998E-3</v>
      </c>
      <c r="W4432">
        <v>2.3203029999999999E-2</v>
      </c>
      <c r="X4432">
        <v>0.99972810000000001</v>
      </c>
      <c r="Y4432">
        <v>-9.4927739999999997E-2</v>
      </c>
      <c r="Z4432">
        <v>2.8359220000000001E-2</v>
      </c>
      <c r="AA4432">
        <v>0.99508010000000002</v>
      </c>
      <c r="AB4432">
        <v>22</v>
      </c>
      <c r="AC4432">
        <v>-0.26849999999998803</v>
      </c>
      <c r="AD4432">
        <v>-1.1095527727979999</v>
      </c>
      <c r="AE4432">
        <v>-38.489199999999897</v>
      </c>
      <c r="AF4432">
        <v>-3.67267383880966</v>
      </c>
      <c r="AG4432">
        <v>-1.1095527727979999</v>
      </c>
      <c r="AH4432">
        <v>38.282410148497803</v>
      </c>
      <c r="AI4432">
        <v>91.652575974261097</v>
      </c>
      <c r="AJ4432">
        <v>95.4799755734699</v>
      </c>
      <c r="AK4432">
        <v>38.474180527461598</v>
      </c>
      <c r="AL4432">
        <v>88.670444916228107</v>
      </c>
      <c r="AM4432">
        <v>89.868872977824395</v>
      </c>
      <c r="AN4432">
        <v>0.999999944691634</v>
      </c>
    </row>
    <row r="4433" spans="1:40" x14ac:dyDescent="0.25">
      <c r="A4433" t="str">
        <f>"20190312160422112"</f>
        <v>20190312160422112</v>
      </c>
      <c r="B4433" t="str">
        <f>"1552377862099369"</f>
        <v>1552377862099369</v>
      </c>
      <c r="C4433" t="s">
        <v>40</v>
      </c>
      <c r="D4433">
        <v>5.3270970000000002</v>
      </c>
      <c r="E4433">
        <v>0.46321960000000001</v>
      </c>
      <c r="F4433" t="s">
        <v>60</v>
      </c>
      <c r="G4433">
        <v>-191.5384</v>
      </c>
      <c r="H4433" s="1">
        <v>-7.7015370000000003E-6</v>
      </c>
      <c r="I4433">
        <v>137.81620000000001</v>
      </c>
      <c r="J4433">
        <v>-191.27090000000001</v>
      </c>
      <c r="K4433">
        <v>1.1095219999999999</v>
      </c>
      <c r="L4433">
        <v>176.30619999999999</v>
      </c>
      <c r="M4433">
        <v>-0.1034718</v>
      </c>
      <c r="N4433">
        <v>0</v>
      </c>
      <c r="O4433">
        <v>-0.99453840000000004</v>
      </c>
      <c r="P4433">
        <v>-0.10628319999999999</v>
      </c>
      <c r="Q4433">
        <v>9.3795679999999996E-3</v>
      </c>
      <c r="R4433">
        <v>-0.9942917</v>
      </c>
      <c r="S4433">
        <v>-2.2796629999999998E-2</v>
      </c>
      <c r="T4433">
        <v>-8.6394670000000007E-2</v>
      </c>
      <c r="U4433">
        <v>-3.0151370000000002</v>
      </c>
      <c r="V4433">
        <v>2.8595690000000002E-3</v>
      </c>
      <c r="W4433">
        <v>2.3055240000000001E-2</v>
      </c>
      <c r="X4433">
        <v>0.99973009999999995</v>
      </c>
      <c r="Y4433">
        <v>-9.5961589999999999E-2</v>
      </c>
      <c r="Z4433">
        <v>2.8344810000000002E-2</v>
      </c>
      <c r="AA4433">
        <v>0.99498140000000002</v>
      </c>
      <c r="AB4433">
        <v>22</v>
      </c>
      <c r="AC4433">
        <v>-0.26749999999998397</v>
      </c>
      <c r="AD4433">
        <v>-1.10952970153699</v>
      </c>
      <c r="AE4433">
        <v>-38.489999999999903</v>
      </c>
      <c r="AF4433">
        <v>-3.7138521038519698</v>
      </c>
      <c r="AG4433">
        <v>-1.10952970153699</v>
      </c>
      <c r="AH4433">
        <v>38.279236040284999</v>
      </c>
      <c r="AI4433">
        <v>91.652507489305293</v>
      </c>
      <c r="AJ4433">
        <v>95.541493745697196</v>
      </c>
      <c r="AK4433">
        <v>38.474974534569</v>
      </c>
      <c r="AL4433">
        <v>88.678914994970597</v>
      </c>
      <c r="AM4433">
        <v>89.836114979329395</v>
      </c>
      <c r="AN4433">
        <v>0.99999999703616604</v>
      </c>
    </row>
    <row r="4434" spans="1:40" x14ac:dyDescent="0.25">
      <c r="A4434" t="str">
        <f>"20190312160422123"</f>
        <v>20190312160422123</v>
      </c>
      <c r="B4434" t="str">
        <f>"1552377862118889"</f>
        <v>1552377862118889</v>
      </c>
      <c r="C4434" t="s">
        <v>40</v>
      </c>
      <c r="D4434">
        <v>5.3533540000000004</v>
      </c>
      <c r="E4434">
        <v>0.52949880000000005</v>
      </c>
      <c r="F4434" t="s">
        <v>60</v>
      </c>
      <c r="G4434">
        <v>-191.63820000000001</v>
      </c>
      <c r="H4434" s="1">
        <v>-7.639651E-6</v>
      </c>
      <c r="I4434">
        <v>137.5779</v>
      </c>
      <c r="J4434">
        <v>-191.28440000000001</v>
      </c>
      <c r="K4434">
        <v>1.109513</v>
      </c>
      <c r="L4434">
        <v>176.18260000000001</v>
      </c>
      <c r="M4434">
        <v>-0.1040368</v>
      </c>
      <c r="N4434">
        <v>0</v>
      </c>
      <c r="O4434">
        <v>-0.99447960000000002</v>
      </c>
      <c r="P4434">
        <v>-0.107369699999999</v>
      </c>
      <c r="Q4434">
        <v>9.8051570000000001E-3</v>
      </c>
      <c r="R4434">
        <v>-0.99417120000000003</v>
      </c>
      <c r="S4434">
        <v>-2.8594970000000001E-2</v>
      </c>
      <c r="T4434">
        <v>-8.6376190000000005E-2</v>
      </c>
      <c r="U4434">
        <v>-3.0149689999999998</v>
      </c>
      <c r="V4434">
        <v>3.3858870000000002E-3</v>
      </c>
      <c r="W4434">
        <v>2.3478559999999999E-2</v>
      </c>
      <c r="X4434">
        <v>0.99971860000000001</v>
      </c>
      <c r="Y4434">
        <v>-9.461311E-2</v>
      </c>
      <c r="Z4434">
        <v>2.8339429999999999E-2</v>
      </c>
      <c r="AA4434">
        <v>0.99511070000000001</v>
      </c>
      <c r="AB4434">
        <v>22</v>
      </c>
      <c r="AC4434">
        <v>-0.353800000000006</v>
      </c>
      <c r="AD4434">
        <v>-1.109520639651</v>
      </c>
      <c r="AE4434">
        <v>-38.604700000000001</v>
      </c>
      <c r="AF4434">
        <v>-3.6617801913772401</v>
      </c>
      <c r="AG4434">
        <v>-1.109520639651</v>
      </c>
      <c r="AH4434">
        <v>38.4002653275802</v>
      </c>
      <c r="AI4434">
        <v>91.647549352097698</v>
      </c>
      <c r="AJ4434">
        <v>95.447151608588399</v>
      </c>
      <c r="AK4434">
        <v>38.590413932067797</v>
      </c>
      <c r="AL4434">
        <v>88.654653972311493</v>
      </c>
      <c r="AM4434">
        <v>89.805949100823298</v>
      </c>
      <c r="AN4434">
        <v>0.99999999309820498</v>
      </c>
    </row>
    <row r="4435" spans="1:40" x14ac:dyDescent="0.25">
      <c r="A4435" t="str">
        <f>"20190312160422135"</f>
        <v>20190312160422135</v>
      </c>
      <c r="B4435" t="str">
        <f>"1552377862129625"</f>
        <v>1552377862129625</v>
      </c>
      <c r="C4435" t="s">
        <v>40</v>
      </c>
      <c r="D4435">
        <v>5.3515069999999998</v>
      </c>
      <c r="E4435">
        <v>0.52949880000000005</v>
      </c>
      <c r="F4435" t="s">
        <v>41</v>
      </c>
      <c r="G4435">
        <v>-194.26320000000001</v>
      </c>
      <c r="H4435" s="1">
        <v>-1.5224330000000001E-6</v>
      </c>
      <c r="I4435">
        <v>160.4126</v>
      </c>
      <c r="J4435">
        <v>-191.2971</v>
      </c>
      <c r="K4435">
        <v>1.1095120000000001</v>
      </c>
      <c r="L4435">
        <v>176.06700000000001</v>
      </c>
      <c r="M4435">
        <v>-0.1045706</v>
      </c>
      <c r="N4435">
        <v>0</v>
      </c>
      <c r="O4435">
        <v>-0.99442350000000002</v>
      </c>
      <c r="P4435">
        <v>-0.1082616</v>
      </c>
      <c r="Q4435">
        <v>1.0023799999999999E-2</v>
      </c>
      <c r="R4435">
        <v>-0.99407210000000001</v>
      </c>
      <c r="S4435">
        <v>-0.55899049999999995</v>
      </c>
      <c r="T4435">
        <v>-0.20820369999999999</v>
      </c>
      <c r="U4435">
        <v>-2.9592740000000002</v>
      </c>
      <c r="V4435">
        <v>3.7472069999999998E-3</v>
      </c>
      <c r="W4435">
        <v>2.3694989999999999E-2</v>
      </c>
      <c r="X4435">
        <v>0.99971220000000005</v>
      </c>
      <c r="Y4435">
        <v>8.1388240000000001E-2</v>
      </c>
      <c r="Z4435">
        <v>6.888619E-2</v>
      </c>
      <c r="AA4435">
        <v>0.99429909999999999</v>
      </c>
      <c r="AB4435">
        <v>22</v>
      </c>
      <c r="AC4435">
        <v>-2.9661000000000102</v>
      </c>
      <c r="AD4435">
        <v>-1.1095135224329999</v>
      </c>
      <c r="AE4435">
        <v>-15.654400000000001</v>
      </c>
      <c r="AF4435">
        <v>1.3063573640636099</v>
      </c>
      <c r="AG4435">
        <v>-1.1095135224329999</v>
      </c>
      <c r="AH4435">
        <v>15.802125552208601</v>
      </c>
      <c r="AI4435">
        <v>94.002703311898102</v>
      </c>
      <c r="AJ4435">
        <v>85.274120149139605</v>
      </c>
      <c r="AK4435">
        <v>15.8948029804358</v>
      </c>
      <c r="AL4435">
        <v>88.642249989487496</v>
      </c>
      <c r="AM4435">
        <v>89.785240051498803</v>
      </c>
      <c r="AN4435">
        <v>0.99999998847011995</v>
      </c>
    </row>
    <row r="4436" spans="1:40" x14ac:dyDescent="0.25">
      <c r="A4436" t="str">
        <f>"20190312160422148"</f>
        <v>20190312160422148</v>
      </c>
      <c r="B4436" t="str">
        <f>"1552377862139384"</f>
        <v>1552377862139384</v>
      </c>
      <c r="C4436" t="s">
        <v>40</v>
      </c>
      <c r="D4436">
        <v>5.4456939999999996</v>
      </c>
      <c r="E4436">
        <v>0.56315059999999995</v>
      </c>
      <c r="F4436" t="s">
        <v>49</v>
      </c>
      <c r="G4436">
        <v>-191.45670000000001</v>
      </c>
      <c r="H4436">
        <v>1.050605</v>
      </c>
      <c r="I4436">
        <v>175.2269</v>
      </c>
      <c r="J4436">
        <v>-191.31039999999999</v>
      </c>
      <c r="K4436">
        <v>1.1095120000000001</v>
      </c>
      <c r="L4436">
        <v>175.94569999999999</v>
      </c>
      <c r="M4436">
        <v>-0.1051333</v>
      </c>
      <c r="N4436">
        <v>0</v>
      </c>
      <c r="O4436">
        <v>-0.99436440000000004</v>
      </c>
      <c r="P4436">
        <v>-0.1093345</v>
      </c>
      <c r="Q4436">
        <v>1.058828E-2</v>
      </c>
      <c r="R4436">
        <v>-0.99394919999999998</v>
      </c>
      <c r="S4436">
        <v>-0.56173709999999999</v>
      </c>
      <c r="T4436">
        <v>-0.20749919999999999</v>
      </c>
      <c r="U4436">
        <v>-2.9588009999999998</v>
      </c>
      <c r="V4436">
        <v>4.2623230000000002E-3</v>
      </c>
      <c r="W4436">
        <v>2.425749E-2</v>
      </c>
      <c r="X4436">
        <v>0.99969669999999999</v>
      </c>
      <c r="Y4436">
        <v>8.1747219999999995E-2</v>
      </c>
      <c r="Z4436">
        <v>6.8651970000000007E-2</v>
      </c>
      <c r="AA4436">
        <v>0.9942858</v>
      </c>
      <c r="AB4436">
        <v>22</v>
      </c>
      <c r="AC4436">
        <v>-0.14630000000002399</v>
      </c>
      <c r="AD4436">
        <v>-5.8907000000000001E-2</v>
      </c>
      <c r="AE4436">
        <v>-0.718799999999987</v>
      </c>
      <c r="AF4436">
        <v>6.9464241129974597E-2</v>
      </c>
      <c r="AG4436">
        <v>-5.8907000000000001E-2</v>
      </c>
      <c r="AH4436">
        <v>0.72551935986849403</v>
      </c>
      <c r="AI4436">
        <v>94.620787838944096</v>
      </c>
      <c r="AJ4436">
        <v>84.530934643973794</v>
      </c>
      <c r="AK4436">
        <v>0.73121382439663496</v>
      </c>
      <c r="AL4436">
        <v>88.610011920431603</v>
      </c>
      <c r="AM4436">
        <v>89.755714269103194</v>
      </c>
      <c r="AN4436">
        <v>1.00000004260467</v>
      </c>
    </row>
    <row r="4437" spans="1:40" x14ac:dyDescent="0.25">
      <c r="A4437" t="str">
        <f>"20190312160422159"</f>
        <v>20190312160422159</v>
      </c>
      <c r="B4437" t="str">
        <f>"1552377862149145"</f>
        <v>1552377862149145</v>
      </c>
      <c r="C4437" t="s">
        <v>40</v>
      </c>
      <c r="D4437">
        <v>5.3278439999999998</v>
      </c>
      <c r="E4437">
        <v>0.56419039999999998</v>
      </c>
      <c r="F4437" t="s">
        <v>60</v>
      </c>
      <c r="G4437">
        <v>-197.59739999999999</v>
      </c>
      <c r="H4437" s="1">
        <v>-1.3302729999999999E-5</v>
      </c>
      <c r="I4437">
        <v>153.79220000000001</v>
      </c>
      <c r="J4437">
        <v>-191.3237</v>
      </c>
      <c r="K4437">
        <v>1.109515</v>
      </c>
      <c r="L4437">
        <v>175.82640000000001</v>
      </c>
      <c r="M4437">
        <v>-0.1056907</v>
      </c>
      <c r="N4437">
        <v>0</v>
      </c>
      <c r="O4437">
        <v>-0.99430510000000005</v>
      </c>
      <c r="P4437">
        <v>-0.1106265</v>
      </c>
      <c r="Q4437">
        <v>1.111732E-2</v>
      </c>
      <c r="R4437">
        <v>-0.99380000000000002</v>
      </c>
      <c r="S4437">
        <v>-0.83105469999999904</v>
      </c>
      <c r="T4437">
        <v>-0.14666580000000001</v>
      </c>
      <c r="U4437">
        <v>-2.9284210000000002</v>
      </c>
      <c r="V4437">
        <v>5.0032419999999998E-3</v>
      </c>
      <c r="W4437">
        <v>2.4784239999999999E-2</v>
      </c>
      <c r="X4437">
        <v>0.99968029999999997</v>
      </c>
      <c r="Y4437">
        <v>0.16947470000000001</v>
      </c>
      <c r="Z4437">
        <v>4.8290329999999999E-2</v>
      </c>
      <c r="AA4437">
        <v>0.98435070000000002</v>
      </c>
      <c r="AB4437">
        <v>22</v>
      </c>
      <c r="AC4437">
        <v>-6.2736999999999901</v>
      </c>
      <c r="AD4437">
        <v>-1.10952830272999</v>
      </c>
      <c r="AE4437">
        <v>-22.034199999999998</v>
      </c>
      <c r="AF4437">
        <v>3.9003789353370899</v>
      </c>
      <c r="AG4437">
        <v>-1.10952830272999</v>
      </c>
      <c r="AH4437">
        <v>22.521075785731501</v>
      </c>
      <c r="AI4437">
        <v>92.7791611909376</v>
      </c>
      <c r="AJ4437">
        <v>80.174523148136501</v>
      </c>
      <c r="AK4437">
        <v>22.883244163370701</v>
      </c>
      <c r="AL4437">
        <v>88.579822226689203</v>
      </c>
      <c r="AM4437">
        <v>89.713246067750404</v>
      </c>
      <c r="AN4437">
        <v>0.99999999659548899</v>
      </c>
    </row>
    <row r="4438" spans="1:40" x14ac:dyDescent="0.25">
      <c r="A4438" t="str">
        <f>"20190312160422171"</f>
        <v>20190312160422171</v>
      </c>
      <c r="B4438" t="str">
        <f>"1552377862158904"</f>
        <v>1552377862158904</v>
      </c>
      <c r="C4438" t="s">
        <v>40</v>
      </c>
      <c r="D4438">
        <v>5.3323780000000003</v>
      </c>
      <c r="E4438">
        <v>0.56510269999999996</v>
      </c>
      <c r="F4438" t="s">
        <v>60</v>
      </c>
      <c r="G4438">
        <v>-199.5008</v>
      </c>
      <c r="H4438" s="1">
        <v>-1.174446E-5</v>
      </c>
      <c r="I4438">
        <v>147.42699999999999</v>
      </c>
      <c r="J4438">
        <v>-191.3365</v>
      </c>
      <c r="K4438">
        <v>1.1095200000000001</v>
      </c>
      <c r="L4438">
        <v>175.71170000000001</v>
      </c>
      <c r="M4438">
        <v>-0.106227</v>
      </c>
      <c r="N4438">
        <v>0</v>
      </c>
      <c r="O4438">
        <v>-0.99424800000000002</v>
      </c>
      <c r="P4438">
        <v>-0.111733</v>
      </c>
      <c r="Q4438">
        <v>1.1332119999999999E-2</v>
      </c>
      <c r="R4438">
        <v>-0.99367369999999999</v>
      </c>
      <c r="S4438">
        <v>-0.84254459999999998</v>
      </c>
      <c r="T4438">
        <v>-0.1143227</v>
      </c>
      <c r="U4438">
        <v>-2.926193</v>
      </c>
      <c r="V4438">
        <v>5.5777229999999997E-3</v>
      </c>
      <c r="W4438">
        <v>2.4996839999999999E-2</v>
      </c>
      <c r="X4438">
        <v>0.99967200000000001</v>
      </c>
      <c r="Y4438">
        <v>0.17283889999999999</v>
      </c>
      <c r="Z4438">
        <v>3.7652039999999998E-2</v>
      </c>
      <c r="AA4438">
        <v>0.98423020000000006</v>
      </c>
      <c r="AB4438">
        <v>22</v>
      </c>
      <c r="AC4438">
        <v>-8.1642999999999901</v>
      </c>
      <c r="AD4438">
        <v>-1.1095317444599999</v>
      </c>
      <c r="AE4438">
        <v>-28.284699999999901</v>
      </c>
      <c r="AF4438">
        <v>5.1059648807292204</v>
      </c>
      <c r="AG4438">
        <v>-1.1095317444599999</v>
      </c>
      <c r="AH4438">
        <v>28.950859846156099</v>
      </c>
      <c r="AI4438">
        <v>92.161440712014198</v>
      </c>
      <c r="AJ4438">
        <v>79.997798134086395</v>
      </c>
      <c r="AK4438">
        <v>29.4186033639767</v>
      </c>
      <c r="AL4438">
        <v>88.567637417096606</v>
      </c>
      <c r="AM4438">
        <v>89.680318473529795</v>
      </c>
      <c r="AN4438">
        <v>1.00000003029392</v>
      </c>
    </row>
    <row r="4439" spans="1:40" x14ac:dyDescent="0.25">
      <c r="A4439" t="str">
        <f>"20190312160422187"</f>
        <v>20190312160422187</v>
      </c>
      <c r="B4439" t="str">
        <f>"1552377862179402"</f>
        <v>1552377862179402</v>
      </c>
      <c r="C4439" t="s">
        <v>40</v>
      </c>
      <c r="D4439">
        <v>5.3256579999999998</v>
      </c>
      <c r="E4439">
        <v>0.56533619999999996</v>
      </c>
      <c r="F4439" t="s">
        <v>60</v>
      </c>
      <c r="G4439">
        <v>-199.13650000000001</v>
      </c>
      <c r="H4439" s="1">
        <v>-1.214702E-5</v>
      </c>
      <c r="I4439">
        <v>148.97669999999999</v>
      </c>
      <c r="J4439">
        <v>-191.35400000000001</v>
      </c>
      <c r="K4439">
        <v>1.1095330000000001</v>
      </c>
      <c r="L4439">
        <v>175.55609999999999</v>
      </c>
      <c r="M4439">
        <v>-0.1069558</v>
      </c>
      <c r="N4439">
        <v>0</v>
      </c>
      <c r="O4439">
        <v>-0.99416990000000005</v>
      </c>
      <c r="P4439">
        <v>-0.11338819999999999</v>
      </c>
      <c r="Q4439">
        <v>1.185866E-2</v>
      </c>
      <c r="R4439">
        <v>-0.99348020000000004</v>
      </c>
      <c r="S4439">
        <v>-0.85324100000000003</v>
      </c>
      <c r="T4439">
        <v>-0.1213721</v>
      </c>
      <c r="U4439">
        <v>-2.9245450000000002</v>
      </c>
      <c r="V4439">
        <v>6.5116189999999997E-3</v>
      </c>
      <c r="W4439">
        <v>2.5519759999999999E-2</v>
      </c>
      <c r="X4439">
        <v>0.99965309999999996</v>
      </c>
      <c r="Y4439">
        <v>0.1755592</v>
      </c>
      <c r="Z4439">
        <v>3.9957300000000001E-2</v>
      </c>
      <c r="AA4439">
        <v>0.98365769999999997</v>
      </c>
      <c r="AB4439">
        <v>22</v>
      </c>
      <c r="AC4439">
        <v>-7.78249999999999</v>
      </c>
      <c r="AD4439">
        <v>-1.10954514702</v>
      </c>
      <c r="AE4439">
        <v>-26.5794</v>
      </c>
      <c r="AF4439">
        <v>4.8869195885597501</v>
      </c>
      <c r="AG4439">
        <v>-1.10954514702</v>
      </c>
      <c r="AH4439">
        <v>27.215685950200498</v>
      </c>
      <c r="AI4439">
        <v>92.297864823549901</v>
      </c>
      <c r="AJ4439">
        <v>79.820302275349206</v>
      </c>
      <c r="AK4439">
        <v>27.6732115092966</v>
      </c>
      <c r="AL4439">
        <v>88.537666687568603</v>
      </c>
      <c r="AM4439">
        <v>89.6267875227486</v>
      </c>
      <c r="AN4439">
        <v>0.999999989836034</v>
      </c>
    </row>
    <row r="4440" spans="1:40" x14ac:dyDescent="0.25">
      <c r="A4440" t="str">
        <f>"20190312160422198"</f>
        <v>20190312160422198</v>
      </c>
      <c r="B4440" t="str">
        <f>"1552377862189161"</f>
        <v>1552377862189161</v>
      </c>
      <c r="C4440" t="s">
        <v>40</v>
      </c>
      <c r="D4440">
        <v>5.3092030000000001</v>
      </c>
      <c r="E4440">
        <v>0.56458280000000005</v>
      </c>
      <c r="F4440" t="s">
        <v>60</v>
      </c>
      <c r="G4440">
        <v>-199.71279999999999</v>
      </c>
      <c r="H4440" s="1">
        <v>-1.168813E-5</v>
      </c>
      <c r="I4440">
        <v>147.1354</v>
      </c>
      <c r="J4440">
        <v>-191.3672</v>
      </c>
      <c r="K4440">
        <v>1.109545</v>
      </c>
      <c r="L4440">
        <v>175.43940000000001</v>
      </c>
      <c r="M4440">
        <v>-0.1075007</v>
      </c>
      <c r="N4440">
        <v>0</v>
      </c>
      <c r="O4440">
        <v>-0.99411119999999997</v>
      </c>
      <c r="P4440">
        <v>-0.114446699999999</v>
      </c>
      <c r="Q4440">
        <v>1.2190070000000001E-2</v>
      </c>
      <c r="R4440">
        <v>-0.99335499999999999</v>
      </c>
      <c r="S4440">
        <v>-0.85966489999999995</v>
      </c>
      <c r="T4440">
        <v>-0.1141118</v>
      </c>
      <c r="U4440">
        <v>-2.9229430000000001</v>
      </c>
      <c r="V4440">
        <v>7.0294850000000002E-3</v>
      </c>
      <c r="W4440">
        <v>2.5849629999999998E-2</v>
      </c>
      <c r="X4440">
        <v>0.99964109999999995</v>
      </c>
      <c r="Y4440">
        <v>0.17718149999999999</v>
      </c>
      <c r="Z4440">
        <v>3.7570190000000003E-2</v>
      </c>
      <c r="AA4440">
        <v>0.98346080000000002</v>
      </c>
      <c r="AB4440">
        <v>22</v>
      </c>
      <c r="AC4440">
        <v>-8.3455999999999904</v>
      </c>
      <c r="AD4440">
        <v>-1.1095566881299901</v>
      </c>
      <c r="AE4440">
        <v>-28.303999999999998</v>
      </c>
      <c r="AF4440">
        <v>5.24682652454681</v>
      </c>
      <c r="AG4440">
        <v>-1.1095566881299901</v>
      </c>
      <c r="AH4440">
        <v>28.996193657795899</v>
      </c>
      <c r="AI4440">
        <v>92.1564033194377</v>
      </c>
      <c r="AJ4440">
        <v>79.743378678261706</v>
      </c>
      <c r="AK4440">
        <v>29.487956037393701</v>
      </c>
      <c r="AL4440">
        <v>88.518760266102603</v>
      </c>
      <c r="AM4440">
        <v>89.597102215847698</v>
      </c>
      <c r="AN4440">
        <v>0.99999997291985498</v>
      </c>
    </row>
    <row r="4441" spans="1:40" x14ac:dyDescent="0.25">
      <c r="A4441" t="str">
        <f>"20190312160422211"</f>
        <v>20190312160422211</v>
      </c>
      <c r="B4441" t="str">
        <f>"1552377862198922"</f>
        <v>1552377862198922</v>
      </c>
      <c r="C4441" t="s">
        <v>40</v>
      </c>
      <c r="D4441">
        <v>5.2873199999999896</v>
      </c>
      <c r="E4441">
        <v>0.56460719999999998</v>
      </c>
      <c r="F4441" t="s">
        <v>60</v>
      </c>
      <c r="G4441">
        <v>-199.52809999999999</v>
      </c>
      <c r="H4441" s="1">
        <v>-1.180181E-5</v>
      </c>
      <c r="I4441">
        <v>147.60669999999999</v>
      </c>
      <c r="J4441">
        <v>-191.381</v>
      </c>
      <c r="K4441">
        <v>1.1095549999999901</v>
      </c>
      <c r="L4441">
        <v>175.3176</v>
      </c>
      <c r="M4441">
        <v>-0.1080684</v>
      </c>
      <c r="N4441">
        <v>0</v>
      </c>
      <c r="O4441">
        <v>-0.99404959999999998</v>
      </c>
      <c r="P4441">
        <v>-0.1151301</v>
      </c>
      <c r="Q4441">
        <v>1.270755E-2</v>
      </c>
      <c r="R4441">
        <v>-0.99326959999999997</v>
      </c>
      <c r="S4441">
        <v>-0.85699459999999905</v>
      </c>
      <c r="T4441">
        <v>-0.1165163</v>
      </c>
      <c r="U4441">
        <v>-2.9227599999999998</v>
      </c>
      <c r="V4441">
        <v>7.1474959999999997E-3</v>
      </c>
      <c r="W4441">
        <v>2.6365389999999999E-2</v>
      </c>
      <c r="X4441">
        <v>0.99962680000000004</v>
      </c>
      <c r="Y4441">
        <v>0.17580019999999999</v>
      </c>
      <c r="Z4441">
        <v>3.836904E-2</v>
      </c>
      <c r="AA4441">
        <v>0.98367789999999999</v>
      </c>
      <c r="AB4441">
        <v>22</v>
      </c>
      <c r="AC4441">
        <v>-8.1471000000000195</v>
      </c>
      <c r="AD4441">
        <v>-1.10956680180999</v>
      </c>
      <c r="AE4441">
        <v>-27.710899999999999</v>
      </c>
      <c r="AF4441">
        <v>5.0969036246449804</v>
      </c>
      <c r="AG4441">
        <v>-1.10956680180999</v>
      </c>
      <c r="AH4441">
        <v>28.387214611285199</v>
      </c>
      <c r="AI4441">
        <v>92.203176407361497</v>
      </c>
      <c r="AJ4441">
        <v>79.821042771527402</v>
      </c>
      <c r="AK4441">
        <v>28.8624932816581</v>
      </c>
      <c r="AL4441">
        <v>88.489199328135797</v>
      </c>
      <c r="AM4441">
        <v>89.5903327359825</v>
      </c>
      <c r="AN4441">
        <v>0.99999997988358003</v>
      </c>
    </row>
    <row r="4442" spans="1:40" x14ac:dyDescent="0.25">
      <c r="A4442" t="str">
        <f>"20190312160422225"</f>
        <v>20190312160422225</v>
      </c>
      <c r="B4442" t="str">
        <f>"1552377862219417"</f>
        <v>1552377862219417</v>
      </c>
      <c r="C4442" t="s">
        <v>40</v>
      </c>
      <c r="D4442">
        <v>5.3294119999999996</v>
      </c>
      <c r="E4442">
        <v>0.56433330000000004</v>
      </c>
      <c r="F4442" t="s">
        <v>60</v>
      </c>
      <c r="G4442">
        <v>-199.04060000000001</v>
      </c>
      <c r="H4442" s="1">
        <v>-1.2207200000000001E-5</v>
      </c>
      <c r="I4442">
        <v>149.26939999999999</v>
      </c>
      <c r="J4442">
        <v>-191.39680000000001</v>
      </c>
      <c r="K4442">
        <v>1.1095680000000001</v>
      </c>
      <c r="L4442">
        <v>175.1789</v>
      </c>
      <c r="M4442">
        <v>-0.1087119</v>
      </c>
      <c r="N4442">
        <v>0</v>
      </c>
      <c r="O4442">
        <v>-0.99397930000000001</v>
      </c>
      <c r="P4442">
        <v>-0.1159772</v>
      </c>
      <c r="Q4442">
        <v>1.299405E-2</v>
      </c>
      <c r="R4442">
        <v>-0.99316700000000002</v>
      </c>
      <c r="S4442">
        <v>-0.85932919999999902</v>
      </c>
      <c r="T4442">
        <v>-0.12448190000000001</v>
      </c>
      <c r="U4442">
        <v>-2.9223330000000001</v>
      </c>
      <c r="V4442">
        <v>7.3533490000000003E-3</v>
      </c>
      <c r="W4442">
        <v>2.6650440000000001E-2</v>
      </c>
      <c r="X4442">
        <v>0.9996178</v>
      </c>
      <c r="Y4442">
        <v>0.17589589999999999</v>
      </c>
      <c r="Z4442">
        <v>4.0984279999999998E-2</v>
      </c>
      <c r="AA4442">
        <v>0.98355530000000002</v>
      </c>
      <c r="AB4442">
        <v>22</v>
      </c>
      <c r="AC4442">
        <v>-7.6437999999999899</v>
      </c>
      <c r="AD4442">
        <v>-1.1095802072000001</v>
      </c>
      <c r="AE4442">
        <v>-25.909500000000001</v>
      </c>
      <c r="AF4442">
        <v>4.7735011533973202</v>
      </c>
      <c r="AG4442">
        <v>-1.1095802072000001</v>
      </c>
      <c r="AH4442">
        <v>26.542182210336801</v>
      </c>
      <c r="AI4442">
        <v>92.3560662123366</v>
      </c>
      <c r="AJ4442">
        <v>79.804581821088405</v>
      </c>
      <c r="AK4442">
        <v>26.990830257411801</v>
      </c>
      <c r="AL4442">
        <v>88.472861504151595</v>
      </c>
      <c r="AM4442">
        <v>89.578530650749997</v>
      </c>
      <c r="AN4442">
        <v>1.00000003188527</v>
      </c>
    </row>
    <row r="4443" spans="1:40" x14ac:dyDescent="0.25">
      <c r="A4443" t="str">
        <f>"20190312160422238"</f>
        <v>20190312160422238</v>
      </c>
      <c r="B4443" t="str">
        <f>"1552377862229177"</f>
        <v>1552377862229177</v>
      </c>
      <c r="C4443" t="s">
        <v>40</v>
      </c>
      <c r="D4443">
        <v>5.5729290000000002</v>
      </c>
      <c r="E4443">
        <v>0.56327709999999998</v>
      </c>
      <c r="F4443" t="s">
        <v>60</v>
      </c>
      <c r="G4443">
        <v>-200.35890000000001</v>
      </c>
      <c r="H4443" s="1">
        <v>-1.0823989999999999E-5</v>
      </c>
      <c r="I4443">
        <v>144.71039999999999</v>
      </c>
      <c r="J4443">
        <v>-191.41139999999999</v>
      </c>
      <c r="K4443">
        <v>1.10958</v>
      </c>
      <c r="L4443">
        <v>175.0521</v>
      </c>
      <c r="M4443">
        <v>-0.1092955</v>
      </c>
      <c r="N4443">
        <v>0</v>
      </c>
      <c r="O4443">
        <v>-0.99391529999999995</v>
      </c>
      <c r="P4443">
        <v>-0.1166734</v>
      </c>
      <c r="Q4443">
        <v>1.357531E-2</v>
      </c>
      <c r="R4443">
        <v>-0.99307769999999995</v>
      </c>
      <c r="S4443">
        <v>-0.85939030000000005</v>
      </c>
      <c r="T4443">
        <v>-0.10639940000000001</v>
      </c>
      <c r="U4443">
        <v>-2.9216769999999999</v>
      </c>
      <c r="V4443">
        <v>7.4685359999999996E-3</v>
      </c>
      <c r="W4443">
        <v>2.723006E-2</v>
      </c>
      <c r="X4443">
        <v>0.99960130000000003</v>
      </c>
      <c r="Y4443">
        <v>0.17546049999999999</v>
      </c>
      <c r="Z4443">
        <v>3.504438E-2</v>
      </c>
      <c r="AA4443">
        <v>0.98386249999999997</v>
      </c>
      <c r="AB4443">
        <v>22</v>
      </c>
      <c r="AC4443">
        <v>-8.9475000000000193</v>
      </c>
      <c r="AD4443">
        <v>-1.1095908239899901</v>
      </c>
      <c r="AE4443">
        <v>-30.341699999999999</v>
      </c>
      <c r="AF4443">
        <v>5.5705132867226199</v>
      </c>
      <c r="AG4443">
        <v>-1.1095908239899901</v>
      </c>
      <c r="AH4443">
        <v>31.099647108140001</v>
      </c>
      <c r="AI4443">
        <v>92.011380285884101</v>
      </c>
      <c r="AJ4443">
        <v>79.844970774127901</v>
      </c>
      <c r="AK4443">
        <v>31.614076932991001</v>
      </c>
      <c r="AL4443">
        <v>88.439639628296305</v>
      </c>
      <c r="AM4443">
        <v>89.5719216955588</v>
      </c>
      <c r="AN4443">
        <v>1.00000000707963</v>
      </c>
    </row>
    <row r="4444" spans="1:40" x14ac:dyDescent="0.25">
      <c r="A4444" t="str">
        <f>"20190312160422256"</f>
        <v>20190312160422256</v>
      </c>
      <c r="B4444" t="str">
        <f>"1552377862249673"</f>
        <v>1552377862249673</v>
      </c>
      <c r="C4444" t="s">
        <v>40</v>
      </c>
      <c r="D4444">
        <v>5.325361</v>
      </c>
      <c r="E4444">
        <v>0.56165310000000002</v>
      </c>
      <c r="F4444" t="s">
        <v>60</v>
      </c>
      <c r="G4444">
        <v>-201.3229</v>
      </c>
      <c r="H4444" s="1">
        <v>-9.3622729999999996E-6</v>
      </c>
      <c r="I4444">
        <v>141.0926</v>
      </c>
      <c r="J4444">
        <v>-191.43129999999999</v>
      </c>
      <c r="K4444">
        <v>1.109591</v>
      </c>
      <c r="L4444">
        <v>174.87950000000001</v>
      </c>
      <c r="M4444">
        <v>-0.11008519999999899</v>
      </c>
      <c r="N4444">
        <v>0</v>
      </c>
      <c r="O4444">
        <v>-0.99382809999999999</v>
      </c>
      <c r="P4444">
        <v>-0.11821710000000001</v>
      </c>
      <c r="Q4444">
        <v>1.4940780000000001E-2</v>
      </c>
      <c r="R4444">
        <v>-0.99287550000000002</v>
      </c>
      <c r="S4444">
        <v>-0.85282899999999995</v>
      </c>
      <c r="T4444">
        <v>-9.5473649999999993E-2</v>
      </c>
      <c r="U4444">
        <v>-2.9220120000000001</v>
      </c>
      <c r="V4444">
        <v>8.2321310000000002E-3</v>
      </c>
      <c r="W4444">
        <v>2.8592329999999999E-2</v>
      </c>
      <c r="X4444">
        <v>0.99955729999999998</v>
      </c>
      <c r="Y4444">
        <v>0.17264589999999999</v>
      </c>
      <c r="Z4444">
        <v>3.14597E-2</v>
      </c>
      <c r="AA4444">
        <v>0.98448150000000001</v>
      </c>
      <c r="AB4444">
        <v>22</v>
      </c>
      <c r="AC4444">
        <v>-9.8916000000000093</v>
      </c>
      <c r="AD4444">
        <v>-1.109600362273</v>
      </c>
      <c r="AE4444">
        <v>-33.786900000000003</v>
      </c>
      <c r="AF4444">
        <v>6.1056184310520996</v>
      </c>
      <c r="AG4444">
        <v>-1.109600362273</v>
      </c>
      <c r="AH4444">
        <v>34.636123111678799</v>
      </c>
      <c r="AI4444">
        <v>91.807053218567503</v>
      </c>
      <c r="AJ4444">
        <v>80.002670574473797</v>
      </c>
      <c r="AK4444">
        <v>35.1876514362202</v>
      </c>
      <c r="AL4444">
        <v>88.361556939018001</v>
      </c>
      <c r="AM4444">
        <v>89.528135406477205</v>
      </c>
      <c r="AN4444">
        <v>1.00000004264945</v>
      </c>
    </row>
    <row r="4445" spans="1:40" x14ac:dyDescent="0.25">
      <c r="A4445" t="str">
        <f>"20190312160422270"</f>
        <v>20190312160422270</v>
      </c>
      <c r="B4445" t="str">
        <f>"1552377862259432"</f>
        <v>1552377862259432</v>
      </c>
      <c r="C4445" t="s">
        <v>40</v>
      </c>
      <c r="D4445">
        <v>5.3206100000000003</v>
      </c>
      <c r="E4445">
        <v>0.56098269999999995</v>
      </c>
      <c r="F4445" t="s">
        <v>60</v>
      </c>
      <c r="G4445">
        <v>-203.73159999999999</v>
      </c>
      <c r="H4445" s="1">
        <v>-5.7560770000000003E-6</v>
      </c>
      <c r="I4445">
        <v>132.29920000000001</v>
      </c>
      <c r="J4445">
        <v>-191.4469</v>
      </c>
      <c r="K4445">
        <v>1.109604</v>
      </c>
      <c r="L4445">
        <v>174.74510000000001</v>
      </c>
      <c r="M4445">
        <v>-0.1106965</v>
      </c>
      <c r="N4445">
        <v>0</v>
      </c>
      <c r="O4445">
        <v>-0.99376050000000005</v>
      </c>
      <c r="P4445">
        <v>-0.1191281</v>
      </c>
      <c r="Q4445">
        <v>1.574534E-2</v>
      </c>
      <c r="R4445">
        <v>-0.99275420000000003</v>
      </c>
      <c r="S4445">
        <v>-0.84413150000000003</v>
      </c>
      <c r="T4445">
        <v>-7.6148030000000005E-2</v>
      </c>
      <c r="U4445">
        <v>-2.9221499999999998</v>
      </c>
      <c r="V4445">
        <v>8.5367250000000002E-3</v>
      </c>
      <c r="W4445">
        <v>2.9394509999999999E-2</v>
      </c>
      <c r="X4445">
        <v>0.99953139999999996</v>
      </c>
      <c r="Y4445">
        <v>0.1693742</v>
      </c>
      <c r="Z4445">
        <v>2.511002E-2</v>
      </c>
      <c r="AA4445">
        <v>0.98523190000000005</v>
      </c>
      <c r="AB4445">
        <v>22</v>
      </c>
      <c r="AC4445">
        <v>-12.2846999999999</v>
      </c>
      <c r="AD4445">
        <v>-1.109609756077</v>
      </c>
      <c r="AE4445">
        <v>-42.445900000000002</v>
      </c>
      <c r="AF4445">
        <v>7.5054041542757002</v>
      </c>
      <c r="AG4445">
        <v>-1.109609756077</v>
      </c>
      <c r="AH4445">
        <v>43.517548746975301</v>
      </c>
      <c r="AI4445">
        <v>91.439369104951595</v>
      </c>
      <c r="AJ4445">
        <v>80.214551824098393</v>
      </c>
      <c r="AK4445">
        <v>44.173967155726103</v>
      </c>
      <c r="AL4445">
        <v>88.3155759523478</v>
      </c>
      <c r="AM4445">
        <v>89.510664276147594</v>
      </c>
      <c r="AN4445">
        <v>0.99999996623891196</v>
      </c>
    </row>
    <row r="4446" spans="1:40" x14ac:dyDescent="0.25">
      <c r="A4446" t="str">
        <f>"20190312160422280"</f>
        <v>20190312160422280</v>
      </c>
      <c r="B4446" t="str">
        <f>"1552377862269193"</f>
        <v>1552377862269193</v>
      </c>
      <c r="C4446" t="s">
        <v>40</v>
      </c>
      <c r="D4446">
        <v>5.2444730000000002</v>
      </c>
      <c r="E4446">
        <v>0.56046339999999994</v>
      </c>
      <c r="F4446" t="s">
        <v>60</v>
      </c>
      <c r="G4446">
        <v>-204.446</v>
      </c>
      <c r="H4446">
        <v>5.4677240000000002E-2</v>
      </c>
      <c r="I4446">
        <v>129.6113</v>
      </c>
      <c r="J4446">
        <v>-191.4606</v>
      </c>
      <c r="K4446">
        <v>1.109618</v>
      </c>
      <c r="L4446">
        <v>174.62719999999999</v>
      </c>
      <c r="M4446">
        <v>-0.11122940000000001</v>
      </c>
      <c r="N4446">
        <v>0</v>
      </c>
      <c r="O4446">
        <v>-0.99370080000000005</v>
      </c>
      <c r="P4446">
        <v>-0.1203611</v>
      </c>
      <c r="Q4446">
        <v>1.6483419999999999E-2</v>
      </c>
      <c r="R4446">
        <v>-0.99259330000000001</v>
      </c>
      <c r="S4446">
        <v>-0.84156799999999998</v>
      </c>
      <c r="T4446">
        <v>-6.8296430000000005E-2</v>
      </c>
      <c r="U4446">
        <v>-2.9219819999999999</v>
      </c>
      <c r="V4446">
        <v>9.2446319999999992E-3</v>
      </c>
      <c r="W4446">
        <v>3.013041E-2</v>
      </c>
      <c r="X4446">
        <v>0.99950320000000004</v>
      </c>
      <c r="Y4446">
        <v>0.1680797</v>
      </c>
      <c r="Z4446">
        <v>2.252678E-2</v>
      </c>
      <c r="AA4446">
        <v>0.98551599999999995</v>
      </c>
      <c r="AB4446">
        <v>22</v>
      </c>
      <c r="AC4446">
        <v>-12.985399999999901</v>
      </c>
      <c r="AD4446">
        <v>-1.05494076</v>
      </c>
      <c r="AE4446">
        <v>-45.015899999999903</v>
      </c>
      <c r="AF4446">
        <v>7.8932463167334799</v>
      </c>
      <c r="AG4446">
        <v>-1.05494076</v>
      </c>
      <c r="AH4446">
        <v>46.157604142001702</v>
      </c>
      <c r="AI4446">
        <v>91.290550461232598</v>
      </c>
      <c r="AJ4446">
        <v>80.295920461209306</v>
      </c>
      <c r="AK4446">
        <v>46.839520253237801</v>
      </c>
      <c r="AL4446">
        <v>88.273393315449198</v>
      </c>
      <c r="AM4446">
        <v>89.470073439302297</v>
      </c>
      <c r="AN4446">
        <v>0.99999997581891098</v>
      </c>
    </row>
    <row r="4447" spans="1:40" x14ac:dyDescent="0.25">
      <c r="A4447" t="str">
        <f>"20190312160422292"</f>
        <v>20190312160422292</v>
      </c>
      <c r="B4447" t="str">
        <f>"1552377862289688"</f>
        <v>1552377862289688</v>
      </c>
      <c r="C4447" t="s">
        <v>40</v>
      </c>
      <c r="D4447">
        <v>5.3770610000000003</v>
      </c>
      <c r="E4447">
        <v>0.55920890000000001</v>
      </c>
      <c r="F4447" t="s">
        <v>60</v>
      </c>
      <c r="G4447">
        <v>-205.4323</v>
      </c>
      <c r="H4447">
        <v>7.998798E-2</v>
      </c>
      <c r="I4447">
        <v>126.0851</v>
      </c>
      <c r="J4447">
        <v>-191.47389999999999</v>
      </c>
      <c r="K4447">
        <v>1.1096239999999999</v>
      </c>
      <c r="L4447">
        <v>174.51439999999999</v>
      </c>
      <c r="M4447">
        <v>-0.1117382</v>
      </c>
      <c r="N4447">
        <v>0</v>
      </c>
      <c r="O4447">
        <v>-0.99364379999999997</v>
      </c>
      <c r="P4447">
        <v>-0.1210232</v>
      </c>
      <c r="Q4447">
        <v>1.683026E-2</v>
      </c>
      <c r="R4447">
        <v>-0.99250720000000003</v>
      </c>
      <c r="S4447">
        <v>-0.84086609999999995</v>
      </c>
      <c r="T4447">
        <v>-6.1967019999999998E-2</v>
      </c>
      <c r="U4447">
        <v>-2.9214479999999998</v>
      </c>
      <c r="V4447">
        <v>9.4004919999999999E-3</v>
      </c>
      <c r="W4447">
        <v>3.0475970000000002E-2</v>
      </c>
      <c r="X4447">
        <v>0.99949129999999997</v>
      </c>
      <c r="Y4447">
        <v>0.1674166</v>
      </c>
      <c r="Z4447">
        <v>2.0443699999999999E-2</v>
      </c>
      <c r="AA4447">
        <v>0.9856743</v>
      </c>
      <c r="AB4447">
        <v>22</v>
      </c>
      <c r="AC4447">
        <v>-13.958399999999999</v>
      </c>
      <c r="AD4447">
        <v>-1.0296360200000001</v>
      </c>
      <c r="AE4447">
        <v>-48.429299999999998</v>
      </c>
      <c r="AF4447">
        <v>8.4555351003684098</v>
      </c>
      <c r="AG4447">
        <v>-1.0296360200000001</v>
      </c>
      <c r="AH4447">
        <v>49.665068017185</v>
      </c>
      <c r="AI4447">
        <v>91.170820319168001</v>
      </c>
      <c r="AJ4447">
        <v>80.337969440294003</v>
      </c>
      <c r="AK4447">
        <v>50.390229264400602</v>
      </c>
      <c r="AL4447">
        <v>88.253585141831707</v>
      </c>
      <c r="AM4447">
        <v>89.461133242321694</v>
      </c>
      <c r="AN4447">
        <v>1.00000000638648</v>
      </c>
    </row>
    <row r="4448" spans="1:40" x14ac:dyDescent="0.25">
      <c r="A4448" t="str">
        <f>"20190312160422304"</f>
        <v>20190312160422304</v>
      </c>
      <c r="B4448" t="str">
        <f>"1552377862299450"</f>
        <v>1552377862299450</v>
      </c>
      <c r="C4448" t="s">
        <v>40</v>
      </c>
      <c r="D4448">
        <v>5.337383</v>
      </c>
      <c r="E4448">
        <v>0.55868909999999905</v>
      </c>
      <c r="F4448" t="s">
        <v>43</v>
      </c>
      <c r="G4448">
        <v>-209.38040000000001</v>
      </c>
      <c r="H4448">
        <v>-0.05</v>
      </c>
      <c r="I4448">
        <v>111.682</v>
      </c>
      <c r="J4448">
        <v>-191.4871</v>
      </c>
      <c r="K4448">
        <v>1.109626</v>
      </c>
      <c r="L4448">
        <v>174.40219999999999</v>
      </c>
      <c r="M4448">
        <v>-0.112243</v>
      </c>
      <c r="N4448">
        <v>0</v>
      </c>
      <c r="O4448">
        <v>-0.993587</v>
      </c>
      <c r="P4448">
        <v>-0.1221048</v>
      </c>
      <c r="Q4448">
        <v>1.691815E-2</v>
      </c>
      <c r="R4448">
        <v>-0.99237319999999996</v>
      </c>
      <c r="S4448">
        <v>-0.83274840000000006</v>
      </c>
      <c r="T4448">
        <v>-5.3928730000000001E-2</v>
      </c>
      <c r="U4448">
        <v>-2.9220429999999999</v>
      </c>
      <c r="V4448">
        <v>9.9821590000000009E-3</v>
      </c>
      <c r="W4448">
        <v>3.056128E-2</v>
      </c>
      <c r="X4448">
        <v>0.99948300000000001</v>
      </c>
      <c r="Y4448">
        <v>0.16434480000000001</v>
      </c>
      <c r="Z4448">
        <v>1.7799010000000001E-2</v>
      </c>
      <c r="AA4448">
        <v>0.98624239999999996</v>
      </c>
      <c r="AB4448">
        <v>22</v>
      </c>
      <c r="AC4448">
        <v>-17.8933</v>
      </c>
      <c r="AD4448">
        <v>-1.159626</v>
      </c>
      <c r="AE4448">
        <v>-62.720199999999899</v>
      </c>
      <c r="AF4448">
        <v>10.7362539021226</v>
      </c>
      <c r="AG4448">
        <v>-1.159626</v>
      </c>
      <c r="AH4448">
        <v>64.312038802036398</v>
      </c>
      <c r="AI4448">
        <v>91.018904864675207</v>
      </c>
      <c r="AJ4448">
        <v>80.522439028668401</v>
      </c>
      <c r="AK4448">
        <v>65.212347106858203</v>
      </c>
      <c r="AL4448">
        <v>88.248694864572997</v>
      </c>
      <c r="AM4448">
        <v>89.427787600134394</v>
      </c>
      <c r="AN4448">
        <v>0.99999995131126795</v>
      </c>
    </row>
    <row r="4449" spans="1:40" x14ac:dyDescent="0.25">
      <c r="A4449" t="str">
        <f>"20190312160422316"</f>
        <v>20190312160422316</v>
      </c>
      <c r="B4449" t="str">
        <f>"1552377862309209"</f>
        <v>1552377862309209</v>
      </c>
      <c r="C4449" t="s">
        <v>40</v>
      </c>
      <c r="D4449">
        <v>5.418914</v>
      </c>
      <c r="E4449">
        <v>0.55832930000000003</v>
      </c>
      <c r="F4449" t="s">
        <v>43</v>
      </c>
      <c r="G4449">
        <v>-210.54650000000001</v>
      </c>
      <c r="H4449">
        <v>-0.05</v>
      </c>
      <c r="I4449">
        <v>107.4653</v>
      </c>
      <c r="J4449">
        <v>-191.50020000000001</v>
      </c>
      <c r="K4449">
        <v>1.1096299999999999</v>
      </c>
      <c r="L4449">
        <v>174.29140000000001</v>
      </c>
      <c r="M4449">
        <v>-0.1127413</v>
      </c>
      <c r="N4449">
        <v>0</v>
      </c>
      <c r="O4449">
        <v>-0.99353080000000005</v>
      </c>
      <c r="P4449">
        <v>-0.1229471</v>
      </c>
      <c r="Q4449">
        <v>1.7000189999999998E-2</v>
      </c>
      <c r="R4449">
        <v>-0.99226809999999999</v>
      </c>
      <c r="S4449">
        <v>-0.83187869999999997</v>
      </c>
      <c r="T4449">
        <v>-5.0613760000000001E-2</v>
      </c>
      <c r="U4449">
        <v>-2.92157</v>
      </c>
      <c r="V4449">
        <v>1.0329430000000001E-2</v>
      </c>
      <c r="W4449">
        <v>3.0641829999999998E-2</v>
      </c>
      <c r="X4449">
        <v>0.99947699999999995</v>
      </c>
      <c r="Y4449">
        <v>0.16362579999999999</v>
      </c>
      <c r="Z4449">
        <v>1.6708089999999998E-2</v>
      </c>
      <c r="AA4449">
        <v>0.98638099999999995</v>
      </c>
      <c r="AB4449">
        <v>22</v>
      </c>
      <c r="AC4449">
        <v>-19.046299999999999</v>
      </c>
      <c r="AD4449">
        <v>-1.1596299999999999</v>
      </c>
      <c r="AE4449">
        <v>-66.826099999999997</v>
      </c>
      <c r="AF4449">
        <v>11.386912050392899</v>
      </c>
      <c r="AG4449">
        <v>-1.1596299999999999</v>
      </c>
      <c r="AH4449">
        <v>68.528381408754498</v>
      </c>
      <c r="AI4449">
        <v>90.956350398371598</v>
      </c>
      <c r="AJ4449">
        <v>80.565733206904696</v>
      </c>
      <c r="AK4449">
        <v>69.477662354774296</v>
      </c>
      <c r="AL4449">
        <v>88.244077517856994</v>
      </c>
      <c r="AM4449">
        <v>89.407878646390998</v>
      </c>
      <c r="AN4449">
        <v>0.999999946199435</v>
      </c>
    </row>
    <row r="4450" spans="1:40" x14ac:dyDescent="0.25">
      <c r="A4450" t="str">
        <f>"20190312160422327"</f>
        <v>20190312160422327</v>
      </c>
      <c r="B4450" t="str">
        <f>"1552377862319945"</f>
        <v>1552377862319945</v>
      </c>
      <c r="C4450" t="s">
        <v>40</v>
      </c>
      <c r="D4450">
        <v>5.3442540000000003</v>
      </c>
      <c r="E4450">
        <v>0.55796590000000001</v>
      </c>
      <c r="F4450" t="s">
        <v>43</v>
      </c>
      <c r="G4450">
        <v>-211.7834</v>
      </c>
      <c r="H4450">
        <v>-0.05</v>
      </c>
      <c r="I4450">
        <v>103.0411</v>
      </c>
      <c r="J4450">
        <v>-191.51480000000001</v>
      </c>
      <c r="K4450">
        <v>1.109632</v>
      </c>
      <c r="L4450">
        <v>174.16820000000001</v>
      </c>
      <c r="M4450">
        <v>-0.1132949</v>
      </c>
      <c r="N4450">
        <v>0</v>
      </c>
      <c r="O4450">
        <v>-0.99346769999999995</v>
      </c>
      <c r="P4450">
        <v>-0.1238547</v>
      </c>
      <c r="Q4450">
        <v>1.684155E-2</v>
      </c>
      <c r="R4450">
        <v>-0.99215759999999997</v>
      </c>
      <c r="S4450">
        <v>-0.83158869999999896</v>
      </c>
      <c r="T4450">
        <v>-4.7543410000000001E-2</v>
      </c>
      <c r="U4450">
        <v>-2.921173</v>
      </c>
      <c r="V4450">
        <v>1.068617E-2</v>
      </c>
      <c r="W4450">
        <v>3.0481210000000002E-2</v>
      </c>
      <c r="X4450">
        <v>0.99947819999999998</v>
      </c>
      <c r="Y4450">
        <v>0.16302520000000001</v>
      </c>
      <c r="Z4450">
        <v>1.5696359999999999E-2</v>
      </c>
      <c r="AA4450">
        <v>0.98649699999999996</v>
      </c>
      <c r="AB4450">
        <v>22</v>
      </c>
      <c r="AC4450">
        <v>-20.2685999999999</v>
      </c>
      <c r="AD4450">
        <v>-1.159632</v>
      </c>
      <c r="AE4450">
        <v>-71.127099999999999</v>
      </c>
      <c r="AF4450">
        <v>12.076017479866801</v>
      </c>
      <c r="AG4450">
        <v>-1.159632</v>
      </c>
      <c r="AH4450">
        <v>72.947664807862495</v>
      </c>
      <c r="AI4450">
        <v>90.898514431941095</v>
      </c>
      <c r="AJ4450">
        <v>80.600298239410407</v>
      </c>
      <c r="AK4450">
        <v>73.949555410899805</v>
      </c>
      <c r="AL4450">
        <v>88.253284735618806</v>
      </c>
      <c r="AM4450">
        <v>89.387431250201303</v>
      </c>
      <c r="AN4450">
        <v>0.99999998533378598</v>
      </c>
    </row>
    <row r="4451" spans="1:40" x14ac:dyDescent="0.25">
      <c r="A4451" t="str">
        <f>"20190312160422343"</f>
        <v>20190312160422343</v>
      </c>
      <c r="B4451" t="str">
        <f>"1552377862339465"</f>
        <v>1552377862339465</v>
      </c>
      <c r="C4451" t="s">
        <v>40</v>
      </c>
      <c r="D4451">
        <v>5.4288959999999999</v>
      </c>
      <c r="E4451">
        <v>0.55700699999999903</v>
      </c>
      <c r="F4451" t="s">
        <v>43</v>
      </c>
      <c r="G4451">
        <v>-211.81720000000001</v>
      </c>
      <c r="H4451">
        <v>-0.05</v>
      </c>
      <c r="I4451">
        <v>102.8385</v>
      </c>
      <c r="J4451">
        <v>-191.5326</v>
      </c>
      <c r="K4451">
        <v>1.1096280000000001</v>
      </c>
      <c r="L4451">
        <v>174.01920000000001</v>
      </c>
      <c r="M4451">
        <v>-0.113965</v>
      </c>
      <c r="N4451">
        <v>0</v>
      </c>
      <c r="O4451">
        <v>-0.99339100000000002</v>
      </c>
      <c r="P4451">
        <v>-0.12526229999999999</v>
      </c>
      <c r="Q4451">
        <v>1.6390999999999999E-2</v>
      </c>
      <c r="R4451">
        <v>-0.9919886</v>
      </c>
      <c r="S4451">
        <v>-0.83132929999999905</v>
      </c>
      <c r="T4451">
        <v>-4.74838E-2</v>
      </c>
      <c r="U4451">
        <v>-2.9207610000000002</v>
      </c>
      <c r="V4451">
        <v>1.142844E-2</v>
      </c>
      <c r="W4451">
        <v>3.0027950000000001E-2</v>
      </c>
      <c r="X4451">
        <v>0.99948369999999997</v>
      </c>
      <c r="Y4451">
        <v>0.1623154</v>
      </c>
      <c r="Z4451">
        <v>1.567812E-2</v>
      </c>
      <c r="AA4451">
        <v>0.98661430000000006</v>
      </c>
      <c r="AB4451">
        <v>22</v>
      </c>
      <c r="AC4451">
        <v>-20.284600000000001</v>
      </c>
      <c r="AD4451">
        <v>-1.1596280000000001</v>
      </c>
      <c r="AE4451">
        <v>-71.180700000000002</v>
      </c>
      <c r="AF4451">
        <v>12.036597484883499</v>
      </c>
      <c r="AG4451">
        <v>-1.1596280000000001</v>
      </c>
      <c r="AH4451">
        <v>73.010881972512706</v>
      </c>
      <c r="AI4451">
        <v>90.897832105174004</v>
      </c>
      <c r="AJ4451">
        <v>80.638405952486906</v>
      </c>
      <c r="AK4451">
        <v>74.005495083241399</v>
      </c>
      <c r="AL4451">
        <v>88.279266500344207</v>
      </c>
      <c r="AM4451">
        <v>89.344888922657304</v>
      </c>
      <c r="AN4451">
        <v>0.99999997679386199</v>
      </c>
    </row>
    <row r="4452" spans="1:40" x14ac:dyDescent="0.25">
      <c r="A4452" t="str">
        <f>"20190312160422356"</f>
        <v>20190312160422356</v>
      </c>
      <c r="B4452" t="str">
        <f>"1552377862349225"</f>
        <v>1552377862349225</v>
      </c>
      <c r="C4452" t="s">
        <v>40</v>
      </c>
      <c r="D4452">
        <v>5.442717</v>
      </c>
      <c r="E4452">
        <v>0.55659630000000004</v>
      </c>
      <c r="F4452" t="s">
        <v>43</v>
      </c>
      <c r="G4452">
        <v>-212.13239999999999</v>
      </c>
      <c r="H4452">
        <v>-0.05</v>
      </c>
      <c r="I4452">
        <v>101.3477</v>
      </c>
      <c r="J4452">
        <v>-191.54650000000001</v>
      </c>
      <c r="K4452">
        <v>1.1096269999999999</v>
      </c>
      <c r="L4452">
        <v>173.90289999999999</v>
      </c>
      <c r="M4452">
        <v>-0.1144884</v>
      </c>
      <c r="N4452">
        <v>0</v>
      </c>
      <c r="O4452">
        <v>-0.99333059999999995</v>
      </c>
      <c r="P4452">
        <v>-0.12613099999999999</v>
      </c>
      <c r="Q4452">
        <v>1.6546040000000001E-2</v>
      </c>
      <c r="R4452">
        <v>-0.99187559999999997</v>
      </c>
      <c r="S4452">
        <v>-0.82785030000000004</v>
      </c>
      <c r="T4452">
        <v>-4.6602129999999999E-2</v>
      </c>
      <c r="U4452">
        <v>-2.9204560000000002</v>
      </c>
      <c r="V4452">
        <v>1.1777640000000001E-2</v>
      </c>
      <c r="W4452">
        <v>3.018142E-2</v>
      </c>
      <c r="X4452">
        <v>0.99947509999999995</v>
      </c>
      <c r="Y4452">
        <v>0.16073609999999999</v>
      </c>
      <c r="Z4452">
        <v>1.5391699999999999E-2</v>
      </c>
      <c r="AA4452">
        <v>0.98687740000000002</v>
      </c>
      <c r="AB4452">
        <v>22</v>
      </c>
      <c r="AC4452">
        <v>-20.585899999999899</v>
      </c>
      <c r="AD4452">
        <v>-1.159627</v>
      </c>
      <c r="AE4452">
        <v>-72.5551999999999</v>
      </c>
      <c r="AF4452">
        <v>12.140139289683599</v>
      </c>
      <c r="AG4452">
        <v>-1.159627</v>
      </c>
      <c r="AH4452">
        <v>74.417503503967595</v>
      </c>
      <c r="AI4452">
        <v>90.881106073005498</v>
      </c>
      <c r="AJ4452">
        <v>80.734640630889004</v>
      </c>
      <c r="AK4452">
        <v>75.410162077236507</v>
      </c>
      <c r="AL4452">
        <v>88.270469461761905</v>
      </c>
      <c r="AM4452">
        <v>89.324867790210206</v>
      </c>
      <c r="AN4452">
        <v>1.00000005321859</v>
      </c>
    </row>
    <row r="4453" spans="1:40" x14ac:dyDescent="0.25">
      <c r="A4453" t="str">
        <f>"20190312160422366"</f>
        <v>20190312160422366</v>
      </c>
      <c r="B4453" t="str">
        <f>"1552377862358985"</f>
        <v>1552377862358985</v>
      </c>
      <c r="C4453" t="s">
        <v>40</v>
      </c>
      <c r="D4453">
        <v>5.4195659999999997</v>
      </c>
      <c r="E4453">
        <v>0.55631260000000005</v>
      </c>
      <c r="F4453" t="s">
        <v>43</v>
      </c>
      <c r="G4453">
        <v>-212.67</v>
      </c>
      <c r="H4453">
        <v>-0.05</v>
      </c>
      <c r="I4453">
        <v>99.328630000000004</v>
      </c>
      <c r="J4453">
        <v>-191.56039999999999</v>
      </c>
      <c r="K4453">
        <v>1.1096299999999999</v>
      </c>
      <c r="L4453">
        <v>173.78790000000001</v>
      </c>
      <c r="M4453">
        <v>-0.1150061</v>
      </c>
      <c r="N4453">
        <v>0</v>
      </c>
      <c r="O4453">
        <v>-0.99327109999999996</v>
      </c>
      <c r="P4453">
        <v>-0.12697410000000001</v>
      </c>
      <c r="Q4453">
        <v>1.6488079999999999E-2</v>
      </c>
      <c r="R4453">
        <v>-0.99176920000000002</v>
      </c>
      <c r="S4453">
        <v>-0.82714840000000001</v>
      </c>
      <c r="T4453">
        <v>-4.5408490000000003E-2</v>
      </c>
      <c r="U4453">
        <v>-2.920166</v>
      </c>
      <c r="V4453">
        <v>1.210605E-2</v>
      </c>
      <c r="W4453">
        <v>3.012184E-2</v>
      </c>
      <c r="X4453">
        <v>0.9994729</v>
      </c>
      <c r="Y4453">
        <v>0.16002930000000001</v>
      </c>
      <c r="Z4453">
        <v>1.499898E-2</v>
      </c>
      <c r="AA4453">
        <v>0.9869983</v>
      </c>
      <c r="AB4453">
        <v>22</v>
      </c>
      <c r="AC4453">
        <v>-21.1096</v>
      </c>
      <c r="AD4453">
        <v>-1.1596299999999999</v>
      </c>
      <c r="AE4453">
        <v>-74.459269999999904</v>
      </c>
      <c r="AF4453">
        <v>12.4026553954157</v>
      </c>
      <c r="AG4453">
        <v>-1.1596299999999999</v>
      </c>
      <c r="AH4453">
        <v>76.375936407979793</v>
      </c>
      <c r="AI4453">
        <v>90.858619922668495</v>
      </c>
      <c r="AJ4453">
        <v>80.776278314128206</v>
      </c>
      <c r="AK4453">
        <v>77.385103636230298</v>
      </c>
      <c r="AL4453">
        <v>88.273884570076405</v>
      </c>
      <c r="AM4453">
        <v>89.306042561323693</v>
      </c>
      <c r="AN4453">
        <v>0.99999997976299804</v>
      </c>
    </row>
    <row r="4454" spans="1:40" x14ac:dyDescent="0.25">
      <c r="A4454" t="str">
        <f>"20190312160422378"</f>
        <v>20190312160422378</v>
      </c>
      <c r="B4454" t="str">
        <f>"1552377862369721"</f>
        <v>1552377862369721</v>
      </c>
      <c r="C4454" t="s">
        <v>40</v>
      </c>
      <c r="D4454">
        <v>5.3119319999999997</v>
      </c>
      <c r="E4454">
        <v>0.55597079999999999</v>
      </c>
      <c r="F4454" t="s">
        <v>43</v>
      </c>
      <c r="G4454">
        <v>-212.67789999999999</v>
      </c>
      <c r="H4454">
        <v>-0.05</v>
      </c>
      <c r="I4454">
        <v>99.247060000000005</v>
      </c>
      <c r="J4454">
        <v>-191.57320000000001</v>
      </c>
      <c r="K4454">
        <v>1.1096330000000001</v>
      </c>
      <c r="L4454">
        <v>173.68190000000001</v>
      </c>
      <c r="M4454">
        <v>-0.115484</v>
      </c>
      <c r="N4454">
        <v>0</v>
      </c>
      <c r="O4454">
        <v>-0.99321559999999998</v>
      </c>
      <c r="P4454">
        <v>-0.12788749999999999</v>
      </c>
      <c r="Q4454">
        <v>1.6480930000000001E-2</v>
      </c>
      <c r="R4454">
        <v>-0.99165190000000003</v>
      </c>
      <c r="S4454">
        <v>-0.827179</v>
      </c>
      <c r="T4454">
        <v>-4.5423030000000003E-2</v>
      </c>
      <c r="U4454">
        <v>-2.9197850000000001</v>
      </c>
      <c r="V4454">
        <v>1.2545789999999999E-2</v>
      </c>
      <c r="W4454">
        <v>3.011279E-2</v>
      </c>
      <c r="X4454">
        <v>0.99946780000000002</v>
      </c>
      <c r="Y4454">
        <v>0.15959779999999901</v>
      </c>
      <c r="Z4454">
        <v>1.500493E-2</v>
      </c>
      <c r="AA4454">
        <v>0.9870681</v>
      </c>
      <c r="AB4454">
        <v>22</v>
      </c>
      <c r="AC4454">
        <v>-21.104699999999902</v>
      </c>
      <c r="AD4454">
        <v>-1.1596329999999999</v>
      </c>
      <c r="AE4454">
        <v>-74.434839999999994</v>
      </c>
      <c r="AF4454">
        <v>12.363858157985</v>
      </c>
      <c r="AG4454">
        <v>-1.1596329999999999</v>
      </c>
      <c r="AH4454">
        <v>76.357057224596204</v>
      </c>
      <c r="AI4454">
        <v>90.858897897451001</v>
      </c>
      <c r="AJ4454">
        <v>80.802403065706699</v>
      </c>
      <c r="AK4454">
        <v>77.360260633258704</v>
      </c>
      <c r="AL4454">
        <v>88.274403419109206</v>
      </c>
      <c r="AM4454">
        <v>89.280834192281802</v>
      </c>
      <c r="AN4454">
        <v>1.00000003010257</v>
      </c>
    </row>
    <row r="4455" spans="1:40" x14ac:dyDescent="0.25">
      <c r="A4455" t="str">
        <f>"20190312160422406"</f>
        <v>20190312160422406</v>
      </c>
      <c r="B4455" t="str">
        <f>"1552377862399254"</f>
        <v>1552377862399254</v>
      </c>
      <c r="C4455" t="s">
        <v>40</v>
      </c>
      <c r="D4455">
        <v>5.3517130000000002</v>
      </c>
      <c r="E4455">
        <v>0.55513650000000003</v>
      </c>
      <c r="F4455" t="s">
        <v>92</v>
      </c>
      <c r="G4455">
        <v>-209.9196</v>
      </c>
      <c r="H4455">
        <v>0.1549671</v>
      </c>
      <c r="I4455">
        <v>108.9406</v>
      </c>
      <c r="J4455">
        <v>-191.60669999999999</v>
      </c>
      <c r="K4455">
        <v>1.1096360000000001</v>
      </c>
      <c r="L4455">
        <v>173.40690000000001</v>
      </c>
      <c r="M4455">
        <v>-0.1167252</v>
      </c>
      <c r="N4455">
        <v>0</v>
      </c>
      <c r="O4455">
        <v>-0.99307060000000003</v>
      </c>
      <c r="P4455">
        <v>-0.1298755</v>
      </c>
      <c r="Q4455">
        <v>1.645843E-2</v>
      </c>
      <c r="R4455">
        <v>-0.99139409999999994</v>
      </c>
      <c r="S4455">
        <v>-0.82727050000000002</v>
      </c>
      <c r="T4455">
        <v>-4.3046359999999999E-2</v>
      </c>
      <c r="U4455">
        <v>-2.9192960000000001</v>
      </c>
      <c r="V4455">
        <v>1.330046E-2</v>
      </c>
      <c r="W4455">
        <v>3.0086100000000001E-2</v>
      </c>
      <c r="X4455">
        <v>0.99945879999999998</v>
      </c>
      <c r="Y4455">
        <v>0.158439</v>
      </c>
      <c r="Z4455">
        <v>1.4220440000000001E-2</v>
      </c>
      <c r="AA4455">
        <v>0.98726639999999999</v>
      </c>
      <c r="AB4455">
        <v>22</v>
      </c>
      <c r="AC4455">
        <v>-18.312899999999999</v>
      </c>
      <c r="AD4455">
        <v>-0.95466890000000004</v>
      </c>
      <c r="AE4455">
        <v>-64.466300000000004</v>
      </c>
      <c r="AF4455">
        <v>10.6599893311281</v>
      </c>
      <c r="AG4455">
        <v>-0.95466890000000004</v>
      </c>
      <c r="AH4455">
        <v>66.149894473290999</v>
      </c>
      <c r="AI4455">
        <v>90.816299905901502</v>
      </c>
      <c r="AJ4455">
        <v>80.845545024307597</v>
      </c>
      <c r="AK4455">
        <v>67.010113446224807</v>
      </c>
      <c r="AL4455">
        <v>88.275933257573797</v>
      </c>
      <c r="AM4455">
        <v>89.237572131073605</v>
      </c>
      <c r="AN4455">
        <v>0.99999998427342995</v>
      </c>
    </row>
    <row r="4456" spans="1:40" x14ac:dyDescent="0.25">
      <c r="A4456" t="str">
        <f>"20190312160422422"</f>
        <v>20190312160422422</v>
      </c>
      <c r="B4456" t="str">
        <f>"1552377862419748"</f>
        <v>1552377862419748</v>
      </c>
      <c r="C4456" t="s">
        <v>40</v>
      </c>
      <c r="D4456">
        <v>5.321097</v>
      </c>
      <c r="E4456">
        <v>0.55448469999999905</v>
      </c>
      <c r="F4456" t="s">
        <v>92</v>
      </c>
      <c r="G4456">
        <v>-209.93190000000001</v>
      </c>
      <c r="H4456">
        <v>0.22425510000000001</v>
      </c>
      <c r="I4456">
        <v>108.6951</v>
      </c>
      <c r="J4456">
        <v>-191.62610000000001</v>
      </c>
      <c r="K4456">
        <v>1.10964</v>
      </c>
      <c r="L4456">
        <v>173.2492</v>
      </c>
      <c r="M4456">
        <v>-0.1174381</v>
      </c>
      <c r="N4456">
        <v>0</v>
      </c>
      <c r="O4456">
        <v>-0.99298640000000005</v>
      </c>
      <c r="P4456">
        <v>-0.13175539999999999</v>
      </c>
      <c r="Q4456">
        <v>1.66742E-2</v>
      </c>
      <c r="R4456">
        <v>-0.99114210000000003</v>
      </c>
      <c r="S4456">
        <v>-0.82644649999999997</v>
      </c>
      <c r="T4456">
        <v>-3.9928440000000003E-2</v>
      </c>
      <c r="U4456">
        <v>-2.9184269999999999</v>
      </c>
      <c r="V4456">
        <v>1.447941E-2</v>
      </c>
      <c r="W4456">
        <v>3.0297709999999999E-2</v>
      </c>
      <c r="X4456">
        <v>0.99943599999999999</v>
      </c>
      <c r="Y4456">
        <v>0.157553</v>
      </c>
      <c r="Z4456">
        <v>1.319418E-2</v>
      </c>
      <c r="AA4456">
        <v>0.98742240000000003</v>
      </c>
      <c r="AB4456">
        <v>22</v>
      </c>
      <c r="AC4456">
        <v>-18.305800000000001</v>
      </c>
      <c r="AD4456">
        <v>-0.88538490000000003</v>
      </c>
      <c r="AE4456">
        <v>-64.554100000000005</v>
      </c>
      <c r="AF4456">
        <v>10.595441999964899</v>
      </c>
      <c r="AG4456">
        <v>-0.88538490000000003</v>
      </c>
      <c r="AH4456">
        <v>66.245779833876995</v>
      </c>
      <c r="AI4456">
        <v>90.756112257767597</v>
      </c>
      <c r="AJ4456">
        <v>80.912997484411903</v>
      </c>
      <c r="AK4456">
        <v>67.093596142957495</v>
      </c>
      <c r="AL4456">
        <v>88.263803327826807</v>
      </c>
      <c r="AM4456">
        <v>89.169980821252906</v>
      </c>
      <c r="AN4456">
        <v>0.99999996132059499</v>
      </c>
    </row>
    <row r="4457" spans="1:40" x14ac:dyDescent="0.25">
      <c r="A4457" t="str">
        <f>"20190312160422438"</f>
        <v>20190312160422438</v>
      </c>
      <c r="B4457" t="str">
        <f>"1552377862429508"</f>
        <v>1552377862429508</v>
      </c>
      <c r="C4457" t="s">
        <v>40</v>
      </c>
      <c r="D4457">
        <v>5.339798</v>
      </c>
      <c r="E4457">
        <v>0.55421480000000001</v>
      </c>
      <c r="F4457" t="s">
        <v>92</v>
      </c>
      <c r="G4457">
        <v>-209.94540000000001</v>
      </c>
      <c r="H4457">
        <v>0.30422460000000001</v>
      </c>
      <c r="I4457">
        <v>108.6159</v>
      </c>
      <c r="J4457">
        <v>-191.6438</v>
      </c>
      <c r="K4457">
        <v>1.109642</v>
      </c>
      <c r="L4457">
        <v>173.10570000000001</v>
      </c>
      <c r="M4457">
        <v>-0.1180875</v>
      </c>
      <c r="N4457">
        <v>0</v>
      </c>
      <c r="O4457">
        <v>-0.99290959999999995</v>
      </c>
      <c r="P4457">
        <v>-0.13287829999999901</v>
      </c>
      <c r="Q4457">
        <v>1.6718770000000001E-2</v>
      </c>
      <c r="R4457">
        <v>-0.99099150000000003</v>
      </c>
      <c r="S4457">
        <v>-0.82691959999999998</v>
      </c>
      <c r="T4457">
        <v>-3.6354659999999997E-2</v>
      </c>
      <c r="U4457">
        <v>-2.9174959999999999</v>
      </c>
      <c r="V4457">
        <v>1.495847E-2</v>
      </c>
      <c r="W4457">
        <v>3.034061E-2</v>
      </c>
      <c r="X4457">
        <v>0.99942770000000003</v>
      </c>
      <c r="Y4457">
        <v>0.15714210000000001</v>
      </c>
      <c r="Z4457">
        <v>1.201585E-2</v>
      </c>
      <c r="AA4457">
        <v>0.98750289999999996</v>
      </c>
      <c r="AB4457">
        <v>22</v>
      </c>
      <c r="AC4457">
        <v>-18.301600000000001</v>
      </c>
      <c r="AD4457">
        <v>-0.80541739999999995</v>
      </c>
      <c r="AE4457">
        <v>-64.489800000000002</v>
      </c>
      <c r="AF4457">
        <v>10.5558525161614</v>
      </c>
      <c r="AG4457">
        <v>-0.80541739999999995</v>
      </c>
      <c r="AH4457">
        <v>66.190329586330904</v>
      </c>
      <c r="AI4457">
        <v>90.688453402539807</v>
      </c>
      <c r="AJ4457">
        <v>80.938928555122104</v>
      </c>
      <c r="AK4457">
        <v>67.031592926606507</v>
      </c>
      <c r="AL4457">
        <v>88.261344306803494</v>
      </c>
      <c r="AM4457">
        <v>89.142516051439799</v>
      </c>
      <c r="AN4457">
        <v>1.0000000179835999</v>
      </c>
    </row>
    <row r="4458" spans="1:40" x14ac:dyDescent="0.25">
      <c r="A4458" t="str">
        <f>"20190312160422456"</f>
        <v>20190312160422456</v>
      </c>
      <c r="B4458" t="str">
        <f>"1552377862449028"</f>
        <v>1552377862449028</v>
      </c>
      <c r="C4458" t="s">
        <v>40</v>
      </c>
      <c r="D4458">
        <v>5.4222839999999897</v>
      </c>
      <c r="E4458">
        <v>0.55355540000000003</v>
      </c>
      <c r="F4458" t="s">
        <v>92</v>
      </c>
      <c r="G4458">
        <v>-209.99109999999999</v>
      </c>
      <c r="H4458">
        <v>0.32535789999999998</v>
      </c>
      <c r="I4458">
        <v>108.4781</v>
      </c>
      <c r="J4458">
        <v>-191.667</v>
      </c>
      <c r="K4458">
        <v>1.109645</v>
      </c>
      <c r="L4458">
        <v>172.91909999999999</v>
      </c>
      <c r="M4458">
        <v>-0.1189323</v>
      </c>
      <c r="N4458">
        <v>0</v>
      </c>
      <c r="O4458">
        <v>-0.99280880000000005</v>
      </c>
      <c r="P4458">
        <v>-0.1350064</v>
      </c>
      <c r="Q4458">
        <v>1.6870219999999998E-2</v>
      </c>
      <c r="R4458">
        <v>-0.99070159999999996</v>
      </c>
      <c r="S4458">
        <v>-0.82807919999999902</v>
      </c>
      <c r="T4458">
        <v>-3.5396339999999998E-2</v>
      </c>
      <c r="U4458">
        <v>-2.9168699999999999</v>
      </c>
      <c r="V4458">
        <v>1.6255370000000002E-2</v>
      </c>
      <c r="W4458">
        <v>3.048741E-2</v>
      </c>
      <c r="X4458">
        <v>0.99940289999999998</v>
      </c>
      <c r="Y4458">
        <v>0.15672179999999999</v>
      </c>
      <c r="Z4458">
        <v>1.169955E-2</v>
      </c>
      <c r="AA4458">
        <v>0.98757349999999999</v>
      </c>
      <c r="AB4458">
        <v>22</v>
      </c>
      <c r="AC4458">
        <v>-18.324099999999898</v>
      </c>
      <c r="AD4458">
        <v>-0.78428710000000001</v>
      </c>
      <c r="AE4458">
        <v>-64.440999999999903</v>
      </c>
      <c r="AF4458">
        <v>10.5277468119095</v>
      </c>
      <c r="AG4458">
        <v>-0.78428710000000001</v>
      </c>
      <c r="AH4458">
        <v>66.153999948648902</v>
      </c>
      <c r="AI4458">
        <v>90.670796619720505</v>
      </c>
      <c r="AJ4458">
        <v>80.957774572587695</v>
      </c>
      <c r="AK4458">
        <v>66.991046180789994</v>
      </c>
      <c r="AL4458">
        <v>88.252929253668398</v>
      </c>
      <c r="AM4458">
        <v>89.068161622534006</v>
      </c>
      <c r="AN4458">
        <v>0.999999937875375</v>
      </c>
    </row>
    <row r="4459" spans="1:40" x14ac:dyDescent="0.25">
      <c r="A4459" t="str">
        <f>"20190312160422478"</f>
        <v>20190312160422478</v>
      </c>
      <c r="B4459" t="str">
        <f>"1552377862469524"</f>
        <v>1552377862469524</v>
      </c>
      <c r="C4459" t="s">
        <v>40</v>
      </c>
      <c r="D4459">
        <v>5.455597</v>
      </c>
      <c r="E4459">
        <v>0.55318369999999994</v>
      </c>
      <c r="F4459" t="s">
        <v>62</v>
      </c>
      <c r="G4459">
        <v>-212.86170000000001</v>
      </c>
      <c r="H4459">
        <v>0.26143559999999999</v>
      </c>
      <c r="I4459">
        <v>98.375470000000007</v>
      </c>
      <c r="J4459">
        <v>-191.6935</v>
      </c>
      <c r="K4459">
        <v>1.1096469999999901</v>
      </c>
      <c r="L4459">
        <v>172.7079</v>
      </c>
      <c r="M4459">
        <v>-0.1198893</v>
      </c>
      <c r="N4459">
        <v>0</v>
      </c>
      <c r="O4459">
        <v>-0.99269359999999995</v>
      </c>
      <c r="P4459">
        <v>-0.13679929999999901</v>
      </c>
      <c r="Q4459">
        <v>1.74226E-2</v>
      </c>
      <c r="R4459">
        <v>-0.99044589999999999</v>
      </c>
      <c r="S4459">
        <v>-0.82902529999999997</v>
      </c>
      <c r="T4459">
        <v>-3.3176419999999998E-2</v>
      </c>
      <c r="U4459">
        <v>-2.915756</v>
      </c>
      <c r="V4459">
        <v>1.7102929999999999E-2</v>
      </c>
      <c r="W4459">
        <v>3.1036459999999998E-2</v>
      </c>
      <c r="X4459">
        <v>0.99937189999999998</v>
      </c>
      <c r="Y4459">
        <v>0.15616749999999999</v>
      </c>
      <c r="Z4459">
        <v>1.096803E-2</v>
      </c>
      <c r="AA4459">
        <v>0.98766969999999998</v>
      </c>
      <c r="AB4459">
        <v>22</v>
      </c>
      <c r="AC4459">
        <v>-21.168199999999999</v>
      </c>
      <c r="AD4459">
        <v>-0.84821139999999895</v>
      </c>
      <c r="AE4459">
        <v>-74.332430000000002</v>
      </c>
      <c r="AF4459">
        <v>12.1015415647075</v>
      </c>
      <c r="AG4459">
        <v>-0.84821139999999895</v>
      </c>
      <c r="AH4459">
        <v>76.325073648626301</v>
      </c>
      <c r="AI4459">
        <v>90.628855264797195</v>
      </c>
      <c r="AJ4459">
        <v>80.990599214243701</v>
      </c>
      <c r="AK4459">
        <v>77.283139417919998</v>
      </c>
      <c r="AL4459">
        <v>88.221456189375601</v>
      </c>
      <c r="AM4459">
        <v>89.019554125061703</v>
      </c>
      <c r="AN4459">
        <v>0.99999998328676298</v>
      </c>
    </row>
    <row r="4460" spans="1:40" x14ac:dyDescent="0.25">
      <c r="A4460" t="str">
        <f>"20190312160422490"</f>
        <v>20190312160422490</v>
      </c>
      <c r="B4460" t="str">
        <f>"1552377862479285"</f>
        <v>1552377862479285</v>
      </c>
      <c r="C4460" t="s">
        <v>40</v>
      </c>
      <c r="D4460">
        <v>5.3764099999999999</v>
      </c>
      <c r="E4460">
        <v>0.57475259999999995</v>
      </c>
      <c r="F4460" t="s">
        <v>62</v>
      </c>
      <c r="G4460">
        <v>-212.89840000000001</v>
      </c>
      <c r="H4460">
        <v>0.32430249999999999</v>
      </c>
      <c r="I4460">
        <v>98.375470000000007</v>
      </c>
      <c r="J4460">
        <v>-191.70869999999999</v>
      </c>
      <c r="K4460">
        <v>1.109648</v>
      </c>
      <c r="L4460">
        <v>172.58709999999999</v>
      </c>
      <c r="M4460">
        <v>-0.1204368</v>
      </c>
      <c r="N4460">
        <v>0</v>
      </c>
      <c r="O4460">
        <v>-0.99262720000000004</v>
      </c>
      <c r="P4460">
        <v>-0.1379668</v>
      </c>
      <c r="Q4460">
        <v>1.771959E-2</v>
      </c>
      <c r="R4460">
        <v>-0.99027849999999995</v>
      </c>
      <c r="S4460">
        <v>-0.831466699999999</v>
      </c>
      <c r="T4460">
        <v>-3.0792949999999999E-2</v>
      </c>
      <c r="U4460">
        <v>-2.9146420000000002</v>
      </c>
      <c r="V4460">
        <v>1.773106E-2</v>
      </c>
      <c r="W4460">
        <v>3.1330530000000002E-2</v>
      </c>
      <c r="X4460">
        <v>0.99935180000000001</v>
      </c>
      <c r="Y4460">
        <v>0.1564894</v>
      </c>
      <c r="Z4460">
        <v>1.018146E-2</v>
      </c>
      <c r="AA4460">
        <v>0.98762709999999998</v>
      </c>
      <c r="AB4460">
        <v>22</v>
      </c>
      <c r="AC4460">
        <v>-21.189699999999998</v>
      </c>
      <c r="AD4460">
        <v>-0.78534550000000003</v>
      </c>
      <c r="AE4460">
        <v>-74.21163</v>
      </c>
      <c r="AF4460">
        <v>12.0955352550756</v>
      </c>
      <c r="AG4460">
        <v>-0.78534550000000003</v>
      </c>
      <c r="AH4460">
        <v>76.215707676956399</v>
      </c>
      <c r="AI4460">
        <v>90.583072494714202</v>
      </c>
      <c r="AJ4460">
        <v>80.982287954662695</v>
      </c>
      <c r="AK4460">
        <v>77.173524199432606</v>
      </c>
      <c r="AL4460">
        <v>88.204599062592393</v>
      </c>
      <c r="AM4460">
        <v>88.983532804356201</v>
      </c>
      <c r="AN4460">
        <v>1.0000000063810199</v>
      </c>
    </row>
    <row r="4461" spans="1:40" x14ac:dyDescent="0.25">
      <c r="A4461" t="str">
        <f>"20190312160422502"</f>
        <v>20190312160422502</v>
      </c>
      <c r="B4461" t="str">
        <f>"1552377862489551"</f>
        <v>1552377862489551</v>
      </c>
      <c r="C4461" t="s">
        <v>40</v>
      </c>
      <c r="D4461">
        <v>5.4453449999999997</v>
      </c>
      <c r="E4461">
        <v>0.57974789999999998</v>
      </c>
      <c r="F4461" t="s">
        <v>60</v>
      </c>
      <c r="G4461">
        <v>-199.87049999999999</v>
      </c>
      <c r="H4461" s="1">
        <v>-1.2303729999999999E-5</v>
      </c>
      <c r="I4461">
        <v>149.12860000000001</v>
      </c>
      <c r="J4461">
        <v>-191.72329999999999</v>
      </c>
      <c r="K4461">
        <v>1.1096509999999999</v>
      </c>
      <c r="L4461">
        <v>172.47149999999999</v>
      </c>
      <c r="M4461">
        <v>-0.12096079999999999</v>
      </c>
      <c r="N4461">
        <v>0</v>
      </c>
      <c r="O4461">
        <v>-0.99256369999999905</v>
      </c>
      <c r="P4461">
        <v>-0.13917969999999999</v>
      </c>
      <c r="Q4461">
        <v>1.8207629999999999E-2</v>
      </c>
      <c r="R4461">
        <v>-0.99009979999999997</v>
      </c>
      <c r="S4461">
        <v>-1.0061040000000001</v>
      </c>
      <c r="T4461">
        <v>-0.1367882</v>
      </c>
      <c r="U4461">
        <v>-2.8917389999999998</v>
      </c>
      <c r="V4461">
        <v>1.8429640000000001E-2</v>
      </c>
      <c r="W4461">
        <v>3.1816179999999999E-2</v>
      </c>
      <c r="X4461">
        <v>0.99932379999999998</v>
      </c>
      <c r="Y4461">
        <v>0.21160280000000001</v>
      </c>
      <c r="Z4461">
        <v>4.4882390000000001E-2</v>
      </c>
      <c r="AA4461">
        <v>0.97632459999999999</v>
      </c>
      <c r="AB4461">
        <v>22</v>
      </c>
      <c r="AC4461">
        <v>-8.1471999999999891</v>
      </c>
      <c r="AD4461">
        <v>-1.1096633037300001</v>
      </c>
      <c r="AE4461">
        <v>-23.342899999999901</v>
      </c>
      <c r="AF4461">
        <v>5.2529464251976599</v>
      </c>
      <c r="AG4461">
        <v>-1.1096633037300001</v>
      </c>
      <c r="AH4461">
        <v>24.108486436754799</v>
      </c>
      <c r="AI4461">
        <v>92.575013533119602</v>
      </c>
      <c r="AJ4461">
        <v>77.708062609710097</v>
      </c>
      <c r="AK4461">
        <v>24.699067129445101</v>
      </c>
      <c r="AL4461">
        <v>88.1767594558724</v>
      </c>
      <c r="AM4461">
        <v>88.943464668932293</v>
      </c>
      <c r="AN4461">
        <v>0.99999998909337995</v>
      </c>
    </row>
    <row r="4462" spans="1:40" x14ac:dyDescent="0.25">
      <c r="A4462" t="str">
        <f>"20190312160422514"</f>
        <v>20190312160422514</v>
      </c>
      <c r="B4462" t="str">
        <f>"1552377862509072"</f>
        <v>1552377862509072</v>
      </c>
      <c r="C4462" t="s">
        <v>40</v>
      </c>
      <c r="D4462">
        <v>5.3692380000000002</v>
      </c>
      <c r="E4462">
        <v>0.58321669999999903</v>
      </c>
      <c r="F4462" t="s">
        <v>60</v>
      </c>
      <c r="G4462">
        <v>-204.86410000000001</v>
      </c>
      <c r="H4462" s="1">
        <v>-6.5911899999999897E-6</v>
      </c>
      <c r="I4462">
        <v>136.33170000000001</v>
      </c>
      <c r="J4462">
        <v>-191.7372</v>
      </c>
      <c r="K4462">
        <v>1.109656</v>
      </c>
      <c r="L4462">
        <v>172.36250000000001</v>
      </c>
      <c r="M4462">
        <v>-0.1214552</v>
      </c>
      <c r="N4462">
        <v>0</v>
      </c>
      <c r="O4462">
        <v>-0.99250320000000003</v>
      </c>
      <c r="P4462">
        <v>-0.140513</v>
      </c>
      <c r="Q4462">
        <v>1.897451E-2</v>
      </c>
      <c r="R4462">
        <v>-0.98989709999999997</v>
      </c>
      <c r="S4462">
        <v>-1.048721</v>
      </c>
      <c r="T4462">
        <v>-8.8558079999999997E-2</v>
      </c>
      <c r="U4462">
        <v>-2.884201</v>
      </c>
      <c r="V4462">
        <v>1.9280720000000001E-2</v>
      </c>
      <c r="W4462">
        <v>3.2580159999999997E-2</v>
      </c>
      <c r="X4462">
        <v>0.99928309999999998</v>
      </c>
      <c r="Y4462">
        <v>0.22489110000000001</v>
      </c>
      <c r="Z4462">
        <v>2.9029849999999999E-2</v>
      </c>
      <c r="AA4462">
        <v>0.97395129999999996</v>
      </c>
      <c r="AB4462">
        <v>22</v>
      </c>
      <c r="AC4462">
        <v>-13.126899999999999</v>
      </c>
      <c r="AD4462">
        <v>-1.10966259119</v>
      </c>
      <c r="AE4462">
        <v>-36.030799999999999</v>
      </c>
      <c r="AF4462">
        <v>8.6459274942811994</v>
      </c>
      <c r="AG4462">
        <v>-1.10966259119</v>
      </c>
      <c r="AH4462">
        <v>37.327233726129201</v>
      </c>
      <c r="AI4462">
        <v>91.658892185636404</v>
      </c>
      <c r="AJ4462">
        <v>76.958828952417306</v>
      </c>
      <c r="AK4462">
        <v>38.331524766799099</v>
      </c>
      <c r="AL4462">
        <v>88.132963869042101</v>
      </c>
      <c r="AM4462">
        <v>88.894640741655607</v>
      </c>
      <c r="AN4462">
        <v>0.99999996346747599</v>
      </c>
    </row>
    <row r="4463" spans="1:40" x14ac:dyDescent="0.25">
      <c r="A4463" t="str">
        <f>"20190312160422525"</f>
        <v>20190312160422525</v>
      </c>
      <c r="B4463" t="str">
        <f>"1552377862519807"</f>
        <v>1552377862519807</v>
      </c>
      <c r="C4463" t="s">
        <v>40</v>
      </c>
      <c r="D4463">
        <v>5.5168410000000003</v>
      </c>
      <c r="E4463">
        <v>0.58491839999999995</v>
      </c>
      <c r="F4463" t="s">
        <v>92</v>
      </c>
      <c r="G4463">
        <v>-211.40729999999999</v>
      </c>
      <c r="H4463">
        <v>0.22842509999999999</v>
      </c>
      <c r="I4463">
        <v>119.91719999999999</v>
      </c>
      <c r="J4463">
        <v>-191.7527</v>
      </c>
      <c r="K4463">
        <v>1.1096600000000001</v>
      </c>
      <c r="L4463">
        <v>172.2406</v>
      </c>
      <c r="M4463">
        <v>-0.1220078</v>
      </c>
      <c r="N4463">
        <v>0</v>
      </c>
      <c r="O4463">
        <v>-0.99243559999999997</v>
      </c>
      <c r="P4463">
        <v>-0.14180179999999901</v>
      </c>
      <c r="Q4463">
        <v>1.9371369999999999E-2</v>
      </c>
      <c r="R4463">
        <v>-0.98970590000000003</v>
      </c>
      <c r="S4463">
        <v>-1.0795440000000001</v>
      </c>
      <c r="T4463">
        <v>-4.836261E-2</v>
      </c>
      <c r="U4463">
        <v>-2.8783259999999999</v>
      </c>
      <c r="V4463">
        <v>2.002719E-2</v>
      </c>
      <c r="W4463">
        <v>3.2974290000000003E-2</v>
      </c>
      <c r="X4463">
        <v>0.99925549999999996</v>
      </c>
      <c r="Y4463">
        <v>0.2342564</v>
      </c>
      <c r="Z4463">
        <v>1.5840739999999999E-2</v>
      </c>
      <c r="AA4463">
        <v>0.97204579999999996</v>
      </c>
      <c r="AB4463">
        <v>22</v>
      </c>
      <c r="AC4463">
        <v>-19.654599999999899</v>
      </c>
      <c r="AD4463">
        <v>-0.88123490000000004</v>
      </c>
      <c r="AE4463">
        <v>-52.323399999999999</v>
      </c>
      <c r="AF4463">
        <v>13.1200188434821</v>
      </c>
      <c r="AG4463">
        <v>-0.88123490000000004</v>
      </c>
      <c r="AH4463">
        <v>54.317161406873602</v>
      </c>
      <c r="AI4463">
        <v>90.903499399602396</v>
      </c>
      <c r="AJ4463">
        <v>76.420615144370899</v>
      </c>
      <c r="AK4463">
        <v>55.886183379281398</v>
      </c>
      <c r="AL4463">
        <v>88.110369760685003</v>
      </c>
      <c r="AM4463">
        <v>88.8518253258584</v>
      </c>
      <c r="AN4463">
        <v>0.99999997321027401</v>
      </c>
    </row>
    <row r="4464" spans="1:40" x14ac:dyDescent="0.25">
      <c r="A4464" t="str">
        <f>"20190312160422537"</f>
        <v>20190312160422537</v>
      </c>
      <c r="B4464" t="str">
        <f>"1552377862529568"</f>
        <v>1552377862529568</v>
      </c>
      <c r="C4464" t="s">
        <v>40</v>
      </c>
      <c r="D4464">
        <v>5.3900139999999999</v>
      </c>
      <c r="E4464">
        <v>0.58546819999999999</v>
      </c>
      <c r="F4464" t="s">
        <v>92</v>
      </c>
      <c r="G4464">
        <v>-211.95939999999999</v>
      </c>
      <c r="H4464">
        <v>0.34820210000000001</v>
      </c>
      <c r="I4464">
        <v>119.26600000000001</v>
      </c>
      <c r="J4464">
        <v>-191.76660000000001</v>
      </c>
      <c r="K4464">
        <v>1.1096629999999901</v>
      </c>
      <c r="L4464">
        <v>172.1327</v>
      </c>
      <c r="M4464">
        <v>-0.12249690000000001</v>
      </c>
      <c r="N4464">
        <v>0</v>
      </c>
      <c r="O4464">
        <v>-0.99237540000000002</v>
      </c>
      <c r="P4464">
        <v>-0.14308679999999999</v>
      </c>
      <c r="Q4464">
        <v>1.9967370000000002E-2</v>
      </c>
      <c r="R4464">
        <v>-0.98950870000000002</v>
      </c>
      <c r="S4464">
        <v>-1.096603</v>
      </c>
      <c r="T4464">
        <v>-4.1322230000000001E-2</v>
      </c>
      <c r="U4464">
        <v>-2.8748930000000001</v>
      </c>
      <c r="V4464">
        <v>2.083482E-2</v>
      </c>
      <c r="W4464">
        <v>3.3567630000000001E-2</v>
      </c>
      <c r="X4464">
        <v>0.99921919999999997</v>
      </c>
      <c r="Y4464">
        <v>0.23921319999999999</v>
      </c>
      <c r="Z4464">
        <v>1.3526979999999999E-2</v>
      </c>
      <c r="AA4464">
        <v>0.97087279999999998</v>
      </c>
      <c r="AB4464">
        <v>22</v>
      </c>
      <c r="AC4464">
        <v>-20.192799999999899</v>
      </c>
      <c r="AD4464">
        <v>-0.761460899999999</v>
      </c>
      <c r="AE4464">
        <v>-52.866700000000002</v>
      </c>
      <c r="AF4464">
        <v>13.561634478573099</v>
      </c>
      <c r="AG4464">
        <v>-0.761460899999999</v>
      </c>
      <c r="AH4464">
        <v>54.932320908931203</v>
      </c>
      <c r="AI4464">
        <v>90.771025560580796</v>
      </c>
      <c r="AJ4464">
        <v>76.132182968875398</v>
      </c>
      <c r="AK4464">
        <v>56.586726649227998</v>
      </c>
      <c r="AL4464">
        <v>88.076354990888902</v>
      </c>
      <c r="AM4464">
        <v>88.805493032121305</v>
      </c>
      <c r="AN4464">
        <v>0.99999994257844305</v>
      </c>
    </row>
    <row r="4465" spans="1:40" x14ac:dyDescent="0.25">
      <c r="A4465" t="str">
        <f>"20190312160422549"</f>
        <v>20190312160422549</v>
      </c>
      <c r="B4465" t="str">
        <f>"1552377862539328"</f>
        <v>1552377862539328</v>
      </c>
      <c r="C4465" t="s">
        <v>40</v>
      </c>
      <c r="D4465">
        <v>5.4763830000000002</v>
      </c>
      <c r="E4465">
        <v>0.58606029999999998</v>
      </c>
      <c r="F4465" t="s">
        <v>92</v>
      </c>
      <c r="G4465">
        <v>-212.14349999999999</v>
      </c>
      <c r="H4465">
        <v>0.51730959999999904</v>
      </c>
      <c r="I4465">
        <v>119.1468</v>
      </c>
      <c r="J4465">
        <v>-191.78120000000001</v>
      </c>
      <c r="K4465">
        <v>1.1096680000000001</v>
      </c>
      <c r="L4465">
        <v>172.0189</v>
      </c>
      <c r="M4465">
        <v>-0.12301289999999999</v>
      </c>
      <c r="N4465">
        <v>0</v>
      </c>
      <c r="O4465">
        <v>-0.99231170000000002</v>
      </c>
      <c r="P4465">
        <v>-0.14428189999999999</v>
      </c>
      <c r="Q4465">
        <v>2.035992E-2</v>
      </c>
      <c r="R4465">
        <v>-0.98932739999999997</v>
      </c>
      <c r="S4465">
        <v>-1.1047670000000001</v>
      </c>
      <c r="T4465">
        <v>-3.2113790000000003E-2</v>
      </c>
      <c r="U4465">
        <v>-2.8727109999999998</v>
      </c>
      <c r="V4465">
        <v>2.1523879999999999E-2</v>
      </c>
      <c r="W4465">
        <v>3.395745E-2</v>
      </c>
      <c r="X4465">
        <v>0.99919150000000001</v>
      </c>
      <c r="Y4465">
        <v>0.24137220000000001</v>
      </c>
      <c r="Z4465">
        <v>1.0511360000000001E-2</v>
      </c>
      <c r="AA4465">
        <v>0.97037569999999995</v>
      </c>
      <c r="AB4465">
        <v>22</v>
      </c>
      <c r="AC4465">
        <v>-20.362299999999902</v>
      </c>
      <c r="AD4465">
        <v>-0.59235839999999995</v>
      </c>
      <c r="AE4465">
        <v>-52.872100000000003</v>
      </c>
      <c r="AF4465">
        <v>13.7015702451009</v>
      </c>
      <c r="AG4465">
        <v>-0.59235839999999995</v>
      </c>
      <c r="AH4465">
        <v>54.969514556877002</v>
      </c>
      <c r="AI4465">
        <v>90.599074382016795</v>
      </c>
      <c r="AJ4465">
        <v>76.003796811036906</v>
      </c>
      <c r="AK4465">
        <v>56.654491845520901</v>
      </c>
      <c r="AL4465">
        <v>88.054007358066698</v>
      </c>
      <c r="AM4465">
        <v>88.765965497731997</v>
      </c>
      <c r="AN4465">
        <v>1.0000000197465</v>
      </c>
    </row>
    <row r="4466" spans="1:40" x14ac:dyDescent="0.25">
      <c r="A4466" t="str">
        <f>"20190312160422560"</f>
        <v>20190312160422560</v>
      </c>
      <c r="B4466" t="str">
        <f>"1552377862549088"</f>
        <v>1552377862549088</v>
      </c>
      <c r="C4466" t="s">
        <v>40</v>
      </c>
      <c r="D4466">
        <v>5.5095599999999996</v>
      </c>
      <c r="E4466">
        <v>0.5868177</v>
      </c>
      <c r="F4466" t="s">
        <v>92</v>
      </c>
      <c r="G4466">
        <v>-212.31229999999999</v>
      </c>
      <c r="H4466">
        <v>0.64813659999999995</v>
      </c>
      <c r="I4466">
        <v>119.0545</v>
      </c>
      <c r="J4466">
        <v>-191.79580000000001</v>
      </c>
      <c r="K4466">
        <v>1.1096699999999999</v>
      </c>
      <c r="L4466">
        <v>171.90599999999901</v>
      </c>
      <c r="M4466">
        <v>-0.1235247</v>
      </c>
      <c r="N4466">
        <v>0</v>
      </c>
      <c r="O4466">
        <v>-0.99224789999999996</v>
      </c>
      <c r="P4466">
        <v>-0.14544860000000001</v>
      </c>
      <c r="Q4466">
        <v>2.0384289999999999E-2</v>
      </c>
      <c r="R4466">
        <v>-0.98915600000000004</v>
      </c>
      <c r="S4466">
        <v>-1.1127469999999999</v>
      </c>
      <c r="T4466">
        <v>-2.5012610000000001E-2</v>
      </c>
      <c r="U4466">
        <v>-2.8705750000000001</v>
      </c>
      <c r="V4466">
        <v>2.2187169999999999E-2</v>
      </c>
      <c r="W4466">
        <v>3.3979860000000001E-2</v>
      </c>
      <c r="X4466">
        <v>0.99917619999999896</v>
      </c>
      <c r="Y4466">
        <v>0.2434683</v>
      </c>
      <c r="Z4466">
        <v>8.1859489999999997E-3</v>
      </c>
      <c r="AA4466">
        <v>0.96987429999999997</v>
      </c>
      <c r="AB4466">
        <v>22</v>
      </c>
      <c r="AC4466">
        <v>-20.516499999999901</v>
      </c>
      <c r="AD4466">
        <v>-0.46153339999999998</v>
      </c>
      <c r="AE4466">
        <v>-52.851499999999902</v>
      </c>
      <c r="AF4466">
        <v>13.8293564244764</v>
      </c>
      <c r="AG4466">
        <v>-0.46153339999999998</v>
      </c>
      <c r="AH4466">
        <v>54.977547613303301</v>
      </c>
      <c r="AI4466">
        <v>90.4664530923379</v>
      </c>
      <c r="AJ4466">
        <v>75.880443432805293</v>
      </c>
      <c r="AK4466">
        <v>56.692105744693997</v>
      </c>
      <c r="AL4466">
        <v>88.052722560344705</v>
      </c>
      <c r="AM4466">
        <v>88.727929747046801</v>
      </c>
      <c r="AN4466">
        <v>0.99999999002233397</v>
      </c>
    </row>
    <row r="4467" spans="1:40" x14ac:dyDescent="0.25">
      <c r="A4467" t="str">
        <f>"20190312160422572"</f>
        <v>20190312160422572</v>
      </c>
      <c r="B4467" t="str">
        <f>"1552377862569583"</f>
        <v>1552377862569583</v>
      </c>
      <c r="C4467" t="s">
        <v>40</v>
      </c>
      <c r="D4467">
        <v>5.419079</v>
      </c>
      <c r="E4467">
        <v>0.58684809999999998</v>
      </c>
      <c r="F4467" t="s">
        <v>92</v>
      </c>
      <c r="G4467">
        <v>-212.49619999999999</v>
      </c>
      <c r="H4467">
        <v>0.74566409999999905</v>
      </c>
      <c r="I4467">
        <v>118.98569999999999</v>
      </c>
      <c r="J4467">
        <v>-191.8099</v>
      </c>
      <c r="K4467">
        <v>1.1096710000000001</v>
      </c>
      <c r="L4467">
        <v>171.7972</v>
      </c>
      <c r="M4467">
        <v>-0.1240175</v>
      </c>
      <c r="N4467">
        <v>0</v>
      </c>
      <c r="O4467">
        <v>-0.99218649999999997</v>
      </c>
      <c r="P4467">
        <v>-0.1465061</v>
      </c>
      <c r="Q4467">
        <v>2.0573870000000001E-2</v>
      </c>
      <c r="R4467">
        <v>-0.98899590000000004</v>
      </c>
      <c r="S4467">
        <v>-1.1219790000000001</v>
      </c>
      <c r="T4467">
        <v>-1.9727829999999998E-2</v>
      </c>
      <c r="U4467">
        <v>-2.8683169999999998</v>
      </c>
      <c r="V4467">
        <v>2.2760229999999999E-2</v>
      </c>
      <c r="W4467">
        <v>3.4167139999999999E-2</v>
      </c>
      <c r="X4467">
        <v>0.99915699999999996</v>
      </c>
      <c r="Y4467">
        <v>0.24595800000000001</v>
      </c>
      <c r="Z4467">
        <v>6.4548820000000003E-3</v>
      </c>
      <c r="AA4467">
        <v>0.96925899999999998</v>
      </c>
      <c r="AB4467">
        <v>22</v>
      </c>
      <c r="AC4467">
        <v>-20.6862999999999</v>
      </c>
      <c r="AD4467">
        <v>-0.36400689999999902</v>
      </c>
      <c r="AE4467">
        <v>-52.811500000000002</v>
      </c>
      <c r="AF4467">
        <v>13.975838889922199</v>
      </c>
      <c r="AG4467">
        <v>-0.36400689999999902</v>
      </c>
      <c r="AH4467">
        <v>54.967158209133501</v>
      </c>
      <c r="AI4467">
        <v>90.3677224614312</v>
      </c>
      <c r="AJ4467">
        <v>75.734373857329999</v>
      </c>
      <c r="AK4467">
        <v>56.7172377261818</v>
      </c>
      <c r="AL4467">
        <v>88.041986121210897</v>
      </c>
      <c r="AM4467">
        <v>88.695060306805402</v>
      </c>
      <c r="AN4467">
        <v>1.0000000660872099</v>
      </c>
    </row>
    <row r="4468" spans="1:40" x14ac:dyDescent="0.25">
      <c r="A4468" t="str">
        <f>"20190312160422588"</f>
        <v>20190312160422588</v>
      </c>
      <c r="B4468" t="str">
        <f>"1552377862579344"</f>
        <v>1552377862579344</v>
      </c>
      <c r="C4468" t="s">
        <v>40</v>
      </c>
      <c r="D4468">
        <v>5.4247209999999999</v>
      </c>
      <c r="E4468">
        <v>0.58692869999999997</v>
      </c>
      <c r="F4468" t="s">
        <v>92</v>
      </c>
      <c r="G4468">
        <v>-212.5598</v>
      </c>
      <c r="H4468">
        <v>0.82566399999999995</v>
      </c>
      <c r="I4468">
        <v>118.9293</v>
      </c>
      <c r="J4468">
        <v>-191.83029999999999</v>
      </c>
      <c r="K4468">
        <v>1.1096809999999999</v>
      </c>
      <c r="L4468">
        <v>171.64060000000001</v>
      </c>
      <c r="M4468">
        <v>-0.1247273</v>
      </c>
      <c r="N4468">
        <v>0</v>
      </c>
      <c r="O4468">
        <v>-0.99209729999999996</v>
      </c>
      <c r="P4468">
        <v>-0.1484472</v>
      </c>
      <c r="Q4468">
        <v>2.144103E-2</v>
      </c>
      <c r="R4468">
        <v>-0.98868800000000001</v>
      </c>
      <c r="S4468">
        <v>-1.125259</v>
      </c>
      <c r="T4468">
        <v>-1.540005E-2</v>
      </c>
      <c r="U4468">
        <v>-2.8670040000000001</v>
      </c>
      <c r="V4468">
        <v>2.401062E-2</v>
      </c>
      <c r="W4468">
        <v>3.5030180000000001E-2</v>
      </c>
      <c r="X4468">
        <v>0.99909780000000004</v>
      </c>
      <c r="Y4468">
        <v>0.2463794</v>
      </c>
      <c r="Z4468">
        <v>5.0390649999999997E-3</v>
      </c>
      <c r="AA4468">
        <v>0.96916040000000003</v>
      </c>
      <c r="AB4468">
        <v>22</v>
      </c>
      <c r="AC4468">
        <v>-20.729500000000002</v>
      </c>
      <c r="AD4468">
        <v>-0.28401700000000002</v>
      </c>
      <c r="AE4468">
        <v>-52.711300000000001</v>
      </c>
      <c r="AF4468">
        <v>13.9920927332048</v>
      </c>
      <c r="AG4468">
        <v>-0.28401700000000002</v>
      </c>
      <c r="AH4468">
        <v>54.8839988854429</v>
      </c>
      <c r="AI4468">
        <v>90.287305528329597</v>
      </c>
      <c r="AJ4468">
        <v>75.697709326944107</v>
      </c>
      <c r="AK4468">
        <v>56.640203551613297</v>
      </c>
      <c r="AL4468">
        <v>87.992507854951995</v>
      </c>
      <c r="AM4468">
        <v>88.623315521297997</v>
      </c>
      <c r="AN4468">
        <v>1.0000000186742199</v>
      </c>
    </row>
    <row r="4469" spans="1:40" x14ac:dyDescent="0.25">
      <c r="A4469" t="str">
        <f>"20190312160422599"</f>
        <v>20190312160422599</v>
      </c>
      <c r="B4469" t="str">
        <f>"1552377862589610"</f>
        <v>1552377862589610</v>
      </c>
      <c r="C4469" t="s">
        <v>40</v>
      </c>
      <c r="D4469">
        <v>5.5300609999999999</v>
      </c>
      <c r="E4469">
        <v>0.58722779999999997</v>
      </c>
      <c r="F4469" t="s">
        <v>92</v>
      </c>
      <c r="G4469">
        <v>-212.67400000000001</v>
      </c>
      <c r="H4469">
        <v>0.90418869999999896</v>
      </c>
      <c r="I4469">
        <v>118.87390000000001</v>
      </c>
      <c r="J4469">
        <v>-191.84440000000001</v>
      </c>
      <c r="K4469">
        <v>1.1096839999999999</v>
      </c>
      <c r="L4469">
        <v>171.53309999999999</v>
      </c>
      <c r="M4469">
        <v>-0.12521489999999999</v>
      </c>
      <c r="N4469">
        <v>0</v>
      </c>
      <c r="O4469">
        <v>-0.99203620000000003</v>
      </c>
      <c r="P4469">
        <v>-0.1496595</v>
      </c>
      <c r="Q4469">
        <v>2.1679130000000001E-2</v>
      </c>
      <c r="R4469">
        <v>-0.98850020000000005</v>
      </c>
      <c r="S4469">
        <v>-1.1315919999999999</v>
      </c>
      <c r="T4469">
        <v>-1.1154529999999999E-2</v>
      </c>
      <c r="U4469">
        <v>-2.8646699999999998</v>
      </c>
      <c r="V4469">
        <v>2.4745989999999999E-2</v>
      </c>
      <c r="W4469">
        <v>3.5265110000000002E-2</v>
      </c>
      <c r="X4469">
        <v>0.99907159999999995</v>
      </c>
      <c r="Y4469">
        <v>0.2480281</v>
      </c>
      <c r="Z4469">
        <v>3.650122E-3</v>
      </c>
      <c r="AA4469">
        <v>0.96874590000000005</v>
      </c>
      <c r="AB4469">
        <v>22</v>
      </c>
      <c r="AC4469">
        <v>-20.829599999999999</v>
      </c>
      <c r="AD4469">
        <v>-0.20549529999999999</v>
      </c>
      <c r="AE4469">
        <v>-52.659199999999899</v>
      </c>
      <c r="AF4469">
        <v>14.0711199971072</v>
      </c>
      <c r="AG4469">
        <v>-0.20549529999999999</v>
      </c>
      <c r="AH4469">
        <v>54.852371943777698</v>
      </c>
      <c r="AI4469">
        <v>90.207916088120896</v>
      </c>
      <c r="AJ4469">
        <v>75.612323843322102</v>
      </c>
      <c r="AK4469">
        <v>56.628803220179798</v>
      </c>
      <c r="AL4469">
        <v>87.979039052484197</v>
      </c>
      <c r="AM4469">
        <v>88.581131778876795</v>
      </c>
      <c r="AN4469">
        <v>1.0000000269654701</v>
      </c>
    </row>
    <row r="4470" spans="1:40" x14ac:dyDescent="0.25">
      <c r="A4470" t="str">
        <f>"20190312160422611"</f>
        <v>20190312160422611</v>
      </c>
      <c r="B4470" t="str">
        <f>"1552377862599370"</f>
        <v>1552377862599370</v>
      </c>
      <c r="C4470" t="s">
        <v>40</v>
      </c>
      <c r="D4470">
        <v>5.7533349999999999</v>
      </c>
      <c r="E4470">
        <v>0.58802159999999903</v>
      </c>
      <c r="F4470" t="s">
        <v>92</v>
      </c>
      <c r="G4470">
        <v>-212.77549999999999</v>
      </c>
      <c r="H4470">
        <v>0.93328319999999998</v>
      </c>
      <c r="I4470">
        <v>118.85339999999999</v>
      </c>
      <c r="J4470">
        <v>-191.85839999999999</v>
      </c>
      <c r="K4470">
        <v>1.1096820000000001</v>
      </c>
      <c r="L4470">
        <v>171.4271</v>
      </c>
      <c r="M4470">
        <v>-0.125695</v>
      </c>
      <c r="N4470">
        <v>0</v>
      </c>
      <c r="O4470">
        <v>-0.99197519999999995</v>
      </c>
      <c r="P4470">
        <v>-0.1507262</v>
      </c>
      <c r="Q4470">
        <v>2.180752E-2</v>
      </c>
      <c r="R4470">
        <v>-0.98833510000000002</v>
      </c>
      <c r="S4470">
        <v>-1.1375120000000001</v>
      </c>
      <c r="T4470">
        <v>-9.5850229999999998E-3</v>
      </c>
      <c r="U4470">
        <v>-2.8628999999999998</v>
      </c>
      <c r="V4470">
        <v>2.5341269999999999E-2</v>
      </c>
      <c r="W4470">
        <v>3.5391390000000002E-2</v>
      </c>
      <c r="X4470">
        <v>0.99905219999999995</v>
      </c>
      <c r="Y4470">
        <v>0.24949560000000001</v>
      </c>
      <c r="Z4470">
        <v>3.136289E-3</v>
      </c>
      <c r="AA4470">
        <v>0.96837090000000003</v>
      </c>
      <c r="AB4470">
        <v>22</v>
      </c>
      <c r="AC4470">
        <v>-20.917100000000001</v>
      </c>
      <c r="AD4470">
        <v>-0.17639879999999999</v>
      </c>
      <c r="AE4470">
        <v>-52.573700000000002</v>
      </c>
      <c r="AF4470">
        <v>14.142170862932501</v>
      </c>
      <c r="AG4470">
        <v>-0.17639879999999999</v>
      </c>
      <c r="AH4470">
        <v>54.785543487471401</v>
      </c>
      <c r="AI4470">
        <v>90.178625324488394</v>
      </c>
      <c r="AJ4470">
        <v>75.525817138026497</v>
      </c>
      <c r="AK4470">
        <v>56.581692166907096</v>
      </c>
      <c r="AL4470">
        <v>87.971799196744399</v>
      </c>
      <c r="AM4470">
        <v>88.546986288879793</v>
      </c>
      <c r="AN4470">
        <v>1.0000000143880901</v>
      </c>
    </row>
    <row r="4471" spans="1:40" x14ac:dyDescent="0.25">
      <c r="A4471" t="str">
        <f>"20190312160422622"</f>
        <v>20190312160422622</v>
      </c>
      <c r="B4471" t="str">
        <f>"1552377862609130"</f>
        <v>1552377862609130</v>
      </c>
      <c r="C4471" t="s">
        <v>40</v>
      </c>
      <c r="D4471">
        <v>5.4501189999999999</v>
      </c>
      <c r="E4471">
        <v>0.58799709999999905</v>
      </c>
      <c r="F4471" t="s">
        <v>92</v>
      </c>
      <c r="G4471">
        <v>-212.95070000000001</v>
      </c>
      <c r="H4471">
        <v>0.98823760000000005</v>
      </c>
      <c r="I4471">
        <v>118.8146</v>
      </c>
      <c r="J4471">
        <v>-191.87350000000001</v>
      </c>
      <c r="K4471">
        <v>1.109683</v>
      </c>
      <c r="L4471">
        <v>171.31229999999999</v>
      </c>
      <c r="M4471">
        <v>-0.12621559999999901</v>
      </c>
      <c r="N4471">
        <v>0</v>
      </c>
      <c r="O4471">
        <v>-0.99190929999999999</v>
      </c>
      <c r="P4471">
        <v>-0.1519102</v>
      </c>
      <c r="Q4471">
        <v>2.18005E-2</v>
      </c>
      <c r="R4471">
        <v>-0.98815379999999997</v>
      </c>
      <c r="S4471">
        <v>-1.146835</v>
      </c>
      <c r="T4471">
        <v>-6.6016909999999998E-3</v>
      </c>
      <c r="U4471">
        <v>-2.8606569999999998</v>
      </c>
      <c r="V4471">
        <v>2.601405E-2</v>
      </c>
      <c r="W4471">
        <v>3.5382339999999998E-2</v>
      </c>
      <c r="X4471">
        <v>0.99903520000000001</v>
      </c>
      <c r="Y4471">
        <v>0.25197009999999997</v>
      </c>
      <c r="Z4471">
        <v>2.1595149999999999E-3</v>
      </c>
      <c r="AA4471">
        <v>0.96773260000000005</v>
      </c>
      <c r="AB4471">
        <v>22</v>
      </c>
      <c r="AC4471">
        <v>-21.077200000000001</v>
      </c>
      <c r="AD4471">
        <v>-0.121445399999999</v>
      </c>
      <c r="AE4471">
        <v>-52.497700000000002</v>
      </c>
      <c r="AF4471">
        <v>14.2819013360431</v>
      </c>
      <c r="AG4471">
        <v>-0.121445399999999</v>
      </c>
      <c r="AH4471">
        <v>54.738054967189697</v>
      </c>
      <c r="AI4471">
        <v>90.123002125852807</v>
      </c>
      <c r="AJ4471">
        <v>75.376765397175802</v>
      </c>
      <c r="AK4471">
        <v>56.570682480846301</v>
      </c>
      <c r="AL4471">
        <v>87.972317990533099</v>
      </c>
      <c r="AM4471">
        <v>88.5084023676458</v>
      </c>
      <c r="AN4471">
        <v>0.99999998581015903</v>
      </c>
    </row>
    <row r="4472" spans="1:40" x14ac:dyDescent="0.25">
      <c r="A4472" t="str">
        <f>"20190312160422635"</f>
        <v>20190312160422635</v>
      </c>
      <c r="B4472" t="str">
        <f>"1552377862629628"</f>
        <v>1552377862629628</v>
      </c>
      <c r="C4472" t="s">
        <v>40</v>
      </c>
      <c r="D4472">
        <v>5.3220929999999997</v>
      </c>
      <c r="E4472">
        <v>0.58773229999999999</v>
      </c>
      <c r="F4472" t="s">
        <v>92</v>
      </c>
      <c r="G4472">
        <v>-212.9923</v>
      </c>
      <c r="H4472">
        <v>1.0069429999999999</v>
      </c>
      <c r="I4472">
        <v>118.8014</v>
      </c>
      <c r="J4472">
        <v>-191.8886</v>
      </c>
      <c r="K4472">
        <v>1.1096839999999999</v>
      </c>
      <c r="L4472">
        <v>171.1987</v>
      </c>
      <c r="M4472">
        <v>-0.12673019999999999</v>
      </c>
      <c r="N4472">
        <v>0</v>
      </c>
      <c r="O4472">
        <v>-0.9918439</v>
      </c>
      <c r="P4472">
        <v>-0.1531092</v>
      </c>
      <c r="Q4472">
        <v>2.1597959999999999E-2</v>
      </c>
      <c r="R4472">
        <v>-0.98797330000000005</v>
      </c>
      <c r="S4472">
        <v>-1.149948</v>
      </c>
      <c r="T4472">
        <v>-5.5928230000000002E-3</v>
      </c>
      <c r="U4472">
        <v>-2.859283</v>
      </c>
      <c r="V4472">
        <v>2.6707430000000001E-2</v>
      </c>
      <c r="W4472">
        <v>3.5177430000000003E-2</v>
      </c>
      <c r="X4472">
        <v>0.99902420000000003</v>
      </c>
      <c r="Y4472">
        <v>0.25253599999999998</v>
      </c>
      <c r="Z4472">
        <v>1.8296370000000001E-3</v>
      </c>
      <c r="AA4472">
        <v>0.96758569999999999</v>
      </c>
      <c r="AB4472">
        <v>22</v>
      </c>
      <c r="AC4472">
        <v>-21.1037</v>
      </c>
      <c r="AD4472">
        <v>-0.102741</v>
      </c>
      <c r="AE4472">
        <v>-52.397300000000001</v>
      </c>
      <c r="AF4472">
        <v>14.2925316080066</v>
      </c>
      <c r="AG4472">
        <v>-0.102741</v>
      </c>
      <c r="AH4472">
        <v>54.649296700805998</v>
      </c>
      <c r="AI4472">
        <v>90.104211260026702</v>
      </c>
      <c r="AJ4472">
        <v>75.343603503532194</v>
      </c>
      <c r="AK4472">
        <v>56.487455646113801</v>
      </c>
      <c r="AL4472">
        <v>87.984065902201806</v>
      </c>
      <c r="AM4472">
        <v>88.468647069323396</v>
      </c>
      <c r="AN4472">
        <v>1.0000000452921201</v>
      </c>
    </row>
    <row r="4473" spans="1:40" x14ac:dyDescent="0.25">
      <c r="A4473" t="str">
        <f>"20190312160422657"</f>
        <v>20190312160422657</v>
      </c>
      <c r="B4473" t="str">
        <f>"1552377862649147"</f>
        <v>1552377862649147</v>
      </c>
      <c r="C4473" t="s">
        <v>40</v>
      </c>
      <c r="D4473">
        <v>5.7894930000000002</v>
      </c>
      <c r="E4473">
        <v>0.58817790000000003</v>
      </c>
      <c r="F4473" t="s">
        <v>93</v>
      </c>
      <c r="G4473">
        <v>-215.2363</v>
      </c>
      <c r="H4473">
        <v>1.036851</v>
      </c>
      <c r="I4473">
        <v>113.2439</v>
      </c>
      <c r="J4473">
        <v>-191.9171</v>
      </c>
      <c r="K4473">
        <v>1.1096839999999999</v>
      </c>
      <c r="L4473">
        <v>170.98490000000001</v>
      </c>
      <c r="M4473">
        <v>-0.12769949999999999</v>
      </c>
      <c r="N4473">
        <v>0</v>
      </c>
      <c r="O4473">
        <v>-0.99171940000000003</v>
      </c>
      <c r="P4473">
        <v>-0.1551536</v>
      </c>
      <c r="Q4473">
        <v>2.1101459999999999E-2</v>
      </c>
      <c r="R4473">
        <v>-0.98766529999999997</v>
      </c>
      <c r="S4473">
        <v>-1.151443</v>
      </c>
      <c r="T4473">
        <v>-3.590584E-3</v>
      </c>
      <c r="U4473">
        <v>-2.8581539999999999</v>
      </c>
      <c r="V4473">
        <v>2.7796810000000002E-2</v>
      </c>
      <c r="W4473">
        <v>3.4677050000000001E-2</v>
      </c>
      <c r="X4473">
        <v>0.99901189999999995</v>
      </c>
      <c r="Y4473">
        <v>0.25215860000000001</v>
      </c>
      <c r="Z4473">
        <v>1.1747820000000001E-3</v>
      </c>
      <c r="AA4473">
        <v>0.96768520000000002</v>
      </c>
      <c r="AB4473">
        <v>22</v>
      </c>
      <c r="AC4473">
        <v>-23.319199999999899</v>
      </c>
      <c r="AD4473">
        <v>-7.2833000000000106E-2</v>
      </c>
      <c r="AE4473">
        <v>-57.741</v>
      </c>
      <c r="AF4473">
        <v>15.754045668396</v>
      </c>
      <c r="AG4473">
        <v>-7.2833000000000106E-2</v>
      </c>
      <c r="AH4473">
        <v>60.246224823204301</v>
      </c>
      <c r="AI4473">
        <v>90.067012846650897</v>
      </c>
      <c r="AJ4473">
        <v>75.345616044104503</v>
      </c>
      <c r="AK4473">
        <v>62.272007073932301</v>
      </c>
      <c r="AL4473">
        <v>88.012752913723801</v>
      </c>
      <c r="AM4473">
        <v>88.406196077547406</v>
      </c>
      <c r="AN4473">
        <v>0.99999996839224303</v>
      </c>
    </row>
    <row r="4474" spans="1:40" x14ac:dyDescent="0.25">
      <c r="A4474" t="str">
        <f>"20190312160422671"</f>
        <v>20190312160422671</v>
      </c>
      <c r="B4474" t="str">
        <f>"1552377862658906"</f>
        <v>1552377862658906</v>
      </c>
      <c r="C4474" t="s">
        <v>40</v>
      </c>
      <c r="D4474">
        <v>5.4430940000000003</v>
      </c>
      <c r="E4474">
        <v>0.58806119999999995</v>
      </c>
      <c r="F4474" t="s">
        <v>93</v>
      </c>
      <c r="G4474">
        <v>-215.38990000000001</v>
      </c>
      <c r="H4474">
        <v>1.0517860000000001</v>
      </c>
      <c r="I4474">
        <v>113.2439</v>
      </c>
      <c r="J4474">
        <v>-191.9341</v>
      </c>
      <c r="K4474">
        <v>1.1096839999999999</v>
      </c>
      <c r="L4474">
        <v>170.85820000000001</v>
      </c>
      <c r="M4474">
        <v>-0.1282742</v>
      </c>
      <c r="N4474">
        <v>0</v>
      </c>
      <c r="O4474">
        <v>-0.9916452</v>
      </c>
      <c r="P4474">
        <v>-0.15616350000000001</v>
      </c>
      <c r="Q4474">
        <v>2.0871009999999999E-2</v>
      </c>
      <c r="R4474">
        <v>-0.98751089999999997</v>
      </c>
      <c r="S4474">
        <v>-1.16069</v>
      </c>
      <c r="T4474">
        <v>-2.8616190000000001E-3</v>
      </c>
      <c r="U4474">
        <v>-2.8551790000000001</v>
      </c>
      <c r="V4474">
        <v>2.8238570000000001E-2</v>
      </c>
      <c r="W4474">
        <v>3.4444500000000003E-2</v>
      </c>
      <c r="X4474">
        <v>0.9990076</v>
      </c>
      <c r="Y4474">
        <v>0.25463910000000001</v>
      </c>
      <c r="Z4474">
        <v>9.3621549999999996E-4</v>
      </c>
      <c r="AA4474">
        <v>0.96703570000000005</v>
      </c>
      <c r="AB4474">
        <v>22</v>
      </c>
      <c r="AC4474">
        <v>-23.4558</v>
      </c>
      <c r="AD4474">
        <v>-5.7897999999999998E-2</v>
      </c>
      <c r="AE4474">
        <v>-57.6143</v>
      </c>
      <c r="AF4474">
        <v>15.8708617980489</v>
      </c>
      <c r="AG4474">
        <v>-5.7897999999999998E-2</v>
      </c>
      <c r="AH4474">
        <v>60.147245652391597</v>
      </c>
      <c r="AI4474">
        <v>90.053327891343102</v>
      </c>
      <c r="AJ4474">
        <v>75.218456670911706</v>
      </c>
      <c r="AK4474">
        <v>62.205938349648797</v>
      </c>
      <c r="AL4474">
        <v>88.026085099693802</v>
      </c>
      <c r="AM4474">
        <v>88.380873006703595</v>
      </c>
      <c r="AN4474">
        <v>1.00000001263682</v>
      </c>
    </row>
    <row r="4475" spans="1:40" x14ac:dyDescent="0.25">
      <c r="A4475" t="str">
        <f>"20190312160422683"</f>
        <v>20190312160422683</v>
      </c>
      <c r="B4475" t="str">
        <f>"1552377862679402"</f>
        <v>1552377862679402</v>
      </c>
      <c r="C4475" t="s">
        <v>40</v>
      </c>
      <c r="D4475">
        <v>5.4848809999999997</v>
      </c>
      <c r="E4475">
        <v>0.58751489999999995</v>
      </c>
      <c r="F4475" t="s">
        <v>93</v>
      </c>
      <c r="G4475">
        <v>-215.40350000000001</v>
      </c>
      <c r="H4475">
        <v>1.0513170000000001</v>
      </c>
      <c r="I4475">
        <v>113.2439</v>
      </c>
      <c r="J4475">
        <v>-191.95179999999999</v>
      </c>
      <c r="K4475">
        <v>1.1096889999999999</v>
      </c>
      <c r="L4475">
        <v>170.72640000000001</v>
      </c>
      <c r="M4475">
        <v>-0.12887199999999999</v>
      </c>
      <c r="N4475">
        <v>0</v>
      </c>
      <c r="O4475">
        <v>-0.99156759999999999</v>
      </c>
      <c r="P4475">
        <v>-0.1570917</v>
      </c>
      <c r="Q4475">
        <v>2.0647950000000002E-2</v>
      </c>
      <c r="R4475">
        <v>-0.98736829999999998</v>
      </c>
      <c r="S4475">
        <v>-1.1626590000000001</v>
      </c>
      <c r="T4475">
        <v>-2.89011E-3</v>
      </c>
      <c r="U4475">
        <v>-2.8541560000000001</v>
      </c>
      <c r="V4475">
        <v>2.8574479999999999E-2</v>
      </c>
      <c r="W4475">
        <v>3.4219090000000001E-2</v>
      </c>
      <c r="X4475">
        <v>0.99900580000000005</v>
      </c>
      <c r="Y4475">
        <v>0.25474910000000001</v>
      </c>
      <c r="Z4475">
        <v>9.4560659999999997E-4</v>
      </c>
      <c r="AA4475">
        <v>0.9670067</v>
      </c>
      <c r="AB4475">
        <v>22</v>
      </c>
      <c r="AC4475">
        <v>-23.451699999999999</v>
      </c>
      <c r="AD4475">
        <v>-5.8371999999999799E-2</v>
      </c>
      <c r="AE4475">
        <v>-57.482500000000002</v>
      </c>
      <c r="AF4475">
        <v>15.847518664583401</v>
      </c>
      <c r="AG4475">
        <v>-5.8371999999999799E-2</v>
      </c>
      <c r="AH4475">
        <v>60.025572689845703</v>
      </c>
      <c r="AI4475">
        <v>90.053871517538695</v>
      </c>
      <c r="AJ4475">
        <v>75.210637546791006</v>
      </c>
      <c r="AK4475">
        <v>62.082337519286803</v>
      </c>
      <c r="AL4475">
        <v>88.0390077692457</v>
      </c>
      <c r="AM4475">
        <v>88.361620276370402</v>
      </c>
      <c r="AN4475">
        <v>1.0000000177306601</v>
      </c>
    </row>
    <row r="4476" spans="1:40" x14ac:dyDescent="0.25">
      <c r="A4476" t="str">
        <f>"20190312160422701"</f>
        <v>20190312160422701</v>
      </c>
      <c r="B4476" t="str">
        <f>"1552377862689669"</f>
        <v>1552377862689669</v>
      </c>
      <c r="C4476" t="s">
        <v>40</v>
      </c>
      <c r="D4476">
        <v>5.4155670000000002</v>
      </c>
      <c r="E4476">
        <v>0.57681099999999996</v>
      </c>
      <c r="F4476" t="s">
        <v>93</v>
      </c>
      <c r="G4476">
        <v>-215.33799999999999</v>
      </c>
      <c r="H4476">
        <v>1.0662579999999999</v>
      </c>
      <c r="I4476">
        <v>113.2439</v>
      </c>
      <c r="J4476">
        <v>-191.97329999999999</v>
      </c>
      <c r="K4476">
        <v>1.1096900000000001</v>
      </c>
      <c r="L4476">
        <v>170.5676</v>
      </c>
      <c r="M4476">
        <v>-0.12959219999999999</v>
      </c>
      <c r="N4476">
        <v>0</v>
      </c>
      <c r="O4476">
        <v>-0.99147399999999997</v>
      </c>
      <c r="P4476">
        <v>-0.1582249</v>
      </c>
      <c r="Q4476">
        <v>2.071655E-2</v>
      </c>
      <c r="R4476">
        <v>-0.98718600000000001</v>
      </c>
      <c r="S4476">
        <v>-1.161011</v>
      </c>
      <c r="T4476">
        <v>-2.1548269999999998E-3</v>
      </c>
      <c r="U4476">
        <v>-2.8537140000000001</v>
      </c>
      <c r="V4476">
        <v>2.899583E-2</v>
      </c>
      <c r="W4476">
        <v>3.4285799999999998E-2</v>
      </c>
      <c r="X4476">
        <v>0.99899139999999997</v>
      </c>
      <c r="Y4476">
        <v>0.25362010000000001</v>
      </c>
      <c r="Z4476">
        <v>7.0521349999999995E-4</v>
      </c>
      <c r="AA4476">
        <v>0.96730360000000004</v>
      </c>
      <c r="AB4476">
        <v>22</v>
      </c>
      <c r="AC4476">
        <v>-23.364699999999999</v>
      </c>
      <c r="AD4476">
        <v>-4.3432000000000102E-2</v>
      </c>
      <c r="AE4476">
        <v>-57.323700000000002</v>
      </c>
      <c r="AF4476">
        <v>15.7382376104109</v>
      </c>
      <c r="AG4476">
        <v>-4.3432000000000102E-2</v>
      </c>
      <c r="AH4476">
        <v>59.8683546794446</v>
      </c>
      <c r="AI4476">
        <v>90.040199867854696</v>
      </c>
      <c r="AJ4476">
        <v>75.2712892831331</v>
      </c>
      <c r="AK4476">
        <v>61.902454728743699</v>
      </c>
      <c r="AL4476">
        <v>88.035183378813201</v>
      </c>
      <c r="AM4476">
        <v>88.337450769991705</v>
      </c>
      <c r="AN4476">
        <v>1.0000000457564899</v>
      </c>
    </row>
    <row r="4477" spans="1:40" x14ac:dyDescent="0.25">
      <c r="A4477" t="str">
        <f>"20190312160422723"</f>
        <v>20190312160422723</v>
      </c>
      <c r="B4477" t="str">
        <f>"1552377862718948"</f>
        <v>1552377862718948</v>
      </c>
      <c r="C4477" t="s">
        <v>40</v>
      </c>
      <c r="D4477">
        <v>5.3273080000000004</v>
      </c>
      <c r="E4477">
        <v>0.57730130000000002</v>
      </c>
      <c r="F4477" t="s">
        <v>91</v>
      </c>
      <c r="G4477">
        <v>-213.24610000000001</v>
      </c>
      <c r="H4477">
        <v>3.8183310000000001</v>
      </c>
      <c r="I4477">
        <v>114.1264</v>
      </c>
      <c r="J4477">
        <v>-192.0035</v>
      </c>
      <c r="K4477">
        <v>1.1096919999999999</v>
      </c>
      <c r="L4477">
        <v>170.34559999999999</v>
      </c>
      <c r="M4477">
        <v>-0.13059889999999999</v>
      </c>
      <c r="N4477">
        <v>0</v>
      </c>
      <c r="O4477">
        <v>-0.99134180000000005</v>
      </c>
      <c r="P4477">
        <v>-0.15980220000000001</v>
      </c>
      <c r="Q4477">
        <v>2.0934189999999998E-2</v>
      </c>
      <c r="R4477">
        <v>-0.98692709999999995</v>
      </c>
      <c r="S4477">
        <v>-1.079102</v>
      </c>
      <c r="T4477">
        <v>0.1374013</v>
      </c>
      <c r="U4477">
        <v>-2.8630680000000002</v>
      </c>
      <c r="V4477">
        <v>2.9578810000000001E-2</v>
      </c>
      <c r="W4477">
        <v>3.4499780000000001E-2</v>
      </c>
      <c r="X4477">
        <v>0.99896689999999999</v>
      </c>
      <c r="Y4477">
        <v>0.22708439999999999</v>
      </c>
      <c r="Z4477">
        <v>-4.5152499999999998E-2</v>
      </c>
      <c r="AA4477">
        <v>0.97282780000000002</v>
      </c>
      <c r="AB4477">
        <v>21</v>
      </c>
      <c r="AC4477">
        <v>-21.242599999999999</v>
      </c>
      <c r="AD4477">
        <v>2.7086389999999998</v>
      </c>
      <c r="AE4477">
        <v>-56.219200000000001</v>
      </c>
      <c r="AF4477">
        <v>13.6899747094501</v>
      </c>
      <c r="AG4477">
        <v>2.7086389999999998</v>
      </c>
      <c r="AH4477">
        <v>58.393511914967398</v>
      </c>
      <c r="AI4477">
        <v>87.4141971657738</v>
      </c>
      <c r="AJ4477">
        <v>76.8056732303167</v>
      </c>
      <c r="AK4477">
        <v>60.037941058476903</v>
      </c>
      <c r="AL4477">
        <v>88.022915888493202</v>
      </c>
      <c r="AM4477">
        <v>88.304001897123698</v>
      </c>
      <c r="AN4477">
        <v>1.0000000040583299</v>
      </c>
    </row>
    <row r="4478" spans="1:40" x14ac:dyDescent="0.25">
      <c r="A4478" t="str">
        <f>"20190312160422735"</f>
        <v>20190312160422735</v>
      </c>
      <c r="B4478" t="str">
        <f>"1552377862729685"</f>
        <v>1552377862729685</v>
      </c>
      <c r="C4478" t="s">
        <v>40</v>
      </c>
      <c r="D4478">
        <v>5.324179</v>
      </c>
      <c r="E4478">
        <v>0.57775149999999997</v>
      </c>
      <c r="F4478" t="s">
        <v>91</v>
      </c>
      <c r="G4478">
        <v>-213.32839999999999</v>
      </c>
      <c r="H4478">
        <v>3.8904450000000002</v>
      </c>
      <c r="I4478">
        <v>114.24769999999999</v>
      </c>
      <c r="J4478">
        <v>-192.01820000000001</v>
      </c>
      <c r="K4478">
        <v>1.1096919999999999</v>
      </c>
      <c r="L4478">
        <v>170.23830000000001</v>
      </c>
      <c r="M4478">
        <v>-0.1310857</v>
      </c>
      <c r="N4478">
        <v>0</v>
      </c>
      <c r="O4478">
        <v>-0.99127759999999998</v>
      </c>
      <c r="P4478">
        <v>-0.16070290000000001</v>
      </c>
      <c r="Q4478">
        <v>2.0834510000000001E-2</v>
      </c>
      <c r="R4478">
        <v>-0.98678310000000002</v>
      </c>
      <c r="S4478">
        <v>-1.087448</v>
      </c>
      <c r="T4478">
        <v>0.1418037</v>
      </c>
      <c r="U4478">
        <v>-2.8606720000000001</v>
      </c>
      <c r="V4478">
        <v>2.9999600000000001E-2</v>
      </c>
      <c r="W4478">
        <v>3.4398270000000002E-2</v>
      </c>
      <c r="X4478">
        <v>0.99895789999999995</v>
      </c>
      <c r="Y4478">
        <v>0.22933329999999999</v>
      </c>
      <c r="Z4478">
        <v>-4.6592090000000003E-2</v>
      </c>
      <c r="AA4478">
        <v>0.97223219999999999</v>
      </c>
      <c r="AB4478">
        <v>21</v>
      </c>
      <c r="AC4478">
        <v>-21.310199999999899</v>
      </c>
      <c r="AD4478">
        <v>2.7807529999999998</v>
      </c>
      <c r="AE4478">
        <v>-55.990600000000001</v>
      </c>
      <c r="AF4478">
        <v>13.756396075650301</v>
      </c>
      <c r="AG4478">
        <v>2.7807529999999998</v>
      </c>
      <c r="AH4478">
        <v>58.175752172758997</v>
      </c>
      <c r="AI4478">
        <v>87.336726950610995</v>
      </c>
      <c r="AJ4478">
        <v>76.696053584396907</v>
      </c>
      <c r="AK4478">
        <v>59.844708714333699</v>
      </c>
      <c r="AL4478">
        <v>88.028735530716801</v>
      </c>
      <c r="AM4478">
        <v>88.279873427366795</v>
      </c>
      <c r="AN4478">
        <v>1.0000000514757801</v>
      </c>
    </row>
    <row r="4479" spans="1:40" x14ac:dyDescent="0.25">
      <c r="A4479" t="str">
        <f>"20190312160422746"</f>
        <v>20190312160422746</v>
      </c>
      <c r="B4479" t="str">
        <f>"1552377862739445"</f>
        <v>1552377862739445</v>
      </c>
      <c r="C4479" t="s">
        <v>40</v>
      </c>
      <c r="D4479">
        <v>5.4211549999999997</v>
      </c>
      <c r="E4479">
        <v>0.57775149999999997</v>
      </c>
      <c r="F4479" t="s">
        <v>91</v>
      </c>
      <c r="G4479">
        <v>-213.41679999999999</v>
      </c>
      <c r="H4479">
        <v>3.8769619999999998</v>
      </c>
      <c r="I4479">
        <v>114.289</v>
      </c>
      <c r="J4479">
        <v>-192.03309999999999</v>
      </c>
      <c r="K4479">
        <v>1.109688</v>
      </c>
      <c r="L4479">
        <v>170.12989999999999</v>
      </c>
      <c r="M4479">
        <v>-0.1315771</v>
      </c>
      <c r="N4479">
        <v>0</v>
      </c>
      <c r="O4479">
        <v>-0.9912126</v>
      </c>
      <c r="P4479">
        <v>-0.16156690000000001</v>
      </c>
      <c r="Q4479">
        <v>2.0754519999999999E-2</v>
      </c>
      <c r="R4479">
        <v>-0.98664390000000002</v>
      </c>
      <c r="S4479">
        <v>-1.0935060000000001</v>
      </c>
      <c r="T4479">
        <v>0.1414136</v>
      </c>
      <c r="U4479">
        <v>-2.8591000000000002</v>
      </c>
      <c r="V4479">
        <v>3.0378860000000001E-2</v>
      </c>
      <c r="W4479">
        <v>3.431679E-2</v>
      </c>
      <c r="X4479">
        <v>0.99894919999999998</v>
      </c>
      <c r="Y4479">
        <v>0.23082859999999999</v>
      </c>
      <c r="Z4479">
        <v>-4.6458079999999999E-2</v>
      </c>
      <c r="AA4479">
        <v>0.97188470000000005</v>
      </c>
      <c r="AB4479">
        <v>21</v>
      </c>
      <c r="AC4479">
        <v>-21.383700000000001</v>
      </c>
      <c r="AD4479">
        <v>2.767274</v>
      </c>
      <c r="AE4479">
        <v>-55.840899999999898</v>
      </c>
      <c r="AF4479">
        <v>13.820091326382199</v>
      </c>
      <c r="AG4479">
        <v>2.767274</v>
      </c>
      <c r="AH4479">
        <v>58.044872873650299</v>
      </c>
      <c r="AI4479">
        <v>87.344621882877107</v>
      </c>
      <c r="AJ4479">
        <v>76.607611074108405</v>
      </c>
      <c r="AK4479">
        <v>59.731566165460997</v>
      </c>
      <c r="AL4479">
        <v>88.033406668222895</v>
      </c>
      <c r="AM4479">
        <v>88.258125449473994</v>
      </c>
      <c r="AN4479">
        <v>1.0000000106957201</v>
      </c>
    </row>
    <row r="4480" spans="1:40" x14ac:dyDescent="0.25">
      <c r="A4480" t="str">
        <f>"20190312160422757"</f>
        <v>20190312160422757</v>
      </c>
      <c r="B4480" t="str">
        <f>"1552377862749205"</f>
        <v>1552377862749205</v>
      </c>
      <c r="C4480" t="s">
        <v>40</v>
      </c>
      <c r="D4480">
        <v>5.3415509999999999</v>
      </c>
      <c r="E4480">
        <v>0.58455599999999996</v>
      </c>
      <c r="F4480" t="s">
        <v>91</v>
      </c>
      <c r="G4480">
        <v>-213.44380000000001</v>
      </c>
      <c r="H4480">
        <v>3.8683010000000002</v>
      </c>
      <c r="I4480">
        <v>114.2972</v>
      </c>
      <c r="J4480">
        <v>-192.04810000000001</v>
      </c>
      <c r="K4480">
        <v>1.109688</v>
      </c>
      <c r="L4480">
        <v>170.02170000000001</v>
      </c>
      <c r="M4480">
        <v>-0.13206799999999999</v>
      </c>
      <c r="N4480">
        <v>0</v>
      </c>
      <c r="O4480">
        <v>-0.99114720000000001</v>
      </c>
      <c r="P4480">
        <v>-0.1623636</v>
      </c>
      <c r="Q4480">
        <v>2.0516260000000001E-2</v>
      </c>
      <c r="R4480">
        <v>-0.98651789999999995</v>
      </c>
      <c r="S4480">
        <v>-1.0960540000000001</v>
      </c>
      <c r="T4480">
        <v>0.1412195</v>
      </c>
      <c r="U4480">
        <v>-2.8581699999999999</v>
      </c>
      <c r="V4480">
        <v>3.0689870000000001E-2</v>
      </c>
      <c r="W4480">
        <v>3.4077070000000001E-2</v>
      </c>
      <c r="X4480">
        <v>0.9989479</v>
      </c>
      <c r="Y4480">
        <v>0.231209</v>
      </c>
      <c r="Z4480">
        <v>-4.6394669999999999E-2</v>
      </c>
      <c r="AA4480">
        <v>0.97179729999999998</v>
      </c>
      <c r="AB4480">
        <v>21</v>
      </c>
      <c r="AC4480">
        <v>-21.395700000000001</v>
      </c>
      <c r="AD4480">
        <v>2.758613</v>
      </c>
      <c r="AE4480">
        <v>-55.724499999999999</v>
      </c>
      <c r="AF4480">
        <v>13.818633550859801</v>
      </c>
      <c r="AG4480">
        <v>2.758613</v>
      </c>
      <c r="AH4480">
        <v>57.938501674371601</v>
      </c>
      <c r="AI4480">
        <v>87.348313892608104</v>
      </c>
      <c r="AJ4480">
        <v>76.585275712109905</v>
      </c>
      <c r="AK4480">
        <v>59.6274647722664</v>
      </c>
      <c r="AL4480">
        <v>88.047149650787802</v>
      </c>
      <c r="AM4480">
        <v>88.240301507114296</v>
      </c>
      <c r="AN4480">
        <v>1.0000000108674001</v>
      </c>
    </row>
    <row r="4481" spans="1:40" x14ac:dyDescent="0.25">
      <c r="A4481" t="str">
        <f>"20190312160422769"</f>
        <v>20190312160422769</v>
      </c>
      <c r="B4481" t="str">
        <f>"1552377862758965"</f>
        <v>1552377862758965</v>
      </c>
      <c r="C4481" t="s">
        <v>40</v>
      </c>
      <c r="D4481">
        <v>5.3206559999999996</v>
      </c>
      <c r="E4481">
        <v>0.58455599999999996</v>
      </c>
      <c r="F4481" t="s">
        <v>93</v>
      </c>
      <c r="G4481">
        <v>-215.09129999999999</v>
      </c>
      <c r="H4481">
        <v>1.4020680000000001</v>
      </c>
      <c r="I4481">
        <v>113.02979999999999</v>
      </c>
      <c r="J4481">
        <v>-192.06270000000001</v>
      </c>
      <c r="K4481">
        <v>1.109688</v>
      </c>
      <c r="L4481">
        <v>169.91630000000001</v>
      </c>
      <c r="M4481">
        <v>-0.1325462</v>
      </c>
      <c r="N4481">
        <v>0</v>
      </c>
      <c r="O4481">
        <v>-0.99108350000000001</v>
      </c>
      <c r="P4481">
        <v>-0.16326170000000001</v>
      </c>
      <c r="Q4481">
        <v>2.0467659999999999E-2</v>
      </c>
      <c r="R4481">
        <v>-0.98637079999999999</v>
      </c>
      <c r="S4481">
        <v>-1.152725</v>
      </c>
      <c r="T4481">
        <v>1.462746E-2</v>
      </c>
      <c r="U4481">
        <v>-2.8509829999999998</v>
      </c>
      <c r="V4481">
        <v>3.111736E-2</v>
      </c>
      <c r="W4481">
        <v>3.4026559999999997E-2</v>
      </c>
      <c r="X4481">
        <v>0.99893639999999995</v>
      </c>
      <c r="Y4481">
        <v>0.24863969999999999</v>
      </c>
      <c r="Z4481">
        <v>-4.7941889999999999E-3</v>
      </c>
      <c r="AA4481">
        <v>0.96858420000000001</v>
      </c>
      <c r="AB4481">
        <v>21</v>
      </c>
      <c r="AC4481">
        <v>-23.028599999999901</v>
      </c>
      <c r="AD4481">
        <v>0.29237999999999997</v>
      </c>
      <c r="AE4481">
        <v>-56.886499999999998</v>
      </c>
      <c r="AF4481">
        <v>15.284243070898301</v>
      </c>
      <c r="AG4481">
        <v>0.29237999999999997</v>
      </c>
      <c r="AH4481">
        <v>59.435774140256399</v>
      </c>
      <c r="AI4481">
        <v>89.7270304498294</v>
      </c>
      <c r="AJ4481">
        <v>75.578541222072602</v>
      </c>
      <c r="AK4481">
        <v>61.3702274720102</v>
      </c>
      <c r="AL4481">
        <v>88.050045346111801</v>
      </c>
      <c r="AM4481">
        <v>88.215785254821199</v>
      </c>
      <c r="AN4481">
        <v>1.0000000140618801</v>
      </c>
    </row>
    <row r="4482" spans="1:40" x14ac:dyDescent="0.25">
      <c r="A4482" t="str">
        <f>"20190312160422790"</f>
        <v>20190312160422790</v>
      </c>
      <c r="B4482" t="str">
        <f>"1552377862779461"</f>
        <v>1552377862779461</v>
      </c>
      <c r="C4482" t="s">
        <v>40</v>
      </c>
      <c r="D4482">
        <v>5.3010469999999996</v>
      </c>
      <c r="E4482">
        <v>0.59104119999999905</v>
      </c>
      <c r="F4482" t="s">
        <v>93</v>
      </c>
      <c r="G4482">
        <v>-215.09129999999999</v>
      </c>
      <c r="H4482">
        <v>1.3969039999999999</v>
      </c>
      <c r="I4482">
        <v>113.105</v>
      </c>
      <c r="J4482">
        <v>-192.0898</v>
      </c>
      <c r="K4482">
        <v>1.1096919999999999</v>
      </c>
      <c r="L4482">
        <v>169.7216</v>
      </c>
      <c r="M4482">
        <v>-0.13342979999999999</v>
      </c>
      <c r="N4482">
        <v>0</v>
      </c>
      <c r="O4482">
        <v>-0.99096499999999998</v>
      </c>
      <c r="P4482">
        <v>-0.16429579999999999</v>
      </c>
      <c r="Q4482">
        <v>1.9955710000000002E-2</v>
      </c>
      <c r="R4482">
        <v>-0.98620949999999996</v>
      </c>
      <c r="S4482">
        <v>-1.155243</v>
      </c>
      <c r="T4482">
        <v>1.4409659999999999E-2</v>
      </c>
      <c r="U4482">
        <v>-2.8499599999999998</v>
      </c>
      <c r="V4482">
        <v>3.1271859999999999E-2</v>
      </c>
      <c r="W4482">
        <v>3.3512819999999999E-2</v>
      </c>
      <c r="X4482">
        <v>0.99894890000000003</v>
      </c>
      <c r="Y4482">
        <v>0.24863209999999999</v>
      </c>
      <c r="Z4482">
        <v>-4.7227770000000001E-3</v>
      </c>
      <c r="AA4482">
        <v>0.96858650000000002</v>
      </c>
      <c r="AB4482">
        <v>21</v>
      </c>
      <c r="AC4482">
        <v>-23.0015</v>
      </c>
      <c r="AD4482">
        <v>0.28721200000000002</v>
      </c>
      <c r="AE4482">
        <v>-56.616599999999899</v>
      </c>
      <c r="AF4482">
        <v>15.2404119372388</v>
      </c>
      <c r="AG4482">
        <v>0.28721200000000002</v>
      </c>
      <c r="AH4482">
        <v>59.178317530946799</v>
      </c>
      <c r="AI4482">
        <v>89.730713309727705</v>
      </c>
      <c r="AJ4482">
        <v>75.558223309117594</v>
      </c>
      <c r="AK4482">
        <v>61.109949374412402</v>
      </c>
      <c r="AL4482">
        <v>88.079497196320304</v>
      </c>
      <c r="AM4482">
        <v>88.206954687197495</v>
      </c>
      <c r="AN4482">
        <v>0.99999997157170994</v>
      </c>
    </row>
    <row r="4483" spans="1:40" x14ac:dyDescent="0.25">
      <c r="A4483" t="str">
        <f>"20190312160422800"</f>
        <v>20190312160422800</v>
      </c>
      <c r="B4483" t="str">
        <f>"1552377862789220"</f>
        <v>1552377862789220</v>
      </c>
      <c r="C4483" t="s">
        <v>40</v>
      </c>
      <c r="D4483">
        <v>5.3013810000000001</v>
      </c>
      <c r="E4483">
        <v>0.59110699999999905</v>
      </c>
      <c r="F4483" t="s">
        <v>60</v>
      </c>
      <c r="G4483">
        <v>-204.71899999999999</v>
      </c>
      <c r="H4483" s="1">
        <v>-7.8112200000000004E-6</v>
      </c>
      <c r="I4483">
        <v>140.0598</v>
      </c>
      <c r="J4483">
        <v>-192.1045</v>
      </c>
      <c r="K4483">
        <v>1.1096919999999999</v>
      </c>
      <c r="L4483">
        <v>169.6163</v>
      </c>
      <c r="M4483">
        <v>-0.13390779999999999</v>
      </c>
      <c r="N4483">
        <v>0</v>
      </c>
      <c r="O4483">
        <v>-0.99090049999999996</v>
      </c>
      <c r="P4483">
        <v>-0.16505259999999999</v>
      </c>
      <c r="Q4483">
        <v>2.031204E-2</v>
      </c>
      <c r="R4483">
        <v>-0.98607590000000001</v>
      </c>
      <c r="S4483">
        <v>-1.210251</v>
      </c>
      <c r="T4483">
        <v>-0.1063418</v>
      </c>
      <c r="U4483">
        <v>-2.8424680000000002</v>
      </c>
      <c r="V4483">
        <v>3.1558070000000001E-2</v>
      </c>
      <c r="W4483">
        <v>3.3867380000000002E-2</v>
      </c>
      <c r="X4483">
        <v>0.99892800000000004</v>
      </c>
      <c r="Y4483">
        <v>0.2647622</v>
      </c>
      <c r="Z4483">
        <v>3.4712720000000002E-2</v>
      </c>
      <c r="AA4483">
        <v>0.96368869999999895</v>
      </c>
      <c r="AB4483">
        <v>21</v>
      </c>
      <c r="AC4483">
        <v>-12.6145</v>
      </c>
      <c r="AD4483">
        <v>-1.1096998112199901</v>
      </c>
      <c r="AE4483">
        <v>-29.5565</v>
      </c>
      <c r="AF4483">
        <v>8.5324839114628901</v>
      </c>
      <c r="AG4483">
        <v>-1.1096998112199901</v>
      </c>
      <c r="AH4483">
        <v>30.942697872812801</v>
      </c>
      <c r="AI4483">
        <v>91.980081568602003</v>
      </c>
      <c r="AJ4483">
        <v>74.583745661603302</v>
      </c>
      <c r="AK4483">
        <v>32.116744340274799</v>
      </c>
      <c r="AL4483">
        <v>88.0591709791764</v>
      </c>
      <c r="AM4483">
        <v>88.190517193610404</v>
      </c>
      <c r="AN4483">
        <v>1.0000000301970899</v>
      </c>
    </row>
    <row r="4484" spans="1:40" x14ac:dyDescent="0.25">
      <c r="A4484" t="str">
        <f>"20190312160422811"</f>
        <v>20190312160422811</v>
      </c>
      <c r="B4484" t="str">
        <f>"1552377862798981"</f>
        <v>1552377862798981</v>
      </c>
      <c r="C4484" t="s">
        <v>40</v>
      </c>
      <c r="D4484">
        <v>5.2857450000000004</v>
      </c>
      <c r="E4484">
        <v>0.59044280000000005</v>
      </c>
      <c r="F4484" t="s">
        <v>60</v>
      </c>
      <c r="G4484">
        <v>-204.45089999999999</v>
      </c>
      <c r="H4484" s="1">
        <v>-8.0797509999999994E-6</v>
      </c>
      <c r="I4484">
        <v>140.69470000000001</v>
      </c>
      <c r="J4484">
        <v>-192.11879999999999</v>
      </c>
      <c r="K4484">
        <v>1.1096969999999999</v>
      </c>
      <c r="L4484">
        <v>169.51439999999999</v>
      </c>
      <c r="M4484">
        <v>-0.13437009999999999</v>
      </c>
      <c r="N4484">
        <v>0</v>
      </c>
      <c r="O4484">
        <v>-0.99083790000000005</v>
      </c>
      <c r="P4484">
        <v>-0.16575999999999999</v>
      </c>
      <c r="Q4484">
        <v>2.0586960000000001E-2</v>
      </c>
      <c r="R4484">
        <v>-0.98595169999999999</v>
      </c>
      <c r="S4484">
        <v>-1.2130430000000001</v>
      </c>
      <c r="T4484">
        <v>-0.1090289</v>
      </c>
      <c r="U4484">
        <v>-2.8415680000000001</v>
      </c>
      <c r="V4484">
        <v>3.1809759999999999E-2</v>
      </c>
      <c r="W4484">
        <v>3.4140450000000003E-2</v>
      </c>
      <c r="X4484">
        <v>0.99891070000000004</v>
      </c>
      <c r="Y4484">
        <v>0.26521139999999999</v>
      </c>
      <c r="Z4484">
        <v>3.5586850000000003E-2</v>
      </c>
      <c r="AA4484">
        <v>0.96353330000000004</v>
      </c>
      <c r="AB4484">
        <v>21</v>
      </c>
      <c r="AC4484">
        <v>-12.332099999999899</v>
      </c>
      <c r="AD4484">
        <v>-1.109705079751</v>
      </c>
      <c r="AE4484">
        <v>-28.819699999999902</v>
      </c>
      <c r="AF4484">
        <v>8.3369302997352097</v>
      </c>
      <c r="AG4484">
        <v>-1.109705079751</v>
      </c>
      <c r="AH4484">
        <v>30.177692471371099</v>
      </c>
      <c r="AI4484">
        <v>92.029979406148399</v>
      </c>
      <c r="AJ4484">
        <v>74.556581149969603</v>
      </c>
      <c r="AK4484">
        <v>31.327766838434499</v>
      </c>
      <c r="AL4484">
        <v>88.043516126156106</v>
      </c>
      <c r="AM4484">
        <v>88.176063885309304</v>
      </c>
      <c r="AN4484">
        <v>1.00000000886597</v>
      </c>
    </row>
    <row r="4485" spans="1:40" x14ac:dyDescent="0.25">
      <c r="A4485" t="str">
        <f>"20190312160422823"</f>
        <v>20190312160422823</v>
      </c>
      <c r="B4485" t="str">
        <f>"1552377862819476"</f>
        <v>1552377862819476</v>
      </c>
      <c r="C4485" t="s">
        <v>40</v>
      </c>
      <c r="D4485">
        <v>5.4471439999999998</v>
      </c>
      <c r="E4485">
        <v>0.59007559999999903</v>
      </c>
      <c r="F4485" t="s">
        <v>60</v>
      </c>
      <c r="G4485">
        <v>-205.54</v>
      </c>
      <c r="H4485" s="1">
        <v>-6.824852E-6</v>
      </c>
      <c r="I4485">
        <v>137.98689999999999</v>
      </c>
      <c r="J4485">
        <v>-192.13470000000001</v>
      </c>
      <c r="K4485">
        <v>1.109701</v>
      </c>
      <c r="L4485">
        <v>169.4016</v>
      </c>
      <c r="M4485">
        <v>-0.13488249999999999</v>
      </c>
      <c r="N4485">
        <v>0</v>
      </c>
      <c r="O4485">
        <v>-0.99076830000000005</v>
      </c>
      <c r="P4485">
        <v>-0.1664513</v>
      </c>
      <c r="Q4485">
        <v>2.1045580000000001E-2</v>
      </c>
      <c r="R4485">
        <v>-0.98582539999999996</v>
      </c>
      <c r="S4485">
        <v>-1.2096100000000001</v>
      </c>
      <c r="T4485">
        <v>-0.1000142</v>
      </c>
      <c r="U4485">
        <v>-2.8414760000000001</v>
      </c>
      <c r="V4485">
        <v>3.199569E-2</v>
      </c>
      <c r="W4485">
        <v>3.4597940000000001E-2</v>
      </c>
      <c r="X4485">
        <v>0.99888900000000003</v>
      </c>
      <c r="Y4485">
        <v>0.26377790000000001</v>
      </c>
      <c r="Z4485">
        <v>3.265941E-2</v>
      </c>
      <c r="AA4485">
        <v>0.96403039999999995</v>
      </c>
      <c r="AB4485">
        <v>21</v>
      </c>
      <c r="AC4485">
        <v>-13.405299999999899</v>
      </c>
      <c r="AD4485">
        <v>-1.109707824852</v>
      </c>
      <c r="AE4485">
        <v>-31.4147</v>
      </c>
      <c r="AF4485">
        <v>9.0355512593660396</v>
      </c>
      <c r="AG4485">
        <v>-1.109707824852</v>
      </c>
      <c r="AH4485">
        <v>32.901143581909203</v>
      </c>
      <c r="AI4485">
        <v>91.862851080978203</v>
      </c>
      <c r="AJ4485">
        <v>74.643604983308194</v>
      </c>
      <c r="AK4485">
        <v>34.137338604738602</v>
      </c>
      <c r="AL4485">
        <v>88.017288343327806</v>
      </c>
      <c r="AM4485">
        <v>88.165370303321396</v>
      </c>
      <c r="AN4485">
        <v>0.99999998797590905</v>
      </c>
    </row>
    <row r="4486" spans="1:40" x14ac:dyDescent="0.25">
      <c r="A4486" t="str">
        <f>"20190312160422837"</f>
        <v>20190312160422837</v>
      </c>
      <c r="B4486" t="str">
        <f>"1552377862829237"</f>
        <v>1552377862829237</v>
      </c>
      <c r="C4486" t="s">
        <v>40</v>
      </c>
      <c r="D4486">
        <v>5.5415409999999996</v>
      </c>
      <c r="E4486">
        <v>0.59007559999999903</v>
      </c>
      <c r="F4486" t="s">
        <v>43</v>
      </c>
      <c r="G4486">
        <v>-214.69139999999999</v>
      </c>
      <c r="H4486">
        <v>-0.05</v>
      </c>
      <c r="I4486">
        <v>116.389</v>
      </c>
      <c r="J4486">
        <v>-192.15190000000001</v>
      </c>
      <c r="K4486">
        <v>1.109704</v>
      </c>
      <c r="L4486">
        <v>169.27969999999999</v>
      </c>
      <c r="M4486">
        <v>-0.13543559999999999</v>
      </c>
      <c r="N4486">
        <v>0</v>
      </c>
      <c r="O4486">
        <v>-0.99069289999999999</v>
      </c>
      <c r="P4486">
        <v>-0.16726189999999999</v>
      </c>
      <c r="Q4486">
        <v>2.1436609999999998E-2</v>
      </c>
      <c r="R4486">
        <v>-0.98567979999999999</v>
      </c>
      <c r="S4486">
        <v>-1.208588</v>
      </c>
      <c r="T4486">
        <v>-6.2136650000000002E-2</v>
      </c>
      <c r="U4486">
        <v>-2.840408</v>
      </c>
      <c r="V4486">
        <v>3.2261140000000001E-2</v>
      </c>
      <c r="W4486">
        <v>3.498681E-2</v>
      </c>
      <c r="X4486">
        <v>0.9988669</v>
      </c>
      <c r="Y4486">
        <v>0.26320480000000002</v>
      </c>
      <c r="Z4486">
        <v>2.0305219999999999E-2</v>
      </c>
      <c r="AA4486">
        <v>0.96452629999999995</v>
      </c>
      <c r="AB4486">
        <v>21</v>
      </c>
      <c r="AC4486">
        <v>-22.539499999999901</v>
      </c>
      <c r="AD4486">
        <v>-1.1597040000000001</v>
      </c>
      <c r="AE4486">
        <v>-52.890700000000002</v>
      </c>
      <c r="AF4486">
        <v>15.161671389025701</v>
      </c>
      <c r="AG4486">
        <v>-1.1597040000000001</v>
      </c>
      <c r="AH4486">
        <v>55.433660725667103</v>
      </c>
      <c r="AI4486">
        <v>91.156037384753304</v>
      </c>
      <c r="AJ4486">
        <v>74.703136989353297</v>
      </c>
      <c r="AK4486">
        <v>57.4814051161311</v>
      </c>
      <c r="AL4486">
        <v>87.994994201332901</v>
      </c>
      <c r="AM4486">
        <v>88.150119058755607</v>
      </c>
      <c r="AN4486">
        <v>0.99999997097184201</v>
      </c>
    </row>
    <row r="4487" spans="1:40" x14ac:dyDescent="0.25">
      <c r="A4487" t="str">
        <f>"20190312160422849"</f>
        <v>20190312160422849</v>
      </c>
      <c r="B4487" t="str">
        <f>"1552377862838997"</f>
        <v>1552377862838997</v>
      </c>
      <c r="C4487" t="s">
        <v>40</v>
      </c>
      <c r="D4487">
        <v>6.1791489999999998</v>
      </c>
      <c r="E4487">
        <v>0.5912809</v>
      </c>
      <c r="F4487" t="s">
        <v>43</v>
      </c>
      <c r="G4487">
        <v>-215.20679999999999</v>
      </c>
      <c r="H4487">
        <v>-0.05</v>
      </c>
      <c r="I4487">
        <v>115.22880000000001</v>
      </c>
      <c r="J4487">
        <v>-192.1696</v>
      </c>
      <c r="K4487">
        <v>1.109707</v>
      </c>
      <c r="L4487">
        <v>169.155</v>
      </c>
      <c r="M4487">
        <v>-0.1360017</v>
      </c>
      <c r="N4487">
        <v>0</v>
      </c>
      <c r="O4487">
        <v>-0.99061540000000003</v>
      </c>
      <c r="P4487">
        <v>-0.16790539999999901</v>
      </c>
      <c r="Q4487">
        <v>2.1755480000000001E-2</v>
      </c>
      <c r="R4487">
        <v>-0.98556330000000003</v>
      </c>
      <c r="S4487">
        <v>-1.2111209999999999</v>
      </c>
      <c r="T4487">
        <v>-6.0921549999999998E-2</v>
      </c>
      <c r="U4487">
        <v>-2.8394010000000001</v>
      </c>
      <c r="V4487">
        <v>3.2343770000000001E-2</v>
      </c>
      <c r="W4487">
        <v>3.5304189999999999E-2</v>
      </c>
      <c r="X4487">
        <v>0.99885310000000005</v>
      </c>
      <c r="Y4487">
        <v>0.26350800000000002</v>
      </c>
      <c r="Z4487">
        <v>1.9908269999999999E-2</v>
      </c>
      <c r="AA4487">
        <v>0.96445170000000002</v>
      </c>
      <c r="AB4487">
        <v>21</v>
      </c>
      <c r="AC4487">
        <v>-23.037199999999899</v>
      </c>
      <c r="AD4487">
        <v>-1.159707</v>
      </c>
      <c r="AE4487">
        <v>-53.926200000000001</v>
      </c>
      <c r="AF4487">
        <v>15.482325124817701</v>
      </c>
      <c r="AG4487">
        <v>-1.159707</v>
      </c>
      <c r="AH4487">
        <v>56.536333234132798</v>
      </c>
      <c r="AI4487">
        <v>91.133401878951005</v>
      </c>
      <c r="AJ4487">
        <v>74.685165445262896</v>
      </c>
      <c r="AK4487">
        <v>58.629380750246</v>
      </c>
      <c r="AL4487">
        <v>87.976798504657594</v>
      </c>
      <c r="AM4487">
        <v>88.145358684433504</v>
      </c>
      <c r="AN4487">
        <v>1.0000000103344799</v>
      </c>
    </row>
    <row r="4488" spans="1:40" x14ac:dyDescent="0.25">
      <c r="A4488" t="str">
        <f>"20190312160422864"</f>
        <v>20190312160422864</v>
      </c>
      <c r="B4488" t="str">
        <f>"1552377862859493"</f>
        <v>1552377862859493</v>
      </c>
      <c r="C4488" t="s">
        <v>40</v>
      </c>
      <c r="D4488">
        <v>5.9270060000000004</v>
      </c>
      <c r="E4488">
        <v>0.59192349999999905</v>
      </c>
      <c r="F4488" t="s">
        <v>92</v>
      </c>
      <c r="G4488">
        <v>-213.38679999999999</v>
      </c>
      <c r="H4488">
        <v>0.22794420000000001</v>
      </c>
      <c r="I4488">
        <v>119.91719999999999</v>
      </c>
      <c r="J4488">
        <v>-192.1885</v>
      </c>
      <c r="K4488">
        <v>1.1097090000000001</v>
      </c>
      <c r="L4488">
        <v>169.02250000000001</v>
      </c>
      <c r="M4488">
        <v>-0.13660310000000001</v>
      </c>
      <c r="N4488">
        <v>0</v>
      </c>
      <c r="O4488">
        <v>-0.99053250000000004</v>
      </c>
      <c r="P4488">
        <v>-0.1684717</v>
      </c>
      <c r="Q4488">
        <v>2.2401440000000002E-2</v>
      </c>
      <c r="R4488">
        <v>-0.98545210000000005</v>
      </c>
      <c r="S4488">
        <v>-1.2224269999999999</v>
      </c>
      <c r="T4488">
        <v>-5.0800919999999999E-2</v>
      </c>
      <c r="U4488">
        <v>-2.8368229999999999</v>
      </c>
      <c r="V4488">
        <v>3.2314160000000001E-2</v>
      </c>
      <c r="W4488">
        <v>3.5948939999999999E-2</v>
      </c>
      <c r="X4488">
        <v>0.99883100000000002</v>
      </c>
      <c r="Y4488">
        <v>0.26650829999999998</v>
      </c>
      <c r="Z4488">
        <v>1.6594290000000001E-2</v>
      </c>
      <c r="AA4488">
        <v>0.96368969999999998</v>
      </c>
      <c r="AB4488">
        <v>21</v>
      </c>
      <c r="AC4488">
        <v>-21.1982999999999</v>
      </c>
      <c r="AD4488">
        <v>-0.88176480000000002</v>
      </c>
      <c r="AE4488">
        <v>-49.1053</v>
      </c>
      <c r="AF4488">
        <v>14.287107484123901</v>
      </c>
      <c r="AG4488">
        <v>-0.88176480000000002</v>
      </c>
      <c r="AH4488">
        <v>51.526911280611301</v>
      </c>
      <c r="AI4488">
        <v>90.944752416281403</v>
      </c>
      <c r="AJ4488">
        <v>74.502653361800597</v>
      </c>
      <c r="AK4488">
        <v>53.478234222395699</v>
      </c>
      <c r="AL4488">
        <v>87.939833457569307</v>
      </c>
      <c r="AM4488">
        <v>88.147014413625499</v>
      </c>
      <c r="AN4488">
        <v>0.99999994889231303</v>
      </c>
    </row>
    <row r="4489" spans="1:40" x14ac:dyDescent="0.25">
      <c r="A4489" t="str">
        <f>"20190312160422880"</f>
        <v>20190312160422880</v>
      </c>
      <c r="B4489" t="str">
        <f>"1552377862869252"</f>
        <v>1552377862869252</v>
      </c>
      <c r="C4489" t="s">
        <v>40</v>
      </c>
      <c r="D4489">
        <v>5.6990980000000002</v>
      </c>
      <c r="E4489">
        <v>0.59134489999999995</v>
      </c>
      <c r="F4489" t="s">
        <v>92</v>
      </c>
      <c r="G4489">
        <v>-213.7979</v>
      </c>
      <c r="H4489">
        <v>0.49506319999999998</v>
      </c>
      <c r="I4489">
        <v>119.16240000000001</v>
      </c>
      <c r="J4489">
        <v>-192.2107</v>
      </c>
      <c r="K4489">
        <v>1.1097129999999999</v>
      </c>
      <c r="L4489">
        <v>168.8674</v>
      </c>
      <c r="M4489">
        <v>-0.13730699999999901</v>
      </c>
      <c r="N4489">
        <v>0</v>
      </c>
      <c r="O4489">
        <v>-0.99043519999999896</v>
      </c>
      <c r="P4489">
        <v>-0.16857649999999999</v>
      </c>
      <c r="Q4489">
        <v>2.2774039999999999E-2</v>
      </c>
      <c r="R4489">
        <v>-0.98542580000000002</v>
      </c>
      <c r="S4489">
        <v>-1.228699</v>
      </c>
      <c r="T4489">
        <v>-3.4946680000000001E-2</v>
      </c>
      <c r="U4489">
        <v>-2.8350070000000001</v>
      </c>
      <c r="V4489">
        <v>3.1711879999999998E-2</v>
      </c>
      <c r="W4489">
        <v>3.6320640000000001E-2</v>
      </c>
      <c r="X4489">
        <v>0.99883690000000003</v>
      </c>
      <c r="Y4489">
        <v>0.26787250000000001</v>
      </c>
      <c r="Z4489">
        <v>1.141431E-2</v>
      </c>
      <c r="AA4489">
        <v>0.96338679999999999</v>
      </c>
      <c r="AB4489">
        <v>21</v>
      </c>
      <c r="AC4489">
        <v>-21.587199999999999</v>
      </c>
      <c r="AD4489">
        <v>-0.61464979999999902</v>
      </c>
      <c r="AE4489">
        <v>-49.704999999999998</v>
      </c>
      <c r="AF4489">
        <v>14.5553516555852</v>
      </c>
      <c r="AG4489">
        <v>-0.61464979999999902</v>
      </c>
      <c r="AH4489">
        <v>52.191766822500703</v>
      </c>
      <c r="AI4489">
        <v>90.649928598389593</v>
      </c>
      <c r="AJ4489">
        <v>74.417163033977204</v>
      </c>
      <c r="AK4489">
        <v>54.186867230433997</v>
      </c>
      <c r="AL4489">
        <v>87.918522788425506</v>
      </c>
      <c r="AM4489">
        <v>88.181538183169195</v>
      </c>
      <c r="AN4489">
        <v>0.99999999251237603</v>
      </c>
    </row>
    <row r="4490" spans="1:40" x14ac:dyDescent="0.25">
      <c r="A4490" t="str">
        <f>"20190312160422901"</f>
        <v>20190312160422901</v>
      </c>
      <c r="B4490" t="str">
        <f>"1552377862889749"</f>
        <v>1552377862889749</v>
      </c>
      <c r="C4490" t="s">
        <v>40</v>
      </c>
      <c r="D4490">
        <v>5.4402229999999996</v>
      </c>
      <c r="E4490">
        <v>0.59092840000000002</v>
      </c>
      <c r="F4490" t="s">
        <v>92</v>
      </c>
      <c r="G4490">
        <v>-213.6858</v>
      </c>
      <c r="H4490">
        <v>0.52908489999999997</v>
      </c>
      <c r="I4490">
        <v>119.1384</v>
      </c>
      <c r="J4490">
        <v>-192.23939999999999</v>
      </c>
      <c r="K4490">
        <v>1.1097170000000001</v>
      </c>
      <c r="L4490">
        <v>168.6688</v>
      </c>
      <c r="M4490">
        <v>-0.13821159999999999</v>
      </c>
      <c r="N4490">
        <v>0</v>
      </c>
      <c r="O4490">
        <v>-0.99030949999999995</v>
      </c>
      <c r="P4490">
        <v>-0.16844300000000001</v>
      </c>
      <c r="Q4490">
        <v>2.355637E-2</v>
      </c>
      <c r="R4490">
        <v>-0.98543040000000004</v>
      </c>
      <c r="S4490">
        <v>-1.224548</v>
      </c>
      <c r="T4490">
        <v>-3.3106799999999999E-2</v>
      </c>
      <c r="U4490">
        <v>-2.8356319999999999</v>
      </c>
      <c r="V4490">
        <v>3.0667340000000001E-2</v>
      </c>
      <c r="W4490">
        <v>3.7102599999999999E-2</v>
      </c>
      <c r="X4490">
        <v>0.99884079999999997</v>
      </c>
      <c r="Y4490">
        <v>0.2657291</v>
      </c>
      <c r="Z4490">
        <v>1.0815490000000001E-2</v>
      </c>
      <c r="AA4490">
        <v>0.96398709999999999</v>
      </c>
      <c r="AB4490">
        <v>21</v>
      </c>
      <c r="AC4490">
        <v>-21.446400000000001</v>
      </c>
      <c r="AD4490">
        <v>-0.58063209999999998</v>
      </c>
      <c r="AE4490">
        <v>-49.5304</v>
      </c>
      <c r="AF4490">
        <v>14.3925612290742</v>
      </c>
      <c r="AG4490">
        <v>-0.58063209999999998</v>
      </c>
      <c r="AH4490">
        <v>52.013350479885901</v>
      </c>
      <c r="AI4490">
        <v>90.616412423342894</v>
      </c>
      <c r="AJ4490">
        <v>74.532755539286299</v>
      </c>
      <c r="AK4490">
        <v>53.971025379472401</v>
      </c>
      <c r="AL4490">
        <v>87.873689607575201</v>
      </c>
      <c r="AM4490">
        <v>88.2414040973363</v>
      </c>
      <c r="AN4490">
        <v>1.0000000162070299</v>
      </c>
    </row>
    <row r="4491" spans="1:40" x14ac:dyDescent="0.25">
      <c r="A4491" t="str">
        <f>"20190312160422914"</f>
        <v>20190312160422914</v>
      </c>
      <c r="B4491" t="str">
        <f>"1552377862909269"</f>
        <v>1552377862909269</v>
      </c>
      <c r="C4491" t="s">
        <v>40</v>
      </c>
      <c r="D4491">
        <v>5.7061729999999997</v>
      </c>
      <c r="E4491">
        <v>0.59030340000000003</v>
      </c>
      <c r="F4491" t="s">
        <v>92</v>
      </c>
      <c r="G4491">
        <v>-213.68</v>
      </c>
      <c r="H4491">
        <v>0.91548039999999997</v>
      </c>
      <c r="I4491">
        <v>118.8659</v>
      </c>
      <c r="J4491">
        <v>-192.2552</v>
      </c>
      <c r="K4491">
        <v>1.109715</v>
      </c>
      <c r="L4491">
        <v>168.55930000000001</v>
      </c>
      <c r="M4491">
        <v>-0.13871410000000001</v>
      </c>
      <c r="N4491">
        <v>0</v>
      </c>
      <c r="O4491">
        <v>-0.99023930000000004</v>
      </c>
      <c r="P4491">
        <v>-0.1684098</v>
      </c>
      <c r="Q4491">
        <v>2.395711E-2</v>
      </c>
      <c r="R4491">
        <v>-0.98542609999999997</v>
      </c>
      <c r="S4491">
        <v>-1.220901</v>
      </c>
      <c r="T4491">
        <v>-1.1058810000000001E-2</v>
      </c>
      <c r="U4491">
        <v>-2.8359380000000001</v>
      </c>
      <c r="V4491">
        <v>3.0128599999999998E-2</v>
      </c>
      <c r="W4491">
        <v>3.7502859999999999E-2</v>
      </c>
      <c r="X4491">
        <v>0.99884220000000001</v>
      </c>
      <c r="Y4491">
        <v>0.26417689999999999</v>
      </c>
      <c r="Z4491">
        <v>3.6138720000000002E-3</v>
      </c>
      <c r="AA4491">
        <v>0.96446750000000003</v>
      </c>
      <c r="AB4491">
        <v>21</v>
      </c>
      <c r="AC4491">
        <v>-21.424800000000001</v>
      </c>
      <c r="AD4491">
        <v>-0.19423460000000001</v>
      </c>
      <c r="AE4491">
        <v>-49.693399999999997</v>
      </c>
      <c r="AF4491">
        <v>14.323640795948201</v>
      </c>
      <c r="AG4491">
        <v>-0.19423460000000001</v>
      </c>
      <c r="AH4491">
        <v>52.184422199034202</v>
      </c>
      <c r="AI4491">
        <v>90.205652314665798</v>
      </c>
      <c r="AJ4491">
        <v>74.651389630999702</v>
      </c>
      <c r="AK4491">
        <v>54.114862403763397</v>
      </c>
      <c r="AL4491">
        <v>87.850740324712504</v>
      </c>
      <c r="AM4491">
        <v>88.272281272495306</v>
      </c>
      <c r="AN4491">
        <v>0.99999996877348896</v>
      </c>
    </row>
    <row r="4492" spans="1:40" x14ac:dyDescent="0.25">
      <c r="A4492" t="str">
        <f>"20190312160422924"</f>
        <v>20190312160422924</v>
      </c>
      <c r="B4492" t="str">
        <f>"1552377862919028"</f>
        <v>1552377862919028</v>
      </c>
      <c r="C4492" t="s">
        <v>40</v>
      </c>
      <c r="D4492">
        <v>5.7274900000000004</v>
      </c>
      <c r="E4492">
        <v>0.59003070000000002</v>
      </c>
      <c r="F4492" t="s">
        <v>93</v>
      </c>
      <c r="G4492">
        <v>-216.03819999999999</v>
      </c>
      <c r="H4492">
        <v>1.0405519999999999</v>
      </c>
      <c r="I4492">
        <v>113.0643</v>
      </c>
      <c r="J4492">
        <v>-192.27160000000001</v>
      </c>
      <c r="K4492">
        <v>1.109712</v>
      </c>
      <c r="L4492">
        <v>168.44649999999999</v>
      </c>
      <c r="M4492">
        <v>-0.1392342</v>
      </c>
      <c r="N4492">
        <v>0</v>
      </c>
      <c r="O4492">
        <v>-0.99016630000000005</v>
      </c>
      <c r="P4492">
        <v>-0.1682536</v>
      </c>
      <c r="Q4492">
        <v>2.463576E-2</v>
      </c>
      <c r="R4492">
        <v>-0.98543630000000004</v>
      </c>
      <c r="S4492">
        <v>-1.2156979999999999</v>
      </c>
      <c r="T4492">
        <v>-3.5339590000000001E-3</v>
      </c>
      <c r="U4492">
        <v>-2.8367</v>
      </c>
      <c r="V4492">
        <v>2.944888E-2</v>
      </c>
      <c r="W4492">
        <v>3.8181390000000003E-2</v>
      </c>
      <c r="X4492">
        <v>0.99883679999999997</v>
      </c>
      <c r="Y4492">
        <v>0.2620844</v>
      </c>
      <c r="Z4492">
        <v>1.1551840000000001E-3</v>
      </c>
      <c r="AA4492">
        <v>0.96504429999999997</v>
      </c>
      <c r="AB4492">
        <v>21</v>
      </c>
      <c r="AC4492">
        <v>-23.766599999999901</v>
      </c>
      <c r="AD4492">
        <v>-6.9159999999999805E-2</v>
      </c>
      <c r="AE4492">
        <v>-55.382199999999898</v>
      </c>
      <c r="AF4492">
        <v>15.823229282581</v>
      </c>
      <c r="AG4492">
        <v>-6.9159999999999805E-2</v>
      </c>
      <c r="AH4492">
        <v>58.152000836416299</v>
      </c>
      <c r="AI4492">
        <v>90.065751054997193</v>
      </c>
      <c r="AJ4492">
        <v>74.778274459149202</v>
      </c>
      <c r="AK4492">
        <v>60.266363498333703</v>
      </c>
      <c r="AL4492">
        <v>87.811835628400999</v>
      </c>
      <c r="AM4492">
        <v>88.311227728321796</v>
      </c>
      <c r="AN4492">
        <v>1.00000000405491</v>
      </c>
    </row>
    <row r="4493" spans="1:40" x14ac:dyDescent="0.25">
      <c r="A4493" t="str">
        <f>"20190312160422936"</f>
        <v>20190312160422936</v>
      </c>
      <c r="B4493" t="str">
        <f>"1552377862929764"</f>
        <v>1552377862929764</v>
      </c>
      <c r="C4493" t="s">
        <v>40</v>
      </c>
      <c r="D4493">
        <v>5.626595</v>
      </c>
      <c r="E4493">
        <v>0.58950630000000004</v>
      </c>
      <c r="F4493" t="s">
        <v>93</v>
      </c>
      <c r="G4493">
        <v>-215.9563</v>
      </c>
      <c r="H4493">
        <v>1.0552820000000001</v>
      </c>
      <c r="I4493">
        <v>113.0643</v>
      </c>
      <c r="J4493">
        <v>-192.2878</v>
      </c>
      <c r="K4493">
        <v>1.1097079999999999</v>
      </c>
      <c r="L4493">
        <v>168.33609999999999</v>
      </c>
      <c r="M4493">
        <v>-0.13975170000000001</v>
      </c>
      <c r="N4493">
        <v>0</v>
      </c>
      <c r="O4493">
        <v>-0.99009320000000001</v>
      </c>
      <c r="P4493">
        <v>-0.16827449999999999</v>
      </c>
      <c r="Q4493">
        <v>2.505286E-2</v>
      </c>
      <c r="R4493">
        <v>-0.98542169999999896</v>
      </c>
      <c r="S4493">
        <v>-1.213379</v>
      </c>
      <c r="T4493">
        <v>-2.7871129999999999E-3</v>
      </c>
      <c r="U4493">
        <v>-2.83725</v>
      </c>
      <c r="V4493">
        <v>2.895037E-2</v>
      </c>
      <c r="W4493">
        <v>3.859783E-2</v>
      </c>
      <c r="X4493">
        <v>0.99883540000000004</v>
      </c>
      <c r="Y4493">
        <v>0.26084550000000001</v>
      </c>
      <c r="Z4493">
        <v>9.1108919999999998E-4</v>
      </c>
      <c r="AA4493">
        <v>0.96538009999999996</v>
      </c>
      <c r="AB4493">
        <v>21</v>
      </c>
      <c r="AC4493">
        <v>-23.668499999999899</v>
      </c>
      <c r="AD4493">
        <v>-5.4425999999999801E-2</v>
      </c>
      <c r="AE4493">
        <v>-55.271799999999899</v>
      </c>
      <c r="AF4493">
        <v>15.7111327200952</v>
      </c>
      <c r="AG4493">
        <v>-5.4425999999999801E-2</v>
      </c>
      <c r="AH4493">
        <v>58.037265198920899</v>
      </c>
      <c r="AI4493">
        <v>90.051863872235998</v>
      </c>
      <c r="AJ4493">
        <v>74.852640214341093</v>
      </c>
      <c r="AK4493">
        <v>60.126257203552903</v>
      </c>
      <c r="AL4493">
        <v>87.787957843746398</v>
      </c>
      <c r="AM4493">
        <v>88.339796766466904</v>
      </c>
      <c r="AN4493">
        <v>1.0000000363485</v>
      </c>
    </row>
    <row r="4494" spans="1:40" x14ac:dyDescent="0.25">
      <c r="A4494" t="str">
        <f>"20190312160422948"</f>
        <v>20190312160422948</v>
      </c>
      <c r="B4494" t="str">
        <f>"1552377862939524"</f>
        <v>1552377862939524</v>
      </c>
      <c r="C4494" t="s">
        <v>40</v>
      </c>
      <c r="D4494">
        <v>5.7791410000000001</v>
      </c>
      <c r="E4494">
        <v>0.58924319999999997</v>
      </c>
      <c r="F4494" t="s">
        <v>93</v>
      </c>
      <c r="G4494">
        <v>-215.83850000000001</v>
      </c>
      <c r="H4494">
        <v>1.059277</v>
      </c>
      <c r="I4494">
        <v>113.0643</v>
      </c>
      <c r="J4494">
        <v>-192.30359999999999</v>
      </c>
      <c r="K4494">
        <v>1.109704</v>
      </c>
      <c r="L4494">
        <v>168.2277</v>
      </c>
      <c r="M4494">
        <v>-0.1402639</v>
      </c>
      <c r="N4494">
        <v>0</v>
      </c>
      <c r="O4494">
        <v>-0.99002100000000004</v>
      </c>
      <c r="P4494">
        <v>-0.16820669999999999</v>
      </c>
      <c r="Q4494">
        <v>2.5522590000000001E-2</v>
      </c>
      <c r="R4494">
        <v>-0.98542160000000001</v>
      </c>
      <c r="S4494">
        <v>-1.2092290000000001</v>
      </c>
      <c r="T4494">
        <v>-2.5880339999999999E-3</v>
      </c>
      <c r="U4494">
        <v>-2.8379669999999999</v>
      </c>
      <c r="V4494">
        <v>2.8367549999999998E-2</v>
      </c>
      <c r="W4494">
        <v>3.9066690000000001E-2</v>
      </c>
      <c r="X4494">
        <v>0.99883379999999999</v>
      </c>
      <c r="Y4494">
        <v>0.25906309999999999</v>
      </c>
      <c r="Z4494">
        <v>8.4616309999999996E-4</v>
      </c>
      <c r="AA4494">
        <v>0.96586000000000005</v>
      </c>
      <c r="AB4494">
        <v>21</v>
      </c>
      <c r="AC4494">
        <v>-23.5349</v>
      </c>
      <c r="AD4494">
        <v>-5.0427E-2</v>
      </c>
      <c r="AE4494">
        <v>-55.163400000000003</v>
      </c>
      <c r="AF4494">
        <v>15.5640361304369</v>
      </c>
      <c r="AG4494">
        <v>-5.0427E-2</v>
      </c>
      <c r="AH4494">
        <v>57.919322433374397</v>
      </c>
      <c r="AI4494">
        <v>90.048175059188495</v>
      </c>
      <c r="AJ4494">
        <v>74.958843127655598</v>
      </c>
      <c r="AK4494">
        <v>59.974075021571302</v>
      </c>
      <c r="AL4494">
        <v>87.761073656734496</v>
      </c>
      <c r="AM4494">
        <v>88.373198721816095</v>
      </c>
      <c r="AN4494">
        <v>0.99999994209149701</v>
      </c>
    </row>
    <row r="4495" spans="1:40" x14ac:dyDescent="0.25">
      <c r="A4495" t="str">
        <f>"20190312160422959"</f>
        <v>20190312160422959</v>
      </c>
      <c r="B4495" t="str">
        <f>"1552377862949285"</f>
        <v>1552377862949285</v>
      </c>
      <c r="C4495" t="s">
        <v>40</v>
      </c>
      <c r="D4495">
        <v>5.6037369999999997</v>
      </c>
      <c r="E4495">
        <v>0.58889419999999904</v>
      </c>
      <c r="F4495" t="s">
        <v>93</v>
      </c>
      <c r="G4495">
        <v>-215.76220000000001</v>
      </c>
      <c r="H4495">
        <v>1.0306679999999999</v>
      </c>
      <c r="I4495">
        <v>113.0643</v>
      </c>
      <c r="J4495">
        <v>-192.31890000000001</v>
      </c>
      <c r="K4495">
        <v>1.109696</v>
      </c>
      <c r="L4495">
        <v>168.12370000000001</v>
      </c>
      <c r="M4495">
        <v>-0.14077149999999999</v>
      </c>
      <c r="N4495">
        <v>0</v>
      </c>
      <c r="O4495">
        <v>-0.98994890000000002</v>
      </c>
      <c r="P4495">
        <v>-0.1683761</v>
      </c>
      <c r="Q4495">
        <v>2.557978E-2</v>
      </c>
      <c r="R4495">
        <v>-0.98539100000000002</v>
      </c>
      <c r="S4495">
        <v>-1.2070620000000001</v>
      </c>
      <c r="T4495">
        <v>-4.065394E-3</v>
      </c>
      <c r="U4495">
        <v>-2.838425</v>
      </c>
      <c r="V4495">
        <v>2.8028399999999998E-2</v>
      </c>
      <c r="W4495">
        <v>3.9122909999999997E-2</v>
      </c>
      <c r="X4495">
        <v>0.99884119999999998</v>
      </c>
      <c r="Y4495">
        <v>0.25788719999999998</v>
      </c>
      <c r="Z4495">
        <v>1.329251E-3</v>
      </c>
      <c r="AA4495">
        <v>0.96617410000000004</v>
      </c>
      <c r="AB4495">
        <v>21</v>
      </c>
      <c r="AC4495">
        <v>-23.443299999999901</v>
      </c>
      <c r="AD4495">
        <v>-7.9027999999999807E-2</v>
      </c>
      <c r="AE4495">
        <v>-55.059399999999997</v>
      </c>
      <c r="AF4495">
        <v>15.458274320524</v>
      </c>
      <c r="AG4495">
        <v>-7.9027999999999807E-2</v>
      </c>
      <c r="AH4495">
        <v>57.811375242806101</v>
      </c>
      <c r="AI4495">
        <v>90.075664878175601</v>
      </c>
      <c r="AJ4495">
        <v>75.029813424839801</v>
      </c>
      <c r="AK4495">
        <v>59.842456482483101</v>
      </c>
      <c r="AL4495">
        <v>87.757850081619694</v>
      </c>
      <c r="AM4495">
        <v>88.392649682571701</v>
      </c>
      <c r="AN4495">
        <v>0.99999996805543301</v>
      </c>
    </row>
    <row r="4496" spans="1:40" x14ac:dyDescent="0.25">
      <c r="A4496" t="str">
        <f>"20190312160422970"</f>
        <v>20190312160422970</v>
      </c>
      <c r="B4496" t="str">
        <f>"1552377862959045"</f>
        <v>1552377862959045</v>
      </c>
      <c r="C4496" t="s">
        <v>40</v>
      </c>
      <c r="D4496">
        <v>5.45282</v>
      </c>
      <c r="E4496">
        <v>0.58890439999999999</v>
      </c>
      <c r="F4496" t="s">
        <v>92</v>
      </c>
      <c r="G4496">
        <v>-213.25710000000001</v>
      </c>
      <c r="H4496">
        <v>1.017962</v>
      </c>
      <c r="I4496">
        <v>118.7936</v>
      </c>
      <c r="J4496">
        <v>-192.33330000000001</v>
      </c>
      <c r="K4496">
        <v>1.1096820000000001</v>
      </c>
      <c r="L4496">
        <v>168.02629999999999</v>
      </c>
      <c r="M4496">
        <v>-0.14125179999999901</v>
      </c>
      <c r="N4496">
        <v>0</v>
      </c>
      <c r="O4496">
        <v>-0.98988069999999895</v>
      </c>
      <c r="P4496">
        <v>-0.16859060000000001</v>
      </c>
      <c r="Q4496">
        <v>2.589899E-2</v>
      </c>
      <c r="R4496">
        <v>-0.98534630000000001</v>
      </c>
      <c r="S4496">
        <v>-1.204895</v>
      </c>
      <c r="T4496">
        <v>-5.277276E-3</v>
      </c>
      <c r="U4496">
        <v>-2.8387150000000001</v>
      </c>
      <c r="V4496">
        <v>2.776379E-2</v>
      </c>
      <c r="W4496">
        <v>3.9440719999999999E-2</v>
      </c>
      <c r="X4496">
        <v>0.9988361</v>
      </c>
      <c r="Y4496">
        <v>0.25675769999999998</v>
      </c>
      <c r="Z4496">
        <v>1.7256680000000001E-3</v>
      </c>
      <c r="AA4496">
        <v>0.96647419999999995</v>
      </c>
      <c r="AB4496">
        <v>21</v>
      </c>
      <c r="AC4496">
        <v>-20.9238</v>
      </c>
      <c r="AD4496">
        <v>-9.1719999999999996E-2</v>
      </c>
      <c r="AE4496">
        <v>-49.232700000000001</v>
      </c>
      <c r="AF4496">
        <v>13.7590846322861</v>
      </c>
      <c r="AG4496">
        <v>-9.1719999999999996E-2</v>
      </c>
      <c r="AH4496">
        <v>51.694631450170696</v>
      </c>
      <c r="AI4496">
        <v>90.098237702668698</v>
      </c>
      <c r="AJ4496">
        <v>75.095645826861499</v>
      </c>
      <c r="AK4496">
        <v>53.494445910260502</v>
      </c>
      <c r="AL4496">
        <v>87.739626863263894</v>
      </c>
      <c r="AM4496">
        <v>88.4078083521959</v>
      </c>
      <c r="AN4496">
        <v>0.99999997654624595</v>
      </c>
    </row>
    <row r="4497" spans="1:40" x14ac:dyDescent="0.25">
      <c r="A4497" t="str">
        <f>"20190312160422981"</f>
        <v>20190312160422981</v>
      </c>
      <c r="B4497" t="str">
        <f>"1552377862969781"</f>
        <v>1552377862969781</v>
      </c>
      <c r="C4497" t="s">
        <v>40</v>
      </c>
      <c r="D4497">
        <v>5.075761</v>
      </c>
      <c r="E4497">
        <v>0.58890439999999999</v>
      </c>
      <c r="F4497" t="s">
        <v>93</v>
      </c>
      <c r="G4497">
        <v>-215.6789</v>
      </c>
      <c r="H4497">
        <v>1.1185080000000001</v>
      </c>
      <c r="I4497">
        <v>113.0643</v>
      </c>
      <c r="J4497">
        <v>-192.34899999999999</v>
      </c>
      <c r="K4497">
        <v>1.109666</v>
      </c>
      <c r="L4497">
        <v>167.92089999999999</v>
      </c>
      <c r="M4497">
        <v>-0.14178789999999999</v>
      </c>
      <c r="N4497">
        <v>0</v>
      </c>
      <c r="O4497">
        <v>-0.98980389999999996</v>
      </c>
      <c r="P4497">
        <v>-0.16868939999999999</v>
      </c>
      <c r="Q4497">
        <v>2.5840479999999999E-2</v>
      </c>
      <c r="R4497">
        <v>-0.98533079999999995</v>
      </c>
      <c r="S4497">
        <v>-1.205597</v>
      </c>
      <c r="T4497">
        <v>4.5716760000000001E-4</v>
      </c>
      <c r="U4497">
        <v>-2.8383029999999998</v>
      </c>
      <c r="V4497">
        <v>2.73241E-2</v>
      </c>
      <c r="W4497">
        <v>3.9381159999999998E-2</v>
      </c>
      <c r="X4497">
        <v>0.99885060000000003</v>
      </c>
      <c r="Y4497">
        <v>0.25648779999999999</v>
      </c>
      <c r="Z4497">
        <v>-1.49495E-4</v>
      </c>
      <c r="AA4497">
        <v>0.96654739999999995</v>
      </c>
      <c r="AB4497">
        <v>21</v>
      </c>
      <c r="AC4497">
        <v>-23.329899999999899</v>
      </c>
      <c r="AD4497">
        <v>8.8420000000000096E-3</v>
      </c>
      <c r="AE4497">
        <v>-54.856599999999901</v>
      </c>
      <c r="AF4497">
        <v>15.3154359399364</v>
      </c>
      <c r="AG4497">
        <v>8.8420000000000096E-3</v>
      </c>
      <c r="AH4497">
        <v>57.6104857051021</v>
      </c>
      <c r="AI4497">
        <v>89.991501483782699</v>
      </c>
      <c r="AJ4497">
        <v>75.112566277679406</v>
      </c>
      <c r="AK4497">
        <v>59.6114982145981</v>
      </c>
      <c r="AL4497">
        <v>87.743042109992103</v>
      </c>
      <c r="AM4497">
        <v>88.433033659816701</v>
      </c>
      <c r="AN4497">
        <v>1.0000000016620501</v>
      </c>
    </row>
    <row r="4498" spans="1:40" x14ac:dyDescent="0.25">
      <c r="A4498" t="str">
        <f>"20190312160422995"</f>
        <v>20190312160422995</v>
      </c>
      <c r="B4498" t="str">
        <f>"1552377862989302"</f>
        <v>1552377862989302</v>
      </c>
      <c r="C4498" t="s">
        <v>40</v>
      </c>
      <c r="D4498">
        <v>5.4510500000000004</v>
      </c>
      <c r="E4498">
        <v>0.60536469999999998</v>
      </c>
      <c r="F4498" t="s">
        <v>93</v>
      </c>
      <c r="G4498">
        <v>-215.65780000000001</v>
      </c>
      <c r="H4498">
        <v>1.126288</v>
      </c>
      <c r="I4498">
        <v>113.0643</v>
      </c>
      <c r="J4498">
        <v>-192.36750000000001</v>
      </c>
      <c r="K4498">
        <v>1.1096429999999999</v>
      </c>
      <c r="L4498">
        <v>167.79679999999999</v>
      </c>
      <c r="M4498">
        <v>-0.1424368</v>
      </c>
      <c r="N4498">
        <v>0</v>
      </c>
      <c r="O4498">
        <v>-0.9897106</v>
      </c>
      <c r="P4498">
        <v>-0.16900009999999999</v>
      </c>
      <c r="Q4498">
        <v>2.5944459999999999E-2</v>
      </c>
      <c r="R4498">
        <v>-0.98527480000000001</v>
      </c>
      <c r="S4498">
        <v>-1.205948</v>
      </c>
      <c r="T4498">
        <v>8.6140629999999999E-4</v>
      </c>
      <c r="U4498">
        <v>-2.8381500000000002</v>
      </c>
      <c r="V4498">
        <v>2.6986670000000001E-2</v>
      </c>
      <c r="W4498">
        <v>3.9483600000000001E-2</v>
      </c>
      <c r="X4498">
        <v>0.99885570000000001</v>
      </c>
      <c r="Y4498">
        <v>0.25597389999999998</v>
      </c>
      <c r="Z4498">
        <v>-2.8166930000000001E-4</v>
      </c>
      <c r="AA4498">
        <v>0.96668359999999998</v>
      </c>
      <c r="AB4498">
        <v>21</v>
      </c>
      <c r="AC4498">
        <v>-23.290299999999998</v>
      </c>
      <c r="AD4498">
        <v>1.6645E-2</v>
      </c>
      <c r="AE4498">
        <v>-54.732499999999902</v>
      </c>
      <c r="AF4498">
        <v>15.2561423015649</v>
      </c>
      <c r="AG4498">
        <v>1.6645E-2</v>
      </c>
      <c r="AH4498">
        <v>57.492035955447001</v>
      </c>
      <c r="AI4498">
        <v>89.983966721141101</v>
      </c>
      <c r="AJ4498">
        <v>75.1384498259672</v>
      </c>
      <c r="AK4498">
        <v>59.481798504114103</v>
      </c>
      <c r="AL4498">
        <v>87.7371680951847</v>
      </c>
      <c r="AM4498">
        <v>88.452382824502493</v>
      </c>
      <c r="AN4498">
        <v>0.99999997222456904</v>
      </c>
    </row>
    <row r="4499" spans="1:40" x14ac:dyDescent="0.25">
      <c r="A4499" t="str">
        <f>"20190312160423006"</f>
        <v>20190312160423006</v>
      </c>
      <c r="B4499" t="str">
        <f>"1552377862999060"</f>
        <v>1552377862999060</v>
      </c>
      <c r="C4499" t="s">
        <v>40</v>
      </c>
      <c r="D4499">
        <v>5.857494</v>
      </c>
      <c r="E4499">
        <v>0.60536469999999998</v>
      </c>
      <c r="F4499" t="s">
        <v>62</v>
      </c>
      <c r="G4499">
        <v>-225.876</v>
      </c>
      <c r="H4499">
        <v>8.4335970000000007</v>
      </c>
      <c r="I4499">
        <v>97.150030000000001</v>
      </c>
      <c r="J4499">
        <v>-192.38470000000001</v>
      </c>
      <c r="K4499">
        <v>1.1096189999999999</v>
      </c>
      <c r="L4499">
        <v>167.6816</v>
      </c>
      <c r="M4499">
        <v>-0.14305379999999901</v>
      </c>
      <c r="N4499">
        <v>0</v>
      </c>
      <c r="O4499">
        <v>-0.9896218</v>
      </c>
      <c r="P4499">
        <v>-0.16934360000000001</v>
      </c>
      <c r="Q4499">
        <v>2.5955590000000001E-2</v>
      </c>
      <c r="R4499">
        <v>-0.98521550000000002</v>
      </c>
      <c r="S4499">
        <v>-1.332184</v>
      </c>
      <c r="T4499">
        <v>0.29117569999999998</v>
      </c>
      <c r="U4499">
        <v>-2.8086700000000002</v>
      </c>
      <c r="V4499">
        <v>2.6714419999999999E-2</v>
      </c>
      <c r="W4499">
        <v>3.9493130000000001E-2</v>
      </c>
      <c r="X4499">
        <v>0.99886269999999999</v>
      </c>
      <c r="Y4499">
        <v>0.29296070000000002</v>
      </c>
      <c r="Z4499">
        <v>-9.4307890000000005E-2</v>
      </c>
      <c r="AA4499">
        <v>0.95146209999999998</v>
      </c>
      <c r="AB4499">
        <v>21</v>
      </c>
      <c r="AC4499">
        <v>-33.491299999999903</v>
      </c>
      <c r="AD4499">
        <v>7.3239780000000003</v>
      </c>
      <c r="AE4499">
        <v>-70.531570000000002</v>
      </c>
      <c r="AF4499">
        <v>22.8549404904354</v>
      </c>
      <c r="AG4499">
        <v>7.3239780000000003</v>
      </c>
      <c r="AH4499">
        <v>73.946868883399205</v>
      </c>
      <c r="AI4499">
        <v>84.594357676691104</v>
      </c>
      <c r="AJ4499">
        <v>72.825061393595206</v>
      </c>
      <c r="AK4499">
        <v>77.743992541060507</v>
      </c>
      <c r="AL4499">
        <v>87.736621772145398</v>
      </c>
      <c r="AM4499">
        <v>88.467998925171898</v>
      </c>
      <c r="AN4499">
        <v>1.0000000305022101</v>
      </c>
    </row>
    <row r="4500" spans="1:40" x14ac:dyDescent="0.25">
      <c r="A4500" t="str">
        <f>"20190312160423018"</f>
        <v>20190312160423018</v>
      </c>
      <c r="B4500" t="str">
        <f>"1552377863009797"</f>
        <v>1552377863009797</v>
      </c>
      <c r="C4500" t="s">
        <v>40</v>
      </c>
      <c r="D4500">
        <v>5.0166230000000001</v>
      </c>
      <c r="E4500">
        <v>0.63916099999999998</v>
      </c>
      <c r="F4500" t="s">
        <v>62</v>
      </c>
      <c r="G4500">
        <v>-225.86420000000001</v>
      </c>
      <c r="H4500">
        <v>8.4500879999999992</v>
      </c>
      <c r="I4500">
        <v>97.150019999999998</v>
      </c>
      <c r="J4500">
        <v>-192.40090000000001</v>
      </c>
      <c r="K4500">
        <v>1.1095930000000001</v>
      </c>
      <c r="L4500">
        <v>167.57470000000001</v>
      </c>
      <c r="M4500">
        <v>-0.1436607</v>
      </c>
      <c r="N4500">
        <v>0</v>
      </c>
      <c r="O4500">
        <v>-0.98953380000000002</v>
      </c>
      <c r="P4500">
        <v>-0.16974979999999901</v>
      </c>
      <c r="Q4500">
        <v>2.5984779999999999E-2</v>
      </c>
      <c r="R4500">
        <v>-0.98514489999999999</v>
      </c>
      <c r="S4500">
        <v>-1.3329770000000001</v>
      </c>
      <c r="T4500">
        <v>0.29225990000000002</v>
      </c>
      <c r="U4500">
        <v>-2.8081969999999998</v>
      </c>
      <c r="V4500">
        <v>2.65162E-2</v>
      </c>
      <c r="W4500">
        <v>3.952029E-2</v>
      </c>
      <c r="X4500">
        <v>0.9988669</v>
      </c>
      <c r="Y4500">
        <v>0.2926417</v>
      </c>
      <c r="Z4500">
        <v>-9.465672E-2</v>
      </c>
      <c r="AA4500">
        <v>0.95152559999999997</v>
      </c>
      <c r="AB4500">
        <v>21</v>
      </c>
      <c r="AC4500">
        <v>-33.463299999999997</v>
      </c>
      <c r="AD4500">
        <v>7.3404949999999998</v>
      </c>
      <c r="AE4500">
        <v>-70.424679999999995</v>
      </c>
      <c r="AF4500">
        <v>22.795885507722598</v>
      </c>
      <c r="AG4500">
        <v>7.3404949999999998</v>
      </c>
      <c r="AH4500">
        <v>73.847314372644703</v>
      </c>
      <c r="AI4500">
        <v>84.5743966829979</v>
      </c>
      <c r="AJ4500">
        <v>72.845095729584997</v>
      </c>
      <c r="AK4500">
        <v>77.6335050282959</v>
      </c>
      <c r="AL4500">
        <v>87.735064386103403</v>
      </c>
      <c r="AM4500">
        <v>88.479367349775998</v>
      </c>
      <c r="AN4500">
        <v>1.00000002304986</v>
      </c>
    </row>
    <row r="4501" spans="1:40" x14ac:dyDescent="0.25">
      <c r="A4501" t="str">
        <f>"20190312160423029"</f>
        <v>20190312160423029</v>
      </c>
      <c r="B4501" t="str">
        <f>"1552377863019556"</f>
        <v>1552377863019556</v>
      </c>
      <c r="C4501" t="s">
        <v>40</v>
      </c>
      <c r="D4501">
        <v>5.4495459999999998</v>
      </c>
      <c r="E4501">
        <v>0.6411232</v>
      </c>
      <c r="F4501" t="s">
        <v>60</v>
      </c>
      <c r="G4501">
        <v>-199.96950000000001</v>
      </c>
      <c r="H4501">
        <v>6.1605880000000002E-2</v>
      </c>
      <c r="I4501">
        <v>154.51560000000001</v>
      </c>
      <c r="J4501">
        <v>-192.4162</v>
      </c>
      <c r="K4501">
        <v>1.109567</v>
      </c>
      <c r="L4501">
        <v>167.47380000000001</v>
      </c>
      <c r="M4501">
        <v>-0.1442417</v>
      </c>
      <c r="N4501">
        <v>0</v>
      </c>
      <c r="O4501">
        <v>-0.98944920000000003</v>
      </c>
      <c r="P4501">
        <v>-0.1703654</v>
      </c>
      <c r="Q4501">
        <v>2.6292380000000001E-2</v>
      </c>
      <c r="R4501">
        <v>-0.98503010000000002</v>
      </c>
      <c r="S4501">
        <v>-1.6077729999999999</v>
      </c>
      <c r="T4501">
        <v>-0.2226206</v>
      </c>
      <c r="U4501">
        <v>-2.7740939999999998</v>
      </c>
      <c r="V4501">
        <v>2.6558169999999999E-2</v>
      </c>
      <c r="W4501">
        <v>3.9825220000000001E-2</v>
      </c>
      <c r="X4501">
        <v>0.99885360000000001</v>
      </c>
      <c r="Y4501">
        <v>0.37013689999999999</v>
      </c>
      <c r="Z4501">
        <v>7.0462269999999994E-2</v>
      </c>
      <c r="AA4501">
        <v>0.92630109999999999</v>
      </c>
      <c r="AB4501">
        <v>21</v>
      </c>
      <c r="AC4501">
        <v>-7.5533000000000001</v>
      </c>
      <c r="AD4501">
        <v>-1.0479611200000001</v>
      </c>
      <c r="AE4501">
        <v>-12.9582</v>
      </c>
      <c r="AF4501">
        <v>5.5777821952827598</v>
      </c>
      <c r="AG4501">
        <v>-1.0479611200000001</v>
      </c>
      <c r="AH4501">
        <v>13.8446801485691</v>
      </c>
      <c r="AI4501">
        <v>94.016159551085195</v>
      </c>
      <c r="AJ4501">
        <v>68.056346977507403</v>
      </c>
      <c r="AK4501">
        <v>14.9627886820348</v>
      </c>
      <c r="AL4501">
        <v>87.717579250720107</v>
      </c>
      <c r="AM4501">
        <v>88.476941345959105</v>
      </c>
      <c r="AN4501">
        <v>0.99999994938737702</v>
      </c>
    </row>
    <row r="4502" spans="1:40" x14ac:dyDescent="0.25">
      <c r="A4502" t="str">
        <f>"20190312160423041"</f>
        <v>20190312160423041</v>
      </c>
      <c r="B4502" t="str">
        <f>"1552377863029318"</f>
        <v>1552377863029318</v>
      </c>
      <c r="C4502" t="s">
        <v>40</v>
      </c>
      <c r="D4502">
        <v>4.344112</v>
      </c>
      <c r="E4502">
        <v>0.63811809999999902</v>
      </c>
      <c r="F4502" t="s">
        <v>41</v>
      </c>
      <c r="G4502">
        <v>-196.8443</v>
      </c>
      <c r="H4502" s="1">
        <v>-1.9801159999999999E-6</v>
      </c>
      <c r="I4502">
        <v>159.928</v>
      </c>
      <c r="J4502">
        <v>-192.43369999999999</v>
      </c>
      <c r="K4502">
        <v>1.1095349999999999</v>
      </c>
      <c r="L4502">
        <v>167.3588</v>
      </c>
      <c r="M4502">
        <v>-0.1449452</v>
      </c>
      <c r="N4502">
        <v>0</v>
      </c>
      <c r="O4502">
        <v>-0.98934650000000002</v>
      </c>
      <c r="P4502">
        <v>-0.17131649999999901</v>
      </c>
      <c r="Q4502">
        <v>2.6671569999999999E-2</v>
      </c>
      <c r="R4502">
        <v>-0.98485529999999999</v>
      </c>
      <c r="S4502">
        <v>-1.6283719999999999</v>
      </c>
      <c r="T4502">
        <v>-0.40802529999999998</v>
      </c>
      <c r="U4502">
        <v>-2.7748409999999999</v>
      </c>
      <c r="V4502">
        <v>2.6817850000000001E-2</v>
      </c>
      <c r="W4502">
        <v>4.0201149999999998E-2</v>
      </c>
      <c r="X4502">
        <v>0.99883160000000004</v>
      </c>
      <c r="Y4502">
        <v>0.37158659999999999</v>
      </c>
      <c r="Z4502">
        <v>0.1280258</v>
      </c>
      <c r="AA4502">
        <v>0.91952860000000003</v>
      </c>
      <c r="AB4502">
        <v>21</v>
      </c>
      <c r="AC4502">
        <v>-4.4106000000000103</v>
      </c>
      <c r="AD4502">
        <v>-1.109536980116</v>
      </c>
      <c r="AE4502">
        <v>-7.4307999999999996</v>
      </c>
      <c r="AF4502">
        <v>3.2335451191947602</v>
      </c>
      <c r="AG4502">
        <v>-1.109536980116</v>
      </c>
      <c r="AH4502">
        <v>7.8620480934965498</v>
      </c>
      <c r="AI4502">
        <v>97.436087909311595</v>
      </c>
      <c r="AJ4502">
        <v>67.643352872368894</v>
      </c>
      <c r="AK4502">
        <v>8.5731374987553899</v>
      </c>
      <c r="AL4502">
        <v>87.696022778952795</v>
      </c>
      <c r="AM4502">
        <v>88.462022469783804</v>
      </c>
      <c r="AN4502">
        <v>0.99999994734925102</v>
      </c>
    </row>
    <row r="4503" spans="1:40" x14ac:dyDescent="0.25">
      <c r="A4503" t="str">
        <f>"20190312160423055"</f>
        <v>20190312160423055</v>
      </c>
      <c r="B4503" t="str">
        <f>"1552377863049813"</f>
        <v>1552377863049813</v>
      </c>
      <c r="C4503" t="s">
        <v>40</v>
      </c>
      <c r="D4503">
        <v>5.6384639999999999</v>
      </c>
      <c r="E4503">
        <v>0.63403089999999995</v>
      </c>
      <c r="F4503" t="s">
        <v>41</v>
      </c>
      <c r="G4503">
        <v>-196.11709999999999</v>
      </c>
      <c r="H4503" s="1">
        <v>-2.2913180000000001E-6</v>
      </c>
      <c r="I4503">
        <v>160.9957</v>
      </c>
      <c r="J4503">
        <v>-192.453</v>
      </c>
      <c r="K4503">
        <v>1.1094949999999999</v>
      </c>
      <c r="L4503">
        <v>167.2336</v>
      </c>
      <c r="M4503">
        <v>-0.1457416</v>
      </c>
      <c r="N4503">
        <v>0</v>
      </c>
      <c r="O4503">
        <v>-0.98922940000000004</v>
      </c>
      <c r="P4503">
        <v>-0.17233229999999999</v>
      </c>
      <c r="Q4503">
        <v>2.6542079999999999E-2</v>
      </c>
      <c r="R4503">
        <v>-0.98468120000000003</v>
      </c>
      <c r="S4503">
        <v>-1.6088709999999999</v>
      </c>
      <c r="T4503">
        <v>-0.4846413</v>
      </c>
      <c r="U4503">
        <v>-2.779388</v>
      </c>
      <c r="V4503">
        <v>2.7047109999999999E-2</v>
      </c>
      <c r="W4503">
        <v>4.006821E-2</v>
      </c>
      <c r="X4503">
        <v>0.99883080000000002</v>
      </c>
      <c r="Y4503">
        <v>0.36367310000000003</v>
      </c>
      <c r="Z4503">
        <v>0.15176799999999999</v>
      </c>
      <c r="AA4503">
        <v>0.91908020000000001</v>
      </c>
      <c r="AB4503">
        <v>21</v>
      </c>
      <c r="AC4503">
        <v>-3.6640999999999901</v>
      </c>
      <c r="AD4503">
        <v>-1.1094972913179999</v>
      </c>
      <c r="AE4503">
        <v>-6.23789999999999</v>
      </c>
      <c r="AF4503">
        <v>2.6533567348003002</v>
      </c>
      <c r="AG4503">
        <v>-1.1094972913179999</v>
      </c>
      <c r="AH4503">
        <v>6.5512569930364304</v>
      </c>
      <c r="AI4503">
        <v>98.920955768031504</v>
      </c>
      <c r="AJ4503">
        <v>67.951318838434602</v>
      </c>
      <c r="AK4503">
        <v>7.1547365004143204</v>
      </c>
      <c r="AL4503">
        <v>87.703645914170494</v>
      </c>
      <c r="AM4503">
        <v>88.448879786635601</v>
      </c>
      <c r="AN4503">
        <v>0.99999998732029804</v>
      </c>
    </row>
    <row r="4504" spans="1:40" x14ac:dyDescent="0.25">
      <c r="A4504" t="str">
        <f>"20190312160423071"</f>
        <v>20190312160423071</v>
      </c>
      <c r="B4504" t="str">
        <f>"1552377863059573"</f>
        <v>1552377863059573</v>
      </c>
      <c r="C4504" t="s">
        <v>40</v>
      </c>
      <c r="D4504">
        <v>5.264481</v>
      </c>
      <c r="E4504">
        <v>0.63216700000000003</v>
      </c>
      <c r="F4504" t="s">
        <v>41</v>
      </c>
      <c r="G4504">
        <v>-196.74</v>
      </c>
      <c r="H4504" s="1">
        <v>-1.8345120000000001E-6</v>
      </c>
      <c r="I4504">
        <v>159.67869999999999</v>
      </c>
      <c r="J4504">
        <v>-192.47569999999999</v>
      </c>
      <c r="K4504">
        <v>1.1094550000000001</v>
      </c>
      <c r="L4504">
        <v>167.08680000000001</v>
      </c>
      <c r="M4504">
        <v>-0.1467156</v>
      </c>
      <c r="N4504">
        <v>0</v>
      </c>
      <c r="O4504">
        <v>-0.9890854</v>
      </c>
      <c r="P4504">
        <v>-0.1743297</v>
      </c>
      <c r="Q4504">
        <v>2.6704080000000002E-2</v>
      </c>
      <c r="R4504">
        <v>-0.98432529999999996</v>
      </c>
      <c r="S4504">
        <v>-1.5783389999999999</v>
      </c>
      <c r="T4504">
        <v>-0.40848099999999998</v>
      </c>
      <c r="U4504">
        <v>-2.7814480000000001</v>
      </c>
      <c r="V4504">
        <v>2.8095809999999999E-2</v>
      </c>
      <c r="W4504">
        <v>4.0224019999999999E-2</v>
      </c>
      <c r="X4504">
        <v>0.99879560000000001</v>
      </c>
      <c r="Y4504">
        <v>0.35645729999999998</v>
      </c>
      <c r="Z4504">
        <v>0.1287807</v>
      </c>
      <c r="AA4504">
        <v>0.92539380000000004</v>
      </c>
      <c r="AB4504">
        <v>21</v>
      </c>
      <c r="AC4504">
        <v>-4.26430000000002</v>
      </c>
      <c r="AD4504">
        <v>-1.1094568345119999</v>
      </c>
      <c r="AE4504">
        <v>-7.4081000000000099</v>
      </c>
      <c r="AF4504">
        <v>3.0792860915903701</v>
      </c>
      <c r="AG4504">
        <v>-1.1094568345119999</v>
      </c>
      <c r="AH4504">
        <v>7.8218443809773799</v>
      </c>
      <c r="AI4504">
        <v>97.518537723232896</v>
      </c>
      <c r="AJ4504">
        <v>68.5115440530993</v>
      </c>
      <c r="AK4504">
        <v>8.4790416216536393</v>
      </c>
      <c r="AL4504">
        <v>87.694711481533901</v>
      </c>
      <c r="AM4504">
        <v>88.388712421749204</v>
      </c>
      <c r="AN4504">
        <v>0.99999999845193799</v>
      </c>
    </row>
    <row r="4505" spans="1:40" x14ac:dyDescent="0.25">
      <c r="A4505" t="str">
        <f>"20190312160423091"</f>
        <v>20190312160423091</v>
      </c>
      <c r="B4505" t="str">
        <f>"1552377863089829"</f>
        <v>1552377863089829</v>
      </c>
      <c r="C4505" t="s">
        <v>40</v>
      </c>
      <c r="D4505">
        <v>5.3582330000000002</v>
      </c>
      <c r="E4505">
        <v>0.62358919999999995</v>
      </c>
      <c r="F4505" t="s">
        <v>60</v>
      </c>
      <c r="G4505">
        <v>-197.22120000000001</v>
      </c>
      <c r="H4505" s="1">
        <v>-1.47408299999999E-5</v>
      </c>
      <c r="I4505">
        <v>158.67570000000001</v>
      </c>
      <c r="J4505">
        <v>-192.50620000000001</v>
      </c>
      <c r="K4505">
        <v>1.109399</v>
      </c>
      <c r="L4505">
        <v>166.8922</v>
      </c>
      <c r="M4505">
        <v>-0.148093899999999</v>
      </c>
      <c r="N4505">
        <v>0</v>
      </c>
      <c r="O4505">
        <v>-0.98887990000000003</v>
      </c>
      <c r="P4505">
        <v>-0.177057299999999</v>
      </c>
      <c r="Q4505">
        <v>2.7506820000000001E-2</v>
      </c>
      <c r="R4505">
        <v>-0.98381629999999998</v>
      </c>
      <c r="S4505">
        <v>-1.5684199999999999</v>
      </c>
      <c r="T4505">
        <v>-0.36668830000000002</v>
      </c>
      <c r="U4505">
        <v>-2.779938</v>
      </c>
      <c r="V4505">
        <v>2.9483800000000001E-2</v>
      </c>
      <c r="W4505">
        <v>4.1018249999999999E-2</v>
      </c>
      <c r="X4505">
        <v>0.99872329999999998</v>
      </c>
      <c r="Y4505">
        <v>0.35364570000000001</v>
      </c>
      <c r="Z4505">
        <v>0.115982</v>
      </c>
      <c r="AA4505">
        <v>0.92816100000000001</v>
      </c>
      <c r="AB4505">
        <v>21</v>
      </c>
      <c r="AC4505">
        <v>-4.7149999999999999</v>
      </c>
      <c r="AD4505">
        <v>-1.10941374083</v>
      </c>
      <c r="AE4505">
        <v>-8.2164999999999893</v>
      </c>
      <c r="AF4505">
        <v>3.3994505939500699</v>
      </c>
      <c r="AG4505">
        <v>-1.10941374083</v>
      </c>
      <c r="AH4505">
        <v>8.7048242621543697</v>
      </c>
      <c r="AI4505">
        <v>96.770269633182295</v>
      </c>
      <c r="AJ4505">
        <v>68.668117077635401</v>
      </c>
      <c r="AK4505">
        <v>9.41068693688411</v>
      </c>
      <c r="AL4505">
        <v>87.649167891195901</v>
      </c>
      <c r="AM4505">
        <v>88.309034334882696</v>
      </c>
      <c r="AN4505">
        <v>1.00000001062919</v>
      </c>
    </row>
    <row r="4506" spans="1:40" x14ac:dyDescent="0.25">
      <c r="A4506" t="str">
        <f>"20190312160423104"</f>
        <v>20190312160423104</v>
      </c>
      <c r="B4506" t="str">
        <f>"1552377863099588"</f>
        <v>1552377863099588</v>
      </c>
      <c r="C4506" t="s">
        <v>40</v>
      </c>
      <c r="D4506">
        <v>5.3217489999999996</v>
      </c>
      <c r="E4506">
        <v>0.62168009999999996</v>
      </c>
      <c r="F4506" t="s">
        <v>60</v>
      </c>
      <c r="G4506">
        <v>-202.3631</v>
      </c>
      <c r="H4506" s="1">
        <v>-1.11146E-5</v>
      </c>
      <c r="I4506">
        <v>148.6748</v>
      </c>
      <c r="J4506">
        <v>-192.5249</v>
      </c>
      <c r="K4506">
        <v>1.1093649999999999</v>
      </c>
      <c r="L4506">
        <v>166.77369999999999</v>
      </c>
      <c r="M4506">
        <v>-0.148974</v>
      </c>
      <c r="N4506">
        <v>0</v>
      </c>
      <c r="O4506">
        <v>-0.98874779999999995</v>
      </c>
      <c r="P4506">
        <v>-0.17859069999999999</v>
      </c>
      <c r="Q4506">
        <v>2.7773099999999998E-2</v>
      </c>
      <c r="R4506">
        <v>-0.9835315</v>
      </c>
      <c r="S4506">
        <v>-1.5058590000000001</v>
      </c>
      <c r="T4506">
        <v>-0.16948629999999901</v>
      </c>
      <c r="U4506">
        <v>-2.783096</v>
      </c>
      <c r="V4506">
        <v>3.0157360000000001E-2</v>
      </c>
      <c r="W4506">
        <v>4.1280280000000003E-2</v>
      </c>
      <c r="X4506">
        <v>0.99869240000000004</v>
      </c>
      <c r="Y4506">
        <v>0.33882879999999999</v>
      </c>
      <c r="Z4506">
        <v>5.4280399999999999E-2</v>
      </c>
      <c r="AA4506">
        <v>0.93928089999999997</v>
      </c>
      <c r="AB4506">
        <v>21</v>
      </c>
      <c r="AC4506">
        <v>-9.8382000000000005</v>
      </c>
      <c r="AD4506">
        <v>-1.1093761146000001</v>
      </c>
      <c r="AE4506">
        <v>-18.098899999999901</v>
      </c>
      <c r="AF4506">
        <v>7.0115472736453697</v>
      </c>
      <c r="AG4506">
        <v>-1.1093761146000001</v>
      </c>
      <c r="AH4506">
        <v>19.3066776305816</v>
      </c>
      <c r="AI4506">
        <v>93.091505288935593</v>
      </c>
      <c r="AJ4506">
        <v>70.0406512925979</v>
      </c>
      <c r="AK4506">
        <v>20.570374611693602</v>
      </c>
      <c r="AL4506">
        <v>87.634141970846997</v>
      </c>
      <c r="AM4506">
        <v>88.270373796062501</v>
      </c>
      <c r="AN4506">
        <v>1.0000000188484</v>
      </c>
    </row>
    <row r="4507" spans="1:40" x14ac:dyDescent="0.25">
      <c r="A4507" t="str">
        <f>"20190312160423116"</f>
        <v>20190312160423116</v>
      </c>
      <c r="B4507" t="str">
        <f>"1552377863109349"</f>
        <v>1552377863109349</v>
      </c>
      <c r="C4507" t="s">
        <v>40</v>
      </c>
      <c r="D4507">
        <v>5.002046</v>
      </c>
      <c r="E4507">
        <v>0.61878730000000004</v>
      </c>
      <c r="F4507" t="s">
        <v>60</v>
      </c>
      <c r="G4507">
        <v>-206.3109</v>
      </c>
      <c r="H4507" s="1">
        <v>-7.3967340000000004E-6</v>
      </c>
      <c r="I4507">
        <v>141.10339999999999</v>
      </c>
      <c r="J4507">
        <v>-192.54179999999999</v>
      </c>
      <c r="K4507">
        <v>1.1093360000000001</v>
      </c>
      <c r="L4507">
        <v>166.6678</v>
      </c>
      <c r="M4507">
        <v>-0.14979289999999901</v>
      </c>
      <c r="N4507">
        <v>0</v>
      </c>
      <c r="O4507">
        <v>-0.98862399999999995</v>
      </c>
      <c r="P4507">
        <v>-0.1796682</v>
      </c>
      <c r="Q4507">
        <v>2.8012539999999999E-2</v>
      </c>
      <c r="R4507">
        <v>-0.9833286</v>
      </c>
      <c r="S4507">
        <v>-1.4942169999999999</v>
      </c>
      <c r="T4507">
        <v>-0.120241</v>
      </c>
      <c r="U4507">
        <v>-2.7823180000000001</v>
      </c>
      <c r="V4507">
        <v>3.0429069999999999E-2</v>
      </c>
      <c r="W4507">
        <v>4.1516589999999999E-2</v>
      </c>
      <c r="X4507">
        <v>0.99867430000000001</v>
      </c>
      <c r="Y4507">
        <v>0.33545740000000002</v>
      </c>
      <c r="Z4507">
        <v>3.8601450000000002E-2</v>
      </c>
      <c r="AA4507">
        <v>0.9412642</v>
      </c>
      <c r="AB4507">
        <v>21</v>
      </c>
      <c r="AC4507">
        <v>-13.7691</v>
      </c>
      <c r="AD4507">
        <v>-1.1093433967340001</v>
      </c>
      <c r="AE4507">
        <v>-25.564399999999999</v>
      </c>
      <c r="AF4507">
        <v>9.7697404831792891</v>
      </c>
      <c r="AG4507">
        <v>-1.1093433967340001</v>
      </c>
      <c r="AH4507">
        <v>27.298771508144501</v>
      </c>
      <c r="AI4507">
        <v>92.191108486433393</v>
      </c>
      <c r="AJ4507">
        <v>70.308622807787899</v>
      </c>
      <c r="AK4507">
        <v>29.015537178112599</v>
      </c>
      <c r="AL4507">
        <v>87.620590639814296</v>
      </c>
      <c r="AM4507">
        <v>88.254768295537403</v>
      </c>
      <c r="AN4507">
        <v>0.99999995651339002</v>
      </c>
    </row>
    <row r="4508" spans="1:40" x14ac:dyDescent="0.25">
      <c r="A4508" t="str">
        <f>"20190312160423127"</f>
        <v>20190312160423127</v>
      </c>
      <c r="B4508" t="str">
        <f>"1552377863119109"</f>
        <v>1552377863119109</v>
      </c>
      <c r="C4508" t="s">
        <v>40</v>
      </c>
      <c r="D4508">
        <v>5.3410869999999999</v>
      </c>
      <c r="E4508">
        <v>0.61756800000000001</v>
      </c>
      <c r="F4508" t="s">
        <v>41</v>
      </c>
      <c r="G4508">
        <v>-210.8562</v>
      </c>
      <c r="H4508" s="1">
        <v>-5.6401649999999999E-6</v>
      </c>
      <c r="I4508">
        <v>132.07689999999999</v>
      </c>
      <c r="J4508">
        <v>-192.55940000000001</v>
      </c>
      <c r="K4508">
        <v>1.1093090000000001</v>
      </c>
      <c r="L4508">
        <v>166.55779999999999</v>
      </c>
      <c r="M4508">
        <v>-0.15065629999999999</v>
      </c>
      <c r="N4508">
        <v>0</v>
      </c>
      <c r="O4508">
        <v>-0.98849279999999995</v>
      </c>
      <c r="P4508">
        <v>-0.1811924</v>
      </c>
      <c r="Q4508">
        <v>2.8199490000000001E-2</v>
      </c>
      <c r="R4508">
        <v>-0.98304340000000001</v>
      </c>
      <c r="S4508">
        <v>-1.474045</v>
      </c>
      <c r="T4508">
        <v>-8.9285970000000006E-2</v>
      </c>
      <c r="U4508">
        <v>-2.7840729999999998</v>
      </c>
      <c r="V4508">
        <v>3.1109609999999999E-2</v>
      </c>
      <c r="W4508">
        <v>4.1699069999999998E-2</v>
      </c>
      <c r="X4508">
        <v>0.99864580000000003</v>
      </c>
      <c r="Y4508">
        <v>0.32922479999999998</v>
      </c>
      <c r="Z4508">
        <v>2.8731119999999999E-2</v>
      </c>
      <c r="AA4508">
        <v>0.94381429999999999</v>
      </c>
      <c r="AB4508">
        <v>21</v>
      </c>
      <c r="AC4508">
        <v>-18.296799999999902</v>
      </c>
      <c r="AD4508">
        <v>-1.109314640165</v>
      </c>
      <c r="AE4508">
        <v>-34.480899999999899</v>
      </c>
      <c r="AF4508">
        <v>12.8822766893087</v>
      </c>
      <c r="AG4508">
        <v>-1.109314640165</v>
      </c>
      <c r="AH4508">
        <v>36.814319533726803</v>
      </c>
      <c r="AI4508">
        <v>91.629147556428805</v>
      </c>
      <c r="AJ4508">
        <v>70.713746147441995</v>
      </c>
      <c r="AK4508">
        <v>39.018940969766597</v>
      </c>
      <c r="AL4508">
        <v>87.610126412241499</v>
      </c>
      <c r="AM4508">
        <v>88.215710607895801</v>
      </c>
      <c r="AN4508">
        <v>1.0000000270654199</v>
      </c>
    </row>
    <row r="4509" spans="1:40" x14ac:dyDescent="0.25">
      <c r="A4509" t="str">
        <f>"20190312160423139"</f>
        <v>20190312160423139</v>
      </c>
      <c r="B4509" t="str">
        <f>"1552377863129846"</f>
        <v>1552377863129846</v>
      </c>
      <c r="C4509" t="s">
        <v>40</v>
      </c>
      <c r="D4509">
        <v>5.5118510000000001</v>
      </c>
      <c r="E4509">
        <v>0.61677340000000003</v>
      </c>
      <c r="F4509" t="s">
        <v>41</v>
      </c>
      <c r="G4509">
        <v>-212.0523</v>
      </c>
      <c r="H4509">
        <v>4.4498709999999997E-2</v>
      </c>
      <c r="I4509">
        <v>129.6163</v>
      </c>
      <c r="J4509">
        <v>-192.5779</v>
      </c>
      <c r="K4509">
        <v>1.109281</v>
      </c>
      <c r="L4509">
        <v>166.4436</v>
      </c>
      <c r="M4509">
        <v>-0.1516014</v>
      </c>
      <c r="N4509">
        <v>0</v>
      </c>
      <c r="O4509">
        <v>-0.98834820000000001</v>
      </c>
      <c r="P4509">
        <v>-0.18271699999999999</v>
      </c>
      <c r="Q4509">
        <v>2.8396350000000001E-2</v>
      </c>
      <c r="R4509">
        <v>-0.98275539999999995</v>
      </c>
      <c r="S4509">
        <v>-1.4686889999999999</v>
      </c>
      <c r="T4509">
        <v>-8.0228090000000002E-2</v>
      </c>
      <c r="U4509">
        <v>-2.7833559999999999</v>
      </c>
      <c r="V4509">
        <v>3.1708529999999999E-2</v>
      </c>
      <c r="W4509">
        <v>4.1891539999999998E-2</v>
      </c>
      <c r="X4509">
        <v>0.99861889999999998</v>
      </c>
      <c r="Y4509">
        <v>0.32703919999999997</v>
      </c>
      <c r="Z4509">
        <v>2.5839870000000001E-2</v>
      </c>
      <c r="AA4509">
        <v>0.94465739999999998</v>
      </c>
      <c r="AB4509">
        <v>21</v>
      </c>
      <c r="AC4509">
        <v>-19.474399999999999</v>
      </c>
      <c r="AD4509">
        <v>-1.0647822899999999</v>
      </c>
      <c r="AE4509">
        <v>-36.827300000000001</v>
      </c>
      <c r="AF4509">
        <v>13.6567594361892</v>
      </c>
      <c r="AG4509">
        <v>-1.0647822899999999</v>
      </c>
      <c r="AH4509">
        <v>39.328487127575997</v>
      </c>
      <c r="AI4509">
        <v>91.465074840783501</v>
      </c>
      <c r="AJ4509">
        <v>70.850517281735804</v>
      </c>
      <c r="AK4509">
        <v>41.645776969183203</v>
      </c>
      <c r="AL4509">
        <v>87.599089031680407</v>
      </c>
      <c r="AM4509">
        <v>88.181333489557602</v>
      </c>
      <c r="AN4509">
        <v>1.0000000197177701</v>
      </c>
    </row>
    <row r="4510" spans="1:40" x14ac:dyDescent="0.25">
      <c r="A4510" t="str">
        <f>"20190312160423150"</f>
        <v>20190312160423150</v>
      </c>
      <c r="B4510" t="str">
        <f>"1552377863139605"</f>
        <v>1552377863139605</v>
      </c>
      <c r="C4510" t="s">
        <v>40</v>
      </c>
      <c r="D4510">
        <v>5.5921240000000001</v>
      </c>
      <c r="E4510">
        <v>0.6164558</v>
      </c>
      <c r="F4510" t="s">
        <v>41</v>
      </c>
      <c r="G4510">
        <v>-212.958</v>
      </c>
      <c r="H4510">
        <v>7.998574E-2</v>
      </c>
      <c r="I4510">
        <v>127.79049999999999</v>
      </c>
      <c r="J4510">
        <v>-192.59399999999999</v>
      </c>
      <c r="K4510">
        <v>1.109253</v>
      </c>
      <c r="L4510">
        <v>166.3449</v>
      </c>
      <c r="M4510">
        <v>-0.15243010000000001</v>
      </c>
      <c r="N4510">
        <v>0</v>
      </c>
      <c r="O4510">
        <v>-0.98822089999999996</v>
      </c>
      <c r="P4510">
        <v>-0.1840765</v>
      </c>
      <c r="Q4510">
        <v>2.8797960000000001E-2</v>
      </c>
      <c r="R4510">
        <v>-0.98248990000000003</v>
      </c>
      <c r="S4510">
        <v>-1.4668429999999999</v>
      </c>
      <c r="T4510">
        <v>-7.4083090000000004E-2</v>
      </c>
      <c r="U4510">
        <v>-2.7820429999999998</v>
      </c>
      <c r="V4510">
        <v>3.2258469999999997E-2</v>
      </c>
      <c r="W4510">
        <v>4.2289819999999999E-2</v>
      </c>
      <c r="X4510">
        <v>0.99858440000000004</v>
      </c>
      <c r="Y4510">
        <v>0.3259629</v>
      </c>
      <c r="Z4510">
        <v>2.387531E-2</v>
      </c>
      <c r="AA4510">
        <v>0.94508110000000001</v>
      </c>
      <c r="AB4510">
        <v>21</v>
      </c>
      <c r="AC4510">
        <v>-20.363999999999901</v>
      </c>
      <c r="AD4510">
        <v>-1.0292672599999999</v>
      </c>
      <c r="AE4510">
        <v>-38.554400000000001</v>
      </c>
      <c r="AF4510">
        <v>14.2406584903758</v>
      </c>
      <c r="AG4510">
        <v>-1.0292672599999999</v>
      </c>
      <c r="AH4510">
        <v>41.185202301687198</v>
      </c>
      <c r="AI4510">
        <v>91.353024303030296</v>
      </c>
      <c r="AJ4510">
        <v>70.926086353403704</v>
      </c>
      <c r="AK4510">
        <v>43.589868478385199</v>
      </c>
      <c r="AL4510">
        <v>87.57624878819</v>
      </c>
      <c r="AM4510">
        <v>88.149749127206405</v>
      </c>
      <c r="AN4510">
        <v>0.99999992084286304</v>
      </c>
    </row>
    <row r="4511" spans="1:40" x14ac:dyDescent="0.25">
      <c r="A4511" t="str">
        <f>"20190312160423162"</f>
        <v>20190312160423162</v>
      </c>
      <c r="B4511" t="str">
        <f>"1552377863159125"</f>
        <v>1552377863159125</v>
      </c>
      <c r="C4511" t="s">
        <v>40</v>
      </c>
      <c r="D4511">
        <v>5.3024019999999998</v>
      </c>
      <c r="E4511">
        <v>0.61602279999999998</v>
      </c>
      <c r="F4511" t="s">
        <v>43</v>
      </c>
      <c r="G4511">
        <v>-219.21</v>
      </c>
      <c r="H4511">
        <v>-0.05</v>
      </c>
      <c r="I4511">
        <v>115.9303</v>
      </c>
      <c r="J4511">
        <v>-192.61189999999999</v>
      </c>
      <c r="K4511">
        <v>1.109229</v>
      </c>
      <c r="L4511">
        <v>166.23580000000001</v>
      </c>
      <c r="M4511">
        <v>-0.15337509999999999</v>
      </c>
      <c r="N4511">
        <v>0</v>
      </c>
      <c r="O4511">
        <v>-0.98807480000000003</v>
      </c>
      <c r="P4511">
        <v>-0.18539310000000001</v>
      </c>
      <c r="Q4511">
        <v>2.8678769999999999E-2</v>
      </c>
      <c r="R4511">
        <v>-0.98224599999999995</v>
      </c>
      <c r="S4511">
        <v>-1.4678500000000001</v>
      </c>
      <c r="T4511">
        <v>-6.3931699999999994E-2</v>
      </c>
      <c r="U4511">
        <v>-2.780319</v>
      </c>
      <c r="V4511">
        <v>3.2643909999999998E-2</v>
      </c>
      <c r="W4511">
        <v>4.2167379999999997E-2</v>
      </c>
      <c r="X4511">
        <v>0.9985771</v>
      </c>
      <c r="Y4511">
        <v>0.32560240000000001</v>
      </c>
      <c r="Z4511">
        <v>2.0611709999999998E-2</v>
      </c>
      <c r="AA4511">
        <v>0.94528210000000001</v>
      </c>
      <c r="AB4511">
        <v>21</v>
      </c>
      <c r="AC4511">
        <v>-26.598099999999999</v>
      </c>
      <c r="AD4511">
        <v>-1.1592290000000001</v>
      </c>
      <c r="AE4511">
        <v>-50.305500000000002</v>
      </c>
      <c r="AF4511">
        <v>18.559309869174001</v>
      </c>
      <c r="AG4511">
        <v>-1.1592290000000001</v>
      </c>
      <c r="AH4511">
        <v>53.767725629887899</v>
      </c>
      <c r="AI4511">
        <v>91.1675262894139</v>
      </c>
      <c r="AJ4511">
        <v>70.956572370424894</v>
      </c>
      <c r="AK4511">
        <v>56.892531268219798</v>
      </c>
      <c r="AL4511">
        <v>87.583270463177399</v>
      </c>
      <c r="AM4511">
        <v>88.127643388547099</v>
      </c>
      <c r="AN4511">
        <v>0.99999996872027996</v>
      </c>
    </row>
    <row r="4512" spans="1:40" x14ac:dyDescent="0.25">
      <c r="A4512" t="str">
        <f>"20190312160423174"</f>
        <v>20190312160423174</v>
      </c>
      <c r="B4512" t="str">
        <f>"1552377863169863"</f>
        <v>1552377863169863</v>
      </c>
      <c r="C4512" t="s">
        <v>40</v>
      </c>
      <c r="D4512">
        <v>5.3250320000000002</v>
      </c>
      <c r="E4512">
        <v>0.61558930000000001</v>
      </c>
      <c r="F4512" t="s">
        <v>43</v>
      </c>
      <c r="G4512">
        <v>-219.9418</v>
      </c>
      <c r="H4512">
        <v>-0.05</v>
      </c>
      <c r="I4512">
        <v>114.50749999999999</v>
      </c>
      <c r="J4512">
        <v>-192.63040000000001</v>
      </c>
      <c r="K4512">
        <v>1.1092</v>
      </c>
      <c r="L4512">
        <v>166.12370000000001</v>
      </c>
      <c r="M4512">
        <v>-0.1543707</v>
      </c>
      <c r="N4512">
        <v>0</v>
      </c>
      <c r="O4512">
        <v>-0.98791969999999996</v>
      </c>
      <c r="P4512">
        <v>-0.18691050000000001</v>
      </c>
      <c r="Q4512">
        <v>2.9303349999999999E-2</v>
      </c>
      <c r="R4512">
        <v>-0.98194009999999998</v>
      </c>
      <c r="S4512">
        <v>-1.4682010000000001</v>
      </c>
      <c r="T4512">
        <v>-6.2275289999999997E-2</v>
      </c>
      <c r="U4512">
        <v>-2.778915</v>
      </c>
      <c r="V4512">
        <v>3.3188000000000002E-2</v>
      </c>
      <c r="W4512">
        <v>4.2787659999999998E-2</v>
      </c>
      <c r="X4512">
        <v>0.9985328</v>
      </c>
      <c r="Y4512">
        <v>0.32494499999999998</v>
      </c>
      <c r="Z4512">
        <v>2.008391E-2</v>
      </c>
      <c r="AA4512">
        <v>0.94551960000000002</v>
      </c>
      <c r="AB4512">
        <v>21</v>
      </c>
      <c r="AC4512">
        <v>-27.3113999999999</v>
      </c>
      <c r="AD4512">
        <v>-1.1592</v>
      </c>
      <c r="AE4512">
        <v>-51.616199999999999</v>
      </c>
      <c r="AF4512">
        <v>19.007704148873799</v>
      </c>
      <c r="AG4512">
        <v>-1.1592</v>
      </c>
      <c r="AH4512">
        <v>55.192082346613901</v>
      </c>
      <c r="AI4512">
        <v>91.137649869138599</v>
      </c>
      <c r="AJ4512">
        <v>70.996708938772102</v>
      </c>
      <c r="AK4512">
        <v>58.384951103914901</v>
      </c>
      <c r="AL4512">
        <v>87.547698981373301</v>
      </c>
      <c r="AM4512">
        <v>88.096374402838194</v>
      </c>
      <c r="AN4512">
        <v>0.99999998993405703</v>
      </c>
    </row>
    <row r="4513" spans="1:40" x14ac:dyDescent="0.25">
      <c r="A4513" t="str">
        <f>"20190312160423185"</f>
        <v>20190312160423185</v>
      </c>
      <c r="B4513" t="str">
        <f>"1552377863179621"</f>
        <v>1552377863179621</v>
      </c>
      <c r="C4513" t="s">
        <v>40</v>
      </c>
      <c r="D4513">
        <v>5.2092619999999998</v>
      </c>
      <c r="E4513">
        <v>0.61641219999999997</v>
      </c>
      <c r="F4513" t="s">
        <v>43</v>
      </c>
      <c r="G4513">
        <v>-219.7595</v>
      </c>
      <c r="H4513">
        <v>-0.05</v>
      </c>
      <c r="I4513">
        <v>114.83620000000001</v>
      </c>
      <c r="J4513">
        <v>-192.6481</v>
      </c>
      <c r="K4513">
        <v>1.1091789999999999</v>
      </c>
      <c r="L4513">
        <v>166.0171</v>
      </c>
      <c r="M4513">
        <v>-0.15533150000000001</v>
      </c>
      <c r="N4513">
        <v>0</v>
      </c>
      <c r="O4513">
        <v>-0.98776920000000001</v>
      </c>
      <c r="P4513">
        <v>-0.18832189999999999</v>
      </c>
      <c r="Q4513">
        <v>2.9175409999999999E-2</v>
      </c>
      <c r="R4513">
        <v>-0.98167439999999995</v>
      </c>
      <c r="S4513">
        <v>-1.469147</v>
      </c>
      <c r="T4513">
        <v>-6.2775250000000005E-2</v>
      </c>
      <c r="U4513">
        <v>-2.7774200000000002</v>
      </c>
      <c r="V4513">
        <v>3.365419E-2</v>
      </c>
      <c r="W4513">
        <v>4.2656180000000002E-2</v>
      </c>
      <c r="X4513">
        <v>0.99852280000000004</v>
      </c>
      <c r="Y4513">
        <v>0.32448549999999998</v>
      </c>
      <c r="Z4513">
        <v>2.0250170000000001E-2</v>
      </c>
      <c r="AA4513">
        <v>0.94567389999999996</v>
      </c>
      <c r="AB4513">
        <v>21</v>
      </c>
      <c r="AC4513">
        <v>-27.1114</v>
      </c>
      <c r="AD4513">
        <v>-1.159179</v>
      </c>
      <c r="AE4513">
        <v>-51.180900000000001</v>
      </c>
      <c r="AF4513">
        <v>18.8239935418414</v>
      </c>
      <c r="AG4513">
        <v>-1.159179</v>
      </c>
      <c r="AH4513">
        <v>54.749283318086803</v>
      </c>
      <c r="AI4513">
        <v>91.147028823834205</v>
      </c>
      <c r="AJ4513">
        <v>71.025916539742497</v>
      </c>
      <c r="AK4513">
        <v>57.9065665763518</v>
      </c>
      <c r="AL4513">
        <v>87.555239061402901</v>
      </c>
      <c r="AM4513">
        <v>88.0696350521672</v>
      </c>
      <c r="AN4513">
        <v>0.99999996815829295</v>
      </c>
    </row>
    <row r="4514" spans="1:40" x14ac:dyDescent="0.25">
      <c r="A4514" t="str">
        <f>"20190312160423449"</f>
        <v>20190312160423449</v>
      </c>
      <c r="B4514" t="str">
        <f>"1552377863439237"</f>
        <v>1552377863439237</v>
      </c>
      <c r="C4514" t="s">
        <v>40</v>
      </c>
      <c r="D4514">
        <v>5.1934659999999999</v>
      </c>
      <c r="E4514">
        <v>0.61641219999999997</v>
      </c>
      <c r="F4514" t="s">
        <v>43</v>
      </c>
      <c r="G4514">
        <v>-221.52850000000001</v>
      </c>
      <c r="H4514">
        <v>-0.05</v>
      </c>
      <c r="I4514">
        <v>111.8693</v>
      </c>
      <c r="J4514">
        <v>-193.08459999999999</v>
      </c>
      <c r="K4514">
        <v>1.108854</v>
      </c>
      <c r="L4514">
        <v>163.6174</v>
      </c>
      <c r="M4514">
        <v>-0.18097940000000001</v>
      </c>
      <c r="N4514">
        <v>0</v>
      </c>
      <c r="O4514">
        <v>-0.98339370000000004</v>
      </c>
      <c r="P4514">
        <v>-0.22491520000000001</v>
      </c>
      <c r="Q4514">
        <v>2.445108E-2</v>
      </c>
      <c r="R4514">
        <v>-0.97407160000000004</v>
      </c>
      <c r="S4514">
        <v>-1.4795229999999999</v>
      </c>
      <c r="T4514">
        <v>-5.9383989999999998E-2</v>
      </c>
      <c r="U4514">
        <v>-2.7739560000000001</v>
      </c>
      <c r="V4514">
        <v>4.5027240000000003E-2</v>
      </c>
      <c r="W4514">
        <v>3.782021E-2</v>
      </c>
      <c r="X4514">
        <v>0.99826959999999998</v>
      </c>
      <c r="Y4514">
        <v>0.30304819999999999</v>
      </c>
      <c r="Z4514">
        <v>1.910415E-2</v>
      </c>
      <c r="AA4514">
        <v>0.95278370000000001</v>
      </c>
      <c r="AB4514">
        <v>21</v>
      </c>
      <c r="AC4514">
        <v>-28.443899999999999</v>
      </c>
      <c r="AD4514">
        <v>-1.1588540000000001</v>
      </c>
      <c r="AE4514">
        <v>-51.748100000000001</v>
      </c>
      <c r="AF4514">
        <v>18.6007535130809</v>
      </c>
      <c r="AG4514">
        <v>-1.1588540000000001</v>
      </c>
      <c r="AH4514">
        <v>56.020076180182201</v>
      </c>
      <c r="AI4514">
        <v>91.124713030007896</v>
      </c>
      <c r="AJ4514">
        <v>71.631909880680396</v>
      </c>
      <c r="AK4514">
        <v>59.038800030836697</v>
      </c>
      <c r="AL4514">
        <v>87.832544683412294</v>
      </c>
      <c r="AM4514">
        <v>87.417407705968699</v>
      </c>
      <c r="AN4514">
        <v>1.0000000074553099</v>
      </c>
    </row>
    <row r="4515" spans="1:40" x14ac:dyDescent="0.25">
      <c r="A4515" t="str">
        <f>"20190312160423462"</f>
        <v>20190312160423462</v>
      </c>
      <c r="B4515" t="str">
        <f>"1552377863459734"</f>
        <v>1552377863459734</v>
      </c>
      <c r="C4515" t="s">
        <v>40</v>
      </c>
      <c r="D4515">
        <v>5.3134670000000002</v>
      </c>
      <c r="E4515">
        <v>0.61893869999999995</v>
      </c>
      <c r="F4515" t="s">
        <v>41</v>
      </c>
      <c r="G4515">
        <v>-213.90979999999999</v>
      </c>
      <c r="H4515">
        <v>7.9985490000000006E-2</v>
      </c>
      <c r="I4515">
        <v>127.8398</v>
      </c>
      <c r="J4515">
        <v>-193.10740000000001</v>
      </c>
      <c r="K4515">
        <v>1.1088389999999999</v>
      </c>
      <c r="L4515">
        <v>163.5026</v>
      </c>
      <c r="M4515">
        <v>-0.18236079999999999</v>
      </c>
      <c r="N4515">
        <v>0</v>
      </c>
      <c r="O4515">
        <v>-0.98313870000000003</v>
      </c>
      <c r="P4515">
        <v>-0.22736690000000001</v>
      </c>
      <c r="Q4515">
        <v>2.37547E-2</v>
      </c>
      <c r="R4515">
        <v>-0.97351949999999998</v>
      </c>
      <c r="S4515">
        <v>-1.581329</v>
      </c>
      <c r="T4515">
        <v>-7.8125360000000005E-2</v>
      </c>
      <c r="U4515">
        <v>-2.7167050000000001</v>
      </c>
      <c r="V4515">
        <v>4.6134099999999997E-2</v>
      </c>
      <c r="W4515">
        <v>3.7111169999999999E-2</v>
      </c>
      <c r="X4515">
        <v>0.99824570000000001</v>
      </c>
      <c r="Y4515">
        <v>0.33684209999999998</v>
      </c>
      <c r="Z4515">
        <v>2.5215660000000001E-2</v>
      </c>
      <c r="AA4515">
        <v>0.94122340000000004</v>
      </c>
      <c r="AB4515">
        <v>20</v>
      </c>
      <c r="AC4515">
        <v>-20.802399999999899</v>
      </c>
      <c r="AD4515">
        <v>-1.02885350999999</v>
      </c>
      <c r="AE4515">
        <v>-35.662799999999997</v>
      </c>
      <c r="AF4515">
        <v>13.940765833299499</v>
      </c>
      <c r="AG4515">
        <v>-1.02885350999999</v>
      </c>
      <c r="AH4515">
        <v>38.834457494801903</v>
      </c>
      <c r="AI4515">
        <v>91.428393042285506</v>
      </c>
      <c r="AJ4515">
        <v>70.252913309642906</v>
      </c>
      <c r="AK4515">
        <v>41.273703256183701</v>
      </c>
      <c r="AL4515">
        <v>87.873198286137296</v>
      </c>
      <c r="AM4515">
        <v>87.353948284959699</v>
      </c>
      <c r="AN4515">
        <v>1.0000000358450301</v>
      </c>
    </row>
    <row r="4516" spans="1:40" x14ac:dyDescent="0.25">
      <c r="A4516" t="str">
        <f>"20190312160423475"</f>
        <v>20190312160423475</v>
      </c>
      <c r="B4516" t="str">
        <f>"1552377863469493"</f>
        <v>1552377863469493</v>
      </c>
      <c r="C4516" t="s">
        <v>40</v>
      </c>
      <c r="D4516">
        <v>5.3654029999999997</v>
      </c>
      <c r="E4516">
        <v>0.62013929999999995</v>
      </c>
      <c r="F4516" t="s">
        <v>41</v>
      </c>
      <c r="G4516">
        <v>-213.22569999999999</v>
      </c>
      <c r="H4516">
        <v>3.1647380000000003E-2</v>
      </c>
      <c r="I4516">
        <v>129.6163</v>
      </c>
      <c r="J4516">
        <v>-193.1302</v>
      </c>
      <c r="K4516">
        <v>1.1088279999999999</v>
      </c>
      <c r="L4516">
        <v>163.38839999999999</v>
      </c>
      <c r="M4516">
        <v>-0.18374789999999999</v>
      </c>
      <c r="N4516">
        <v>0</v>
      </c>
      <c r="O4516">
        <v>-0.98288030000000004</v>
      </c>
      <c r="P4516">
        <v>-0.22969510000000001</v>
      </c>
      <c r="Q4516">
        <v>2.3423139999999999E-2</v>
      </c>
      <c r="R4516">
        <v>-0.97298079999999998</v>
      </c>
      <c r="S4516">
        <v>-1.6078490000000001</v>
      </c>
      <c r="T4516">
        <v>-8.6088780000000004E-2</v>
      </c>
      <c r="U4516">
        <v>-2.7081759999999999</v>
      </c>
      <c r="V4516">
        <v>4.7112139999999997E-2</v>
      </c>
      <c r="W4516">
        <v>3.6768080000000002E-2</v>
      </c>
      <c r="X4516">
        <v>0.99821269999999995</v>
      </c>
      <c r="Y4516">
        <v>0.34360220000000002</v>
      </c>
      <c r="Z4516">
        <v>2.774863E-2</v>
      </c>
      <c r="AA4516">
        <v>0.93870529999999996</v>
      </c>
      <c r="AB4516">
        <v>20</v>
      </c>
      <c r="AC4516">
        <v>-20.095499999999902</v>
      </c>
      <c r="AD4516">
        <v>-1.07718062</v>
      </c>
      <c r="AE4516">
        <v>-33.772099999999902</v>
      </c>
      <c r="AF4516">
        <v>13.536987870756899</v>
      </c>
      <c r="AG4516">
        <v>-1.07718062</v>
      </c>
      <c r="AH4516">
        <v>36.862118693110901</v>
      </c>
      <c r="AI4516">
        <v>91.571269983264898</v>
      </c>
      <c r="AJ4516">
        <v>69.835096845156102</v>
      </c>
      <c r="AK4516">
        <v>39.283917233979103</v>
      </c>
      <c r="AL4516">
        <v>87.892869286493806</v>
      </c>
      <c r="AM4516">
        <v>87.297845236817494</v>
      </c>
      <c r="AN4516">
        <v>1.00000001994177</v>
      </c>
    </row>
    <row r="4517" spans="1:40" x14ac:dyDescent="0.25">
      <c r="A4517" t="str">
        <f>"20190312160423488"</f>
        <v>20190312160423488</v>
      </c>
      <c r="B4517" t="str">
        <f>"1552377863479255"</f>
        <v>1552377863479255</v>
      </c>
      <c r="C4517" t="s">
        <v>40</v>
      </c>
      <c r="D4517">
        <v>5.4394390000000001</v>
      </c>
      <c r="E4517">
        <v>0.620148699999999</v>
      </c>
      <c r="F4517" t="s">
        <v>41</v>
      </c>
      <c r="G4517">
        <v>-215.69919999999999</v>
      </c>
      <c r="H4517">
        <v>7.9986600000000005E-2</v>
      </c>
      <c r="I4517">
        <v>125.8253</v>
      </c>
      <c r="J4517">
        <v>-193.1542</v>
      </c>
      <c r="K4517">
        <v>1.108814</v>
      </c>
      <c r="L4517">
        <v>163.26920000000001</v>
      </c>
      <c r="M4517">
        <v>-0.18520610000000001</v>
      </c>
      <c r="N4517">
        <v>0</v>
      </c>
      <c r="O4517">
        <v>-0.9826066</v>
      </c>
      <c r="P4517">
        <v>-0.23194909999999999</v>
      </c>
      <c r="Q4517">
        <v>2.2828959999999999E-2</v>
      </c>
      <c r="R4517">
        <v>-0.9724602</v>
      </c>
      <c r="S4517">
        <v>-1.623367</v>
      </c>
      <c r="T4517">
        <v>-7.4003459999999993E-2</v>
      </c>
      <c r="U4517">
        <v>-2.7018740000000001</v>
      </c>
      <c r="V4517">
        <v>4.7940740000000003E-2</v>
      </c>
      <c r="W4517">
        <v>3.6162899999999998E-2</v>
      </c>
      <c r="X4517">
        <v>0.99819539999999995</v>
      </c>
      <c r="Y4517">
        <v>0.34719060000000002</v>
      </c>
      <c r="Z4517">
        <v>2.384441E-2</v>
      </c>
      <c r="AA4517">
        <v>0.93749139999999997</v>
      </c>
      <c r="AB4517">
        <v>20</v>
      </c>
      <c r="AC4517">
        <v>-22.544999999999899</v>
      </c>
      <c r="AD4517">
        <v>-1.0288273999999999</v>
      </c>
      <c r="AE4517">
        <v>-37.443899999999999</v>
      </c>
      <c r="AF4517">
        <v>15.210991303322</v>
      </c>
      <c r="AG4517">
        <v>-1.0288273999999999</v>
      </c>
      <c r="AH4517">
        <v>40.949153865793498</v>
      </c>
      <c r="AI4517">
        <v>91.349186782334002</v>
      </c>
      <c r="AJ4517">
        <v>69.621959507019696</v>
      </c>
      <c r="AK4517">
        <v>43.695147837868198</v>
      </c>
      <c r="AL4517">
        <v>87.927566712692496</v>
      </c>
      <c r="AM4517">
        <v>87.250344939625606</v>
      </c>
      <c r="AN4517">
        <v>1.00000006323465</v>
      </c>
    </row>
    <row r="4518" spans="1:40" x14ac:dyDescent="0.25">
      <c r="A4518" t="str">
        <f>"20190312160423500"</f>
        <v>20190312160423500</v>
      </c>
      <c r="B4518" t="str">
        <f>"1552377863489014"</f>
        <v>1552377863489014</v>
      </c>
      <c r="C4518" t="s">
        <v>40</v>
      </c>
      <c r="D4518">
        <v>5.4130469999999997</v>
      </c>
      <c r="E4518">
        <v>0.62052299999999905</v>
      </c>
      <c r="F4518" t="s">
        <v>41</v>
      </c>
      <c r="G4518">
        <v>-214.29060000000001</v>
      </c>
      <c r="H4518">
        <v>7.9985379999999995E-2</v>
      </c>
      <c r="I4518">
        <v>128.27670000000001</v>
      </c>
      <c r="J4518">
        <v>-193.17699999999999</v>
      </c>
      <c r="K4518">
        <v>1.1088009999999999</v>
      </c>
      <c r="L4518">
        <v>163.15700000000001</v>
      </c>
      <c r="M4518">
        <v>-0.18660189999999999</v>
      </c>
      <c r="N4518">
        <v>0</v>
      </c>
      <c r="O4518">
        <v>-0.98234290000000002</v>
      </c>
      <c r="P4518">
        <v>-0.23430049999999999</v>
      </c>
      <c r="Q4518">
        <v>2.2658979999999999E-2</v>
      </c>
      <c r="R4518">
        <v>-0.97190030000000005</v>
      </c>
      <c r="S4518">
        <v>-1.6297299999999999</v>
      </c>
      <c r="T4518">
        <v>-7.9328179999999998E-2</v>
      </c>
      <c r="U4518">
        <v>-2.698105</v>
      </c>
      <c r="V4518">
        <v>4.893695E-2</v>
      </c>
      <c r="W4518">
        <v>3.5981350000000002E-2</v>
      </c>
      <c r="X4518">
        <v>0.99815359999999997</v>
      </c>
      <c r="Y4518">
        <v>0.3480356</v>
      </c>
      <c r="Z4518">
        <v>2.5560449999999998E-2</v>
      </c>
      <c r="AA4518">
        <v>0.93713279999999999</v>
      </c>
      <c r="AB4518">
        <v>20</v>
      </c>
      <c r="AC4518">
        <v>-21.113599999999899</v>
      </c>
      <c r="AD4518">
        <v>-1.02881562</v>
      </c>
      <c r="AE4518">
        <v>-34.880299999999998</v>
      </c>
      <c r="AF4518">
        <v>14.2243046110626</v>
      </c>
      <c r="AG4518">
        <v>-1.02881562</v>
      </c>
      <c r="AH4518">
        <v>38.183421641762301</v>
      </c>
      <c r="AI4518">
        <v>91.446352137304203</v>
      </c>
      <c r="AJ4518">
        <v>69.568346268926206</v>
      </c>
      <c r="AK4518">
        <v>40.759820798439002</v>
      </c>
      <c r="AL4518">
        <v>87.9379754992503</v>
      </c>
      <c r="AM4518">
        <v>87.1931801124082</v>
      </c>
      <c r="AN4518">
        <v>1.00000004590804</v>
      </c>
    </row>
    <row r="4519" spans="1:40" x14ac:dyDescent="0.25">
      <c r="A4519" t="str">
        <f>"20190312160423517"</f>
        <v>20190312160423517</v>
      </c>
      <c r="B4519" t="str">
        <f>"1552377863509509"</f>
        <v>1552377863509509</v>
      </c>
      <c r="C4519" t="s">
        <v>40</v>
      </c>
      <c r="D4519">
        <v>5.428458</v>
      </c>
      <c r="E4519">
        <v>0.62034739999999999</v>
      </c>
      <c r="F4519" t="s">
        <v>41</v>
      </c>
      <c r="G4519">
        <v>-213.58959999999999</v>
      </c>
      <c r="H4519">
        <v>5.1106239999999997E-2</v>
      </c>
      <c r="I4519">
        <v>129.61519999999999</v>
      </c>
      <c r="J4519">
        <v>-193.2072</v>
      </c>
      <c r="K4519">
        <v>1.108781</v>
      </c>
      <c r="L4519">
        <v>163.0095</v>
      </c>
      <c r="M4519">
        <v>-0.18845700000000001</v>
      </c>
      <c r="N4519">
        <v>0</v>
      </c>
      <c r="O4519">
        <v>-0.98198869999999905</v>
      </c>
      <c r="P4519">
        <v>-0.23738119999999999</v>
      </c>
      <c r="Q4519">
        <v>2.1889749999999999E-2</v>
      </c>
      <c r="R4519">
        <v>-0.97117019999999998</v>
      </c>
      <c r="S4519">
        <v>-1.63922099999999</v>
      </c>
      <c r="T4519">
        <v>-8.4937570000000004E-2</v>
      </c>
      <c r="U4519">
        <v>-2.6935579999999999</v>
      </c>
      <c r="V4519">
        <v>5.0212569999999998E-2</v>
      </c>
      <c r="W4519">
        <v>3.5197440000000003E-2</v>
      </c>
      <c r="X4519">
        <v>0.99811819999999896</v>
      </c>
      <c r="Y4519">
        <v>0.34935290000000002</v>
      </c>
      <c r="Z4519">
        <v>2.7360809999999999E-2</v>
      </c>
      <c r="AA4519">
        <v>0.93659170000000003</v>
      </c>
      <c r="AB4519">
        <v>20</v>
      </c>
      <c r="AC4519">
        <v>-20.382399999999901</v>
      </c>
      <c r="AD4519">
        <v>-1.05767476</v>
      </c>
      <c r="AE4519">
        <v>-33.394300000000001</v>
      </c>
      <c r="AF4519">
        <v>13.713124364915201</v>
      </c>
      <c r="AG4519">
        <v>-1.05767476</v>
      </c>
      <c r="AH4519">
        <v>36.610610770891398</v>
      </c>
      <c r="AI4519">
        <v>91.549716431011703</v>
      </c>
      <c r="AJ4519">
        <v>69.465711424650394</v>
      </c>
      <c r="AK4519">
        <v>39.1088899965632</v>
      </c>
      <c r="AL4519">
        <v>87.982918715948401</v>
      </c>
      <c r="AM4519">
        <v>87.120035492469398</v>
      </c>
      <c r="AN4519">
        <v>1.0000000515698899</v>
      </c>
    </row>
    <row r="4520" spans="1:40" x14ac:dyDescent="0.25">
      <c r="A4520" t="str">
        <f>"20190312160423528"</f>
        <v>20190312160423528</v>
      </c>
      <c r="B4520" t="str">
        <f>"1552377863519269"</f>
        <v>1552377863519269</v>
      </c>
      <c r="C4520" t="s">
        <v>40</v>
      </c>
      <c r="D4520">
        <v>5.6105900000000002</v>
      </c>
      <c r="E4520">
        <v>0.62039160000000004</v>
      </c>
      <c r="F4520" t="s">
        <v>41</v>
      </c>
      <c r="G4520">
        <v>-212.31209999999999</v>
      </c>
      <c r="H4520" s="1">
        <v>-5.0139509999999999E-6</v>
      </c>
      <c r="I4520">
        <v>131.80840000000001</v>
      </c>
      <c r="J4520">
        <v>-193.2277</v>
      </c>
      <c r="K4520">
        <v>1.108768</v>
      </c>
      <c r="L4520">
        <v>162.91040000000001</v>
      </c>
      <c r="M4520">
        <v>-0.18971450000000001</v>
      </c>
      <c r="N4520">
        <v>0</v>
      </c>
      <c r="O4520">
        <v>-0.98174629999999996</v>
      </c>
      <c r="P4520">
        <v>-0.2392997</v>
      </c>
      <c r="Q4520">
        <v>2.1427290000000002E-2</v>
      </c>
      <c r="R4520">
        <v>-0.9707093</v>
      </c>
      <c r="S4520">
        <v>-1.646393</v>
      </c>
      <c r="T4520">
        <v>-9.5551129999999998E-2</v>
      </c>
      <c r="U4520">
        <v>-2.6887970000000001</v>
      </c>
      <c r="V4520">
        <v>5.0904110000000002E-2</v>
      </c>
      <c r="W4520">
        <v>3.4725659999999998E-2</v>
      </c>
      <c r="X4520">
        <v>0.99809959999999998</v>
      </c>
      <c r="Y4520">
        <v>0.3506553</v>
      </c>
      <c r="Z4520">
        <v>3.0783749999999999E-2</v>
      </c>
      <c r="AA4520">
        <v>0.93599849999999996</v>
      </c>
      <c r="AB4520">
        <v>20</v>
      </c>
      <c r="AC4520">
        <v>-19.084399999999899</v>
      </c>
      <c r="AD4520">
        <v>-1.1087730139509999</v>
      </c>
      <c r="AE4520">
        <v>-31.102</v>
      </c>
      <c r="AF4520">
        <v>12.824870019770801</v>
      </c>
      <c r="AG4520">
        <v>-1.1087730139509999</v>
      </c>
      <c r="AH4520">
        <v>34.126471867079403</v>
      </c>
      <c r="AI4520">
        <v>91.742022191722199</v>
      </c>
      <c r="AJ4520">
        <v>69.4035710749001</v>
      </c>
      <c r="AK4520">
        <v>36.473589770065701</v>
      </c>
      <c r="AL4520">
        <v>88.009966062091294</v>
      </c>
      <c r="AM4520">
        <v>87.080385749421197</v>
      </c>
      <c r="AN4520">
        <v>0.999999955698742</v>
      </c>
    </row>
    <row r="4521" spans="1:40" x14ac:dyDescent="0.25">
      <c r="A4521" t="str">
        <f>"20190312160423537"</f>
        <v>20190312160423537</v>
      </c>
      <c r="B4521" t="str">
        <f>"1552377863529030"</f>
        <v>1552377863529030</v>
      </c>
      <c r="C4521" t="s">
        <v>40</v>
      </c>
      <c r="D4521">
        <v>5.4769509999999997</v>
      </c>
      <c r="E4521">
        <v>0.62029829999999997</v>
      </c>
      <c r="F4521" t="s">
        <v>41</v>
      </c>
      <c r="G4521">
        <v>-211.4597</v>
      </c>
      <c r="H4521" s="1">
        <v>-5.1425079999999997E-6</v>
      </c>
      <c r="I4521">
        <v>133.27430000000001</v>
      </c>
      <c r="J4521">
        <v>-193.24719999999999</v>
      </c>
      <c r="K4521">
        <v>1.1087499999999999</v>
      </c>
      <c r="L4521">
        <v>162.81649999999999</v>
      </c>
      <c r="M4521">
        <v>-0.19092799999999999</v>
      </c>
      <c r="N4521">
        <v>0</v>
      </c>
      <c r="O4521">
        <v>-0.98151120000000003</v>
      </c>
      <c r="P4521">
        <v>-0.240873</v>
      </c>
      <c r="Q4521">
        <v>2.0903169999999999E-2</v>
      </c>
      <c r="R4521">
        <v>-0.97033159999999896</v>
      </c>
      <c r="S4521">
        <v>-1.6520999999999999</v>
      </c>
      <c r="T4521">
        <v>-0.1004719</v>
      </c>
      <c r="U4521">
        <v>-2.685486</v>
      </c>
      <c r="V4521">
        <v>5.1285369999999997E-2</v>
      </c>
      <c r="W4521">
        <v>3.4194309999999999E-2</v>
      </c>
      <c r="X4521">
        <v>0.9980985</v>
      </c>
      <c r="Y4521">
        <v>0.351429299999999</v>
      </c>
      <c r="Z4521">
        <v>3.2367989999999999E-2</v>
      </c>
      <c r="AA4521">
        <v>0.93565469999999895</v>
      </c>
      <c r="AB4521">
        <v>20</v>
      </c>
      <c r="AC4521">
        <v>-18.212499999999999</v>
      </c>
      <c r="AD4521">
        <v>-1.108755142508</v>
      </c>
      <c r="AE4521">
        <v>-29.542199999999902</v>
      </c>
      <c r="AF4521">
        <v>12.223978042538</v>
      </c>
      <c r="AG4521">
        <v>-1.108755142508</v>
      </c>
      <c r="AH4521">
        <v>32.443122246776198</v>
      </c>
      <c r="AI4521">
        <v>91.831729484097394</v>
      </c>
      <c r="AJ4521">
        <v>69.354503955456295</v>
      </c>
      <c r="AK4521">
        <v>34.6873342629519</v>
      </c>
      <c r="AL4521">
        <v>88.040428409864703</v>
      </c>
      <c r="AM4521">
        <v>87.058553537754193</v>
      </c>
      <c r="AN4521">
        <v>1.00000002785733</v>
      </c>
    </row>
    <row r="4522" spans="1:40" x14ac:dyDescent="0.25">
      <c r="A4522" t="str">
        <f>"20190312160423549"</f>
        <v>20190312160423549</v>
      </c>
      <c r="B4522" t="str">
        <f>"1552377863539765"</f>
        <v>1552377863539765</v>
      </c>
      <c r="C4522" t="s">
        <v>40</v>
      </c>
      <c r="D4522">
        <v>5.4627749999999997</v>
      </c>
      <c r="E4522">
        <v>0.62012029999999996</v>
      </c>
      <c r="F4522" t="s">
        <v>41</v>
      </c>
      <c r="G4522">
        <v>-210.50139999999999</v>
      </c>
      <c r="H4522" s="1">
        <v>-5.314887E-6</v>
      </c>
      <c r="I4522">
        <v>134.8562</v>
      </c>
      <c r="J4522">
        <v>-193.268</v>
      </c>
      <c r="K4522">
        <v>1.1087320000000001</v>
      </c>
      <c r="L4522">
        <v>162.7174</v>
      </c>
      <c r="M4522">
        <v>-0.19221350000000001</v>
      </c>
      <c r="N4522">
        <v>0</v>
      </c>
      <c r="O4522">
        <v>-0.98126069999999999</v>
      </c>
      <c r="P4522">
        <v>-0.24257619999999999</v>
      </c>
      <c r="Q4522">
        <v>2.0397800000000001E-2</v>
      </c>
      <c r="R4522">
        <v>-0.96991819999999895</v>
      </c>
      <c r="S4522">
        <v>-1.6556850000000001</v>
      </c>
      <c r="T4522">
        <v>-0.10639460000000001</v>
      </c>
      <c r="U4522">
        <v>-2.6830289999999999</v>
      </c>
      <c r="V4522">
        <v>5.1727719999999998E-2</v>
      </c>
      <c r="W4522">
        <v>3.368057E-2</v>
      </c>
      <c r="X4522">
        <v>0.99809309999999996</v>
      </c>
      <c r="Y4522">
        <v>0.35145789999999999</v>
      </c>
      <c r="Z4522">
        <v>3.4275849999999997E-2</v>
      </c>
      <c r="AA4522">
        <v>0.93557599999999996</v>
      </c>
      <c r="AB4522">
        <v>20</v>
      </c>
      <c r="AC4522">
        <v>-17.2333999999999</v>
      </c>
      <c r="AD4522">
        <v>-1.1087373148869999</v>
      </c>
      <c r="AE4522">
        <v>-27.8612</v>
      </c>
      <c r="AF4522">
        <v>11.5429861496906</v>
      </c>
      <c r="AG4522">
        <v>-1.1087373148869999</v>
      </c>
      <c r="AH4522">
        <v>30.619301634756301</v>
      </c>
      <c r="AI4522">
        <v>91.940593711808006</v>
      </c>
      <c r="AJ4522">
        <v>69.344360799856005</v>
      </c>
      <c r="AK4522">
        <v>32.741586099111998</v>
      </c>
      <c r="AL4522">
        <v>88.069880429934898</v>
      </c>
      <c r="AM4522">
        <v>87.033211885883802</v>
      </c>
      <c r="AN4522">
        <v>0.999999987039766</v>
      </c>
    </row>
    <row r="4523" spans="1:40" x14ac:dyDescent="0.25">
      <c r="A4523" t="str">
        <f>"20190312160423571"</f>
        <v>20190312160423571</v>
      </c>
      <c r="B4523" t="str">
        <f>"1552377863559285"</f>
        <v>1552377863559285</v>
      </c>
      <c r="C4523" t="s">
        <v>40</v>
      </c>
      <c r="D4523">
        <v>5.4697630000000004</v>
      </c>
      <c r="E4523">
        <v>0.6196045</v>
      </c>
      <c r="F4523" t="s">
        <v>60</v>
      </c>
      <c r="G4523">
        <v>-209.79499999999999</v>
      </c>
      <c r="H4523" s="1">
        <v>-4.1009150000000002E-6</v>
      </c>
      <c r="I4523">
        <v>136.018</v>
      </c>
      <c r="J4523">
        <v>-193.30959999999999</v>
      </c>
      <c r="K4523">
        <v>1.108692</v>
      </c>
      <c r="L4523">
        <v>162.52119999999999</v>
      </c>
      <c r="M4523">
        <v>-0.19480800000000001</v>
      </c>
      <c r="N4523">
        <v>0</v>
      </c>
      <c r="O4523">
        <v>-0.98074859999999997</v>
      </c>
      <c r="P4523">
        <v>-0.24583730000000001</v>
      </c>
      <c r="Q4523">
        <v>1.927063E-2</v>
      </c>
      <c r="R4523">
        <v>-0.96911959999999997</v>
      </c>
      <c r="S4523">
        <v>-1.6591800000000001</v>
      </c>
      <c r="T4523">
        <v>-0.1113083</v>
      </c>
      <c r="U4523">
        <v>-2.6804049999999999</v>
      </c>
      <c r="V4523">
        <v>5.2439239999999998E-2</v>
      </c>
      <c r="W4523">
        <v>3.2539169999999999E-2</v>
      </c>
      <c r="X4523">
        <v>0.99809380000000003</v>
      </c>
      <c r="Y4523">
        <v>0.35024379999999999</v>
      </c>
      <c r="Z4523">
        <v>3.5855440000000002E-2</v>
      </c>
      <c r="AA4523">
        <v>0.93597200000000003</v>
      </c>
      <c r="AB4523">
        <v>20</v>
      </c>
      <c r="AC4523">
        <v>-16.485399999999998</v>
      </c>
      <c r="AD4523">
        <v>-1.108696100915</v>
      </c>
      <c r="AE4523">
        <v>-26.5032</v>
      </c>
      <c r="AF4523">
        <v>10.992129718278401</v>
      </c>
      <c r="AG4523">
        <v>-1.108696100915</v>
      </c>
      <c r="AH4523">
        <v>29.170316054240399</v>
      </c>
      <c r="AI4523">
        <v>92.036940647835493</v>
      </c>
      <c r="AJ4523">
        <v>69.352292945101397</v>
      </c>
      <c r="AK4523">
        <v>31.192362230070302</v>
      </c>
      <c r="AL4523">
        <v>88.135313648620794</v>
      </c>
      <c r="AM4523">
        <v>86.992479934125001</v>
      </c>
      <c r="AN4523">
        <v>0.99999995253725205</v>
      </c>
    </row>
    <row r="4524" spans="1:40" x14ac:dyDescent="0.25">
      <c r="A4524" t="str">
        <f>"20190312160423583"</f>
        <v>20190312160423583</v>
      </c>
      <c r="B4524" t="str">
        <f>"1552377863579782"</f>
        <v>1552377863579782</v>
      </c>
      <c r="C4524" t="s">
        <v>40</v>
      </c>
      <c r="D4524">
        <v>5.4914389999999997</v>
      </c>
      <c r="E4524">
        <v>0.61925969999999997</v>
      </c>
      <c r="F4524" t="s">
        <v>60</v>
      </c>
      <c r="G4524">
        <v>-208.3441</v>
      </c>
      <c r="H4524" s="1">
        <v>-5.6963720000000003E-6</v>
      </c>
      <c r="I4524">
        <v>138.34649999999999</v>
      </c>
      <c r="J4524">
        <v>-193.3321</v>
      </c>
      <c r="K4524">
        <v>1.10867</v>
      </c>
      <c r="L4524">
        <v>162.41630000000001</v>
      </c>
      <c r="M4524">
        <v>-0.19621920000000001</v>
      </c>
      <c r="N4524">
        <v>0</v>
      </c>
      <c r="O4524">
        <v>-0.98046739999999999</v>
      </c>
      <c r="P4524">
        <v>-0.24759819999999999</v>
      </c>
      <c r="Q4524">
        <v>1.8825990000000001E-2</v>
      </c>
      <c r="R4524">
        <v>-0.96867999999999999</v>
      </c>
      <c r="S4524">
        <v>-1.664139</v>
      </c>
      <c r="T4524">
        <v>-0.1227198</v>
      </c>
      <c r="U4524">
        <v>-2.6758579999999998</v>
      </c>
      <c r="V4524">
        <v>5.2815029999999999E-2</v>
      </c>
      <c r="W4524">
        <v>3.2087360000000002E-2</v>
      </c>
      <c r="X4524">
        <v>0.99808869999999905</v>
      </c>
      <c r="Y4524">
        <v>0.35078530000000002</v>
      </c>
      <c r="Z4524">
        <v>3.9543200000000001E-2</v>
      </c>
      <c r="AA4524">
        <v>0.93562069999999997</v>
      </c>
      <c r="AB4524">
        <v>20</v>
      </c>
      <c r="AC4524">
        <v>-15.012</v>
      </c>
      <c r="AD4524">
        <v>-1.1086756963719999</v>
      </c>
      <c r="AE4524">
        <v>-24.069800000000001</v>
      </c>
      <c r="AF4524">
        <v>9.9814817632127895</v>
      </c>
      <c r="AG4524">
        <v>-1.1086756963719999</v>
      </c>
      <c r="AH4524">
        <v>26.507220436101999</v>
      </c>
      <c r="AI4524">
        <v>92.241543678476404</v>
      </c>
      <c r="AJ4524">
        <v>69.365779287424104</v>
      </c>
      <c r="AK4524">
        <v>28.345932252038899</v>
      </c>
      <c r="AL4524">
        <v>88.161214141707404</v>
      </c>
      <c r="AM4524">
        <v>86.970951992574001</v>
      </c>
      <c r="AN4524">
        <v>1.0000000395666699</v>
      </c>
    </row>
    <row r="4525" spans="1:40" x14ac:dyDescent="0.25">
      <c r="A4525" t="str">
        <f>"20190312160423594"</f>
        <v>20190312160423594</v>
      </c>
      <c r="B4525" t="str">
        <f>"1552377863589541"</f>
        <v>1552377863589541</v>
      </c>
      <c r="C4525" t="s">
        <v>40</v>
      </c>
      <c r="D4525">
        <v>5.5056089999999998</v>
      </c>
      <c r="E4525">
        <v>0.61905659999999996</v>
      </c>
      <c r="F4525" t="s">
        <v>60</v>
      </c>
      <c r="G4525">
        <v>-207.69649999999999</v>
      </c>
      <c r="H4525" s="1">
        <v>-6.3100569999999998E-6</v>
      </c>
      <c r="I4525">
        <v>139.3672</v>
      </c>
      <c r="J4525">
        <v>-193.35380000000001</v>
      </c>
      <c r="K4525">
        <v>1.1086530000000001</v>
      </c>
      <c r="L4525">
        <v>162.31559999999999</v>
      </c>
      <c r="M4525">
        <v>-0.19758970000000001</v>
      </c>
      <c r="N4525">
        <v>0</v>
      </c>
      <c r="O4525">
        <v>-0.98019210000000001</v>
      </c>
      <c r="P4525">
        <v>-0.24931790000000001</v>
      </c>
      <c r="Q4525">
        <v>1.822182E-2</v>
      </c>
      <c r="R4525">
        <v>-0.96825050000000001</v>
      </c>
      <c r="S4525">
        <v>-1.6662140000000001</v>
      </c>
      <c r="T4525">
        <v>-0.12860199999999999</v>
      </c>
      <c r="U4525">
        <v>-2.6735989999999998</v>
      </c>
      <c r="V4525">
        <v>5.3188869999999999E-2</v>
      </c>
      <c r="W4525">
        <v>3.1475889999999999E-2</v>
      </c>
      <c r="X4525">
        <v>0.99808830000000004</v>
      </c>
      <c r="Y4525">
        <v>0.35031269999999998</v>
      </c>
      <c r="Z4525">
        <v>4.1443229999999998E-2</v>
      </c>
      <c r="AA4525">
        <v>0.93571550000000003</v>
      </c>
      <c r="AB4525">
        <v>20</v>
      </c>
      <c r="AC4525">
        <v>-14.342699999999899</v>
      </c>
      <c r="AD4525">
        <v>-1.1086593100569999</v>
      </c>
      <c r="AE4525">
        <v>-22.9483999999999</v>
      </c>
      <c r="AF4525">
        <v>9.5091397769421704</v>
      </c>
      <c r="AG4525">
        <v>-1.1086593100569999</v>
      </c>
      <c r="AH4525">
        <v>25.287670721214202</v>
      </c>
      <c r="AI4525">
        <v>92.3498948027338</v>
      </c>
      <c r="AJ4525">
        <v>69.391802763526997</v>
      </c>
      <c r="AK4525">
        <v>27.0392151377911</v>
      </c>
      <c r="AL4525">
        <v>88.196266464961695</v>
      </c>
      <c r="AM4525">
        <v>86.949550648837004</v>
      </c>
      <c r="AN4525">
        <v>1.00000002107002</v>
      </c>
    </row>
    <row r="4526" spans="1:40" x14ac:dyDescent="0.25">
      <c r="A4526" t="str">
        <f>"20190312160423617"</f>
        <v>20190312160423617</v>
      </c>
      <c r="B4526" t="str">
        <f>"1552377863609061"</f>
        <v>1552377863609061</v>
      </c>
      <c r="C4526" t="s">
        <v>40</v>
      </c>
      <c r="D4526">
        <v>5.561007</v>
      </c>
      <c r="E4526">
        <v>0.61870559999999997</v>
      </c>
      <c r="F4526" t="s">
        <v>60</v>
      </c>
      <c r="G4526">
        <v>-207.19890000000001</v>
      </c>
      <c r="H4526" s="1">
        <v>-6.7558520000000003E-6</v>
      </c>
      <c r="I4526">
        <v>140.16739999999999</v>
      </c>
      <c r="J4526">
        <v>-193.39859999999999</v>
      </c>
      <c r="K4526">
        <v>1.1086149999999999</v>
      </c>
      <c r="L4526">
        <v>162.11099999999999</v>
      </c>
      <c r="M4526">
        <v>-0.20042479999999999</v>
      </c>
      <c r="N4526">
        <v>0</v>
      </c>
      <c r="O4526">
        <v>-0.9796165</v>
      </c>
      <c r="P4526">
        <v>-0.25212610000000002</v>
      </c>
      <c r="Q4526">
        <v>1.7796280000000001E-2</v>
      </c>
      <c r="R4526">
        <v>-0.96753089999999997</v>
      </c>
      <c r="S4526">
        <v>-1.6696470000000001</v>
      </c>
      <c r="T4526">
        <v>-0.13369829999999999</v>
      </c>
      <c r="U4526">
        <v>-2.6709589999999999</v>
      </c>
      <c r="V4526">
        <v>5.3196439999999998E-2</v>
      </c>
      <c r="W4526">
        <v>3.104028E-2</v>
      </c>
      <c r="X4526">
        <v>0.99810149999999997</v>
      </c>
      <c r="Y4526">
        <v>0.34884589999999999</v>
      </c>
      <c r="Z4526">
        <v>4.3079039999999999E-2</v>
      </c>
      <c r="AA4526">
        <v>0.93618950000000001</v>
      </c>
      <c r="AB4526">
        <v>20</v>
      </c>
      <c r="AC4526">
        <v>-13.8003</v>
      </c>
      <c r="AD4526">
        <v>-1.108621755852</v>
      </c>
      <c r="AE4526">
        <v>-21.9436</v>
      </c>
      <c r="AF4526">
        <v>9.1051339678658803</v>
      </c>
      <c r="AG4526">
        <v>-1.108621755852</v>
      </c>
      <c r="AH4526">
        <v>24.2201370656589</v>
      </c>
      <c r="AI4526">
        <v>92.453348260434893</v>
      </c>
      <c r="AJ4526">
        <v>69.397133501008994</v>
      </c>
      <c r="AK4526">
        <v>25.898794301079601</v>
      </c>
      <c r="AL4526">
        <v>88.221237212157703</v>
      </c>
      <c r="AM4526">
        <v>86.949157591855695</v>
      </c>
      <c r="AN4526">
        <v>0.99999998225669995</v>
      </c>
    </row>
    <row r="4527" spans="1:40" x14ac:dyDescent="0.25">
      <c r="A4527" t="str">
        <f>"20190312160423629"</f>
        <v>20190312160423629</v>
      </c>
      <c r="B4527" t="str">
        <f>"1552377863619798"</f>
        <v>1552377863619798</v>
      </c>
      <c r="C4527" t="s">
        <v>40</v>
      </c>
      <c r="D4527">
        <v>5.5099499999999999</v>
      </c>
      <c r="E4527">
        <v>0.61866089999999996</v>
      </c>
      <c r="F4527" t="s">
        <v>60</v>
      </c>
      <c r="G4527">
        <v>-207.02430000000001</v>
      </c>
      <c r="H4527" s="1">
        <v>-6.8983539999999999E-6</v>
      </c>
      <c r="I4527">
        <v>140.41380000000001</v>
      </c>
      <c r="J4527">
        <v>-193.42179999999999</v>
      </c>
      <c r="K4527">
        <v>1.1085940000000001</v>
      </c>
      <c r="L4527">
        <v>162.00569999999999</v>
      </c>
      <c r="M4527">
        <v>-0.20190830000000001</v>
      </c>
      <c r="N4527">
        <v>0</v>
      </c>
      <c r="O4527">
        <v>-0.97931210000000002</v>
      </c>
      <c r="P4527">
        <v>-0.25366850000000002</v>
      </c>
      <c r="Q4527">
        <v>1.7315690000000002E-2</v>
      </c>
      <c r="R4527">
        <v>-0.96713649999999995</v>
      </c>
      <c r="S4527">
        <v>-1.6747129999999999</v>
      </c>
      <c r="T4527">
        <v>-0.13625880000000001</v>
      </c>
      <c r="U4527">
        <v>-2.666763</v>
      </c>
      <c r="V4527">
        <v>5.3274050000000003E-2</v>
      </c>
      <c r="W4527">
        <v>3.0554129999999999E-2</v>
      </c>
      <c r="X4527">
        <v>0.99811240000000001</v>
      </c>
      <c r="Y4527">
        <v>0.34934549999999998</v>
      </c>
      <c r="Z4527">
        <v>4.391544E-2</v>
      </c>
      <c r="AA4527">
        <v>0.93596429999999997</v>
      </c>
      <c r="AB4527">
        <v>20</v>
      </c>
      <c r="AC4527">
        <v>-13.602499999999999</v>
      </c>
      <c r="AD4527">
        <v>-1.1086008983540001</v>
      </c>
      <c r="AE4527">
        <v>-21.5918999999999</v>
      </c>
      <c r="AF4527">
        <v>8.9454379219384297</v>
      </c>
      <c r="AG4527">
        <v>-1.1086008983540001</v>
      </c>
      <c r="AH4527">
        <v>23.8488205335366</v>
      </c>
      <c r="AI4527">
        <v>92.492141817218894</v>
      </c>
      <c r="AJ4527">
        <v>69.439468102190602</v>
      </c>
      <c r="AK4527">
        <v>25.495413242540799</v>
      </c>
      <c r="AL4527">
        <v>88.249104843133495</v>
      </c>
      <c r="AM4527">
        <v>86.944748348693594</v>
      </c>
      <c r="AN4527">
        <v>1.0000000211486</v>
      </c>
    </row>
    <row r="4528" spans="1:40" x14ac:dyDescent="0.25">
      <c r="A4528" t="str">
        <f>"20190312160423641"</f>
        <v>20190312160423641</v>
      </c>
      <c r="B4528" t="str">
        <f>"1552377863629558"</f>
        <v>1552377863629558</v>
      </c>
      <c r="C4528" t="s">
        <v>40</v>
      </c>
      <c r="D4528">
        <v>5.4908039999999998</v>
      </c>
      <c r="E4528">
        <v>0.61847220000000003</v>
      </c>
      <c r="F4528" t="s">
        <v>60</v>
      </c>
      <c r="G4528">
        <v>-207.1378</v>
      </c>
      <c r="H4528" s="1">
        <v>-6.8022099999999997E-6</v>
      </c>
      <c r="I4528">
        <v>140.24019999999999</v>
      </c>
      <c r="J4528">
        <v>-193.4451</v>
      </c>
      <c r="K4528">
        <v>1.1085719999999999</v>
      </c>
      <c r="L4528">
        <v>161.9014</v>
      </c>
      <c r="M4528">
        <v>-0.20340459999999999</v>
      </c>
      <c r="N4528">
        <v>0</v>
      </c>
      <c r="O4528">
        <v>-0.97900220000000004</v>
      </c>
      <c r="P4528">
        <v>-0.25527519999999998</v>
      </c>
      <c r="Q4528">
        <v>1.709927E-2</v>
      </c>
      <c r="R4528">
        <v>-0.96671750000000001</v>
      </c>
      <c r="S4528">
        <v>-1.6788179999999999</v>
      </c>
      <c r="T4528">
        <v>-0.13569139999999999</v>
      </c>
      <c r="U4528">
        <v>-2.6640630000000001</v>
      </c>
      <c r="V4528">
        <v>5.3407070000000001E-2</v>
      </c>
      <c r="W4528">
        <v>3.033251E-2</v>
      </c>
      <c r="X4528">
        <v>0.998112</v>
      </c>
      <c r="Y4528">
        <v>0.34937810000000002</v>
      </c>
      <c r="Z4528">
        <v>4.3732750000000001E-2</v>
      </c>
      <c r="AA4528">
        <v>0.93596069999999998</v>
      </c>
      <c r="AB4528">
        <v>20</v>
      </c>
      <c r="AC4528">
        <v>-13.6927</v>
      </c>
      <c r="AD4528">
        <v>-1.1085788022099901</v>
      </c>
      <c r="AE4528">
        <v>-21.661200000000001</v>
      </c>
      <c r="AF4528">
        <v>8.9832002129206003</v>
      </c>
      <c r="AG4528">
        <v>-1.1085788022099901</v>
      </c>
      <c r="AH4528">
        <v>23.9488772417116</v>
      </c>
      <c r="AI4528">
        <v>92.481685569448999</v>
      </c>
      <c r="AJ4528">
        <v>69.438981335688396</v>
      </c>
      <c r="AK4528">
        <v>25.6022568178021</v>
      </c>
      <c r="AL4528">
        <v>88.261808533605802</v>
      </c>
      <c r="AM4528">
        <v>86.937132971386305</v>
      </c>
      <c r="AN4528">
        <v>0.99999997041644195</v>
      </c>
    </row>
    <row r="4529" spans="1:40" x14ac:dyDescent="0.25">
      <c r="A4529" t="str">
        <f>"20190312160423652"</f>
        <v>20190312160423652</v>
      </c>
      <c r="B4529" t="str">
        <f>"1552377863639317"</f>
        <v>1552377863639317</v>
      </c>
      <c r="C4529" t="s">
        <v>40</v>
      </c>
      <c r="D4529">
        <v>5.5408160000000004</v>
      </c>
      <c r="E4529">
        <v>0.61830249999999998</v>
      </c>
      <c r="F4529" t="s">
        <v>60</v>
      </c>
      <c r="G4529">
        <v>-206.92490000000001</v>
      </c>
      <c r="H4529" s="1">
        <v>-6.9827269999999998E-6</v>
      </c>
      <c r="I4529">
        <v>140.56639999999999</v>
      </c>
      <c r="J4529">
        <v>-193.4665</v>
      </c>
      <c r="K4529">
        <v>1.1085529999999999</v>
      </c>
      <c r="L4529">
        <v>161.80609999999999</v>
      </c>
      <c r="M4529">
        <v>-0.20478370000000001</v>
      </c>
      <c r="N4529">
        <v>0</v>
      </c>
      <c r="O4529">
        <v>-0.97871490000000005</v>
      </c>
      <c r="P4529">
        <v>-0.2563317</v>
      </c>
      <c r="Q4529">
        <v>1.668445E-2</v>
      </c>
      <c r="R4529">
        <v>-0.96644509999999995</v>
      </c>
      <c r="S4529">
        <v>-1.681686</v>
      </c>
      <c r="T4529">
        <v>-0.1383026</v>
      </c>
      <c r="U4529">
        <v>-2.6616819999999999</v>
      </c>
      <c r="V4529">
        <v>5.3089789999999998E-2</v>
      </c>
      <c r="W4529">
        <v>2.9914509999999998E-2</v>
      </c>
      <c r="X4529">
        <v>0.99814159999999996</v>
      </c>
      <c r="Y4529">
        <v>0.34913680000000002</v>
      </c>
      <c r="Z4529">
        <v>4.457672E-2</v>
      </c>
      <c r="AA4529">
        <v>0.93601089999999998</v>
      </c>
      <c r="AB4529">
        <v>20</v>
      </c>
      <c r="AC4529">
        <v>-13.458399999999999</v>
      </c>
      <c r="AD4529">
        <v>-1.1085599827270001</v>
      </c>
      <c r="AE4529">
        <v>-21.239699999999999</v>
      </c>
      <c r="AF4529">
        <v>8.8060735385444495</v>
      </c>
      <c r="AG4529">
        <v>-1.1085599827270001</v>
      </c>
      <c r="AH4529">
        <v>23.500123240602399</v>
      </c>
      <c r="AI4529">
        <v>92.529282434976906</v>
      </c>
      <c r="AJ4529">
        <v>69.457791490467699</v>
      </c>
      <c r="AK4529">
        <v>25.120342926103799</v>
      </c>
      <c r="AL4529">
        <v>88.285769143895195</v>
      </c>
      <c r="AM4529">
        <v>86.955384593835603</v>
      </c>
      <c r="AN4529">
        <v>1.0000000286806701</v>
      </c>
    </row>
    <row r="4530" spans="1:40" x14ac:dyDescent="0.25">
      <c r="A4530" t="str">
        <f>"20190312160423664"</f>
        <v>20190312160423664</v>
      </c>
      <c r="B4530" t="str">
        <f>"1552377863659813"</f>
        <v>1552377863659813</v>
      </c>
      <c r="C4530" t="s">
        <v>40</v>
      </c>
      <c r="D4530">
        <v>5.5624200000000004</v>
      </c>
      <c r="E4530">
        <v>0.61767479999999997</v>
      </c>
      <c r="F4530" t="s">
        <v>60</v>
      </c>
      <c r="G4530">
        <v>-206.67080000000001</v>
      </c>
      <c r="H4530" s="1">
        <v>-7.1947190000000002E-6</v>
      </c>
      <c r="I4530">
        <v>140.9426</v>
      </c>
      <c r="J4530">
        <v>-193.49289999999999</v>
      </c>
      <c r="K4530">
        <v>1.108527</v>
      </c>
      <c r="L4530">
        <v>161.68940000000001</v>
      </c>
      <c r="M4530">
        <v>-0.20649410000000001</v>
      </c>
      <c r="N4530">
        <v>0</v>
      </c>
      <c r="O4530">
        <v>-0.97835539999999999</v>
      </c>
      <c r="P4530">
        <v>-0.2577892</v>
      </c>
      <c r="Q4530">
        <v>1.652793E-2</v>
      </c>
      <c r="R4530">
        <v>-0.96606000000000003</v>
      </c>
      <c r="S4530">
        <v>-1.6835329999999999</v>
      </c>
      <c r="T4530">
        <v>-0.14134059999999901</v>
      </c>
      <c r="U4530">
        <v>-2.6600799999999998</v>
      </c>
      <c r="V4530">
        <v>5.285107E-2</v>
      </c>
      <c r="W4530">
        <v>2.9754369999999999E-2</v>
      </c>
      <c r="X4530">
        <v>0.99815909999999997</v>
      </c>
      <c r="Y4530">
        <v>0.34819369999999999</v>
      </c>
      <c r="Z4530">
        <v>4.5552280000000001E-2</v>
      </c>
      <c r="AA4530">
        <v>0.93631520000000001</v>
      </c>
      <c r="AB4530">
        <v>20</v>
      </c>
      <c r="AC4530">
        <v>-13.177899999999999</v>
      </c>
      <c r="AD4530">
        <v>-1.1085341947189999</v>
      </c>
      <c r="AE4530">
        <v>-20.7468</v>
      </c>
      <c r="AF4530">
        <v>8.5918787645567196</v>
      </c>
      <c r="AG4530">
        <v>-1.1085341947189999</v>
      </c>
      <c r="AH4530">
        <v>22.974249950611</v>
      </c>
      <c r="AI4530">
        <v>92.587671850994496</v>
      </c>
      <c r="AJ4530">
        <v>69.495276841677295</v>
      </c>
      <c r="AK4530">
        <v>24.553317282168798</v>
      </c>
      <c r="AL4530">
        <v>88.294948652442102</v>
      </c>
      <c r="AM4530">
        <v>86.969102264475495</v>
      </c>
      <c r="AN4530">
        <v>1.0000000735235199</v>
      </c>
    </row>
    <row r="4531" spans="1:40" x14ac:dyDescent="0.25">
      <c r="A4531" t="str">
        <f>"20190312160423678"</f>
        <v>20190312160423678</v>
      </c>
      <c r="B4531" t="str">
        <f>"1552377863669573"</f>
        <v>1552377863669573</v>
      </c>
      <c r="C4531" t="s">
        <v>40</v>
      </c>
      <c r="D4531">
        <v>5.5386369999999996</v>
      </c>
      <c r="E4531">
        <v>0.61720010000000003</v>
      </c>
      <c r="F4531" t="s">
        <v>60</v>
      </c>
      <c r="G4531">
        <v>-206.48349999999999</v>
      </c>
      <c r="H4531" s="1">
        <v>-7.33598399999999E-6</v>
      </c>
      <c r="I4531">
        <v>141.16319999999999</v>
      </c>
      <c r="J4531">
        <v>-193.5188</v>
      </c>
      <c r="K4531">
        <v>1.108509</v>
      </c>
      <c r="L4531">
        <v>161.57640000000001</v>
      </c>
      <c r="M4531">
        <v>-0.20818210000000001</v>
      </c>
      <c r="N4531">
        <v>0</v>
      </c>
      <c r="O4531">
        <v>-0.97799749999999996</v>
      </c>
      <c r="P4531">
        <v>-0.259266</v>
      </c>
      <c r="Q4531">
        <v>1.623805E-2</v>
      </c>
      <c r="R4531">
        <v>-0.96566940000000001</v>
      </c>
      <c r="S4531">
        <v>-1.6827240000000001</v>
      </c>
      <c r="T4531">
        <v>-0.14359279999999999</v>
      </c>
      <c r="U4531">
        <v>-2.6588440000000002</v>
      </c>
      <c r="V4531">
        <v>5.2654069999999997E-2</v>
      </c>
      <c r="W4531">
        <v>2.946124E-2</v>
      </c>
      <c r="X4531">
        <v>0.99817809999999996</v>
      </c>
      <c r="Y4531">
        <v>0.34655069999999999</v>
      </c>
      <c r="Z4531">
        <v>4.628732E-2</v>
      </c>
      <c r="AA4531">
        <v>0.93688850000000001</v>
      </c>
      <c r="AB4531">
        <v>20</v>
      </c>
      <c r="AC4531">
        <v>-12.964699999999899</v>
      </c>
      <c r="AD4531">
        <v>-1.108516335984</v>
      </c>
      <c r="AE4531">
        <v>-20.4132</v>
      </c>
      <c r="AF4531">
        <v>8.4128667400811104</v>
      </c>
      <c r="AG4531">
        <v>-1.108516335984</v>
      </c>
      <c r="AH4531">
        <v>22.617602907568099</v>
      </c>
      <c r="AI4531">
        <v>92.630111124041406</v>
      </c>
      <c r="AJ4531">
        <v>69.596760672439999</v>
      </c>
      <c r="AK4531">
        <v>24.157009263109099</v>
      </c>
      <c r="AL4531">
        <v>88.311750950454197</v>
      </c>
      <c r="AM4531">
        <v>86.980436224481096</v>
      </c>
      <c r="AN4531">
        <v>0.99999996753475495</v>
      </c>
    </row>
    <row r="4532" spans="1:40" x14ac:dyDescent="0.25">
      <c r="A4532" t="str">
        <f>"20190312160423692"</f>
        <v>20190312160423692</v>
      </c>
      <c r="B4532" t="str">
        <f>"1552377863679334"</f>
        <v>1552377863679334</v>
      </c>
      <c r="C4532" t="s">
        <v>40</v>
      </c>
      <c r="D4532">
        <v>5.5610689999999998</v>
      </c>
      <c r="E4532">
        <v>0.61708890000000005</v>
      </c>
      <c r="F4532" t="s">
        <v>60</v>
      </c>
      <c r="G4532">
        <v>-206.4973</v>
      </c>
      <c r="H4532" s="1">
        <v>-7.3086809999999997E-6</v>
      </c>
      <c r="I4532">
        <v>141.083</v>
      </c>
      <c r="J4532">
        <v>-193.5455</v>
      </c>
      <c r="K4532">
        <v>1.1084849999999999</v>
      </c>
      <c r="L4532">
        <v>161.46039999999999</v>
      </c>
      <c r="M4532">
        <v>-0.20993319999999999</v>
      </c>
      <c r="N4532">
        <v>0</v>
      </c>
      <c r="O4532">
        <v>-0.97762320000000003</v>
      </c>
      <c r="P4532">
        <v>-0.26091799999999998</v>
      </c>
      <c r="Q4532">
        <v>1.60053E-2</v>
      </c>
      <c r="R4532">
        <v>-0.96522859999999999</v>
      </c>
      <c r="S4532">
        <v>-1.6828459999999901</v>
      </c>
      <c r="T4532">
        <v>-0.14373449999999999</v>
      </c>
      <c r="U4532">
        <v>-2.657257</v>
      </c>
      <c r="V4532">
        <v>5.2574320000000001E-2</v>
      </c>
      <c r="W4532">
        <v>2.922483E-2</v>
      </c>
      <c r="X4532">
        <v>0.99818929999999995</v>
      </c>
      <c r="Y4532">
        <v>0.34515279999999998</v>
      </c>
      <c r="Z4532">
        <v>4.6341500000000001E-2</v>
      </c>
      <c r="AA4532">
        <v>0.9374017</v>
      </c>
      <c r="AB4532">
        <v>20</v>
      </c>
      <c r="AC4532">
        <v>-12.951799999999899</v>
      </c>
      <c r="AD4532">
        <v>-1.1084923086809999</v>
      </c>
      <c r="AE4532">
        <v>-20.377399999999898</v>
      </c>
      <c r="AF4532">
        <v>8.3672104835231096</v>
      </c>
      <c r="AG4532">
        <v>-1.1084923086809999</v>
      </c>
      <c r="AH4532">
        <v>22.594857380480999</v>
      </c>
      <c r="AI4532">
        <v>92.634110215187405</v>
      </c>
      <c r="AJ4532">
        <v>69.679662224452599</v>
      </c>
      <c r="AK4532">
        <v>24.1198371992487</v>
      </c>
      <c r="AL4532">
        <v>88.325302159483002</v>
      </c>
      <c r="AM4532">
        <v>86.985034986556997</v>
      </c>
      <c r="AN4532">
        <v>1.0000000142232399</v>
      </c>
    </row>
    <row r="4533" spans="1:40" x14ac:dyDescent="0.25">
      <c r="A4533" t="str">
        <f>"20190312160423705"</f>
        <v>20190312160423705</v>
      </c>
      <c r="B4533" t="str">
        <f>"1552377863699829"</f>
        <v>1552377863699829</v>
      </c>
      <c r="C4533" t="s">
        <v>40</v>
      </c>
      <c r="D4533">
        <v>5.5286960000000001</v>
      </c>
      <c r="E4533">
        <v>0.61668619999999996</v>
      </c>
      <c r="F4533" t="s">
        <v>60</v>
      </c>
      <c r="G4533">
        <v>-206.3175</v>
      </c>
      <c r="H4533" s="1">
        <v>-7.4617259999999902E-6</v>
      </c>
      <c r="I4533">
        <v>141.3605</v>
      </c>
      <c r="J4533">
        <v>-193.57570000000001</v>
      </c>
      <c r="K4533">
        <v>1.1084579999999999</v>
      </c>
      <c r="L4533">
        <v>161.33070000000001</v>
      </c>
      <c r="M4533">
        <v>-0.21192420000000001</v>
      </c>
      <c r="N4533">
        <v>0</v>
      </c>
      <c r="O4533">
        <v>-0.97719370000000005</v>
      </c>
      <c r="P4533">
        <v>-0.26273370000000001</v>
      </c>
      <c r="Q4533">
        <v>1.5754509999999999E-2</v>
      </c>
      <c r="R4533">
        <v>-0.96474009999999999</v>
      </c>
      <c r="S4533">
        <v>-1.686752</v>
      </c>
      <c r="T4533">
        <v>-0.14639540000000001</v>
      </c>
      <c r="U4533">
        <v>-2.6545260000000002</v>
      </c>
      <c r="V4533">
        <v>5.2418949999999999E-2</v>
      </c>
      <c r="W4533">
        <v>2.8969829999999998E-2</v>
      </c>
      <c r="X4533">
        <v>0.99820489999999995</v>
      </c>
      <c r="Y4533">
        <v>0.34463860000000002</v>
      </c>
      <c r="Z4533">
        <v>4.719462E-2</v>
      </c>
      <c r="AA4533">
        <v>0.9375483</v>
      </c>
      <c r="AB4533">
        <v>20</v>
      </c>
      <c r="AC4533">
        <v>-12.7417999999999</v>
      </c>
      <c r="AD4533">
        <v>-1.1084654617259999</v>
      </c>
      <c r="AE4533">
        <v>-19.970199999999998</v>
      </c>
      <c r="AF4533">
        <v>8.2018219947097197</v>
      </c>
      <c r="AG4533">
        <v>-1.1084654617259999</v>
      </c>
      <c r="AH4533">
        <v>22.168516578219201</v>
      </c>
      <c r="AI4533">
        <v>92.684926171821999</v>
      </c>
      <c r="AJ4533">
        <v>69.696729210934393</v>
      </c>
      <c r="AK4533">
        <v>23.663087435741001</v>
      </c>
      <c r="AL4533">
        <v>88.339918764794305</v>
      </c>
      <c r="AM4533">
        <v>86.993975474029597</v>
      </c>
      <c r="AN4533">
        <v>1.0000000098766699</v>
      </c>
    </row>
    <row r="4534" spans="1:40" x14ac:dyDescent="0.25">
      <c r="A4534" t="str">
        <f>"20190312160423717"</f>
        <v>20190312160423717</v>
      </c>
      <c r="B4534" t="str">
        <f>"1552377863709589"</f>
        <v>1552377863709589</v>
      </c>
      <c r="C4534" t="s">
        <v>40</v>
      </c>
      <c r="D4534">
        <v>5.479031</v>
      </c>
      <c r="E4534">
        <v>0.61648639999999999</v>
      </c>
      <c r="F4534" t="s">
        <v>60</v>
      </c>
      <c r="G4534">
        <v>-205.8485</v>
      </c>
      <c r="H4534" s="1">
        <v>-7.8527319999999994E-6</v>
      </c>
      <c r="I4534">
        <v>142.0539</v>
      </c>
      <c r="J4534">
        <v>-193.6009</v>
      </c>
      <c r="K4534">
        <v>1.1084339999999999</v>
      </c>
      <c r="L4534">
        <v>161.22389999999999</v>
      </c>
      <c r="M4534">
        <v>-0.21359300000000001</v>
      </c>
      <c r="N4534">
        <v>0</v>
      </c>
      <c r="O4534">
        <v>-0.97683010000000003</v>
      </c>
      <c r="P4534">
        <v>-0.2640055</v>
      </c>
      <c r="Q4534">
        <v>1.549114E-2</v>
      </c>
      <c r="R4534">
        <v>-0.96439710000000001</v>
      </c>
      <c r="S4534">
        <v>-1.6885829999999999</v>
      </c>
      <c r="T4534">
        <v>-0.1525117</v>
      </c>
      <c r="U4534">
        <v>-2.6522519999999998</v>
      </c>
      <c r="V4534">
        <v>5.2029440000000003E-2</v>
      </c>
      <c r="W4534">
        <v>2.8704339999999998E-2</v>
      </c>
      <c r="X4534">
        <v>0.99823300000000004</v>
      </c>
      <c r="Y4534">
        <v>0.3438079</v>
      </c>
      <c r="Z4534">
        <v>4.9168719999999999E-2</v>
      </c>
      <c r="AA4534">
        <v>0.93775189999999997</v>
      </c>
      <c r="AB4534">
        <v>20</v>
      </c>
      <c r="AC4534">
        <v>-12.2476</v>
      </c>
      <c r="AD4534">
        <v>-1.1084418527319999</v>
      </c>
      <c r="AE4534">
        <v>-19.169999999999899</v>
      </c>
      <c r="AF4534">
        <v>7.8513179443582199</v>
      </c>
      <c r="AG4534">
        <v>-1.1084418527319999</v>
      </c>
      <c r="AH4534">
        <v>21.293211341106002</v>
      </c>
      <c r="AI4534">
        <v>92.796200971252205</v>
      </c>
      <c r="AJ4534">
        <v>69.7598591813599</v>
      </c>
      <c r="AK4534">
        <v>22.721634756797201</v>
      </c>
      <c r="AL4534">
        <v>88.355136635692205</v>
      </c>
      <c r="AM4534">
        <v>87.016355696710903</v>
      </c>
      <c r="AN4534">
        <v>1.00000006202527</v>
      </c>
    </row>
    <row r="4535" spans="1:40" x14ac:dyDescent="0.25">
      <c r="A4535" t="str">
        <f>"20190312160423739"</f>
        <v>20190312160423739</v>
      </c>
      <c r="B4535" t="str">
        <f>"1552377863729110"</f>
        <v>1552377863729110</v>
      </c>
      <c r="C4535" t="s">
        <v>40</v>
      </c>
      <c r="D4535">
        <v>5.5668139999999999</v>
      </c>
      <c r="E4535">
        <v>0.61623719999999904</v>
      </c>
      <c r="F4535" t="s">
        <v>60</v>
      </c>
      <c r="G4535">
        <v>-205.75909999999999</v>
      </c>
      <c r="H4535" s="1">
        <v>-7.9209239999999997E-6</v>
      </c>
      <c r="I4535">
        <v>142.16210000000001</v>
      </c>
      <c r="J4535">
        <v>-193.64609999999999</v>
      </c>
      <c r="K4535">
        <v>1.1083940000000001</v>
      </c>
      <c r="L4535">
        <v>161.03399999999999</v>
      </c>
      <c r="M4535">
        <v>-0.21660380000000001</v>
      </c>
      <c r="N4535">
        <v>0</v>
      </c>
      <c r="O4535">
        <v>-0.9761668</v>
      </c>
      <c r="P4535">
        <v>-0.26664369999999998</v>
      </c>
      <c r="Q4535">
        <v>1.5211219999999999E-2</v>
      </c>
      <c r="R4535">
        <v>-0.96367530000000001</v>
      </c>
      <c r="S4535">
        <v>-1.6905209999999999</v>
      </c>
      <c r="T4535">
        <v>-0.15412120000000001</v>
      </c>
      <c r="U4535">
        <v>-2.6504059999999998</v>
      </c>
      <c r="V4535">
        <v>5.168391E-2</v>
      </c>
      <c r="W4535">
        <v>2.842074E-2</v>
      </c>
      <c r="X4535">
        <v>0.99825900000000001</v>
      </c>
      <c r="Y4535">
        <v>0.34168179999999998</v>
      </c>
      <c r="Z4535">
        <v>4.9675900000000002E-2</v>
      </c>
      <c r="AA4535">
        <v>0.9385019</v>
      </c>
      <c r="AB4535">
        <v>20</v>
      </c>
      <c r="AC4535">
        <v>-12.113</v>
      </c>
      <c r="AD4535">
        <v>-1.1084019209239999</v>
      </c>
      <c r="AE4535">
        <v>-18.871899999999901</v>
      </c>
      <c r="AF4535">
        <v>7.7184274602504104</v>
      </c>
      <c r="AG4535">
        <v>-1.1084019209239999</v>
      </c>
      <c r="AH4535">
        <v>20.9964549771741</v>
      </c>
      <c r="AI4535">
        <v>92.836581551949493</v>
      </c>
      <c r="AJ4535">
        <v>69.816258267849705</v>
      </c>
      <c r="AK4535">
        <v>22.3976293139688</v>
      </c>
      <c r="AL4535">
        <v>88.371392245796898</v>
      </c>
      <c r="AM4535">
        <v>87.036211831741994</v>
      </c>
      <c r="AN4535">
        <v>0.99999999804801698</v>
      </c>
    </row>
    <row r="4536" spans="1:40" x14ac:dyDescent="0.25">
      <c r="A4536" t="str">
        <f>"20190312160423750"</f>
        <v>20190312160423750</v>
      </c>
      <c r="B4536" t="str">
        <f>"1552377863739845"</f>
        <v>1552377863739845</v>
      </c>
      <c r="C4536" t="s">
        <v>40</v>
      </c>
      <c r="D4536">
        <v>5.578856</v>
      </c>
      <c r="E4536">
        <v>0.61618070000000003</v>
      </c>
      <c r="F4536" t="s">
        <v>60</v>
      </c>
      <c r="G4536">
        <v>-205.5823</v>
      </c>
      <c r="H4536" s="1">
        <v>-8.0647420000000008E-6</v>
      </c>
      <c r="I4536">
        <v>142.40989999999999</v>
      </c>
      <c r="J4536">
        <v>-193.6694</v>
      </c>
      <c r="K4536">
        <v>1.1083730000000001</v>
      </c>
      <c r="L4536">
        <v>160.93690000000001</v>
      </c>
      <c r="M4536">
        <v>-0.2181641</v>
      </c>
      <c r="N4536">
        <v>0</v>
      </c>
      <c r="O4536">
        <v>-0.97581929999999995</v>
      </c>
      <c r="P4536">
        <v>-0.2680247</v>
      </c>
      <c r="Q4536">
        <v>1.539275E-2</v>
      </c>
      <c r="R4536">
        <v>-0.96328939999999996</v>
      </c>
      <c r="S4536">
        <v>-1.695999</v>
      </c>
      <c r="T4536">
        <v>-0.15749160000000001</v>
      </c>
      <c r="U4536">
        <v>-2.6462859999999999</v>
      </c>
      <c r="V4536">
        <v>5.1521379999999999E-2</v>
      </c>
      <c r="W4536">
        <v>2.8599960000000001E-2</v>
      </c>
      <c r="X4536">
        <v>0.99826230000000005</v>
      </c>
      <c r="Y4536">
        <v>0.34218999999999999</v>
      </c>
      <c r="Z4536">
        <v>5.07675E-2</v>
      </c>
      <c r="AA4536">
        <v>0.93825829999999999</v>
      </c>
      <c r="AB4536">
        <v>20</v>
      </c>
      <c r="AC4536">
        <v>-11.9129</v>
      </c>
      <c r="AD4536">
        <v>-1.108381064742</v>
      </c>
      <c r="AE4536">
        <v>-18.527000000000001</v>
      </c>
      <c r="AF4536">
        <v>7.56444405638406</v>
      </c>
      <c r="AG4536">
        <v>-1.108381064742</v>
      </c>
      <c r="AH4536">
        <v>20.627612203130901</v>
      </c>
      <c r="AI4536">
        <v>92.887994932230797</v>
      </c>
      <c r="AJ4536">
        <v>69.861281833196898</v>
      </c>
      <c r="AK4536">
        <v>21.998811505842699</v>
      </c>
      <c r="AL4536">
        <v>88.361119547984998</v>
      </c>
      <c r="AM4536">
        <v>87.045525244602004</v>
      </c>
      <c r="AN4536">
        <v>1.00000001495519</v>
      </c>
    </row>
    <row r="4537" spans="1:40" x14ac:dyDescent="0.25">
      <c r="A4537" t="str">
        <f>"20190312160423761"</f>
        <v>20190312160423761</v>
      </c>
      <c r="B4537" t="str">
        <f>"1552377863749605"</f>
        <v>1552377863749605</v>
      </c>
      <c r="C4537" t="s">
        <v>40</v>
      </c>
      <c r="D4537">
        <v>5.4472120000000004</v>
      </c>
      <c r="E4537">
        <v>0.61590919999999905</v>
      </c>
      <c r="F4537" t="s">
        <v>60</v>
      </c>
      <c r="G4537">
        <v>-205.7645</v>
      </c>
      <c r="H4537" s="1">
        <v>-7.9076500000000004E-6</v>
      </c>
      <c r="I4537">
        <v>142.1208</v>
      </c>
      <c r="J4537">
        <v>-193.6926</v>
      </c>
      <c r="K4537">
        <v>1.1083559999999999</v>
      </c>
      <c r="L4537">
        <v>160.84180000000001</v>
      </c>
      <c r="M4537">
        <v>-0.2197144</v>
      </c>
      <c r="N4537">
        <v>0</v>
      </c>
      <c r="O4537">
        <v>-0.97547159999999999</v>
      </c>
      <c r="P4537">
        <v>-0.26959689999999997</v>
      </c>
      <c r="Q4537">
        <v>1.486558E-2</v>
      </c>
      <c r="R4537">
        <v>-0.96285889999999996</v>
      </c>
      <c r="S4537">
        <v>-1.6995389999999999</v>
      </c>
      <c r="T4537">
        <v>-0.15574460000000001</v>
      </c>
      <c r="U4537">
        <v>-2.6439509999999999</v>
      </c>
      <c r="V4537">
        <v>5.1561799999999998E-2</v>
      </c>
      <c r="W4537">
        <v>2.806993E-2</v>
      </c>
      <c r="X4537">
        <v>0.99827520000000003</v>
      </c>
      <c r="Y4537">
        <v>0.34197860000000002</v>
      </c>
      <c r="Z4537">
        <v>5.0201580000000003E-2</v>
      </c>
      <c r="AA4537">
        <v>0.93836580000000003</v>
      </c>
      <c r="AB4537">
        <v>20</v>
      </c>
      <c r="AC4537">
        <v>-12.071899999999999</v>
      </c>
      <c r="AD4537">
        <v>-1.10836390764999</v>
      </c>
      <c r="AE4537">
        <v>-18.721</v>
      </c>
      <c r="AF4537">
        <v>7.6442897311844504</v>
      </c>
      <c r="AG4537">
        <v>-1.10836390764999</v>
      </c>
      <c r="AH4537">
        <v>20.864409841844999</v>
      </c>
      <c r="AI4537">
        <v>92.855537134891094</v>
      </c>
      <c r="AJ4537">
        <v>69.878207041581206</v>
      </c>
      <c r="AK4537">
        <v>22.248308567047399</v>
      </c>
      <c r="AL4537">
        <v>88.3915001358653</v>
      </c>
      <c r="AM4537">
        <v>87.043249626532301</v>
      </c>
      <c r="AN4537">
        <v>0.99999995756224103</v>
      </c>
    </row>
    <row r="4538" spans="1:40" x14ac:dyDescent="0.25">
      <c r="A4538" t="str">
        <f>"20190312160423773"</f>
        <v>20190312160423773</v>
      </c>
      <c r="B4538" t="str">
        <f>"1552377863759365"</f>
        <v>1552377863759365</v>
      </c>
      <c r="C4538" t="s">
        <v>40</v>
      </c>
      <c r="D4538">
        <v>5.5332210000000002</v>
      </c>
      <c r="E4538">
        <v>0.61554010000000003</v>
      </c>
      <c r="F4538" t="s">
        <v>60</v>
      </c>
      <c r="G4538">
        <v>-205.73490000000001</v>
      </c>
      <c r="H4538" s="1">
        <v>-7.9275770000000006E-6</v>
      </c>
      <c r="I4538">
        <v>142.14670000000001</v>
      </c>
      <c r="J4538">
        <v>-193.7166</v>
      </c>
      <c r="K4538">
        <v>1.1083430000000001</v>
      </c>
      <c r="L4538">
        <v>160.7433</v>
      </c>
      <c r="M4538">
        <v>-0.22133220000000001</v>
      </c>
      <c r="N4538">
        <v>0</v>
      </c>
      <c r="O4538">
        <v>-0.97510580000000002</v>
      </c>
      <c r="P4538">
        <v>-0.27138379999999901</v>
      </c>
      <c r="Q4538">
        <v>1.474175E-2</v>
      </c>
      <c r="R4538">
        <v>-0.96235879999999996</v>
      </c>
      <c r="S4538">
        <v>-1.70163</v>
      </c>
      <c r="T4538">
        <v>-0.1566157</v>
      </c>
      <c r="U4538">
        <v>-2.6416930000000001</v>
      </c>
      <c r="V4538">
        <v>5.175913E-2</v>
      </c>
      <c r="W4538">
        <v>2.7942660000000001E-2</v>
      </c>
      <c r="X4538">
        <v>0.99826859999999995</v>
      </c>
      <c r="Y4538">
        <v>0.34130189999999999</v>
      </c>
      <c r="Z4538">
        <v>5.048594E-2</v>
      </c>
      <c r="AA4538">
        <v>0.93859700000000001</v>
      </c>
      <c r="AB4538">
        <v>20</v>
      </c>
      <c r="AC4538">
        <v>-12.0183</v>
      </c>
      <c r="AD4538">
        <v>-1.108350927577</v>
      </c>
      <c r="AE4538">
        <v>-18.596599999999899</v>
      </c>
      <c r="AF4538">
        <v>7.5847702044155696</v>
      </c>
      <c r="AG4538">
        <v>-1.108350927577</v>
      </c>
      <c r="AH4538">
        <v>20.7435929177907</v>
      </c>
      <c r="AI4538">
        <v>92.872787969433006</v>
      </c>
      <c r="AJ4538">
        <v>69.915364219046197</v>
      </c>
      <c r="AK4538">
        <v>22.114561446510098</v>
      </c>
      <c r="AL4538">
        <v>88.398795097477802</v>
      </c>
      <c r="AM4538">
        <v>87.031934577447103</v>
      </c>
      <c r="AN4538">
        <v>0.99999999876609602</v>
      </c>
    </row>
    <row r="4539" spans="1:40" x14ac:dyDescent="0.25">
      <c r="A4539" t="str">
        <f>"20190312160423784"</f>
        <v>20190312160423784</v>
      </c>
      <c r="B4539" t="str">
        <f>"1552377863779863"</f>
        <v>1552377863779863</v>
      </c>
      <c r="C4539" t="s">
        <v>40</v>
      </c>
      <c r="D4539">
        <v>5.4671339999999997</v>
      </c>
      <c r="E4539">
        <v>0.61504219999999998</v>
      </c>
      <c r="F4539" t="s">
        <v>60</v>
      </c>
      <c r="G4539">
        <v>-205.83179999999999</v>
      </c>
      <c r="H4539" s="1">
        <v>-7.8391310000000007E-6</v>
      </c>
      <c r="I4539">
        <v>141.9743</v>
      </c>
      <c r="J4539">
        <v>-193.74379999999999</v>
      </c>
      <c r="K4539">
        <v>1.108325</v>
      </c>
      <c r="L4539">
        <v>160.63319999999999</v>
      </c>
      <c r="M4539">
        <v>-0.22315760000000001</v>
      </c>
      <c r="N4539">
        <v>0</v>
      </c>
      <c r="O4539">
        <v>-0.97468960000000004</v>
      </c>
      <c r="P4539">
        <v>-0.27331040000000001</v>
      </c>
      <c r="Q4539">
        <v>1.4593109999999999E-2</v>
      </c>
      <c r="R4539">
        <v>-0.96181519999999998</v>
      </c>
      <c r="S4539">
        <v>-1.7036290000000001</v>
      </c>
      <c r="T4539">
        <v>-0.1558561</v>
      </c>
      <c r="U4539">
        <v>-2.639297</v>
      </c>
      <c r="V4539">
        <v>5.1889009999999999E-2</v>
      </c>
      <c r="W4539">
        <v>2.779061E-2</v>
      </c>
      <c r="X4539">
        <v>0.99826610000000005</v>
      </c>
      <c r="Y4539">
        <v>0.34043830000000003</v>
      </c>
      <c r="Z4539">
        <v>5.0246600000000002E-2</v>
      </c>
      <c r="AA4539">
        <v>0.93892330000000002</v>
      </c>
      <c r="AB4539">
        <v>20</v>
      </c>
      <c r="AC4539">
        <v>-12.0879999999999</v>
      </c>
      <c r="AD4539">
        <v>-1.1083328391309999</v>
      </c>
      <c r="AE4539">
        <v>-18.6588999999999</v>
      </c>
      <c r="AF4539">
        <v>7.5999736476945099</v>
      </c>
      <c r="AG4539">
        <v>-1.1083328391309999</v>
      </c>
      <c r="AH4539">
        <v>20.834275097755899</v>
      </c>
      <c r="AI4539">
        <v>92.861051269815107</v>
      </c>
      <c r="AJ4539">
        <v>69.95892829297</v>
      </c>
      <c r="AK4539">
        <v>22.2048422641756</v>
      </c>
      <c r="AL4539">
        <v>88.407510302328902</v>
      </c>
      <c r="AM4539">
        <v>87.024492692912204</v>
      </c>
      <c r="AN4539">
        <v>0.99999999688608099</v>
      </c>
    </row>
    <row r="4540" spans="1:40" x14ac:dyDescent="0.25">
      <c r="A4540" t="str">
        <f>"20190312160423796"</f>
        <v>20190312160423796</v>
      </c>
      <c r="B4540" t="str">
        <f>"1552377863789622"</f>
        <v>1552377863789622</v>
      </c>
      <c r="C4540" t="s">
        <v>40</v>
      </c>
      <c r="D4540">
        <v>5.5252369999999997</v>
      </c>
      <c r="E4540">
        <v>0.61501939999999999</v>
      </c>
      <c r="F4540" t="s">
        <v>60</v>
      </c>
      <c r="G4540">
        <v>-206.06389999999999</v>
      </c>
      <c r="H4540" s="1">
        <v>-7.6322760000000008E-6</v>
      </c>
      <c r="I4540">
        <v>141.58070000000001</v>
      </c>
      <c r="J4540">
        <v>-193.76779999999999</v>
      </c>
      <c r="K4540">
        <v>1.108311</v>
      </c>
      <c r="L4540">
        <v>160.5367</v>
      </c>
      <c r="M4540">
        <v>-0.22477810000000001</v>
      </c>
      <c r="N4540">
        <v>0</v>
      </c>
      <c r="O4540">
        <v>-0.97431730000000005</v>
      </c>
      <c r="P4540">
        <v>-0.2751595</v>
      </c>
      <c r="Q4540">
        <v>1.4453229999999999E-2</v>
      </c>
      <c r="R4540">
        <v>-0.96129019999999998</v>
      </c>
      <c r="S4540">
        <v>-1.705139</v>
      </c>
      <c r="T4540">
        <v>-0.15339539999999999</v>
      </c>
      <c r="U4540">
        <v>-2.6369020000000001</v>
      </c>
      <c r="V4540">
        <v>5.2148600000000003E-2</v>
      </c>
      <c r="W4540">
        <v>2.764523E-2</v>
      </c>
      <c r="X4540">
        <v>0.99825660000000005</v>
      </c>
      <c r="Y4540">
        <v>0.33966429999999997</v>
      </c>
      <c r="Z4540">
        <v>4.9464910000000001E-2</v>
      </c>
      <c r="AA4540">
        <v>0.93924510000000005</v>
      </c>
      <c r="AB4540">
        <v>20</v>
      </c>
      <c r="AC4540">
        <v>-12.2960999999999</v>
      </c>
      <c r="AD4540">
        <v>-1.1083186322759999</v>
      </c>
      <c r="AE4540">
        <v>-18.9559999999999</v>
      </c>
      <c r="AF4540">
        <v>7.7015757273657197</v>
      </c>
      <c r="AG4540">
        <v>-1.1083186322759999</v>
      </c>
      <c r="AH4540">
        <v>21.183999634554201</v>
      </c>
      <c r="AI4540">
        <v>92.814966621322597</v>
      </c>
      <c r="AJ4540">
        <v>70.020947055366506</v>
      </c>
      <c r="AK4540">
        <v>22.567775242406899</v>
      </c>
      <c r="AL4540">
        <v>88.415843149265001</v>
      </c>
      <c r="AM4540">
        <v>87.0096053886692</v>
      </c>
      <c r="AN4540">
        <v>0.99999998733363604</v>
      </c>
    </row>
    <row r="4541" spans="1:40" x14ac:dyDescent="0.25">
      <c r="A4541" t="str">
        <f>"20190312160423817"</f>
        <v>20190312160423817</v>
      </c>
      <c r="B4541" t="str">
        <f>"1552377863809145"</f>
        <v>1552377863809145</v>
      </c>
      <c r="C4541" t="s">
        <v>40</v>
      </c>
      <c r="D4541">
        <v>5.3734849999999996</v>
      </c>
      <c r="E4541">
        <v>0.61482079999999995</v>
      </c>
      <c r="F4541" t="s">
        <v>60</v>
      </c>
      <c r="G4541">
        <v>-206.0874</v>
      </c>
      <c r="H4541" s="1">
        <v>-7.6178299999999997E-6</v>
      </c>
      <c r="I4541">
        <v>141.56530000000001</v>
      </c>
      <c r="J4541">
        <v>-193.81620000000001</v>
      </c>
      <c r="K4541">
        <v>1.1082890000000001</v>
      </c>
      <c r="L4541">
        <v>160.3443</v>
      </c>
      <c r="M4541">
        <v>-0.228044</v>
      </c>
      <c r="N4541">
        <v>0</v>
      </c>
      <c r="O4541">
        <v>-0.97355800000000003</v>
      </c>
      <c r="P4541">
        <v>-0.27792149999999999</v>
      </c>
      <c r="Q4541">
        <v>1.4546389999999999E-2</v>
      </c>
      <c r="R4541">
        <v>-0.96049410000000002</v>
      </c>
      <c r="S4541">
        <v>-1.7101900000000001</v>
      </c>
      <c r="T4541">
        <v>-0.15385570000000001</v>
      </c>
      <c r="U4541">
        <v>-2.633591</v>
      </c>
      <c r="V4541">
        <v>5.1672719999999998E-2</v>
      </c>
      <c r="W4541">
        <v>2.7730069999999999E-2</v>
      </c>
      <c r="X4541">
        <v>0.99827900000000003</v>
      </c>
      <c r="Y4541">
        <v>0.33831299999999997</v>
      </c>
      <c r="Z4541">
        <v>4.9596109999999999E-2</v>
      </c>
      <c r="AA4541">
        <v>0.93972579999999994</v>
      </c>
      <c r="AB4541">
        <v>20</v>
      </c>
      <c r="AC4541">
        <v>-12.271199999999901</v>
      </c>
      <c r="AD4541">
        <v>-1.10829661782999</v>
      </c>
      <c r="AE4541">
        <v>-18.779</v>
      </c>
      <c r="AF4541">
        <v>7.6463158445968702</v>
      </c>
      <c r="AG4541">
        <v>-1.10829661782999</v>
      </c>
      <c r="AH4541">
        <v>21.031390038562101</v>
      </c>
      <c r="AI4541">
        <v>92.835293753656401</v>
      </c>
      <c r="AJ4541">
        <v>70.020412166868098</v>
      </c>
      <c r="AK4541">
        <v>22.405665228744098</v>
      </c>
      <c r="AL4541">
        <v>88.410980322054996</v>
      </c>
      <c r="AM4541">
        <v>87.036911632380296</v>
      </c>
      <c r="AN4541">
        <v>0.99999999430770103</v>
      </c>
    </row>
    <row r="4542" spans="1:40" x14ac:dyDescent="0.25">
      <c r="A4542" t="str">
        <f>"20190312160423828"</f>
        <v>20190312160423828</v>
      </c>
      <c r="B4542" t="str">
        <f>"1552377863819878"</f>
        <v>1552377863819878</v>
      </c>
      <c r="C4542" t="s">
        <v>40</v>
      </c>
      <c r="D4542">
        <v>5.4029610000000003</v>
      </c>
      <c r="E4542">
        <v>0.61473679999999997</v>
      </c>
      <c r="F4542" t="s">
        <v>60</v>
      </c>
      <c r="G4542">
        <v>-206.1035</v>
      </c>
      <c r="H4542" s="1">
        <v>-7.599115E-6</v>
      </c>
      <c r="I4542">
        <v>141.5215</v>
      </c>
      <c r="J4542">
        <v>-193.84049999999999</v>
      </c>
      <c r="K4542">
        <v>1.108274</v>
      </c>
      <c r="L4542">
        <v>160.24860000000001</v>
      </c>
      <c r="M4542">
        <v>-0.22968250000000001</v>
      </c>
      <c r="N4542">
        <v>0</v>
      </c>
      <c r="O4542">
        <v>-0.97317279999999995</v>
      </c>
      <c r="P4542">
        <v>-0.27939540000000002</v>
      </c>
      <c r="Q4542">
        <v>1.4562230000000001E-2</v>
      </c>
      <c r="R4542">
        <v>-0.96006579999999997</v>
      </c>
      <c r="S4542">
        <v>-1.716278</v>
      </c>
      <c r="T4542">
        <v>-0.15480629999999901</v>
      </c>
      <c r="U4542">
        <v>-2.6291500000000001</v>
      </c>
      <c r="V4542">
        <v>5.1525370000000001E-2</v>
      </c>
      <c r="W4542">
        <v>2.7739610000000001E-2</v>
      </c>
      <c r="X4542">
        <v>0.99828640000000002</v>
      </c>
      <c r="Y4542">
        <v>0.33897260000000001</v>
      </c>
      <c r="Z4542">
        <v>4.9907399999999998E-2</v>
      </c>
      <c r="AA4542">
        <v>0.93947159999999996</v>
      </c>
      <c r="AB4542">
        <v>20</v>
      </c>
      <c r="AC4542">
        <v>-12.263</v>
      </c>
      <c r="AD4542">
        <v>-1.1082815991149999</v>
      </c>
      <c r="AE4542">
        <v>-18.7271</v>
      </c>
      <c r="AF4542">
        <v>7.6147547184057398</v>
      </c>
      <c r="AG4542">
        <v>-1.1082815991149999</v>
      </c>
      <c r="AH4542">
        <v>20.991745541826099</v>
      </c>
      <c r="AI4542">
        <v>92.841344599540193</v>
      </c>
      <c r="AJ4542">
        <v>70.061762410272294</v>
      </c>
      <c r="AK4542">
        <v>22.357686785917601</v>
      </c>
      <c r="AL4542">
        <v>88.410433587497195</v>
      </c>
      <c r="AM4542">
        <v>87.045368049116107</v>
      </c>
      <c r="AN4542">
        <v>1.0000000430707701</v>
      </c>
    </row>
    <row r="4543" spans="1:40" x14ac:dyDescent="0.25">
      <c r="A4543" t="str">
        <f>"20190312160423839"</f>
        <v>20190312160423839</v>
      </c>
      <c r="B4543" t="str">
        <f>"1552377863829637"</f>
        <v>1552377863829637</v>
      </c>
      <c r="C4543" t="s">
        <v>40</v>
      </c>
      <c r="D4543">
        <v>5.3357039999999998</v>
      </c>
      <c r="E4543">
        <v>0.61468129999999999</v>
      </c>
      <c r="F4543" t="s">
        <v>60</v>
      </c>
      <c r="G4543">
        <v>-206.0795</v>
      </c>
      <c r="H4543" s="1">
        <v>-7.6195139999999996E-6</v>
      </c>
      <c r="I4543">
        <v>141.55840000000001</v>
      </c>
      <c r="J4543">
        <v>-193.86519999999999</v>
      </c>
      <c r="K4543">
        <v>1.10826</v>
      </c>
      <c r="L4543">
        <v>160.15260000000001</v>
      </c>
      <c r="M4543">
        <v>-0.23134299999999999</v>
      </c>
      <c r="N4543">
        <v>0</v>
      </c>
      <c r="O4543">
        <v>-0.97277950000000002</v>
      </c>
      <c r="P4543">
        <v>-0.2807405</v>
      </c>
      <c r="Q4543">
        <v>1.4047540000000001E-2</v>
      </c>
      <c r="R4543">
        <v>-0.95968089999999995</v>
      </c>
      <c r="S4543">
        <v>-1.719986</v>
      </c>
      <c r="T4543">
        <v>-0.15575129999999901</v>
      </c>
      <c r="U4543">
        <v>-2.6266020000000001</v>
      </c>
      <c r="V4543">
        <v>5.1216999999999999E-2</v>
      </c>
      <c r="W4543">
        <v>2.7220520000000002E-2</v>
      </c>
      <c r="X4543">
        <v>0.99831650000000005</v>
      </c>
      <c r="Y4543">
        <v>0.33870479999999997</v>
      </c>
      <c r="Z4543">
        <v>5.0206220000000003E-2</v>
      </c>
      <c r="AA4543">
        <v>0.93955219999999995</v>
      </c>
      <c r="AB4543">
        <v>20</v>
      </c>
      <c r="AC4543">
        <v>-12.2143</v>
      </c>
      <c r="AD4543">
        <v>-1.108267619514</v>
      </c>
      <c r="AE4543">
        <v>-18.594200000000001</v>
      </c>
      <c r="AF4543">
        <v>7.5621001194116397</v>
      </c>
      <c r="AG4543">
        <v>-1.108267619514</v>
      </c>
      <c r="AH4543">
        <v>20.863859659035601</v>
      </c>
      <c r="AI4543">
        <v>92.858970539586096</v>
      </c>
      <c r="AJ4543">
        <v>70.076965555123294</v>
      </c>
      <c r="AK4543">
        <v>22.2196817079904</v>
      </c>
      <c r="AL4543">
        <v>88.4401863998051</v>
      </c>
      <c r="AM4543">
        <v>87.063108330660995</v>
      </c>
      <c r="AN4543">
        <v>0.99999998598516004</v>
      </c>
    </row>
    <row r="4544" spans="1:40" x14ac:dyDescent="0.25">
      <c r="A4544" t="str">
        <f>"20190312160423854"</f>
        <v>20190312160423854</v>
      </c>
      <c r="B4544" t="str">
        <f>"1552377863839398"</f>
        <v>1552377863839398</v>
      </c>
      <c r="C4544" t="s">
        <v>40</v>
      </c>
      <c r="D4544">
        <v>5.3066149999999999</v>
      </c>
      <c r="E4544">
        <v>0.61457569999999995</v>
      </c>
      <c r="F4544" t="s">
        <v>60</v>
      </c>
      <c r="G4544">
        <v>-205.84010000000001</v>
      </c>
      <c r="H4544" s="1">
        <v>-7.8193709999999906E-6</v>
      </c>
      <c r="I4544">
        <v>141.9135</v>
      </c>
      <c r="J4544">
        <v>-193.8896</v>
      </c>
      <c r="K4544">
        <v>1.1082510000000001</v>
      </c>
      <c r="L4544">
        <v>160.0581</v>
      </c>
      <c r="M4544">
        <v>-0.23298450000000001</v>
      </c>
      <c r="N4544">
        <v>0</v>
      </c>
      <c r="O4544">
        <v>-0.97238760000000002</v>
      </c>
      <c r="P4544">
        <v>-0.28248459999999997</v>
      </c>
      <c r="Q4544">
        <v>1.3984450000000001E-2</v>
      </c>
      <c r="R4544">
        <v>-0.95916979999999996</v>
      </c>
      <c r="S4544">
        <v>-1.723007</v>
      </c>
      <c r="T4544">
        <v>-0.15946289999999999</v>
      </c>
      <c r="U4544">
        <v>-2.6243439999999998</v>
      </c>
      <c r="V4544">
        <v>5.134706E-2</v>
      </c>
      <c r="W4544">
        <v>2.7150460000000001E-2</v>
      </c>
      <c r="X4544">
        <v>0.99831179999999997</v>
      </c>
      <c r="Y4544">
        <v>0.33820990000000001</v>
      </c>
      <c r="Z4544">
        <v>5.1395040000000003E-2</v>
      </c>
      <c r="AA4544">
        <v>0.93966620000000001</v>
      </c>
      <c r="AB4544">
        <v>20</v>
      </c>
      <c r="AC4544">
        <v>-11.9505</v>
      </c>
      <c r="AD4544">
        <v>-1.1082588193709999</v>
      </c>
      <c r="AE4544">
        <v>-18.144600000000001</v>
      </c>
      <c r="AF4544">
        <v>7.3745865905137</v>
      </c>
      <c r="AG4544">
        <v>-1.1082588193709999</v>
      </c>
      <c r="AH4544">
        <v>20.376690388162999</v>
      </c>
      <c r="AI4544">
        <v>92.927684898662804</v>
      </c>
      <c r="AJ4544">
        <v>70.104157679691696</v>
      </c>
      <c r="AK4544">
        <v>21.6984394869021</v>
      </c>
      <c r="AL4544">
        <v>88.444202140002602</v>
      </c>
      <c r="AM4544">
        <v>87.055649682583706</v>
      </c>
      <c r="AN4544">
        <v>1.0000000590340401</v>
      </c>
    </row>
    <row r="4545" spans="1:40" x14ac:dyDescent="0.25">
      <c r="A4545" t="str">
        <f>"20190312160423866"</f>
        <v>20190312160423866</v>
      </c>
      <c r="B4545" t="str">
        <f>"1552377863859893"</f>
        <v>1552377863859893</v>
      </c>
      <c r="C4545" t="s">
        <v>40</v>
      </c>
      <c r="D4545">
        <v>5.2718970000000001</v>
      </c>
      <c r="E4545">
        <v>0.61448849999999999</v>
      </c>
      <c r="F4545" t="s">
        <v>60</v>
      </c>
      <c r="G4545">
        <v>-205.82660000000001</v>
      </c>
      <c r="H4545" s="1">
        <v>-7.8317619999999995E-6</v>
      </c>
      <c r="I4545">
        <v>141.93770000000001</v>
      </c>
      <c r="J4545">
        <v>-193.92660000000001</v>
      </c>
      <c r="K4545">
        <v>1.108239</v>
      </c>
      <c r="L4545">
        <v>159.91630000000001</v>
      </c>
      <c r="M4545">
        <v>-0.23546500000000001</v>
      </c>
      <c r="N4545">
        <v>0</v>
      </c>
      <c r="O4545">
        <v>-0.97179040000000005</v>
      </c>
      <c r="P4545">
        <v>-0.28468890000000002</v>
      </c>
      <c r="Q4545">
        <v>1.3775580000000001E-2</v>
      </c>
      <c r="R4545">
        <v>-0.95852119999999996</v>
      </c>
      <c r="S4545">
        <v>-1.7269129999999999</v>
      </c>
      <c r="T4545">
        <v>-0.16033069999999999</v>
      </c>
      <c r="U4545">
        <v>-2.6214599999999999</v>
      </c>
      <c r="V4545">
        <v>5.1093649999999997E-2</v>
      </c>
      <c r="W4545">
        <v>2.6934530000000002E-2</v>
      </c>
      <c r="X4545">
        <v>0.99833059999999996</v>
      </c>
      <c r="Y4545">
        <v>0.3372522</v>
      </c>
      <c r="Z4545">
        <v>5.166366E-2</v>
      </c>
      <c r="AA4545">
        <v>0.93999560000000004</v>
      </c>
      <c r="AB4545">
        <v>20</v>
      </c>
      <c r="AC4545">
        <v>-11.9</v>
      </c>
      <c r="AD4545">
        <v>-1.108246831762</v>
      </c>
      <c r="AE4545">
        <v>-17.9786</v>
      </c>
      <c r="AF4545">
        <v>7.3123125531776703</v>
      </c>
      <c r="AG4545">
        <v>-1.108246831762</v>
      </c>
      <c r="AH4545">
        <v>20.221855069232799</v>
      </c>
      <c r="AI4545">
        <v>92.950320955348701</v>
      </c>
      <c r="AJ4545">
        <v>70.119784652063302</v>
      </c>
      <c r="AK4545">
        <v>21.531872848327101</v>
      </c>
      <c r="AL4545">
        <v>88.456578465091894</v>
      </c>
      <c r="AM4545">
        <v>87.070210451164797</v>
      </c>
      <c r="AN4545">
        <v>1.0000000084364999</v>
      </c>
    </row>
    <row r="4546" spans="1:40" x14ac:dyDescent="0.25">
      <c r="A4546" t="str">
        <f>"20190312160423879"</f>
        <v>20190312160423879</v>
      </c>
      <c r="B4546" t="str">
        <f>"1552377863869654"</f>
        <v>1552377863869654</v>
      </c>
      <c r="C4546" t="s">
        <v>40</v>
      </c>
      <c r="D4546">
        <v>5.275455</v>
      </c>
      <c r="E4546">
        <v>0.61446829999999997</v>
      </c>
      <c r="F4546" t="s">
        <v>60</v>
      </c>
      <c r="G4546">
        <v>-205.66679999999999</v>
      </c>
      <c r="H4546" s="1">
        <v>-7.96498999999999E-6</v>
      </c>
      <c r="I4546">
        <v>142.17400000000001</v>
      </c>
      <c r="J4546">
        <v>-193.95500000000001</v>
      </c>
      <c r="K4546">
        <v>1.1082299999999901</v>
      </c>
      <c r="L4546">
        <v>159.80860000000001</v>
      </c>
      <c r="M4546">
        <v>-0.237371</v>
      </c>
      <c r="N4546">
        <v>0</v>
      </c>
      <c r="O4546">
        <v>-0.97132649999999998</v>
      </c>
      <c r="P4546">
        <v>-0.28649649999999999</v>
      </c>
      <c r="Q4546">
        <v>1.376235E-2</v>
      </c>
      <c r="R4546">
        <v>-0.95798249999999996</v>
      </c>
      <c r="S4546">
        <v>-1.732162</v>
      </c>
      <c r="T4546">
        <v>-0.16351099999999999</v>
      </c>
      <c r="U4546">
        <v>-2.6177060000000001</v>
      </c>
      <c r="V4546">
        <v>5.1018840000000003E-2</v>
      </c>
      <c r="W4546">
        <v>2.6914029999999999E-2</v>
      </c>
      <c r="X4546">
        <v>0.99833490000000003</v>
      </c>
      <c r="Y4546">
        <v>0.33730680000000002</v>
      </c>
      <c r="Z4546">
        <v>5.2683420000000002E-2</v>
      </c>
      <c r="AA4546">
        <v>0.93991950000000002</v>
      </c>
      <c r="AB4546">
        <v>20</v>
      </c>
      <c r="AC4546">
        <v>-11.711799999999901</v>
      </c>
      <c r="AD4546">
        <v>-1.1082379649899901</v>
      </c>
      <c r="AE4546">
        <v>-17.634599999999999</v>
      </c>
      <c r="AF4546">
        <v>7.1710326782984497</v>
      </c>
      <c r="AG4546">
        <v>-1.1082379649899901</v>
      </c>
      <c r="AH4546">
        <v>19.856367874246601</v>
      </c>
      <c r="AI4546">
        <v>93.004943797796997</v>
      </c>
      <c r="AJ4546">
        <v>70.143055946009397</v>
      </c>
      <c r="AK4546">
        <v>21.140653873938799</v>
      </c>
      <c r="AL4546">
        <v>88.457753333220793</v>
      </c>
      <c r="AM4546">
        <v>87.074505294596705</v>
      </c>
      <c r="AN4546">
        <v>0.999999929801895</v>
      </c>
    </row>
    <row r="4547" spans="1:40" x14ac:dyDescent="0.25">
      <c r="A4547" t="str">
        <f>"20190312160423900"</f>
        <v>20190312160423900</v>
      </c>
      <c r="B4547" t="str">
        <f>"1552377863889173"</f>
        <v>1552377863889173</v>
      </c>
      <c r="C4547" t="s">
        <v>40</v>
      </c>
      <c r="D4547">
        <v>5.2543170000000003</v>
      </c>
      <c r="E4547">
        <v>0.61438539999999997</v>
      </c>
      <c r="F4547" t="s">
        <v>60</v>
      </c>
      <c r="G4547">
        <v>-205.6249</v>
      </c>
      <c r="H4547" s="1">
        <v>-8.0022460000000002E-6</v>
      </c>
      <c r="I4547">
        <v>142.24469999999999</v>
      </c>
      <c r="J4547">
        <v>-194.0025</v>
      </c>
      <c r="K4547">
        <v>1.1082069999999999</v>
      </c>
      <c r="L4547">
        <v>159.6302</v>
      </c>
      <c r="M4547">
        <v>-0.2405506</v>
      </c>
      <c r="N4547">
        <v>0</v>
      </c>
      <c r="O4547">
        <v>-0.97054430000000003</v>
      </c>
      <c r="P4547">
        <v>-0.2895662</v>
      </c>
      <c r="Q4547">
        <v>1.340183E-2</v>
      </c>
      <c r="R4547">
        <v>-0.95706440000000004</v>
      </c>
      <c r="S4547">
        <v>-1.737106</v>
      </c>
      <c r="T4547">
        <v>-0.16496520000000001</v>
      </c>
      <c r="U4547">
        <v>-2.6144409999999998</v>
      </c>
      <c r="V4547">
        <v>5.0948029999999998E-2</v>
      </c>
      <c r="W4547">
        <v>2.6537470000000001E-2</v>
      </c>
      <c r="X4547">
        <v>0.99834869999999998</v>
      </c>
      <c r="Y4547">
        <v>0.33598489999999998</v>
      </c>
      <c r="Z4547">
        <v>5.31294E-2</v>
      </c>
      <c r="AA4547">
        <v>0.94036770000000003</v>
      </c>
      <c r="AB4547">
        <v>20</v>
      </c>
      <c r="AC4547">
        <v>-11.622400000000001</v>
      </c>
      <c r="AD4547">
        <v>-1.108215002246</v>
      </c>
      <c r="AE4547">
        <v>-17.3855</v>
      </c>
      <c r="AF4547">
        <v>7.0787188874921698</v>
      </c>
      <c r="AG4547">
        <v>-1.108215002246</v>
      </c>
      <c r="AH4547">
        <v>19.615849664111899</v>
      </c>
      <c r="AI4547">
        <v>93.0419265029455</v>
      </c>
      <c r="AJ4547">
        <v>70.157143989329299</v>
      </c>
      <c r="AK4547">
        <v>20.883437447517601</v>
      </c>
      <c r="AL4547">
        <v>88.479336499841494</v>
      </c>
      <c r="AM4547">
        <v>87.078598917144902</v>
      </c>
      <c r="AN4547">
        <v>1.0000000329332801</v>
      </c>
    </row>
    <row r="4548" spans="1:40" x14ac:dyDescent="0.25">
      <c r="A4548" t="str">
        <f>"20190312160423913"</f>
        <v>20190312160423913</v>
      </c>
      <c r="B4548" t="str">
        <f>"1552377863899909"</f>
        <v>1552377863899909</v>
      </c>
      <c r="C4548" t="s">
        <v>40</v>
      </c>
      <c r="D4548">
        <v>5.2424929999999996</v>
      </c>
      <c r="E4548">
        <v>0.61435609999999996</v>
      </c>
      <c r="F4548" t="s">
        <v>60</v>
      </c>
      <c r="G4548">
        <v>-205.62180000000001</v>
      </c>
      <c r="H4548" s="1">
        <v>-8.0073789999999998E-6</v>
      </c>
      <c r="I4548">
        <v>142.25890000000001</v>
      </c>
      <c r="J4548">
        <v>-194.0335</v>
      </c>
      <c r="K4548">
        <v>1.1081909999999999</v>
      </c>
      <c r="L4548">
        <v>159.51519999999999</v>
      </c>
      <c r="M4548">
        <v>-0.24262159999999999</v>
      </c>
      <c r="N4548">
        <v>0</v>
      </c>
      <c r="O4548">
        <v>-0.97002860000000002</v>
      </c>
      <c r="P4548">
        <v>-0.2916069</v>
      </c>
      <c r="Q4548">
        <v>1.3144950000000001E-2</v>
      </c>
      <c r="R4548">
        <v>-0.95644819999999997</v>
      </c>
      <c r="S4548">
        <v>-1.7450559999999999</v>
      </c>
      <c r="T4548">
        <v>-0.1664389</v>
      </c>
      <c r="U4548">
        <v>-2.6089479999999998</v>
      </c>
      <c r="V4548">
        <v>5.0945160000000003E-2</v>
      </c>
      <c r="W4548">
        <v>2.6268150000000001E-2</v>
      </c>
      <c r="X4548">
        <v>0.99835589999999996</v>
      </c>
      <c r="Y4548">
        <v>0.33685490000000001</v>
      </c>
      <c r="Z4548">
        <v>5.3603379999999999E-2</v>
      </c>
      <c r="AA4548">
        <v>0.94002949999999996</v>
      </c>
      <c r="AB4548">
        <v>20</v>
      </c>
      <c r="AC4548">
        <v>-11.5883</v>
      </c>
      <c r="AD4548">
        <v>-1.108199007379</v>
      </c>
      <c r="AE4548">
        <v>-17.2562999999999</v>
      </c>
      <c r="AF4548">
        <v>7.0348679165526402</v>
      </c>
      <c r="AG4548">
        <v>-1.108199007379</v>
      </c>
      <c r="AH4548">
        <v>19.497011119378602</v>
      </c>
      <c r="AI4548">
        <v>93.060436803095499</v>
      </c>
      <c r="AJ4548">
        <v>70.159655788226601</v>
      </c>
      <c r="AK4548">
        <v>20.756948577102399</v>
      </c>
      <c r="AL4548">
        <v>88.494772676324899</v>
      </c>
      <c r="AM4548">
        <v>87.078784231253195</v>
      </c>
      <c r="AN4548">
        <v>0.99999996404832803</v>
      </c>
    </row>
    <row r="4549" spans="1:40" x14ac:dyDescent="0.25">
      <c r="A4549" t="str">
        <f>"20190312160423930"</f>
        <v>20190312160423930</v>
      </c>
      <c r="B4549" t="str">
        <f>"1552377863919430"</f>
        <v>1552377863919430</v>
      </c>
      <c r="C4549" t="s">
        <v>40</v>
      </c>
      <c r="D4549">
        <v>5.1966519999999896</v>
      </c>
      <c r="E4549">
        <v>0.61427109999999996</v>
      </c>
      <c r="F4549" t="s">
        <v>60</v>
      </c>
      <c r="G4549">
        <v>-205.63990000000001</v>
      </c>
      <c r="H4549" s="1">
        <v>-7.9945409999999999E-6</v>
      </c>
      <c r="I4549">
        <v>142.24080000000001</v>
      </c>
      <c r="J4549">
        <v>-194.07130000000001</v>
      </c>
      <c r="K4549">
        <v>1.108168</v>
      </c>
      <c r="L4549">
        <v>159.37629999999999</v>
      </c>
      <c r="M4549">
        <v>-0.24514130000000001</v>
      </c>
      <c r="N4549">
        <v>0</v>
      </c>
      <c r="O4549">
        <v>-0.96939529999999996</v>
      </c>
      <c r="P4549">
        <v>-0.29420750000000001</v>
      </c>
      <c r="Q4549">
        <v>1.291019E-2</v>
      </c>
      <c r="R4549">
        <v>-0.95565469999999997</v>
      </c>
      <c r="S4549">
        <v>-1.7504120000000001</v>
      </c>
      <c r="T4549">
        <v>-0.16713169999999999</v>
      </c>
      <c r="U4549">
        <v>-2.6052249999999999</v>
      </c>
      <c r="V4549">
        <v>5.1065630000000001E-2</v>
      </c>
      <c r="W4549">
        <v>2.6017889999999998E-2</v>
      </c>
      <c r="X4549">
        <v>0.99835629999999997</v>
      </c>
      <c r="Y4549">
        <v>0.33635559999999998</v>
      </c>
      <c r="Z4549">
        <v>5.3813840000000002E-2</v>
      </c>
      <c r="AA4549">
        <v>0.94019629999999998</v>
      </c>
      <c r="AB4549">
        <v>20</v>
      </c>
      <c r="AC4549">
        <v>-11.5686</v>
      </c>
      <c r="AD4549">
        <v>-1.1081759945409999</v>
      </c>
      <c r="AE4549">
        <v>-17.135499999999901</v>
      </c>
      <c r="AF4549">
        <v>6.9944592310916001</v>
      </c>
      <c r="AG4549">
        <v>-1.1081759945409999</v>
      </c>
      <c r="AH4549">
        <v>19.393035918194101</v>
      </c>
      <c r="AI4549">
        <v>93.076896242413696</v>
      </c>
      <c r="AJ4549">
        <v>70.1672177164033</v>
      </c>
      <c r="AK4549">
        <v>20.6455892648925</v>
      </c>
      <c r="AL4549">
        <v>88.509116423269901</v>
      </c>
      <c r="AM4549">
        <v>87.071889611755196</v>
      </c>
      <c r="AN4549">
        <v>0.99999996545851799</v>
      </c>
    </row>
    <row r="4550" spans="1:40" x14ac:dyDescent="0.25">
      <c r="A4550" t="str">
        <f>"20190312160423940"</f>
        <v>20190312160423940</v>
      </c>
      <c r="B4550" t="str">
        <f>"1552377863929190"</f>
        <v>1552377863929190</v>
      </c>
      <c r="C4550" t="s">
        <v>40</v>
      </c>
      <c r="D4550">
        <v>5.1877589999999998</v>
      </c>
      <c r="E4550">
        <v>0.61426590000000003</v>
      </c>
      <c r="F4550" t="s">
        <v>60</v>
      </c>
      <c r="G4550">
        <v>-205.61660000000001</v>
      </c>
      <c r="H4550" s="1">
        <v>-8.0174099999999995E-6</v>
      </c>
      <c r="I4550">
        <v>142.28809999999999</v>
      </c>
      <c r="J4550">
        <v>-194.09870000000001</v>
      </c>
      <c r="K4550">
        <v>1.1081559999999999</v>
      </c>
      <c r="L4550">
        <v>159.27690000000001</v>
      </c>
      <c r="M4550">
        <v>-0.24696119999999999</v>
      </c>
      <c r="N4550">
        <v>0</v>
      </c>
      <c r="O4550">
        <v>-0.9689333</v>
      </c>
      <c r="P4550">
        <v>-0.29587770000000002</v>
      </c>
      <c r="Q4550">
        <v>1.268358E-2</v>
      </c>
      <c r="R4550">
        <v>-0.95514160000000004</v>
      </c>
      <c r="S4550">
        <v>-1.757034</v>
      </c>
      <c r="T4550">
        <v>-0.1686493</v>
      </c>
      <c r="U4550">
        <v>-2.6005859999999998</v>
      </c>
      <c r="V4550">
        <v>5.0934970000000003E-2</v>
      </c>
      <c r="W4550">
        <v>2.577956E-2</v>
      </c>
      <c r="X4550">
        <v>0.99836919999999996</v>
      </c>
      <c r="Y4550">
        <v>0.33699400000000002</v>
      </c>
      <c r="Z4550">
        <v>5.4300479999999998E-2</v>
      </c>
      <c r="AA4550">
        <v>0.93993959999999999</v>
      </c>
      <c r="AB4550">
        <v>20</v>
      </c>
      <c r="AC4550">
        <v>-11.5178999999999</v>
      </c>
      <c r="AD4550">
        <v>-1.10816401740999</v>
      </c>
      <c r="AE4550">
        <v>-16.988800000000001</v>
      </c>
      <c r="AF4550">
        <v>6.9448796300052296</v>
      </c>
      <c r="AG4550">
        <v>-1.10816401740999</v>
      </c>
      <c r="AH4550">
        <v>19.251094390765999</v>
      </c>
      <c r="AI4550">
        <v>93.099422410059503</v>
      </c>
      <c r="AJ4550">
        <v>70.162966463380698</v>
      </c>
      <c r="AK4550">
        <v>20.4954632981771</v>
      </c>
      <c r="AL4550">
        <v>88.522776371963204</v>
      </c>
      <c r="AM4550">
        <v>87.079406358670497</v>
      </c>
      <c r="AN4550">
        <v>1.0000000081956599</v>
      </c>
    </row>
    <row r="4551" spans="1:40" x14ac:dyDescent="0.25">
      <c r="A4551" t="str">
        <f>"20190312160423952"</f>
        <v>20190312160423952</v>
      </c>
      <c r="B4551" t="str">
        <f>"1552377863939925"</f>
        <v>1552377863939925</v>
      </c>
      <c r="C4551" t="s">
        <v>40</v>
      </c>
      <c r="D4551">
        <v>5.1937569999999997</v>
      </c>
      <c r="E4551">
        <v>0.61425750000000001</v>
      </c>
      <c r="F4551" t="s">
        <v>60</v>
      </c>
      <c r="G4551">
        <v>-205.55009999999999</v>
      </c>
      <c r="H4551" s="1">
        <v>-8.0735910000000005E-6</v>
      </c>
      <c r="I4551">
        <v>142.38929999999999</v>
      </c>
      <c r="J4551">
        <v>-194.12530000000001</v>
      </c>
      <c r="K4551">
        <v>1.1081430000000001</v>
      </c>
      <c r="L4551">
        <v>159.1807</v>
      </c>
      <c r="M4551">
        <v>-0.24873049999999999</v>
      </c>
      <c r="N4551">
        <v>0</v>
      </c>
      <c r="O4551">
        <v>-0.96848080000000003</v>
      </c>
      <c r="P4551">
        <v>-0.29780099999999998</v>
      </c>
      <c r="Q4551">
        <v>1.261985E-2</v>
      </c>
      <c r="R4551">
        <v>-0.95454470000000002</v>
      </c>
      <c r="S4551">
        <v>-1.761368</v>
      </c>
      <c r="T4551">
        <v>-0.17044889999999999</v>
      </c>
      <c r="U4551">
        <v>-2.5975190000000001</v>
      </c>
      <c r="V4551">
        <v>5.1122609999999999E-2</v>
      </c>
      <c r="W4551">
        <v>2.570281E-2</v>
      </c>
      <c r="X4551">
        <v>0.99836159999999996</v>
      </c>
      <c r="Y4551">
        <v>0.33684649999999999</v>
      </c>
      <c r="Z4551">
        <v>5.487131E-2</v>
      </c>
      <c r="AA4551">
        <v>0.93995930000000005</v>
      </c>
      <c r="AB4551">
        <v>20</v>
      </c>
      <c r="AC4551">
        <v>-11.4247999999999</v>
      </c>
      <c r="AD4551">
        <v>-1.1081510735910001</v>
      </c>
      <c r="AE4551">
        <v>-16.791399999999999</v>
      </c>
      <c r="AF4551">
        <v>6.8683315980346302</v>
      </c>
      <c r="AG4551">
        <v>-1.1081510735910001</v>
      </c>
      <c r="AH4551">
        <v>19.048835051586</v>
      </c>
      <c r="AI4551">
        <v>93.132417814096101</v>
      </c>
      <c r="AJ4551">
        <v>70.172501682577902</v>
      </c>
      <c r="AK4551">
        <v>20.279548677546899</v>
      </c>
      <c r="AL4551">
        <v>88.527175298050906</v>
      </c>
      <c r="AM4551">
        <v>87.068643600502497</v>
      </c>
      <c r="AN4551">
        <v>1.00000002002483</v>
      </c>
    </row>
    <row r="4552" spans="1:40" x14ac:dyDescent="0.25">
      <c r="A4552" t="str">
        <f>"20190312160423963"</f>
        <v>20190312160423963</v>
      </c>
      <c r="B4552" t="str">
        <f>"1552377863949686"</f>
        <v>1552377863949686</v>
      </c>
      <c r="C4552" t="s">
        <v>40</v>
      </c>
      <c r="D4552">
        <v>5.1429850000000004</v>
      </c>
      <c r="E4552">
        <v>0.61420810000000003</v>
      </c>
      <c r="F4552" t="s">
        <v>60</v>
      </c>
      <c r="G4552">
        <v>-205.55260000000001</v>
      </c>
      <c r="H4552" s="1">
        <v>-8.0761000000000005E-6</v>
      </c>
      <c r="I4552">
        <v>142.40299999999999</v>
      </c>
      <c r="J4552">
        <v>-194.15379999999999</v>
      </c>
      <c r="K4552">
        <v>1.108128</v>
      </c>
      <c r="L4552">
        <v>159.07859999999999</v>
      </c>
      <c r="M4552">
        <v>-0.25061840000000002</v>
      </c>
      <c r="N4552">
        <v>0</v>
      </c>
      <c r="O4552">
        <v>-0.96799420000000003</v>
      </c>
      <c r="P4552">
        <v>-0.29950120000000002</v>
      </c>
      <c r="Q4552">
        <v>1.251768E-2</v>
      </c>
      <c r="R4552">
        <v>-0.95401420000000003</v>
      </c>
      <c r="S4552">
        <v>-1.766724</v>
      </c>
      <c r="T4552">
        <v>-0.1713259</v>
      </c>
      <c r="U4552">
        <v>-2.5939179999999999</v>
      </c>
      <c r="V4552">
        <v>5.0954399999999997E-2</v>
      </c>
      <c r="W4552">
        <v>2.5586979999999999E-2</v>
      </c>
      <c r="X4552">
        <v>0.99837319999999996</v>
      </c>
      <c r="Y4552">
        <v>0.33693519999999999</v>
      </c>
      <c r="Z4552">
        <v>5.5144329999999998E-2</v>
      </c>
      <c r="AA4552">
        <v>0.93991159999999996</v>
      </c>
      <c r="AB4552">
        <v>20</v>
      </c>
      <c r="AC4552">
        <v>-11.3988</v>
      </c>
      <c r="AD4552">
        <v>-1.1081360761000001</v>
      </c>
      <c r="AE4552">
        <v>-16.675599999999999</v>
      </c>
      <c r="AF4552">
        <v>6.8347986290662499</v>
      </c>
      <c r="AG4552">
        <v>-1.1081360761000001</v>
      </c>
      <c r="AH4552">
        <v>18.943307956098</v>
      </c>
      <c r="AI4552">
        <v>93.149550741575794</v>
      </c>
      <c r="AJ4552">
        <v>70.1604140914407</v>
      </c>
      <c r="AK4552">
        <v>20.1690692443307</v>
      </c>
      <c r="AL4552">
        <v>88.533814088733493</v>
      </c>
      <c r="AM4552">
        <v>87.078305864738894</v>
      </c>
      <c r="AN4552">
        <v>1.0000000454515501</v>
      </c>
    </row>
    <row r="4553" spans="1:40" x14ac:dyDescent="0.25">
      <c r="A4553" t="str">
        <f>"20190312160423975"</f>
        <v>20190312160423975</v>
      </c>
      <c r="B4553" t="str">
        <f>"1552377863959446"</f>
        <v>1552377863959446</v>
      </c>
      <c r="C4553" t="s">
        <v>40</v>
      </c>
      <c r="D4553">
        <v>5.385014</v>
      </c>
      <c r="E4553">
        <v>0.61432119999999901</v>
      </c>
      <c r="F4553" t="s">
        <v>60</v>
      </c>
      <c r="G4553">
        <v>-205.5795</v>
      </c>
      <c r="H4553" s="1">
        <v>-8.0541419999999996E-6</v>
      </c>
      <c r="I4553">
        <v>142.36500000000001</v>
      </c>
      <c r="J4553">
        <v>-194.17920000000001</v>
      </c>
      <c r="K4553">
        <v>1.108117</v>
      </c>
      <c r="L4553">
        <v>158.98849999999999</v>
      </c>
      <c r="M4553">
        <v>-0.25229819999999997</v>
      </c>
      <c r="N4553">
        <v>0</v>
      </c>
      <c r="O4553">
        <v>-0.96755760000000002</v>
      </c>
      <c r="P4553">
        <v>-0.30108610000000002</v>
      </c>
      <c r="Q4553">
        <v>1.2244369999999999E-2</v>
      </c>
      <c r="R4553">
        <v>-0.95351810000000004</v>
      </c>
      <c r="S4553">
        <v>-1.7711330000000001</v>
      </c>
      <c r="T4553">
        <v>-0.1717755</v>
      </c>
      <c r="U4553">
        <v>-2.5908359999999999</v>
      </c>
      <c r="V4553">
        <v>5.0878800000000002E-2</v>
      </c>
      <c r="W4553">
        <v>2.5302399999999999E-2</v>
      </c>
      <c r="X4553">
        <v>0.99838419999999894</v>
      </c>
      <c r="Y4553">
        <v>0.33690799999999999</v>
      </c>
      <c r="Z4553">
        <v>5.52816E-2</v>
      </c>
      <c r="AA4553">
        <v>0.93991329999999995</v>
      </c>
      <c r="AB4553">
        <v>20</v>
      </c>
      <c r="AC4553">
        <v>-11.4002999999999</v>
      </c>
      <c r="AD4553">
        <v>-1.108125054142</v>
      </c>
      <c r="AE4553">
        <v>-16.6234999999999</v>
      </c>
      <c r="AF4553">
        <v>6.8163755640588404</v>
      </c>
      <c r="AG4553">
        <v>-1.108125054142</v>
      </c>
      <c r="AH4553">
        <v>18.905021099720098</v>
      </c>
      <c r="AI4553">
        <v>93.156130150516404</v>
      </c>
      <c r="AJ4553">
        <v>70.172774832474502</v>
      </c>
      <c r="AK4553">
        <v>20.126866118369701</v>
      </c>
      <c r="AL4553">
        <v>88.550124444932095</v>
      </c>
      <c r="AM4553">
        <v>87.082665315896705</v>
      </c>
      <c r="AN4553">
        <v>0.99999993727241798</v>
      </c>
    </row>
    <row r="4554" spans="1:40" x14ac:dyDescent="0.25">
      <c r="A4554" t="str">
        <f>"20190312160423989"</f>
        <v>20190312160423989</v>
      </c>
      <c r="B4554" t="str">
        <f>"1552377863978966"</f>
        <v>1552377863978966</v>
      </c>
      <c r="C4554" t="s">
        <v>40</v>
      </c>
      <c r="D4554">
        <v>5.1101779999999897</v>
      </c>
      <c r="E4554">
        <v>0.61425640000000004</v>
      </c>
      <c r="F4554" t="s">
        <v>60</v>
      </c>
      <c r="G4554">
        <v>-205.56389999999999</v>
      </c>
      <c r="H4554" s="1">
        <v>-8.0709969999999996E-6</v>
      </c>
      <c r="I4554">
        <v>142.40260000000001</v>
      </c>
      <c r="J4554">
        <v>-194.21469999999999</v>
      </c>
      <c r="K4554">
        <v>1.1081019999999999</v>
      </c>
      <c r="L4554">
        <v>158.8631</v>
      </c>
      <c r="M4554">
        <v>-0.25464720000000002</v>
      </c>
      <c r="N4554">
        <v>0</v>
      </c>
      <c r="O4554">
        <v>-0.96694239999999998</v>
      </c>
      <c r="P4554">
        <v>-0.3031933</v>
      </c>
      <c r="Q4554">
        <v>1.192316E-2</v>
      </c>
      <c r="R4554">
        <v>-0.9528546</v>
      </c>
      <c r="S4554">
        <v>-1.7761690000000001</v>
      </c>
      <c r="T4554">
        <v>-0.17288239999999999</v>
      </c>
      <c r="U4554">
        <v>-2.587631</v>
      </c>
      <c r="V4554">
        <v>5.0659370000000002E-2</v>
      </c>
      <c r="W4554">
        <v>2.4964900000000002E-2</v>
      </c>
      <c r="X4554">
        <v>0.99840390000000001</v>
      </c>
      <c r="Y4554">
        <v>0.33639730000000001</v>
      </c>
      <c r="Z4554">
        <v>5.5617979999999997E-2</v>
      </c>
      <c r="AA4554">
        <v>0.94007629999999998</v>
      </c>
      <c r="AB4554">
        <v>20</v>
      </c>
      <c r="AC4554">
        <v>-11.3491999999999</v>
      </c>
      <c r="AD4554">
        <v>-1.108110070997</v>
      </c>
      <c r="AE4554">
        <v>-16.4604999999999</v>
      </c>
      <c r="AF4554">
        <v>6.7622320930700504</v>
      </c>
      <c r="AG4554">
        <v>-1.108110070997</v>
      </c>
      <c r="AH4554">
        <v>18.750468558785201</v>
      </c>
      <c r="AI4554">
        <v>93.181963190453303</v>
      </c>
      <c r="AJ4554">
        <v>70.168497415283497</v>
      </c>
      <c r="AK4554">
        <v>19.9633604882541</v>
      </c>
      <c r="AL4554">
        <v>88.569467947513402</v>
      </c>
      <c r="AM4554">
        <v>87.095282814507499</v>
      </c>
      <c r="AN4554">
        <v>0.99999998276800794</v>
      </c>
    </row>
    <row r="4555" spans="1:40" x14ac:dyDescent="0.25">
      <c r="A4555" t="str">
        <f>"20190312160424018"</f>
        <v>20190312160424018</v>
      </c>
      <c r="B4555" t="str">
        <f>"1552377864009225"</f>
        <v>1552377864009225</v>
      </c>
      <c r="C4555" t="s">
        <v>40</v>
      </c>
      <c r="D4555">
        <v>5.1107490000000002</v>
      </c>
      <c r="E4555">
        <v>0.61423280000000002</v>
      </c>
      <c r="F4555" t="s">
        <v>60</v>
      </c>
      <c r="G4555">
        <v>-205.52279999999999</v>
      </c>
      <c r="H4555" s="1">
        <v>-8.1051830000000001E-6</v>
      </c>
      <c r="I4555">
        <v>142.4632</v>
      </c>
      <c r="J4555">
        <v>-194.2884</v>
      </c>
      <c r="K4555">
        <v>1.10808</v>
      </c>
      <c r="L4555">
        <v>158.60730000000001</v>
      </c>
      <c r="M4555">
        <v>-0.25951000000000002</v>
      </c>
      <c r="N4555">
        <v>0</v>
      </c>
      <c r="O4555">
        <v>-0.96564910000000004</v>
      </c>
      <c r="P4555">
        <v>-0.30759150000000002</v>
      </c>
      <c r="Q4555">
        <v>1.180646E-2</v>
      </c>
      <c r="R4555">
        <v>-0.95144530000000005</v>
      </c>
      <c r="S4555">
        <v>-1.781555</v>
      </c>
      <c r="T4555">
        <v>-0.17457819999999999</v>
      </c>
      <c r="U4555">
        <v>-2.5837400000000001</v>
      </c>
      <c r="V4555">
        <v>5.024721E-2</v>
      </c>
      <c r="W4555">
        <v>2.4818079999999999E-2</v>
      </c>
      <c r="X4555">
        <v>0.99842839999999999</v>
      </c>
      <c r="Y4555">
        <v>0.33363100000000001</v>
      </c>
      <c r="Z4555">
        <v>5.6117960000000001E-2</v>
      </c>
      <c r="AA4555">
        <v>0.94103190000000003</v>
      </c>
      <c r="AB4555">
        <v>20</v>
      </c>
      <c r="AC4555">
        <v>-11.2343999999999</v>
      </c>
      <c r="AD4555">
        <v>-1.108088105183</v>
      </c>
      <c r="AE4555">
        <v>-16.144100000000002</v>
      </c>
      <c r="AF4555">
        <v>6.6384494365514399</v>
      </c>
      <c r="AG4555">
        <v>-1.108088105183</v>
      </c>
      <c r="AH4555">
        <v>18.448051965081302</v>
      </c>
      <c r="AI4555">
        <v>93.234771967490303</v>
      </c>
      <c r="AJ4555">
        <v>70.208957987891495</v>
      </c>
      <c r="AK4555">
        <v>19.637400323791301</v>
      </c>
      <c r="AL4555">
        <v>88.577882738040302</v>
      </c>
      <c r="AM4555">
        <v>87.118945926638702</v>
      </c>
      <c r="AN4555">
        <v>0.99999999456711497</v>
      </c>
    </row>
    <row r="4556" spans="1:40" x14ac:dyDescent="0.25">
      <c r="A4556" t="str">
        <f>"20190312160424029"</f>
        <v>20190312160424029</v>
      </c>
      <c r="B4556" t="str">
        <f>"1552377864018982"</f>
        <v>1552377864018982</v>
      </c>
      <c r="C4556" t="s">
        <v>40</v>
      </c>
      <c r="D4556">
        <v>5.1061239999999897</v>
      </c>
      <c r="E4556">
        <v>0.61424889999999999</v>
      </c>
      <c r="F4556" t="s">
        <v>60</v>
      </c>
      <c r="G4556">
        <v>-205.5558</v>
      </c>
      <c r="H4556" s="1">
        <v>-8.0808209999999997E-6</v>
      </c>
      <c r="I4556">
        <v>142.42619999999999</v>
      </c>
      <c r="J4556">
        <v>-194.3158</v>
      </c>
      <c r="K4556">
        <v>1.108069</v>
      </c>
      <c r="L4556">
        <v>158.51320000000001</v>
      </c>
      <c r="M4556">
        <v>-0.26131450000000001</v>
      </c>
      <c r="N4556">
        <v>0</v>
      </c>
      <c r="O4556">
        <v>-0.96516250000000003</v>
      </c>
      <c r="P4556">
        <v>-0.30928939999999999</v>
      </c>
      <c r="Q4556">
        <v>1.2273010000000001E-2</v>
      </c>
      <c r="R4556">
        <v>-0.95088930000000005</v>
      </c>
      <c r="S4556">
        <v>-1.793396</v>
      </c>
      <c r="T4556">
        <v>-0.17637120000000001</v>
      </c>
      <c r="U4556">
        <v>-2.5754999999999999</v>
      </c>
      <c r="V4556">
        <v>5.0167530000000002E-2</v>
      </c>
      <c r="W4556">
        <v>2.5271419999999999E-2</v>
      </c>
      <c r="X4556">
        <v>0.998421</v>
      </c>
      <c r="Y4556">
        <v>0.33617419999999998</v>
      </c>
      <c r="Z4556">
        <v>5.6703669999999998E-2</v>
      </c>
      <c r="AA4556">
        <v>0.94009129999999996</v>
      </c>
      <c r="AB4556">
        <v>20</v>
      </c>
      <c r="AC4556">
        <v>-11.24</v>
      </c>
      <c r="AD4556">
        <v>-1.1080770808210001</v>
      </c>
      <c r="AE4556">
        <v>-16.087</v>
      </c>
      <c r="AF4556">
        <v>6.6241267577709104</v>
      </c>
      <c r="AG4556">
        <v>-1.1080770808210001</v>
      </c>
      <c r="AH4556">
        <v>18.406687311019802</v>
      </c>
      <c r="AI4556">
        <v>93.241962191887893</v>
      </c>
      <c r="AJ4556">
        <v>70.207408608267897</v>
      </c>
      <c r="AK4556">
        <v>19.5936986780371</v>
      </c>
      <c r="AL4556">
        <v>88.551900068242205</v>
      </c>
      <c r="AM4556">
        <v>87.123485623152405</v>
      </c>
      <c r="AN4556">
        <v>0.99999995948805698</v>
      </c>
    </row>
    <row r="4557" spans="1:40" x14ac:dyDescent="0.25">
      <c r="A4557" t="str">
        <f>"20190312160424040"</f>
        <v>20190312160424040</v>
      </c>
      <c r="B4557" t="str">
        <f>"1552377864029718"</f>
        <v>1552377864029718</v>
      </c>
      <c r="C4557" t="s">
        <v>40</v>
      </c>
      <c r="D4557">
        <v>5.0975149999999996</v>
      </c>
      <c r="E4557">
        <v>0.61425839999999998</v>
      </c>
      <c r="F4557" t="s">
        <v>60</v>
      </c>
      <c r="G4557">
        <v>-205.65559999999999</v>
      </c>
      <c r="H4557" s="1">
        <v>-8.0005859999999993E-6</v>
      </c>
      <c r="I4557">
        <v>142.29</v>
      </c>
      <c r="J4557">
        <v>-194.34469999999999</v>
      </c>
      <c r="K4557">
        <v>1.1080559999999999</v>
      </c>
      <c r="L4557">
        <v>158.4152</v>
      </c>
      <c r="M4557">
        <v>-0.26321050000000001</v>
      </c>
      <c r="N4557">
        <v>0</v>
      </c>
      <c r="O4557">
        <v>-0.96464749999999999</v>
      </c>
      <c r="P4557">
        <v>-0.3108591</v>
      </c>
      <c r="Q4557">
        <v>1.2466120000000001E-2</v>
      </c>
      <c r="R4557">
        <v>-0.95037419999999995</v>
      </c>
      <c r="S4557">
        <v>-1.798065</v>
      </c>
      <c r="T4557">
        <v>-0.1756991</v>
      </c>
      <c r="U4557">
        <v>-2.5723880000000001</v>
      </c>
      <c r="V4557">
        <v>4.9856579999999998E-2</v>
      </c>
      <c r="W4557">
        <v>2.5450649999999998E-2</v>
      </c>
      <c r="X4557">
        <v>0.99843199999999999</v>
      </c>
      <c r="Y4557">
        <v>0.33601209999999998</v>
      </c>
      <c r="Z4557">
        <v>5.6474370000000003E-2</v>
      </c>
      <c r="AA4557">
        <v>0.94016299999999997</v>
      </c>
      <c r="AB4557">
        <v>20</v>
      </c>
      <c r="AC4557">
        <v>-11.3109</v>
      </c>
      <c r="AD4557">
        <v>-1.1080640005860001</v>
      </c>
      <c r="AE4557">
        <v>-16.1252</v>
      </c>
      <c r="AF4557">
        <v>6.6462603187682703</v>
      </c>
      <c r="AG4557">
        <v>-1.1080640005860001</v>
      </c>
      <c r="AH4557">
        <v>18.475436509025499</v>
      </c>
      <c r="AI4557">
        <v>93.230030943865003</v>
      </c>
      <c r="AJ4557">
        <v>70.214568448886098</v>
      </c>
      <c r="AK4557">
        <v>19.665765590316099</v>
      </c>
      <c r="AL4557">
        <v>88.541627607504296</v>
      </c>
      <c r="AM4557">
        <v>87.141316703318594</v>
      </c>
      <c r="AN4557">
        <v>0.99999993638935702</v>
      </c>
    </row>
    <row r="4558" spans="1:40" x14ac:dyDescent="0.25">
      <c r="A4558" t="str">
        <f>"20190312160424052"</f>
        <v>20190312160424052</v>
      </c>
      <c r="B4558" t="str">
        <f>"1552377864039478"</f>
        <v>1552377864039478</v>
      </c>
      <c r="C4558" t="s">
        <v>40</v>
      </c>
      <c r="D4558">
        <v>5.0873679999999997</v>
      </c>
      <c r="E4558">
        <v>0.61422540000000003</v>
      </c>
      <c r="F4558" t="s">
        <v>60</v>
      </c>
      <c r="G4558">
        <v>-205.67259999999999</v>
      </c>
      <c r="H4558" s="1">
        <v>-7.9876049999999999E-6</v>
      </c>
      <c r="I4558">
        <v>142.26939999999999</v>
      </c>
      <c r="J4558">
        <v>-194.37280000000001</v>
      </c>
      <c r="K4558">
        <v>1.1080479999999999</v>
      </c>
      <c r="L4558">
        <v>158.32040000000001</v>
      </c>
      <c r="M4558">
        <v>-0.2650517</v>
      </c>
      <c r="N4558">
        <v>0</v>
      </c>
      <c r="O4558">
        <v>-0.96414319999999998</v>
      </c>
      <c r="P4558">
        <v>-0.31256859999999997</v>
      </c>
      <c r="Q4558">
        <v>1.259513E-2</v>
      </c>
      <c r="R4558">
        <v>-0.94981150000000003</v>
      </c>
      <c r="S4558">
        <v>-1.8026580000000001</v>
      </c>
      <c r="T4558">
        <v>-0.1763306</v>
      </c>
      <c r="U4558">
        <v>-2.5693510000000002</v>
      </c>
      <c r="V4558">
        <v>4.9748529999999999E-2</v>
      </c>
      <c r="W4558">
        <v>2.5565520000000001E-2</v>
      </c>
      <c r="X4558">
        <v>0.9984345</v>
      </c>
      <c r="Y4558">
        <v>0.33585660000000001</v>
      </c>
      <c r="Z4558">
        <v>5.6662480000000001E-2</v>
      </c>
      <c r="AA4558">
        <v>0.94020720000000002</v>
      </c>
      <c r="AB4558">
        <v>20</v>
      </c>
      <c r="AC4558">
        <v>-11.2997999999999</v>
      </c>
      <c r="AD4558">
        <v>-1.108055987605</v>
      </c>
      <c r="AE4558">
        <v>-16.050999999999998</v>
      </c>
      <c r="AF4558">
        <v>6.6197699038362101</v>
      </c>
      <c r="AG4558">
        <v>-1.108055987605</v>
      </c>
      <c r="AH4558">
        <v>18.413441784803702</v>
      </c>
      <c r="AI4558">
        <v>93.2410936177385</v>
      </c>
      <c r="AJ4558">
        <v>70.226109670290001</v>
      </c>
      <c r="AK4558">
        <v>19.598570866615699</v>
      </c>
      <c r="AL4558">
        <v>88.535043964637097</v>
      </c>
      <c r="AM4558">
        <v>87.147508976156104</v>
      </c>
      <c r="AN4558">
        <v>0.99999998142014002</v>
      </c>
    </row>
    <row r="4559" spans="1:40" x14ac:dyDescent="0.25">
      <c r="A4559" t="str">
        <f>"20190312160424063"</f>
        <v>20190312160424063</v>
      </c>
      <c r="B4559" t="str">
        <f>"1552377864049237"</f>
        <v>1552377864049237</v>
      </c>
      <c r="C4559" t="s">
        <v>40</v>
      </c>
      <c r="D4559">
        <v>5.0935600000000001</v>
      </c>
      <c r="E4559">
        <v>0.61426259999999999</v>
      </c>
      <c r="F4559" t="s">
        <v>60</v>
      </c>
      <c r="G4559">
        <v>-205.78649999999999</v>
      </c>
      <c r="H4559" s="1">
        <v>-7.8954980000000004E-6</v>
      </c>
      <c r="I4559">
        <v>142.11179999999999</v>
      </c>
      <c r="J4559">
        <v>-194.404</v>
      </c>
      <c r="K4559">
        <v>1.108039</v>
      </c>
      <c r="L4559">
        <v>158.2159</v>
      </c>
      <c r="M4559">
        <v>-0.267092</v>
      </c>
      <c r="N4559">
        <v>0</v>
      </c>
      <c r="O4559">
        <v>-0.96358029999999995</v>
      </c>
      <c r="P4559">
        <v>-0.31456190000000001</v>
      </c>
      <c r="Q4559">
        <v>1.2897280000000001E-2</v>
      </c>
      <c r="R4559">
        <v>-0.94914929999999997</v>
      </c>
      <c r="S4559">
        <v>-1.807053</v>
      </c>
      <c r="T4559">
        <v>-0.17543020000000001</v>
      </c>
      <c r="U4559">
        <v>-2.5661930000000002</v>
      </c>
      <c r="V4559">
        <v>4.9734250000000001E-2</v>
      </c>
      <c r="W4559">
        <v>2.5851059999999999E-2</v>
      </c>
      <c r="X4559">
        <v>0.99842790000000003</v>
      </c>
      <c r="Y4559">
        <v>0.33549420000000002</v>
      </c>
      <c r="Z4559">
        <v>5.6360399999999998E-2</v>
      </c>
      <c r="AA4559">
        <v>0.94035480000000005</v>
      </c>
      <c r="AB4559">
        <v>20</v>
      </c>
      <c r="AC4559">
        <v>-11.382499999999901</v>
      </c>
      <c r="AD4559">
        <v>-1.1080468954979901</v>
      </c>
      <c r="AE4559">
        <v>-16.104099999999999</v>
      </c>
      <c r="AF4559">
        <v>6.6462771633175199</v>
      </c>
      <c r="AG4559">
        <v>-1.1080468954979901</v>
      </c>
      <c r="AH4559">
        <v>18.500983393302501</v>
      </c>
      <c r="AI4559">
        <v>93.226038623922193</v>
      </c>
      <c r="AJ4559">
        <v>70.239726029897597</v>
      </c>
      <c r="AK4559">
        <v>19.6897728421004</v>
      </c>
      <c r="AL4559">
        <v>88.518678378780805</v>
      </c>
      <c r="AM4559">
        <v>87.148307594340693</v>
      </c>
      <c r="AN4559">
        <v>1.00000002221229</v>
      </c>
    </row>
    <row r="4560" spans="1:40" x14ac:dyDescent="0.25">
      <c r="A4560" t="str">
        <f>"20190312160424088"</f>
        <v>20190312160424088</v>
      </c>
      <c r="B4560" t="str">
        <f>"1552377864079494"</f>
        <v>1552377864079494</v>
      </c>
      <c r="C4560" t="s">
        <v>40</v>
      </c>
      <c r="D4560">
        <v>5.0784649999999996</v>
      </c>
      <c r="E4560">
        <v>0.61430940000000001</v>
      </c>
      <c r="F4560" t="s">
        <v>60</v>
      </c>
      <c r="G4560">
        <v>-205.86109999999999</v>
      </c>
      <c r="H4560" s="1">
        <v>-7.8385419999999995E-6</v>
      </c>
      <c r="I4560">
        <v>142.0213</v>
      </c>
      <c r="J4560">
        <v>-194.46430000000001</v>
      </c>
      <c r="K4560">
        <v>1.1080209999999999</v>
      </c>
      <c r="L4560">
        <v>158.0162</v>
      </c>
      <c r="M4560">
        <v>-0.2710265</v>
      </c>
      <c r="N4560">
        <v>0</v>
      </c>
      <c r="O4560">
        <v>-0.96248140000000004</v>
      </c>
      <c r="P4560">
        <v>-0.31810310000000003</v>
      </c>
      <c r="Q4560">
        <v>1.3568459999999999E-2</v>
      </c>
      <c r="R4560">
        <v>-0.9479592</v>
      </c>
      <c r="S4560">
        <v>-1.812759</v>
      </c>
      <c r="T4560">
        <v>-0.17531649999999999</v>
      </c>
      <c r="U4560">
        <v>-2.5623320000000001</v>
      </c>
      <c r="V4560">
        <v>4.9389509999999998E-2</v>
      </c>
      <c r="W4560">
        <v>2.6491230000000001E-2</v>
      </c>
      <c r="X4560">
        <v>0.99842819999999999</v>
      </c>
      <c r="Y4560">
        <v>0.3337117</v>
      </c>
      <c r="Z4560">
        <v>5.62835E-2</v>
      </c>
      <c r="AA4560">
        <v>0.94099339999999998</v>
      </c>
      <c r="AB4560">
        <v>20</v>
      </c>
      <c r="AC4560">
        <v>-11.396799999999899</v>
      </c>
      <c r="AD4560">
        <v>-1.1080288385419901</v>
      </c>
      <c r="AE4560">
        <v>-15.994899999999999</v>
      </c>
      <c r="AF4560">
        <v>6.6136932851157102</v>
      </c>
      <c r="AG4560">
        <v>-1.1080288385419901</v>
      </c>
      <c r="AH4560">
        <v>18.426588270408502</v>
      </c>
      <c r="AI4560">
        <v>93.239309866268201</v>
      </c>
      <c r="AJ4560">
        <v>70.255861234527103</v>
      </c>
      <c r="AK4560">
        <v>19.6088710043128</v>
      </c>
      <c r="AL4560">
        <v>88.481986722800698</v>
      </c>
      <c r="AM4560">
        <v>87.168043063458796</v>
      </c>
      <c r="AN4560">
        <v>0.99999998976009596</v>
      </c>
    </row>
    <row r="4561" spans="1:40" x14ac:dyDescent="0.25">
      <c r="A4561" t="str">
        <f>"20190312160424126"</f>
        <v>20190312160424126</v>
      </c>
      <c r="B4561" t="str">
        <f>"1552377864119510"</f>
        <v>1552377864119510</v>
      </c>
      <c r="C4561" t="s">
        <v>40</v>
      </c>
      <c r="D4561">
        <v>5.0493600000000001</v>
      </c>
      <c r="E4561">
        <v>0.614353699999999</v>
      </c>
      <c r="F4561" t="s">
        <v>60</v>
      </c>
      <c r="G4561">
        <v>-205.89840000000001</v>
      </c>
      <c r="H4561" s="1">
        <v>-7.8124350000000007E-6</v>
      </c>
      <c r="I4561">
        <v>141.98500000000001</v>
      </c>
      <c r="J4561">
        <v>-194.56739999999999</v>
      </c>
      <c r="K4561">
        <v>1.1079859999999999</v>
      </c>
      <c r="L4561">
        <v>157.6823</v>
      </c>
      <c r="M4561">
        <v>-0.27770739999999999</v>
      </c>
      <c r="N4561">
        <v>0</v>
      </c>
      <c r="O4561">
        <v>-0.96057579999999998</v>
      </c>
      <c r="P4561">
        <v>-0.3243799</v>
      </c>
      <c r="Q4561">
        <v>1.450777E-2</v>
      </c>
      <c r="R4561">
        <v>-0.94581559999999998</v>
      </c>
      <c r="S4561">
        <v>-1.8227390000000001</v>
      </c>
      <c r="T4561">
        <v>-0.1766346</v>
      </c>
      <c r="U4561">
        <v>-2.5555880000000002</v>
      </c>
      <c r="V4561">
        <v>4.9081449999999999E-2</v>
      </c>
      <c r="W4561">
        <v>2.7374010000000001E-2</v>
      </c>
      <c r="X4561">
        <v>0.99841959999999996</v>
      </c>
      <c r="Y4561">
        <v>0.33075909999999997</v>
      </c>
      <c r="Z4561">
        <v>5.6632790000000002E-2</v>
      </c>
      <c r="AA4561">
        <v>0.94201440000000003</v>
      </c>
      <c r="AB4561">
        <v>20</v>
      </c>
      <c r="AC4561">
        <v>-11.331</v>
      </c>
      <c r="AD4561">
        <v>-1.1079938124349999</v>
      </c>
      <c r="AE4561">
        <v>-15.697299999999901</v>
      </c>
      <c r="AF4561">
        <v>6.50428678429014</v>
      </c>
      <c r="AG4561">
        <v>-1.1079938124349999</v>
      </c>
      <c r="AH4561">
        <v>18.167216413341801</v>
      </c>
      <c r="AI4561">
        <v>93.286288133219301</v>
      </c>
      <c r="AJ4561">
        <v>70.301449252866703</v>
      </c>
      <c r="AK4561">
        <v>19.3282474391726</v>
      </c>
      <c r="AL4561">
        <v>88.431388832030194</v>
      </c>
      <c r="AM4561">
        <v>87.185654300095294</v>
      </c>
      <c r="AN4561">
        <v>1.00000001141087</v>
      </c>
    </row>
    <row r="4562" spans="1:40" x14ac:dyDescent="0.25">
      <c r="A4562" t="str">
        <f>"20190312160424141"</f>
        <v>20190312160424141</v>
      </c>
      <c r="B4562" t="str">
        <f>"1552377864129269"</f>
        <v>1552377864129269</v>
      </c>
      <c r="C4562" t="s">
        <v>40</v>
      </c>
      <c r="D4562">
        <v>5.0634680000000003</v>
      </c>
      <c r="E4562">
        <v>0.61433199999999999</v>
      </c>
      <c r="F4562" t="s">
        <v>60</v>
      </c>
      <c r="G4562">
        <v>-206.2088</v>
      </c>
      <c r="H4562" s="1">
        <v>-7.5719309999999899E-6</v>
      </c>
      <c r="I4562">
        <v>141.59549999999999</v>
      </c>
      <c r="J4562">
        <v>-194.60599999999999</v>
      </c>
      <c r="K4562">
        <v>1.1079650000000001</v>
      </c>
      <c r="L4562">
        <v>157.55959999999999</v>
      </c>
      <c r="M4562">
        <v>-0.28019830000000001</v>
      </c>
      <c r="N4562">
        <v>0</v>
      </c>
      <c r="O4562">
        <v>-0.95985259999999994</v>
      </c>
      <c r="P4562">
        <v>-0.32639960000000001</v>
      </c>
      <c r="Q4562">
        <v>1.4513420000000001E-2</v>
      </c>
      <c r="R4562">
        <v>-0.94512070000000004</v>
      </c>
      <c r="S4562">
        <v>-1.8405</v>
      </c>
      <c r="T4562">
        <v>-0.17517240000000001</v>
      </c>
      <c r="U4562">
        <v>-2.543304</v>
      </c>
      <c r="V4562">
        <v>4.8624880000000002E-2</v>
      </c>
      <c r="W4562">
        <v>2.7359709999999999E-2</v>
      </c>
      <c r="X4562">
        <v>0.9984423</v>
      </c>
      <c r="Y4562">
        <v>0.33480320000000002</v>
      </c>
      <c r="Z4562">
        <v>5.6176329999999997E-2</v>
      </c>
      <c r="AA4562">
        <v>0.940612</v>
      </c>
      <c r="AB4562">
        <v>20</v>
      </c>
      <c r="AC4562">
        <v>-11.6028</v>
      </c>
      <c r="AD4562">
        <v>-1.1079725719309901</v>
      </c>
      <c r="AE4562">
        <v>-15.9641</v>
      </c>
      <c r="AF4562">
        <v>6.6434970998655301</v>
      </c>
      <c r="AG4562">
        <v>-1.1079725719309901</v>
      </c>
      <c r="AH4562">
        <v>18.517498638778001</v>
      </c>
      <c r="AI4562">
        <v>93.223433023226093</v>
      </c>
      <c r="AJ4562">
        <v>70.263607336522696</v>
      </c>
      <c r="AK4562">
        <v>19.7043500977123</v>
      </c>
      <c r="AL4562">
        <v>88.432208418705301</v>
      </c>
      <c r="AM4562">
        <v>87.211855952398295</v>
      </c>
      <c r="AN4562">
        <v>0.99999997955779396</v>
      </c>
    </row>
    <row r="4563" spans="1:40" x14ac:dyDescent="0.25">
      <c r="A4563" t="str">
        <f>"20190312160424153"</f>
        <v>20190312160424153</v>
      </c>
      <c r="B4563" t="str">
        <f>"1552377864139030"</f>
        <v>1552377864139030</v>
      </c>
      <c r="C4563" t="s">
        <v>40</v>
      </c>
      <c r="D4563">
        <v>4.8664500000000004</v>
      </c>
      <c r="E4563">
        <v>0.61443179999999997</v>
      </c>
      <c r="F4563" t="s">
        <v>60</v>
      </c>
      <c r="G4563">
        <v>-206.31270000000001</v>
      </c>
      <c r="H4563" s="1">
        <v>-7.4886050000000001E-6</v>
      </c>
      <c r="I4563">
        <v>141.45429999999999</v>
      </c>
      <c r="J4563">
        <v>-194.63740000000001</v>
      </c>
      <c r="K4563">
        <v>1.107952</v>
      </c>
      <c r="L4563">
        <v>157.4606</v>
      </c>
      <c r="M4563">
        <v>-0.28221819999999997</v>
      </c>
      <c r="N4563">
        <v>0</v>
      </c>
      <c r="O4563">
        <v>-0.95926100000000003</v>
      </c>
      <c r="P4563">
        <v>-0.32834160000000001</v>
      </c>
      <c r="Q4563">
        <v>1.465078E-2</v>
      </c>
      <c r="R4563">
        <v>-0.94444570000000005</v>
      </c>
      <c r="S4563">
        <v>-1.8458559999999999</v>
      </c>
      <c r="T4563">
        <v>-0.17470069999999999</v>
      </c>
      <c r="U4563">
        <v>-2.5394130000000001</v>
      </c>
      <c r="V4563">
        <v>4.8577589999999997E-2</v>
      </c>
      <c r="W4563">
        <v>2.7478880000000001E-2</v>
      </c>
      <c r="X4563">
        <v>0.99844129999999998</v>
      </c>
      <c r="Y4563">
        <v>0.33480910000000003</v>
      </c>
      <c r="Z4563">
        <v>5.6012149999999997E-2</v>
      </c>
      <c r="AA4563">
        <v>0.94061969999999995</v>
      </c>
      <c r="AB4563">
        <v>20</v>
      </c>
      <c r="AC4563">
        <v>-11.675299999999901</v>
      </c>
      <c r="AD4563">
        <v>-1.1079594886049999</v>
      </c>
      <c r="AE4563">
        <v>-16.0063</v>
      </c>
      <c r="AF4563">
        <v>6.6621273733071504</v>
      </c>
      <c r="AG4563">
        <v>-1.1079594886049999</v>
      </c>
      <c r="AH4563">
        <v>18.592650427703202</v>
      </c>
      <c r="AI4563">
        <v>93.210849475617906</v>
      </c>
      <c r="AJ4563">
        <v>70.286358271377694</v>
      </c>
      <c r="AK4563">
        <v>19.781257930003601</v>
      </c>
      <c r="AL4563">
        <v>88.425377866337797</v>
      </c>
      <c r="AM4563">
        <v>87.214560496720495</v>
      </c>
      <c r="AN4563">
        <v>0.999999950320974</v>
      </c>
    </row>
    <row r="4564" spans="1:40" x14ac:dyDescent="0.25">
      <c r="A4564" t="str">
        <f>"20190312160424164"</f>
        <v>20190312160424164</v>
      </c>
      <c r="B4564" t="str">
        <f>"1552377864149766"</f>
        <v>1552377864149766</v>
      </c>
      <c r="C4564" t="s">
        <v>40</v>
      </c>
      <c r="D4564">
        <v>5.0691990000000002</v>
      </c>
      <c r="E4564">
        <v>0.61446230000000002</v>
      </c>
      <c r="F4564" t="s">
        <v>60</v>
      </c>
      <c r="G4564">
        <v>-206.44739999999999</v>
      </c>
      <c r="H4564" s="1">
        <v>-7.3857999999999997E-6</v>
      </c>
      <c r="I4564">
        <v>141.29130000000001</v>
      </c>
      <c r="J4564">
        <v>-194.66849999999999</v>
      </c>
      <c r="K4564">
        <v>1.1079380000000001</v>
      </c>
      <c r="L4564">
        <v>157.3631</v>
      </c>
      <c r="M4564">
        <v>-0.28421859999999999</v>
      </c>
      <c r="N4564">
        <v>0</v>
      </c>
      <c r="O4564">
        <v>-0.95867040000000003</v>
      </c>
      <c r="P4564">
        <v>-0.33044590000000001</v>
      </c>
      <c r="Q4564">
        <v>1.44347999999999E-2</v>
      </c>
      <c r="R4564">
        <v>-0.94371470000000002</v>
      </c>
      <c r="S4564">
        <v>-1.851837</v>
      </c>
      <c r="T4564">
        <v>-0.17372960000000001</v>
      </c>
      <c r="U4564">
        <v>-2.5353699999999999</v>
      </c>
      <c r="V4564">
        <v>4.8718829999999998E-2</v>
      </c>
      <c r="W4564">
        <v>2.7242929999999999E-2</v>
      </c>
      <c r="X4564">
        <v>0.99844089999999996</v>
      </c>
      <c r="Y4564">
        <v>0.335016799999999</v>
      </c>
      <c r="Z4564">
        <v>5.5685459999999999E-2</v>
      </c>
      <c r="AA4564">
        <v>0.94056519999999999</v>
      </c>
      <c r="AB4564">
        <v>20</v>
      </c>
      <c r="AC4564">
        <v>-11.778899999999901</v>
      </c>
      <c r="AD4564">
        <v>-1.1079453857999999</v>
      </c>
      <c r="AE4564">
        <v>-16.0717999999999</v>
      </c>
      <c r="AF4564">
        <v>6.70402596411415</v>
      </c>
      <c r="AG4564">
        <v>-1.1079453857999999</v>
      </c>
      <c r="AH4564">
        <v>18.699131776110399</v>
      </c>
      <c r="AI4564">
        <v>93.192360207445802</v>
      </c>
      <c r="AJ4564">
        <v>70.276191912725395</v>
      </c>
      <c r="AK4564">
        <v>19.895452653452601</v>
      </c>
      <c r="AL4564">
        <v>88.438901894142703</v>
      </c>
      <c r="AM4564">
        <v>87.206473486311495</v>
      </c>
      <c r="AN4564">
        <v>0.99999996621218101</v>
      </c>
    </row>
    <row r="4565" spans="1:40" x14ac:dyDescent="0.25">
      <c r="A4565" t="str">
        <f>"20190312160424177"</f>
        <v>20190312160424177</v>
      </c>
      <c r="B4565" t="str">
        <f>"1552377864169286"</f>
        <v>1552377864169286</v>
      </c>
      <c r="C4565" t="s">
        <v>40</v>
      </c>
      <c r="D4565">
        <v>5.049658</v>
      </c>
      <c r="E4565">
        <v>0.61450749999999998</v>
      </c>
      <c r="F4565" t="s">
        <v>60</v>
      </c>
      <c r="G4565">
        <v>-206.4119</v>
      </c>
      <c r="H4565" s="1">
        <v>-7.4202779999999997E-6</v>
      </c>
      <c r="I4565">
        <v>141.3621</v>
      </c>
      <c r="J4565">
        <v>-194.70089999999999</v>
      </c>
      <c r="K4565">
        <v>1.1079270000000001</v>
      </c>
      <c r="L4565">
        <v>157.26259999999999</v>
      </c>
      <c r="M4565">
        <v>-0.28629919999999998</v>
      </c>
      <c r="N4565">
        <v>0</v>
      </c>
      <c r="O4565">
        <v>-0.9580514</v>
      </c>
      <c r="P4565">
        <v>-0.33261170000000001</v>
      </c>
      <c r="Q4565">
        <v>1.4412100000000001E-2</v>
      </c>
      <c r="R4565">
        <v>-0.94295390000000001</v>
      </c>
      <c r="S4565">
        <v>-1.8576349999999999</v>
      </c>
      <c r="T4565">
        <v>-0.17526129999999901</v>
      </c>
      <c r="U4565">
        <v>-2.5311279999999998</v>
      </c>
      <c r="V4565">
        <v>4.8844209999999999E-2</v>
      </c>
      <c r="W4565">
        <v>2.7200510000000001E-2</v>
      </c>
      <c r="X4565">
        <v>0.99843599999999999</v>
      </c>
      <c r="Y4565">
        <v>0.33510759999999901</v>
      </c>
      <c r="Z4565">
        <v>5.6161280000000001E-2</v>
      </c>
      <c r="AA4565">
        <v>0.94050460000000002</v>
      </c>
      <c r="AB4565">
        <v>20</v>
      </c>
      <c r="AC4565">
        <v>-11.711</v>
      </c>
      <c r="AD4565">
        <v>-1.1079344202779999</v>
      </c>
      <c r="AE4565">
        <v>-15.9004999999999</v>
      </c>
      <c r="AF4565">
        <v>6.6470842483700503</v>
      </c>
      <c r="AG4565">
        <v>-1.1079344202779999</v>
      </c>
      <c r="AH4565">
        <v>18.5296032877899</v>
      </c>
      <c r="AI4565">
        <v>93.221262694024702</v>
      </c>
      <c r="AJ4565">
        <v>70.265677387474099</v>
      </c>
      <c r="AK4565">
        <v>19.716932968578998</v>
      </c>
      <c r="AL4565">
        <v>88.441333389997297</v>
      </c>
      <c r="AM4565">
        <v>87.199281934765196</v>
      </c>
      <c r="AN4565">
        <v>1.0000000353453899</v>
      </c>
    </row>
    <row r="4566" spans="1:40" x14ac:dyDescent="0.25">
      <c r="A4566" t="str">
        <f>"20190312160424187"</f>
        <v>20190312160424187</v>
      </c>
      <c r="B4566" t="str">
        <f>"1552377864179046"</f>
        <v>1552377864179046</v>
      </c>
      <c r="C4566" t="s">
        <v>40</v>
      </c>
      <c r="D4566">
        <v>5.0329389999999998</v>
      </c>
      <c r="E4566">
        <v>0.61451319999999998</v>
      </c>
      <c r="F4566" t="s">
        <v>60</v>
      </c>
      <c r="G4566">
        <v>-206.38509999999999</v>
      </c>
      <c r="H4566" s="1">
        <v>-7.4477529999999998E-6</v>
      </c>
      <c r="I4566">
        <v>141.4212</v>
      </c>
      <c r="J4566">
        <v>-194.73269999999999</v>
      </c>
      <c r="K4566">
        <v>1.1079129999999999</v>
      </c>
      <c r="L4566">
        <v>157.16419999999999</v>
      </c>
      <c r="M4566">
        <v>-0.28834120000000002</v>
      </c>
      <c r="N4566">
        <v>0</v>
      </c>
      <c r="O4566">
        <v>-0.95743909999999999</v>
      </c>
      <c r="P4566">
        <v>-0.33490839999999999</v>
      </c>
      <c r="Q4566">
        <v>1.4181819999999999E-2</v>
      </c>
      <c r="R4566">
        <v>-0.94214430000000005</v>
      </c>
      <c r="S4566">
        <v>-1.863693</v>
      </c>
      <c r="T4566">
        <v>-0.17672189999999999</v>
      </c>
      <c r="U4566">
        <v>-2.5267940000000002</v>
      </c>
      <c r="V4566">
        <v>4.9146849999999999E-2</v>
      </c>
      <c r="W4566">
        <v>2.694978E-2</v>
      </c>
      <c r="X4566">
        <v>0.99842790000000003</v>
      </c>
      <c r="Y4566">
        <v>0.33531440000000001</v>
      </c>
      <c r="Z4566">
        <v>5.6613469999999999E-2</v>
      </c>
      <c r="AA4566">
        <v>0.94040380000000001</v>
      </c>
      <c r="AB4566">
        <v>20</v>
      </c>
      <c r="AC4566">
        <v>-11.6524</v>
      </c>
      <c r="AD4566">
        <v>-1.107920447753</v>
      </c>
      <c r="AE4566">
        <v>-15.742999999999901</v>
      </c>
      <c r="AF4566">
        <v>6.5965621465603403</v>
      </c>
      <c r="AG4566">
        <v>-1.107920447753</v>
      </c>
      <c r="AH4566">
        <v>18.375597950629</v>
      </c>
      <c r="AI4566">
        <v>93.247896668225906</v>
      </c>
      <c r="AJ4566">
        <v>70.252628510831897</v>
      </c>
      <c r="AK4566">
        <v>19.555171180921501</v>
      </c>
      <c r="AL4566">
        <v>88.455704354830502</v>
      </c>
      <c r="AM4566">
        <v>87.181933673893695</v>
      </c>
      <c r="AN4566">
        <v>0.99999998750269004</v>
      </c>
    </row>
    <row r="4567" spans="1:40" x14ac:dyDescent="0.25">
      <c r="A4567" t="str">
        <f>"20190312160424199"</f>
        <v>20190312160424199</v>
      </c>
      <c r="B4567" t="str">
        <f>"1552377864189782"</f>
        <v>1552377864189782</v>
      </c>
      <c r="C4567" t="s">
        <v>40</v>
      </c>
      <c r="D4567">
        <v>4.8712869999999997</v>
      </c>
      <c r="E4567">
        <v>0.61462659999999902</v>
      </c>
      <c r="F4567" t="s">
        <v>60</v>
      </c>
      <c r="G4567">
        <v>-206.35820000000001</v>
      </c>
      <c r="H4567" s="1">
        <v>-7.475837E-6</v>
      </c>
      <c r="I4567">
        <v>141.48230000000001</v>
      </c>
      <c r="J4567">
        <v>-194.76429999999999</v>
      </c>
      <c r="K4567">
        <v>1.107898</v>
      </c>
      <c r="L4567">
        <v>157.06790000000001</v>
      </c>
      <c r="M4567">
        <v>-0.2903597</v>
      </c>
      <c r="N4567">
        <v>0</v>
      </c>
      <c r="O4567">
        <v>-0.95682900000000004</v>
      </c>
      <c r="P4567">
        <v>-0.3370821</v>
      </c>
      <c r="Q4567">
        <v>1.4346879999999999E-2</v>
      </c>
      <c r="R4567">
        <v>-0.94136600000000004</v>
      </c>
      <c r="S4567">
        <v>-1.8697969999999999</v>
      </c>
      <c r="T4567">
        <v>-0.17819470000000001</v>
      </c>
      <c r="U4567">
        <v>-2.5222169999999999</v>
      </c>
      <c r="V4567">
        <v>4.9348259999999998E-2</v>
      </c>
      <c r="W4567">
        <v>2.7094210000000001E-2</v>
      </c>
      <c r="X4567">
        <v>0.99841400000000002</v>
      </c>
      <c r="Y4567">
        <v>0.33559689999999998</v>
      </c>
      <c r="Z4567">
        <v>5.7072600000000001E-2</v>
      </c>
      <c r="AA4567">
        <v>0.94027530000000004</v>
      </c>
      <c r="AB4567">
        <v>20</v>
      </c>
      <c r="AC4567">
        <v>-11.5939</v>
      </c>
      <c r="AD4567">
        <v>-1.1079054758369999</v>
      </c>
      <c r="AE4567">
        <v>-15.585599999999999</v>
      </c>
      <c r="AF4567">
        <v>6.5472082374022298</v>
      </c>
      <c r="AG4567">
        <v>-1.1079054758369999</v>
      </c>
      <c r="AH4567">
        <v>18.221430426311201</v>
      </c>
      <c r="AI4567">
        <v>93.274930923022694</v>
      </c>
      <c r="AJ4567">
        <v>70.235945646891494</v>
      </c>
      <c r="AK4567">
        <v>19.393656618291399</v>
      </c>
      <c r="AL4567">
        <v>88.447426014937903</v>
      </c>
      <c r="AM4567">
        <v>87.170364282865194</v>
      </c>
      <c r="AN4567">
        <v>0.99999993118827302</v>
      </c>
    </row>
    <row r="4568" spans="1:40" x14ac:dyDescent="0.25">
      <c r="A4568" t="str">
        <f>"20190312160424219"</f>
        <v>20190312160424219</v>
      </c>
      <c r="B4568" t="str">
        <f>"1552377864209154"</f>
        <v>1552377864209154</v>
      </c>
      <c r="C4568" t="s">
        <v>40</v>
      </c>
      <c r="D4568">
        <v>5.0204420000000001</v>
      </c>
      <c r="E4568">
        <v>0.61467950000000005</v>
      </c>
      <c r="F4568" t="s">
        <v>60</v>
      </c>
      <c r="G4568">
        <v>-206.48259999999999</v>
      </c>
      <c r="H4568" s="1">
        <v>-7.3847130000000004E-6</v>
      </c>
      <c r="I4568">
        <v>141.34630000000001</v>
      </c>
      <c r="J4568">
        <v>-194.8194</v>
      </c>
      <c r="K4568">
        <v>1.1078760000000001</v>
      </c>
      <c r="L4568">
        <v>156.90119999999999</v>
      </c>
      <c r="M4568">
        <v>-0.29387619999999998</v>
      </c>
      <c r="N4568">
        <v>0</v>
      </c>
      <c r="O4568">
        <v>-0.95575509999999997</v>
      </c>
      <c r="P4568">
        <v>-0.34139120000000001</v>
      </c>
      <c r="Q4568">
        <v>1.4719319999999999E-2</v>
      </c>
      <c r="R4568">
        <v>-0.93980629999999998</v>
      </c>
      <c r="S4568">
        <v>-1.876541</v>
      </c>
      <c r="T4568">
        <v>-0.17741670000000001</v>
      </c>
      <c r="U4568">
        <v>-2.5176240000000001</v>
      </c>
      <c r="V4568">
        <v>5.0256149999999999E-2</v>
      </c>
      <c r="W4568">
        <v>2.7427400000000001E-2</v>
      </c>
      <c r="X4568">
        <v>0.99835969999999996</v>
      </c>
      <c r="Y4568">
        <v>0.33458459999999901</v>
      </c>
      <c r="Z4568">
        <v>5.6782699999999998E-2</v>
      </c>
      <c r="AA4568">
        <v>0.94065339999999997</v>
      </c>
      <c r="AB4568">
        <v>20</v>
      </c>
      <c r="AC4568">
        <v>-11.6631999999999</v>
      </c>
      <c r="AD4568">
        <v>-1.1078833847130001</v>
      </c>
      <c r="AE4568">
        <v>-15.5548999999999</v>
      </c>
      <c r="AF4568">
        <v>6.55521729785836</v>
      </c>
      <c r="AG4568">
        <v>-1.1078833847130001</v>
      </c>
      <c r="AH4568">
        <v>18.236539383685599</v>
      </c>
      <c r="AI4568">
        <v>93.272011412306199</v>
      </c>
      <c r="AJ4568">
        <v>70.228766377696203</v>
      </c>
      <c r="AK4568">
        <v>19.4105550695744</v>
      </c>
      <c r="AL4568">
        <v>88.428328669762905</v>
      </c>
      <c r="AM4568">
        <v>87.118236237814401</v>
      </c>
      <c r="AN4568">
        <v>1.0000000167338301</v>
      </c>
    </row>
    <row r="4569" spans="1:40" x14ac:dyDescent="0.25">
      <c r="A4569" t="str">
        <f>"20190312160424242"</f>
        <v>20190312160424242</v>
      </c>
      <c r="B4569" t="str">
        <f>"1552377864229634"</f>
        <v>1552377864229634</v>
      </c>
      <c r="C4569" t="s">
        <v>40</v>
      </c>
      <c r="D4569">
        <v>5.0457729999999996</v>
      </c>
      <c r="E4569">
        <v>0.61470259999999999</v>
      </c>
      <c r="F4569" t="s">
        <v>60</v>
      </c>
      <c r="G4569">
        <v>-206.5461</v>
      </c>
      <c r="H4569" s="1">
        <v>-7.3496860000000002E-6</v>
      </c>
      <c r="I4569">
        <v>141.3202</v>
      </c>
      <c r="J4569">
        <v>-194.88249999999999</v>
      </c>
      <c r="K4569">
        <v>1.1078479999999999</v>
      </c>
      <c r="L4569">
        <v>156.71270000000001</v>
      </c>
      <c r="M4569">
        <v>-0.29789379999999999</v>
      </c>
      <c r="N4569">
        <v>0</v>
      </c>
      <c r="O4569">
        <v>-0.954511</v>
      </c>
      <c r="P4569">
        <v>-0.34614660000000003</v>
      </c>
      <c r="Q4569">
        <v>1.469377E-2</v>
      </c>
      <c r="R4569">
        <v>-0.9380655</v>
      </c>
      <c r="S4569">
        <v>-1.888336</v>
      </c>
      <c r="T4569">
        <v>-0.17840010000000001</v>
      </c>
      <c r="U4569">
        <v>-2.508972</v>
      </c>
      <c r="V4569">
        <v>5.1114720000000002E-2</v>
      </c>
      <c r="W4569">
        <v>2.7358279999999999E-2</v>
      </c>
      <c r="X4569">
        <v>0.99831800000000004</v>
      </c>
      <c r="Y4569">
        <v>0.33499319999999999</v>
      </c>
      <c r="Z4569">
        <v>5.7066430000000001E-2</v>
      </c>
      <c r="AA4569">
        <v>0.94049079999999996</v>
      </c>
      <c r="AB4569">
        <v>20</v>
      </c>
      <c r="AC4569">
        <v>-11.663600000000001</v>
      </c>
      <c r="AD4569">
        <v>-1.107855349686</v>
      </c>
      <c r="AE4569">
        <v>-15.3925</v>
      </c>
      <c r="AF4569">
        <v>6.5267764367143899</v>
      </c>
      <c r="AG4569">
        <v>-1.107855349686</v>
      </c>
      <c r="AH4569">
        <v>18.108759959468902</v>
      </c>
      <c r="AI4569">
        <v>93.293953860283807</v>
      </c>
      <c r="AJ4569">
        <v>70.179775094335895</v>
      </c>
      <c r="AK4569">
        <v>19.2809061353543</v>
      </c>
      <c r="AL4569">
        <v>88.432290429469404</v>
      </c>
      <c r="AM4569">
        <v>87.068967442510001</v>
      </c>
      <c r="AN4569">
        <v>1.00000000960461</v>
      </c>
    </row>
    <row r="4570" spans="1:40" x14ac:dyDescent="0.25">
      <c r="A4570" t="str">
        <f>"20190312160424254"</f>
        <v>20190312160424254</v>
      </c>
      <c r="B4570" t="str">
        <f>"1552377864249154"</f>
        <v>1552377864249154</v>
      </c>
      <c r="C4570" t="s">
        <v>40</v>
      </c>
      <c r="D4570">
        <v>5.0549589999999904</v>
      </c>
      <c r="E4570">
        <v>0.61482399999999904</v>
      </c>
      <c r="F4570" t="s">
        <v>60</v>
      </c>
      <c r="G4570">
        <v>-206.6138</v>
      </c>
      <c r="H4570" s="1">
        <v>-7.312306E-6</v>
      </c>
      <c r="I4570">
        <v>141.29239999999999</v>
      </c>
      <c r="J4570">
        <v>-194.9151</v>
      </c>
      <c r="K4570">
        <v>1.107836</v>
      </c>
      <c r="L4570">
        <v>156.6164</v>
      </c>
      <c r="M4570">
        <v>-0.29996679999999998</v>
      </c>
      <c r="N4570">
        <v>0</v>
      </c>
      <c r="O4570">
        <v>-0.95386179999999998</v>
      </c>
      <c r="P4570">
        <v>-0.34890179999999998</v>
      </c>
      <c r="Q4570">
        <v>1.4585330000000001E-2</v>
      </c>
      <c r="R4570">
        <v>-0.93704589999999999</v>
      </c>
      <c r="S4570">
        <v>-1.901367</v>
      </c>
      <c r="T4570">
        <v>-0.17955670000000001</v>
      </c>
      <c r="U4570">
        <v>-2.4992679999999998</v>
      </c>
      <c r="V4570">
        <v>5.1879550000000003E-2</v>
      </c>
      <c r="W4570">
        <v>2.72272E-2</v>
      </c>
      <c r="X4570">
        <v>0.99828209999999995</v>
      </c>
      <c r="Y4570">
        <v>0.33779759999999998</v>
      </c>
      <c r="Z4570">
        <v>5.7442720000000003E-2</v>
      </c>
      <c r="AA4570">
        <v>0.93946430000000003</v>
      </c>
      <c r="AB4570">
        <v>20</v>
      </c>
      <c r="AC4570">
        <v>-11.698700000000001</v>
      </c>
      <c r="AD4570">
        <v>-1.1078433123060001</v>
      </c>
      <c r="AE4570">
        <v>-15.324</v>
      </c>
      <c r="AF4570">
        <v>6.5412024306105101</v>
      </c>
      <c r="AG4570">
        <v>-1.1078433123060001</v>
      </c>
      <c r="AH4570">
        <v>18.068057435083301</v>
      </c>
      <c r="AI4570">
        <v>93.299627534703504</v>
      </c>
      <c r="AJ4570">
        <v>70.098158134318595</v>
      </c>
      <c r="AK4570">
        <v>19.247580251042301</v>
      </c>
      <c r="AL4570">
        <v>88.439803512203696</v>
      </c>
      <c r="AM4570">
        <v>87.025081785372095</v>
      </c>
      <c r="AN4570">
        <v>0.99999997965422605</v>
      </c>
    </row>
    <row r="4571" spans="1:40" x14ac:dyDescent="0.25">
      <c r="A4571" t="str">
        <f>"20190312160424264"</f>
        <v>20190312160424264</v>
      </c>
      <c r="B4571" t="str">
        <f>"1552377864259890"</f>
        <v>1552377864259890</v>
      </c>
      <c r="C4571" t="s">
        <v>40</v>
      </c>
      <c r="D4571">
        <v>5.0210039999999996</v>
      </c>
      <c r="E4571">
        <v>0.61496879999999998</v>
      </c>
      <c r="F4571" t="s">
        <v>60</v>
      </c>
      <c r="G4571">
        <v>-206.57749999999999</v>
      </c>
      <c r="H4571" s="1">
        <v>-7.353967E-6</v>
      </c>
      <c r="I4571">
        <v>141.38919999999999</v>
      </c>
      <c r="J4571">
        <v>-194.94839999999999</v>
      </c>
      <c r="K4571">
        <v>1.1078220000000001</v>
      </c>
      <c r="L4571">
        <v>156.5187</v>
      </c>
      <c r="M4571">
        <v>-0.30208000000000002</v>
      </c>
      <c r="N4571">
        <v>0</v>
      </c>
      <c r="O4571">
        <v>-0.95319500000000001</v>
      </c>
      <c r="P4571">
        <v>-0.35144439999999999</v>
      </c>
      <c r="Q4571">
        <v>1.459033E-2</v>
      </c>
      <c r="R4571">
        <v>-0.93609540000000002</v>
      </c>
      <c r="S4571">
        <v>-1.9096219999999999</v>
      </c>
      <c r="T4571">
        <v>-0.18140020000000001</v>
      </c>
      <c r="U4571">
        <v>-2.4933320000000001</v>
      </c>
      <c r="V4571">
        <v>5.2378069999999999E-2</v>
      </c>
      <c r="W4571">
        <v>2.7210990000000001E-2</v>
      </c>
      <c r="X4571">
        <v>0.99825649999999999</v>
      </c>
      <c r="Y4571">
        <v>0.33873130000000001</v>
      </c>
      <c r="Z4571">
        <v>5.8017079999999999E-2</v>
      </c>
      <c r="AA4571">
        <v>0.9390927</v>
      </c>
      <c r="AB4571">
        <v>20</v>
      </c>
      <c r="AC4571">
        <v>-11.6290999999999</v>
      </c>
      <c r="AD4571">
        <v>-1.1078293539670001</v>
      </c>
      <c r="AE4571">
        <v>-15.1295</v>
      </c>
      <c r="AF4571">
        <v>6.4931401206115096</v>
      </c>
      <c r="AG4571">
        <v>-1.1078293539670001</v>
      </c>
      <c r="AH4571">
        <v>17.875532172233498</v>
      </c>
      <c r="AI4571">
        <v>93.333753226832997</v>
      </c>
      <c r="AJ4571">
        <v>70.036863648955105</v>
      </c>
      <c r="AK4571">
        <v>19.050532930707298</v>
      </c>
      <c r="AL4571">
        <v>88.440732605982703</v>
      </c>
      <c r="AM4571">
        <v>86.996470466275994</v>
      </c>
      <c r="AN4571">
        <v>0.99999996999297702</v>
      </c>
    </row>
    <row r="4572" spans="1:40" x14ac:dyDescent="0.25">
      <c r="A4572" t="str">
        <f>"20190312160424278"</f>
        <v>20190312160424278</v>
      </c>
      <c r="B4572" t="str">
        <f>"1552377864269649"</f>
        <v>1552377864269649</v>
      </c>
      <c r="C4572" t="s">
        <v>40</v>
      </c>
      <c r="D4572">
        <v>4.9430189999999996</v>
      </c>
      <c r="E4572">
        <v>0.61496879999999998</v>
      </c>
      <c r="F4572" t="s">
        <v>60</v>
      </c>
      <c r="G4572">
        <v>-206.73159999999999</v>
      </c>
      <c r="H4572" s="1">
        <v>-7.2439390000000002E-6</v>
      </c>
      <c r="I4572">
        <v>141.2312</v>
      </c>
      <c r="J4572">
        <v>-194.98519999999999</v>
      </c>
      <c r="K4572">
        <v>1.107807</v>
      </c>
      <c r="L4572">
        <v>156.41200000000001</v>
      </c>
      <c r="M4572">
        <v>-0.30441180000000001</v>
      </c>
      <c r="N4572">
        <v>0</v>
      </c>
      <c r="O4572">
        <v>-0.95245299999999999</v>
      </c>
      <c r="P4572">
        <v>-0.3543094</v>
      </c>
      <c r="Q4572">
        <v>1.433153E-2</v>
      </c>
      <c r="R4572">
        <v>-0.93501860000000003</v>
      </c>
      <c r="S4572">
        <v>-1.917465</v>
      </c>
      <c r="T4572">
        <v>-0.18027689999999999</v>
      </c>
      <c r="U4572">
        <v>-2.4877319999999998</v>
      </c>
      <c r="V4572">
        <v>5.2990559999999999E-2</v>
      </c>
      <c r="W4572">
        <v>2.6928810000000001E-2</v>
      </c>
      <c r="X4572">
        <v>0.9982318</v>
      </c>
      <c r="Y4572">
        <v>0.33932250000000003</v>
      </c>
      <c r="Z4572">
        <v>5.7639250000000003E-2</v>
      </c>
      <c r="AA4572">
        <v>0.93890249999999997</v>
      </c>
      <c r="AB4572">
        <v>20</v>
      </c>
      <c r="AC4572">
        <v>-11.7463999999999</v>
      </c>
      <c r="AD4572">
        <v>-1.107814243939</v>
      </c>
      <c r="AE4572">
        <v>-15.1808</v>
      </c>
      <c r="AF4572">
        <v>6.5454240447826599</v>
      </c>
      <c r="AG4572">
        <v>-1.107814243939</v>
      </c>
      <c r="AH4572">
        <v>17.9763658878665</v>
      </c>
      <c r="AI4572">
        <v>93.314124924413804</v>
      </c>
      <c r="AJ4572">
        <v>69.992789893988203</v>
      </c>
      <c r="AK4572">
        <v>19.1629736434496</v>
      </c>
      <c r="AL4572">
        <v>88.456906215476295</v>
      </c>
      <c r="AM4572">
        <v>86.961338683549101</v>
      </c>
      <c r="AN4572">
        <v>0.99999994339418297</v>
      </c>
    </row>
    <row r="4573" spans="1:40" x14ac:dyDescent="0.25">
      <c r="A4573" t="str">
        <f>"20190312160424291"</f>
        <v>20190312160424291</v>
      </c>
      <c r="B4573" t="str">
        <f>"1552377864279410"</f>
        <v>1552377864279410</v>
      </c>
      <c r="C4573" t="s">
        <v>40</v>
      </c>
      <c r="D4573">
        <v>5.4293019999999999</v>
      </c>
      <c r="E4573">
        <v>0.64354239999999996</v>
      </c>
      <c r="F4573" t="s">
        <v>60</v>
      </c>
      <c r="G4573">
        <v>-206.76589999999999</v>
      </c>
      <c r="H4573" s="1">
        <v>-7.2268610000000002E-6</v>
      </c>
      <c r="I4573">
        <v>141.2242</v>
      </c>
      <c r="J4573">
        <v>-195.02279999999999</v>
      </c>
      <c r="K4573">
        <v>1.1077900000000001</v>
      </c>
      <c r="L4573">
        <v>156.30350000000001</v>
      </c>
      <c r="M4573">
        <v>-0.30679410000000001</v>
      </c>
      <c r="N4573">
        <v>0</v>
      </c>
      <c r="O4573">
        <v>-0.95168850000000005</v>
      </c>
      <c r="P4573">
        <v>-0.3570334</v>
      </c>
      <c r="Q4573">
        <v>1.407982E-2</v>
      </c>
      <c r="R4573">
        <v>-0.93398550000000002</v>
      </c>
      <c r="S4573">
        <v>-1.9250640000000001</v>
      </c>
      <c r="T4573">
        <v>-0.18102560000000001</v>
      </c>
      <c r="U4573">
        <v>-2.4817960000000001</v>
      </c>
      <c r="V4573">
        <v>5.3400940000000001E-2</v>
      </c>
      <c r="W4573">
        <v>2.665377E-2</v>
      </c>
      <c r="X4573">
        <v>0.99821729999999997</v>
      </c>
      <c r="Y4573">
        <v>0.33984309999999901</v>
      </c>
      <c r="Z4573">
        <v>5.7863869999999998E-2</v>
      </c>
      <c r="AA4573">
        <v>0.93870039999999999</v>
      </c>
      <c r="AB4573">
        <v>20</v>
      </c>
      <c r="AC4573">
        <v>-11.743099999999901</v>
      </c>
      <c r="AD4573">
        <v>-1.1077972268609999</v>
      </c>
      <c r="AE4573">
        <v>-15.0793</v>
      </c>
      <c r="AF4573">
        <v>6.5281458980270699</v>
      </c>
      <c r="AG4573">
        <v>-1.1077972268609999</v>
      </c>
      <c r="AH4573">
        <v>17.894884227867699</v>
      </c>
      <c r="AI4573">
        <v>93.328390552662299</v>
      </c>
      <c r="AJ4573">
        <v>69.957770151131797</v>
      </c>
      <c r="AK4573">
        <v>19.080639011588602</v>
      </c>
      <c r="AL4573">
        <v>88.472670487188793</v>
      </c>
      <c r="AM4573">
        <v>86.937806298369395</v>
      </c>
      <c r="AN4573">
        <v>0.99999993093369</v>
      </c>
    </row>
    <row r="4574" spans="1:40" x14ac:dyDescent="0.25">
      <c r="A4574" t="str">
        <f>"20190312160424305"</f>
        <v>20190312160424305</v>
      </c>
      <c r="B4574" t="str">
        <f>"1552377864299439"</f>
        <v>1552377864299439</v>
      </c>
      <c r="C4574" t="s">
        <v>40</v>
      </c>
      <c r="D4574">
        <v>5.4007540000000001</v>
      </c>
      <c r="E4574">
        <v>0.64318229999999998</v>
      </c>
      <c r="F4574" t="s">
        <v>94</v>
      </c>
      <c r="G4574">
        <v>-228.03200000000001</v>
      </c>
      <c r="H4574">
        <v>2.7522229999999999</v>
      </c>
      <c r="I4574">
        <v>119.3841</v>
      </c>
      <c r="J4574">
        <v>-195.06549999999999</v>
      </c>
      <c r="K4574">
        <v>1.1077629999999901</v>
      </c>
      <c r="L4574">
        <v>156.18170000000001</v>
      </c>
      <c r="M4574">
        <v>-0.30949789999999999</v>
      </c>
      <c r="N4574">
        <v>0</v>
      </c>
      <c r="O4574">
        <v>-0.95081300000000002</v>
      </c>
      <c r="P4574">
        <v>-0.3601549</v>
      </c>
      <c r="Q4574">
        <v>1.410254E-2</v>
      </c>
      <c r="R4574">
        <v>-0.93278620000000001</v>
      </c>
      <c r="S4574">
        <v>-2.1392519999999999</v>
      </c>
      <c r="T4574">
        <v>0.1065725</v>
      </c>
      <c r="U4574">
        <v>-2.3926699999999999</v>
      </c>
      <c r="V4574">
        <v>5.3903630000000001E-2</v>
      </c>
      <c r="W4574">
        <v>2.664805E-2</v>
      </c>
      <c r="X4574">
        <v>0.99819049999999998</v>
      </c>
      <c r="Y4574">
        <v>0.40265770000000001</v>
      </c>
      <c r="Z4574">
        <v>-3.3717829999999997E-2</v>
      </c>
      <c r="AA4574">
        <v>0.91472940000000003</v>
      </c>
      <c r="AB4574">
        <v>20</v>
      </c>
      <c r="AC4574">
        <v>-32.966500000000003</v>
      </c>
      <c r="AD4574">
        <v>1.64445999999999</v>
      </c>
      <c r="AE4574">
        <v>-36.797600000000003</v>
      </c>
      <c r="AF4574">
        <v>19.935763251803301</v>
      </c>
      <c r="AG4574">
        <v>1.64445999999999</v>
      </c>
      <c r="AH4574">
        <v>45.144427221277198</v>
      </c>
      <c r="AI4574">
        <v>88.091486135906393</v>
      </c>
      <c r="AJ4574">
        <v>66.173763622448604</v>
      </c>
      <c r="AK4574">
        <v>49.377709690312201</v>
      </c>
      <c r="AL4574">
        <v>88.472998436571004</v>
      </c>
      <c r="AM4574">
        <v>86.908953132877102</v>
      </c>
      <c r="AN4574">
        <v>0.99999999709311405</v>
      </c>
    </row>
    <row r="4575" spans="1:40" x14ac:dyDescent="0.25">
      <c r="A4575" t="str">
        <f>"20190312160424320"</f>
        <v>20190312160424320</v>
      </c>
      <c r="B4575" t="str">
        <f>"1552377864309198"</f>
        <v>1552377864309198</v>
      </c>
      <c r="C4575" t="s">
        <v>40</v>
      </c>
      <c r="D4575">
        <v>4.8691829999999996</v>
      </c>
      <c r="E4575">
        <v>0.64280150000000003</v>
      </c>
      <c r="F4575" t="s">
        <v>94</v>
      </c>
      <c r="G4575">
        <v>-228.12029999999999</v>
      </c>
      <c r="H4575">
        <v>3.5497749999999999</v>
      </c>
      <c r="I4575">
        <v>119.3841</v>
      </c>
      <c r="J4575">
        <v>-195.11070000000001</v>
      </c>
      <c r="K4575">
        <v>1.1077349999999999</v>
      </c>
      <c r="L4575">
        <v>156.05410000000001</v>
      </c>
      <c r="M4575">
        <v>-0.31236199999999997</v>
      </c>
      <c r="N4575">
        <v>0</v>
      </c>
      <c r="O4575">
        <v>-0.94987639999999995</v>
      </c>
      <c r="P4575">
        <v>-0.3641662</v>
      </c>
      <c r="Q4575">
        <v>1.391156E-2</v>
      </c>
      <c r="R4575">
        <v>-0.93123020000000001</v>
      </c>
      <c r="S4575">
        <v>-2.1434630000000001</v>
      </c>
      <c r="T4575">
        <v>0.158354299999999</v>
      </c>
      <c r="U4575">
        <v>-2.3861690000000002</v>
      </c>
      <c r="V4575">
        <v>5.5191169999999998E-2</v>
      </c>
      <c r="W4575">
        <v>2.642021E-2</v>
      </c>
      <c r="X4575">
        <v>0.99812619999999996</v>
      </c>
      <c r="Y4575">
        <v>0.40155649999999998</v>
      </c>
      <c r="Z4575">
        <v>-5.0075950000000001E-2</v>
      </c>
      <c r="AA4575">
        <v>0.91446419999999995</v>
      </c>
      <c r="AB4575">
        <v>20</v>
      </c>
      <c r="AC4575">
        <v>-33.009599999999899</v>
      </c>
      <c r="AD4575">
        <v>2.4420399999999902</v>
      </c>
      <c r="AE4575">
        <v>-36.67</v>
      </c>
      <c r="AF4575">
        <v>19.8537282488568</v>
      </c>
      <c r="AG4575">
        <v>2.4420399999999902</v>
      </c>
      <c r="AH4575">
        <v>45.036303507212502</v>
      </c>
      <c r="AI4575">
        <v>87.159511965220304</v>
      </c>
      <c r="AJ4575">
        <v>66.210276629793597</v>
      </c>
      <c r="AK4575">
        <v>49.2788262678284</v>
      </c>
      <c r="AL4575">
        <v>88.486057312295898</v>
      </c>
      <c r="AM4575">
        <v>86.835065382560103</v>
      </c>
      <c r="AN4575">
        <v>1.00000000193442</v>
      </c>
    </row>
    <row r="4576" spans="1:40" x14ac:dyDescent="0.25">
      <c r="A4576" t="str">
        <f>"20190312160424331"</f>
        <v>20190312160424331</v>
      </c>
      <c r="B4576" t="str">
        <f>"1552377864319934"</f>
        <v>1552377864319934</v>
      </c>
      <c r="C4576" t="s">
        <v>40</v>
      </c>
      <c r="D4576">
        <v>4.9125290000000001</v>
      </c>
      <c r="E4576">
        <v>0.64400119999999905</v>
      </c>
      <c r="F4576" t="s">
        <v>94</v>
      </c>
      <c r="G4576">
        <v>-228.27549999999999</v>
      </c>
      <c r="H4576">
        <v>3.6276739999999998</v>
      </c>
      <c r="I4576">
        <v>119.3841</v>
      </c>
      <c r="J4576">
        <v>-195.14269999999999</v>
      </c>
      <c r="K4576">
        <v>1.107715</v>
      </c>
      <c r="L4576">
        <v>155.96449999999999</v>
      </c>
      <c r="M4576">
        <v>-0.31438509999999997</v>
      </c>
      <c r="N4576">
        <v>0</v>
      </c>
      <c r="O4576">
        <v>-0.94920890000000002</v>
      </c>
      <c r="P4576">
        <v>-0.36674020000000002</v>
      </c>
      <c r="Q4576">
        <v>1.391973E-2</v>
      </c>
      <c r="R4576">
        <v>-0.93021940000000003</v>
      </c>
      <c r="S4576">
        <v>-2.1507260000000001</v>
      </c>
      <c r="T4576">
        <v>0.1634176</v>
      </c>
      <c r="U4576">
        <v>-2.3780359999999998</v>
      </c>
      <c r="V4576">
        <v>5.5826149999999998E-2</v>
      </c>
      <c r="W4576">
        <v>2.6404E-2</v>
      </c>
      <c r="X4576">
        <v>0.99809130000000001</v>
      </c>
      <c r="Y4576">
        <v>0.40263929999999998</v>
      </c>
      <c r="Z4576">
        <v>-5.1689880000000001E-2</v>
      </c>
      <c r="AA4576">
        <v>0.91389810000000005</v>
      </c>
      <c r="AB4576">
        <v>20</v>
      </c>
      <c r="AC4576">
        <v>-33.132800000000003</v>
      </c>
      <c r="AD4576">
        <v>2.5199590000000001</v>
      </c>
      <c r="AE4576">
        <v>-36.580399999999898</v>
      </c>
      <c r="AF4576">
        <v>19.8993808231535</v>
      </c>
      <c r="AG4576">
        <v>2.5199590000000001</v>
      </c>
      <c r="AH4576">
        <v>45.025235670881997</v>
      </c>
      <c r="AI4576">
        <v>87.069529040501493</v>
      </c>
      <c r="AJ4576">
        <v>66.156459175244194</v>
      </c>
      <c r="AK4576">
        <v>49.291047845679202</v>
      </c>
      <c r="AL4576">
        <v>88.486986377928602</v>
      </c>
      <c r="AM4576">
        <v>86.798616089073903</v>
      </c>
      <c r="AN4576">
        <v>0.99999998668775603</v>
      </c>
    </row>
    <row r="4577" spans="1:40" x14ac:dyDescent="0.25">
      <c r="A4577" t="str">
        <f>"20190312160424342"</f>
        <v>20190312160424342</v>
      </c>
      <c r="B4577" t="str">
        <f>"1552377864329695"</f>
        <v>1552377864329695</v>
      </c>
      <c r="C4577" t="s">
        <v>40</v>
      </c>
      <c r="D4577">
        <v>4.8742089999999996</v>
      </c>
      <c r="E4577">
        <v>0.64341700000000002</v>
      </c>
      <c r="F4577" t="s">
        <v>94</v>
      </c>
      <c r="G4577">
        <v>-228.60239999999999</v>
      </c>
      <c r="H4577">
        <v>3.351871</v>
      </c>
      <c r="I4577">
        <v>119.3841</v>
      </c>
      <c r="J4577">
        <v>-195.17580000000001</v>
      </c>
      <c r="K4577">
        <v>1.107688</v>
      </c>
      <c r="L4577">
        <v>155.87219999999999</v>
      </c>
      <c r="M4577">
        <v>-0.3164865</v>
      </c>
      <c r="N4577">
        <v>0</v>
      </c>
      <c r="O4577">
        <v>-0.94851050000000003</v>
      </c>
      <c r="P4577">
        <v>-0.36967650000000002</v>
      </c>
      <c r="Q4577">
        <v>1.393727E-2</v>
      </c>
      <c r="R4577">
        <v>-0.9290562</v>
      </c>
      <c r="S4577">
        <v>-2.166595</v>
      </c>
      <c r="T4577">
        <v>0.14531479999999999</v>
      </c>
      <c r="U4577">
        <v>-2.368668</v>
      </c>
      <c r="V4577">
        <v>5.6769809999999997E-2</v>
      </c>
      <c r="W4577">
        <v>2.6393509999999998E-2</v>
      </c>
      <c r="X4577">
        <v>0.99803839999999999</v>
      </c>
      <c r="Y4577">
        <v>0.40594669999999999</v>
      </c>
      <c r="Z4577">
        <v>-4.593713E-2</v>
      </c>
      <c r="AA4577">
        <v>0.91274149999999998</v>
      </c>
      <c r="AB4577">
        <v>20</v>
      </c>
      <c r="AC4577">
        <v>-33.426599999999901</v>
      </c>
      <c r="AD4577">
        <v>2.244183</v>
      </c>
      <c r="AE4577">
        <v>-36.488099999999903</v>
      </c>
      <c r="AF4577">
        <v>20.117767569109599</v>
      </c>
      <c r="AG4577">
        <v>2.244183</v>
      </c>
      <c r="AH4577">
        <v>45.099365104552597</v>
      </c>
      <c r="AI4577">
        <v>87.398013546791901</v>
      </c>
      <c r="AJ4577">
        <v>65.959472091072598</v>
      </c>
      <c r="AK4577">
        <v>49.433932294891797</v>
      </c>
      <c r="AL4577">
        <v>88.4875876982574</v>
      </c>
      <c r="AM4577">
        <v>86.744444588255703</v>
      </c>
      <c r="AN4577">
        <v>1.0000000382860501</v>
      </c>
    </row>
    <row r="4578" spans="1:40" x14ac:dyDescent="0.25">
      <c r="A4578" t="str">
        <f>"20190312160424354"</f>
        <v>20190312160424354</v>
      </c>
      <c r="B4578" t="str">
        <f>"1552377864349214"</f>
        <v>1552377864349214</v>
      </c>
      <c r="C4578" t="s">
        <v>40</v>
      </c>
      <c r="D4578">
        <v>4.9053839999999997</v>
      </c>
      <c r="E4578">
        <v>0.64452779999999998</v>
      </c>
      <c r="F4578" t="s">
        <v>94</v>
      </c>
      <c r="G4578">
        <v>-228.6688</v>
      </c>
      <c r="H4578">
        <v>3.4787759999999999</v>
      </c>
      <c r="I4578">
        <v>119.3841</v>
      </c>
      <c r="J4578">
        <v>-195.21010000000001</v>
      </c>
      <c r="K4578">
        <v>1.107667</v>
      </c>
      <c r="L4578">
        <v>155.77760000000001</v>
      </c>
      <c r="M4578">
        <v>-0.318660099999999</v>
      </c>
      <c r="N4578">
        <v>0</v>
      </c>
      <c r="O4578">
        <v>-0.94778260000000003</v>
      </c>
      <c r="P4578">
        <v>-0.37266909999999998</v>
      </c>
      <c r="Q4578">
        <v>1.4068509999999999E-2</v>
      </c>
      <c r="R4578">
        <v>-0.92785740000000005</v>
      </c>
      <c r="S4578">
        <v>-2.1695099999999998</v>
      </c>
      <c r="T4578">
        <v>0.15358810000000001</v>
      </c>
      <c r="U4578">
        <v>-2.3635250000000001</v>
      </c>
      <c r="V4578">
        <v>5.7701620000000002E-2</v>
      </c>
      <c r="W4578">
        <v>2.6496949999999998E-2</v>
      </c>
      <c r="X4578">
        <v>0.99798220000000004</v>
      </c>
      <c r="Y4578">
        <v>0.40536430000000001</v>
      </c>
      <c r="Z4578">
        <v>-4.855694E-2</v>
      </c>
      <c r="AA4578">
        <v>0.91286469999999997</v>
      </c>
      <c r="AB4578">
        <v>20</v>
      </c>
      <c r="AC4578">
        <v>-33.458699999999901</v>
      </c>
      <c r="AD4578">
        <v>2.3711090000000001</v>
      </c>
      <c r="AE4578">
        <v>-36.393500000000003</v>
      </c>
      <c r="AF4578">
        <v>20.069896577908199</v>
      </c>
      <c r="AG4578">
        <v>2.3711090000000001</v>
      </c>
      <c r="AH4578">
        <v>45.055133612038802</v>
      </c>
      <c r="AI4578">
        <v>87.247737960580594</v>
      </c>
      <c r="AJ4578">
        <v>65.989325602943694</v>
      </c>
      <c r="AK4578">
        <v>49.380036161757502</v>
      </c>
      <c r="AL4578">
        <v>88.481658919370105</v>
      </c>
      <c r="AM4578">
        <v>86.690940312189994</v>
      </c>
      <c r="AN4578">
        <v>1.0000000184133799</v>
      </c>
    </row>
    <row r="4579" spans="1:40" x14ac:dyDescent="0.25">
      <c r="A4579" t="str">
        <f>"20190312160424364"</f>
        <v>20190312160424364</v>
      </c>
      <c r="B4579" t="str">
        <f>"1552377864359951"</f>
        <v>1552377864359951</v>
      </c>
      <c r="C4579" t="s">
        <v>40</v>
      </c>
      <c r="D4579">
        <v>5.5330859999999999</v>
      </c>
      <c r="E4579">
        <v>0.6443489</v>
      </c>
      <c r="F4579" t="s">
        <v>94</v>
      </c>
      <c r="G4579">
        <v>-229.00989999999999</v>
      </c>
      <c r="H4579">
        <v>3.1651470000000002</v>
      </c>
      <c r="I4579">
        <v>119.3841</v>
      </c>
      <c r="J4579">
        <v>-195.24600000000001</v>
      </c>
      <c r="K4579">
        <v>1.107642</v>
      </c>
      <c r="L4579">
        <v>155.67930000000001</v>
      </c>
      <c r="M4579">
        <v>-0.32092979999999999</v>
      </c>
      <c r="N4579">
        <v>0</v>
      </c>
      <c r="O4579">
        <v>-0.947017</v>
      </c>
      <c r="P4579">
        <v>-0.37559340000000002</v>
      </c>
      <c r="Q4579">
        <v>1.4041379999999999E-2</v>
      </c>
      <c r="R4579">
        <v>-0.92667849999999996</v>
      </c>
      <c r="S4579">
        <v>-2.185654</v>
      </c>
      <c r="T4579">
        <v>0.133047</v>
      </c>
      <c r="U4579">
        <v>-2.3533780000000002</v>
      </c>
      <c r="V4579">
        <v>5.8459240000000003E-2</v>
      </c>
      <c r="W4579">
        <v>2.6443560000000001E-2</v>
      </c>
      <c r="X4579">
        <v>0.99793949999999998</v>
      </c>
      <c r="Y4579">
        <v>0.40871160000000001</v>
      </c>
      <c r="Z4579">
        <v>-4.2041700000000001E-2</v>
      </c>
      <c r="AA4579">
        <v>0.91169480000000003</v>
      </c>
      <c r="AB4579">
        <v>20</v>
      </c>
      <c r="AC4579">
        <v>-33.7639</v>
      </c>
      <c r="AD4579">
        <v>2.0575049999999999</v>
      </c>
      <c r="AE4579">
        <v>-36.295200000000001</v>
      </c>
      <c r="AF4579">
        <v>20.293471390792799</v>
      </c>
      <c r="AG4579">
        <v>2.0575049999999999</v>
      </c>
      <c r="AH4579">
        <v>45.133941551189501</v>
      </c>
      <c r="AI4579">
        <v>87.619171291747804</v>
      </c>
      <c r="AJ4579">
        <v>65.789995093999394</v>
      </c>
      <c r="AK4579">
        <v>49.529092338343403</v>
      </c>
      <c r="AL4579">
        <v>88.484718977951104</v>
      </c>
      <c r="AM4579">
        <v>86.647447826823395</v>
      </c>
      <c r="AN4579">
        <v>0.99999999513354998</v>
      </c>
    </row>
    <row r="4580" spans="1:40" x14ac:dyDescent="0.25">
      <c r="A4580" t="str">
        <f>"20190312160424377"</f>
        <v>20190312160424377</v>
      </c>
      <c r="B4580" t="str">
        <f>"1552377864369710"</f>
        <v>1552377864369710</v>
      </c>
      <c r="C4580" t="s">
        <v>40</v>
      </c>
      <c r="D4580">
        <v>4.9224489999999896</v>
      </c>
      <c r="E4580">
        <v>0.64459789999999995</v>
      </c>
      <c r="F4580" t="s">
        <v>94</v>
      </c>
      <c r="G4580">
        <v>-229.13910000000001</v>
      </c>
      <c r="H4580">
        <v>3.2694209999999999</v>
      </c>
      <c r="I4580">
        <v>119.3841</v>
      </c>
      <c r="J4580">
        <v>-195.2817</v>
      </c>
      <c r="K4580">
        <v>1.1076189999999999</v>
      </c>
      <c r="L4580">
        <v>155.58250000000001</v>
      </c>
      <c r="M4580">
        <v>-0.32319819999999999</v>
      </c>
      <c r="N4580">
        <v>0</v>
      </c>
      <c r="O4580">
        <v>-0.94624540000000001</v>
      </c>
      <c r="P4580">
        <v>-0.37849339999999998</v>
      </c>
      <c r="Q4580">
        <v>1.4073499999999999E-2</v>
      </c>
      <c r="R4580">
        <v>-0.92549720000000002</v>
      </c>
      <c r="S4580">
        <v>-2.1916350000000002</v>
      </c>
      <c r="T4580">
        <v>0.13978789999999999</v>
      </c>
      <c r="U4580">
        <v>-2.3469699999999998</v>
      </c>
      <c r="V4580">
        <v>5.919485E-2</v>
      </c>
      <c r="W4580">
        <v>2.6449279999999999E-2</v>
      </c>
      <c r="X4580">
        <v>0.99789600000000001</v>
      </c>
      <c r="Y4580">
        <v>0.40894249999999999</v>
      </c>
      <c r="Z4580">
        <v>-4.4166070000000002E-2</v>
      </c>
      <c r="AA4580">
        <v>0.91149080000000005</v>
      </c>
      <c r="AB4580">
        <v>20</v>
      </c>
      <c r="AC4580">
        <v>-33.857399999999998</v>
      </c>
      <c r="AD4580">
        <v>2.1618019999999998</v>
      </c>
      <c r="AE4580">
        <v>-36.198399999999999</v>
      </c>
      <c r="AF4580">
        <v>20.301184807800698</v>
      </c>
      <c r="AG4580">
        <v>2.1618019999999998</v>
      </c>
      <c r="AH4580">
        <v>45.113073721739902</v>
      </c>
      <c r="AI4580">
        <v>87.497833031550798</v>
      </c>
      <c r="AJ4580">
        <v>65.771936106143698</v>
      </c>
      <c r="AK4580">
        <v>49.517682832608699</v>
      </c>
      <c r="AL4580">
        <v>88.484391155090805</v>
      </c>
      <c r="AM4580">
        <v>86.605212077408893</v>
      </c>
      <c r="AN4580">
        <v>1.00000001074752</v>
      </c>
    </row>
    <row r="4581" spans="1:40" x14ac:dyDescent="0.25">
      <c r="A4581" t="str">
        <f>"20190312160424390"</f>
        <v>20190312160424390</v>
      </c>
      <c r="B4581" t="str">
        <f>"1552377864379471"</f>
        <v>1552377864379471</v>
      </c>
      <c r="C4581" t="s">
        <v>40</v>
      </c>
      <c r="D4581">
        <v>4.9330030000000002</v>
      </c>
      <c r="E4581">
        <v>0.64469719999999997</v>
      </c>
      <c r="F4581" t="s">
        <v>94</v>
      </c>
      <c r="G4581">
        <v>-229.3366</v>
      </c>
      <c r="H4581">
        <v>3.1747230000000002</v>
      </c>
      <c r="I4581">
        <v>119.3841</v>
      </c>
      <c r="J4581">
        <v>-195.3203</v>
      </c>
      <c r="K4581">
        <v>1.107591</v>
      </c>
      <c r="L4581">
        <v>155.4785</v>
      </c>
      <c r="M4581">
        <v>-0.3256502</v>
      </c>
      <c r="N4581">
        <v>0</v>
      </c>
      <c r="O4581">
        <v>-0.94540460000000004</v>
      </c>
      <c r="P4581">
        <v>-0.38173750000000001</v>
      </c>
      <c r="Q4581">
        <v>1.3970349999999999E-2</v>
      </c>
      <c r="R4581">
        <v>-0.92416520000000002</v>
      </c>
      <c r="S4581">
        <v>-2.200882</v>
      </c>
      <c r="T4581">
        <v>0.13359219999999999</v>
      </c>
      <c r="U4581">
        <v>-2.3394170000000001</v>
      </c>
      <c r="V4581">
        <v>6.0109019999999999E-2</v>
      </c>
      <c r="W4581">
        <v>2.631582E-2</v>
      </c>
      <c r="X4581">
        <v>0.99784490000000003</v>
      </c>
      <c r="Y4581">
        <v>0.4100183</v>
      </c>
      <c r="Z4581">
        <v>-4.2196230000000001E-2</v>
      </c>
      <c r="AA4581">
        <v>0.91110069999999999</v>
      </c>
      <c r="AB4581">
        <v>20</v>
      </c>
      <c r="AC4581">
        <v>-34.016300000000001</v>
      </c>
      <c r="AD4581">
        <v>2.067132</v>
      </c>
      <c r="AE4581">
        <v>-36.094399999999901</v>
      </c>
      <c r="AF4581">
        <v>20.371285560684601</v>
      </c>
      <c r="AG4581">
        <v>2.067132</v>
      </c>
      <c r="AH4581">
        <v>45.126502727528703</v>
      </c>
      <c r="AI4581">
        <v>87.609259487900701</v>
      </c>
      <c r="AJ4581">
        <v>65.704336590082306</v>
      </c>
      <c r="AK4581">
        <v>49.554652238897198</v>
      </c>
      <c r="AL4581">
        <v>88.492040542222796</v>
      </c>
      <c r="AM4581">
        <v>86.552734354670307</v>
      </c>
      <c r="AN4581">
        <v>1.00000003056182</v>
      </c>
    </row>
    <row r="4582" spans="1:40" x14ac:dyDescent="0.25">
      <c r="A4582" t="str">
        <f>"20190312160424402"</f>
        <v>20190312160424402</v>
      </c>
      <c r="B4582" t="str">
        <f>"1552377864389230"</f>
        <v>1552377864389230</v>
      </c>
      <c r="C4582" t="s">
        <v>40</v>
      </c>
      <c r="D4582">
        <v>4.9012549999999999</v>
      </c>
      <c r="E4582">
        <v>0.64482589999999995</v>
      </c>
      <c r="F4582" t="s">
        <v>94</v>
      </c>
      <c r="G4582">
        <v>-229.53540000000001</v>
      </c>
      <c r="H4582">
        <v>3.0472250000000001</v>
      </c>
      <c r="I4582">
        <v>119.3841</v>
      </c>
      <c r="J4582">
        <v>-195.3613</v>
      </c>
      <c r="K4582">
        <v>1.107559</v>
      </c>
      <c r="L4582">
        <v>155.3691</v>
      </c>
      <c r="M4582">
        <v>-0.32826660000000002</v>
      </c>
      <c r="N4582">
        <v>0</v>
      </c>
      <c r="O4582">
        <v>-0.94449959999999999</v>
      </c>
      <c r="P4582">
        <v>-0.38482119999999997</v>
      </c>
      <c r="Q4582">
        <v>1.384401E-2</v>
      </c>
      <c r="R4582">
        <v>-0.92288769999999998</v>
      </c>
      <c r="S4582">
        <v>-2.2100219999999999</v>
      </c>
      <c r="T4582">
        <v>0.1252849</v>
      </c>
      <c r="U4582">
        <v>-2.3314059999999999</v>
      </c>
      <c r="V4582">
        <v>6.0678450000000002E-2</v>
      </c>
      <c r="W4582">
        <v>2.615994E-2</v>
      </c>
      <c r="X4582">
        <v>0.99781450000000005</v>
      </c>
      <c r="Y4582">
        <v>0.41101490000000002</v>
      </c>
      <c r="Z4582">
        <v>-3.9564389999999998E-2</v>
      </c>
      <c r="AA4582">
        <v>0.91076970000000002</v>
      </c>
      <c r="AB4582">
        <v>20</v>
      </c>
      <c r="AC4582">
        <v>-34.174100000000003</v>
      </c>
      <c r="AD4582">
        <v>1.9396659999999999</v>
      </c>
      <c r="AE4582">
        <v>-35.984999999999999</v>
      </c>
      <c r="AF4582">
        <v>20.435185357346601</v>
      </c>
      <c r="AG4582">
        <v>1.9396659999999999</v>
      </c>
      <c r="AH4582">
        <v>45.140725895204199</v>
      </c>
      <c r="AI4582">
        <v>87.758301398204694</v>
      </c>
      <c r="AJ4582">
        <v>65.643759653121506</v>
      </c>
      <c r="AK4582">
        <v>49.588751134976498</v>
      </c>
      <c r="AL4582">
        <v>88.500974832969604</v>
      </c>
      <c r="AM4582">
        <v>86.520051532905896</v>
      </c>
      <c r="AN4582">
        <v>0.99999999658272798</v>
      </c>
    </row>
    <row r="4583" spans="1:40" x14ac:dyDescent="0.25">
      <c r="A4583" t="str">
        <f>"20190312160424415"</f>
        <v>20190312160424415</v>
      </c>
      <c r="B4583" t="str">
        <f>"1552377864409258"</f>
        <v>1552377864409258</v>
      </c>
      <c r="C4583" t="s">
        <v>40</v>
      </c>
      <c r="D4583">
        <v>5.7335140000000004</v>
      </c>
      <c r="E4583">
        <v>0.6450186</v>
      </c>
      <c r="F4583" t="s">
        <v>94</v>
      </c>
      <c r="G4583">
        <v>-229.72569999999999</v>
      </c>
      <c r="H4583">
        <v>2.9209520000000002</v>
      </c>
      <c r="I4583">
        <v>119.3841</v>
      </c>
      <c r="J4583">
        <v>-195.39949999999999</v>
      </c>
      <c r="K4583">
        <v>1.1075299999999999</v>
      </c>
      <c r="L4583">
        <v>155.2681</v>
      </c>
      <c r="M4583">
        <v>-0.33071040000000002</v>
      </c>
      <c r="N4583">
        <v>0</v>
      </c>
      <c r="O4583">
        <v>-0.94364680000000001</v>
      </c>
      <c r="P4583">
        <v>-0.38766879999999998</v>
      </c>
      <c r="Q4583">
        <v>1.380661E-2</v>
      </c>
      <c r="R4583">
        <v>-0.92169559999999995</v>
      </c>
      <c r="S4583">
        <v>-2.2190089999999998</v>
      </c>
      <c r="T4583">
        <v>0.1170963</v>
      </c>
      <c r="U4583">
        <v>-2.3236539999999999</v>
      </c>
      <c r="V4583">
        <v>6.1177790000000003E-2</v>
      </c>
      <c r="W4583">
        <v>2.6096069999999999E-2</v>
      </c>
      <c r="X4583">
        <v>0.9977857</v>
      </c>
      <c r="Y4583">
        <v>0.41208709999999998</v>
      </c>
      <c r="Z4583">
        <v>-3.697052E-2</v>
      </c>
      <c r="AA4583">
        <v>0.91039409999999998</v>
      </c>
      <c r="AB4583">
        <v>20</v>
      </c>
      <c r="AC4583">
        <v>-34.3262</v>
      </c>
      <c r="AD4583">
        <v>1.8134220000000001</v>
      </c>
      <c r="AE4583">
        <v>-35.884</v>
      </c>
      <c r="AF4583">
        <v>20.498916196744801</v>
      </c>
      <c r="AG4583">
        <v>1.8134220000000001</v>
      </c>
      <c r="AH4583">
        <v>45.157281045357102</v>
      </c>
      <c r="AI4583">
        <v>87.905816450504801</v>
      </c>
      <c r="AJ4583">
        <v>65.584570213586204</v>
      </c>
      <c r="AK4583">
        <v>49.625337238155097</v>
      </c>
      <c r="AL4583">
        <v>88.504635591708293</v>
      </c>
      <c r="AM4583">
        <v>86.491384287815094</v>
      </c>
      <c r="AN4583">
        <v>1.0000000149916</v>
      </c>
    </row>
    <row r="4584" spans="1:40" x14ac:dyDescent="0.25">
      <c r="A4584" t="str">
        <f>"20190312160424426"</f>
        <v>20190312160424426</v>
      </c>
      <c r="B4584" t="str">
        <f>"1552377864419019"</f>
        <v>1552377864419019</v>
      </c>
      <c r="C4584" t="s">
        <v>40</v>
      </c>
      <c r="D4584">
        <v>4.9136550000000003</v>
      </c>
      <c r="E4584">
        <v>0.64483449999999998</v>
      </c>
      <c r="F4584" t="s">
        <v>94</v>
      </c>
      <c r="G4584">
        <v>-229.91820000000001</v>
      </c>
      <c r="H4584">
        <v>2.4817269999999998</v>
      </c>
      <c r="I4584">
        <v>119.3841</v>
      </c>
      <c r="J4584">
        <v>-195.43770000000001</v>
      </c>
      <c r="K4584">
        <v>1.1074980000000001</v>
      </c>
      <c r="L4584">
        <v>155.1678</v>
      </c>
      <c r="M4584">
        <v>-0.33315119999999998</v>
      </c>
      <c r="N4584">
        <v>0</v>
      </c>
      <c r="O4584">
        <v>-0.94278810000000002</v>
      </c>
      <c r="P4584">
        <v>-0.39069160000000003</v>
      </c>
      <c r="Q4584">
        <v>1.379906E-2</v>
      </c>
      <c r="R4584">
        <v>-0.92041810000000002</v>
      </c>
      <c r="S4584">
        <v>-2.2281949999999999</v>
      </c>
      <c r="T4584">
        <v>8.8705419999999993E-2</v>
      </c>
      <c r="U4584">
        <v>-2.3163299999999998</v>
      </c>
      <c r="V4584">
        <v>6.187223E-2</v>
      </c>
      <c r="W4584">
        <v>2.6060320000000001E-2</v>
      </c>
      <c r="X4584">
        <v>0.99774379999999996</v>
      </c>
      <c r="Y4584">
        <v>0.41325390000000001</v>
      </c>
      <c r="Z4584">
        <v>-2.8001539999999998E-2</v>
      </c>
      <c r="AA4584">
        <v>0.91018520000000003</v>
      </c>
      <c r="AB4584">
        <v>20</v>
      </c>
      <c r="AC4584">
        <v>-34.480499999999999</v>
      </c>
      <c r="AD4584">
        <v>1.3742289999999999</v>
      </c>
      <c r="AE4584">
        <v>-35.783700000000003</v>
      </c>
      <c r="AF4584">
        <v>20.572345516562901</v>
      </c>
      <c r="AG4584">
        <v>1.3742289999999999</v>
      </c>
      <c r="AH4584">
        <v>45.192742598772803</v>
      </c>
      <c r="AI4584">
        <v>88.414708568292198</v>
      </c>
      <c r="AJ4584">
        <v>65.524332227661702</v>
      </c>
      <c r="AK4584">
        <v>49.673875316872802</v>
      </c>
      <c r="AL4584">
        <v>88.506684592922994</v>
      </c>
      <c r="AM4584">
        <v>86.4515099212108</v>
      </c>
      <c r="AN4584">
        <v>1.00000000178105</v>
      </c>
    </row>
    <row r="4585" spans="1:40" x14ac:dyDescent="0.25">
      <c r="A4585" t="str">
        <f>"20190312160424444"</f>
        <v>20190312160424444</v>
      </c>
      <c r="B4585" t="str">
        <f>"1552377864439513"</f>
        <v>1552377864439513</v>
      </c>
      <c r="C4585" t="s">
        <v>40</v>
      </c>
      <c r="D4585">
        <v>4.5186549999999999</v>
      </c>
      <c r="E4585">
        <v>0.64393159999999905</v>
      </c>
      <c r="F4585" t="s">
        <v>94</v>
      </c>
      <c r="G4585">
        <v>-230.05609999999999</v>
      </c>
      <c r="H4585">
        <v>2.4082249999999998</v>
      </c>
      <c r="I4585">
        <v>119.3841</v>
      </c>
      <c r="J4585">
        <v>-195.49209999999999</v>
      </c>
      <c r="K4585">
        <v>1.107442</v>
      </c>
      <c r="L4585">
        <v>155.0266</v>
      </c>
      <c r="M4585">
        <v>-0.33665469999999997</v>
      </c>
      <c r="N4585">
        <v>0</v>
      </c>
      <c r="O4585">
        <v>-0.94154329999999997</v>
      </c>
      <c r="P4585">
        <v>-0.39501609999999998</v>
      </c>
      <c r="Q4585">
        <v>1.350236E-2</v>
      </c>
      <c r="R4585">
        <v>-0.91857520000000004</v>
      </c>
      <c r="S4585">
        <v>-2.234467</v>
      </c>
      <c r="T4585">
        <v>8.395648E-2</v>
      </c>
      <c r="U4585">
        <v>-2.3096770000000002</v>
      </c>
      <c r="V4585">
        <v>6.2854069999999998E-2</v>
      </c>
      <c r="W4585">
        <v>2.5723780000000002E-2</v>
      </c>
      <c r="X4585">
        <v>0.9976912</v>
      </c>
      <c r="Y4585">
        <v>0.41248410000000002</v>
      </c>
      <c r="Z4585">
        <v>-2.6490360000000001E-2</v>
      </c>
      <c r="AA4585">
        <v>0.91057960000000004</v>
      </c>
      <c r="AB4585">
        <v>20</v>
      </c>
      <c r="AC4585">
        <v>-34.563999999999901</v>
      </c>
      <c r="AD4585">
        <v>1.30078299999999</v>
      </c>
      <c r="AE4585">
        <v>-35.642499999999998</v>
      </c>
      <c r="AF4585">
        <v>20.531836216641299</v>
      </c>
      <c r="AG4585">
        <v>1.30078299999999</v>
      </c>
      <c r="AH4585">
        <v>45.167698769083302</v>
      </c>
      <c r="AI4585">
        <v>88.498198793535593</v>
      </c>
      <c r="AJ4585">
        <v>65.554926593592796</v>
      </c>
      <c r="AK4585">
        <v>49.632341743410898</v>
      </c>
      <c r="AL4585">
        <v>88.525973435813896</v>
      </c>
      <c r="AM4585">
        <v>86.395157301216301</v>
      </c>
      <c r="AN4585">
        <v>1.0000000387652399</v>
      </c>
    </row>
    <row r="4586" spans="1:40" x14ac:dyDescent="0.25">
      <c r="A4586" t="str">
        <f>"20190312160424457"</f>
        <v>20190312160424457</v>
      </c>
      <c r="B4586" t="str">
        <f>"1552377864449274"</f>
        <v>1552377864449274</v>
      </c>
      <c r="C4586" t="s">
        <v>40</v>
      </c>
      <c r="D4586">
        <v>4.9434620000000002</v>
      </c>
      <c r="E4586">
        <v>0.64387109999999903</v>
      </c>
      <c r="F4586" t="s">
        <v>94</v>
      </c>
      <c r="G4586">
        <v>-230.1533</v>
      </c>
      <c r="H4586">
        <v>2.419181</v>
      </c>
      <c r="I4586">
        <v>119.3841</v>
      </c>
      <c r="J4586">
        <v>-195.53120000000001</v>
      </c>
      <c r="K4586">
        <v>1.1074029999999999</v>
      </c>
      <c r="L4586">
        <v>154.9265</v>
      </c>
      <c r="M4586">
        <v>-0.33918150000000002</v>
      </c>
      <c r="N4586">
        <v>0</v>
      </c>
      <c r="O4586">
        <v>-0.94063620000000003</v>
      </c>
      <c r="P4586">
        <v>-0.39791130000000002</v>
      </c>
      <c r="Q4586">
        <v>1.3337369999999999E-2</v>
      </c>
      <c r="R4586">
        <v>-0.91732720000000001</v>
      </c>
      <c r="S4586">
        <v>-2.2386170000000001</v>
      </c>
      <c r="T4586">
        <v>8.4720019999999993E-2</v>
      </c>
      <c r="U4586">
        <v>-2.3020019999999999</v>
      </c>
      <c r="V4586">
        <v>6.3322320000000001E-2</v>
      </c>
      <c r="W4586">
        <v>2.55312E-2</v>
      </c>
      <c r="X4586">
        <v>0.99766650000000001</v>
      </c>
      <c r="Y4586">
        <v>0.4123927</v>
      </c>
      <c r="Z4586">
        <v>-2.6742910000000002E-2</v>
      </c>
      <c r="AA4586">
        <v>0.91061360000000002</v>
      </c>
      <c r="AB4586">
        <v>20</v>
      </c>
      <c r="AC4586">
        <v>-34.622099999999897</v>
      </c>
      <c r="AD4586">
        <v>1.3117780000000001</v>
      </c>
      <c r="AE4586">
        <v>-35.542400000000001</v>
      </c>
      <c r="AF4586">
        <v>20.498784040358501</v>
      </c>
      <c r="AG4586">
        <v>1.3117780000000001</v>
      </c>
      <c r="AH4586">
        <v>45.147690314918798</v>
      </c>
      <c r="AI4586">
        <v>88.484537019966595</v>
      </c>
      <c r="AJ4586">
        <v>65.580128319294602</v>
      </c>
      <c r="AK4586">
        <v>49.600754524768597</v>
      </c>
      <c r="AL4586">
        <v>88.537011027717398</v>
      </c>
      <c r="AM4586">
        <v>86.368283893488197</v>
      </c>
      <c r="AN4586">
        <v>1.00000000180293</v>
      </c>
    </row>
    <row r="4587" spans="1:40" x14ac:dyDescent="0.25">
      <c r="A4587" t="str">
        <f>"20190312160424477"</f>
        <v>20190312160424477</v>
      </c>
      <c r="B4587" t="str">
        <f>"1552377864469769"</f>
        <v>1552377864469769</v>
      </c>
      <c r="C4587" t="s">
        <v>40</v>
      </c>
      <c r="D4587">
        <v>5.139011</v>
      </c>
      <c r="E4587">
        <v>0.64367700000000005</v>
      </c>
      <c r="F4587" t="s">
        <v>94</v>
      </c>
      <c r="G4587">
        <v>-230.30260000000001</v>
      </c>
      <c r="H4587">
        <v>2.3644579999999999</v>
      </c>
      <c r="I4587">
        <v>119.3841</v>
      </c>
      <c r="J4587">
        <v>-195.6003</v>
      </c>
      <c r="K4587">
        <v>1.107329</v>
      </c>
      <c r="L4587">
        <v>154.75129999999999</v>
      </c>
      <c r="M4587">
        <v>-0.34367249999999999</v>
      </c>
      <c r="N4587">
        <v>0</v>
      </c>
      <c r="O4587">
        <v>-0.93900530000000004</v>
      </c>
      <c r="P4587">
        <v>-0.40324320000000002</v>
      </c>
      <c r="Q4587">
        <v>1.3055809999999999E-2</v>
      </c>
      <c r="R4587">
        <v>-0.91500009999999998</v>
      </c>
      <c r="S4587">
        <v>-2.2453919999999998</v>
      </c>
      <c r="T4587">
        <v>8.117568E-2</v>
      </c>
      <c r="U4587">
        <v>-2.2951809999999999</v>
      </c>
      <c r="V4587">
        <v>6.4362000000000003E-2</v>
      </c>
      <c r="W4587">
        <v>2.5199909999999999E-2</v>
      </c>
      <c r="X4587">
        <v>0.99760839999999995</v>
      </c>
      <c r="Y4587">
        <v>0.41078700000000001</v>
      </c>
      <c r="Z4587">
        <v>-2.5601240000000001E-2</v>
      </c>
      <c r="AA4587">
        <v>0.91137179999999995</v>
      </c>
      <c r="AB4587">
        <v>20</v>
      </c>
      <c r="AC4587">
        <v>-34.702300000000001</v>
      </c>
      <c r="AD4587">
        <v>1.2571289999999999</v>
      </c>
      <c r="AE4587">
        <v>-35.367199999999897</v>
      </c>
      <c r="AF4587">
        <v>20.419382233178101</v>
      </c>
      <c r="AG4587">
        <v>1.2571289999999999</v>
      </c>
      <c r="AH4587">
        <v>45.1107480874036</v>
      </c>
      <c r="AI4587">
        <v>88.545696346816797</v>
      </c>
      <c r="AJ4587">
        <v>65.646112623777896</v>
      </c>
      <c r="AK4587">
        <v>49.532929825646903</v>
      </c>
      <c r="AL4587">
        <v>88.555998669446097</v>
      </c>
      <c r="AM4587">
        <v>86.308604419536707</v>
      </c>
      <c r="AN4587">
        <v>1.0000000111292799</v>
      </c>
    </row>
    <row r="4588" spans="1:40" x14ac:dyDescent="0.25">
      <c r="A4588" t="str">
        <f>"20190312160424490"</f>
        <v>20190312160424490</v>
      </c>
      <c r="B4588" t="str">
        <f>"1552377864479529"</f>
        <v>1552377864479529</v>
      </c>
      <c r="C4588" t="s">
        <v>40</v>
      </c>
      <c r="D4588">
        <v>4.9393929999999999</v>
      </c>
      <c r="E4588">
        <v>0.64344959999999995</v>
      </c>
      <c r="F4588" t="s">
        <v>94</v>
      </c>
      <c r="G4588">
        <v>-230.5779</v>
      </c>
      <c r="H4588">
        <v>2.2190590000000001</v>
      </c>
      <c r="I4588">
        <v>119.3841</v>
      </c>
      <c r="J4588">
        <v>-195.64080000000001</v>
      </c>
      <c r="K4588">
        <v>1.1072869999999999</v>
      </c>
      <c r="L4588">
        <v>154.64949999999999</v>
      </c>
      <c r="M4588">
        <v>-0.3463195</v>
      </c>
      <c r="N4588">
        <v>0</v>
      </c>
      <c r="O4588">
        <v>-0.93803239999999999</v>
      </c>
      <c r="P4588">
        <v>-0.40631650000000002</v>
      </c>
      <c r="Q4588">
        <v>1.275802E-2</v>
      </c>
      <c r="R4588">
        <v>-0.91364369999999995</v>
      </c>
      <c r="S4588">
        <v>-2.257584</v>
      </c>
      <c r="T4588">
        <v>7.1755529999999998E-2</v>
      </c>
      <c r="U4588">
        <v>-2.2827299999999999</v>
      </c>
      <c r="V4588">
        <v>6.4900520000000003E-2</v>
      </c>
      <c r="W4588">
        <v>2.4875290000000001E-2</v>
      </c>
      <c r="X4588">
        <v>0.99758170000000002</v>
      </c>
      <c r="Y4588">
        <v>0.41321249999999998</v>
      </c>
      <c r="Z4588">
        <v>-2.2635780000000001E-2</v>
      </c>
      <c r="AA4588">
        <v>0.91035319999999997</v>
      </c>
      <c r="AB4588">
        <v>20</v>
      </c>
      <c r="AC4588">
        <v>-34.937099999999901</v>
      </c>
      <c r="AD4588">
        <v>1.111772</v>
      </c>
      <c r="AE4588">
        <v>-35.2653999999999</v>
      </c>
      <c r="AF4588">
        <v>20.5503528310531</v>
      </c>
      <c r="AG4588">
        <v>1.111772</v>
      </c>
      <c r="AH4588">
        <v>45.160404967500703</v>
      </c>
      <c r="AI4588">
        <v>88.716366188221897</v>
      </c>
      <c r="AJ4588">
        <v>65.531975307934303</v>
      </c>
      <c r="AK4588">
        <v>49.628774065953102</v>
      </c>
      <c r="AL4588">
        <v>88.5746039173018</v>
      </c>
      <c r="AM4588">
        <v>86.2777054578536</v>
      </c>
      <c r="AN4588">
        <v>1.00000005286187</v>
      </c>
    </row>
    <row r="4589" spans="1:40" x14ac:dyDescent="0.25">
      <c r="A4589" t="str">
        <f>"20190312160424504"</f>
        <v>20190312160424504</v>
      </c>
      <c r="B4589" t="str">
        <f>"1552377864499556"</f>
        <v>1552377864499556</v>
      </c>
      <c r="C4589" t="s">
        <v>40</v>
      </c>
      <c r="D4589">
        <v>4.9523630000000001</v>
      </c>
      <c r="E4589">
        <v>0.64285479999999995</v>
      </c>
      <c r="F4589" t="s">
        <v>94</v>
      </c>
      <c r="G4589">
        <v>-230.7157</v>
      </c>
      <c r="H4589">
        <v>2.2058070000000001</v>
      </c>
      <c r="I4589">
        <v>119.3841</v>
      </c>
      <c r="J4589">
        <v>-195.68709999999999</v>
      </c>
      <c r="K4589">
        <v>1.10724</v>
      </c>
      <c r="L4589">
        <v>154.53469999999999</v>
      </c>
      <c r="M4589">
        <v>-0.34935359999999999</v>
      </c>
      <c r="N4589">
        <v>0</v>
      </c>
      <c r="O4589">
        <v>-0.93690700000000005</v>
      </c>
      <c r="P4589">
        <v>-0.40960930000000001</v>
      </c>
      <c r="Q4589">
        <v>1.253074E-2</v>
      </c>
      <c r="R4589">
        <v>-0.91217550000000003</v>
      </c>
      <c r="S4589">
        <v>-2.2636259999999999</v>
      </c>
      <c r="T4589">
        <v>7.0895429999999995E-2</v>
      </c>
      <c r="U4589">
        <v>-2.275925</v>
      </c>
      <c r="V4589">
        <v>6.5270049999999996E-2</v>
      </c>
      <c r="W4589">
        <v>2.4621210000000001E-2</v>
      </c>
      <c r="X4589">
        <v>0.9975638</v>
      </c>
      <c r="Y4589">
        <v>0.41284559999999998</v>
      </c>
      <c r="Z4589">
        <v>-2.2356600000000001E-2</v>
      </c>
      <c r="AA4589">
        <v>0.91052659999999996</v>
      </c>
      <c r="AB4589">
        <v>20</v>
      </c>
      <c r="AC4589">
        <v>-35.028599999999997</v>
      </c>
      <c r="AD4589">
        <v>1.0985670000000001</v>
      </c>
      <c r="AE4589">
        <v>-35.150599999999898</v>
      </c>
      <c r="AF4589">
        <v>20.5301064529069</v>
      </c>
      <c r="AG4589">
        <v>1.0985670000000001</v>
      </c>
      <c r="AH4589">
        <v>45.151636754792001</v>
      </c>
      <c r="AI4589">
        <v>88.731189116402206</v>
      </c>
      <c r="AJ4589">
        <v>65.549067529587305</v>
      </c>
      <c r="AK4589">
        <v>49.612119709380103</v>
      </c>
      <c r="AL4589">
        <v>88.589165956289904</v>
      </c>
      <c r="AM4589">
        <v>86.256504602734395</v>
      </c>
      <c r="AN4589">
        <v>0.99999995923965201</v>
      </c>
    </row>
    <row r="4590" spans="1:40" x14ac:dyDescent="0.25">
      <c r="A4590" t="str">
        <f>"20190312160424517"</f>
        <v>20190312160424517</v>
      </c>
      <c r="B4590" t="str">
        <f>"1552377864509317"</f>
        <v>1552377864509317</v>
      </c>
      <c r="C4590" t="s">
        <v>40</v>
      </c>
      <c r="D4590">
        <v>5.2396419999999999</v>
      </c>
      <c r="E4590">
        <v>0.64231130000000003</v>
      </c>
      <c r="F4590" t="s">
        <v>94</v>
      </c>
      <c r="G4590">
        <v>-230.8065</v>
      </c>
      <c r="H4590">
        <v>2.1526380000000001</v>
      </c>
      <c r="I4590">
        <v>119.3841</v>
      </c>
      <c r="J4590">
        <v>-195.72980000000001</v>
      </c>
      <c r="K4590">
        <v>1.1072029999999999</v>
      </c>
      <c r="L4590">
        <v>154.43</v>
      </c>
      <c r="M4590">
        <v>-0.3521647</v>
      </c>
      <c r="N4590">
        <v>0</v>
      </c>
      <c r="O4590">
        <v>-0.93585399999999996</v>
      </c>
      <c r="P4590">
        <v>-0.41273130000000002</v>
      </c>
      <c r="Q4590">
        <v>1.2308390000000001E-2</v>
      </c>
      <c r="R4590">
        <v>-0.91076990000000002</v>
      </c>
      <c r="S4590">
        <v>-2.2676240000000001</v>
      </c>
      <c r="T4590">
        <v>6.7500589999999999E-2</v>
      </c>
      <c r="U4590">
        <v>-2.269638</v>
      </c>
      <c r="V4590">
        <v>6.5691780000000005E-2</v>
      </c>
      <c r="W4590">
        <v>2.4373329999999999E-2</v>
      </c>
      <c r="X4590">
        <v>0.99754229999999999</v>
      </c>
      <c r="Y4590">
        <v>0.41219119999999998</v>
      </c>
      <c r="Z4590">
        <v>-2.1285140000000001E-2</v>
      </c>
      <c r="AA4590">
        <v>0.91084869999999996</v>
      </c>
      <c r="AB4590">
        <v>20</v>
      </c>
      <c r="AC4590">
        <v>-35.076699999999903</v>
      </c>
      <c r="AD4590">
        <v>1.0454349999999999</v>
      </c>
      <c r="AE4590">
        <v>-35.045900000000003</v>
      </c>
      <c r="AF4590">
        <v>20.477249712087001</v>
      </c>
      <c r="AG4590">
        <v>1.0454349999999999</v>
      </c>
      <c r="AH4590">
        <v>45.134109295923402</v>
      </c>
      <c r="AI4590">
        <v>88.791615258992195</v>
      </c>
      <c r="AJ4590">
        <v>65.596305015523498</v>
      </c>
      <c r="AK4590">
        <v>49.5731632241352</v>
      </c>
      <c r="AL4590">
        <v>88.603372831613001</v>
      </c>
      <c r="AM4590">
        <v>86.232305193664502</v>
      </c>
      <c r="AN4590">
        <v>1.00000005473207</v>
      </c>
    </row>
    <row r="4591" spans="1:40" x14ac:dyDescent="0.25">
      <c r="A4591" t="str">
        <f>"20190312160424532"</f>
        <v>20190312160424532</v>
      </c>
      <c r="B4591" t="str">
        <f>"1552377864529813"</f>
        <v>1552377864529813</v>
      </c>
      <c r="C4591" t="s">
        <v>40</v>
      </c>
      <c r="D4591">
        <v>4.953411</v>
      </c>
      <c r="E4591">
        <v>0.64146040000000004</v>
      </c>
      <c r="F4591" t="s">
        <v>94</v>
      </c>
      <c r="G4591">
        <v>-230.89519999999999</v>
      </c>
      <c r="H4591">
        <v>2.1489319999999998</v>
      </c>
      <c r="I4591">
        <v>119.3841</v>
      </c>
      <c r="J4591">
        <v>-195.78309999999999</v>
      </c>
      <c r="K4591">
        <v>1.107146</v>
      </c>
      <c r="L4591">
        <v>154.3004</v>
      </c>
      <c r="M4591">
        <v>-0.3556859</v>
      </c>
      <c r="N4591">
        <v>0</v>
      </c>
      <c r="O4591">
        <v>-0.93452170000000001</v>
      </c>
      <c r="P4591">
        <v>-0.41695369999999998</v>
      </c>
      <c r="Q4591">
        <v>1.234032E-2</v>
      </c>
      <c r="R4591">
        <v>-0.90884450000000006</v>
      </c>
      <c r="S4591">
        <v>-2.2714080000000001</v>
      </c>
      <c r="T4591">
        <v>6.7287799999999995E-2</v>
      </c>
      <c r="U4591">
        <v>-2.263687</v>
      </c>
      <c r="V4591">
        <v>6.6568669999999996E-2</v>
      </c>
      <c r="W4591">
        <v>2.4370470000000002E-2</v>
      </c>
      <c r="X4591">
        <v>0.99748419999999904</v>
      </c>
      <c r="Y4591">
        <v>0.41071669999999999</v>
      </c>
      <c r="Z4591">
        <v>-2.1209840000000001E-2</v>
      </c>
      <c r="AA4591">
        <v>0.91151629999999995</v>
      </c>
      <c r="AB4591">
        <v>20</v>
      </c>
      <c r="AC4591">
        <v>-35.112099999999998</v>
      </c>
      <c r="AD4591">
        <v>1.0417860000000001</v>
      </c>
      <c r="AE4591">
        <v>-34.9162999999999</v>
      </c>
      <c r="AF4591">
        <v>20.386358670213799</v>
      </c>
      <c r="AG4591">
        <v>1.0417860000000001</v>
      </c>
      <c r="AH4591">
        <v>45.1024916877561</v>
      </c>
      <c r="AI4591">
        <v>88.794219345753007</v>
      </c>
      <c r="AJ4591">
        <v>65.676997397229698</v>
      </c>
      <c r="AK4591">
        <v>49.506804525686299</v>
      </c>
      <c r="AL4591">
        <v>88.603536695534103</v>
      </c>
      <c r="AM4591">
        <v>86.181937976803496</v>
      </c>
      <c r="AN4591">
        <v>1.00000001844161</v>
      </c>
    </row>
    <row r="4592" spans="1:40" x14ac:dyDescent="0.25">
      <c r="A4592" t="str">
        <f>"20190312160424544"</f>
        <v>20190312160424544</v>
      </c>
      <c r="B4592" t="str">
        <f>"1552377864539573"</f>
        <v>1552377864539573</v>
      </c>
      <c r="C4592" t="s">
        <v>40</v>
      </c>
      <c r="D4592">
        <v>5.0176189999999998</v>
      </c>
      <c r="E4592">
        <v>0.64114989999999905</v>
      </c>
      <c r="F4592" t="s">
        <v>94</v>
      </c>
      <c r="G4592">
        <v>-231.00810000000001</v>
      </c>
      <c r="H4592">
        <v>2.024375</v>
      </c>
      <c r="I4592">
        <v>119.3841</v>
      </c>
      <c r="J4592">
        <v>-195.82210000000001</v>
      </c>
      <c r="K4592">
        <v>1.107111</v>
      </c>
      <c r="L4592">
        <v>154.20660000000001</v>
      </c>
      <c r="M4592">
        <v>-0.35827100000000001</v>
      </c>
      <c r="N4592">
        <v>0</v>
      </c>
      <c r="O4592">
        <v>-0.93353399999999997</v>
      </c>
      <c r="P4592">
        <v>-0.4199717</v>
      </c>
      <c r="Q4592">
        <v>1.185863E-2</v>
      </c>
      <c r="R4592">
        <v>-0.90745989999999999</v>
      </c>
      <c r="S4592">
        <v>-2.275909</v>
      </c>
      <c r="T4592">
        <v>5.9263110000000001E-2</v>
      </c>
      <c r="U4592">
        <v>-2.2559659999999999</v>
      </c>
      <c r="V4592">
        <v>6.7119239999999997E-2</v>
      </c>
      <c r="W4592">
        <v>2.386278E-2</v>
      </c>
      <c r="X4592">
        <v>0.9974596</v>
      </c>
      <c r="Y4592">
        <v>0.41069020000000001</v>
      </c>
      <c r="Z4592">
        <v>-1.86862E-2</v>
      </c>
      <c r="AA4592">
        <v>0.91158349999999999</v>
      </c>
      <c r="AB4592">
        <v>20</v>
      </c>
      <c r="AC4592">
        <v>-35.186</v>
      </c>
      <c r="AD4592">
        <v>0.91726399999999997</v>
      </c>
      <c r="AE4592">
        <v>-34.822499999999998</v>
      </c>
      <c r="AF4592">
        <v>20.3660340599547</v>
      </c>
      <c r="AG4592">
        <v>0.91726399999999997</v>
      </c>
      <c r="AH4592">
        <v>45.102149379206701</v>
      </c>
      <c r="AI4592">
        <v>88.938121804579893</v>
      </c>
      <c r="AJ4592">
        <v>65.698277090613701</v>
      </c>
      <c r="AK4592">
        <v>49.495662387740701</v>
      </c>
      <c r="AL4592">
        <v>88.632633680713496</v>
      </c>
      <c r="AM4592">
        <v>86.150359806235201</v>
      </c>
      <c r="AN4592">
        <v>1.00000003913983</v>
      </c>
    </row>
    <row r="4593" spans="1:40" x14ac:dyDescent="0.25">
      <c r="A4593" t="str">
        <f>"20190312160424556"</f>
        <v>20190312160424556</v>
      </c>
      <c r="B4593" t="str">
        <f>"1552377864549333"</f>
        <v>1552377864549333</v>
      </c>
      <c r="C4593" t="s">
        <v>40</v>
      </c>
      <c r="D4593">
        <v>4.9224969999999999</v>
      </c>
      <c r="E4593">
        <v>0.64114989999999905</v>
      </c>
      <c r="F4593" t="s">
        <v>94</v>
      </c>
      <c r="G4593">
        <v>-231.03530000000001</v>
      </c>
      <c r="H4593">
        <v>1.946647</v>
      </c>
      <c r="I4593">
        <v>119.4838</v>
      </c>
      <c r="J4593">
        <v>-195.86070000000001</v>
      </c>
      <c r="K4593">
        <v>1.10707</v>
      </c>
      <c r="L4593">
        <v>154.1148</v>
      </c>
      <c r="M4593">
        <v>-0.36084339999999998</v>
      </c>
      <c r="N4593">
        <v>0</v>
      </c>
      <c r="O4593">
        <v>-0.93254269999999995</v>
      </c>
      <c r="P4593">
        <v>-0.4229752</v>
      </c>
      <c r="Q4593">
        <v>1.16271E-2</v>
      </c>
      <c r="R4593">
        <v>-0.90606710000000001</v>
      </c>
      <c r="S4593">
        <v>-2.2812350000000001</v>
      </c>
      <c r="T4593">
        <v>5.4388520000000003E-2</v>
      </c>
      <c r="U4593">
        <v>-2.249466</v>
      </c>
      <c r="V4593">
        <v>6.7672529999999995E-2</v>
      </c>
      <c r="W4593">
        <v>2.3606789999999999E-2</v>
      </c>
      <c r="X4593">
        <v>0.99742819999999999</v>
      </c>
      <c r="Y4593">
        <v>0.41057729999999998</v>
      </c>
      <c r="Z4593">
        <v>-1.7145959999999998E-2</v>
      </c>
      <c r="AA4593">
        <v>0.91166449999999999</v>
      </c>
      <c r="AB4593">
        <v>20</v>
      </c>
      <c r="AC4593">
        <v>-35.174599999999998</v>
      </c>
      <c r="AD4593">
        <v>0.83957700000000002</v>
      </c>
      <c r="AE4593">
        <v>-34.631</v>
      </c>
      <c r="AF4593">
        <v>20.301161169040299</v>
      </c>
      <c r="AG4593">
        <v>0.83957700000000002</v>
      </c>
      <c r="AH4593">
        <v>44.977909397865098</v>
      </c>
      <c r="AI4593">
        <v>89.025283195442299</v>
      </c>
      <c r="AJ4593">
        <v>65.707559435970794</v>
      </c>
      <c r="AK4593">
        <v>49.354375369898499</v>
      </c>
      <c r="AL4593">
        <v>88.647304816220796</v>
      </c>
      <c r="AM4593">
        <v>86.118600510373199</v>
      </c>
      <c r="AN4593">
        <v>0.99999993300296997</v>
      </c>
    </row>
    <row r="4594" spans="1:40" x14ac:dyDescent="0.25">
      <c r="A4594" t="str">
        <f>"20190312160424567"</f>
        <v>20190312160424567</v>
      </c>
      <c r="B4594" t="str">
        <f>"1552377864559094"</f>
        <v>1552377864559094</v>
      </c>
      <c r="C4594" t="s">
        <v>40</v>
      </c>
      <c r="D4594">
        <v>4.8770519999999999</v>
      </c>
      <c r="E4594">
        <v>0.61611910000000003</v>
      </c>
      <c r="F4594" t="s">
        <v>94</v>
      </c>
      <c r="G4594">
        <v>-231.1318</v>
      </c>
      <c r="H4594">
        <v>1.936375</v>
      </c>
      <c r="I4594">
        <v>119.56529999999999</v>
      </c>
      <c r="J4594">
        <v>-195.90350000000001</v>
      </c>
      <c r="K4594">
        <v>1.107027</v>
      </c>
      <c r="L4594">
        <v>154.01349999999999</v>
      </c>
      <c r="M4594">
        <v>-0.36369829999999997</v>
      </c>
      <c r="N4594">
        <v>0</v>
      </c>
      <c r="O4594">
        <v>-0.93143310000000001</v>
      </c>
      <c r="P4594">
        <v>-0.4261392</v>
      </c>
      <c r="Q4594">
        <v>1.119243E-2</v>
      </c>
      <c r="R4594">
        <v>-0.90458819999999995</v>
      </c>
      <c r="S4594">
        <v>-2.2887270000000002</v>
      </c>
      <c r="T4594">
        <v>5.3813699999999902E-2</v>
      </c>
      <c r="U4594">
        <v>-2.2418979999999999</v>
      </c>
      <c r="V4594">
        <v>6.8100179999999996E-2</v>
      </c>
      <c r="W4594">
        <v>2.3146770000000001E-2</v>
      </c>
      <c r="X4594">
        <v>0.99740989999999996</v>
      </c>
      <c r="Y4594">
        <v>0.41081699999999999</v>
      </c>
      <c r="Z4594">
        <v>-1.6957090000000001E-2</v>
      </c>
      <c r="AA4594">
        <v>0.91156009999999998</v>
      </c>
      <c r="AB4594">
        <v>20</v>
      </c>
      <c r="AC4594">
        <v>-35.228299999999898</v>
      </c>
      <c r="AD4594">
        <v>0.82934799999999997</v>
      </c>
      <c r="AE4594">
        <v>-34.4482</v>
      </c>
      <c r="AF4594">
        <v>20.2798888088582</v>
      </c>
      <c r="AG4594">
        <v>0.82934799999999997</v>
      </c>
      <c r="AH4594">
        <v>44.889449341869501</v>
      </c>
      <c r="AI4594">
        <v>89.035409721187307</v>
      </c>
      <c r="AJ4594">
        <v>65.687781770341999</v>
      </c>
      <c r="AK4594">
        <v>49.264839088553103</v>
      </c>
      <c r="AL4594">
        <v>88.673669260650698</v>
      </c>
      <c r="AM4594">
        <v>86.094076624004003</v>
      </c>
      <c r="AN4594">
        <v>0.999999958047736</v>
      </c>
    </row>
    <row r="4595" spans="1:40" x14ac:dyDescent="0.25">
      <c r="A4595" t="str">
        <f>"20190312160424578"</f>
        <v>20190312160424578</v>
      </c>
      <c r="B4595" t="str">
        <f>"1552377864569829"</f>
        <v>1552377864569829</v>
      </c>
      <c r="C4595" t="s">
        <v>40</v>
      </c>
      <c r="D4595">
        <v>4.9712379999999996</v>
      </c>
      <c r="E4595">
        <v>0.62050499999999997</v>
      </c>
      <c r="F4595" t="s">
        <v>94</v>
      </c>
      <c r="G4595">
        <v>-227.46340000000001</v>
      </c>
      <c r="H4595">
        <v>3.555828</v>
      </c>
      <c r="I4595">
        <v>119.3841</v>
      </c>
      <c r="J4595">
        <v>-195.94139999999999</v>
      </c>
      <c r="K4595">
        <v>1.106992</v>
      </c>
      <c r="L4595">
        <v>153.92490000000001</v>
      </c>
      <c r="M4595">
        <v>-0.36624820000000002</v>
      </c>
      <c r="N4595">
        <v>0</v>
      </c>
      <c r="O4595">
        <v>-0.93043390000000004</v>
      </c>
      <c r="P4595">
        <v>-0.42910979999999999</v>
      </c>
      <c r="Q4595">
        <v>1.0811110000000001E-2</v>
      </c>
      <c r="R4595">
        <v>-0.90318790000000004</v>
      </c>
      <c r="S4595">
        <v>-2.1132970000000002</v>
      </c>
      <c r="T4595">
        <v>0.16397539999999999</v>
      </c>
      <c r="U4595">
        <v>-2.318832</v>
      </c>
      <c r="V4595">
        <v>6.8643609999999994E-2</v>
      </c>
      <c r="W4595">
        <v>2.2743949999999999E-2</v>
      </c>
      <c r="X4595">
        <v>0.99738199999999999</v>
      </c>
      <c r="Y4595">
        <v>0.35509879999999999</v>
      </c>
      <c r="Z4595">
        <v>-5.2083400000000002E-2</v>
      </c>
      <c r="AA4595">
        <v>0.93337669999999995</v>
      </c>
      <c r="AB4595">
        <v>20</v>
      </c>
      <c r="AC4595">
        <v>-31.521999999999998</v>
      </c>
      <c r="AD4595">
        <v>2.448836</v>
      </c>
      <c r="AE4595">
        <v>-34.540799999999997</v>
      </c>
      <c r="AF4595">
        <v>16.6343066386362</v>
      </c>
      <c r="AG4595">
        <v>2.448836</v>
      </c>
      <c r="AH4595">
        <v>43.566716111132997</v>
      </c>
      <c r="AI4595">
        <v>86.994075501640694</v>
      </c>
      <c r="AJ4595">
        <v>69.102530282641993</v>
      </c>
      <c r="AK4595">
        <v>46.698562159997302</v>
      </c>
      <c r="AL4595">
        <v>88.696755336718994</v>
      </c>
      <c r="AM4595">
        <v>86.062895743663304</v>
      </c>
      <c r="AN4595">
        <v>1.00000004318971</v>
      </c>
    </row>
    <row r="4596" spans="1:40" x14ac:dyDescent="0.25">
      <c r="A4596" t="str">
        <f>"20190312160424589"</f>
        <v>20190312160424589</v>
      </c>
      <c r="B4596" t="str">
        <f>"1552377864579589"</f>
        <v>1552377864579589</v>
      </c>
      <c r="C4596" t="s">
        <v>40</v>
      </c>
      <c r="D4596">
        <v>5.006284</v>
      </c>
      <c r="E4596">
        <v>0.62307069999999998</v>
      </c>
      <c r="F4596" t="s">
        <v>94</v>
      </c>
      <c r="G4596">
        <v>-228.33940000000001</v>
      </c>
      <c r="H4596">
        <v>2.2965300000000002</v>
      </c>
      <c r="I4596">
        <v>119.3841</v>
      </c>
      <c r="J4596">
        <v>-195.9768</v>
      </c>
      <c r="K4596">
        <v>1.106957</v>
      </c>
      <c r="L4596">
        <v>153.8425</v>
      </c>
      <c r="M4596">
        <v>-0.36862499999999998</v>
      </c>
      <c r="N4596">
        <v>0</v>
      </c>
      <c r="O4596">
        <v>-0.92949470000000001</v>
      </c>
      <c r="P4596">
        <v>-0.43208750000000001</v>
      </c>
      <c r="Q4596">
        <v>1.0246079999999999E-2</v>
      </c>
      <c r="R4596">
        <v>-0.90177350000000001</v>
      </c>
      <c r="S4596">
        <v>-2.1544949999999998</v>
      </c>
      <c r="T4596">
        <v>7.9105850000000005E-2</v>
      </c>
      <c r="U4596">
        <v>-2.2969970000000002</v>
      </c>
      <c r="V4596">
        <v>6.9380600000000001E-2</v>
      </c>
      <c r="W4596">
        <v>2.2157110000000001E-2</v>
      </c>
      <c r="X4596">
        <v>0.99734420000000001</v>
      </c>
      <c r="Y4596">
        <v>0.36682320000000002</v>
      </c>
      <c r="Z4596">
        <v>-2.510213E-2</v>
      </c>
      <c r="AA4596">
        <v>0.92995190000000005</v>
      </c>
      <c r="AB4596">
        <v>20</v>
      </c>
      <c r="AC4596">
        <v>-32.3626</v>
      </c>
      <c r="AD4596">
        <v>1.18957299999999</v>
      </c>
      <c r="AE4596">
        <v>-34.458399999999997</v>
      </c>
      <c r="AF4596">
        <v>17.368987814946902</v>
      </c>
      <c r="AG4596">
        <v>1.18957299999999</v>
      </c>
      <c r="AH4596">
        <v>43.934155160860499</v>
      </c>
      <c r="AI4596">
        <v>88.557601009894398</v>
      </c>
      <c r="AJ4596">
        <v>68.429064256179501</v>
      </c>
      <c r="AK4596">
        <v>47.2578756540819</v>
      </c>
      <c r="AL4596">
        <v>88.730387250025601</v>
      </c>
      <c r="AM4596">
        <v>86.020609891288302</v>
      </c>
      <c r="AN4596">
        <v>1.0000000292267699</v>
      </c>
    </row>
    <row r="4597" spans="1:40" x14ac:dyDescent="0.25">
      <c r="A4597" t="str">
        <f>"20190312160424599"</f>
        <v>20190312160424599</v>
      </c>
      <c r="B4597" t="str">
        <f>"1552377864589349"</f>
        <v>1552377864589349</v>
      </c>
      <c r="C4597" t="s">
        <v>40</v>
      </c>
      <c r="D4597">
        <v>5.0298590000000001</v>
      </c>
      <c r="E4597">
        <v>0.62457359999999995</v>
      </c>
      <c r="F4597" t="s">
        <v>94</v>
      </c>
      <c r="G4597">
        <v>-228.83240000000001</v>
      </c>
      <c r="H4597">
        <v>1.732138</v>
      </c>
      <c r="I4597">
        <v>119.4838</v>
      </c>
      <c r="J4597">
        <v>-196.01730000000001</v>
      </c>
      <c r="K4597">
        <v>1.106919</v>
      </c>
      <c r="L4597">
        <v>153.74950000000001</v>
      </c>
      <c r="M4597">
        <v>-0.37135770000000001</v>
      </c>
      <c r="N4597">
        <v>0</v>
      </c>
      <c r="O4597">
        <v>-0.92840630000000002</v>
      </c>
      <c r="P4597">
        <v>-0.43516129999999997</v>
      </c>
      <c r="Q4597">
        <v>9.8978480000000008E-3</v>
      </c>
      <c r="R4597">
        <v>-0.9002983</v>
      </c>
      <c r="S4597">
        <v>-2.181305</v>
      </c>
      <c r="T4597">
        <v>4.150653E-2</v>
      </c>
      <c r="U4597">
        <v>-2.2810969999999999</v>
      </c>
      <c r="V4597">
        <v>6.9846920000000007E-2</v>
      </c>
      <c r="W4597">
        <v>2.179004E-2</v>
      </c>
      <c r="X4597">
        <v>0.99731970000000003</v>
      </c>
      <c r="Y4597">
        <v>0.37321219999999999</v>
      </c>
      <c r="Z4597">
        <v>-1.3154829999999999E-2</v>
      </c>
      <c r="AA4597">
        <v>0.92765280000000006</v>
      </c>
      <c r="AB4597">
        <v>20</v>
      </c>
      <c r="AC4597">
        <v>-32.815100000000001</v>
      </c>
      <c r="AD4597">
        <v>0.62521899999999997</v>
      </c>
      <c r="AE4597">
        <v>-34.265700000000002</v>
      </c>
      <c r="AF4597">
        <v>17.7392103402834</v>
      </c>
      <c r="AG4597">
        <v>0.62521899999999997</v>
      </c>
      <c r="AH4597">
        <v>43.994406542289397</v>
      </c>
      <c r="AI4597">
        <v>89.2448724590068</v>
      </c>
      <c r="AJ4597">
        <v>68.039962162117703</v>
      </c>
      <c r="AK4597">
        <v>47.440260215380498</v>
      </c>
      <c r="AL4597">
        <v>88.751423842889096</v>
      </c>
      <c r="AM4597">
        <v>85.993852367833796</v>
      </c>
      <c r="AN4597">
        <v>0.99999999104238901</v>
      </c>
    </row>
    <row r="4598" spans="1:40" x14ac:dyDescent="0.25">
      <c r="A4598" t="str">
        <f>"20190312160424611"</f>
        <v>20190312160424611</v>
      </c>
      <c r="B4598" t="str">
        <f>"1552377864599615"</f>
        <v>1552377864599615</v>
      </c>
      <c r="C4598" t="s">
        <v>40</v>
      </c>
      <c r="D4598">
        <v>5.0243510000000002</v>
      </c>
      <c r="E4598">
        <v>0.62540580000000001</v>
      </c>
      <c r="F4598" t="s">
        <v>94</v>
      </c>
      <c r="G4598">
        <v>-229.34700000000001</v>
      </c>
      <c r="H4598">
        <v>1.47044</v>
      </c>
      <c r="I4598">
        <v>119.3841</v>
      </c>
      <c r="J4598">
        <v>-196.05420000000001</v>
      </c>
      <c r="K4598">
        <v>1.106881</v>
      </c>
      <c r="L4598">
        <v>153.6653</v>
      </c>
      <c r="M4598">
        <v>-0.37384390000000001</v>
      </c>
      <c r="N4598">
        <v>0</v>
      </c>
      <c r="O4598">
        <v>-0.92740829999999996</v>
      </c>
      <c r="P4598">
        <v>-0.43800240000000001</v>
      </c>
      <c r="Q4598">
        <v>9.5243099999999994E-3</v>
      </c>
      <c r="R4598">
        <v>-0.89892359999999905</v>
      </c>
      <c r="S4598">
        <v>-2.2001339999999998</v>
      </c>
      <c r="T4598">
        <v>2.399695E-2</v>
      </c>
      <c r="U4598">
        <v>-2.2685089999999999</v>
      </c>
      <c r="V4598">
        <v>7.0321949999999994E-2</v>
      </c>
      <c r="W4598">
        <v>2.139864E-2</v>
      </c>
      <c r="X4598">
        <v>0.99729480000000004</v>
      </c>
      <c r="Y4598">
        <v>0.37731409999999999</v>
      </c>
      <c r="Z4598">
        <v>-7.5988219999999999E-3</v>
      </c>
      <c r="AA4598">
        <v>0.92605420000000005</v>
      </c>
      <c r="AB4598">
        <v>20</v>
      </c>
      <c r="AC4598">
        <v>-33.2928</v>
      </c>
      <c r="AD4598">
        <v>0.36355900000000002</v>
      </c>
      <c r="AE4598">
        <v>-34.281199999999998</v>
      </c>
      <c r="AF4598">
        <v>18.060552269588001</v>
      </c>
      <c r="AG4598">
        <v>0.36355900000000002</v>
      </c>
      <c r="AH4598">
        <v>44.2398387164057</v>
      </c>
      <c r="AI4598">
        <v>89.564083601933206</v>
      </c>
      <c r="AJ4598">
        <v>67.792663475926304</v>
      </c>
      <c r="AK4598">
        <v>47.785762033084602</v>
      </c>
      <c r="AL4598">
        <v>88.773854650730797</v>
      </c>
      <c r="AM4598">
        <v>85.966595743290299</v>
      </c>
      <c r="AN4598">
        <v>0.999999998276346</v>
      </c>
    </row>
    <row r="4599" spans="1:40" x14ac:dyDescent="0.25">
      <c r="A4599" t="str">
        <f>"20190312160424622"</f>
        <v>20190312160424622</v>
      </c>
      <c r="B4599" t="str">
        <f>"1552377864609375"</f>
        <v>1552377864609375</v>
      </c>
      <c r="C4599" t="s">
        <v>40</v>
      </c>
      <c r="D4599">
        <v>5.2229179999999999</v>
      </c>
      <c r="E4599">
        <v>0.62643979999999999</v>
      </c>
      <c r="F4599" t="s">
        <v>94</v>
      </c>
      <c r="G4599">
        <v>-229.65479999999999</v>
      </c>
      <c r="H4599">
        <v>1.1581900000000001</v>
      </c>
      <c r="I4599">
        <v>119.3841</v>
      </c>
      <c r="J4599">
        <v>-196.09460000000001</v>
      </c>
      <c r="K4599">
        <v>1.1068420000000001</v>
      </c>
      <c r="L4599">
        <v>153.57399999999899</v>
      </c>
      <c r="M4599">
        <v>-0.3765791</v>
      </c>
      <c r="N4599">
        <v>0</v>
      </c>
      <c r="O4599">
        <v>-0.92630109999999999</v>
      </c>
      <c r="P4599">
        <v>-0.44119950000000002</v>
      </c>
      <c r="Q4599">
        <v>9.3682939999999992E-3</v>
      </c>
      <c r="R4599">
        <v>-0.89736039999999995</v>
      </c>
      <c r="S4599">
        <v>-2.2137760000000002</v>
      </c>
      <c r="T4599">
        <v>3.3808950000000001E-3</v>
      </c>
      <c r="U4599">
        <v>-2.2586210000000002</v>
      </c>
      <c r="V4599">
        <v>7.0929010000000001E-2</v>
      </c>
      <c r="W4599">
        <v>2.1223209999999999E-2</v>
      </c>
      <c r="X4599">
        <v>0.99725560000000002</v>
      </c>
      <c r="Y4599">
        <v>0.37948409999999999</v>
      </c>
      <c r="Z4599">
        <v>-1.0696659999999999E-3</v>
      </c>
      <c r="AA4599">
        <v>0.92519759999999995</v>
      </c>
      <c r="AB4599">
        <v>20</v>
      </c>
      <c r="AC4599">
        <v>-33.560199999999902</v>
      </c>
      <c r="AD4599">
        <v>5.1347999999999901E-2</v>
      </c>
      <c r="AE4599">
        <v>-34.189899999999902</v>
      </c>
      <c r="AF4599">
        <v>18.2130340732961</v>
      </c>
      <c r="AG4599">
        <v>5.1347999999999901E-2</v>
      </c>
      <c r="AH4599">
        <v>44.311583165915302</v>
      </c>
      <c r="AI4599">
        <v>89.938590890886502</v>
      </c>
      <c r="AJ4599">
        <v>67.656260931886607</v>
      </c>
      <c r="AK4599">
        <v>47.908596821885503</v>
      </c>
      <c r="AL4599">
        <v>88.783908383842203</v>
      </c>
      <c r="AM4599">
        <v>85.931734083178299</v>
      </c>
      <c r="AN4599">
        <v>1.0000000404168199</v>
      </c>
    </row>
    <row r="4600" spans="1:40" x14ac:dyDescent="0.25">
      <c r="A4600" t="str">
        <f>"20190312160424634"</f>
        <v>20190312160424634</v>
      </c>
      <c r="B4600" t="str">
        <f>"1552377864629872"</f>
        <v>1552377864629872</v>
      </c>
      <c r="C4600" t="s">
        <v>40</v>
      </c>
      <c r="D4600">
        <v>5.0822699999999896</v>
      </c>
      <c r="E4600">
        <v>0.62666259999999996</v>
      </c>
      <c r="F4600" t="s">
        <v>94</v>
      </c>
      <c r="G4600">
        <v>-230.0147</v>
      </c>
      <c r="H4600">
        <v>0.97984789999999999</v>
      </c>
      <c r="I4600">
        <v>119.3841</v>
      </c>
      <c r="J4600">
        <v>-196.13919999999999</v>
      </c>
      <c r="K4600">
        <v>1.1068020000000001</v>
      </c>
      <c r="L4600">
        <v>153.47389999999999</v>
      </c>
      <c r="M4600">
        <v>-0.3796118</v>
      </c>
      <c r="N4600">
        <v>0</v>
      </c>
      <c r="O4600">
        <v>-0.92506250000000001</v>
      </c>
      <c r="P4600">
        <v>-0.44445000000000001</v>
      </c>
      <c r="Q4600">
        <v>9.0664700000000001E-3</v>
      </c>
      <c r="R4600">
        <v>-0.89575799999999905</v>
      </c>
      <c r="S4600">
        <v>-2.2294010000000002</v>
      </c>
      <c r="T4600">
        <v>-8.3463189999999996E-3</v>
      </c>
      <c r="U4600">
        <v>-2.247131</v>
      </c>
      <c r="V4600">
        <v>7.1275870000000005E-2</v>
      </c>
      <c r="W4600">
        <v>2.0904280000000001E-2</v>
      </c>
      <c r="X4600">
        <v>0.99723759999999995</v>
      </c>
      <c r="Y4600">
        <v>0.3820617</v>
      </c>
      <c r="Z4600">
        <v>2.6380790000000002E-3</v>
      </c>
      <c r="AA4600">
        <v>0.92413310000000004</v>
      </c>
      <c r="AB4600">
        <v>20</v>
      </c>
      <c r="AC4600">
        <v>-33.875500000000002</v>
      </c>
      <c r="AD4600">
        <v>-0.12695409999999999</v>
      </c>
      <c r="AE4600">
        <v>-34.089799999999897</v>
      </c>
      <c r="AF4600">
        <v>18.3973549809708</v>
      </c>
      <c r="AG4600">
        <v>-0.12695409999999999</v>
      </c>
      <c r="AH4600">
        <v>44.397849718703</v>
      </c>
      <c r="AI4600">
        <v>90.151355073944501</v>
      </c>
      <c r="AJ4600">
        <v>67.492109743799105</v>
      </c>
      <c r="AK4600">
        <v>48.058795732767798</v>
      </c>
      <c r="AL4600">
        <v>88.802185774424601</v>
      </c>
      <c r="AM4600">
        <v>85.911833030312906</v>
      </c>
      <c r="AN4600">
        <v>1.0000000347101601</v>
      </c>
    </row>
    <row r="4601" spans="1:40" x14ac:dyDescent="0.25">
      <c r="A4601" t="str">
        <f>"20190312160424645"</f>
        <v>20190312160424645</v>
      </c>
      <c r="B4601" t="str">
        <f>"1552377864639631"</f>
        <v>1552377864639631</v>
      </c>
      <c r="C4601" t="s">
        <v>40</v>
      </c>
      <c r="D4601">
        <v>5.0715719999999997</v>
      </c>
      <c r="E4601">
        <v>0.62669960000000002</v>
      </c>
      <c r="F4601" t="s">
        <v>94</v>
      </c>
      <c r="G4601">
        <v>-230.24019999999999</v>
      </c>
      <c r="H4601">
        <v>1.05619</v>
      </c>
      <c r="I4601">
        <v>119.3841</v>
      </c>
      <c r="J4601">
        <v>-196.1808</v>
      </c>
      <c r="K4601">
        <v>1.1067659999999999</v>
      </c>
      <c r="L4601">
        <v>153.38130000000001</v>
      </c>
      <c r="M4601">
        <v>-0.38244</v>
      </c>
      <c r="N4601">
        <v>0</v>
      </c>
      <c r="O4601">
        <v>-0.92389670000000002</v>
      </c>
      <c r="P4601">
        <v>-0.44739489999999998</v>
      </c>
      <c r="Q4601">
        <v>9.0007730000000001E-3</v>
      </c>
      <c r="R4601">
        <v>-0.89429130000000001</v>
      </c>
      <c r="S4601">
        <v>-2.2389830000000002</v>
      </c>
      <c r="T4601">
        <v>-3.3226010000000001E-3</v>
      </c>
      <c r="U4601">
        <v>-2.238251</v>
      </c>
      <c r="V4601">
        <v>7.1507559999999998E-2</v>
      </c>
      <c r="W4601">
        <v>2.0823230000000002E-2</v>
      </c>
      <c r="X4601">
        <v>0.99722270000000002</v>
      </c>
      <c r="Y4601">
        <v>0.3830481</v>
      </c>
      <c r="Z4601">
        <v>1.0496329999999999E-3</v>
      </c>
      <c r="AA4601">
        <v>0.92372779999999999</v>
      </c>
      <c r="AB4601">
        <v>20</v>
      </c>
      <c r="AC4601">
        <v>-34.059399999999897</v>
      </c>
      <c r="AD4601">
        <v>-5.0575999999999899E-2</v>
      </c>
      <c r="AE4601">
        <v>-33.997199999999999</v>
      </c>
      <c r="AF4601">
        <v>18.466884637398</v>
      </c>
      <c r="AG4601">
        <v>-5.0575999999999899E-2</v>
      </c>
      <c r="AH4601">
        <v>44.438962545652998</v>
      </c>
      <c r="AI4601">
        <v>90.060216013239298</v>
      </c>
      <c r="AJ4601">
        <v>67.4343714268187</v>
      </c>
      <c r="AK4601">
        <v>48.123276886312503</v>
      </c>
      <c r="AL4601">
        <v>88.806830597515301</v>
      </c>
      <c r="AM4601">
        <v>85.8985282020315</v>
      </c>
      <c r="AN4601">
        <v>1.0000000257200301</v>
      </c>
    </row>
    <row r="4602" spans="1:40" x14ac:dyDescent="0.25">
      <c r="A4602" t="str">
        <f>"20190312160424656"</f>
        <v>20190312160424656</v>
      </c>
      <c r="B4602" t="str">
        <f>"1552377864649392"</f>
        <v>1552377864649392</v>
      </c>
      <c r="C4602" t="s">
        <v>40</v>
      </c>
      <c r="D4602">
        <v>5.136673</v>
      </c>
      <c r="E4602">
        <v>0.62666239999999995</v>
      </c>
      <c r="F4602" t="s">
        <v>94</v>
      </c>
      <c r="G4602">
        <v>-230.4239</v>
      </c>
      <c r="H4602">
        <v>0.93857429999999997</v>
      </c>
      <c r="I4602">
        <v>119.3841</v>
      </c>
      <c r="J4602">
        <v>-196.21960000000001</v>
      </c>
      <c r="K4602">
        <v>1.10673</v>
      </c>
      <c r="L4602">
        <v>153.2962</v>
      </c>
      <c r="M4602">
        <v>-0.38508949999999997</v>
      </c>
      <c r="N4602">
        <v>0</v>
      </c>
      <c r="O4602">
        <v>-0.92279580000000005</v>
      </c>
      <c r="P4602">
        <v>-0.45014599999999999</v>
      </c>
      <c r="Q4602">
        <v>8.8912009999999996E-3</v>
      </c>
      <c r="R4602">
        <v>-0.89291100000000001</v>
      </c>
      <c r="S4602">
        <v>-2.246826</v>
      </c>
      <c r="T4602">
        <v>-1.103532E-2</v>
      </c>
      <c r="U4602">
        <v>-2.2306979999999998</v>
      </c>
      <c r="V4602">
        <v>7.1716580000000002E-2</v>
      </c>
      <c r="W4602">
        <v>2.0700710000000001E-2</v>
      </c>
      <c r="X4602">
        <v>0.99721020000000005</v>
      </c>
      <c r="Y4602">
        <v>0.38356950000000001</v>
      </c>
      <c r="Z4602">
        <v>3.4842639999999999E-3</v>
      </c>
      <c r="AA4602">
        <v>0.92350540000000003</v>
      </c>
      <c r="AB4602">
        <v>20</v>
      </c>
      <c r="AC4602">
        <v>-34.204299999999897</v>
      </c>
      <c r="AD4602">
        <v>-0.16815569999999899</v>
      </c>
      <c r="AE4602">
        <v>-33.912099999999903</v>
      </c>
      <c r="AF4602">
        <v>18.505590094171001</v>
      </c>
      <c r="AG4602">
        <v>-0.16815569999999899</v>
      </c>
      <c r="AH4602">
        <v>44.468542235174802</v>
      </c>
      <c r="AI4602">
        <v>90.200030890948895</v>
      </c>
      <c r="AJ4602">
        <v>67.405356525694202</v>
      </c>
      <c r="AK4602">
        <v>48.165717991061399</v>
      </c>
      <c r="AL4602">
        <v>88.813851941553494</v>
      </c>
      <c r="AM4602">
        <v>85.886529113201902</v>
      </c>
      <c r="AN4602">
        <v>0.99999998511272004</v>
      </c>
    </row>
    <row r="4603" spans="1:40" x14ac:dyDescent="0.25">
      <c r="A4603" t="str">
        <f>"20190312160424668"</f>
        <v>20190312160424668</v>
      </c>
      <c r="B4603" t="str">
        <f>"1552377864659153"</f>
        <v>1552377864659153</v>
      </c>
      <c r="C4603" t="s">
        <v>40</v>
      </c>
      <c r="D4603">
        <v>5.1705990000000002</v>
      </c>
      <c r="E4603">
        <v>0.62677439999999995</v>
      </c>
      <c r="F4603" t="s">
        <v>94</v>
      </c>
      <c r="G4603">
        <v>-230.5806</v>
      </c>
      <c r="H4603">
        <v>0.88063910000000001</v>
      </c>
      <c r="I4603">
        <v>119.3841</v>
      </c>
      <c r="J4603">
        <v>-196.2636</v>
      </c>
      <c r="K4603">
        <v>1.106689</v>
      </c>
      <c r="L4603">
        <v>153.19999999999999</v>
      </c>
      <c r="M4603">
        <v>-0.38809169999999998</v>
      </c>
      <c r="N4603">
        <v>0</v>
      </c>
      <c r="O4603">
        <v>-0.92153719999999995</v>
      </c>
      <c r="P4603">
        <v>-0.45342290000000002</v>
      </c>
      <c r="Q4603">
        <v>8.7679590000000005E-3</v>
      </c>
      <c r="R4603">
        <v>-0.8912525</v>
      </c>
      <c r="S4603">
        <v>-2.2533720000000002</v>
      </c>
      <c r="T4603">
        <v>-1.4826539999999999E-2</v>
      </c>
      <c r="U4603">
        <v>-2.223938</v>
      </c>
      <c r="V4603">
        <v>7.213369E-2</v>
      </c>
      <c r="W4603">
        <v>2.05615E-2</v>
      </c>
      <c r="X4603">
        <v>0.99718300000000004</v>
      </c>
      <c r="Y4603">
        <v>0.38330379999999997</v>
      </c>
      <c r="Z4603">
        <v>4.6780620000000002E-3</v>
      </c>
      <c r="AA4603">
        <v>0.92361040000000005</v>
      </c>
      <c r="AB4603">
        <v>20</v>
      </c>
      <c r="AC4603">
        <v>-34.317</v>
      </c>
      <c r="AD4603">
        <v>-0.2260499</v>
      </c>
      <c r="AE4603">
        <v>-33.8158999999999</v>
      </c>
      <c r="AF4603">
        <v>18.5017395930142</v>
      </c>
      <c r="AG4603">
        <v>-0.2260499</v>
      </c>
      <c r="AH4603">
        <v>44.483199301559601</v>
      </c>
      <c r="AI4603">
        <v>90.2688312198852</v>
      </c>
      <c r="AJ4603">
        <v>67.416281513509503</v>
      </c>
      <c r="AK4603">
        <v>48.178008329810403</v>
      </c>
      <c r="AL4603">
        <v>88.821829790941507</v>
      </c>
      <c r="AM4603">
        <v>85.862575179460407</v>
      </c>
      <c r="AN4603">
        <v>0.99999999000213302</v>
      </c>
    </row>
    <row r="4604" spans="1:40" x14ac:dyDescent="0.25">
      <c r="A4604" t="str">
        <f>"20190312160424682"</f>
        <v>20190312160424682</v>
      </c>
      <c r="B4604" t="str">
        <f>"1552377864669887"</f>
        <v>1552377864669887</v>
      </c>
      <c r="C4604" t="s">
        <v>40</v>
      </c>
      <c r="D4604">
        <v>5.8049900000000001</v>
      </c>
      <c r="E4604">
        <v>0.62584580000000001</v>
      </c>
      <c r="F4604" t="s">
        <v>94</v>
      </c>
      <c r="G4604">
        <v>-230.8</v>
      </c>
      <c r="H4604">
        <v>0.87511109999999903</v>
      </c>
      <c r="I4604">
        <v>119.3841</v>
      </c>
      <c r="J4604">
        <v>-196.31299999999999</v>
      </c>
      <c r="K4604">
        <v>1.106643</v>
      </c>
      <c r="L4604">
        <v>153.09360000000001</v>
      </c>
      <c r="M4604">
        <v>-0.39148050000000001</v>
      </c>
      <c r="N4604">
        <v>0</v>
      </c>
      <c r="O4604">
        <v>-0.9201028</v>
      </c>
      <c r="P4604">
        <v>-0.45690500000000001</v>
      </c>
      <c r="Q4604">
        <v>8.3434259999999993E-3</v>
      </c>
      <c r="R4604">
        <v>-0.88947670000000001</v>
      </c>
      <c r="S4604">
        <v>-2.2623899999999999</v>
      </c>
      <c r="T4604">
        <v>-1.516962E-2</v>
      </c>
      <c r="U4604">
        <v>-2.215195</v>
      </c>
      <c r="V4604">
        <v>7.2360820000000006E-2</v>
      </c>
      <c r="W4604">
        <v>2.0122899999999999E-2</v>
      </c>
      <c r="X4604">
        <v>0.99717549999999999</v>
      </c>
      <c r="Y4604">
        <v>0.3835674</v>
      </c>
      <c r="Z4604">
        <v>4.7824929999999996E-3</v>
      </c>
      <c r="AA4604">
        <v>0.92350049999999995</v>
      </c>
      <c r="AB4604">
        <v>20</v>
      </c>
      <c r="AC4604">
        <v>-34.487000000000002</v>
      </c>
      <c r="AD4604">
        <v>-0.23153190000000001</v>
      </c>
      <c r="AE4604">
        <v>-33.709499999999998</v>
      </c>
      <c r="AF4604">
        <v>18.535972113405698</v>
      </c>
      <c r="AG4604">
        <v>-0.23153190000000001</v>
      </c>
      <c r="AH4604">
        <v>44.519592167116997</v>
      </c>
      <c r="AI4604">
        <v>90.275083682886901</v>
      </c>
      <c r="AJ4604">
        <v>67.395333331053095</v>
      </c>
      <c r="AK4604">
        <v>48.224785701297797</v>
      </c>
      <c r="AL4604">
        <v>88.846964931250696</v>
      </c>
      <c r="AM4604">
        <v>85.849561865311301</v>
      </c>
      <c r="AN4604">
        <v>0.99999999858786603</v>
      </c>
    </row>
    <row r="4605" spans="1:40" x14ac:dyDescent="0.25">
      <c r="A4605" t="str">
        <f>"20190312160424696"</f>
        <v>20190312160424696</v>
      </c>
      <c r="B4605" t="str">
        <f>"1552377864689408"</f>
        <v>1552377864689408</v>
      </c>
      <c r="C4605" t="s">
        <v>40</v>
      </c>
      <c r="D4605">
        <v>5.203201</v>
      </c>
      <c r="E4605">
        <v>0.62470570000000003</v>
      </c>
      <c r="F4605" t="s">
        <v>94</v>
      </c>
      <c r="G4605">
        <v>-230.8561</v>
      </c>
      <c r="H4605">
        <v>0.93211169999999999</v>
      </c>
      <c r="I4605">
        <v>119.3841</v>
      </c>
      <c r="J4605">
        <v>-196.3674</v>
      </c>
      <c r="K4605">
        <v>1.1065940000000001</v>
      </c>
      <c r="L4605">
        <v>152.9776</v>
      </c>
      <c r="M4605">
        <v>-0.39521709999999999</v>
      </c>
      <c r="N4605">
        <v>0</v>
      </c>
      <c r="O4605">
        <v>-0.91850410000000005</v>
      </c>
      <c r="P4605">
        <v>-0.46085399999999999</v>
      </c>
      <c r="Q4605">
        <v>8.1147800000000003E-3</v>
      </c>
      <c r="R4605">
        <v>-0.88743930000000004</v>
      </c>
      <c r="S4605">
        <v>-2.2643589999999998</v>
      </c>
      <c r="T4605">
        <v>-1.14404E-2</v>
      </c>
      <c r="U4605">
        <v>-2.2097169999999999</v>
      </c>
      <c r="V4605">
        <v>7.2739590000000007E-2</v>
      </c>
      <c r="W4605">
        <v>1.9879290000000001E-2</v>
      </c>
      <c r="X4605">
        <v>0.99715279999999995</v>
      </c>
      <c r="Y4605">
        <v>0.3813608</v>
      </c>
      <c r="Z4605">
        <v>3.6047050000000001E-3</v>
      </c>
      <c r="AA4605">
        <v>0.9244192</v>
      </c>
      <c r="AB4605">
        <v>20</v>
      </c>
      <c r="AC4605">
        <v>-34.488699999999902</v>
      </c>
      <c r="AD4605">
        <v>-0.17448230000000001</v>
      </c>
      <c r="AE4605">
        <v>-33.593499999999899</v>
      </c>
      <c r="AF4605">
        <v>18.402458964144401</v>
      </c>
      <c r="AG4605">
        <v>-0.17448230000000001</v>
      </c>
      <c r="AH4605">
        <v>44.489125492264598</v>
      </c>
      <c r="AI4605">
        <v>90.207645101169803</v>
      </c>
      <c r="AJ4605">
        <v>67.528080946970604</v>
      </c>
      <c r="AK4605">
        <v>48.1452305744453</v>
      </c>
      <c r="AL4605">
        <v>88.860925516675593</v>
      </c>
      <c r="AM4605">
        <v>85.827818426627204</v>
      </c>
      <c r="AN4605">
        <v>0.99999997033605503</v>
      </c>
    </row>
    <row r="4606" spans="1:40" x14ac:dyDescent="0.25">
      <c r="A4606" t="str">
        <f>"20190312160424712"</f>
        <v>20190312160424712</v>
      </c>
      <c r="B4606" t="str">
        <f>"1552377864699675"</f>
        <v>1552377864699675</v>
      </c>
      <c r="C4606" t="s">
        <v>40</v>
      </c>
      <c r="D4606">
        <v>5.2459670000000003</v>
      </c>
      <c r="E4606">
        <v>0.62502559999999996</v>
      </c>
      <c r="F4606" t="s">
        <v>94</v>
      </c>
      <c r="G4606">
        <v>-230.90729999999999</v>
      </c>
      <c r="H4606">
        <v>0.99254799999999999</v>
      </c>
      <c r="I4606">
        <v>119.3841</v>
      </c>
      <c r="J4606">
        <v>-196.4272</v>
      </c>
      <c r="K4606">
        <v>1.106541</v>
      </c>
      <c r="L4606">
        <v>152.85149999999999</v>
      </c>
      <c r="M4606">
        <v>-0.39932899999999999</v>
      </c>
      <c r="N4606">
        <v>0</v>
      </c>
      <c r="O4606">
        <v>-0.91672399999999998</v>
      </c>
      <c r="P4606">
        <v>-0.46518019999999999</v>
      </c>
      <c r="Q4606">
        <v>7.7471789999999999E-3</v>
      </c>
      <c r="R4606">
        <v>-0.88518259999999904</v>
      </c>
      <c r="S4606">
        <v>-2.2659449999999999</v>
      </c>
      <c r="T4606">
        <v>-7.481456E-3</v>
      </c>
      <c r="U4606">
        <v>-2.2038570000000002</v>
      </c>
      <c r="V4606">
        <v>7.313646E-2</v>
      </c>
      <c r="W4606">
        <v>1.9496940000000001E-2</v>
      </c>
      <c r="X4606">
        <v>0.99713130000000005</v>
      </c>
      <c r="Y4606">
        <v>0.3787703</v>
      </c>
      <c r="Z4606">
        <v>2.3558490000000001E-3</v>
      </c>
      <c r="AA4606">
        <v>0.92548770000000002</v>
      </c>
      <c r="AB4606">
        <v>20</v>
      </c>
      <c r="AC4606">
        <v>-34.480099999999901</v>
      </c>
      <c r="AD4606">
        <v>-0.113993</v>
      </c>
      <c r="AE4606">
        <v>-33.467399999999898</v>
      </c>
      <c r="AF4606">
        <v>18.245529153592599</v>
      </c>
      <c r="AG4606">
        <v>-0.113993</v>
      </c>
      <c r="AH4606">
        <v>44.452433410182302</v>
      </c>
      <c r="AI4606">
        <v>90.135923869710894</v>
      </c>
      <c r="AJ4606">
        <v>67.684270911974906</v>
      </c>
      <c r="AK4606">
        <v>48.051338842797499</v>
      </c>
      <c r="AL4606">
        <v>88.882836784149703</v>
      </c>
      <c r="AM4606">
        <v>85.805045757677405</v>
      </c>
      <c r="AN4606">
        <v>0.99999995094519101</v>
      </c>
    </row>
    <row r="4607" spans="1:40" x14ac:dyDescent="0.25">
      <c r="A4607" t="str">
        <f>"20190312160424724"</f>
        <v>20190312160424724</v>
      </c>
      <c r="B4607" t="str">
        <f>"1552377864719196"</f>
        <v>1552377864719196</v>
      </c>
      <c r="C4607" t="s">
        <v>40</v>
      </c>
      <c r="D4607">
        <v>5.2307839999999999</v>
      </c>
      <c r="E4607">
        <v>0.62433799999999995</v>
      </c>
      <c r="F4607" t="s">
        <v>94</v>
      </c>
      <c r="G4607">
        <v>-231.13149999999999</v>
      </c>
      <c r="H4607">
        <v>1.0845549999999999</v>
      </c>
      <c r="I4607">
        <v>119.4765</v>
      </c>
      <c r="J4607">
        <v>-196.47630000000001</v>
      </c>
      <c r="K4607">
        <v>1.1064989999999999</v>
      </c>
      <c r="L4607">
        <v>152.749</v>
      </c>
      <c r="M4607">
        <v>-0.40271560000000001</v>
      </c>
      <c r="N4607">
        <v>0</v>
      </c>
      <c r="O4607">
        <v>-0.91524119999999998</v>
      </c>
      <c r="P4607">
        <v>-0.46863329999999997</v>
      </c>
      <c r="Q4607">
        <v>7.4752109999999998E-3</v>
      </c>
      <c r="R4607">
        <v>-0.88336150000000002</v>
      </c>
      <c r="S4607">
        <v>-2.2788539999999999</v>
      </c>
      <c r="T4607">
        <v>-1.443267E-3</v>
      </c>
      <c r="U4607">
        <v>-2.1915589999999998</v>
      </c>
      <c r="V4607">
        <v>7.3342379999999999E-2</v>
      </c>
      <c r="W4607">
        <v>1.9214700000000001E-2</v>
      </c>
      <c r="X4607">
        <v>0.9971217</v>
      </c>
      <c r="Y4607">
        <v>0.3805653</v>
      </c>
      <c r="Z4607">
        <v>4.5418150000000002E-4</v>
      </c>
      <c r="AA4607">
        <v>0.92475399999999996</v>
      </c>
      <c r="AB4607">
        <v>20</v>
      </c>
      <c r="AC4607">
        <v>-34.655199999999901</v>
      </c>
      <c r="AD4607">
        <v>-2.1943999999999901E-2</v>
      </c>
      <c r="AE4607">
        <v>-33.272499999999901</v>
      </c>
      <c r="AF4607">
        <v>18.319916071665499</v>
      </c>
      <c r="AG4607">
        <v>-2.1943999999999901E-2</v>
      </c>
      <c r="AH4607">
        <v>44.411956220584898</v>
      </c>
      <c r="AI4607">
        <v>90.026170777199397</v>
      </c>
      <c r="AJ4607">
        <v>67.583870016601196</v>
      </c>
      <c r="AK4607">
        <v>48.042082196249197</v>
      </c>
      <c r="AL4607">
        <v>88.899011026621295</v>
      </c>
      <c r="AM4607">
        <v>85.793236603530403</v>
      </c>
      <c r="AN4607">
        <v>0.999999997005522</v>
      </c>
    </row>
    <row r="4608" spans="1:40" x14ac:dyDescent="0.25">
      <c r="A4608" t="str">
        <f>"20190312160424745"</f>
        <v>20190312160424745</v>
      </c>
      <c r="B4608" t="str">
        <f>"1552377864739691"</f>
        <v>1552377864739691</v>
      </c>
      <c r="C4608" t="s">
        <v>40</v>
      </c>
      <c r="D4608">
        <v>5.2333249999999998</v>
      </c>
      <c r="E4608">
        <v>0.62437580000000004</v>
      </c>
      <c r="F4608" t="s">
        <v>94</v>
      </c>
      <c r="G4608">
        <v>-231.13149999999999</v>
      </c>
      <c r="H4608">
        <v>1.1201989999999999</v>
      </c>
      <c r="I4608">
        <v>119.56910000000001</v>
      </c>
      <c r="J4608">
        <v>-196.55690000000001</v>
      </c>
      <c r="K4608">
        <v>1.1064309999999999</v>
      </c>
      <c r="L4608">
        <v>152.58330000000001</v>
      </c>
      <c r="M4608">
        <v>-0.40827249999999998</v>
      </c>
      <c r="N4608">
        <v>0</v>
      </c>
      <c r="O4608">
        <v>-0.91277609999999998</v>
      </c>
      <c r="P4608">
        <v>-0.47453230000000002</v>
      </c>
      <c r="Q4608">
        <v>6.7216050000000003E-3</v>
      </c>
      <c r="R4608">
        <v>-0.88021269999999996</v>
      </c>
      <c r="S4608">
        <v>-2.2824249999999999</v>
      </c>
      <c r="T4608">
        <v>9.027719E-4</v>
      </c>
      <c r="U4608">
        <v>-2.185257</v>
      </c>
      <c r="V4608">
        <v>7.3944670000000004E-2</v>
      </c>
      <c r="W4608">
        <v>1.8443319999999999E-2</v>
      </c>
      <c r="X4608">
        <v>0.99709179999999997</v>
      </c>
      <c r="Y4608">
        <v>0.37699389999999999</v>
      </c>
      <c r="Z4608">
        <v>-2.8362960000000002E-4</v>
      </c>
      <c r="AA4608">
        <v>0.92621569999999998</v>
      </c>
      <c r="AB4608">
        <v>20</v>
      </c>
      <c r="AC4608">
        <v>-34.574599999999897</v>
      </c>
      <c r="AD4608">
        <v>1.3768000000000001E-2</v>
      </c>
      <c r="AE4608">
        <v>-33.014200000000002</v>
      </c>
      <c r="AF4608">
        <v>18.081463590685001</v>
      </c>
      <c r="AG4608">
        <v>1.3768000000000001E-2</v>
      </c>
      <c r="AH4608">
        <v>44.253820875751799</v>
      </c>
      <c r="AI4608">
        <v>89.983498703482795</v>
      </c>
      <c r="AJ4608">
        <v>67.775793659099904</v>
      </c>
      <c r="AK4608">
        <v>47.8052316932176</v>
      </c>
      <c r="AL4608">
        <v>88.943215700829896</v>
      </c>
      <c r="AM4608">
        <v>85.758689353813494</v>
      </c>
      <c r="AN4608">
        <v>1.00000001395063</v>
      </c>
    </row>
    <row r="4609" spans="1:40" x14ac:dyDescent="0.25">
      <c r="A4609" t="str">
        <f>"20190312160424757"</f>
        <v>20190312160424757</v>
      </c>
      <c r="B4609" t="str">
        <f>"1552377864749451"</f>
        <v>1552377864749451</v>
      </c>
      <c r="C4609" t="s">
        <v>40</v>
      </c>
      <c r="D4609">
        <v>5.220688</v>
      </c>
      <c r="E4609">
        <v>0.62426700000000002</v>
      </c>
      <c r="F4609" t="s">
        <v>94</v>
      </c>
      <c r="G4609">
        <v>-231.4871</v>
      </c>
      <c r="H4609">
        <v>0.87983889999999998</v>
      </c>
      <c r="I4609">
        <v>119.5971</v>
      </c>
      <c r="J4609">
        <v>-196.60290000000001</v>
      </c>
      <c r="K4609">
        <v>1.1063940000000001</v>
      </c>
      <c r="L4609">
        <v>152.49019999999999</v>
      </c>
      <c r="M4609">
        <v>-0.41145569999999998</v>
      </c>
      <c r="N4609">
        <v>0</v>
      </c>
      <c r="O4609">
        <v>-0.91134550000000003</v>
      </c>
      <c r="P4609">
        <v>-0.47787540000000001</v>
      </c>
      <c r="Q4609">
        <v>6.3203560000000001E-3</v>
      </c>
      <c r="R4609">
        <v>-0.87840499999999899</v>
      </c>
      <c r="S4609">
        <v>-2.297577</v>
      </c>
      <c r="T4609">
        <v>-1.4903899999999999E-2</v>
      </c>
      <c r="U4609">
        <v>-2.169708</v>
      </c>
      <c r="V4609">
        <v>7.4252499999999999E-2</v>
      </c>
      <c r="W4609">
        <v>1.803331E-2</v>
      </c>
      <c r="X4609">
        <v>0.99707639999999997</v>
      </c>
      <c r="Y4609">
        <v>0.3801137</v>
      </c>
      <c r="Z4609">
        <v>4.6816039999999998E-3</v>
      </c>
      <c r="AA4609">
        <v>0.92492790000000003</v>
      </c>
      <c r="AB4609">
        <v>20</v>
      </c>
      <c r="AC4609">
        <v>-34.8841999999999</v>
      </c>
      <c r="AD4609">
        <v>-0.22655509999999901</v>
      </c>
      <c r="AE4609">
        <v>-32.893099999999897</v>
      </c>
      <c r="AF4609">
        <v>18.2584997593178</v>
      </c>
      <c r="AG4609">
        <v>-0.22655509999999901</v>
      </c>
      <c r="AH4609">
        <v>44.3326964305149</v>
      </c>
      <c r="AI4609">
        <v>90.270736215080404</v>
      </c>
      <c r="AJ4609">
        <v>67.615599550239295</v>
      </c>
      <c r="AK4609">
        <v>47.945929060500397</v>
      </c>
      <c r="AL4609">
        <v>88.966711427323105</v>
      </c>
      <c r="AM4609">
        <v>85.741032167168498</v>
      </c>
      <c r="AN4609">
        <v>0.99999999073138202</v>
      </c>
    </row>
    <row r="4610" spans="1:40" x14ac:dyDescent="0.25">
      <c r="A4610" t="str">
        <f>"20190312160424768"</f>
        <v>20190312160424768</v>
      </c>
      <c r="B4610" t="str">
        <f>"1552377864759211"</f>
        <v>1552377864759211</v>
      </c>
      <c r="C4610" t="s">
        <v>40</v>
      </c>
      <c r="D4610">
        <v>5.1968759999999996</v>
      </c>
      <c r="E4610">
        <v>0.62377119999999997</v>
      </c>
      <c r="F4610" t="s">
        <v>94</v>
      </c>
      <c r="G4610">
        <v>-231.6842</v>
      </c>
      <c r="H4610">
        <v>0.78563359999999904</v>
      </c>
      <c r="I4610">
        <v>119.5971</v>
      </c>
      <c r="J4610">
        <v>-196.6497</v>
      </c>
      <c r="K4610">
        <v>1.1063559999999999</v>
      </c>
      <c r="L4610">
        <v>152.39599999999999</v>
      </c>
      <c r="M4610">
        <v>-0.41469080000000003</v>
      </c>
      <c r="N4610">
        <v>0</v>
      </c>
      <c r="O4610">
        <v>-0.90987779999999996</v>
      </c>
      <c r="P4610">
        <v>-0.48137560000000001</v>
      </c>
      <c r="Q4610">
        <v>6.1475399999999999E-3</v>
      </c>
      <c r="R4610">
        <v>-0.87649330000000003</v>
      </c>
      <c r="S4610">
        <v>-2.305145</v>
      </c>
      <c r="T4610">
        <v>-2.1076319999999999E-2</v>
      </c>
      <c r="U4610">
        <v>-2.161362</v>
      </c>
      <c r="V4610">
        <v>7.4687050000000005E-2</v>
      </c>
      <c r="W4610">
        <v>1.7850709999999999E-2</v>
      </c>
      <c r="X4610">
        <v>0.99704720000000002</v>
      </c>
      <c r="Y4610">
        <v>0.38011620000000002</v>
      </c>
      <c r="Z4610">
        <v>6.6153289999999997E-3</v>
      </c>
      <c r="AA4610">
        <v>0.92491509999999999</v>
      </c>
      <c r="AB4610">
        <v>20</v>
      </c>
      <c r="AC4610">
        <v>-35.034500000000001</v>
      </c>
      <c r="AD4610">
        <v>-0.32072240000000002</v>
      </c>
      <c r="AE4610">
        <v>-32.798900000000003</v>
      </c>
      <c r="AF4610">
        <v>18.276302210870199</v>
      </c>
      <c r="AG4610">
        <v>-0.32072240000000002</v>
      </c>
      <c r="AH4610">
        <v>44.372909494671603</v>
      </c>
      <c r="AI4610">
        <v>90.382913373801898</v>
      </c>
      <c r="AJ4610">
        <v>67.614229939587503</v>
      </c>
      <c r="AK4610">
        <v>47.990428028756298</v>
      </c>
      <c r="AL4610">
        <v>88.977175290902096</v>
      </c>
      <c r="AM4610">
        <v>85.716074814101603</v>
      </c>
      <c r="AN4610">
        <v>0.99999996115652201</v>
      </c>
    </row>
    <row r="4611" spans="1:40" x14ac:dyDescent="0.25">
      <c r="A4611" t="str">
        <f>"20190312160424779"</f>
        <v>20190312160424779</v>
      </c>
      <c r="B4611" t="str">
        <f>"1552377864769948"</f>
        <v>1552377864769948</v>
      </c>
      <c r="C4611" t="s">
        <v>40</v>
      </c>
      <c r="D4611">
        <v>5.2498459999999998</v>
      </c>
      <c r="E4611">
        <v>0.62378999999999996</v>
      </c>
      <c r="F4611" t="s">
        <v>94</v>
      </c>
      <c r="G4611">
        <v>-232.0565</v>
      </c>
      <c r="H4611">
        <v>0.73034860000000001</v>
      </c>
      <c r="I4611">
        <v>119.3841</v>
      </c>
      <c r="J4611">
        <v>-196.69300000000001</v>
      </c>
      <c r="K4611">
        <v>1.106314</v>
      </c>
      <c r="L4611">
        <v>152.31020000000001</v>
      </c>
      <c r="M4611">
        <v>-0.41768830000000001</v>
      </c>
      <c r="N4611">
        <v>0</v>
      </c>
      <c r="O4611">
        <v>-0.90850589999999998</v>
      </c>
      <c r="P4611">
        <v>-0.48470819999999998</v>
      </c>
      <c r="Q4611">
        <v>5.5411189999999997E-3</v>
      </c>
      <c r="R4611">
        <v>-0.87465879999999996</v>
      </c>
      <c r="S4611">
        <v>-2.3103180000000001</v>
      </c>
      <c r="T4611">
        <v>-2.4534340000000002E-2</v>
      </c>
      <c r="U4611">
        <v>-2.1540530000000002</v>
      </c>
      <c r="V4611">
        <v>7.5189370000000005E-2</v>
      </c>
      <c r="W4611">
        <v>1.7235210000000001E-2</v>
      </c>
      <c r="X4611">
        <v>0.99702029999999997</v>
      </c>
      <c r="Y4611">
        <v>0.379658</v>
      </c>
      <c r="Z4611">
        <v>7.6967260000000001E-3</v>
      </c>
      <c r="AA4611">
        <v>0.92509490000000005</v>
      </c>
      <c r="AB4611">
        <v>20</v>
      </c>
      <c r="AC4611">
        <v>-35.363500000000002</v>
      </c>
      <c r="AD4611">
        <v>-0.37596540000000001</v>
      </c>
      <c r="AE4611">
        <v>-32.926099999999998</v>
      </c>
      <c r="AF4611">
        <v>18.375399736187699</v>
      </c>
      <c r="AG4611">
        <v>-0.37596540000000001</v>
      </c>
      <c r="AH4611">
        <v>44.685201171109</v>
      </c>
      <c r="AI4611">
        <v>90.445832797318204</v>
      </c>
      <c r="AJ4611">
        <v>67.646608380584993</v>
      </c>
      <c r="AK4611">
        <v>48.317324730878603</v>
      </c>
      <c r="AL4611">
        <v>89.012446297708493</v>
      </c>
      <c r="AM4611">
        <v>85.687254995312003</v>
      </c>
      <c r="AN4611">
        <v>0.99999998621841502</v>
      </c>
    </row>
    <row r="4612" spans="1:40" x14ac:dyDescent="0.25">
      <c r="A4612" t="str">
        <f>"20190312160424790"</f>
        <v>20190312160424790</v>
      </c>
      <c r="B4612" t="str">
        <f>"1552377864779709"</f>
        <v>1552377864779709</v>
      </c>
      <c r="C4612" t="s">
        <v>40</v>
      </c>
      <c r="D4612">
        <v>5.2729540000000004</v>
      </c>
      <c r="E4612">
        <v>0.62378999999999996</v>
      </c>
      <c r="F4612" t="s">
        <v>94</v>
      </c>
      <c r="G4612">
        <v>-232.27699999999999</v>
      </c>
      <c r="H4612">
        <v>0.79845759999999999</v>
      </c>
      <c r="I4612">
        <v>119.3841</v>
      </c>
      <c r="J4612">
        <v>-196.7338</v>
      </c>
      <c r="K4612">
        <v>1.1062809999999901</v>
      </c>
      <c r="L4612">
        <v>152.2296</v>
      </c>
      <c r="M4612">
        <v>-0.42051460000000002</v>
      </c>
      <c r="N4612">
        <v>0</v>
      </c>
      <c r="O4612">
        <v>-0.90720109999999998</v>
      </c>
      <c r="P4612">
        <v>-0.48773820000000001</v>
      </c>
      <c r="Q4612">
        <v>5.5077659999999999E-3</v>
      </c>
      <c r="R4612">
        <v>-0.87297259999999999</v>
      </c>
      <c r="S4612">
        <v>-2.3184049999999998</v>
      </c>
      <c r="T4612">
        <v>-2.0057439999999999E-2</v>
      </c>
      <c r="U4612">
        <v>-2.1452330000000002</v>
      </c>
      <c r="V4612">
        <v>7.5543620000000006E-2</v>
      </c>
      <c r="W4612">
        <v>1.71942E-2</v>
      </c>
      <c r="X4612">
        <v>0.9969943</v>
      </c>
      <c r="Y4612">
        <v>0.38029010000000002</v>
      </c>
      <c r="Z4612">
        <v>6.288676E-3</v>
      </c>
      <c r="AA4612">
        <v>0.9248459</v>
      </c>
      <c r="AB4612">
        <v>20</v>
      </c>
      <c r="AC4612">
        <v>-35.543199999999999</v>
      </c>
      <c r="AD4612">
        <v>-0.30782339999999903</v>
      </c>
      <c r="AE4612">
        <v>-32.845500000000001</v>
      </c>
      <c r="AF4612">
        <v>18.433488216432099</v>
      </c>
      <c r="AG4612">
        <v>-0.30782339999999903</v>
      </c>
      <c r="AH4612">
        <v>44.745535527841</v>
      </c>
      <c r="AI4612">
        <v>90.364442485489903</v>
      </c>
      <c r="AJ4612">
        <v>67.610169709970407</v>
      </c>
      <c r="AK4612">
        <v>48.394743441247897</v>
      </c>
      <c r="AL4612">
        <v>89.014796415279406</v>
      </c>
      <c r="AM4612">
        <v>85.666900404039396</v>
      </c>
      <c r="AN4612">
        <v>1.0000000566344101</v>
      </c>
    </row>
    <row r="4613" spans="1:40" x14ac:dyDescent="0.25">
      <c r="A4613" t="str">
        <f>"20190312160424801"</f>
        <v>20190312160424801</v>
      </c>
      <c r="B4613" t="str">
        <f>"1552377864789467"</f>
        <v>1552377864789467</v>
      </c>
      <c r="C4613" t="s">
        <v>40</v>
      </c>
      <c r="D4613">
        <v>5.4889330000000003</v>
      </c>
      <c r="E4613">
        <v>0.62457189999999996</v>
      </c>
      <c r="F4613" t="s">
        <v>94</v>
      </c>
      <c r="G4613">
        <v>-232.4804</v>
      </c>
      <c r="H4613">
        <v>0.79895019999999894</v>
      </c>
      <c r="I4613">
        <v>119.3841</v>
      </c>
      <c r="J4613">
        <v>-196.7774</v>
      </c>
      <c r="K4613">
        <v>1.1062459999999901</v>
      </c>
      <c r="L4613">
        <v>152.14449999999999</v>
      </c>
      <c r="M4613">
        <v>-0.42353560000000001</v>
      </c>
      <c r="N4613">
        <v>0</v>
      </c>
      <c r="O4613">
        <v>-0.90579430000000005</v>
      </c>
      <c r="P4613">
        <v>-0.49114750000000001</v>
      </c>
      <c r="Q4613">
        <v>5.3720030000000002E-3</v>
      </c>
      <c r="R4613">
        <v>-0.87105959999999905</v>
      </c>
      <c r="S4613">
        <v>-2.3259120000000002</v>
      </c>
      <c r="T4613">
        <v>-1.999652E-2</v>
      </c>
      <c r="U4613">
        <v>-2.137146</v>
      </c>
      <c r="V4613">
        <v>7.6118829999999998E-2</v>
      </c>
      <c r="W4613">
        <v>1.704926E-2</v>
      </c>
      <c r="X4613">
        <v>0.99695299999999998</v>
      </c>
      <c r="Y4613">
        <v>0.38043870000000002</v>
      </c>
      <c r="Z4613">
        <v>6.2646009999999999E-3</v>
      </c>
      <c r="AA4613">
        <v>0.92478499999999997</v>
      </c>
      <c r="AB4613">
        <v>20</v>
      </c>
      <c r="AC4613">
        <v>-35.703000000000003</v>
      </c>
      <c r="AD4613">
        <v>-0.30729579999999901</v>
      </c>
      <c r="AE4613">
        <v>-32.760399999999898</v>
      </c>
      <c r="AF4613">
        <v>18.465060109445499</v>
      </c>
      <c r="AG4613">
        <v>-0.30729579999999901</v>
      </c>
      <c r="AH4613">
        <v>44.797329410246199</v>
      </c>
      <c r="AI4613">
        <v>90.363367986072305</v>
      </c>
      <c r="AJ4613">
        <v>67.598979625194403</v>
      </c>
      <c r="AK4613">
        <v>48.454655068881102</v>
      </c>
      <c r="AL4613">
        <v>89.023102045718701</v>
      </c>
      <c r="AM4613">
        <v>85.633853910613894</v>
      </c>
      <c r="AN4613">
        <v>1.00000001887805</v>
      </c>
    </row>
    <row r="4614" spans="1:40" x14ac:dyDescent="0.25">
      <c r="A4614" t="str">
        <f>"20190312160424811"</f>
        <v>20190312160424811</v>
      </c>
      <c r="B4614" t="str">
        <f>"1552377864808987"</f>
        <v>1552377864808987</v>
      </c>
      <c r="C4614" t="s">
        <v>40</v>
      </c>
      <c r="D4614">
        <v>5.4090809999999996</v>
      </c>
      <c r="E4614">
        <v>0.65024159999999998</v>
      </c>
      <c r="F4614" t="s">
        <v>94</v>
      </c>
      <c r="G4614">
        <v>-232.85149999999999</v>
      </c>
      <c r="H4614">
        <v>0.66959380000000002</v>
      </c>
      <c r="I4614">
        <v>119.3841</v>
      </c>
      <c r="J4614">
        <v>-196.82210000000001</v>
      </c>
      <c r="K4614">
        <v>1.1062099999999999</v>
      </c>
      <c r="L4614">
        <v>152.05770000000001</v>
      </c>
      <c r="M4614">
        <v>-0.4266373</v>
      </c>
      <c r="N4614">
        <v>0</v>
      </c>
      <c r="O4614">
        <v>-0.90433779999999997</v>
      </c>
      <c r="P4614">
        <v>-0.49472480000000002</v>
      </c>
      <c r="Q4614">
        <v>5.1333589999999997E-3</v>
      </c>
      <c r="R4614">
        <v>-0.8690348</v>
      </c>
      <c r="S4614">
        <v>-2.3398590000000001</v>
      </c>
      <c r="T4614">
        <v>-2.832198E-2</v>
      </c>
      <c r="U4614">
        <v>-2.124924</v>
      </c>
      <c r="V4614">
        <v>7.6799850000000003E-2</v>
      </c>
      <c r="W4614">
        <v>1.6800389999999998E-2</v>
      </c>
      <c r="X4614">
        <v>0.99690500000000004</v>
      </c>
      <c r="Y4614">
        <v>0.38264680000000001</v>
      </c>
      <c r="Z4614">
        <v>8.8641060000000001E-3</v>
      </c>
      <c r="AA4614">
        <v>0.92385220000000001</v>
      </c>
      <c r="AB4614">
        <v>20</v>
      </c>
      <c r="AC4614">
        <v>-36.029399999999903</v>
      </c>
      <c r="AD4614">
        <v>-0.43661620000000001</v>
      </c>
      <c r="AE4614">
        <v>-32.6736</v>
      </c>
      <c r="AF4614">
        <v>18.6429029611399</v>
      </c>
      <c r="AG4614">
        <v>-0.43661620000000001</v>
      </c>
      <c r="AH4614">
        <v>44.919291503427097</v>
      </c>
      <c r="AI4614">
        <v>90.514360537809694</v>
      </c>
      <c r="AJ4614">
        <v>67.460029879308095</v>
      </c>
      <c r="AK4614">
        <v>48.636315790718001</v>
      </c>
      <c r="AL4614">
        <v>89.037363294299695</v>
      </c>
      <c r="AM4614">
        <v>85.594732681464805</v>
      </c>
      <c r="AN4614">
        <v>1.0000000245445799</v>
      </c>
    </row>
    <row r="4615" spans="1:40" x14ac:dyDescent="0.25">
      <c r="A4615" t="str">
        <f>"20190312160424823"</f>
        <v>20190312160424823</v>
      </c>
      <c r="B4615" t="str">
        <f>"1552377864819723"</f>
        <v>1552377864819723</v>
      </c>
      <c r="C4615" t="s">
        <v>40</v>
      </c>
      <c r="D4615">
        <v>5.456029</v>
      </c>
      <c r="E4615">
        <v>0.64944139999999995</v>
      </c>
      <c r="F4615" t="s">
        <v>41</v>
      </c>
      <c r="G4615">
        <v>-211.07210000000001</v>
      </c>
      <c r="H4615" s="1">
        <v>-4.4939299999999998E-6</v>
      </c>
      <c r="I4615">
        <v>140.7182</v>
      </c>
      <c r="J4615">
        <v>-196.87090000000001</v>
      </c>
      <c r="K4615">
        <v>1.1061730000000001</v>
      </c>
      <c r="L4615">
        <v>151.96430000000001</v>
      </c>
      <c r="M4615">
        <v>-0.43000909999999898</v>
      </c>
      <c r="N4615">
        <v>0</v>
      </c>
      <c r="O4615">
        <v>-0.90273939999999997</v>
      </c>
      <c r="P4615">
        <v>-0.49876199999999998</v>
      </c>
      <c r="Q4615">
        <v>5.3013640000000002E-3</v>
      </c>
      <c r="R4615">
        <v>-0.86672309999999997</v>
      </c>
      <c r="S4615">
        <v>-2.5297999999999998</v>
      </c>
      <c r="T4615">
        <v>-0.1963868</v>
      </c>
      <c r="U4615">
        <v>-2.0131070000000002</v>
      </c>
      <c r="V4615">
        <v>7.7720629999999999E-2</v>
      </c>
      <c r="W4615">
        <v>1.6956300000000001E-2</v>
      </c>
      <c r="X4615">
        <v>0.99683100000000002</v>
      </c>
      <c r="Y4615">
        <v>0.43710179999999998</v>
      </c>
      <c r="Z4615">
        <v>6.0757529999999997E-2</v>
      </c>
      <c r="AA4615">
        <v>0.89735759999999898</v>
      </c>
      <c r="AB4615">
        <v>20</v>
      </c>
      <c r="AC4615">
        <v>-14.2012</v>
      </c>
      <c r="AD4615">
        <v>-1.10617749392999</v>
      </c>
      <c r="AE4615">
        <v>-11.2461</v>
      </c>
      <c r="AF4615">
        <v>7.9550079775652103</v>
      </c>
      <c r="AG4615">
        <v>-1.10617749392999</v>
      </c>
      <c r="AH4615">
        <v>16.199785739154599</v>
      </c>
      <c r="AI4615">
        <v>93.507401390633206</v>
      </c>
      <c r="AJ4615">
        <v>63.846359387461803</v>
      </c>
      <c r="AK4615">
        <v>18.081450123419799</v>
      </c>
      <c r="AL4615">
        <v>89.028429039717196</v>
      </c>
      <c r="AM4615">
        <v>85.541798448265197</v>
      </c>
      <c r="AN4615">
        <v>1.0000000274991401</v>
      </c>
    </row>
    <row r="4616" spans="1:40" x14ac:dyDescent="0.25">
      <c r="A4616" t="str">
        <f>"20190312160424834"</f>
        <v>20190312160424834</v>
      </c>
      <c r="B4616" t="str">
        <f>"1552377864829484"</f>
        <v>1552377864829484</v>
      </c>
      <c r="C4616" t="s">
        <v>40</v>
      </c>
      <c r="D4616">
        <v>5.4333609999999997</v>
      </c>
      <c r="E4616">
        <v>0.6494434</v>
      </c>
      <c r="F4616" t="s">
        <v>41</v>
      </c>
      <c r="G4616">
        <v>-211.5317</v>
      </c>
      <c r="H4616" s="1">
        <v>-4.1824409999999996E-6</v>
      </c>
      <c r="I4616">
        <v>140.364</v>
      </c>
      <c r="J4616">
        <v>-196.91550000000001</v>
      </c>
      <c r="K4616">
        <v>1.106139</v>
      </c>
      <c r="L4616">
        <v>151.87970000000001</v>
      </c>
      <c r="M4616">
        <v>-0.43309750000000002</v>
      </c>
      <c r="N4616">
        <v>0</v>
      </c>
      <c r="O4616">
        <v>-0.9012618</v>
      </c>
      <c r="P4616">
        <v>-0.50226599999999999</v>
      </c>
      <c r="Q4616">
        <v>5.5737709999999999E-3</v>
      </c>
      <c r="R4616">
        <v>-0.86469549999999995</v>
      </c>
      <c r="S4616">
        <v>-2.5334629999999998</v>
      </c>
      <c r="T4616">
        <v>-0.1911532</v>
      </c>
      <c r="U4616">
        <v>-2.0045929999999998</v>
      </c>
      <c r="V4616">
        <v>7.8346949999999999E-2</v>
      </c>
      <c r="W4616">
        <v>1.721899E-2</v>
      </c>
      <c r="X4616">
        <v>0.99677740000000004</v>
      </c>
      <c r="Y4616">
        <v>0.43658910000000001</v>
      </c>
      <c r="Z4616">
        <v>5.9134609999999997E-2</v>
      </c>
      <c r="AA4616">
        <v>0.8977155</v>
      </c>
      <c r="AB4616">
        <v>20</v>
      </c>
      <c r="AC4616">
        <v>-14.6161999999999</v>
      </c>
      <c r="AD4616">
        <v>-1.106143182441</v>
      </c>
      <c r="AE4616">
        <v>-11.515700000000001</v>
      </c>
      <c r="AF4616">
        <v>8.1574045912004802</v>
      </c>
      <c r="AG4616">
        <v>-1.106143182441</v>
      </c>
      <c r="AH4616">
        <v>16.6513424155299</v>
      </c>
      <c r="AI4616">
        <v>93.413972701927605</v>
      </c>
      <c r="AJ4616">
        <v>63.900010783412803</v>
      </c>
      <c r="AK4616">
        <v>18.5750910265286</v>
      </c>
      <c r="AL4616">
        <v>89.013375748975193</v>
      </c>
      <c r="AM4616">
        <v>85.505777471469003</v>
      </c>
      <c r="AN4616">
        <v>0.99999996167084004</v>
      </c>
    </row>
    <row r="4617" spans="1:40" x14ac:dyDescent="0.25">
      <c r="A4617" t="str">
        <f>"20190312160424846"</f>
        <v>20190312160424846</v>
      </c>
      <c r="B4617" t="str">
        <f>"1552377864839242"</f>
        <v>1552377864839242</v>
      </c>
      <c r="C4617" t="s">
        <v>40</v>
      </c>
      <c r="D4617">
        <v>5.4413650000000002</v>
      </c>
      <c r="E4617">
        <v>0.64934389999999997</v>
      </c>
      <c r="F4617" t="s">
        <v>41</v>
      </c>
      <c r="G4617">
        <v>-211.8065</v>
      </c>
      <c r="H4617" s="1">
        <v>-4.007641E-6</v>
      </c>
      <c r="I4617">
        <v>140.1953</v>
      </c>
      <c r="J4617">
        <v>-196.96420000000001</v>
      </c>
      <c r="K4617">
        <v>1.1061080000000001</v>
      </c>
      <c r="L4617">
        <v>151.7876</v>
      </c>
      <c r="M4617">
        <v>-0.4364729</v>
      </c>
      <c r="N4617">
        <v>0</v>
      </c>
      <c r="O4617">
        <v>-0.89963169999999903</v>
      </c>
      <c r="P4617">
        <v>-0.50603809999999905</v>
      </c>
      <c r="Q4617">
        <v>5.5164050000000003E-3</v>
      </c>
      <c r="R4617">
        <v>-0.86249339999999997</v>
      </c>
      <c r="S4617">
        <v>-2.5416409999999998</v>
      </c>
      <c r="T4617">
        <v>-0.18879889999999999</v>
      </c>
      <c r="U4617">
        <v>-1.994308</v>
      </c>
      <c r="V4617">
        <v>7.8965080000000007E-2</v>
      </c>
      <c r="W4617">
        <v>1.715272E-2</v>
      </c>
      <c r="X4617">
        <v>0.9967298</v>
      </c>
      <c r="Y4617">
        <v>0.43690689999999999</v>
      </c>
      <c r="Z4617">
        <v>5.8362410000000003E-2</v>
      </c>
      <c r="AA4617">
        <v>0.89761139999999995</v>
      </c>
      <c r="AB4617">
        <v>20</v>
      </c>
      <c r="AC4617">
        <v>-14.8422999999999</v>
      </c>
      <c r="AD4617">
        <v>-1.106112007641</v>
      </c>
      <c r="AE4617">
        <v>-11.5922999999999</v>
      </c>
      <c r="AF4617">
        <v>8.2650074126072806</v>
      </c>
      <c r="AG4617">
        <v>-1.106112007641</v>
      </c>
      <c r="AH4617">
        <v>16.850239673754999</v>
      </c>
      <c r="AI4617">
        <v>93.372871207397097</v>
      </c>
      <c r="AJ4617">
        <v>63.872145615746803</v>
      </c>
      <c r="AK4617">
        <v>18.800649147486499</v>
      </c>
      <c r="AL4617">
        <v>89.017173335943994</v>
      </c>
      <c r="AM4617">
        <v>85.470251193054494</v>
      </c>
      <c r="AN4617">
        <v>0.99999999693542196</v>
      </c>
    </row>
    <row r="4618" spans="1:40" x14ac:dyDescent="0.25">
      <c r="A4618" t="str">
        <f>"20190312160424857"</f>
        <v>20190312160424857</v>
      </c>
      <c r="B4618" t="str">
        <f>"1552377864849004"</f>
        <v>1552377864849004</v>
      </c>
      <c r="C4618" t="s">
        <v>40</v>
      </c>
      <c r="D4618">
        <v>5.4252529999999997</v>
      </c>
      <c r="E4618">
        <v>0.64934389999999997</v>
      </c>
      <c r="F4618" t="s">
        <v>41</v>
      </c>
      <c r="G4618">
        <v>-211.95920000000001</v>
      </c>
      <c r="H4618" s="1">
        <v>-3.9155430000000002E-6</v>
      </c>
      <c r="I4618">
        <v>140.12039999999999</v>
      </c>
      <c r="J4618">
        <v>-197.0137</v>
      </c>
      <c r="K4618">
        <v>1.1060719999999999</v>
      </c>
      <c r="L4618">
        <v>151.69579999999999</v>
      </c>
      <c r="M4618">
        <v>-0.4398975</v>
      </c>
      <c r="N4618">
        <v>0</v>
      </c>
      <c r="O4618">
        <v>-0.89796209999999899</v>
      </c>
      <c r="P4618">
        <v>-0.51016499999999998</v>
      </c>
      <c r="Q4618">
        <v>5.6331100000000002E-3</v>
      </c>
      <c r="R4618">
        <v>-0.86005819999999999</v>
      </c>
      <c r="S4618">
        <v>-2.5494840000000001</v>
      </c>
      <c r="T4618">
        <v>-0.1880645</v>
      </c>
      <c r="U4618">
        <v>-1.9837039999999999</v>
      </c>
      <c r="V4618">
        <v>7.9946229999999993E-2</v>
      </c>
      <c r="W4618">
        <v>1.725666E-2</v>
      </c>
      <c r="X4618">
        <v>0.99664980000000003</v>
      </c>
      <c r="Y4618">
        <v>0.43715700000000002</v>
      </c>
      <c r="Z4618">
        <v>5.8094970000000003E-2</v>
      </c>
      <c r="AA4618">
        <v>0.89750699999999894</v>
      </c>
      <c r="AB4618">
        <v>20</v>
      </c>
      <c r="AC4618">
        <v>-14.945499999999999</v>
      </c>
      <c r="AD4618">
        <v>-1.106075915543</v>
      </c>
      <c r="AE4618">
        <v>-11.5754</v>
      </c>
      <c r="AF4618">
        <v>8.3007281863567002</v>
      </c>
      <c r="AG4618">
        <v>-1.106075915543</v>
      </c>
      <c r="AH4618">
        <v>16.912169194848399</v>
      </c>
      <c r="AI4618">
        <v>93.360020314896204</v>
      </c>
      <c r="AJ4618">
        <v>63.857552558862203</v>
      </c>
      <c r="AK4618">
        <v>18.871856274089801</v>
      </c>
      <c r="AL4618">
        <v>89.011217141878106</v>
      </c>
      <c r="AM4618">
        <v>85.4138406198838</v>
      </c>
      <c r="AN4618">
        <v>1.0000000079228</v>
      </c>
    </row>
    <row r="4619" spans="1:40" x14ac:dyDescent="0.25">
      <c r="A4619" t="str">
        <f>"20190312160424869"</f>
        <v>20190312160424869</v>
      </c>
      <c r="B4619" t="str">
        <f>"1552377864859740"</f>
        <v>1552377864859740</v>
      </c>
      <c r="C4619" t="s">
        <v>40</v>
      </c>
      <c r="D4619">
        <v>5.4856959999999999</v>
      </c>
      <c r="E4619">
        <v>0.64899219999999902</v>
      </c>
      <c r="F4619" t="s">
        <v>41</v>
      </c>
      <c r="G4619">
        <v>-212.10759999999999</v>
      </c>
      <c r="H4619" s="1">
        <v>-3.8312400000000001E-6</v>
      </c>
      <c r="I4619">
        <v>140.06720000000001</v>
      </c>
      <c r="J4619">
        <v>-197.0615</v>
      </c>
      <c r="K4619">
        <v>1.1060350000000001</v>
      </c>
      <c r="L4619">
        <v>151.60730000000001</v>
      </c>
      <c r="M4619">
        <v>-0.44321129999999997</v>
      </c>
      <c r="N4619">
        <v>0</v>
      </c>
      <c r="O4619">
        <v>-0.89633119999999999</v>
      </c>
      <c r="P4619">
        <v>-0.51373879999999905</v>
      </c>
      <c r="Q4619">
        <v>5.7867500000000002E-3</v>
      </c>
      <c r="R4619">
        <v>-0.85792729999999995</v>
      </c>
      <c r="S4619">
        <v>-2.558945</v>
      </c>
      <c r="T4619">
        <v>-0.1875185</v>
      </c>
      <c r="U4619">
        <v>-1.9714659999999999</v>
      </c>
      <c r="V4619">
        <v>8.0414920000000001E-2</v>
      </c>
      <c r="W4619">
        <v>1.7402549999999999E-2</v>
      </c>
      <c r="X4619">
        <v>0.99660959999999998</v>
      </c>
      <c r="Y4619">
        <v>0.43814310000000001</v>
      </c>
      <c r="Z4619">
        <v>5.78916999999999E-2</v>
      </c>
      <c r="AA4619">
        <v>0.89703909999999998</v>
      </c>
      <c r="AB4619">
        <v>20</v>
      </c>
      <c r="AC4619">
        <v>-15.0460999999999</v>
      </c>
      <c r="AD4619">
        <v>-1.10603883124</v>
      </c>
      <c r="AE4619">
        <v>-11.540099999999899</v>
      </c>
      <c r="AF4619">
        <v>8.3438432255237398</v>
      </c>
      <c r="AG4619">
        <v>-1.10603883124</v>
      </c>
      <c r="AH4619">
        <v>16.9559753337277</v>
      </c>
      <c r="AI4619">
        <v>93.349560577865006</v>
      </c>
      <c r="AJ4619">
        <v>63.798724123327801</v>
      </c>
      <c r="AK4619">
        <v>18.930085609587501</v>
      </c>
      <c r="AL4619">
        <v>89.002857048647201</v>
      </c>
      <c r="AM4619">
        <v>85.386884392835995</v>
      </c>
      <c r="AN4619">
        <v>1.00000005145863</v>
      </c>
    </row>
    <row r="4620" spans="1:40" x14ac:dyDescent="0.25">
      <c r="A4620" t="str">
        <f>"20190312160424882"</f>
        <v>20190312160424882</v>
      </c>
      <c r="B4620" t="str">
        <f>"1552377864869500"</f>
        <v>1552377864869500</v>
      </c>
      <c r="C4620" t="s">
        <v>40</v>
      </c>
      <c r="D4620">
        <v>5.8659420000000004</v>
      </c>
      <c r="E4620">
        <v>0.64899219999999902</v>
      </c>
      <c r="F4620" t="s">
        <v>41</v>
      </c>
      <c r="G4620">
        <v>-212.0411</v>
      </c>
      <c r="H4620" s="1">
        <v>-3.8838559999999998E-6</v>
      </c>
      <c r="I4620">
        <v>140.14680000000001</v>
      </c>
      <c r="J4620">
        <v>-197.11510000000001</v>
      </c>
      <c r="K4620">
        <v>1.1059939999999999</v>
      </c>
      <c r="L4620">
        <v>151.50970000000001</v>
      </c>
      <c r="M4620">
        <v>-0.44692270000000001</v>
      </c>
      <c r="N4620">
        <v>0</v>
      </c>
      <c r="O4620">
        <v>-0.89448639999999902</v>
      </c>
      <c r="P4620">
        <v>-0.51802820000000005</v>
      </c>
      <c r="Q4620">
        <v>5.6752879999999997E-3</v>
      </c>
      <c r="R4620">
        <v>-0.85534509999999897</v>
      </c>
      <c r="S4620">
        <v>-2.5647579999999999</v>
      </c>
      <c r="T4620">
        <v>-0.18937309999999999</v>
      </c>
      <c r="U4620">
        <v>-1.96225</v>
      </c>
      <c r="V4620">
        <v>8.127463E-2</v>
      </c>
      <c r="W4620">
        <v>1.728002E-2</v>
      </c>
      <c r="X4620">
        <v>0.99654189999999998</v>
      </c>
      <c r="Y4620">
        <v>0.43740479999999998</v>
      </c>
      <c r="Z4620">
        <v>5.8411749999999998E-2</v>
      </c>
      <c r="AA4620">
        <v>0.89736559999999899</v>
      </c>
      <c r="AB4620">
        <v>20</v>
      </c>
      <c r="AC4620">
        <v>-14.925999999999901</v>
      </c>
      <c r="AD4620">
        <v>-1.1059978838560001</v>
      </c>
      <c r="AE4620">
        <v>-11.3628999999999</v>
      </c>
      <c r="AF4620">
        <v>8.2447445979587997</v>
      </c>
      <c r="AG4620">
        <v>-1.1059978838560001</v>
      </c>
      <c r="AH4620">
        <v>16.7777052519797</v>
      </c>
      <c r="AI4620">
        <v>93.385850390265603</v>
      </c>
      <c r="AJ4620">
        <v>63.830002426662197</v>
      </c>
      <c r="AK4620">
        <v>18.726730582965398</v>
      </c>
      <c r="AL4620">
        <v>89.009878466922999</v>
      </c>
      <c r="AM4620">
        <v>85.337466851816103</v>
      </c>
      <c r="AN4620">
        <v>0.99999996151422199</v>
      </c>
    </row>
    <row r="4621" spans="1:40" x14ac:dyDescent="0.25">
      <c r="A4621" t="str">
        <f>"20190312160424895"</f>
        <v>20190312160424895</v>
      </c>
      <c r="B4621" t="str">
        <f>"1552377864889019"</f>
        <v>1552377864889019</v>
      </c>
      <c r="C4621" t="s">
        <v>40</v>
      </c>
      <c r="D4621">
        <v>5.5594590000000004</v>
      </c>
      <c r="E4621">
        <v>0.65016470000000004</v>
      </c>
      <c r="F4621" t="s">
        <v>41</v>
      </c>
      <c r="G4621">
        <v>-212.12889999999999</v>
      </c>
      <c r="H4621" s="1">
        <v>-3.8411189999999998E-6</v>
      </c>
      <c r="I4621">
        <v>140.1422</v>
      </c>
      <c r="J4621">
        <v>-197.17250000000001</v>
      </c>
      <c r="K4621">
        <v>1.1059509999999999</v>
      </c>
      <c r="L4621">
        <v>151.40600000000001</v>
      </c>
      <c r="M4621">
        <v>-0.45090269999999999</v>
      </c>
      <c r="N4621">
        <v>0</v>
      </c>
      <c r="O4621">
        <v>-0.89248649999999996</v>
      </c>
      <c r="P4621">
        <v>-0.52231689999999997</v>
      </c>
      <c r="Q4621">
        <v>5.8907639999999997E-3</v>
      </c>
      <c r="R4621">
        <v>-0.85273099999999902</v>
      </c>
      <c r="S4621">
        <v>-2.5746150000000001</v>
      </c>
      <c r="T4621">
        <v>-0.18965979999999999</v>
      </c>
      <c r="U4621">
        <v>-1.9493259999999999</v>
      </c>
      <c r="V4621">
        <v>8.1844609999999998E-2</v>
      </c>
      <c r="W4621">
        <v>1.7487409999999998E-2</v>
      </c>
      <c r="X4621">
        <v>0.99649169999999998</v>
      </c>
      <c r="Y4621">
        <v>0.43791459999999999</v>
      </c>
      <c r="Z4621">
        <v>5.8444250000000003E-2</v>
      </c>
      <c r="AA4621">
        <v>0.89711489999999905</v>
      </c>
      <c r="AB4621">
        <v>20</v>
      </c>
      <c r="AC4621">
        <v>-14.956399999999901</v>
      </c>
      <c r="AD4621">
        <v>-1.1059548411190001</v>
      </c>
      <c r="AE4621">
        <v>-11.2638</v>
      </c>
      <c r="AF4621">
        <v>8.2413921792103402</v>
      </c>
      <c r="AG4621">
        <v>-1.1059548411190001</v>
      </c>
      <c r="AH4621">
        <v>16.739564434958599</v>
      </c>
      <c r="AI4621">
        <v>93.392182690183404</v>
      </c>
      <c r="AJ4621">
        <v>63.7875865299428</v>
      </c>
      <c r="AK4621">
        <v>18.69108607423</v>
      </c>
      <c r="AL4621">
        <v>88.997994166465304</v>
      </c>
      <c r="AM4621">
        <v>85.3046786592936</v>
      </c>
      <c r="AN4621">
        <v>1.0000000289317199</v>
      </c>
    </row>
    <row r="4622" spans="1:40" x14ac:dyDescent="0.25">
      <c r="A4622" t="str">
        <f>"20190312160424908"</f>
        <v>20190312160424908</v>
      </c>
      <c r="B4622" t="str">
        <f>"1552377864899755"</f>
        <v>1552377864899755</v>
      </c>
      <c r="C4622" t="s">
        <v>40</v>
      </c>
      <c r="D4622">
        <v>5.5922080000000003</v>
      </c>
      <c r="E4622">
        <v>0.64966489999999999</v>
      </c>
      <c r="F4622" t="s">
        <v>41</v>
      </c>
      <c r="G4622">
        <v>-213.25200000000001</v>
      </c>
      <c r="H4622" s="1">
        <v>-3.2042799999999998E-6</v>
      </c>
      <c r="I4622">
        <v>139.42490000000001</v>
      </c>
      <c r="J4622">
        <v>-197.22819999999999</v>
      </c>
      <c r="K4622">
        <v>1.1059110000000001</v>
      </c>
      <c r="L4622">
        <v>151.3064</v>
      </c>
      <c r="M4622">
        <v>-0.45474789999999998</v>
      </c>
      <c r="N4622">
        <v>0</v>
      </c>
      <c r="O4622">
        <v>-0.89053300000000002</v>
      </c>
      <c r="P4622">
        <v>-0.52673749999999997</v>
      </c>
      <c r="Q4622">
        <v>5.7238310000000004E-3</v>
      </c>
      <c r="R4622">
        <v>-0.85000889999999996</v>
      </c>
      <c r="S4622">
        <v>-2.5922700000000001</v>
      </c>
      <c r="T4622">
        <v>-0.1782984</v>
      </c>
      <c r="U4622">
        <v>-1.931549</v>
      </c>
      <c r="V4622">
        <v>8.2720000000000002E-2</v>
      </c>
      <c r="W4622">
        <v>1.7309580000000001E-2</v>
      </c>
      <c r="X4622">
        <v>0.99642249999999999</v>
      </c>
      <c r="Y4622">
        <v>0.44110270000000001</v>
      </c>
      <c r="Z4622">
        <v>5.4882300000000002E-2</v>
      </c>
      <c r="AA4622">
        <v>0.89577689999999999</v>
      </c>
      <c r="AB4622">
        <v>20</v>
      </c>
      <c r="AC4622">
        <v>-16.023800000000001</v>
      </c>
      <c r="AD4622">
        <v>-1.1059142042799901</v>
      </c>
      <c r="AE4622">
        <v>-11.8814999999999</v>
      </c>
      <c r="AF4622">
        <v>8.8401539412482197</v>
      </c>
      <c r="AG4622">
        <v>-1.1059142042799901</v>
      </c>
      <c r="AH4622">
        <v>17.814292733817599</v>
      </c>
      <c r="AI4622">
        <v>93.182916205273301</v>
      </c>
      <c r="AJ4622">
        <v>63.607581179293</v>
      </c>
      <c r="AK4622">
        <v>19.917841086280902</v>
      </c>
      <c r="AL4622">
        <v>89.008184597595601</v>
      </c>
      <c r="AM4622">
        <v>85.254358729453699</v>
      </c>
      <c r="AN4622">
        <v>1.0000000092330099</v>
      </c>
    </row>
    <row r="4623" spans="1:40" x14ac:dyDescent="0.25">
      <c r="A4623" t="str">
        <f>"20190312160424925"</f>
        <v>20190312160424925</v>
      </c>
      <c r="B4623" t="str">
        <f>"1552377864919275"</f>
        <v>1552377864919275</v>
      </c>
      <c r="C4623" t="s">
        <v>40</v>
      </c>
      <c r="D4623">
        <v>5.9062780000000004</v>
      </c>
      <c r="E4623">
        <v>0.64965499999999998</v>
      </c>
      <c r="F4623" t="s">
        <v>41</v>
      </c>
      <c r="G4623">
        <v>-212.82810000000001</v>
      </c>
      <c r="H4623" s="1">
        <v>-3.4142619999999999E-6</v>
      </c>
      <c r="I4623">
        <v>139.78020000000001</v>
      </c>
      <c r="J4623">
        <v>-197.304</v>
      </c>
      <c r="K4623">
        <v>1.1058570000000001</v>
      </c>
      <c r="L4623">
        <v>151.1729</v>
      </c>
      <c r="M4623">
        <v>-0.45998509999999998</v>
      </c>
      <c r="N4623">
        <v>0</v>
      </c>
      <c r="O4623">
        <v>-0.8878393</v>
      </c>
      <c r="P4623">
        <v>-0.53299110000000005</v>
      </c>
      <c r="Q4623">
        <v>5.9771609999999999E-3</v>
      </c>
      <c r="R4623">
        <v>-0.84610019999999997</v>
      </c>
      <c r="S4623">
        <v>-2.5988159999999998</v>
      </c>
      <c r="T4623">
        <v>-0.1842355</v>
      </c>
      <c r="U4623">
        <v>-1.920166</v>
      </c>
      <c r="V4623">
        <v>8.4204470000000003E-2</v>
      </c>
      <c r="W4623">
        <v>1.7545100000000001E-2</v>
      </c>
      <c r="X4623">
        <v>0.99629400000000001</v>
      </c>
      <c r="Y4623">
        <v>0.4393455</v>
      </c>
      <c r="Z4623">
        <v>5.6620879999999998E-2</v>
      </c>
      <c r="AA4623">
        <v>0.896532</v>
      </c>
      <c r="AB4623">
        <v>19</v>
      </c>
      <c r="AC4623">
        <v>-15.524100000000001</v>
      </c>
      <c r="AD4623">
        <v>-1.1058604142620001</v>
      </c>
      <c r="AE4623">
        <v>-11.3926999999999</v>
      </c>
      <c r="AF4623">
        <v>8.5150124745920497</v>
      </c>
      <c r="AG4623">
        <v>-1.1058604142620001</v>
      </c>
      <c r="AH4623">
        <v>17.200350268674399</v>
      </c>
      <c r="AI4623">
        <v>93.297678194030993</v>
      </c>
      <c r="AJ4623">
        <v>63.662345038128997</v>
      </c>
      <c r="AK4623">
        <v>19.2244743507691</v>
      </c>
      <c r="AL4623">
        <v>88.994688215510806</v>
      </c>
      <c r="AM4623">
        <v>85.168974151079098</v>
      </c>
      <c r="AN4623">
        <v>0.99999997886899505</v>
      </c>
    </row>
    <row r="4624" spans="1:40" x14ac:dyDescent="0.25">
      <c r="A4624" t="str">
        <f>"20190312160424937"</f>
        <v>20190312160424937</v>
      </c>
      <c r="B4624" t="str">
        <f>"1552377864929035"</f>
        <v>1552377864929035</v>
      </c>
      <c r="C4624" t="s">
        <v>40</v>
      </c>
      <c r="D4624">
        <v>5.5196959999999997</v>
      </c>
      <c r="E4624">
        <v>0.64987309999999998</v>
      </c>
      <c r="F4624" t="s">
        <v>41</v>
      </c>
      <c r="G4624">
        <v>-214.815</v>
      </c>
      <c r="H4624" s="1">
        <v>-2.6417679999999998E-6</v>
      </c>
      <c r="I4624">
        <v>138.4306</v>
      </c>
      <c r="J4624">
        <v>-197.35749999999999</v>
      </c>
      <c r="K4624">
        <v>1.10582</v>
      </c>
      <c r="L4624">
        <v>151.07990000000001</v>
      </c>
      <c r="M4624">
        <v>-0.46368110000000001</v>
      </c>
      <c r="N4624">
        <v>0</v>
      </c>
      <c r="O4624">
        <v>-0.8859146</v>
      </c>
      <c r="P4624">
        <v>-0.53723100000000001</v>
      </c>
      <c r="Q4624">
        <v>5.9688069999999996E-3</v>
      </c>
      <c r="R4624">
        <v>-0.8434142</v>
      </c>
      <c r="S4624">
        <v>-2.6125639999999999</v>
      </c>
      <c r="T4624">
        <v>-0.16498869999999999</v>
      </c>
      <c r="U4624">
        <v>-1.9010929999999999</v>
      </c>
      <c r="V4624">
        <v>8.5054589999999999E-2</v>
      </c>
      <c r="W4624">
        <v>1.7526509999999999E-2</v>
      </c>
      <c r="X4624">
        <v>0.9962221</v>
      </c>
      <c r="Y4624">
        <v>0.44240590000000002</v>
      </c>
      <c r="Z4624">
        <v>5.0710320000000003E-2</v>
      </c>
      <c r="AA4624">
        <v>0.89538009999999901</v>
      </c>
      <c r="AB4624">
        <v>19</v>
      </c>
      <c r="AC4624">
        <v>-17.4575</v>
      </c>
      <c r="AD4624">
        <v>-1.1058226417679999</v>
      </c>
      <c r="AE4624">
        <v>-12.6493</v>
      </c>
      <c r="AF4624">
        <v>9.5761620600476505</v>
      </c>
      <c r="AG4624">
        <v>-1.1058226417679999</v>
      </c>
      <c r="AH4624">
        <v>19.251757009454501</v>
      </c>
      <c r="AI4624">
        <v>92.944070423574402</v>
      </c>
      <c r="AJ4624">
        <v>63.553441234843298</v>
      </c>
      <c r="AK4624">
        <v>21.530347685683601</v>
      </c>
      <c r="AL4624">
        <v>88.995753496139002</v>
      </c>
      <c r="AM4624">
        <v>85.120084447622901</v>
      </c>
      <c r="AN4624">
        <v>0.999999967180628</v>
      </c>
    </row>
    <row r="4625" spans="1:40" x14ac:dyDescent="0.25">
      <c r="A4625" t="str">
        <f>"20190312160424949"</f>
        <v>20190312160424949</v>
      </c>
      <c r="B4625" t="str">
        <f>"1552377864939772"</f>
        <v>1552377864939772</v>
      </c>
      <c r="C4625" t="s">
        <v>40</v>
      </c>
      <c r="D4625">
        <v>5.6459679999999999</v>
      </c>
      <c r="E4625">
        <v>0.64930730000000003</v>
      </c>
      <c r="F4625" t="s">
        <v>41</v>
      </c>
      <c r="G4625">
        <v>-217.96950000000001</v>
      </c>
      <c r="H4625" s="1">
        <v>-1.6596650000000001E-6</v>
      </c>
      <c r="I4625">
        <v>136.2499</v>
      </c>
      <c r="J4625">
        <v>-197.40889999999999</v>
      </c>
      <c r="K4625">
        <v>1.105793</v>
      </c>
      <c r="L4625">
        <v>150.9913</v>
      </c>
      <c r="M4625">
        <v>-0.46721819999999997</v>
      </c>
      <c r="N4625">
        <v>0</v>
      </c>
      <c r="O4625">
        <v>-0.88405429999999996</v>
      </c>
      <c r="P4625">
        <v>-0.54139499999999996</v>
      </c>
      <c r="Q4625">
        <v>6.1563659999999999E-3</v>
      </c>
      <c r="R4625">
        <v>-0.8407462</v>
      </c>
      <c r="S4625">
        <v>-2.6229710000000002</v>
      </c>
      <c r="T4625">
        <v>-0.14072079999999901</v>
      </c>
      <c r="U4625">
        <v>-1.887192</v>
      </c>
      <c r="V4625">
        <v>8.6003159999999995E-2</v>
      </c>
      <c r="W4625">
        <v>1.7702909999999999E-2</v>
      </c>
      <c r="X4625">
        <v>0.99613759999999996</v>
      </c>
      <c r="Y4625">
        <v>0.44394630000000002</v>
      </c>
      <c r="Z4625">
        <v>4.3233679999999997E-2</v>
      </c>
      <c r="AA4625">
        <v>0.89500979999999997</v>
      </c>
      <c r="AB4625">
        <v>19</v>
      </c>
      <c r="AC4625">
        <v>-20.560600000000001</v>
      </c>
      <c r="AD4625">
        <v>-1.1057946596649999</v>
      </c>
      <c r="AE4625">
        <v>-14.741400000000001</v>
      </c>
      <c r="AF4625">
        <v>11.268584188764899</v>
      </c>
      <c r="AG4625">
        <v>-1.1057946596649999</v>
      </c>
      <c r="AH4625">
        <v>22.597070240296699</v>
      </c>
      <c r="AI4625">
        <v>92.507509878417594</v>
      </c>
      <c r="AJ4625">
        <v>63.495734459002499</v>
      </c>
      <c r="AK4625">
        <v>25.275113350755301</v>
      </c>
      <c r="AL4625">
        <v>88.9856450129693</v>
      </c>
      <c r="AM4625">
        <v>85.065511982513101</v>
      </c>
      <c r="AN4625">
        <v>1.0000000273431</v>
      </c>
    </row>
    <row r="4626" spans="1:40" x14ac:dyDescent="0.25">
      <c r="A4626" t="str">
        <f>"20190312160424959"</f>
        <v>20190312160424959</v>
      </c>
      <c r="B4626" t="str">
        <f>"1552377864949531"</f>
        <v>1552377864949531</v>
      </c>
      <c r="C4626" t="s">
        <v>40</v>
      </c>
      <c r="D4626">
        <v>5.6718199999999896</v>
      </c>
      <c r="E4626">
        <v>0.64875719999999903</v>
      </c>
      <c r="F4626" t="s">
        <v>41</v>
      </c>
      <c r="G4626">
        <v>-217.0574</v>
      </c>
      <c r="H4626" s="1">
        <v>-1.8418770000000001E-6</v>
      </c>
      <c r="I4626">
        <v>136.96440000000001</v>
      </c>
      <c r="J4626">
        <v>-197.45570000000001</v>
      </c>
      <c r="K4626">
        <v>1.105761</v>
      </c>
      <c r="L4626">
        <v>150.91159999999999</v>
      </c>
      <c r="M4626">
        <v>-0.47044940000000002</v>
      </c>
      <c r="N4626">
        <v>0</v>
      </c>
      <c r="O4626">
        <v>-0.88233879999999998</v>
      </c>
      <c r="P4626">
        <v>-0.5454156</v>
      </c>
      <c r="Q4626">
        <v>6.2307329999999996E-3</v>
      </c>
      <c r="R4626">
        <v>-0.83814279999999997</v>
      </c>
      <c r="S4626">
        <v>-2.6286930000000002</v>
      </c>
      <c r="T4626">
        <v>-0.14793979999999901</v>
      </c>
      <c r="U4626">
        <v>-1.8766020000000001</v>
      </c>
      <c r="V4626">
        <v>8.7132349999999997E-2</v>
      </c>
      <c r="W4626">
        <v>1.7763939999999999E-2</v>
      </c>
      <c r="X4626">
        <v>0.99603839999999999</v>
      </c>
      <c r="Y4626">
        <v>0.44388909999999998</v>
      </c>
      <c r="Z4626">
        <v>4.5424689999999997E-2</v>
      </c>
      <c r="AA4626">
        <v>0.89492959999999999</v>
      </c>
      <c r="AB4626">
        <v>19</v>
      </c>
      <c r="AC4626">
        <v>-19.601699999999902</v>
      </c>
      <c r="AD4626">
        <v>-1.105762841877</v>
      </c>
      <c r="AE4626">
        <v>-13.947199999999899</v>
      </c>
      <c r="AF4626">
        <v>10.712092655076599</v>
      </c>
      <c r="AG4626">
        <v>-1.105762841877</v>
      </c>
      <c r="AH4626">
        <v>21.484050049955599</v>
      </c>
      <c r="AI4626">
        <v>92.637232610482201</v>
      </c>
      <c r="AJ4626">
        <v>63.4988456782485</v>
      </c>
      <c r="AK4626">
        <v>24.0319796742261</v>
      </c>
      <c r="AL4626">
        <v>88.982147723865907</v>
      </c>
      <c r="AM4626">
        <v>85.000554794020502</v>
      </c>
      <c r="AN4626">
        <v>1.0000000491276999</v>
      </c>
    </row>
    <row r="4627" spans="1:40" x14ac:dyDescent="0.25">
      <c r="A4627" t="str">
        <f>"20190312160424971"</f>
        <v>20190312160424971</v>
      </c>
      <c r="B4627" t="str">
        <f>"1552377864959291"</f>
        <v>1552377864959291</v>
      </c>
      <c r="C4627" t="s">
        <v>40</v>
      </c>
      <c r="D4627">
        <v>5.3104849999999999</v>
      </c>
      <c r="E4627">
        <v>0.64826090000000003</v>
      </c>
      <c r="F4627" t="s">
        <v>41</v>
      </c>
      <c r="G4627">
        <v>-215.88939999999999</v>
      </c>
      <c r="H4627" s="1">
        <v>-2.2365149999999999E-6</v>
      </c>
      <c r="I4627">
        <v>137.85210000000001</v>
      </c>
      <c r="J4627">
        <v>-197.50370000000001</v>
      </c>
      <c r="K4627">
        <v>1.1057269999999999</v>
      </c>
      <c r="L4627">
        <v>150.83029999999999</v>
      </c>
      <c r="M4627">
        <v>-0.47375240000000002</v>
      </c>
      <c r="N4627">
        <v>0</v>
      </c>
      <c r="O4627">
        <v>-0.88056979999999996</v>
      </c>
      <c r="P4627">
        <v>-0.54928279999999996</v>
      </c>
      <c r="Q4627">
        <v>6.2380259999999998E-3</v>
      </c>
      <c r="R4627">
        <v>-0.835613099999999</v>
      </c>
      <c r="S4627">
        <v>-2.634293</v>
      </c>
      <c r="T4627">
        <v>-0.15802069999999999</v>
      </c>
      <c r="U4627">
        <v>-1.866287</v>
      </c>
      <c r="V4627">
        <v>8.8004209999999999E-2</v>
      </c>
      <c r="W4627">
        <v>1.7760129999999999E-2</v>
      </c>
      <c r="X4627">
        <v>0.99596180000000001</v>
      </c>
      <c r="Y4627">
        <v>0.4436311</v>
      </c>
      <c r="Z4627">
        <v>4.8483329999999998E-2</v>
      </c>
      <c r="AA4627">
        <v>0.8948971</v>
      </c>
      <c r="AB4627">
        <v>19</v>
      </c>
      <c r="AC4627">
        <v>-18.3856999999999</v>
      </c>
      <c r="AD4627">
        <v>-1.105729236515</v>
      </c>
      <c r="AE4627">
        <v>-12.9781999999999</v>
      </c>
      <c r="AF4627">
        <v>10.0180355233539</v>
      </c>
      <c r="AG4627">
        <v>-1.105729236515</v>
      </c>
      <c r="AH4627">
        <v>20.0915443854676</v>
      </c>
      <c r="AI4627">
        <v>92.819628740788602</v>
      </c>
      <c r="AJ4627">
        <v>63.4982618848789</v>
      </c>
      <c r="AK4627">
        <v>22.477851958870101</v>
      </c>
      <c r="AL4627">
        <v>88.982366040969694</v>
      </c>
      <c r="AM4627">
        <v>84.9504005563265</v>
      </c>
      <c r="AN4627">
        <v>1.00000003512729</v>
      </c>
    </row>
    <row r="4628" spans="1:40" x14ac:dyDescent="0.25">
      <c r="A4628" t="str">
        <f>"20190312160424982"</f>
        <v>20190312160424982</v>
      </c>
      <c r="B4628" t="str">
        <f>"1552377864969051"</f>
        <v>1552377864969051</v>
      </c>
      <c r="C4628" t="s">
        <v>40</v>
      </c>
      <c r="D4628">
        <v>5.3859450000000004</v>
      </c>
      <c r="E4628">
        <v>0.64866499999999905</v>
      </c>
      <c r="F4628" t="s">
        <v>41</v>
      </c>
      <c r="G4628">
        <v>-218.73820000000001</v>
      </c>
      <c r="H4628" s="1">
        <v>-1.4589269999999901E-6</v>
      </c>
      <c r="I4628">
        <v>135.89490000000001</v>
      </c>
      <c r="J4628">
        <v>-197.56</v>
      </c>
      <c r="K4628">
        <v>1.1056859999999999</v>
      </c>
      <c r="L4628">
        <v>150.7363</v>
      </c>
      <c r="M4628">
        <v>-0.47762080000000001</v>
      </c>
      <c r="N4628">
        <v>0</v>
      </c>
      <c r="O4628">
        <v>-0.87847749999999902</v>
      </c>
      <c r="P4628">
        <v>-0.55371150000000002</v>
      </c>
      <c r="Q4628">
        <v>5.8735130000000003E-3</v>
      </c>
      <c r="R4628">
        <v>-0.83268819999999999</v>
      </c>
      <c r="S4628">
        <v>-2.6392359999999999</v>
      </c>
      <c r="T4628">
        <v>-0.13743129999999901</v>
      </c>
      <c r="U4628">
        <v>-1.8563229999999999</v>
      </c>
      <c r="V4628">
        <v>8.8908039999999994E-2</v>
      </c>
      <c r="W4628">
        <v>1.7385390000000001E-2</v>
      </c>
      <c r="X4628">
        <v>0.99588810000000005</v>
      </c>
      <c r="Y4628">
        <v>0.44299680000000002</v>
      </c>
      <c r="Z4628">
        <v>4.214035E-2</v>
      </c>
      <c r="AA4628">
        <v>0.89553229999999995</v>
      </c>
      <c r="AB4628">
        <v>19</v>
      </c>
      <c r="AC4628">
        <v>-21.1782</v>
      </c>
      <c r="AD4628">
        <v>-1.105687458927</v>
      </c>
      <c r="AE4628">
        <v>-14.841399999999901</v>
      </c>
      <c r="AF4628">
        <v>11.495892563117099</v>
      </c>
      <c r="AG4628">
        <v>-1.105687458927</v>
      </c>
      <c r="AH4628">
        <v>23.1125369019449</v>
      </c>
      <c r="AI4628">
        <v>92.452675455498905</v>
      </c>
      <c r="AJ4628">
        <v>63.554810936457997</v>
      </c>
      <c r="AK4628">
        <v>25.837326731365302</v>
      </c>
      <c r="AL4628">
        <v>89.003840341217199</v>
      </c>
      <c r="AM4628">
        <v>84.898436363646496</v>
      </c>
      <c r="AN4628">
        <v>0.99999999954185104</v>
      </c>
    </row>
    <row r="4629" spans="1:40" x14ac:dyDescent="0.25">
      <c r="A4629" t="str">
        <f>"20190312160424996"</f>
        <v>20190312160424996</v>
      </c>
      <c r="B4629" t="str">
        <f>"1552377864989547"</f>
        <v>1552377864989547</v>
      </c>
      <c r="C4629" t="s">
        <v>40</v>
      </c>
      <c r="D4629">
        <v>5.1727460000000001</v>
      </c>
      <c r="E4629">
        <v>0.646879599999999</v>
      </c>
      <c r="F4629" t="s">
        <v>41</v>
      </c>
      <c r="G4629">
        <v>-219.94059999999999</v>
      </c>
      <c r="H4629" s="1">
        <v>-1.1820559999999999E-6</v>
      </c>
      <c r="I4629">
        <v>135.20009999999999</v>
      </c>
      <c r="J4629">
        <v>-197.61959999999999</v>
      </c>
      <c r="K4629">
        <v>1.1056440000000001</v>
      </c>
      <c r="L4629">
        <v>150.6378</v>
      </c>
      <c r="M4629">
        <v>-0.48171320000000001</v>
      </c>
      <c r="N4629">
        <v>0</v>
      </c>
      <c r="O4629">
        <v>-0.87623989999999996</v>
      </c>
      <c r="P4629">
        <v>-0.55848949999999997</v>
      </c>
      <c r="Q4629">
        <v>5.67243E-3</v>
      </c>
      <c r="R4629">
        <v>-0.82949219999999901</v>
      </c>
      <c r="S4629">
        <v>-2.651443</v>
      </c>
      <c r="T4629">
        <v>-0.1309913</v>
      </c>
      <c r="U4629">
        <v>-1.840576</v>
      </c>
      <c r="V4629">
        <v>8.9987239999999996E-2</v>
      </c>
      <c r="W4629">
        <v>1.71717999999999E-2</v>
      </c>
      <c r="X4629">
        <v>0.99579490000000004</v>
      </c>
      <c r="Y4629">
        <v>0.44441259999999999</v>
      </c>
      <c r="Z4629">
        <v>4.0120509999999998E-2</v>
      </c>
      <c r="AA4629">
        <v>0.89492329999999998</v>
      </c>
      <c r="AB4629">
        <v>19</v>
      </c>
      <c r="AC4629">
        <v>-22.321000000000002</v>
      </c>
      <c r="AD4629">
        <v>-1.105645182056</v>
      </c>
      <c r="AE4629">
        <v>-15.4377</v>
      </c>
      <c r="AF4629">
        <v>12.1028656291211</v>
      </c>
      <c r="AG4629">
        <v>-1.105645182056</v>
      </c>
      <c r="AH4629">
        <v>24.241110465097499</v>
      </c>
      <c r="AI4629">
        <v>92.336774017101504</v>
      </c>
      <c r="AJ4629">
        <v>63.468407205504697</v>
      </c>
      <c r="AK4629">
        <v>27.117028677313201</v>
      </c>
      <c r="AL4629">
        <v>89.016080002466694</v>
      </c>
      <c r="AM4629">
        <v>84.836363703137394</v>
      </c>
      <c r="AN4629">
        <v>1.0000000284720301</v>
      </c>
    </row>
    <row r="4630" spans="1:40" x14ac:dyDescent="0.25">
      <c r="A4630" t="str">
        <f>"20190312160425007"</f>
        <v>20190312160425007</v>
      </c>
      <c r="B4630" t="str">
        <f>"1552377864999307"</f>
        <v>1552377864999307</v>
      </c>
      <c r="C4630" t="s">
        <v>40</v>
      </c>
      <c r="D4630">
        <v>5.2187070000000002</v>
      </c>
      <c r="E4630">
        <v>0.646063099999999</v>
      </c>
      <c r="F4630" t="s">
        <v>41</v>
      </c>
      <c r="G4630">
        <v>-225.3809</v>
      </c>
      <c r="H4630" s="1">
        <v>-3.7359289999999998E-6</v>
      </c>
      <c r="I4630">
        <v>131.4307</v>
      </c>
      <c r="J4630">
        <v>-197.67449999999999</v>
      </c>
      <c r="K4630">
        <v>1.1056060000000001</v>
      </c>
      <c r="L4630">
        <v>150.54759999999999</v>
      </c>
      <c r="M4630">
        <v>-0.48548049999999998</v>
      </c>
      <c r="N4630">
        <v>0</v>
      </c>
      <c r="O4630">
        <v>-0.87415810000000005</v>
      </c>
      <c r="P4630">
        <v>-0.56282909999999997</v>
      </c>
      <c r="Q4630">
        <v>5.346974E-3</v>
      </c>
      <c r="R4630">
        <v>-0.82655639999999997</v>
      </c>
      <c r="S4630">
        <v>-2.6497959999999998</v>
      </c>
      <c r="T4630">
        <v>-0.1055331</v>
      </c>
      <c r="U4630">
        <v>-1.8332980000000001</v>
      </c>
      <c r="V4630">
        <v>9.0916659999999996E-2</v>
      </c>
      <c r="W4630">
        <v>1.6834720000000001E-2</v>
      </c>
      <c r="X4630">
        <v>0.99571620000000005</v>
      </c>
      <c r="Y4630">
        <v>0.4422123</v>
      </c>
      <c r="Z4630">
        <v>3.2325949999999999E-2</v>
      </c>
      <c r="AA4630">
        <v>0.89632769999999995</v>
      </c>
      <c r="AB4630">
        <v>19</v>
      </c>
      <c r="AC4630">
        <v>-27.706399999999999</v>
      </c>
      <c r="AD4630">
        <v>-1.10560973592899</v>
      </c>
      <c r="AE4630">
        <v>-19.116899999999902</v>
      </c>
      <c r="AF4630">
        <v>14.9239596667468</v>
      </c>
      <c r="AG4630">
        <v>-1.10560973592899</v>
      </c>
      <c r="AH4630">
        <v>30.131961419935699</v>
      </c>
      <c r="AI4630">
        <v>91.883224527087407</v>
      </c>
      <c r="AJ4630">
        <v>63.651397734571297</v>
      </c>
      <c r="AK4630">
        <v>33.643454698282198</v>
      </c>
      <c r="AL4630">
        <v>89.035396027283298</v>
      </c>
      <c r="AM4630">
        <v>84.7829145600667</v>
      </c>
      <c r="AN4630">
        <v>0.99999999890273705</v>
      </c>
    </row>
    <row r="4631" spans="1:40" x14ac:dyDescent="0.25">
      <c r="A4631" t="str">
        <f>"20190312160425018"</f>
        <v>20190312160425018</v>
      </c>
      <c r="B4631" t="str">
        <f>"1552377865009067"</f>
        <v>1552377865009067</v>
      </c>
      <c r="C4631" t="s">
        <v>40</v>
      </c>
      <c r="D4631">
        <v>5.7311069999999997</v>
      </c>
      <c r="E4631">
        <v>0.64551400000000003</v>
      </c>
      <c r="F4631" t="s">
        <v>41</v>
      </c>
      <c r="G4631">
        <v>-228.1422</v>
      </c>
      <c r="H4631">
        <v>5.2208879999999999E-3</v>
      </c>
      <c r="I4631">
        <v>129.6163</v>
      </c>
      <c r="J4631">
        <v>-197.7276</v>
      </c>
      <c r="K4631">
        <v>1.1055759999999999</v>
      </c>
      <c r="L4631">
        <v>150.46190000000001</v>
      </c>
      <c r="M4631">
        <v>-0.48911949999999998</v>
      </c>
      <c r="N4631">
        <v>0</v>
      </c>
      <c r="O4631">
        <v>-0.87212710000000004</v>
      </c>
      <c r="P4631">
        <v>-0.56679029999999997</v>
      </c>
      <c r="Q4631">
        <v>5.072048E-3</v>
      </c>
      <c r="R4631">
        <v>-0.82384690000000005</v>
      </c>
      <c r="S4631">
        <v>-2.6537169999999999</v>
      </c>
      <c r="T4631">
        <v>-9.5843200000000003E-2</v>
      </c>
      <c r="U4631">
        <v>-1.823105</v>
      </c>
      <c r="V4631">
        <v>9.1544159999999999E-2</v>
      </c>
      <c r="W4631">
        <v>1.6549609999999999E-2</v>
      </c>
      <c r="X4631">
        <v>0.99566350000000003</v>
      </c>
      <c r="Y4631">
        <v>0.44151309999999999</v>
      </c>
      <c r="Z4631">
        <v>2.9342179999999999E-2</v>
      </c>
      <c r="AA4631">
        <v>0.89677489999999904</v>
      </c>
      <c r="AB4631">
        <v>19</v>
      </c>
      <c r="AC4631">
        <v>-30.4146</v>
      </c>
      <c r="AD4631">
        <v>-1.1003551119999999</v>
      </c>
      <c r="AE4631">
        <v>-20.845600000000001</v>
      </c>
      <c r="AF4631">
        <v>16.316154485142999</v>
      </c>
      <c r="AG4631">
        <v>-1.1003551119999999</v>
      </c>
      <c r="AH4631">
        <v>33.029558028265498</v>
      </c>
      <c r="AI4631">
        <v>91.7108403949577</v>
      </c>
      <c r="AJ4631">
        <v>63.711251624125197</v>
      </c>
      <c r="AK4631">
        <v>36.856198693003002</v>
      </c>
      <c r="AL4631">
        <v>89.051733917652996</v>
      </c>
      <c r="AM4631">
        <v>84.746830896009001</v>
      </c>
      <c r="AN4631">
        <v>1.00000001402675</v>
      </c>
    </row>
    <row r="4632" spans="1:40" x14ac:dyDescent="0.25">
      <c r="A4632" t="str">
        <f>"20190312160425029"</f>
        <v>20190312160425029</v>
      </c>
      <c r="B4632" t="str">
        <f>"1552377865019804"</f>
        <v>1552377865019804</v>
      </c>
      <c r="C4632" t="s">
        <v>40</v>
      </c>
      <c r="D4632">
        <v>5.0527360000000003</v>
      </c>
      <c r="E4632">
        <v>0.64489819999999998</v>
      </c>
      <c r="F4632" t="s">
        <v>41</v>
      </c>
      <c r="G4632">
        <v>-231.62549999999999</v>
      </c>
      <c r="H4632">
        <v>7.9986450000000001E-2</v>
      </c>
      <c r="I4632">
        <v>127.3434</v>
      </c>
      <c r="J4632">
        <v>-197.7773</v>
      </c>
      <c r="K4632">
        <v>1.10554</v>
      </c>
      <c r="L4632">
        <v>150.38210000000001</v>
      </c>
      <c r="M4632">
        <v>-0.4925156</v>
      </c>
      <c r="N4632">
        <v>0</v>
      </c>
      <c r="O4632">
        <v>-0.87021369999999898</v>
      </c>
      <c r="P4632">
        <v>-0.5705751</v>
      </c>
      <c r="Q4632">
        <v>5.0746259999999996E-3</v>
      </c>
      <c r="R4632">
        <v>-0.8212296</v>
      </c>
      <c r="S4632">
        <v>-2.658417</v>
      </c>
      <c r="T4632">
        <v>-8.0431100000000005E-2</v>
      </c>
      <c r="U4632">
        <v>-1.8130489999999999</v>
      </c>
      <c r="V4632">
        <v>9.224591E-2</v>
      </c>
      <c r="W4632">
        <v>1.6540550000000001E-2</v>
      </c>
      <c r="X4632">
        <v>0.99559889999999995</v>
      </c>
      <c r="Y4632">
        <v>0.44118439999999998</v>
      </c>
      <c r="Z4632">
        <v>2.4609740000000001E-2</v>
      </c>
      <c r="AA4632">
        <v>0.89707899999999996</v>
      </c>
      <c r="AB4632">
        <v>19</v>
      </c>
      <c r="AC4632">
        <v>-33.848199999999899</v>
      </c>
      <c r="AD4632">
        <v>-1.0255535499999999</v>
      </c>
      <c r="AE4632">
        <v>-23.038699999999999</v>
      </c>
      <c r="AF4632">
        <v>18.098311164780501</v>
      </c>
      <c r="AG4632">
        <v>-1.0255535499999999</v>
      </c>
      <c r="AH4632">
        <v>36.699208868734999</v>
      </c>
      <c r="AI4632">
        <v>91.435697513147304</v>
      </c>
      <c r="AJ4632">
        <v>63.7496682480785</v>
      </c>
      <c r="AK4632">
        <v>40.9320480637382</v>
      </c>
      <c r="AL4632">
        <v>89.052253107112605</v>
      </c>
      <c r="AM4632">
        <v>84.706448052874293</v>
      </c>
      <c r="AN4632">
        <v>1.0000000336936099</v>
      </c>
    </row>
    <row r="4633" spans="1:40" x14ac:dyDescent="0.25">
      <c r="A4633" t="str">
        <f>"20190312160425041"</f>
        <v>20190312160425041</v>
      </c>
      <c r="B4633" t="str">
        <f>"1552377865029564"</f>
        <v>1552377865029564</v>
      </c>
      <c r="C4633" t="s">
        <v>40</v>
      </c>
      <c r="D4633">
        <v>5.8203769999999997</v>
      </c>
      <c r="E4633">
        <v>0.64438589999999996</v>
      </c>
      <c r="F4633" t="s">
        <v>43</v>
      </c>
      <c r="G4633">
        <v>-244.21960000000001</v>
      </c>
      <c r="H4633">
        <v>-0.05</v>
      </c>
      <c r="I4633">
        <v>118.9211</v>
      </c>
      <c r="J4633">
        <v>-197.8329</v>
      </c>
      <c r="K4633">
        <v>1.1054999999999999</v>
      </c>
      <c r="L4633">
        <v>150.29390000000001</v>
      </c>
      <c r="M4633">
        <v>-0.4963185</v>
      </c>
      <c r="N4633">
        <v>0</v>
      </c>
      <c r="O4633">
        <v>-0.86805010000000005</v>
      </c>
      <c r="P4633">
        <v>-0.57467159999999995</v>
      </c>
      <c r="Q4633">
        <v>5.2858669999999996E-3</v>
      </c>
      <c r="R4633">
        <v>-0.81836719999999996</v>
      </c>
      <c r="S4633">
        <v>-2.6624759999999998</v>
      </c>
      <c r="T4633">
        <v>-6.6245559999999995E-2</v>
      </c>
      <c r="U4633">
        <v>-1.8036190000000001</v>
      </c>
      <c r="V4633">
        <v>9.2868930000000002E-2</v>
      </c>
      <c r="W4633">
        <v>1.673937E-2</v>
      </c>
      <c r="X4633">
        <v>0.99553760000000002</v>
      </c>
      <c r="Y4633">
        <v>0.44015880000000002</v>
      </c>
      <c r="Z4633">
        <v>2.025074E-2</v>
      </c>
      <c r="AA4633">
        <v>0.89769149999999998</v>
      </c>
      <c r="AB4633">
        <v>19</v>
      </c>
      <c r="AC4633">
        <v>-46.386699999999998</v>
      </c>
      <c r="AD4633">
        <v>-1.1555</v>
      </c>
      <c r="AE4633">
        <v>-31.372800000000002</v>
      </c>
      <c r="AF4633">
        <v>24.6865063893657</v>
      </c>
      <c r="AG4633">
        <v>-1.1555</v>
      </c>
      <c r="AH4633">
        <v>50.238294785521198</v>
      </c>
      <c r="AI4633">
        <v>91.182576468777597</v>
      </c>
      <c r="AJ4633">
        <v>63.831041752003102</v>
      </c>
      <c r="AK4633">
        <v>55.987900844013801</v>
      </c>
      <c r="AL4633">
        <v>89.0408599305579</v>
      </c>
      <c r="AM4633">
        <v>84.670574815723299</v>
      </c>
      <c r="AN4633">
        <v>0.99999997884055003</v>
      </c>
    </row>
    <row r="4634" spans="1:40" x14ac:dyDescent="0.25">
      <c r="A4634" t="str">
        <f>"20190312160425052"</f>
        <v>20190312160425052</v>
      </c>
      <c r="B4634" t="str">
        <f>"1552377865049083"</f>
        <v>1552377865049083</v>
      </c>
      <c r="C4634" t="s">
        <v>40</v>
      </c>
      <c r="D4634">
        <v>5.6202009999999998</v>
      </c>
      <c r="E4634">
        <v>0.64316309999999999</v>
      </c>
      <c r="F4634" t="s">
        <v>84</v>
      </c>
      <c r="G4634">
        <v>-245.22489999999999</v>
      </c>
      <c r="H4634">
        <v>0.1597779</v>
      </c>
      <c r="I4634">
        <v>118.4468</v>
      </c>
      <c r="J4634">
        <v>-197.886</v>
      </c>
      <c r="K4634">
        <v>1.1054679999999999</v>
      </c>
      <c r="L4634">
        <v>150.2105</v>
      </c>
      <c r="M4634">
        <v>-0.49993680000000001</v>
      </c>
      <c r="N4634">
        <v>0</v>
      </c>
      <c r="O4634">
        <v>-0.86597139999999995</v>
      </c>
      <c r="P4634">
        <v>-0.5785766</v>
      </c>
      <c r="Q4634">
        <v>5.0984929999999999E-3</v>
      </c>
      <c r="R4634">
        <v>-0.81561240000000002</v>
      </c>
      <c r="S4634">
        <v>-2.6678470000000001</v>
      </c>
      <c r="T4634">
        <v>-5.323601E-2</v>
      </c>
      <c r="U4634">
        <v>-1.79277</v>
      </c>
      <c r="V4634">
        <v>9.347155E-2</v>
      </c>
      <c r="W4634">
        <v>1.6539599999999901E-2</v>
      </c>
      <c r="X4634">
        <v>0.99548460000000005</v>
      </c>
      <c r="Y4634">
        <v>0.43982919999999998</v>
      </c>
      <c r="Z4634">
        <v>1.6260839999999999E-2</v>
      </c>
      <c r="AA4634">
        <v>0.89793419999999902</v>
      </c>
      <c r="AB4634">
        <v>19</v>
      </c>
      <c r="AC4634">
        <v>-47.338900000000002</v>
      </c>
      <c r="AD4634">
        <v>-0.94569009999999998</v>
      </c>
      <c r="AE4634">
        <v>-31.7637</v>
      </c>
      <c r="AF4634">
        <v>25.109349536683901</v>
      </c>
      <c r="AG4634">
        <v>-0.94569009999999998</v>
      </c>
      <c r="AH4634">
        <v>51.162845261633002</v>
      </c>
      <c r="AI4634">
        <v>90.950639473977503</v>
      </c>
      <c r="AJ4634">
        <v>63.859436483865998</v>
      </c>
      <c r="AK4634">
        <v>57.000092098052001</v>
      </c>
      <c r="AL4634">
        <v>89.052307550513504</v>
      </c>
      <c r="AM4634">
        <v>84.635909696416803</v>
      </c>
      <c r="AN4634">
        <v>1.00000003893236</v>
      </c>
    </row>
    <row r="4635" spans="1:40" x14ac:dyDescent="0.25">
      <c r="A4635" t="str">
        <f>"20190312160425063"</f>
        <v>20190312160425063</v>
      </c>
      <c r="B4635" t="str">
        <f>"1552377865059820"</f>
        <v>1552377865059820</v>
      </c>
      <c r="C4635" t="s">
        <v>40</v>
      </c>
      <c r="D4635">
        <v>5.4076259999999996</v>
      </c>
      <c r="E4635">
        <v>0.64257109999999995</v>
      </c>
      <c r="F4635" t="s">
        <v>84</v>
      </c>
      <c r="G4635">
        <v>-245.22489999999999</v>
      </c>
      <c r="H4635">
        <v>0.51389859999999998</v>
      </c>
      <c r="I4635">
        <v>118.5235</v>
      </c>
      <c r="J4635">
        <v>-197.9408</v>
      </c>
      <c r="K4635">
        <v>1.1054379999999999</v>
      </c>
      <c r="L4635">
        <v>150.12520000000001</v>
      </c>
      <c r="M4635">
        <v>-0.50366440000000001</v>
      </c>
      <c r="N4635">
        <v>0</v>
      </c>
      <c r="O4635">
        <v>-0.86380869999999998</v>
      </c>
      <c r="P4635">
        <v>-0.58226979999999995</v>
      </c>
      <c r="Q4635">
        <v>4.7180759999999999E-3</v>
      </c>
      <c r="R4635">
        <v>-0.81298199999999998</v>
      </c>
      <c r="S4635">
        <v>-2.6679529999999998</v>
      </c>
      <c r="T4635">
        <v>-3.3338310000000003E-2</v>
      </c>
      <c r="U4635">
        <v>-1.785828</v>
      </c>
      <c r="V4635">
        <v>9.3692209999999998E-2</v>
      </c>
      <c r="W4635">
        <v>1.615103E-2</v>
      </c>
      <c r="X4635">
        <v>0.99547019999999997</v>
      </c>
      <c r="Y4635">
        <v>0.43766060000000001</v>
      </c>
      <c r="Z4635">
        <v>1.017565E-2</v>
      </c>
      <c r="AA4635">
        <v>0.89908269999999901</v>
      </c>
      <c r="AB4635">
        <v>19</v>
      </c>
      <c r="AC4635">
        <v>-47.284100000000002</v>
      </c>
      <c r="AD4635">
        <v>-0.59153939999999905</v>
      </c>
      <c r="AE4635">
        <v>-31.601700000000001</v>
      </c>
      <c r="AF4635">
        <v>24.927022300760601</v>
      </c>
      <c r="AG4635">
        <v>-0.59153939999999905</v>
      </c>
      <c r="AH4635">
        <v>51.111616984255598</v>
      </c>
      <c r="AI4635">
        <v>90.595987521430203</v>
      </c>
      <c r="AJ4635">
        <v>64.001610997003695</v>
      </c>
      <c r="AK4635">
        <v>56.869181024432002</v>
      </c>
      <c r="AL4635">
        <v>89.0745739117949</v>
      </c>
      <c r="AM4635">
        <v>84.623243393731698</v>
      </c>
      <c r="AN4635">
        <v>1.00000000253639</v>
      </c>
    </row>
    <row r="4636" spans="1:40" x14ac:dyDescent="0.25">
      <c r="A4636" t="str">
        <f>"20190312160425080"</f>
        <v>20190312160425080</v>
      </c>
      <c r="B4636" t="str">
        <f>"1552377865069580"</f>
        <v>1552377865069580</v>
      </c>
      <c r="C4636" t="s">
        <v>40</v>
      </c>
      <c r="D4636">
        <v>5.4282190000000003</v>
      </c>
      <c r="E4636">
        <v>0.64249590000000001</v>
      </c>
      <c r="F4636" t="s">
        <v>84</v>
      </c>
      <c r="G4636">
        <v>-245.22489999999999</v>
      </c>
      <c r="H4636">
        <v>0.65545629999999999</v>
      </c>
      <c r="I4636">
        <v>118.69</v>
      </c>
      <c r="J4636">
        <v>-198.018</v>
      </c>
      <c r="K4636">
        <v>1.1053820000000001</v>
      </c>
      <c r="L4636">
        <v>150.0067</v>
      </c>
      <c r="M4636">
        <v>-0.50890930000000001</v>
      </c>
      <c r="N4636">
        <v>0</v>
      </c>
      <c r="O4636">
        <v>-0.86072899999999997</v>
      </c>
      <c r="P4636">
        <v>-0.58823029999999998</v>
      </c>
      <c r="Q4636">
        <v>4.7402970000000001E-3</v>
      </c>
      <c r="R4636">
        <v>-0.80867959999999905</v>
      </c>
      <c r="S4636">
        <v>-2.6721189999999999</v>
      </c>
      <c r="T4636">
        <v>-2.5427700000000001E-2</v>
      </c>
      <c r="U4636">
        <v>-1.776459</v>
      </c>
      <c r="V4636">
        <v>9.4957180000000002E-2</v>
      </c>
      <c r="W4636">
        <v>1.614817E-2</v>
      </c>
      <c r="X4636">
        <v>0.99535039999999997</v>
      </c>
      <c r="Y4636">
        <v>0.4350407</v>
      </c>
      <c r="Z4636">
        <v>7.7444669999999997E-3</v>
      </c>
      <c r="AA4636">
        <v>0.90037749999999905</v>
      </c>
      <c r="AB4636">
        <v>19</v>
      </c>
      <c r="AC4636">
        <v>-47.206899999999898</v>
      </c>
      <c r="AD4636">
        <v>-0.44992569999999898</v>
      </c>
      <c r="AE4636">
        <v>-31.316700000000001</v>
      </c>
      <c r="AF4636">
        <v>24.695367918298299</v>
      </c>
      <c r="AG4636">
        <v>-0.44992569999999898</v>
      </c>
      <c r="AH4636">
        <v>50.980006688045201</v>
      </c>
      <c r="AI4636">
        <v>90.455073418892496</v>
      </c>
      <c r="AJ4636">
        <v>64.153858139629406</v>
      </c>
      <c r="AK4636">
        <v>56.648254268501198</v>
      </c>
      <c r="AL4636">
        <v>89.074737819054505</v>
      </c>
      <c r="AM4636">
        <v>84.550432145763907</v>
      </c>
      <c r="AN4636">
        <v>1.0000000241040301</v>
      </c>
    </row>
    <row r="4637" spans="1:40" x14ac:dyDescent="0.25">
      <c r="A4637" t="str">
        <f>"20190312160425093"</f>
        <v>20190312160425093</v>
      </c>
      <c r="B4637" t="str">
        <f>"1552377865089099"</f>
        <v>1552377865089099</v>
      </c>
      <c r="C4637" t="s">
        <v>40</v>
      </c>
      <c r="D4637">
        <v>5.5411539999999997</v>
      </c>
      <c r="E4637">
        <v>0.64293080000000002</v>
      </c>
      <c r="F4637" t="s">
        <v>84</v>
      </c>
      <c r="G4637">
        <v>-245.22489999999999</v>
      </c>
      <c r="H4637">
        <v>0.63018730000000001</v>
      </c>
      <c r="I4637">
        <v>119.1091</v>
      </c>
      <c r="J4637">
        <v>-198.07990000000001</v>
      </c>
      <c r="K4637">
        <v>1.1053440000000001</v>
      </c>
      <c r="L4637">
        <v>149.9128</v>
      </c>
      <c r="M4637">
        <v>-0.51310559999999905</v>
      </c>
      <c r="N4637">
        <v>0</v>
      </c>
      <c r="O4637">
        <v>-0.85823400000000005</v>
      </c>
      <c r="P4637">
        <v>-0.59243269999999904</v>
      </c>
      <c r="Q4637">
        <v>4.6068050000000003E-3</v>
      </c>
      <c r="R4637">
        <v>-0.80560659999999995</v>
      </c>
      <c r="S4637">
        <v>-2.684631</v>
      </c>
      <c r="T4637">
        <v>-2.7022359999999999E-2</v>
      </c>
      <c r="U4637">
        <v>-1.75712599999999</v>
      </c>
      <c r="V4637">
        <v>9.5279440000000007E-2</v>
      </c>
      <c r="W4637">
        <v>1.6002280000000001E-2</v>
      </c>
      <c r="X4637">
        <v>0.99532189999999998</v>
      </c>
      <c r="Y4637">
        <v>0.43710159999999998</v>
      </c>
      <c r="Z4637">
        <v>8.2229279999999991E-3</v>
      </c>
      <c r="AA4637">
        <v>0.89937449999999997</v>
      </c>
      <c r="AB4637">
        <v>19</v>
      </c>
      <c r="AC4637">
        <v>-47.144999999999897</v>
      </c>
      <c r="AD4637">
        <v>-0.47515669999999999</v>
      </c>
      <c r="AE4637">
        <v>-30.803699999999999</v>
      </c>
      <c r="AF4637">
        <v>24.656072008402599</v>
      </c>
      <c r="AG4637">
        <v>-0.47515669999999999</v>
      </c>
      <c r="AH4637">
        <v>50.627517934813902</v>
      </c>
      <c r="AI4637">
        <v>90.483444298456405</v>
      </c>
      <c r="AJ4637">
        <v>64.033487218195901</v>
      </c>
      <c r="AK4637">
        <v>56.314236503862801</v>
      </c>
      <c r="AL4637">
        <v>89.083097725832801</v>
      </c>
      <c r="AM4637">
        <v>84.531894009189003</v>
      </c>
      <c r="AN4637">
        <v>0.99999996463576002</v>
      </c>
    </row>
    <row r="4638" spans="1:40" x14ac:dyDescent="0.25">
      <c r="A4638" t="str">
        <f>"20190312160425105"</f>
        <v>20190312160425105</v>
      </c>
      <c r="B4638" t="str">
        <f>"1552377865099836"</f>
        <v>1552377865099836</v>
      </c>
      <c r="C4638" t="s">
        <v>40</v>
      </c>
      <c r="D4638">
        <v>5.5588670000000002</v>
      </c>
      <c r="E4638">
        <v>0.64297680000000001</v>
      </c>
      <c r="F4638" t="s">
        <v>84</v>
      </c>
      <c r="G4638">
        <v>-245.4299</v>
      </c>
      <c r="H4638">
        <v>0.49986029999999998</v>
      </c>
      <c r="I4638">
        <v>119.3436</v>
      </c>
      <c r="J4638">
        <v>-198.14269999999999</v>
      </c>
      <c r="K4638">
        <v>1.1053029999999999</v>
      </c>
      <c r="L4638">
        <v>149.8185</v>
      </c>
      <c r="M4638">
        <v>-0.51735589999999998</v>
      </c>
      <c r="N4638">
        <v>0</v>
      </c>
      <c r="O4638">
        <v>-0.85567859999999996</v>
      </c>
      <c r="P4638">
        <v>-0.596889</v>
      </c>
      <c r="Q4638">
        <v>4.9016240000000003E-3</v>
      </c>
      <c r="R4638">
        <v>-0.8023091</v>
      </c>
      <c r="S4638">
        <v>-2.6966709999999998</v>
      </c>
      <c r="T4638">
        <v>-3.448176E-2</v>
      </c>
      <c r="U4638">
        <v>-1.7409669999999999</v>
      </c>
      <c r="V4638">
        <v>9.5865679999999995E-2</v>
      </c>
      <c r="W4638">
        <v>1.628023E-2</v>
      </c>
      <c r="X4638">
        <v>0.99526110000000001</v>
      </c>
      <c r="Y4638">
        <v>0.43825609999999998</v>
      </c>
      <c r="Z4638">
        <v>1.047525E-2</v>
      </c>
      <c r="AA4638">
        <v>0.89878910000000001</v>
      </c>
      <c r="AB4638">
        <v>19</v>
      </c>
      <c r="AC4638">
        <v>-47.287199999999999</v>
      </c>
      <c r="AD4638">
        <v>-0.6054427</v>
      </c>
      <c r="AE4638">
        <v>-30.474900000000002</v>
      </c>
      <c r="AF4638">
        <v>24.695354415867602</v>
      </c>
      <c r="AG4638">
        <v>-0.6054427</v>
      </c>
      <c r="AH4638">
        <v>50.539146112188199</v>
      </c>
      <c r="AI4638">
        <v>90.616674733238</v>
      </c>
      <c r="AJ4638">
        <v>63.958101187097199</v>
      </c>
      <c r="AK4638">
        <v>56.253287729139899</v>
      </c>
      <c r="AL4638">
        <v>89.067170289415103</v>
      </c>
      <c r="AM4638">
        <v>84.498121346507602</v>
      </c>
      <c r="AN4638">
        <v>0.99999996583196205</v>
      </c>
    </row>
    <row r="4639" spans="1:40" x14ac:dyDescent="0.25">
      <c r="A4639" t="str">
        <f>"20190312160425118"</f>
        <v>20190312160425118</v>
      </c>
      <c r="B4639" t="str">
        <f>"1552377865109596"</f>
        <v>1552377865109596</v>
      </c>
      <c r="C4639" t="s">
        <v>40</v>
      </c>
      <c r="D4639">
        <v>5.6214639999999996</v>
      </c>
      <c r="E4639">
        <v>0.64313469999999995</v>
      </c>
      <c r="F4639" t="s">
        <v>84</v>
      </c>
      <c r="G4639">
        <v>-245.93950000000001</v>
      </c>
      <c r="H4639">
        <v>0.44854640000000001</v>
      </c>
      <c r="I4639">
        <v>119.3436</v>
      </c>
      <c r="J4639">
        <v>-198.20830000000001</v>
      </c>
      <c r="K4639">
        <v>1.1052649999999999</v>
      </c>
      <c r="L4639">
        <v>149.72139999999999</v>
      </c>
      <c r="M4639">
        <v>-0.5217908</v>
      </c>
      <c r="N4639">
        <v>0</v>
      </c>
      <c r="O4639">
        <v>-0.85298130000000005</v>
      </c>
      <c r="P4639">
        <v>-0.60158109999999998</v>
      </c>
      <c r="Q4639">
        <v>5.2022290000000001E-3</v>
      </c>
      <c r="R4639">
        <v>-0.79879469999999997</v>
      </c>
      <c r="S4639">
        <v>-2.70668</v>
      </c>
      <c r="T4639">
        <v>-3.7189720000000002E-2</v>
      </c>
      <c r="U4639">
        <v>-1.725754</v>
      </c>
      <c r="V4639">
        <v>9.6538700000000005E-2</v>
      </c>
      <c r="W4639">
        <v>1.6562009999999999E-2</v>
      </c>
      <c r="X4639">
        <v>0.99519150000000001</v>
      </c>
      <c r="Y4639">
        <v>0.43868040000000003</v>
      </c>
      <c r="Z4639">
        <v>1.12792E-2</v>
      </c>
      <c r="AA4639">
        <v>0.89857240000000005</v>
      </c>
      <c r="AB4639">
        <v>19</v>
      </c>
      <c r="AC4639">
        <v>-47.731200000000001</v>
      </c>
      <c r="AD4639">
        <v>-0.65671859999999904</v>
      </c>
      <c r="AE4639">
        <v>-30.377799999999901</v>
      </c>
      <c r="AF4639">
        <v>24.861570119466599</v>
      </c>
      <c r="AG4639">
        <v>-0.65671859999999904</v>
      </c>
      <c r="AH4639">
        <v>50.814546471678298</v>
      </c>
      <c r="AI4639">
        <v>90.665108975183898</v>
      </c>
      <c r="AJ4639">
        <v>63.929304829896999</v>
      </c>
      <c r="AK4639">
        <v>56.574261650039197</v>
      </c>
      <c r="AL4639">
        <v>89.051023406891602</v>
      </c>
      <c r="AM4639">
        <v>84.4593501297622</v>
      </c>
      <c r="AN4639">
        <v>1.0000000712225801</v>
      </c>
    </row>
    <row r="4640" spans="1:40" x14ac:dyDescent="0.25">
      <c r="A4640" t="str">
        <f>"20190312160425132"</f>
        <v>20190312160425132</v>
      </c>
      <c r="B4640" t="str">
        <f>"1552377865119356"</f>
        <v>1552377865119356</v>
      </c>
      <c r="C4640" t="s">
        <v>40</v>
      </c>
      <c r="D4640">
        <v>5.405951</v>
      </c>
      <c r="E4640">
        <v>0.64289399999999997</v>
      </c>
      <c r="F4640" t="s">
        <v>84</v>
      </c>
      <c r="G4640">
        <v>-246.90899999999999</v>
      </c>
      <c r="H4640">
        <v>0.3909128</v>
      </c>
      <c r="I4640">
        <v>119.0955</v>
      </c>
      <c r="J4640">
        <v>-198.27209999999999</v>
      </c>
      <c r="K4640">
        <v>1.1052230000000001</v>
      </c>
      <c r="L4640">
        <v>149.62790000000001</v>
      </c>
      <c r="M4640">
        <v>-0.52608789999999905</v>
      </c>
      <c r="N4640">
        <v>0</v>
      </c>
      <c r="O4640">
        <v>-0.85033799999999904</v>
      </c>
      <c r="P4640">
        <v>-0.605819199999999</v>
      </c>
      <c r="Q4640">
        <v>5.2503350000000001E-3</v>
      </c>
      <c r="R4640">
        <v>-0.79558530000000005</v>
      </c>
      <c r="S4640">
        <v>-2.7177889999999998</v>
      </c>
      <c r="T4640">
        <v>-3.9863469999999998E-2</v>
      </c>
      <c r="U4640">
        <v>-1.709106</v>
      </c>
      <c r="V4640">
        <v>9.6810489999999999E-2</v>
      </c>
      <c r="W4640">
        <v>1.659681E-2</v>
      </c>
      <c r="X4640">
        <v>0.99516450000000001</v>
      </c>
      <c r="Y4640">
        <v>0.4397373</v>
      </c>
      <c r="Z4640">
        <v>1.2071770000000001E-2</v>
      </c>
      <c r="AA4640">
        <v>0.89804530000000005</v>
      </c>
      <c r="AB4640">
        <v>19</v>
      </c>
      <c r="AC4640">
        <v>-48.636899999999997</v>
      </c>
      <c r="AD4640">
        <v>-0.71431020000000001</v>
      </c>
      <c r="AE4640">
        <v>-30.532399999999999</v>
      </c>
      <c r="AF4640">
        <v>25.293148121676499</v>
      </c>
      <c r="AG4640">
        <v>-0.71431020000000001</v>
      </c>
      <c r="AH4640">
        <v>51.5462113848181</v>
      </c>
      <c r="AI4640">
        <v>90.7127606694973</v>
      </c>
      <c r="AJ4640">
        <v>63.863330774899097</v>
      </c>
      <c r="AK4640">
        <v>57.421820670327499</v>
      </c>
      <c r="AL4640">
        <v>89.049029223022202</v>
      </c>
      <c r="AM4640">
        <v>84.443698945413303</v>
      </c>
      <c r="AN4640">
        <v>1.0000000535682301</v>
      </c>
    </row>
    <row r="4641" spans="1:40" x14ac:dyDescent="0.25">
      <c r="A4641" t="str">
        <f>"20190312160425148"</f>
        <v>20190312160425148</v>
      </c>
      <c r="B4641" t="str">
        <f>"1552377865139851"</f>
        <v>1552377865139851</v>
      </c>
      <c r="C4641" t="s">
        <v>40</v>
      </c>
      <c r="D4641">
        <v>5.0352940000000004</v>
      </c>
      <c r="E4641">
        <v>0.64333899999999999</v>
      </c>
      <c r="F4641" t="s">
        <v>84</v>
      </c>
      <c r="G4641">
        <v>-247.34729999999999</v>
      </c>
      <c r="H4641">
        <v>0.34605010000000003</v>
      </c>
      <c r="I4641">
        <v>119.0955</v>
      </c>
      <c r="J4641">
        <v>-198.35929999999999</v>
      </c>
      <c r="K4641">
        <v>1.105167</v>
      </c>
      <c r="L4641">
        <v>149.50190000000001</v>
      </c>
      <c r="M4641">
        <v>-0.53194719999999995</v>
      </c>
      <c r="N4641">
        <v>0</v>
      </c>
      <c r="O4641">
        <v>-0.84668500000000002</v>
      </c>
      <c r="P4641">
        <v>-0.61189329999999997</v>
      </c>
      <c r="Q4641">
        <v>6.200423E-3</v>
      </c>
      <c r="R4641">
        <v>-0.79091619999999996</v>
      </c>
      <c r="S4641">
        <v>-2.7254939999999999</v>
      </c>
      <c r="T4641">
        <v>-4.2160629999999998E-2</v>
      </c>
      <c r="U4641">
        <v>-1.6956789999999999</v>
      </c>
      <c r="V4641">
        <v>9.7575930000000005E-2</v>
      </c>
      <c r="W4641">
        <v>1.7520790000000001E-2</v>
      </c>
      <c r="X4641">
        <v>0.99507389999999996</v>
      </c>
      <c r="Y4641">
        <v>0.43785420000000003</v>
      </c>
      <c r="Z4641">
        <v>1.27318E-2</v>
      </c>
      <c r="AA4641">
        <v>0.89895579999999997</v>
      </c>
      <c r="AB4641">
        <v>19</v>
      </c>
      <c r="AC4641">
        <v>-48.988</v>
      </c>
      <c r="AD4641">
        <v>-0.75911689999999998</v>
      </c>
      <c r="AE4641">
        <v>-30.406400000000001</v>
      </c>
      <c r="AF4641">
        <v>25.300402323593001</v>
      </c>
      <c r="AG4641">
        <v>-0.75911689999999998</v>
      </c>
      <c r="AH4641">
        <v>51.798752203999101</v>
      </c>
      <c r="AI4641">
        <v>90.754443244585602</v>
      </c>
      <c r="AJ4641">
        <v>63.967427315100601</v>
      </c>
      <c r="AK4641">
        <v>57.652383698289903</v>
      </c>
      <c r="AL4641">
        <v>88.996081364835007</v>
      </c>
      <c r="AM4641">
        <v>84.399539129230604</v>
      </c>
      <c r="AN4641">
        <v>1.00000005332939</v>
      </c>
    </row>
    <row r="4642" spans="1:40" x14ac:dyDescent="0.25">
      <c r="A4642" t="str">
        <f>"20190312160425171"</f>
        <v>20190312160425171</v>
      </c>
      <c r="B4642" t="str">
        <f>"1552377865159371"</f>
        <v>1552377865159371</v>
      </c>
      <c r="C4642" t="s">
        <v>40</v>
      </c>
      <c r="D4642">
        <v>5.7915099999999997</v>
      </c>
      <c r="E4642">
        <v>0.64333899999999999</v>
      </c>
      <c r="F4642" t="s">
        <v>84</v>
      </c>
      <c r="G4642">
        <v>-248.1765</v>
      </c>
      <c r="H4642">
        <v>0.69779869999999899</v>
      </c>
      <c r="I4642">
        <v>119.0955</v>
      </c>
      <c r="J4642">
        <v>-198.47200000000001</v>
      </c>
      <c r="K4642">
        <v>1.1050930000000001</v>
      </c>
      <c r="L4642">
        <v>149.34219999999999</v>
      </c>
      <c r="M4642">
        <v>-0.53948940000000001</v>
      </c>
      <c r="N4642">
        <v>0</v>
      </c>
      <c r="O4642">
        <v>-0.84189939999999996</v>
      </c>
      <c r="P4642">
        <v>-0.61972240000000001</v>
      </c>
      <c r="Q4642">
        <v>6.1440219999999999E-3</v>
      </c>
      <c r="R4642">
        <v>-0.78479719999999997</v>
      </c>
      <c r="S4642">
        <v>-2.7407680000000001</v>
      </c>
      <c r="T4642">
        <v>-2.2410389999999999E-2</v>
      </c>
      <c r="U4642">
        <v>-1.672852</v>
      </c>
      <c r="V4642">
        <v>9.8577159999999997E-2</v>
      </c>
      <c r="W4642">
        <v>1.74282999999999E-2</v>
      </c>
      <c r="X4642">
        <v>0.99497679999999999</v>
      </c>
      <c r="Y4642">
        <v>0.4375656</v>
      </c>
      <c r="Z4642">
        <v>6.7438200000000002E-3</v>
      </c>
      <c r="AA4642">
        <v>0.89916119999999899</v>
      </c>
      <c r="AB4642">
        <v>19</v>
      </c>
      <c r="AC4642">
        <v>-49.704500000000003</v>
      </c>
      <c r="AD4642">
        <v>-0.4072943</v>
      </c>
      <c r="AE4642">
        <v>-30.246699999999901</v>
      </c>
      <c r="AF4642">
        <v>25.529162683836301</v>
      </c>
      <c r="AG4642">
        <v>-0.4072943</v>
      </c>
      <c r="AH4642">
        <v>52.281261278714503</v>
      </c>
      <c r="AI4642">
        <v>90.401088439301205</v>
      </c>
      <c r="AJ4642">
        <v>63.973545907582597</v>
      </c>
      <c r="AK4642">
        <v>58.182766493849499</v>
      </c>
      <c r="AL4642">
        <v>89.001381424524098</v>
      </c>
      <c r="AM4642">
        <v>84.341895003944003</v>
      </c>
      <c r="AN4642">
        <v>1.0000000173263901</v>
      </c>
    </row>
    <row r="4643" spans="1:40" x14ac:dyDescent="0.25">
      <c r="A4643" t="str">
        <f>"20190312160425525"</f>
        <v>20190312160425525</v>
      </c>
      <c r="B4643" t="str">
        <f>"1552377865519516"</f>
        <v>1552377865519516</v>
      </c>
      <c r="C4643" t="s">
        <v>40</v>
      </c>
      <c r="D4643">
        <v>5.5169550000000003</v>
      </c>
      <c r="E4643">
        <v>0.64379940000000002</v>
      </c>
      <c r="F4643" t="s">
        <v>84</v>
      </c>
      <c r="G4643">
        <v>-249.15559999999999</v>
      </c>
      <c r="H4643">
        <v>0.70376539999999999</v>
      </c>
      <c r="I4643">
        <v>119.0955</v>
      </c>
      <c r="J4643">
        <v>-200.50739999999999</v>
      </c>
      <c r="K4643">
        <v>1.104171</v>
      </c>
      <c r="L4643">
        <v>146.93549999999999</v>
      </c>
      <c r="M4643">
        <v>-0.66678199999999999</v>
      </c>
      <c r="N4643">
        <v>0</v>
      </c>
      <c r="O4643">
        <v>-0.74514709999999995</v>
      </c>
      <c r="P4643">
        <v>-0.74288279999999995</v>
      </c>
      <c r="Q4643">
        <v>8.1319849999999996E-3</v>
      </c>
      <c r="R4643">
        <v>-0.66937239999999998</v>
      </c>
      <c r="S4643">
        <v>-2.7573089999999998</v>
      </c>
      <c r="T4643">
        <v>-2.1831630000000001E-2</v>
      </c>
      <c r="U4643">
        <v>-1.6454930000000001</v>
      </c>
      <c r="V4643">
        <v>0.10752200000000001</v>
      </c>
      <c r="W4643">
        <v>1.911173E-2</v>
      </c>
      <c r="X4643">
        <v>0.99401899999999999</v>
      </c>
      <c r="Y4643">
        <v>0.2981743</v>
      </c>
      <c r="Z4643">
        <v>5.7582689999999999E-3</v>
      </c>
      <c r="AA4643">
        <v>0.95449410000000001</v>
      </c>
      <c r="AB4643">
        <v>19</v>
      </c>
      <c r="AC4643">
        <v>-48.648200000000003</v>
      </c>
      <c r="AD4643">
        <v>-0.40040559999999897</v>
      </c>
      <c r="AE4643">
        <v>-27.8399999999999</v>
      </c>
      <c r="AF4643">
        <v>17.6873452369239</v>
      </c>
      <c r="AG4643">
        <v>-0.40040559999999897</v>
      </c>
      <c r="AH4643">
        <v>53.184115645216202</v>
      </c>
      <c r="AI4643">
        <v>90.409311830150997</v>
      </c>
      <c r="AJ4643">
        <v>71.604515609762302</v>
      </c>
      <c r="AK4643">
        <v>56.049555423200097</v>
      </c>
      <c r="AL4643">
        <v>88.904911865975805</v>
      </c>
      <c r="AM4643">
        <v>83.826378731339105</v>
      </c>
      <c r="AN4643">
        <v>1.0000000055342899</v>
      </c>
    </row>
    <row r="4644" spans="1:40" x14ac:dyDescent="0.25">
      <c r="A4644" t="str">
        <f>"20190312160425541"</f>
        <v>20190312160425541</v>
      </c>
      <c r="B4644" t="str">
        <f>"1552377865529276"</f>
        <v>1552377865529276</v>
      </c>
      <c r="C4644" t="s">
        <v>40</v>
      </c>
      <c r="D4644">
        <v>5.7081660000000003</v>
      </c>
      <c r="E4644">
        <v>0.68160369999999904</v>
      </c>
      <c r="F4644" t="s">
        <v>66</v>
      </c>
      <c r="G4644">
        <v>-276.77140000000003</v>
      </c>
      <c r="H4644">
        <v>1.1251819999999999</v>
      </c>
      <c r="I4644">
        <v>117.5291</v>
      </c>
      <c r="J4644">
        <v>-200.6095</v>
      </c>
      <c r="K4644">
        <v>1.104136</v>
      </c>
      <c r="L4644">
        <v>146.83500000000001</v>
      </c>
      <c r="M4644">
        <v>-0.67262460000000002</v>
      </c>
      <c r="N4644">
        <v>0</v>
      </c>
      <c r="O4644">
        <v>-0.73987720000000001</v>
      </c>
      <c r="P4644">
        <v>-0.74878459999999902</v>
      </c>
      <c r="Q4644">
        <v>8.1675250000000001E-3</v>
      </c>
      <c r="R4644">
        <v>-0.6627634</v>
      </c>
      <c r="S4644">
        <v>-2.997055</v>
      </c>
      <c r="T4644">
        <v>8.2564349999999999E-4</v>
      </c>
      <c r="U4644">
        <v>-1.155624</v>
      </c>
      <c r="V4644">
        <v>0.1085103</v>
      </c>
      <c r="W4644">
        <v>1.9129839999999999E-2</v>
      </c>
      <c r="X4644">
        <v>0.99391130000000005</v>
      </c>
      <c r="Y4644">
        <v>0.44838260000000002</v>
      </c>
      <c r="Z4644">
        <v>-2.3112879999999999E-4</v>
      </c>
      <c r="AA4644">
        <v>0.89384169999999996</v>
      </c>
      <c r="AB4644">
        <v>19</v>
      </c>
      <c r="AC4644">
        <v>-76.161900000000003</v>
      </c>
      <c r="AD4644">
        <v>2.1045999999999801E-2</v>
      </c>
      <c r="AE4644">
        <v>-29.305900000000001</v>
      </c>
      <c r="AF4644">
        <v>36.641474142730402</v>
      </c>
      <c r="AG4644">
        <v>2.1045999999999801E-2</v>
      </c>
      <c r="AH4644">
        <v>72.9168860635139</v>
      </c>
      <c r="AI4644">
        <v>89.985223473442403</v>
      </c>
      <c r="AJ4644">
        <v>63.320008343871599</v>
      </c>
      <c r="AK4644">
        <v>81.605577894442803</v>
      </c>
      <c r="AL4644">
        <v>88.903874102951306</v>
      </c>
      <c r="AM4644">
        <v>83.769407662244006</v>
      </c>
      <c r="AN4644">
        <v>1.0000000541261</v>
      </c>
    </row>
    <row r="4645" spans="1:40" x14ac:dyDescent="0.25">
      <c r="A4645" t="str">
        <f>"20190312160425561"</f>
        <v>20190312160425561</v>
      </c>
      <c r="B4645" t="str">
        <f>"1552377865549772"</f>
        <v>1552377865549772</v>
      </c>
      <c r="C4645" t="s">
        <v>40</v>
      </c>
      <c r="D4645">
        <v>5.6199909999999997</v>
      </c>
      <c r="E4645">
        <v>0.68406959999999895</v>
      </c>
      <c r="F4645" t="s">
        <v>49</v>
      </c>
      <c r="G4645">
        <v>-201.185</v>
      </c>
      <c r="H4645">
        <v>1.2114879999999999</v>
      </c>
      <c r="I4645">
        <v>146.67089999999999</v>
      </c>
      <c r="J4645">
        <v>-200.7362</v>
      </c>
      <c r="K4645">
        <v>1.1040920000000001</v>
      </c>
      <c r="L4645">
        <v>146.7124</v>
      </c>
      <c r="M4645">
        <v>-0.67980249999999998</v>
      </c>
      <c r="N4645">
        <v>0</v>
      </c>
      <c r="O4645">
        <v>-0.73328700000000002</v>
      </c>
      <c r="P4645">
        <v>-0.75620880000000001</v>
      </c>
      <c r="Q4645">
        <v>8.7609070000000001E-3</v>
      </c>
      <c r="R4645">
        <v>-0.65427179999999996</v>
      </c>
      <c r="S4645">
        <v>-3.1931919999999998</v>
      </c>
      <c r="T4645">
        <v>0.59560550000000001</v>
      </c>
      <c r="U4645">
        <v>-0.9115143</v>
      </c>
      <c r="V4645">
        <v>0.110045699999999</v>
      </c>
      <c r="W4645">
        <v>1.969336E-2</v>
      </c>
      <c r="X4645">
        <v>0.99373140000000004</v>
      </c>
      <c r="Y4645">
        <v>0.50197990000000003</v>
      </c>
      <c r="Z4645">
        <v>-0.1627316</v>
      </c>
      <c r="AA4645">
        <v>0.84943189999999902</v>
      </c>
      <c r="AB4645">
        <v>19</v>
      </c>
      <c r="AC4645">
        <v>-0.44880000000000497</v>
      </c>
      <c r="AD4645">
        <v>0.10739599999999901</v>
      </c>
      <c r="AE4645">
        <v>-4.1500000000013401E-2</v>
      </c>
      <c r="AF4645">
        <v>0.28474434006309801</v>
      </c>
      <c r="AG4645">
        <v>0.10739599999999901</v>
      </c>
      <c r="AH4645">
        <v>0.31752525636366702</v>
      </c>
      <c r="AI4645">
        <v>75.866291829013903</v>
      </c>
      <c r="AJ4645">
        <v>48.115476382581697</v>
      </c>
      <c r="AK4645">
        <v>0.43981306079149302</v>
      </c>
      <c r="AL4645">
        <v>88.871580629337501</v>
      </c>
      <c r="AM4645">
        <v>83.680819466692398</v>
      </c>
      <c r="AN4645">
        <v>0.99999998993126904</v>
      </c>
    </row>
    <row r="4646" spans="1:40" x14ac:dyDescent="0.25">
      <c r="A4646" t="str">
        <f>"20190312160425576"</f>
        <v>20190312160425576</v>
      </c>
      <c r="B4646" t="str">
        <f>"1552377865569292"</f>
        <v>1552377865569292</v>
      </c>
      <c r="C4646" t="s">
        <v>40</v>
      </c>
      <c r="D4646">
        <v>5.5542819999999997</v>
      </c>
      <c r="E4646">
        <v>0.68908549999999902</v>
      </c>
      <c r="F4646" t="s">
        <v>49</v>
      </c>
      <c r="G4646">
        <v>-201.3193</v>
      </c>
      <c r="H4646">
        <v>1.2151000000000001</v>
      </c>
      <c r="I4646">
        <v>146.5564</v>
      </c>
      <c r="J4646">
        <v>-200.8312</v>
      </c>
      <c r="K4646">
        <v>1.10406</v>
      </c>
      <c r="L4646">
        <v>146.62219999999999</v>
      </c>
      <c r="M4646">
        <v>-0.68512419999999996</v>
      </c>
      <c r="N4646">
        <v>0</v>
      </c>
      <c r="O4646">
        <v>-0.72831759999999901</v>
      </c>
      <c r="P4646">
        <v>-0.7614417</v>
      </c>
      <c r="Q4646">
        <v>8.8846649999999999E-3</v>
      </c>
      <c r="R4646">
        <v>-0.64817269999999905</v>
      </c>
      <c r="S4646">
        <v>-3.2154240000000001</v>
      </c>
      <c r="T4646">
        <v>0.61222949999999998</v>
      </c>
      <c r="U4646">
        <v>-0.86065669999999905</v>
      </c>
      <c r="V4646">
        <v>0.1107991</v>
      </c>
      <c r="W4646">
        <v>1.979825E-2</v>
      </c>
      <c r="X4646">
        <v>0.99364560000000002</v>
      </c>
      <c r="Y4646">
        <v>0.50886549999999997</v>
      </c>
      <c r="Z4646">
        <v>-0.16670889999999999</v>
      </c>
      <c r="AA4646">
        <v>0.84454959999999901</v>
      </c>
      <c r="AB4646">
        <v>19</v>
      </c>
      <c r="AC4646">
        <v>-0.48810000000000198</v>
      </c>
      <c r="AD4646">
        <v>0.11104</v>
      </c>
      <c r="AE4646">
        <v>-6.5799999999995806E-2</v>
      </c>
      <c r="AF4646">
        <v>0.29541908688465701</v>
      </c>
      <c r="AG4646">
        <v>0.11104</v>
      </c>
      <c r="AH4646">
        <v>0.36386733215275402</v>
      </c>
      <c r="AI4646">
        <v>76.671523879126596</v>
      </c>
      <c r="AJ4646">
        <v>50.9273101159717</v>
      </c>
      <c r="AK4646">
        <v>0.48166560382045898</v>
      </c>
      <c r="AL4646">
        <v>88.865569708586094</v>
      </c>
      <c r="AM4646">
        <v>83.637365491068806</v>
      </c>
      <c r="AN4646">
        <v>0.99999999483161595</v>
      </c>
    </row>
    <row r="4647" spans="1:40" x14ac:dyDescent="0.25">
      <c r="A4647" t="str">
        <f>"20190312160425588"</f>
        <v>20190312160425588</v>
      </c>
      <c r="B4647" t="str">
        <f>"1552377865580028"</f>
        <v>1552377865580028</v>
      </c>
      <c r="C4647" t="s">
        <v>40</v>
      </c>
      <c r="D4647">
        <v>5.4954099999999997</v>
      </c>
      <c r="E4647">
        <v>0.68869329999999995</v>
      </c>
      <c r="F4647" t="s">
        <v>41</v>
      </c>
      <c r="G4647">
        <v>-279.35199999999998</v>
      </c>
      <c r="H4647">
        <v>7.9985639999999997E-2</v>
      </c>
      <c r="I4647">
        <v>127.4987</v>
      </c>
      <c r="J4647">
        <v>-200.9161</v>
      </c>
      <c r="K4647">
        <v>1.104031</v>
      </c>
      <c r="L4647">
        <v>146.54249999999999</v>
      </c>
      <c r="M4647">
        <v>-0.68984299999999998</v>
      </c>
      <c r="N4647">
        <v>0</v>
      </c>
      <c r="O4647">
        <v>-0.72384950000000003</v>
      </c>
      <c r="P4647">
        <v>-0.76609280000000002</v>
      </c>
      <c r="Q4647">
        <v>9.3051339999999996E-3</v>
      </c>
      <c r="R4647">
        <v>-0.64266259999999997</v>
      </c>
      <c r="S4647">
        <v>-3.263763</v>
      </c>
      <c r="T4647">
        <v>-4.2566300000000001E-2</v>
      </c>
      <c r="U4647">
        <v>-0.79487609999999997</v>
      </c>
      <c r="V4647">
        <v>0.1115135</v>
      </c>
      <c r="W4647">
        <v>2.0199660000000001E-2</v>
      </c>
      <c r="X4647">
        <v>0.99355760000000004</v>
      </c>
      <c r="Y4647">
        <v>0.54001119999999903</v>
      </c>
      <c r="Z4647">
        <v>1.173595E-2</v>
      </c>
      <c r="AA4647">
        <v>0.84157599999999999</v>
      </c>
      <c r="AB4647">
        <v>19</v>
      </c>
      <c r="AC4647">
        <v>-78.435900000000004</v>
      </c>
      <c r="AD4647">
        <v>-1.0240453599999999</v>
      </c>
      <c r="AE4647">
        <v>-19.043799999999901</v>
      </c>
      <c r="AF4647">
        <v>43.634990701589402</v>
      </c>
      <c r="AG4647">
        <v>-1.0240453599999999</v>
      </c>
      <c r="AH4647">
        <v>67.887756497134603</v>
      </c>
      <c r="AI4647">
        <v>90.727002634634502</v>
      </c>
      <c r="AJ4647">
        <v>57.269036908204797</v>
      </c>
      <c r="AK4647">
        <v>80.708169132011506</v>
      </c>
      <c r="AL4647">
        <v>88.842566009781294</v>
      </c>
      <c r="AM4647">
        <v>83.596118330167499</v>
      </c>
      <c r="AN4647">
        <v>0.999999995732062</v>
      </c>
    </row>
    <row r="4648" spans="1:40" x14ac:dyDescent="0.25">
      <c r="A4648" t="str">
        <f>"20190312160425600"</f>
        <v>20190312160425600</v>
      </c>
      <c r="B4648" t="str">
        <f>"1552377865589788"</f>
        <v>1552377865589788</v>
      </c>
      <c r="C4648" t="s">
        <v>40</v>
      </c>
      <c r="D4648">
        <v>5.3290360000000003</v>
      </c>
      <c r="E4648">
        <v>0.68544139999999998</v>
      </c>
      <c r="F4648" t="s">
        <v>60</v>
      </c>
      <c r="G4648">
        <v>-281.9787</v>
      </c>
      <c r="H4648">
        <v>7.998835E-2</v>
      </c>
      <c r="I4648">
        <v>127.3485</v>
      </c>
      <c r="J4648">
        <v>-200.9965</v>
      </c>
      <c r="K4648">
        <v>1.1040049999999999</v>
      </c>
      <c r="L4648">
        <v>146.4683</v>
      </c>
      <c r="M4648">
        <v>-0.69427369999999899</v>
      </c>
      <c r="N4648">
        <v>0</v>
      </c>
      <c r="O4648">
        <v>-0.71960109999999999</v>
      </c>
      <c r="P4648">
        <v>-0.77040989999999998</v>
      </c>
      <c r="Q4648">
        <v>9.4581950000000008E-3</v>
      </c>
      <c r="R4648">
        <v>-0.63747909999999997</v>
      </c>
      <c r="S4648">
        <v>-3.2674560000000001</v>
      </c>
      <c r="T4648">
        <v>-4.1276930000000003E-2</v>
      </c>
      <c r="U4648">
        <v>-0.77366639999999998</v>
      </c>
      <c r="V4648">
        <v>0.11212030000000001</v>
      </c>
      <c r="W4648">
        <v>2.0336480000000001E-2</v>
      </c>
      <c r="X4648">
        <v>0.99348650000000005</v>
      </c>
      <c r="Y4648">
        <v>0.54023369999999904</v>
      </c>
      <c r="Z4648">
        <v>1.135008E-2</v>
      </c>
      <c r="AA4648">
        <v>0.84143849999999998</v>
      </c>
      <c r="AB4648">
        <v>19</v>
      </c>
      <c r="AC4648">
        <v>-80.982200000000006</v>
      </c>
      <c r="AD4648">
        <v>-1.0240166500000001</v>
      </c>
      <c r="AE4648">
        <v>-19.119800000000001</v>
      </c>
      <c r="AF4648">
        <v>44.997252864839098</v>
      </c>
      <c r="AG4648">
        <v>-1.0240166500000001</v>
      </c>
      <c r="AH4648">
        <v>69.977381771875798</v>
      </c>
      <c r="AI4648">
        <v>90.705187958555001</v>
      </c>
      <c r="AJ4648">
        <v>57.257941883990803</v>
      </c>
      <c r="AK4648">
        <v>83.202375778150795</v>
      </c>
      <c r="AL4648">
        <v>88.834725172072993</v>
      </c>
      <c r="AM4648">
        <v>83.561106572868297</v>
      </c>
      <c r="AN4648">
        <v>0.99999997988656497</v>
      </c>
    </row>
    <row r="4649" spans="1:40" x14ac:dyDescent="0.25">
      <c r="A4649" t="str">
        <f>"20190312160425618"</f>
        <v>20190312160425618</v>
      </c>
      <c r="B4649" t="str">
        <f>"1552377865609307"</f>
        <v>1552377865609307</v>
      </c>
      <c r="C4649" t="s">
        <v>40</v>
      </c>
      <c r="D4649">
        <v>5.3473110000000004</v>
      </c>
      <c r="E4649">
        <v>0.67897940000000001</v>
      </c>
      <c r="F4649" t="s">
        <v>55</v>
      </c>
      <c r="G4649">
        <v>-330.23419999999999</v>
      </c>
      <c r="H4649">
        <v>0.51388909999999999</v>
      </c>
      <c r="I4649">
        <v>115.8175</v>
      </c>
      <c r="J4649">
        <v>-201.11019999999999</v>
      </c>
      <c r="K4649">
        <v>1.103966</v>
      </c>
      <c r="L4649">
        <v>146.36490000000001</v>
      </c>
      <c r="M4649">
        <v>-0.70048140000000003</v>
      </c>
      <c r="N4649">
        <v>0</v>
      </c>
      <c r="O4649">
        <v>-0.71355959999999996</v>
      </c>
      <c r="P4649">
        <v>-0.77650129999999995</v>
      </c>
      <c r="Q4649">
        <v>1.003068E-2</v>
      </c>
      <c r="R4649">
        <v>-0.63003599999999904</v>
      </c>
      <c r="S4649">
        <v>-3.2553709999999998</v>
      </c>
      <c r="T4649">
        <v>-1.486409E-2</v>
      </c>
      <c r="U4649">
        <v>-0.77206419999999998</v>
      </c>
      <c r="V4649">
        <v>0.11307879999999999</v>
      </c>
      <c r="W4649">
        <v>2.088568E-2</v>
      </c>
      <c r="X4649">
        <v>0.99336650000000004</v>
      </c>
      <c r="Y4649">
        <v>0.53268519999999997</v>
      </c>
      <c r="Z4649">
        <v>4.0683630000000002E-3</v>
      </c>
      <c r="AA4649">
        <v>0.84630369999999999</v>
      </c>
      <c r="AB4649">
        <v>19</v>
      </c>
      <c r="AC4649">
        <v>-129.124</v>
      </c>
      <c r="AD4649">
        <v>-0.59007690000000002</v>
      </c>
      <c r="AE4649">
        <v>-30.5474</v>
      </c>
      <c r="AF4649">
        <v>70.743992181687901</v>
      </c>
      <c r="AG4649">
        <v>-0.59007690000000002</v>
      </c>
      <c r="AH4649">
        <v>112.25302771916201</v>
      </c>
      <c r="AI4649">
        <v>90.254803130955494</v>
      </c>
      <c r="AJ4649">
        <v>57.7800900996168</v>
      </c>
      <c r="AK4649">
        <v>132.68686013569501</v>
      </c>
      <c r="AL4649">
        <v>88.8032516849904</v>
      </c>
      <c r="AM4649">
        <v>83.505751865560995</v>
      </c>
      <c r="AN4649">
        <v>1.0000000149803701</v>
      </c>
    </row>
    <row r="4650" spans="1:40" x14ac:dyDescent="0.25">
      <c r="A4650" t="str">
        <f>"20190312160425633"</f>
        <v>20190312160425633</v>
      </c>
      <c r="B4650" t="str">
        <f>"1552377865629803"</f>
        <v>1552377865629803</v>
      </c>
      <c r="C4650" t="s">
        <v>40</v>
      </c>
      <c r="D4650">
        <v>5.5221109999999998</v>
      </c>
      <c r="E4650">
        <v>0.6599718</v>
      </c>
      <c r="F4650" t="s">
        <v>55</v>
      </c>
      <c r="G4650">
        <v>-329.65839999999997</v>
      </c>
      <c r="H4650">
        <v>1.636816</v>
      </c>
      <c r="I4650">
        <v>115.2741</v>
      </c>
      <c r="J4650">
        <v>-201.21029999999999</v>
      </c>
      <c r="K4650">
        <v>1.1039399999999999</v>
      </c>
      <c r="L4650">
        <v>146.27520000000001</v>
      </c>
      <c r="M4650">
        <v>-0.70589080000000004</v>
      </c>
      <c r="N4650">
        <v>0</v>
      </c>
      <c r="O4650">
        <v>-0.70820879999999997</v>
      </c>
      <c r="P4650">
        <v>-0.78162529999999997</v>
      </c>
      <c r="Q4650">
        <v>9.9136420000000003E-3</v>
      </c>
      <c r="R4650">
        <v>-0.62366980000000005</v>
      </c>
      <c r="S4650">
        <v>-3.2295379999999998</v>
      </c>
      <c r="T4650">
        <v>1.33872E-2</v>
      </c>
      <c r="U4650">
        <v>-0.78109740000000005</v>
      </c>
      <c r="V4650">
        <v>0.11363819999999999</v>
      </c>
      <c r="W4650">
        <v>2.0754100000000001E-2</v>
      </c>
      <c r="X4650">
        <v>0.99330540000000001</v>
      </c>
      <c r="Y4650">
        <v>0.52245189999999997</v>
      </c>
      <c r="Z4650">
        <v>-3.6557249999999999E-3</v>
      </c>
      <c r="AA4650">
        <v>0.85266090000000005</v>
      </c>
      <c r="AB4650">
        <v>19</v>
      </c>
      <c r="AC4650">
        <v>-128.44809999999899</v>
      </c>
      <c r="AD4650">
        <v>0.53287600000000002</v>
      </c>
      <c r="AE4650">
        <v>-31.001100000000001</v>
      </c>
      <c r="AF4650">
        <v>69.089034584579395</v>
      </c>
      <c r="AG4650">
        <v>0.53287600000000002</v>
      </c>
      <c r="AH4650">
        <v>112.632677297407</v>
      </c>
      <c r="AI4650">
        <v>89.768936366473994</v>
      </c>
      <c r="AJ4650">
        <v>58.474991670624703</v>
      </c>
      <c r="AK4650">
        <v>132.13515297543799</v>
      </c>
      <c r="AL4650">
        <v>88.810792274767394</v>
      </c>
      <c r="AM4650">
        <v>83.473503375227807</v>
      </c>
      <c r="AN4650">
        <v>0.99999999541760498</v>
      </c>
    </row>
    <row r="4651" spans="1:40" x14ac:dyDescent="0.25">
      <c r="A4651" t="str">
        <f>"20190312160425651"</f>
        <v>20190312160425651</v>
      </c>
      <c r="B4651" t="str">
        <f>"1552377865639564"</f>
        <v>1552377865639564</v>
      </c>
      <c r="C4651" t="s">
        <v>40</v>
      </c>
      <c r="D4651">
        <v>5.2720549999999999</v>
      </c>
      <c r="E4651">
        <v>0.65994580000000003</v>
      </c>
      <c r="F4651" t="s">
        <v>49</v>
      </c>
      <c r="G4651">
        <v>-201.84989999999999</v>
      </c>
      <c r="H4651">
        <v>1.1953849999999999</v>
      </c>
      <c r="I4651">
        <v>146.09540000000001</v>
      </c>
      <c r="J4651">
        <v>-201.3288</v>
      </c>
      <c r="K4651">
        <v>1.1039139999999901</v>
      </c>
      <c r="L4651">
        <v>146.17089999999999</v>
      </c>
      <c r="M4651">
        <v>-0.71222180000000002</v>
      </c>
      <c r="N4651">
        <v>0</v>
      </c>
      <c r="O4651">
        <v>-0.70184179999999996</v>
      </c>
      <c r="P4651">
        <v>-0.7878288</v>
      </c>
      <c r="Q4651">
        <v>1.003415E-2</v>
      </c>
      <c r="R4651">
        <v>-0.61581300000000005</v>
      </c>
      <c r="S4651">
        <v>-3.130493</v>
      </c>
      <c r="T4651">
        <v>0.44756970000000001</v>
      </c>
      <c r="U4651">
        <v>-0.879776</v>
      </c>
      <c r="V4651">
        <v>0.114666</v>
      </c>
      <c r="W4651">
        <v>2.085279E-2</v>
      </c>
      <c r="X4651">
        <v>0.99318519999999999</v>
      </c>
      <c r="Y4651">
        <v>0.47352230000000001</v>
      </c>
      <c r="Z4651">
        <v>-0.1205919</v>
      </c>
      <c r="AA4651">
        <v>0.87248740000000002</v>
      </c>
      <c r="AB4651">
        <v>19</v>
      </c>
      <c r="AC4651">
        <v>-0.52109999999998902</v>
      </c>
      <c r="AD4651">
        <v>9.1471000000000302E-2</v>
      </c>
      <c r="AE4651">
        <v>-7.5499999999976794E-2</v>
      </c>
      <c r="AF4651">
        <v>0.30284226849221002</v>
      </c>
      <c r="AG4651">
        <v>9.1471000000000302E-2</v>
      </c>
      <c r="AH4651">
        <v>0.41173568577679098</v>
      </c>
      <c r="AI4651">
        <v>79.853574570722799</v>
      </c>
      <c r="AJ4651">
        <v>53.664554516083697</v>
      </c>
      <c r="AK4651">
        <v>0.519236611159683</v>
      </c>
      <c r="AL4651">
        <v>88.805136518959998</v>
      </c>
      <c r="AM4651">
        <v>83.414200710735201</v>
      </c>
      <c r="AN4651">
        <v>0.99999998595291195</v>
      </c>
    </row>
    <row r="4652" spans="1:40" x14ac:dyDescent="0.25">
      <c r="A4652" t="str">
        <f>"20190312160425663"</f>
        <v>20190312160425663</v>
      </c>
      <c r="B4652" t="str">
        <f>"1552377865660059"</f>
        <v>1552377865660059</v>
      </c>
      <c r="C4652" t="s">
        <v>40</v>
      </c>
      <c r="D4652">
        <v>5.390714</v>
      </c>
      <c r="E4652">
        <v>0.65836039999999996</v>
      </c>
      <c r="F4652" t="s">
        <v>49</v>
      </c>
      <c r="G4652">
        <v>-201.99340000000001</v>
      </c>
      <c r="H4652">
        <v>1.197818</v>
      </c>
      <c r="I4652">
        <v>145.9914</v>
      </c>
      <c r="J4652">
        <v>-201.41470000000001</v>
      </c>
      <c r="K4652">
        <v>1.1038950000000001</v>
      </c>
      <c r="L4652">
        <v>146.0966</v>
      </c>
      <c r="M4652">
        <v>-0.71676499999999999</v>
      </c>
      <c r="N4652">
        <v>0</v>
      </c>
      <c r="O4652">
        <v>-0.69720130000000002</v>
      </c>
      <c r="P4652">
        <v>-0.79221680000000005</v>
      </c>
      <c r="Q4652">
        <v>9.7941030000000002E-3</v>
      </c>
      <c r="R4652">
        <v>-0.61016150000000002</v>
      </c>
      <c r="S4652">
        <v>-3.13916</v>
      </c>
      <c r="T4652">
        <v>0.44353959999999998</v>
      </c>
      <c r="U4652">
        <v>-0.84835819999999995</v>
      </c>
      <c r="V4652">
        <v>0.11532000000000001</v>
      </c>
      <c r="W4652">
        <v>2.0598689999999999E-2</v>
      </c>
      <c r="X4652">
        <v>0.99311479999999996</v>
      </c>
      <c r="Y4652">
        <v>0.47674480000000002</v>
      </c>
      <c r="Z4652">
        <v>-0.1192394</v>
      </c>
      <c r="AA4652">
        <v>0.87091700000000005</v>
      </c>
      <c r="AB4652">
        <v>19</v>
      </c>
      <c r="AC4652">
        <v>-0.57869999999999699</v>
      </c>
      <c r="AD4652">
        <v>9.3922999999999895E-2</v>
      </c>
      <c r="AE4652">
        <v>-0.10519999999999601</v>
      </c>
      <c r="AF4652">
        <v>0.31993477752981397</v>
      </c>
      <c r="AG4652">
        <v>9.3922999999999895E-2</v>
      </c>
      <c r="AH4652">
        <v>0.47603779956549702</v>
      </c>
      <c r="AI4652">
        <v>80.700090886778</v>
      </c>
      <c r="AJ4652">
        <v>56.095800270642698</v>
      </c>
      <c r="AK4652">
        <v>0.58119857055675295</v>
      </c>
      <c r="AL4652">
        <v>88.819698529797094</v>
      </c>
      <c r="AM4652">
        <v>83.376505916279299</v>
      </c>
      <c r="AN4652">
        <v>1.00000000720437</v>
      </c>
    </row>
    <row r="4653" spans="1:40" x14ac:dyDescent="0.25">
      <c r="A4653" t="str">
        <f>"20190312160425677"</f>
        <v>20190312160425677</v>
      </c>
      <c r="B4653" t="str">
        <f>"1552377865669819"</f>
        <v>1552377865669819</v>
      </c>
      <c r="C4653" t="s">
        <v>40</v>
      </c>
      <c r="D4653">
        <v>5.4277240000000004</v>
      </c>
      <c r="E4653">
        <v>0.65836039999999996</v>
      </c>
      <c r="F4653" t="s">
        <v>49</v>
      </c>
      <c r="G4653">
        <v>-201.98390000000001</v>
      </c>
      <c r="H4653">
        <v>1.180879</v>
      </c>
      <c r="I4653">
        <v>145.9451</v>
      </c>
      <c r="J4653">
        <v>-201.5059</v>
      </c>
      <c r="K4653">
        <v>1.1038730000000001</v>
      </c>
      <c r="L4653">
        <v>146.0188</v>
      </c>
      <c r="M4653">
        <v>-0.72154490000000004</v>
      </c>
      <c r="N4653">
        <v>0</v>
      </c>
      <c r="O4653">
        <v>-0.69225319999999901</v>
      </c>
      <c r="P4653">
        <v>-0.79666130000000002</v>
      </c>
      <c r="Q4653">
        <v>1.0275309999999999E-2</v>
      </c>
      <c r="R4653">
        <v>-0.60433890000000001</v>
      </c>
      <c r="S4653">
        <v>-3.1379999999999999</v>
      </c>
      <c r="T4653">
        <v>0.42437049999999998</v>
      </c>
      <c r="U4653">
        <v>-0.83564760000000005</v>
      </c>
      <c r="V4653">
        <v>0.11576980000000001</v>
      </c>
      <c r="W4653">
        <v>2.1068750000000001E-2</v>
      </c>
      <c r="X4653">
        <v>0.99305259999999995</v>
      </c>
      <c r="Y4653">
        <v>0.47473759999999998</v>
      </c>
      <c r="Z4653">
        <v>-0.11369659999999999</v>
      </c>
      <c r="AA4653">
        <v>0.87275270000000005</v>
      </c>
      <c r="AB4653">
        <v>19</v>
      </c>
      <c r="AC4653">
        <v>-0.47800000000000797</v>
      </c>
      <c r="AD4653">
        <v>7.7006000000000102E-2</v>
      </c>
      <c r="AE4653">
        <v>-7.3700000000002305E-2</v>
      </c>
      <c r="AF4653">
        <v>0.27087432642876502</v>
      </c>
      <c r="AG4653">
        <v>7.7006000000000102E-2</v>
      </c>
      <c r="AH4653">
        <v>0.38615948691374302</v>
      </c>
      <c r="AI4653">
        <v>80.727956084285907</v>
      </c>
      <c r="AJ4653">
        <v>54.951986237459401</v>
      </c>
      <c r="AK4653">
        <v>0.47793511493478102</v>
      </c>
      <c r="AL4653">
        <v>88.792760223219602</v>
      </c>
      <c r="AM4653">
        <v>83.350489446068195</v>
      </c>
      <c r="AN4653">
        <v>1.0000000025926801</v>
      </c>
    </row>
    <row r="4654" spans="1:40" x14ac:dyDescent="0.25">
      <c r="A4654" t="str">
        <f>"20190312160425689"</f>
        <v>20190312160425689</v>
      </c>
      <c r="B4654" t="str">
        <f>"1552377865679580"</f>
        <v>1552377865679580</v>
      </c>
      <c r="C4654" t="s">
        <v>40</v>
      </c>
      <c r="D4654">
        <v>5.4824830000000002</v>
      </c>
      <c r="E4654">
        <v>0.66736059999999997</v>
      </c>
      <c r="F4654" t="s">
        <v>49</v>
      </c>
      <c r="G4654">
        <v>-202.1121</v>
      </c>
      <c r="H4654">
        <v>1.1859660000000001</v>
      </c>
      <c r="I4654">
        <v>145.8621</v>
      </c>
      <c r="J4654">
        <v>-201.59039999999999</v>
      </c>
      <c r="K4654">
        <v>1.1038559999999999</v>
      </c>
      <c r="L4654">
        <v>145.94749999999999</v>
      </c>
      <c r="M4654">
        <v>-0.72593409999999903</v>
      </c>
      <c r="N4654">
        <v>0</v>
      </c>
      <c r="O4654">
        <v>-0.687648699999999</v>
      </c>
      <c r="P4654">
        <v>-0.80063499999999999</v>
      </c>
      <c r="Q4654">
        <v>1.05121E-2</v>
      </c>
      <c r="R4654">
        <v>-0.59906019999999904</v>
      </c>
      <c r="S4654">
        <v>-3.1439509999999999</v>
      </c>
      <c r="T4654">
        <v>0.4257765</v>
      </c>
      <c r="U4654">
        <v>-0.81239319999999904</v>
      </c>
      <c r="V4654">
        <v>0.116018</v>
      </c>
      <c r="W4654">
        <v>2.129853E-2</v>
      </c>
      <c r="X4654">
        <v>0.99301870000000003</v>
      </c>
      <c r="Y4654">
        <v>0.475576</v>
      </c>
      <c r="Z4654">
        <v>-0.1136706</v>
      </c>
      <c r="AA4654">
        <v>0.87229950000000001</v>
      </c>
      <c r="AB4654">
        <v>19</v>
      </c>
      <c r="AC4654">
        <v>-0.52170000000000905</v>
      </c>
      <c r="AD4654">
        <v>8.21100000000001E-2</v>
      </c>
      <c r="AE4654">
        <v>-8.5399999999992801E-2</v>
      </c>
      <c r="AF4654">
        <v>0.28978411839068802</v>
      </c>
      <c r="AG4654">
        <v>8.21100000000001E-2</v>
      </c>
      <c r="AH4654">
        <v>0.42717423775700297</v>
      </c>
      <c r="AI4654">
        <v>80.961731945729895</v>
      </c>
      <c r="AJ4654">
        <v>55.848031158954299</v>
      </c>
      <c r="AK4654">
        <v>0.52268031986554198</v>
      </c>
      <c r="AL4654">
        <v>88.779591805637097</v>
      </c>
      <c r="AM4654">
        <v>83.3361361267457</v>
      </c>
      <c r="AN4654">
        <v>0.99999997112692496</v>
      </c>
    </row>
    <row r="4655" spans="1:40" x14ac:dyDescent="0.25">
      <c r="A4655" t="str">
        <f>"20190312160425708"</f>
        <v>20190312160425708</v>
      </c>
      <c r="B4655" t="str">
        <f>"1552377865699100"</f>
        <v>1552377865699100</v>
      </c>
      <c r="C4655" t="s">
        <v>40</v>
      </c>
      <c r="D4655">
        <v>5.4793279999999998</v>
      </c>
      <c r="E4655">
        <v>0.66588740000000002</v>
      </c>
      <c r="F4655" t="s">
        <v>60</v>
      </c>
      <c r="G4655">
        <v>-299.97280000000001</v>
      </c>
      <c r="H4655" s="1">
        <v>-2.197128E-6</v>
      </c>
      <c r="I4655">
        <v>123.6169</v>
      </c>
      <c r="J4655">
        <v>-201.72309999999999</v>
      </c>
      <c r="K4655">
        <v>1.1038190000000001</v>
      </c>
      <c r="L4655">
        <v>145.83770000000001</v>
      </c>
      <c r="M4655">
        <v>-0.73274609999999996</v>
      </c>
      <c r="N4655">
        <v>0</v>
      </c>
      <c r="O4655">
        <v>-0.68038549999999998</v>
      </c>
      <c r="P4655">
        <v>-0.80692079999999999</v>
      </c>
      <c r="Q4655">
        <v>1.0823670000000001E-2</v>
      </c>
      <c r="R4655">
        <v>-0.59056090000000006</v>
      </c>
      <c r="S4655">
        <v>-3.2034449999999999</v>
      </c>
      <c r="T4655">
        <v>-3.5942910000000002E-2</v>
      </c>
      <c r="U4655">
        <v>-0.72711179999999997</v>
      </c>
      <c r="V4655">
        <v>0.1166331</v>
      </c>
      <c r="W4655">
        <v>2.1595530000000002E-2</v>
      </c>
      <c r="X4655">
        <v>0.99294020000000005</v>
      </c>
      <c r="Y4655">
        <v>0.50129449999999998</v>
      </c>
      <c r="Z4655">
        <v>9.5997630000000007E-3</v>
      </c>
      <c r="AA4655">
        <v>0.86522350000000003</v>
      </c>
      <c r="AB4655">
        <v>19</v>
      </c>
      <c r="AC4655">
        <v>-98.249700000000004</v>
      </c>
      <c r="AD4655">
        <v>-1.1038211971279901</v>
      </c>
      <c r="AE4655">
        <v>-22.220800000000001</v>
      </c>
      <c r="AF4655">
        <v>50.563408541918001</v>
      </c>
      <c r="AG4655">
        <v>-1.1038211971279901</v>
      </c>
      <c r="AH4655">
        <v>87.107248927603607</v>
      </c>
      <c r="AI4655">
        <v>90.627902580289103</v>
      </c>
      <c r="AJ4655">
        <v>59.865990777878899</v>
      </c>
      <c r="AK4655">
        <v>100.72511861669599</v>
      </c>
      <c r="AL4655">
        <v>88.762571009800098</v>
      </c>
      <c r="AM4655">
        <v>83.300601364652493</v>
      </c>
      <c r="AN4655">
        <v>0.99999994385381397</v>
      </c>
    </row>
    <row r="4656" spans="1:40" x14ac:dyDescent="0.25">
      <c r="A4656" t="str">
        <f>"20190312160425731"</f>
        <v>20190312160425731</v>
      </c>
      <c r="B4656" t="str">
        <f>"1552377865719595"</f>
        <v>1552377865719595</v>
      </c>
      <c r="C4656" t="s">
        <v>40</v>
      </c>
      <c r="D4656">
        <v>5.6115519999999997</v>
      </c>
      <c r="E4656">
        <v>0.64719969999999905</v>
      </c>
      <c r="F4656" t="s">
        <v>55</v>
      </c>
      <c r="G4656">
        <v>-331.80939999999998</v>
      </c>
      <c r="H4656">
        <v>-4.8750839999999997E-2</v>
      </c>
      <c r="I4656">
        <v>117.30459999999999</v>
      </c>
      <c r="J4656">
        <v>-201.87540000000001</v>
      </c>
      <c r="K4656">
        <v>1.103782</v>
      </c>
      <c r="L4656">
        <v>145.71459999999999</v>
      </c>
      <c r="M4656">
        <v>-0.74043829999999999</v>
      </c>
      <c r="N4656">
        <v>0</v>
      </c>
      <c r="O4656">
        <v>-0.6720064</v>
      </c>
      <c r="P4656">
        <v>-0.81378809999999902</v>
      </c>
      <c r="Q4656">
        <v>1.029916E-2</v>
      </c>
      <c r="R4656">
        <v>-0.58107109999999995</v>
      </c>
      <c r="S4656">
        <v>-3.2039029999999999</v>
      </c>
      <c r="T4656">
        <v>-2.8386350000000001E-2</v>
      </c>
      <c r="U4656">
        <v>-0.70274349999999997</v>
      </c>
      <c r="V4656">
        <v>0.11696429999999999</v>
      </c>
      <c r="W4656">
        <v>2.10616E-2</v>
      </c>
      <c r="X4656">
        <v>0.99291280000000004</v>
      </c>
      <c r="Y4656">
        <v>0.4977666</v>
      </c>
      <c r="Z4656">
        <v>7.5242549999999997E-3</v>
      </c>
      <c r="AA4656">
        <v>0.86727829999999995</v>
      </c>
      <c r="AB4656">
        <v>20</v>
      </c>
      <c r="AC4656">
        <v>-129.933999999999</v>
      </c>
      <c r="AD4656">
        <v>-1.1525328399999999</v>
      </c>
      <c r="AE4656">
        <v>-28.41</v>
      </c>
      <c r="AF4656">
        <v>66.280904573614194</v>
      </c>
      <c r="AG4656">
        <v>-1.1525328399999999</v>
      </c>
      <c r="AH4656">
        <v>115.300293929419</v>
      </c>
      <c r="AI4656">
        <v>90.496516975362994</v>
      </c>
      <c r="AJ4656">
        <v>60.107359292051399</v>
      </c>
      <c r="AK4656">
        <v>132.99866323859899</v>
      </c>
      <c r="AL4656">
        <v>88.793170016193699</v>
      </c>
      <c r="AM4656">
        <v>83.281567208063294</v>
      </c>
      <c r="AN4656">
        <v>1.0000000334364401</v>
      </c>
    </row>
    <row r="4657" spans="1:40" x14ac:dyDescent="0.25">
      <c r="A4657" t="str">
        <f>"20190312160425745"</f>
        <v>20190312160425745</v>
      </c>
      <c r="B4657" t="str">
        <f>"1552377865739116"</f>
        <v>1552377865739116</v>
      </c>
      <c r="C4657" t="s">
        <v>40</v>
      </c>
      <c r="D4657">
        <v>5.5312270000000003</v>
      </c>
      <c r="E4657">
        <v>0.64636059999999995</v>
      </c>
      <c r="F4657" t="s">
        <v>49</v>
      </c>
      <c r="G4657">
        <v>-202.54750000000001</v>
      </c>
      <c r="H4657">
        <v>1.181422</v>
      </c>
      <c r="I4657">
        <v>145.5437</v>
      </c>
      <c r="J4657">
        <v>-201.9812</v>
      </c>
      <c r="K4657">
        <v>1.1037619999999999</v>
      </c>
      <c r="L4657">
        <v>145.63059999999999</v>
      </c>
      <c r="M4657">
        <v>-0.74570719999999902</v>
      </c>
      <c r="N4657">
        <v>0</v>
      </c>
      <c r="O4657">
        <v>-0.66615459999999904</v>
      </c>
      <c r="P4657">
        <v>-0.81851529999999995</v>
      </c>
      <c r="Q4657">
        <v>1.050743E-2</v>
      </c>
      <c r="R4657">
        <v>-0.57438889999999998</v>
      </c>
      <c r="S4657">
        <v>-3.1157530000000002</v>
      </c>
      <c r="T4657">
        <v>0.359898</v>
      </c>
      <c r="U4657">
        <v>-0.79290769999999899</v>
      </c>
      <c r="V4657">
        <v>0.11727700000000001</v>
      </c>
      <c r="W4657">
        <v>2.1262779999999998E-2</v>
      </c>
      <c r="X4657">
        <v>0.99287159999999997</v>
      </c>
      <c r="Y4657">
        <v>0.45557259999999999</v>
      </c>
      <c r="Z4657">
        <v>-9.434526E-2</v>
      </c>
      <c r="AA4657">
        <v>0.88518509999999995</v>
      </c>
      <c r="AB4657">
        <v>20</v>
      </c>
      <c r="AC4657">
        <v>-0.56630000000001202</v>
      </c>
      <c r="AD4657">
        <v>7.7659999999999799E-2</v>
      </c>
      <c r="AE4657">
        <v>-8.6899999999985697E-2</v>
      </c>
      <c r="AF4657">
        <v>0.30682866950922999</v>
      </c>
      <c r="AG4657">
        <v>7.7659999999999799E-2</v>
      </c>
      <c r="AH4657">
        <v>0.47155677549132502</v>
      </c>
      <c r="AI4657">
        <v>82.140578403144303</v>
      </c>
      <c r="AJ4657">
        <v>56.949084090126398</v>
      </c>
      <c r="AK4657">
        <v>0.56792666828084504</v>
      </c>
      <c r="AL4657">
        <v>88.781640637876095</v>
      </c>
      <c r="AM4657">
        <v>83.263493596746699</v>
      </c>
      <c r="AN4657">
        <v>1.0000000073144399</v>
      </c>
    </row>
    <row r="4658" spans="1:40" x14ac:dyDescent="0.25">
      <c r="A4658" t="str">
        <f>"20190312160425762"</f>
        <v>20190312160425762</v>
      </c>
      <c r="B4658" t="str">
        <f>"1552377865759612"</f>
        <v>1552377865759612</v>
      </c>
      <c r="C4658" t="s">
        <v>40</v>
      </c>
      <c r="D4658">
        <v>5.5257750000000003</v>
      </c>
      <c r="E4658">
        <v>0.64587499999999998</v>
      </c>
      <c r="F4658" t="s">
        <v>55</v>
      </c>
      <c r="G4658">
        <v>-328.5908</v>
      </c>
      <c r="H4658">
        <v>15.3364799999999</v>
      </c>
      <c r="I4658">
        <v>114.27070000000001</v>
      </c>
      <c r="J4658">
        <v>-202.09819999999999</v>
      </c>
      <c r="K4658">
        <v>1.1037399999999999</v>
      </c>
      <c r="L4658">
        <v>145.5395</v>
      </c>
      <c r="M4658">
        <v>-0.75145450000000003</v>
      </c>
      <c r="N4658">
        <v>0</v>
      </c>
      <c r="O4658">
        <v>-0.65966429999999998</v>
      </c>
      <c r="P4658">
        <v>-0.82339789999999902</v>
      </c>
      <c r="Q4658">
        <v>1.024858E-2</v>
      </c>
      <c r="R4658">
        <v>-0.56737199999999999</v>
      </c>
      <c r="S4658">
        <v>-3.1186069999999999</v>
      </c>
      <c r="T4658">
        <v>0.3505759</v>
      </c>
      <c r="U4658">
        <v>-0.77244569999999901</v>
      </c>
      <c r="V4658">
        <v>0.11715440000000001</v>
      </c>
      <c r="W4658">
        <v>2.1004390000000001E-2</v>
      </c>
      <c r="X4658">
        <v>0.99289159999999999</v>
      </c>
      <c r="Y4658">
        <v>0.45387309999999997</v>
      </c>
      <c r="Z4658">
        <v>-9.1346440000000001E-2</v>
      </c>
      <c r="AA4658">
        <v>0.88637189999999999</v>
      </c>
      <c r="AB4658">
        <v>20</v>
      </c>
      <c r="AC4658">
        <v>-126.4926</v>
      </c>
      <c r="AD4658">
        <v>14.2327399999999</v>
      </c>
      <c r="AE4658">
        <v>-31.268799999999999</v>
      </c>
      <c r="AF4658">
        <v>59.243491073070302</v>
      </c>
      <c r="AG4658">
        <v>14.2327399999999</v>
      </c>
      <c r="AH4658">
        <v>114.325499534127</v>
      </c>
      <c r="AI4658">
        <v>83.692488788913593</v>
      </c>
      <c r="AJ4658">
        <v>62.6068024224166</v>
      </c>
      <c r="AK4658">
        <v>129.54799097693601</v>
      </c>
      <c r="AL4658">
        <v>88.796448633109506</v>
      </c>
      <c r="AM4658">
        <v>83.270605551926096</v>
      </c>
      <c r="AN4658">
        <v>1.00000003359459</v>
      </c>
    </row>
    <row r="4659" spans="1:40" x14ac:dyDescent="0.25">
      <c r="A4659" t="str">
        <f>"20190312160425774"</f>
        <v>20190312160425774</v>
      </c>
      <c r="B4659" t="str">
        <f>"1552377865769372"</f>
        <v>1552377865769372</v>
      </c>
      <c r="C4659" t="s">
        <v>40</v>
      </c>
      <c r="D4659">
        <v>5.5719820000000002</v>
      </c>
      <c r="E4659">
        <v>0.63663669999999895</v>
      </c>
      <c r="F4659" t="s">
        <v>55</v>
      </c>
      <c r="G4659">
        <v>-329.38709999999998</v>
      </c>
      <c r="H4659">
        <v>15.06686</v>
      </c>
      <c r="I4659">
        <v>115.02249999999999</v>
      </c>
      <c r="J4659">
        <v>-202.1848</v>
      </c>
      <c r="K4659">
        <v>1.103729</v>
      </c>
      <c r="L4659">
        <v>145.47309999999999</v>
      </c>
      <c r="M4659">
        <v>-0.75565719999999903</v>
      </c>
      <c r="N4659">
        <v>0</v>
      </c>
      <c r="O4659">
        <v>-0.65484549999999997</v>
      </c>
      <c r="P4659">
        <v>-0.82689679999999999</v>
      </c>
      <c r="Q4659">
        <v>1.033127E-2</v>
      </c>
      <c r="R4659">
        <v>-0.56225849999999999</v>
      </c>
      <c r="S4659">
        <v>-3.1232150000000001</v>
      </c>
      <c r="T4659">
        <v>0.3426054</v>
      </c>
      <c r="U4659">
        <v>-0.74877930000000004</v>
      </c>
      <c r="V4659">
        <v>0.1169593</v>
      </c>
      <c r="W4659">
        <v>2.10902E-2</v>
      </c>
      <c r="X4659">
        <v>0.99291280000000004</v>
      </c>
      <c r="Y4659">
        <v>0.45510640000000002</v>
      </c>
      <c r="Z4659">
        <v>-8.8970640000000004E-2</v>
      </c>
      <c r="AA4659">
        <v>0.88598099999999902</v>
      </c>
      <c r="AB4659">
        <v>20</v>
      </c>
      <c r="AC4659">
        <v>-127.202299999999</v>
      </c>
      <c r="AD4659">
        <v>13.963131000000001</v>
      </c>
      <c r="AE4659">
        <v>-30.450599999999898</v>
      </c>
      <c r="AF4659">
        <v>59.613063532202503</v>
      </c>
      <c r="AG4659">
        <v>13.963131000000001</v>
      </c>
      <c r="AH4659">
        <v>114.763124934397</v>
      </c>
      <c r="AI4659">
        <v>83.837564418728505</v>
      </c>
      <c r="AJ4659">
        <v>62.550631578595798</v>
      </c>
      <c r="AK4659">
        <v>130.07406050295199</v>
      </c>
      <c r="AL4659">
        <v>88.791531014601603</v>
      </c>
      <c r="AM4659">
        <v>83.281851783009898</v>
      </c>
      <c r="AN4659">
        <v>1.0000000513981799</v>
      </c>
    </row>
    <row r="4660" spans="1:40" x14ac:dyDescent="0.25">
      <c r="A4660" t="str">
        <f>"20190312160425785"</f>
        <v>20190312160425785</v>
      </c>
      <c r="B4660" t="str">
        <f>"1552377865779132"</f>
        <v>1552377865779132</v>
      </c>
      <c r="C4660" t="s">
        <v>40</v>
      </c>
      <c r="D4660">
        <v>5.6205959999999999</v>
      </c>
      <c r="E4660">
        <v>0.63610049999999996</v>
      </c>
      <c r="F4660" t="s">
        <v>95</v>
      </c>
      <c r="G4660">
        <v>-320.79259999999999</v>
      </c>
      <c r="H4660">
        <v>6.2568400000000004</v>
      </c>
      <c r="I4660">
        <v>115.2711</v>
      </c>
      <c r="J4660">
        <v>-202.2706</v>
      </c>
      <c r="K4660">
        <v>1.103715</v>
      </c>
      <c r="L4660">
        <v>145.40790000000001</v>
      </c>
      <c r="M4660">
        <v>-0.75978449999999997</v>
      </c>
      <c r="N4660">
        <v>0</v>
      </c>
      <c r="O4660">
        <v>-0.65005239999999997</v>
      </c>
      <c r="P4660">
        <v>-0.83016060000000003</v>
      </c>
      <c r="Q4660">
        <v>1.0597540000000001E-2</v>
      </c>
      <c r="R4660">
        <v>-0.55742389999999997</v>
      </c>
      <c r="S4660">
        <v>-3.0911559999999998</v>
      </c>
      <c r="T4660">
        <v>0.13430020000000001</v>
      </c>
      <c r="U4660">
        <v>-0.78712459999999995</v>
      </c>
      <c r="V4660">
        <v>0.11647490000000001</v>
      </c>
      <c r="W4660">
        <v>2.1363839999999999E-2</v>
      </c>
      <c r="X4660">
        <v>0.99296390000000001</v>
      </c>
      <c r="Y4660">
        <v>0.44164579999999998</v>
      </c>
      <c r="Z4660">
        <v>-3.4800440000000002E-2</v>
      </c>
      <c r="AA4660">
        <v>0.89651429999999999</v>
      </c>
      <c r="AB4660">
        <v>20</v>
      </c>
      <c r="AC4660">
        <v>-118.52200000000001</v>
      </c>
      <c r="AD4660">
        <v>5.1531250000000002</v>
      </c>
      <c r="AE4660">
        <v>-30.136800000000001</v>
      </c>
      <c r="AF4660">
        <v>54.056372673627898</v>
      </c>
      <c r="AG4660">
        <v>5.1531250000000002</v>
      </c>
      <c r="AH4660">
        <v>109.456071056704</v>
      </c>
      <c r="AI4660">
        <v>87.5828547792987</v>
      </c>
      <c r="AJ4660">
        <v>63.716909079052101</v>
      </c>
      <c r="AK4660">
        <v>122.185423087478</v>
      </c>
      <c r="AL4660">
        <v>88.775849076998199</v>
      </c>
      <c r="AM4660">
        <v>83.309764170457498</v>
      </c>
      <c r="AN4660">
        <v>1.00000006134638</v>
      </c>
    </row>
    <row r="4661" spans="1:40" x14ac:dyDescent="0.25">
      <c r="A4661" t="str">
        <f>"20190312160425797"</f>
        <v>20190312160425797</v>
      </c>
      <c r="B4661" t="str">
        <f>"1552377865789869"</f>
        <v>1552377865789869</v>
      </c>
      <c r="C4661" t="s">
        <v>40</v>
      </c>
      <c r="D4661">
        <v>4.1119500000000002</v>
      </c>
      <c r="E4661">
        <v>0.63610049999999996</v>
      </c>
      <c r="F4661" t="s">
        <v>95</v>
      </c>
      <c r="G4661">
        <v>-320.42829999999998</v>
      </c>
      <c r="H4661">
        <v>6.074306</v>
      </c>
      <c r="I4661">
        <v>115.9032</v>
      </c>
      <c r="J4661">
        <v>-202.35470000000001</v>
      </c>
      <c r="K4661">
        <v>1.1037110000000001</v>
      </c>
      <c r="L4661">
        <v>145.34540000000001</v>
      </c>
      <c r="M4661">
        <v>-0.76377609999999996</v>
      </c>
      <c r="N4661">
        <v>0</v>
      </c>
      <c r="O4661">
        <v>-0.64535790000000004</v>
      </c>
      <c r="P4661">
        <v>-0.83328089999999999</v>
      </c>
      <c r="Q4661">
        <v>1.008383E-2</v>
      </c>
      <c r="R4661">
        <v>-0.55275799999999997</v>
      </c>
      <c r="S4661">
        <v>-3.0934140000000001</v>
      </c>
      <c r="T4661">
        <v>0.1301321</v>
      </c>
      <c r="U4661">
        <v>-0.77244569999999901</v>
      </c>
      <c r="V4661">
        <v>0.1159226</v>
      </c>
      <c r="W4661">
        <v>2.085946E-2</v>
      </c>
      <c r="X4661">
        <v>0.99303920000000001</v>
      </c>
      <c r="Y4661">
        <v>0.4403301</v>
      </c>
      <c r="Z4661">
        <v>-3.3558629999999999E-2</v>
      </c>
      <c r="AA4661">
        <v>0.89720859999999902</v>
      </c>
      <c r="AB4661">
        <v>20</v>
      </c>
      <c r="AC4661">
        <v>-118.073599999999</v>
      </c>
      <c r="AD4661">
        <v>4.9705949999999897</v>
      </c>
      <c r="AE4661">
        <v>-29.4422</v>
      </c>
      <c r="AF4661">
        <v>53.627284617646097</v>
      </c>
      <c r="AG4661">
        <v>4.9705949999999897</v>
      </c>
      <c r="AH4661">
        <v>109.00936778536</v>
      </c>
      <c r="AI4661">
        <v>87.657058522493998</v>
      </c>
      <c r="AJ4661">
        <v>63.805067082835102</v>
      </c>
      <c r="AK4661">
        <v>121.58797117757901</v>
      </c>
      <c r="AL4661">
        <v>88.804754301109895</v>
      </c>
      <c r="AM4661">
        <v>83.341702728470096</v>
      </c>
      <c r="AN4661">
        <v>1.0000000094994399</v>
      </c>
    </row>
    <row r="4662" spans="1:40" x14ac:dyDescent="0.25">
      <c r="A4662" t="str">
        <f>"20190312160425811"</f>
        <v>20190312160425811</v>
      </c>
      <c r="B4662" t="str">
        <f>"1552377865799628"</f>
        <v>1552377865799628</v>
      </c>
      <c r="C4662" t="s">
        <v>40</v>
      </c>
      <c r="D4662">
        <v>4.089995</v>
      </c>
      <c r="E4662">
        <v>0.63740810000000003</v>
      </c>
      <c r="F4662" t="s">
        <v>95</v>
      </c>
      <c r="G4662">
        <v>-320.92809999999997</v>
      </c>
      <c r="H4662">
        <v>6.0470199999999998</v>
      </c>
      <c r="I4662">
        <v>116.4408</v>
      </c>
      <c r="J4662">
        <v>-202.44720000000001</v>
      </c>
      <c r="K4662">
        <v>1.103699</v>
      </c>
      <c r="L4662">
        <v>145.27719999999999</v>
      </c>
      <c r="M4662">
        <v>-0.76812480000000005</v>
      </c>
      <c r="N4662">
        <v>0</v>
      </c>
      <c r="O4662">
        <v>-0.64017559999999996</v>
      </c>
      <c r="P4662">
        <v>-0.8367926</v>
      </c>
      <c r="Q4662">
        <v>1.03395E-2</v>
      </c>
      <c r="R4662">
        <v>-0.54742290000000005</v>
      </c>
      <c r="S4662">
        <v>-3.097763</v>
      </c>
      <c r="T4662">
        <v>0.12914539999999999</v>
      </c>
      <c r="U4662">
        <v>-0.75514219999999999</v>
      </c>
      <c r="V4662">
        <v>0.11555120000000001</v>
      </c>
      <c r="W4662">
        <v>2.1122140000000001E-2</v>
      </c>
      <c r="X4662">
        <v>0.99307690000000004</v>
      </c>
      <c r="Y4662">
        <v>0.43929380000000001</v>
      </c>
      <c r="Z4662">
        <v>-3.3115850000000002E-2</v>
      </c>
      <c r="AA4662">
        <v>0.89773289999999994</v>
      </c>
      <c r="AB4662">
        <v>20</v>
      </c>
      <c r="AC4662">
        <v>-118.480899999999</v>
      </c>
      <c r="AD4662">
        <v>4.9433210000000001</v>
      </c>
      <c r="AE4662">
        <v>-28.836400000000001</v>
      </c>
      <c r="AF4662">
        <v>53.614798485525</v>
      </c>
      <c r="AG4662">
        <v>4.9433210000000001</v>
      </c>
      <c r="AH4662">
        <v>109.297586352472</v>
      </c>
      <c r="AI4662">
        <v>87.674740839358407</v>
      </c>
      <c r="AJ4662">
        <v>63.8702186394585</v>
      </c>
      <c r="AK4662">
        <v>121.839835118194</v>
      </c>
      <c r="AL4662">
        <v>88.789700489652404</v>
      </c>
      <c r="AM4662">
        <v>83.363094082770104</v>
      </c>
      <c r="AN4662">
        <v>0.99999997696661402</v>
      </c>
    </row>
    <row r="4663" spans="1:40" x14ac:dyDescent="0.25">
      <c r="A4663" t="str">
        <f>"20190312160425824"</f>
        <v>20190312160425824</v>
      </c>
      <c r="B4663" t="str">
        <f>"1552377865819148"</f>
        <v>1552377865819148</v>
      </c>
      <c r="C4663" t="s">
        <v>40</v>
      </c>
      <c r="D4663">
        <v>5.7261129999999998</v>
      </c>
      <c r="E4663">
        <v>0.63630069999999905</v>
      </c>
      <c r="F4663" t="s">
        <v>55</v>
      </c>
      <c r="G4663">
        <v>-329.77429999999998</v>
      </c>
      <c r="H4663">
        <v>11.60628</v>
      </c>
      <c r="I4663">
        <v>115.3869</v>
      </c>
      <c r="J4663">
        <v>-202.5428</v>
      </c>
      <c r="K4663">
        <v>1.103694</v>
      </c>
      <c r="L4663">
        <v>145.20769999999999</v>
      </c>
      <c r="M4663">
        <v>-0.77256239999999998</v>
      </c>
      <c r="N4663">
        <v>0</v>
      </c>
      <c r="O4663">
        <v>-0.63481309999999902</v>
      </c>
      <c r="P4663">
        <v>-0.840360199999999</v>
      </c>
      <c r="Q4663">
        <v>1.0201699999999999E-2</v>
      </c>
      <c r="R4663">
        <v>-0.54193219999999998</v>
      </c>
      <c r="S4663">
        <v>-3.1051030000000002</v>
      </c>
      <c r="T4663">
        <v>0.25612449999999998</v>
      </c>
      <c r="U4663">
        <v>-0.72892760000000001</v>
      </c>
      <c r="V4663">
        <v>0.1151393</v>
      </c>
      <c r="W4663">
        <v>2.099295E-2</v>
      </c>
      <c r="X4663">
        <v>0.99312750000000005</v>
      </c>
      <c r="Y4663">
        <v>0.43841190000000002</v>
      </c>
      <c r="Z4663">
        <v>-6.5183840000000007E-2</v>
      </c>
      <c r="AA4663">
        <v>0.89640730000000002</v>
      </c>
      <c r="AB4663">
        <v>20</v>
      </c>
      <c r="AC4663">
        <v>-127.231499999999</v>
      </c>
      <c r="AD4663">
        <v>10.502586000000001</v>
      </c>
      <c r="AE4663">
        <v>-29.820799999999899</v>
      </c>
      <c r="AF4663">
        <v>57.363879703413097</v>
      </c>
      <c r="AG4663">
        <v>10.502586000000001</v>
      </c>
      <c r="AH4663">
        <v>116.48188936939501</v>
      </c>
      <c r="AI4663">
        <v>85.375518601758202</v>
      </c>
      <c r="AJ4663">
        <v>63.781119839439803</v>
      </c>
      <c r="AK4663">
        <v>130.26492067467399</v>
      </c>
      <c r="AL4663">
        <v>88.797104197104105</v>
      </c>
      <c r="AM4663">
        <v>83.386876377397698</v>
      </c>
      <c r="AN4663">
        <v>0.999999996805221</v>
      </c>
    </row>
    <row r="4664" spans="1:40" x14ac:dyDescent="0.25">
      <c r="A4664" t="str">
        <f>"20190312160425840"</f>
        <v>20190312160425840</v>
      </c>
      <c r="B4664" t="str">
        <f>"1552377865829884"</f>
        <v>1552377865829884</v>
      </c>
      <c r="C4664" t="s">
        <v>40</v>
      </c>
      <c r="D4664">
        <v>5.5945960000000001</v>
      </c>
      <c r="E4664">
        <v>0.63630069999999905</v>
      </c>
      <c r="F4664" t="s">
        <v>55</v>
      </c>
      <c r="G4664">
        <v>-330.19490000000002</v>
      </c>
      <c r="H4664">
        <v>11.21528</v>
      </c>
      <c r="I4664">
        <v>115.78400000000001</v>
      </c>
      <c r="J4664">
        <v>-202.661</v>
      </c>
      <c r="K4664">
        <v>1.103696</v>
      </c>
      <c r="L4664">
        <v>145.12350000000001</v>
      </c>
      <c r="M4664">
        <v>-0.77796690000000002</v>
      </c>
      <c r="N4664">
        <v>0</v>
      </c>
      <c r="O4664">
        <v>-0.62817849999999997</v>
      </c>
      <c r="P4664">
        <v>-0.84471679999999905</v>
      </c>
      <c r="Q4664">
        <v>1.0172769999999999E-2</v>
      </c>
      <c r="R4664">
        <v>-0.53511739999999997</v>
      </c>
      <c r="S4664">
        <v>-3.1053160000000002</v>
      </c>
      <c r="T4664">
        <v>0.24597859999999999</v>
      </c>
      <c r="U4664">
        <v>-0.71577449999999998</v>
      </c>
      <c r="V4664">
        <v>0.1146732</v>
      </c>
      <c r="W4664">
        <v>2.09734E-2</v>
      </c>
      <c r="X4664">
        <v>0.9931818</v>
      </c>
      <c r="Y4664">
        <v>0.43459959999999997</v>
      </c>
      <c r="Z4664">
        <v>-6.2116730000000002E-2</v>
      </c>
      <c r="AA4664">
        <v>0.89847909999999997</v>
      </c>
      <c r="AB4664">
        <v>20</v>
      </c>
      <c r="AC4664">
        <v>-127.5339</v>
      </c>
      <c r="AD4664">
        <v>10.111583999999899</v>
      </c>
      <c r="AE4664">
        <v>-29.339500000000001</v>
      </c>
      <c r="AF4664">
        <v>56.953432750737299</v>
      </c>
      <c r="AG4664">
        <v>10.111583999999899</v>
      </c>
      <c r="AH4664">
        <v>116.95869755835</v>
      </c>
      <c r="AI4664">
        <v>85.555423228506697</v>
      </c>
      <c r="AJ4664">
        <v>64.036077104066194</v>
      </c>
      <c r="AK4664">
        <v>130.48093564819101</v>
      </c>
      <c r="AL4664">
        <v>88.798224528522695</v>
      </c>
      <c r="AM4664">
        <v>83.413768465773003</v>
      </c>
      <c r="AN4664">
        <v>0.99999995707851896</v>
      </c>
    </row>
    <row r="4665" spans="1:40" x14ac:dyDescent="0.25">
      <c r="A4665" t="str">
        <f>"20190312160425852"</f>
        <v>20190312160425852</v>
      </c>
      <c r="B4665" t="str">
        <f>"1552377865849403"</f>
        <v>1552377865849403</v>
      </c>
      <c r="C4665" t="s">
        <v>40</v>
      </c>
      <c r="D4665">
        <v>5.693676</v>
      </c>
      <c r="E4665">
        <v>0.63286540000000002</v>
      </c>
      <c r="F4665" t="s">
        <v>55</v>
      </c>
      <c r="G4665">
        <v>-331.08049999999997</v>
      </c>
      <c r="H4665">
        <v>11.21062</v>
      </c>
      <c r="I4665">
        <v>116.62009999999999</v>
      </c>
      <c r="J4665">
        <v>-202.749</v>
      </c>
      <c r="K4665">
        <v>1.1036969999999999</v>
      </c>
      <c r="L4665">
        <v>145.0616</v>
      </c>
      <c r="M4665">
        <v>-0.78193780000000002</v>
      </c>
      <c r="N4665">
        <v>0</v>
      </c>
      <c r="O4665">
        <v>-0.62322829999999996</v>
      </c>
      <c r="P4665">
        <v>-0.84784599999999899</v>
      </c>
      <c r="Q4665">
        <v>1.016622E-2</v>
      </c>
      <c r="R4665">
        <v>-0.53014510000000004</v>
      </c>
      <c r="S4665">
        <v>-3.111084</v>
      </c>
      <c r="T4665">
        <v>0.24484990000000001</v>
      </c>
      <c r="U4665">
        <v>-0.69052119999999995</v>
      </c>
      <c r="V4665">
        <v>0.1142049</v>
      </c>
      <c r="W4665">
        <v>2.097626E-2</v>
      </c>
      <c r="X4665">
        <v>0.9932358</v>
      </c>
      <c r="Y4665">
        <v>0.436226</v>
      </c>
      <c r="Z4665">
        <v>-6.1579380000000003E-2</v>
      </c>
      <c r="AA4665">
        <v>0.89772759999999996</v>
      </c>
      <c r="AB4665">
        <v>20</v>
      </c>
      <c r="AC4665">
        <v>-128.33149999999901</v>
      </c>
      <c r="AD4665">
        <v>10.106923</v>
      </c>
      <c r="AE4665">
        <v>-28.441500000000001</v>
      </c>
      <c r="AF4665">
        <v>57.405559975147902</v>
      </c>
      <c r="AG4665">
        <v>10.106923</v>
      </c>
      <c r="AH4665">
        <v>117.388212013021</v>
      </c>
      <c r="AI4665">
        <v>85.577249120538298</v>
      </c>
      <c r="AJ4665">
        <v>63.9402937034546</v>
      </c>
      <c r="AK4665">
        <v>131.063116582058</v>
      </c>
      <c r="AL4665">
        <v>88.7980607484904</v>
      </c>
      <c r="AM4665">
        <v>83.440783817499195</v>
      </c>
      <c r="AN4665">
        <v>1.00000005853461</v>
      </c>
    </row>
    <row r="4666" spans="1:40" x14ac:dyDescent="0.25">
      <c r="A4666" t="str">
        <f>"20190312160425865"</f>
        <v>20190312160425865</v>
      </c>
      <c r="B4666" t="str">
        <f>"1552377865859164"</f>
        <v>1552377865859164</v>
      </c>
      <c r="C4666" t="s">
        <v>40</v>
      </c>
      <c r="D4666">
        <v>5.5923819999999997</v>
      </c>
      <c r="E4666">
        <v>0.63166690000000003</v>
      </c>
      <c r="F4666" t="s">
        <v>55</v>
      </c>
      <c r="G4666">
        <v>-330.94869999999997</v>
      </c>
      <c r="H4666">
        <v>2.9790130000000001</v>
      </c>
      <c r="I4666">
        <v>116.49290000000001</v>
      </c>
      <c r="J4666">
        <v>-202.8503</v>
      </c>
      <c r="K4666">
        <v>1.103693</v>
      </c>
      <c r="L4666">
        <v>144.99119999999999</v>
      </c>
      <c r="M4666">
        <v>-0.78645229999999999</v>
      </c>
      <c r="N4666">
        <v>0</v>
      </c>
      <c r="O4666">
        <v>-0.61752169999999995</v>
      </c>
      <c r="P4666">
        <v>-0.85155530000000002</v>
      </c>
      <c r="Q4666">
        <v>1.032288E-2</v>
      </c>
      <c r="R4666">
        <v>-0.52416300000000005</v>
      </c>
      <c r="S4666">
        <v>-3.1051639999999998</v>
      </c>
      <c r="T4666">
        <v>4.5422909999999997E-2</v>
      </c>
      <c r="U4666">
        <v>-0.6919708</v>
      </c>
      <c r="V4666">
        <v>0.11397069999999999</v>
      </c>
      <c r="W4666">
        <v>2.11393E-2</v>
      </c>
      <c r="X4666">
        <v>0.99325920000000001</v>
      </c>
      <c r="Y4666">
        <v>0.43161440000000001</v>
      </c>
      <c r="Z4666">
        <v>-1.136526E-2</v>
      </c>
      <c r="AA4666">
        <v>0.90198659999999997</v>
      </c>
      <c r="AB4666">
        <v>20</v>
      </c>
      <c r="AC4666">
        <v>-128.098399999999</v>
      </c>
      <c r="AD4666">
        <v>1.8753200000000001</v>
      </c>
      <c r="AE4666">
        <v>-28.498299999999901</v>
      </c>
      <c r="AF4666">
        <v>56.6839407177224</v>
      </c>
      <c r="AG4666">
        <v>1.8753200000000001</v>
      </c>
      <c r="AH4666">
        <v>118.326888549953</v>
      </c>
      <c r="AI4666">
        <v>89.181113921069198</v>
      </c>
      <c r="AJ4666">
        <v>64.403467693903295</v>
      </c>
      <c r="AK4666">
        <v>131.216761560045</v>
      </c>
      <c r="AL4666">
        <v>88.788717119855704</v>
      </c>
      <c r="AM4666">
        <v>83.454270819190896</v>
      </c>
      <c r="AN4666">
        <v>1.0000000144238099</v>
      </c>
    </row>
    <row r="4667" spans="1:40" x14ac:dyDescent="0.25">
      <c r="A4667" t="str">
        <f>"20190312160425877"</f>
        <v>20190312160425877</v>
      </c>
      <c r="B4667" t="str">
        <f>"1552377865869900"</f>
        <v>1552377865869900</v>
      </c>
      <c r="C4667" t="s">
        <v>40</v>
      </c>
      <c r="D4667">
        <v>5.5686679999999997</v>
      </c>
      <c r="E4667">
        <v>0.63127159999999904</v>
      </c>
      <c r="F4667" t="s">
        <v>55</v>
      </c>
      <c r="G4667">
        <v>-331.40050000000002</v>
      </c>
      <c r="H4667">
        <v>2.7205330000000001</v>
      </c>
      <c r="I4667">
        <v>116.91930000000001</v>
      </c>
      <c r="J4667">
        <v>-202.93770000000001</v>
      </c>
      <c r="K4667">
        <v>1.103699</v>
      </c>
      <c r="L4667">
        <v>144.93180000000001</v>
      </c>
      <c r="M4667">
        <v>-0.79028580000000004</v>
      </c>
      <c r="N4667">
        <v>0</v>
      </c>
      <c r="O4667">
        <v>-0.61260809999999999</v>
      </c>
      <c r="P4667">
        <v>-0.85455550000000002</v>
      </c>
      <c r="Q4667">
        <v>1.0076399999999999E-2</v>
      </c>
      <c r="R4667">
        <v>-0.51926240000000001</v>
      </c>
      <c r="S4667">
        <v>-3.1051030000000002</v>
      </c>
      <c r="T4667">
        <v>3.9054749999999999E-2</v>
      </c>
      <c r="U4667">
        <v>-0.67807010000000001</v>
      </c>
      <c r="V4667">
        <v>0.1134839</v>
      </c>
      <c r="W4667">
        <v>2.090237E-2</v>
      </c>
      <c r="X4667">
        <v>0.99331990000000003</v>
      </c>
      <c r="Y4667">
        <v>0.42986360000000001</v>
      </c>
      <c r="Z4667">
        <v>-9.7218280000000001E-3</v>
      </c>
      <c r="AA4667">
        <v>0.90284149999999996</v>
      </c>
      <c r="AB4667">
        <v>20</v>
      </c>
      <c r="AC4667">
        <v>-128.46279999999999</v>
      </c>
      <c r="AD4667">
        <v>1.6168340000000001</v>
      </c>
      <c r="AE4667">
        <v>-28.012499999999999</v>
      </c>
      <c r="AF4667">
        <v>56.555434667367997</v>
      </c>
      <c r="AG4667">
        <v>1.6168340000000001</v>
      </c>
      <c r="AH4667">
        <v>118.67454162955001</v>
      </c>
      <c r="AI4667">
        <v>89.295360299690003</v>
      </c>
      <c r="AJ4667">
        <v>64.5194400501328</v>
      </c>
      <c r="AK4667">
        <v>131.471586944032</v>
      </c>
      <c r="AL4667">
        <v>88.802295148793704</v>
      </c>
      <c r="AM4667">
        <v>83.482383190784603</v>
      </c>
      <c r="AN4667">
        <v>0.99999996418341697</v>
      </c>
    </row>
    <row r="4668" spans="1:40" x14ac:dyDescent="0.25">
      <c r="A4668" t="str">
        <f>"20190312160425890"</f>
        <v>20190312160425890</v>
      </c>
      <c r="B4668" t="str">
        <f>"1552377865879659"</f>
        <v>1552377865879659</v>
      </c>
      <c r="C4668" t="s">
        <v>40</v>
      </c>
      <c r="D4668">
        <v>5.6598759999999997</v>
      </c>
      <c r="E4668">
        <v>0.63104530000000003</v>
      </c>
      <c r="F4668" t="s">
        <v>55</v>
      </c>
      <c r="G4668">
        <v>-331.92750000000001</v>
      </c>
      <c r="H4668">
        <v>2.5885159999999998</v>
      </c>
      <c r="I4668">
        <v>117.4169</v>
      </c>
      <c r="J4668">
        <v>-203.02709999999999</v>
      </c>
      <c r="K4668">
        <v>1.103701</v>
      </c>
      <c r="L4668">
        <v>144.87139999999999</v>
      </c>
      <c r="M4668">
        <v>-0.79416719999999996</v>
      </c>
      <c r="N4668">
        <v>0</v>
      </c>
      <c r="O4668">
        <v>-0.60756779999999999</v>
      </c>
      <c r="P4668">
        <v>-0.85757539999999999</v>
      </c>
      <c r="Q4668">
        <v>9.9274610000000003E-3</v>
      </c>
      <c r="R4668">
        <v>-0.51426280000000002</v>
      </c>
      <c r="S4668">
        <v>-3.1074069999999998</v>
      </c>
      <c r="T4668">
        <v>3.5770059999999999E-2</v>
      </c>
      <c r="U4668">
        <v>-0.66284180000000004</v>
      </c>
      <c r="V4668">
        <v>0.1129642</v>
      </c>
      <c r="W4668">
        <v>2.076269E-2</v>
      </c>
      <c r="X4668">
        <v>0.99338210000000005</v>
      </c>
      <c r="Y4668">
        <v>0.42849809999999999</v>
      </c>
      <c r="Z4668">
        <v>-8.8529549999999992E-3</v>
      </c>
      <c r="AA4668">
        <v>0.90349939999999995</v>
      </c>
      <c r="AB4668">
        <v>20</v>
      </c>
      <c r="AC4668">
        <v>-128.90039999999999</v>
      </c>
      <c r="AD4668">
        <v>1.48481499999999</v>
      </c>
      <c r="AE4668">
        <v>-27.454499999999999</v>
      </c>
      <c r="AF4668">
        <v>56.509612853319901</v>
      </c>
      <c r="AG4668">
        <v>1.48481499999999</v>
      </c>
      <c r="AH4668">
        <v>119.04334434899501</v>
      </c>
      <c r="AI4668">
        <v>89.354429717209896</v>
      </c>
      <c r="AJ4668">
        <v>64.606411175401007</v>
      </c>
      <c r="AK4668">
        <v>131.78337852024401</v>
      </c>
      <c r="AL4668">
        <v>88.8103000012416</v>
      </c>
      <c r="AM4668">
        <v>83.512378350631593</v>
      </c>
      <c r="AN4668">
        <v>0.99999999818904295</v>
      </c>
    </row>
    <row r="4669" spans="1:40" x14ac:dyDescent="0.25">
      <c r="A4669" t="str">
        <f>"20190312160425908"</f>
        <v>20190312160425908</v>
      </c>
      <c r="B4669" t="str">
        <f>"1552377865899181"</f>
        <v>1552377865899181</v>
      </c>
      <c r="C4669" t="s">
        <v>40</v>
      </c>
      <c r="D4669">
        <v>5.6175610000000002</v>
      </c>
      <c r="E4669">
        <v>0.64704729999999999</v>
      </c>
      <c r="F4669" t="s">
        <v>55</v>
      </c>
      <c r="G4669">
        <v>-332.49029999999999</v>
      </c>
      <c r="H4669">
        <v>3.5300820000000002</v>
      </c>
      <c r="I4669">
        <v>117.9486</v>
      </c>
      <c r="J4669">
        <v>-203.16970000000001</v>
      </c>
      <c r="K4669">
        <v>1.1037049999999999</v>
      </c>
      <c r="L4669">
        <v>144.77690000000001</v>
      </c>
      <c r="M4669">
        <v>-0.80025109999999999</v>
      </c>
      <c r="N4669">
        <v>0</v>
      </c>
      <c r="O4669">
        <v>-0.599531699999999</v>
      </c>
      <c r="P4669">
        <v>-0.86220059999999998</v>
      </c>
      <c r="Q4669">
        <v>9.3170939999999997E-3</v>
      </c>
      <c r="R4669">
        <v>-0.50648130000000002</v>
      </c>
      <c r="S4669">
        <v>-3.109772</v>
      </c>
      <c r="T4669">
        <v>5.8283210000000002E-2</v>
      </c>
      <c r="U4669">
        <v>-0.646698</v>
      </c>
      <c r="V4669">
        <v>0.1119343</v>
      </c>
      <c r="W4669">
        <v>2.0167239999999999E-2</v>
      </c>
      <c r="X4669">
        <v>0.99351100000000003</v>
      </c>
      <c r="Y4669">
        <v>0.42391990000000002</v>
      </c>
      <c r="Z4669">
        <v>-1.426728E-2</v>
      </c>
      <c r="AA4669">
        <v>0.90558729999999998</v>
      </c>
      <c r="AB4669">
        <v>20</v>
      </c>
      <c r="AC4669">
        <v>-129.32059999999899</v>
      </c>
      <c r="AD4669">
        <v>2.426377</v>
      </c>
      <c r="AE4669">
        <v>-26.828299999999999</v>
      </c>
      <c r="AF4669">
        <v>56.0479892863735</v>
      </c>
      <c r="AG4669">
        <v>2.426377</v>
      </c>
      <c r="AH4669">
        <v>119.542584503713</v>
      </c>
      <c r="AI4669">
        <v>88.947163752537506</v>
      </c>
      <c r="AJ4669">
        <v>64.880291625395103</v>
      </c>
      <c r="AK4669">
        <v>132.05186071471701</v>
      </c>
      <c r="AL4669">
        <v>88.844423987202205</v>
      </c>
      <c r="AM4669">
        <v>83.571855970368105</v>
      </c>
      <c r="AN4669">
        <v>1.00000005610335</v>
      </c>
    </row>
    <row r="4670" spans="1:40" x14ac:dyDescent="0.25">
      <c r="A4670" t="str">
        <f>"20190312160425932"</f>
        <v>20190312160425932</v>
      </c>
      <c r="B4670" t="str">
        <f>"1552377865919676"</f>
        <v>1552377865919676</v>
      </c>
      <c r="C4670" t="s">
        <v>40</v>
      </c>
      <c r="D4670">
        <v>5.7117000000000004</v>
      </c>
      <c r="E4670">
        <v>0.6416113</v>
      </c>
      <c r="F4670" t="s">
        <v>41</v>
      </c>
      <c r="G4670">
        <v>-220.87039999999999</v>
      </c>
      <c r="H4670" s="1">
        <v>-4.3988799999999998E-6</v>
      </c>
      <c r="I4670">
        <v>141.97880000000001</v>
      </c>
      <c r="J4670">
        <v>-203.3409</v>
      </c>
      <c r="K4670">
        <v>1.1037030000000001</v>
      </c>
      <c r="L4670">
        <v>144.66650000000001</v>
      </c>
      <c r="M4670">
        <v>-0.80738699999999997</v>
      </c>
      <c r="N4670">
        <v>0</v>
      </c>
      <c r="O4670">
        <v>-0.5898873</v>
      </c>
      <c r="P4670">
        <v>-0.86778840000000002</v>
      </c>
      <c r="Q4670">
        <v>8.4823680000000005E-3</v>
      </c>
      <c r="R4670">
        <v>-0.49686130000000001</v>
      </c>
      <c r="S4670">
        <v>-3.1857760000000002</v>
      </c>
      <c r="T4670">
        <v>-0.1986462</v>
      </c>
      <c r="U4670">
        <v>-0.50360109999999902</v>
      </c>
      <c r="V4670">
        <v>0.11105470000000001</v>
      </c>
      <c r="W4670">
        <v>1.9338660000000001E-2</v>
      </c>
      <c r="X4670">
        <v>0.99362609999999996</v>
      </c>
      <c r="Y4670">
        <v>0.45480690000000001</v>
      </c>
      <c r="Z4670">
        <v>4.824722E-2</v>
      </c>
      <c r="AA4670">
        <v>0.88928220000000002</v>
      </c>
      <c r="AB4670">
        <v>20</v>
      </c>
      <c r="AC4670">
        <v>-17.529499999999899</v>
      </c>
      <c r="AD4670">
        <v>-1.1037073988799999</v>
      </c>
      <c r="AE4670">
        <v>-2.6877</v>
      </c>
      <c r="AF4670">
        <v>8.1395392408806799</v>
      </c>
      <c r="AG4670">
        <v>-1.1037073988799999</v>
      </c>
      <c r="AH4670">
        <v>15.6790543269233</v>
      </c>
      <c r="AI4670">
        <v>93.575000740744898</v>
      </c>
      <c r="AJ4670">
        <v>62.564613265100597</v>
      </c>
      <c r="AK4670">
        <v>17.700367613775501</v>
      </c>
      <c r="AL4670">
        <v>88.891907301170903</v>
      </c>
      <c r="AM4670">
        <v>83.622684333390893</v>
      </c>
      <c r="AN4670">
        <v>0.99999997838194699</v>
      </c>
    </row>
    <row r="4671" spans="1:40" x14ac:dyDescent="0.25">
      <c r="A4671" t="str">
        <f>"20190312160425952"</f>
        <v>20190312160425952</v>
      </c>
      <c r="B4671" t="str">
        <f>"1552377865949932"</f>
        <v>1552377865949932</v>
      </c>
      <c r="C4671" t="s">
        <v>40</v>
      </c>
      <c r="D4671">
        <v>5.7669949999999996</v>
      </c>
      <c r="E4671">
        <v>0.63837650000000001</v>
      </c>
      <c r="F4671" t="s">
        <v>41</v>
      </c>
      <c r="G4671">
        <v>-230.56620000000001</v>
      </c>
      <c r="H4671" s="1">
        <v>-4.2060169999999999E-6</v>
      </c>
      <c r="I4671">
        <v>140.30789999999999</v>
      </c>
      <c r="J4671">
        <v>-203.4984</v>
      </c>
      <c r="K4671">
        <v>1.1037060000000001</v>
      </c>
      <c r="L4671">
        <v>144.56720000000001</v>
      </c>
      <c r="M4671">
        <v>-0.81380209999999997</v>
      </c>
      <c r="N4671">
        <v>0</v>
      </c>
      <c r="O4671">
        <v>-0.58100509999999905</v>
      </c>
      <c r="P4671">
        <v>-0.87264519999999901</v>
      </c>
      <c r="Q4671">
        <v>7.6282969999999896E-3</v>
      </c>
      <c r="R4671">
        <v>-0.48829499999999998</v>
      </c>
      <c r="S4671">
        <v>-3.167923</v>
      </c>
      <c r="T4671">
        <v>-0.12842690000000001</v>
      </c>
      <c r="U4671">
        <v>-0.50715639999999995</v>
      </c>
      <c r="V4671">
        <v>0.1099392</v>
      </c>
      <c r="W4671">
        <v>1.849433E-2</v>
      </c>
      <c r="X4671">
        <v>0.99376620000000004</v>
      </c>
      <c r="Y4671">
        <v>0.44433539999999999</v>
      </c>
      <c r="Z4671">
        <v>3.088167E-2</v>
      </c>
      <c r="AA4671">
        <v>0.89532809999999896</v>
      </c>
      <c r="AB4671">
        <v>20</v>
      </c>
      <c r="AC4671">
        <v>-27.067799999999998</v>
      </c>
      <c r="AD4671">
        <v>-1.1037102060170001</v>
      </c>
      <c r="AE4671">
        <v>-4.2593000000000201</v>
      </c>
      <c r="AF4671">
        <v>12.2414171396615</v>
      </c>
      <c r="AG4671">
        <v>-1.1037102060170001</v>
      </c>
      <c r="AH4671">
        <v>24.464764538689099</v>
      </c>
      <c r="AI4671">
        <v>92.310372463676003</v>
      </c>
      <c r="AJ4671">
        <v>63.418023797086299</v>
      </c>
      <c r="AK4671">
        <v>27.378735795130599</v>
      </c>
      <c r="AL4671">
        <v>88.940292491741801</v>
      </c>
      <c r="AM4671">
        <v>83.687104929659398</v>
      </c>
      <c r="AN4671">
        <v>0.99999996410061298</v>
      </c>
    </row>
    <row r="4672" spans="1:40" x14ac:dyDescent="0.25">
      <c r="A4672" t="str">
        <f>"20190312160425976"</f>
        <v>20190312160425976</v>
      </c>
      <c r="B4672" t="str">
        <f>"1552377865969452"</f>
        <v>1552377865969452</v>
      </c>
      <c r="C4672" t="s">
        <v>40</v>
      </c>
      <c r="D4672">
        <v>5.8349699999999904</v>
      </c>
      <c r="E4672">
        <v>0.63757330000000001</v>
      </c>
      <c r="F4672" t="s">
        <v>41</v>
      </c>
      <c r="G4672">
        <v>-237.02520000000001</v>
      </c>
      <c r="H4672" s="1">
        <v>-1.319666E-6</v>
      </c>
      <c r="I4672">
        <v>139.2713</v>
      </c>
      <c r="J4672">
        <v>-203.67670000000001</v>
      </c>
      <c r="K4672">
        <v>1.1037060000000001</v>
      </c>
      <c r="L4672">
        <v>144.45779999999999</v>
      </c>
      <c r="M4672">
        <v>-0.82088329999999998</v>
      </c>
      <c r="N4672">
        <v>0</v>
      </c>
      <c r="O4672">
        <v>-0.57095699999999905</v>
      </c>
      <c r="P4672">
        <v>-0.87799259999999901</v>
      </c>
      <c r="Q4672">
        <v>7.830732E-3</v>
      </c>
      <c r="R4672">
        <v>-0.4786106</v>
      </c>
      <c r="S4672">
        <v>-3.1594699999999998</v>
      </c>
      <c r="T4672">
        <v>-0.104010199999999</v>
      </c>
      <c r="U4672">
        <v>-0.49906919999999999</v>
      </c>
      <c r="V4672">
        <v>0.1087188</v>
      </c>
      <c r="W4672">
        <v>1.8708389999999998E-2</v>
      </c>
      <c r="X4672">
        <v>0.99389649999999996</v>
      </c>
      <c r="Y4672">
        <v>0.43542959999999897</v>
      </c>
      <c r="Z4672">
        <v>2.46772E-2</v>
      </c>
      <c r="AA4672">
        <v>0.89988449999999998</v>
      </c>
      <c r="AB4672">
        <v>20</v>
      </c>
      <c r="AC4672">
        <v>-33.348500000000001</v>
      </c>
      <c r="AD4672">
        <v>-1.1037073196660001</v>
      </c>
      <c r="AE4672">
        <v>-5.1864999999999899</v>
      </c>
      <c r="AF4672">
        <v>14.7684268963493</v>
      </c>
      <c r="AG4672">
        <v>-1.1037073196660001</v>
      </c>
      <c r="AH4672">
        <v>30.306490471480199</v>
      </c>
      <c r="AI4672">
        <v>91.875079108095306</v>
      </c>
      <c r="AJ4672">
        <v>64.019912709383206</v>
      </c>
      <c r="AK4672">
        <v>33.731409213642699</v>
      </c>
      <c r="AL4672">
        <v>88.928025691036396</v>
      </c>
      <c r="AM4672">
        <v>83.757437930435799</v>
      </c>
      <c r="AN4672">
        <v>1.0000000170210399</v>
      </c>
    </row>
    <row r="4673" spans="1:40" x14ac:dyDescent="0.25">
      <c r="A4673" t="str">
        <f>"20190312160425989"</f>
        <v>20190312160425989</v>
      </c>
      <c r="B4673" t="str">
        <f>"1552377865979212"</f>
        <v>1552377865979212</v>
      </c>
      <c r="C4673" t="s">
        <v>40</v>
      </c>
      <c r="D4673">
        <v>5.5700960000000004</v>
      </c>
      <c r="E4673">
        <v>0.63642279999999996</v>
      </c>
      <c r="F4673" t="s">
        <v>41</v>
      </c>
      <c r="G4673">
        <v>-238.0179</v>
      </c>
      <c r="H4673" s="1">
        <v>-8.7886859999999998E-7</v>
      </c>
      <c r="I4673">
        <v>139.35550000000001</v>
      </c>
      <c r="J4673">
        <v>-203.78370000000001</v>
      </c>
      <c r="K4673">
        <v>1.1037090000000001</v>
      </c>
      <c r="L4673">
        <v>144.39340000000001</v>
      </c>
      <c r="M4673">
        <v>-0.82505189999999995</v>
      </c>
      <c r="N4673">
        <v>0</v>
      </c>
      <c r="O4673">
        <v>-0.56491650000000004</v>
      </c>
      <c r="P4673">
        <v>-0.88107049999999998</v>
      </c>
      <c r="Q4673">
        <v>7.8506679999999999E-3</v>
      </c>
      <c r="R4673">
        <v>-0.4729198</v>
      </c>
      <c r="S4673">
        <v>-3.1617280000000001</v>
      </c>
      <c r="T4673">
        <v>-0.101616</v>
      </c>
      <c r="U4673">
        <v>-0.46975709999999998</v>
      </c>
      <c r="V4673">
        <v>0.1078542</v>
      </c>
      <c r="W4673">
        <v>1.873795E-2</v>
      </c>
      <c r="X4673">
        <v>0.99399009999999999</v>
      </c>
      <c r="Y4673">
        <v>0.4370966</v>
      </c>
      <c r="Z4673">
        <v>2.399012E-2</v>
      </c>
      <c r="AA4673">
        <v>0.89909459999999997</v>
      </c>
      <c r="AB4673">
        <v>20</v>
      </c>
      <c r="AC4673">
        <v>-34.234199999999902</v>
      </c>
      <c r="AD4673">
        <v>-1.1037098788685999</v>
      </c>
      <c r="AE4673">
        <v>-5.0378999999999996</v>
      </c>
      <c r="AF4673">
        <v>15.1687080681567</v>
      </c>
      <c r="AG4673">
        <v>-1.1037098788685999</v>
      </c>
      <c r="AH4673">
        <v>31.061850292895599</v>
      </c>
      <c r="AI4673">
        <v>91.828770182721598</v>
      </c>
      <c r="AJ4673">
        <v>63.971945988355799</v>
      </c>
      <c r="AK4673">
        <v>34.585349840242102</v>
      </c>
      <c r="AL4673">
        <v>88.926331690122694</v>
      </c>
      <c r="AM4673">
        <v>83.807274029944907</v>
      </c>
      <c r="AN4673">
        <v>0.99999997906292604</v>
      </c>
    </row>
    <row r="4674" spans="1:40" x14ac:dyDescent="0.25">
      <c r="A4674" t="str">
        <f>"20190312160426009"</f>
        <v>20190312160426009</v>
      </c>
      <c r="B4674" t="str">
        <f>"1552377865999708"</f>
        <v>1552377865999708</v>
      </c>
      <c r="C4674" t="s">
        <v>40</v>
      </c>
      <c r="D4674">
        <v>5.1727089999999896</v>
      </c>
      <c r="E4674">
        <v>0.63576509999999997</v>
      </c>
      <c r="F4674" t="s">
        <v>41</v>
      </c>
      <c r="G4674">
        <v>-237.27119999999999</v>
      </c>
      <c r="H4674" s="1">
        <v>-1.1652380000000001E-6</v>
      </c>
      <c r="I4674">
        <v>139.5471</v>
      </c>
      <c r="J4674">
        <v>-203.93790000000001</v>
      </c>
      <c r="K4674">
        <v>1.1037110000000001</v>
      </c>
      <c r="L4674">
        <v>144.30269999999999</v>
      </c>
      <c r="M4674">
        <v>-0.83093980000000001</v>
      </c>
      <c r="N4674">
        <v>0</v>
      </c>
      <c r="O4674">
        <v>-0.55622019999999905</v>
      </c>
      <c r="P4674">
        <v>-0.88530900000000001</v>
      </c>
      <c r="Q4674">
        <v>8.2890280000000004E-3</v>
      </c>
      <c r="R4674">
        <v>-0.4649298</v>
      </c>
      <c r="S4674">
        <v>-3.1603699999999999</v>
      </c>
      <c r="T4674">
        <v>-0.1041623</v>
      </c>
      <c r="U4674">
        <v>-0.45736690000000002</v>
      </c>
      <c r="V4674">
        <v>0.1064109</v>
      </c>
      <c r="W4674">
        <v>1.9193249999999999E-2</v>
      </c>
      <c r="X4674">
        <v>0.99413700000000005</v>
      </c>
      <c r="Y4674">
        <v>0.43101859999999997</v>
      </c>
      <c r="Z4674">
        <v>2.4279530000000001E-2</v>
      </c>
      <c r="AA4674">
        <v>0.90201629999999999</v>
      </c>
      <c r="AB4674">
        <v>20</v>
      </c>
      <c r="AC4674">
        <v>-33.333299999999902</v>
      </c>
      <c r="AD4674">
        <v>-1.103712165238</v>
      </c>
      <c r="AE4674">
        <v>-4.7555999999999798</v>
      </c>
      <c r="AF4674">
        <v>14.5745309072803</v>
      </c>
      <c r="AG4674">
        <v>-1.103712165238</v>
      </c>
      <c r="AH4674">
        <v>30.312954807490701</v>
      </c>
      <c r="AI4674">
        <v>91.879469396575402</v>
      </c>
      <c r="AJ4674">
        <v>64.321656824166695</v>
      </c>
      <c r="AK4674">
        <v>33.6527912790594</v>
      </c>
      <c r="AL4674">
        <v>88.900240270461396</v>
      </c>
      <c r="AM4674">
        <v>83.890409758852996</v>
      </c>
      <c r="AN4674">
        <v>1.0000000176266799</v>
      </c>
    </row>
    <row r="4675" spans="1:40" x14ac:dyDescent="0.25">
      <c r="A4675" t="str">
        <f>"20190312160426030"</f>
        <v>20190312160426030</v>
      </c>
      <c r="B4675" t="str">
        <f>"1552377866019231"</f>
        <v>1552377866019231</v>
      </c>
      <c r="C4675" t="s">
        <v>40</v>
      </c>
      <c r="D4675">
        <v>5.2594919999999998</v>
      </c>
      <c r="E4675">
        <v>0.62705679999999997</v>
      </c>
      <c r="F4675" t="s">
        <v>41</v>
      </c>
      <c r="G4675">
        <v>-245.3776</v>
      </c>
      <c r="H4675" s="1">
        <v>-2.1423440000000002E-6</v>
      </c>
      <c r="I4675">
        <v>138.6182</v>
      </c>
      <c r="J4675">
        <v>-204.10400000000001</v>
      </c>
      <c r="K4675">
        <v>1.103712</v>
      </c>
      <c r="L4675">
        <v>144.20740000000001</v>
      </c>
      <c r="M4675">
        <v>-0.837138099999999</v>
      </c>
      <c r="N4675">
        <v>0</v>
      </c>
      <c r="O4675">
        <v>-0.54684730000000004</v>
      </c>
      <c r="P4675">
        <v>-0.89015630000000001</v>
      </c>
      <c r="Q4675">
        <v>7.706152E-3</v>
      </c>
      <c r="R4675">
        <v>-0.45559050000000001</v>
      </c>
      <c r="S4675">
        <v>-3.1616819999999999</v>
      </c>
      <c r="T4675">
        <v>-8.4208850000000002E-2</v>
      </c>
      <c r="U4675">
        <v>-0.43370059999999999</v>
      </c>
      <c r="V4675">
        <v>0.1056908</v>
      </c>
      <c r="W4675">
        <v>1.8615429999999999E-2</v>
      </c>
      <c r="X4675">
        <v>0.99422480000000002</v>
      </c>
      <c r="Y4675">
        <v>0.42772320000000003</v>
      </c>
      <c r="Z4675">
        <v>1.9390190000000002E-2</v>
      </c>
      <c r="AA4675">
        <v>0.9037018</v>
      </c>
      <c r="AB4675">
        <v>20</v>
      </c>
      <c r="AC4675">
        <v>-41.273599999999902</v>
      </c>
      <c r="AD4675">
        <v>-1.103714142344</v>
      </c>
      <c r="AE4675">
        <v>-5.5891999999999999</v>
      </c>
      <c r="AF4675">
        <v>17.880280553044699</v>
      </c>
      <c r="AG4675">
        <v>-1.103714142344</v>
      </c>
      <c r="AH4675">
        <v>37.584717307021101</v>
      </c>
      <c r="AI4675">
        <v>91.519021729186605</v>
      </c>
      <c r="AJ4675">
        <v>64.5580373256754</v>
      </c>
      <c r="AK4675">
        <v>41.635724956007302</v>
      </c>
      <c r="AL4675">
        <v>88.933352833435904</v>
      </c>
      <c r="AM4675">
        <v>83.9319767180627</v>
      </c>
      <c r="AN4675">
        <v>1.0000000161868801</v>
      </c>
    </row>
    <row r="4676" spans="1:40" x14ac:dyDescent="0.25">
      <c r="A4676" t="str">
        <f>"20190312160426042"</f>
        <v>20190312160426042</v>
      </c>
      <c r="B4676" t="str">
        <f>"1552377866029964"</f>
        <v>1552377866029964</v>
      </c>
      <c r="C4676" t="s">
        <v>40</v>
      </c>
      <c r="D4676">
        <v>5.6956870000000004</v>
      </c>
      <c r="E4676">
        <v>0.62707740000000001</v>
      </c>
      <c r="F4676" t="s">
        <v>55</v>
      </c>
      <c r="G4676">
        <v>-368.61149999999998</v>
      </c>
      <c r="H4676">
        <v>9.4944419999999994</v>
      </c>
      <c r="I4676">
        <v>119.6443</v>
      </c>
      <c r="J4676">
        <v>-204.19579999999999</v>
      </c>
      <c r="K4676">
        <v>1.1037090000000001</v>
      </c>
      <c r="L4676">
        <v>144.1557</v>
      </c>
      <c r="M4676">
        <v>-0.84049819999999997</v>
      </c>
      <c r="N4676">
        <v>0</v>
      </c>
      <c r="O4676">
        <v>-0.54166829999999999</v>
      </c>
      <c r="P4676">
        <v>-0.8929184</v>
      </c>
      <c r="Q4676">
        <v>7.0369489999999998E-3</v>
      </c>
      <c r="R4676">
        <v>-0.45016339999999999</v>
      </c>
      <c r="S4676">
        <v>-3.1296689999999998</v>
      </c>
      <c r="T4676">
        <v>0.15962950000000001</v>
      </c>
      <c r="U4676">
        <v>-0.4673004</v>
      </c>
      <c r="V4676">
        <v>0.1055972</v>
      </c>
      <c r="W4676">
        <v>1.7944149999999999E-2</v>
      </c>
      <c r="X4676">
        <v>0.99424710000000005</v>
      </c>
      <c r="Y4676">
        <v>0.41051270000000001</v>
      </c>
      <c r="Z4676">
        <v>-3.6407019999999998E-2</v>
      </c>
      <c r="AA4676">
        <v>0.91112780000000004</v>
      </c>
      <c r="AB4676">
        <v>20</v>
      </c>
      <c r="AC4676">
        <v>-164.41569999999999</v>
      </c>
      <c r="AD4676">
        <v>8.3907329999999902</v>
      </c>
      <c r="AE4676">
        <v>-24.511399999999899</v>
      </c>
      <c r="AF4676">
        <v>68.288415982596803</v>
      </c>
      <c r="AG4676">
        <v>8.3907329999999902</v>
      </c>
      <c r="AH4676">
        <v>151.09517161952101</v>
      </c>
      <c r="AI4676">
        <v>87.103051991948703</v>
      </c>
      <c r="AJ4676">
        <v>65.679110301560101</v>
      </c>
      <c r="AK4676">
        <v>166.02247752765899</v>
      </c>
      <c r="AL4676">
        <v>88.971820784664004</v>
      </c>
      <c r="AM4676">
        <v>83.937445499769595</v>
      </c>
      <c r="AN4676">
        <v>1.00000002851273</v>
      </c>
    </row>
    <row r="4677" spans="1:40" x14ac:dyDescent="0.25">
      <c r="A4677" t="str">
        <f>"20190312160426054"</f>
        <v>20190312160426054</v>
      </c>
      <c r="B4677" t="str">
        <f>"1552377866049484"</f>
        <v>1552377866049484</v>
      </c>
      <c r="C4677" t="s">
        <v>40</v>
      </c>
      <c r="D4677">
        <v>5.2516400000000001</v>
      </c>
      <c r="E4677">
        <v>0.62957640000000004</v>
      </c>
      <c r="F4677" t="s">
        <v>96</v>
      </c>
      <c r="G4677">
        <v>-371.78030000000001</v>
      </c>
      <c r="H4677">
        <v>9.3192869999999992</v>
      </c>
      <c r="I4677">
        <v>120.18810000000001</v>
      </c>
      <c r="J4677">
        <v>-204.2867</v>
      </c>
      <c r="K4677">
        <v>1.103712</v>
      </c>
      <c r="L4677">
        <v>144.1054</v>
      </c>
      <c r="M4677">
        <v>-0.84377639999999998</v>
      </c>
      <c r="N4677">
        <v>0</v>
      </c>
      <c r="O4677">
        <v>-0.53654749999999996</v>
      </c>
      <c r="P4677">
        <v>-0.89556250000000004</v>
      </c>
      <c r="Q4677">
        <v>6.5152889999999996E-3</v>
      </c>
      <c r="R4677">
        <v>-0.44488830000000001</v>
      </c>
      <c r="S4677">
        <v>-3.1326749999999999</v>
      </c>
      <c r="T4677">
        <v>0.15357470000000001</v>
      </c>
      <c r="U4677">
        <v>-0.4480286</v>
      </c>
      <c r="V4677">
        <v>0.1054107</v>
      </c>
      <c r="W4677">
        <v>1.7421619999999999E-2</v>
      </c>
      <c r="X4677">
        <v>0.99427619999999906</v>
      </c>
      <c r="Y4677">
        <v>0.41067510000000002</v>
      </c>
      <c r="Z4677">
        <v>-3.4815510000000001E-2</v>
      </c>
      <c r="AA4677">
        <v>0.91111679999999995</v>
      </c>
      <c r="AB4677">
        <v>20</v>
      </c>
      <c r="AC4677">
        <v>-167.49359999999999</v>
      </c>
      <c r="AD4677">
        <v>8.2155749999999994</v>
      </c>
      <c r="AE4677">
        <v>-23.917300000000001</v>
      </c>
      <c r="AF4677">
        <v>69.528993062749507</v>
      </c>
      <c r="AG4677">
        <v>8.2155749999999994</v>
      </c>
      <c r="AH4677">
        <v>153.80945027165399</v>
      </c>
      <c r="AI4677">
        <v>87.213497903684001</v>
      </c>
      <c r="AJ4677">
        <v>65.674828829290306</v>
      </c>
      <c r="AK4677">
        <v>168.99444825723899</v>
      </c>
      <c r="AL4677">
        <v>89.001764246272202</v>
      </c>
      <c r="AM4677">
        <v>83.948249130201404</v>
      </c>
      <c r="AN4677">
        <v>1.00000004520217</v>
      </c>
    </row>
    <row r="4678" spans="1:40" x14ac:dyDescent="0.25">
      <c r="A4678" t="str">
        <f>"20190312160426066"</f>
        <v>20190312160426066</v>
      </c>
      <c r="B4678" t="str">
        <f>"1552377866059244"</f>
        <v>1552377866059244</v>
      </c>
      <c r="C4678" t="s">
        <v>40</v>
      </c>
      <c r="D4678">
        <v>5.1478199999999896</v>
      </c>
      <c r="E4678">
        <v>0.63007559999999996</v>
      </c>
      <c r="F4678" t="s">
        <v>96</v>
      </c>
      <c r="G4678">
        <v>-390.86970000000002</v>
      </c>
      <c r="H4678">
        <v>12.21815</v>
      </c>
      <c r="I4678">
        <v>119.616</v>
      </c>
      <c r="J4678">
        <v>-204.38550000000001</v>
      </c>
      <c r="K4678">
        <v>1.1037170000000001</v>
      </c>
      <c r="L4678">
        <v>144.05119999999999</v>
      </c>
      <c r="M4678">
        <v>-0.84729739999999998</v>
      </c>
      <c r="N4678">
        <v>0</v>
      </c>
      <c r="O4678">
        <v>-0.53096999999999905</v>
      </c>
      <c r="P4678">
        <v>-0.89853619999999901</v>
      </c>
      <c r="Q4678">
        <v>6.6377989999999998E-3</v>
      </c>
      <c r="R4678">
        <v>-0.43884899999999999</v>
      </c>
      <c r="S4678">
        <v>-3.1435550000000001</v>
      </c>
      <c r="T4678">
        <v>0.18725620000000001</v>
      </c>
      <c r="U4678">
        <v>-0.41259770000000001</v>
      </c>
      <c r="V4678">
        <v>0.10554669999999999</v>
      </c>
      <c r="W4678">
        <v>1.7538430000000001E-2</v>
      </c>
      <c r="X4678">
        <v>0.99425969999999997</v>
      </c>
      <c r="Y4678">
        <v>0.41467999999999999</v>
      </c>
      <c r="Z4678">
        <v>-4.2189369999999997E-2</v>
      </c>
      <c r="AA4678">
        <v>0.90898869999999998</v>
      </c>
      <c r="AB4678">
        <v>20</v>
      </c>
      <c r="AC4678">
        <v>-186.48419999999999</v>
      </c>
      <c r="AD4678">
        <v>11.114433</v>
      </c>
      <c r="AE4678">
        <v>-24.435199999999899</v>
      </c>
      <c r="AF4678">
        <v>78.047265204249598</v>
      </c>
      <c r="AG4678">
        <v>11.114433</v>
      </c>
      <c r="AH4678">
        <v>170.400373171355</v>
      </c>
      <c r="AI4678">
        <v>86.606272181397998</v>
      </c>
      <c r="AJ4678">
        <v>65.391137890821</v>
      </c>
      <c r="AK4678">
        <v>187.75301170343701</v>
      </c>
      <c r="AL4678">
        <v>88.995070485277907</v>
      </c>
      <c r="AM4678">
        <v>83.940399454160001</v>
      </c>
      <c r="AN4678">
        <v>1.0000000267259199</v>
      </c>
    </row>
    <row r="4679" spans="1:40" x14ac:dyDescent="0.25">
      <c r="A4679" t="str">
        <f>"20190312160426079"</f>
        <v>20190312160426079</v>
      </c>
      <c r="B4679" t="str">
        <f>"1552377866069981"</f>
        <v>1552377866069981</v>
      </c>
      <c r="C4679" t="s">
        <v>40</v>
      </c>
      <c r="D4679">
        <v>5.5565619999999996</v>
      </c>
      <c r="E4679">
        <v>0.63015169999999998</v>
      </c>
      <c r="F4679" t="s">
        <v>96</v>
      </c>
      <c r="G4679">
        <v>-397.98700000000002</v>
      </c>
      <c r="H4679">
        <v>12.91343</v>
      </c>
      <c r="I4679">
        <v>120.187</v>
      </c>
      <c r="J4679">
        <v>-204.48740000000001</v>
      </c>
      <c r="K4679">
        <v>1.103731</v>
      </c>
      <c r="L4679">
        <v>143.9966</v>
      </c>
      <c r="M4679">
        <v>-0.85086109999999904</v>
      </c>
      <c r="N4679">
        <v>0</v>
      </c>
      <c r="O4679">
        <v>-0.5252405</v>
      </c>
      <c r="P4679">
        <v>-0.90136400000000005</v>
      </c>
      <c r="Q4679">
        <v>6.6329029999999999E-3</v>
      </c>
      <c r="R4679">
        <v>-0.43301149999999999</v>
      </c>
      <c r="S4679">
        <v>-3.1478269999999999</v>
      </c>
      <c r="T4679">
        <v>0.19201789999999999</v>
      </c>
      <c r="U4679">
        <v>-0.38801570000000002</v>
      </c>
      <c r="V4679">
        <v>0.1052864</v>
      </c>
      <c r="W4679">
        <v>1.7534620000000001E-2</v>
      </c>
      <c r="X4679">
        <v>0.99428729999999999</v>
      </c>
      <c r="Y4679">
        <v>0.41561629999999999</v>
      </c>
      <c r="Z4679">
        <v>-4.2972929999999999E-2</v>
      </c>
      <c r="AA4679">
        <v>0.90852429999999995</v>
      </c>
      <c r="AB4679">
        <v>20</v>
      </c>
      <c r="AC4679">
        <v>-193.49959999999999</v>
      </c>
      <c r="AD4679">
        <v>11.809699</v>
      </c>
      <c r="AE4679">
        <v>-23.8095999999999</v>
      </c>
      <c r="AF4679">
        <v>81.084058426387998</v>
      </c>
      <c r="AG4679">
        <v>11.809699</v>
      </c>
      <c r="AH4679">
        <v>176.513335339474</v>
      </c>
      <c r="AI4679">
        <v>86.520837548960799</v>
      </c>
      <c r="AJ4679">
        <v>65.327603032179397</v>
      </c>
      <c r="AK4679">
        <v>194.604858814034</v>
      </c>
      <c r="AL4679">
        <v>88.995288750660706</v>
      </c>
      <c r="AM4679">
        <v>83.955399455196201</v>
      </c>
      <c r="AN4679">
        <v>0.99999996193239604</v>
      </c>
    </row>
    <row r="4680" spans="1:40" x14ac:dyDescent="0.25">
      <c r="A4680" t="str">
        <f>"20190312160426098"</f>
        <v>20190312160426098</v>
      </c>
      <c r="B4680" t="str">
        <f>"1552377866089501"</f>
        <v>1552377866089501</v>
      </c>
      <c r="C4680" t="s">
        <v>40</v>
      </c>
      <c r="D4680">
        <v>5.390949</v>
      </c>
      <c r="E4680">
        <v>0.62954679999999996</v>
      </c>
      <c r="F4680" t="s">
        <v>97</v>
      </c>
      <c r="G4680">
        <v>-440.75</v>
      </c>
      <c r="H4680">
        <v>15.76268</v>
      </c>
      <c r="I4680">
        <v>116.4684</v>
      </c>
      <c r="J4680">
        <v>-204.64</v>
      </c>
      <c r="K4680">
        <v>1.103747</v>
      </c>
      <c r="L4680">
        <v>143.9161</v>
      </c>
      <c r="M4680">
        <v>-0.85610090000000005</v>
      </c>
      <c r="N4680">
        <v>0</v>
      </c>
      <c r="O4680">
        <v>-0.51665629999999996</v>
      </c>
      <c r="P4680">
        <v>-0.90560529999999995</v>
      </c>
      <c r="Q4680">
        <v>7.0441979999999998E-3</v>
      </c>
      <c r="R4680">
        <v>-0.42406309999999903</v>
      </c>
      <c r="S4680">
        <v>-3.1504970000000001</v>
      </c>
      <c r="T4680">
        <v>0.19547329999999999</v>
      </c>
      <c r="U4680">
        <v>-0.36708069999999998</v>
      </c>
      <c r="V4680">
        <v>0.10513740000000001</v>
      </c>
      <c r="W4680">
        <v>1.7944160000000001E-2</v>
      </c>
      <c r="X4680">
        <v>0.99429579999999995</v>
      </c>
      <c r="Y4680">
        <v>0.4124775</v>
      </c>
      <c r="Z4680">
        <v>-4.3189270000000002E-2</v>
      </c>
      <c r="AA4680">
        <v>0.90994339999999996</v>
      </c>
      <c r="AB4680">
        <v>20</v>
      </c>
      <c r="AC4680">
        <v>-236.11</v>
      </c>
      <c r="AD4680">
        <v>14.658932999999999</v>
      </c>
      <c r="AE4680">
        <v>-27.447700000000001</v>
      </c>
      <c r="AF4680">
        <v>98.124292349184699</v>
      </c>
      <c r="AG4680">
        <v>14.658932999999999</v>
      </c>
      <c r="AH4680">
        <v>215.51241798719801</v>
      </c>
      <c r="AI4680">
        <v>86.457658213735598</v>
      </c>
      <c r="AJ4680">
        <v>65.519898154211504</v>
      </c>
      <c r="AK4680">
        <v>237.25274154878699</v>
      </c>
      <c r="AL4680">
        <v>88.971820184173495</v>
      </c>
      <c r="AM4680">
        <v>83.963941721412198</v>
      </c>
      <c r="AN4680">
        <v>1.0000000018272499</v>
      </c>
    </row>
    <row r="4681" spans="1:40" x14ac:dyDescent="0.25">
      <c r="A4681" t="str">
        <f>"20190312160426112"</f>
        <v>20190312160426112</v>
      </c>
      <c r="B4681" t="str">
        <f>"1552377866109189"</f>
        <v>1552377866109189</v>
      </c>
      <c r="C4681" t="s">
        <v>40</v>
      </c>
      <c r="D4681">
        <v>5.2248380000000001</v>
      </c>
      <c r="E4681">
        <v>0.62892579999999998</v>
      </c>
      <c r="F4681" t="s">
        <v>97</v>
      </c>
      <c r="G4681">
        <v>-440.20710000000003</v>
      </c>
      <c r="H4681">
        <v>15.69472</v>
      </c>
      <c r="I4681">
        <v>118.4975</v>
      </c>
      <c r="J4681">
        <v>-204.74799999999999</v>
      </c>
      <c r="K4681">
        <v>1.1037680000000001</v>
      </c>
      <c r="L4681">
        <v>143.86019999999999</v>
      </c>
      <c r="M4681">
        <v>-0.85973029999999995</v>
      </c>
      <c r="N4681">
        <v>0</v>
      </c>
      <c r="O4681">
        <v>-0.51059429999999995</v>
      </c>
      <c r="P4681">
        <v>-0.90841950000000005</v>
      </c>
      <c r="Q4681">
        <v>7.2777559999999998E-3</v>
      </c>
      <c r="R4681">
        <v>-0.41799710000000001</v>
      </c>
      <c r="S4681">
        <v>-3.1519170000000001</v>
      </c>
      <c r="T4681">
        <v>0.19522929999999999</v>
      </c>
      <c r="U4681">
        <v>-0.34010309999999999</v>
      </c>
      <c r="V4681">
        <v>0.1047633</v>
      </c>
      <c r="W4681">
        <v>1.8181579999999999E-2</v>
      </c>
      <c r="X4681">
        <v>0.99433090000000002</v>
      </c>
      <c r="Y4681">
        <v>0.41379270000000001</v>
      </c>
      <c r="Z4681">
        <v>-4.2872680000000003E-2</v>
      </c>
      <c r="AA4681">
        <v>0.90936110000000003</v>
      </c>
      <c r="AB4681">
        <v>20</v>
      </c>
      <c r="AC4681">
        <v>-235.45910000000001</v>
      </c>
      <c r="AD4681">
        <v>14.590952</v>
      </c>
      <c r="AE4681">
        <v>-25.362699999999901</v>
      </c>
      <c r="AF4681">
        <v>98.054517817101697</v>
      </c>
      <c r="AG4681">
        <v>14.590952</v>
      </c>
      <c r="AH4681">
        <v>214.58375135375701</v>
      </c>
      <c r="AI4681">
        <v>86.461017170423005</v>
      </c>
      <c r="AJ4681">
        <v>65.441864803611793</v>
      </c>
      <c r="AK4681">
        <v>236.37633276125899</v>
      </c>
      <c r="AL4681">
        <v>88.958214724416493</v>
      </c>
      <c r="AM4681">
        <v>83.985472273639104</v>
      </c>
      <c r="AN4681">
        <v>0.99999992878649502</v>
      </c>
    </row>
    <row r="4682" spans="1:40" x14ac:dyDescent="0.25">
      <c r="A4682" t="str">
        <f>"20190312160426134"</f>
        <v>20190312160426134</v>
      </c>
      <c r="B4682" t="str">
        <f>"1552377866129686"</f>
        <v>1552377866129686</v>
      </c>
      <c r="C4682" t="s">
        <v>40</v>
      </c>
      <c r="D4682">
        <v>5.686102</v>
      </c>
      <c r="E4682">
        <v>0.62774540000000001</v>
      </c>
      <c r="F4682" t="s">
        <v>97</v>
      </c>
      <c r="G4682">
        <v>-440.20710000000003</v>
      </c>
      <c r="H4682">
        <v>15.55406</v>
      </c>
      <c r="I4682">
        <v>119.6885</v>
      </c>
      <c r="J4682">
        <v>-204.92070000000001</v>
      </c>
      <c r="K4682">
        <v>1.103793</v>
      </c>
      <c r="L4682">
        <v>143.773</v>
      </c>
      <c r="M4682">
        <v>-0.86540339999999905</v>
      </c>
      <c r="N4682">
        <v>0</v>
      </c>
      <c r="O4682">
        <v>-0.500919</v>
      </c>
      <c r="P4682">
        <v>-0.91298800000000002</v>
      </c>
      <c r="Q4682">
        <v>7.5523079999999998E-3</v>
      </c>
      <c r="R4682">
        <v>-0.40791670000000002</v>
      </c>
      <c r="S4682">
        <v>-3.1520079999999999</v>
      </c>
      <c r="T4682">
        <v>0.19344120000000001</v>
      </c>
      <c r="U4682">
        <v>-0.32357789999999997</v>
      </c>
      <c r="V4682">
        <v>0.10461760000000001</v>
      </c>
      <c r="W4682">
        <v>1.8454760000000001E-2</v>
      </c>
      <c r="X4682">
        <v>0.99434129999999998</v>
      </c>
      <c r="Y4682">
        <v>0.40835189999999999</v>
      </c>
      <c r="Z4682">
        <v>-4.1822860000000003E-2</v>
      </c>
      <c r="AA4682">
        <v>0.91186590000000001</v>
      </c>
      <c r="AB4682">
        <v>20</v>
      </c>
      <c r="AC4682">
        <v>-235.28639999999999</v>
      </c>
      <c r="AD4682">
        <v>14.450267</v>
      </c>
      <c r="AE4682">
        <v>-24.084499999999899</v>
      </c>
      <c r="AF4682">
        <v>96.663419801549395</v>
      </c>
      <c r="AG4682">
        <v>14.450267</v>
      </c>
      <c r="AH4682">
        <v>214.89681882769699</v>
      </c>
      <c r="AI4682">
        <v>86.490762156759104</v>
      </c>
      <c r="AJ4682">
        <v>65.7811571228562</v>
      </c>
      <c r="AK4682">
        <v>236.078947994873</v>
      </c>
      <c r="AL4682">
        <v>88.942560132619306</v>
      </c>
      <c r="AM4682">
        <v>83.993838176875201</v>
      </c>
      <c r="AN4682">
        <v>1.00000002064105</v>
      </c>
    </row>
    <row r="4683" spans="1:40" x14ac:dyDescent="0.25">
      <c r="A4683" t="str">
        <f>"20190312160426154"</f>
        <v>20190312160426154</v>
      </c>
      <c r="B4683" t="str">
        <f>"1552377866149206"</f>
        <v>1552377866149206</v>
      </c>
      <c r="C4683" t="s">
        <v>40</v>
      </c>
      <c r="D4683">
        <v>5.8617730000000003</v>
      </c>
      <c r="E4683">
        <v>0.62658249999999904</v>
      </c>
      <c r="F4683" t="s">
        <v>97</v>
      </c>
      <c r="G4683">
        <v>-461.03219999999999</v>
      </c>
      <c r="H4683">
        <v>16.31869</v>
      </c>
      <c r="I4683">
        <v>119.6241</v>
      </c>
      <c r="J4683">
        <v>-205.0847</v>
      </c>
      <c r="K4683">
        <v>1.1038159999999999</v>
      </c>
      <c r="L4683">
        <v>143.69229999999999</v>
      </c>
      <c r="M4683">
        <v>-0.87064079999999999</v>
      </c>
      <c r="N4683">
        <v>0</v>
      </c>
      <c r="O4683">
        <v>-0.49175980000000002</v>
      </c>
      <c r="P4683">
        <v>-0.91724240000000001</v>
      </c>
      <c r="Q4683">
        <v>6.768301E-3</v>
      </c>
      <c r="R4683">
        <v>-0.39827190000000001</v>
      </c>
      <c r="S4683">
        <v>-3.1515960000000001</v>
      </c>
      <c r="T4683">
        <v>0.18722810000000001</v>
      </c>
      <c r="U4683">
        <v>-0.29716490000000001</v>
      </c>
      <c r="V4683">
        <v>0.1045953</v>
      </c>
      <c r="W4683">
        <v>1.766763E-2</v>
      </c>
      <c r="X4683">
        <v>0.99435790000000002</v>
      </c>
      <c r="Y4683">
        <v>0.40639730000000002</v>
      </c>
      <c r="Z4683">
        <v>-3.9987799999999997E-2</v>
      </c>
      <c r="AA4683">
        <v>0.91282099999999999</v>
      </c>
      <c r="AB4683">
        <v>20</v>
      </c>
      <c r="AC4683">
        <v>-255.94749999999999</v>
      </c>
      <c r="AD4683">
        <v>15.214873999999901</v>
      </c>
      <c r="AE4683">
        <v>-24.068199999999901</v>
      </c>
      <c r="AF4683">
        <v>104.551944185362</v>
      </c>
      <c r="AG4683">
        <v>15.214873999999901</v>
      </c>
      <c r="AH4683">
        <v>233.87331714910101</v>
      </c>
      <c r="AI4683">
        <v>86.601110168094095</v>
      </c>
      <c r="AJ4683">
        <v>65.913198174717493</v>
      </c>
      <c r="AK4683">
        <v>256.63072672246199</v>
      </c>
      <c r="AL4683">
        <v>88.987666673854605</v>
      </c>
      <c r="AM4683">
        <v>83.995208592753798</v>
      </c>
      <c r="AN4683">
        <v>0.99999997761215798</v>
      </c>
    </row>
    <row r="4684" spans="1:40" x14ac:dyDescent="0.25">
      <c r="A4684" t="str">
        <f>"20190312160426176"</f>
        <v>20190312160426176</v>
      </c>
      <c r="B4684" t="str">
        <f>"1552377866169702"</f>
        <v>1552377866169702</v>
      </c>
      <c r="C4684" t="s">
        <v>40</v>
      </c>
      <c r="D4684">
        <v>5.3554579999999996</v>
      </c>
      <c r="E4684">
        <v>0.61490429999999996</v>
      </c>
      <c r="F4684" t="s">
        <v>45</v>
      </c>
      <c r="G4684">
        <v>0</v>
      </c>
      <c r="H4684">
        <v>0</v>
      </c>
      <c r="I4684">
        <v>0</v>
      </c>
      <c r="J4684">
        <v>-205.2706</v>
      </c>
      <c r="K4684">
        <v>1.103837</v>
      </c>
      <c r="L4684">
        <v>143.60329999999999</v>
      </c>
      <c r="M4684">
        <v>-0.87640439999999997</v>
      </c>
      <c r="N4684">
        <v>0</v>
      </c>
      <c r="O4684">
        <v>-0.48141309999999898</v>
      </c>
      <c r="P4684">
        <v>-0.92182909999999996</v>
      </c>
      <c r="Q4684">
        <v>6.0177379999999999E-3</v>
      </c>
      <c r="R4684">
        <v>-0.3875497</v>
      </c>
      <c r="S4684">
        <v>-3.151062</v>
      </c>
      <c r="T4684">
        <v>0.180138299999999</v>
      </c>
      <c r="U4684">
        <v>-0.27239989999999997</v>
      </c>
      <c r="V4684">
        <v>0.1044018</v>
      </c>
      <c r="W4684">
        <v>1.6916730000000001E-2</v>
      </c>
      <c r="X4684">
        <v>0.99439129999999998</v>
      </c>
      <c r="Y4684">
        <v>0.4028079</v>
      </c>
      <c r="Z4684">
        <v>-3.7888419999999999E-2</v>
      </c>
      <c r="AA4684">
        <v>0.91449999999999998</v>
      </c>
      <c r="AB4684">
        <v>20</v>
      </c>
      <c r="AC4684">
        <v>-3.151062</v>
      </c>
      <c r="AD4684">
        <v>0.180138299999999</v>
      </c>
      <c r="AE4684">
        <v>-0.27239989999999997</v>
      </c>
      <c r="AF4684">
        <v>1.2741969091541401</v>
      </c>
      <c r="AG4684">
        <v>0.180138299999999</v>
      </c>
      <c r="AH4684">
        <v>2.8836141359961598</v>
      </c>
      <c r="AI4684">
        <v>86.729685254844995</v>
      </c>
      <c r="AJ4684">
        <v>66.160564516996303</v>
      </c>
      <c r="AK4684">
        <v>3.1577298896108501</v>
      </c>
      <c r="AL4684">
        <v>89.030696517259102</v>
      </c>
      <c r="AM4684">
        <v>84.006436294846196</v>
      </c>
      <c r="AN4684">
        <v>0.99999998455641104</v>
      </c>
    </row>
    <row r="4685" spans="1:40" x14ac:dyDescent="0.25">
      <c r="A4685" t="str">
        <f>"20190312160426191"</f>
        <v>20190312160426191</v>
      </c>
      <c r="B4685" t="str">
        <f>"1552377866179462"</f>
        <v>1552377866179462</v>
      </c>
      <c r="C4685" t="s">
        <v>40</v>
      </c>
      <c r="D4685">
        <v>5.8651910000000003</v>
      </c>
      <c r="E4685">
        <v>0.61291499999999999</v>
      </c>
      <c r="F4685" t="s">
        <v>97</v>
      </c>
      <c r="G4685">
        <v>-440.20710000000003</v>
      </c>
      <c r="H4685">
        <v>8.3627850000000006</v>
      </c>
      <c r="I4685">
        <v>119.54040000000001</v>
      </c>
      <c r="J4685">
        <v>-205.38990000000001</v>
      </c>
      <c r="K4685">
        <v>1.103853</v>
      </c>
      <c r="L4685">
        <v>143.54750000000001</v>
      </c>
      <c r="M4685">
        <v>-0.88001249999999998</v>
      </c>
      <c r="N4685">
        <v>0</v>
      </c>
      <c r="O4685">
        <v>-0.47478619999999999</v>
      </c>
      <c r="P4685">
        <v>-0.9246065</v>
      </c>
      <c r="Q4685">
        <v>5.9630150000000003E-3</v>
      </c>
      <c r="R4685">
        <v>-0.38087749999999998</v>
      </c>
      <c r="S4685">
        <v>-3.1194459999999999</v>
      </c>
      <c r="T4685">
        <v>9.6383330000000003E-2</v>
      </c>
      <c r="U4685">
        <v>-0.3195038</v>
      </c>
      <c r="V4685">
        <v>0.1040832</v>
      </c>
      <c r="W4685">
        <v>1.6864279999999999E-2</v>
      </c>
      <c r="X4685">
        <v>0.99442560000000002</v>
      </c>
      <c r="Y4685">
        <v>0.38229469999999999</v>
      </c>
      <c r="Z4685">
        <v>-1.99645E-2</v>
      </c>
      <c r="AA4685">
        <v>0.92382470000000005</v>
      </c>
      <c r="AB4685">
        <v>20</v>
      </c>
      <c r="AC4685">
        <v>-234.81720000000001</v>
      </c>
      <c r="AD4685">
        <v>7.2589319999999997</v>
      </c>
      <c r="AE4685">
        <v>-24.007100000000001</v>
      </c>
      <c r="AF4685">
        <v>90.283085976705806</v>
      </c>
      <c r="AG4685">
        <v>7.2589319999999997</v>
      </c>
      <c r="AH4685">
        <v>217.85129739179899</v>
      </c>
      <c r="AI4685">
        <v>88.236883829590596</v>
      </c>
      <c r="AJ4685">
        <v>67.489646485901901</v>
      </c>
      <c r="AK4685">
        <v>235.929895270922</v>
      </c>
      <c r="AL4685">
        <v>89.033702119988007</v>
      </c>
      <c r="AM4685">
        <v>84.024798760998905</v>
      </c>
      <c r="AN4685">
        <v>0.99999999519875904</v>
      </c>
    </row>
    <row r="4686" spans="1:40" x14ac:dyDescent="0.25">
      <c r="A4686" t="str">
        <f>"20190312160426209"</f>
        <v>20190312160426209</v>
      </c>
      <c r="B4686" t="str">
        <f>"1552377866199958"</f>
        <v>1552377866199958</v>
      </c>
      <c r="C4686" t="s">
        <v>40</v>
      </c>
      <c r="D4686">
        <v>6.0686309999999999</v>
      </c>
      <c r="E4686">
        <v>0.61159940000000002</v>
      </c>
      <c r="F4686" t="s">
        <v>97</v>
      </c>
      <c r="G4686">
        <v>-442.82240000000002</v>
      </c>
      <c r="H4686">
        <v>7.8214559999999897</v>
      </c>
      <c r="I4686">
        <v>119.8177</v>
      </c>
      <c r="J4686">
        <v>-205.5419</v>
      </c>
      <c r="K4686">
        <v>1.103869</v>
      </c>
      <c r="L4686">
        <v>143.47799999999901</v>
      </c>
      <c r="M4686">
        <v>-0.88449999999999995</v>
      </c>
      <c r="N4686">
        <v>0</v>
      </c>
      <c r="O4686">
        <v>-0.46637289999999998</v>
      </c>
      <c r="P4686">
        <v>-0.92790669999999997</v>
      </c>
      <c r="Q4686">
        <v>5.9404940000000002E-3</v>
      </c>
      <c r="R4686">
        <v>-0.37276579999999998</v>
      </c>
      <c r="S4686">
        <v>-3.1157840000000001</v>
      </c>
      <c r="T4686">
        <v>8.8154199999999905E-2</v>
      </c>
      <c r="U4686">
        <v>-0.31140139999999999</v>
      </c>
      <c r="V4686">
        <v>0.1033077</v>
      </c>
      <c r="W4686">
        <v>1.6851410000000001E-2</v>
      </c>
      <c r="X4686">
        <v>0.99450669999999997</v>
      </c>
      <c r="Y4686">
        <v>0.37581019999999998</v>
      </c>
      <c r="Z4686">
        <v>-1.798433E-2</v>
      </c>
      <c r="AA4686">
        <v>0.92652210000000002</v>
      </c>
      <c r="AB4686">
        <v>20</v>
      </c>
      <c r="AC4686">
        <v>-237.28049999999999</v>
      </c>
      <c r="AD4686">
        <v>6.717587</v>
      </c>
      <c r="AE4686">
        <v>-23.6602999999999</v>
      </c>
      <c r="AF4686">
        <v>89.6695002819732</v>
      </c>
      <c r="AG4686">
        <v>6.717587</v>
      </c>
      <c r="AH4686">
        <v>220.751175690308</v>
      </c>
      <c r="AI4686">
        <v>88.385065360290895</v>
      </c>
      <c r="AJ4686">
        <v>67.892927625799203</v>
      </c>
      <c r="AK4686">
        <v>238.36280503588401</v>
      </c>
      <c r="AL4686">
        <v>89.0344396392655</v>
      </c>
      <c r="AM4686">
        <v>84.069480295552594</v>
      </c>
      <c r="AN4686">
        <v>1.0000000136215801</v>
      </c>
    </row>
    <row r="4687" spans="1:40" x14ac:dyDescent="0.25">
      <c r="A4687" t="str">
        <f>"20190312160426222"</f>
        <v>20190312160426222</v>
      </c>
      <c r="B4687" t="str">
        <f>"1552377866219478"</f>
        <v>1552377866219478</v>
      </c>
      <c r="C4687" t="s">
        <v>40</v>
      </c>
      <c r="D4687">
        <v>5.722861</v>
      </c>
      <c r="E4687">
        <v>0.61072219999999999</v>
      </c>
      <c r="F4687" t="s">
        <v>97</v>
      </c>
      <c r="G4687">
        <v>-460.94619999999998</v>
      </c>
      <c r="H4687">
        <v>7.6205649999999903</v>
      </c>
      <c r="I4687">
        <v>119.395</v>
      </c>
      <c r="J4687">
        <v>-205.64930000000001</v>
      </c>
      <c r="K4687">
        <v>1.1038829999999999</v>
      </c>
      <c r="L4687">
        <v>143.43</v>
      </c>
      <c r="M4687">
        <v>-0.88759789999999905</v>
      </c>
      <c r="N4687">
        <v>0</v>
      </c>
      <c r="O4687">
        <v>-0.46045000000000003</v>
      </c>
      <c r="P4687">
        <v>-0.93019929999999995</v>
      </c>
      <c r="Q4687">
        <v>6.040676E-3</v>
      </c>
      <c r="R4687">
        <v>-0.3670059</v>
      </c>
      <c r="S4687">
        <v>-3.1145939999999999</v>
      </c>
      <c r="T4687">
        <v>7.9469799999999993E-2</v>
      </c>
      <c r="U4687">
        <v>-0.2936859</v>
      </c>
      <c r="V4687">
        <v>0.102826</v>
      </c>
      <c r="W4687">
        <v>1.6956769999999999E-2</v>
      </c>
      <c r="X4687">
        <v>0.99455479999999996</v>
      </c>
      <c r="Y4687">
        <v>0.3748629</v>
      </c>
      <c r="Z4687">
        <v>-1.6081209999999999E-2</v>
      </c>
      <c r="AA4687">
        <v>0.92694069999999995</v>
      </c>
      <c r="AB4687">
        <v>20</v>
      </c>
      <c r="AC4687">
        <v>-255.29689999999999</v>
      </c>
      <c r="AD4687">
        <v>6.5166819999999896</v>
      </c>
      <c r="AE4687">
        <v>-24.035</v>
      </c>
      <c r="AF4687">
        <v>96.163429814538205</v>
      </c>
      <c r="AG4687">
        <v>6.5166819999999896</v>
      </c>
      <c r="AH4687">
        <v>237.53301047090099</v>
      </c>
      <c r="AI4687">
        <v>88.543286123544704</v>
      </c>
      <c r="AJ4687">
        <v>67.959811243415501</v>
      </c>
      <c r="AK4687">
        <v>256.34313613076102</v>
      </c>
      <c r="AL4687">
        <v>89.028402064818096</v>
      </c>
      <c r="AM4687">
        <v>84.097220697356306</v>
      </c>
      <c r="AN4687">
        <v>0.99999998426393599</v>
      </c>
    </row>
    <row r="4688" spans="1:40" x14ac:dyDescent="0.25">
      <c r="A4688" t="str">
        <f>"20190312160426236"</f>
        <v>20190312160426236</v>
      </c>
      <c r="B4688" t="str">
        <f>"1552377866229238"</f>
        <v>1552377866229238</v>
      </c>
      <c r="C4688" t="s">
        <v>40</v>
      </c>
      <c r="D4688">
        <v>5.5595059999999998</v>
      </c>
      <c r="E4688">
        <v>0.61023149999999904</v>
      </c>
      <c r="F4688" t="s">
        <v>97</v>
      </c>
      <c r="G4688">
        <v>-463.16500000000002</v>
      </c>
      <c r="H4688">
        <v>6.8737959999999996</v>
      </c>
      <c r="I4688">
        <v>120.22029999999999</v>
      </c>
      <c r="J4688">
        <v>-205.75749999999999</v>
      </c>
      <c r="K4688">
        <v>1.1038969999999999</v>
      </c>
      <c r="L4688">
        <v>143.38249999999999</v>
      </c>
      <c r="M4688">
        <v>-0.89065810000000001</v>
      </c>
      <c r="N4688">
        <v>0</v>
      </c>
      <c r="O4688">
        <v>-0.45450200000000002</v>
      </c>
      <c r="P4688">
        <v>-0.93244610000000006</v>
      </c>
      <c r="Q4688">
        <v>6.1143519999999896E-3</v>
      </c>
      <c r="R4688">
        <v>-0.36125750000000001</v>
      </c>
      <c r="S4688">
        <v>-3.1139220000000001</v>
      </c>
      <c r="T4688">
        <v>6.9771050000000001E-2</v>
      </c>
      <c r="U4688">
        <v>-0.28065489999999998</v>
      </c>
      <c r="V4688">
        <v>0.1023112</v>
      </c>
      <c r="W4688">
        <v>1.703592E-2</v>
      </c>
      <c r="X4688">
        <v>0.99460660000000001</v>
      </c>
      <c r="Y4688">
        <v>0.37254880000000001</v>
      </c>
      <c r="Z4688">
        <v>-1.3982400000000001E-2</v>
      </c>
      <c r="AA4688">
        <v>0.92790729999999999</v>
      </c>
      <c r="AB4688">
        <v>20</v>
      </c>
      <c r="AC4688">
        <v>-257.40750000000003</v>
      </c>
      <c r="AD4688">
        <v>5.7698989999999997</v>
      </c>
      <c r="AE4688">
        <v>-23.162199999999999</v>
      </c>
      <c r="AF4688">
        <v>96.322135114353003</v>
      </c>
      <c r="AG4688">
        <v>5.7698989999999997</v>
      </c>
      <c r="AH4688">
        <v>239.68859198859701</v>
      </c>
      <c r="AI4688">
        <v>88.720433948120103</v>
      </c>
      <c r="AJ4688">
        <v>68.106598056806703</v>
      </c>
      <c r="AK4688">
        <v>258.38317781336701</v>
      </c>
      <c r="AL4688">
        <v>89.023866509381506</v>
      </c>
      <c r="AM4688">
        <v>84.126869698571497</v>
      </c>
      <c r="AN4688">
        <v>1.0000000464896199</v>
      </c>
    </row>
    <row r="4689" spans="1:40" x14ac:dyDescent="0.25">
      <c r="A4689" t="str">
        <f>"20190312160426255"</f>
        <v>20190312160426255</v>
      </c>
      <c r="B4689" t="str">
        <f>"1552377866249734"</f>
        <v>1552377866249734</v>
      </c>
      <c r="C4689" t="s">
        <v>40</v>
      </c>
      <c r="D4689">
        <v>5.3945339999999904</v>
      </c>
      <c r="E4689">
        <v>0.60928459999999995</v>
      </c>
      <c r="F4689" t="s">
        <v>45</v>
      </c>
      <c r="G4689">
        <v>0</v>
      </c>
      <c r="H4689">
        <v>0</v>
      </c>
      <c r="I4689">
        <v>0</v>
      </c>
      <c r="J4689">
        <v>-205.9194</v>
      </c>
      <c r="K4689">
        <v>1.1039239999999999</v>
      </c>
      <c r="L4689">
        <v>143.31290000000001</v>
      </c>
      <c r="M4689">
        <v>-0.8951346</v>
      </c>
      <c r="N4689">
        <v>0</v>
      </c>
      <c r="O4689">
        <v>-0.4456215</v>
      </c>
      <c r="P4689">
        <v>-0.93547179999999996</v>
      </c>
      <c r="Q4689">
        <v>5.9847889999999999E-3</v>
      </c>
      <c r="R4689">
        <v>-0.35335060000000001</v>
      </c>
      <c r="S4689">
        <v>-3.1142729999999998</v>
      </c>
      <c r="T4689">
        <v>6.5213320000000005E-2</v>
      </c>
      <c r="U4689">
        <v>-0.26492310000000002</v>
      </c>
      <c r="V4689">
        <v>0.1008362</v>
      </c>
      <c r="W4689">
        <v>1.6926259999999999E-2</v>
      </c>
      <c r="X4689">
        <v>0.99475899999999995</v>
      </c>
      <c r="Y4689">
        <v>0.36800369999999999</v>
      </c>
      <c r="Z4689">
        <v>-1.2858899999999999E-2</v>
      </c>
      <c r="AA4689">
        <v>0.92973539999999999</v>
      </c>
      <c r="AB4689">
        <v>20</v>
      </c>
      <c r="AC4689">
        <v>-3.1142729999999998</v>
      </c>
      <c r="AD4689">
        <v>6.5213320000000005E-2</v>
      </c>
      <c r="AE4689">
        <v>-0.26492310000000002</v>
      </c>
      <c r="AF4689">
        <v>1.15023391896875</v>
      </c>
      <c r="AG4689">
        <v>6.5213320000000005E-2</v>
      </c>
      <c r="AH4689">
        <v>2.9047103979339601</v>
      </c>
      <c r="AI4689">
        <v>88.804189114404807</v>
      </c>
      <c r="AJ4689">
        <v>68.396969656540193</v>
      </c>
      <c r="AK4689">
        <v>3.1248413305826102</v>
      </c>
      <c r="AL4689">
        <v>89.030150379473696</v>
      </c>
      <c r="AM4689">
        <v>84.211843073197201</v>
      </c>
      <c r="AN4689">
        <v>0.99999995279451204</v>
      </c>
    </row>
    <row r="4690" spans="1:40" x14ac:dyDescent="0.25">
      <c r="A4690" t="str">
        <f>"20190312160426268"</f>
        <v>20190312160426268</v>
      </c>
      <c r="B4690" t="str">
        <f>"1552377866259494"</f>
        <v>1552377866259494</v>
      </c>
      <c r="C4690" t="s">
        <v>40</v>
      </c>
      <c r="D4690">
        <v>5.2865279999999997</v>
      </c>
      <c r="E4690">
        <v>0.60928459999999995</v>
      </c>
      <c r="F4690" t="s">
        <v>45</v>
      </c>
      <c r="G4690">
        <v>0</v>
      </c>
      <c r="H4690">
        <v>0</v>
      </c>
      <c r="I4690">
        <v>0</v>
      </c>
      <c r="J4690">
        <v>-206.0256</v>
      </c>
      <c r="K4690">
        <v>1.1039410000000001</v>
      </c>
      <c r="L4690">
        <v>143.2681</v>
      </c>
      <c r="M4690">
        <v>-0.898007</v>
      </c>
      <c r="N4690">
        <v>0</v>
      </c>
      <c r="O4690">
        <v>-0.43980459999999899</v>
      </c>
      <c r="P4690">
        <v>-0.93745889999999998</v>
      </c>
      <c r="Q4690">
        <v>5.9062809999999898E-3</v>
      </c>
      <c r="R4690">
        <v>-0.34804610000000002</v>
      </c>
      <c r="S4690">
        <v>-3.1139220000000001</v>
      </c>
      <c r="T4690">
        <v>5.3828479999999998E-2</v>
      </c>
      <c r="U4690">
        <v>-0.24534610000000001</v>
      </c>
      <c r="V4690">
        <v>0.1000153</v>
      </c>
      <c r="W4690">
        <v>1.6858080000000001E-2</v>
      </c>
      <c r="X4690">
        <v>0.99484309999999998</v>
      </c>
      <c r="Y4690">
        <v>0.36782359999999997</v>
      </c>
      <c r="Z4690">
        <v>-1.0528650000000001E-2</v>
      </c>
      <c r="AA4690">
        <v>0.929836</v>
      </c>
      <c r="AB4690">
        <v>20</v>
      </c>
      <c r="AC4690">
        <v>-3.1139220000000001</v>
      </c>
      <c r="AD4690">
        <v>5.3828479999999998E-2</v>
      </c>
      <c r="AE4690">
        <v>-0.24534610000000001</v>
      </c>
      <c r="AF4690">
        <v>1.1489427655909401</v>
      </c>
      <c r="AG4690">
        <v>5.3828479999999998E-2</v>
      </c>
      <c r="AH4690">
        <v>2.9035914006953898</v>
      </c>
      <c r="AI4690">
        <v>89.012427228263306</v>
      </c>
      <c r="AJ4690">
        <v>68.411436944407299</v>
      </c>
      <c r="AK4690">
        <v>3.1231090288453101</v>
      </c>
      <c r="AL4690">
        <v>89.034057432497207</v>
      </c>
      <c r="AM4690">
        <v>84.259130059277695</v>
      </c>
      <c r="AN4690">
        <v>1.0000000243564899</v>
      </c>
    </row>
    <row r="4691" spans="1:40" x14ac:dyDescent="0.25">
      <c r="A4691" t="str">
        <f>"20190312160426289"</f>
        <v>20190312160426289</v>
      </c>
      <c r="B4691" t="str">
        <f>"1552377866279990"</f>
        <v>1552377866279990</v>
      </c>
      <c r="C4691" t="s">
        <v>40</v>
      </c>
      <c r="D4691">
        <v>5.4131039999999997</v>
      </c>
      <c r="E4691">
        <v>0.60893039999999998</v>
      </c>
      <c r="F4691" t="s">
        <v>45</v>
      </c>
      <c r="G4691">
        <v>0</v>
      </c>
      <c r="H4691">
        <v>0</v>
      </c>
      <c r="I4691">
        <v>0</v>
      </c>
      <c r="J4691">
        <v>-206.20150000000001</v>
      </c>
      <c r="K4691">
        <v>1.103972</v>
      </c>
      <c r="L4691">
        <v>143.19579999999999</v>
      </c>
      <c r="M4691">
        <v>-0.90263689999999996</v>
      </c>
      <c r="N4691">
        <v>0</v>
      </c>
      <c r="O4691">
        <v>-0.4302222</v>
      </c>
      <c r="P4691">
        <v>-0.94064709999999996</v>
      </c>
      <c r="Q4691">
        <v>5.8688809999999899E-3</v>
      </c>
      <c r="R4691">
        <v>-0.33933540000000001</v>
      </c>
      <c r="S4691">
        <v>-3.1152950000000001</v>
      </c>
      <c r="T4691">
        <v>5.3680539999999999E-2</v>
      </c>
      <c r="U4691">
        <v>-0.22766110000000001</v>
      </c>
      <c r="V4691">
        <v>9.8653130000000006E-2</v>
      </c>
      <c r="W4691">
        <v>1.6838530000000001E-2</v>
      </c>
      <c r="X4691">
        <v>0.99497939999999996</v>
      </c>
      <c r="Y4691">
        <v>0.36320540000000001</v>
      </c>
      <c r="Z4691">
        <v>-1.031025E-2</v>
      </c>
      <c r="AA4691">
        <v>0.93165209999999998</v>
      </c>
      <c r="AB4691">
        <v>20</v>
      </c>
      <c r="AC4691">
        <v>-3.1152950000000001</v>
      </c>
      <c r="AD4691">
        <v>5.3680539999999999E-2</v>
      </c>
      <c r="AE4691">
        <v>-0.22766110000000001</v>
      </c>
      <c r="AF4691">
        <v>1.13452691850134</v>
      </c>
      <c r="AG4691">
        <v>5.3680539999999999E-2</v>
      </c>
      <c r="AH4691">
        <v>2.9092921022260598</v>
      </c>
      <c r="AI4691">
        <v>89.015151973380597</v>
      </c>
      <c r="AJ4691">
        <v>68.695874547703198</v>
      </c>
      <c r="AK4691">
        <v>3.1231416018576201</v>
      </c>
      <c r="AL4691">
        <v>89.035177692068302</v>
      </c>
      <c r="AM4691">
        <v>84.337577525548696</v>
      </c>
      <c r="AN4691">
        <v>0.99999999128785799</v>
      </c>
    </row>
    <row r="4692" spans="1:40" x14ac:dyDescent="0.25">
      <c r="A4692" t="str">
        <f>"20190312160426302"</f>
        <v>20190312160426302</v>
      </c>
      <c r="B4692" t="str">
        <f>"1552377866289750"</f>
        <v>1552377866289750</v>
      </c>
      <c r="C4692" t="s">
        <v>40</v>
      </c>
      <c r="D4692">
        <v>5.3988269999999998</v>
      </c>
      <c r="E4692">
        <v>0.60897100000000004</v>
      </c>
      <c r="F4692" t="s">
        <v>41</v>
      </c>
      <c r="G4692">
        <v>-234.06549999999999</v>
      </c>
      <c r="H4692" s="1">
        <v>-3.0137130000000002E-6</v>
      </c>
      <c r="I4692">
        <v>141.44110000000001</v>
      </c>
      <c r="J4692">
        <v>-206.30619999999999</v>
      </c>
      <c r="K4692">
        <v>1.1039909999999999</v>
      </c>
      <c r="L4692">
        <v>143.15389999999999</v>
      </c>
      <c r="M4692">
        <v>-0.90532330000000005</v>
      </c>
      <c r="N4692">
        <v>0</v>
      </c>
      <c r="O4692">
        <v>-0.42454059999999999</v>
      </c>
      <c r="P4692">
        <v>-0.94249340000000004</v>
      </c>
      <c r="Q4692">
        <v>5.7798550000000004E-3</v>
      </c>
      <c r="R4692">
        <v>-0.33417540000000001</v>
      </c>
      <c r="S4692">
        <v>-3.119186</v>
      </c>
      <c r="T4692">
        <v>-0.1235826</v>
      </c>
      <c r="U4692">
        <v>-0.1964264</v>
      </c>
      <c r="V4692">
        <v>9.7850380000000001E-2</v>
      </c>
      <c r="W4692">
        <v>1.6760339999999999E-2</v>
      </c>
      <c r="X4692">
        <v>0.99505999999999994</v>
      </c>
      <c r="Y4692">
        <v>0.36623349999999999</v>
      </c>
      <c r="Z4692">
        <v>2.3570819999999999E-2</v>
      </c>
      <c r="AA4692">
        <v>0.93022439999999995</v>
      </c>
      <c r="AB4692">
        <v>20</v>
      </c>
      <c r="AC4692">
        <v>-27.7593</v>
      </c>
      <c r="AD4692">
        <v>-1.103994013713</v>
      </c>
      <c r="AE4692">
        <v>-1.7127999999999799</v>
      </c>
      <c r="AF4692">
        <v>10.219003578100001</v>
      </c>
      <c r="AG4692">
        <v>-1.103994013713</v>
      </c>
      <c r="AH4692">
        <v>25.8196152151931</v>
      </c>
      <c r="AI4692">
        <v>92.276726213199893</v>
      </c>
      <c r="AJ4692">
        <v>68.407108373407496</v>
      </c>
      <c r="AK4692">
        <v>27.7902746796819</v>
      </c>
      <c r="AL4692">
        <v>89.039658294323203</v>
      </c>
      <c r="AM4692">
        <v>84.383809431106599</v>
      </c>
      <c r="AN4692">
        <v>1.0000000047315201</v>
      </c>
    </row>
    <row r="4693" spans="1:40" x14ac:dyDescent="0.25">
      <c r="A4693" t="str">
        <f>"20190312160426322"</f>
        <v>20190312160426322</v>
      </c>
      <c r="B4693" t="str">
        <f>"1552377866309778"</f>
        <v>1552377866309778</v>
      </c>
      <c r="C4693" t="s">
        <v>40</v>
      </c>
      <c r="D4693">
        <v>5.431152</v>
      </c>
      <c r="E4693">
        <v>0.60858710000000005</v>
      </c>
      <c r="F4693" t="s">
        <v>41</v>
      </c>
      <c r="G4693">
        <v>-233.5342</v>
      </c>
      <c r="H4693" s="1">
        <v>-3.282005E-6</v>
      </c>
      <c r="I4693">
        <v>141.59270000000001</v>
      </c>
      <c r="J4693">
        <v>-206.47890000000001</v>
      </c>
      <c r="K4693">
        <v>1.1040179999999999</v>
      </c>
      <c r="L4693">
        <v>143.08619999999999</v>
      </c>
      <c r="M4693">
        <v>-0.90964780000000001</v>
      </c>
      <c r="N4693">
        <v>0</v>
      </c>
      <c r="O4693">
        <v>-0.41519400000000001</v>
      </c>
      <c r="P4693">
        <v>-0.94521900000000003</v>
      </c>
      <c r="Q4693">
        <v>6.2250400000000003E-3</v>
      </c>
      <c r="R4693">
        <v>-0.32637769999999999</v>
      </c>
      <c r="S4693">
        <v>-3.1203919999999998</v>
      </c>
      <c r="T4693">
        <v>-0.12652049999999901</v>
      </c>
      <c r="U4693">
        <v>-0.17890929999999999</v>
      </c>
      <c r="V4693">
        <v>9.5826120000000001E-2</v>
      </c>
      <c r="W4693">
        <v>1.723235E-2</v>
      </c>
      <c r="X4693">
        <v>0.99524889999999999</v>
      </c>
      <c r="Y4693">
        <v>0.36185509999999999</v>
      </c>
      <c r="Z4693">
        <v>2.3694949999999999E-2</v>
      </c>
      <c r="AA4693">
        <v>0.93193320000000002</v>
      </c>
      <c r="AB4693">
        <v>20</v>
      </c>
      <c r="AC4693">
        <v>-27.0552999999999</v>
      </c>
      <c r="AD4693">
        <v>-1.1040212820049999</v>
      </c>
      <c r="AE4693">
        <v>-1.4934999999999801</v>
      </c>
      <c r="AF4693">
        <v>9.8590369531392401</v>
      </c>
      <c r="AG4693">
        <v>-1.1040212820049999</v>
      </c>
      <c r="AH4693">
        <v>25.1910206528696</v>
      </c>
      <c r="AI4693">
        <v>92.337041643988499</v>
      </c>
      <c r="AJ4693">
        <v>68.626062052734696</v>
      </c>
      <c r="AK4693">
        <v>27.0741019087944</v>
      </c>
      <c r="AL4693">
        <v>89.012610187819604</v>
      </c>
      <c r="AM4693">
        <v>84.500310830679496</v>
      </c>
      <c r="AN4693">
        <v>0.99999998605599305</v>
      </c>
    </row>
    <row r="4694" spans="1:40" x14ac:dyDescent="0.25">
      <c r="A4694" t="str">
        <f>"20190312160426344"</f>
        <v>20190312160426344</v>
      </c>
      <c r="B4694" t="str">
        <f>"1552377866340036"</f>
        <v>1552377866340036</v>
      </c>
      <c r="C4694" t="s">
        <v>40</v>
      </c>
      <c r="D4694">
        <v>5.4093600000000004</v>
      </c>
      <c r="E4694">
        <v>0.60795699999999997</v>
      </c>
      <c r="F4694" t="s">
        <v>41</v>
      </c>
      <c r="G4694">
        <v>-232.11080000000001</v>
      </c>
      <c r="H4694" s="1">
        <v>-3.9463209999999998E-6</v>
      </c>
      <c r="I4694">
        <v>141.80719999999999</v>
      </c>
      <c r="J4694">
        <v>-206.66560000000001</v>
      </c>
      <c r="K4694">
        <v>1.1040509999999999</v>
      </c>
      <c r="L4694">
        <v>143.01519999999999</v>
      </c>
      <c r="M4694">
        <v>-0.91417519999999997</v>
      </c>
      <c r="N4694">
        <v>0</v>
      </c>
      <c r="O4694">
        <v>-0.40512870000000001</v>
      </c>
      <c r="P4694">
        <v>-0.94823460000000004</v>
      </c>
      <c r="Q4694">
        <v>6.8414419999999997E-3</v>
      </c>
      <c r="R4694">
        <v>-0.317498</v>
      </c>
      <c r="S4694">
        <v>-3.120987</v>
      </c>
      <c r="T4694">
        <v>-0.1344274</v>
      </c>
      <c r="U4694">
        <v>-0.15573119999999999</v>
      </c>
      <c r="V4694">
        <v>9.4181520000000005E-2</v>
      </c>
      <c r="W4694">
        <v>1.7870730000000001E-2</v>
      </c>
      <c r="X4694">
        <v>0.99539460000000002</v>
      </c>
      <c r="Y4694">
        <v>0.35840830000000001</v>
      </c>
      <c r="Z4694">
        <v>2.4708190000000001E-2</v>
      </c>
      <c r="AA4694">
        <v>0.93323789999999995</v>
      </c>
      <c r="AB4694">
        <v>20</v>
      </c>
      <c r="AC4694">
        <v>-25.4452</v>
      </c>
      <c r="AD4694">
        <v>-1.1040549463210001</v>
      </c>
      <c r="AE4694">
        <v>-1.20799999999999</v>
      </c>
      <c r="AF4694">
        <v>9.1877096453007194</v>
      </c>
      <c r="AG4694">
        <v>-1.1040549463210001</v>
      </c>
      <c r="AH4694">
        <v>23.7080668911942</v>
      </c>
      <c r="AI4694">
        <v>92.486342080462705</v>
      </c>
      <c r="AJ4694">
        <v>68.816898688511003</v>
      </c>
      <c r="AK4694">
        <v>25.450056612278701</v>
      </c>
      <c r="AL4694">
        <v>88.976028051006196</v>
      </c>
      <c r="AM4694">
        <v>84.5949209384124</v>
      </c>
      <c r="AN4694">
        <v>0.99999996570470095</v>
      </c>
    </row>
    <row r="4695" spans="1:40" x14ac:dyDescent="0.25">
      <c r="A4695" t="str">
        <f>"20190312160426368"</f>
        <v>20190312160426368</v>
      </c>
      <c r="B4695" t="str">
        <f>"1552377866359554"</f>
        <v>1552377866359554</v>
      </c>
      <c r="C4695" t="s">
        <v>40</v>
      </c>
      <c r="D4695">
        <v>5.305707</v>
      </c>
      <c r="E4695">
        <v>0.60068909999999998</v>
      </c>
      <c r="F4695" t="s">
        <v>41</v>
      </c>
      <c r="G4695">
        <v>-231.5378</v>
      </c>
      <c r="H4695" s="1">
        <v>-4.1704290000000001E-6</v>
      </c>
      <c r="I4695">
        <v>141.97110000000001</v>
      </c>
      <c r="J4695">
        <v>-206.86179999999999</v>
      </c>
      <c r="K4695">
        <v>1.1040829999999999</v>
      </c>
      <c r="L4695">
        <v>142.94290000000001</v>
      </c>
      <c r="M4695">
        <v>-0.91876500000000005</v>
      </c>
      <c r="N4695">
        <v>0</v>
      </c>
      <c r="O4695">
        <v>-0.39460990000000001</v>
      </c>
      <c r="P4695">
        <v>-0.9514087</v>
      </c>
      <c r="Q4695">
        <v>6.9044309999999999E-3</v>
      </c>
      <c r="R4695">
        <v>-0.30785420000000002</v>
      </c>
      <c r="S4695">
        <v>-3.120895</v>
      </c>
      <c r="T4695">
        <v>-0.1385342</v>
      </c>
      <c r="U4695">
        <v>-0.13099669999999999</v>
      </c>
      <c r="V4695">
        <v>9.2861959999999993E-2</v>
      </c>
      <c r="W4695">
        <v>1.794892E-2</v>
      </c>
      <c r="X4695">
        <v>0.99551719999999999</v>
      </c>
      <c r="Y4695">
        <v>0.35504219999999997</v>
      </c>
      <c r="Z4695">
        <v>2.4967860000000001E-2</v>
      </c>
      <c r="AA4695">
        <v>0.93451680000000004</v>
      </c>
      <c r="AB4695">
        <v>20</v>
      </c>
      <c r="AC4695">
        <v>-24.675999999999998</v>
      </c>
      <c r="AD4695">
        <v>-1.1040871704289901</v>
      </c>
      <c r="AE4695">
        <v>-0.971800000000001</v>
      </c>
      <c r="AF4695">
        <v>8.8275735826249004</v>
      </c>
      <c r="AG4695">
        <v>-1.1040871704289901</v>
      </c>
      <c r="AH4695">
        <v>23.010705973560899</v>
      </c>
      <c r="AI4695">
        <v>92.565025370916103</v>
      </c>
      <c r="AJ4695">
        <v>69.011739136886604</v>
      </c>
      <c r="AK4695">
        <v>24.670582750276399</v>
      </c>
      <c r="AL4695">
        <v>88.971547411914202</v>
      </c>
      <c r="AM4695">
        <v>84.670863923967104</v>
      </c>
      <c r="AN4695">
        <v>1.0000000014200201</v>
      </c>
    </row>
    <row r="4696" spans="1:40" x14ac:dyDescent="0.25">
      <c r="A4696" t="str">
        <f>"20190312160426389"</f>
        <v>20190312160426389</v>
      </c>
      <c r="B4696" t="str">
        <f>"1552377866380050"</f>
        <v>1552377866380050</v>
      </c>
      <c r="C4696" t="s">
        <v>40</v>
      </c>
      <c r="D4696">
        <v>5.3647289999999996</v>
      </c>
      <c r="E4696">
        <v>0.6006785</v>
      </c>
      <c r="F4696" t="s">
        <v>41</v>
      </c>
      <c r="G4696">
        <v>-225.3289</v>
      </c>
      <c r="H4696" s="1">
        <v>-2.628941E-6</v>
      </c>
      <c r="I4696">
        <v>142.03200000000001</v>
      </c>
      <c r="J4696">
        <v>-207.05170000000001</v>
      </c>
      <c r="K4696">
        <v>1.104112</v>
      </c>
      <c r="L4696">
        <v>142.87549999999999</v>
      </c>
      <c r="M4696">
        <v>-0.92304529999999996</v>
      </c>
      <c r="N4696">
        <v>0</v>
      </c>
      <c r="O4696">
        <v>-0.38449109999999997</v>
      </c>
      <c r="P4696">
        <v>-0.95431509999999997</v>
      </c>
      <c r="Q4696">
        <v>7.0582630000000004E-3</v>
      </c>
      <c r="R4696">
        <v>-0.29871930000000002</v>
      </c>
      <c r="S4696">
        <v>-3.1050110000000002</v>
      </c>
      <c r="T4696">
        <v>-0.18563789999999999</v>
      </c>
      <c r="U4696">
        <v>-0.1531525</v>
      </c>
      <c r="V4696">
        <v>9.1467149999999997E-2</v>
      </c>
      <c r="W4696">
        <v>1.8119119999999999E-2</v>
      </c>
      <c r="X4696">
        <v>0.99564330000000001</v>
      </c>
      <c r="Y4696">
        <v>0.33732459999999997</v>
      </c>
      <c r="Z4696">
        <v>3.2510160000000003E-2</v>
      </c>
      <c r="AA4696">
        <v>0.94082690000000002</v>
      </c>
      <c r="AB4696">
        <v>20</v>
      </c>
      <c r="AC4696">
        <v>-18.277200000000001</v>
      </c>
      <c r="AD4696">
        <v>-1.104114628941</v>
      </c>
      <c r="AE4696">
        <v>-0.84349999999997705</v>
      </c>
      <c r="AF4696">
        <v>6.2266385896063898</v>
      </c>
      <c r="AG4696">
        <v>-1.104114628941</v>
      </c>
      <c r="AH4696">
        <v>17.1339318088576</v>
      </c>
      <c r="AI4696">
        <v>93.4658805267443</v>
      </c>
      <c r="AJ4696">
        <v>70.028359827086106</v>
      </c>
      <c r="AK4696">
        <v>18.263672042335799</v>
      </c>
      <c r="AL4696">
        <v>88.961794146413496</v>
      </c>
      <c r="AM4696">
        <v>84.751119449891902</v>
      </c>
      <c r="AN4696">
        <v>1.0000000614367901</v>
      </c>
    </row>
    <row r="4697" spans="1:40" x14ac:dyDescent="0.25">
      <c r="A4697" t="str">
        <f>"20190312160426412"</f>
        <v>20190312160426412</v>
      </c>
      <c r="B4697" t="str">
        <f>"1552377866399570"</f>
        <v>1552377866399570</v>
      </c>
      <c r="C4697" t="s">
        <v>40</v>
      </c>
      <c r="D4697">
        <v>5.2766190000000002</v>
      </c>
      <c r="E4697">
        <v>0.59435550000000004</v>
      </c>
      <c r="F4697" t="s">
        <v>41</v>
      </c>
      <c r="G4697">
        <v>-225.13749999999999</v>
      </c>
      <c r="H4697" s="1">
        <v>-2.7443499999999998E-6</v>
      </c>
      <c r="I4697">
        <v>142.15710000000001</v>
      </c>
      <c r="J4697">
        <v>-207.23849999999999</v>
      </c>
      <c r="K4697">
        <v>1.104142</v>
      </c>
      <c r="L4697">
        <v>142.81139999999999</v>
      </c>
      <c r="M4697">
        <v>-0.92711010000000005</v>
      </c>
      <c r="N4697">
        <v>0</v>
      </c>
      <c r="O4697">
        <v>-0.37458399999999997</v>
      </c>
      <c r="P4697">
        <v>-0.95688209999999996</v>
      </c>
      <c r="Q4697">
        <v>7.1990719999999999E-3</v>
      </c>
      <c r="R4697">
        <v>-0.29038709999999901</v>
      </c>
      <c r="S4697">
        <v>-3.1063839999999998</v>
      </c>
      <c r="T4697">
        <v>-0.1896409</v>
      </c>
      <c r="U4697">
        <v>-0.1233826</v>
      </c>
      <c r="V4697">
        <v>8.9485270000000006E-2</v>
      </c>
      <c r="W4697">
        <v>1.8285039999999999E-2</v>
      </c>
      <c r="X4697">
        <v>0.99582029999999999</v>
      </c>
      <c r="Y4697">
        <v>0.33622990000000003</v>
      </c>
      <c r="Z4697">
        <v>3.2614959999999998E-2</v>
      </c>
      <c r="AA4697">
        <v>0.94121500000000002</v>
      </c>
      <c r="AB4697">
        <v>20</v>
      </c>
      <c r="AC4697">
        <v>-17.899000000000001</v>
      </c>
      <c r="AD4697">
        <v>-1.1041447443500001</v>
      </c>
      <c r="AE4697">
        <v>-0.65429999999997701</v>
      </c>
      <c r="AF4697">
        <v>6.0754511770031803</v>
      </c>
      <c r="AG4697">
        <v>-1.1041447443500001</v>
      </c>
      <c r="AH4697">
        <v>16.776971129936001</v>
      </c>
      <c r="AI4697">
        <v>93.5409825794234</v>
      </c>
      <c r="AJ4697">
        <v>70.093138817343899</v>
      </c>
      <c r="AK4697">
        <v>17.8772761604035</v>
      </c>
      <c r="AL4697">
        <v>88.952286005342501</v>
      </c>
      <c r="AM4697">
        <v>84.865143537628498</v>
      </c>
      <c r="AN4697">
        <v>1.0000000130634299</v>
      </c>
    </row>
    <row r="4698" spans="1:40" x14ac:dyDescent="0.25">
      <c r="A4698" t="str">
        <f>"20190312160426434"</f>
        <v>20190312160426434</v>
      </c>
      <c r="B4698" t="str">
        <f>"1552377866419598"</f>
        <v>1552377866419598</v>
      </c>
      <c r="C4698" t="s">
        <v>40</v>
      </c>
      <c r="D4698">
        <v>5.2584819999999999</v>
      </c>
      <c r="E4698">
        <v>0.59448459999999903</v>
      </c>
      <c r="F4698" t="s">
        <v>41</v>
      </c>
      <c r="G4698">
        <v>-220.2389</v>
      </c>
      <c r="H4698" s="1">
        <v>-4.655409E-6</v>
      </c>
      <c r="I4698">
        <v>142.21340000000001</v>
      </c>
      <c r="J4698">
        <v>-207.42920000000001</v>
      </c>
      <c r="K4698">
        <v>1.1041669999999999</v>
      </c>
      <c r="L4698">
        <v>142.7482</v>
      </c>
      <c r="M4698">
        <v>-0.93111460000000001</v>
      </c>
      <c r="N4698">
        <v>0</v>
      </c>
      <c r="O4698">
        <v>-0.36451660000000002</v>
      </c>
      <c r="P4698">
        <v>-0.9594935</v>
      </c>
      <c r="Q4698">
        <v>7.4592429999999999E-3</v>
      </c>
      <c r="R4698">
        <v>-0.28163199999999999</v>
      </c>
      <c r="S4698">
        <v>-3.093979</v>
      </c>
      <c r="T4698">
        <v>-0.26277729999999999</v>
      </c>
      <c r="U4698">
        <v>-0.14231869999999999</v>
      </c>
      <c r="V4698">
        <v>8.7795209999999999E-2</v>
      </c>
      <c r="W4698">
        <v>1.856584E-2</v>
      </c>
      <c r="X4698">
        <v>0.99596549999999995</v>
      </c>
      <c r="Y4698">
        <v>0.3189728</v>
      </c>
      <c r="Z4698">
        <v>4.3788059999999997E-2</v>
      </c>
      <c r="AA4698">
        <v>0.94675180000000003</v>
      </c>
      <c r="AB4698">
        <v>20</v>
      </c>
      <c r="AC4698">
        <v>-12.8096999999999</v>
      </c>
      <c r="AD4698">
        <v>-1.104171655409</v>
      </c>
      <c r="AE4698">
        <v>-0.53479999999998995</v>
      </c>
      <c r="AF4698">
        <v>4.1409933703613904</v>
      </c>
      <c r="AG4698">
        <v>-1.104171655409</v>
      </c>
      <c r="AH4698">
        <v>12.0339134155883</v>
      </c>
      <c r="AI4698">
        <v>94.958670616708304</v>
      </c>
      <c r="AJ4698">
        <v>71.011132914220696</v>
      </c>
      <c r="AK4698">
        <v>12.7742746655871</v>
      </c>
      <c r="AL4698">
        <v>88.936194587176104</v>
      </c>
      <c r="AM4698">
        <v>84.962349617664799</v>
      </c>
      <c r="AN4698">
        <v>0.99999998325204897</v>
      </c>
    </row>
    <row r="4699" spans="1:40" x14ac:dyDescent="0.25">
      <c r="A4699" t="str">
        <f>"20190312160426456"</f>
        <v>20190312160426456</v>
      </c>
      <c r="B4699" t="str">
        <f>"1552377866449854"</f>
        <v>1552377866449854</v>
      </c>
      <c r="C4699" t="s">
        <v>40</v>
      </c>
      <c r="D4699">
        <v>5.1111240000000002</v>
      </c>
      <c r="E4699">
        <v>0.58881510000000004</v>
      </c>
      <c r="F4699" t="s">
        <v>41</v>
      </c>
      <c r="G4699">
        <v>-220.84039999999999</v>
      </c>
      <c r="H4699" s="1">
        <v>-4.4585660000000003E-6</v>
      </c>
      <c r="I4699">
        <v>142.2578</v>
      </c>
      <c r="J4699">
        <v>-207.6223</v>
      </c>
      <c r="K4699">
        <v>1.1042050000000001</v>
      </c>
      <c r="L4699">
        <v>142.68629999999999</v>
      </c>
      <c r="M4699">
        <v>-0.93502030000000003</v>
      </c>
      <c r="N4699">
        <v>0</v>
      </c>
      <c r="O4699">
        <v>-0.35437849999999999</v>
      </c>
      <c r="P4699">
        <v>-0.96199349999999995</v>
      </c>
      <c r="Q4699">
        <v>7.5778460000000001E-3</v>
      </c>
      <c r="R4699">
        <v>-0.27296809999999899</v>
      </c>
      <c r="S4699">
        <v>-3.0953979999999999</v>
      </c>
      <c r="T4699">
        <v>-0.2548492</v>
      </c>
      <c r="U4699">
        <v>-0.11317439999999999</v>
      </c>
      <c r="V4699">
        <v>8.5954840000000005E-2</v>
      </c>
      <c r="W4699">
        <v>1.870697E-2</v>
      </c>
      <c r="X4699">
        <v>0.99612339999999999</v>
      </c>
      <c r="Y4699">
        <v>0.31777899999999998</v>
      </c>
      <c r="Z4699">
        <v>4.1639009999999997E-2</v>
      </c>
      <c r="AA4699">
        <v>0.94725009999999998</v>
      </c>
      <c r="AB4699">
        <v>20</v>
      </c>
      <c r="AC4699">
        <v>-13.2180999999999</v>
      </c>
      <c r="AD4699">
        <v>-1.1042094585659901</v>
      </c>
      <c r="AE4699">
        <v>-0.428499999999985</v>
      </c>
      <c r="AF4699">
        <v>4.2542246748205903</v>
      </c>
      <c r="AG4699">
        <v>-1.1042094585659901</v>
      </c>
      <c r="AH4699">
        <v>12.4253796650795</v>
      </c>
      <c r="AI4699">
        <v>94.805890292834107</v>
      </c>
      <c r="AJ4699">
        <v>71.099726131857295</v>
      </c>
      <c r="AK4699">
        <v>13.1798241996473</v>
      </c>
      <c r="AL4699">
        <v>88.928107054150601</v>
      </c>
      <c r="AM4699">
        <v>85.068200740919593</v>
      </c>
      <c r="AN4699">
        <v>1.00000000663678</v>
      </c>
    </row>
    <row r="4700" spans="1:40" x14ac:dyDescent="0.25">
      <c r="A4700" t="str">
        <f>"20190312160426479"</f>
        <v>20190312160426479</v>
      </c>
      <c r="B4700" t="str">
        <f>"1552377866469373"</f>
        <v>1552377866469373</v>
      </c>
      <c r="C4700" t="s">
        <v>40</v>
      </c>
      <c r="D4700">
        <v>5.0650149999999998</v>
      </c>
      <c r="E4700">
        <v>0.5945319</v>
      </c>
      <c r="F4700" t="s">
        <v>41</v>
      </c>
      <c r="G4700">
        <v>-223.87450000000001</v>
      </c>
      <c r="H4700" s="1">
        <v>-3.2443520000000002E-6</v>
      </c>
      <c r="I4700">
        <v>141.99979999999999</v>
      </c>
      <c r="J4700">
        <v>-207.81530000000001</v>
      </c>
      <c r="K4700">
        <v>1.1042449999999999</v>
      </c>
      <c r="L4700">
        <v>142.6267</v>
      </c>
      <c r="M4700">
        <v>-0.93877169999999999</v>
      </c>
      <c r="N4700">
        <v>0</v>
      </c>
      <c r="O4700">
        <v>-0.34431879999999998</v>
      </c>
      <c r="P4700">
        <v>-0.96439730000000001</v>
      </c>
      <c r="Q4700">
        <v>7.374256E-3</v>
      </c>
      <c r="R4700">
        <v>-0.26435500000000001</v>
      </c>
      <c r="S4700">
        <v>-3.0832519999999999</v>
      </c>
      <c r="T4700">
        <v>-0.20948330000000001</v>
      </c>
      <c r="U4700">
        <v>-0.13021849999999999</v>
      </c>
      <c r="V4700">
        <v>8.4161819999999998E-2</v>
      </c>
      <c r="W4700">
        <v>1.8525320000000001E-2</v>
      </c>
      <c r="X4700">
        <v>0.9962799</v>
      </c>
      <c r="Y4700">
        <v>0.30296319999999999</v>
      </c>
      <c r="Z4700">
        <v>3.3222880000000003E-2</v>
      </c>
      <c r="AA4700">
        <v>0.95242300000000002</v>
      </c>
      <c r="AB4700">
        <v>20</v>
      </c>
      <c r="AC4700">
        <v>-16.059200000000001</v>
      </c>
      <c r="AD4700">
        <v>-1.1042482443520001</v>
      </c>
      <c r="AE4700">
        <v>-0.62690000000000601</v>
      </c>
      <c r="AF4700">
        <v>4.9181267327299203</v>
      </c>
      <c r="AG4700">
        <v>-1.1042482443520001</v>
      </c>
      <c r="AH4700">
        <v>15.221083099604099</v>
      </c>
      <c r="AI4700">
        <v>93.949042042774707</v>
      </c>
      <c r="AJ4700">
        <v>72.0936913575011</v>
      </c>
      <c r="AK4700">
        <v>16.0339859507672</v>
      </c>
      <c r="AL4700">
        <v>88.938516649805393</v>
      </c>
      <c r="AM4700">
        <v>85.171341504146497</v>
      </c>
      <c r="AN4700">
        <v>1.0000000192854099</v>
      </c>
    </row>
    <row r="4701" spans="1:40" x14ac:dyDescent="0.25">
      <c r="A4701" t="str">
        <f>"20190312160426499"</f>
        <v>20190312160426499</v>
      </c>
      <c r="B4701" t="str">
        <f>"1552377866489869"</f>
        <v>1552377866489869</v>
      </c>
      <c r="C4701" t="s">
        <v>40</v>
      </c>
      <c r="D4701">
        <v>5.0768129999999996</v>
      </c>
      <c r="E4701">
        <v>0.59425289999999997</v>
      </c>
      <c r="F4701" t="s">
        <v>45</v>
      </c>
      <c r="G4701">
        <v>0</v>
      </c>
      <c r="H4701">
        <v>0</v>
      </c>
      <c r="I4701">
        <v>0</v>
      </c>
      <c r="J4701">
        <v>-207.99870000000001</v>
      </c>
      <c r="K4701">
        <v>1.10429</v>
      </c>
      <c r="L4701">
        <v>142.572</v>
      </c>
      <c r="M4701">
        <v>-0.94219609999999998</v>
      </c>
      <c r="N4701">
        <v>0</v>
      </c>
      <c r="O4701">
        <v>-0.33483459999999998</v>
      </c>
      <c r="P4701">
        <v>-0.96665970000000001</v>
      </c>
      <c r="Q4701">
        <v>6.8506050000000001E-3</v>
      </c>
      <c r="R4701">
        <v>-0.25597259999999999</v>
      </c>
      <c r="S4701">
        <v>-3.0928650000000002</v>
      </c>
      <c r="T4701">
        <v>4.0774349999999999E-3</v>
      </c>
      <c r="U4701">
        <v>-6.5124509999999997E-2</v>
      </c>
      <c r="V4701">
        <v>8.2755969999999998E-2</v>
      </c>
      <c r="W4701">
        <v>1.8018050000000001E-2</v>
      </c>
      <c r="X4701">
        <v>0.99640700000000004</v>
      </c>
      <c r="Y4701">
        <v>0.31494909999999998</v>
      </c>
      <c r="Z4701">
        <v>-6.42042E-4</v>
      </c>
      <c r="AA4701">
        <v>0.94910839999999996</v>
      </c>
      <c r="AB4701">
        <v>20</v>
      </c>
      <c r="AC4701">
        <v>-3.0928650000000002</v>
      </c>
      <c r="AD4701">
        <v>4.0774349999999999E-3</v>
      </c>
      <c r="AE4701">
        <v>-6.5124509999999997E-2</v>
      </c>
      <c r="AF4701">
        <v>0.97431065978910303</v>
      </c>
      <c r="AG4701">
        <v>4.0774349999999999E-3</v>
      </c>
      <c r="AH4701">
        <v>2.9361097727066201</v>
      </c>
      <c r="AI4701">
        <v>89.924481568264497</v>
      </c>
      <c r="AJ4701">
        <v>71.642231926513503</v>
      </c>
      <c r="AK4701">
        <v>3.0935478798037299</v>
      </c>
      <c r="AL4701">
        <v>88.967585969544999</v>
      </c>
      <c r="AM4701">
        <v>85.252231046892504</v>
      </c>
      <c r="AN4701">
        <v>1.0000000551727199</v>
      </c>
    </row>
    <row r="4702" spans="1:40" x14ac:dyDescent="0.25">
      <c r="A4702" t="str">
        <f>"20190312160426524"</f>
        <v>20190312160426524</v>
      </c>
      <c r="B4702" t="str">
        <f>"1552377866519598"</f>
        <v>1552377866519598</v>
      </c>
      <c r="C4702" t="s">
        <v>40</v>
      </c>
      <c r="D4702">
        <v>5.0765789999999997</v>
      </c>
      <c r="E4702">
        <v>0.59292690000000003</v>
      </c>
      <c r="F4702" t="s">
        <v>45</v>
      </c>
      <c r="G4702">
        <v>0</v>
      </c>
      <c r="H4702">
        <v>0</v>
      </c>
      <c r="I4702">
        <v>0</v>
      </c>
      <c r="J4702">
        <v>-208.2046</v>
      </c>
      <c r="K4702">
        <v>1.104358</v>
      </c>
      <c r="L4702">
        <v>142.5128</v>
      </c>
      <c r="M4702">
        <v>-0.94587889999999997</v>
      </c>
      <c r="N4702">
        <v>0</v>
      </c>
      <c r="O4702">
        <v>-0.32428559999999901</v>
      </c>
      <c r="P4702">
        <v>-0.96875359999999999</v>
      </c>
      <c r="Q4702">
        <v>6.0213530000000001E-3</v>
      </c>
      <c r="R4702">
        <v>-0.24795200000000001</v>
      </c>
      <c r="S4702">
        <v>-3.092651</v>
      </c>
      <c r="T4702">
        <v>1.0230059999999999E-2</v>
      </c>
      <c r="U4702">
        <v>-4.0573119999999997E-2</v>
      </c>
      <c r="V4702">
        <v>7.9867300000000002E-2</v>
      </c>
      <c r="W4702">
        <v>1.7226620000000002E-2</v>
      </c>
      <c r="X4702">
        <v>0.99665669999999995</v>
      </c>
      <c r="Y4702">
        <v>0.31186989999999998</v>
      </c>
      <c r="Z4702">
        <v>-1.5730449999999999E-3</v>
      </c>
      <c r="AA4702">
        <v>0.95012350000000001</v>
      </c>
      <c r="AB4702">
        <v>20</v>
      </c>
      <c r="AC4702">
        <v>-3.092651</v>
      </c>
      <c r="AD4702">
        <v>1.0230059999999999E-2</v>
      </c>
      <c r="AE4702">
        <v>-4.0573119999999997E-2</v>
      </c>
      <c r="AF4702">
        <v>0.96458766546985297</v>
      </c>
      <c r="AG4702">
        <v>1.0230059999999999E-2</v>
      </c>
      <c r="AH4702">
        <v>2.9386217375957799</v>
      </c>
      <c r="AI4702">
        <v>89.810488444399397</v>
      </c>
      <c r="AJ4702">
        <v>71.827840493028802</v>
      </c>
      <c r="AK4702">
        <v>3.0929002142284898</v>
      </c>
      <c r="AL4702">
        <v>89.012938614227906</v>
      </c>
      <c r="AM4702">
        <v>85.418380780347306</v>
      </c>
      <c r="AN4702">
        <v>1.0000000598504</v>
      </c>
    </row>
    <row r="4703" spans="1:40" x14ac:dyDescent="0.25">
      <c r="A4703" t="str">
        <f>"20190312160426545"</f>
        <v>20190312160426545</v>
      </c>
      <c r="B4703" t="str">
        <f>"1552377866540095"</f>
        <v>1552377866540095</v>
      </c>
      <c r="C4703" t="s">
        <v>40</v>
      </c>
      <c r="D4703">
        <v>5.1657609999999998</v>
      </c>
      <c r="E4703">
        <v>0.59287800000000002</v>
      </c>
      <c r="F4703" t="s">
        <v>45</v>
      </c>
      <c r="G4703">
        <v>0</v>
      </c>
      <c r="H4703">
        <v>0</v>
      </c>
      <c r="I4703">
        <v>0</v>
      </c>
      <c r="J4703">
        <v>-208.39840000000001</v>
      </c>
      <c r="K4703">
        <v>1.1044290000000001</v>
      </c>
      <c r="L4703">
        <v>142.45920000000001</v>
      </c>
      <c r="M4703">
        <v>-0.94918970000000003</v>
      </c>
      <c r="N4703">
        <v>0</v>
      </c>
      <c r="O4703">
        <v>-0.31446350000000001</v>
      </c>
      <c r="P4703">
        <v>-0.97091309999999997</v>
      </c>
      <c r="Q4703">
        <v>6.4538290000000003E-3</v>
      </c>
      <c r="R4703">
        <v>-0.23934530000000001</v>
      </c>
      <c r="S4703">
        <v>-3.090179</v>
      </c>
      <c r="T4703">
        <v>1.168227E-2</v>
      </c>
      <c r="U4703">
        <v>-2.5360110000000002E-2</v>
      </c>
      <c r="V4703">
        <v>7.8382190000000004E-2</v>
      </c>
      <c r="W4703">
        <v>1.7676219999999999E-2</v>
      </c>
      <c r="X4703">
        <v>0.99676670000000001</v>
      </c>
      <c r="Y4703">
        <v>0.30668230000000002</v>
      </c>
      <c r="Z4703">
        <v>-1.7527109999999999E-3</v>
      </c>
      <c r="AA4703">
        <v>0.9518103</v>
      </c>
      <c r="AB4703">
        <v>20</v>
      </c>
      <c r="AC4703">
        <v>-3.090179</v>
      </c>
      <c r="AD4703">
        <v>1.168227E-2</v>
      </c>
      <c r="AE4703">
        <v>-2.5360110000000002E-2</v>
      </c>
      <c r="AF4703">
        <v>0.94773525666035596</v>
      </c>
      <c r="AG4703">
        <v>1.168227E-2</v>
      </c>
      <c r="AH4703">
        <v>2.94132186703348</v>
      </c>
      <c r="AI4703">
        <v>89.783401348627507</v>
      </c>
      <c r="AJ4703">
        <v>72.140329671063299</v>
      </c>
      <c r="AK4703">
        <v>3.0902609788881499</v>
      </c>
      <c r="AL4703">
        <v>88.987174484708007</v>
      </c>
      <c r="AM4703">
        <v>85.503716215601003</v>
      </c>
      <c r="AN4703">
        <v>1.0000000353457801</v>
      </c>
    </row>
    <row r="4704" spans="1:40" x14ac:dyDescent="0.25">
      <c r="A4704" t="str">
        <f>"20190312160426568"</f>
        <v>20190312160426568</v>
      </c>
      <c r="B4704" t="str">
        <f>"1552377866559614"</f>
        <v>1552377866559614</v>
      </c>
      <c r="C4704" t="s">
        <v>40</v>
      </c>
      <c r="D4704">
        <v>5.0985690000000004</v>
      </c>
      <c r="E4704">
        <v>0.59276739999999895</v>
      </c>
      <c r="F4704" t="s">
        <v>45</v>
      </c>
      <c r="G4704">
        <v>0</v>
      </c>
      <c r="H4704">
        <v>0</v>
      </c>
      <c r="I4704">
        <v>0</v>
      </c>
      <c r="J4704">
        <v>-208.59289999999999</v>
      </c>
      <c r="K4704">
        <v>1.104509</v>
      </c>
      <c r="L4704">
        <v>142.4074</v>
      </c>
      <c r="M4704">
        <v>-0.95235749999999997</v>
      </c>
      <c r="N4704">
        <v>0</v>
      </c>
      <c r="O4704">
        <v>-0.30473679999999997</v>
      </c>
      <c r="P4704">
        <v>-0.97302140000000004</v>
      </c>
      <c r="Q4704">
        <v>6.2312219999999998E-3</v>
      </c>
      <c r="R4704">
        <v>-0.2306308</v>
      </c>
      <c r="S4704">
        <v>-3.0901489999999998</v>
      </c>
      <c r="T4704">
        <v>1.645684E-2</v>
      </c>
      <c r="U4704">
        <v>1.5716549999999999E-3</v>
      </c>
      <c r="V4704">
        <v>7.7115100000000006E-2</v>
      </c>
      <c r="W4704">
        <v>1.7467389999999999E-2</v>
      </c>
      <c r="X4704">
        <v>0.99686909999999895</v>
      </c>
      <c r="Y4704">
        <v>0.3052356</v>
      </c>
      <c r="Z4704">
        <v>-2.416044E-3</v>
      </c>
      <c r="AA4704">
        <v>0.95227379999999995</v>
      </c>
      <c r="AB4704">
        <v>20</v>
      </c>
      <c r="AC4704">
        <v>-3.0901489999999998</v>
      </c>
      <c r="AD4704">
        <v>1.645684E-2</v>
      </c>
      <c r="AE4704">
        <v>1.5716549999999999E-3</v>
      </c>
      <c r="AF4704">
        <v>0.94322320842555796</v>
      </c>
      <c r="AG4704">
        <v>1.645684E-2</v>
      </c>
      <c r="AH4704">
        <v>2.9425858796753701</v>
      </c>
      <c r="AI4704">
        <v>89.694860933264195</v>
      </c>
      <c r="AJ4704">
        <v>72.227148149556996</v>
      </c>
      <c r="AK4704">
        <v>3.09010558197616</v>
      </c>
      <c r="AL4704">
        <v>88.999141299585602</v>
      </c>
      <c r="AM4704">
        <v>85.576562781986695</v>
      </c>
      <c r="AN4704">
        <v>0.999999925448113</v>
      </c>
    </row>
    <row r="4705" spans="1:40" x14ac:dyDescent="0.25">
      <c r="A4705" t="str">
        <f>"20190312160426589"</f>
        <v>20190312160426589</v>
      </c>
      <c r="B4705" t="str">
        <f>"1552377866579135"</f>
        <v>1552377866579135</v>
      </c>
      <c r="C4705" t="s">
        <v>40</v>
      </c>
      <c r="D4705">
        <v>5.143942</v>
      </c>
      <c r="E4705">
        <v>0.5925511</v>
      </c>
      <c r="F4705" t="s">
        <v>45</v>
      </c>
      <c r="G4705">
        <v>0</v>
      </c>
      <c r="H4705">
        <v>0</v>
      </c>
      <c r="I4705">
        <v>0</v>
      </c>
      <c r="J4705">
        <v>-208.7826</v>
      </c>
      <c r="K4705">
        <v>1.1045830000000001</v>
      </c>
      <c r="L4705">
        <v>142.35890000000001</v>
      </c>
      <c r="M4705">
        <v>-0.95529850000000005</v>
      </c>
      <c r="N4705">
        <v>0</v>
      </c>
      <c r="O4705">
        <v>-0.29538819999999999</v>
      </c>
      <c r="P4705">
        <v>-0.97490929999999998</v>
      </c>
      <c r="Q4705">
        <v>5.9304960000000004E-3</v>
      </c>
      <c r="R4705">
        <v>-0.2225241</v>
      </c>
      <c r="S4705">
        <v>-3.0897220000000001</v>
      </c>
      <c r="T4705">
        <v>2.2911190000000001E-2</v>
      </c>
      <c r="U4705">
        <v>2.8259280000000001E-2</v>
      </c>
      <c r="V4705">
        <v>7.5634820000000005E-2</v>
      </c>
      <c r="W4705">
        <v>1.7182280000000001E-2</v>
      </c>
      <c r="X4705">
        <v>0.99698750000000003</v>
      </c>
      <c r="Y4705">
        <v>0.30411939999999998</v>
      </c>
      <c r="Z4705">
        <v>-3.2937489999999999E-3</v>
      </c>
      <c r="AA4705">
        <v>0.95262820000000004</v>
      </c>
      <c r="AB4705">
        <v>20</v>
      </c>
      <c r="AC4705">
        <v>-3.0897220000000001</v>
      </c>
      <c r="AD4705">
        <v>2.2911190000000001E-2</v>
      </c>
      <c r="AE4705">
        <v>2.8259280000000001E-2</v>
      </c>
      <c r="AF4705">
        <v>0.93968256093017399</v>
      </c>
      <c r="AG4705">
        <v>2.2911190000000001E-2</v>
      </c>
      <c r="AH4705">
        <v>2.9433191383533002</v>
      </c>
      <c r="AI4705">
        <v>89.575137277896502</v>
      </c>
      <c r="AJ4705">
        <v>72.2938237775452</v>
      </c>
      <c r="AK4705">
        <v>3.0897662999230802</v>
      </c>
      <c r="AL4705">
        <v>89.015479392550901</v>
      </c>
      <c r="AM4705">
        <v>85.661659754045999</v>
      </c>
      <c r="AN4705">
        <v>0.99999996594933904</v>
      </c>
    </row>
    <row r="4706" spans="1:40" x14ac:dyDescent="0.25">
      <c r="A4706" t="str">
        <f>"20190312160426613"</f>
        <v>20190312160426613</v>
      </c>
      <c r="B4706" t="str">
        <f>"1552377866609391"</f>
        <v>1552377866609391</v>
      </c>
      <c r="C4706" t="s">
        <v>40</v>
      </c>
      <c r="D4706">
        <v>5.2071860000000001</v>
      </c>
      <c r="E4706">
        <v>0.5912984</v>
      </c>
      <c r="F4706" t="s">
        <v>45</v>
      </c>
      <c r="G4706">
        <v>0</v>
      </c>
      <c r="H4706">
        <v>0</v>
      </c>
      <c r="I4706">
        <v>0</v>
      </c>
      <c r="J4706">
        <v>-208.98230000000001</v>
      </c>
      <c r="K4706">
        <v>1.10466</v>
      </c>
      <c r="L4706">
        <v>142.30969999999999</v>
      </c>
      <c r="M4706">
        <v>-0.95824849999999995</v>
      </c>
      <c r="N4706">
        <v>0</v>
      </c>
      <c r="O4706">
        <v>-0.2856744</v>
      </c>
      <c r="P4706">
        <v>-0.97691209999999995</v>
      </c>
      <c r="Q4706">
        <v>5.6644169999999997E-3</v>
      </c>
      <c r="R4706">
        <v>-0.2135666</v>
      </c>
      <c r="S4706">
        <v>-3.0890499999999999</v>
      </c>
      <c r="T4706">
        <v>2.1284580000000001E-2</v>
      </c>
      <c r="U4706">
        <v>5.2368159999999997E-2</v>
      </c>
      <c r="V4706">
        <v>7.4656849999999997E-2</v>
      </c>
      <c r="W4706">
        <v>1.6922449999999999E-2</v>
      </c>
      <c r="X4706">
        <v>0.99706570000000005</v>
      </c>
      <c r="Y4706">
        <v>0.30188490000000001</v>
      </c>
      <c r="Z4706">
        <v>-2.9885760000000002E-3</v>
      </c>
      <c r="AA4706">
        <v>0.95333970000000001</v>
      </c>
      <c r="AB4706">
        <v>20</v>
      </c>
      <c r="AC4706">
        <v>-3.0890499999999999</v>
      </c>
      <c r="AD4706">
        <v>2.1284580000000001E-2</v>
      </c>
      <c r="AE4706">
        <v>5.2368159999999997E-2</v>
      </c>
      <c r="AF4706">
        <v>0.932669881345775</v>
      </c>
      <c r="AG4706">
        <v>2.1284580000000001E-2</v>
      </c>
      <c r="AH4706">
        <v>2.9451983323578701</v>
      </c>
      <c r="AI4706">
        <v>89.605257287198697</v>
      </c>
      <c r="AJ4706">
        <v>72.428321427853007</v>
      </c>
      <c r="AK4706">
        <v>3.0894205537347799</v>
      </c>
      <c r="AL4706">
        <v>89.030368765418302</v>
      </c>
      <c r="AM4706">
        <v>85.717879749549695</v>
      </c>
      <c r="AN4706">
        <v>1.0000000123412001</v>
      </c>
    </row>
    <row r="4707" spans="1:40" x14ac:dyDescent="0.25">
      <c r="A4707" t="str">
        <f>"20190312160426634"</f>
        <v>20190312160426634</v>
      </c>
      <c r="B4707" t="str">
        <f>"1552377866629887"</f>
        <v>1552377866629887</v>
      </c>
      <c r="C4707" t="s">
        <v>40</v>
      </c>
      <c r="D4707">
        <v>5.1741159999999997</v>
      </c>
      <c r="E4707">
        <v>0.59122680000000005</v>
      </c>
      <c r="F4707" t="s">
        <v>98</v>
      </c>
      <c r="G4707">
        <v>-550.16300000000001</v>
      </c>
      <c r="H4707">
        <v>3.4026960000000002</v>
      </c>
      <c r="I4707">
        <v>150.14670000000001</v>
      </c>
      <c r="J4707">
        <v>-209.173</v>
      </c>
      <c r="K4707">
        <v>1.104732</v>
      </c>
      <c r="L4707">
        <v>142.2646</v>
      </c>
      <c r="M4707">
        <v>-0.96093110000000004</v>
      </c>
      <c r="N4707">
        <v>0</v>
      </c>
      <c r="O4707">
        <v>-0.27651769999999998</v>
      </c>
      <c r="P4707">
        <v>-0.97856370000000004</v>
      </c>
      <c r="Q4707">
        <v>5.3031669999999897E-3</v>
      </c>
      <c r="R4707">
        <v>-0.20587630000000001</v>
      </c>
      <c r="S4707">
        <v>-3.0862880000000001</v>
      </c>
      <c r="T4707">
        <v>2.0788190000000002E-2</v>
      </c>
      <c r="U4707">
        <v>7.0892330000000003E-2</v>
      </c>
      <c r="V4707">
        <v>7.2977340000000002E-2</v>
      </c>
      <c r="W4707">
        <v>1.657631E-2</v>
      </c>
      <c r="X4707">
        <v>0.99719579999999997</v>
      </c>
      <c r="Y4707">
        <v>0.29852099999999998</v>
      </c>
      <c r="Z4707">
        <v>-2.8505879999999998E-3</v>
      </c>
      <c r="AA4707">
        <v>0.95439879999999999</v>
      </c>
      <c r="AB4707">
        <v>20</v>
      </c>
      <c r="AC4707">
        <v>-340.99</v>
      </c>
      <c r="AD4707">
        <v>2.2979639999999901</v>
      </c>
      <c r="AE4707">
        <v>7.8821000000000003</v>
      </c>
      <c r="AF4707">
        <v>101.86691089384701</v>
      </c>
      <c r="AG4707">
        <v>2.2979639999999901</v>
      </c>
      <c r="AH4707">
        <v>325.497894781676</v>
      </c>
      <c r="AI4707">
        <v>89.613969733616003</v>
      </c>
      <c r="AJ4707">
        <v>72.622113230484302</v>
      </c>
      <c r="AK4707">
        <v>341.07334648269398</v>
      </c>
      <c r="AL4707">
        <v>89.050203863791197</v>
      </c>
      <c r="AM4707">
        <v>85.814409857065598</v>
      </c>
      <c r="AN4707">
        <v>0.99999996487216503</v>
      </c>
    </row>
    <row r="4708" spans="1:40" x14ac:dyDescent="0.25">
      <c r="A4708" t="str">
        <f>"20190312160426657"</f>
        <v>20190312160426657</v>
      </c>
      <c r="B4708" t="str">
        <f>"1552377866649411"</f>
        <v>1552377866649411</v>
      </c>
      <c r="C4708" t="s">
        <v>40</v>
      </c>
      <c r="D4708">
        <v>5.1867020000000004</v>
      </c>
      <c r="E4708">
        <v>0.59095109999999995</v>
      </c>
      <c r="F4708" t="s">
        <v>98</v>
      </c>
      <c r="G4708">
        <v>-511.05970000000002</v>
      </c>
      <c r="H4708">
        <v>3.2097690000000001</v>
      </c>
      <c r="I4708">
        <v>151.51769999999999</v>
      </c>
      <c r="J4708">
        <v>-209.38069999999999</v>
      </c>
      <c r="K4708">
        <v>1.1048180000000001</v>
      </c>
      <c r="L4708">
        <v>142.2174</v>
      </c>
      <c r="M4708">
        <v>-0.96370250000000002</v>
      </c>
      <c r="N4708">
        <v>0</v>
      </c>
      <c r="O4708">
        <v>-0.26669979999999999</v>
      </c>
      <c r="P4708">
        <v>-0.98028199999999999</v>
      </c>
      <c r="Q4708">
        <v>5.2050859999999899E-3</v>
      </c>
      <c r="R4708">
        <v>-0.19753599999999999</v>
      </c>
      <c r="S4708">
        <v>-3.0855260000000002</v>
      </c>
      <c r="T4708">
        <v>2.1515610000000001E-2</v>
      </c>
      <c r="U4708">
        <v>9.4573969999999993E-2</v>
      </c>
      <c r="V4708">
        <v>7.1290539999999999E-2</v>
      </c>
      <c r="W4708">
        <v>1.649192E-2</v>
      </c>
      <c r="X4708">
        <v>0.99731919999999996</v>
      </c>
      <c r="Y4708">
        <v>0.29610760000000003</v>
      </c>
      <c r="Z4708">
        <v>-2.876286E-3</v>
      </c>
      <c r="AA4708">
        <v>0.95515030000000001</v>
      </c>
      <c r="AB4708">
        <v>20</v>
      </c>
      <c r="AC4708">
        <v>-301.67899999999997</v>
      </c>
      <c r="AD4708">
        <v>2.1049509999999998</v>
      </c>
      <c r="AE4708">
        <v>9.3002999999999894</v>
      </c>
      <c r="AF4708">
        <v>89.422751443142502</v>
      </c>
      <c r="AG4708">
        <v>2.1049509999999998</v>
      </c>
      <c r="AH4708">
        <v>288.25583281954198</v>
      </c>
      <c r="AI4708">
        <v>89.600398281735906</v>
      </c>
      <c r="AJ4708">
        <v>72.765059703119206</v>
      </c>
      <c r="AK4708">
        <v>301.81498380442002</v>
      </c>
      <c r="AL4708">
        <v>89.055039707086905</v>
      </c>
      <c r="AM4708">
        <v>85.911327882643505</v>
      </c>
      <c r="AN4708">
        <v>0.99999995560370802</v>
      </c>
    </row>
    <row r="4709" spans="1:40" x14ac:dyDescent="0.25">
      <c r="A4709" t="str">
        <f>"20190312160426679"</f>
        <v>20190312160426679</v>
      </c>
      <c r="B4709" t="str">
        <f>"1552377866669903"</f>
        <v>1552377866669903</v>
      </c>
      <c r="C4709" t="s">
        <v>40</v>
      </c>
      <c r="D4709">
        <v>5.203271</v>
      </c>
      <c r="E4709">
        <v>0.59093830000000003</v>
      </c>
      <c r="F4709" t="s">
        <v>98</v>
      </c>
      <c r="G4709">
        <v>-511.92619999999999</v>
      </c>
      <c r="H4709">
        <v>3.1110959999999999</v>
      </c>
      <c r="I4709">
        <v>153.85239999999999</v>
      </c>
      <c r="J4709">
        <v>-209.57169999999999</v>
      </c>
      <c r="K4709">
        <v>1.1049020000000001</v>
      </c>
      <c r="L4709">
        <v>142.17580000000001</v>
      </c>
      <c r="M4709">
        <v>-0.96611619999999998</v>
      </c>
      <c r="N4709">
        <v>0</v>
      </c>
      <c r="O4709">
        <v>-0.25782080000000002</v>
      </c>
      <c r="P4709">
        <v>-0.98180009999999995</v>
      </c>
      <c r="Q4709">
        <v>5.5964300000000003E-3</v>
      </c>
      <c r="R4709">
        <v>-0.18983610000000001</v>
      </c>
      <c r="S4709">
        <v>-3.0841219999999998</v>
      </c>
      <c r="T4709">
        <v>2.045226E-2</v>
      </c>
      <c r="U4709">
        <v>0.11860660000000001</v>
      </c>
      <c r="V4709">
        <v>6.994148E-2</v>
      </c>
      <c r="W4709">
        <v>1.6891449999999999E-2</v>
      </c>
      <c r="X4709">
        <v>0.99740810000000002</v>
      </c>
      <c r="Y4709">
        <v>0.294766799999999</v>
      </c>
      <c r="Z4709">
        <v>-2.6736289999999998E-3</v>
      </c>
      <c r="AA4709">
        <v>0.95556549999999996</v>
      </c>
      <c r="AB4709">
        <v>20</v>
      </c>
      <c r="AC4709">
        <v>-302.35449999999997</v>
      </c>
      <c r="AD4709">
        <v>2.0061939999999998</v>
      </c>
      <c r="AE4709">
        <v>11.676599999999899</v>
      </c>
      <c r="AF4709">
        <v>89.2369092053099</v>
      </c>
      <c r="AG4709">
        <v>2.0061939999999998</v>
      </c>
      <c r="AH4709">
        <v>289.10778542843298</v>
      </c>
      <c r="AI4709">
        <v>89.620100927198095</v>
      </c>
      <c r="AJ4709">
        <v>72.846472471550399</v>
      </c>
      <c r="AK4709">
        <v>302.57323472874401</v>
      </c>
      <c r="AL4709">
        <v>89.032145200555604</v>
      </c>
      <c r="AM4709">
        <v>85.988800851586404</v>
      </c>
      <c r="AN4709">
        <v>1.0000000248266501</v>
      </c>
    </row>
    <row r="4710" spans="1:40" x14ac:dyDescent="0.25">
      <c r="A4710" t="str">
        <f>"20190312160426701"</f>
        <v>20190312160426701</v>
      </c>
      <c r="B4710" t="str">
        <f>"1552377866689423"</f>
        <v>1552377866689423</v>
      </c>
      <c r="C4710" t="s">
        <v>40</v>
      </c>
      <c r="D4710">
        <v>5.2115359999999997</v>
      </c>
      <c r="E4710">
        <v>0.59046009999999904</v>
      </c>
      <c r="F4710" t="s">
        <v>98</v>
      </c>
      <c r="G4710">
        <v>-511.92649999999998</v>
      </c>
      <c r="H4710">
        <v>3.7919779999999998</v>
      </c>
      <c r="I4710">
        <v>156.15860000000001</v>
      </c>
      <c r="J4710">
        <v>-209.76400000000001</v>
      </c>
      <c r="K4710">
        <v>1.104997</v>
      </c>
      <c r="L4710">
        <v>142.13560000000001</v>
      </c>
      <c r="M4710">
        <v>-0.96841759999999999</v>
      </c>
      <c r="N4710">
        <v>0</v>
      </c>
      <c r="O4710">
        <v>-0.2490376</v>
      </c>
      <c r="P4710">
        <v>-0.98320839999999998</v>
      </c>
      <c r="Q4710">
        <v>6.1026319999999898E-3</v>
      </c>
      <c r="R4710">
        <v>-0.18238499999999999</v>
      </c>
      <c r="S4710">
        <v>-3.0830229999999998</v>
      </c>
      <c r="T4710">
        <v>2.7399779999999999E-2</v>
      </c>
      <c r="U4710">
        <v>0.14257810000000001</v>
      </c>
      <c r="V4710">
        <v>6.8449560000000007E-2</v>
      </c>
      <c r="W4710">
        <v>1.740827E-2</v>
      </c>
      <c r="X4710">
        <v>0.99750269999999996</v>
      </c>
      <c r="Y4710">
        <v>0.29350999999999999</v>
      </c>
      <c r="Z4710">
        <v>-3.501232E-3</v>
      </c>
      <c r="AA4710">
        <v>0.95594959999999995</v>
      </c>
      <c r="AB4710">
        <v>20</v>
      </c>
      <c r="AC4710">
        <v>-302.16250000000002</v>
      </c>
      <c r="AD4710">
        <v>2.6869809999999998</v>
      </c>
      <c r="AE4710">
        <v>14.0229999999999</v>
      </c>
      <c r="AF4710">
        <v>88.8294920974013</v>
      </c>
      <c r="AG4710">
        <v>2.6869809999999998</v>
      </c>
      <c r="AH4710">
        <v>289.12575852747199</v>
      </c>
      <c r="AI4710">
        <v>89.491018119332395</v>
      </c>
      <c r="AJ4710">
        <v>72.921220728911706</v>
      </c>
      <c r="AK4710">
        <v>302.47578874558297</v>
      </c>
      <c r="AL4710">
        <v>89.002529229103004</v>
      </c>
      <c r="AM4710">
        <v>86.074464338452898</v>
      </c>
      <c r="AN4710">
        <v>1.0000000133179301</v>
      </c>
    </row>
    <row r="4711" spans="1:40" x14ac:dyDescent="0.25">
      <c r="A4711" t="str">
        <f>"20190312160426724"</f>
        <v>20190312160426724</v>
      </c>
      <c r="B4711" t="str">
        <f>"1552377866719679"</f>
        <v>1552377866719679</v>
      </c>
      <c r="C4711" t="s">
        <v>40</v>
      </c>
      <c r="D4711">
        <v>5.157851</v>
      </c>
      <c r="E4711">
        <v>0.5901923</v>
      </c>
      <c r="F4711" t="s">
        <v>98</v>
      </c>
      <c r="G4711">
        <v>-511.92649999999998</v>
      </c>
      <c r="H4711">
        <v>3.9047869999999998</v>
      </c>
      <c r="I4711">
        <v>158.0497</v>
      </c>
      <c r="J4711">
        <v>-209.97030000000001</v>
      </c>
      <c r="K4711">
        <v>1.105116</v>
      </c>
      <c r="L4711">
        <v>142.0942</v>
      </c>
      <c r="M4711">
        <v>-0.97074629999999995</v>
      </c>
      <c r="N4711">
        <v>0</v>
      </c>
      <c r="O4711">
        <v>-0.2398016</v>
      </c>
      <c r="P4711">
        <v>-0.98466399999999998</v>
      </c>
      <c r="Q4711">
        <v>6.0906229999999999E-3</v>
      </c>
      <c r="R4711">
        <v>-0.17435590000000001</v>
      </c>
      <c r="S4711">
        <v>-3.0811769999999998</v>
      </c>
      <c r="T4711">
        <v>2.855015E-2</v>
      </c>
      <c r="U4711">
        <v>0.16227720000000001</v>
      </c>
      <c r="V4711">
        <v>6.7081470000000004E-2</v>
      </c>
      <c r="W4711">
        <v>1.740446E-2</v>
      </c>
      <c r="X4711">
        <v>0.99759569999999997</v>
      </c>
      <c r="Y4711">
        <v>0.29052420000000001</v>
      </c>
      <c r="Z4711">
        <v>-3.5526849999999999E-3</v>
      </c>
      <c r="AA4711">
        <v>0.95686099999999996</v>
      </c>
      <c r="AB4711">
        <v>20</v>
      </c>
      <c r="AC4711">
        <v>-301.95620000000002</v>
      </c>
      <c r="AD4711">
        <v>2.799671</v>
      </c>
      <c r="AE4711">
        <v>15.955500000000001</v>
      </c>
      <c r="AF4711">
        <v>87.897240403560104</v>
      </c>
      <c r="AG4711">
        <v>2.799671</v>
      </c>
      <c r="AH4711">
        <v>289.29314808390399</v>
      </c>
      <c r="AI4711">
        <v>89.469475991659095</v>
      </c>
      <c r="AJ4711">
        <v>73.099408591859103</v>
      </c>
      <c r="AK4711">
        <v>302.36449619055003</v>
      </c>
      <c r="AL4711">
        <v>89.002747555540907</v>
      </c>
      <c r="AM4711">
        <v>86.153042933301407</v>
      </c>
      <c r="AN4711">
        <v>1.00000000975187</v>
      </c>
    </row>
    <row r="4712" spans="1:40" x14ac:dyDescent="0.25">
      <c r="A4712" t="str">
        <f>"20190312160426747"</f>
        <v>20190312160426747</v>
      </c>
      <c r="B4712" t="str">
        <f>"1552377866739199"</f>
        <v>1552377866739199</v>
      </c>
      <c r="C4712" t="s">
        <v>40</v>
      </c>
      <c r="D4712">
        <v>5.1374599999999999</v>
      </c>
      <c r="E4712">
        <v>0.58991090000000002</v>
      </c>
      <c r="F4712" t="s">
        <v>98</v>
      </c>
      <c r="G4712">
        <v>-511.92689999999999</v>
      </c>
      <c r="H4712">
        <v>5.0660540000000003</v>
      </c>
      <c r="I4712">
        <v>160.2191</v>
      </c>
      <c r="J4712">
        <v>-210.18049999999999</v>
      </c>
      <c r="K4712">
        <v>1.1052420000000001</v>
      </c>
      <c r="L4712">
        <v>142.0538</v>
      </c>
      <c r="M4712">
        <v>-0.97297350000000005</v>
      </c>
      <c r="N4712">
        <v>0</v>
      </c>
      <c r="O4712">
        <v>-0.23060079999999999</v>
      </c>
      <c r="P4712">
        <v>-0.98601030000000001</v>
      </c>
      <c r="Q4712">
        <v>6.2535769999999997E-3</v>
      </c>
      <c r="R4712">
        <v>-0.16656760000000001</v>
      </c>
      <c r="S4712">
        <v>-3.079224</v>
      </c>
      <c r="T4712">
        <v>4.0392400000000002E-2</v>
      </c>
      <c r="U4712">
        <v>0.18482970000000001</v>
      </c>
      <c r="V4712">
        <v>6.551746E-2</v>
      </c>
      <c r="W4712">
        <v>1.7578E-2</v>
      </c>
      <c r="X4712">
        <v>0.99769660000000004</v>
      </c>
      <c r="Y4712">
        <v>0.28846070000000001</v>
      </c>
      <c r="Z4712">
        <v>-4.897116E-3</v>
      </c>
      <c r="AA4712">
        <v>0.95747919999999997</v>
      </c>
      <c r="AB4712">
        <v>20</v>
      </c>
      <c r="AC4712">
        <v>-301.74639999999999</v>
      </c>
      <c r="AD4712">
        <v>3.9608120000000002</v>
      </c>
      <c r="AE4712">
        <v>18.165299999999998</v>
      </c>
      <c r="AF4712">
        <v>87.248701595304695</v>
      </c>
      <c r="AG4712">
        <v>3.9608120000000002</v>
      </c>
      <c r="AH4712">
        <v>289.37374469978698</v>
      </c>
      <c r="AI4712">
        <v>89.249191960080296</v>
      </c>
      <c r="AJ4712">
        <v>73.221484012318598</v>
      </c>
      <c r="AK4712">
        <v>302.26674988053799</v>
      </c>
      <c r="AL4712">
        <v>88.992802929620694</v>
      </c>
      <c r="AM4712">
        <v>86.242853973247094</v>
      </c>
      <c r="AN4712">
        <v>1.0000000146501999</v>
      </c>
    </row>
    <row r="4713" spans="1:40" x14ac:dyDescent="0.25">
      <c r="A4713" t="str">
        <f>"20190312160426770"</f>
        <v>20190312160426770</v>
      </c>
      <c r="B4713" t="str">
        <f>"1552377866759694"</f>
        <v>1552377866759694</v>
      </c>
      <c r="C4713" t="s">
        <v>40</v>
      </c>
      <c r="D4713">
        <v>5.2219499999999996</v>
      </c>
      <c r="E4713">
        <v>0.589507</v>
      </c>
      <c r="F4713" t="s">
        <v>98</v>
      </c>
      <c r="G4713">
        <v>-510.17559999999997</v>
      </c>
      <c r="H4713">
        <v>5.5855370000000004</v>
      </c>
      <c r="I4713">
        <v>162.2191</v>
      </c>
      <c r="J4713">
        <v>-210.3835</v>
      </c>
      <c r="K4713">
        <v>1.1053759999999999</v>
      </c>
      <c r="L4713">
        <v>142.01660000000001</v>
      </c>
      <c r="M4713">
        <v>-0.97498289999999999</v>
      </c>
      <c r="N4713">
        <v>0</v>
      </c>
      <c r="O4713">
        <v>-0.22195290000000001</v>
      </c>
      <c r="P4713">
        <v>-0.98722259999999995</v>
      </c>
      <c r="Q4713">
        <v>6.7582600000000003E-3</v>
      </c>
      <c r="R4713">
        <v>-0.15920529999999999</v>
      </c>
      <c r="S4713">
        <v>-3.0772400000000002</v>
      </c>
      <c r="T4713">
        <v>4.5957680000000001E-2</v>
      </c>
      <c r="U4713">
        <v>0.20684810000000001</v>
      </c>
      <c r="V4713">
        <v>6.4102690000000004E-2</v>
      </c>
      <c r="W4713">
        <v>1.8090999999999999E-2</v>
      </c>
      <c r="X4713">
        <v>0.99777930000000004</v>
      </c>
      <c r="Y4713">
        <v>0.28680719999999998</v>
      </c>
      <c r="Z4713">
        <v>-5.4355609999999898E-3</v>
      </c>
      <c r="AA4713">
        <v>0.95797290000000002</v>
      </c>
      <c r="AB4713">
        <v>20</v>
      </c>
      <c r="AC4713">
        <v>-299.7921</v>
      </c>
      <c r="AD4713">
        <v>4.4801609999999998</v>
      </c>
      <c r="AE4713">
        <v>20.202499999999901</v>
      </c>
      <c r="AF4713">
        <v>86.223912545185399</v>
      </c>
      <c r="AG4713">
        <v>4.4801609999999998</v>
      </c>
      <c r="AH4713">
        <v>287.76509661884899</v>
      </c>
      <c r="AI4713">
        <v>89.145569897459694</v>
      </c>
      <c r="AJ4713">
        <v>73.320050260319505</v>
      </c>
      <c r="AK4713">
        <v>300.43865558419901</v>
      </c>
      <c r="AL4713">
        <v>88.963405488859294</v>
      </c>
      <c r="AM4713">
        <v>86.324063917122004</v>
      </c>
      <c r="AN4713">
        <v>0.99999998532736301</v>
      </c>
    </row>
    <row r="4714" spans="1:40" x14ac:dyDescent="0.25">
      <c r="A4714" t="str">
        <f>"20190312160426790"</f>
        <v>20190312160426790</v>
      </c>
      <c r="B4714" t="str">
        <f>"1552377866779215"</f>
        <v>1552377866779215</v>
      </c>
      <c r="C4714" t="s">
        <v>40</v>
      </c>
      <c r="D4714">
        <v>5.037496</v>
      </c>
      <c r="E4714">
        <v>0.58885369999999904</v>
      </c>
      <c r="F4714" t="s">
        <v>99</v>
      </c>
      <c r="G4714">
        <v>-469.38260000000002</v>
      </c>
      <c r="H4714">
        <v>5.3209809999999997</v>
      </c>
      <c r="I4714">
        <v>161.09180000000001</v>
      </c>
      <c r="J4714">
        <v>-210.56180000000001</v>
      </c>
      <c r="K4714">
        <v>1.1054889999999999</v>
      </c>
      <c r="L4714">
        <v>141.98519999999999</v>
      </c>
      <c r="M4714">
        <v>-0.97664870000000004</v>
      </c>
      <c r="N4714">
        <v>0</v>
      </c>
      <c r="O4714">
        <v>-0.2145049</v>
      </c>
      <c r="P4714">
        <v>-0.98822359999999998</v>
      </c>
      <c r="Q4714">
        <v>7.52156599999999E-3</v>
      </c>
      <c r="R4714">
        <v>-0.15283279999999999</v>
      </c>
      <c r="S4714">
        <v>-3.0749819999999999</v>
      </c>
      <c r="T4714">
        <v>5.0050020000000001E-2</v>
      </c>
      <c r="U4714">
        <v>0.2264709</v>
      </c>
      <c r="V4714">
        <v>6.2926330000000003E-2</v>
      </c>
      <c r="W4714">
        <v>1.8858570000000002E-2</v>
      </c>
      <c r="X4714">
        <v>0.99783999999999995</v>
      </c>
      <c r="Y4714">
        <v>0.28561579999999998</v>
      </c>
      <c r="Z4714">
        <v>-5.7941850000000003E-3</v>
      </c>
      <c r="AA4714">
        <v>0.95832669999999998</v>
      </c>
      <c r="AB4714">
        <v>20</v>
      </c>
      <c r="AC4714">
        <v>-258.82080000000002</v>
      </c>
      <c r="AD4714">
        <v>4.2154919999999896</v>
      </c>
      <c r="AE4714">
        <v>19.1066</v>
      </c>
      <c r="AF4714">
        <v>74.164575651379593</v>
      </c>
      <c r="AG4714">
        <v>4.2154919999999896</v>
      </c>
      <c r="AH4714">
        <v>248.630966916061</v>
      </c>
      <c r="AI4714">
        <v>89.069175251929494</v>
      </c>
      <c r="AJ4714">
        <v>73.390589986000904</v>
      </c>
      <c r="AK4714">
        <v>259.49087144631301</v>
      </c>
      <c r="AL4714">
        <v>88.919419492780904</v>
      </c>
      <c r="AM4714">
        <v>86.391560707123006</v>
      </c>
      <c r="AN4714">
        <v>1.00000001713485</v>
      </c>
    </row>
    <row r="4715" spans="1:40" x14ac:dyDescent="0.25">
      <c r="A4715" t="str">
        <f>"20190312160426814"</f>
        <v>20190312160426814</v>
      </c>
      <c r="B4715" t="str">
        <f>"1552377866809471"</f>
        <v>1552377866809471</v>
      </c>
      <c r="C4715" t="s">
        <v>40</v>
      </c>
      <c r="D4715">
        <v>5.0668730000000002</v>
      </c>
      <c r="E4715">
        <v>0.58750740000000001</v>
      </c>
      <c r="F4715" t="s">
        <v>99</v>
      </c>
      <c r="G4715">
        <v>-459.58620000000002</v>
      </c>
      <c r="H4715">
        <v>5.6777119999999996</v>
      </c>
      <c r="I4715">
        <v>161.5198</v>
      </c>
      <c r="J4715">
        <v>-210.77</v>
      </c>
      <c r="K4715">
        <v>1.105594</v>
      </c>
      <c r="L4715">
        <v>141.95009999999999</v>
      </c>
      <c r="M4715">
        <v>-0.97847839999999997</v>
      </c>
      <c r="N4715">
        <v>0</v>
      </c>
      <c r="O4715">
        <v>-0.20599980000000001</v>
      </c>
      <c r="P4715">
        <v>-0.98924979999999996</v>
      </c>
      <c r="Q4715">
        <v>8.1410990000000006E-3</v>
      </c>
      <c r="R4715">
        <v>-0.1460101</v>
      </c>
      <c r="S4715">
        <v>-3.0725859999999998</v>
      </c>
      <c r="T4715">
        <v>5.6414369999999998E-2</v>
      </c>
      <c r="U4715">
        <v>0.24102779999999999</v>
      </c>
      <c r="V4715">
        <v>6.1130589999999999E-2</v>
      </c>
      <c r="W4715">
        <v>1.9485499999999999E-2</v>
      </c>
      <c r="X4715">
        <v>0.99793960000000004</v>
      </c>
      <c r="Y4715">
        <v>0.28182889999999999</v>
      </c>
      <c r="Z4715">
        <v>-6.346679E-3</v>
      </c>
      <c r="AA4715">
        <v>0.95944370000000001</v>
      </c>
      <c r="AB4715">
        <v>20</v>
      </c>
      <c r="AC4715">
        <v>-248.81620000000001</v>
      </c>
      <c r="AD4715">
        <v>4.5721179999999997</v>
      </c>
      <c r="AE4715">
        <v>19.569700000000001</v>
      </c>
      <c r="AF4715">
        <v>70.386069160905706</v>
      </c>
      <c r="AG4715">
        <v>4.5721179999999997</v>
      </c>
      <c r="AH4715">
        <v>239.36684882935401</v>
      </c>
      <c r="AI4715">
        <v>88.950169025365</v>
      </c>
      <c r="AJ4715">
        <v>73.613972556724306</v>
      </c>
      <c r="AK4715">
        <v>249.54276449824101</v>
      </c>
      <c r="AL4715">
        <v>88.883492471323095</v>
      </c>
      <c r="AM4715">
        <v>86.494623833048806</v>
      </c>
      <c r="AN4715">
        <v>1.00000003949607</v>
      </c>
    </row>
    <row r="4716" spans="1:40" x14ac:dyDescent="0.25">
      <c r="A4716" t="str">
        <f>"20190312160426836"</f>
        <v>20190312160426836</v>
      </c>
      <c r="B4716" t="str">
        <f>"1552377866829968"</f>
        <v>1552377866829968</v>
      </c>
      <c r="C4716" t="s">
        <v>40</v>
      </c>
      <c r="D4716">
        <v>4.9841889999999998</v>
      </c>
      <c r="E4716">
        <v>0.56784429999999997</v>
      </c>
      <c r="F4716" t="s">
        <v>99</v>
      </c>
      <c r="G4716">
        <v>-459.875</v>
      </c>
      <c r="H4716">
        <v>5.9452619999999996</v>
      </c>
      <c r="I4716">
        <v>162.36689999999999</v>
      </c>
      <c r="J4716">
        <v>-210.97280000000001</v>
      </c>
      <c r="K4716">
        <v>1.1056889999999999</v>
      </c>
      <c r="L4716">
        <v>141.91739999999999</v>
      </c>
      <c r="M4716">
        <v>-0.98014670000000004</v>
      </c>
      <c r="N4716">
        <v>0</v>
      </c>
      <c r="O4716">
        <v>-0.1979109</v>
      </c>
      <c r="P4716">
        <v>-0.99021999999999999</v>
      </c>
      <c r="Q4716">
        <v>8.7960050000000008E-3</v>
      </c>
      <c r="R4716">
        <v>-0.13923579999999999</v>
      </c>
      <c r="S4716">
        <v>-3.069229</v>
      </c>
      <c r="T4716">
        <v>5.9629679999999997E-2</v>
      </c>
      <c r="U4716">
        <v>0.25155640000000001</v>
      </c>
      <c r="V4716">
        <v>5.9718800000000002E-2</v>
      </c>
      <c r="W4716">
        <v>2.0143399999999999E-2</v>
      </c>
      <c r="X4716">
        <v>0.99801200000000001</v>
      </c>
      <c r="Y4716">
        <v>0.27724549999999998</v>
      </c>
      <c r="Z4716">
        <v>-6.5155959999999898E-3</v>
      </c>
      <c r="AA4716">
        <v>0.96077699999999999</v>
      </c>
      <c r="AB4716">
        <v>20</v>
      </c>
      <c r="AC4716">
        <v>-248.90219999999999</v>
      </c>
      <c r="AD4716">
        <v>4.8395729999999997</v>
      </c>
      <c r="AE4716">
        <v>20.4495</v>
      </c>
      <c r="AF4716">
        <v>69.2829319105564</v>
      </c>
      <c r="AG4716">
        <v>4.8395729999999997</v>
      </c>
      <c r="AH4716">
        <v>239.840667944198</v>
      </c>
      <c r="AI4716">
        <v>88.889422753796595</v>
      </c>
      <c r="AJ4716">
        <v>73.887545788120306</v>
      </c>
      <c r="AK4716">
        <v>249.69399696601499</v>
      </c>
      <c r="AL4716">
        <v>88.845790156545405</v>
      </c>
      <c r="AM4716">
        <v>86.575632195122395</v>
      </c>
      <c r="AN4716">
        <v>1.0000000218904901</v>
      </c>
    </row>
    <row r="4717" spans="1:40" x14ac:dyDescent="0.25">
      <c r="A4717" t="str">
        <f>"20190312160426858"</f>
        <v>20190312160426858</v>
      </c>
      <c r="B4717" t="str">
        <f>"1552377866849491"</f>
        <v>1552377866849491</v>
      </c>
      <c r="C4717" t="s">
        <v>40</v>
      </c>
      <c r="D4717">
        <v>5.0149010000000001</v>
      </c>
      <c r="E4717">
        <v>0.56856379999999995</v>
      </c>
      <c r="F4717" t="s">
        <v>98</v>
      </c>
      <c r="G4717">
        <v>-511.06200000000001</v>
      </c>
      <c r="H4717">
        <v>10.226319999999999</v>
      </c>
      <c r="I4717">
        <v>153.3605</v>
      </c>
      <c r="J4717">
        <v>-211.1704</v>
      </c>
      <c r="K4717">
        <v>1.105785</v>
      </c>
      <c r="L4717">
        <v>141.887</v>
      </c>
      <c r="M4717">
        <v>-0.98166750000000003</v>
      </c>
      <c r="N4717">
        <v>0</v>
      </c>
      <c r="O4717">
        <v>-0.19022600000000001</v>
      </c>
      <c r="P4717">
        <v>-0.99106729999999998</v>
      </c>
      <c r="Q4717">
        <v>9.7565410000000005E-3</v>
      </c>
      <c r="R4717">
        <v>-0.1330057</v>
      </c>
      <c r="S4717">
        <v>-3.0451510000000002</v>
      </c>
      <c r="T4717">
        <v>9.2551830000000002E-2</v>
      </c>
      <c r="U4717">
        <v>0.1161194</v>
      </c>
      <c r="V4717">
        <v>5.8179330000000001E-2</v>
      </c>
      <c r="W4717">
        <v>2.1107359999999999E-2</v>
      </c>
      <c r="X4717">
        <v>0.99808300000000005</v>
      </c>
      <c r="Y4717">
        <v>0.2273183</v>
      </c>
      <c r="Z4717">
        <v>-9.2095800000000002E-3</v>
      </c>
      <c r="AA4717">
        <v>0.97377689999999995</v>
      </c>
      <c r="AB4717">
        <v>20</v>
      </c>
      <c r="AC4717">
        <v>-299.89159999999902</v>
      </c>
      <c r="AD4717">
        <v>9.1205350000000003</v>
      </c>
      <c r="AE4717">
        <v>11.4735</v>
      </c>
      <c r="AF4717">
        <v>68.2521891912603</v>
      </c>
      <c r="AG4717">
        <v>9.1205350000000003</v>
      </c>
      <c r="AH4717">
        <v>291.96252072042103</v>
      </c>
      <c r="AI4717">
        <v>88.2576794543982</v>
      </c>
      <c r="AJ4717">
        <v>76.842232049338804</v>
      </c>
      <c r="AK4717">
        <v>299.97276375282502</v>
      </c>
      <c r="AL4717">
        <v>88.790547556119805</v>
      </c>
      <c r="AM4717">
        <v>86.663942533102997</v>
      </c>
      <c r="AN4717">
        <v>1.0000000149871999</v>
      </c>
    </row>
    <row r="4718" spans="1:40" x14ac:dyDescent="0.25">
      <c r="A4718" t="str">
        <f>"20190312160426880"</f>
        <v>20190312160426880</v>
      </c>
      <c r="B4718" t="str">
        <f>"1552377866869983"</f>
        <v>1552377866869983</v>
      </c>
      <c r="C4718" t="s">
        <v>40</v>
      </c>
      <c r="D4718">
        <v>4.9840540000000004</v>
      </c>
      <c r="E4718">
        <v>0.57010260000000001</v>
      </c>
      <c r="F4718" t="s">
        <v>98</v>
      </c>
      <c r="G4718">
        <v>-511.92809999999997</v>
      </c>
      <c r="H4718">
        <v>8.8275640000000006</v>
      </c>
      <c r="I4718">
        <v>155.86449999999999</v>
      </c>
      <c r="J4718">
        <v>-211.36519999999999</v>
      </c>
      <c r="K4718">
        <v>1.1058920000000001</v>
      </c>
      <c r="L4718">
        <v>141.85830000000001</v>
      </c>
      <c r="M4718">
        <v>-0.9830719</v>
      </c>
      <c r="N4718">
        <v>0</v>
      </c>
      <c r="O4718">
        <v>-0.18283099999999999</v>
      </c>
      <c r="P4718">
        <v>-0.99176540000000002</v>
      </c>
      <c r="Q4718">
        <v>1.015045E-2</v>
      </c>
      <c r="R4718">
        <v>-0.12766459999999999</v>
      </c>
      <c r="S4718">
        <v>-3.045242</v>
      </c>
      <c r="T4718">
        <v>7.8185199999999996E-2</v>
      </c>
      <c r="U4718">
        <v>0.14152529999999999</v>
      </c>
      <c r="V4718">
        <v>5.604013E-2</v>
      </c>
      <c r="W4718">
        <v>2.151163E-2</v>
      </c>
      <c r="X4718">
        <v>0.9981968</v>
      </c>
      <c r="Y4718">
        <v>0.22815350000000001</v>
      </c>
      <c r="Z4718">
        <v>-7.6029899999999996E-3</v>
      </c>
      <c r="AA4718">
        <v>0.97359549999999995</v>
      </c>
      <c r="AB4718">
        <v>20</v>
      </c>
      <c r="AC4718">
        <v>-300.56290000000001</v>
      </c>
      <c r="AD4718">
        <v>7.7216719999999999</v>
      </c>
      <c r="AE4718">
        <v>14.0061999999999</v>
      </c>
      <c r="AF4718">
        <v>68.680980864837593</v>
      </c>
      <c r="AG4718">
        <v>7.7216719999999999</v>
      </c>
      <c r="AH4718">
        <v>292.74224605325202</v>
      </c>
      <c r="AI4718">
        <v>88.528981747803996</v>
      </c>
      <c r="AJ4718">
        <v>76.796492525974699</v>
      </c>
      <c r="AK4718">
        <v>300.79016602165501</v>
      </c>
      <c r="AL4718">
        <v>88.767379372530897</v>
      </c>
      <c r="AM4718">
        <v>86.786709886844406</v>
      </c>
      <c r="AN4718">
        <v>1.0000000489629499</v>
      </c>
    </row>
    <row r="4719" spans="1:40" x14ac:dyDescent="0.25">
      <c r="A4719" t="str">
        <f>"20190312160426903"</f>
        <v>20190312160426903</v>
      </c>
      <c r="B4719" t="str">
        <f>"1552377866899263"</f>
        <v>1552377866899263</v>
      </c>
      <c r="C4719" t="s">
        <v>40</v>
      </c>
      <c r="D4719">
        <v>5.1013080000000004</v>
      </c>
      <c r="E4719">
        <v>0.5684226</v>
      </c>
      <c r="F4719" t="s">
        <v>98</v>
      </c>
      <c r="G4719">
        <v>-511.9282</v>
      </c>
      <c r="H4719">
        <v>9.0242349999999991</v>
      </c>
      <c r="I4719">
        <v>158.63310000000001</v>
      </c>
      <c r="J4719">
        <v>-211.56829999999999</v>
      </c>
      <c r="K4719">
        <v>1.1060140000000001</v>
      </c>
      <c r="L4719">
        <v>141.82980000000001</v>
      </c>
      <c r="M4719">
        <v>-0.98443879999999995</v>
      </c>
      <c r="N4719">
        <v>0</v>
      </c>
      <c r="O4719">
        <v>-0.17532400000000001</v>
      </c>
      <c r="P4719">
        <v>-0.99245110000000003</v>
      </c>
      <c r="Q4719">
        <v>1.026723E-2</v>
      </c>
      <c r="R4719">
        <v>-0.1222114</v>
      </c>
      <c r="S4719">
        <v>-3.0459589999999999</v>
      </c>
      <c r="T4719">
        <v>8.0246330000000005E-2</v>
      </c>
      <c r="U4719">
        <v>0.16999819999999999</v>
      </c>
      <c r="V4719">
        <v>5.3903520000000003E-2</v>
      </c>
      <c r="W4719">
        <v>2.1637489999999999E-2</v>
      </c>
      <c r="X4719">
        <v>0.99831170000000002</v>
      </c>
      <c r="Y4719">
        <v>0.22978509999999999</v>
      </c>
      <c r="Z4719">
        <v>-7.6265019999999899E-3</v>
      </c>
      <c r="AA4719">
        <v>0.97321150000000001</v>
      </c>
      <c r="AB4719">
        <v>20</v>
      </c>
      <c r="AC4719">
        <v>-300.35989999999998</v>
      </c>
      <c r="AD4719">
        <v>7.918221</v>
      </c>
      <c r="AE4719">
        <v>16.8033</v>
      </c>
      <c r="AF4719">
        <v>69.159110479043605</v>
      </c>
      <c r="AG4719">
        <v>7.918221</v>
      </c>
      <c r="AH4719">
        <v>292.55797989913299</v>
      </c>
      <c r="AI4719">
        <v>88.491205376347096</v>
      </c>
      <c r="AJ4719">
        <v>76.699752461981603</v>
      </c>
      <c r="AK4719">
        <v>300.725543292748</v>
      </c>
      <c r="AL4719">
        <v>88.760166399384602</v>
      </c>
      <c r="AM4719">
        <v>86.909333968578196</v>
      </c>
      <c r="AN4719">
        <v>1.00000001039939</v>
      </c>
    </row>
    <row r="4720" spans="1:40" x14ac:dyDescent="0.25">
      <c r="A4720" t="str">
        <f>"20190312160426925"</f>
        <v>20190312160426925</v>
      </c>
      <c r="B4720" t="str">
        <f>"1552377866919759"</f>
        <v>1552377866919759</v>
      </c>
      <c r="C4720" t="s">
        <v>40</v>
      </c>
      <c r="D4720">
        <v>4.9373579999999997</v>
      </c>
      <c r="E4720">
        <v>0.56665449999999995</v>
      </c>
      <c r="F4720" t="s">
        <v>98</v>
      </c>
      <c r="G4720">
        <v>-510.17570000000001</v>
      </c>
      <c r="H4720">
        <v>5.9731209999999999</v>
      </c>
      <c r="I4720">
        <v>158.9667</v>
      </c>
      <c r="J4720">
        <v>-211.7749</v>
      </c>
      <c r="K4720">
        <v>1.10616</v>
      </c>
      <c r="L4720">
        <v>141.8021</v>
      </c>
      <c r="M4720">
        <v>-0.98573270000000002</v>
      </c>
      <c r="N4720">
        <v>0</v>
      </c>
      <c r="O4720">
        <v>-0.16789879999999999</v>
      </c>
      <c r="P4720">
        <v>-0.9930696</v>
      </c>
      <c r="Q4720">
        <v>9.1991669999999994E-3</v>
      </c>
      <c r="R4720">
        <v>-0.1171659</v>
      </c>
      <c r="S4720">
        <v>-3.0438079999999998</v>
      </c>
      <c r="T4720">
        <v>4.961252E-2</v>
      </c>
      <c r="U4720">
        <v>0.17468259999999999</v>
      </c>
      <c r="V4720">
        <v>5.1436099999999998E-2</v>
      </c>
      <c r="W4720">
        <v>2.058343E-2</v>
      </c>
      <c r="X4720">
        <v>0.99846420000000002</v>
      </c>
      <c r="Y4720">
        <v>0.22406480000000001</v>
      </c>
      <c r="Z4720">
        <v>-4.5523999999999903E-3</v>
      </c>
      <c r="AA4720">
        <v>0.97456359999999997</v>
      </c>
      <c r="AB4720">
        <v>20</v>
      </c>
      <c r="AC4720">
        <v>-298.4008</v>
      </c>
      <c r="AD4720">
        <v>4.8669609999999999</v>
      </c>
      <c r="AE4720">
        <v>17.1646</v>
      </c>
      <c r="AF4720">
        <v>67.007803763905301</v>
      </c>
      <c r="AG4720">
        <v>4.8669609999999999</v>
      </c>
      <c r="AH4720">
        <v>291.20484093631302</v>
      </c>
      <c r="AI4720">
        <v>89.066874741079204</v>
      </c>
      <c r="AJ4720">
        <v>77.041500548487704</v>
      </c>
      <c r="AK4720">
        <v>298.85446702263101</v>
      </c>
      <c r="AL4720">
        <v>88.820573104386597</v>
      </c>
      <c r="AM4720">
        <v>87.051002338213905</v>
      </c>
      <c r="AN4720">
        <v>1.0000000543276999</v>
      </c>
    </row>
    <row r="4721" spans="1:40" x14ac:dyDescent="0.25">
      <c r="A4721" t="str">
        <f>"20190312160426949"</f>
        <v>20190312160426949</v>
      </c>
      <c r="B4721" t="str">
        <f>"1552377866939279"</f>
        <v>1552377866939279</v>
      </c>
      <c r="C4721" t="s">
        <v>40</v>
      </c>
      <c r="D4721">
        <v>4.9895170000000002</v>
      </c>
      <c r="E4721">
        <v>0.56514169999999997</v>
      </c>
      <c r="F4721" t="s">
        <v>98</v>
      </c>
      <c r="G4721">
        <v>-511.92689999999999</v>
      </c>
      <c r="H4721">
        <v>5.2353269999999998</v>
      </c>
      <c r="I4721">
        <v>159.18770000000001</v>
      </c>
      <c r="J4721">
        <v>-211.9829</v>
      </c>
      <c r="K4721">
        <v>1.1063019999999999</v>
      </c>
      <c r="L4721">
        <v>141.77549999999999</v>
      </c>
      <c r="M4721">
        <v>-0.98693649999999999</v>
      </c>
      <c r="N4721">
        <v>0</v>
      </c>
      <c r="O4721">
        <v>-0.16067419999999999</v>
      </c>
      <c r="P4721">
        <v>-0.99371030000000005</v>
      </c>
      <c r="Q4721">
        <v>9.7402719999999995E-3</v>
      </c>
      <c r="R4721">
        <v>-0.11155959999999999</v>
      </c>
      <c r="S4721">
        <v>-3.0413359999999998</v>
      </c>
      <c r="T4721">
        <v>4.1839840000000003E-2</v>
      </c>
      <c r="U4721">
        <v>0.17616270000000001</v>
      </c>
      <c r="V4721">
        <v>4.975421E-2</v>
      </c>
      <c r="W4721">
        <v>2.1129289999999998E-2</v>
      </c>
      <c r="X4721">
        <v>0.99853800000000004</v>
      </c>
      <c r="Y4721">
        <v>0.21745539999999999</v>
      </c>
      <c r="Z4721">
        <v>-3.6984050000000001E-3</v>
      </c>
      <c r="AA4721">
        <v>0.97606329999999997</v>
      </c>
      <c r="AB4721">
        <v>20</v>
      </c>
      <c r="AC4721">
        <v>-299.94400000000002</v>
      </c>
      <c r="AD4721">
        <v>4.1290250000000004</v>
      </c>
      <c r="AE4721">
        <v>17.412199999999999</v>
      </c>
      <c r="AF4721">
        <v>65.370233489597197</v>
      </c>
      <c r="AG4721">
        <v>4.1290250000000004</v>
      </c>
      <c r="AH4721">
        <v>293.19316564487002</v>
      </c>
      <c r="AI4721">
        <v>89.212493618980602</v>
      </c>
      <c r="AJ4721">
        <v>77.430937644056797</v>
      </c>
      <c r="AK4721">
        <v>300.42061955664002</v>
      </c>
      <c r="AL4721">
        <v>88.789290801073406</v>
      </c>
      <c r="AM4721">
        <v>87.147479043554995</v>
      </c>
      <c r="AN4721">
        <v>1.0000000328763099</v>
      </c>
    </row>
    <row r="4722" spans="1:40" x14ac:dyDescent="0.25">
      <c r="A4722" t="str">
        <f>"20190312160426971"</f>
        <v>20190312160426971</v>
      </c>
      <c r="B4722" t="str">
        <f>"1552377866959775"</f>
        <v>1552377866959775</v>
      </c>
      <c r="C4722" t="s">
        <v>40</v>
      </c>
      <c r="D4722">
        <v>4.9583159999999999</v>
      </c>
      <c r="E4722">
        <v>0.56357539999999995</v>
      </c>
      <c r="F4722" t="s">
        <v>98</v>
      </c>
      <c r="G4722">
        <v>-510.17559999999997</v>
      </c>
      <c r="H4722">
        <v>5.6720569999999997</v>
      </c>
      <c r="I4722">
        <v>159.55869999999999</v>
      </c>
      <c r="J4722">
        <v>-212.1874</v>
      </c>
      <c r="K4722">
        <v>1.106428</v>
      </c>
      <c r="L4722">
        <v>141.75059999999999</v>
      </c>
      <c r="M4722">
        <v>-0.98802780000000001</v>
      </c>
      <c r="N4722">
        <v>0</v>
      </c>
      <c r="O4722">
        <v>-0.1538235</v>
      </c>
      <c r="P4722">
        <v>-0.99423340000000004</v>
      </c>
      <c r="Q4722">
        <v>1.0824820000000001E-2</v>
      </c>
      <c r="R4722">
        <v>-0.1066901</v>
      </c>
      <c r="S4722">
        <v>-3.0388790000000001</v>
      </c>
      <c r="T4722">
        <v>4.6530009999999997E-2</v>
      </c>
      <c r="U4722">
        <v>0.18122859999999999</v>
      </c>
      <c r="V4722">
        <v>4.7718129999999997E-2</v>
      </c>
      <c r="W4722">
        <v>2.2213839999999999E-2</v>
      </c>
      <c r="X4722">
        <v>0.9986138</v>
      </c>
      <c r="Y4722">
        <v>0.2123409</v>
      </c>
      <c r="Z4722">
        <v>-3.9729700000000001E-3</v>
      </c>
      <c r="AA4722">
        <v>0.97718760000000005</v>
      </c>
      <c r="AB4722">
        <v>20</v>
      </c>
      <c r="AC4722">
        <v>-297.98820000000001</v>
      </c>
      <c r="AD4722">
        <v>4.5656290000000004</v>
      </c>
      <c r="AE4722">
        <v>17.8080999999999</v>
      </c>
      <c r="AF4722">
        <v>63.422072104688098</v>
      </c>
      <c r="AG4722">
        <v>4.5656290000000004</v>
      </c>
      <c r="AH4722">
        <v>291.63343639172899</v>
      </c>
      <c r="AI4722">
        <v>89.123568963208797</v>
      </c>
      <c r="AJ4722">
        <v>77.7308179542826</v>
      </c>
      <c r="AK4722">
        <v>298.48495007264</v>
      </c>
      <c r="AL4722">
        <v>88.727136020693194</v>
      </c>
      <c r="AM4722">
        <v>87.264238310989299</v>
      </c>
      <c r="AN4722">
        <v>0.99999999808434104</v>
      </c>
    </row>
    <row r="4723" spans="1:40" x14ac:dyDescent="0.25">
      <c r="A4723" t="str">
        <f>"20190312160426993"</f>
        <v>20190312160426993</v>
      </c>
      <c r="B4723" t="str">
        <f>"1552377866979295"</f>
        <v>1552377866979295</v>
      </c>
      <c r="C4723" t="s">
        <v>40</v>
      </c>
      <c r="D4723">
        <v>4.9607380000000001</v>
      </c>
      <c r="E4723">
        <v>0.56264510000000001</v>
      </c>
      <c r="F4723" t="s">
        <v>98</v>
      </c>
      <c r="G4723">
        <v>-511.92689999999999</v>
      </c>
      <c r="H4723">
        <v>5.2564599999999997</v>
      </c>
      <c r="I4723">
        <v>159.9205</v>
      </c>
      <c r="J4723">
        <v>-212.38589999999999</v>
      </c>
      <c r="K4723">
        <v>1.106535</v>
      </c>
      <c r="L4723">
        <v>141.7276</v>
      </c>
      <c r="M4723">
        <v>-0.98901240000000001</v>
      </c>
      <c r="N4723">
        <v>0</v>
      </c>
      <c r="O4723">
        <v>-0.14736359999999901</v>
      </c>
      <c r="P4723">
        <v>-0.99470199999999998</v>
      </c>
      <c r="Q4723">
        <v>1.136709E-2</v>
      </c>
      <c r="R4723">
        <v>-0.1021705</v>
      </c>
      <c r="S4723">
        <v>-3.0367130000000002</v>
      </c>
      <c r="T4723">
        <v>4.2045119999999998E-2</v>
      </c>
      <c r="U4723">
        <v>0.184082</v>
      </c>
      <c r="V4723">
        <v>4.5727740000000003E-2</v>
      </c>
      <c r="W4723">
        <v>2.2750630000000001E-2</v>
      </c>
      <c r="X4723">
        <v>0.99869479999999999</v>
      </c>
      <c r="Y4723">
        <v>0.20691709999999999</v>
      </c>
      <c r="Z4723">
        <v>-3.4662590000000002E-3</v>
      </c>
      <c r="AA4723">
        <v>0.97835240000000001</v>
      </c>
      <c r="AB4723">
        <v>20</v>
      </c>
      <c r="AC4723">
        <v>-299.541</v>
      </c>
      <c r="AD4723">
        <v>4.1499249999999996</v>
      </c>
      <c r="AE4723">
        <v>18.192900000000002</v>
      </c>
      <c r="AF4723">
        <v>62.126864384839401</v>
      </c>
      <c r="AG4723">
        <v>4.1499249999999996</v>
      </c>
      <c r="AH4723">
        <v>293.532981342639</v>
      </c>
      <c r="AI4723">
        <v>89.207567266673493</v>
      </c>
      <c r="AJ4723">
        <v>78.049592236980104</v>
      </c>
      <c r="AK4723">
        <v>300.06429359671603</v>
      </c>
      <c r="AL4723">
        <v>88.696372393999994</v>
      </c>
      <c r="AM4723">
        <v>87.378400423664999</v>
      </c>
      <c r="AN4723">
        <v>0.99999996045897099</v>
      </c>
    </row>
    <row r="4724" spans="1:40" x14ac:dyDescent="0.25">
      <c r="A4724" t="str">
        <f>"20190312160427014"</f>
        <v>20190312160427014</v>
      </c>
      <c r="B4724" t="str">
        <f>"1552377867009551"</f>
        <v>1552377867009551</v>
      </c>
      <c r="C4724" t="s">
        <v>40</v>
      </c>
      <c r="D4724">
        <v>4.9971589999999999</v>
      </c>
      <c r="E4724">
        <v>0.56151949999999995</v>
      </c>
      <c r="F4724" t="s">
        <v>98</v>
      </c>
      <c r="G4724">
        <v>-511.92689999999999</v>
      </c>
      <c r="H4724">
        <v>5.2213070000000004</v>
      </c>
      <c r="I4724">
        <v>160.5232</v>
      </c>
      <c r="J4724">
        <v>-212.577</v>
      </c>
      <c r="K4724">
        <v>1.106619</v>
      </c>
      <c r="L4724">
        <v>141.7064</v>
      </c>
      <c r="M4724">
        <v>-0.9898943</v>
      </c>
      <c r="N4724">
        <v>0</v>
      </c>
      <c r="O4724">
        <v>-0.141321</v>
      </c>
      <c r="P4724">
        <v>-0.99517979999999995</v>
      </c>
      <c r="Q4724">
        <v>1.1219079999999999E-2</v>
      </c>
      <c r="R4724">
        <v>-9.7424629999999998E-2</v>
      </c>
      <c r="S4724">
        <v>-3.0350799999999998</v>
      </c>
      <c r="T4724">
        <v>4.1693090000000002E-2</v>
      </c>
      <c r="U4724">
        <v>0.1904449</v>
      </c>
      <c r="V4724">
        <v>4.438607E-2</v>
      </c>
      <c r="W4724">
        <v>2.2591400000000001E-2</v>
      </c>
      <c r="X4724">
        <v>0.99875899999999995</v>
      </c>
      <c r="Y4724">
        <v>0.20301720000000001</v>
      </c>
      <c r="Z4724">
        <v>-3.3297270000000002E-3</v>
      </c>
      <c r="AA4724">
        <v>0.97916950000000003</v>
      </c>
      <c r="AB4724">
        <v>20</v>
      </c>
      <c r="AC4724">
        <v>-299.34989999999999</v>
      </c>
      <c r="AD4724">
        <v>4.1146880000000001</v>
      </c>
      <c r="AE4724">
        <v>18.816800000000001</v>
      </c>
      <c r="AF4724">
        <v>60.923798870257002</v>
      </c>
      <c r="AG4724">
        <v>4.1146880000000001</v>
      </c>
      <c r="AH4724">
        <v>293.630505167764</v>
      </c>
      <c r="AI4724">
        <v>89.213898569331505</v>
      </c>
      <c r="AJ4724">
        <v>78.278326656405795</v>
      </c>
      <c r="AK4724">
        <v>299.91250972774901</v>
      </c>
      <c r="AL4724">
        <v>88.705498020419</v>
      </c>
      <c r="AM4724">
        <v>87.455379914084503</v>
      </c>
      <c r="AN4724">
        <v>1.0000000173225001</v>
      </c>
    </row>
    <row r="4725" spans="1:40" x14ac:dyDescent="0.25">
      <c r="A4725" t="str">
        <f>"20190312160427037"</f>
        <v>20190312160427037</v>
      </c>
      <c r="B4725" t="str">
        <f>"1552377867030047"</f>
        <v>1552377867030047</v>
      </c>
      <c r="C4725" t="s">
        <v>40</v>
      </c>
      <c r="D4725">
        <v>4.9374510000000003</v>
      </c>
      <c r="E4725">
        <v>0.5609345</v>
      </c>
      <c r="F4725" t="s">
        <v>98</v>
      </c>
      <c r="G4725">
        <v>-511.92660000000001</v>
      </c>
      <c r="H4725">
        <v>4.2754050000000001</v>
      </c>
      <c r="I4725">
        <v>161.0787</v>
      </c>
      <c r="J4725">
        <v>-212.78579999999999</v>
      </c>
      <c r="K4725">
        <v>1.1067100000000001</v>
      </c>
      <c r="L4725">
        <v>141.68440000000001</v>
      </c>
      <c r="M4725">
        <v>-0.9907861</v>
      </c>
      <c r="N4725">
        <v>0</v>
      </c>
      <c r="O4725">
        <v>-0.134928399999999</v>
      </c>
      <c r="P4725">
        <v>-0.99573120000000004</v>
      </c>
      <c r="Q4725">
        <v>1.1202989999999999E-2</v>
      </c>
      <c r="R4725">
        <v>-9.1617569999999995E-2</v>
      </c>
      <c r="S4725">
        <v>-3.0333860000000001</v>
      </c>
      <c r="T4725">
        <v>3.2110569999999998E-2</v>
      </c>
      <c r="U4725">
        <v>0.19630429999999999</v>
      </c>
      <c r="V4725">
        <v>4.3759689999999997E-2</v>
      </c>
      <c r="W4725">
        <v>2.255851E-2</v>
      </c>
      <c r="X4725">
        <v>0.99878730000000004</v>
      </c>
      <c r="Y4725">
        <v>0.19862630000000001</v>
      </c>
      <c r="Z4725">
        <v>-2.4753349999999999E-3</v>
      </c>
      <c r="AA4725">
        <v>0.98007219999999995</v>
      </c>
      <c r="AB4725">
        <v>20</v>
      </c>
      <c r="AC4725">
        <v>-299.14080000000001</v>
      </c>
      <c r="AD4725">
        <v>3.168695</v>
      </c>
      <c r="AE4725">
        <v>19.394299999999902</v>
      </c>
      <c r="AF4725">
        <v>59.575624121842701</v>
      </c>
      <c r="AG4725">
        <v>3.168695</v>
      </c>
      <c r="AH4725">
        <v>293.75504117678298</v>
      </c>
      <c r="AI4725">
        <v>89.394312055840899</v>
      </c>
      <c r="AJ4725">
        <v>78.535499299658099</v>
      </c>
      <c r="AK4725">
        <v>299.75209729755699</v>
      </c>
      <c r="AL4725">
        <v>88.707382850888905</v>
      </c>
      <c r="AM4725">
        <v>87.491314594462494</v>
      </c>
      <c r="AN4725">
        <v>0.99999993374180096</v>
      </c>
    </row>
    <row r="4726" spans="1:40" x14ac:dyDescent="0.25">
      <c r="A4726" t="str">
        <f>"20190312160427060"</f>
        <v>20190312160427060</v>
      </c>
      <c r="B4726" t="str">
        <f>"1552377867049568"</f>
        <v>1552377867049568</v>
      </c>
      <c r="C4726" t="s">
        <v>40</v>
      </c>
      <c r="D4726">
        <v>4.9335100000000001</v>
      </c>
      <c r="E4726">
        <v>0.55991769999999996</v>
      </c>
      <c r="F4726" t="s">
        <v>98</v>
      </c>
      <c r="G4726">
        <v>-511.92649999999998</v>
      </c>
      <c r="H4726">
        <v>3.8360919999999998</v>
      </c>
      <c r="I4726">
        <v>162.35679999999999</v>
      </c>
      <c r="J4726">
        <v>-212.98580000000001</v>
      </c>
      <c r="K4726">
        <v>1.1068119999999999</v>
      </c>
      <c r="L4726">
        <v>141.6644</v>
      </c>
      <c r="M4726">
        <v>-0.99157430000000002</v>
      </c>
      <c r="N4726">
        <v>0</v>
      </c>
      <c r="O4726">
        <v>-0.12901360000000001</v>
      </c>
      <c r="P4726">
        <v>-0.99613260000000003</v>
      </c>
      <c r="Q4726">
        <v>1.130979E-2</v>
      </c>
      <c r="R4726">
        <v>-8.7135270000000001E-2</v>
      </c>
      <c r="S4726">
        <v>-3.0318450000000001</v>
      </c>
      <c r="T4726">
        <v>2.766323E-2</v>
      </c>
      <c r="U4726">
        <v>0.20951839999999999</v>
      </c>
      <c r="V4726">
        <v>4.2289180000000003E-2</v>
      </c>
      <c r="W4726">
        <v>2.265671E-2</v>
      </c>
      <c r="X4726">
        <v>0.99884850000000003</v>
      </c>
      <c r="Y4726">
        <v>0.1970671</v>
      </c>
      <c r="Z4726">
        <v>-2.0726E-3</v>
      </c>
      <c r="AA4726">
        <v>0.98038780000000003</v>
      </c>
      <c r="AB4726">
        <v>20</v>
      </c>
      <c r="AC4726">
        <v>-298.94069999999999</v>
      </c>
      <c r="AD4726">
        <v>2.7292800000000002</v>
      </c>
      <c r="AE4726">
        <v>20.6923999999999</v>
      </c>
      <c r="AF4726">
        <v>59.084581716126998</v>
      </c>
      <c r="AG4726">
        <v>2.7292800000000002</v>
      </c>
      <c r="AH4726">
        <v>293.74790833750399</v>
      </c>
      <c r="AI4726">
        <v>89.4781186653167</v>
      </c>
      <c r="AJ4726">
        <v>78.627252438369595</v>
      </c>
      <c r="AK4726">
        <v>299.64357229639802</v>
      </c>
      <c r="AL4726">
        <v>88.7017550702612</v>
      </c>
      <c r="AM4726">
        <v>87.575663025695704</v>
      </c>
      <c r="AN4726">
        <v>1.0000000136026701</v>
      </c>
    </row>
    <row r="4727" spans="1:40" x14ac:dyDescent="0.25">
      <c r="A4727" t="str">
        <f>"20190312160427072"</f>
        <v>20190312160427072</v>
      </c>
      <c r="B4727" t="str">
        <f>"1552377867070065"</f>
        <v>1552377867070065</v>
      </c>
      <c r="C4727" t="s">
        <v>40</v>
      </c>
      <c r="D4727">
        <v>5.0972970000000002</v>
      </c>
      <c r="E4727">
        <v>0.55931180000000003</v>
      </c>
      <c r="F4727" t="s">
        <v>98</v>
      </c>
      <c r="G4727">
        <v>-511.92660000000001</v>
      </c>
      <c r="H4727">
        <v>4.3711949999999904</v>
      </c>
      <c r="I4727">
        <v>162.86199999999999</v>
      </c>
      <c r="J4727">
        <v>-213.1062</v>
      </c>
      <c r="K4727">
        <v>1.1068789999999999</v>
      </c>
      <c r="L4727">
        <v>141.65280000000001</v>
      </c>
      <c r="M4727">
        <v>-0.99201830000000002</v>
      </c>
      <c r="N4727">
        <v>0</v>
      </c>
      <c r="O4727">
        <v>-0.12555350000000001</v>
      </c>
      <c r="P4727">
        <v>-0.99636800000000003</v>
      </c>
      <c r="Q4727">
        <v>1.130872E-2</v>
      </c>
      <c r="R4727">
        <v>-8.4396529999999997E-2</v>
      </c>
      <c r="S4727">
        <v>-3.0300600000000002</v>
      </c>
      <c r="T4727">
        <v>3.308821E-2</v>
      </c>
      <c r="U4727">
        <v>0.21485899999999999</v>
      </c>
      <c r="V4727">
        <v>4.1546329999999999E-2</v>
      </c>
      <c r="W4727">
        <v>2.2649559999999999E-2</v>
      </c>
      <c r="X4727">
        <v>0.99887979999999998</v>
      </c>
      <c r="Y4727">
        <v>0.1954003</v>
      </c>
      <c r="Z4727">
        <v>-2.4336959999999999E-3</v>
      </c>
      <c r="AA4727">
        <v>0.98072060000000005</v>
      </c>
      <c r="AB4727">
        <v>20</v>
      </c>
      <c r="AC4727">
        <v>-298.82040000000001</v>
      </c>
      <c r="AD4727">
        <v>3.2643159999999898</v>
      </c>
      <c r="AE4727">
        <v>21.2091999999999</v>
      </c>
      <c r="AF4727">
        <v>58.554891725589101</v>
      </c>
      <c r="AG4727">
        <v>3.2643159999999898</v>
      </c>
      <c r="AH4727">
        <v>293.75751658973201</v>
      </c>
      <c r="AI4727">
        <v>89.3756217175317</v>
      </c>
      <c r="AJ4727">
        <v>78.726945348330105</v>
      </c>
      <c r="AK4727">
        <v>299.55435175758998</v>
      </c>
      <c r="AL4727">
        <v>88.702164793338298</v>
      </c>
      <c r="AM4727">
        <v>87.618273895496799</v>
      </c>
      <c r="AN4727">
        <v>0.99999997747635105</v>
      </c>
    </row>
    <row r="4728" spans="1:40" x14ac:dyDescent="0.25">
      <c r="A4728" t="str">
        <f>"20190312160427092"</f>
        <v>20190312160427092</v>
      </c>
      <c r="B4728" t="str">
        <f>"1552377867089583"</f>
        <v>1552377867089583</v>
      </c>
      <c r="C4728" t="s">
        <v>40</v>
      </c>
      <c r="D4728">
        <v>4.9148899999999998</v>
      </c>
      <c r="E4728">
        <v>0.55830190000000002</v>
      </c>
      <c r="F4728" t="s">
        <v>98</v>
      </c>
      <c r="G4728">
        <v>-511.92669999999998</v>
      </c>
      <c r="H4728">
        <v>4.4372569999999998</v>
      </c>
      <c r="I4728">
        <v>163.19640000000001</v>
      </c>
      <c r="J4728">
        <v>-213.2834</v>
      </c>
      <c r="K4728">
        <v>1.1069929999999999</v>
      </c>
      <c r="L4728">
        <v>141.63630000000001</v>
      </c>
      <c r="M4728">
        <v>-0.99263290000000004</v>
      </c>
      <c r="N4728">
        <v>0</v>
      </c>
      <c r="O4728">
        <v>-0.1206015</v>
      </c>
      <c r="P4728">
        <v>-0.9966872</v>
      </c>
      <c r="Q4728">
        <v>1.077321E-2</v>
      </c>
      <c r="R4728">
        <v>-8.0615359999999997E-2</v>
      </c>
      <c r="S4728">
        <v>-3.029083</v>
      </c>
      <c r="T4728">
        <v>3.3759829999999998E-2</v>
      </c>
      <c r="U4728">
        <v>0.21838379999999999</v>
      </c>
      <c r="V4728">
        <v>4.0342120000000002E-2</v>
      </c>
      <c r="W4728">
        <v>2.2106580000000001E-2</v>
      </c>
      <c r="X4728">
        <v>0.99894139999999998</v>
      </c>
      <c r="Y4728">
        <v>0.1916622</v>
      </c>
      <c r="Z4728">
        <v>-2.4080830000000001E-3</v>
      </c>
      <c r="AA4728">
        <v>0.98145800000000005</v>
      </c>
      <c r="AB4728">
        <v>20</v>
      </c>
      <c r="AC4728">
        <v>-298.64329999999899</v>
      </c>
      <c r="AD4728">
        <v>3.3302640000000001</v>
      </c>
      <c r="AE4728">
        <v>21.560099999999998</v>
      </c>
      <c r="AF4728">
        <v>57.4148738851245</v>
      </c>
      <c r="AG4728">
        <v>3.3302640000000001</v>
      </c>
      <c r="AH4728">
        <v>293.826502552666</v>
      </c>
      <c r="AI4728">
        <v>89.362682976957004</v>
      </c>
      <c r="AJ4728">
        <v>78.9434931394795</v>
      </c>
      <c r="AK4728">
        <v>299.40202404774499</v>
      </c>
      <c r="AL4728">
        <v>88.733283146477902</v>
      </c>
      <c r="AM4728">
        <v>87.687374014586098</v>
      </c>
      <c r="AN4728">
        <v>1.0000000540796701</v>
      </c>
    </row>
    <row r="4729" spans="1:40" x14ac:dyDescent="0.25">
      <c r="A4729" t="str">
        <f>"20190312160427106"</f>
        <v>20190312160427106</v>
      </c>
      <c r="B4729" t="str">
        <f>"1552377867099344"</f>
        <v>1552377867099344</v>
      </c>
      <c r="C4729" t="s">
        <v>40</v>
      </c>
      <c r="D4729">
        <v>4.9103949999999896</v>
      </c>
      <c r="E4729">
        <v>0.55784019999999901</v>
      </c>
      <c r="F4729" t="s">
        <v>98</v>
      </c>
      <c r="G4729">
        <v>-511.92669999999998</v>
      </c>
      <c r="H4729">
        <v>4.6579629999999996</v>
      </c>
      <c r="I4729">
        <v>163.5155</v>
      </c>
      <c r="J4729">
        <v>-213.40270000000001</v>
      </c>
      <c r="K4729">
        <v>1.107073</v>
      </c>
      <c r="L4729">
        <v>141.62549999999999</v>
      </c>
      <c r="M4729">
        <v>-0.99302250000000003</v>
      </c>
      <c r="N4729">
        <v>0</v>
      </c>
      <c r="O4729">
        <v>-0.1173526</v>
      </c>
      <c r="P4729">
        <v>-0.99690000000000001</v>
      </c>
      <c r="Q4729">
        <v>1.1073410000000001E-2</v>
      </c>
      <c r="R4729">
        <v>-7.7897380000000002E-2</v>
      </c>
      <c r="S4729">
        <v>-3.0275120000000002</v>
      </c>
      <c r="T4729">
        <v>3.5998580000000002E-2</v>
      </c>
      <c r="U4729">
        <v>0.22180179999999999</v>
      </c>
      <c r="V4729">
        <v>3.979415E-2</v>
      </c>
      <c r="W4729">
        <v>2.2400719999999999E-2</v>
      </c>
      <c r="X4729">
        <v>0.99895679999999998</v>
      </c>
      <c r="Y4729">
        <v>0.18958649999999999</v>
      </c>
      <c r="Z4729">
        <v>-2.5182289999999999E-3</v>
      </c>
      <c r="AA4729">
        <v>0.98186079999999998</v>
      </c>
      <c r="AB4729">
        <v>20</v>
      </c>
      <c r="AC4729">
        <v>-298.524</v>
      </c>
      <c r="AD4729">
        <v>3.5508899999999999</v>
      </c>
      <c r="AE4729">
        <v>21.89</v>
      </c>
      <c r="AF4729">
        <v>56.765664765905299</v>
      </c>
      <c r="AG4729">
        <v>3.5508899999999999</v>
      </c>
      <c r="AH4729">
        <v>293.85063835633099</v>
      </c>
      <c r="AI4729">
        <v>89.320238001995605</v>
      </c>
      <c r="AJ4729">
        <v>79.066359119484503</v>
      </c>
      <c r="AK4729">
        <v>299.304438955607</v>
      </c>
      <c r="AL4729">
        <v>88.716425957995597</v>
      </c>
      <c r="AM4729">
        <v>87.718788299591296</v>
      </c>
      <c r="AN4729">
        <v>1.0000000274484899</v>
      </c>
    </row>
    <row r="4730" spans="1:40" x14ac:dyDescent="0.25">
      <c r="A4730" t="str">
        <f>"20190312160427126"</f>
        <v>20190312160427126</v>
      </c>
      <c r="B4730" t="str">
        <f>"1552377867119840"</f>
        <v>1552377867119840</v>
      </c>
      <c r="C4730" t="s">
        <v>40</v>
      </c>
      <c r="D4730">
        <v>5.0158180000000003</v>
      </c>
      <c r="E4730">
        <v>0.55730590000000002</v>
      </c>
      <c r="F4730" t="s">
        <v>99</v>
      </c>
      <c r="G4730">
        <v>-472.62060000000002</v>
      </c>
      <c r="H4730">
        <v>4.4052280000000001</v>
      </c>
      <c r="I4730">
        <v>161.00120000000001</v>
      </c>
      <c r="J4730">
        <v>-213.59129999999999</v>
      </c>
      <c r="K4730">
        <v>1.1072059999999999</v>
      </c>
      <c r="L4730">
        <v>141.60919999999999</v>
      </c>
      <c r="M4730">
        <v>-0.99359710000000001</v>
      </c>
      <c r="N4730">
        <v>0</v>
      </c>
      <c r="O4730">
        <v>-0.112386</v>
      </c>
      <c r="P4730">
        <v>-0.99718649999999998</v>
      </c>
      <c r="Q4730">
        <v>1.154121E-2</v>
      </c>
      <c r="R4730">
        <v>-7.4067939999999999E-2</v>
      </c>
      <c r="S4730">
        <v>-3.0265810000000002</v>
      </c>
      <c r="T4730">
        <v>3.8508649999999998E-2</v>
      </c>
      <c r="U4730">
        <v>0.22622680000000001</v>
      </c>
      <c r="V4730">
        <v>3.863109E-2</v>
      </c>
      <c r="W4730">
        <v>2.2861699999999999E-2</v>
      </c>
      <c r="X4730">
        <v>0.99899199999999999</v>
      </c>
      <c r="Y4730">
        <v>0.18612329999999999</v>
      </c>
      <c r="Z4730">
        <v>-2.6095910000000001E-3</v>
      </c>
      <c r="AA4730">
        <v>0.98252289999999998</v>
      </c>
      <c r="AB4730">
        <v>20</v>
      </c>
      <c r="AC4730">
        <v>-259.02929999999998</v>
      </c>
      <c r="AD4730">
        <v>3.298022</v>
      </c>
      <c r="AE4730">
        <v>19.391999999999999</v>
      </c>
      <c r="AF4730">
        <v>48.374549909704001</v>
      </c>
      <c r="AG4730">
        <v>3.298022</v>
      </c>
      <c r="AH4730">
        <v>255.16736116609101</v>
      </c>
      <c r="AI4730">
        <v>89.272454233638797</v>
      </c>
      <c r="AJ4730">
        <v>79.265277473877006</v>
      </c>
      <c r="AK4730">
        <v>259.733240522936</v>
      </c>
      <c r="AL4730">
        <v>88.690006970296395</v>
      </c>
      <c r="AM4730">
        <v>87.7854716379276</v>
      </c>
      <c r="AN4730">
        <v>1.0000000172527299</v>
      </c>
    </row>
    <row r="4731" spans="1:40" x14ac:dyDescent="0.25">
      <c r="A4731" t="str">
        <f>"20190312160427151"</f>
        <v>20190312160427151</v>
      </c>
      <c r="B4731" t="str">
        <f>"1552377867139359"</f>
        <v>1552377867139359</v>
      </c>
      <c r="C4731" t="s">
        <v>40</v>
      </c>
      <c r="D4731">
        <v>4.926374</v>
      </c>
      <c r="E4731">
        <v>0.53061569999999902</v>
      </c>
      <c r="F4731" t="s">
        <v>99</v>
      </c>
      <c r="G4731">
        <v>-465.87610000000001</v>
      </c>
      <c r="H4731">
        <v>4.5762650000000002</v>
      </c>
      <c r="I4731">
        <v>161.0915</v>
      </c>
      <c r="J4731">
        <v>-213.8032</v>
      </c>
      <c r="K4731">
        <v>1.1073550000000001</v>
      </c>
      <c r="L4731">
        <v>141.59180000000001</v>
      </c>
      <c r="M4731">
        <v>-0.99418329999999999</v>
      </c>
      <c r="N4731">
        <v>0</v>
      </c>
      <c r="O4731">
        <v>-0.1070792</v>
      </c>
      <c r="P4731">
        <v>-0.99745870000000003</v>
      </c>
      <c r="Q4731">
        <v>1.2455819999999999E-2</v>
      </c>
      <c r="R4731">
        <v>-7.0149729999999993E-2</v>
      </c>
      <c r="S4731">
        <v>-3.0253450000000002</v>
      </c>
      <c r="T4731">
        <v>4.1600230000000002E-2</v>
      </c>
      <c r="U4731">
        <v>0.23362730000000001</v>
      </c>
      <c r="V4731">
        <v>3.7217720000000003E-2</v>
      </c>
      <c r="W4731">
        <v>2.3770779999999998E-2</v>
      </c>
      <c r="X4731">
        <v>0.99902440000000003</v>
      </c>
      <c r="Y4731">
        <v>0.1832925</v>
      </c>
      <c r="Z4731">
        <v>-2.727897E-3</v>
      </c>
      <c r="AA4731">
        <v>0.9830546</v>
      </c>
      <c r="AB4731">
        <v>20</v>
      </c>
      <c r="AC4731">
        <v>-252.0729</v>
      </c>
      <c r="AD4731">
        <v>3.4689099999999899</v>
      </c>
      <c r="AE4731">
        <v>19.499699999999901</v>
      </c>
      <c r="AF4731">
        <v>46.372409426495103</v>
      </c>
      <c r="AG4731">
        <v>3.4689099999999899</v>
      </c>
      <c r="AH4731">
        <v>248.48848057716</v>
      </c>
      <c r="AI4731">
        <v>89.213772149310202</v>
      </c>
      <c r="AJ4731">
        <v>79.429174195332706</v>
      </c>
      <c r="AK4731">
        <v>252.80221255391001</v>
      </c>
      <c r="AL4731">
        <v>88.637906307622401</v>
      </c>
      <c r="AM4731">
        <v>87.866485947080605</v>
      </c>
      <c r="AN4731">
        <v>0.99999998022958303</v>
      </c>
    </row>
    <row r="4732" spans="1:40" x14ac:dyDescent="0.25">
      <c r="A4732" t="str">
        <f>"20190312160427172"</f>
        <v>20190312160427172</v>
      </c>
      <c r="B4732" t="str">
        <f>"1552377867169615"</f>
        <v>1552377867169615</v>
      </c>
      <c r="C4732" t="s">
        <v>40</v>
      </c>
      <c r="D4732">
        <v>4.9183409999999999</v>
      </c>
      <c r="E4732">
        <v>0.52956490000000001</v>
      </c>
      <c r="F4732" t="s">
        <v>41</v>
      </c>
      <c r="G4732">
        <v>-371.25630000000001</v>
      </c>
      <c r="H4732" s="1">
        <v>-4.52635299999999E-6</v>
      </c>
      <c r="I4732">
        <v>143.4376</v>
      </c>
      <c r="J4732">
        <v>-214.0069</v>
      </c>
      <c r="K4732">
        <v>1.1074999999999999</v>
      </c>
      <c r="L4732">
        <v>141.57570000000001</v>
      </c>
      <c r="M4732">
        <v>-0.99469240000000003</v>
      </c>
      <c r="N4732">
        <v>0</v>
      </c>
      <c r="O4732">
        <v>-0.1022449</v>
      </c>
      <c r="P4732">
        <v>-0.99772749999999999</v>
      </c>
      <c r="Q4732">
        <v>1.2755580000000001E-2</v>
      </c>
      <c r="R4732">
        <v>-6.6161250000000005E-2</v>
      </c>
      <c r="S4732">
        <v>-3.0103909999999998</v>
      </c>
      <c r="T4732">
        <v>-2.1171929999999999E-2</v>
      </c>
      <c r="U4732">
        <v>3.5293579999999998E-2</v>
      </c>
      <c r="V4732">
        <v>3.6348180000000001E-2</v>
      </c>
      <c r="W4732">
        <v>2.406252E-2</v>
      </c>
      <c r="X4732">
        <v>0.99904939999999998</v>
      </c>
      <c r="Y4732">
        <v>0.113901</v>
      </c>
      <c r="Z4732">
        <v>1.118771E-3</v>
      </c>
      <c r="AA4732">
        <v>0.99349149999999997</v>
      </c>
      <c r="AB4732">
        <v>20</v>
      </c>
      <c r="AC4732">
        <v>-157.24940000000001</v>
      </c>
      <c r="AD4732">
        <v>-1.1075045263529999</v>
      </c>
      <c r="AE4732">
        <v>1.8618999999999899</v>
      </c>
      <c r="AF4732">
        <v>17.9302702263737</v>
      </c>
      <c r="AG4732">
        <v>-1.1075045263529999</v>
      </c>
      <c r="AH4732">
        <v>156.22705569623901</v>
      </c>
      <c r="AI4732">
        <v>90.403518139836393</v>
      </c>
      <c r="AJ4732">
        <v>83.452777007307702</v>
      </c>
      <c r="AK4732">
        <v>157.25652319755301</v>
      </c>
      <c r="AL4732">
        <v>88.621186011202695</v>
      </c>
      <c r="AM4732">
        <v>87.916340152086804</v>
      </c>
      <c r="AN4732">
        <v>0.99999994934920999</v>
      </c>
    </row>
    <row r="4733" spans="1:40" x14ac:dyDescent="0.25">
      <c r="A4733" t="str">
        <f>"20190312160427194"</f>
        <v>20190312160427194</v>
      </c>
      <c r="B4733" t="str">
        <f>"1552377867189135"</f>
        <v>1552377867189135</v>
      </c>
      <c r="C4733" t="s">
        <v>40</v>
      </c>
      <c r="D4733">
        <v>4.873265</v>
      </c>
      <c r="E4733">
        <v>0.52844389999999997</v>
      </c>
      <c r="F4733" t="s">
        <v>45</v>
      </c>
      <c r="G4733">
        <v>0</v>
      </c>
      <c r="H4733">
        <v>0</v>
      </c>
      <c r="I4733">
        <v>0</v>
      </c>
      <c r="J4733">
        <v>-214.19579999999999</v>
      </c>
      <c r="K4733">
        <v>1.107612</v>
      </c>
      <c r="L4733">
        <v>141.5615</v>
      </c>
      <c r="M4733">
        <v>-0.99512440000000002</v>
      </c>
      <c r="N4733">
        <v>0</v>
      </c>
      <c r="O4733">
        <v>-9.7954459999999993E-2</v>
      </c>
      <c r="P4733">
        <v>-0.99792930000000002</v>
      </c>
      <c r="Q4733">
        <v>1.3385350000000001E-2</v>
      </c>
      <c r="R4733">
        <v>-6.2912720000000005E-2</v>
      </c>
      <c r="S4733">
        <v>-3.0090479999999999</v>
      </c>
      <c r="T4733">
        <v>2.0991800000000001E-2</v>
      </c>
      <c r="U4733">
        <v>3.7521359999999997E-2</v>
      </c>
      <c r="V4733">
        <v>3.5288090000000001E-2</v>
      </c>
      <c r="W4733">
        <v>2.468509E-2</v>
      </c>
      <c r="X4733">
        <v>0.99907230000000002</v>
      </c>
      <c r="Y4733">
        <v>0.1103568</v>
      </c>
      <c r="Z4733">
        <v>-1.0675610000000001E-3</v>
      </c>
      <c r="AA4733">
        <v>0.99389150000000004</v>
      </c>
      <c r="AB4733">
        <v>20</v>
      </c>
      <c r="AC4733">
        <v>-3.0090479999999999</v>
      </c>
      <c r="AD4733">
        <v>2.0991800000000001E-2</v>
      </c>
      <c r="AE4733">
        <v>3.7521359999999997E-2</v>
      </c>
      <c r="AF4733">
        <v>0.33209391155726797</v>
      </c>
      <c r="AG4733">
        <v>2.0991800000000001E-2</v>
      </c>
      <c r="AH4733">
        <v>2.9907541031745302</v>
      </c>
      <c r="AI4733">
        <v>89.600309778817504</v>
      </c>
      <c r="AJ4733">
        <v>83.663822065365295</v>
      </c>
      <c r="AK4733">
        <v>3.0092087211451402</v>
      </c>
      <c r="AL4733">
        <v>88.585504891638493</v>
      </c>
      <c r="AM4733">
        <v>87.977104905971004</v>
      </c>
      <c r="AN4733">
        <v>1.0000000317957201</v>
      </c>
    </row>
    <row r="4734" spans="1:40" x14ac:dyDescent="0.25">
      <c r="A4734" t="str">
        <f>"20190312160427216"</f>
        <v>20190312160427216</v>
      </c>
      <c r="B4734" t="str">
        <f>"1552377867209631"</f>
        <v>1552377867209631</v>
      </c>
      <c r="C4734" t="s">
        <v>40</v>
      </c>
      <c r="D4734">
        <v>4.9152670000000001</v>
      </c>
      <c r="E4734">
        <v>0.52765249999999997</v>
      </c>
      <c r="F4734" t="s">
        <v>45</v>
      </c>
      <c r="G4734">
        <v>0</v>
      </c>
      <c r="H4734">
        <v>0</v>
      </c>
      <c r="I4734">
        <v>0</v>
      </c>
      <c r="J4734">
        <v>-214.40479999999999</v>
      </c>
      <c r="K4734">
        <v>1.107718</v>
      </c>
      <c r="L4734">
        <v>141.54640000000001</v>
      </c>
      <c r="M4734">
        <v>-0.99556049999999996</v>
      </c>
      <c r="N4734">
        <v>0</v>
      </c>
      <c r="O4734">
        <v>-9.3421439999999994E-2</v>
      </c>
      <c r="P4734">
        <v>-0.99815810000000005</v>
      </c>
      <c r="Q4734">
        <v>1.344362E-2</v>
      </c>
      <c r="R4734">
        <v>-5.9159280000000002E-2</v>
      </c>
      <c r="S4734">
        <v>-3.0081790000000002</v>
      </c>
      <c r="T4734">
        <v>3.245986E-2</v>
      </c>
      <c r="U4734">
        <v>3.80249E-2</v>
      </c>
      <c r="V4734">
        <v>3.4488779999999997E-2</v>
      </c>
      <c r="W4734">
        <v>2.473419E-2</v>
      </c>
      <c r="X4734">
        <v>0.99909899999999996</v>
      </c>
      <c r="Y4734">
        <v>0.1059928</v>
      </c>
      <c r="Z4734">
        <v>-1.5789279999999901E-3</v>
      </c>
      <c r="AA4734">
        <v>0.99436559999999896</v>
      </c>
      <c r="AB4734">
        <v>20</v>
      </c>
      <c r="AC4734">
        <v>-3.0081790000000002</v>
      </c>
      <c r="AD4734">
        <v>3.245986E-2</v>
      </c>
      <c r="AE4734">
        <v>3.80249E-2</v>
      </c>
      <c r="AF4734">
        <v>0.31886838536866902</v>
      </c>
      <c r="AG4734">
        <v>3.245986E-2</v>
      </c>
      <c r="AH4734">
        <v>2.9911206636943999</v>
      </c>
      <c r="AI4734">
        <v>89.381749314897306</v>
      </c>
      <c r="AJ4734">
        <v>83.9149659848147</v>
      </c>
      <c r="AK4734">
        <v>3.0082442577820201</v>
      </c>
      <c r="AL4734">
        <v>88.582690812785899</v>
      </c>
      <c r="AM4734">
        <v>88.022941481327805</v>
      </c>
      <c r="AN4734">
        <v>1.0000000339509201</v>
      </c>
    </row>
    <row r="4735" spans="1:40" x14ac:dyDescent="0.25">
      <c r="A4735" t="str">
        <f>"20190312160427238"</f>
        <v>20190312160427238</v>
      </c>
      <c r="B4735" t="str">
        <f>"1552377867229151"</f>
        <v>1552377867229151</v>
      </c>
      <c r="C4735" t="s">
        <v>40</v>
      </c>
      <c r="D4735">
        <v>4.8311679999999999</v>
      </c>
      <c r="E4735">
        <v>0.52683990000000003</v>
      </c>
      <c r="F4735" t="s">
        <v>45</v>
      </c>
      <c r="G4735">
        <v>0</v>
      </c>
      <c r="H4735">
        <v>0</v>
      </c>
      <c r="I4735">
        <v>0</v>
      </c>
      <c r="J4735">
        <v>-214.6095</v>
      </c>
      <c r="K4735">
        <v>1.1078170000000001</v>
      </c>
      <c r="L4735">
        <v>141.53229999999999</v>
      </c>
      <c r="M4735">
        <v>-0.99594800000000006</v>
      </c>
      <c r="N4735">
        <v>0</v>
      </c>
      <c r="O4735">
        <v>-8.9197990000000005E-2</v>
      </c>
      <c r="P4735">
        <v>-0.99834129999999999</v>
      </c>
      <c r="Q4735">
        <v>1.339776E-2</v>
      </c>
      <c r="R4735">
        <v>-5.5995049999999998E-2</v>
      </c>
      <c r="S4735">
        <v>-3.0075379999999998</v>
      </c>
      <c r="T4735">
        <v>4.0280820000000002E-2</v>
      </c>
      <c r="U4735">
        <v>4.278564E-2</v>
      </c>
      <c r="V4735">
        <v>3.3411669999999997E-2</v>
      </c>
      <c r="W4735">
        <v>2.4681270000000002E-2</v>
      </c>
      <c r="X4735">
        <v>0.99913689999999999</v>
      </c>
      <c r="Y4735">
        <v>0.1033456</v>
      </c>
      <c r="Z4735">
        <v>-1.8856179999999999E-3</v>
      </c>
      <c r="AA4735">
        <v>0.99464370000000002</v>
      </c>
      <c r="AB4735">
        <v>20</v>
      </c>
      <c r="AC4735">
        <v>-3.0075379999999998</v>
      </c>
      <c r="AD4735">
        <v>4.0280820000000002E-2</v>
      </c>
      <c r="AE4735">
        <v>4.278564E-2</v>
      </c>
      <c r="AF4735">
        <v>0.31084328037845499</v>
      </c>
      <c r="AG4735">
        <v>4.0280820000000002E-2</v>
      </c>
      <c r="AH4735">
        <v>2.9911950239543699</v>
      </c>
      <c r="AI4735">
        <v>89.232607093063194</v>
      </c>
      <c r="AJ4735">
        <v>84.067150892449106</v>
      </c>
      <c r="AK4735">
        <v>3.0075727357365198</v>
      </c>
      <c r="AL4735">
        <v>88.585723818404901</v>
      </c>
      <c r="AM4735">
        <v>88.084712344693003</v>
      </c>
      <c r="AN4735">
        <v>1.0000000248612999</v>
      </c>
    </row>
    <row r="4736" spans="1:40" x14ac:dyDescent="0.25">
      <c r="A4736" t="str">
        <f>"20190312160427252"</f>
        <v>20190312160427252</v>
      </c>
      <c r="B4736" t="str">
        <f>"1552377867249648"</f>
        <v>1552377867249648</v>
      </c>
      <c r="C4736" t="s">
        <v>40</v>
      </c>
      <c r="D4736">
        <v>4.8164009999999999</v>
      </c>
      <c r="E4736">
        <v>0.52659979999999995</v>
      </c>
      <c r="F4736" t="s">
        <v>45</v>
      </c>
      <c r="G4736">
        <v>0</v>
      </c>
      <c r="H4736">
        <v>0</v>
      </c>
      <c r="I4736">
        <v>0</v>
      </c>
      <c r="J4736">
        <v>-214.7328</v>
      </c>
      <c r="K4736">
        <v>1.107877</v>
      </c>
      <c r="L4736">
        <v>141.52420000000001</v>
      </c>
      <c r="M4736">
        <v>-0.99616369999999999</v>
      </c>
      <c r="N4736">
        <v>0</v>
      </c>
      <c r="O4736">
        <v>-8.6756340000000001E-2</v>
      </c>
      <c r="P4736">
        <v>-0.99844120000000003</v>
      </c>
      <c r="Q4736">
        <v>1.37407E-2</v>
      </c>
      <c r="R4736">
        <v>-5.4095600000000001E-2</v>
      </c>
      <c r="S4736">
        <v>-3.0071409999999998</v>
      </c>
      <c r="T4736">
        <v>3.2321450000000002E-2</v>
      </c>
      <c r="U4736">
        <v>4.6066280000000001E-2</v>
      </c>
      <c r="V4736">
        <v>3.2860689999999998E-2</v>
      </c>
      <c r="W4736">
        <v>2.5020199999999999E-2</v>
      </c>
      <c r="X4736">
        <v>0.99914669999999906</v>
      </c>
      <c r="Y4736">
        <v>0.1020004</v>
      </c>
      <c r="Z4736">
        <v>-1.479845E-3</v>
      </c>
      <c r="AA4736">
        <v>0.99478330000000004</v>
      </c>
      <c r="AB4736">
        <v>20</v>
      </c>
      <c r="AC4736">
        <v>-3.0071409999999998</v>
      </c>
      <c r="AD4736">
        <v>3.2321450000000002E-2</v>
      </c>
      <c r="AE4736">
        <v>4.6066280000000001E-2</v>
      </c>
      <c r="AF4736">
        <v>0.30676280238403297</v>
      </c>
      <c r="AG4736">
        <v>3.2321450000000002E-2</v>
      </c>
      <c r="AH4736">
        <v>2.9914589565567602</v>
      </c>
      <c r="AI4736">
        <v>89.384196492608595</v>
      </c>
      <c r="AJ4736">
        <v>84.145000457687601</v>
      </c>
      <c r="AK4736">
        <v>3.0073201994168</v>
      </c>
      <c r="AL4736">
        <v>88.566298499357899</v>
      </c>
      <c r="AM4736">
        <v>88.116292191557704</v>
      </c>
      <c r="AN4736">
        <v>0.99999998173810201</v>
      </c>
    </row>
    <row r="4737" spans="1:40" x14ac:dyDescent="0.25">
      <c r="A4737" t="str">
        <f>"20190312160427271"</f>
        <v>20190312160427271</v>
      </c>
      <c r="B4737" t="str">
        <f>"1552377867259412"</f>
        <v>1552377867259412</v>
      </c>
      <c r="C4737" t="s">
        <v>40</v>
      </c>
      <c r="D4737">
        <v>4.8726339999999997</v>
      </c>
      <c r="E4737">
        <v>0.52629510000000002</v>
      </c>
      <c r="F4737" t="s">
        <v>45</v>
      </c>
      <c r="G4737">
        <v>0</v>
      </c>
      <c r="H4737">
        <v>0</v>
      </c>
      <c r="I4737">
        <v>0</v>
      </c>
      <c r="J4737">
        <v>-214.90020000000001</v>
      </c>
      <c r="K4737">
        <v>1.1079699999999999</v>
      </c>
      <c r="L4737">
        <v>141.51339999999999</v>
      </c>
      <c r="M4737">
        <v>-0.99643610000000005</v>
      </c>
      <c r="N4737">
        <v>0</v>
      </c>
      <c r="O4737">
        <v>-8.3572720000000003E-2</v>
      </c>
      <c r="P4737">
        <v>-0.99856670000000003</v>
      </c>
      <c r="Q4737">
        <v>1.3411330000000001E-2</v>
      </c>
      <c r="R4737">
        <v>-5.181612E-2</v>
      </c>
      <c r="S4737">
        <v>-3.0070800000000002</v>
      </c>
      <c r="T4737">
        <v>2.3671149999999998E-2</v>
      </c>
      <c r="U4737">
        <v>5.0125120000000002E-2</v>
      </c>
      <c r="V4737">
        <v>3.1941949999999997E-2</v>
      </c>
      <c r="W4737">
        <v>2.4686039999999999E-2</v>
      </c>
      <c r="X4737">
        <v>0.99918479999999998</v>
      </c>
      <c r="Y4737">
        <v>0.1001693</v>
      </c>
      <c r="Z4737">
        <v>-1.0516169999999999E-3</v>
      </c>
      <c r="AA4737">
        <v>0.99496980000000002</v>
      </c>
      <c r="AB4737">
        <v>20</v>
      </c>
      <c r="AC4737">
        <v>-3.0070800000000002</v>
      </c>
      <c r="AD4737">
        <v>2.3671149999999998E-2</v>
      </c>
      <c r="AE4737">
        <v>5.0125120000000002E-2</v>
      </c>
      <c r="AF4737">
        <v>0.30125736051097501</v>
      </c>
      <c r="AG4737">
        <v>2.3671149999999998E-2</v>
      </c>
      <c r="AH4737">
        <v>2.9921841711754</v>
      </c>
      <c r="AI4737">
        <v>89.549022770364402</v>
      </c>
      <c r="AJ4737">
        <v>84.250753369981993</v>
      </c>
      <c r="AK4737">
        <v>3.0074046011198701</v>
      </c>
      <c r="AL4737">
        <v>88.585450366029605</v>
      </c>
      <c r="AM4737">
        <v>88.168991494523695</v>
      </c>
      <c r="AN4737">
        <v>0.99999997664586104</v>
      </c>
    </row>
    <row r="4738" spans="1:40" x14ac:dyDescent="0.25">
      <c r="A4738" t="str">
        <f>"20190312160427294"</f>
        <v>20190312160427294</v>
      </c>
      <c r="B4738" t="str">
        <f>"1552377867289664"</f>
        <v>1552377867289664</v>
      </c>
      <c r="C4738" t="s">
        <v>40</v>
      </c>
      <c r="D4738">
        <v>4.8369759999999999</v>
      </c>
      <c r="E4738">
        <v>0.52621019999999996</v>
      </c>
      <c r="F4738" t="s">
        <v>45</v>
      </c>
      <c r="G4738">
        <v>0</v>
      </c>
      <c r="H4738">
        <v>0</v>
      </c>
      <c r="I4738">
        <v>0</v>
      </c>
      <c r="J4738">
        <v>-215.10919999999999</v>
      </c>
      <c r="K4738">
        <v>1.1080970000000001</v>
      </c>
      <c r="L4738">
        <v>141.50049999999999</v>
      </c>
      <c r="M4738">
        <v>-0.99674450000000003</v>
      </c>
      <c r="N4738">
        <v>0</v>
      </c>
      <c r="O4738">
        <v>-7.9812439999999998E-2</v>
      </c>
      <c r="P4738">
        <v>-0.99868710000000005</v>
      </c>
      <c r="Q4738">
        <v>1.380315E-2</v>
      </c>
      <c r="R4738">
        <v>-4.9331590000000002E-2</v>
      </c>
      <c r="S4738">
        <v>-3.0068510000000002</v>
      </c>
      <c r="T4738">
        <v>2.2798780000000001E-2</v>
      </c>
      <c r="U4738">
        <v>5.4595949999999997E-2</v>
      </c>
      <c r="V4738">
        <v>3.0651339999999999E-2</v>
      </c>
      <c r="W4738">
        <v>2.507407E-2</v>
      </c>
      <c r="X4738">
        <v>0.99921559999999998</v>
      </c>
      <c r="Y4738">
        <v>9.7895670000000004E-2</v>
      </c>
      <c r="Z4738">
        <v>-9.7586730000000005E-4</v>
      </c>
      <c r="AA4738">
        <v>0.99519619999999998</v>
      </c>
      <c r="AB4738">
        <v>20</v>
      </c>
      <c r="AC4738">
        <v>-3.0068510000000002</v>
      </c>
      <c r="AD4738">
        <v>2.2798780000000001E-2</v>
      </c>
      <c r="AE4738">
        <v>5.4595949999999997E-2</v>
      </c>
      <c r="AF4738">
        <v>0.29440460128906698</v>
      </c>
      <c r="AG4738">
        <v>2.2798780000000001E-2</v>
      </c>
      <c r="AH4738">
        <v>2.9927278702833102</v>
      </c>
      <c r="AI4738">
        <v>89.565622428703307</v>
      </c>
      <c r="AJ4738">
        <v>84.381700283978603</v>
      </c>
      <c r="AK4738">
        <v>3.0072602080964201</v>
      </c>
      <c r="AL4738">
        <v>88.563211054043506</v>
      </c>
      <c r="AM4738">
        <v>88.242979911703898</v>
      </c>
      <c r="AN4738">
        <v>1.00000001445676</v>
      </c>
    </row>
    <row r="4739" spans="1:40" x14ac:dyDescent="0.25">
      <c r="A4739" t="str">
        <f>"20190312160427308"</f>
        <v>20190312160427308</v>
      </c>
      <c r="B4739" t="str">
        <f>"1552377867299424"</f>
        <v>1552377867299424</v>
      </c>
      <c r="C4739" t="s">
        <v>40</v>
      </c>
      <c r="D4739">
        <v>4.8871979999999997</v>
      </c>
      <c r="E4739">
        <v>0.52609689999999998</v>
      </c>
      <c r="F4739" t="s">
        <v>45</v>
      </c>
      <c r="G4739">
        <v>0</v>
      </c>
      <c r="H4739">
        <v>0</v>
      </c>
      <c r="I4739">
        <v>0</v>
      </c>
      <c r="J4739">
        <v>-215.2415</v>
      </c>
      <c r="K4739">
        <v>1.108176</v>
      </c>
      <c r="L4739">
        <v>141.49260000000001</v>
      </c>
      <c r="M4739">
        <v>-0.99692559999999997</v>
      </c>
      <c r="N4739">
        <v>0</v>
      </c>
      <c r="O4739">
        <v>-7.7521430000000002E-2</v>
      </c>
      <c r="P4739">
        <v>-0.99876529999999997</v>
      </c>
      <c r="Q4739">
        <v>1.3695840000000001E-2</v>
      </c>
      <c r="R4739">
        <v>-4.7755279999999997E-2</v>
      </c>
      <c r="S4739">
        <v>-3.0067750000000002</v>
      </c>
      <c r="T4739">
        <v>1.489687E-2</v>
      </c>
      <c r="U4739">
        <v>6.1691280000000001E-2</v>
      </c>
      <c r="V4739">
        <v>2.9926399999999999E-2</v>
      </c>
      <c r="W4739">
        <v>2.4964900000000002E-2</v>
      </c>
      <c r="X4739">
        <v>0.99924029999999997</v>
      </c>
      <c r="Y4739">
        <v>9.7959359999999995E-2</v>
      </c>
      <c r="Z4739">
        <v>-6.2648360000000004E-4</v>
      </c>
      <c r="AA4739">
        <v>0.99519020000000002</v>
      </c>
      <c r="AB4739">
        <v>20</v>
      </c>
      <c r="AC4739">
        <v>-3.0067750000000002</v>
      </c>
      <c r="AD4739">
        <v>1.489687E-2</v>
      </c>
      <c r="AE4739">
        <v>6.1691280000000001E-2</v>
      </c>
      <c r="AF4739">
        <v>0.29460300289270003</v>
      </c>
      <c r="AG4739">
        <v>1.489687E-2</v>
      </c>
      <c r="AH4739">
        <v>2.9928693536809101</v>
      </c>
      <c r="AI4739">
        <v>89.716186897504201</v>
      </c>
      <c r="AJ4739">
        <v>84.378202387222402</v>
      </c>
      <c r="AK4739">
        <v>3.0073709139797802</v>
      </c>
      <c r="AL4739">
        <v>88.569467981321793</v>
      </c>
      <c r="AM4739">
        <v>88.284552737653499</v>
      </c>
      <c r="AN4739">
        <v>1.00000000639652</v>
      </c>
    </row>
    <row r="4740" spans="1:40" x14ac:dyDescent="0.25">
      <c r="A4740" t="str">
        <f>"20190312160427321"</f>
        <v>20190312160427321</v>
      </c>
      <c r="B4740" t="str">
        <f>"1552377867309184"</f>
        <v>1552377867309184</v>
      </c>
      <c r="C4740" t="s">
        <v>40</v>
      </c>
      <c r="D4740">
        <v>4.8437599999999996</v>
      </c>
      <c r="E4740">
        <v>0.52585369999999998</v>
      </c>
      <c r="F4740" t="s">
        <v>45</v>
      </c>
      <c r="G4740">
        <v>0</v>
      </c>
      <c r="H4740">
        <v>0</v>
      </c>
      <c r="I4740">
        <v>0</v>
      </c>
      <c r="J4740">
        <v>-215.36009999999999</v>
      </c>
      <c r="K4740">
        <v>1.108239</v>
      </c>
      <c r="L4740">
        <v>141.48570000000001</v>
      </c>
      <c r="M4740">
        <v>-0.99707639999999997</v>
      </c>
      <c r="N4740">
        <v>0</v>
      </c>
      <c r="O4740">
        <v>-7.5556139999999994E-2</v>
      </c>
      <c r="P4740">
        <v>-0.99885109999999999</v>
      </c>
      <c r="Q4740">
        <v>1.340379E-2</v>
      </c>
      <c r="R4740">
        <v>-4.6007449999999998E-2</v>
      </c>
      <c r="S4740">
        <v>-3.0066220000000001</v>
      </c>
      <c r="T4740">
        <v>1.5760779999999999E-2</v>
      </c>
      <c r="U4740">
        <v>6.5521239999999994E-2</v>
      </c>
      <c r="V4740">
        <v>2.9700000000000001E-2</v>
      </c>
      <c r="W4740">
        <v>2.466983E-2</v>
      </c>
      <c r="X4740">
        <v>0.99925439999999999</v>
      </c>
      <c r="Y4740">
        <v>9.7265589999999999E-2</v>
      </c>
      <c r="Z4740">
        <v>-6.5074309999999999E-4</v>
      </c>
      <c r="AA4740">
        <v>0.99525830000000004</v>
      </c>
      <c r="AB4740">
        <v>20</v>
      </c>
      <c r="AC4740">
        <v>-3.0066220000000001</v>
      </c>
      <c r="AD4740">
        <v>1.5760779999999999E-2</v>
      </c>
      <c r="AE4740">
        <v>6.5521239999999994E-2</v>
      </c>
      <c r="AF4740">
        <v>0.29250940375220502</v>
      </c>
      <c r="AG4740">
        <v>1.5760779999999999E-2</v>
      </c>
      <c r="AH4740">
        <v>2.9929935430244599</v>
      </c>
      <c r="AI4740">
        <v>89.699720032367793</v>
      </c>
      <c r="AJ4740">
        <v>84.418130682568901</v>
      </c>
      <c r="AK4740">
        <v>3.0072945486027498</v>
      </c>
      <c r="AL4740">
        <v>88.586379479421097</v>
      </c>
      <c r="AM4740">
        <v>88.297546827231599</v>
      </c>
      <c r="AN4740">
        <v>1.00000002321579</v>
      </c>
    </row>
    <row r="4741" spans="1:40" x14ac:dyDescent="0.25">
      <c r="A4741" t="str">
        <f>"20190312160427339"</f>
        <v>20190312160427339</v>
      </c>
      <c r="B4741" t="str">
        <f>"1552377867329188"</f>
        <v>1552377867329188</v>
      </c>
      <c r="C4741" t="s">
        <v>40</v>
      </c>
      <c r="D4741">
        <v>4.9150159999999996</v>
      </c>
      <c r="E4741">
        <v>0.525563</v>
      </c>
      <c r="F4741" t="s">
        <v>45</v>
      </c>
      <c r="G4741">
        <v>0</v>
      </c>
      <c r="H4741">
        <v>0</v>
      </c>
      <c r="I4741">
        <v>0</v>
      </c>
      <c r="J4741">
        <v>-215.52629999999999</v>
      </c>
      <c r="K4741">
        <v>1.108328</v>
      </c>
      <c r="L4741">
        <v>141.47630000000001</v>
      </c>
      <c r="M4741">
        <v>-0.9972742</v>
      </c>
      <c r="N4741">
        <v>0</v>
      </c>
      <c r="O4741">
        <v>-7.2902270000000005E-2</v>
      </c>
      <c r="P4741">
        <v>-0.99893399999999999</v>
      </c>
      <c r="Q4741">
        <v>1.281239E-2</v>
      </c>
      <c r="R4741">
        <v>-4.4348440000000003E-2</v>
      </c>
      <c r="S4741">
        <v>-3.0064850000000001</v>
      </c>
      <c r="T4741">
        <v>1.0829689999999999E-2</v>
      </c>
      <c r="U4741">
        <v>6.8878170000000002E-2</v>
      </c>
      <c r="V4741">
        <v>2.8692829999999999E-2</v>
      </c>
      <c r="W4741">
        <v>2.407635E-2</v>
      </c>
      <c r="X4741">
        <v>0.99929829999999997</v>
      </c>
      <c r="Y4741">
        <v>9.5729690000000006E-2</v>
      </c>
      <c r="Z4741">
        <v>-4.3485479999999998E-4</v>
      </c>
      <c r="AA4741">
        <v>0.99540729999999999</v>
      </c>
      <c r="AB4741">
        <v>20</v>
      </c>
      <c r="AC4741">
        <v>-3.0064850000000001</v>
      </c>
      <c r="AD4741">
        <v>1.0829689999999999E-2</v>
      </c>
      <c r="AE4741">
        <v>6.8878170000000002E-2</v>
      </c>
      <c r="AF4741">
        <v>0.28788490087943802</v>
      </c>
      <c r="AG4741">
        <v>1.0829689999999999E-2</v>
      </c>
      <c r="AH4741">
        <v>2.9934234551037</v>
      </c>
      <c r="AI4741">
        <v>89.793666650486699</v>
      </c>
      <c r="AJ4741">
        <v>84.506618655826301</v>
      </c>
      <c r="AK4741">
        <v>3.0072543922829098</v>
      </c>
      <c r="AL4741">
        <v>88.620393479426198</v>
      </c>
      <c r="AM4741">
        <v>88.355319427412795</v>
      </c>
      <c r="AN4741">
        <v>1.0000000207528099</v>
      </c>
    </row>
    <row r="4742" spans="1:40" x14ac:dyDescent="0.25">
      <c r="A4742" t="str">
        <f>"20190312160427361"</f>
        <v>20190312160427361</v>
      </c>
      <c r="B4742" t="str">
        <f>"1552377867349685"</f>
        <v>1552377867349685</v>
      </c>
      <c r="C4742" t="s">
        <v>40</v>
      </c>
      <c r="D4742">
        <v>4.895867</v>
      </c>
      <c r="E4742">
        <v>0.52512890000000001</v>
      </c>
      <c r="F4742" t="s">
        <v>45</v>
      </c>
      <c r="G4742">
        <v>0</v>
      </c>
      <c r="H4742">
        <v>0</v>
      </c>
      <c r="I4742">
        <v>0</v>
      </c>
      <c r="J4742">
        <v>-215.72329999999999</v>
      </c>
      <c r="K4742">
        <v>1.1084290000000001</v>
      </c>
      <c r="L4742">
        <v>141.46549999999999</v>
      </c>
      <c r="M4742">
        <v>-0.99748740000000002</v>
      </c>
      <c r="N4742">
        <v>0</v>
      </c>
      <c r="O4742">
        <v>-6.9925580000000001E-2</v>
      </c>
      <c r="P4742">
        <v>-0.99902919999999995</v>
      </c>
      <c r="Q4742">
        <v>1.2777729999999999E-2</v>
      </c>
      <c r="R4742">
        <v>-4.2161419999999998E-2</v>
      </c>
      <c r="S4742">
        <v>-3.0063019999999998</v>
      </c>
      <c r="T4742">
        <v>6.8696740000000001E-3</v>
      </c>
      <c r="U4742">
        <v>7.1685789999999999E-2</v>
      </c>
      <c r="V4742">
        <v>2.7892130000000001E-2</v>
      </c>
      <c r="W4742">
        <v>2.4038690000000001E-2</v>
      </c>
      <c r="X4742">
        <v>0.99932189999999999</v>
      </c>
      <c r="Y4742">
        <v>9.3689839999999996E-2</v>
      </c>
      <c r="Z4742">
        <v>-2.667387E-4</v>
      </c>
      <c r="AA4742">
        <v>0.99560139999999997</v>
      </c>
      <c r="AB4742">
        <v>20</v>
      </c>
      <c r="AC4742">
        <v>-3.0063019999999998</v>
      </c>
      <c r="AD4742">
        <v>6.8696740000000001E-3</v>
      </c>
      <c r="AE4742">
        <v>7.1685789999999999E-2</v>
      </c>
      <c r="AF4742">
        <v>0.28173982815912202</v>
      </c>
      <c r="AG4742">
        <v>6.8696740000000001E-3</v>
      </c>
      <c r="AH4742">
        <v>2.9939136348294801</v>
      </c>
      <c r="AI4742">
        <v>89.869110673638303</v>
      </c>
      <c r="AJ4742">
        <v>84.624058634121596</v>
      </c>
      <c r="AK4742">
        <v>3.0071487119878002</v>
      </c>
      <c r="AL4742">
        <v>88.622551896085696</v>
      </c>
      <c r="AM4742">
        <v>88.401229337187004</v>
      </c>
      <c r="AN4742">
        <v>1.00000004467623</v>
      </c>
    </row>
    <row r="4743" spans="1:40" x14ac:dyDescent="0.25">
      <c r="A4743" t="str">
        <f>"20190312160427384"</f>
        <v>20190312160427384</v>
      </c>
      <c r="B4743" t="str">
        <f>"1552377867379941"</f>
        <v>1552377867379941</v>
      </c>
      <c r="C4743" t="s">
        <v>40</v>
      </c>
      <c r="D4743">
        <v>4.8721079999999999</v>
      </c>
      <c r="E4743">
        <v>0.52451159999999997</v>
      </c>
      <c r="F4743" t="s">
        <v>98</v>
      </c>
      <c r="G4743">
        <v>-551.92949999999996</v>
      </c>
      <c r="H4743">
        <v>1.6183299999999901</v>
      </c>
      <c r="I4743">
        <v>149.8432</v>
      </c>
      <c r="J4743">
        <v>-215.93440000000001</v>
      </c>
      <c r="K4743">
        <v>1.108522</v>
      </c>
      <c r="L4743">
        <v>141.45429999999999</v>
      </c>
      <c r="M4743">
        <v>-0.99769260000000004</v>
      </c>
      <c r="N4743">
        <v>0</v>
      </c>
      <c r="O4743">
        <v>-6.6938159999999997E-2</v>
      </c>
      <c r="P4743">
        <v>-0.99911719999999904</v>
      </c>
      <c r="Q4743">
        <v>1.263511E-2</v>
      </c>
      <c r="R4743">
        <v>-4.0067609999999997E-2</v>
      </c>
      <c r="S4743">
        <v>-3.0060120000000001</v>
      </c>
      <c r="T4743">
        <v>4.5593980000000001E-3</v>
      </c>
      <c r="U4743">
        <v>7.4905399999999997E-2</v>
      </c>
      <c r="V4743">
        <v>2.6987359999999998E-2</v>
      </c>
      <c r="W4743">
        <v>2.3888050000000001E-2</v>
      </c>
      <c r="X4743">
        <v>0.99935030000000002</v>
      </c>
      <c r="Y4743">
        <v>9.1776449999999996E-2</v>
      </c>
      <c r="Z4743">
        <v>-1.710746E-4</v>
      </c>
      <c r="AA4743">
        <v>0.99577959999999999</v>
      </c>
      <c r="AB4743">
        <v>20</v>
      </c>
      <c r="AC4743">
        <v>-335.99509999999998</v>
      </c>
      <c r="AD4743">
        <v>0.50980799999999904</v>
      </c>
      <c r="AE4743">
        <v>8.3888999999999996</v>
      </c>
      <c r="AF4743">
        <v>30.862353173258299</v>
      </c>
      <c r="AG4743">
        <v>0.50980799999999904</v>
      </c>
      <c r="AH4743">
        <v>334.67906450393502</v>
      </c>
      <c r="AI4743">
        <v>89.913091614813396</v>
      </c>
      <c r="AJ4743">
        <v>84.731383125418802</v>
      </c>
      <c r="AK4743">
        <v>336.09942125034502</v>
      </c>
      <c r="AL4743">
        <v>88.631185335373104</v>
      </c>
      <c r="AM4743">
        <v>88.453108870408201</v>
      </c>
      <c r="AN4743">
        <v>0.99999998932133005</v>
      </c>
    </row>
    <row r="4744" spans="1:40" x14ac:dyDescent="0.25">
      <c r="A4744" t="str">
        <f>"20190312160427408"</f>
        <v>20190312160427408</v>
      </c>
      <c r="B4744" t="str">
        <f>"1552377867399462"</f>
        <v>1552377867399462</v>
      </c>
      <c r="C4744" t="s">
        <v>40</v>
      </c>
      <c r="D4744">
        <v>4.8648850000000001</v>
      </c>
      <c r="E4744">
        <v>0.52425859999999902</v>
      </c>
      <c r="F4744" t="s">
        <v>98</v>
      </c>
      <c r="G4744">
        <v>-550.16250000000002</v>
      </c>
      <c r="H4744">
        <v>1.7292240000000001</v>
      </c>
      <c r="I4744">
        <v>149.9264</v>
      </c>
      <c r="J4744">
        <v>-216.14279999999999</v>
      </c>
      <c r="K4744">
        <v>1.1086069999999999</v>
      </c>
      <c r="L4744">
        <v>141.44370000000001</v>
      </c>
      <c r="M4744">
        <v>-0.99787440000000005</v>
      </c>
      <c r="N4744">
        <v>0</v>
      </c>
      <c r="O4744">
        <v>-6.4174289999999995E-2</v>
      </c>
      <c r="P4744">
        <v>-0.99919519999999995</v>
      </c>
      <c r="Q4744">
        <v>1.2761710000000001E-2</v>
      </c>
      <c r="R4744">
        <v>-3.8029090000000002E-2</v>
      </c>
      <c r="S4744">
        <v>-3.00563</v>
      </c>
      <c r="T4744">
        <v>5.5822129999999999E-3</v>
      </c>
      <c r="U4744">
        <v>7.6187130000000006E-2</v>
      </c>
      <c r="V4744">
        <v>2.6252999999999999E-2</v>
      </c>
      <c r="W4744">
        <v>2.4000069999999998E-2</v>
      </c>
      <c r="X4744">
        <v>0.99936720000000001</v>
      </c>
      <c r="Y4744">
        <v>8.9445289999999997E-2</v>
      </c>
      <c r="Z4744">
        <v>-2.0218680000000001E-4</v>
      </c>
      <c r="AA4744">
        <v>0.99599170000000004</v>
      </c>
      <c r="AB4744">
        <v>20</v>
      </c>
      <c r="AC4744">
        <v>-334.0197</v>
      </c>
      <c r="AD4744">
        <v>0.62061699999999997</v>
      </c>
      <c r="AE4744">
        <v>8.4826999999999906</v>
      </c>
      <c r="AF4744">
        <v>29.9019620155516</v>
      </c>
      <c r="AG4744">
        <v>0.62061699999999997</v>
      </c>
      <c r="AH4744">
        <v>332.78554434960898</v>
      </c>
      <c r="AI4744">
        <v>89.893577069416807</v>
      </c>
      <c r="AJ4744">
        <v>84.8655591880933</v>
      </c>
      <c r="AK4744">
        <v>334.126818776802</v>
      </c>
      <c r="AL4744">
        <v>88.624765252493006</v>
      </c>
      <c r="AM4744">
        <v>88.495207534063994</v>
      </c>
      <c r="AN4744">
        <v>1.0000000119024199</v>
      </c>
    </row>
    <row r="4745" spans="1:40" x14ac:dyDescent="0.25">
      <c r="A4745" t="str">
        <f>"20190312160427429"</f>
        <v>20190312160427429</v>
      </c>
      <c r="B4745" t="str">
        <f>"1552377867419956"</f>
        <v>1552377867419956</v>
      </c>
      <c r="C4745" t="s">
        <v>40</v>
      </c>
      <c r="D4745">
        <v>4.9033049999999996</v>
      </c>
      <c r="E4745">
        <v>0.52377890000000005</v>
      </c>
      <c r="F4745" t="s">
        <v>98</v>
      </c>
      <c r="G4745">
        <v>-550.16240000000005</v>
      </c>
      <c r="H4745">
        <v>1.652339</v>
      </c>
      <c r="I4745">
        <v>150.3758</v>
      </c>
      <c r="J4745">
        <v>-216.3409</v>
      </c>
      <c r="K4745">
        <v>1.1086830000000001</v>
      </c>
      <c r="L4745">
        <v>141.434</v>
      </c>
      <c r="M4745">
        <v>-0.99803010000000003</v>
      </c>
      <c r="N4745">
        <v>0</v>
      </c>
      <c r="O4745">
        <v>-6.1711559999999999E-2</v>
      </c>
      <c r="P4745">
        <v>-0.99927060000000001</v>
      </c>
      <c r="Q4745">
        <v>1.261483E-2</v>
      </c>
      <c r="R4745">
        <v>-3.6044670000000001E-2</v>
      </c>
      <c r="S4745">
        <v>-3.0054020000000001</v>
      </c>
      <c r="T4745">
        <v>4.8927069999999996E-3</v>
      </c>
      <c r="U4745">
        <v>8.0368040000000002E-2</v>
      </c>
      <c r="V4745">
        <v>2.5766480000000001E-2</v>
      </c>
      <c r="W4745">
        <v>2.383847E-2</v>
      </c>
      <c r="X4745">
        <v>0.99938369999999999</v>
      </c>
      <c r="Y4745">
        <v>8.8373939999999998E-2</v>
      </c>
      <c r="Z4745">
        <v>-1.7234809999999999E-4</v>
      </c>
      <c r="AA4745">
        <v>0.99608739999999996</v>
      </c>
      <c r="AB4745">
        <v>20</v>
      </c>
      <c r="AC4745">
        <v>-333.82150000000001</v>
      </c>
      <c r="AD4745">
        <v>0.54365599999999903</v>
      </c>
      <c r="AE4745">
        <v>8.9418000000000006</v>
      </c>
      <c r="AF4745">
        <v>29.5266367245755</v>
      </c>
      <c r="AG4745">
        <v>0.54365599999999903</v>
      </c>
      <c r="AH4745">
        <v>332.63243415500199</v>
      </c>
      <c r="AI4745">
        <v>89.906722363366995</v>
      </c>
      <c r="AJ4745">
        <v>84.927346233106604</v>
      </c>
      <c r="AK4745">
        <v>333.94079428843901</v>
      </c>
      <c r="AL4745">
        <v>88.634026859306601</v>
      </c>
      <c r="AM4745">
        <v>88.523106219310606</v>
      </c>
      <c r="AN4745">
        <v>0.99999998198461004</v>
      </c>
    </row>
    <row r="4746" spans="1:40" x14ac:dyDescent="0.25">
      <c r="A4746" t="str">
        <f>"20190312160427451"</f>
        <v>20190312160427451</v>
      </c>
      <c r="B4746" t="str">
        <f>"1552377867439477"</f>
        <v>1552377867439477</v>
      </c>
      <c r="C4746" t="s">
        <v>40</v>
      </c>
      <c r="D4746">
        <v>4.9158269999999904</v>
      </c>
      <c r="E4746">
        <v>0.52318640000000005</v>
      </c>
      <c r="F4746" t="s">
        <v>98</v>
      </c>
      <c r="G4746">
        <v>-550.16250000000002</v>
      </c>
      <c r="H4746">
        <v>1.6798</v>
      </c>
      <c r="I4746">
        <v>150.60069999999999</v>
      </c>
      <c r="J4746">
        <v>-216.53970000000001</v>
      </c>
      <c r="K4746">
        <v>1.108735</v>
      </c>
      <c r="L4746">
        <v>141.4246</v>
      </c>
      <c r="M4746">
        <v>-0.99817350000000005</v>
      </c>
      <c r="N4746">
        <v>0</v>
      </c>
      <c r="O4746">
        <v>-5.934822E-2</v>
      </c>
      <c r="P4746">
        <v>-0.99933159999999999</v>
      </c>
      <c r="Q4746">
        <v>1.2204059999999999E-2</v>
      </c>
      <c r="R4746">
        <v>-3.4464620000000001E-2</v>
      </c>
      <c r="S4746">
        <v>-3.0050810000000001</v>
      </c>
      <c r="T4746">
        <v>5.1416159999999999E-3</v>
      </c>
      <c r="U4746">
        <v>8.2519529999999994E-2</v>
      </c>
      <c r="V4746">
        <v>2.497603E-2</v>
      </c>
      <c r="W4746">
        <v>2.341611E-2</v>
      </c>
      <c r="X4746">
        <v>0.99941380000000002</v>
      </c>
      <c r="Y4746">
        <v>8.6730699999999994E-2</v>
      </c>
      <c r="Z4746">
        <v>-1.75689399999999E-4</v>
      </c>
      <c r="AA4746">
        <v>0.9962318</v>
      </c>
      <c r="AB4746">
        <v>20</v>
      </c>
      <c r="AC4746">
        <v>-333.62279999999998</v>
      </c>
      <c r="AD4746">
        <v>0.57106499999999905</v>
      </c>
      <c r="AE4746">
        <v>9.1760999999999893</v>
      </c>
      <c r="AF4746">
        <v>28.961020038710799</v>
      </c>
      <c r="AG4746">
        <v>0.57106499999999905</v>
      </c>
      <c r="AH4746">
        <v>332.48906836430399</v>
      </c>
      <c r="AI4746">
        <v>89.9019632078314</v>
      </c>
      <c r="AJ4746">
        <v>85.021891342373706</v>
      </c>
      <c r="AK4746">
        <v>333.74847921553101</v>
      </c>
      <c r="AL4746">
        <v>88.658233127222502</v>
      </c>
      <c r="AM4746">
        <v>88.568437505634094</v>
      </c>
      <c r="AN4746">
        <v>1.0000000299562599</v>
      </c>
    </row>
    <row r="4747" spans="1:40" x14ac:dyDescent="0.25">
      <c r="A4747" t="str">
        <f>"20190312160427471"</f>
        <v>20190312160427471</v>
      </c>
      <c r="B4747" t="str">
        <f>"1552377867459974"</f>
        <v>1552377867459974</v>
      </c>
      <c r="C4747" t="s">
        <v>40</v>
      </c>
      <c r="D4747">
        <v>4.8907290000000003</v>
      </c>
      <c r="E4747">
        <v>0.52238759999999995</v>
      </c>
      <c r="F4747" t="s">
        <v>98</v>
      </c>
      <c r="G4747">
        <v>-550.16240000000005</v>
      </c>
      <c r="H4747">
        <v>1.5409440000000001</v>
      </c>
      <c r="I4747">
        <v>150.57990000000001</v>
      </c>
      <c r="J4747">
        <v>-216.72980000000001</v>
      </c>
      <c r="K4747">
        <v>1.1087739999999999</v>
      </c>
      <c r="L4747">
        <v>141.41589999999999</v>
      </c>
      <c r="M4747">
        <v>-0.99830030000000003</v>
      </c>
      <c r="N4747">
        <v>0</v>
      </c>
      <c r="O4747">
        <v>-5.7178550000000002E-2</v>
      </c>
      <c r="P4747">
        <v>-0.99938059999999995</v>
      </c>
      <c r="Q4747">
        <v>1.199247E-2</v>
      </c>
      <c r="R4747">
        <v>-3.3086030000000002E-2</v>
      </c>
      <c r="S4747">
        <v>-3.0048219999999999</v>
      </c>
      <c r="T4747">
        <v>3.8931370000000001E-3</v>
      </c>
      <c r="U4747">
        <v>8.2458500000000004E-2</v>
      </c>
      <c r="V4747">
        <v>2.4179260000000001E-2</v>
      </c>
      <c r="W4747">
        <v>2.319444E-2</v>
      </c>
      <c r="X4747">
        <v>0.99943850000000001</v>
      </c>
      <c r="Y4747">
        <v>8.4547399999999995E-2</v>
      </c>
      <c r="Z4747">
        <v>-1.2881789999999999E-4</v>
      </c>
      <c r="AA4747">
        <v>0.99641939999999996</v>
      </c>
      <c r="AB4747">
        <v>20</v>
      </c>
      <c r="AC4747">
        <v>-333.43259999999998</v>
      </c>
      <c r="AD4747">
        <v>0.43217</v>
      </c>
      <c r="AE4747">
        <v>9.1640000000000104</v>
      </c>
      <c r="AF4747">
        <v>28.215362666760399</v>
      </c>
      <c r="AG4747">
        <v>0.43217</v>
      </c>
      <c r="AH4747">
        <v>332.36244885285402</v>
      </c>
      <c r="AI4747">
        <v>89.925765512741506</v>
      </c>
      <c r="AJ4747">
        <v>85.147603732146493</v>
      </c>
      <c r="AK4747">
        <v>333.55822710404198</v>
      </c>
      <c r="AL4747">
        <v>88.670937249110295</v>
      </c>
      <c r="AM4747">
        <v>88.6141224678355</v>
      </c>
      <c r="AN4747">
        <v>0.99999996697165505</v>
      </c>
    </row>
    <row r="4748" spans="1:40" x14ac:dyDescent="0.25">
      <c r="A4748" t="str">
        <f>"20190312160427484"</f>
        <v>20190312160427484</v>
      </c>
      <c r="B4748" t="str">
        <f>"1552377867479493"</f>
        <v>1552377867479493</v>
      </c>
      <c r="C4748" t="s">
        <v>40</v>
      </c>
      <c r="D4748">
        <v>4.8796920000000004</v>
      </c>
      <c r="E4748">
        <v>0.52144709999999905</v>
      </c>
      <c r="F4748" t="s">
        <v>98</v>
      </c>
      <c r="G4748">
        <v>-550.16219999999998</v>
      </c>
      <c r="H4748">
        <v>1.1184810000000001</v>
      </c>
      <c r="I4748">
        <v>150.32640000000001</v>
      </c>
      <c r="J4748">
        <v>-216.84909999999999</v>
      </c>
      <c r="K4748">
        <v>1.108795</v>
      </c>
      <c r="L4748">
        <v>141.41059999999999</v>
      </c>
      <c r="M4748">
        <v>-0.99837520000000002</v>
      </c>
      <c r="N4748">
        <v>0</v>
      </c>
      <c r="O4748">
        <v>-5.5857459999999998E-2</v>
      </c>
      <c r="P4748">
        <v>-0.99941800000000003</v>
      </c>
      <c r="Q4748">
        <v>1.2081710000000001E-2</v>
      </c>
      <c r="R4748">
        <v>-3.1899860000000002E-2</v>
      </c>
      <c r="S4748">
        <v>-3.0045169999999999</v>
      </c>
      <c r="T4748" s="1">
        <v>8.785725E-5</v>
      </c>
      <c r="U4748">
        <v>8.0291749999999995E-2</v>
      </c>
      <c r="V4748">
        <v>2.4041839999999998E-2</v>
      </c>
      <c r="W4748">
        <v>2.3276439999999999E-2</v>
      </c>
      <c r="X4748">
        <v>0.99944</v>
      </c>
      <c r="Y4748">
        <v>8.2513500000000004E-2</v>
      </c>
      <c r="Z4748" s="1">
        <v>-2.8390499999999902E-6</v>
      </c>
      <c r="AA4748">
        <v>0.99658999999999998</v>
      </c>
      <c r="AB4748">
        <v>20</v>
      </c>
      <c r="AC4748">
        <v>-333.31310000000002</v>
      </c>
      <c r="AD4748">
        <v>9.68600000000008E-3</v>
      </c>
      <c r="AE4748">
        <v>8.9158000000000097</v>
      </c>
      <c r="AF4748">
        <v>27.521083061409001</v>
      </c>
      <c r="AG4748">
        <v>9.68600000000008E-3</v>
      </c>
      <c r="AH4748">
        <v>332.29460411017698</v>
      </c>
      <c r="AI4748">
        <v>89.998335593515804</v>
      </c>
      <c r="AJ4748">
        <v>85.265492514661105</v>
      </c>
      <c r="AK4748">
        <v>333.43232300937899</v>
      </c>
      <c r="AL4748">
        <v>88.666237847911802</v>
      </c>
      <c r="AM4748">
        <v>88.621997962598797</v>
      </c>
      <c r="AN4748">
        <v>1.0000000581648201</v>
      </c>
    </row>
    <row r="4749" spans="1:40" x14ac:dyDescent="0.25">
      <c r="A4749" t="str">
        <f>"20190312160427506"</f>
        <v>20190312160427506</v>
      </c>
      <c r="B4749" t="str">
        <f>"1552377867499989"</f>
        <v>1552377867499989</v>
      </c>
      <c r="C4749" t="s">
        <v>40</v>
      </c>
      <c r="D4749">
        <v>4.8863849999999998</v>
      </c>
      <c r="E4749">
        <v>0.52057109999999995</v>
      </c>
      <c r="F4749" t="s">
        <v>98</v>
      </c>
      <c r="G4749">
        <v>-550.16219999999998</v>
      </c>
      <c r="H4749">
        <v>0.99544379999999999</v>
      </c>
      <c r="I4749">
        <v>149.9024</v>
      </c>
      <c r="J4749">
        <v>-217.0522</v>
      </c>
      <c r="K4749">
        <v>1.1088260000000001</v>
      </c>
      <c r="L4749">
        <v>141.40190000000001</v>
      </c>
      <c r="M4749">
        <v>-0.99849469999999996</v>
      </c>
      <c r="N4749">
        <v>0</v>
      </c>
      <c r="O4749">
        <v>-5.3683649999999999E-2</v>
      </c>
      <c r="P4749">
        <v>-0.99947180000000002</v>
      </c>
      <c r="Q4749">
        <v>1.174538E-2</v>
      </c>
      <c r="R4749">
        <v>-3.0302699999999998E-2</v>
      </c>
      <c r="S4749">
        <v>-3.0041959999999999</v>
      </c>
      <c r="T4749">
        <v>-1.0212660000000001E-3</v>
      </c>
      <c r="U4749">
        <v>7.6538090000000003E-2</v>
      </c>
      <c r="V4749">
        <v>2.346051E-2</v>
      </c>
      <c r="W4749">
        <v>2.2929390000000001E-2</v>
      </c>
      <c r="X4749">
        <v>0.99946179999999996</v>
      </c>
      <c r="Y4749">
        <v>7.9101690000000002E-2</v>
      </c>
      <c r="Z4749" s="1">
        <v>3.1687290000000003E-5</v>
      </c>
      <c r="AA4749">
        <v>0.99686649999999999</v>
      </c>
      <c r="AB4749">
        <v>20</v>
      </c>
      <c r="AC4749">
        <v>-333.11</v>
      </c>
      <c r="AD4749">
        <v>-0.1133822</v>
      </c>
      <c r="AE4749">
        <v>8.5004999999999793</v>
      </c>
      <c r="AF4749">
        <v>26.371928551560998</v>
      </c>
      <c r="AG4749">
        <v>-0.1133822</v>
      </c>
      <c r="AH4749">
        <v>332.173187168499</v>
      </c>
      <c r="AI4749">
        <v>90.019495685710993</v>
      </c>
      <c r="AJ4749">
        <v>85.460688733330201</v>
      </c>
      <c r="AK4749">
        <v>333.21842347734997</v>
      </c>
      <c r="AL4749">
        <v>88.686127607119602</v>
      </c>
      <c r="AM4749">
        <v>88.655334888823006</v>
      </c>
      <c r="AN4749">
        <v>1.00000002105723</v>
      </c>
    </row>
    <row r="4750" spans="1:40" x14ac:dyDescent="0.25">
      <c r="A4750" t="str">
        <f>"20190312160427519"</f>
        <v>20190312160427519</v>
      </c>
      <c r="B4750" t="str">
        <f>"1552377867509749"</f>
        <v>1552377867509749</v>
      </c>
      <c r="C4750" t="s">
        <v>40</v>
      </c>
      <c r="D4750">
        <v>4.8829760000000002</v>
      </c>
      <c r="E4750">
        <v>0.52017029999999997</v>
      </c>
      <c r="F4750" t="s">
        <v>45</v>
      </c>
      <c r="G4750">
        <v>0</v>
      </c>
      <c r="H4750">
        <v>0</v>
      </c>
      <c r="I4750">
        <v>0</v>
      </c>
      <c r="J4750">
        <v>-217.16720000000001</v>
      </c>
      <c r="K4750">
        <v>1.108846</v>
      </c>
      <c r="L4750">
        <v>141.39709999999999</v>
      </c>
      <c r="M4750">
        <v>-0.99855749999999999</v>
      </c>
      <c r="N4750">
        <v>0</v>
      </c>
      <c r="O4750">
        <v>-5.2505009999999998E-2</v>
      </c>
      <c r="P4750">
        <v>-0.99949350000000003</v>
      </c>
      <c r="Q4750">
        <v>1.138489E-2</v>
      </c>
      <c r="R4750">
        <v>-2.9716599999999999E-2</v>
      </c>
      <c r="S4750">
        <v>-3.0038909999999999</v>
      </c>
      <c r="T4750">
        <v>-3.9228199999999996E-3</v>
      </c>
      <c r="U4750">
        <v>7.4417109999999995E-2</v>
      </c>
      <c r="V4750">
        <v>2.2864829999999999E-2</v>
      </c>
      <c r="W4750">
        <v>2.2564230000000001E-2</v>
      </c>
      <c r="X4750">
        <v>0.99948389999999998</v>
      </c>
      <c r="Y4750">
        <v>7.7223899999999998E-2</v>
      </c>
      <c r="Z4750">
        <v>1.189643E-4</v>
      </c>
      <c r="AA4750">
        <v>0.9970137</v>
      </c>
      <c r="AB4750">
        <v>20</v>
      </c>
      <c r="AC4750">
        <v>-3.0038909999999999</v>
      </c>
      <c r="AD4750">
        <v>-3.9228199999999996E-3</v>
      </c>
      <c r="AE4750">
        <v>7.4417109999999995E-2</v>
      </c>
      <c r="AF4750">
        <v>0.23204333064799401</v>
      </c>
      <c r="AG4750">
        <v>-3.9228199999999996E-3</v>
      </c>
      <c r="AH4750">
        <v>2.99583446837249</v>
      </c>
      <c r="AI4750">
        <v>90.074800432354493</v>
      </c>
      <c r="AJ4750">
        <v>85.570979732120307</v>
      </c>
      <c r="AK4750">
        <v>3.0048100867947798</v>
      </c>
      <c r="AL4750">
        <v>88.707055128546003</v>
      </c>
      <c r="AM4750">
        <v>88.689493853275394</v>
      </c>
      <c r="AN4750">
        <v>1.00000000564281</v>
      </c>
    </row>
    <row r="4751" spans="1:40" x14ac:dyDescent="0.25">
      <c r="A4751" t="str">
        <f>"20190312160427551"</f>
        <v>20190312160427551</v>
      </c>
      <c r="B4751" t="str">
        <f>"1552377867540006"</f>
        <v>1552377867540006</v>
      </c>
      <c r="C4751" t="s">
        <v>40</v>
      </c>
      <c r="D4751">
        <v>4.9275820000000001</v>
      </c>
      <c r="E4751">
        <v>0.51908710000000002</v>
      </c>
      <c r="F4751" t="s">
        <v>45</v>
      </c>
      <c r="G4751">
        <v>0</v>
      </c>
      <c r="H4751">
        <v>0</v>
      </c>
      <c r="I4751">
        <v>0</v>
      </c>
      <c r="J4751">
        <v>-217.45410000000001</v>
      </c>
      <c r="K4751">
        <v>1.1088960000000001</v>
      </c>
      <c r="L4751">
        <v>141.38560000000001</v>
      </c>
      <c r="M4751">
        <v>-0.99870289999999995</v>
      </c>
      <c r="N4751">
        <v>0</v>
      </c>
      <c r="O4751">
        <v>-4.9664399999999997E-2</v>
      </c>
      <c r="P4751">
        <v>-0.99955890000000003</v>
      </c>
      <c r="Q4751">
        <v>1.181713E-2</v>
      </c>
      <c r="R4751">
        <v>-2.7250139999999999E-2</v>
      </c>
      <c r="S4751">
        <v>-3.0037690000000001</v>
      </c>
      <c r="T4751">
        <v>-5.9766769999999997E-3</v>
      </c>
      <c r="U4751">
        <v>7.2998049999999995E-2</v>
      </c>
      <c r="V4751">
        <v>2.248553E-2</v>
      </c>
      <c r="W4751">
        <v>2.2983259999999998E-2</v>
      </c>
      <c r="X4751">
        <v>0.99948289999999995</v>
      </c>
      <c r="Y4751">
        <v>7.3917620000000003E-2</v>
      </c>
      <c r="Z4751">
        <v>1.723215E-4</v>
      </c>
      <c r="AA4751">
        <v>0.99726429999999999</v>
      </c>
      <c r="AB4751">
        <v>20</v>
      </c>
      <c r="AC4751">
        <v>-3.0037690000000001</v>
      </c>
      <c r="AD4751">
        <v>-5.9766769999999997E-3</v>
      </c>
      <c r="AE4751">
        <v>7.2998049999999995E-2</v>
      </c>
      <c r="AF4751">
        <v>0.22209685928911899</v>
      </c>
      <c r="AG4751">
        <v>-5.9766769999999997E-3</v>
      </c>
      <c r="AH4751">
        <v>2.99642427984536</v>
      </c>
      <c r="AI4751">
        <v>90.113969547680597</v>
      </c>
      <c r="AJ4751">
        <v>85.760952233822493</v>
      </c>
      <c r="AK4751">
        <v>3.0046499297623401</v>
      </c>
      <c r="AL4751">
        <v>88.683040174157696</v>
      </c>
      <c r="AM4751">
        <v>88.711224889487397</v>
      </c>
      <c r="AN4751">
        <v>0.99999994834600703</v>
      </c>
    </row>
    <row r="4752" spans="1:40" x14ac:dyDescent="0.25">
      <c r="A4752" t="str">
        <f>"20190312160427573"</f>
        <v>20190312160427573</v>
      </c>
      <c r="B4752" t="str">
        <f>"1552377867570261"</f>
        <v>1552377867570261</v>
      </c>
      <c r="C4752" t="s">
        <v>40</v>
      </c>
      <c r="D4752">
        <v>4.9662470000000001</v>
      </c>
      <c r="E4752">
        <v>0.51835410000000004</v>
      </c>
      <c r="F4752" t="s">
        <v>45</v>
      </c>
      <c r="G4752">
        <v>0</v>
      </c>
      <c r="H4752">
        <v>0</v>
      </c>
      <c r="I4752">
        <v>0</v>
      </c>
      <c r="J4752">
        <v>-217.65870000000001</v>
      </c>
      <c r="K4752">
        <v>1.1089359999999999</v>
      </c>
      <c r="L4752">
        <v>141.37780000000001</v>
      </c>
      <c r="M4752">
        <v>-0.99879739999999995</v>
      </c>
      <c r="N4752">
        <v>0</v>
      </c>
      <c r="O4752">
        <v>-4.7728659999999999E-2</v>
      </c>
      <c r="P4752">
        <v>-0.99960879999999996</v>
      </c>
      <c r="Q4752">
        <v>1.1836849999999999E-2</v>
      </c>
      <c r="R4752">
        <v>-2.5343810000000001E-2</v>
      </c>
      <c r="S4752">
        <v>-3.003342</v>
      </c>
      <c r="T4752">
        <v>-6.6001419999999998E-3</v>
      </c>
      <c r="U4752">
        <v>7.1838379999999993E-2</v>
      </c>
      <c r="V4752">
        <v>2.245217E-2</v>
      </c>
      <c r="W4752">
        <v>2.299518E-2</v>
      </c>
      <c r="X4752">
        <v>0.99948340000000002</v>
      </c>
      <c r="Y4752">
        <v>7.1603109999999998E-2</v>
      </c>
      <c r="Z4752">
        <v>1.835311E-4</v>
      </c>
      <c r="AA4752">
        <v>0.99743320000000002</v>
      </c>
      <c r="AB4752">
        <v>20</v>
      </c>
      <c r="AC4752">
        <v>-3.003342</v>
      </c>
      <c r="AD4752">
        <v>-6.6001419999999998E-3</v>
      </c>
      <c r="AE4752">
        <v>7.1838379999999993E-2</v>
      </c>
      <c r="AF4752">
        <v>0.21510996132436799</v>
      </c>
      <c r="AG4752">
        <v>-6.6001419999999998E-3</v>
      </c>
      <c r="AH4752">
        <v>2.9964753466741501</v>
      </c>
      <c r="AI4752">
        <v>90.125877560087105</v>
      </c>
      <c r="AJ4752">
        <v>85.893913770480793</v>
      </c>
      <c r="AK4752">
        <v>3.0041937954401901</v>
      </c>
      <c r="AL4752">
        <v>88.682357059792594</v>
      </c>
      <c r="AM4752">
        <v>88.713136943156698</v>
      </c>
      <c r="AN4752">
        <v>0.99999997255825002</v>
      </c>
    </row>
    <row r="4753" spans="1:40" x14ac:dyDescent="0.25">
      <c r="A4753" t="str">
        <f>"20190312160427596"</f>
        <v>20190312160427596</v>
      </c>
      <c r="B4753" t="str">
        <f>"1552377867589782"</f>
        <v>1552377867589782</v>
      </c>
      <c r="C4753" t="s">
        <v>40</v>
      </c>
      <c r="D4753">
        <v>4.9178810000000004</v>
      </c>
      <c r="E4753">
        <v>0.51784070000000004</v>
      </c>
      <c r="F4753" t="s">
        <v>45</v>
      </c>
      <c r="G4753">
        <v>0</v>
      </c>
      <c r="H4753">
        <v>0</v>
      </c>
      <c r="I4753">
        <v>0</v>
      </c>
      <c r="J4753">
        <v>-217.86799999999999</v>
      </c>
      <c r="K4753">
        <v>1.1089739999999999</v>
      </c>
      <c r="L4753">
        <v>141.37010000000001</v>
      </c>
      <c r="M4753">
        <v>-0.99888739999999998</v>
      </c>
      <c r="N4753">
        <v>0</v>
      </c>
      <c r="O4753">
        <v>-4.5809990000000002E-2</v>
      </c>
      <c r="P4753">
        <v>-0.9996758</v>
      </c>
      <c r="Q4753">
        <v>1.126767E-2</v>
      </c>
      <c r="R4753">
        <v>-2.2837619999999999E-2</v>
      </c>
      <c r="S4753">
        <v>-3.003098</v>
      </c>
      <c r="T4753">
        <v>-8.119345E-3</v>
      </c>
      <c r="U4753">
        <v>7.1701050000000002E-2</v>
      </c>
      <c r="V4753">
        <v>2.303531E-2</v>
      </c>
      <c r="W4753">
        <v>2.2416450000000001E-2</v>
      </c>
      <c r="X4753">
        <v>0.99948329999999996</v>
      </c>
      <c r="Y4753">
        <v>6.9643239999999995E-2</v>
      </c>
      <c r="Z4753">
        <v>2.1796089999999999E-4</v>
      </c>
      <c r="AA4753">
        <v>0.99757189999999996</v>
      </c>
      <c r="AB4753">
        <v>20</v>
      </c>
      <c r="AC4753">
        <v>-3.003098</v>
      </c>
      <c r="AD4753">
        <v>-8.119345E-3</v>
      </c>
      <c r="AE4753">
        <v>7.1701050000000002E-2</v>
      </c>
      <c r="AF4753">
        <v>0.20920475476689199</v>
      </c>
      <c r="AG4753">
        <v>-8.119345E-3</v>
      </c>
      <c r="AH4753">
        <v>2.9966381434328002</v>
      </c>
      <c r="AI4753">
        <v>90.154864719063994</v>
      </c>
      <c r="AJ4753">
        <v>86.006480587126006</v>
      </c>
      <c r="AK4753">
        <v>3.00394286161649</v>
      </c>
      <c r="AL4753">
        <v>88.715524427172696</v>
      </c>
      <c r="AM4753">
        <v>88.679725382764104</v>
      </c>
      <c r="AN4753">
        <v>0.99999999485814395</v>
      </c>
    </row>
    <row r="4754" spans="1:40" x14ac:dyDescent="0.25">
      <c r="A4754" t="str">
        <f>"20190312160427618"</f>
        <v>20190312160427618</v>
      </c>
      <c r="B4754" t="str">
        <f>"1552377867609305"</f>
        <v>1552377867609305</v>
      </c>
      <c r="C4754" t="s">
        <v>40</v>
      </c>
      <c r="D4754">
        <v>4.8799279999999996</v>
      </c>
      <c r="E4754">
        <v>0.51734009999999997</v>
      </c>
      <c r="F4754" t="s">
        <v>45</v>
      </c>
      <c r="G4754">
        <v>0</v>
      </c>
      <c r="H4754">
        <v>0</v>
      </c>
      <c r="I4754">
        <v>0</v>
      </c>
      <c r="J4754">
        <v>-218.07</v>
      </c>
      <c r="K4754">
        <v>1.1089990000000001</v>
      </c>
      <c r="L4754">
        <v>141.3629</v>
      </c>
      <c r="M4754">
        <v>-0.99896759999999996</v>
      </c>
      <c r="N4754">
        <v>0</v>
      </c>
      <c r="O4754">
        <v>-4.4029169999999999E-2</v>
      </c>
      <c r="P4754">
        <v>-0.99972830000000001</v>
      </c>
      <c r="Q4754">
        <v>1.0820099999999999E-2</v>
      </c>
      <c r="R4754">
        <v>-2.065558E-2</v>
      </c>
      <c r="S4754">
        <v>-3.0028079999999999</v>
      </c>
      <c r="T4754">
        <v>-1.013494E-2</v>
      </c>
      <c r="U4754">
        <v>7.5241089999999997E-2</v>
      </c>
      <c r="V4754">
        <v>2.343305E-2</v>
      </c>
      <c r="W4754">
        <v>2.196213E-2</v>
      </c>
      <c r="X4754">
        <v>0.99948409999999999</v>
      </c>
      <c r="Y4754">
        <v>6.9042240000000005E-2</v>
      </c>
      <c r="Z4754">
        <v>2.6507069999999998E-4</v>
      </c>
      <c r="AA4754">
        <v>0.99761369999999905</v>
      </c>
      <c r="AB4754">
        <v>20</v>
      </c>
      <c r="AC4754">
        <v>-3.0028079999999999</v>
      </c>
      <c r="AD4754">
        <v>-1.013494E-2</v>
      </c>
      <c r="AE4754">
        <v>7.5241089999999997E-2</v>
      </c>
      <c r="AF4754">
        <v>0.207385173403206</v>
      </c>
      <c r="AG4754">
        <v>-1.013494E-2</v>
      </c>
      <c r="AH4754">
        <v>2.9965485255258901</v>
      </c>
      <c r="AI4754">
        <v>90.193322878683901</v>
      </c>
      <c r="AJ4754">
        <v>86.040985710314004</v>
      </c>
      <c r="AK4754">
        <v>3.0037334091073502</v>
      </c>
      <c r="AL4754">
        <v>88.741561406015407</v>
      </c>
      <c r="AM4754">
        <v>88.656938167718806</v>
      </c>
      <c r="AN4754">
        <v>0.99999995456962298</v>
      </c>
    </row>
    <row r="4755" spans="1:40" x14ac:dyDescent="0.25">
      <c r="A4755" t="str">
        <f>"20190312160427640"</f>
        <v>20190312160427640</v>
      </c>
      <c r="B4755" t="str">
        <f>"1552377867629797"</f>
        <v>1552377867629797</v>
      </c>
      <c r="C4755" t="s">
        <v>40</v>
      </c>
      <c r="D4755">
        <v>4.9900229999999999</v>
      </c>
      <c r="E4755">
        <v>0.51689669999999999</v>
      </c>
      <c r="F4755" t="s">
        <v>41</v>
      </c>
      <c r="G4755">
        <v>-468.65780000000001</v>
      </c>
      <c r="H4755" s="1">
        <v>-1.942792E-6</v>
      </c>
      <c r="I4755">
        <v>147.85509999999999</v>
      </c>
      <c r="J4755">
        <v>-218.26779999999999</v>
      </c>
      <c r="K4755">
        <v>1.1090260000000001</v>
      </c>
      <c r="L4755">
        <v>141.3562</v>
      </c>
      <c r="M4755">
        <v>-0.99903949999999997</v>
      </c>
      <c r="N4755">
        <v>0</v>
      </c>
      <c r="O4755">
        <v>-4.2363999999999999E-2</v>
      </c>
      <c r="P4755">
        <v>-0.99976810000000005</v>
      </c>
      <c r="Q4755">
        <v>1.107385E-2</v>
      </c>
      <c r="R4755">
        <v>-1.8464939999999999E-2</v>
      </c>
      <c r="S4755">
        <v>-3.0025629999999999</v>
      </c>
      <c r="T4755">
        <v>-1.328814E-2</v>
      </c>
      <c r="U4755">
        <v>7.778931E-2</v>
      </c>
      <c r="V4755">
        <v>2.3956189999999999E-2</v>
      </c>
      <c r="W4755">
        <v>2.2209070000000001E-2</v>
      </c>
      <c r="X4755">
        <v>0.99946630000000003</v>
      </c>
      <c r="Y4755">
        <v>6.8227070000000001E-2</v>
      </c>
      <c r="Z4755">
        <v>3.3839589999999902E-4</v>
      </c>
      <c r="AA4755">
        <v>0.99766980000000005</v>
      </c>
      <c r="AB4755">
        <v>20</v>
      </c>
      <c r="AC4755">
        <v>-250.39</v>
      </c>
      <c r="AD4755">
        <v>-1.109027942792</v>
      </c>
      <c r="AE4755">
        <v>6.4988999999999901</v>
      </c>
      <c r="AF4755">
        <v>17.100916526026701</v>
      </c>
      <c r="AG4755">
        <v>-1.109027942792</v>
      </c>
      <c r="AH4755">
        <v>249.88494680864599</v>
      </c>
      <c r="AI4755">
        <v>90.253692472432604</v>
      </c>
      <c r="AJ4755">
        <v>86.085058208000504</v>
      </c>
      <c r="AK4755">
        <v>250.471870537527</v>
      </c>
      <c r="AL4755">
        <v>88.727409408411305</v>
      </c>
      <c r="AM4755">
        <v>88.626941384085598</v>
      </c>
      <c r="AN4755">
        <v>1.0000000133326299</v>
      </c>
    </row>
    <row r="4756" spans="1:40" x14ac:dyDescent="0.25">
      <c r="A4756" t="str">
        <f>"20190312160427662"</f>
        <v>20190312160427662</v>
      </c>
      <c r="B4756" t="str">
        <f>"1552377867649318"</f>
        <v>1552377867649318</v>
      </c>
      <c r="C4756" t="s">
        <v>40</v>
      </c>
      <c r="D4756">
        <v>4.952102</v>
      </c>
      <c r="E4756">
        <v>0.51636899999999997</v>
      </c>
      <c r="F4756" t="s">
        <v>81</v>
      </c>
      <c r="G4756">
        <v>-474.7414</v>
      </c>
      <c r="H4756" s="1">
        <v>-5.4723799999999998E-6</v>
      </c>
      <c r="I4756">
        <v>148.26079999999999</v>
      </c>
      <c r="J4756">
        <v>-218.4659</v>
      </c>
      <c r="K4756">
        <v>1.1090610000000001</v>
      </c>
      <c r="L4756">
        <v>141.34970000000001</v>
      </c>
      <c r="M4756">
        <v>-0.99910580000000004</v>
      </c>
      <c r="N4756">
        <v>0</v>
      </c>
      <c r="O4756">
        <v>-4.0778189999999999E-2</v>
      </c>
      <c r="P4756">
        <v>-0.99979300000000004</v>
      </c>
      <c r="Q4756">
        <v>1.182621E-2</v>
      </c>
      <c r="R4756">
        <v>-1.656411E-2</v>
      </c>
      <c r="S4756">
        <v>-3.002319</v>
      </c>
      <c r="T4756">
        <v>-1.2982489999999999E-2</v>
      </c>
      <c r="U4756">
        <v>8.0825809999999998E-2</v>
      </c>
      <c r="V4756">
        <v>2.4269369999999998E-2</v>
      </c>
      <c r="W4756">
        <v>2.2956089999999998E-2</v>
      </c>
      <c r="X4756">
        <v>0.99944189999999999</v>
      </c>
      <c r="Y4756">
        <v>6.7653939999999996E-2</v>
      </c>
      <c r="Z4756">
        <v>3.2254270000000001E-4</v>
      </c>
      <c r="AA4756">
        <v>0.99770879999999995</v>
      </c>
      <c r="AB4756">
        <v>20</v>
      </c>
      <c r="AC4756">
        <v>-256.27550000000002</v>
      </c>
      <c r="AD4756">
        <v>-1.1090664723799999</v>
      </c>
      <c r="AE4756">
        <v>6.91109999999997</v>
      </c>
      <c r="AF4756">
        <v>17.356128861735801</v>
      </c>
      <c r="AG4756">
        <v>-1.1090664723799999</v>
      </c>
      <c r="AH4756">
        <v>255.775682985251</v>
      </c>
      <c r="AI4756">
        <v>90.247868121909804</v>
      </c>
      <c r="AJ4756">
        <v>86.118040548951896</v>
      </c>
      <c r="AK4756">
        <v>256.36627165849501</v>
      </c>
      <c r="AL4756">
        <v>88.684597442417797</v>
      </c>
      <c r="AM4756">
        <v>88.608964407876599</v>
      </c>
      <c r="AN4756">
        <v>1.00000004793194</v>
      </c>
    </row>
    <row r="4757" spans="1:40" x14ac:dyDescent="0.25">
      <c r="A4757" t="str">
        <f>"20190312160427685"</f>
        <v>20190312160427685</v>
      </c>
      <c r="B4757" t="str">
        <f>"1552377867679573"</f>
        <v>1552377867679573</v>
      </c>
      <c r="C4757" t="s">
        <v>40</v>
      </c>
      <c r="D4757">
        <v>4.9867350000000004</v>
      </c>
      <c r="E4757">
        <v>0.5156347</v>
      </c>
      <c r="F4757" t="s">
        <v>98</v>
      </c>
      <c r="G4757">
        <v>-550.16189999999995</v>
      </c>
      <c r="H4757">
        <v>-1.706618E-2</v>
      </c>
      <c r="I4757">
        <v>150.4401</v>
      </c>
      <c r="J4757">
        <v>-218.6823</v>
      </c>
      <c r="K4757">
        <v>1.109111</v>
      </c>
      <c r="L4757">
        <v>141.34289999999999</v>
      </c>
      <c r="M4757">
        <v>-0.99917149999999999</v>
      </c>
      <c r="N4757">
        <v>0</v>
      </c>
      <c r="O4757">
        <v>-3.9134240000000001E-2</v>
      </c>
      <c r="P4757">
        <v>-0.99982420000000005</v>
      </c>
      <c r="Q4757">
        <v>1.2089320000000001E-2</v>
      </c>
      <c r="R4757">
        <v>-1.4345979999999999E-2</v>
      </c>
      <c r="S4757">
        <v>-3.0021059999999999</v>
      </c>
      <c r="T4757">
        <v>-1.019192E-2</v>
      </c>
      <c r="U4757">
        <v>8.2275390000000004E-2</v>
      </c>
      <c r="V4757">
        <v>2.4840339999999999E-2</v>
      </c>
      <c r="W4757">
        <v>2.3214459999999999E-2</v>
      </c>
      <c r="X4757">
        <v>0.99942180000000003</v>
      </c>
      <c r="Y4757">
        <v>6.6496009999999994E-2</v>
      </c>
      <c r="Z4757">
        <v>2.4568600000000001E-4</v>
      </c>
      <c r="AA4757">
        <v>0.99778659999999997</v>
      </c>
      <c r="AB4757">
        <v>20</v>
      </c>
      <c r="AC4757">
        <v>-331.47959999999898</v>
      </c>
      <c r="AD4757">
        <v>-1.12617718</v>
      </c>
      <c r="AE4757">
        <v>9.0972000000000097</v>
      </c>
      <c r="AF4757">
        <v>22.062987784357698</v>
      </c>
      <c r="AG4757">
        <v>-1.12617718</v>
      </c>
      <c r="AH4757">
        <v>330.865792018197</v>
      </c>
      <c r="AI4757">
        <v>90.194586361731098</v>
      </c>
      <c r="AJ4757">
        <v>86.185016893052506</v>
      </c>
      <c r="AK4757">
        <v>331.60249702443798</v>
      </c>
      <c r="AL4757">
        <v>88.669789848036601</v>
      </c>
      <c r="AM4757">
        <v>88.576223093305302</v>
      </c>
      <c r="AN4757">
        <v>0.99999994397982195</v>
      </c>
    </row>
    <row r="4758" spans="1:40" x14ac:dyDescent="0.25">
      <c r="A4758" t="str">
        <f>"20190312160427707"</f>
        <v>20190312160427707</v>
      </c>
      <c r="B4758" t="str">
        <f>"1552377867700070"</f>
        <v>1552377867700070</v>
      </c>
      <c r="C4758" t="s">
        <v>40</v>
      </c>
      <c r="D4758">
        <v>4.9869269999999997</v>
      </c>
      <c r="E4758">
        <v>0.51520149999999998</v>
      </c>
      <c r="F4758" t="s">
        <v>98</v>
      </c>
      <c r="G4758">
        <v>-550.16189999999995</v>
      </c>
      <c r="H4758">
        <v>-4.2489289999999999E-2</v>
      </c>
      <c r="I4758">
        <v>150.50559999999999</v>
      </c>
      <c r="J4758">
        <v>-218.8886</v>
      </c>
      <c r="K4758">
        <v>1.109165</v>
      </c>
      <c r="L4758">
        <v>141.3366</v>
      </c>
      <c r="M4758">
        <v>-0.99922820000000001</v>
      </c>
      <c r="N4758">
        <v>0</v>
      </c>
      <c r="O4758">
        <v>-3.7661800000000002E-2</v>
      </c>
      <c r="P4758">
        <v>-0.99984249999999997</v>
      </c>
      <c r="Q4758">
        <v>1.212328E-2</v>
      </c>
      <c r="R4758">
        <v>-1.2972539999999999E-2</v>
      </c>
      <c r="S4758">
        <v>-3.001862</v>
      </c>
      <c r="T4758">
        <v>-1.0428430000000001E-2</v>
      </c>
      <c r="U4758">
        <v>8.2977289999999995E-2</v>
      </c>
      <c r="V4758">
        <v>2.4737220000000001E-2</v>
      </c>
      <c r="W4758">
        <v>2.3246409999999999E-2</v>
      </c>
      <c r="X4758">
        <v>0.99942370000000003</v>
      </c>
      <c r="Y4758">
        <v>6.5260929999999995E-2</v>
      </c>
      <c r="Z4758">
        <v>2.4414899999999998E-4</v>
      </c>
      <c r="AA4758">
        <v>0.99786819999999998</v>
      </c>
      <c r="AB4758">
        <v>20</v>
      </c>
      <c r="AC4758">
        <v>-331.27329999999898</v>
      </c>
      <c r="AD4758">
        <v>-1.15165429</v>
      </c>
      <c r="AE4758">
        <v>9.1689999999999792</v>
      </c>
      <c r="AF4758">
        <v>21.639358925557399</v>
      </c>
      <c r="AG4758">
        <v>-1.15165429</v>
      </c>
      <c r="AH4758">
        <v>330.68891035537303</v>
      </c>
      <c r="AI4758">
        <v>90.199111130079103</v>
      </c>
      <c r="AJ4758">
        <v>86.256061967447394</v>
      </c>
      <c r="AK4758">
        <v>331.39816474195601</v>
      </c>
      <c r="AL4758">
        <v>88.667958866740193</v>
      </c>
      <c r="AM4758">
        <v>88.582133912018804</v>
      </c>
      <c r="AN4758">
        <v>1.0000000288764499</v>
      </c>
    </row>
    <row r="4759" spans="1:40" x14ac:dyDescent="0.25">
      <c r="A4759" t="str">
        <f>"20190312160427729"</f>
        <v>20190312160427729</v>
      </c>
      <c r="B4759" t="str">
        <f>"1552377867719608"</f>
        <v>1552377867719608</v>
      </c>
      <c r="C4759" t="s">
        <v>40</v>
      </c>
      <c r="D4759">
        <v>5.0042400000000002</v>
      </c>
      <c r="E4759">
        <v>0.50060379999999904</v>
      </c>
      <c r="F4759" t="s">
        <v>81</v>
      </c>
      <c r="G4759">
        <v>-499.95780000000002</v>
      </c>
      <c r="H4759">
        <v>3.3870419999999998E-2</v>
      </c>
      <c r="I4759">
        <v>149.16200000000001</v>
      </c>
      <c r="J4759">
        <v>-219.08590000000001</v>
      </c>
      <c r="K4759">
        <v>1.1092249999999999</v>
      </c>
      <c r="L4759">
        <v>141.33080000000001</v>
      </c>
      <c r="M4759">
        <v>-0.99927650000000001</v>
      </c>
      <c r="N4759">
        <v>0</v>
      </c>
      <c r="O4759">
        <v>-3.6354989999999997E-2</v>
      </c>
      <c r="P4759">
        <v>-0.99984379999999995</v>
      </c>
      <c r="Q4759">
        <v>1.2528320000000001E-2</v>
      </c>
      <c r="R4759">
        <v>-1.247009E-2</v>
      </c>
      <c r="S4759">
        <v>-3.0016940000000001</v>
      </c>
      <c r="T4759">
        <v>-1.148367E-2</v>
      </c>
      <c r="U4759">
        <v>8.3572389999999996E-2</v>
      </c>
      <c r="V4759">
        <v>2.392944E-2</v>
      </c>
      <c r="W4759">
        <v>2.3652079999999999E-2</v>
      </c>
      <c r="X4759">
        <v>0.99943380000000004</v>
      </c>
      <c r="Y4759">
        <v>6.4154999999999907E-2</v>
      </c>
      <c r="Z4759">
        <v>2.617559E-4</v>
      </c>
      <c r="AA4759">
        <v>0.99793989999999999</v>
      </c>
      <c r="AB4759">
        <v>20</v>
      </c>
      <c r="AC4759">
        <v>-280.87189999999998</v>
      </c>
      <c r="AD4759">
        <v>-1.0753545799999999</v>
      </c>
      <c r="AE4759">
        <v>7.8311999999999902</v>
      </c>
      <c r="AF4759">
        <v>18.037490559170301</v>
      </c>
      <c r="AG4759">
        <v>-1.0753545799999999</v>
      </c>
      <c r="AH4759">
        <v>280.39737536796599</v>
      </c>
      <c r="AI4759">
        <v>90.219281264605002</v>
      </c>
      <c r="AJ4759">
        <v>86.319330515323799</v>
      </c>
      <c r="AK4759">
        <v>280.978994884651</v>
      </c>
      <c r="AL4759">
        <v>88.644709228864897</v>
      </c>
      <c r="AM4759">
        <v>88.628429402279494</v>
      </c>
      <c r="AN4759">
        <v>0.99999997978473898</v>
      </c>
    </row>
    <row r="4760" spans="1:40" x14ac:dyDescent="0.25">
      <c r="A4760" t="str">
        <f>"20190312160427751"</f>
        <v>20190312160427751</v>
      </c>
      <c r="B4760" t="str">
        <f>"1552377867740085"</f>
        <v>1552377867740085</v>
      </c>
      <c r="C4760" t="s">
        <v>40</v>
      </c>
      <c r="D4760">
        <v>4.9546749999999999</v>
      </c>
      <c r="E4760">
        <v>0.50035099999999999</v>
      </c>
      <c r="F4760" t="s">
        <v>41</v>
      </c>
      <c r="G4760">
        <v>-255.61940000000001</v>
      </c>
      <c r="H4760" s="1">
        <v>-2.2239130000000001E-6</v>
      </c>
      <c r="I4760">
        <v>140.97799999999901</v>
      </c>
      <c r="J4760">
        <v>-219.28620000000001</v>
      </c>
      <c r="K4760">
        <v>1.109273</v>
      </c>
      <c r="L4760">
        <v>141.32499999999999</v>
      </c>
      <c r="M4760">
        <v>-0.99932100000000001</v>
      </c>
      <c r="N4760">
        <v>0</v>
      </c>
      <c r="O4760">
        <v>-3.5113579999999998E-2</v>
      </c>
      <c r="P4760">
        <v>-0.99983599999999995</v>
      </c>
      <c r="Q4760">
        <v>1.2800270000000001E-2</v>
      </c>
      <c r="R4760">
        <v>-1.2811309999999999E-2</v>
      </c>
      <c r="S4760">
        <v>-3.0012509999999999</v>
      </c>
      <c r="T4760">
        <v>-9.112394E-2</v>
      </c>
      <c r="U4760">
        <v>-2.8976439999999999E-2</v>
      </c>
      <c r="V4760">
        <v>2.2343749999999999E-2</v>
      </c>
      <c r="W4760">
        <v>2.3925709999999999E-2</v>
      </c>
      <c r="X4760">
        <v>0.99946400000000002</v>
      </c>
      <c r="Y4760">
        <v>2.5437850000000001E-2</v>
      </c>
      <c r="Z4760">
        <v>1.4517779999999999E-3</v>
      </c>
      <c r="AA4760">
        <v>0.99967530000000004</v>
      </c>
      <c r="AB4760">
        <v>20</v>
      </c>
      <c r="AC4760">
        <v>-36.333199999999998</v>
      </c>
      <c r="AD4760">
        <v>-1.1092752239129999</v>
      </c>
      <c r="AE4760">
        <v>-0.34700000000000802</v>
      </c>
      <c r="AF4760">
        <v>0.92821708028005601</v>
      </c>
      <c r="AG4760">
        <v>-1.1092752239129999</v>
      </c>
      <c r="AH4760">
        <v>36.289153993389299</v>
      </c>
      <c r="AI4760">
        <v>91.750281717316</v>
      </c>
      <c r="AJ4760">
        <v>88.534787353307195</v>
      </c>
      <c r="AK4760">
        <v>36.317967674780903</v>
      </c>
      <c r="AL4760">
        <v>88.629026953522299</v>
      </c>
      <c r="AM4760">
        <v>88.719324193036201</v>
      </c>
      <c r="AN4760">
        <v>0.99999998502953302</v>
      </c>
    </row>
    <row r="4761" spans="1:40" x14ac:dyDescent="0.25">
      <c r="A4761" t="str">
        <f>"20190312160427775"</f>
        <v>20190312160427775</v>
      </c>
      <c r="B4761" t="str">
        <f>"1552377867769365"</f>
        <v>1552377867769365</v>
      </c>
      <c r="C4761" t="s">
        <v>40</v>
      </c>
      <c r="D4761">
        <v>5.0215870000000002</v>
      </c>
      <c r="E4761">
        <v>0.5002858</v>
      </c>
      <c r="F4761" t="s">
        <v>41</v>
      </c>
      <c r="G4761">
        <v>-250.49170000000001</v>
      </c>
      <c r="H4761" s="1">
        <v>-4.3534919999999997E-6</v>
      </c>
      <c r="I4761">
        <v>140.99629999999999</v>
      </c>
      <c r="J4761">
        <v>-219.50450000000001</v>
      </c>
      <c r="K4761">
        <v>1.109318</v>
      </c>
      <c r="L4761">
        <v>141.31890000000001</v>
      </c>
      <c r="M4761">
        <v>-0.99936440000000004</v>
      </c>
      <c r="N4761">
        <v>0</v>
      </c>
      <c r="O4761">
        <v>-3.3861759999999998E-2</v>
      </c>
      <c r="P4761">
        <v>-0.99984729999999999</v>
      </c>
      <c r="Q4761">
        <v>1.2255E-2</v>
      </c>
      <c r="R4761">
        <v>-1.2475780000000001E-2</v>
      </c>
      <c r="S4761">
        <v>-3.0014500000000002</v>
      </c>
      <c r="T4761">
        <v>-0.1066941</v>
      </c>
      <c r="U4761">
        <v>-3.1600950000000003E-2</v>
      </c>
      <c r="V4761">
        <v>2.1423629999999999E-2</v>
      </c>
      <c r="W4761">
        <v>2.338084E-2</v>
      </c>
      <c r="X4761">
        <v>0.99949710000000003</v>
      </c>
      <c r="Y4761">
        <v>2.3303959999999999E-2</v>
      </c>
      <c r="Z4761">
        <v>1.617194E-3</v>
      </c>
      <c r="AA4761">
        <v>0.99972709999999998</v>
      </c>
      <c r="AB4761">
        <v>21</v>
      </c>
      <c r="AC4761">
        <v>-30.987200000000001</v>
      </c>
      <c r="AD4761">
        <v>-1.109322353492</v>
      </c>
      <c r="AE4761">
        <v>-0.32260000000002198</v>
      </c>
      <c r="AF4761">
        <v>0.72600097109214301</v>
      </c>
      <c r="AG4761">
        <v>-1.109322353492</v>
      </c>
      <c r="AH4761">
        <v>30.940702768634601</v>
      </c>
      <c r="AI4761">
        <v>92.052791395466301</v>
      </c>
      <c r="AJ4761">
        <v>88.6558430689375</v>
      </c>
      <c r="AK4761">
        <v>30.969093646908298</v>
      </c>
      <c r="AL4761">
        <v>88.660254521881299</v>
      </c>
      <c r="AM4761">
        <v>88.772086832340605</v>
      </c>
      <c r="AN4761">
        <v>1.0000000442549399</v>
      </c>
    </row>
    <row r="4762" spans="1:40" x14ac:dyDescent="0.25">
      <c r="A4762" t="str">
        <f>"20190312160427796"</f>
        <v>20190312160427796</v>
      </c>
      <c r="B4762" t="str">
        <f>"1552377867789862"</f>
        <v>1552377867789862</v>
      </c>
      <c r="C4762" t="s">
        <v>40</v>
      </c>
      <c r="D4762">
        <v>5.0347479999999996</v>
      </c>
      <c r="E4762">
        <v>0.50018909999999905</v>
      </c>
      <c r="F4762" t="s">
        <v>41</v>
      </c>
      <c r="G4762">
        <v>-259.9554</v>
      </c>
      <c r="H4762" s="1">
        <v>-3.4000490000000001E-7</v>
      </c>
      <c r="I4762">
        <v>140.88849999999999</v>
      </c>
      <c r="J4762">
        <v>-219.709</v>
      </c>
      <c r="K4762">
        <v>1.109362</v>
      </c>
      <c r="L4762">
        <v>141.31319999999999</v>
      </c>
      <c r="M4762">
        <v>-0.99940010000000001</v>
      </c>
      <c r="N4762">
        <v>0</v>
      </c>
      <c r="O4762">
        <v>-3.2786320000000001E-2</v>
      </c>
      <c r="P4762">
        <v>-0.99985710000000005</v>
      </c>
      <c r="Q4762">
        <v>1.200557E-2</v>
      </c>
      <c r="R4762">
        <v>-1.190071E-2</v>
      </c>
      <c r="S4762">
        <v>-3.0010530000000002</v>
      </c>
      <c r="T4762">
        <v>-8.2300540000000005E-2</v>
      </c>
      <c r="U4762">
        <v>-3.1921390000000001E-2</v>
      </c>
      <c r="V4762">
        <v>2.091995E-2</v>
      </c>
      <c r="W4762">
        <v>2.3131990000000002E-2</v>
      </c>
      <c r="X4762">
        <v>0.99951350000000005</v>
      </c>
      <c r="Y4762">
        <v>2.2135459999999999E-2</v>
      </c>
      <c r="Z4762">
        <v>1.202285E-3</v>
      </c>
      <c r="AA4762">
        <v>0.99975429999999998</v>
      </c>
      <c r="AB4762">
        <v>21</v>
      </c>
      <c r="AC4762">
        <v>-40.246400000000001</v>
      </c>
      <c r="AD4762">
        <v>-1.1093623400049</v>
      </c>
      <c r="AE4762">
        <v>-0.42470000000000102</v>
      </c>
      <c r="AF4762">
        <v>0.89446232331716902</v>
      </c>
      <c r="AG4762">
        <v>-1.1093623400049</v>
      </c>
      <c r="AH4762">
        <v>40.208139134126498</v>
      </c>
      <c r="AI4762">
        <v>91.580027090890198</v>
      </c>
      <c r="AJ4762">
        <v>88.725619595334507</v>
      </c>
      <c r="AK4762">
        <v>40.2333841514547</v>
      </c>
      <c r="AL4762">
        <v>88.674516354807494</v>
      </c>
      <c r="AM4762">
        <v>88.800966809111202</v>
      </c>
      <c r="AN4762">
        <v>0.999999984975806</v>
      </c>
    </row>
    <row r="4763" spans="1:40" x14ac:dyDescent="0.25">
      <c r="A4763" t="str">
        <f>"20190312160427818"</f>
        <v>20190312160427818</v>
      </c>
      <c r="B4763" t="str">
        <f>"1552377867809385"</f>
        <v>1552377867809385</v>
      </c>
      <c r="C4763" t="s">
        <v>40</v>
      </c>
      <c r="D4763">
        <v>5.0356310000000004</v>
      </c>
      <c r="E4763">
        <v>0.50008779999999997</v>
      </c>
      <c r="F4763" t="s">
        <v>41</v>
      </c>
      <c r="G4763">
        <v>-263.50470000000001</v>
      </c>
      <c r="H4763" s="1">
        <v>-3.0984779999999999E-6</v>
      </c>
      <c r="I4763">
        <v>140.8553</v>
      </c>
      <c r="J4763">
        <v>-219.9144</v>
      </c>
      <c r="K4763">
        <v>1.1094040000000001</v>
      </c>
      <c r="L4763">
        <v>141.30779999999999</v>
      </c>
      <c r="M4763">
        <v>-0.99943199999999999</v>
      </c>
      <c r="N4763">
        <v>0</v>
      </c>
      <c r="O4763">
        <v>-3.1803919999999999E-2</v>
      </c>
      <c r="P4763">
        <v>-0.99986050000000004</v>
      </c>
      <c r="Q4763">
        <v>1.1941449999999999E-2</v>
      </c>
      <c r="R4763">
        <v>-1.1683880000000001E-2</v>
      </c>
      <c r="S4763">
        <v>-3.0009769999999998</v>
      </c>
      <c r="T4763">
        <v>-7.6016189999999997E-2</v>
      </c>
      <c r="U4763">
        <v>-3.1372070000000002E-2</v>
      </c>
      <c r="V4763">
        <v>2.0151120000000002E-2</v>
      </c>
      <c r="W4763">
        <v>2.306859E-2</v>
      </c>
      <c r="X4763">
        <v>0.99953080000000005</v>
      </c>
      <c r="Y4763">
        <v>2.133902E-2</v>
      </c>
      <c r="Z4763">
        <v>1.075585E-3</v>
      </c>
      <c r="AA4763">
        <v>0.99977169999999904</v>
      </c>
      <c r="AB4763">
        <v>21</v>
      </c>
      <c r="AC4763">
        <v>-43.590299999999999</v>
      </c>
      <c r="AD4763">
        <v>-1.109407098478</v>
      </c>
      <c r="AE4763">
        <v>-0.45249999999998602</v>
      </c>
      <c r="AF4763">
        <v>0.93355280501761295</v>
      </c>
      <c r="AG4763">
        <v>-1.109407098478</v>
      </c>
      <c r="AH4763">
        <v>43.5544292885468</v>
      </c>
      <c r="AI4763">
        <v>91.458772778287596</v>
      </c>
      <c r="AJ4763">
        <v>88.772100851728496</v>
      </c>
      <c r="AK4763">
        <v>43.5785568324713</v>
      </c>
      <c r="AL4763">
        <v>88.678149928228393</v>
      </c>
      <c r="AM4763">
        <v>88.845040351486006</v>
      </c>
      <c r="AN4763">
        <v>1.00000002381524</v>
      </c>
    </row>
    <row r="4764" spans="1:40" x14ac:dyDescent="0.25">
      <c r="A4764" t="str">
        <f>"20190312160427840"</f>
        <v>20190312160427840</v>
      </c>
      <c r="B4764" t="str">
        <f>"1552377867829692"</f>
        <v>1552377867829692</v>
      </c>
      <c r="C4764" t="s">
        <v>40</v>
      </c>
      <c r="D4764">
        <v>5.0441419999999999</v>
      </c>
      <c r="E4764">
        <v>0.49961990000000001</v>
      </c>
      <c r="F4764" t="s">
        <v>41</v>
      </c>
      <c r="G4764">
        <v>-266.44580000000002</v>
      </c>
      <c r="H4764" s="1">
        <v>-1.826823E-6</v>
      </c>
      <c r="I4764">
        <v>140.81790000000001</v>
      </c>
      <c r="J4764">
        <v>-220.1061</v>
      </c>
      <c r="K4764">
        <v>1.109459</v>
      </c>
      <c r="L4764">
        <v>141.30269999999999</v>
      </c>
      <c r="M4764">
        <v>-0.99945799999999996</v>
      </c>
      <c r="N4764">
        <v>0</v>
      </c>
      <c r="O4764">
        <v>-3.097461E-2</v>
      </c>
      <c r="P4764">
        <v>-0.99985469999999999</v>
      </c>
      <c r="Q4764">
        <v>1.198333E-2</v>
      </c>
      <c r="R4764">
        <v>-1.212242E-2</v>
      </c>
      <c r="S4764">
        <v>-3.0009000000000001</v>
      </c>
      <c r="T4764">
        <v>-7.154787E-2</v>
      </c>
      <c r="U4764">
        <v>-3.158569E-2</v>
      </c>
      <c r="V4764">
        <v>1.888039E-2</v>
      </c>
      <c r="W4764">
        <v>2.3111969999999999E-2</v>
      </c>
      <c r="X4764">
        <v>0.99955459999999996</v>
      </c>
      <c r="Y4764">
        <v>2.0440449999999999E-2</v>
      </c>
      <c r="Z4764">
        <v>9.8193330000000004E-4</v>
      </c>
      <c r="AA4764">
        <v>0.99979059999999997</v>
      </c>
      <c r="AB4764">
        <v>21</v>
      </c>
      <c r="AC4764">
        <v>-46.339700000000001</v>
      </c>
      <c r="AD4764">
        <v>-1.109460826823</v>
      </c>
      <c r="AE4764">
        <v>-0.48479999999997803</v>
      </c>
      <c r="AF4764">
        <v>0.95033130128374799</v>
      </c>
      <c r="AG4764">
        <v>-1.109460826823</v>
      </c>
      <c r="AH4764">
        <v>46.305939206153099</v>
      </c>
      <c r="AI4764">
        <v>91.372218974592002</v>
      </c>
      <c r="AJ4764">
        <v>88.8242905554457</v>
      </c>
      <c r="AK4764">
        <v>46.328976231645697</v>
      </c>
      <c r="AL4764">
        <v>88.675663763287702</v>
      </c>
      <c r="AM4764">
        <v>88.917879987035803</v>
      </c>
      <c r="AN4764">
        <v>1.0000000153324899</v>
      </c>
    </row>
    <row r="4765" spans="1:40" x14ac:dyDescent="0.25">
      <c r="A4765" t="str">
        <f>"20190312160427862"</f>
        <v>20190312160427862</v>
      </c>
      <c r="B4765" t="str">
        <f>"1552377867859948"</f>
        <v>1552377867859948</v>
      </c>
      <c r="C4765" t="s">
        <v>40</v>
      </c>
      <c r="D4765">
        <v>5.0437209999999997</v>
      </c>
      <c r="E4765">
        <v>0.49914259999999999</v>
      </c>
      <c r="F4765" t="s">
        <v>41</v>
      </c>
      <c r="G4765">
        <v>-259.4359</v>
      </c>
      <c r="H4765" s="1">
        <v>-5.4667750000000001E-7</v>
      </c>
      <c r="I4765">
        <v>140.82769999999999</v>
      </c>
      <c r="J4765">
        <v>-220.3168</v>
      </c>
      <c r="K4765">
        <v>1.109513</v>
      </c>
      <c r="L4765">
        <v>141.2972</v>
      </c>
      <c r="M4765">
        <v>-0.99948289999999995</v>
      </c>
      <c r="N4765">
        <v>0</v>
      </c>
      <c r="O4765">
        <v>-3.0156889999999999E-2</v>
      </c>
      <c r="P4765">
        <v>-0.99986770000000003</v>
      </c>
      <c r="Q4765">
        <v>1.158347E-2</v>
      </c>
      <c r="R4765">
        <v>-1.142222E-2</v>
      </c>
      <c r="S4765">
        <v>-3.0010219999999999</v>
      </c>
      <c r="T4765">
        <v>-8.465636E-2</v>
      </c>
      <c r="U4765">
        <v>-3.623962E-2</v>
      </c>
      <c r="V4765">
        <v>1.8758799999999999E-2</v>
      </c>
      <c r="W4765">
        <v>2.2713440000000001E-2</v>
      </c>
      <c r="X4765">
        <v>0.99956599999999995</v>
      </c>
      <c r="Y4765">
        <v>1.8068000000000001E-2</v>
      </c>
      <c r="Z4765">
        <v>1.1052E-3</v>
      </c>
      <c r="AA4765">
        <v>0.99983610000000001</v>
      </c>
      <c r="AB4765">
        <v>21</v>
      </c>
      <c r="AC4765">
        <v>-39.119100000000003</v>
      </c>
      <c r="AD4765">
        <v>-1.1095135466774999</v>
      </c>
      <c r="AE4765">
        <v>-0.46950000000001002</v>
      </c>
      <c r="AF4765">
        <v>0.70992639910949196</v>
      </c>
      <c r="AG4765">
        <v>-1.1095135466774999</v>
      </c>
      <c r="AH4765">
        <v>39.084029297669098</v>
      </c>
      <c r="AI4765">
        <v>91.625802158907007</v>
      </c>
      <c r="AJ4765">
        <v>88.959387898356496</v>
      </c>
      <c r="AK4765">
        <v>39.1062189676203</v>
      </c>
      <c r="AL4765">
        <v>88.6985038141801</v>
      </c>
      <c r="AM4765">
        <v>88.924859474514193</v>
      </c>
      <c r="AN4765">
        <v>0.99999999064503597</v>
      </c>
    </row>
    <row r="4766" spans="1:40" x14ac:dyDescent="0.25">
      <c r="A4766" t="str">
        <f>"20190312160428188"</f>
        <v>20190312160428188</v>
      </c>
      <c r="B4766" t="str">
        <f>"1552377868179608"</f>
        <v>1552377868179608</v>
      </c>
      <c r="C4766" t="s">
        <v>40</v>
      </c>
      <c r="D4766">
        <v>4.8914479999999996</v>
      </c>
      <c r="E4766">
        <v>0.4542506</v>
      </c>
      <c r="F4766" t="s">
        <v>41</v>
      </c>
      <c r="G4766">
        <v>-259.53750000000002</v>
      </c>
      <c r="H4766" s="1">
        <v>-4.9598119999999998E-7</v>
      </c>
      <c r="I4766">
        <v>140.80099999999999</v>
      </c>
      <c r="J4766">
        <v>-223.3261</v>
      </c>
      <c r="K4766">
        <v>1.109686</v>
      </c>
      <c r="L4766">
        <v>141.22239999999999</v>
      </c>
      <c r="M4766">
        <v>-0.99963659999999999</v>
      </c>
      <c r="N4766">
        <v>0</v>
      </c>
      <c r="O4766">
        <v>-2.458258E-2</v>
      </c>
      <c r="P4766">
        <v>-0.99991620000000003</v>
      </c>
      <c r="Q4766">
        <v>7.61679099999999E-3</v>
      </c>
      <c r="R4766">
        <v>-1.048057E-2</v>
      </c>
      <c r="S4766">
        <v>-3.000931</v>
      </c>
      <c r="T4766">
        <v>-8.4893469999999999E-2</v>
      </c>
      <c r="U4766">
        <v>-3.7963869999999997E-2</v>
      </c>
      <c r="V4766">
        <v>1.411305E-2</v>
      </c>
      <c r="W4766">
        <v>1.8679310000000001E-2</v>
      </c>
      <c r="X4766">
        <v>0.99972589999999995</v>
      </c>
      <c r="Y4766">
        <v>1.1921650000000001E-2</v>
      </c>
      <c r="Z4766">
        <v>8.6379950000000001E-4</v>
      </c>
      <c r="AA4766">
        <v>0.9999285</v>
      </c>
      <c r="AB4766">
        <v>21</v>
      </c>
      <c r="AC4766">
        <v>-36.211399999999998</v>
      </c>
      <c r="AD4766">
        <v>-1.1096864959811901</v>
      </c>
      <c r="AE4766">
        <v>-0.42139999999997702</v>
      </c>
      <c r="AF4766">
        <v>0.46851154887751101</v>
      </c>
      <c r="AG4766">
        <v>-1.1096864959811901</v>
      </c>
      <c r="AH4766">
        <v>36.176846477026302</v>
      </c>
      <c r="AI4766">
        <v>91.756789312013694</v>
      </c>
      <c r="AJ4766">
        <v>89.258027262057396</v>
      </c>
      <c r="AK4766">
        <v>36.196893902835498</v>
      </c>
      <c r="AL4766">
        <v>88.929692109168897</v>
      </c>
      <c r="AM4766">
        <v>89.191213820039195</v>
      </c>
      <c r="AN4766">
        <v>0.99999998496659404</v>
      </c>
    </row>
    <row r="4767" spans="1:40" x14ac:dyDescent="0.25">
      <c r="A4767" t="str">
        <f>"20190312160428209"</f>
        <v>20190312160428209</v>
      </c>
      <c r="B4767" t="str">
        <f>"1552377868200104"</f>
        <v>1552377868200104</v>
      </c>
      <c r="C4767" t="s">
        <v>40</v>
      </c>
      <c r="D4767">
        <v>5.1127969999999996</v>
      </c>
      <c r="E4767">
        <v>0.49220989999999998</v>
      </c>
      <c r="F4767" t="s">
        <v>41</v>
      </c>
      <c r="G4767">
        <v>-242.38390000000001</v>
      </c>
      <c r="H4767" s="1">
        <v>-3.4045059999999999E-6</v>
      </c>
      <c r="I4767">
        <v>138.74289999999999</v>
      </c>
      <c r="J4767">
        <v>-223.5284</v>
      </c>
      <c r="K4767">
        <v>1.109677</v>
      </c>
      <c r="L4767">
        <v>141.21780000000001</v>
      </c>
      <c r="M4767">
        <v>-0.99964419999999998</v>
      </c>
      <c r="N4767">
        <v>0</v>
      </c>
      <c r="O4767">
        <v>-2.426611E-2</v>
      </c>
      <c r="P4767">
        <v>-0.99992829999999999</v>
      </c>
      <c r="Q4767">
        <v>7.3603139999999997E-3</v>
      </c>
      <c r="R4767">
        <v>-9.4322369999999996E-3</v>
      </c>
      <c r="S4767">
        <v>-2.9974820000000002</v>
      </c>
      <c r="T4767">
        <v>-0.17453650000000001</v>
      </c>
      <c r="U4767">
        <v>-0.38996890000000001</v>
      </c>
      <c r="V4767">
        <v>1.484478E-2</v>
      </c>
      <c r="W4767">
        <v>1.8418049999999998E-2</v>
      </c>
      <c r="X4767">
        <v>0.99972019999999995</v>
      </c>
      <c r="Y4767">
        <v>-0.1047748</v>
      </c>
      <c r="Z4767">
        <v>-1.629775E-3</v>
      </c>
      <c r="AA4767">
        <v>0.99449460000000001</v>
      </c>
      <c r="AB4767">
        <v>21</v>
      </c>
      <c r="AC4767">
        <v>-18.855499999999999</v>
      </c>
      <c r="AD4767">
        <v>-1.109680404506</v>
      </c>
      <c r="AE4767">
        <v>-2.4749000000000101</v>
      </c>
      <c r="AF4767">
        <v>-2.0097504920301601</v>
      </c>
      <c r="AG4767">
        <v>-1.109680404506</v>
      </c>
      <c r="AH4767">
        <v>18.8458391523668</v>
      </c>
      <c r="AI4767">
        <v>93.350842234757394</v>
      </c>
      <c r="AJ4767">
        <v>96.087108248077797</v>
      </c>
      <c r="AK4767">
        <v>18.985155806504199</v>
      </c>
      <c r="AL4767">
        <v>88.944663833533198</v>
      </c>
      <c r="AM4767">
        <v>89.149281231157204</v>
      </c>
      <c r="AN4767">
        <v>1.0000000351735401</v>
      </c>
    </row>
    <row r="4768" spans="1:40" x14ac:dyDescent="0.25">
      <c r="A4768" t="str">
        <f>"20190312160428231"</f>
        <v>20190312160428231</v>
      </c>
      <c r="B4768" t="str">
        <f>"1552377868219624"</f>
        <v>1552377868219624</v>
      </c>
      <c r="C4768" t="s">
        <v>40</v>
      </c>
      <c r="D4768">
        <v>5.1634589999999996</v>
      </c>
      <c r="E4768">
        <v>0.50411399999999995</v>
      </c>
      <c r="F4768" t="s">
        <v>41</v>
      </c>
      <c r="G4768">
        <v>-361.90379999999999</v>
      </c>
      <c r="H4768" s="1">
        <v>-3.8996729999999996E-6</v>
      </c>
      <c r="I4768">
        <v>137.11250000000001</v>
      </c>
      <c r="J4768">
        <v>-223.7253</v>
      </c>
      <c r="K4768">
        <v>1.1096760000000001</v>
      </c>
      <c r="L4768">
        <v>141.2133</v>
      </c>
      <c r="M4768">
        <v>-0.99965179999999998</v>
      </c>
      <c r="N4768">
        <v>0</v>
      </c>
      <c r="O4768">
        <v>-2.395622E-2</v>
      </c>
      <c r="P4768">
        <v>-0.99994099999999997</v>
      </c>
      <c r="Q4768">
        <v>6.7894219999999998E-3</v>
      </c>
      <c r="R4768">
        <v>-8.4851900000000001E-3</v>
      </c>
      <c r="S4768">
        <v>-2.9995880000000001</v>
      </c>
      <c r="T4768">
        <v>-2.405477E-2</v>
      </c>
      <c r="U4768">
        <v>-8.8989260000000001E-2</v>
      </c>
      <c r="V4768">
        <v>1.5481959999999999E-2</v>
      </c>
      <c r="W4768">
        <v>1.78426E-2</v>
      </c>
      <c r="X4768">
        <v>0.99972090000000002</v>
      </c>
      <c r="Y4768">
        <v>-5.6990390000000004E-3</v>
      </c>
      <c r="Z4768">
        <v>1.6920309999999999E-4</v>
      </c>
      <c r="AA4768">
        <v>0.99998370000000003</v>
      </c>
      <c r="AB4768">
        <v>21</v>
      </c>
      <c r="AC4768">
        <v>-138.17850000000001</v>
      </c>
      <c r="AD4768">
        <v>-1.109679899673</v>
      </c>
      <c r="AE4768">
        <v>-4.1007999999999898</v>
      </c>
      <c r="AF4768">
        <v>-0.78913499812906096</v>
      </c>
      <c r="AG4768">
        <v>-1.109679899673</v>
      </c>
      <c r="AH4768">
        <v>138.22817783615599</v>
      </c>
      <c r="AI4768">
        <v>90.459946546800595</v>
      </c>
      <c r="AJ4768">
        <v>90.327094043862701</v>
      </c>
      <c r="AK4768">
        <v>138.23488442295999</v>
      </c>
      <c r="AL4768">
        <v>88.977640036287596</v>
      </c>
      <c r="AM4768">
        <v>89.1127723102733</v>
      </c>
      <c r="AN4768">
        <v>0.99999996367850497</v>
      </c>
    </row>
    <row r="4769" spans="1:40" x14ac:dyDescent="0.25">
      <c r="A4769" t="str">
        <f>"20190312160428244"</f>
        <v>20190312160428244</v>
      </c>
      <c r="B4769" t="str">
        <f>"1552377868240120"</f>
        <v>1552377868240120</v>
      </c>
      <c r="C4769" t="s">
        <v>40</v>
      </c>
      <c r="D4769">
        <v>5.1467150000000004</v>
      </c>
      <c r="E4769">
        <v>0.50475570000000003</v>
      </c>
      <c r="F4769" t="s">
        <v>45</v>
      </c>
      <c r="G4769">
        <v>0</v>
      </c>
      <c r="H4769">
        <v>0</v>
      </c>
      <c r="I4769">
        <v>0</v>
      </c>
      <c r="J4769">
        <v>-223.84540000000001</v>
      </c>
      <c r="K4769">
        <v>1.1096729999999999</v>
      </c>
      <c r="L4769">
        <v>141.2106</v>
      </c>
      <c r="M4769">
        <v>-0.9996564</v>
      </c>
      <c r="N4769">
        <v>0</v>
      </c>
      <c r="O4769">
        <v>-2.37676E-2</v>
      </c>
      <c r="P4769">
        <v>-0.99994539999999998</v>
      </c>
      <c r="Q4769">
        <v>6.6335669999999999E-3</v>
      </c>
      <c r="R4769">
        <v>-8.0922930000000004E-3</v>
      </c>
      <c r="S4769">
        <v>-3.0001069999999999</v>
      </c>
      <c r="T4769">
        <v>1.9469380000000001E-2</v>
      </c>
      <c r="U4769">
        <v>7.4005130000000001E-3</v>
      </c>
      <c r="V4769">
        <v>1.5686060000000002E-2</v>
      </c>
      <c r="W4769">
        <v>1.7684789999999999E-2</v>
      </c>
      <c r="X4769">
        <v>0.99972059999999996</v>
      </c>
      <c r="Y4769">
        <v>2.623398E-2</v>
      </c>
      <c r="Z4769">
        <v>-2.393617E-4</v>
      </c>
      <c r="AA4769">
        <v>0.99965579999999998</v>
      </c>
      <c r="AB4769">
        <v>21</v>
      </c>
      <c r="AC4769">
        <v>-3.0001069999999999</v>
      </c>
      <c r="AD4769">
        <v>1.9469380000000001E-2</v>
      </c>
      <c r="AE4769">
        <v>7.4005130000000001E-3</v>
      </c>
      <c r="AF4769">
        <v>7.8704807279520006E-2</v>
      </c>
      <c r="AG4769">
        <v>1.9469380000000001E-2</v>
      </c>
      <c r="AH4769">
        <v>2.9989571965478001</v>
      </c>
      <c r="AI4769">
        <v>89.628166186247896</v>
      </c>
      <c r="AJ4769">
        <v>88.496671302572594</v>
      </c>
      <c r="AK4769">
        <v>3.0000529612279099</v>
      </c>
      <c r="AL4769">
        <v>88.986683389032095</v>
      </c>
      <c r="AM4769">
        <v>89.101077549007996</v>
      </c>
      <c r="AN4769">
        <v>1.0000000411700101</v>
      </c>
    </row>
    <row r="4770" spans="1:40" x14ac:dyDescent="0.25">
      <c r="A4770" t="str">
        <f>"20190312160428255"</f>
        <v>20190312160428255</v>
      </c>
      <c r="B4770" t="str">
        <f>"1552377868249880"</f>
        <v>1552377868249880</v>
      </c>
      <c r="C4770" t="s">
        <v>40</v>
      </c>
      <c r="D4770">
        <v>5.1552740000000004</v>
      </c>
      <c r="E4770">
        <v>0.50508140000000001</v>
      </c>
      <c r="F4770" t="s">
        <v>45</v>
      </c>
      <c r="G4770">
        <v>0</v>
      </c>
      <c r="H4770">
        <v>0</v>
      </c>
      <c r="I4770">
        <v>0</v>
      </c>
      <c r="J4770">
        <v>-223.95830000000001</v>
      </c>
      <c r="K4770">
        <v>1.1096699999999999</v>
      </c>
      <c r="L4770">
        <v>141.20820000000001</v>
      </c>
      <c r="M4770">
        <v>-0.99966069999999996</v>
      </c>
      <c r="N4770">
        <v>0</v>
      </c>
      <c r="O4770">
        <v>-2.359056E-2</v>
      </c>
      <c r="P4770">
        <v>-0.99994309999999997</v>
      </c>
      <c r="Q4770">
        <v>7.0116469999999898E-3</v>
      </c>
      <c r="R4770">
        <v>-8.0446330000000007E-3</v>
      </c>
      <c r="S4770">
        <v>-3.000229</v>
      </c>
      <c r="T4770">
        <v>8.1546309999999903E-3</v>
      </c>
      <c r="U4770">
        <v>1.403809E-2</v>
      </c>
      <c r="V4770">
        <v>1.5556810000000001E-2</v>
      </c>
      <c r="W4770">
        <v>1.806048E-2</v>
      </c>
      <c r="X4770">
        <v>0.99971589999999999</v>
      </c>
      <c r="Y4770">
        <v>2.8269200000000001E-2</v>
      </c>
      <c r="Z4770">
        <v>-1.025367E-4</v>
      </c>
      <c r="AA4770">
        <v>0.99960039999999994</v>
      </c>
      <c r="AB4770">
        <v>21</v>
      </c>
      <c r="AC4770">
        <v>-3.000229</v>
      </c>
      <c r="AD4770">
        <v>8.1546309999999903E-3</v>
      </c>
      <c r="AE4770">
        <v>1.403809E-2</v>
      </c>
      <c r="AF4770">
        <v>8.4814955205200396E-2</v>
      </c>
      <c r="AG4770">
        <v>8.1546309999999903E-3</v>
      </c>
      <c r="AH4770">
        <v>2.99904060480107</v>
      </c>
      <c r="AI4770">
        <v>89.844270845204505</v>
      </c>
      <c r="AJ4770">
        <v>88.380067266523596</v>
      </c>
      <c r="AK4770">
        <v>3.0002507601663599</v>
      </c>
      <c r="AL4770">
        <v>88.965154496326704</v>
      </c>
      <c r="AM4770">
        <v>89.108479099298606</v>
      </c>
      <c r="AN4770">
        <v>1.0000000379939999</v>
      </c>
    </row>
    <row r="4771" spans="1:40" x14ac:dyDescent="0.25">
      <c r="A4771" t="str">
        <f>"20190312160428277"</f>
        <v>20190312160428277</v>
      </c>
      <c r="B4771" t="str">
        <f>"1552377868269400"</f>
        <v>1552377868269400</v>
      </c>
      <c r="C4771" t="s">
        <v>40</v>
      </c>
      <c r="D4771">
        <v>5.1689999999999996</v>
      </c>
      <c r="E4771">
        <v>0.50539330000000005</v>
      </c>
      <c r="F4771" t="s">
        <v>45</v>
      </c>
      <c r="G4771">
        <v>0</v>
      </c>
      <c r="H4771">
        <v>0</v>
      </c>
      <c r="I4771">
        <v>0</v>
      </c>
      <c r="J4771">
        <v>-224.15280000000001</v>
      </c>
      <c r="K4771">
        <v>1.109661</v>
      </c>
      <c r="L4771">
        <v>141.2039</v>
      </c>
      <c r="M4771">
        <v>-0.99966759999999999</v>
      </c>
      <c r="N4771">
        <v>0</v>
      </c>
      <c r="O4771">
        <v>-2.328655E-2</v>
      </c>
      <c r="P4771">
        <v>-0.99993980000000005</v>
      </c>
      <c r="Q4771">
        <v>7.3330769999999899E-3</v>
      </c>
      <c r="R4771">
        <v>-8.1482729999999993E-3</v>
      </c>
      <c r="S4771">
        <v>-3.000229</v>
      </c>
      <c r="T4771">
        <v>8.7728500000000004E-3</v>
      </c>
      <c r="U4771">
        <v>1.6815190000000001E-2</v>
      </c>
      <c r="V4771">
        <v>1.514911E-2</v>
      </c>
      <c r="W4771">
        <v>1.8379429999999999E-2</v>
      </c>
      <c r="X4771">
        <v>0.9997163</v>
      </c>
      <c r="Y4771">
        <v>2.8890409999999998E-2</v>
      </c>
      <c r="Z4771">
        <v>-1.103295E-4</v>
      </c>
      <c r="AA4771">
        <v>0.99958259999999999</v>
      </c>
      <c r="AB4771">
        <v>21</v>
      </c>
      <c r="AC4771">
        <v>-3.000229</v>
      </c>
      <c r="AD4771">
        <v>8.7728500000000004E-3</v>
      </c>
      <c r="AE4771">
        <v>1.6815190000000001E-2</v>
      </c>
      <c r="AF4771">
        <v>8.6679148259070096E-2</v>
      </c>
      <c r="AG4771">
        <v>8.7728500000000004E-3</v>
      </c>
      <c r="AH4771">
        <v>2.99899810011487</v>
      </c>
      <c r="AI4771">
        <v>89.832465371845799</v>
      </c>
      <c r="AJ4771">
        <v>88.344458053240203</v>
      </c>
      <c r="AK4771">
        <v>3.0002632954680202</v>
      </c>
      <c r="AL4771">
        <v>88.946876923220998</v>
      </c>
      <c r="AM4771">
        <v>89.131840064368703</v>
      </c>
      <c r="AN4771">
        <v>0.99999998973330295</v>
      </c>
    </row>
    <row r="4772" spans="1:40" x14ac:dyDescent="0.25">
      <c r="A4772" t="str">
        <f>"20190312160428298"</f>
        <v>20190312160428298</v>
      </c>
      <c r="B4772" t="str">
        <f>"1552377868289897"</f>
        <v>1552377868289897</v>
      </c>
      <c r="C4772" t="s">
        <v>40</v>
      </c>
      <c r="D4772">
        <v>5.2695379999999998</v>
      </c>
      <c r="E4772">
        <v>0.50533220000000001</v>
      </c>
      <c r="F4772" t="s">
        <v>45</v>
      </c>
      <c r="G4772">
        <v>0</v>
      </c>
      <c r="H4772">
        <v>0</v>
      </c>
      <c r="I4772">
        <v>0</v>
      </c>
      <c r="J4772">
        <v>-224.36099999999999</v>
      </c>
      <c r="K4772">
        <v>1.109664</v>
      </c>
      <c r="L4772">
        <v>141.1995</v>
      </c>
      <c r="M4772">
        <v>-0.99967530000000004</v>
      </c>
      <c r="N4772">
        <v>0</v>
      </c>
      <c r="O4772">
        <v>-2.2963109999999998E-2</v>
      </c>
      <c r="P4772">
        <v>-0.99994179999999999</v>
      </c>
      <c r="Q4772">
        <v>7.163015E-3</v>
      </c>
      <c r="R4772">
        <v>-8.0897250000000007E-3</v>
      </c>
      <c r="S4772">
        <v>-3.0003510000000002</v>
      </c>
      <c r="T4772">
        <v>-1.3003349999999999E-3</v>
      </c>
      <c r="U4772">
        <v>1.9302369999999999E-2</v>
      </c>
      <c r="V4772">
        <v>1.4884329999999999E-2</v>
      </c>
      <c r="W4772">
        <v>1.8206839999999998E-2</v>
      </c>
      <c r="X4772">
        <v>0.99972340000000004</v>
      </c>
      <c r="Y4772">
        <v>2.9395580000000001E-2</v>
      </c>
      <c r="Z4772" s="1">
        <v>1.632199E-5</v>
      </c>
      <c r="AA4772">
        <v>0.99956789999999995</v>
      </c>
      <c r="AB4772">
        <v>21</v>
      </c>
      <c r="AC4772">
        <v>-3.0003510000000002</v>
      </c>
      <c r="AD4772">
        <v>-1.3003349999999999E-3</v>
      </c>
      <c r="AE4772">
        <v>1.9302369999999999E-2</v>
      </c>
      <c r="AF4772">
        <v>8.8198855867185399E-2</v>
      </c>
      <c r="AG4772">
        <v>-1.3003349999999999E-3</v>
      </c>
      <c r="AH4772">
        <v>2.9991159171947701</v>
      </c>
      <c r="AI4772">
        <v>90.0248311531019</v>
      </c>
      <c r="AJ4772">
        <v>88.315514877947294</v>
      </c>
      <c r="AK4772">
        <v>3.00041280723477</v>
      </c>
      <c r="AL4772">
        <v>88.956767220044398</v>
      </c>
      <c r="AM4772">
        <v>89.147017779768106</v>
      </c>
      <c r="AN4772">
        <v>0.99999995440494605</v>
      </c>
    </row>
    <row r="4773" spans="1:40" x14ac:dyDescent="0.25">
      <c r="A4773" t="str">
        <f>"20190312160428311"</f>
        <v>20190312160428311</v>
      </c>
      <c r="B4773" t="str">
        <f>"1552377868299656"</f>
        <v>1552377868299656</v>
      </c>
      <c r="C4773" t="s">
        <v>40</v>
      </c>
      <c r="D4773">
        <v>5.1773199999999999</v>
      </c>
      <c r="E4773">
        <v>0.50546849999999999</v>
      </c>
      <c r="F4773" t="s">
        <v>43</v>
      </c>
      <c r="G4773">
        <v>-546.23710000000005</v>
      </c>
      <c r="H4773">
        <v>-0.05</v>
      </c>
      <c r="I4773">
        <v>143.2636</v>
      </c>
      <c r="J4773">
        <v>-224.47210000000001</v>
      </c>
      <c r="K4773">
        <v>1.109664</v>
      </c>
      <c r="L4773">
        <v>141.19710000000001</v>
      </c>
      <c r="M4773">
        <v>-0.99967910000000004</v>
      </c>
      <c r="N4773">
        <v>0</v>
      </c>
      <c r="O4773">
        <v>-2.2790970000000001E-2</v>
      </c>
      <c r="P4773">
        <v>-0.99993949999999998</v>
      </c>
      <c r="Q4773">
        <v>7.5128779999999997E-3</v>
      </c>
      <c r="R4773">
        <v>-8.0469430000000008E-3</v>
      </c>
      <c r="S4773">
        <v>-3.0004270000000002</v>
      </c>
      <c r="T4773">
        <v>-1.081002E-2</v>
      </c>
      <c r="U4773">
        <v>1.9241330000000001E-2</v>
      </c>
      <c r="V4773">
        <v>1.475521E-2</v>
      </c>
      <c r="W4773">
        <v>1.8555829999999999E-2</v>
      </c>
      <c r="X4773">
        <v>0.99971900000000002</v>
      </c>
      <c r="Y4773">
        <v>2.920263E-2</v>
      </c>
      <c r="Z4773">
        <v>1.3471729999999901E-4</v>
      </c>
      <c r="AA4773">
        <v>0.9995735</v>
      </c>
      <c r="AB4773">
        <v>21</v>
      </c>
      <c r="AC4773">
        <v>-321.76499999999999</v>
      </c>
      <c r="AD4773">
        <v>-1.159664</v>
      </c>
      <c r="AE4773">
        <v>2.0664999999999898</v>
      </c>
      <c r="AF4773">
        <v>9.3996258974893205</v>
      </c>
      <c r="AG4773">
        <v>-1.159664</v>
      </c>
      <c r="AH4773">
        <v>321.63013399159797</v>
      </c>
      <c r="AI4773">
        <v>90.206495603678704</v>
      </c>
      <c r="AJ4773">
        <v>88.326009949923005</v>
      </c>
      <c r="AK4773">
        <v>321.76954622688999</v>
      </c>
      <c r="AL4773">
        <v>88.936768295181693</v>
      </c>
      <c r="AM4773">
        <v>89.154412510807504</v>
      </c>
      <c r="AN4773">
        <v>1.00000005700506</v>
      </c>
    </row>
    <row r="4774" spans="1:40" x14ac:dyDescent="0.25">
      <c r="A4774" t="str">
        <f>"20190312160428331"</f>
        <v>20190312160428331</v>
      </c>
      <c r="B4774" t="str">
        <f>"1552377868320152"</f>
        <v>1552377868320152</v>
      </c>
      <c r="C4774" t="s">
        <v>40</v>
      </c>
      <c r="D4774">
        <v>5.2192939999999997</v>
      </c>
      <c r="E4774">
        <v>0.50568230000000003</v>
      </c>
      <c r="F4774" t="s">
        <v>45</v>
      </c>
      <c r="G4774">
        <v>0</v>
      </c>
      <c r="H4774">
        <v>0</v>
      </c>
      <c r="I4774">
        <v>0</v>
      </c>
      <c r="J4774">
        <v>-224.6671</v>
      </c>
      <c r="K4774">
        <v>1.1096629999999901</v>
      </c>
      <c r="L4774">
        <v>141.19299999999899</v>
      </c>
      <c r="M4774">
        <v>-0.99968610000000002</v>
      </c>
      <c r="N4774">
        <v>0</v>
      </c>
      <c r="O4774">
        <v>-2.248996E-2</v>
      </c>
      <c r="P4774">
        <v>-0.99993750000000003</v>
      </c>
      <c r="Q4774">
        <v>7.199965E-3</v>
      </c>
      <c r="R4774">
        <v>-8.5776340000000006E-3</v>
      </c>
      <c r="S4774">
        <v>-3.0004119999999999</v>
      </c>
      <c r="T4774">
        <v>-5.479813E-3</v>
      </c>
      <c r="U4774">
        <v>2.035522E-2</v>
      </c>
      <c r="V4774">
        <v>1.3923319999999999E-2</v>
      </c>
      <c r="W4774">
        <v>1.8241650000000002E-2</v>
      </c>
      <c r="X4774">
        <v>0.99973670000000003</v>
      </c>
      <c r="Y4774">
        <v>2.9273009999999999E-2</v>
      </c>
      <c r="Z4774" s="1">
        <v>6.7805900000000001E-5</v>
      </c>
      <c r="AA4774">
        <v>0.9995714</v>
      </c>
      <c r="AB4774">
        <v>21</v>
      </c>
      <c r="AC4774">
        <v>-3.0004119999999999</v>
      </c>
      <c r="AD4774">
        <v>-5.479813E-3</v>
      </c>
      <c r="AE4774">
        <v>2.035522E-2</v>
      </c>
      <c r="AF4774">
        <v>8.7833037144125201E-2</v>
      </c>
      <c r="AG4774">
        <v>-5.479813E-3</v>
      </c>
      <c r="AH4774">
        <v>2.9991851903326499</v>
      </c>
      <c r="AI4774">
        <v>90.104640172958298</v>
      </c>
      <c r="AJ4774">
        <v>88.3225362701818</v>
      </c>
      <c r="AK4774">
        <v>3.0004760416765799</v>
      </c>
      <c r="AL4774">
        <v>88.9547725151739</v>
      </c>
      <c r="AM4774">
        <v>89.202094009831299</v>
      </c>
      <c r="AN4774">
        <v>1.0000000429807101</v>
      </c>
    </row>
    <row r="4775" spans="1:40" x14ac:dyDescent="0.25">
      <c r="A4775" t="str">
        <f>"20190312160428355"</f>
        <v>20190312160428355</v>
      </c>
      <c r="B4775" t="str">
        <f>"1552377868349432"</f>
        <v>1552377868349432</v>
      </c>
      <c r="C4775" t="s">
        <v>40</v>
      </c>
      <c r="D4775">
        <v>5.2578310000000004</v>
      </c>
      <c r="E4775">
        <v>0.5061042</v>
      </c>
      <c r="F4775" t="s">
        <v>45</v>
      </c>
      <c r="G4775">
        <v>0</v>
      </c>
      <c r="H4775">
        <v>0</v>
      </c>
      <c r="I4775">
        <v>0</v>
      </c>
      <c r="J4775">
        <v>-224.87899999999999</v>
      </c>
      <c r="K4775">
        <v>1.1096539999999999</v>
      </c>
      <c r="L4775">
        <v>141.18860000000001</v>
      </c>
      <c r="M4775">
        <v>-0.99969339999999995</v>
      </c>
      <c r="N4775">
        <v>0</v>
      </c>
      <c r="O4775">
        <v>-2.2163809999999999E-2</v>
      </c>
      <c r="P4775">
        <v>-0.99993410000000005</v>
      </c>
      <c r="Q4775">
        <v>6.8100239999999996E-3</v>
      </c>
      <c r="R4775">
        <v>-9.2433740000000004E-3</v>
      </c>
      <c r="S4775">
        <v>-3.000381</v>
      </c>
      <c r="T4775">
        <v>-4.2352680000000004E-3</v>
      </c>
      <c r="U4775">
        <v>2.0477289999999999E-2</v>
      </c>
      <c r="V4775">
        <v>1.293125E-2</v>
      </c>
      <c r="W4775">
        <v>1.7850709999999999E-2</v>
      </c>
      <c r="X4775">
        <v>0.99975709999999995</v>
      </c>
      <c r="Y4775">
        <v>2.8987659999999998E-2</v>
      </c>
      <c r="Z4775" s="1">
        <v>5.1745010000000001E-5</v>
      </c>
      <c r="AA4775">
        <v>0.99957980000000002</v>
      </c>
      <c r="AB4775">
        <v>21</v>
      </c>
      <c r="AC4775">
        <v>-3.000381</v>
      </c>
      <c r="AD4775">
        <v>-4.2352680000000004E-3</v>
      </c>
      <c r="AE4775">
        <v>2.0477289999999999E-2</v>
      </c>
      <c r="AF4775">
        <v>8.6976012900226898E-2</v>
      </c>
      <c r="AG4775">
        <v>-4.2352680000000004E-3</v>
      </c>
      <c r="AH4775">
        <v>2.9991840161723702</v>
      </c>
      <c r="AI4775">
        <v>90.080875612963993</v>
      </c>
      <c r="AJ4775">
        <v>88.338894131005503</v>
      </c>
      <c r="AK4775">
        <v>3.00044788776257</v>
      </c>
      <c r="AL4775">
        <v>88.977175394096406</v>
      </c>
      <c r="AM4775">
        <v>89.258955264746106</v>
      </c>
      <c r="AN4775">
        <v>1.00000006203723</v>
      </c>
    </row>
    <row r="4776" spans="1:40" x14ac:dyDescent="0.25">
      <c r="A4776" t="str">
        <f>"20190312160428367"</f>
        <v>20190312160428367</v>
      </c>
      <c r="B4776" t="str">
        <f>"1552377868360169"</f>
        <v>1552377868360169</v>
      </c>
      <c r="C4776" t="s">
        <v>40</v>
      </c>
      <c r="D4776">
        <v>5.200723</v>
      </c>
      <c r="E4776">
        <v>0.50585839999999904</v>
      </c>
      <c r="F4776" t="s">
        <v>45</v>
      </c>
      <c r="G4776">
        <v>0</v>
      </c>
      <c r="H4776">
        <v>0</v>
      </c>
      <c r="I4776">
        <v>0</v>
      </c>
      <c r="J4776">
        <v>-225.00229999999999</v>
      </c>
      <c r="K4776">
        <v>1.1096549999999901</v>
      </c>
      <c r="L4776">
        <v>141.18610000000001</v>
      </c>
      <c r="M4776">
        <v>-0.99969770000000002</v>
      </c>
      <c r="N4776">
        <v>0</v>
      </c>
      <c r="O4776">
        <v>-2.1974150000000001E-2</v>
      </c>
      <c r="P4776">
        <v>-0.99993149999999997</v>
      </c>
      <c r="Q4776">
        <v>6.8028169999999897E-3</v>
      </c>
      <c r="R4776">
        <v>-9.557098E-3</v>
      </c>
      <c r="S4776">
        <v>-3.0004119999999999</v>
      </c>
      <c r="T4776">
        <v>-2.8697250000000001E-3</v>
      </c>
      <c r="U4776">
        <v>2.1759029999999999E-2</v>
      </c>
      <c r="V4776">
        <v>1.2427880000000001E-2</v>
      </c>
      <c r="W4776">
        <v>1.7842609999999998E-2</v>
      </c>
      <c r="X4776">
        <v>0.99976350000000003</v>
      </c>
      <c r="Y4776">
        <v>2.9224969999999999E-2</v>
      </c>
      <c r="Z4776" s="1">
        <v>3.4993020000000003E-5</v>
      </c>
      <c r="AA4776">
        <v>0.99957289999999999</v>
      </c>
      <c r="AB4776">
        <v>21</v>
      </c>
      <c r="AC4776">
        <v>-3.0004119999999999</v>
      </c>
      <c r="AD4776">
        <v>-2.8697250000000001E-3</v>
      </c>
      <c r="AE4776">
        <v>2.1759029999999999E-2</v>
      </c>
      <c r="AF4776">
        <v>8.7689209041720298E-2</v>
      </c>
      <c r="AG4776">
        <v>-2.8697250000000001E-3</v>
      </c>
      <c r="AH4776">
        <v>2.9992065212531802</v>
      </c>
      <c r="AI4776">
        <v>90.054798776852493</v>
      </c>
      <c r="AJ4776">
        <v>88.325293484341898</v>
      </c>
      <c r="AK4776">
        <v>3.0004895250327999</v>
      </c>
      <c r="AL4776">
        <v>88.977639432312998</v>
      </c>
      <c r="AM4776">
        <v>89.287803167106105</v>
      </c>
      <c r="AN4776">
        <v>0.99999993343257598</v>
      </c>
    </row>
    <row r="4777" spans="1:40" x14ac:dyDescent="0.25">
      <c r="A4777" t="str">
        <f>"20190312160428390"</f>
        <v>20190312160428390</v>
      </c>
      <c r="B4777" t="str">
        <f>"1552377868379688"</f>
        <v>1552377868379688</v>
      </c>
      <c r="C4777" t="s">
        <v>40</v>
      </c>
      <c r="D4777">
        <v>5.350206</v>
      </c>
      <c r="E4777">
        <v>0.50584979999999902</v>
      </c>
      <c r="F4777" t="s">
        <v>45</v>
      </c>
      <c r="G4777">
        <v>0</v>
      </c>
      <c r="H4777">
        <v>0</v>
      </c>
      <c r="I4777">
        <v>0</v>
      </c>
      <c r="J4777">
        <v>-225.21010000000001</v>
      </c>
      <c r="K4777">
        <v>1.1096549999999901</v>
      </c>
      <c r="L4777">
        <v>141.18190000000001</v>
      </c>
      <c r="M4777">
        <v>-0.9997045</v>
      </c>
      <c r="N4777">
        <v>0</v>
      </c>
      <c r="O4777">
        <v>-2.1655150000000001E-2</v>
      </c>
      <c r="P4777">
        <v>-0.99992970000000003</v>
      </c>
      <c r="Q4777">
        <v>6.7926879999999999E-3</v>
      </c>
      <c r="R4777">
        <v>-9.7184400000000001E-3</v>
      </c>
      <c r="S4777">
        <v>-3.000381</v>
      </c>
      <c r="T4777" s="1">
        <v>-7.9989429999999999E-5</v>
      </c>
      <c r="U4777">
        <v>1.8722530000000001E-2</v>
      </c>
      <c r="V4777">
        <v>1.1947320000000001E-2</v>
      </c>
      <c r="W4777">
        <v>1.7832110000000002E-2</v>
      </c>
      <c r="X4777">
        <v>0.99976960000000004</v>
      </c>
      <c r="Y4777">
        <v>2.7894519999999999E-2</v>
      </c>
      <c r="Z4777" s="1">
        <v>9.491534E-7</v>
      </c>
      <c r="AA4777">
        <v>0.99961089999999997</v>
      </c>
      <c r="AB4777">
        <v>21</v>
      </c>
      <c r="AC4777">
        <v>-3.000381</v>
      </c>
      <c r="AD4777" s="1">
        <v>-7.9989429999999999E-5</v>
      </c>
      <c r="AE4777">
        <v>1.8722530000000001E-2</v>
      </c>
      <c r="AF4777">
        <v>8.3695802270275704E-2</v>
      </c>
      <c r="AG4777" s="1">
        <v>-7.9989429999999999E-5</v>
      </c>
      <c r="AH4777">
        <v>2.9992718579975799</v>
      </c>
      <c r="AI4777">
        <v>90.001527461852803</v>
      </c>
      <c r="AJ4777">
        <v>88.401554678843198</v>
      </c>
      <c r="AK4777">
        <v>3.0004394131347301</v>
      </c>
      <c r="AL4777">
        <v>88.978241189368106</v>
      </c>
      <c r="AM4777">
        <v>89.3153438245796</v>
      </c>
      <c r="AN4777">
        <v>0.99999998784319699</v>
      </c>
    </row>
    <row r="4778" spans="1:40" x14ac:dyDescent="0.25">
      <c r="A4778" t="str">
        <f>"20190312160428412"</f>
        <v>20190312160428412</v>
      </c>
      <c r="B4778" t="str">
        <f>"1552377868400185"</f>
        <v>1552377868400185</v>
      </c>
      <c r="C4778" t="s">
        <v>40</v>
      </c>
      <c r="D4778">
        <v>5.3150459999999997</v>
      </c>
      <c r="E4778">
        <v>0.50613419999999998</v>
      </c>
      <c r="F4778" t="s">
        <v>45</v>
      </c>
      <c r="G4778">
        <v>0</v>
      </c>
      <c r="H4778">
        <v>0</v>
      </c>
      <c r="I4778">
        <v>0</v>
      </c>
      <c r="J4778">
        <v>-225.41890000000001</v>
      </c>
      <c r="K4778">
        <v>1.109661</v>
      </c>
      <c r="L4778">
        <v>141.17779999999999</v>
      </c>
      <c r="M4778">
        <v>-0.99971129999999997</v>
      </c>
      <c r="N4778">
        <v>0</v>
      </c>
      <c r="O4778">
        <v>-2.1334369999999998E-2</v>
      </c>
      <c r="P4778">
        <v>-0.99992939999999997</v>
      </c>
      <c r="Q4778">
        <v>7.1775129999999999E-3</v>
      </c>
      <c r="R4778">
        <v>-9.4652320000000005E-3</v>
      </c>
      <c r="S4778">
        <v>-3.000397</v>
      </c>
      <c r="T4778">
        <v>-1.861215E-3</v>
      </c>
      <c r="U4778">
        <v>1.824951E-2</v>
      </c>
      <c r="V4778">
        <v>1.187971E-2</v>
      </c>
      <c r="W4778">
        <v>1.82159E-2</v>
      </c>
      <c r="X4778">
        <v>0.99976350000000003</v>
      </c>
      <c r="Y4778">
        <v>2.7416139999999999E-2</v>
      </c>
      <c r="Z4778" s="1">
        <v>2.173769E-5</v>
      </c>
      <c r="AA4778">
        <v>0.99962410000000002</v>
      </c>
      <c r="AB4778">
        <v>21</v>
      </c>
      <c r="AC4778">
        <v>-3.000397</v>
      </c>
      <c r="AD4778">
        <v>-1.861215E-3</v>
      </c>
      <c r="AE4778">
        <v>1.824951E-2</v>
      </c>
      <c r="AF4778">
        <v>8.2260814158283499E-2</v>
      </c>
      <c r="AG4778">
        <v>-1.861215E-3</v>
      </c>
      <c r="AH4778">
        <v>2.9993234957969599</v>
      </c>
      <c r="AI4778">
        <v>90.035541236409202</v>
      </c>
      <c r="AJ4778">
        <v>88.428973654204796</v>
      </c>
      <c r="AK4778">
        <v>3.0004519223121902</v>
      </c>
      <c r="AL4778">
        <v>88.956248083032506</v>
      </c>
      <c r="AM4778">
        <v>89.3192137814777</v>
      </c>
      <c r="AN4778">
        <v>1.00000000122737</v>
      </c>
    </row>
    <row r="4779" spans="1:40" x14ac:dyDescent="0.25">
      <c r="A4779" t="str">
        <f>"20190312160428434"</f>
        <v>20190312160428434</v>
      </c>
      <c r="B4779" t="str">
        <f>"1552377868429465"</f>
        <v>1552377868429465</v>
      </c>
      <c r="C4779" t="s">
        <v>40</v>
      </c>
      <c r="D4779">
        <v>5.3632860000000004</v>
      </c>
      <c r="E4779">
        <v>0.50626260000000001</v>
      </c>
      <c r="F4779" t="s">
        <v>45</v>
      </c>
      <c r="G4779">
        <v>0</v>
      </c>
      <c r="H4779">
        <v>0</v>
      </c>
      <c r="I4779">
        <v>0</v>
      </c>
      <c r="J4779">
        <v>-225.6206</v>
      </c>
      <c r="K4779">
        <v>1.109661</v>
      </c>
      <c r="L4779">
        <v>141.1738</v>
      </c>
      <c r="M4779">
        <v>-0.999718</v>
      </c>
      <c r="N4779">
        <v>0</v>
      </c>
      <c r="O4779">
        <v>-2.1024910000000001E-2</v>
      </c>
      <c r="P4779">
        <v>-0.99993379999999998</v>
      </c>
      <c r="Q4779">
        <v>7.283164E-3</v>
      </c>
      <c r="R4779">
        <v>-8.9020239999999997E-3</v>
      </c>
      <c r="S4779">
        <v>-3.0004270000000002</v>
      </c>
      <c r="T4779">
        <v>2.6607509999999998E-4</v>
      </c>
      <c r="U4779">
        <v>2.1270750000000001E-2</v>
      </c>
      <c r="V4779">
        <v>1.2133649999999999E-2</v>
      </c>
      <c r="W4779">
        <v>1.8321270000000001E-2</v>
      </c>
      <c r="X4779">
        <v>0.99975849999999999</v>
      </c>
      <c r="Y4779">
        <v>2.8113160000000002E-2</v>
      </c>
      <c r="Z4779" s="1">
        <v>-3.1109999999999999E-6</v>
      </c>
      <c r="AA4779">
        <v>0.99960479999999996</v>
      </c>
      <c r="AB4779">
        <v>21</v>
      </c>
      <c r="AC4779">
        <v>-3.0004270000000002</v>
      </c>
      <c r="AD4779">
        <v>2.6607509999999998E-4</v>
      </c>
      <c r="AE4779">
        <v>2.1270750000000001E-2</v>
      </c>
      <c r="AF4779">
        <v>8.4353599018302902E-2</v>
      </c>
      <c r="AG4779">
        <v>2.6607509999999998E-4</v>
      </c>
      <c r="AH4779">
        <v>2.99931641476442</v>
      </c>
      <c r="AI4779">
        <v>89.994919190744497</v>
      </c>
      <c r="AJ4779">
        <v>88.389022410931801</v>
      </c>
      <c r="AK4779">
        <v>3.0005023839914799</v>
      </c>
      <c r="AL4779">
        <v>88.950209792948101</v>
      </c>
      <c r="AM4779">
        <v>89.304659270980807</v>
      </c>
      <c r="AN4779">
        <v>0.999999976359492</v>
      </c>
    </row>
    <row r="4780" spans="1:40" x14ac:dyDescent="0.25">
      <c r="A4780" t="str">
        <f>"20190312160428456"</f>
        <v>20190312160428456</v>
      </c>
      <c r="B4780" t="str">
        <f>"1552377868449961"</f>
        <v>1552377868449961</v>
      </c>
      <c r="C4780" t="s">
        <v>40</v>
      </c>
      <c r="D4780">
        <v>5.3206170000000004</v>
      </c>
      <c r="E4780">
        <v>0.50621899999999997</v>
      </c>
      <c r="F4780" t="s">
        <v>45</v>
      </c>
      <c r="G4780">
        <v>0</v>
      </c>
      <c r="H4780">
        <v>0</v>
      </c>
      <c r="I4780">
        <v>0</v>
      </c>
      <c r="J4780">
        <v>-225.83199999999999</v>
      </c>
      <c r="K4780">
        <v>1.109661</v>
      </c>
      <c r="L4780">
        <v>141.16980000000001</v>
      </c>
      <c r="M4780">
        <v>-0.99972470000000002</v>
      </c>
      <c r="N4780">
        <v>0</v>
      </c>
      <c r="O4780">
        <v>-2.0699950000000002E-2</v>
      </c>
      <c r="P4780">
        <v>-0.99994380000000005</v>
      </c>
      <c r="Q4780">
        <v>7.24275599999999E-3</v>
      </c>
      <c r="R4780">
        <v>-7.751109E-3</v>
      </c>
      <c r="S4780">
        <v>-3.0004119999999999</v>
      </c>
      <c r="T4780">
        <v>-9.0074540000000002E-4</v>
      </c>
      <c r="U4780">
        <v>2.3986819999999999E-2</v>
      </c>
      <c r="V4780">
        <v>1.295952E-2</v>
      </c>
      <c r="W4780">
        <v>1.827931E-2</v>
      </c>
      <c r="X4780">
        <v>0.99974890000000005</v>
      </c>
      <c r="Y4780">
        <v>2.8693090000000001E-2</v>
      </c>
      <c r="Z4780" s="1">
        <v>1.052122E-5</v>
      </c>
      <c r="AA4780">
        <v>0.99958829999999999</v>
      </c>
      <c r="AB4780">
        <v>21</v>
      </c>
      <c r="AC4780">
        <v>-3.0004119999999999</v>
      </c>
      <c r="AD4780">
        <v>-9.0074540000000002E-4</v>
      </c>
      <c r="AE4780">
        <v>2.3986819999999999E-2</v>
      </c>
      <c r="AF4780">
        <v>8.6093840495959903E-2</v>
      </c>
      <c r="AG4780">
        <v>-9.0074540000000002E-4</v>
      </c>
      <c r="AH4780">
        <v>2.9992722059229702</v>
      </c>
      <c r="AI4780">
        <v>90.017200059124093</v>
      </c>
      <c r="AJ4780">
        <v>88.355781269574095</v>
      </c>
      <c r="AK4780">
        <v>3.0005077446884898</v>
      </c>
      <c r="AL4780">
        <v>88.952614322745305</v>
      </c>
      <c r="AM4780">
        <v>89.257329300424203</v>
      </c>
      <c r="AN4780">
        <v>0.99999997269195795</v>
      </c>
    </row>
    <row r="4781" spans="1:40" x14ac:dyDescent="0.25">
      <c r="A4781" t="str">
        <f>"20190312160428478"</f>
        <v>20190312160428478</v>
      </c>
      <c r="B4781" t="str">
        <f>"1552377868469483"</f>
        <v>1552377868469483</v>
      </c>
      <c r="C4781" t="s">
        <v>40</v>
      </c>
      <c r="D4781">
        <v>5.3695950000000003</v>
      </c>
      <c r="E4781">
        <v>0.50632460000000001</v>
      </c>
      <c r="F4781" t="s">
        <v>45</v>
      </c>
      <c r="G4781">
        <v>0</v>
      </c>
      <c r="H4781">
        <v>0</v>
      </c>
      <c r="I4781">
        <v>0</v>
      </c>
      <c r="J4781">
        <v>-226.03819999999999</v>
      </c>
      <c r="K4781">
        <v>1.1096600000000001</v>
      </c>
      <c r="L4781">
        <v>141.16589999999999</v>
      </c>
      <c r="M4781">
        <v>-0.99973129999999999</v>
      </c>
      <c r="N4781">
        <v>0</v>
      </c>
      <c r="O4781">
        <v>-2.0382979999999998E-2</v>
      </c>
      <c r="P4781">
        <v>-0.9999557</v>
      </c>
      <c r="Q4781">
        <v>7.1890549999999998E-3</v>
      </c>
      <c r="R4781">
        <v>-6.0924489999999998E-3</v>
      </c>
      <c r="S4781">
        <v>-3.000397</v>
      </c>
      <c r="T4781">
        <v>-4.941225E-4</v>
      </c>
      <c r="U4781">
        <v>2.7069090000000001E-2</v>
      </c>
      <c r="V4781">
        <v>1.430098E-2</v>
      </c>
      <c r="W4781">
        <v>1.8224489999999999E-2</v>
      </c>
      <c r="X4781">
        <v>0.9997317</v>
      </c>
      <c r="Y4781">
        <v>2.940299E-2</v>
      </c>
      <c r="Z4781" s="1">
        <v>5.7779009999999996E-6</v>
      </c>
      <c r="AA4781">
        <v>0.9995676</v>
      </c>
      <c r="AB4781">
        <v>21</v>
      </c>
      <c r="AC4781">
        <v>-3.000397</v>
      </c>
      <c r="AD4781">
        <v>-4.941225E-4</v>
      </c>
      <c r="AE4781">
        <v>2.7069090000000001E-2</v>
      </c>
      <c r="AF4781">
        <v>8.8224221936764796E-2</v>
      </c>
      <c r="AG4781">
        <v>-4.941225E-4</v>
      </c>
      <c r="AH4781">
        <v>2.9992217143105599</v>
      </c>
      <c r="AI4781">
        <v>90.009435412121405</v>
      </c>
      <c r="AJ4781">
        <v>88.315090100546797</v>
      </c>
      <c r="AK4781">
        <v>3.00051906327645</v>
      </c>
      <c r="AL4781">
        <v>88.955755893022499</v>
      </c>
      <c r="AM4781">
        <v>89.180450200736004</v>
      </c>
      <c r="AN4781">
        <v>1.0000000610248001</v>
      </c>
    </row>
    <row r="4782" spans="1:40" x14ac:dyDescent="0.25">
      <c r="A4782" t="str">
        <f>"20190312160428499"</f>
        <v>20190312160428499</v>
      </c>
      <c r="B4782" t="str">
        <f>"1552377868489980"</f>
        <v>1552377868489980</v>
      </c>
      <c r="C4782" t="s">
        <v>40</v>
      </c>
      <c r="D4782">
        <v>5.379842</v>
      </c>
      <c r="E4782">
        <v>0.50648779999999904</v>
      </c>
      <c r="F4782" t="s">
        <v>45</v>
      </c>
      <c r="G4782">
        <v>0</v>
      </c>
      <c r="H4782">
        <v>0</v>
      </c>
      <c r="I4782">
        <v>0</v>
      </c>
      <c r="J4782">
        <v>-226.24119999999999</v>
      </c>
      <c r="K4782">
        <v>1.109661</v>
      </c>
      <c r="L4782">
        <v>141.16210000000001</v>
      </c>
      <c r="M4782">
        <v>-0.9997376</v>
      </c>
      <c r="N4782">
        <v>0</v>
      </c>
      <c r="O4782">
        <v>-2.0070770000000002E-2</v>
      </c>
      <c r="P4782">
        <v>-0.99995880000000004</v>
      </c>
      <c r="Q4782">
        <v>7.6449090000000001E-3</v>
      </c>
      <c r="R4782">
        <v>-4.9099900000000004E-3</v>
      </c>
      <c r="S4782">
        <v>-3.0003359999999999</v>
      </c>
      <c r="T4782">
        <v>5.0187110000000001E-4</v>
      </c>
      <c r="U4782">
        <v>3.2913209999999998E-2</v>
      </c>
      <c r="V4782">
        <v>1.517112E-2</v>
      </c>
      <c r="W4782">
        <v>1.8679790000000002E-2</v>
      </c>
      <c r="X4782">
        <v>0.9997104</v>
      </c>
      <c r="Y4782">
        <v>3.1037760000000001E-2</v>
      </c>
      <c r="Z4782" s="1">
        <v>-5.95309E-6</v>
      </c>
      <c r="AA4782">
        <v>0.99951820000000002</v>
      </c>
      <c r="AB4782">
        <v>21</v>
      </c>
      <c r="AC4782">
        <v>-3.0003359999999999</v>
      </c>
      <c r="AD4782">
        <v>5.0187110000000001E-4</v>
      </c>
      <c r="AE4782">
        <v>3.2913209999999998E-2</v>
      </c>
      <c r="AF4782">
        <v>9.3129300933930001E-2</v>
      </c>
      <c r="AG4782">
        <v>5.0187110000000001E-4</v>
      </c>
      <c r="AH4782">
        <v>2.9990708264138801</v>
      </c>
      <c r="AI4782">
        <v>89.990416617863801</v>
      </c>
      <c r="AJ4782">
        <v>88.221381853687802</v>
      </c>
      <c r="AK4782">
        <v>3.0005164789438998</v>
      </c>
      <c r="AL4782">
        <v>88.929664608481303</v>
      </c>
      <c r="AM4782">
        <v>89.130573786122</v>
      </c>
      <c r="AN4782">
        <v>0.99999999065232903</v>
      </c>
    </row>
    <row r="4783" spans="1:40" x14ac:dyDescent="0.25">
      <c r="A4783" t="str">
        <f>"20190312160428523"</f>
        <v>20190312160428523</v>
      </c>
      <c r="B4783" t="str">
        <f>"1552377868519257"</f>
        <v>1552377868519257</v>
      </c>
      <c r="C4783" t="s">
        <v>40</v>
      </c>
      <c r="D4783">
        <v>5.3876080000000002</v>
      </c>
      <c r="E4783">
        <v>0.50661080000000003</v>
      </c>
      <c r="F4783" t="s">
        <v>45</v>
      </c>
      <c r="G4783">
        <v>0</v>
      </c>
      <c r="H4783">
        <v>0</v>
      </c>
      <c r="I4783">
        <v>0</v>
      </c>
      <c r="J4783">
        <v>-226.4513</v>
      </c>
      <c r="K4783">
        <v>1.1096539999999999</v>
      </c>
      <c r="L4783">
        <v>141.1583</v>
      </c>
      <c r="M4783">
        <v>-0.99974410000000002</v>
      </c>
      <c r="N4783">
        <v>0</v>
      </c>
      <c r="O4783">
        <v>-1.974772E-2</v>
      </c>
      <c r="P4783">
        <v>-0.99996070000000004</v>
      </c>
      <c r="Q4783">
        <v>7.9787529999999999E-3</v>
      </c>
      <c r="R4783">
        <v>-3.9171910000000004E-3</v>
      </c>
      <c r="S4783">
        <v>-3.0003199999999999</v>
      </c>
      <c r="T4783">
        <v>-3.4689900000000001E-4</v>
      </c>
      <c r="U4783">
        <v>3.7750239999999997E-2</v>
      </c>
      <c r="V4783">
        <v>1.5841040000000001E-2</v>
      </c>
      <c r="W4783">
        <v>1.9013519999999999E-2</v>
      </c>
      <c r="X4783">
        <v>0.99969379999999997</v>
      </c>
      <c r="Y4783">
        <v>3.2325979999999997E-2</v>
      </c>
      <c r="Z4783" s="1">
        <v>4.1519540000000002E-6</v>
      </c>
      <c r="AA4783">
        <v>0.99947739999999996</v>
      </c>
      <c r="AB4783">
        <v>21</v>
      </c>
      <c r="AC4783">
        <v>-3.0003199999999999</v>
      </c>
      <c r="AD4783">
        <v>-3.4689900000000001E-4</v>
      </c>
      <c r="AE4783">
        <v>3.7750239999999997E-2</v>
      </c>
      <c r="AF4783">
        <v>9.69959630820042E-2</v>
      </c>
      <c r="AG4783">
        <v>-3.4689900000000001E-4</v>
      </c>
      <c r="AH4783">
        <v>2.9989892839901899</v>
      </c>
      <c r="AI4783">
        <v>90.006624052008803</v>
      </c>
      <c r="AJ4783">
        <v>88.147534990057807</v>
      </c>
      <c r="AK4783">
        <v>3.0005574586535002</v>
      </c>
      <c r="AL4783">
        <v>88.910539980760902</v>
      </c>
      <c r="AM4783">
        <v>89.092173242765199</v>
      </c>
      <c r="AN4783">
        <v>1.00000007312475</v>
      </c>
    </row>
    <row r="4784" spans="1:40" x14ac:dyDescent="0.25">
      <c r="A4784" t="str">
        <f>"20190312160428535"</f>
        <v>20190312160428535</v>
      </c>
      <c r="B4784" t="str">
        <f>"1552377868529993"</f>
        <v>1552377868529993</v>
      </c>
      <c r="C4784" t="s">
        <v>40</v>
      </c>
      <c r="D4784">
        <v>5.3148390000000001</v>
      </c>
      <c r="E4784">
        <v>0.50658729999999996</v>
      </c>
      <c r="F4784" t="s">
        <v>45</v>
      </c>
      <c r="G4784">
        <v>0</v>
      </c>
      <c r="H4784">
        <v>0</v>
      </c>
      <c r="I4784">
        <v>0</v>
      </c>
      <c r="J4784">
        <v>-226.58170000000001</v>
      </c>
      <c r="K4784">
        <v>1.1096539999999999</v>
      </c>
      <c r="L4784">
        <v>141.1559</v>
      </c>
      <c r="M4784">
        <v>-0.99974790000000002</v>
      </c>
      <c r="N4784">
        <v>0</v>
      </c>
      <c r="O4784">
        <v>-1.9546859999999999E-2</v>
      </c>
      <c r="P4784">
        <v>-0.99996149999999995</v>
      </c>
      <c r="Q4784">
        <v>7.9007030000000002E-3</v>
      </c>
      <c r="R4784">
        <v>-3.8034150000000001E-3</v>
      </c>
      <c r="S4784">
        <v>-3.0003359999999999</v>
      </c>
      <c r="T4784">
        <v>-5.8773760000000001E-3</v>
      </c>
      <c r="U4784">
        <v>4.1976930000000003E-2</v>
      </c>
      <c r="V4784">
        <v>1.5753759999999999E-2</v>
      </c>
      <c r="W4784">
        <v>1.893485E-2</v>
      </c>
      <c r="X4784">
        <v>0.99969660000000005</v>
      </c>
      <c r="Y4784">
        <v>3.3532739999999998E-2</v>
      </c>
      <c r="Z4784" s="1">
        <v>7.1132469999999893E-5</v>
      </c>
      <c r="AA4784">
        <v>0.99943760000000004</v>
      </c>
      <c r="AB4784">
        <v>21</v>
      </c>
      <c r="AC4784">
        <v>-3.0003359999999999</v>
      </c>
      <c r="AD4784">
        <v>-5.8773760000000001E-3</v>
      </c>
      <c r="AE4784">
        <v>4.1976930000000003E-2</v>
      </c>
      <c r="AF4784">
        <v>0.100619250167219</v>
      </c>
      <c r="AG4784">
        <v>-5.8773760000000001E-3</v>
      </c>
      <c r="AH4784">
        <v>2.9989306186279601</v>
      </c>
      <c r="AI4784">
        <v>90.112226346551495</v>
      </c>
      <c r="AJ4784">
        <v>88.078349488538393</v>
      </c>
      <c r="AK4784">
        <v>3.0006238738630899</v>
      </c>
      <c r="AL4784">
        <v>88.915048172507497</v>
      </c>
      <c r="AM4784">
        <v>89.097176829546996</v>
      </c>
      <c r="AN4784">
        <v>1.00000000077511</v>
      </c>
    </row>
    <row r="4785" spans="1:40" x14ac:dyDescent="0.25">
      <c r="A4785" t="str">
        <f>"20190312160428556"</f>
        <v>20190312160428556</v>
      </c>
      <c r="B4785" t="str">
        <f>"1552377868549513"</f>
        <v>1552377868549513</v>
      </c>
      <c r="C4785" t="s">
        <v>40</v>
      </c>
      <c r="D4785">
        <v>5.3434720000000002</v>
      </c>
      <c r="E4785">
        <v>0.50670470000000001</v>
      </c>
      <c r="F4785" t="s">
        <v>45</v>
      </c>
      <c r="G4785">
        <v>0</v>
      </c>
      <c r="H4785">
        <v>0</v>
      </c>
      <c r="I4785">
        <v>0</v>
      </c>
      <c r="J4785">
        <v>-226.76920000000001</v>
      </c>
      <c r="K4785">
        <v>1.1096509999999999</v>
      </c>
      <c r="L4785">
        <v>141.15260000000001</v>
      </c>
      <c r="M4785">
        <v>-0.99975360000000002</v>
      </c>
      <c r="N4785">
        <v>0</v>
      </c>
      <c r="O4785">
        <v>-1.925837E-2</v>
      </c>
      <c r="P4785">
        <v>-0.99996490000000005</v>
      </c>
      <c r="Q4785">
        <v>7.6168159999999898E-3</v>
      </c>
      <c r="R4785">
        <v>-3.4782239999999998E-3</v>
      </c>
      <c r="S4785">
        <v>-3.000305</v>
      </c>
      <c r="T4785">
        <v>-6.4886809999999996E-3</v>
      </c>
      <c r="U4785">
        <v>4.2160030000000001E-2</v>
      </c>
      <c r="V4785">
        <v>1.57903E-2</v>
      </c>
      <c r="W4785">
        <v>1.8651190000000002E-2</v>
      </c>
      <c r="X4785">
        <v>0.99970139999999996</v>
      </c>
      <c r="Y4785">
        <v>3.330545E-2</v>
      </c>
      <c r="Z4785" s="1">
        <v>7.7662089999999996E-5</v>
      </c>
      <c r="AA4785">
        <v>0.99944520000000003</v>
      </c>
      <c r="AB4785">
        <v>21</v>
      </c>
      <c r="AC4785">
        <v>-3.000305</v>
      </c>
      <c r="AD4785">
        <v>-6.4886809999999996E-3</v>
      </c>
      <c r="AE4785">
        <v>4.2160030000000001E-2</v>
      </c>
      <c r="AF4785">
        <v>9.9936247299417899E-2</v>
      </c>
      <c r="AG4785">
        <v>-6.4886809999999996E-3</v>
      </c>
      <c r="AH4785">
        <v>2.9989224902052198</v>
      </c>
      <c r="AI4785">
        <v>90.1239002353621</v>
      </c>
      <c r="AJ4785">
        <v>88.0913787907825</v>
      </c>
      <c r="AK4785">
        <v>3.0005941842848598</v>
      </c>
      <c r="AL4785">
        <v>88.931303611207497</v>
      </c>
      <c r="AM4785">
        <v>89.0950874716915</v>
      </c>
      <c r="AN4785">
        <v>1.0000000448122299</v>
      </c>
    </row>
    <row r="4786" spans="1:40" x14ac:dyDescent="0.25">
      <c r="A4786" t="str">
        <f>"20190312160428579"</f>
        <v>20190312160428579</v>
      </c>
      <c r="B4786" t="str">
        <f>"1552377868570009"</f>
        <v>1552377868570009</v>
      </c>
      <c r="C4786" t="s">
        <v>40</v>
      </c>
      <c r="D4786">
        <v>5.1229879999999897</v>
      </c>
      <c r="E4786">
        <v>0.50652149999999996</v>
      </c>
      <c r="F4786" t="s">
        <v>45</v>
      </c>
      <c r="G4786">
        <v>0</v>
      </c>
      <c r="H4786">
        <v>0</v>
      </c>
      <c r="I4786">
        <v>0</v>
      </c>
      <c r="J4786">
        <v>-226.98929999999999</v>
      </c>
      <c r="K4786">
        <v>1.109653</v>
      </c>
      <c r="L4786">
        <v>141.14869999999999</v>
      </c>
      <c r="M4786">
        <v>-0.99975999999999998</v>
      </c>
      <c r="N4786">
        <v>0</v>
      </c>
      <c r="O4786">
        <v>-1.891959E-2</v>
      </c>
      <c r="P4786">
        <v>-0.9999709</v>
      </c>
      <c r="Q4786">
        <v>6.6719860000000004E-3</v>
      </c>
      <c r="R4786">
        <v>-3.7423539999999998E-3</v>
      </c>
      <c r="S4786">
        <v>-3.0003510000000002</v>
      </c>
      <c r="T4786">
        <v>-9.5697639999999997E-3</v>
      </c>
      <c r="U4786">
        <v>4.4143679999999998E-2</v>
      </c>
      <c r="V4786">
        <v>1.51872E-2</v>
      </c>
      <c r="W4786">
        <v>1.7707199999999999E-2</v>
      </c>
      <c r="X4786">
        <v>0.99972780000000006</v>
      </c>
      <c r="Y4786">
        <v>3.3627039999999997E-2</v>
      </c>
      <c r="Z4786">
        <v>1.139691E-4</v>
      </c>
      <c r="AA4786">
        <v>0.9994345</v>
      </c>
      <c r="AB4786">
        <v>21</v>
      </c>
      <c r="AC4786">
        <v>-3.0003510000000002</v>
      </c>
      <c r="AD4786">
        <v>-9.5697639999999997E-3</v>
      </c>
      <c r="AE4786">
        <v>4.4143679999999998E-2</v>
      </c>
      <c r="AF4786">
        <v>0.100903624943849</v>
      </c>
      <c r="AG4786">
        <v>-9.5697639999999997E-3</v>
      </c>
      <c r="AH4786">
        <v>2.9989481636377802</v>
      </c>
      <c r="AI4786">
        <v>90.182729110643905</v>
      </c>
      <c r="AJ4786">
        <v>88.0729337858523</v>
      </c>
      <c r="AK4786">
        <v>3.0006604623143001</v>
      </c>
      <c r="AL4786">
        <v>88.985399081881198</v>
      </c>
      <c r="AM4786">
        <v>89.129667561351397</v>
      </c>
      <c r="AN4786">
        <v>0.99999993503425699</v>
      </c>
    </row>
    <row r="4787" spans="1:40" x14ac:dyDescent="0.25">
      <c r="A4787" t="str">
        <f>"20190312160428847"</f>
        <v>20190312160428847</v>
      </c>
      <c r="B4787" t="str">
        <f>"1552377868839385"</f>
        <v>1552377868839385</v>
      </c>
      <c r="C4787" t="s">
        <v>40</v>
      </c>
      <c r="D4787">
        <v>5.2081869999999997</v>
      </c>
      <c r="E4787">
        <v>0.45342389999999999</v>
      </c>
      <c r="F4787" t="s">
        <v>81</v>
      </c>
      <c r="G4787">
        <v>-483.69369999999998</v>
      </c>
      <c r="H4787" s="1">
        <v>-8.9506280000000003E-6</v>
      </c>
      <c r="I4787">
        <v>144.7311</v>
      </c>
      <c r="J4787">
        <v>-229.52610000000001</v>
      </c>
      <c r="K4787">
        <v>1.1095980000000001</v>
      </c>
      <c r="L4787">
        <v>141.11000000000001</v>
      </c>
      <c r="M4787">
        <v>-0.99982890000000002</v>
      </c>
      <c r="N4787">
        <v>0</v>
      </c>
      <c r="O4787">
        <v>-1.489241E-2</v>
      </c>
      <c r="P4787">
        <v>-0.99996289999999999</v>
      </c>
      <c r="Q4787">
        <v>7.9123370000000002E-3</v>
      </c>
      <c r="R4787">
        <v>-3.440668E-3</v>
      </c>
      <c r="S4787">
        <v>-3.0003359999999999</v>
      </c>
      <c r="T4787">
        <v>-1.2969609999999999E-2</v>
      </c>
      <c r="U4787">
        <v>4.1870119999999997E-2</v>
      </c>
      <c r="V4787">
        <v>1.146345E-2</v>
      </c>
      <c r="W4787">
        <v>1.8874780000000001E-2</v>
      </c>
      <c r="X4787">
        <v>0.99975619999999998</v>
      </c>
      <c r="Y4787">
        <v>2.8843690000000002E-2</v>
      </c>
      <c r="Z4787">
        <v>1.2671439999999999E-4</v>
      </c>
      <c r="AA4787">
        <v>0.99958389999999997</v>
      </c>
      <c r="AB4787">
        <v>21</v>
      </c>
      <c r="AC4787">
        <v>-254.16759999999999</v>
      </c>
      <c r="AD4787">
        <v>-1.109606950628</v>
      </c>
      <c r="AE4787">
        <v>3.6210999999999798</v>
      </c>
      <c r="AF4787">
        <v>7.40595322858535</v>
      </c>
      <c r="AG4787">
        <v>-1.109606950628</v>
      </c>
      <c r="AH4787">
        <v>254.08063823707101</v>
      </c>
      <c r="AI4787">
        <v>90.250111153336107</v>
      </c>
      <c r="AJ4787">
        <v>88.330412911301494</v>
      </c>
      <c r="AK4787">
        <v>254.19097170782101</v>
      </c>
      <c r="AL4787">
        <v>88.918490613259905</v>
      </c>
      <c r="AM4787">
        <v>89.343061316952401</v>
      </c>
      <c r="AN4787">
        <v>1.00000006372219</v>
      </c>
    </row>
    <row r="4788" spans="1:40" x14ac:dyDescent="0.25">
      <c r="A4788" t="str">
        <f>"20190312160428869"</f>
        <v>20190312160428869</v>
      </c>
      <c r="B4788" t="str">
        <f>"1552377868859880"</f>
        <v>1552377868859880</v>
      </c>
      <c r="C4788" t="s">
        <v>40</v>
      </c>
      <c r="D4788">
        <v>5.1344649999999996</v>
      </c>
      <c r="E4788">
        <v>0.51714059999999995</v>
      </c>
      <c r="F4788" t="s">
        <v>96</v>
      </c>
      <c r="G4788">
        <v>-395.15550000000002</v>
      </c>
      <c r="H4788">
        <v>13.64489</v>
      </c>
      <c r="I4788">
        <v>119.6155</v>
      </c>
      <c r="J4788">
        <v>-229.7346</v>
      </c>
      <c r="K4788">
        <v>1.1095839999999999</v>
      </c>
      <c r="L4788">
        <v>141.10730000000001</v>
      </c>
      <c r="M4788">
        <v>-0.99983480000000002</v>
      </c>
      <c r="N4788">
        <v>0</v>
      </c>
      <c r="O4788">
        <v>-1.449665E-2</v>
      </c>
      <c r="P4788">
        <v>-0.99996640000000003</v>
      </c>
      <c r="Q4788">
        <v>7.7164109999999899E-3</v>
      </c>
      <c r="R4788">
        <v>-2.7411250000000001E-3</v>
      </c>
      <c r="S4788">
        <v>-2.9969790000000001</v>
      </c>
      <c r="T4788">
        <v>0.22681979999999999</v>
      </c>
      <c r="U4788">
        <v>-0.38893129999999998</v>
      </c>
      <c r="V4788">
        <v>1.1767700000000001E-2</v>
      </c>
      <c r="W4788">
        <v>1.866978E-2</v>
      </c>
      <c r="X4788">
        <v>0.99975650000000005</v>
      </c>
      <c r="Y4788">
        <v>-0.114025</v>
      </c>
      <c r="Z4788">
        <v>3.1999820000000001E-3</v>
      </c>
      <c r="AA4788">
        <v>0.99347280000000004</v>
      </c>
      <c r="AB4788">
        <v>21</v>
      </c>
      <c r="AC4788">
        <v>-165.42089999999999</v>
      </c>
      <c r="AD4788">
        <v>12.535306</v>
      </c>
      <c r="AE4788">
        <v>-21.491800000000001</v>
      </c>
      <c r="AF4788">
        <v>-18.984144382255302</v>
      </c>
      <c r="AG4788">
        <v>12.535306</v>
      </c>
      <c r="AH4788">
        <v>164.78455087304701</v>
      </c>
      <c r="AI4788">
        <v>85.678313440756298</v>
      </c>
      <c r="AJ4788">
        <v>96.571836565797497</v>
      </c>
      <c r="AK4788">
        <v>166.34746719103299</v>
      </c>
      <c r="AL4788">
        <v>88.9302383020962</v>
      </c>
      <c r="AM4788">
        <v>89.325627380884598</v>
      </c>
      <c r="AN4788">
        <v>1.00000004937039</v>
      </c>
    </row>
    <row r="4789" spans="1:40" x14ac:dyDescent="0.25">
      <c r="A4789" t="str">
        <f>"20190312160428890"</f>
        <v>20190312160428890</v>
      </c>
      <c r="B4789" t="str">
        <f>"1552377868879401"</f>
        <v>1552377868879401</v>
      </c>
      <c r="C4789" t="s">
        <v>40</v>
      </c>
      <c r="D4789">
        <v>5.0067349999999999</v>
      </c>
      <c r="E4789">
        <v>0.5173799</v>
      </c>
      <c r="F4789" t="s">
        <v>98</v>
      </c>
      <c r="G4789">
        <v>-510.17559999999997</v>
      </c>
      <c r="H4789">
        <v>5.5476640000000002</v>
      </c>
      <c r="I4789">
        <v>153.0487</v>
      </c>
      <c r="J4789">
        <v>-229.9357</v>
      </c>
      <c r="K4789">
        <v>1.1095619999999999</v>
      </c>
      <c r="L4789">
        <v>141.10489999999999</v>
      </c>
      <c r="M4789">
        <v>-0.99984070000000003</v>
      </c>
      <c r="N4789">
        <v>0</v>
      </c>
      <c r="O4789">
        <v>-1.409325E-2</v>
      </c>
      <c r="P4789">
        <v>-0.99996490000000005</v>
      </c>
      <c r="Q4789">
        <v>8.0284980000000002E-3</v>
      </c>
      <c r="R4789">
        <v>-2.4032150000000002E-3</v>
      </c>
      <c r="S4789">
        <v>-3.0001069999999999</v>
      </c>
      <c r="T4789">
        <v>4.7478199999999998E-2</v>
      </c>
      <c r="U4789">
        <v>0.12774659999999999</v>
      </c>
      <c r="V4789">
        <v>1.1703E-2</v>
      </c>
      <c r="W4789">
        <v>1.8969179999999999E-2</v>
      </c>
      <c r="X4789">
        <v>0.99975159999999996</v>
      </c>
      <c r="Y4789">
        <v>5.6610399999999998E-2</v>
      </c>
      <c r="Z4789">
        <v>-6.7065549999999999E-4</v>
      </c>
      <c r="AA4789">
        <v>0.99839610000000001</v>
      </c>
      <c r="AB4789">
        <v>21</v>
      </c>
      <c r="AC4789">
        <v>-280.23989999999998</v>
      </c>
      <c r="AD4789">
        <v>4.4381019999999998</v>
      </c>
      <c r="AE4789">
        <v>11.9438</v>
      </c>
      <c r="AF4789">
        <v>15.8883638927799</v>
      </c>
      <c r="AG4789">
        <v>4.4381019999999998</v>
      </c>
      <c r="AH4789">
        <v>279.97363642458203</v>
      </c>
      <c r="AI4789">
        <v>89.093290184187495</v>
      </c>
      <c r="AJ4789">
        <v>86.751976927569899</v>
      </c>
      <c r="AK4789">
        <v>280.45921976172502</v>
      </c>
      <c r="AL4789">
        <v>88.913080882315498</v>
      </c>
      <c r="AM4789">
        <v>89.329331523095405</v>
      </c>
      <c r="AN4789">
        <v>1.00000002585071</v>
      </c>
    </row>
    <row r="4790" spans="1:40" x14ac:dyDescent="0.25">
      <c r="A4790" t="str">
        <f>"20190312160428912"</f>
        <v>20190312160428912</v>
      </c>
      <c r="B4790" t="str">
        <f>"1552377868909656"</f>
        <v>1552377868909656</v>
      </c>
      <c r="C4790" t="s">
        <v>40</v>
      </c>
      <c r="D4790">
        <v>4.9830750000000004</v>
      </c>
      <c r="E4790">
        <v>0.51795769999999997</v>
      </c>
      <c r="F4790" t="s">
        <v>98</v>
      </c>
      <c r="G4790">
        <v>-511.05919999999998</v>
      </c>
      <c r="H4790">
        <v>1.586193</v>
      </c>
      <c r="I4790">
        <v>153.483</v>
      </c>
      <c r="J4790">
        <v>-230.1514</v>
      </c>
      <c r="K4790">
        <v>1.1095469999999901</v>
      </c>
      <c r="L4790">
        <v>141.10239999999999</v>
      </c>
      <c r="M4790">
        <v>-0.99984720000000005</v>
      </c>
      <c r="N4790">
        <v>0</v>
      </c>
      <c r="O4790">
        <v>-1.3639790000000001E-2</v>
      </c>
      <c r="P4790">
        <v>-0.99995769999999995</v>
      </c>
      <c r="Q4790">
        <v>8.9888079999999992E-3</v>
      </c>
      <c r="R4790">
        <v>-2.0325539999999998E-3</v>
      </c>
      <c r="S4790">
        <v>-3.000397</v>
      </c>
      <c r="T4790">
        <v>5.087495E-3</v>
      </c>
      <c r="U4790">
        <v>0.13211059999999999</v>
      </c>
      <c r="V4790">
        <v>1.1621340000000001E-2</v>
      </c>
      <c r="W4790">
        <v>1.9916E-2</v>
      </c>
      <c r="X4790">
        <v>0.99973409999999996</v>
      </c>
      <c r="Y4790">
        <v>5.7611629999999997E-2</v>
      </c>
      <c r="Z4790" s="1">
        <v>-7.193876E-5</v>
      </c>
      <c r="AA4790">
        <v>0.99833910000000003</v>
      </c>
      <c r="AB4790">
        <v>21</v>
      </c>
      <c r="AC4790">
        <v>-280.90779999999899</v>
      </c>
      <c r="AD4790">
        <v>0.47664600000000001</v>
      </c>
      <c r="AE4790">
        <v>12.380599999999999</v>
      </c>
      <c r="AF4790">
        <v>16.2111539757218</v>
      </c>
      <c r="AG4790">
        <v>0.47664600000000001</v>
      </c>
      <c r="AH4790">
        <v>280.71197955041902</v>
      </c>
      <c r="AI4790">
        <v>89.902874286007403</v>
      </c>
      <c r="AJ4790">
        <v>86.694832217581805</v>
      </c>
      <c r="AK4790">
        <v>281.18009205444997</v>
      </c>
      <c r="AL4790">
        <v>88.858821790673403</v>
      </c>
      <c r="AM4790">
        <v>89.333999165353504</v>
      </c>
      <c r="AN4790">
        <v>0.99999998665110201</v>
      </c>
    </row>
    <row r="4791" spans="1:40" x14ac:dyDescent="0.25">
      <c r="A4791" t="str">
        <f>"20190312160428935"</f>
        <v>20190312160428935</v>
      </c>
      <c r="B4791" t="str">
        <f>"1552377868930153"</f>
        <v>1552377868930153</v>
      </c>
      <c r="C4791" t="s">
        <v>40</v>
      </c>
      <c r="D4791">
        <v>5.0021769999999997</v>
      </c>
      <c r="E4791">
        <v>0.51762229999999998</v>
      </c>
      <c r="F4791" t="s">
        <v>60</v>
      </c>
      <c r="G4791">
        <v>-431.11219999999997</v>
      </c>
      <c r="H4791">
        <v>3.8128479999999999E-2</v>
      </c>
      <c r="I4791">
        <v>150.38890000000001</v>
      </c>
      <c r="J4791">
        <v>-230.37029999999999</v>
      </c>
      <c r="K4791">
        <v>1.109532</v>
      </c>
      <c r="L4791">
        <v>141.09989999999999</v>
      </c>
      <c r="M4791">
        <v>-0.99985380000000001</v>
      </c>
      <c r="N4791">
        <v>0</v>
      </c>
      <c r="O4791">
        <v>-1.315846E-2</v>
      </c>
      <c r="P4791">
        <v>-0.99995800000000001</v>
      </c>
      <c r="Q4791">
        <v>8.9935729999999995E-3</v>
      </c>
      <c r="R4791">
        <v>-1.8032460000000001E-3</v>
      </c>
      <c r="S4791">
        <v>-3.000534</v>
      </c>
      <c r="T4791">
        <v>-1.5997290000000001E-2</v>
      </c>
      <c r="U4791">
        <v>0.13865659999999999</v>
      </c>
      <c r="V4791">
        <v>1.1369809999999999E-2</v>
      </c>
      <c r="W4791">
        <v>1.9909799999999998E-2</v>
      </c>
      <c r="X4791">
        <v>0.99973710000000005</v>
      </c>
      <c r="Y4791">
        <v>5.9301590000000001E-2</v>
      </c>
      <c r="Z4791">
        <v>2.2812139999999999E-4</v>
      </c>
      <c r="AA4791">
        <v>0.99824009999999996</v>
      </c>
      <c r="AB4791">
        <v>21</v>
      </c>
      <c r="AC4791">
        <v>-200.74189999999999</v>
      </c>
      <c r="AD4791">
        <v>-1.0714035200000001</v>
      </c>
      <c r="AE4791">
        <v>9.2890000000000104</v>
      </c>
      <c r="AF4791">
        <v>11.9294683518914</v>
      </c>
      <c r="AG4791">
        <v>-1.0714035200000001</v>
      </c>
      <c r="AH4791">
        <v>200.59658025083499</v>
      </c>
      <c r="AI4791">
        <v>90.305479053907604</v>
      </c>
      <c r="AJ4791">
        <v>86.596631353102097</v>
      </c>
      <c r="AK4791">
        <v>200.953845768105</v>
      </c>
      <c r="AL4791">
        <v>88.859177077007999</v>
      </c>
      <c r="AM4791">
        <v>89.348414655134803</v>
      </c>
      <c r="AN4791">
        <v>0.99999997091594195</v>
      </c>
    </row>
    <row r="4792" spans="1:40" x14ac:dyDescent="0.25">
      <c r="A4792" t="str">
        <f>"20190312160428958"</f>
        <v>20190312160428958</v>
      </c>
      <c r="B4792" t="str">
        <f>"1552377868949672"</f>
        <v>1552377868949672</v>
      </c>
      <c r="C4792" t="s">
        <v>40</v>
      </c>
      <c r="D4792">
        <v>5.0212190000000003</v>
      </c>
      <c r="E4792">
        <v>0.51759489999999997</v>
      </c>
      <c r="F4792" t="s">
        <v>41</v>
      </c>
      <c r="G4792">
        <v>-390.58139999999997</v>
      </c>
      <c r="H4792" s="1">
        <v>-5.6369479999999998E-6</v>
      </c>
      <c r="I4792">
        <v>148.40379999999999</v>
      </c>
      <c r="J4792">
        <v>-230.58799999999999</v>
      </c>
      <c r="K4792">
        <v>1.1095139999999999</v>
      </c>
      <c r="L4792">
        <v>141.0976</v>
      </c>
      <c r="M4792">
        <v>-0.99986030000000004</v>
      </c>
      <c r="N4792">
        <v>0</v>
      </c>
      <c r="O4792">
        <v>-1.2657710000000001E-2</v>
      </c>
      <c r="P4792">
        <v>-0.99996439999999998</v>
      </c>
      <c r="Q4792">
        <v>8.3739850000000005E-3</v>
      </c>
      <c r="R4792">
        <v>-7.9364099999999999E-4</v>
      </c>
      <c r="S4792">
        <v>-3.0005799999999998</v>
      </c>
      <c r="T4792">
        <v>-2.0780440000000001E-2</v>
      </c>
      <c r="U4792">
        <v>0.136795</v>
      </c>
      <c r="V4792">
        <v>1.187876E-2</v>
      </c>
      <c r="W4792">
        <v>1.9279540000000001E-2</v>
      </c>
      <c r="X4792">
        <v>0.99974359999999995</v>
      </c>
      <c r="Y4792">
        <v>5.818222E-2</v>
      </c>
      <c r="Z4792">
        <v>2.889867E-4</v>
      </c>
      <c r="AA4792">
        <v>0.99830589999999997</v>
      </c>
      <c r="AB4792">
        <v>21</v>
      </c>
      <c r="AC4792">
        <v>-159.99339999999901</v>
      </c>
      <c r="AD4792">
        <v>-1.1095196369479901</v>
      </c>
      <c r="AE4792">
        <v>7.3061999999999898</v>
      </c>
      <c r="AF4792">
        <v>9.3304375686268894</v>
      </c>
      <c r="AG4792">
        <v>-1.1095196369479901</v>
      </c>
      <c r="AH4792">
        <v>159.88042296151499</v>
      </c>
      <c r="AI4792">
        <v>90.396932898164593</v>
      </c>
      <c r="AJ4792">
        <v>86.660072437971806</v>
      </c>
      <c r="AK4792">
        <v>160.15629161978001</v>
      </c>
      <c r="AL4792">
        <v>88.895295322669497</v>
      </c>
      <c r="AM4792">
        <v>89.319254668897202</v>
      </c>
      <c r="AN4792">
        <v>1.0000000356713501</v>
      </c>
    </row>
    <row r="4793" spans="1:40" x14ac:dyDescent="0.25">
      <c r="A4793" t="str">
        <f>"20190312160428980"</f>
        <v>20190312160428980</v>
      </c>
      <c r="B4793" t="str">
        <f>"1552377868970169"</f>
        <v>1552377868970169</v>
      </c>
      <c r="C4793" t="s">
        <v>40</v>
      </c>
      <c r="D4793">
        <v>5.0231659999999998</v>
      </c>
      <c r="E4793">
        <v>0.5176442</v>
      </c>
      <c r="F4793" t="s">
        <v>41</v>
      </c>
      <c r="G4793">
        <v>-361.68889999999999</v>
      </c>
      <c r="H4793" s="1">
        <v>-5.04638E-6</v>
      </c>
      <c r="I4793">
        <v>147.19929999999999</v>
      </c>
      <c r="J4793">
        <v>-230.7998</v>
      </c>
      <c r="K4793">
        <v>1.1094930000000001</v>
      </c>
      <c r="L4793">
        <v>141.09549999999999</v>
      </c>
      <c r="M4793">
        <v>-0.9998667</v>
      </c>
      <c r="N4793">
        <v>0</v>
      </c>
      <c r="O4793">
        <v>-1.214898E-2</v>
      </c>
      <c r="P4793">
        <v>-0.99997619999999998</v>
      </c>
      <c r="Q4793">
        <v>6.9008960000000001E-3</v>
      </c>
      <c r="R4793">
        <v>1.3319260000000001E-4</v>
      </c>
      <c r="S4793">
        <v>-3.0004430000000002</v>
      </c>
      <c r="T4793">
        <v>-2.5393010000000001E-2</v>
      </c>
      <c r="U4793">
        <v>0.13964840000000001</v>
      </c>
      <c r="V4793">
        <v>1.229645E-2</v>
      </c>
      <c r="W4793">
        <v>1.779683E-2</v>
      </c>
      <c r="X4793">
        <v>0.99976600000000004</v>
      </c>
      <c r="Y4793">
        <v>5.8622889999999997E-2</v>
      </c>
      <c r="Z4793">
        <v>3.5069860000000002E-4</v>
      </c>
      <c r="AA4793">
        <v>0.99828019999999995</v>
      </c>
      <c r="AB4793">
        <v>21</v>
      </c>
      <c r="AC4793">
        <v>-130.88909999999899</v>
      </c>
      <c r="AD4793">
        <v>-1.1094980463799999</v>
      </c>
      <c r="AE4793">
        <v>6.1037999999999997</v>
      </c>
      <c r="AF4793">
        <v>7.6930615739992998</v>
      </c>
      <c r="AG4793">
        <v>-1.1094980463799999</v>
      </c>
      <c r="AH4793">
        <v>130.795901960988</v>
      </c>
      <c r="AI4793">
        <v>90.485170892568206</v>
      </c>
      <c r="AJ4793">
        <v>86.633895125532405</v>
      </c>
      <c r="AK4793">
        <v>131.02664672533101</v>
      </c>
      <c r="AL4793">
        <v>88.980262909864194</v>
      </c>
      <c r="AM4793">
        <v>89.295335943195298</v>
      </c>
      <c r="AN4793">
        <v>0.99999999229832504</v>
      </c>
    </row>
    <row r="4794" spans="1:40" x14ac:dyDescent="0.25">
      <c r="A4794" t="str">
        <f>"20190312160429004"</f>
        <v>20190312160429004</v>
      </c>
      <c r="B4794" t="str">
        <f>"1552377868999450"</f>
        <v>1552377868999450</v>
      </c>
      <c r="C4794" t="s">
        <v>40</v>
      </c>
      <c r="D4794">
        <v>5.016648</v>
      </c>
      <c r="E4794">
        <v>0.51753779999999905</v>
      </c>
      <c r="F4794" t="s">
        <v>41</v>
      </c>
      <c r="G4794">
        <v>-346.00220000000002</v>
      </c>
      <c r="H4794" s="1">
        <v>-3.4681840000000001E-6</v>
      </c>
      <c r="I4794">
        <v>146.5771</v>
      </c>
      <c r="J4794">
        <v>-231.03120000000001</v>
      </c>
      <c r="K4794">
        <v>1.109472</v>
      </c>
      <c r="L4794">
        <v>141.0934</v>
      </c>
      <c r="M4794">
        <v>-0.99987369999999998</v>
      </c>
      <c r="N4794">
        <v>0</v>
      </c>
      <c r="O4794">
        <v>-1.157239E-2</v>
      </c>
      <c r="P4794">
        <v>-0.99998120000000001</v>
      </c>
      <c r="Q4794">
        <v>6.1242709999999997E-3</v>
      </c>
      <c r="R4794">
        <v>4.776631E-4</v>
      </c>
      <c r="S4794">
        <v>-3.0002439999999999</v>
      </c>
      <c r="T4794">
        <v>-2.8894900000000001E-2</v>
      </c>
      <c r="U4794">
        <v>0.1427612</v>
      </c>
      <c r="V4794">
        <v>1.206428E-2</v>
      </c>
      <c r="W4794">
        <v>1.7011129999999999E-2</v>
      </c>
      <c r="X4794">
        <v>0.99978250000000002</v>
      </c>
      <c r="Y4794">
        <v>5.9082969999999999E-2</v>
      </c>
      <c r="Z4794">
        <v>3.9574089999999998E-4</v>
      </c>
      <c r="AA4794">
        <v>0.99825299999999995</v>
      </c>
      <c r="AB4794">
        <v>21</v>
      </c>
      <c r="AC4794">
        <v>-114.971</v>
      </c>
      <c r="AD4794">
        <v>-1.109475468184</v>
      </c>
      <c r="AE4794">
        <v>5.48369999999999</v>
      </c>
      <c r="AF4794">
        <v>6.8132679186873899</v>
      </c>
      <c r="AG4794">
        <v>-1.109475468184</v>
      </c>
      <c r="AH4794">
        <v>114.889162493217</v>
      </c>
      <c r="AI4794">
        <v>90.552313282534698</v>
      </c>
      <c r="AJ4794">
        <v>86.606165226697001</v>
      </c>
      <c r="AK4794">
        <v>115.096356214865</v>
      </c>
      <c r="AL4794">
        <v>89.025287018921603</v>
      </c>
      <c r="AM4794">
        <v>89.308650851921101</v>
      </c>
      <c r="AN4794">
        <v>0.99999998635102205</v>
      </c>
    </row>
    <row r="4795" spans="1:40" x14ac:dyDescent="0.25">
      <c r="A4795" t="str">
        <f>"20190312160429025"</f>
        <v>20190312160429025</v>
      </c>
      <c r="B4795" t="str">
        <f>"1552377869019945"</f>
        <v>1552377869019945</v>
      </c>
      <c r="C4795" t="s">
        <v>40</v>
      </c>
      <c r="D4795">
        <v>5.016826</v>
      </c>
      <c r="E4795">
        <v>0.51752540000000002</v>
      </c>
      <c r="F4795" t="s">
        <v>41</v>
      </c>
      <c r="G4795">
        <v>-337.90230000000003</v>
      </c>
      <c r="H4795" s="1">
        <v>-2.72019E-6</v>
      </c>
      <c r="I4795">
        <v>146.18639999999999</v>
      </c>
      <c r="J4795">
        <v>-231.2355</v>
      </c>
      <c r="K4795">
        <v>1.1094580000000001</v>
      </c>
      <c r="L4795">
        <v>141.0916</v>
      </c>
      <c r="M4795">
        <v>-0.99987969999999904</v>
      </c>
      <c r="N4795">
        <v>0</v>
      </c>
      <c r="O4795">
        <v>-1.1047110000000001E-2</v>
      </c>
      <c r="P4795">
        <v>-0.99998209999999998</v>
      </c>
      <c r="Q4795">
        <v>5.8828619999999896E-3</v>
      </c>
      <c r="R4795">
        <v>1.1326120000000001E-3</v>
      </c>
      <c r="S4795">
        <v>-3.0001829999999998</v>
      </c>
      <c r="T4795">
        <v>-3.1146170000000001E-2</v>
      </c>
      <c r="U4795">
        <v>0.14297489999999999</v>
      </c>
      <c r="V4795">
        <v>1.2194409999999999E-2</v>
      </c>
      <c r="W4795">
        <v>1.6762249999999999E-2</v>
      </c>
      <c r="X4795">
        <v>0.99978509999999998</v>
      </c>
      <c r="Y4795">
        <v>5.862995E-2</v>
      </c>
      <c r="Z4795">
        <v>4.1877960000000002E-4</v>
      </c>
      <c r="AA4795">
        <v>0.99827969999999999</v>
      </c>
      <c r="AB4795">
        <v>21</v>
      </c>
      <c r="AC4795">
        <v>-106.66679999999999</v>
      </c>
      <c r="AD4795">
        <v>-1.10946072019</v>
      </c>
      <c r="AE4795">
        <v>5.0947999999999896</v>
      </c>
      <c r="AF4795">
        <v>6.2722417817643796</v>
      </c>
      <c r="AG4795">
        <v>-1.10946072019</v>
      </c>
      <c r="AH4795">
        <v>106.59249872603201</v>
      </c>
      <c r="AI4795">
        <v>90.595307993411197</v>
      </c>
      <c r="AJ4795">
        <v>86.6324172213331</v>
      </c>
      <c r="AK4795">
        <v>106.782642338152</v>
      </c>
      <c r="AL4795">
        <v>89.039548802407793</v>
      </c>
      <c r="AM4795">
        <v>89.301196244711406</v>
      </c>
      <c r="AN4795">
        <v>0.99999996142115899</v>
      </c>
    </row>
    <row r="4796" spans="1:40" x14ac:dyDescent="0.25">
      <c r="A4796" t="str">
        <f>"20190312160429048"</f>
        <v>20190312160429048</v>
      </c>
      <c r="B4796" t="str">
        <f>"1552377869039468"</f>
        <v>1552377869039468</v>
      </c>
      <c r="C4796" t="s">
        <v>40</v>
      </c>
      <c r="D4796">
        <v>5.048057</v>
      </c>
      <c r="E4796">
        <v>0.51750019999999997</v>
      </c>
      <c r="F4796" t="s">
        <v>41</v>
      </c>
      <c r="G4796">
        <v>-339.77050000000003</v>
      </c>
      <c r="H4796" s="1">
        <v>-1.874967E-6</v>
      </c>
      <c r="I4796">
        <v>146.3287</v>
      </c>
      <c r="J4796">
        <v>-231.44720000000001</v>
      </c>
      <c r="K4796">
        <v>1.10945</v>
      </c>
      <c r="L4796">
        <v>141.0899</v>
      </c>
      <c r="M4796">
        <v>-0.99988569999999999</v>
      </c>
      <c r="N4796">
        <v>0</v>
      </c>
      <c r="O4796">
        <v>-1.0490859999999999E-2</v>
      </c>
      <c r="P4796">
        <v>-0.99997919999999996</v>
      </c>
      <c r="Q4796">
        <v>6.0428189999999996E-3</v>
      </c>
      <c r="R4796">
        <v>2.3237570000000001E-3</v>
      </c>
      <c r="S4796">
        <v>-3.000076</v>
      </c>
      <c r="T4796">
        <v>-3.066719E-2</v>
      </c>
      <c r="U4796">
        <v>0.1447601</v>
      </c>
      <c r="V4796">
        <v>1.282982E-2</v>
      </c>
      <c r="W4796">
        <v>1.6915299999999901E-2</v>
      </c>
      <c r="X4796">
        <v>0.99977459999999996</v>
      </c>
      <c r="Y4796">
        <v>5.8669119999999998E-2</v>
      </c>
      <c r="Z4796">
        <v>4.0686519999999998E-4</v>
      </c>
      <c r="AA4796">
        <v>0.99827739999999998</v>
      </c>
      <c r="AB4796">
        <v>21</v>
      </c>
      <c r="AC4796">
        <v>-108.3233</v>
      </c>
      <c r="AD4796">
        <v>-1.1094518749669999</v>
      </c>
      <c r="AE4796">
        <v>5.2387999999999897</v>
      </c>
      <c r="AF4796">
        <v>6.3743164990248697</v>
      </c>
      <c r="AG4796">
        <v>-1.1094518749669999</v>
      </c>
      <c r="AH4796">
        <v>108.251046447476</v>
      </c>
      <c r="AI4796">
        <v>90.586181640951096</v>
      </c>
      <c r="AJ4796">
        <v>86.630053947535501</v>
      </c>
      <c r="AK4796">
        <v>108.44423383133901</v>
      </c>
      <c r="AL4796">
        <v>89.0307784684192</v>
      </c>
      <c r="AM4796">
        <v>89.2647800909578</v>
      </c>
      <c r="AN4796">
        <v>0.99999999123024097</v>
      </c>
    </row>
    <row r="4797" spans="1:40" x14ac:dyDescent="0.25">
      <c r="A4797" t="str">
        <f>"20190312160429069"</f>
        <v>20190312160429069</v>
      </c>
      <c r="B4797" t="str">
        <f>"1552377869059961"</f>
        <v>1552377869059961</v>
      </c>
      <c r="C4797" t="s">
        <v>40</v>
      </c>
      <c r="D4797">
        <v>5.0670729999999997</v>
      </c>
      <c r="E4797">
        <v>0.51746519999999996</v>
      </c>
      <c r="F4797" t="s">
        <v>41</v>
      </c>
      <c r="G4797">
        <v>-342.96640000000002</v>
      </c>
      <c r="H4797" s="1">
        <v>-4.50403E-6</v>
      </c>
      <c r="I4797">
        <v>146.5926</v>
      </c>
      <c r="J4797">
        <v>-231.65620000000001</v>
      </c>
      <c r="K4797">
        <v>1.109442</v>
      </c>
      <c r="L4797">
        <v>141.08840000000001</v>
      </c>
      <c r="M4797">
        <v>-0.99989159999999999</v>
      </c>
      <c r="N4797">
        <v>0</v>
      </c>
      <c r="O4797">
        <v>-9.9333770000000002E-3</v>
      </c>
      <c r="P4797">
        <v>-0.99997440000000004</v>
      </c>
      <c r="Q4797">
        <v>6.4154310000000001E-3</v>
      </c>
      <c r="R4797">
        <v>3.219731E-3</v>
      </c>
      <c r="S4797">
        <v>-2.999908</v>
      </c>
      <c r="T4797">
        <v>-2.9844760000000001E-2</v>
      </c>
      <c r="U4797">
        <v>0.1480255</v>
      </c>
      <c r="V4797">
        <v>1.3168559999999999E-2</v>
      </c>
      <c r="W4797">
        <v>1.7281930000000001E-2</v>
      </c>
      <c r="X4797">
        <v>0.99976390000000004</v>
      </c>
      <c r="Y4797">
        <v>5.9199429999999997E-2</v>
      </c>
      <c r="Z4797">
        <v>3.930591E-4</v>
      </c>
      <c r="AA4797">
        <v>0.99824610000000003</v>
      </c>
      <c r="AB4797">
        <v>21</v>
      </c>
      <c r="AC4797">
        <v>-111.31019999999999</v>
      </c>
      <c r="AD4797">
        <v>-1.1094465040299999</v>
      </c>
      <c r="AE4797">
        <v>5.5041999999999902</v>
      </c>
      <c r="AF4797">
        <v>6.6090249249730002</v>
      </c>
      <c r="AG4797">
        <v>-1.1094465040299999</v>
      </c>
      <c r="AH4797">
        <v>111.239005092761</v>
      </c>
      <c r="AI4797">
        <v>90.570416919059895</v>
      </c>
      <c r="AJ4797">
        <v>86.599892071331595</v>
      </c>
      <c r="AK4797">
        <v>111.44068528159499</v>
      </c>
      <c r="AL4797">
        <v>89.009769019989307</v>
      </c>
      <c r="AM4797">
        <v>89.245362548920596</v>
      </c>
      <c r="AN4797">
        <v>0.99999996591010298</v>
      </c>
    </row>
    <row r="4798" spans="1:40" x14ac:dyDescent="0.25">
      <c r="A4798" t="str">
        <f>"20190312160429091"</f>
        <v>20190312160429091</v>
      </c>
      <c r="B4798" t="str">
        <f>"1552377869079481"</f>
        <v>1552377869079481</v>
      </c>
      <c r="C4798" t="s">
        <v>40</v>
      </c>
      <c r="D4798">
        <v>5.0142540000000002</v>
      </c>
      <c r="E4798">
        <v>0.51720699999999997</v>
      </c>
      <c r="F4798" t="s">
        <v>41</v>
      </c>
      <c r="G4798">
        <v>-349.4058</v>
      </c>
      <c r="H4798" s="1">
        <v>-2.199465E-6</v>
      </c>
      <c r="I4798">
        <v>146.99100000000001</v>
      </c>
      <c r="J4798">
        <v>-231.86070000000001</v>
      </c>
      <c r="K4798">
        <v>1.1094379999999999</v>
      </c>
      <c r="L4798">
        <v>141.08699999999999</v>
      </c>
      <c r="M4798">
        <v>-0.99989689999999998</v>
      </c>
      <c r="N4798">
        <v>0</v>
      </c>
      <c r="O4798">
        <v>-9.3838050000000003E-3</v>
      </c>
      <c r="P4798">
        <v>-0.99996960000000001</v>
      </c>
      <c r="Q4798">
        <v>6.6600269999999998E-3</v>
      </c>
      <c r="R4798">
        <v>4.0782309999999999E-3</v>
      </c>
      <c r="S4798">
        <v>-2.999771</v>
      </c>
      <c r="T4798">
        <v>-2.8264049999999999E-2</v>
      </c>
      <c r="U4798">
        <v>0.15037539999999999</v>
      </c>
      <c r="V4798">
        <v>1.3477599999999999E-2</v>
      </c>
      <c r="W4798">
        <v>1.7521740000000001E-2</v>
      </c>
      <c r="X4798">
        <v>0.99975559999999997</v>
      </c>
      <c r="Y4798">
        <v>5.9433420000000001E-2</v>
      </c>
      <c r="Z4798">
        <v>3.681779E-4</v>
      </c>
      <c r="AA4798">
        <v>0.99823220000000001</v>
      </c>
      <c r="AB4798">
        <v>21</v>
      </c>
      <c r="AC4798">
        <v>-117.54510000000001</v>
      </c>
      <c r="AD4798">
        <v>-1.1094401994649901</v>
      </c>
      <c r="AE4798">
        <v>5.9039999999999901</v>
      </c>
      <c r="AF4798">
        <v>7.0062029090345099</v>
      </c>
      <c r="AG4798">
        <v>-1.1094401994649901</v>
      </c>
      <c r="AH4798">
        <v>117.474080050778</v>
      </c>
      <c r="AI4798">
        <v>90.540132854080099</v>
      </c>
      <c r="AJ4798">
        <v>86.586898865993007</v>
      </c>
      <c r="AK4798">
        <v>117.688050457706</v>
      </c>
      <c r="AL4798">
        <v>88.996026830177001</v>
      </c>
      <c r="AM4798">
        <v>89.227648413254101</v>
      </c>
      <c r="AN4798">
        <v>0.99999995840287204</v>
      </c>
    </row>
    <row r="4799" spans="1:40" x14ac:dyDescent="0.25">
      <c r="A4799" t="str">
        <f>"20190312160429103"</f>
        <v>20190312160429103</v>
      </c>
      <c r="B4799" t="str">
        <f>"1552377869099977"</f>
        <v>1552377869099977</v>
      </c>
      <c r="C4799" t="s">
        <v>40</v>
      </c>
      <c r="D4799">
        <v>5.0303760000000004</v>
      </c>
      <c r="E4799">
        <v>0.51711830000000003</v>
      </c>
      <c r="F4799" t="s">
        <v>41</v>
      </c>
      <c r="G4799">
        <v>-355.8938</v>
      </c>
      <c r="H4799" s="1">
        <v>-3.6383060000000001E-6</v>
      </c>
      <c r="I4799">
        <v>147.32820000000001</v>
      </c>
      <c r="J4799">
        <v>-231.9922</v>
      </c>
      <c r="K4799">
        <v>1.1094389999999901</v>
      </c>
      <c r="L4799">
        <v>141.08619999999999</v>
      </c>
      <c r="M4799">
        <v>-0.99990020000000002</v>
      </c>
      <c r="N4799">
        <v>0</v>
      </c>
      <c r="O4799">
        <v>-9.0294050000000008E-3</v>
      </c>
      <c r="P4799">
        <v>-0.99996890000000005</v>
      </c>
      <c r="Q4799">
        <v>6.4669910000000001E-3</v>
      </c>
      <c r="R4799">
        <v>4.5191110000000001E-3</v>
      </c>
      <c r="S4799">
        <v>-2.9996489999999998</v>
      </c>
      <c r="T4799">
        <v>-2.6831029999999999E-2</v>
      </c>
      <c r="U4799">
        <v>0.15093989999999999</v>
      </c>
      <c r="V4799">
        <v>1.356386E-2</v>
      </c>
      <c r="W4799">
        <v>1.7326270000000001E-2</v>
      </c>
      <c r="X4799">
        <v>0.99975789999999998</v>
      </c>
      <c r="Y4799">
        <v>5.9269380000000003E-2</v>
      </c>
      <c r="Z4799">
        <v>3.4562260000000001E-4</v>
      </c>
      <c r="AA4799">
        <v>0.99824199999999996</v>
      </c>
      <c r="AB4799">
        <v>21</v>
      </c>
      <c r="AC4799">
        <v>-123.9016</v>
      </c>
      <c r="AD4799">
        <v>-1.1094426383060001</v>
      </c>
      <c r="AE4799">
        <v>6.2420000000000098</v>
      </c>
      <c r="AF4799">
        <v>7.3599806662456704</v>
      </c>
      <c r="AG4799">
        <v>-1.1094426383060001</v>
      </c>
      <c r="AH4799">
        <v>123.83028022459099</v>
      </c>
      <c r="AI4799">
        <v>90.512416727658803</v>
      </c>
      <c r="AJ4799">
        <v>86.598567718906494</v>
      </c>
      <c r="AK4799">
        <v>124.053772529803</v>
      </c>
      <c r="AL4799">
        <v>89.007228196588699</v>
      </c>
      <c r="AM4799">
        <v>89.222707563111101</v>
      </c>
      <c r="AN4799">
        <v>1.00000001827131</v>
      </c>
    </row>
    <row r="4800" spans="1:40" x14ac:dyDescent="0.25">
      <c r="A4800" t="str">
        <f>"20190312160429116"</f>
        <v>20190312160429116</v>
      </c>
      <c r="B4800" t="str">
        <f>"1552377869109738"</f>
        <v>1552377869109738</v>
      </c>
      <c r="C4800" t="s">
        <v>40</v>
      </c>
      <c r="D4800">
        <v>5.0478100000000001</v>
      </c>
      <c r="E4800">
        <v>0.51706030000000003</v>
      </c>
      <c r="F4800" t="s">
        <v>41</v>
      </c>
      <c r="G4800">
        <v>-350.00940000000003</v>
      </c>
      <c r="H4800" s="1">
        <v>-5.592177E-6</v>
      </c>
      <c r="I4800">
        <v>147.05420000000001</v>
      </c>
      <c r="J4800">
        <v>-232.11199999999999</v>
      </c>
      <c r="K4800">
        <v>1.10944</v>
      </c>
      <c r="L4800">
        <v>141.0855</v>
      </c>
      <c r="M4800">
        <v>-0.99990299999999999</v>
      </c>
      <c r="N4800">
        <v>0</v>
      </c>
      <c r="O4800">
        <v>-8.7072E-3</v>
      </c>
      <c r="P4800">
        <v>-0.99996700000000005</v>
      </c>
      <c r="Q4800">
        <v>6.5293969999999897E-3</v>
      </c>
      <c r="R4800">
        <v>4.8696099999999999E-3</v>
      </c>
      <c r="S4800">
        <v>-2.9995880000000001</v>
      </c>
      <c r="T4800">
        <v>-2.8198239999999999E-2</v>
      </c>
      <c r="U4800">
        <v>0.15168760000000001</v>
      </c>
      <c r="V4800">
        <v>1.3592160000000001E-2</v>
      </c>
      <c r="W4800">
        <v>1.7386820000000001E-2</v>
      </c>
      <c r="X4800">
        <v>0.99975650000000005</v>
      </c>
      <c r="Y4800">
        <v>5.9196640000000002E-2</v>
      </c>
      <c r="Z4800">
        <v>3.5986960000000001E-4</v>
      </c>
      <c r="AA4800">
        <v>0.99824630000000003</v>
      </c>
      <c r="AB4800">
        <v>21</v>
      </c>
      <c r="AC4800">
        <v>-117.8974</v>
      </c>
      <c r="AD4800">
        <v>-1.1094455921769999</v>
      </c>
      <c r="AE4800">
        <v>5.9687000000000099</v>
      </c>
      <c r="AF4800">
        <v>6.9944728143853299</v>
      </c>
      <c r="AG4800">
        <v>-1.1094455921769999</v>
      </c>
      <c r="AH4800">
        <v>117.830548855431</v>
      </c>
      <c r="AI4800">
        <v>90.538510460728304</v>
      </c>
      <c r="AJ4800">
        <v>86.602883871189903</v>
      </c>
      <c r="AK4800">
        <v>118.043177537058</v>
      </c>
      <c r="AL4800">
        <v>89.003758449933798</v>
      </c>
      <c r="AM4800">
        <v>89.221084908387297</v>
      </c>
      <c r="AN4800">
        <v>1.0000000538077101</v>
      </c>
    </row>
    <row r="4801" spans="1:40" x14ac:dyDescent="0.25">
      <c r="A4801" t="str">
        <f>"20190312160429130"</f>
        <v>20190312160429130</v>
      </c>
      <c r="B4801" t="str">
        <f>"1552377869119496"</f>
        <v>1552377869119496</v>
      </c>
      <c r="C4801" t="s">
        <v>40</v>
      </c>
      <c r="D4801">
        <v>5.0607089999999904</v>
      </c>
      <c r="E4801">
        <v>0.51702150000000002</v>
      </c>
      <c r="F4801" t="s">
        <v>41</v>
      </c>
      <c r="G4801">
        <v>-349.13920000000002</v>
      </c>
      <c r="H4801" s="1">
        <v>-2.3222310000000002E-6</v>
      </c>
      <c r="I4801">
        <v>147.02250000000001</v>
      </c>
      <c r="J4801">
        <v>-232.23849999999999</v>
      </c>
      <c r="K4801">
        <v>1.10944</v>
      </c>
      <c r="L4801">
        <v>141.0847</v>
      </c>
      <c r="M4801">
        <v>-0.99990599999999996</v>
      </c>
      <c r="N4801">
        <v>0</v>
      </c>
      <c r="O4801">
        <v>-8.3673559999999994E-3</v>
      </c>
      <c r="P4801">
        <v>-0.99996450000000003</v>
      </c>
      <c r="Q4801">
        <v>6.6362410000000002E-3</v>
      </c>
      <c r="R4801">
        <v>5.1953429999999998E-3</v>
      </c>
      <c r="S4801">
        <v>-2.9995419999999999</v>
      </c>
      <c r="T4801">
        <v>-2.8436300000000001E-2</v>
      </c>
      <c r="U4801">
        <v>0.1521759</v>
      </c>
      <c r="V4801">
        <v>1.357792E-2</v>
      </c>
      <c r="W4801">
        <v>1.749123E-2</v>
      </c>
      <c r="X4801">
        <v>0.99975480000000005</v>
      </c>
      <c r="Y4801">
        <v>5.902019E-2</v>
      </c>
      <c r="Z4801">
        <v>3.5885579999999999E-4</v>
      </c>
      <c r="AA4801">
        <v>0.9982567</v>
      </c>
      <c r="AB4801">
        <v>22</v>
      </c>
      <c r="AC4801">
        <v>-116.9007</v>
      </c>
      <c r="AD4801">
        <v>-1.1094423222309999</v>
      </c>
      <c r="AE4801">
        <v>5.93780000000001</v>
      </c>
      <c r="AF4801">
        <v>6.9151783500174897</v>
      </c>
      <c r="AG4801">
        <v>-1.1094423222309999</v>
      </c>
      <c r="AH4801">
        <v>116.836424307134</v>
      </c>
      <c r="AI4801">
        <v>90.543096172199995</v>
      </c>
      <c r="AJ4801">
        <v>86.612795592051</v>
      </c>
      <c r="AK4801">
        <v>117.046147304196</v>
      </c>
      <c r="AL4801">
        <v>88.997775215651501</v>
      </c>
      <c r="AM4801">
        <v>89.221899525417498</v>
      </c>
      <c r="AN4801">
        <v>0.99999998158073899</v>
      </c>
    </row>
    <row r="4802" spans="1:40" x14ac:dyDescent="0.25">
      <c r="A4802" t="str">
        <f>"20190312160429148"</f>
        <v>20190312160429148</v>
      </c>
      <c r="B4802" t="str">
        <f>"1552377869139993"</f>
        <v>1552377869139993</v>
      </c>
      <c r="C4802" t="s">
        <v>40</v>
      </c>
      <c r="D4802">
        <v>5.0159549999999999</v>
      </c>
      <c r="E4802">
        <v>0.51700109999999999</v>
      </c>
      <c r="F4802" t="s">
        <v>41</v>
      </c>
      <c r="G4802">
        <v>-350.11470000000003</v>
      </c>
      <c r="H4802" s="1">
        <v>-5.5633770000000004E-6</v>
      </c>
      <c r="I4802">
        <v>147.09379999999999</v>
      </c>
      <c r="J4802">
        <v>-232.4195</v>
      </c>
      <c r="K4802">
        <v>1.109442</v>
      </c>
      <c r="L4802">
        <v>141.0838</v>
      </c>
      <c r="M4802">
        <v>-0.99990990000000002</v>
      </c>
      <c r="N4802">
        <v>0</v>
      </c>
      <c r="O4802">
        <v>-7.8839959999999903E-3</v>
      </c>
      <c r="P4802">
        <v>-0.99996289999999999</v>
      </c>
      <c r="Q4802">
        <v>6.7635029999999997E-3</v>
      </c>
      <c r="R4802">
        <v>5.3518860000000001E-3</v>
      </c>
      <c r="S4802">
        <v>-2.9994960000000002</v>
      </c>
      <c r="T4802">
        <v>-2.8231139999999998E-2</v>
      </c>
      <c r="U4802">
        <v>0.1529083</v>
      </c>
      <c r="V4802">
        <v>1.3251199999999999E-2</v>
      </c>
      <c r="W4802">
        <v>1.761662E-2</v>
      </c>
      <c r="X4802">
        <v>0.99975700000000001</v>
      </c>
      <c r="Y4802">
        <v>5.8781609999999998E-2</v>
      </c>
      <c r="Z4802">
        <v>3.5060119999999999E-4</v>
      </c>
      <c r="AA4802">
        <v>0.99827080000000001</v>
      </c>
      <c r="AB4802">
        <v>22</v>
      </c>
      <c r="AC4802">
        <v>-117.6952</v>
      </c>
      <c r="AD4802">
        <v>-1.109447563377</v>
      </c>
      <c r="AE4802">
        <v>6.00999999999999</v>
      </c>
      <c r="AF4802">
        <v>6.9371616270830998</v>
      </c>
      <c r="AG4802">
        <v>-1.109447563377</v>
      </c>
      <c r="AH4802">
        <v>117.633730583683</v>
      </c>
      <c r="AI4802">
        <v>90.539424707408003</v>
      </c>
      <c r="AJ4802">
        <v>86.625030326476306</v>
      </c>
      <c r="AK4802">
        <v>117.843326736691</v>
      </c>
      <c r="AL4802">
        <v>88.99058980849</v>
      </c>
      <c r="AM4802">
        <v>89.240622093883402</v>
      </c>
      <c r="AN4802">
        <v>0.99999999932533201</v>
      </c>
    </row>
    <row r="4803" spans="1:40" x14ac:dyDescent="0.25">
      <c r="A4803" t="str">
        <f>"20190312160429170"</f>
        <v>20190312160429170</v>
      </c>
      <c r="B4803" t="str">
        <f>"1552377869159517"</f>
        <v>1552377869159517</v>
      </c>
      <c r="C4803" t="s">
        <v>40</v>
      </c>
      <c r="D4803">
        <v>5.0409709999999999</v>
      </c>
      <c r="E4803">
        <v>0.50006159999999999</v>
      </c>
      <c r="F4803" t="s">
        <v>41</v>
      </c>
      <c r="G4803">
        <v>-350.5521</v>
      </c>
      <c r="H4803" s="1">
        <v>-5.4182799999999997E-6</v>
      </c>
      <c r="I4803">
        <v>147.11490000000001</v>
      </c>
      <c r="J4803">
        <v>-232.62649999999999</v>
      </c>
      <c r="K4803">
        <v>1.1094440000000001</v>
      </c>
      <c r="L4803">
        <v>141.08279999999999</v>
      </c>
      <c r="M4803">
        <v>-0.99991419999999998</v>
      </c>
      <c r="N4803">
        <v>0</v>
      </c>
      <c r="O4803">
        <v>-7.3350709999999899E-3</v>
      </c>
      <c r="P4803">
        <v>-0.99996320000000005</v>
      </c>
      <c r="Q4803">
        <v>6.6912859999999899E-3</v>
      </c>
      <c r="R4803">
        <v>5.3831110000000003E-3</v>
      </c>
      <c r="S4803">
        <v>-2.9994809999999998</v>
      </c>
      <c r="T4803">
        <v>-2.816975E-2</v>
      </c>
      <c r="U4803">
        <v>0.1531372</v>
      </c>
      <c r="V4803">
        <v>1.2733410000000001E-2</v>
      </c>
      <c r="W4803">
        <v>1.7542240000000001E-2</v>
      </c>
      <c r="X4803">
        <v>0.99976500000000001</v>
      </c>
      <c r="Y4803">
        <v>5.8309859999999998E-2</v>
      </c>
      <c r="Z4803">
        <v>3.4247359999999997E-4</v>
      </c>
      <c r="AA4803">
        <v>0.99829849999999998</v>
      </c>
      <c r="AB4803">
        <v>22</v>
      </c>
      <c r="AC4803">
        <v>-117.9256</v>
      </c>
      <c r="AD4803">
        <v>-1.1094494182799901</v>
      </c>
      <c r="AE4803">
        <v>6.0321000000000096</v>
      </c>
      <c r="AF4803">
        <v>6.89637248796795</v>
      </c>
      <c r="AG4803">
        <v>-1.1094494182799901</v>
      </c>
      <c r="AH4803">
        <v>117.86777329788799</v>
      </c>
      <c r="AI4803">
        <v>90.538369164007605</v>
      </c>
      <c r="AJ4803">
        <v>86.651475993017598</v>
      </c>
      <c r="AK4803">
        <v>118.07456463483901</v>
      </c>
      <c r="AL4803">
        <v>88.994852090281995</v>
      </c>
      <c r="AM4803">
        <v>89.270297313555005</v>
      </c>
      <c r="AN4803">
        <v>0.99999996256972201</v>
      </c>
    </row>
    <row r="4804" spans="1:40" x14ac:dyDescent="0.25">
      <c r="A4804" t="str">
        <f>"20190312160429183"</f>
        <v>20190312160429183</v>
      </c>
      <c r="B4804" t="str">
        <f>"1552377869180009"</f>
        <v>1552377869180009</v>
      </c>
      <c r="C4804" t="s">
        <v>40</v>
      </c>
      <c r="D4804">
        <v>5.036403</v>
      </c>
      <c r="E4804">
        <v>0.5004866</v>
      </c>
      <c r="F4804" t="s">
        <v>45</v>
      </c>
      <c r="G4804">
        <v>0</v>
      </c>
      <c r="H4804">
        <v>0</v>
      </c>
      <c r="I4804">
        <v>0</v>
      </c>
      <c r="J4804">
        <v>-232.7638</v>
      </c>
      <c r="K4804">
        <v>1.109445</v>
      </c>
      <c r="L4804">
        <v>141.0822</v>
      </c>
      <c r="M4804">
        <v>-0.99991680000000005</v>
      </c>
      <c r="N4804">
        <v>0</v>
      </c>
      <c r="O4804">
        <v>-6.973885E-3</v>
      </c>
      <c r="P4804">
        <v>-0.99996289999999999</v>
      </c>
      <c r="Q4804">
        <v>6.6202930000000002E-3</v>
      </c>
      <c r="R4804">
        <v>5.5564339999999999E-3</v>
      </c>
      <c r="S4804">
        <v>-3.0000309999999999</v>
      </c>
      <c r="T4804">
        <v>1.3045070000000001E-3</v>
      </c>
      <c r="U4804">
        <v>1.7105099999999901E-2</v>
      </c>
      <c r="V4804">
        <v>1.2545529999999999E-2</v>
      </c>
      <c r="W4804">
        <v>1.747073E-2</v>
      </c>
      <c r="X4804">
        <v>0.99976869999999995</v>
      </c>
      <c r="Y4804">
        <v>1.267559E-2</v>
      </c>
      <c r="Z4804" s="1">
        <v>-5.7884649999999998E-6</v>
      </c>
      <c r="AA4804">
        <v>0.99991969999999997</v>
      </c>
      <c r="AB4804">
        <v>22</v>
      </c>
      <c r="AC4804">
        <v>-3.0000309999999999</v>
      </c>
      <c r="AD4804">
        <v>1.3045070000000001E-3</v>
      </c>
      <c r="AE4804">
        <v>1.7105099999999901E-2</v>
      </c>
      <c r="AF4804">
        <v>3.8027779960235701E-2</v>
      </c>
      <c r="AG4804">
        <v>1.3045070000000001E-3</v>
      </c>
      <c r="AH4804">
        <v>2.9998381739490898</v>
      </c>
      <c r="AI4804">
        <v>89.9750864107735</v>
      </c>
      <c r="AJ4804">
        <v>89.273722624109396</v>
      </c>
      <c r="AK4804">
        <v>3.0000794795587402</v>
      </c>
      <c r="AL4804">
        <v>88.998950012254298</v>
      </c>
      <c r="AM4804">
        <v>89.281065514617794</v>
      </c>
      <c r="AN4804">
        <v>1.0000000351147</v>
      </c>
    </row>
    <row r="4805" spans="1:40" x14ac:dyDescent="0.25">
      <c r="A4805" t="str">
        <f>"20190312160429204"</f>
        <v>20190312160429204</v>
      </c>
      <c r="B4805" t="str">
        <f>"1552377869199529"</f>
        <v>1552377869199529</v>
      </c>
      <c r="C4805" t="s">
        <v>40</v>
      </c>
      <c r="D4805">
        <v>5.027971</v>
      </c>
      <c r="E4805">
        <v>0.50098819999999999</v>
      </c>
      <c r="F4805" t="s">
        <v>45</v>
      </c>
      <c r="G4805">
        <v>0</v>
      </c>
      <c r="H4805">
        <v>0</v>
      </c>
      <c r="I4805">
        <v>0</v>
      </c>
      <c r="J4805">
        <v>-232.9562</v>
      </c>
      <c r="K4805">
        <v>1.1094459999999999</v>
      </c>
      <c r="L4805">
        <v>141.0814</v>
      </c>
      <c r="M4805">
        <v>-0.99992020000000004</v>
      </c>
      <c r="N4805">
        <v>0</v>
      </c>
      <c r="O4805">
        <v>-6.4694160000000004E-3</v>
      </c>
      <c r="P4805">
        <v>-0.99996240000000003</v>
      </c>
      <c r="Q4805">
        <v>6.6451690000000002E-3</v>
      </c>
      <c r="R4805">
        <v>5.5867349999999998E-3</v>
      </c>
      <c r="S4805">
        <v>-3.0000309999999999</v>
      </c>
      <c r="T4805">
        <v>-3.7995580000000002E-3</v>
      </c>
      <c r="U4805">
        <v>2.131653E-2</v>
      </c>
      <c r="V4805">
        <v>1.207131E-2</v>
      </c>
      <c r="W4805">
        <v>1.749409E-2</v>
      </c>
      <c r="X4805">
        <v>0.9997741</v>
      </c>
      <c r="Y4805">
        <v>1.357473E-2</v>
      </c>
      <c r="Z4805" s="1">
        <v>1.6790060000000001E-5</v>
      </c>
      <c r="AA4805">
        <v>0.99990789999999996</v>
      </c>
      <c r="AB4805">
        <v>22</v>
      </c>
      <c r="AC4805">
        <v>-3.0000309999999999</v>
      </c>
      <c r="AD4805">
        <v>-3.7995580000000002E-3</v>
      </c>
      <c r="AE4805">
        <v>2.131653E-2</v>
      </c>
      <c r="AF4805">
        <v>4.0725609767615703E-2</v>
      </c>
      <c r="AG4805">
        <v>-3.7995580000000002E-3</v>
      </c>
      <c r="AH4805">
        <v>2.9998254860756099</v>
      </c>
      <c r="AI4805">
        <v>90.072563708475897</v>
      </c>
      <c r="AJ4805">
        <v>89.222200681445997</v>
      </c>
      <c r="AK4805">
        <v>3.0001043246595098</v>
      </c>
      <c r="AL4805">
        <v>88.997611348491304</v>
      </c>
      <c r="AM4805">
        <v>89.308242222189307</v>
      </c>
      <c r="AN4805">
        <v>1.0000000053704201</v>
      </c>
    </row>
    <row r="4806" spans="1:40" x14ac:dyDescent="0.25">
      <c r="A4806" t="str">
        <f>"20190312160429227"</f>
        <v>20190312160429227</v>
      </c>
      <c r="B4806" t="str">
        <f>"1552377869220025"</f>
        <v>1552377869220025</v>
      </c>
      <c r="C4806" t="s">
        <v>40</v>
      </c>
      <c r="D4806">
        <v>5.0188839999999999</v>
      </c>
      <c r="E4806">
        <v>0.50140039999999997</v>
      </c>
      <c r="F4806" t="s">
        <v>45</v>
      </c>
      <c r="G4806">
        <v>0</v>
      </c>
      <c r="H4806">
        <v>0</v>
      </c>
      <c r="I4806">
        <v>0</v>
      </c>
      <c r="J4806">
        <v>-233.1765</v>
      </c>
      <c r="K4806">
        <v>1.10945</v>
      </c>
      <c r="L4806">
        <v>141.08070000000001</v>
      </c>
      <c r="M4806">
        <v>-0.99992380000000003</v>
      </c>
      <c r="N4806">
        <v>0</v>
      </c>
      <c r="O4806">
        <v>-5.8931819999999899E-3</v>
      </c>
      <c r="P4806">
        <v>-0.99995919999999905</v>
      </c>
      <c r="Q4806">
        <v>6.3305389999999996E-3</v>
      </c>
      <c r="R4806">
        <v>6.4760260000000002E-3</v>
      </c>
      <c r="S4806">
        <v>-3.0000149999999999</v>
      </c>
      <c r="T4806">
        <v>-6.4482690000000004E-3</v>
      </c>
      <c r="U4806">
        <v>2.5375370000000001E-2</v>
      </c>
      <c r="V4806">
        <v>1.238381E-2</v>
      </c>
      <c r="W4806">
        <v>1.7177520000000002E-2</v>
      </c>
      <c r="X4806">
        <v>0.99977579999999999</v>
      </c>
      <c r="Y4806">
        <v>1.4351239999999999E-2</v>
      </c>
      <c r="Z4806" s="1">
        <v>2.809048E-5</v>
      </c>
      <c r="AA4806">
        <v>0.99989700000000004</v>
      </c>
      <c r="AB4806">
        <v>22</v>
      </c>
      <c r="AC4806">
        <v>-3.0000149999999999</v>
      </c>
      <c r="AD4806">
        <v>-6.4482690000000004E-3</v>
      </c>
      <c r="AE4806">
        <v>2.5375370000000001E-2</v>
      </c>
      <c r="AF4806">
        <v>4.30554050286691E-2</v>
      </c>
      <c r="AG4806">
        <v>-6.4482690000000004E-3</v>
      </c>
      <c r="AH4806">
        <v>2.9997994902918901</v>
      </c>
      <c r="AI4806">
        <v>90.123148224577406</v>
      </c>
      <c r="AJ4806">
        <v>89.177703834029302</v>
      </c>
      <c r="AK4806">
        <v>3.0001153861194698</v>
      </c>
      <c r="AL4806">
        <v>89.015752231752899</v>
      </c>
      <c r="AM4806">
        <v>89.290337130613693</v>
      </c>
      <c r="AN4806">
        <v>1.00000003810455</v>
      </c>
    </row>
    <row r="4807" spans="1:40" x14ac:dyDescent="0.25">
      <c r="A4807" t="str">
        <f>"20190312160429249"</f>
        <v>20190312160429249</v>
      </c>
      <c r="B4807" t="str">
        <f>"1552377869239545"</f>
        <v>1552377869239545</v>
      </c>
      <c r="C4807" t="s">
        <v>40</v>
      </c>
      <c r="D4807">
        <v>5.0188050000000004</v>
      </c>
      <c r="E4807">
        <v>0.50161869999999997</v>
      </c>
      <c r="F4807" t="s">
        <v>45</v>
      </c>
      <c r="G4807">
        <v>0</v>
      </c>
      <c r="H4807">
        <v>0</v>
      </c>
      <c r="I4807">
        <v>0</v>
      </c>
      <c r="J4807">
        <v>-233.38640000000001</v>
      </c>
      <c r="K4807">
        <v>1.109453</v>
      </c>
      <c r="L4807">
        <v>141.08009999999999</v>
      </c>
      <c r="M4807">
        <v>-0.99992669999999995</v>
      </c>
      <c r="N4807">
        <v>0</v>
      </c>
      <c r="O4807">
        <v>-5.3453149999999998E-3</v>
      </c>
      <c r="P4807">
        <v>-0.99994899999999998</v>
      </c>
      <c r="Q4807">
        <v>6.4382010000000002E-3</v>
      </c>
      <c r="R4807">
        <v>7.7972299999999996E-3</v>
      </c>
      <c r="S4807">
        <v>-3</v>
      </c>
      <c r="T4807">
        <v>-9.3604329999999996E-3</v>
      </c>
      <c r="U4807">
        <v>3.1387329999999998E-2</v>
      </c>
      <c r="V4807">
        <v>1.315729E-2</v>
      </c>
      <c r="W4807">
        <v>1.728288E-2</v>
      </c>
      <c r="X4807">
        <v>0.99976410000000004</v>
      </c>
      <c r="Y4807">
        <v>1.5806959999999998E-2</v>
      </c>
      <c r="Z4807" s="1">
        <v>4.1337970000000001E-5</v>
      </c>
      <c r="AA4807">
        <v>0.99987510000000002</v>
      </c>
      <c r="AB4807">
        <v>22</v>
      </c>
      <c r="AC4807">
        <v>-3</v>
      </c>
      <c r="AD4807">
        <v>-9.3604329999999996E-3</v>
      </c>
      <c r="AE4807">
        <v>3.1387329999999998E-2</v>
      </c>
      <c r="AF4807">
        <v>4.74233112914536E-2</v>
      </c>
      <c r="AG4807">
        <v>-9.3604329999999996E-3</v>
      </c>
      <c r="AH4807">
        <v>2.9997601506082798</v>
      </c>
      <c r="AI4807">
        <v>90.178762478245503</v>
      </c>
      <c r="AJ4807">
        <v>89.094284501810804</v>
      </c>
      <c r="AK4807">
        <v>3.0001495878267801</v>
      </c>
      <c r="AL4807">
        <v>89.009714648237093</v>
      </c>
      <c r="AM4807">
        <v>89.246008463723896</v>
      </c>
      <c r="AN4807">
        <v>1.0000000339350199</v>
      </c>
    </row>
    <row r="4808" spans="1:40" x14ac:dyDescent="0.25">
      <c r="A4808" t="str">
        <f>"20190312160429269"</f>
        <v>20190312160429269</v>
      </c>
      <c r="B4808" t="str">
        <f>"1552377869260041"</f>
        <v>1552377869260041</v>
      </c>
      <c r="C4808" t="s">
        <v>40</v>
      </c>
      <c r="D4808">
        <v>4.9852429999999996</v>
      </c>
      <c r="E4808">
        <v>0.50181409999999904</v>
      </c>
      <c r="F4808" t="s">
        <v>45</v>
      </c>
      <c r="G4808">
        <v>0</v>
      </c>
      <c r="H4808">
        <v>0</v>
      </c>
      <c r="I4808">
        <v>0</v>
      </c>
      <c r="J4808">
        <v>-233.5934</v>
      </c>
      <c r="K4808">
        <v>1.1094520000000001</v>
      </c>
      <c r="L4808">
        <v>141.0796</v>
      </c>
      <c r="M4808">
        <v>-0.99992939999999997</v>
      </c>
      <c r="N4808">
        <v>0</v>
      </c>
      <c r="O4808">
        <v>-4.804839E-3</v>
      </c>
      <c r="P4808">
        <v>-0.99993989999999999</v>
      </c>
      <c r="Q4808">
        <v>6.2744530000000001E-3</v>
      </c>
      <c r="R4808">
        <v>8.9865129999999998E-3</v>
      </c>
      <c r="S4808">
        <v>-2.999924</v>
      </c>
      <c r="T4808">
        <v>-1.010847E-2</v>
      </c>
      <c r="U4808">
        <v>3.7216190000000003E-2</v>
      </c>
      <c r="V4808">
        <v>1.38058E-2</v>
      </c>
      <c r="W4808">
        <v>1.7117919999999998E-2</v>
      </c>
      <c r="X4808">
        <v>0.99975820000000004</v>
      </c>
      <c r="Y4808">
        <v>1.7209240000000001E-2</v>
      </c>
      <c r="Z4808" s="1">
        <v>4.5183370000000003E-5</v>
      </c>
      <c r="AA4808">
        <v>0.99985190000000002</v>
      </c>
      <c r="AB4808">
        <v>22</v>
      </c>
      <c r="AC4808">
        <v>-2.999924</v>
      </c>
      <c r="AD4808">
        <v>-1.010847E-2</v>
      </c>
      <c r="AE4808">
        <v>3.7216190000000003E-2</v>
      </c>
      <c r="AF4808">
        <v>5.1630177355449398E-2</v>
      </c>
      <c r="AG4808">
        <v>-1.010847E-2</v>
      </c>
      <c r="AH4808">
        <v>2.9996764853078401</v>
      </c>
      <c r="AI4808">
        <v>90.193049053427202</v>
      </c>
      <c r="AJ4808">
        <v>89.013927267500904</v>
      </c>
      <c r="AK4808">
        <v>3.0001378089828301</v>
      </c>
      <c r="AL4808">
        <v>89.019167564973799</v>
      </c>
      <c r="AM4808">
        <v>89.208844900246305</v>
      </c>
      <c r="AN4808">
        <v>1.0000000408830001</v>
      </c>
    </row>
    <row r="4809" spans="1:40" x14ac:dyDescent="0.25">
      <c r="A4809" t="str">
        <f>"20190312160429292"</f>
        <v>20190312160429292</v>
      </c>
      <c r="B4809" t="str">
        <f>"1552377869279561"</f>
        <v>1552377869279561</v>
      </c>
      <c r="C4809" t="s">
        <v>40</v>
      </c>
      <c r="D4809">
        <v>4.9813470000000004</v>
      </c>
      <c r="E4809">
        <v>0.50189159999999999</v>
      </c>
      <c r="F4809" t="s">
        <v>45</v>
      </c>
      <c r="G4809">
        <v>0</v>
      </c>
      <c r="H4809">
        <v>0</v>
      </c>
      <c r="I4809">
        <v>0</v>
      </c>
      <c r="J4809">
        <v>-233.81030000000001</v>
      </c>
      <c r="K4809">
        <v>1.1094520000000001</v>
      </c>
      <c r="L4809">
        <v>141.07929999999999</v>
      </c>
      <c r="M4809">
        <v>-0.99993220000000005</v>
      </c>
      <c r="N4809">
        <v>0</v>
      </c>
      <c r="O4809">
        <v>-4.238136E-3</v>
      </c>
      <c r="P4809">
        <v>-0.99992539999999996</v>
      </c>
      <c r="Q4809">
        <v>6.2504989999999996E-3</v>
      </c>
      <c r="R4809">
        <v>1.0497380000000001E-2</v>
      </c>
      <c r="S4809">
        <v>-2.9998629999999999</v>
      </c>
      <c r="T4809">
        <v>-1.043093E-2</v>
      </c>
      <c r="U4809">
        <v>4.2312620000000002E-2</v>
      </c>
      <c r="V4809">
        <v>1.4749719999999999E-2</v>
      </c>
      <c r="W4809">
        <v>1.7092650000000001E-2</v>
      </c>
      <c r="X4809">
        <v>0.99974510000000005</v>
      </c>
      <c r="Y4809">
        <v>1.8341150000000001E-2</v>
      </c>
      <c r="Z4809" s="1">
        <v>4.6622419999999997E-5</v>
      </c>
      <c r="AA4809">
        <v>0.99983180000000005</v>
      </c>
      <c r="AB4809">
        <v>22</v>
      </c>
      <c r="AC4809">
        <v>-2.9998629999999999</v>
      </c>
      <c r="AD4809">
        <v>-1.043093E-2</v>
      </c>
      <c r="AE4809">
        <v>4.2312620000000002E-2</v>
      </c>
      <c r="AF4809">
        <v>5.50261500165386E-2</v>
      </c>
      <c r="AG4809">
        <v>-1.043093E-2</v>
      </c>
      <c r="AH4809">
        <v>2.9996204584478501</v>
      </c>
      <c r="AI4809">
        <v>90.199206977079001</v>
      </c>
      <c r="AJ4809">
        <v>88.949062849171995</v>
      </c>
      <c r="AK4809">
        <v>3.0001432592836599</v>
      </c>
      <c r="AL4809">
        <v>89.020615590257094</v>
      </c>
      <c r="AM4809">
        <v>89.154749148597105</v>
      </c>
      <c r="AN4809">
        <v>0.99999998894905495</v>
      </c>
    </row>
    <row r="4810" spans="1:40" x14ac:dyDescent="0.25">
      <c r="A4810" t="str">
        <f>"20190312160429304"</f>
        <v>20190312160429304</v>
      </c>
      <c r="B4810" t="str">
        <f>"1552377869300057"</f>
        <v>1552377869300057</v>
      </c>
      <c r="C4810" t="s">
        <v>40</v>
      </c>
      <c r="D4810">
        <v>4.8912110000000002</v>
      </c>
      <c r="E4810">
        <v>0.50195149999999999</v>
      </c>
      <c r="F4810" t="s">
        <v>45</v>
      </c>
      <c r="G4810">
        <v>0</v>
      </c>
      <c r="H4810">
        <v>0</v>
      </c>
      <c r="I4810">
        <v>0</v>
      </c>
      <c r="J4810">
        <v>-233.9341</v>
      </c>
      <c r="K4810">
        <v>1.109451</v>
      </c>
      <c r="L4810">
        <v>141.07910000000001</v>
      </c>
      <c r="M4810">
        <v>-0.99993350000000003</v>
      </c>
      <c r="N4810">
        <v>0</v>
      </c>
      <c r="O4810">
        <v>-3.9144899999999996E-3</v>
      </c>
      <c r="P4810">
        <v>-0.99992000000000003</v>
      </c>
      <c r="Q4810">
        <v>6.5858119999999999E-3</v>
      </c>
      <c r="R4810">
        <v>1.083073E-2</v>
      </c>
      <c r="S4810">
        <v>-2.9998019999999999</v>
      </c>
      <c r="T4810">
        <v>-9.1052059999999994E-3</v>
      </c>
      <c r="U4810">
        <v>4.7454830000000003E-2</v>
      </c>
      <c r="V4810">
        <v>1.4759909999999999E-2</v>
      </c>
      <c r="W4810">
        <v>1.7427339999999999E-2</v>
      </c>
      <c r="X4810">
        <v>0.99973920000000005</v>
      </c>
      <c r="Y4810">
        <v>1.973134E-2</v>
      </c>
      <c r="Z4810" s="1">
        <v>4.1824569999999997E-5</v>
      </c>
      <c r="AA4810">
        <v>0.99980530000000001</v>
      </c>
      <c r="AB4810">
        <v>22</v>
      </c>
      <c r="AC4810">
        <v>-2.9998019999999999</v>
      </c>
      <c r="AD4810">
        <v>-9.1052059999999994E-3</v>
      </c>
      <c r="AE4810">
        <v>4.7454830000000003E-2</v>
      </c>
      <c r="AF4810">
        <v>5.9197307022395201E-2</v>
      </c>
      <c r="AG4810">
        <v>-9.1052059999999994E-3</v>
      </c>
      <c r="AH4810">
        <v>2.9995656138303999</v>
      </c>
      <c r="AI4810">
        <v>90.173887414534505</v>
      </c>
      <c r="AJ4810">
        <v>88.869397756871706</v>
      </c>
      <c r="AK4810">
        <v>3.0001635118121102</v>
      </c>
      <c r="AL4810">
        <v>89.001436437069501</v>
      </c>
      <c r="AM4810">
        <v>89.154160291917705</v>
      </c>
      <c r="AN4810">
        <v>1.0000000175696599</v>
      </c>
    </row>
    <row r="4811" spans="1:40" x14ac:dyDescent="0.25">
      <c r="A4811" t="str">
        <f>"20190312160429327"</f>
        <v>20190312160429327</v>
      </c>
      <c r="B4811" t="str">
        <f>"1552377869319577"</f>
        <v>1552377869319577</v>
      </c>
      <c r="C4811" t="s">
        <v>40</v>
      </c>
      <c r="D4811">
        <v>4.9523640000000002</v>
      </c>
      <c r="E4811">
        <v>0.50074969999999996</v>
      </c>
      <c r="F4811" t="s">
        <v>45</v>
      </c>
      <c r="G4811">
        <v>0</v>
      </c>
      <c r="H4811">
        <v>0</v>
      </c>
      <c r="I4811">
        <v>0</v>
      </c>
      <c r="J4811">
        <v>-234.14699999999999</v>
      </c>
      <c r="K4811">
        <v>1.1094469999999901</v>
      </c>
      <c r="L4811">
        <v>141.0789</v>
      </c>
      <c r="M4811">
        <v>-0.99993560000000004</v>
      </c>
      <c r="N4811">
        <v>0</v>
      </c>
      <c r="O4811">
        <v>-3.35696E-3</v>
      </c>
      <c r="P4811">
        <v>-0.99990919999999905</v>
      </c>
      <c r="Q4811">
        <v>6.7257019999999897E-3</v>
      </c>
      <c r="R4811">
        <v>1.1688469999999999E-2</v>
      </c>
      <c r="S4811">
        <v>-2.9997560000000001</v>
      </c>
      <c r="T4811">
        <v>-7.6861380000000003E-3</v>
      </c>
      <c r="U4811">
        <v>4.891968E-2</v>
      </c>
      <c r="V4811">
        <v>1.50601E-2</v>
      </c>
      <c r="W4811">
        <v>1.7566559999999998E-2</v>
      </c>
      <c r="X4811">
        <v>0.99973230000000002</v>
      </c>
      <c r="Y4811">
        <v>1.9662260000000001E-2</v>
      </c>
      <c r="Z4811" s="1">
        <v>3.3789499999999999E-5</v>
      </c>
      <c r="AA4811">
        <v>0.99980670000000005</v>
      </c>
      <c r="AB4811">
        <v>22</v>
      </c>
      <c r="AC4811">
        <v>-2.9997560000000001</v>
      </c>
      <c r="AD4811">
        <v>-7.6861380000000003E-3</v>
      </c>
      <c r="AE4811">
        <v>4.891968E-2</v>
      </c>
      <c r="AF4811">
        <v>5.8989669855850198E-2</v>
      </c>
      <c r="AG4811">
        <v>-7.6861380000000003E-3</v>
      </c>
      <c r="AH4811">
        <v>2.9995551772231299</v>
      </c>
      <c r="AI4811">
        <v>90.146787487770297</v>
      </c>
      <c r="AJ4811">
        <v>88.8733584511928</v>
      </c>
      <c r="AK4811">
        <v>3.0001450163405701</v>
      </c>
      <c r="AL4811">
        <v>88.993458511163098</v>
      </c>
      <c r="AM4811">
        <v>89.136954055253696</v>
      </c>
      <c r="AN4811">
        <v>1.0000000311527599</v>
      </c>
    </row>
    <row r="4812" spans="1:40" x14ac:dyDescent="0.25">
      <c r="A4812" t="str">
        <f>"20190312160429340"</f>
        <v>20190312160429340</v>
      </c>
      <c r="B4812" t="str">
        <f>"1552377869329337"</f>
        <v>1552377869329337</v>
      </c>
      <c r="C4812" t="s">
        <v>40</v>
      </c>
      <c r="D4812">
        <v>4.931101</v>
      </c>
      <c r="E4812">
        <v>0.50095339999999999</v>
      </c>
      <c r="F4812" t="s">
        <v>45</v>
      </c>
      <c r="G4812">
        <v>0</v>
      </c>
      <c r="H4812">
        <v>0</v>
      </c>
      <c r="I4812">
        <v>0</v>
      </c>
      <c r="J4812">
        <v>-234.2705</v>
      </c>
      <c r="K4812">
        <v>1.1094459999999999</v>
      </c>
      <c r="L4812">
        <v>141.0789</v>
      </c>
      <c r="M4812">
        <v>-0.99993650000000001</v>
      </c>
      <c r="N4812">
        <v>0</v>
      </c>
      <c r="O4812">
        <v>-3.033418E-3</v>
      </c>
      <c r="P4812">
        <v>-0.99990310000000004</v>
      </c>
      <c r="Q4812">
        <v>6.9530570000000003E-3</v>
      </c>
      <c r="R4812">
        <v>1.2058350000000001E-2</v>
      </c>
      <c r="S4812">
        <v>-2.9996339999999999</v>
      </c>
      <c r="T4812">
        <v>2.3668769999999999E-2</v>
      </c>
      <c r="U4812">
        <v>4.1000370000000001E-2</v>
      </c>
      <c r="V4812">
        <v>1.5106639999999999E-2</v>
      </c>
      <c r="W4812">
        <v>1.779064E-2</v>
      </c>
      <c r="X4812">
        <v>0.99972760000000005</v>
      </c>
      <c r="Y4812">
        <v>1.6699820000000001E-2</v>
      </c>
      <c r="Z4812" s="1">
        <v>-8.9816659999999906E-5</v>
      </c>
      <c r="AA4812">
        <v>0.99986050000000004</v>
      </c>
      <c r="AB4812">
        <v>22</v>
      </c>
      <c r="AC4812">
        <v>-2.9996339999999999</v>
      </c>
      <c r="AD4812">
        <v>2.3668769999999999E-2</v>
      </c>
      <c r="AE4812">
        <v>4.1000370000000001E-2</v>
      </c>
      <c r="AF4812">
        <v>5.0096742590815098E-2</v>
      </c>
      <c r="AG4812">
        <v>2.3668769999999999E-2</v>
      </c>
      <c r="AH4812">
        <v>2.9993091144362798</v>
      </c>
      <c r="AI4812">
        <v>89.547928102549804</v>
      </c>
      <c r="AJ4812">
        <v>89.043091282318997</v>
      </c>
      <c r="AK4812">
        <v>2.99982083768883</v>
      </c>
      <c r="AL4812">
        <v>88.980617630494393</v>
      </c>
      <c r="AM4812">
        <v>89.134283333321704</v>
      </c>
      <c r="AN4812">
        <v>0.99999999582272903</v>
      </c>
    </row>
    <row r="4813" spans="1:40" x14ac:dyDescent="0.25">
      <c r="A4813" t="str">
        <f>"20190312160429359"</f>
        <v>20190312160429359</v>
      </c>
      <c r="B4813" t="str">
        <f>"1552377869349833"</f>
        <v>1552377869349833</v>
      </c>
      <c r="C4813" t="s">
        <v>40</v>
      </c>
      <c r="D4813">
        <v>4.9229450000000003</v>
      </c>
      <c r="E4813">
        <v>0.50092329999999996</v>
      </c>
      <c r="F4813" t="s">
        <v>45</v>
      </c>
      <c r="G4813">
        <v>0</v>
      </c>
      <c r="H4813">
        <v>0</v>
      </c>
      <c r="I4813">
        <v>0</v>
      </c>
      <c r="J4813">
        <v>-234.46420000000001</v>
      </c>
      <c r="K4813">
        <v>1.109437</v>
      </c>
      <c r="L4813">
        <v>141.0789</v>
      </c>
      <c r="M4813">
        <v>-0.99993810000000005</v>
      </c>
      <c r="N4813">
        <v>0</v>
      </c>
      <c r="O4813">
        <v>-2.5257970000000002E-3</v>
      </c>
      <c r="P4813">
        <v>-0.99989550000000005</v>
      </c>
      <c r="Q4813">
        <v>7.1973389999999996E-3</v>
      </c>
      <c r="R4813">
        <v>1.2554539999999999E-2</v>
      </c>
      <c r="S4813">
        <v>-2.9995729999999998</v>
      </c>
      <c r="T4813">
        <v>2.512789E-2</v>
      </c>
      <c r="U4813">
        <v>4.3670649999999998E-2</v>
      </c>
      <c r="V4813">
        <v>1.509565E-2</v>
      </c>
      <c r="W4813">
        <v>1.8027580000000001E-2</v>
      </c>
      <c r="X4813">
        <v>0.99972360000000005</v>
      </c>
      <c r="Y4813">
        <v>1.7082360000000001E-2</v>
      </c>
      <c r="Z4813" s="1">
        <v>-9.2704569999999998E-5</v>
      </c>
      <c r="AA4813">
        <v>0.99985409999999997</v>
      </c>
      <c r="AB4813">
        <v>22</v>
      </c>
      <c r="AC4813">
        <v>-2.9995729999999998</v>
      </c>
      <c r="AD4813">
        <v>2.512789E-2</v>
      </c>
      <c r="AE4813">
        <v>4.3670649999999998E-2</v>
      </c>
      <c r="AF4813">
        <v>5.1243672645975E-2</v>
      </c>
      <c r="AG4813">
        <v>2.512789E-2</v>
      </c>
      <c r="AH4813">
        <v>2.99924268861206</v>
      </c>
      <c r="AI4813">
        <v>89.520052749218195</v>
      </c>
      <c r="AJ4813">
        <v>89.021166063687701</v>
      </c>
      <c r="AK4813">
        <v>2.99978566401585</v>
      </c>
      <c r="AL4813">
        <v>88.967039871898294</v>
      </c>
      <c r="AM4813">
        <v>89.1349095810519</v>
      </c>
      <c r="AN4813">
        <v>1.00000007434326</v>
      </c>
    </row>
    <row r="4814" spans="1:40" x14ac:dyDescent="0.25">
      <c r="A4814" t="str">
        <f>"20190312160429372"</f>
        <v>20190312160429372</v>
      </c>
      <c r="B4814" t="str">
        <f>"1552377869359593"</f>
        <v>1552377869359593</v>
      </c>
      <c r="C4814" t="s">
        <v>40</v>
      </c>
      <c r="D4814">
        <v>4.9074479999999996</v>
      </c>
      <c r="E4814">
        <v>0.50081920000000002</v>
      </c>
      <c r="F4814" t="s">
        <v>45</v>
      </c>
      <c r="G4814">
        <v>0</v>
      </c>
      <c r="H4814">
        <v>0</v>
      </c>
      <c r="I4814">
        <v>0</v>
      </c>
      <c r="J4814">
        <v>-234.58459999999999</v>
      </c>
      <c r="K4814">
        <v>1.109437</v>
      </c>
      <c r="L4814">
        <v>141.0789</v>
      </c>
      <c r="M4814">
        <v>-0.99993880000000002</v>
      </c>
      <c r="N4814">
        <v>0</v>
      </c>
      <c r="O4814">
        <v>-2.210465E-3</v>
      </c>
      <c r="P4814">
        <v>-0.99989410000000001</v>
      </c>
      <c r="Q4814">
        <v>7.1861729999999997E-3</v>
      </c>
      <c r="R4814">
        <v>1.265411E-2</v>
      </c>
      <c r="S4814">
        <v>-2.9995419999999999</v>
      </c>
      <c r="T4814">
        <v>2.871025E-2</v>
      </c>
      <c r="U4814">
        <v>4.4860839999999999E-2</v>
      </c>
      <c r="V4814">
        <v>1.487963E-2</v>
      </c>
      <c r="W4814">
        <v>1.8010419999999999E-2</v>
      </c>
      <c r="X4814">
        <v>0.99972709999999998</v>
      </c>
      <c r="Y4814">
        <v>1.7163649999999999E-2</v>
      </c>
      <c r="Z4814">
        <v>-1.03292E-4</v>
      </c>
      <c r="AA4814">
        <v>0.99985270000000004</v>
      </c>
      <c r="AB4814">
        <v>22</v>
      </c>
      <c r="AC4814">
        <v>-2.9995419999999999</v>
      </c>
      <c r="AD4814">
        <v>2.871025E-2</v>
      </c>
      <c r="AE4814">
        <v>4.4860839999999999E-2</v>
      </c>
      <c r="AF4814">
        <v>5.1486786718670997E-2</v>
      </c>
      <c r="AG4814">
        <v>2.871025E-2</v>
      </c>
      <c r="AH4814">
        <v>2.99916079680332</v>
      </c>
      <c r="AI4814">
        <v>89.451618735201293</v>
      </c>
      <c r="AJ4814">
        <v>89.016496267841106</v>
      </c>
      <c r="AK4814">
        <v>2.99974009753238</v>
      </c>
      <c r="AL4814">
        <v>88.968023177723595</v>
      </c>
      <c r="AM4814">
        <v>89.147290240194195</v>
      </c>
      <c r="AN4814">
        <v>1.0000000265459601</v>
      </c>
    </row>
    <row r="4815" spans="1:40" x14ac:dyDescent="0.25">
      <c r="A4815" t="str">
        <f>"20190312160429384"</f>
        <v>20190312160429384</v>
      </c>
      <c r="B4815" t="str">
        <f>"1552377869380090"</f>
        <v>1552377869380090</v>
      </c>
      <c r="C4815" t="s">
        <v>40</v>
      </c>
      <c r="D4815">
        <v>4.9125509999999997</v>
      </c>
      <c r="E4815">
        <v>0.50077970000000005</v>
      </c>
      <c r="F4815" t="s">
        <v>45</v>
      </c>
      <c r="G4815">
        <v>0</v>
      </c>
      <c r="H4815">
        <v>0</v>
      </c>
      <c r="I4815">
        <v>0</v>
      </c>
      <c r="J4815">
        <v>-234.71170000000001</v>
      </c>
      <c r="K4815">
        <v>1.10944</v>
      </c>
      <c r="L4815">
        <v>141.07900000000001</v>
      </c>
      <c r="M4815">
        <v>-0.99993960000000004</v>
      </c>
      <c r="N4815">
        <v>0</v>
      </c>
      <c r="O4815">
        <v>-1.877129E-3</v>
      </c>
      <c r="P4815">
        <v>-0.99989079999999997</v>
      </c>
      <c r="Q4815">
        <v>7.5709439999999996E-3</v>
      </c>
      <c r="R4815">
        <v>1.269144E-2</v>
      </c>
      <c r="S4815">
        <v>-2.9995569999999998</v>
      </c>
      <c r="T4815">
        <v>3.061736E-2</v>
      </c>
      <c r="U4815">
        <v>4.4250490000000003E-2</v>
      </c>
      <c r="V4815">
        <v>1.4584120000000001E-2</v>
      </c>
      <c r="W4815">
        <v>1.8388970000000001E-2</v>
      </c>
      <c r="X4815">
        <v>0.99972450000000002</v>
      </c>
      <c r="Y4815">
        <v>1.6626780000000001E-2</v>
      </c>
      <c r="Z4815">
        <v>-1.040105E-4</v>
      </c>
      <c r="AA4815">
        <v>0.99986180000000002</v>
      </c>
      <c r="AB4815">
        <v>22</v>
      </c>
      <c r="AC4815">
        <v>-2.9995569999999998</v>
      </c>
      <c r="AD4815">
        <v>3.061736E-2</v>
      </c>
      <c r="AE4815">
        <v>4.4250490000000003E-2</v>
      </c>
      <c r="AF4815">
        <v>4.9876102243168297E-2</v>
      </c>
      <c r="AG4815">
        <v>3.061736E-2</v>
      </c>
      <c r="AH4815">
        <v>2.9991562353393801</v>
      </c>
      <c r="AI4815">
        <v>89.415188161811002</v>
      </c>
      <c r="AJ4815">
        <v>89.047256449084102</v>
      </c>
      <c r="AK4815">
        <v>2.9997271829757102</v>
      </c>
      <c r="AL4815">
        <v>88.946330201269504</v>
      </c>
      <c r="AM4815">
        <v>89.164220487606102</v>
      </c>
      <c r="AN4815">
        <v>0.999999963337041</v>
      </c>
    </row>
    <row r="4816" spans="1:40" x14ac:dyDescent="0.25">
      <c r="A4816" t="str">
        <f>"20190312160429406"</f>
        <v>20190312160429406</v>
      </c>
      <c r="B4816" t="str">
        <f>"1552377869400586"</f>
        <v>1552377869400586</v>
      </c>
      <c r="C4816" t="s">
        <v>40</v>
      </c>
      <c r="D4816">
        <v>4.8560489999999996</v>
      </c>
      <c r="E4816">
        <v>0.50077970000000005</v>
      </c>
      <c r="F4816" t="s">
        <v>45</v>
      </c>
      <c r="G4816">
        <v>0</v>
      </c>
      <c r="H4816">
        <v>0</v>
      </c>
      <c r="I4816">
        <v>0</v>
      </c>
      <c r="J4816">
        <v>-234.91069999999999</v>
      </c>
      <c r="K4816">
        <v>1.1094360000000001</v>
      </c>
      <c r="L4816">
        <v>141.07919999999999</v>
      </c>
      <c r="M4816">
        <v>-0.99994059999999996</v>
      </c>
      <c r="N4816">
        <v>0</v>
      </c>
      <c r="O4816">
        <v>-1.355558E-3</v>
      </c>
      <c r="P4816">
        <v>-0.99988730000000003</v>
      </c>
      <c r="Q4816">
        <v>7.7818710000000001E-3</v>
      </c>
      <c r="R4816">
        <v>1.2837589999999999E-2</v>
      </c>
      <c r="S4816">
        <v>-2.9994809999999998</v>
      </c>
      <c r="T4816">
        <v>3.6356329999999999E-2</v>
      </c>
      <c r="U4816">
        <v>4.3899540000000001E-2</v>
      </c>
      <c r="V4816">
        <v>1.4208810000000001E-2</v>
      </c>
      <c r="W4816">
        <v>1.8592069999999999E-2</v>
      </c>
      <c r="X4816">
        <v>0.99972620000000001</v>
      </c>
      <c r="Y4816">
        <v>1.5988349999999998E-2</v>
      </c>
      <c r="Z4816">
        <v>-1.1331769999999999E-4</v>
      </c>
      <c r="AA4816">
        <v>0.99987210000000004</v>
      </c>
      <c r="AB4816">
        <v>22</v>
      </c>
      <c r="AC4816">
        <v>-2.9994809999999998</v>
      </c>
      <c r="AD4816">
        <v>3.6356329999999999E-2</v>
      </c>
      <c r="AE4816">
        <v>4.3899540000000001E-2</v>
      </c>
      <c r="AF4816">
        <v>4.7958663558018803E-2</v>
      </c>
      <c r="AG4816">
        <v>3.6356329999999999E-2</v>
      </c>
      <c r="AH4816">
        <v>2.9989782297364802</v>
      </c>
      <c r="AI4816">
        <v>89.305531482088199</v>
      </c>
      <c r="AJ4816">
        <v>89.083823021988195</v>
      </c>
      <c r="AK4816">
        <v>2.99958201064327</v>
      </c>
      <c r="AL4816">
        <v>88.9346914934019</v>
      </c>
      <c r="AM4816">
        <v>89.185727017143407</v>
      </c>
      <c r="AN4816">
        <v>1.0000000151574699</v>
      </c>
    </row>
    <row r="4817" spans="1:40" x14ac:dyDescent="0.25">
      <c r="A4817" t="str">
        <f>"20190312160429431"</f>
        <v>20190312160429431</v>
      </c>
      <c r="B4817" t="str">
        <f>"1552377869420106"</f>
        <v>1552377869420106</v>
      </c>
      <c r="C4817" t="s">
        <v>40</v>
      </c>
      <c r="D4817">
        <v>4.9752960000000002</v>
      </c>
      <c r="E4817">
        <v>0.50072280000000002</v>
      </c>
      <c r="F4817" t="s">
        <v>45</v>
      </c>
      <c r="G4817">
        <v>0</v>
      </c>
      <c r="H4817">
        <v>0</v>
      </c>
      <c r="I4817">
        <v>0</v>
      </c>
      <c r="J4817">
        <v>-235.15729999999999</v>
      </c>
      <c r="K4817">
        <v>1.109434</v>
      </c>
      <c r="L4817">
        <v>141.0797</v>
      </c>
      <c r="M4817">
        <v>-0.99994119999999997</v>
      </c>
      <c r="N4817">
        <v>0</v>
      </c>
      <c r="O4817">
        <v>-7.113299E-4</v>
      </c>
      <c r="P4817">
        <v>-0.99987579999999998</v>
      </c>
      <c r="Q4817">
        <v>7.6166799999999998E-3</v>
      </c>
      <c r="R4817">
        <v>1.3795959999999999E-2</v>
      </c>
      <c r="S4817">
        <v>-2.999466</v>
      </c>
      <c r="T4817">
        <v>4.0427089999999999E-2</v>
      </c>
      <c r="U4817">
        <v>4.4219969999999997E-2</v>
      </c>
      <c r="V4817">
        <v>1.452289E-2</v>
      </c>
      <c r="W4817">
        <v>1.8418049999999998E-2</v>
      </c>
      <c r="X4817">
        <v>0.99972490000000003</v>
      </c>
      <c r="Y4817">
        <v>1.545084E-2</v>
      </c>
      <c r="Z4817">
        <v>-1.1370049999999999E-4</v>
      </c>
      <c r="AA4817">
        <v>0.99988060000000001</v>
      </c>
      <c r="AB4817">
        <v>22</v>
      </c>
      <c r="AC4817">
        <v>-2.999466</v>
      </c>
      <c r="AD4817">
        <v>4.0427089999999999E-2</v>
      </c>
      <c r="AE4817">
        <v>4.4219969999999997E-2</v>
      </c>
      <c r="AF4817">
        <v>4.6345276374672201E-2</v>
      </c>
      <c r="AG4817">
        <v>4.0427089999999999E-2</v>
      </c>
      <c r="AH4817">
        <v>2.9988891272140998</v>
      </c>
      <c r="AI4817">
        <v>89.227752432036695</v>
      </c>
      <c r="AJ4817">
        <v>89.114613025629893</v>
      </c>
      <c r="AK4817">
        <v>2.99951966680851</v>
      </c>
      <c r="AL4817">
        <v>88.9446638041032</v>
      </c>
      <c r="AM4817">
        <v>89.167729264405097</v>
      </c>
      <c r="AN4817">
        <v>1.00000000728988</v>
      </c>
    </row>
    <row r="4818" spans="1:40" x14ac:dyDescent="0.25">
      <c r="A4818" t="str">
        <f>"20190312160429450"</f>
        <v>20190312160429450</v>
      </c>
      <c r="B4818" t="str">
        <f>"1552377869439625"</f>
        <v>1552377869439625</v>
      </c>
      <c r="C4818" t="s">
        <v>40</v>
      </c>
      <c r="D4818">
        <v>4.6820079999999997</v>
      </c>
      <c r="E4818">
        <v>0.52867180000000003</v>
      </c>
      <c r="F4818" t="s">
        <v>45</v>
      </c>
      <c r="G4818">
        <v>0</v>
      </c>
      <c r="H4818">
        <v>0</v>
      </c>
      <c r="I4818">
        <v>0</v>
      </c>
      <c r="J4818">
        <v>-235.3485</v>
      </c>
      <c r="K4818">
        <v>1.1094360000000001</v>
      </c>
      <c r="L4818">
        <v>141.08009999999999</v>
      </c>
      <c r="M4818">
        <v>-0.99994159999999999</v>
      </c>
      <c r="N4818">
        <v>0</v>
      </c>
      <c r="O4818">
        <v>-2.1409759999999999E-4</v>
      </c>
      <c r="P4818">
        <v>-0.99985820000000003</v>
      </c>
      <c r="Q4818">
        <v>7.9698110000000003E-3</v>
      </c>
      <c r="R4818">
        <v>1.4844410000000001E-2</v>
      </c>
      <c r="S4818">
        <v>-2.9994350000000001</v>
      </c>
      <c r="T4818">
        <v>4.153693E-2</v>
      </c>
      <c r="U4818">
        <v>4.6569819999999998E-2</v>
      </c>
      <c r="V4818">
        <v>1.5074479999999999E-2</v>
      </c>
      <c r="W4818">
        <v>1.8763700000000001E-2</v>
      </c>
      <c r="X4818">
        <v>0.99971030000000005</v>
      </c>
      <c r="Y4818">
        <v>1.5736880000000002E-2</v>
      </c>
      <c r="Z4818">
        <v>-1.119171E-4</v>
      </c>
      <c r="AA4818">
        <v>0.99987610000000005</v>
      </c>
      <c r="AB4818">
        <v>22</v>
      </c>
      <c r="AC4818">
        <v>-2.9994350000000001</v>
      </c>
      <c r="AD4818">
        <v>4.153693E-2</v>
      </c>
      <c r="AE4818">
        <v>4.6569819999999998E-2</v>
      </c>
      <c r="AF4818">
        <v>4.7202978132245998E-2</v>
      </c>
      <c r="AG4818">
        <v>4.153693E-2</v>
      </c>
      <c r="AH4818">
        <v>2.9988499971201801</v>
      </c>
      <c r="AI4818">
        <v>89.206547876252102</v>
      </c>
      <c r="AJ4818">
        <v>89.098218281691004</v>
      </c>
      <c r="AK4818">
        <v>2.9995090836545302</v>
      </c>
      <c r="AL4818">
        <v>88.924856087016494</v>
      </c>
      <c r="AM4818">
        <v>89.136111100714999</v>
      </c>
      <c r="AN4818">
        <v>1.00000000015552</v>
      </c>
    </row>
    <row r="4819" spans="1:40" x14ac:dyDescent="0.25">
      <c r="A4819" t="str">
        <f>"20190312160429471"</f>
        <v>20190312160429471</v>
      </c>
      <c r="B4819" t="str">
        <f>"1552377869460121"</f>
        <v>1552377869460121</v>
      </c>
      <c r="C4819" t="s">
        <v>40</v>
      </c>
      <c r="D4819">
        <v>4.7966819999999997</v>
      </c>
      <c r="E4819">
        <v>0.53954869999999899</v>
      </c>
      <c r="F4819" t="s">
        <v>99</v>
      </c>
      <c r="G4819">
        <v>-459.58620000000002</v>
      </c>
      <c r="H4819">
        <v>9.9382099999999998</v>
      </c>
      <c r="I4819">
        <v>161.33109999999999</v>
      </c>
      <c r="J4819">
        <v>-235.55420000000001</v>
      </c>
      <c r="K4819">
        <v>1.109434</v>
      </c>
      <c r="L4819">
        <v>141.08070000000001</v>
      </c>
      <c r="M4819">
        <v>-0.99994170000000004</v>
      </c>
      <c r="N4819">
        <v>0</v>
      </c>
      <c r="O4819">
        <v>3.1847689999999997E-4</v>
      </c>
      <c r="P4819">
        <v>-0.99984470000000003</v>
      </c>
      <c r="Q4819">
        <v>7.68630099999999E-3</v>
      </c>
      <c r="R4819">
        <v>1.5870579999999999E-2</v>
      </c>
      <c r="S4819">
        <v>-2.9954830000000001</v>
      </c>
      <c r="T4819">
        <v>0.1179394</v>
      </c>
      <c r="U4819">
        <v>0.27052310000000002</v>
      </c>
      <c r="V4819">
        <v>1.5567849999999999E-2</v>
      </c>
      <c r="W4819">
        <v>1.8472880000000001E-2</v>
      </c>
      <c r="X4819">
        <v>0.99970820000000005</v>
      </c>
      <c r="Y4819">
        <v>8.9558499999999999E-2</v>
      </c>
      <c r="Z4819">
        <v>-1.746299E-3</v>
      </c>
      <c r="AA4819">
        <v>0.99597999999999998</v>
      </c>
      <c r="AB4819">
        <v>22</v>
      </c>
      <c r="AC4819">
        <v>-224.03200000000001</v>
      </c>
      <c r="AD4819">
        <v>8.8287759999999995</v>
      </c>
      <c r="AE4819">
        <v>20.2503999999999</v>
      </c>
      <c r="AF4819">
        <v>20.1480088492129</v>
      </c>
      <c r="AG4819">
        <v>8.8287759999999995</v>
      </c>
      <c r="AH4819">
        <v>223.693849658234</v>
      </c>
      <c r="AI4819">
        <v>87.748919423312998</v>
      </c>
      <c r="AJ4819">
        <v>84.853281427312794</v>
      </c>
      <c r="AK4819">
        <v>224.77283626178399</v>
      </c>
      <c r="AL4819">
        <v>88.941521782099201</v>
      </c>
      <c r="AM4819">
        <v>89.107839656946595</v>
      </c>
      <c r="AN4819">
        <v>1.0000000451981701</v>
      </c>
    </row>
    <row r="4820" spans="1:40" x14ac:dyDescent="0.25">
      <c r="A4820" t="str">
        <f>"20190312160429495"</f>
        <v>20190312160429495</v>
      </c>
      <c r="B4820" t="str">
        <f>"1552377869489401"</f>
        <v>1552377869489401</v>
      </c>
      <c r="C4820" t="s">
        <v>40</v>
      </c>
      <c r="D4820">
        <v>4.6579040000000003</v>
      </c>
      <c r="E4820">
        <v>0.54625069999999998</v>
      </c>
      <c r="F4820" t="s">
        <v>99</v>
      </c>
      <c r="G4820">
        <v>-459.875</v>
      </c>
      <c r="H4820">
        <v>10.96041</v>
      </c>
      <c r="I4820">
        <v>168.0463</v>
      </c>
      <c r="J4820">
        <v>-235.77600000000001</v>
      </c>
      <c r="K4820">
        <v>1.1094389999999901</v>
      </c>
      <c r="L4820">
        <v>141.0814</v>
      </c>
      <c r="M4820">
        <v>-0.99994139999999998</v>
      </c>
      <c r="N4820">
        <v>0</v>
      </c>
      <c r="O4820">
        <v>8.8829329999999995E-4</v>
      </c>
      <c r="P4820">
        <v>-0.99982550000000003</v>
      </c>
      <c r="Q4820">
        <v>7.8483349999999997E-3</v>
      </c>
      <c r="R4820">
        <v>1.6955939999999999E-2</v>
      </c>
      <c r="S4820">
        <v>-2.993744</v>
      </c>
      <c r="T4820">
        <v>0.13146920000000001</v>
      </c>
      <c r="U4820">
        <v>0.35987849999999999</v>
      </c>
      <c r="V4820">
        <v>1.6083500000000001E-2</v>
      </c>
      <c r="W4820">
        <v>1.8627350000000001E-2</v>
      </c>
      <c r="X4820">
        <v>0.99969710000000001</v>
      </c>
      <c r="Y4820">
        <v>0.1183573</v>
      </c>
      <c r="Z4820">
        <v>-2.549403E-3</v>
      </c>
      <c r="AA4820">
        <v>0.99296779999999996</v>
      </c>
      <c r="AB4820">
        <v>22</v>
      </c>
      <c r="AC4820">
        <v>-224.09899999999999</v>
      </c>
      <c r="AD4820">
        <v>9.8509709999999995</v>
      </c>
      <c r="AE4820">
        <v>26.9649</v>
      </c>
      <c r="AF4820">
        <v>26.714927168382999</v>
      </c>
      <c r="AG4820">
        <v>9.8509709999999995</v>
      </c>
      <c r="AH4820">
        <v>223.69678172050999</v>
      </c>
      <c r="AI4820">
        <v>87.496254157283701</v>
      </c>
      <c r="AJ4820">
        <v>83.189721593283707</v>
      </c>
      <c r="AK4820">
        <v>225.501616657993</v>
      </c>
      <c r="AL4820">
        <v>88.932669704754801</v>
      </c>
      <c r="AM4820">
        <v>89.078283637122894</v>
      </c>
      <c r="AN4820">
        <v>0.99999997444433997</v>
      </c>
    </row>
    <row r="4821" spans="1:40" x14ac:dyDescent="0.25">
      <c r="A4821" t="str">
        <f>"20190312160429507"</f>
        <v>20190312160429507</v>
      </c>
      <c r="B4821" t="str">
        <f>"1552377869500138"</f>
        <v>1552377869500138</v>
      </c>
      <c r="C4821" t="s">
        <v>40</v>
      </c>
      <c r="D4821">
        <v>4.6494819999999999</v>
      </c>
      <c r="E4821">
        <v>0.54721309999999901</v>
      </c>
      <c r="F4821" t="s">
        <v>99</v>
      </c>
      <c r="G4821">
        <v>-459.875</v>
      </c>
      <c r="H4821">
        <v>11.537660000000001</v>
      </c>
      <c r="I4821">
        <v>172.2723</v>
      </c>
      <c r="J4821">
        <v>-235.9136</v>
      </c>
      <c r="K4821">
        <v>1.10944</v>
      </c>
      <c r="L4821">
        <v>141.08199999999999</v>
      </c>
      <c r="M4821">
        <v>-0.99994110000000003</v>
      </c>
      <c r="N4821">
        <v>0</v>
      </c>
      <c r="O4821">
        <v>1.239413E-3</v>
      </c>
      <c r="P4821">
        <v>-0.99981810000000004</v>
      </c>
      <c r="Q4821">
        <v>7.9551919999999998E-3</v>
      </c>
      <c r="R4821">
        <v>1.7349739999999999E-2</v>
      </c>
      <c r="S4821">
        <v>-2.9923709999999999</v>
      </c>
      <c r="T4821">
        <v>0.13924690000000001</v>
      </c>
      <c r="U4821">
        <v>0.41648859999999899</v>
      </c>
      <c r="V4821">
        <v>1.612626E-2</v>
      </c>
      <c r="W4821">
        <v>1.8730799999999999E-2</v>
      </c>
      <c r="X4821">
        <v>0.99969450000000004</v>
      </c>
      <c r="Y4821">
        <v>0.136483299999999</v>
      </c>
      <c r="Z4821">
        <v>-3.1012700000000002E-3</v>
      </c>
      <c r="AA4821">
        <v>0.99063749999999995</v>
      </c>
      <c r="AB4821">
        <v>22</v>
      </c>
      <c r="AC4821">
        <v>-223.9614</v>
      </c>
      <c r="AD4821">
        <v>10.42822</v>
      </c>
      <c r="AE4821">
        <v>31.190300000000001</v>
      </c>
      <c r="AF4821">
        <v>30.8470729508138</v>
      </c>
      <c r="AG4821">
        <v>10.42822</v>
      </c>
      <c r="AH4821">
        <v>223.52449071465901</v>
      </c>
      <c r="AI4821">
        <v>87.353925070268104</v>
      </c>
      <c r="AJ4821">
        <v>82.142634698975897</v>
      </c>
      <c r="AK4821">
        <v>225.88379231642301</v>
      </c>
      <c r="AL4821">
        <v>88.926741445292194</v>
      </c>
      <c r="AM4821">
        <v>89.075831159974996</v>
      </c>
      <c r="AN4821">
        <v>0.99999999623023805</v>
      </c>
    </row>
    <row r="4822" spans="1:40" x14ac:dyDescent="0.25">
      <c r="A4822" t="str">
        <f>"20190312160429528"</f>
        <v>20190312160429528</v>
      </c>
      <c r="B4822" t="str">
        <f>"1552377869519657"</f>
        <v>1552377869519657</v>
      </c>
      <c r="C4822" t="s">
        <v>40</v>
      </c>
      <c r="D4822">
        <v>4.6272129999999896</v>
      </c>
      <c r="E4822">
        <v>0.54895590000000005</v>
      </c>
      <c r="F4822" t="s">
        <v>99</v>
      </c>
      <c r="G4822">
        <v>-459.875</v>
      </c>
      <c r="H4822">
        <v>11.959210000000001</v>
      </c>
      <c r="I4822">
        <v>172.90629999999999</v>
      </c>
      <c r="J4822">
        <v>-236.11</v>
      </c>
      <c r="K4822">
        <v>1.109437</v>
      </c>
      <c r="L4822">
        <v>141.08279999999999</v>
      </c>
      <c r="M4822">
        <v>-0.99994039999999995</v>
      </c>
      <c r="N4822">
        <v>0</v>
      </c>
      <c r="O4822">
        <v>1.7349970000000001E-3</v>
      </c>
      <c r="P4822">
        <v>-0.99980389999999997</v>
      </c>
      <c r="Q4822">
        <v>8.0262430000000006E-3</v>
      </c>
      <c r="R4822">
        <v>1.8107680000000001E-2</v>
      </c>
      <c r="S4822">
        <v>-2.9920040000000001</v>
      </c>
      <c r="T4822">
        <v>0.1449471</v>
      </c>
      <c r="U4822">
        <v>0.42515560000000002</v>
      </c>
      <c r="V4822">
        <v>1.638862E-2</v>
      </c>
      <c r="W4822">
        <v>1.8796589999999998E-2</v>
      </c>
      <c r="X4822">
        <v>0.99968900000000005</v>
      </c>
      <c r="Y4822">
        <v>0.138808399999999</v>
      </c>
      <c r="Z4822">
        <v>-3.2599529999999999E-3</v>
      </c>
      <c r="AA4822">
        <v>0.99031389999999997</v>
      </c>
      <c r="AB4822">
        <v>22</v>
      </c>
      <c r="AC4822">
        <v>-223.76499999999999</v>
      </c>
      <c r="AD4822">
        <v>10.8497729999999</v>
      </c>
      <c r="AE4822">
        <v>31.823499999999999</v>
      </c>
      <c r="AF4822">
        <v>31.362924763607701</v>
      </c>
      <c r="AG4822">
        <v>10.8497729999999</v>
      </c>
      <c r="AH4822">
        <v>223.30529213640901</v>
      </c>
      <c r="AI4822">
        <v>87.245341546541894</v>
      </c>
      <c r="AJ4822">
        <v>82.005180073319806</v>
      </c>
      <c r="AK4822">
        <v>225.75784398334099</v>
      </c>
      <c r="AL4822">
        <v>88.922971293767603</v>
      </c>
      <c r="AM4822">
        <v>89.060793254988795</v>
      </c>
      <c r="AN4822">
        <v>0.99999999769106596</v>
      </c>
    </row>
    <row r="4823" spans="1:40" x14ac:dyDescent="0.25">
      <c r="A4823" t="str">
        <f>"20190312160429549"</f>
        <v>20190312160429549</v>
      </c>
      <c r="B4823" t="str">
        <f>"1552377869540153"</f>
        <v>1552377869540153</v>
      </c>
      <c r="C4823" t="s">
        <v>40</v>
      </c>
      <c r="D4823">
        <v>4.6173830000000002</v>
      </c>
      <c r="E4823">
        <v>0.54993359999999902</v>
      </c>
      <c r="F4823" t="s">
        <v>99</v>
      </c>
      <c r="G4823">
        <v>-459.875</v>
      </c>
      <c r="H4823">
        <v>12.238519999999999</v>
      </c>
      <c r="I4823">
        <v>174.1036</v>
      </c>
      <c r="J4823">
        <v>-236.32130000000001</v>
      </c>
      <c r="K4823">
        <v>1.109442</v>
      </c>
      <c r="L4823">
        <v>141.0838</v>
      </c>
      <c r="M4823">
        <v>-0.99993940000000003</v>
      </c>
      <c r="N4823">
        <v>0</v>
      </c>
      <c r="O4823">
        <v>2.2594009999999999E-3</v>
      </c>
      <c r="P4823">
        <v>-0.99980409999999997</v>
      </c>
      <c r="Q4823">
        <v>8.0600369999999904E-3</v>
      </c>
      <c r="R4823">
        <v>1.808587E-2</v>
      </c>
      <c r="S4823">
        <v>-2.9913940000000001</v>
      </c>
      <c r="T4823">
        <v>0.14877870000000001</v>
      </c>
      <c r="U4823">
        <v>0.44143680000000002</v>
      </c>
      <c r="V4823">
        <v>1.5842269999999999E-2</v>
      </c>
      <c r="W4823">
        <v>1.8827099999999999E-2</v>
      </c>
      <c r="X4823">
        <v>0.99969719999999995</v>
      </c>
      <c r="Y4823">
        <v>0.1435813</v>
      </c>
      <c r="Z4823">
        <v>-3.4374589999999999E-3</v>
      </c>
      <c r="AA4823">
        <v>0.98963250000000003</v>
      </c>
      <c r="AB4823">
        <v>22</v>
      </c>
      <c r="AC4823">
        <v>-223.55369999999999</v>
      </c>
      <c r="AD4823">
        <v>11.129078</v>
      </c>
      <c r="AE4823">
        <v>33.019799999999996</v>
      </c>
      <c r="AF4823">
        <v>32.435919152603397</v>
      </c>
      <c r="AG4823">
        <v>11.129078</v>
      </c>
      <c r="AH4823">
        <v>223.08666626454101</v>
      </c>
      <c r="AI4823">
        <v>87.173733478427394</v>
      </c>
      <c r="AJ4823">
        <v>81.727389537288303</v>
      </c>
      <c r="AK4823">
        <v>225.70690262690499</v>
      </c>
      <c r="AL4823">
        <v>88.921222854272401</v>
      </c>
      <c r="AM4823">
        <v>89.092105852337198</v>
      </c>
      <c r="AN4823">
        <v>0.99999996445049999</v>
      </c>
    </row>
    <row r="4824" spans="1:40" x14ac:dyDescent="0.25">
      <c r="A4824" t="str">
        <f>"20190312160429571"</f>
        <v>20190312160429571</v>
      </c>
      <c r="B4824" t="str">
        <f>"1552377869559673"</f>
        <v>1552377869559673</v>
      </c>
      <c r="C4824" t="s">
        <v>40</v>
      </c>
      <c r="D4824">
        <v>4.5757370000000002</v>
      </c>
      <c r="E4824">
        <v>0.55047239999999997</v>
      </c>
      <c r="F4824" t="s">
        <v>99</v>
      </c>
      <c r="G4824">
        <v>-459.875</v>
      </c>
      <c r="H4824">
        <v>12.69524</v>
      </c>
      <c r="I4824">
        <v>174.6283</v>
      </c>
      <c r="J4824">
        <v>-236.53229999999999</v>
      </c>
      <c r="K4824">
        <v>1.1094469999999901</v>
      </c>
      <c r="L4824">
        <v>141.0849</v>
      </c>
      <c r="M4824">
        <v>-0.99993810000000005</v>
      </c>
      <c r="N4824">
        <v>0</v>
      </c>
      <c r="O4824">
        <v>2.7711429999999998E-3</v>
      </c>
      <c r="P4824">
        <v>-0.99980619999999998</v>
      </c>
      <c r="Q4824">
        <v>7.7327730000000001E-3</v>
      </c>
      <c r="R4824">
        <v>1.8108229999999999E-2</v>
      </c>
      <c r="S4824">
        <v>-2.9912260000000002</v>
      </c>
      <c r="T4824">
        <v>0.15502199999999999</v>
      </c>
      <c r="U4824">
        <v>0.44883729999999999</v>
      </c>
      <c r="V4824">
        <v>1.535224E-2</v>
      </c>
      <c r="W4824">
        <v>1.8496720000000001E-2</v>
      </c>
      <c r="X4824">
        <v>0.99971100000000002</v>
      </c>
      <c r="Y4824">
        <v>0.1454616</v>
      </c>
      <c r="Z4824">
        <v>-3.603139E-3</v>
      </c>
      <c r="AA4824">
        <v>0.98935740000000005</v>
      </c>
      <c r="AB4824">
        <v>22</v>
      </c>
      <c r="AC4824">
        <v>-223.34270000000001</v>
      </c>
      <c r="AD4824">
        <v>11.585792999999899</v>
      </c>
      <c r="AE4824">
        <v>33.543399999999899</v>
      </c>
      <c r="AF4824">
        <v>32.837904299261503</v>
      </c>
      <c r="AG4824">
        <v>11.585792999999899</v>
      </c>
      <c r="AH4824">
        <v>222.84835244803901</v>
      </c>
      <c r="AI4824">
        <v>87.055633639225405</v>
      </c>
      <c r="AJ4824">
        <v>81.617482673893704</v>
      </c>
      <c r="AK4824">
        <v>225.55253655636801</v>
      </c>
      <c r="AL4824">
        <v>88.940155518275404</v>
      </c>
      <c r="AM4824">
        <v>89.120196314980703</v>
      </c>
      <c r="AN4824">
        <v>0.99999995172238598</v>
      </c>
    </row>
    <row r="4825" spans="1:40" x14ac:dyDescent="0.25">
      <c r="A4825" t="str">
        <f>"20190312160429594"</f>
        <v>20190312160429594</v>
      </c>
      <c r="B4825" t="str">
        <f>"1552377869589930"</f>
        <v>1552377869589930</v>
      </c>
      <c r="C4825" t="s">
        <v>40</v>
      </c>
      <c r="D4825">
        <v>4.6578150000000003</v>
      </c>
      <c r="E4825">
        <v>0.55119410000000002</v>
      </c>
      <c r="F4825" t="s">
        <v>99</v>
      </c>
      <c r="G4825">
        <v>-459.875</v>
      </c>
      <c r="H4825">
        <v>12.92839</v>
      </c>
      <c r="I4825">
        <v>174.9288</v>
      </c>
      <c r="J4825">
        <v>-236.76050000000001</v>
      </c>
      <c r="K4825">
        <v>1.1094619999999999</v>
      </c>
      <c r="L4825">
        <v>141.08619999999999</v>
      </c>
      <c r="M4825">
        <v>-0.99993650000000001</v>
      </c>
      <c r="N4825">
        <v>0</v>
      </c>
      <c r="O4825">
        <v>3.3076379999999999E-3</v>
      </c>
      <c r="P4825">
        <v>-0.99980190000000002</v>
      </c>
      <c r="Q4825">
        <v>7.75204E-3</v>
      </c>
      <c r="R4825">
        <v>1.833212E-2</v>
      </c>
      <c r="S4825">
        <v>-2.9911650000000001</v>
      </c>
      <c r="T4825">
        <v>0.15828780000000001</v>
      </c>
      <c r="U4825">
        <v>0.45326230000000001</v>
      </c>
      <c r="V4825">
        <v>1.5039179999999999E-2</v>
      </c>
      <c r="W4825">
        <v>1.851293E-2</v>
      </c>
      <c r="X4825">
        <v>0.99971549999999998</v>
      </c>
      <c r="Y4825">
        <v>0.1463564</v>
      </c>
      <c r="Z4825">
        <v>-3.6739289999999998E-3</v>
      </c>
      <c r="AA4825">
        <v>0.98922509999999997</v>
      </c>
      <c r="AB4825">
        <v>22</v>
      </c>
      <c r="AC4825">
        <v>-223.11449999999999</v>
      </c>
      <c r="AD4825">
        <v>11.818928</v>
      </c>
      <c r="AE4825">
        <v>33.842599999999997</v>
      </c>
      <c r="AF4825">
        <v>33.013833933124403</v>
      </c>
      <c r="AG4825">
        <v>11.818928</v>
      </c>
      <c r="AH4825">
        <v>222.61459884803199</v>
      </c>
      <c r="AI4825">
        <v>86.993755326196705</v>
      </c>
      <c r="AJ4825">
        <v>81.564495157081794</v>
      </c>
      <c r="AK4825">
        <v>225.35940164613299</v>
      </c>
      <c r="AL4825">
        <v>88.9392266386172</v>
      </c>
      <c r="AM4825">
        <v>89.138138251314004</v>
      </c>
      <c r="AN4825">
        <v>0.99999999322625299</v>
      </c>
    </row>
    <row r="4826" spans="1:40" x14ac:dyDescent="0.25">
      <c r="A4826" t="str">
        <f>"20190312160429618"</f>
        <v>20190312160429618</v>
      </c>
      <c r="B4826" t="str">
        <f>"1552377869609449"</f>
        <v>1552377869609449</v>
      </c>
      <c r="C4826" t="s">
        <v>40</v>
      </c>
      <c r="D4826">
        <v>4.5766780000000002</v>
      </c>
      <c r="E4826">
        <v>0.55207289999999998</v>
      </c>
      <c r="F4826" t="s">
        <v>99</v>
      </c>
      <c r="G4826">
        <v>-459.875</v>
      </c>
      <c r="H4826">
        <v>13.268800000000001</v>
      </c>
      <c r="I4826">
        <v>175.37180000000001</v>
      </c>
      <c r="J4826">
        <v>-236.99279999999999</v>
      </c>
      <c r="K4826">
        <v>1.109475</v>
      </c>
      <c r="L4826">
        <v>141.08750000000001</v>
      </c>
      <c r="M4826">
        <v>-0.99993460000000001</v>
      </c>
      <c r="N4826">
        <v>0</v>
      </c>
      <c r="O4826">
        <v>3.8286399999999999E-3</v>
      </c>
      <c r="P4826">
        <v>-0.99979169999999995</v>
      </c>
      <c r="Q4826">
        <v>8.2887889999999995E-3</v>
      </c>
      <c r="R4826">
        <v>1.8654730000000001E-2</v>
      </c>
      <c r="S4826">
        <v>-2.9909210000000002</v>
      </c>
      <c r="T4826">
        <v>0.1629997</v>
      </c>
      <c r="U4826">
        <v>0.45961000000000002</v>
      </c>
      <c r="V4826">
        <v>1.484067E-2</v>
      </c>
      <c r="W4826">
        <v>1.9047359999999999E-2</v>
      </c>
      <c r="X4826">
        <v>0.99970840000000005</v>
      </c>
      <c r="Y4826">
        <v>0.1478912</v>
      </c>
      <c r="Z4826">
        <v>-3.7961850000000001E-3</v>
      </c>
      <c r="AA4826">
        <v>0.98899630000000005</v>
      </c>
      <c r="AB4826">
        <v>22</v>
      </c>
      <c r="AC4826">
        <v>-222.88220000000001</v>
      </c>
      <c r="AD4826">
        <v>12.159325000000001</v>
      </c>
      <c r="AE4826">
        <v>34.284300000000002</v>
      </c>
      <c r="AF4826">
        <v>33.333747316356998</v>
      </c>
      <c r="AG4826">
        <v>12.159325000000001</v>
      </c>
      <c r="AH4826">
        <v>222.365320664617</v>
      </c>
      <c r="AI4826">
        <v>86.904601259780193</v>
      </c>
      <c r="AJ4826">
        <v>81.474539159944598</v>
      </c>
      <c r="AK4826">
        <v>225.17842642865301</v>
      </c>
      <c r="AL4826">
        <v>88.908600623846695</v>
      </c>
      <c r="AM4826">
        <v>89.149506693651901</v>
      </c>
      <c r="AN4826">
        <v>0.99999996621978804</v>
      </c>
    </row>
    <row r="4827" spans="1:40" x14ac:dyDescent="0.25">
      <c r="A4827" t="str">
        <f>"20190312160429638"</f>
        <v>20190312160429638</v>
      </c>
      <c r="B4827" t="str">
        <f>"1552377869629697"</f>
        <v>1552377869629697</v>
      </c>
      <c r="C4827" t="s">
        <v>40</v>
      </c>
      <c r="D4827">
        <v>4.5615809999999897</v>
      </c>
      <c r="E4827">
        <v>0.55276610000000004</v>
      </c>
      <c r="F4827" t="s">
        <v>99</v>
      </c>
      <c r="G4827">
        <v>-459.875</v>
      </c>
      <c r="H4827">
        <v>13.94581</v>
      </c>
      <c r="I4827">
        <v>175.91569999999999</v>
      </c>
      <c r="J4827">
        <v>-237.1986</v>
      </c>
      <c r="K4827">
        <v>1.109491</v>
      </c>
      <c r="L4827">
        <v>141.0889</v>
      </c>
      <c r="M4827">
        <v>-0.99993299999999996</v>
      </c>
      <c r="N4827">
        <v>0</v>
      </c>
      <c r="O4827">
        <v>4.2618079999999997E-3</v>
      </c>
      <c r="P4827">
        <v>-0.99978270000000002</v>
      </c>
      <c r="Q4827">
        <v>8.7524809999999995E-3</v>
      </c>
      <c r="R4827">
        <v>1.8920759999999998E-2</v>
      </c>
      <c r="S4827">
        <v>-2.9904790000000001</v>
      </c>
      <c r="T4827">
        <v>0.1722291</v>
      </c>
      <c r="U4827">
        <v>0.4673004</v>
      </c>
      <c r="V4827">
        <v>1.46731E-2</v>
      </c>
      <c r="W4827">
        <v>1.9509809999999999E-2</v>
      </c>
      <c r="X4827">
        <v>0.99970199999999998</v>
      </c>
      <c r="Y4827">
        <v>0.1499412</v>
      </c>
      <c r="Z4827">
        <v>-4.0444490000000003E-3</v>
      </c>
      <c r="AA4827">
        <v>0.98868659999999997</v>
      </c>
      <c r="AB4827">
        <v>22</v>
      </c>
      <c r="AC4827">
        <v>-222.6764</v>
      </c>
      <c r="AD4827">
        <v>12.836319</v>
      </c>
      <c r="AE4827">
        <v>34.826799999999899</v>
      </c>
      <c r="AF4827">
        <v>33.767892646246899</v>
      </c>
      <c r="AG4827">
        <v>12.836319</v>
      </c>
      <c r="AH4827">
        <v>222.10238372115501</v>
      </c>
      <c r="AI4827">
        <v>86.729789950311201</v>
      </c>
      <c r="AJ4827">
        <v>81.355096986537703</v>
      </c>
      <c r="AK4827">
        <v>225.02113348274</v>
      </c>
      <c r="AL4827">
        <v>88.882099313927696</v>
      </c>
      <c r="AM4827">
        <v>89.159103073195197</v>
      </c>
      <c r="AN4827">
        <v>1.00000001067692</v>
      </c>
    </row>
    <row r="4828" spans="1:40" x14ac:dyDescent="0.25">
      <c r="A4828" t="str">
        <f>"20190312160429661"</f>
        <v>20190312160429661</v>
      </c>
      <c r="B4828" t="str">
        <f>"1552377869650193"</f>
        <v>1552377869650193</v>
      </c>
      <c r="C4828" t="s">
        <v>40</v>
      </c>
      <c r="D4828">
        <v>4.7793099999999997</v>
      </c>
      <c r="E4828">
        <v>0.55287529999999996</v>
      </c>
      <c r="F4828" t="s">
        <v>99</v>
      </c>
      <c r="G4828">
        <v>-459.875</v>
      </c>
      <c r="H4828">
        <v>14.45079</v>
      </c>
      <c r="I4828">
        <v>176.34469999999999</v>
      </c>
      <c r="J4828">
        <v>-237.4171</v>
      </c>
      <c r="K4828">
        <v>1.109513</v>
      </c>
      <c r="L4828">
        <v>141.09030000000001</v>
      </c>
      <c r="M4828">
        <v>-0.99993120000000002</v>
      </c>
      <c r="N4828">
        <v>0</v>
      </c>
      <c r="O4828">
        <v>4.6858960000000002E-3</v>
      </c>
      <c r="P4828">
        <v>-0.99978319999999998</v>
      </c>
      <c r="Q4828">
        <v>8.9141629999999993E-3</v>
      </c>
      <c r="R4828">
        <v>1.8829729999999999E-2</v>
      </c>
      <c r="S4828">
        <v>-2.9901279999999999</v>
      </c>
      <c r="T4828">
        <v>0.17914869999999999</v>
      </c>
      <c r="U4828">
        <v>0.47341919999999998</v>
      </c>
      <c r="V4828">
        <v>1.4157070000000001E-2</v>
      </c>
      <c r="W4828">
        <v>1.9670480000000001E-2</v>
      </c>
      <c r="X4828">
        <v>0.99970630000000005</v>
      </c>
      <c r="Y4828">
        <v>0.1514925</v>
      </c>
      <c r="Z4828">
        <v>-4.2274039999999997E-3</v>
      </c>
      <c r="AA4828">
        <v>0.98844940000000003</v>
      </c>
      <c r="AB4828">
        <v>22</v>
      </c>
      <c r="AC4828">
        <v>-222.4579</v>
      </c>
      <c r="AD4828">
        <v>13.341277</v>
      </c>
      <c r="AE4828">
        <v>35.254399999999897</v>
      </c>
      <c r="AF4828">
        <v>34.091925111908999</v>
      </c>
      <c r="AG4828">
        <v>13.341277</v>
      </c>
      <c r="AH4828">
        <v>221.84232241954399</v>
      </c>
      <c r="AI4828">
        <v>86.598297694759196</v>
      </c>
      <c r="AJ4828">
        <v>81.263340377344406</v>
      </c>
      <c r="AK4828">
        <v>224.84275626829401</v>
      </c>
      <c r="AL4828">
        <v>88.872891842792498</v>
      </c>
      <c r="AM4828">
        <v>89.188675568360296</v>
      </c>
      <c r="AN4828">
        <v>1.0000000183370501</v>
      </c>
    </row>
    <row r="4829" spans="1:40" x14ac:dyDescent="0.25">
      <c r="A4829" t="str">
        <f>"20190312160429683"</f>
        <v>20190312160429683</v>
      </c>
      <c r="B4829" t="str">
        <f>"1552377869679473"</f>
        <v>1552377869679473</v>
      </c>
      <c r="C4829" t="s">
        <v>40</v>
      </c>
      <c r="D4829">
        <v>4.6572570000000004</v>
      </c>
      <c r="E4829">
        <v>0.50147799999999998</v>
      </c>
      <c r="F4829" t="s">
        <v>99</v>
      </c>
      <c r="G4829">
        <v>-459.875</v>
      </c>
      <c r="H4829">
        <v>14.56359</v>
      </c>
      <c r="I4829">
        <v>176.35820000000001</v>
      </c>
      <c r="J4829">
        <v>-237.6377</v>
      </c>
      <c r="K4829">
        <v>1.1095429999999999</v>
      </c>
      <c r="L4829">
        <v>141.09180000000001</v>
      </c>
      <c r="M4829">
        <v>-0.99992930000000002</v>
      </c>
      <c r="N4829">
        <v>0</v>
      </c>
      <c r="O4829">
        <v>5.0698599999999998E-3</v>
      </c>
      <c r="P4829">
        <v>-0.9997741</v>
      </c>
      <c r="Q4829">
        <v>9.1075770000000004E-3</v>
      </c>
      <c r="R4829">
        <v>1.9214080000000001E-2</v>
      </c>
      <c r="S4829">
        <v>-2.9901119999999999</v>
      </c>
      <c r="T4829">
        <v>0.18083949999999999</v>
      </c>
      <c r="U4829">
        <v>0.47404479999999999</v>
      </c>
      <c r="V4829">
        <v>1.4156230000000001E-2</v>
      </c>
      <c r="W4829">
        <v>1.9863080000000002E-2</v>
      </c>
      <c r="X4829">
        <v>0.99970250000000005</v>
      </c>
      <c r="Y4829">
        <v>0.15131169999999999</v>
      </c>
      <c r="Z4829">
        <v>-4.2387029999999999E-3</v>
      </c>
      <c r="AA4829">
        <v>0.98847700000000005</v>
      </c>
      <c r="AB4829">
        <v>22</v>
      </c>
      <c r="AC4829">
        <v>-222.2373</v>
      </c>
      <c r="AD4829">
        <v>13.454046999999999</v>
      </c>
      <c r="AE4829">
        <v>35.266399999999997</v>
      </c>
      <c r="AF4829">
        <v>34.0175581596068</v>
      </c>
      <c r="AG4829">
        <v>13.454046999999999</v>
      </c>
      <c r="AH4829">
        <v>221.62096373788799</v>
      </c>
      <c r="AI4829">
        <v>86.566100740208299</v>
      </c>
      <c r="AJ4829">
        <v>81.2735315220704</v>
      </c>
      <c r="AK4829">
        <v>224.61980592087301</v>
      </c>
      <c r="AL4829">
        <v>88.861854515154306</v>
      </c>
      <c r="AM4829">
        <v>89.188720617947396</v>
      </c>
      <c r="AN4829">
        <v>1.0000000146505701</v>
      </c>
    </row>
    <row r="4830" spans="1:40" x14ac:dyDescent="0.25">
      <c r="A4830" t="str">
        <f>"20190312160429706"</f>
        <v>20190312160429706</v>
      </c>
      <c r="B4830" t="str">
        <f>"1552377869699969"</f>
        <v>1552377869699969</v>
      </c>
      <c r="C4830" t="s">
        <v>40</v>
      </c>
      <c r="D4830">
        <v>4.6030930000000003</v>
      </c>
      <c r="E4830">
        <v>0.4990117</v>
      </c>
      <c r="F4830" t="s">
        <v>45</v>
      </c>
      <c r="G4830">
        <v>0</v>
      </c>
      <c r="H4830">
        <v>0</v>
      </c>
      <c r="I4830">
        <v>0</v>
      </c>
      <c r="J4830">
        <v>-237.8657</v>
      </c>
      <c r="K4830">
        <v>1.109577</v>
      </c>
      <c r="L4830">
        <v>141.0934</v>
      </c>
      <c r="M4830">
        <v>-0.99992760000000003</v>
      </c>
      <c r="N4830">
        <v>0</v>
      </c>
      <c r="O4830">
        <v>5.4141390000000001E-3</v>
      </c>
      <c r="P4830">
        <v>-0.99975570000000002</v>
      </c>
      <c r="Q4830">
        <v>9.8485120000000002E-3</v>
      </c>
      <c r="R4830">
        <v>1.9796689999999999E-2</v>
      </c>
      <c r="S4830">
        <v>-2.998062</v>
      </c>
      <c r="T4830">
        <v>0.1463547</v>
      </c>
      <c r="U4830">
        <v>6.6299440000000001E-2</v>
      </c>
      <c r="V4830">
        <v>1.439327E-2</v>
      </c>
      <c r="W4830">
        <v>2.059917E-2</v>
      </c>
      <c r="X4830">
        <v>0.99968420000000002</v>
      </c>
      <c r="Y4830">
        <v>1.6681830000000002E-2</v>
      </c>
      <c r="Z4830">
        <v>-1.4276189999999999E-4</v>
      </c>
      <c r="AA4830">
        <v>0.99986079999999999</v>
      </c>
      <c r="AB4830">
        <v>22</v>
      </c>
      <c r="AC4830">
        <v>-2.998062</v>
      </c>
      <c r="AD4830">
        <v>0.1463547</v>
      </c>
      <c r="AE4830">
        <v>6.6299440000000001E-2</v>
      </c>
      <c r="AF4830">
        <v>4.99466395607219E-2</v>
      </c>
      <c r="AG4830">
        <v>0.1463547</v>
      </c>
      <c r="AH4830">
        <v>2.991252226266</v>
      </c>
      <c r="AI4830">
        <v>87.199280345770703</v>
      </c>
      <c r="AJ4830">
        <v>89.043388682375095</v>
      </c>
      <c r="AK4830">
        <v>2.9952469424334298</v>
      </c>
      <c r="AL4830">
        <v>88.819671008615501</v>
      </c>
      <c r="AM4830">
        <v>89.1751228564776</v>
      </c>
      <c r="AN4830">
        <v>0.99999999587780997</v>
      </c>
    </row>
    <row r="4831" spans="1:40" x14ac:dyDescent="0.25">
      <c r="A4831" t="str">
        <f>"20190312160429728"</f>
        <v>20190312160429728</v>
      </c>
      <c r="B4831" t="str">
        <f>"1552377869719493"</f>
        <v>1552377869719493</v>
      </c>
      <c r="C4831" t="s">
        <v>40</v>
      </c>
      <c r="D4831">
        <v>4.5907299999999998</v>
      </c>
      <c r="E4831">
        <v>0.49795</v>
      </c>
      <c r="F4831" t="s">
        <v>45</v>
      </c>
      <c r="G4831">
        <v>0</v>
      </c>
      <c r="H4831">
        <v>0</v>
      </c>
      <c r="I4831">
        <v>0</v>
      </c>
      <c r="J4831">
        <v>-238.08179999999999</v>
      </c>
      <c r="K4831">
        <v>1.1096159999999999</v>
      </c>
      <c r="L4831">
        <v>141.0949</v>
      </c>
      <c r="M4831">
        <v>-0.99992610000000004</v>
      </c>
      <c r="N4831">
        <v>0</v>
      </c>
      <c r="O4831">
        <v>5.6823749999999999E-3</v>
      </c>
      <c r="P4831">
        <v>-0.99974410000000002</v>
      </c>
      <c r="Q4831">
        <v>1.0265420000000001E-2</v>
      </c>
      <c r="R4831">
        <v>2.015958E-2</v>
      </c>
      <c r="S4831">
        <v>-2.9984440000000001</v>
      </c>
      <c r="T4831">
        <v>0.13601279999999999</v>
      </c>
      <c r="U4831">
        <v>4.8721309999999997E-2</v>
      </c>
      <c r="V4831">
        <v>1.4486260000000001E-2</v>
      </c>
      <c r="W4831">
        <v>2.1006779999999999E-2</v>
      </c>
      <c r="X4831">
        <v>0.99967439999999996</v>
      </c>
      <c r="Y4831">
        <v>1.0559499999999999E-2</v>
      </c>
      <c r="Z4831" s="1">
        <v>1.826391E-5</v>
      </c>
      <c r="AA4831">
        <v>0.99994430000000001</v>
      </c>
      <c r="AB4831">
        <v>22</v>
      </c>
      <c r="AC4831">
        <v>-2.9984440000000001</v>
      </c>
      <c r="AD4831">
        <v>0.13601279999999999</v>
      </c>
      <c r="AE4831">
        <v>4.8721309999999997E-2</v>
      </c>
      <c r="AF4831">
        <v>3.1616218630147401E-2</v>
      </c>
      <c r="AG4831">
        <v>0.13601279999999999</v>
      </c>
      <c r="AH4831">
        <v>2.9925165816208401</v>
      </c>
      <c r="AI4831">
        <v>87.397786905138901</v>
      </c>
      <c r="AJ4831">
        <v>89.394687231609794</v>
      </c>
      <c r="AK4831">
        <v>2.9957727814906101</v>
      </c>
      <c r="AL4831">
        <v>88.796311651149395</v>
      </c>
      <c r="AM4831">
        <v>89.169786213056895</v>
      </c>
      <c r="AN4831">
        <v>1.0000000212750499</v>
      </c>
    </row>
    <row r="4832" spans="1:40" x14ac:dyDescent="0.25">
      <c r="A4832" t="str">
        <f>"20190312160429749"</f>
        <v>20190312160429749</v>
      </c>
      <c r="B4832" t="str">
        <f>"1552377869739701"</f>
        <v>1552377869739701</v>
      </c>
      <c r="C4832" t="s">
        <v>40</v>
      </c>
      <c r="D4832">
        <v>4.6421720000000004</v>
      </c>
      <c r="E4832">
        <v>0.49688959999999999</v>
      </c>
      <c r="F4832" t="s">
        <v>45</v>
      </c>
      <c r="G4832">
        <v>0</v>
      </c>
      <c r="H4832">
        <v>0</v>
      </c>
      <c r="I4832">
        <v>0</v>
      </c>
      <c r="J4832">
        <v>-238.2945</v>
      </c>
      <c r="K4832">
        <v>1.1096490000000001</v>
      </c>
      <c r="L4832">
        <v>141.09639999999999</v>
      </c>
      <c r="M4832">
        <v>-0.99992499999999995</v>
      </c>
      <c r="N4832">
        <v>0</v>
      </c>
      <c r="O4832">
        <v>5.8925590000000003E-3</v>
      </c>
      <c r="P4832">
        <v>-0.99973769999999995</v>
      </c>
      <c r="Q4832">
        <v>9.8968919999999991E-3</v>
      </c>
      <c r="R4832">
        <v>2.065848E-2</v>
      </c>
      <c r="S4832">
        <v>-2.9985810000000002</v>
      </c>
      <c r="T4832">
        <v>0.130444</v>
      </c>
      <c r="U4832">
        <v>4.1412350000000001E-2</v>
      </c>
      <c r="V4832">
        <v>1.477321E-2</v>
      </c>
      <c r="W4832">
        <v>2.062872E-2</v>
      </c>
      <c r="X4832">
        <v>0.99967810000000001</v>
      </c>
      <c r="Y4832">
        <v>7.9148440000000007E-3</v>
      </c>
      <c r="Z4832" s="1">
        <v>8.414943E-5</v>
      </c>
      <c r="AA4832">
        <v>0.99996859999999999</v>
      </c>
      <c r="AB4832">
        <v>22</v>
      </c>
      <c r="AC4832">
        <v>-2.9985810000000002</v>
      </c>
      <c r="AD4832">
        <v>0.130444</v>
      </c>
      <c r="AE4832">
        <v>4.1412350000000001E-2</v>
      </c>
      <c r="AF4832">
        <v>2.3696461993437699E-2</v>
      </c>
      <c r="AG4832">
        <v>0.130444</v>
      </c>
      <c r="AH4832">
        <v>2.99310984432713</v>
      </c>
      <c r="AI4832">
        <v>87.504625342313503</v>
      </c>
      <c r="AJ4832">
        <v>89.546398573142397</v>
      </c>
      <c r="AK4832">
        <v>2.9960446758443</v>
      </c>
      <c r="AL4832">
        <v>88.817977619771298</v>
      </c>
      <c r="AM4832">
        <v>89.153346489023207</v>
      </c>
      <c r="AN4832">
        <v>1.00000004772107</v>
      </c>
    </row>
    <row r="4833" spans="1:40" x14ac:dyDescent="0.25">
      <c r="A4833" t="str">
        <f>"20190312160429771"</f>
        <v>20190312160429771</v>
      </c>
      <c r="B4833" t="str">
        <f>"1552377869769958"</f>
        <v>1552377869769958</v>
      </c>
      <c r="C4833" t="s">
        <v>40</v>
      </c>
      <c r="D4833">
        <v>4.5778930000000004</v>
      </c>
      <c r="E4833">
        <v>0.49624299999999999</v>
      </c>
      <c r="F4833" t="s">
        <v>45</v>
      </c>
      <c r="G4833">
        <v>0</v>
      </c>
      <c r="H4833">
        <v>0</v>
      </c>
      <c r="I4833">
        <v>0</v>
      </c>
      <c r="J4833">
        <v>-238.51329999999999</v>
      </c>
      <c r="K4833">
        <v>1.1096809999999999</v>
      </c>
      <c r="L4833">
        <v>141.09790000000001</v>
      </c>
      <c r="M4833">
        <v>-0.99992409999999998</v>
      </c>
      <c r="N4833">
        <v>0</v>
      </c>
      <c r="O4833">
        <v>6.0629760000000003E-3</v>
      </c>
      <c r="P4833">
        <v>-0.9997241</v>
      </c>
      <c r="Q4833">
        <v>9.6022050000000008E-3</v>
      </c>
      <c r="R4833">
        <v>2.1443480000000001E-2</v>
      </c>
      <c r="S4833">
        <v>-2.9989170000000001</v>
      </c>
      <c r="T4833">
        <v>0.11524</v>
      </c>
      <c r="U4833">
        <v>3.4866330000000001E-2</v>
      </c>
      <c r="V4833">
        <v>1.538631E-2</v>
      </c>
      <c r="W4833">
        <v>2.032552E-2</v>
      </c>
      <c r="X4833">
        <v>0.99967499999999998</v>
      </c>
      <c r="Y4833">
        <v>5.5627649999999999E-3</v>
      </c>
      <c r="Z4833">
        <v>1.26062E-4</v>
      </c>
      <c r="AA4833">
        <v>0.99998450000000005</v>
      </c>
      <c r="AB4833">
        <v>22</v>
      </c>
      <c r="AC4833">
        <v>-2.9989170000000001</v>
      </c>
      <c r="AD4833">
        <v>0.11524</v>
      </c>
      <c r="AE4833">
        <v>3.4866330000000001E-2</v>
      </c>
      <c r="AF4833">
        <v>1.6657687144214599E-2</v>
      </c>
      <c r="AG4833">
        <v>0.11524</v>
      </c>
      <c r="AH4833">
        <v>2.9946518240792499</v>
      </c>
      <c r="AI4833">
        <v>87.796268928571294</v>
      </c>
      <c r="AJ4833">
        <v>89.681296730809393</v>
      </c>
      <c r="AK4833">
        <v>2.9969146273462899</v>
      </c>
      <c r="AL4833">
        <v>88.835353270147394</v>
      </c>
      <c r="AM4833">
        <v>89.118212396343097</v>
      </c>
      <c r="AN4833">
        <v>0.99999998546184299</v>
      </c>
    </row>
    <row r="4834" spans="1:40" x14ac:dyDescent="0.25">
      <c r="A4834" t="str">
        <f>"20190312160429795"</f>
        <v>20190312160429795</v>
      </c>
      <c r="B4834" t="str">
        <f>"1552377869789478"</f>
        <v>1552377869789478</v>
      </c>
      <c r="C4834" t="s">
        <v>40</v>
      </c>
      <c r="D4834">
        <v>2.8287960000000001</v>
      </c>
      <c r="E4834">
        <v>0.4960157</v>
      </c>
      <c r="F4834" t="s">
        <v>45</v>
      </c>
      <c r="G4834">
        <v>0</v>
      </c>
      <c r="H4834">
        <v>0</v>
      </c>
      <c r="I4834">
        <v>0</v>
      </c>
      <c r="J4834">
        <v>-238.7449</v>
      </c>
      <c r="K4834">
        <v>1.1097049999999999</v>
      </c>
      <c r="L4834">
        <v>141.09950000000001</v>
      </c>
      <c r="M4834">
        <v>-0.99992349999999997</v>
      </c>
      <c r="N4834">
        <v>0</v>
      </c>
      <c r="O4834">
        <v>6.1981689999999999E-3</v>
      </c>
      <c r="P4834">
        <v>-0.99973290000000004</v>
      </c>
      <c r="Q4834">
        <v>9.2713190000000001E-3</v>
      </c>
      <c r="R4834">
        <v>2.1180460000000002E-2</v>
      </c>
      <c r="S4834">
        <v>-2.9990839999999999</v>
      </c>
      <c r="T4834">
        <v>0.11117059999999999</v>
      </c>
      <c r="U4834">
        <v>3.2226560000000001E-2</v>
      </c>
      <c r="V4834">
        <v>1.4986620000000001E-2</v>
      </c>
      <c r="W4834">
        <v>1.998465E-2</v>
      </c>
      <c r="X4834">
        <v>0.99968800000000002</v>
      </c>
      <c r="Y4834">
        <v>4.5476079999999999E-3</v>
      </c>
      <c r="Z4834">
        <v>1.4542520000000001E-4</v>
      </c>
      <c r="AA4834">
        <v>0.99998960000000003</v>
      </c>
      <c r="AB4834">
        <v>22</v>
      </c>
      <c r="AC4834">
        <v>-2.9990839999999999</v>
      </c>
      <c r="AD4834">
        <v>0.11117059999999999</v>
      </c>
      <c r="AE4834">
        <v>3.2226560000000001E-2</v>
      </c>
      <c r="AF4834">
        <v>1.36173376539223E-2</v>
      </c>
      <c r="AG4834">
        <v>0.11117059999999999</v>
      </c>
      <c r="AH4834">
        <v>2.9951111832380799</v>
      </c>
      <c r="AI4834">
        <v>87.874330086616695</v>
      </c>
      <c r="AJ4834">
        <v>89.739505296399003</v>
      </c>
      <c r="AK4834">
        <v>2.99720458663518</v>
      </c>
      <c r="AL4834">
        <v>88.854887714803894</v>
      </c>
      <c r="AM4834">
        <v>89.141126273108</v>
      </c>
      <c r="AN4834">
        <v>1.00000004117932</v>
      </c>
    </row>
    <row r="4835" spans="1:40" x14ac:dyDescent="0.25">
      <c r="A4835" t="str">
        <f>"20190312160429951"</f>
        <v>20190312160429951</v>
      </c>
      <c r="B4835" t="str">
        <f>"1552377869939625"</f>
        <v>1552377869939625</v>
      </c>
      <c r="C4835" t="s">
        <v>40</v>
      </c>
      <c r="D4835">
        <v>4.5458850000000002</v>
      </c>
      <c r="E4835">
        <v>0.4189967</v>
      </c>
      <c r="F4835" t="s">
        <v>45</v>
      </c>
      <c r="G4835">
        <v>0</v>
      </c>
      <c r="H4835">
        <v>0</v>
      </c>
      <c r="I4835">
        <v>0</v>
      </c>
      <c r="J4835">
        <v>-240.29239999999999</v>
      </c>
      <c r="K4835">
        <v>1.109764</v>
      </c>
      <c r="L4835">
        <v>141.1095</v>
      </c>
      <c r="M4835">
        <v>-0.99992420000000004</v>
      </c>
      <c r="N4835">
        <v>0</v>
      </c>
      <c r="O4835">
        <v>6.306486E-3</v>
      </c>
      <c r="P4835">
        <v>-0.99980009999999997</v>
      </c>
      <c r="Q4835">
        <v>7.8358730000000001E-3</v>
      </c>
      <c r="R4835">
        <v>1.8404259999999999E-2</v>
      </c>
      <c r="S4835">
        <v>-2.9991759999999998</v>
      </c>
      <c r="T4835">
        <v>0.1090713</v>
      </c>
      <c r="U4835">
        <v>2.9556269999999999E-2</v>
      </c>
      <c r="V4835">
        <v>1.20976E-2</v>
      </c>
      <c r="W4835">
        <v>1.8421389999999999E-2</v>
      </c>
      <c r="X4835">
        <v>0.99975709999999995</v>
      </c>
      <c r="Y4835">
        <v>3.5494139999999999E-3</v>
      </c>
      <c r="Z4835">
        <v>1.64759E-4</v>
      </c>
      <c r="AA4835">
        <v>0.99999369999999999</v>
      </c>
      <c r="AB4835">
        <v>22</v>
      </c>
      <c r="AC4835">
        <v>-2.9991759999999998</v>
      </c>
      <c r="AD4835">
        <v>0.1090713</v>
      </c>
      <c r="AE4835">
        <v>2.9556269999999999E-2</v>
      </c>
      <c r="AF4835">
        <v>1.06263104885982E-2</v>
      </c>
      <c r="AG4835">
        <v>0.1090713</v>
      </c>
      <c r="AH4835">
        <v>2.9953416083720201</v>
      </c>
      <c r="AI4835">
        <v>87.914586451134198</v>
      </c>
      <c r="AJ4835">
        <v>89.796737645248001</v>
      </c>
      <c r="AK4835">
        <v>2.9973456286859799</v>
      </c>
      <c r="AL4835">
        <v>88.944472374147196</v>
      </c>
      <c r="AM4835">
        <v>89.306724008679296</v>
      </c>
      <c r="AN4835">
        <v>0.99999997926785</v>
      </c>
    </row>
    <row r="4836" spans="1:40" x14ac:dyDescent="0.25">
      <c r="A4836" t="str">
        <f>"20190312160429973"</f>
        <v>20190312160429973</v>
      </c>
      <c r="B4836" t="str">
        <f>"1552377869969881"</f>
        <v>1552377869969881</v>
      </c>
      <c r="C4836" t="s">
        <v>40</v>
      </c>
      <c r="D4836">
        <v>4.6101989999999997</v>
      </c>
      <c r="E4836">
        <v>0.4176105</v>
      </c>
      <c r="F4836" t="s">
        <v>41</v>
      </c>
      <c r="G4836">
        <v>-249.3083</v>
      </c>
      <c r="H4836" s="1">
        <v>-3.2186850000000002E-7</v>
      </c>
      <c r="I4836">
        <v>139.37469999999999</v>
      </c>
      <c r="J4836">
        <v>-240.52209999999999</v>
      </c>
      <c r="K4836">
        <v>1.109748</v>
      </c>
      <c r="L4836">
        <v>141.11099999999999</v>
      </c>
      <c r="M4836">
        <v>-0.99992440000000005</v>
      </c>
      <c r="N4836">
        <v>0</v>
      </c>
      <c r="O4836">
        <v>6.2855130000000004E-3</v>
      </c>
      <c r="P4836">
        <v>-0.99980519999999995</v>
      </c>
      <c r="Q4836">
        <v>8.1976259999999995E-3</v>
      </c>
      <c r="R4836">
        <v>1.7949130000000001E-2</v>
      </c>
      <c r="S4836">
        <v>-3.0141909999999998</v>
      </c>
      <c r="T4836">
        <v>-0.37101319999999999</v>
      </c>
      <c r="U4836">
        <v>-0.57995609999999997</v>
      </c>
      <c r="V4836">
        <v>1.166355E-2</v>
      </c>
      <c r="W4836">
        <v>1.8763220000000001E-2</v>
      </c>
      <c r="X4836">
        <v>0.99975590000000003</v>
      </c>
      <c r="Y4836">
        <v>-0.1936561</v>
      </c>
      <c r="Z4836">
        <v>-1.2530919999999999E-2</v>
      </c>
      <c r="AA4836">
        <v>0.98098949999999996</v>
      </c>
      <c r="AB4836">
        <v>22</v>
      </c>
      <c r="AC4836">
        <v>-8.7861999999999991</v>
      </c>
      <c r="AD4836">
        <v>-1.1097483218685</v>
      </c>
      <c r="AE4836">
        <v>-1.7363</v>
      </c>
      <c r="AF4836">
        <v>-1.76440464466598</v>
      </c>
      <c r="AG4836">
        <v>-1.1097483218685</v>
      </c>
      <c r="AH4836">
        <v>8.6424202630049702</v>
      </c>
      <c r="AI4836">
        <v>97.170819004850003</v>
      </c>
      <c r="AJ4836">
        <v>101.538728301925</v>
      </c>
      <c r="AK4836">
        <v>8.89022458042583</v>
      </c>
      <c r="AL4836">
        <v>88.924883570230094</v>
      </c>
      <c r="AM4836">
        <v>89.331594969075596</v>
      </c>
      <c r="AN4836">
        <v>0.99999997820409003</v>
      </c>
    </row>
    <row r="4837" spans="1:40" x14ac:dyDescent="0.25">
      <c r="A4837" t="str">
        <f>"20190312160429998"</f>
        <v>20190312160429998</v>
      </c>
      <c r="B4837" t="str">
        <f>"1552377869989401"</f>
        <v>1552377869989401</v>
      </c>
      <c r="C4837" t="s">
        <v>40</v>
      </c>
      <c r="D4837">
        <v>4.495368</v>
      </c>
      <c r="E4837">
        <v>0.42064960000000001</v>
      </c>
      <c r="F4837" t="s">
        <v>41</v>
      </c>
      <c r="G4837">
        <v>-267.33460000000002</v>
      </c>
      <c r="H4837" s="1">
        <v>-1.9142950000000001E-6</v>
      </c>
      <c r="I4837">
        <v>135.7782</v>
      </c>
      <c r="J4837">
        <v>-240.7602</v>
      </c>
      <c r="K4837">
        <v>1.109737</v>
      </c>
      <c r="L4837">
        <v>141.11240000000001</v>
      </c>
      <c r="M4837">
        <v>-0.99992479999999995</v>
      </c>
      <c r="N4837">
        <v>0</v>
      </c>
      <c r="O4837">
        <v>6.2695809999999998E-3</v>
      </c>
      <c r="P4837">
        <v>-0.99980749999999996</v>
      </c>
      <c r="Q4837">
        <v>8.5905990000000008E-3</v>
      </c>
      <c r="R4837">
        <v>1.7642040000000001E-2</v>
      </c>
      <c r="S4837">
        <v>-3.0123600000000001</v>
      </c>
      <c r="T4837">
        <v>-0.1246799</v>
      </c>
      <c r="U4837">
        <v>-0.59912109999999996</v>
      </c>
      <c r="V4837">
        <v>1.1372790000000001E-2</v>
      </c>
      <c r="W4837">
        <v>1.9131749999999999E-2</v>
      </c>
      <c r="X4837">
        <v>0.99975230000000004</v>
      </c>
      <c r="Y4837">
        <v>-0.20104179999999999</v>
      </c>
      <c r="Z4837">
        <v>-4.3753660000000003E-3</v>
      </c>
      <c r="AA4837">
        <v>0.97957289999999997</v>
      </c>
      <c r="AB4837">
        <v>22</v>
      </c>
      <c r="AC4837">
        <v>-26.574400000000001</v>
      </c>
      <c r="AD4837">
        <v>-1.109738914295</v>
      </c>
      <c r="AE4837">
        <v>-5.3342000000000098</v>
      </c>
      <c r="AF4837">
        <v>-5.4915091723501703</v>
      </c>
      <c r="AG4837">
        <v>-1.109738914295</v>
      </c>
      <c r="AH4837">
        <v>26.496016504133301</v>
      </c>
      <c r="AI4837">
        <v>92.348478509860399</v>
      </c>
      <c r="AJ4837">
        <v>101.70922251288</v>
      </c>
      <c r="AK4837">
        <v>27.081858947184799</v>
      </c>
      <c r="AL4837">
        <v>88.903764602659507</v>
      </c>
      <c r="AM4837">
        <v>89.348253799197195</v>
      </c>
      <c r="AN4837">
        <v>1.0000000127828601</v>
      </c>
    </row>
    <row r="4838" spans="1:40" x14ac:dyDescent="0.25">
      <c r="A4838" t="str">
        <f>"20190312160430020"</f>
        <v>20190312160430020</v>
      </c>
      <c r="B4838" t="str">
        <f>"1552377870009896"</f>
        <v>1552377870009896</v>
      </c>
      <c r="C4838" t="s">
        <v>40</v>
      </c>
      <c r="D4838">
        <v>4.298953</v>
      </c>
      <c r="E4838">
        <v>0.42036889999999999</v>
      </c>
      <c r="F4838" t="s">
        <v>41</v>
      </c>
      <c r="G4838">
        <v>-279.24169999999998</v>
      </c>
      <c r="H4838" s="1">
        <v>-1.807129E-6</v>
      </c>
      <c r="I4838">
        <v>133.74170000000001</v>
      </c>
      <c r="J4838">
        <v>-240.98609999999999</v>
      </c>
      <c r="K4838">
        <v>1.109729</v>
      </c>
      <c r="L4838">
        <v>141.1138</v>
      </c>
      <c r="M4838">
        <v>-0.99992510000000001</v>
      </c>
      <c r="N4838">
        <v>0</v>
      </c>
      <c r="O4838">
        <v>6.2615759999999996E-3</v>
      </c>
      <c r="P4838">
        <v>-0.99981779999999998</v>
      </c>
      <c r="Q4838">
        <v>8.7522350000000006E-3</v>
      </c>
      <c r="R4838">
        <v>1.6962540000000002E-2</v>
      </c>
      <c r="S4838">
        <v>-3.0115050000000001</v>
      </c>
      <c r="T4838">
        <v>-8.6846590000000001E-2</v>
      </c>
      <c r="U4838">
        <v>-0.57681269999999996</v>
      </c>
      <c r="V4838">
        <v>1.070144E-2</v>
      </c>
      <c r="W4838">
        <v>1.9264759999999999E-2</v>
      </c>
      <c r="X4838">
        <v>0.99975720000000001</v>
      </c>
      <c r="Y4838">
        <v>-0.19418279999999999</v>
      </c>
      <c r="Z4838">
        <v>-2.9531140000000002E-3</v>
      </c>
      <c r="AA4838">
        <v>0.98096090000000002</v>
      </c>
      <c r="AB4838">
        <v>22</v>
      </c>
      <c r="AC4838">
        <v>-38.255599999999902</v>
      </c>
      <c r="AD4838">
        <v>-1.109730807129</v>
      </c>
      <c r="AE4838">
        <v>-7.3720999999999801</v>
      </c>
      <c r="AF4838">
        <v>-7.6053384441609904</v>
      </c>
      <c r="AG4838">
        <v>-1.109730807129</v>
      </c>
      <c r="AH4838">
        <v>38.177710857251803</v>
      </c>
      <c r="AI4838">
        <v>91.632909327474295</v>
      </c>
      <c r="AJ4838">
        <v>101.26634055938899</v>
      </c>
      <c r="AK4838">
        <v>38.943680894523197</v>
      </c>
      <c r="AL4838">
        <v>88.896142333319105</v>
      </c>
      <c r="AM4838">
        <v>89.386727166449106</v>
      </c>
      <c r="AN4838">
        <v>1.0000000553738799</v>
      </c>
    </row>
    <row r="4839" spans="1:40" x14ac:dyDescent="0.25">
      <c r="A4839" t="str">
        <f>"20190312160430043"</f>
        <v>20190312160430043</v>
      </c>
      <c r="B4839" t="str">
        <f>"1552377870039685"</f>
        <v>1552377870039685</v>
      </c>
      <c r="C4839" t="s">
        <v>40</v>
      </c>
      <c r="D4839">
        <v>4.6623580000000002</v>
      </c>
      <c r="E4839">
        <v>0.42276570000000002</v>
      </c>
      <c r="F4839" t="s">
        <v>60</v>
      </c>
      <c r="G4839">
        <v>-286.96660000000003</v>
      </c>
      <c r="H4839" s="1">
        <v>-4.3843139999999996E-6</v>
      </c>
      <c r="I4839">
        <v>132.23230000000001</v>
      </c>
      <c r="J4839">
        <v>-241.2139</v>
      </c>
      <c r="K4839">
        <v>1.1097159999999999</v>
      </c>
      <c r="L4839">
        <v>141.11519999999999</v>
      </c>
      <c r="M4839">
        <v>-0.99992550000000002</v>
      </c>
      <c r="N4839">
        <v>0</v>
      </c>
      <c r="O4839">
        <v>6.2596689999999998E-3</v>
      </c>
      <c r="P4839">
        <v>-0.99981140000000002</v>
      </c>
      <c r="Q4839">
        <v>8.7027000000000007E-3</v>
      </c>
      <c r="R4839">
        <v>1.737081E-2</v>
      </c>
      <c r="S4839">
        <v>-3.0110320000000002</v>
      </c>
      <c r="T4839">
        <v>-7.2670940000000003E-2</v>
      </c>
      <c r="U4839">
        <v>-0.58160400000000001</v>
      </c>
      <c r="V4839">
        <v>1.1111970000000001E-2</v>
      </c>
      <c r="W4839">
        <v>1.91799E-2</v>
      </c>
      <c r="X4839">
        <v>0.99975429999999998</v>
      </c>
      <c r="Y4839">
        <v>-0.1957381</v>
      </c>
      <c r="Z4839">
        <v>-2.4897999999999999E-3</v>
      </c>
      <c r="AA4839">
        <v>0.980653</v>
      </c>
      <c r="AB4839">
        <v>22</v>
      </c>
      <c r="AC4839">
        <v>-45.752699999999997</v>
      </c>
      <c r="AD4839">
        <v>-1.109720384314</v>
      </c>
      <c r="AE4839">
        <v>-8.8828999999999692</v>
      </c>
      <c r="AF4839">
        <v>-9.1639431797954405</v>
      </c>
      <c r="AG4839">
        <v>-1.109720384314</v>
      </c>
      <c r="AH4839">
        <v>45.670304896237099</v>
      </c>
      <c r="AI4839">
        <v>91.364736300055597</v>
      </c>
      <c r="AJ4839">
        <v>101.345974837176</v>
      </c>
      <c r="AK4839">
        <v>46.5938416880294</v>
      </c>
      <c r="AL4839">
        <v>88.901005293201607</v>
      </c>
      <c r="AM4839">
        <v>89.363200770712197</v>
      </c>
      <c r="AN4839">
        <v>1.0000000024048901</v>
      </c>
    </row>
    <row r="4840" spans="1:40" x14ac:dyDescent="0.25">
      <c r="A4840" t="str">
        <f>"20190312160430063"</f>
        <v>20190312160430063</v>
      </c>
      <c r="B4840" t="str">
        <f>"1552377870060181"</f>
        <v>1552377870060181</v>
      </c>
      <c r="C4840" t="s">
        <v>40</v>
      </c>
      <c r="D4840">
        <v>4.7110200000000004</v>
      </c>
      <c r="E4840">
        <v>0.42452279999999998</v>
      </c>
      <c r="F4840" t="s">
        <v>60</v>
      </c>
      <c r="G4840">
        <v>-305.69850000000002</v>
      </c>
      <c r="H4840" s="1">
        <v>-5.5927379999999996E-6</v>
      </c>
      <c r="I4840">
        <v>129.08199999999999</v>
      </c>
      <c r="J4840">
        <v>-241.4161</v>
      </c>
      <c r="K4840">
        <v>1.1097079999999999</v>
      </c>
      <c r="L4840">
        <v>141.1165</v>
      </c>
      <c r="M4840">
        <v>-0.99992590000000003</v>
      </c>
      <c r="N4840">
        <v>0</v>
      </c>
      <c r="O4840">
        <v>6.2613790000000001E-3</v>
      </c>
      <c r="P4840">
        <v>-0.99981169999999997</v>
      </c>
      <c r="Q4840">
        <v>9.2483659999999992E-3</v>
      </c>
      <c r="R4840">
        <v>1.7069040000000001E-2</v>
      </c>
      <c r="S4840">
        <v>-3.0107729999999999</v>
      </c>
      <c r="T4840">
        <v>-5.1812650000000002E-2</v>
      </c>
      <c r="U4840">
        <v>-0.56182860000000001</v>
      </c>
      <c r="V4840">
        <v>1.0808750000000001E-2</v>
      </c>
      <c r="W4840">
        <v>1.96905E-2</v>
      </c>
      <c r="X4840">
        <v>0.99974770000000002</v>
      </c>
      <c r="Y4840">
        <v>-0.18956339999999999</v>
      </c>
      <c r="Z4840">
        <v>-1.7238760000000001E-3</v>
      </c>
      <c r="AA4840">
        <v>0.98186700000000005</v>
      </c>
      <c r="AB4840">
        <v>22</v>
      </c>
      <c r="AC4840">
        <v>-64.282399999999996</v>
      </c>
      <c r="AD4840">
        <v>-1.109713592738</v>
      </c>
      <c r="AE4840">
        <v>-12.0345</v>
      </c>
      <c r="AF4840">
        <v>-12.433202662536599</v>
      </c>
      <c r="AG4840">
        <v>-1.109713592738</v>
      </c>
      <c r="AH4840">
        <v>64.187302064661907</v>
      </c>
      <c r="AI4840">
        <v>90.972398741837594</v>
      </c>
      <c r="AJ4840">
        <v>100.962540701412</v>
      </c>
      <c r="AK4840">
        <v>65.389798432521303</v>
      </c>
      <c r="AL4840">
        <v>88.871744543218796</v>
      </c>
      <c r="AM4840">
        <v>89.380572089258607</v>
      </c>
      <c r="AN4840">
        <v>1.00000000426105</v>
      </c>
    </row>
    <row r="4841" spans="1:40" x14ac:dyDescent="0.25">
      <c r="A4841" t="str">
        <f>"20190312160430086"</f>
        <v>20190312160430086</v>
      </c>
      <c r="B4841" t="str">
        <f>"1552377870079700"</f>
        <v>1552377870079700</v>
      </c>
      <c r="C4841" t="s">
        <v>40</v>
      </c>
      <c r="D4841">
        <v>4.7252739999999998</v>
      </c>
      <c r="E4841">
        <v>0.42604700000000001</v>
      </c>
      <c r="F4841" t="s">
        <v>60</v>
      </c>
      <c r="G4841">
        <v>-313.26780000000002</v>
      </c>
      <c r="H4841">
        <v>7.9988030000000002E-2</v>
      </c>
      <c r="I4841">
        <v>128.01689999999999</v>
      </c>
      <c r="J4841">
        <v>-241.655</v>
      </c>
      <c r="K4841">
        <v>1.109702</v>
      </c>
      <c r="L4841">
        <v>141.11799999999999</v>
      </c>
      <c r="M4841">
        <v>-0.99992630000000005</v>
      </c>
      <c r="N4841">
        <v>0</v>
      </c>
      <c r="O4841">
        <v>6.265161E-3</v>
      </c>
      <c r="P4841">
        <v>-0.99981900000000001</v>
      </c>
      <c r="Q4841">
        <v>9.4498450000000001E-3</v>
      </c>
      <c r="R4841">
        <v>1.6522970000000001E-2</v>
      </c>
      <c r="S4841">
        <v>-3.0103300000000002</v>
      </c>
      <c r="T4841">
        <v>-4.3141600000000002E-2</v>
      </c>
      <c r="U4841">
        <v>-0.54882810000000004</v>
      </c>
      <c r="V4841">
        <v>1.0258979999999999E-2</v>
      </c>
      <c r="W4841">
        <v>1.984735E-2</v>
      </c>
      <c r="X4841">
        <v>0.99975040000000004</v>
      </c>
      <c r="Y4841">
        <v>-0.18549979999999999</v>
      </c>
      <c r="Z4841">
        <v>-1.4073499999999999E-3</v>
      </c>
      <c r="AA4841">
        <v>0.9826433</v>
      </c>
      <c r="AB4841">
        <v>22</v>
      </c>
      <c r="AC4841">
        <v>-71.612799999999993</v>
      </c>
      <c r="AD4841">
        <v>-1.02971397</v>
      </c>
      <c r="AE4841">
        <v>-13.101100000000001</v>
      </c>
      <c r="AF4841">
        <v>-13.546822686635201</v>
      </c>
      <c r="AG4841">
        <v>-1.02971397</v>
      </c>
      <c r="AH4841">
        <v>71.515002304596095</v>
      </c>
      <c r="AI4841">
        <v>90.810509105833802</v>
      </c>
      <c r="AJ4841">
        <v>100.726238762115</v>
      </c>
      <c r="AK4841">
        <v>72.794040074648507</v>
      </c>
      <c r="AL4841">
        <v>88.862755953735302</v>
      </c>
      <c r="AM4841">
        <v>89.412077628661194</v>
      </c>
      <c r="AN4841">
        <v>1.00000001313641</v>
      </c>
    </row>
    <row r="4842" spans="1:40" x14ac:dyDescent="0.25">
      <c r="A4842" t="str">
        <f>"20190312160430099"</f>
        <v>20190312160430099</v>
      </c>
      <c r="B4842" t="str">
        <f>"1552377870089461"</f>
        <v>1552377870089461</v>
      </c>
      <c r="C4842" t="s">
        <v>40</v>
      </c>
      <c r="D4842">
        <v>4.6936819999999999</v>
      </c>
      <c r="E4842">
        <v>0.42662250000000002</v>
      </c>
      <c r="F4842" t="s">
        <v>41</v>
      </c>
      <c r="G4842">
        <v>-325.29950000000002</v>
      </c>
      <c r="H4842">
        <v>7.9986899999999903E-2</v>
      </c>
      <c r="I4842">
        <v>126.15309999999999</v>
      </c>
      <c r="J4842">
        <v>-241.77860000000001</v>
      </c>
      <c r="K4842">
        <v>1.109699</v>
      </c>
      <c r="L4842">
        <v>141.11879999999999</v>
      </c>
      <c r="M4842">
        <v>-0.99992639999999999</v>
      </c>
      <c r="N4842">
        <v>0</v>
      </c>
      <c r="O4842">
        <v>6.2673249999999998E-3</v>
      </c>
      <c r="P4842">
        <v>-0.9998167</v>
      </c>
      <c r="Q4842">
        <v>9.7464490000000008E-3</v>
      </c>
      <c r="R4842">
        <v>1.6487209999999999E-2</v>
      </c>
      <c r="S4842">
        <v>-3.0097960000000001</v>
      </c>
      <c r="T4842">
        <v>-3.7052509999999997E-2</v>
      </c>
      <c r="U4842">
        <v>-0.53848269999999998</v>
      </c>
      <c r="V4842">
        <v>1.0221020000000001E-2</v>
      </c>
      <c r="W4842">
        <v>2.0120039999999999E-2</v>
      </c>
      <c r="X4842">
        <v>0.99974529999999995</v>
      </c>
      <c r="Y4842">
        <v>-0.18226600000000001</v>
      </c>
      <c r="Z4842">
        <v>-1.1895860000000001E-3</v>
      </c>
      <c r="AA4842">
        <v>0.98324849999999997</v>
      </c>
      <c r="AB4842">
        <v>23</v>
      </c>
      <c r="AC4842">
        <v>-83.520899999999997</v>
      </c>
      <c r="AD4842">
        <v>-1.0297121</v>
      </c>
      <c r="AE4842">
        <v>-14.965699999999901</v>
      </c>
      <c r="AF4842">
        <v>-15.4866061910749</v>
      </c>
      <c r="AG4842">
        <v>-1.0297121</v>
      </c>
      <c r="AH4842">
        <v>83.413175196304493</v>
      </c>
      <c r="AI4842">
        <v>90.695382069932194</v>
      </c>
      <c r="AJ4842">
        <v>100.517854721014</v>
      </c>
      <c r="AK4842">
        <v>84.844876537453501</v>
      </c>
      <c r="AL4842">
        <v>88.847128803241304</v>
      </c>
      <c r="AM4842">
        <v>89.414249903383904</v>
      </c>
      <c r="AN4842">
        <v>0.99999997506576499</v>
      </c>
    </row>
    <row r="4843" spans="1:40" x14ac:dyDescent="0.25">
      <c r="A4843" t="str">
        <f>"20190312160430119"</f>
        <v>20190312160430119</v>
      </c>
      <c r="B4843" t="str">
        <f>"1552377870109960"</f>
        <v>1552377870109960</v>
      </c>
      <c r="C4843" t="s">
        <v>40</v>
      </c>
      <c r="D4843">
        <v>4.7682769999999897</v>
      </c>
      <c r="E4843">
        <v>0.4276605</v>
      </c>
      <c r="F4843" t="s">
        <v>43</v>
      </c>
      <c r="G4843">
        <v>-346.7235</v>
      </c>
      <c r="H4843">
        <v>-0.05</v>
      </c>
      <c r="I4843">
        <v>122.4982</v>
      </c>
      <c r="J4843">
        <v>-241.98660000000001</v>
      </c>
      <c r="K4843">
        <v>1.1096889999999999</v>
      </c>
      <c r="L4843">
        <v>141.12010000000001</v>
      </c>
      <c r="M4843">
        <v>-0.99992689999999995</v>
      </c>
      <c r="N4843">
        <v>0</v>
      </c>
      <c r="O4843">
        <v>6.270065E-3</v>
      </c>
      <c r="P4843">
        <v>-0.99982199999999999</v>
      </c>
      <c r="Q4843">
        <v>9.9615309999999992E-3</v>
      </c>
      <c r="R4843">
        <v>1.6041039999999999E-2</v>
      </c>
      <c r="S4843">
        <v>-3.009674</v>
      </c>
      <c r="T4843">
        <v>-3.325856E-2</v>
      </c>
      <c r="U4843">
        <v>-0.53401180000000004</v>
      </c>
      <c r="V4843">
        <v>9.7724430000000004E-3</v>
      </c>
      <c r="W4843">
        <v>2.0293100000000001E-2</v>
      </c>
      <c r="X4843">
        <v>0.99974629999999998</v>
      </c>
      <c r="Y4843">
        <v>-0.18086260000000001</v>
      </c>
      <c r="Z4843">
        <v>-1.060304E-3</v>
      </c>
      <c r="AA4843">
        <v>0.98350780000000004</v>
      </c>
      <c r="AB4843">
        <v>23</v>
      </c>
      <c r="AC4843">
        <v>-104.73690000000001</v>
      </c>
      <c r="AD4843">
        <v>-1.159689</v>
      </c>
      <c r="AE4843">
        <v>-18.6219</v>
      </c>
      <c r="AF4843">
        <v>-19.275985394684401</v>
      </c>
      <c r="AG4843">
        <v>-1.159689</v>
      </c>
      <c r="AH4843">
        <v>104.60564272798899</v>
      </c>
      <c r="AI4843">
        <v>90.624655712921793</v>
      </c>
      <c r="AJ4843">
        <v>100.440931905683</v>
      </c>
      <c r="AK4843">
        <v>106.373159124135</v>
      </c>
      <c r="AL4843">
        <v>88.837211184870498</v>
      </c>
      <c r="AM4843">
        <v>89.439956009664201</v>
      </c>
      <c r="AN4843">
        <v>0.99999998745674401</v>
      </c>
    </row>
    <row r="4844" spans="1:40" x14ac:dyDescent="0.25">
      <c r="A4844" t="str">
        <f>"20190312160430132"</f>
        <v>20190312160430132</v>
      </c>
      <c r="B4844" t="str">
        <f>"1552377870119717"</f>
        <v>1552377870119717</v>
      </c>
      <c r="C4844" t="s">
        <v>40</v>
      </c>
      <c r="D4844">
        <v>4.7664600000000004</v>
      </c>
      <c r="E4844">
        <v>0.4280794</v>
      </c>
      <c r="F4844" t="s">
        <v>55</v>
      </c>
      <c r="G4844">
        <v>-368.22379999999998</v>
      </c>
      <c r="H4844">
        <v>-4.198578E-2</v>
      </c>
      <c r="I4844">
        <v>118.9997</v>
      </c>
      <c r="J4844">
        <v>-242.1181</v>
      </c>
      <c r="K4844">
        <v>1.1096839999999999</v>
      </c>
      <c r="L4844">
        <v>141.12090000000001</v>
      </c>
      <c r="M4844">
        <v>-0.99992720000000002</v>
      </c>
      <c r="N4844">
        <v>0</v>
      </c>
      <c r="O4844">
        <v>6.271408E-3</v>
      </c>
      <c r="P4844">
        <v>-0.99981989999999998</v>
      </c>
      <c r="Q4844">
        <v>9.9433909999999993E-3</v>
      </c>
      <c r="R4844">
        <v>1.617029E-2</v>
      </c>
      <c r="S4844">
        <v>-3.009293</v>
      </c>
      <c r="T4844">
        <v>-2.7453660000000001E-2</v>
      </c>
      <c r="U4844">
        <v>-0.52731319999999904</v>
      </c>
      <c r="V4844">
        <v>9.9001369999999998E-3</v>
      </c>
      <c r="W4844">
        <v>2.0247330000000001E-2</v>
      </c>
      <c r="X4844">
        <v>0.99974600000000002</v>
      </c>
      <c r="Y4844">
        <v>-0.17876529999999999</v>
      </c>
      <c r="Z4844">
        <v>-8.6604330000000004E-4</v>
      </c>
      <c r="AA4844">
        <v>0.98389139999999997</v>
      </c>
      <c r="AB4844">
        <v>23</v>
      </c>
      <c r="AC4844">
        <v>-126.105699999999</v>
      </c>
      <c r="AD4844">
        <v>-1.15166978</v>
      </c>
      <c r="AE4844">
        <v>-22.121200000000002</v>
      </c>
      <c r="AF4844">
        <v>-22.909813522537402</v>
      </c>
      <c r="AG4844">
        <v>-1.15166978</v>
      </c>
      <c r="AH4844">
        <v>125.95428988983601</v>
      </c>
      <c r="AI4844">
        <v>90.515416265959601</v>
      </c>
      <c r="AJ4844">
        <v>100.308824220178</v>
      </c>
      <c r="AK4844">
        <v>128.02604828929401</v>
      </c>
      <c r="AL4844">
        <v>88.839834184539598</v>
      </c>
      <c r="AM4844">
        <v>89.432638363885303</v>
      </c>
      <c r="AN4844">
        <v>1.0000000158003699</v>
      </c>
    </row>
    <row r="4845" spans="1:40" x14ac:dyDescent="0.25">
      <c r="A4845" t="str">
        <f>"20190312160430145"</f>
        <v>20190312160430145</v>
      </c>
      <c r="B4845" t="str">
        <f>"1552377870139603"</f>
        <v>1552377870139603</v>
      </c>
      <c r="C4845" t="s">
        <v>40</v>
      </c>
      <c r="D4845">
        <v>4.8283269999999998</v>
      </c>
      <c r="E4845">
        <v>0.42872460000000001</v>
      </c>
      <c r="F4845" t="s">
        <v>55</v>
      </c>
      <c r="G4845">
        <v>-368.61149999999998</v>
      </c>
      <c r="H4845">
        <v>4.2723980000000002E-2</v>
      </c>
      <c r="I4845">
        <v>119.1082</v>
      </c>
      <c r="J4845">
        <v>-242.2551</v>
      </c>
      <c r="K4845">
        <v>1.1096699999999999</v>
      </c>
      <c r="L4845">
        <v>141.12180000000001</v>
      </c>
      <c r="M4845">
        <v>-0.99992760000000003</v>
      </c>
      <c r="N4845">
        <v>0</v>
      </c>
      <c r="O4845">
        <v>6.2724010000000004E-3</v>
      </c>
      <c r="P4845">
        <v>-0.99982159999999998</v>
      </c>
      <c r="Q4845">
        <v>9.8445440000000002E-3</v>
      </c>
      <c r="R4845">
        <v>1.6125359999999998E-2</v>
      </c>
      <c r="S4845">
        <v>-3.009277</v>
      </c>
      <c r="T4845">
        <v>-2.5382640000000001E-2</v>
      </c>
      <c r="U4845">
        <v>-0.52368159999999997</v>
      </c>
      <c r="V4845">
        <v>9.8540769999999993E-3</v>
      </c>
      <c r="W4845">
        <v>2.011957E-2</v>
      </c>
      <c r="X4845">
        <v>0.999749</v>
      </c>
      <c r="Y4845">
        <v>-0.17761589999999999</v>
      </c>
      <c r="Z4845">
        <v>-7.9599789999999998E-4</v>
      </c>
      <c r="AA4845">
        <v>0.98409959999999996</v>
      </c>
      <c r="AB4845">
        <v>23</v>
      </c>
      <c r="AC4845">
        <v>-126.356399999999</v>
      </c>
      <c r="AD4845">
        <v>-1.0669460200000001</v>
      </c>
      <c r="AE4845">
        <v>-22.0136</v>
      </c>
      <c r="AF4845">
        <v>-22.804188665638101</v>
      </c>
      <c r="AG4845">
        <v>-1.0669460200000001</v>
      </c>
      <c r="AH4845">
        <v>126.20709518052701</v>
      </c>
      <c r="AI4845">
        <v>90.476645014853801</v>
      </c>
      <c r="AJ4845">
        <v>100.242187156155</v>
      </c>
      <c r="AK4845">
        <v>128.255215365357</v>
      </c>
      <c r="AL4845">
        <v>88.847155745089694</v>
      </c>
      <c r="AM4845">
        <v>89.435279514829801</v>
      </c>
      <c r="AN4845">
        <v>0.99999998146575297</v>
      </c>
    </row>
    <row r="4846" spans="1:40" x14ac:dyDescent="0.25">
      <c r="A4846" t="str">
        <f>"20190312160430164"</f>
        <v>20190312160430164</v>
      </c>
      <c r="B4846" t="str">
        <f>"1552377870160099"</f>
        <v>1552377870160099</v>
      </c>
      <c r="C4846" t="s">
        <v>40</v>
      </c>
      <c r="D4846">
        <v>4.7272049999999997</v>
      </c>
      <c r="E4846">
        <v>0.42946410000000002</v>
      </c>
      <c r="F4846" t="s">
        <v>55</v>
      </c>
      <c r="G4846">
        <v>-368.61149999999998</v>
      </c>
      <c r="H4846">
        <v>0.15731110000000001</v>
      </c>
      <c r="I4846">
        <v>119.3445</v>
      </c>
      <c r="J4846">
        <v>-242.43289999999999</v>
      </c>
      <c r="K4846">
        <v>1.1096629999999901</v>
      </c>
      <c r="L4846">
        <v>141.12289999999999</v>
      </c>
      <c r="M4846">
        <v>-0.99992800000000004</v>
      </c>
      <c r="N4846">
        <v>0</v>
      </c>
      <c r="O4846">
        <v>6.2734269999999998E-3</v>
      </c>
      <c r="P4846">
        <v>-0.99982329999999997</v>
      </c>
      <c r="Q4846">
        <v>9.6915820000000007E-3</v>
      </c>
      <c r="R4846">
        <v>1.6121480000000001E-2</v>
      </c>
      <c r="S4846">
        <v>-3.009125</v>
      </c>
      <c r="T4846">
        <v>-2.2679689999999999E-2</v>
      </c>
      <c r="U4846">
        <v>-0.51861570000000001</v>
      </c>
      <c r="V4846">
        <v>9.8494020000000002E-3</v>
      </c>
      <c r="W4846">
        <v>1.9930779999999999E-2</v>
      </c>
      <c r="X4846">
        <v>0.9997528</v>
      </c>
      <c r="Y4846">
        <v>-0.17601789999999901</v>
      </c>
      <c r="Z4846">
        <v>-7.0540229999999896E-4</v>
      </c>
      <c r="AA4846">
        <v>0.98438669999999995</v>
      </c>
      <c r="AB4846">
        <v>23</v>
      </c>
      <c r="AC4846">
        <v>-126.1786</v>
      </c>
      <c r="AD4846">
        <v>-0.95235189999999903</v>
      </c>
      <c r="AE4846">
        <v>-21.778399999999898</v>
      </c>
      <c r="AF4846">
        <v>-22.568336592334798</v>
      </c>
      <c r="AG4846">
        <v>-0.95235189999999903</v>
      </c>
      <c r="AH4846">
        <v>126.032512433101</v>
      </c>
      <c r="AI4846">
        <v>90.426163171243303</v>
      </c>
      <c r="AJ4846">
        <v>100.152218017308</v>
      </c>
      <c r="AK4846">
        <v>128.04073953584501</v>
      </c>
      <c r="AL4846">
        <v>88.857974753522797</v>
      </c>
      <c r="AM4846">
        <v>89.435549559145102</v>
      </c>
      <c r="AN4846">
        <v>0.99999995390950103</v>
      </c>
    </row>
    <row r="4847" spans="1:40" x14ac:dyDescent="0.25">
      <c r="A4847" t="str">
        <f>"20190312160430177"</f>
        <v>20190312160430177</v>
      </c>
      <c r="B4847" t="str">
        <f>"1552377870169862"</f>
        <v>1552377870169862</v>
      </c>
      <c r="C4847" t="s">
        <v>40</v>
      </c>
      <c r="D4847">
        <v>4.8568670000000003</v>
      </c>
      <c r="E4847">
        <v>0.42978820000000001</v>
      </c>
      <c r="F4847" t="s">
        <v>55</v>
      </c>
      <c r="G4847">
        <v>-368.61149999999998</v>
      </c>
      <c r="H4847">
        <v>0.1191043</v>
      </c>
      <c r="I4847">
        <v>119.6174</v>
      </c>
      <c r="J4847">
        <v>-242.57159999999999</v>
      </c>
      <c r="K4847">
        <v>1.1096569999999999</v>
      </c>
      <c r="L4847">
        <v>141.12379999999999</v>
      </c>
      <c r="M4847">
        <v>-0.99992809999999999</v>
      </c>
      <c r="N4847">
        <v>0</v>
      </c>
      <c r="O4847">
        <v>6.274099E-3</v>
      </c>
      <c r="P4847">
        <v>-0.99981469999999995</v>
      </c>
      <c r="Q4847">
        <v>9.9507610000000007E-3</v>
      </c>
      <c r="R4847">
        <v>1.6474030000000001E-2</v>
      </c>
      <c r="S4847">
        <v>-3.0090180000000002</v>
      </c>
      <c r="T4847">
        <v>-2.3621799999999998E-2</v>
      </c>
      <c r="U4847">
        <v>-0.51284790000000002</v>
      </c>
      <c r="V4847">
        <v>1.020121E-2</v>
      </c>
      <c r="W4847">
        <v>2.0163899999999998E-2</v>
      </c>
      <c r="X4847">
        <v>0.99974470000000004</v>
      </c>
      <c r="Y4847">
        <v>-0.1741907</v>
      </c>
      <c r="Z4847">
        <v>-7.2773199999999895E-4</v>
      </c>
      <c r="AA4847">
        <v>0.98471160000000002</v>
      </c>
      <c r="AB4847">
        <v>23</v>
      </c>
      <c r="AC4847">
        <v>-126.0399</v>
      </c>
      <c r="AD4847">
        <v>-0.99055269999999895</v>
      </c>
      <c r="AE4847">
        <v>-21.5063999999999</v>
      </c>
      <c r="AF4847">
        <v>-22.2954666546425</v>
      </c>
      <c r="AG4847">
        <v>-0.99055269999999895</v>
      </c>
      <c r="AH4847">
        <v>125.89492280060399</v>
      </c>
      <c r="AI4847">
        <v>90.443892240677599</v>
      </c>
      <c r="AJ4847">
        <v>100.04271822685</v>
      </c>
      <c r="AK4847">
        <v>127.857735843279</v>
      </c>
      <c r="AL4847">
        <v>88.844615394317202</v>
      </c>
      <c r="AM4847">
        <v>89.415384752683394</v>
      </c>
      <c r="AN4847">
        <v>1.00000005636338</v>
      </c>
    </row>
    <row r="4848" spans="1:40" x14ac:dyDescent="0.25">
      <c r="A4848" t="str">
        <f>"20190312160430198"</f>
        <v>20190312160430198</v>
      </c>
      <c r="B4848" t="str">
        <f>"1552377870189383"</f>
        <v>1552377870189383</v>
      </c>
      <c r="C4848" t="s">
        <v>40</v>
      </c>
      <c r="D4848">
        <v>4.8705629999999998</v>
      </c>
      <c r="E4848">
        <v>0.43027399999999999</v>
      </c>
      <c r="F4848" t="s">
        <v>55</v>
      </c>
      <c r="G4848">
        <v>-368.73939999999999</v>
      </c>
      <c r="H4848">
        <v>0.1998586</v>
      </c>
      <c r="I4848">
        <v>119.7689</v>
      </c>
      <c r="J4848">
        <v>-242.78460000000001</v>
      </c>
      <c r="K4848">
        <v>1.1096549999999901</v>
      </c>
      <c r="L4848">
        <v>141.1251</v>
      </c>
      <c r="M4848">
        <v>-0.9999287</v>
      </c>
      <c r="N4848">
        <v>0</v>
      </c>
      <c r="O4848">
        <v>6.2742880000000003E-3</v>
      </c>
      <c r="P4848">
        <v>-0.99980190000000002</v>
      </c>
      <c r="Q4848">
        <v>9.8562900000000002E-3</v>
      </c>
      <c r="R4848">
        <v>1.7310579999999999E-2</v>
      </c>
      <c r="S4848">
        <v>-3.0091549999999998</v>
      </c>
      <c r="T4848">
        <v>-2.169871E-2</v>
      </c>
      <c r="U4848">
        <v>-0.50932310000000003</v>
      </c>
      <c r="V4848">
        <v>1.10378E-2</v>
      </c>
      <c r="W4848">
        <v>2.00328E-2</v>
      </c>
      <c r="X4848">
        <v>0.99973840000000003</v>
      </c>
      <c r="Y4848">
        <v>-0.1730631</v>
      </c>
      <c r="Z4848">
        <v>-6.6448750000000002E-4</v>
      </c>
      <c r="AA4848">
        <v>0.98491050000000002</v>
      </c>
      <c r="AB4848">
        <v>23</v>
      </c>
      <c r="AC4848">
        <v>-125.954799999999</v>
      </c>
      <c r="AD4848">
        <v>-0.90979639999999895</v>
      </c>
      <c r="AE4848">
        <v>-21.356200000000001</v>
      </c>
      <c r="AF4848">
        <v>-22.144973957177601</v>
      </c>
      <c r="AG4848">
        <v>-0.90979639999999895</v>
      </c>
      <c r="AH4848">
        <v>125.811937894888</v>
      </c>
      <c r="AI4848">
        <v>90.408048844773603</v>
      </c>
      <c r="AJ4848">
        <v>99.982744931984698</v>
      </c>
      <c r="AK4848">
        <v>127.749251731353</v>
      </c>
      <c r="AL4848">
        <v>88.852128331798795</v>
      </c>
      <c r="AM4848">
        <v>89.367440862172003</v>
      </c>
      <c r="AN4848">
        <v>1.00000000726962</v>
      </c>
    </row>
    <row r="4849" spans="1:40" x14ac:dyDescent="0.25">
      <c r="A4849" t="str">
        <f>"20190312160430221"</f>
        <v>20190312160430221</v>
      </c>
      <c r="B4849" t="str">
        <f>"1552377870209876"</f>
        <v>1552377870209876</v>
      </c>
      <c r="C4849" t="s">
        <v>40</v>
      </c>
      <c r="D4849">
        <v>4.883553</v>
      </c>
      <c r="E4849">
        <v>0.4306162</v>
      </c>
      <c r="F4849" t="s">
        <v>55</v>
      </c>
      <c r="G4849">
        <v>-370.5831</v>
      </c>
      <c r="H4849">
        <v>0.24884590000000001</v>
      </c>
      <c r="I4849">
        <v>119.7689</v>
      </c>
      <c r="J4849">
        <v>-243.01439999999999</v>
      </c>
      <c r="K4849">
        <v>1.109658</v>
      </c>
      <c r="L4849">
        <v>141.1266</v>
      </c>
      <c r="M4849">
        <v>-0.99992899999999996</v>
      </c>
      <c r="N4849">
        <v>0</v>
      </c>
      <c r="O4849">
        <v>6.2744840000000003E-3</v>
      </c>
      <c r="P4849">
        <v>-0.99978979999999995</v>
      </c>
      <c r="Q4849">
        <v>1.0298679999999999E-2</v>
      </c>
      <c r="R4849">
        <v>1.772746E-2</v>
      </c>
      <c r="S4849">
        <v>-3.009506</v>
      </c>
      <c r="T4849">
        <v>-2.0270710000000001E-2</v>
      </c>
      <c r="U4849">
        <v>-0.50291439999999998</v>
      </c>
      <c r="V4849">
        <v>1.1454529999999999E-2</v>
      </c>
      <c r="W4849">
        <v>2.0436119999999999E-2</v>
      </c>
      <c r="X4849">
        <v>0.99972550000000004</v>
      </c>
      <c r="Y4849">
        <v>-0.17100489999999999</v>
      </c>
      <c r="Z4849">
        <v>-6.1391319999999996E-4</v>
      </c>
      <c r="AA4849">
        <v>0.98526999999999998</v>
      </c>
      <c r="AB4849">
        <v>23</v>
      </c>
      <c r="AC4849">
        <v>-127.56870000000001</v>
      </c>
      <c r="AD4849">
        <v>-0.86081209999999997</v>
      </c>
      <c r="AE4849">
        <v>-21.357699999999902</v>
      </c>
      <c r="AF4849">
        <v>-22.1567670161885</v>
      </c>
      <c r="AG4849">
        <v>-0.86081209999999997</v>
      </c>
      <c r="AH4849">
        <v>127.426529215394</v>
      </c>
      <c r="AI4849">
        <v>90.381326359180093</v>
      </c>
      <c r="AJ4849">
        <v>99.863900355525701</v>
      </c>
      <c r="AK4849">
        <v>129.341345554941</v>
      </c>
      <c r="AL4849">
        <v>88.829015008515398</v>
      </c>
      <c r="AM4849">
        <v>89.343552296692707</v>
      </c>
      <c r="AN4849">
        <v>0.99999995830421096</v>
      </c>
    </row>
    <row r="4850" spans="1:40" x14ac:dyDescent="0.25">
      <c r="A4850" t="str">
        <f>"20190312160430243"</f>
        <v>20190312160430243</v>
      </c>
      <c r="B4850" t="str">
        <f>"1552377870229903"</f>
        <v>1552377870229903</v>
      </c>
      <c r="C4850" t="s">
        <v>40</v>
      </c>
      <c r="D4850">
        <v>4.9297959999999996</v>
      </c>
      <c r="E4850">
        <v>0.43083700000000003</v>
      </c>
      <c r="F4850" t="s">
        <v>96</v>
      </c>
      <c r="G4850">
        <v>-371.35239999999999</v>
      </c>
      <c r="H4850">
        <v>0.31789109999999998</v>
      </c>
      <c r="I4850">
        <v>119.8498</v>
      </c>
      <c r="J4850">
        <v>-243.2398</v>
      </c>
      <c r="K4850">
        <v>1.109658</v>
      </c>
      <c r="L4850">
        <v>141.12799999999999</v>
      </c>
      <c r="M4850">
        <v>-0.99992950000000003</v>
      </c>
      <c r="N4850">
        <v>0</v>
      </c>
      <c r="O4850">
        <v>6.2738489999999997E-3</v>
      </c>
      <c r="P4850">
        <v>-0.9997838</v>
      </c>
      <c r="Q4850">
        <v>1.029335E-2</v>
      </c>
      <c r="R4850">
        <v>1.808413E-2</v>
      </c>
      <c r="S4850">
        <v>-3.0096590000000001</v>
      </c>
      <c r="T4850">
        <v>-1.856768E-2</v>
      </c>
      <c r="U4850">
        <v>-0.49896239999999997</v>
      </c>
      <c r="V4850">
        <v>1.1811840000000001E-2</v>
      </c>
      <c r="W4850">
        <v>2.0390829999999999E-2</v>
      </c>
      <c r="X4850">
        <v>0.99972229999999995</v>
      </c>
      <c r="Y4850">
        <v>-0.16973779999999999</v>
      </c>
      <c r="Z4850">
        <v>-5.5848289999999999E-4</v>
      </c>
      <c r="AA4850">
        <v>0.98548910000000001</v>
      </c>
      <c r="AB4850">
        <v>23</v>
      </c>
      <c r="AC4850">
        <v>-128.11259999999999</v>
      </c>
      <c r="AD4850">
        <v>-0.79176689999999905</v>
      </c>
      <c r="AE4850">
        <v>-21.278199999999899</v>
      </c>
      <c r="AF4850">
        <v>-22.080760398367701</v>
      </c>
      <c r="AG4850">
        <v>-0.79176689999999905</v>
      </c>
      <c r="AH4850">
        <v>127.971818673033</v>
      </c>
      <c r="AI4850">
        <v>90.349325135904493</v>
      </c>
      <c r="AJ4850">
        <v>99.789647863687605</v>
      </c>
      <c r="AK4850">
        <v>129.86521185089401</v>
      </c>
      <c r="AL4850">
        <v>88.831610513887398</v>
      </c>
      <c r="AM4850">
        <v>89.323074926626305</v>
      </c>
      <c r="AN4850">
        <v>0.99999999131478201</v>
      </c>
    </row>
    <row r="4851" spans="1:40" x14ac:dyDescent="0.25">
      <c r="A4851" t="str">
        <f>"20190312160430266"</f>
        <v>20190312160430266</v>
      </c>
      <c r="B4851" t="str">
        <f>"1552377870260159"</f>
        <v>1552377870260159</v>
      </c>
      <c r="C4851" t="s">
        <v>40</v>
      </c>
      <c r="D4851">
        <v>5.0737329999999998</v>
      </c>
      <c r="E4851">
        <v>0.47686430000000002</v>
      </c>
      <c r="F4851" t="s">
        <v>96</v>
      </c>
      <c r="G4851">
        <v>-371.35239999999999</v>
      </c>
      <c r="H4851">
        <v>0.38996789999999998</v>
      </c>
      <c r="I4851">
        <v>120.0076</v>
      </c>
      <c r="J4851">
        <v>-243.47190000000001</v>
      </c>
      <c r="K4851">
        <v>1.1096549999999901</v>
      </c>
      <c r="L4851">
        <v>141.1294</v>
      </c>
      <c r="M4851">
        <v>-0.99992979999999998</v>
      </c>
      <c r="N4851">
        <v>0</v>
      </c>
      <c r="O4851">
        <v>6.2701529999999997E-3</v>
      </c>
      <c r="P4851">
        <v>-0.99978239999999996</v>
      </c>
      <c r="Q4851">
        <v>1.0036990000000001E-2</v>
      </c>
      <c r="R4851">
        <v>1.8300400000000001E-2</v>
      </c>
      <c r="S4851">
        <v>-3.0097809999999998</v>
      </c>
      <c r="T4851">
        <v>-1.6907809999999999E-2</v>
      </c>
      <c r="U4851">
        <v>-0.4961853</v>
      </c>
      <c r="V4851">
        <v>1.203185E-2</v>
      </c>
      <c r="W4851">
        <v>2.009526E-2</v>
      </c>
      <c r="X4851">
        <v>0.99972570000000005</v>
      </c>
      <c r="Y4851">
        <v>-0.1688431</v>
      </c>
      <c r="Z4851">
        <v>-5.0605849999999896E-4</v>
      </c>
      <c r="AA4851">
        <v>0.98564280000000004</v>
      </c>
      <c r="AB4851">
        <v>23</v>
      </c>
      <c r="AC4851">
        <v>-127.880499999999</v>
      </c>
      <c r="AD4851">
        <v>-0.71968709999999902</v>
      </c>
      <c r="AE4851">
        <v>-21.1218</v>
      </c>
      <c r="AF4851">
        <v>-21.9225796841387</v>
      </c>
      <c r="AG4851">
        <v>-0.71968709999999902</v>
      </c>
      <c r="AH4851">
        <v>127.74160388982</v>
      </c>
      <c r="AI4851">
        <v>90.318145963411098</v>
      </c>
      <c r="AJ4851">
        <v>99.738043880771698</v>
      </c>
      <c r="AK4851">
        <v>129.61109062835999</v>
      </c>
      <c r="AL4851">
        <v>88.848548943140202</v>
      </c>
      <c r="AM4851">
        <v>89.310469918377393</v>
      </c>
      <c r="AN4851">
        <v>1.0000000300646801</v>
      </c>
    </row>
    <row r="4852" spans="1:40" x14ac:dyDescent="0.25">
      <c r="A4852" t="str">
        <f>"20190312160430288"</f>
        <v>20190312160430288</v>
      </c>
      <c r="B4852" t="str">
        <f>"1552377870279678"</f>
        <v>1552377870279678</v>
      </c>
      <c r="C4852" t="s">
        <v>40</v>
      </c>
      <c r="D4852">
        <v>4.9922930000000001</v>
      </c>
      <c r="E4852">
        <v>0.49135390000000001</v>
      </c>
      <c r="F4852" t="s">
        <v>60</v>
      </c>
      <c r="G4852">
        <v>-319.30270000000002</v>
      </c>
      <c r="H4852" s="1">
        <v>-5.1051539999999998E-6</v>
      </c>
      <c r="I4852">
        <v>137.90639999999999</v>
      </c>
      <c r="J4852">
        <v>-243.70070000000001</v>
      </c>
      <c r="K4852">
        <v>1.1096629999999901</v>
      </c>
      <c r="L4852">
        <v>141.1309</v>
      </c>
      <c r="M4852">
        <v>-0.99993019999999999</v>
      </c>
      <c r="N4852">
        <v>0</v>
      </c>
      <c r="O4852">
        <v>6.2557649999999999E-3</v>
      </c>
      <c r="P4852">
        <v>-0.99976940000000003</v>
      </c>
      <c r="Q4852">
        <v>9.7855979999999995E-3</v>
      </c>
      <c r="R4852">
        <v>1.9124490000000001E-2</v>
      </c>
      <c r="S4852">
        <v>-3.0034480000000001</v>
      </c>
      <c r="T4852">
        <v>-4.395056E-2</v>
      </c>
      <c r="U4852">
        <v>-0.12765499999999999</v>
      </c>
      <c r="V4852">
        <v>1.286999E-2</v>
      </c>
      <c r="W4852">
        <v>1.9810640000000001E-2</v>
      </c>
      <c r="X4852">
        <v>0.99972090000000002</v>
      </c>
      <c r="Y4852">
        <v>-4.8708220000000003E-2</v>
      </c>
      <c r="Z4852">
        <v>-4.4770660000000001E-4</v>
      </c>
      <c r="AA4852">
        <v>0.99881299999999995</v>
      </c>
      <c r="AB4852">
        <v>23</v>
      </c>
      <c r="AC4852">
        <v>-75.602000000000004</v>
      </c>
      <c r="AD4852">
        <v>-1.1096681051539901</v>
      </c>
      <c r="AE4852">
        <v>-3.2244999999999999</v>
      </c>
      <c r="AF4852">
        <v>-3.6966140617716601</v>
      </c>
      <c r="AG4852">
        <v>-1.1096681051539901</v>
      </c>
      <c r="AH4852">
        <v>75.5640980644297</v>
      </c>
      <c r="AI4852">
        <v>90.840330327610502</v>
      </c>
      <c r="AJ4852">
        <v>92.800690702485198</v>
      </c>
      <c r="AK4852">
        <v>75.6626012975766</v>
      </c>
      <c r="AL4852">
        <v>88.864859666859502</v>
      </c>
      <c r="AM4852">
        <v>89.262438769242294</v>
      </c>
      <c r="AN4852">
        <v>0.99999998799830903</v>
      </c>
    </row>
    <row r="4853" spans="1:40" x14ac:dyDescent="0.25">
      <c r="A4853" t="str">
        <f>"20190312160430302"</f>
        <v>20190312160430302</v>
      </c>
      <c r="B4853" t="str">
        <f>"1552377870289439"</f>
        <v>1552377870289439</v>
      </c>
      <c r="C4853" t="s">
        <v>40</v>
      </c>
      <c r="D4853">
        <v>4.9744900000000003</v>
      </c>
      <c r="E4853">
        <v>0.49412430000000002</v>
      </c>
      <c r="F4853" t="s">
        <v>60</v>
      </c>
      <c r="G4853">
        <v>-288.29880000000003</v>
      </c>
      <c r="H4853" s="1">
        <v>-8.3429799999999999E-6</v>
      </c>
      <c r="I4853">
        <v>140.9975</v>
      </c>
      <c r="J4853">
        <v>-243.845</v>
      </c>
      <c r="K4853">
        <v>1.1096710000000001</v>
      </c>
      <c r="L4853">
        <v>141.1317</v>
      </c>
      <c r="M4853">
        <v>-0.9999306</v>
      </c>
      <c r="N4853">
        <v>0</v>
      </c>
      <c r="O4853">
        <v>6.2364589999999998E-3</v>
      </c>
      <c r="P4853">
        <v>-0.99976620000000005</v>
      </c>
      <c r="Q4853">
        <v>9.9577840000000008E-3</v>
      </c>
      <c r="R4853">
        <v>1.9208039999999999E-2</v>
      </c>
      <c r="S4853">
        <v>-3.0016020000000001</v>
      </c>
      <c r="T4853">
        <v>-7.4684619999999993E-2</v>
      </c>
      <c r="U4853">
        <v>-8.9721680000000009E-3</v>
      </c>
      <c r="V4853">
        <v>1.2972549999999999E-2</v>
      </c>
      <c r="W4853">
        <v>1.9963669999999999E-2</v>
      </c>
      <c r="X4853">
        <v>0.99971650000000001</v>
      </c>
      <c r="Y4853">
        <v>-9.2210139999999996E-3</v>
      </c>
      <c r="Z4853">
        <v>-2.698547E-4</v>
      </c>
      <c r="AA4853">
        <v>0.9999574</v>
      </c>
      <c r="AB4853">
        <v>23</v>
      </c>
      <c r="AC4853">
        <v>-44.453800000000001</v>
      </c>
      <c r="AD4853">
        <v>-1.10967934297999</v>
      </c>
      <c r="AE4853">
        <v>-0.13419999999999199</v>
      </c>
      <c r="AF4853">
        <v>-0.411189318979086</v>
      </c>
      <c r="AG4853">
        <v>-1.10967934297999</v>
      </c>
      <c r="AH4853">
        <v>44.424416607770198</v>
      </c>
      <c r="AI4853">
        <v>91.430834831397206</v>
      </c>
      <c r="AJ4853">
        <v>90.530310617356406</v>
      </c>
      <c r="AK4853">
        <v>44.440176145476897</v>
      </c>
      <c r="AL4853">
        <v>88.856089924650405</v>
      </c>
      <c r="AM4853">
        <v>89.256558583644605</v>
      </c>
      <c r="AN4853">
        <v>0.99999995777280903</v>
      </c>
    </row>
    <row r="4854" spans="1:40" x14ac:dyDescent="0.25">
      <c r="A4854" t="str">
        <f>"20190312160430319"</f>
        <v>20190312160430319</v>
      </c>
      <c r="B4854" t="str">
        <f>"1552377870309934"</f>
        <v>1552377870309934</v>
      </c>
      <c r="C4854" t="s">
        <v>40</v>
      </c>
      <c r="D4854">
        <v>4.9899389999999997</v>
      </c>
      <c r="E4854">
        <v>0.49769740000000001</v>
      </c>
      <c r="F4854" t="s">
        <v>60</v>
      </c>
      <c r="G4854">
        <v>-280.42840000000001</v>
      </c>
      <c r="H4854" s="1">
        <v>-4.3520269999999997E-6</v>
      </c>
      <c r="I4854">
        <v>141.29900000000001</v>
      </c>
      <c r="J4854">
        <v>-244.02619999999999</v>
      </c>
      <c r="K4854">
        <v>1.109674</v>
      </c>
      <c r="L4854">
        <v>141.13290000000001</v>
      </c>
      <c r="M4854">
        <v>-0.99993100000000001</v>
      </c>
      <c r="N4854">
        <v>0</v>
      </c>
      <c r="O4854">
        <v>6.2038409999999999E-3</v>
      </c>
      <c r="P4854">
        <v>-0.99975910000000001</v>
      </c>
      <c r="Q4854">
        <v>1.0702130000000001E-2</v>
      </c>
      <c r="R4854">
        <v>1.917263E-2</v>
      </c>
      <c r="S4854">
        <v>-3.0013429999999999</v>
      </c>
      <c r="T4854">
        <v>-9.1038820000000006E-2</v>
      </c>
      <c r="U4854">
        <v>1.371765E-2</v>
      </c>
      <c r="V4854">
        <v>1.296921E-2</v>
      </c>
      <c r="W4854">
        <v>2.0686889999999999E-2</v>
      </c>
      <c r="X4854">
        <v>0.99970190000000003</v>
      </c>
      <c r="Y4854">
        <v>-1.6301130000000001E-3</v>
      </c>
      <c r="Z4854">
        <v>-2.128598E-4</v>
      </c>
      <c r="AA4854">
        <v>0.99999859999999896</v>
      </c>
      <c r="AB4854">
        <v>23</v>
      </c>
      <c r="AC4854">
        <v>-36.402200000000001</v>
      </c>
      <c r="AD4854">
        <v>-1.1096783520269999</v>
      </c>
      <c r="AE4854">
        <v>0.1661</v>
      </c>
      <c r="AF4854">
        <v>-5.9692425660371098E-2</v>
      </c>
      <c r="AG4854">
        <v>-1.1096783520269999</v>
      </c>
      <c r="AH4854">
        <v>36.368734474843599</v>
      </c>
      <c r="AI4854">
        <v>91.7476572154644</v>
      </c>
      <c r="AJ4854">
        <v>90.094040142926701</v>
      </c>
      <c r="AK4854">
        <v>36.385708685311002</v>
      </c>
      <c r="AL4854">
        <v>88.814643978233605</v>
      </c>
      <c r="AM4854">
        <v>89.256739120129396</v>
      </c>
      <c r="AN4854">
        <v>1.0000000183447499</v>
      </c>
    </row>
    <row r="4855" spans="1:40" x14ac:dyDescent="0.25">
      <c r="A4855" t="str">
        <f>"20190312160430333"</f>
        <v>20190312160430333</v>
      </c>
      <c r="B4855" t="str">
        <f>"1552377870329961"</f>
        <v>1552377870329961</v>
      </c>
      <c r="C4855" t="s">
        <v>40</v>
      </c>
      <c r="D4855">
        <v>4.9459739999999996</v>
      </c>
      <c r="E4855">
        <v>0.49955490000000002</v>
      </c>
      <c r="F4855" t="s">
        <v>41</v>
      </c>
      <c r="G4855">
        <v>-276.30119999999999</v>
      </c>
      <c r="H4855" s="1">
        <v>-2.0945149999999998E-6</v>
      </c>
      <c r="I4855">
        <v>141.5908</v>
      </c>
      <c r="J4855">
        <v>-244.17339999999999</v>
      </c>
      <c r="K4855">
        <v>1.1096809999999999</v>
      </c>
      <c r="L4855">
        <v>141.1337</v>
      </c>
      <c r="M4855">
        <v>-0.99993140000000003</v>
      </c>
      <c r="N4855">
        <v>0</v>
      </c>
      <c r="O4855">
        <v>6.1693669999999898E-3</v>
      </c>
      <c r="P4855">
        <v>-0.9997568</v>
      </c>
      <c r="Q4855">
        <v>1.079715E-2</v>
      </c>
      <c r="R4855">
        <v>1.9251879999999999E-2</v>
      </c>
      <c r="S4855">
        <v>-3.0009920000000001</v>
      </c>
      <c r="T4855">
        <v>-0.1031802</v>
      </c>
      <c r="U4855">
        <v>4.2587279999999998E-2</v>
      </c>
      <c r="V4855">
        <v>1.308261E-2</v>
      </c>
      <c r="W4855">
        <v>2.076412E-2</v>
      </c>
      <c r="X4855">
        <v>0.9996988</v>
      </c>
      <c r="Y4855">
        <v>8.0192249999999996E-3</v>
      </c>
      <c r="Z4855" s="1">
        <v>-7.4238249999999993E-5</v>
      </c>
      <c r="AA4855">
        <v>0.99996779999999996</v>
      </c>
      <c r="AB4855">
        <v>23</v>
      </c>
      <c r="AC4855">
        <v>-32.127800000000001</v>
      </c>
      <c r="AD4855">
        <v>-1.109683094515</v>
      </c>
      <c r="AE4855">
        <v>0.45709999999999701</v>
      </c>
      <c r="AF4855">
        <v>0.25856488345739298</v>
      </c>
      <c r="AG4855">
        <v>-1.109683094515</v>
      </c>
      <c r="AH4855">
        <v>32.091731389012999</v>
      </c>
      <c r="AI4855">
        <v>91.980347332067495</v>
      </c>
      <c r="AJ4855">
        <v>89.538374673067693</v>
      </c>
      <c r="AK4855">
        <v>32.111952228317897</v>
      </c>
      <c r="AL4855">
        <v>88.810218049245407</v>
      </c>
      <c r="AM4855">
        <v>89.250238619847906</v>
      </c>
      <c r="AN4855">
        <v>0.999999997042613</v>
      </c>
    </row>
    <row r="4856" spans="1:40" x14ac:dyDescent="0.25">
      <c r="A4856" t="str">
        <f>"20190312160430354"</f>
        <v>20190312160430354</v>
      </c>
      <c r="B4856" t="str">
        <f>"1552377870349481"</f>
        <v>1552377870349481</v>
      </c>
      <c r="C4856" t="s">
        <v>40</v>
      </c>
      <c r="D4856">
        <v>4.9974610000000004</v>
      </c>
      <c r="E4856">
        <v>0.50097499999999995</v>
      </c>
      <c r="F4856" t="s">
        <v>41</v>
      </c>
      <c r="G4856">
        <v>-273.64940000000001</v>
      </c>
      <c r="H4856" s="1">
        <v>-3.261905E-6</v>
      </c>
      <c r="I4856">
        <v>141.7028</v>
      </c>
      <c r="J4856">
        <v>-244.3741</v>
      </c>
      <c r="K4856">
        <v>1.1096900000000001</v>
      </c>
      <c r="L4856">
        <v>141.13489999999999</v>
      </c>
      <c r="M4856">
        <v>-0.99993189999999998</v>
      </c>
      <c r="N4856">
        <v>0</v>
      </c>
      <c r="O4856">
        <v>6.1081809999999999E-3</v>
      </c>
      <c r="P4856">
        <v>-0.99975820000000004</v>
      </c>
      <c r="Q4856">
        <v>1.0878779999999999E-2</v>
      </c>
      <c r="R4856">
        <v>1.9108819999999999E-2</v>
      </c>
      <c r="S4856">
        <v>-3.000839</v>
      </c>
      <c r="T4856">
        <v>-0.112972699999999</v>
      </c>
      <c r="U4856">
        <v>5.7937620000000002E-2</v>
      </c>
      <c r="V4856">
        <v>1.299983E-2</v>
      </c>
      <c r="W4856">
        <v>2.0820370000000001E-2</v>
      </c>
      <c r="X4856">
        <v>0.99969870000000005</v>
      </c>
      <c r="Y4856">
        <v>1.3190820000000001E-2</v>
      </c>
      <c r="Z4856" s="1">
        <v>1.8327729999999999E-5</v>
      </c>
      <c r="AA4856">
        <v>0.99991300000000005</v>
      </c>
      <c r="AB4856">
        <v>23</v>
      </c>
      <c r="AC4856">
        <v>-29.275300000000001</v>
      </c>
      <c r="AD4856">
        <v>-1.109693261905</v>
      </c>
      <c r="AE4856">
        <v>0.56790000000000795</v>
      </c>
      <c r="AF4856">
        <v>0.38850373052436399</v>
      </c>
      <c r="AG4856">
        <v>-1.109693261905</v>
      </c>
      <c r="AH4856">
        <v>29.236231339446999</v>
      </c>
      <c r="AI4856">
        <v>92.173489066587805</v>
      </c>
      <c r="AJ4856">
        <v>89.238673625726804</v>
      </c>
      <c r="AK4856">
        <v>29.259862904973001</v>
      </c>
      <c r="AL4856">
        <v>88.806994452874605</v>
      </c>
      <c r="AM4856">
        <v>89.254982111722001</v>
      </c>
      <c r="AN4856">
        <v>0.99999998708432702</v>
      </c>
    </row>
    <row r="4857" spans="1:40" x14ac:dyDescent="0.25">
      <c r="A4857" t="str">
        <f>"20190312160430366"</f>
        <v>20190312160430366</v>
      </c>
      <c r="B4857" t="str">
        <f>"1552377870360218"</f>
        <v>1552377870360218</v>
      </c>
      <c r="C4857" t="s">
        <v>40</v>
      </c>
      <c r="D4857">
        <v>5.0625090000000004</v>
      </c>
      <c r="E4857">
        <v>0.50160039999999995</v>
      </c>
      <c r="F4857" t="s">
        <v>41</v>
      </c>
      <c r="G4857">
        <v>-273.61040000000003</v>
      </c>
      <c r="H4857" s="1">
        <v>-3.3061119999999999E-6</v>
      </c>
      <c r="I4857">
        <v>141.80600000000001</v>
      </c>
      <c r="J4857">
        <v>-244.5093</v>
      </c>
      <c r="K4857">
        <v>1.109696</v>
      </c>
      <c r="L4857">
        <v>141.13570000000001</v>
      </c>
      <c r="M4857">
        <v>-0.9999323</v>
      </c>
      <c r="N4857">
        <v>0</v>
      </c>
      <c r="O4857">
        <v>6.0592279999999998E-3</v>
      </c>
      <c r="P4857">
        <v>-0.9997587</v>
      </c>
      <c r="Q4857">
        <v>1.079016E-2</v>
      </c>
      <c r="R4857">
        <v>1.9132719999999999E-2</v>
      </c>
      <c r="S4857">
        <v>-3.0006409999999999</v>
      </c>
      <c r="T4857">
        <v>-0.1138927</v>
      </c>
      <c r="U4857">
        <v>6.8878170000000002E-2</v>
      </c>
      <c r="V4857">
        <v>1.30723E-2</v>
      </c>
      <c r="W4857">
        <v>2.0713579999999999E-2</v>
      </c>
      <c r="X4857">
        <v>0.99970000000000003</v>
      </c>
      <c r="Y4857">
        <v>1.6882299999999999E-2</v>
      </c>
      <c r="Z4857" s="1">
        <v>9.0357849999999994E-5</v>
      </c>
      <c r="AA4857">
        <v>0.99985749999999995</v>
      </c>
      <c r="AB4857">
        <v>23</v>
      </c>
      <c r="AC4857">
        <v>-29.101099999999999</v>
      </c>
      <c r="AD4857">
        <v>-1.109699306112</v>
      </c>
      <c r="AE4857">
        <v>0.67029999999999701</v>
      </c>
      <c r="AF4857">
        <v>0.49323196881904402</v>
      </c>
      <c r="AG4857">
        <v>-1.109699306112</v>
      </c>
      <c r="AH4857">
        <v>29.062390456384499</v>
      </c>
      <c r="AI4857">
        <v>92.186367730791204</v>
      </c>
      <c r="AJ4857">
        <v>89.027698792378104</v>
      </c>
      <c r="AK4857">
        <v>29.087750847468399</v>
      </c>
      <c r="AL4857">
        <v>88.8131144206654</v>
      </c>
      <c r="AM4857">
        <v>89.250830315386196</v>
      </c>
      <c r="AN4857">
        <v>1.0000000137118501</v>
      </c>
    </row>
    <row r="4858" spans="1:40" x14ac:dyDescent="0.25">
      <c r="A4858" t="str">
        <f>"20190312160430378"</f>
        <v>20190312160430378</v>
      </c>
      <c r="B4858" t="str">
        <f>"1552377870369977"</f>
        <v>1552377870369977</v>
      </c>
      <c r="C4858" t="s">
        <v>40</v>
      </c>
      <c r="D4858">
        <v>4.9251950000000004</v>
      </c>
      <c r="E4858">
        <v>0.50178869999999998</v>
      </c>
      <c r="F4858" t="s">
        <v>41</v>
      </c>
      <c r="G4858">
        <v>-274.93709999999999</v>
      </c>
      <c r="H4858" s="1">
        <v>-2.7575849999999999E-6</v>
      </c>
      <c r="I4858">
        <v>141.8836</v>
      </c>
      <c r="J4858">
        <v>-244.63300000000001</v>
      </c>
      <c r="K4858">
        <v>1.109699</v>
      </c>
      <c r="L4858">
        <v>141.13640000000001</v>
      </c>
      <c r="M4858">
        <v>-0.99993290000000001</v>
      </c>
      <c r="N4858">
        <v>0</v>
      </c>
      <c r="O4858">
        <v>6.0057579999999999E-3</v>
      </c>
      <c r="P4858">
        <v>-0.9997663</v>
      </c>
      <c r="Q4858">
        <v>1.076147E-2</v>
      </c>
      <c r="R4858">
        <v>1.8750619999999999E-2</v>
      </c>
      <c r="S4858">
        <v>-3.0004580000000001</v>
      </c>
      <c r="T4858">
        <v>-0.1094263</v>
      </c>
      <c r="U4858">
        <v>7.3760989999999999E-2</v>
      </c>
      <c r="V4858">
        <v>1.274316E-2</v>
      </c>
      <c r="W4858">
        <v>2.066877E-2</v>
      </c>
      <c r="X4858">
        <v>0.99970510000000001</v>
      </c>
      <c r="Y4858">
        <v>1.8562789999999999E-2</v>
      </c>
      <c r="Z4858">
        <v>1.1939870000000001E-4</v>
      </c>
      <c r="AA4858">
        <v>0.99982769999999999</v>
      </c>
      <c r="AB4858">
        <v>23</v>
      </c>
      <c r="AC4858">
        <v>-30.304099999999998</v>
      </c>
      <c r="AD4858">
        <v>-1.1097017575849999</v>
      </c>
      <c r="AE4858">
        <v>0.74719999999999198</v>
      </c>
      <c r="AF4858">
        <v>0.56442210495321299</v>
      </c>
      <c r="AG4858">
        <v>-1.1097017575849999</v>
      </c>
      <c r="AH4858">
        <v>30.2674788902643</v>
      </c>
      <c r="AI4858">
        <v>92.099339851235897</v>
      </c>
      <c r="AJ4858">
        <v>88.931683182222102</v>
      </c>
      <c r="AK4858">
        <v>30.293073278819801</v>
      </c>
      <c r="AL4858">
        <v>88.815682302905898</v>
      </c>
      <c r="AM4858">
        <v>89.269694888270195</v>
      </c>
      <c r="AN4858">
        <v>0.99999993657305197</v>
      </c>
    </row>
    <row r="4859" spans="1:40" x14ac:dyDescent="0.25">
      <c r="A4859" t="str">
        <f>"20190312160430391"</f>
        <v>20190312160430391</v>
      </c>
      <c r="B4859" t="str">
        <f>"1552377870379737"</f>
        <v>1552377870379737</v>
      </c>
      <c r="C4859" t="s">
        <v>40</v>
      </c>
      <c r="D4859">
        <v>4.9912150000000004</v>
      </c>
      <c r="E4859">
        <v>0.50193460000000001</v>
      </c>
      <c r="F4859" t="s">
        <v>41</v>
      </c>
      <c r="G4859">
        <v>-276.80220000000003</v>
      </c>
      <c r="H4859" s="1">
        <v>-1.9697840000000002E-6</v>
      </c>
      <c r="I4859">
        <v>141.9299</v>
      </c>
      <c r="J4859">
        <v>-244.76159999999999</v>
      </c>
      <c r="K4859">
        <v>1.109702</v>
      </c>
      <c r="L4859">
        <v>141.1371</v>
      </c>
      <c r="M4859">
        <v>-0.99993350000000003</v>
      </c>
      <c r="N4859">
        <v>0</v>
      </c>
      <c r="O4859">
        <v>5.9476449999999997E-3</v>
      </c>
      <c r="P4859">
        <v>-0.99977139999999998</v>
      </c>
      <c r="Q4859">
        <v>1.040371E-2</v>
      </c>
      <c r="R4859">
        <v>1.868119E-2</v>
      </c>
      <c r="S4859">
        <v>-3.0004119999999999</v>
      </c>
      <c r="T4859">
        <v>-0.1035013</v>
      </c>
      <c r="U4859">
        <v>7.4020390000000005E-2</v>
      </c>
      <c r="V4859">
        <v>1.273154E-2</v>
      </c>
      <c r="W4859">
        <v>2.0295489999999999E-2</v>
      </c>
      <c r="X4859">
        <v>0.99971290000000002</v>
      </c>
      <c r="Y4859">
        <v>1.870842E-2</v>
      </c>
      <c r="Z4859">
        <v>1.174538E-4</v>
      </c>
      <c r="AA4859">
        <v>0.99982499999999996</v>
      </c>
      <c r="AB4859">
        <v>23</v>
      </c>
      <c r="AC4859">
        <v>-32.040599999999998</v>
      </c>
      <c r="AD4859">
        <v>-1.1097039697840001</v>
      </c>
      <c r="AE4859">
        <v>0.79279999999999895</v>
      </c>
      <c r="AF4859">
        <v>0.60148949300513399</v>
      </c>
      <c r="AG4859">
        <v>-1.1097039697840001</v>
      </c>
      <c r="AH4859">
        <v>32.006379465446997</v>
      </c>
      <c r="AI4859">
        <v>91.985375580465899</v>
      </c>
      <c r="AJ4859">
        <v>88.923378597127595</v>
      </c>
      <c r="AK4859">
        <v>32.0312590916582</v>
      </c>
      <c r="AL4859">
        <v>88.837074165395606</v>
      </c>
      <c r="AM4859">
        <v>89.270366445734993</v>
      </c>
      <c r="AN4859">
        <v>0.99999994072575904</v>
      </c>
    </row>
    <row r="4860" spans="1:40" x14ac:dyDescent="0.25">
      <c r="A4860" t="str">
        <f>"20190312160430410"</f>
        <v>20190312160430410</v>
      </c>
      <c r="B4860" t="str">
        <f>"1552377870400234"</f>
        <v>1552377870400234</v>
      </c>
      <c r="C4860" t="s">
        <v>40</v>
      </c>
      <c r="D4860">
        <v>4.938904</v>
      </c>
      <c r="E4860">
        <v>0.50220549999999997</v>
      </c>
      <c r="F4860" t="s">
        <v>41</v>
      </c>
      <c r="G4860">
        <v>-278.25170000000003</v>
      </c>
      <c r="H4860" s="1">
        <v>-1.3589609999999901E-6</v>
      </c>
      <c r="I4860">
        <v>141.97130000000001</v>
      </c>
      <c r="J4860">
        <v>-244.9639</v>
      </c>
      <c r="K4860">
        <v>1.109696</v>
      </c>
      <c r="L4860">
        <v>141.13820000000001</v>
      </c>
      <c r="M4860">
        <v>-0.9999342</v>
      </c>
      <c r="N4860">
        <v>0</v>
      </c>
      <c r="O4860">
        <v>5.8468180000000002E-3</v>
      </c>
      <c r="P4860">
        <v>-0.99978420000000001</v>
      </c>
      <c r="Q4860">
        <v>1.0003359999999999E-2</v>
      </c>
      <c r="R4860">
        <v>1.8209989999999999E-2</v>
      </c>
      <c r="S4860">
        <v>-3.0002900000000001</v>
      </c>
      <c r="T4860">
        <v>-9.9415420000000004E-2</v>
      </c>
      <c r="U4860">
        <v>7.473755E-2</v>
      </c>
      <c r="V4860">
        <v>1.2360909999999999E-2</v>
      </c>
      <c r="W4860">
        <v>1.9874039999999999E-2</v>
      </c>
      <c r="X4860">
        <v>0.99972609999999995</v>
      </c>
      <c r="Y4860">
        <v>1.9049429999999999E-2</v>
      </c>
      <c r="Z4860">
        <v>1.218107E-4</v>
      </c>
      <c r="AA4860">
        <v>0.9998186</v>
      </c>
      <c r="AB4860">
        <v>23</v>
      </c>
      <c r="AC4860">
        <v>-33.287799999999997</v>
      </c>
      <c r="AD4860">
        <v>-1.109697358961</v>
      </c>
      <c r="AE4860">
        <v>0.83310000000000095</v>
      </c>
      <c r="AF4860">
        <v>0.637740280780837</v>
      </c>
      <c r="AG4860">
        <v>-1.109697358961</v>
      </c>
      <c r="AH4860">
        <v>33.255168203159698</v>
      </c>
      <c r="AI4860">
        <v>91.910852358963993</v>
      </c>
      <c r="AJ4860">
        <v>88.901363302900293</v>
      </c>
      <c r="AK4860">
        <v>33.279788958385303</v>
      </c>
      <c r="AL4860">
        <v>88.8612264381388</v>
      </c>
      <c r="AM4860">
        <v>89.291614086160195</v>
      </c>
      <c r="AN4860">
        <v>1.0000000222915699</v>
      </c>
    </row>
    <row r="4861" spans="1:40" x14ac:dyDescent="0.25">
      <c r="A4861" t="str">
        <f>"20190312160430432"</f>
        <v>20190312160430432</v>
      </c>
      <c r="B4861" t="str">
        <f>"1552377870430022"</f>
        <v>1552377870430022</v>
      </c>
      <c r="C4861" t="s">
        <v>40</v>
      </c>
      <c r="D4861">
        <v>4.9431039999999999</v>
      </c>
      <c r="E4861">
        <v>0.50253820000000005</v>
      </c>
      <c r="F4861" t="s">
        <v>60</v>
      </c>
      <c r="G4861">
        <v>-281.11869999999999</v>
      </c>
      <c r="H4861" s="1">
        <v>-4.9000919999999997E-6</v>
      </c>
      <c r="I4861">
        <v>142.04679999999999</v>
      </c>
      <c r="J4861">
        <v>-245.19669999999999</v>
      </c>
      <c r="K4861">
        <v>1.1096980000000001</v>
      </c>
      <c r="L4861">
        <v>141.13939999999999</v>
      </c>
      <c r="M4861">
        <v>-0.99993520000000002</v>
      </c>
      <c r="N4861">
        <v>0</v>
      </c>
      <c r="O4861">
        <v>5.7221290000000003E-3</v>
      </c>
      <c r="P4861">
        <v>-0.99979340000000005</v>
      </c>
      <c r="Q4861">
        <v>9.8390209999999999E-3</v>
      </c>
      <c r="R4861">
        <v>1.7793509999999998E-2</v>
      </c>
      <c r="S4861">
        <v>-3.0001980000000001</v>
      </c>
      <c r="T4861">
        <v>-9.2085239999999999E-2</v>
      </c>
      <c r="U4861">
        <v>7.5393680000000005E-2</v>
      </c>
      <c r="V4861">
        <v>1.2068819999999999E-2</v>
      </c>
      <c r="W4861">
        <v>1.9687639999999999E-2</v>
      </c>
      <c r="X4861">
        <v>0.99973330000000005</v>
      </c>
      <c r="Y4861">
        <v>1.9394189999999999E-2</v>
      </c>
      <c r="Z4861">
        <v>1.219512E-4</v>
      </c>
      <c r="AA4861">
        <v>0.99981189999999998</v>
      </c>
      <c r="AB4861">
        <v>23</v>
      </c>
      <c r="AC4861">
        <v>-35.921999999999997</v>
      </c>
      <c r="AD4861">
        <v>-1.10970290009199</v>
      </c>
      <c r="AE4861">
        <v>0.90739999999999499</v>
      </c>
      <c r="AF4861">
        <v>0.70115617209356695</v>
      </c>
      <c r="AG4861">
        <v>-1.10970290009199</v>
      </c>
      <c r="AH4861">
        <v>35.892373515250704</v>
      </c>
      <c r="AI4861">
        <v>91.770541270629593</v>
      </c>
      <c r="AJ4861">
        <v>88.880871437685201</v>
      </c>
      <c r="AK4861">
        <v>35.916368650831203</v>
      </c>
      <c r="AL4861">
        <v>88.871908397025805</v>
      </c>
      <c r="AM4861">
        <v>89.308356677438397</v>
      </c>
      <c r="AN4861">
        <v>0.99999996535692504</v>
      </c>
    </row>
    <row r="4862" spans="1:40" x14ac:dyDescent="0.25">
      <c r="A4862" t="str">
        <f>"20190312160430457"</f>
        <v>20190312160430457</v>
      </c>
      <c r="B4862" t="str">
        <f>"1552377870449541"</f>
        <v>1552377870449541</v>
      </c>
      <c r="C4862" t="s">
        <v>40</v>
      </c>
      <c r="D4862">
        <v>4.9293420000000001</v>
      </c>
      <c r="E4862">
        <v>0.50270280000000001</v>
      </c>
      <c r="F4862" t="s">
        <v>60</v>
      </c>
      <c r="G4862">
        <v>-284.7088</v>
      </c>
      <c r="H4862" s="1">
        <v>-6.52434499999999E-6</v>
      </c>
      <c r="I4862">
        <v>142.1463</v>
      </c>
      <c r="J4862">
        <v>-245.43719999999999</v>
      </c>
      <c r="K4862">
        <v>1.109694</v>
      </c>
      <c r="L4862">
        <v>141.14070000000001</v>
      </c>
      <c r="M4862">
        <v>-0.99993620000000005</v>
      </c>
      <c r="N4862">
        <v>0</v>
      </c>
      <c r="O4862">
        <v>5.5892440000000002E-3</v>
      </c>
      <c r="P4862">
        <v>-0.99979309999999999</v>
      </c>
      <c r="Q4862">
        <v>1.0100299999999901E-2</v>
      </c>
      <c r="R4862">
        <v>1.7676230000000001E-2</v>
      </c>
      <c r="S4862">
        <v>-3.000092</v>
      </c>
      <c r="T4862">
        <v>-8.4258079999999999E-2</v>
      </c>
      <c r="U4862">
        <v>7.6446529999999999E-2</v>
      </c>
      <c r="V4862">
        <v>1.2084559999999999E-2</v>
      </c>
      <c r="W4862">
        <v>1.9928390000000001E-2</v>
      </c>
      <c r="X4862">
        <v>0.99972839999999996</v>
      </c>
      <c r="Y4862">
        <v>1.987941E-2</v>
      </c>
      <c r="Z4862">
        <v>1.2213529999999999E-4</v>
      </c>
      <c r="AA4862">
        <v>0.99980239999999998</v>
      </c>
      <c r="AB4862">
        <v>23</v>
      </c>
      <c r="AC4862">
        <v>-39.271599999999999</v>
      </c>
      <c r="AD4862">
        <v>-1.109700524345</v>
      </c>
      <c r="AE4862">
        <v>1.0055999999999801</v>
      </c>
      <c r="AF4862">
        <v>0.78544842062610498</v>
      </c>
      <c r="AG4862">
        <v>-1.109700524345</v>
      </c>
      <c r="AH4862">
        <v>39.245291983737502</v>
      </c>
      <c r="AI4862">
        <v>91.619340730425293</v>
      </c>
      <c r="AJ4862">
        <v>88.853445343027502</v>
      </c>
      <c r="AK4862">
        <v>39.268833791749003</v>
      </c>
      <c r="AL4862">
        <v>88.8581117994529</v>
      </c>
      <c r="AM4862">
        <v>89.307451338837694</v>
      </c>
      <c r="AN4862">
        <v>1.0000000255424699</v>
      </c>
    </row>
    <row r="4863" spans="1:40" x14ac:dyDescent="0.25">
      <c r="A4863" t="str">
        <f>"20190312160430476"</f>
        <v>20190312160430476</v>
      </c>
      <c r="B4863" t="str">
        <f>"1552377870470038"</f>
        <v>1552377870470038</v>
      </c>
      <c r="C4863" t="s">
        <v>40</v>
      </c>
      <c r="D4863">
        <v>4.9522209999999998</v>
      </c>
      <c r="E4863">
        <v>0.50285649999999904</v>
      </c>
      <c r="F4863" t="s">
        <v>60</v>
      </c>
      <c r="G4863">
        <v>-287.46469999999999</v>
      </c>
      <c r="H4863" s="1">
        <v>-8.2208540000000004E-6</v>
      </c>
      <c r="I4863">
        <v>142.22489999999999</v>
      </c>
      <c r="J4863">
        <v>-245.65639999999999</v>
      </c>
      <c r="K4863">
        <v>1.109696</v>
      </c>
      <c r="L4863">
        <v>141.14179999999999</v>
      </c>
      <c r="M4863">
        <v>-0.99993690000000002</v>
      </c>
      <c r="N4863">
        <v>0</v>
      </c>
      <c r="O4863">
        <v>5.4688139999999998E-3</v>
      </c>
      <c r="P4863">
        <v>-0.99979790000000002</v>
      </c>
      <c r="Q4863">
        <v>1.023663E-2</v>
      </c>
      <c r="R4863">
        <v>1.7311469999999999E-2</v>
      </c>
      <c r="S4863">
        <v>-3.0000309999999999</v>
      </c>
      <c r="T4863">
        <v>-7.9213499999999895E-2</v>
      </c>
      <c r="U4863">
        <v>7.7392580000000002E-2</v>
      </c>
      <c r="V4863">
        <v>1.1840069999999999E-2</v>
      </c>
      <c r="W4863">
        <v>2.0048050000000001E-2</v>
      </c>
      <c r="X4863">
        <v>0.99972890000000003</v>
      </c>
      <c r="Y4863">
        <v>2.031587E-2</v>
      </c>
      <c r="Z4863">
        <v>1.237666E-4</v>
      </c>
      <c r="AA4863">
        <v>0.99979359999999995</v>
      </c>
      <c r="AB4863">
        <v>23</v>
      </c>
      <c r="AC4863">
        <v>-41.808300000000003</v>
      </c>
      <c r="AD4863">
        <v>-1.109704220854</v>
      </c>
      <c r="AE4863">
        <v>1.0831</v>
      </c>
      <c r="AF4863">
        <v>0.85382984538553697</v>
      </c>
      <c r="AG4863">
        <v>-1.109704220854</v>
      </c>
      <c r="AH4863">
        <v>41.784180507711099</v>
      </c>
      <c r="AI4863">
        <v>91.520986276248493</v>
      </c>
      <c r="AJ4863">
        <v>88.829364641247494</v>
      </c>
      <c r="AK4863">
        <v>41.807633388696303</v>
      </c>
      <c r="AL4863">
        <v>88.851254378722004</v>
      </c>
      <c r="AM4863">
        <v>89.321461723018999</v>
      </c>
      <c r="AN4863">
        <v>0.99999999253080796</v>
      </c>
    </row>
    <row r="4864" spans="1:40" x14ac:dyDescent="0.25">
      <c r="A4864" t="str">
        <f>"20190312160430499"</f>
        <v>20190312160430499</v>
      </c>
      <c r="B4864" t="str">
        <f>"1552377870489561"</f>
        <v>1552377870489561</v>
      </c>
      <c r="C4864" t="s">
        <v>40</v>
      </c>
      <c r="D4864">
        <v>4.9152430000000003</v>
      </c>
      <c r="E4864">
        <v>0.50293060000000001</v>
      </c>
      <c r="F4864" t="s">
        <v>60</v>
      </c>
      <c r="G4864">
        <v>-289.81830000000002</v>
      </c>
      <c r="H4864" s="1">
        <v>-9.5851939999999996E-6</v>
      </c>
      <c r="I4864">
        <v>142.2801</v>
      </c>
      <c r="J4864">
        <v>-245.8854</v>
      </c>
      <c r="K4864">
        <v>1.109696</v>
      </c>
      <c r="L4864">
        <v>141.1429</v>
      </c>
      <c r="M4864">
        <v>-0.99993779999999999</v>
      </c>
      <c r="N4864">
        <v>0</v>
      </c>
      <c r="O4864">
        <v>5.3458200000000003E-3</v>
      </c>
      <c r="P4864">
        <v>-0.99979510000000005</v>
      </c>
      <c r="Q4864">
        <v>1.0499720000000001E-2</v>
      </c>
      <c r="R4864">
        <v>1.730775E-2</v>
      </c>
      <c r="S4864">
        <v>-3.0000460000000002</v>
      </c>
      <c r="T4864">
        <v>-7.5385569999999999E-2</v>
      </c>
      <c r="U4864">
        <v>7.7331540000000004E-2</v>
      </c>
      <c r="V4864">
        <v>1.1959259999999999E-2</v>
      </c>
      <c r="W4864">
        <v>2.0296439999999999E-2</v>
      </c>
      <c r="X4864">
        <v>0.99972249999999996</v>
      </c>
      <c r="Y4864">
        <v>2.0418809999999999E-2</v>
      </c>
      <c r="Z4864">
        <v>1.221696E-4</v>
      </c>
      <c r="AA4864">
        <v>0.99979150000000006</v>
      </c>
      <c r="AB4864">
        <v>23</v>
      </c>
      <c r="AC4864">
        <v>-43.932899999999997</v>
      </c>
      <c r="AD4864">
        <v>-1.1097055851940001</v>
      </c>
      <c r="AE4864">
        <v>1.1372</v>
      </c>
      <c r="AF4864">
        <v>0.90174017585248101</v>
      </c>
      <c r="AG4864">
        <v>-1.1097055851940001</v>
      </c>
      <c r="AH4864">
        <v>43.910354717596498</v>
      </c>
      <c r="AI4864">
        <v>91.447369805465001</v>
      </c>
      <c r="AJ4864">
        <v>88.823542976705994</v>
      </c>
      <c r="AK4864">
        <v>43.933629866603397</v>
      </c>
      <c r="AL4864">
        <v>88.837019819106601</v>
      </c>
      <c r="AM4864">
        <v>89.314627367706393</v>
      </c>
      <c r="AN4864">
        <v>1.00000002319133</v>
      </c>
    </row>
    <row r="4865" spans="1:40" x14ac:dyDescent="0.25">
      <c r="A4865" t="str">
        <f>"20190312160430520"</f>
        <v>20190312160430520</v>
      </c>
      <c r="B4865" t="str">
        <f>"1552377870510058"</f>
        <v>1552377870510058</v>
      </c>
      <c r="C4865" t="s">
        <v>40</v>
      </c>
      <c r="D4865">
        <v>4.8789610000000003</v>
      </c>
      <c r="E4865">
        <v>0.50300879999999903</v>
      </c>
      <c r="F4865" t="s">
        <v>60</v>
      </c>
      <c r="G4865">
        <v>-292.01920000000001</v>
      </c>
      <c r="H4865" s="1">
        <v>-9.4731389999999992E-6</v>
      </c>
      <c r="I4865">
        <v>142.3417</v>
      </c>
      <c r="J4865">
        <v>-246.10589999999999</v>
      </c>
      <c r="K4865">
        <v>1.109702</v>
      </c>
      <c r="L4865">
        <v>141.14400000000001</v>
      </c>
      <c r="M4865">
        <v>-0.99993860000000001</v>
      </c>
      <c r="N4865">
        <v>0</v>
      </c>
      <c r="O4865">
        <v>5.2307409999999997E-3</v>
      </c>
      <c r="P4865">
        <v>-0.99979750000000001</v>
      </c>
      <c r="Q4865">
        <v>1.045803E-2</v>
      </c>
      <c r="R4865">
        <v>1.7198189999999999E-2</v>
      </c>
      <c r="S4865">
        <v>-3.0000149999999999</v>
      </c>
      <c r="T4865">
        <v>-7.2162630000000005E-2</v>
      </c>
      <c r="U4865">
        <v>7.7957150000000003E-2</v>
      </c>
      <c r="V4865">
        <v>1.1964850000000001E-2</v>
      </c>
      <c r="W4865">
        <v>2.0242570000000001E-2</v>
      </c>
      <c r="X4865">
        <v>0.99972349999999999</v>
      </c>
      <c r="Y4865">
        <v>2.0742759999999999E-2</v>
      </c>
      <c r="Z4865">
        <v>1.2361119999999999E-4</v>
      </c>
      <c r="AA4865">
        <v>0.99978480000000003</v>
      </c>
      <c r="AB4865">
        <v>23</v>
      </c>
      <c r="AC4865">
        <v>-45.9133</v>
      </c>
      <c r="AD4865">
        <v>-1.1097114731390001</v>
      </c>
      <c r="AE4865">
        <v>1.19769999999999</v>
      </c>
      <c r="AF4865">
        <v>0.95695292385206299</v>
      </c>
      <c r="AG4865">
        <v>-1.1097114731390001</v>
      </c>
      <c r="AH4865">
        <v>45.892146160249403</v>
      </c>
      <c r="AI4865">
        <v>91.384890239262006</v>
      </c>
      <c r="AJ4865">
        <v>88.805429174395996</v>
      </c>
      <c r="AK4865">
        <v>45.915534382666003</v>
      </c>
      <c r="AL4865">
        <v>88.840106947545607</v>
      </c>
      <c r="AM4865">
        <v>89.314307727073896</v>
      </c>
      <c r="AN4865">
        <v>0.99999999786398797</v>
      </c>
    </row>
    <row r="4866" spans="1:40" x14ac:dyDescent="0.25">
      <c r="A4866" t="str">
        <f>"20190312160430533"</f>
        <v>20190312160430533</v>
      </c>
      <c r="B4866" t="str">
        <f>"1552377870530080"</f>
        <v>1552377870530080</v>
      </c>
      <c r="C4866" t="s">
        <v>40</v>
      </c>
      <c r="D4866">
        <v>4.8948199999999904</v>
      </c>
      <c r="E4866">
        <v>0.50316300000000003</v>
      </c>
      <c r="F4866" t="s">
        <v>60</v>
      </c>
      <c r="G4866">
        <v>-293.73410000000001</v>
      </c>
      <c r="H4866" s="1">
        <v>-9.3271010000000003E-6</v>
      </c>
      <c r="I4866">
        <v>142.3845</v>
      </c>
      <c r="J4866">
        <v>-246.2397</v>
      </c>
      <c r="K4866">
        <v>1.109702</v>
      </c>
      <c r="L4866">
        <v>141.1446</v>
      </c>
      <c r="M4866">
        <v>-0.99993900000000002</v>
      </c>
      <c r="N4866">
        <v>0</v>
      </c>
      <c r="O4866">
        <v>5.162654E-3</v>
      </c>
      <c r="P4866">
        <v>-0.99979600000000002</v>
      </c>
      <c r="Q4866">
        <v>1.085786E-2</v>
      </c>
      <c r="R4866">
        <v>1.7039490000000001E-2</v>
      </c>
      <c r="S4866">
        <v>-2.9999850000000001</v>
      </c>
      <c r="T4866">
        <v>-6.9898009999999997E-2</v>
      </c>
      <c r="U4866">
        <v>7.8140260000000003E-2</v>
      </c>
      <c r="V4866">
        <v>1.1874239999999999E-2</v>
      </c>
      <c r="W4866">
        <v>2.0635400000000002E-2</v>
      </c>
      <c r="X4866">
        <v>0.99971659999999996</v>
      </c>
      <c r="Y4866">
        <v>2.08723E-2</v>
      </c>
      <c r="Z4866">
        <v>1.2282870000000001E-4</v>
      </c>
      <c r="AA4866">
        <v>0.99978210000000001</v>
      </c>
      <c r="AB4866">
        <v>23</v>
      </c>
      <c r="AC4866">
        <v>-47.494399999999999</v>
      </c>
      <c r="AD4866">
        <v>-1.109711327101</v>
      </c>
      <c r="AE4866">
        <v>1.2399</v>
      </c>
      <c r="AF4866">
        <v>0.99413227603187504</v>
      </c>
      <c r="AG4866">
        <v>-1.109711327101</v>
      </c>
      <c r="AH4866">
        <v>47.474268608938097</v>
      </c>
      <c r="AI4866">
        <v>91.338751977161905</v>
      </c>
      <c r="AJ4866">
        <v>88.800376247627597</v>
      </c>
      <c r="AK4866">
        <v>47.497641395814099</v>
      </c>
      <c r="AL4866">
        <v>88.8175948037849</v>
      </c>
      <c r="AM4866">
        <v>89.319495299076394</v>
      </c>
      <c r="AN4866">
        <v>1.0000000488121401</v>
      </c>
    </row>
    <row r="4867" spans="1:40" x14ac:dyDescent="0.25">
      <c r="A4867" t="str">
        <f>"20190312160430555"</f>
        <v>20190312160430555</v>
      </c>
      <c r="B4867" t="str">
        <f>"1552377870549601"</f>
        <v>1552377870549601</v>
      </c>
      <c r="C4867" t="s">
        <v>40</v>
      </c>
      <c r="D4867">
        <v>4.9086360000000004</v>
      </c>
      <c r="E4867">
        <v>0.50545450000000003</v>
      </c>
      <c r="F4867" t="s">
        <v>60</v>
      </c>
      <c r="G4867">
        <v>-293.70370000000003</v>
      </c>
      <c r="H4867" s="1">
        <v>-9.3316700000000004E-6</v>
      </c>
      <c r="I4867">
        <v>142.39169999999999</v>
      </c>
      <c r="J4867">
        <v>-246.4674</v>
      </c>
      <c r="K4867">
        <v>1.1096980000000001</v>
      </c>
      <c r="L4867">
        <v>141.1456</v>
      </c>
      <c r="M4867">
        <v>-0.99993969999999999</v>
      </c>
      <c r="N4867">
        <v>0</v>
      </c>
      <c r="O4867">
        <v>5.0494059999999898E-3</v>
      </c>
      <c r="P4867">
        <v>-0.99978909999999999</v>
      </c>
      <c r="Q4867">
        <v>1.160608E-2</v>
      </c>
      <c r="R4867">
        <v>1.6948270000000001E-2</v>
      </c>
      <c r="S4867">
        <v>-3.0000149999999999</v>
      </c>
      <c r="T4867">
        <v>-7.0140599999999997E-2</v>
      </c>
      <c r="U4867">
        <v>7.8826899999999894E-2</v>
      </c>
      <c r="V4867">
        <v>1.1896139999999999E-2</v>
      </c>
      <c r="W4867">
        <v>2.1373860000000001E-2</v>
      </c>
      <c r="X4867">
        <v>0.99970079999999995</v>
      </c>
      <c r="Y4867">
        <v>2.1213780000000002E-2</v>
      </c>
      <c r="Z4867">
        <v>1.2989100000000001E-4</v>
      </c>
      <c r="AA4867">
        <v>0.99977490000000002</v>
      </c>
      <c r="AB4867">
        <v>23</v>
      </c>
      <c r="AC4867">
        <v>-47.2363</v>
      </c>
      <c r="AD4867">
        <v>-1.1097073316699999</v>
      </c>
      <c r="AE4867">
        <v>1.24609999999998</v>
      </c>
      <c r="AF4867">
        <v>1.00700212987759</v>
      </c>
      <c r="AG4867">
        <v>-1.1097073316699999</v>
      </c>
      <c r="AH4867">
        <v>47.215949475850401</v>
      </c>
      <c r="AI4867">
        <v>91.346057771957504</v>
      </c>
      <c r="AJ4867">
        <v>88.778204676542302</v>
      </c>
      <c r="AK4867">
        <v>47.239722570709397</v>
      </c>
      <c r="AL4867">
        <v>88.775274797410702</v>
      </c>
      <c r="AM4867">
        <v>89.318229569163705</v>
      </c>
      <c r="AN4867">
        <v>1.0000000247794101</v>
      </c>
    </row>
    <row r="4868" spans="1:40" x14ac:dyDescent="0.25">
      <c r="A4868" t="str">
        <f>"20190312160430576"</f>
        <v>20190312160430576</v>
      </c>
      <c r="B4868" t="str">
        <f>"1552377870570097"</f>
        <v>1552377870570097</v>
      </c>
      <c r="C4868" t="s">
        <v>40</v>
      </c>
      <c r="D4868">
        <v>4.8997479999999998</v>
      </c>
      <c r="E4868">
        <v>0.50676049999999995</v>
      </c>
      <c r="F4868" t="s">
        <v>41</v>
      </c>
      <c r="G4868">
        <v>-265.26130000000001</v>
      </c>
      <c r="H4868" s="1">
        <v>-2.5881170000000001E-6</v>
      </c>
      <c r="I4868">
        <v>141.76929999999999</v>
      </c>
      <c r="J4868">
        <v>-246.70150000000001</v>
      </c>
      <c r="K4868">
        <v>1.1096999999999999</v>
      </c>
      <c r="L4868">
        <v>141.14670000000001</v>
      </c>
      <c r="M4868">
        <v>-0.9999403</v>
      </c>
      <c r="N4868">
        <v>0</v>
      </c>
      <c r="O4868">
        <v>4.9344239999999998E-3</v>
      </c>
      <c r="P4868">
        <v>-0.99979709999999999</v>
      </c>
      <c r="Q4868">
        <v>1.2056900000000001E-2</v>
      </c>
      <c r="R4868">
        <v>1.6148340000000001E-2</v>
      </c>
      <c r="S4868">
        <v>-3.001007</v>
      </c>
      <c r="T4868">
        <v>-0.17719749999999901</v>
      </c>
      <c r="U4868">
        <v>9.9609379999999997E-2</v>
      </c>
      <c r="V4868">
        <v>1.121129E-2</v>
      </c>
      <c r="W4868">
        <v>2.181578E-2</v>
      </c>
      <c r="X4868">
        <v>0.99969909999999995</v>
      </c>
      <c r="Y4868">
        <v>2.8200889999999999E-2</v>
      </c>
      <c r="Z4868">
        <v>5.4059069999999999E-4</v>
      </c>
      <c r="AA4868">
        <v>0.99960210000000005</v>
      </c>
      <c r="AB4868">
        <v>23</v>
      </c>
      <c r="AC4868">
        <v>-18.559799999999999</v>
      </c>
      <c r="AD4868">
        <v>-1.109702588117</v>
      </c>
      <c r="AE4868">
        <v>0.62259999999997695</v>
      </c>
      <c r="AF4868">
        <v>0.52911671932944604</v>
      </c>
      <c r="AG4868">
        <v>-1.109702588117</v>
      </c>
      <c r="AH4868">
        <v>18.4965967723384</v>
      </c>
      <c r="AI4868">
        <v>93.431942085611496</v>
      </c>
      <c r="AJ4868">
        <v>88.361434270694801</v>
      </c>
      <c r="AK4868">
        <v>18.5374080306613</v>
      </c>
      <c r="AL4868">
        <v>88.749948654928701</v>
      </c>
      <c r="AM4868">
        <v>89.357473991571993</v>
      </c>
      <c r="AN4868">
        <v>0.99999995591063995</v>
      </c>
    </row>
    <row r="4869" spans="1:40" x14ac:dyDescent="0.25">
      <c r="A4869" t="str">
        <f>"20190312160430599"</f>
        <v>20190312160430599</v>
      </c>
      <c r="B4869" t="str">
        <f>"1552377870589620"</f>
        <v>1552377870589620</v>
      </c>
      <c r="C4869" t="s">
        <v>40</v>
      </c>
      <c r="D4869">
        <v>4.8523649999999998</v>
      </c>
      <c r="E4869">
        <v>0.50791160000000002</v>
      </c>
      <c r="F4869" t="s">
        <v>60</v>
      </c>
      <c r="G4869">
        <v>-290.36709999999999</v>
      </c>
      <c r="H4869" s="1">
        <v>-9.7266279999999993E-6</v>
      </c>
      <c r="I4869">
        <v>142.67679999999999</v>
      </c>
      <c r="J4869">
        <v>-246.92939999999999</v>
      </c>
      <c r="K4869">
        <v>1.1096950000000001</v>
      </c>
      <c r="L4869">
        <v>141.14769999999999</v>
      </c>
      <c r="M4869">
        <v>-0.99994090000000002</v>
      </c>
      <c r="N4869">
        <v>0</v>
      </c>
      <c r="O4869">
        <v>4.8236640000000001E-3</v>
      </c>
      <c r="P4869">
        <v>-0.99980069999999999</v>
      </c>
      <c r="Q4869">
        <v>1.227254E-2</v>
      </c>
      <c r="R4869">
        <v>1.5762140000000001E-2</v>
      </c>
      <c r="S4869">
        <v>-2.9998320000000001</v>
      </c>
      <c r="T4869">
        <v>-7.6237199999999894E-2</v>
      </c>
      <c r="U4869">
        <v>0.1051178</v>
      </c>
      <c r="V4869">
        <v>1.093593E-2</v>
      </c>
      <c r="W4869">
        <v>2.2024579999999998E-2</v>
      </c>
      <c r="X4869">
        <v>0.99969759999999996</v>
      </c>
      <c r="Y4869">
        <v>3.0190209999999999E-2</v>
      </c>
      <c r="Z4869">
        <v>2.609116E-4</v>
      </c>
      <c r="AA4869">
        <v>0.99954410000000005</v>
      </c>
      <c r="AB4869">
        <v>23</v>
      </c>
      <c r="AC4869">
        <v>-43.4377</v>
      </c>
      <c r="AD4869">
        <v>-1.109704726628</v>
      </c>
      <c r="AE4869">
        <v>1.5290999999999899</v>
      </c>
      <c r="AF4869">
        <v>1.3186838176892799</v>
      </c>
      <c r="AG4869">
        <v>-1.109704726628</v>
      </c>
      <c r="AH4869">
        <v>43.416270198680202</v>
      </c>
      <c r="AI4869">
        <v>91.463466770986201</v>
      </c>
      <c r="AJ4869">
        <v>88.260288226708298</v>
      </c>
      <c r="AK4869">
        <v>43.4504647795181</v>
      </c>
      <c r="AL4869">
        <v>88.737982455957905</v>
      </c>
      <c r="AM4869">
        <v>89.373252829550495</v>
      </c>
      <c r="AN4869">
        <v>0.99999998406745005</v>
      </c>
    </row>
    <row r="4870" spans="1:40" x14ac:dyDescent="0.25">
      <c r="A4870" t="str">
        <f>"20190312160430621"</f>
        <v>20190312160430621</v>
      </c>
      <c r="B4870" t="str">
        <f>"1552377870610113"</f>
        <v>1552377870610113</v>
      </c>
      <c r="C4870" t="s">
        <v>40</v>
      </c>
      <c r="D4870">
        <v>4.868131</v>
      </c>
      <c r="E4870">
        <v>0.50788329999999904</v>
      </c>
      <c r="F4870" t="s">
        <v>60</v>
      </c>
      <c r="G4870">
        <v>-283.49099999999999</v>
      </c>
      <c r="H4870" s="1">
        <v>-6.108868E-6</v>
      </c>
      <c r="I4870">
        <v>142.53110000000001</v>
      </c>
      <c r="J4870">
        <v>-247.1669</v>
      </c>
      <c r="K4870">
        <v>1.109693</v>
      </c>
      <c r="L4870">
        <v>141.14869999999999</v>
      </c>
      <c r="M4870">
        <v>-0.99994150000000004</v>
      </c>
      <c r="N4870">
        <v>0</v>
      </c>
      <c r="O4870">
        <v>4.7084869999999999E-3</v>
      </c>
      <c r="P4870">
        <v>-0.99980860000000005</v>
      </c>
      <c r="Q4870">
        <v>1.220531E-2</v>
      </c>
      <c r="R4870">
        <v>1.5295639999999999E-2</v>
      </c>
      <c r="S4870">
        <v>-2.9998930000000001</v>
      </c>
      <c r="T4870">
        <v>-9.1051339999999995E-2</v>
      </c>
      <c r="U4870">
        <v>0.1135101</v>
      </c>
      <c r="V4870">
        <v>1.0584349999999999E-2</v>
      </c>
      <c r="W4870">
        <v>2.195165E-2</v>
      </c>
      <c r="X4870">
        <v>0.99970300000000001</v>
      </c>
      <c r="Y4870">
        <v>3.309219E-2</v>
      </c>
      <c r="Z4870">
        <v>3.5907529999999998E-4</v>
      </c>
      <c r="AA4870">
        <v>0.99945220000000001</v>
      </c>
      <c r="AB4870">
        <v>23</v>
      </c>
      <c r="AC4870">
        <v>-36.324099999999902</v>
      </c>
      <c r="AD4870">
        <v>-1.1096991088679999</v>
      </c>
      <c r="AE4870">
        <v>1.3824000000000101</v>
      </c>
      <c r="AF4870">
        <v>1.2102171514956499</v>
      </c>
      <c r="AG4870">
        <v>-1.1096991088679999</v>
      </c>
      <c r="AH4870">
        <v>36.296380252233398</v>
      </c>
      <c r="AI4870">
        <v>91.750201968046397</v>
      </c>
      <c r="AJ4870">
        <v>88.090314908228294</v>
      </c>
      <c r="AK4870">
        <v>36.3335007545477</v>
      </c>
      <c r="AL4870">
        <v>88.742162062483501</v>
      </c>
      <c r="AM4870">
        <v>89.393403915135195</v>
      </c>
      <c r="AN4870">
        <v>0.999999995805822</v>
      </c>
    </row>
    <row r="4871" spans="1:40" x14ac:dyDescent="0.25">
      <c r="A4871" t="str">
        <f>"20190312160430644"</f>
        <v>20190312160430644</v>
      </c>
      <c r="B4871" t="str">
        <f>"1552377870639898"</f>
        <v>1552377870639898</v>
      </c>
      <c r="C4871" t="s">
        <v>40</v>
      </c>
      <c r="D4871">
        <v>4.8234979999999998</v>
      </c>
      <c r="E4871">
        <v>0.50830980000000003</v>
      </c>
      <c r="F4871" t="s">
        <v>60</v>
      </c>
      <c r="G4871">
        <v>-280.34480000000002</v>
      </c>
      <c r="H4871" s="1">
        <v>-4.667508E-6</v>
      </c>
      <c r="I4871">
        <v>142.38849999999999</v>
      </c>
      <c r="J4871">
        <v>-247.40629999999999</v>
      </c>
      <c r="K4871">
        <v>1.1096919999999999</v>
      </c>
      <c r="L4871">
        <v>141.1497</v>
      </c>
      <c r="M4871">
        <v>-0.99994209999999994</v>
      </c>
      <c r="N4871">
        <v>0</v>
      </c>
      <c r="O4871">
        <v>4.5922899999999997E-3</v>
      </c>
      <c r="P4871">
        <v>-0.99981450000000005</v>
      </c>
      <c r="Q4871">
        <v>1.199149E-2</v>
      </c>
      <c r="R4871">
        <v>1.5088539999999999E-2</v>
      </c>
      <c r="S4871">
        <v>-3.0001069999999999</v>
      </c>
      <c r="T4871">
        <v>-0.10034419999999999</v>
      </c>
      <c r="U4871">
        <v>0.11210630000000001</v>
      </c>
      <c r="V4871">
        <v>1.0493580000000001E-2</v>
      </c>
      <c r="W4871">
        <v>2.1733309999999999E-2</v>
      </c>
      <c r="X4871">
        <v>0.99970870000000001</v>
      </c>
      <c r="Y4871">
        <v>3.2735970000000003E-2</v>
      </c>
      <c r="Z4871">
        <v>3.9360920000000002E-4</v>
      </c>
      <c r="AA4871">
        <v>0.99946400000000002</v>
      </c>
      <c r="AB4871">
        <v>23</v>
      </c>
      <c r="AC4871">
        <v>-32.938499999999998</v>
      </c>
      <c r="AD4871">
        <v>-1.109696667508</v>
      </c>
      <c r="AE4871">
        <v>1.2387999999999899</v>
      </c>
      <c r="AF4871">
        <v>1.0862854217076501</v>
      </c>
      <c r="AG4871">
        <v>-1.109696667508</v>
      </c>
      <c r="AH4871">
        <v>32.906545231919203</v>
      </c>
      <c r="AI4871">
        <v>91.930384182589805</v>
      </c>
      <c r="AJ4871">
        <v>88.109282636509207</v>
      </c>
      <c r="AK4871">
        <v>32.943165631305703</v>
      </c>
      <c r="AL4871">
        <v>88.754674974231804</v>
      </c>
      <c r="AM4871">
        <v>89.3986090487155</v>
      </c>
      <c r="AN4871">
        <v>0.99999996842022998</v>
      </c>
    </row>
    <row r="4872" spans="1:40" x14ac:dyDescent="0.25">
      <c r="A4872" t="str">
        <f>"20190312160430667"</f>
        <v>20190312160430667</v>
      </c>
      <c r="B4872" t="str">
        <f>"1552377870659422"</f>
        <v>1552377870659422</v>
      </c>
      <c r="C4872" t="s">
        <v>40</v>
      </c>
      <c r="D4872">
        <v>4.8513070000000003</v>
      </c>
      <c r="E4872">
        <v>0.5085056</v>
      </c>
      <c r="F4872" t="s">
        <v>41</v>
      </c>
      <c r="G4872">
        <v>-270.14249999999998</v>
      </c>
      <c r="H4872" s="1">
        <v>-4.6553159999999997E-6</v>
      </c>
      <c r="I4872">
        <v>142.02780000000001</v>
      </c>
      <c r="J4872">
        <v>-247.6422</v>
      </c>
      <c r="K4872">
        <v>1.1096889999999999</v>
      </c>
      <c r="L4872">
        <v>141.1506</v>
      </c>
      <c r="M4872">
        <v>-0.99994249999999996</v>
      </c>
      <c r="N4872">
        <v>0</v>
      </c>
      <c r="O4872">
        <v>4.4775750000000001E-3</v>
      </c>
      <c r="P4872">
        <v>-0.99981529999999996</v>
      </c>
      <c r="Q4872">
        <v>1.220888E-2</v>
      </c>
      <c r="R4872">
        <v>1.4841419999999999E-2</v>
      </c>
      <c r="S4872">
        <v>-3.0005489999999999</v>
      </c>
      <c r="T4872">
        <v>-0.1464493</v>
      </c>
      <c r="U4872">
        <v>0.1159058</v>
      </c>
      <c r="V4872">
        <v>1.036101E-2</v>
      </c>
      <c r="W4872">
        <v>2.1947359999999999E-2</v>
      </c>
      <c r="X4872">
        <v>0.99970539999999997</v>
      </c>
      <c r="Y4872">
        <v>3.4089359999999999E-2</v>
      </c>
      <c r="Z4872">
        <v>6.1277100000000002E-4</v>
      </c>
      <c r="AA4872">
        <v>0.99941860000000005</v>
      </c>
      <c r="AB4872">
        <v>24</v>
      </c>
      <c r="AC4872">
        <v>-22.5002999999999</v>
      </c>
      <c r="AD4872">
        <v>-1.1096936553159999</v>
      </c>
      <c r="AE4872">
        <v>0.87720000000001597</v>
      </c>
      <c r="AF4872">
        <v>0.77455848839167896</v>
      </c>
      <c r="AG4872">
        <v>-1.1096936553159999</v>
      </c>
      <c r="AH4872">
        <v>22.449479777133899</v>
      </c>
      <c r="AI4872">
        <v>92.828187443381594</v>
      </c>
      <c r="AJ4872">
        <v>88.023948185077799</v>
      </c>
      <c r="AK4872">
        <v>22.4902312821485</v>
      </c>
      <c r="AL4872">
        <v>88.742407878044801</v>
      </c>
      <c r="AM4872">
        <v>89.406204177008803</v>
      </c>
      <c r="AN4872">
        <v>0.99999996196417396</v>
      </c>
    </row>
    <row r="4873" spans="1:40" x14ac:dyDescent="0.25">
      <c r="A4873" t="str">
        <f>"20190312160430689"</f>
        <v>20190312160430689</v>
      </c>
      <c r="B4873" t="str">
        <f>"1552377870679915"</f>
        <v>1552377870679915</v>
      </c>
      <c r="C4873" t="s">
        <v>40</v>
      </c>
      <c r="D4873">
        <v>4.8711000000000002</v>
      </c>
      <c r="E4873">
        <v>0.50907519999999995</v>
      </c>
      <c r="F4873" t="s">
        <v>41</v>
      </c>
      <c r="G4873">
        <v>-271.03640000000001</v>
      </c>
      <c r="H4873" s="1">
        <v>-4.356427E-6</v>
      </c>
      <c r="I4873">
        <v>142.05779999999999</v>
      </c>
      <c r="J4873">
        <v>-247.88040000000001</v>
      </c>
      <c r="K4873">
        <v>1.1096839999999999</v>
      </c>
      <c r="L4873">
        <v>141.1515</v>
      </c>
      <c r="M4873">
        <v>-0.99994309999999997</v>
      </c>
      <c r="N4873">
        <v>0</v>
      </c>
      <c r="O4873">
        <v>4.361363E-3</v>
      </c>
      <c r="P4873">
        <v>-0.99981229999999999</v>
      </c>
      <c r="Q4873">
        <v>1.2153880000000001E-2</v>
      </c>
      <c r="R4873">
        <v>1.508783E-2</v>
      </c>
      <c r="S4873">
        <v>-3.0005489999999999</v>
      </c>
      <c r="T4873">
        <v>-0.1423295</v>
      </c>
      <c r="U4873">
        <v>0.11636349999999999</v>
      </c>
      <c r="V4873">
        <v>1.0723689999999999E-2</v>
      </c>
      <c r="W4873">
        <v>2.188967E-2</v>
      </c>
      <c r="X4873">
        <v>0.99970289999999995</v>
      </c>
      <c r="Y4873">
        <v>3.4359279999999999E-2</v>
      </c>
      <c r="Z4873">
        <v>6.07454E-4</v>
      </c>
      <c r="AA4873">
        <v>0.9994094</v>
      </c>
      <c r="AB4873">
        <v>24</v>
      </c>
      <c r="AC4873">
        <v>-23.155999999999999</v>
      </c>
      <c r="AD4873">
        <v>-1.1096883564269999</v>
      </c>
      <c r="AE4873">
        <v>0.906299999999987</v>
      </c>
      <c r="AF4873">
        <v>0.80345252906473796</v>
      </c>
      <c r="AG4873">
        <v>-1.1096883564269999</v>
      </c>
      <c r="AH4873">
        <v>23.1067481134674</v>
      </c>
      <c r="AI4873">
        <v>92.747826495953902</v>
      </c>
      <c r="AJ4873">
        <v>88.008551458973201</v>
      </c>
      <c r="AK4873">
        <v>23.147327115545799</v>
      </c>
      <c r="AL4873">
        <v>88.745714140936201</v>
      </c>
      <c r="AM4873">
        <v>89.385418794835104</v>
      </c>
      <c r="AN4873">
        <v>1.00000002172416</v>
      </c>
    </row>
    <row r="4874" spans="1:40" x14ac:dyDescent="0.25">
      <c r="A4874" t="str">
        <f>"20190312160430710"</f>
        <v>20190312160430710</v>
      </c>
      <c r="B4874" t="str">
        <f>"1552377870699439"</f>
        <v>1552377870699439</v>
      </c>
      <c r="C4874" t="s">
        <v>40</v>
      </c>
      <c r="D4874">
        <v>4.8088959999999998</v>
      </c>
      <c r="E4874">
        <v>0.50923439999999998</v>
      </c>
      <c r="F4874" t="s">
        <v>41</v>
      </c>
      <c r="G4874">
        <v>-275.28179999999998</v>
      </c>
      <c r="H4874" s="1">
        <v>-2.7097359999999998E-6</v>
      </c>
      <c r="I4874">
        <v>142.2595</v>
      </c>
      <c r="J4874">
        <v>-248.09780000000001</v>
      </c>
      <c r="K4874">
        <v>1.1096889999999999</v>
      </c>
      <c r="L4874">
        <v>141.1524</v>
      </c>
      <c r="M4874">
        <v>-0.99994360000000004</v>
      </c>
      <c r="N4874">
        <v>0</v>
      </c>
      <c r="O4874">
        <v>4.2547409999999898E-3</v>
      </c>
      <c r="P4874">
        <v>-0.99980789999999997</v>
      </c>
      <c r="Q4874">
        <v>1.20508E-2</v>
      </c>
      <c r="R4874">
        <v>1.545302E-2</v>
      </c>
      <c r="S4874">
        <v>-3.000229</v>
      </c>
      <c r="T4874">
        <v>-0.12150179999999999</v>
      </c>
      <c r="U4874">
        <v>0.1213226</v>
      </c>
      <c r="V4874">
        <v>1.119557E-2</v>
      </c>
      <c r="W4874">
        <v>2.1785269999999999E-2</v>
      </c>
      <c r="X4874">
        <v>0.99970000000000003</v>
      </c>
      <c r="Y4874">
        <v>3.6126859999999997E-2</v>
      </c>
      <c r="Z4874">
        <v>5.5875640000000002E-4</v>
      </c>
      <c r="AA4874">
        <v>0.99934699999999999</v>
      </c>
      <c r="AB4874">
        <v>24</v>
      </c>
      <c r="AC4874">
        <v>-27.183999999999902</v>
      </c>
      <c r="AD4874">
        <v>-1.109691709736</v>
      </c>
      <c r="AE4874">
        <v>1.1071</v>
      </c>
      <c r="AF4874">
        <v>0.98977699393457097</v>
      </c>
      <c r="AG4874">
        <v>-1.109691709736</v>
      </c>
      <c r="AH4874">
        <v>27.1433079930916</v>
      </c>
      <c r="AI4874">
        <v>92.339549239791907</v>
      </c>
      <c r="AJ4874">
        <v>87.911642569899598</v>
      </c>
      <c r="AK4874">
        <v>27.184007118087099</v>
      </c>
      <c r="AL4874">
        <v>88.751697237798496</v>
      </c>
      <c r="AM4874">
        <v>89.3583754167731</v>
      </c>
      <c r="AN4874">
        <v>1.0000000143882899</v>
      </c>
    </row>
    <row r="4875" spans="1:40" x14ac:dyDescent="0.25">
      <c r="A4875" t="str">
        <f>"20190312160430734"</f>
        <v>20190312160430734</v>
      </c>
      <c r="B4875" t="str">
        <f>"1552377870730198"</f>
        <v>1552377870730198</v>
      </c>
      <c r="C4875" t="s">
        <v>40</v>
      </c>
      <c r="D4875">
        <v>4.8434369999999998</v>
      </c>
      <c r="E4875">
        <v>0.50972079999999997</v>
      </c>
      <c r="F4875" t="s">
        <v>41</v>
      </c>
      <c r="G4875">
        <v>-274.69470000000001</v>
      </c>
      <c r="H4875" s="1">
        <v>-2.9589370000000001E-6</v>
      </c>
      <c r="I4875">
        <v>142.24950000000001</v>
      </c>
      <c r="J4875">
        <v>-248.3502</v>
      </c>
      <c r="K4875">
        <v>1.109686</v>
      </c>
      <c r="L4875">
        <v>141.1533</v>
      </c>
      <c r="M4875">
        <v>-0.99994419999999995</v>
      </c>
      <c r="N4875">
        <v>0</v>
      </c>
      <c r="O4875">
        <v>4.1309479999999997E-3</v>
      </c>
      <c r="P4875">
        <v>-0.99979430000000002</v>
      </c>
      <c r="Q4875">
        <v>1.250894E-2</v>
      </c>
      <c r="R4875">
        <v>1.597115E-2</v>
      </c>
      <c r="S4875">
        <v>-3.0001829999999998</v>
      </c>
      <c r="T4875">
        <v>-0.1251756</v>
      </c>
      <c r="U4875">
        <v>0.123764</v>
      </c>
      <c r="V4875">
        <v>1.1837530000000001E-2</v>
      </c>
      <c r="W4875">
        <v>2.2241489999999999E-2</v>
      </c>
      <c r="X4875">
        <v>0.99968250000000003</v>
      </c>
      <c r="Y4875">
        <v>3.7060530000000001E-2</v>
      </c>
      <c r="Z4875">
        <v>6.0025729999999998E-4</v>
      </c>
      <c r="AA4875">
        <v>0.9993128</v>
      </c>
      <c r="AB4875">
        <v>24</v>
      </c>
      <c r="AC4875">
        <v>-26.3445</v>
      </c>
      <c r="AD4875">
        <v>-1.109688958937</v>
      </c>
      <c r="AE4875">
        <v>1.0962000000000101</v>
      </c>
      <c r="AF4875">
        <v>0.98561201115950003</v>
      </c>
      <c r="AG4875">
        <v>-1.109688958937</v>
      </c>
      <c r="AH4875">
        <v>26.3022168711619</v>
      </c>
      <c r="AI4875">
        <v>92.414180396928103</v>
      </c>
      <c r="AJ4875">
        <v>87.853983231894304</v>
      </c>
      <c r="AK4875">
        <v>26.344059158750799</v>
      </c>
      <c r="AL4875">
        <v>88.725551347111903</v>
      </c>
      <c r="AM4875">
        <v>89.321575788875407</v>
      </c>
      <c r="AN4875">
        <v>0.99999995590008395</v>
      </c>
    </row>
    <row r="4876" spans="1:40" x14ac:dyDescent="0.25">
      <c r="A4876" t="str">
        <f>"20190312160430756"</f>
        <v>20190312160430756</v>
      </c>
      <c r="B4876" t="str">
        <f>"1552377870749718"</f>
        <v>1552377870749718</v>
      </c>
      <c r="C4876" t="s">
        <v>40</v>
      </c>
      <c r="D4876">
        <v>4.8033720000000004</v>
      </c>
      <c r="E4876">
        <v>0.50980369999999997</v>
      </c>
      <c r="F4876" t="s">
        <v>41</v>
      </c>
      <c r="G4876">
        <v>-276.61509999999998</v>
      </c>
      <c r="H4876" s="1">
        <v>-2.1670070000000002E-6</v>
      </c>
      <c r="I4876">
        <v>142.36949999999999</v>
      </c>
      <c r="J4876">
        <v>-248.58779999999999</v>
      </c>
      <c r="K4876">
        <v>1.109683</v>
      </c>
      <c r="L4876">
        <v>141.1542</v>
      </c>
      <c r="M4876">
        <v>-0.99994470000000002</v>
      </c>
      <c r="N4876">
        <v>0</v>
      </c>
      <c r="O4876">
        <v>4.0144819999999998E-3</v>
      </c>
      <c r="P4876">
        <v>-0.99978549999999999</v>
      </c>
      <c r="Q4876">
        <v>1.289322E-2</v>
      </c>
      <c r="R4876">
        <v>1.6213350000000001E-2</v>
      </c>
      <c r="S4876">
        <v>-3.0000309999999999</v>
      </c>
      <c r="T4876">
        <v>-0.1177821</v>
      </c>
      <c r="U4876">
        <v>0.12908939999999999</v>
      </c>
      <c r="V4876">
        <v>1.219608E-2</v>
      </c>
      <c r="W4876">
        <v>2.262525E-2</v>
      </c>
      <c r="X4876">
        <v>0.99966960000000005</v>
      </c>
      <c r="Y4876">
        <v>3.8951399999999997E-2</v>
      </c>
      <c r="Z4876">
        <v>6.0649420000000002E-4</v>
      </c>
      <c r="AA4876">
        <v>0.99924089999999999</v>
      </c>
      <c r="AB4876">
        <v>24</v>
      </c>
      <c r="AC4876">
        <v>-28.0273</v>
      </c>
      <c r="AD4876">
        <v>-1.109685167007</v>
      </c>
      <c r="AE4876">
        <v>1.2152999999999801</v>
      </c>
      <c r="AF4876">
        <v>1.1010470298553201</v>
      </c>
      <c r="AG4876">
        <v>-1.109685167007</v>
      </c>
      <c r="AH4876">
        <v>27.988161079863101</v>
      </c>
      <c r="AI4876">
        <v>92.268742384652199</v>
      </c>
      <c r="AJ4876">
        <v>87.747160525743496</v>
      </c>
      <c r="AK4876">
        <v>28.031783146353501</v>
      </c>
      <c r="AL4876">
        <v>88.703558011128806</v>
      </c>
      <c r="AM4876">
        <v>89.301019812875793</v>
      </c>
      <c r="AN4876">
        <v>0.99999997773454397</v>
      </c>
    </row>
    <row r="4877" spans="1:40" x14ac:dyDescent="0.25">
      <c r="A4877" t="str">
        <f>"20190312160430778"</f>
        <v>20190312160430778</v>
      </c>
      <c r="B4877" t="str">
        <f>"1552377870770213"</f>
        <v>1552377870770213</v>
      </c>
      <c r="C4877" t="s">
        <v>40</v>
      </c>
      <c r="D4877">
        <v>4.9347580000000004</v>
      </c>
      <c r="E4877">
        <v>0.50965059999999995</v>
      </c>
      <c r="F4877" t="s">
        <v>41</v>
      </c>
      <c r="G4877">
        <v>-279.20310000000001</v>
      </c>
      <c r="H4877" s="1">
        <v>-1.087424E-6</v>
      </c>
      <c r="I4877">
        <v>142.4846</v>
      </c>
      <c r="J4877">
        <v>-248.8321</v>
      </c>
      <c r="K4877">
        <v>1.1096889999999999</v>
      </c>
      <c r="L4877">
        <v>141.155</v>
      </c>
      <c r="M4877">
        <v>-0.99994499999999997</v>
      </c>
      <c r="N4877">
        <v>0</v>
      </c>
      <c r="O4877">
        <v>3.8947370000000001E-3</v>
      </c>
      <c r="P4877">
        <v>-0.99979070000000003</v>
      </c>
      <c r="Q4877">
        <v>1.3296530000000001E-2</v>
      </c>
      <c r="R4877">
        <v>1.554854E-2</v>
      </c>
      <c r="S4877">
        <v>-2.999908</v>
      </c>
      <c r="T4877">
        <v>-0.108734999999999</v>
      </c>
      <c r="U4877">
        <v>0.13037109999999999</v>
      </c>
      <c r="V4877">
        <v>1.165098E-2</v>
      </c>
      <c r="W4877">
        <v>2.3028070000000001E-2</v>
      </c>
      <c r="X4877">
        <v>0.99966690000000002</v>
      </c>
      <c r="Y4877">
        <v>3.9502469999999998E-2</v>
      </c>
      <c r="Z4877">
        <v>5.742732E-4</v>
      </c>
      <c r="AA4877">
        <v>0.99921930000000003</v>
      </c>
      <c r="AB4877">
        <v>24</v>
      </c>
      <c r="AC4877">
        <v>-30.370999999999999</v>
      </c>
      <c r="AD4877">
        <v>-1.1096900874240001</v>
      </c>
      <c r="AE4877">
        <v>1.3295999999999899</v>
      </c>
      <c r="AF4877">
        <v>1.2096853928699201</v>
      </c>
      <c r="AG4877">
        <v>-1.1096900874240001</v>
      </c>
      <c r="AH4877">
        <v>30.3355274870183</v>
      </c>
      <c r="AI4877">
        <v>92.093314428972803</v>
      </c>
      <c r="AJ4877">
        <v>87.716434481475702</v>
      </c>
      <c r="AK4877">
        <v>30.3799107759633</v>
      </c>
      <c r="AL4877">
        <v>88.680472104510898</v>
      </c>
      <c r="AM4877">
        <v>89.332255816580101</v>
      </c>
      <c r="AN4877">
        <v>0.99999997414924702</v>
      </c>
    </row>
    <row r="4878" spans="1:40" x14ac:dyDescent="0.25">
      <c r="A4878" t="str">
        <f>"20190312160430799"</f>
        <v>20190312160430799</v>
      </c>
      <c r="B4878" t="str">
        <f>"1552377870789733"</f>
        <v>1552377870789733</v>
      </c>
      <c r="C4878" t="s">
        <v>40</v>
      </c>
      <c r="D4878">
        <v>5.1101599999999996</v>
      </c>
      <c r="E4878">
        <v>0.5323909</v>
      </c>
      <c r="F4878" t="s">
        <v>60</v>
      </c>
      <c r="G4878">
        <v>-280.64510000000001</v>
      </c>
      <c r="H4878" s="1">
        <v>-4.8377539999999997E-6</v>
      </c>
      <c r="I4878">
        <v>142.50319999999999</v>
      </c>
      <c r="J4878">
        <v>-249.0497</v>
      </c>
      <c r="K4878">
        <v>1.1096889999999999</v>
      </c>
      <c r="L4878">
        <v>141.1557</v>
      </c>
      <c r="M4878">
        <v>-0.99994550000000004</v>
      </c>
      <c r="N4878">
        <v>0</v>
      </c>
      <c r="O4878">
        <v>3.7878629999999998E-3</v>
      </c>
      <c r="P4878">
        <v>-0.99979700000000005</v>
      </c>
      <c r="Q4878">
        <v>1.361217E-2</v>
      </c>
      <c r="R4878">
        <v>1.4863100000000001E-2</v>
      </c>
      <c r="S4878">
        <v>-3.0000460000000002</v>
      </c>
      <c r="T4878">
        <v>-0.104647</v>
      </c>
      <c r="U4878">
        <v>0.1271362</v>
      </c>
      <c r="V4878">
        <v>1.107235E-2</v>
      </c>
      <c r="W4878">
        <v>2.3343650000000001E-2</v>
      </c>
      <c r="X4878">
        <v>0.99966619999999995</v>
      </c>
      <c r="Y4878">
        <v>3.853405E-2</v>
      </c>
      <c r="Z4878">
        <v>5.3953189999999998E-4</v>
      </c>
      <c r="AA4878">
        <v>0.99925710000000001</v>
      </c>
      <c r="AB4878">
        <v>24</v>
      </c>
      <c r="AC4878">
        <v>-31.595400000000001</v>
      </c>
      <c r="AD4878">
        <v>-1.109693837754</v>
      </c>
      <c r="AE4878">
        <v>1.3474999999999899</v>
      </c>
      <c r="AF4878">
        <v>1.2262956642767999</v>
      </c>
      <c r="AG4878">
        <v>-1.109693837754</v>
      </c>
      <c r="AH4878">
        <v>31.561415634789501</v>
      </c>
      <c r="AI4878">
        <v>92.012163039076199</v>
      </c>
      <c r="AJ4878">
        <v>87.774933738192104</v>
      </c>
      <c r="AK4878">
        <v>31.604717659578998</v>
      </c>
      <c r="AL4878">
        <v>88.662385897335398</v>
      </c>
      <c r="AM4878">
        <v>89.365415191827296</v>
      </c>
      <c r="AN4878">
        <v>1.0000000171761401</v>
      </c>
    </row>
    <row r="4879" spans="1:40" x14ac:dyDescent="0.25">
      <c r="A4879" t="str">
        <f>"20190312160430822"</f>
        <v>20190312160430822</v>
      </c>
      <c r="B4879" t="str">
        <f>"1552377870810229"</f>
        <v>1552377870810229</v>
      </c>
      <c r="C4879" t="s">
        <v>40</v>
      </c>
      <c r="D4879">
        <v>4.8166279999999997</v>
      </c>
      <c r="E4879">
        <v>0.53813429999999995</v>
      </c>
      <c r="F4879" t="s">
        <v>49</v>
      </c>
      <c r="G4879">
        <v>-249.8477</v>
      </c>
      <c r="H4879">
        <v>1.0170429999999999</v>
      </c>
      <c r="I4879">
        <v>141.2389</v>
      </c>
      <c r="J4879">
        <v>-249.2927</v>
      </c>
      <c r="K4879">
        <v>1.109688</v>
      </c>
      <c r="L4879">
        <v>141.15649999999999</v>
      </c>
      <c r="M4879">
        <v>-0.99994590000000005</v>
      </c>
      <c r="N4879">
        <v>0</v>
      </c>
      <c r="O4879">
        <v>3.6684109999999999E-3</v>
      </c>
      <c r="P4879">
        <v>-0.99981129999999996</v>
      </c>
      <c r="Q4879">
        <v>1.331394E-2</v>
      </c>
      <c r="R4879">
        <v>1.415602E-2</v>
      </c>
      <c r="S4879">
        <v>-3.000702</v>
      </c>
      <c r="T4879">
        <v>-0.34829769999999999</v>
      </c>
      <c r="U4879">
        <v>0.3126678</v>
      </c>
      <c r="V4879">
        <v>1.048465E-2</v>
      </c>
      <c r="W4879">
        <v>2.304666E-2</v>
      </c>
      <c r="X4879">
        <v>0.9996794</v>
      </c>
      <c r="Y4879">
        <v>9.9352159999999995E-2</v>
      </c>
      <c r="Z4879">
        <v>5.3081129999999997E-3</v>
      </c>
      <c r="AA4879">
        <v>0.99503819999999998</v>
      </c>
      <c r="AB4879">
        <v>24</v>
      </c>
      <c r="AC4879">
        <v>-0.55500000000000604</v>
      </c>
      <c r="AD4879">
        <v>-9.2645000000000005E-2</v>
      </c>
      <c r="AE4879">
        <v>8.2400000000006898E-2</v>
      </c>
      <c r="AF4879">
        <v>7.8230507765617005E-2</v>
      </c>
      <c r="AG4879">
        <v>-9.2645000000000005E-2</v>
      </c>
      <c r="AH4879">
        <v>0.54056073217191103</v>
      </c>
      <c r="AI4879">
        <v>99.626870835327594</v>
      </c>
      <c r="AJ4879">
        <v>81.765267865429294</v>
      </c>
      <c r="AK4879">
        <v>0.55399369449164204</v>
      </c>
      <c r="AL4879">
        <v>88.679406713599505</v>
      </c>
      <c r="AM4879">
        <v>89.399103182662699</v>
      </c>
      <c r="AN4879">
        <v>0.99999998960356895</v>
      </c>
    </row>
    <row r="4880" spans="1:40" x14ac:dyDescent="0.25">
      <c r="A4880" t="str">
        <f>"20190312160430845"</f>
        <v>20190312160430845</v>
      </c>
      <c r="B4880" t="str">
        <f>"1552377870839509"</f>
        <v>1552377870839509</v>
      </c>
      <c r="C4880" t="s">
        <v>40</v>
      </c>
      <c r="D4880">
        <v>4.9073449999999896</v>
      </c>
      <c r="E4880">
        <v>0.53974759999999999</v>
      </c>
      <c r="F4880" t="s">
        <v>49</v>
      </c>
      <c r="G4880">
        <v>-250.0487</v>
      </c>
      <c r="H4880">
        <v>0.99135949999999995</v>
      </c>
      <c r="I4880">
        <v>141.24709999999999</v>
      </c>
      <c r="J4880">
        <v>-249.53620000000001</v>
      </c>
      <c r="K4880">
        <v>1.109686</v>
      </c>
      <c r="L4880">
        <v>141.15729999999999</v>
      </c>
      <c r="M4880">
        <v>-0.99994640000000001</v>
      </c>
      <c r="N4880">
        <v>0</v>
      </c>
      <c r="O4880">
        <v>3.5488960000000002E-3</v>
      </c>
      <c r="P4880">
        <v>-0.99982329999999997</v>
      </c>
      <c r="Q4880">
        <v>1.29149E-2</v>
      </c>
      <c r="R4880">
        <v>1.366998E-2</v>
      </c>
      <c r="S4880">
        <v>-3.0017239999999998</v>
      </c>
      <c r="T4880">
        <v>-0.46989059999999999</v>
      </c>
      <c r="U4880">
        <v>0.35893249999999999</v>
      </c>
      <c r="V4880">
        <v>1.011802E-2</v>
      </c>
      <c r="W4880">
        <v>2.2648129999999999E-2</v>
      </c>
      <c r="X4880">
        <v>0.99969229999999998</v>
      </c>
      <c r="Y4880">
        <v>0.1138803</v>
      </c>
      <c r="Z4880">
        <v>8.2783389999999991E-3</v>
      </c>
      <c r="AA4880">
        <v>0.99346000000000001</v>
      </c>
      <c r="AB4880">
        <v>24</v>
      </c>
      <c r="AC4880">
        <v>-0.51249999999998797</v>
      </c>
      <c r="AD4880">
        <v>-0.1183265</v>
      </c>
      <c r="AE4880">
        <v>8.9799999999996702E-2</v>
      </c>
      <c r="AF4880">
        <v>8.3654101360869607E-2</v>
      </c>
      <c r="AG4880">
        <v>-0.1183265</v>
      </c>
      <c r="AH4880">
        <v>0.48759780723071999</v>
      </c>
      <c r="AI4880">
        <v>103.451185926471</v>
      </c>
      <c r="AJ4880">
        <v>80.264898363347896</v>
      </c>
      <c r="AK4880">
        <v>0.50867552613916001</v>
      </c>
      <c r="AL4880">
        <v>88.702246780976097</v>
      </c>
      <c r="AM4880">
        <v>89.420121522136697</v>
      </c>
      <c r="AN4880">
        <v>1.0000000034002501</v>
      </c>
    </row>
    <row r="4881" spans="1:40" x14ac:dyDescent="0.25">
      <c r="A4881" t="str">
        <f>"20190312160430867"</f>
        <v>20190312160430867</v>
      </c>
      <c r="B4881" t="str">
        <f>"1552377870860008"</f>
        <v>1552377870860008</v>
      </c>
      <c r="C4881" t="s">
        <v>40</v>
      </c>
      <c r="D4881">
        <v>4.7892869999999998</v>
      </c>
      <c r="E4881">
        <v>0.54066259999999999</v>
      </c>
      <c r="F4881" t="s">
        <v>49</v>
      </c>
      <c r="G4881">
        <v>-250.25919999999999</v>
      </c>
      <c r="H4881">
        <v>0.98441480000000003</v>
      </c>
      <c r="I4881">
        <v>141.24690000000001</v>
      </c>
      <c r="J4881">
        <v>-249.7775</v>
      </c>
      <c r="K4881">
        <v>1.1096820000000001</v>
      </c>
      <c r="L4881">
        <v>141.15799999999999</v>
      </c>
      <c r="M4881">
        <v>-0.99994669999999997</v>
      </c>
      <c r="N4881">
        <v>0</v>
      </c>
      <c r="O4881">
        <v>3.4303960000000001E-3</v>
      </c>
      <c r="P4881">
        <v>-0.99982530000000003</v>
      </c>
      <c r="Q4881">
        <v>1.320228E-2</v>
      </c>
      <c r="R4881">
        <v>1.323002E-2</v>
      </c>
      <c r="S4881">
        <v>-3.0021969999999998</v>
      </c>
      <c r="T4881">
        <v>-0.52022959999999996</v>
      </c>
      <c r="U4881">
        <v>0.37130740000000001</v>
      </c>
      <c r="V4881">
        <v>9.7964339999999997E-3</v>
      </c>
      <c r="W4881">
        <v>2.29375E-2</v>
      </c>
      <c r="X4881">
        <v>0.99968889999999999</v>
      </c>
      <c r="Y4881">
        <v>0.1176613</v>
      </c>
      <c r="Z4881">
        <v>9.4935490000000004E-3</v>
      </c>
      <c r="AA4881">
        <v>0.99300840000000001</v>
      </c>
      <c r="AB4881">
        <v>24</v>
      </c>
      <c r="AC4881">
        <v>-0.48169999999998903</v>
      </c>
      <c r="AD4881">
        <v>-0.125267199999999</v>
      </c>
      <c r="AE4881">
        <v>8.8900000000023696E-2</v>
      </c>
      <c r="AF4881">
        <v>8.1891312363385399E-2</v>
      </c>
      <c r="AG4881">
        <v>-0.125267199999999</v>
      </c>
      <c r="AH4881">
        <v>0.45241439238796899</v>
      </c>
      <c r="AI4881">
        <v>105.240782865214</v>
      </c>
      <c r="AJ4881">
        <v>79.740010118733807</v>
      </c>
      <c r="AK4881">
        <v>0.47652580294902502</v>
      </c>
      <c r="AL4881">
        <v>88.685662785678502</v>
      </c>
      <c r="AM4881">
        <v>89.438548976077797</v>
      </c>
      <c r="AN4881">
        <v>0.99999999790428795</v>
      </c>
    </row>
    <row r="4882" spans="1:40" x14ac:dyDescent="0.25">
      <c r="A4882" t="str">
        <f>"20190312160430889"</f>
        <v>20190312160430889</v>
      </c>
      <c r="B4882" t="str">
        <f>"1552377870879525"</f>
        <v>1552377870879525</v>
      </c>
      <c r="C4882" t="s">
        <v>40</v>
      </c>
      <c r="D4882">
        <v>4.7806490000000004</v>
      </c>
      <c r="E4882">
        <v>0.54043260000000004</v>
      </c>
      <c r="F4882" t="s">
        <v>49</v>
      </c>
      <c r="G4882">
        <v>-250.672</v>
      </c>
      <c r="H4882">
        <v>0.95063039999999999</v>
      </c>
      <c r="I4882">
        <v>141.27070000000001</v>
      </c>
      <c r="J4882">
        <v>-250.00800000000001</v>
      </c>
      <c r="K4882">
        <v>1.109683</v>
      </c>
      <c r="L4882">
        <v>141.15860000000001</v>
      </c>
      <c r="M4882">
        <v>-0.99994709999999998</v>
      </c>
      <c r="N4882">
        <v>0</v>
      </c>
      <c r="O4882">
        <v>3.3174960000000001E-3</v>
      </c>
      <c r="P4882">
        <v>-0.99983259999999996</v>
      </c>
      <c r="Q4882">
        <v>1.3280790000000001E-2</v>
      </c>
      <c r="R4882">
        <v>1.259132E-2</v>
      </c>
      <c r="S4882">
        <v>-3.0025629999999999</v>
      </c>
      <c r="T4882">
        <v>-0.53385879999999997</v>
      </c>
      <c r="U4882">
        <v>0.3781891</v>
      </c>
      <c r="V4882">
        <v>9.2707919999999999E-3</v>
      </c>
      <c r="W4882">
        <v>2.301711E-2</v>
      </c>
      <c r="X4882">
        <v>0.99969209999999997</v>
      </c>
      <c r="Y4882">
        <v>0.1198761</v>
      </c>
      <c r="Z4882">
        <v>9.9504580000000006E-3</v>
      </c>
      <c r="AA4882">
        <v>0.99273900000000004</v>
      </c>
      <c r="AB4882">
        <v>24</v>
      </c>
      <c r="AC4882">
        <v>-0.66400000000001502</v>
      </c>
      <c r="AD4882">
        <v>-0.15905259999999999</v>
      </c>
      <c r="AE4882">
        <v>0.11209999999999801</v>
      </c>
      <c r="AF4882">
        <v>0.104089522242514</v>
      </c>
      <c r="AG4882">
        <v>-0.15905259999999999</v>
      </c>
      <c r="AH4882">
        <v>0.62926297530814002</v>
      </c>
      <c r="AI4882">
        <v>104.002346393835</v>
      </c>
      <c r="AJ4882">
        <v>80.607470027441096</v>
      </c>
      <c r="AK4882">
        <v>0.65734637011326702</v>
      </c>
      <c r="AL4882">
        <v>88.681100286474802</v>
      </c>
      <c r="AM4882">
        <v>89.468674376887293</v>
      </c>
      <c r="AN4882">
        <v>1.0000000148697299</v>
      </c>
    </row>
    <row r="4883" spans="1:40" x14ac:dyDescent="0.25">
      <c r="A4883" t="str">
        <f>"20190312160430911"</f>
        <v>20190312160430911</v>
      </c>
      <c r="B4883" t="str">
        <f>"1552377870900021"</f>
        <v>1552377870900021</v>
      </c>
      <c r="C4883" t="s">
        <v>40</v>
      </c>
      <c r="D4883">
        <v>4.7785760000000002</v>
      </c>
      <c r="E4883">
        <v>0.54146169999999905</v>
      </c>
      <c r="F4883" t="s">
        <v>49</v>
      </c>
      <c r="G4883">
        <v>-250.88740000000001</v>
      </c>
      <c r="H4883">
        <v>0.95187949999999999</v>
      </c>
      <c r="I4883">
        <v>141.26859999999999</v>
      </c>
      <c r="J4883">
        <v>-250.2449</v>
      </c>
      <c r="K4883">
        <v>1.109685</v>
      </c>
      <c r="L4883">
        <v>141.1593</v>
      </c>
      <c r="M4883">
        <v>-0.99994749999999999</v>
      </c>
      <c r="N4883">
        <v>0</v>
      </c>
      <c r="O4883">
        <v>3.2011399999999999E-3</v>
      </c>
      <c r="P4883">
        <v>-0.99983880000000003</v>
      </c>
      <c r="Q4883">
        <v>1.2663229999999999E-2</v>
      </c>
      <c r="R4883">
        <v>1.273317E-2</v>
      </c>
      <c r="S4883">
        <v>-3.002945</v>
      </c>
      <c r="T4883">
        <v>-0.53888849999999999</v>
      </c>
      <c r="U4883">
        <v>0.37458799999999998</v>
      </c>
      <c r="V4883">
        <v>9.5288790000000005E-3</v>
      </c>
      <c r="W4883">
        <v>2.2401669999999999E-2</v>
      </c>
      <c r="X4883">
        <v>0.99970360000000003</v>
      </c>
      <c r="Y4883">
        <v>0.1187855</v>
      </c>
      <c r="Z4883">
        <v>9.9661579999999993E-3</v>
      </c>
      <c r="AA4883">
        <v>0.99286989999999997</v>
      </c>
      <c r="AB4883">
        <v>24</v>
      </c>
      <c r="AC4883">
        <v>-0.64250000000001195</v>
      </c>
      <c r="AD4883">
        <v>-0.15780549999999999</v>
      </c>
      <c r="AE4883">
        <v>0.10929999999999</v>
      </c>
      <c r="AF4883">
        <v>0.10130335582375399</v>
      </c>
      <c r="AG4883">
        <v>-0.15780549999999999</v>
      </c>
      <c r="AH4883">
        <v>0.60724481380122397</v>
      </c>
      <c r="AI4883">
        <v>104.37702101104399</v>
      </c>
      <c r="AJ4883">
        <v>80.528875261165695</v>
      </c>
      <c r="AK4883">
        <v>0.63554009285007895</v>
      </c>
      <c r="AL4883">
        <v>88.716371428167506</v>
      </c>
      <c r="AM4883">
        <v>89.453890116180801</v>
      </c>
      <c r="AN4883">
        <v>0.99999996110337197</v>
      </c>
    </row>
    <row r="4884" spans="1:40" x14ac:dyDescent="0.25">
      <c r="A4884" t="str">
        <f>"20190312160430935"</f>
        <v>20190312160430935</v>
      </c>
      <c r="B4884" t="str">
        <f>"1552377870930277"</f>
        <v>1552377870930277</v>
      </c>
      <c r="C4884" t="s">
        <v>40</v>
      </c>
      <c r="D4884">
        <v>4.7462970000000002</v>
      </c>
      <c r="E4884">
        <v>0.54187799999999997</v>
      </c>
      <c r="F4884" t="s">
        <v>49</v>
      </c>
      <c r="G4884">
        <v>-251.10249999999999</v>
      </c>
      <c r="H4884">
        <v>0.95159199999999999</v>
      </c>
      <c r="I4884">
        <v>141.26900000000001</v>
      </c>
      <c r="J4884">
        <v>-250.49510000000001</v>
      </c>
      <c r="K4884">
        <v>1.10968</v>
      </c>
      <c r="L4884">
        <v>141.16</v>
      </c>
      <c r="M4884">
        <v>-0.9999479</v>
      </c>
      <c r="N4884">
        <v>0</v>
      </c>
      <c r="O4884">
        <v>3.078463E-3</v>
      </c>
      <c r="P4884">
        <v>-0.99983359999999999</v>
      </c>
      <c r="Q4884">
        <v>1.2625330000000001E-2</v>
      </c>
      <c r="R4884">
        <v>1.318795E-2</v>
      </c>
      <c r="S4884">
        <v>-3.0026090000000001</v>
      </c>
      <c r="T4884">
        <v>-0.55356559999999999</v>
      </c>
      <c r="U4884">
        <v>0.38337710000000003</v>
      </c>
      <c r="V4884">
        <v>1.0106459999999999E-2</v>
      </c>
      <c r="W4884">
        <v>2.2365920000000001E-2</v>
      </c>
      <c r="X4884">
        <v>0.9996988</v>
      </c>
      <c r="Y4884">
        <v>0.1216327</v>
      </c>
      <c r="Z4884">
        <v>1.051407E-2</v>
      </c>
      <c r="AA4884">
        <v>0.9925195</v>
      </c>
      <c r="AB4884">
        <v>24</v>
      </c>
      <c r="AC4884">
        <v>-0.60739999999998395</v>
      </c>
      <c r="AD4884">
        <v>-0.15808800000000001</v>
      </c>
      <c r="AE4884">
        <v>0.10900000000000799</v>
      </c>
      <c r="AF4884">
        <v>0.10053192273103</v>
      </c>
      <c r="AG4884">
        <v>-0.15808800000000001</v>
      </c>
      <c r="AH4884">
        <v>0.57030523831477797</v>
      </c>
      <c r="AI4884">
        <v>105.269127014001</v>
      </c>
      <c r="AJ4884">
        <v>80.002755312858099</v>
      </c>
      <c r="AK4884">
        <v>0.60028872060140603</v>
      </c>
      <c r="AL4884">
        <v>88.718420357619294</v>
      </c>
      <c r="AM4884">
        <v>89.420787763209404</v>
      </c>
      <c r="AN4884">
        <v>1.0000000328162999</v>
      </c>
    </row>
    <row r="4885" spans="1:40" x14ac:dyDescent="0.25">
      <c r="A4885" t="str">
        <f>"20190312160430956"</f>
        <v>20190312160430956</v>
      </c>
      <c r="B4885" t="str">
        <f>"1552377870949797"</f>
        <v>1552377870949797</v>
      </c>
      <c r="C4885" t="s">
        <v>40</v>
      </c>
      <c r="D4885">
        <v>4.7677940000000003</v>
      </c>
      <c r="E4885">
        <v>0.54306469999999996</v>
      </c>
      <c r="F4885" t="s">
        <v>49</v>
      </c>
      <c r="G4885">
        <v>-251.31970000000001</v>
      </c>
      <c r="H4885">
        <v>0.95528539999999995</v>
      </c>
      <c r="I4885">
        <v>141.26660000000001</v>
      </c>
      <c r="J4885">
        <v>-250.73699999999999</v>
      </c>
      <c r="K4885">
        <v>1.1096790000000001</v>
      </c>
      <c r="L4885">
        <v>141.16059999999999</v>
      </c>
      <c r="M4885">
        <v>-0.99994810000000001</v>
      </c>
      <c r="N4885">
        <v>0</v>
      </c>
      <c r="O4885">
        <v>2.9600770000000002E-3</v>
      </c>
      <c r="P4885">
        <v>-0.99983449999999996</v>
      </c>
      <c r="Q4885">
        <v>1.246886E-2</v>
      </c>
      <c r="R4885">
        <v>1.325172E-2</v>
      </c>
      <c r="S4885">
        <v>-3.0025019999999998</v>
      </c>
      <c r="T4885">
        <v>-0.56223819999999902</v>
      </c>
      <c r="U4885">
        <v>0.38798519999999997</v>
      </c>
      <c r="V4885">
        <v>1.0288530000000001E-2</v>
      </c>
      <c r="W4885">
        <v>2.2211459999999999E-2</v>
      </c>
      <c r="X4885">
        <v>0.99970040000000004</v>
      </c>
      <c r="Y4885">
        <v>0.1231636</v>
      </c>
      <c r="Z4885">
        <v>1.0838810000000001E-2</v>
      </c>
      <c r="AA4885">
        <v>0.99232719999999996</v>
      </c>
      <c r="AB4885">
        <v>24</v>
      </c>
      <c r="AC4885">
        <v>-0.58270000000001598</v>
      </c>
      <c r="AD4885">
        <v>-0.15439359999999999</v>
      </c>
      <c r="AE4885">
        <v>0.10600000000002199</v>
      </c>
      <c r="AF4885">
        <v>9.7639405950948902E-2</v>
      </c>
      <c r="AG4885">
        <v>-0.15439359999999999</v>
      </c>
      <c r="AH4885">
        <v>0.54591301261907998</v>
      </c>
      <c r="AI4885">
        <v>105.55716990706399</v>
      </c>
      <c r="AJ4885">
        <v>79.859570119897299</v>
      </c>
      <c r="AK4885">
        <v>0.57566644392586797</v>
      </c>
      <c r="AL4885">
        <v>88.727272479655497</v>
      </c>
      <c r="AM4885">
        <v>89.410354806958296</v>
      </c>
      <c r="AN4885">
        <v>1.00000004628252</v>
      </c>
    </row>
    <row r="4886" spans="1:40" x14ac:dyDescent="0.25">
      <c r="A4886" t="str">
        <f>"20190312160430978"</f>
        <v>20190312160430978</v>
      </c>
      <c r="B4886" t="str">
        <f>"1552377870970293"</f>
        <v>1552377870970293</v>
      </c>
      <c r="C4886" t="s">
        <v>40</v>
      </c>
      <c r="D4886">
        <v>4.8913099999999998</v>
      </c>
      <c r="E4886">
        <v>0.54538069999999905</v>
      </c>
      <c r="F4886" t="s">
        <v>49</v>
      </c>
      <c r="G4886">
        <v>-251.5369</v>
      </c>
      <c r="H4886">
        <v>0.95812260000000005</v>
      </c>
      <c r="I4886">
        <v>141.26660000000001</v>
      </c>
      <c r="J4886">
        <v>-250.9718</v>
      </c>
      <c r="K4886">
        <v>1.109677</v>
      </c>
      <c r="L4886">
        <v>141.1611</v>
      </c>
      <c r="M4886">
        <v>-0.99994859999999997</v>
      </c>
      <c r="N4886">
        <v>0</v>
      </c>
      <c r="O4886">
        <v>2.8449690000000001E-3</v>
      </c>
      <c r="P4886">
        <v>-0.99983650000000002</v>
      </c>
      <c r="Q4886">
        <v>1.243355E-2</v>
      </c>
      <c r="R4886">
        <v>1.31415E-2</v>
      </c>
      <c r="S4886">
        <v>-3.0023040000000001</v>
      </c>
      <c r="T4886">
        <v>-0.56889089999999998</v>
      </c>
      <c r="U4886">
        <v>0.3977966</v>
      </c>
      <c r="V4886">
        <v>1.0293470000000001E-2</v>
      </c>
      <c r="W4886">
        <v>2.2178570000000002E-2</v>
      </c>
      <c r="X4886">
        <v>0.99970099999999995</v>
      </c>
      <c r="Y4886">
        <v>0.12636800000000001</v>
      </c>
      <c r="Z4886">
        <v>1.128448E-2</v>
      </c>
      <c r="AA4886">
        <v>0.9919192</v>
      </c>
      <c r="AB4886">
        <v>24</v>
      </c>
      <c r="AC4886">
        <v>-0.56510000000000005</v>
      </c>
      <c r="AD4886">
        <v>-0.15155439999999901</v>
      </c>
      <c r="AE4886">
        <v>0.10550000000000601</v>
      </c>
      <c r="AF4886">
        <v>9.7140209894859803E-2</v>
      </c>
      <c r="AG4886">
        <v>-0.15155439999999901</v>
      </c>
      <c r="AH4886">
        <v>0.52865447807712296</v>
      </c>
      <c r="AI4886">
        <v>105.746274587971</v>
      </c>
      <c r="AJ4886">
        <v>79.588052253977295</v>
      </c>
      <c r="AK4886">
        <v>0.55846263413837505</v>
      </c>
      <c r="AL4886">
        <v>88.729157301247497</v>
      </c>
      <c r="AM4886">
        <v>89.410072065019904</v>
      </c>
      <c r="AN4886">
        <v>0.999999966946442</v>
      </c>
    </row>
    <row r="4887" spans="1:40" x14ac:dyDescent="0.25">
      <c r="A4887" t="str">
        <f>"20190312160431000"</f>
        <v>20190312160431000</v>
      </c>
      <c r="B4887" t="str">
        <f>"1552377870989813"</f>
        <v>1552377870989813</v>
      </c>
      <c r="C4887" t="s">
        <v>40</v>
      </c>
      <c r="D4887">
        <v>4.740761</v>
      </c>
      <c r="E4887">
        <v>0.54674800000000001</v>
      </c>
      <c r="F4887" t="s">
        <v>49</v>
      </c>
      <c r="G4887">
        <v>-251.75319999999999</v>
      </c>
      <c r="H4887">
        <v>0.9582349</v>
      </c>
      <c r="I4887">
        <v>141.2697</v>
      </c>
      <c r="J4887">
        <v>-251.2122</v>
      </c>
      <c r="K4887">
        <v>1.109674</v>
      </c>
      <c r="L4887">
        <v>141.1617</v>
      </c>
      <c r="M4887">
        <v>-0.99994890000000003</v>
      </c>
      <c r="N4887">
        <v>0</v>
      </c>
      <c r="O4887">
        <v>2.7270599999999999E-3</v>
      </c>
      <c r="P4887">
        <v>-0.99983469999999997</v>
      </c>
      <c r="Q4887">
        <v>1.2591949999999999E-2</v>
      </c>
      <c r="R4887">
        <v>1.3119789999999999E-2</v>
      </c>
      <c r="S4887">
        <v>-3.0022739999999999</v>
      </c>
      <c r="T4887">
        <v>-0.58192699999999997</v>
      </c>
      <c r="U4887">
        <v>0.41638180000000002</v>
      </c>
      <c r="V4887">
        <v>1.0389549999999999E-2</v>
      </c>
      <c r="W4887">
        <v>2.233922E-2</v>
      </c>
      <c r="X4887">
        <v>0.99969640000000004</v>
      </c>
      <c r="Y4887">
        <v>0.1323058</v>
      </c>
      <c r="Z4887">
        <v>1.212396E-2</v>
      </c>
      <c r="AA4887">
        <v>0.99113479999999998</v>
      </c>
      <c r="AB4887">
        <v>24</v>
      </c>
      <c r="AC4887">
        <v>-0.54099999999999604</v>
      </c>
      <c r="AD4887">
        <v>-0.15143909999999999</v>
      </c>
      <c r="AE4887">
        <v>0.108000000000004</v>
      </c>
      <c r="AF4887">
        <v>9.9059591401872496E-2</v>
      </c>
      <c r="AG4887">
        <v>-0.15143909999999999</v>
      </c>
      <c r="AH4887">
        <v>0.50336188253846403</v>
      </c>
      <c r="AI4887">
        <v>106.446252403667</v>
      </c>
      <c r="AJ4887">
        <v>78.866692362642397</v>
      </c>
      <c r="AK4887">
        <v>0.53490166241112203</v>
      </c>
      <c r="AL4887">
        <v>88.719950415597907</v>
      </c>
      <c r="AM4887">
        <v>89.404563289622203</v>
      </c>
      <c r="AN4887">
        <v>0.99999993783618302</v>
      </c>
    </row>
    <row r="4888" spans="1:40" x14ac:dyDescent="0.25">
      <c r="A4888" t="str">
        <f>"20190312160431023"</f>
        <v>20190312160431023</v>
      </c>
      <c r="B4888" t="str">
        <f>"1552377871020069"</f>
        <v>1552377871020069</v>
      </c>
      <c r="C4888" t="s">
        <v>40</v>
      </c>
      <c r="D4888">
        <v>4.7624259999999996</v>
      </c>
      <c r="E4888">
        <v>0.54747139999999905</v>
      </c>
      <c r="F4888" t="s">
        <v>49</v>
      </c>
      <c r="G4888">
        <v>-251.971</v>
      </c>
      <c r="H4888">
        <v>0.96093439999999997</v>
      </c>
      <c r="I4888">
        <v>141.2698</v>
      </c>
      <c r="J4888">
        <v>-251.4563</v>
      </c>
      <c r="K4888">
        <v>1.109677</v>
      </c>
      <c r="L4888">
        <v>141.16220000000001</v>
      </c>
      <c r="M4888">
        <v>-0.99994919999999998</v>
      </c>
      <c r="N4888">
        <v>0</v>
      </c>
      <c r="O4888">
        <v>2.6075400000000002E-3</v>
      </c>
      <c r="P4888">
        <v>-0.99983529999999998</v>
      </c>
      <c r="Q4888">
        <v>1.2386339999999999E-2</v>
      </c>
      <c r="R4888">
        <v>1.328114E-2</v>
      </c>
      <c r="S4888">
        <v>-3.0022890000000002</v>
      </c>
      <c r="T4888">
        <v>-0.58853140000000004</v>
      </c>
      <c r="U4888">
        <v>0.42744450000000001</v>
      </c>
      <c r="V4888">
        <v>1.067041E-2</v>
      </c>
      <c r="W4888">
        <v>2.2136139999999999E-2</v>
      </c>
      <c r="X4888">
        <v>0.99969799999999998</v>
      </c>
      <c r="Y4888">
        <v>0.135883</v>
      </c>
      <c r="Z4888">
        <v>1.2624639999999999E-2</v>
      </c>
      <c r="AA4888">
        <v>0.99064450000000004</v>
      </c>
      <c r="AB4888">
        <v>24</v>
      </c>
      <c r="AC4888">
        <v>-0.51469999999997595</v>
      </c>
      <c r="AD4888">
        <v>-0.148742599999999</v>
      </c>
      <c r="AE4888">
        <v>0.10759999999999</v>
      </c>
      <c r="AF4888">
        <v>9.8384947076327806E-2</v>
      </c>
      <c r="AG4888">
        <v>-0.148742599999999</v>
      </c>
      <c r="AH4888">
        <v>0.47682450496342699</v>
      </c>
      <c r="AI4888">
        <v>106.98836279478699</v>
      </c>
      <c r="AJ4888">
        <v>78.341561504342394</v>
      </c>
      <c r="AK4888">
        <v>0.50908306532391001</v>
      </c>
      <c r="AL4888">
        <v>88.731588973239596</v>
      </c>
      <c r="AM4888">
        <v>89.3884690744502</v>
      </c>
      <c r="AN4888">
        <v>0.99999997877383295</v>
      </c>
    </row>
    <row r="4889" spans="1:40" x14ac:dyDescent="0.25">
      <c r="A4889" t="str">
        <f>"20190312160431047"</f>
        <v>20190312160431047</v>
      </c>
      <c r="B4889" t="str">
        <f>"1552377871039590"</f>
        <v>1552377871039590</v>
      </c>
      <c r="C4889" t="s">
        <v>40</v>
      </c>
      <c r="D4889">
        <v>4.820284</v>
      </c>
      <c r="E4889">
        <v>0.54859179999999996</v>
      </c>
      <c r="F4889" t="s">
        <v>49</v>
      </c>
      <c r="G4889">
        <v>-252.18979999999999</v>
      </c>
      <c r="H4889">
        <v>0.96526829999999997</v>
      </c>
      <c r="I4889">
        <v>141.26830000000001</v>
      </c>
      <c r="J4889">
        <v>-251.71289999999999</v>
      </c>
      <c r="K4889">
        <v>1.1096680000000001</v>
      </c>
      <c r="L4889">
        <v>141.1628</v>
      </c>
      <c r="M4889">
        <v>-0.99994950000000005</v>
      </c>
      <c r="N4889">
        <v>0</v>
      </c>
      <c r="O4889">
        <v>2.4817630000000001E-3</v>
      </c>
      <c r="P4889">
        <v>-0.99983909999999998</v>
      </c>
      <c r="Q4889">
        <v>1.1725569999999999E-2</v>
      </c>
      <c r="R4889">
        <v>1.360045E-2</v>
      </c>
      <c r="S4889">
        <v>-3.0020600000000002</v>
      </c>
      <c r="T4889">
        <v>-0.59100869999999905</v>
      </c>
      <c r="U4889">
        <v>0.43356319999999998</v>
      </c>
      <c r="V4889">
        <v>1.1115689999999999E-2</v>
      </c>
      <c r="W4889">
        <v>2.1478259999999999E-2</v>
      </c>
      <c r="X4889">
        <v>0.99970749999999997</v>
      </c>
      <c r="Y4889">
        <v>0.1379351</v>
      </c>
      <c r="Z4889">
        <v>1.289944E-2</v>
      </c>
      <c r="AA4889">
        <v>0.9903573</v>
      </c>
      <c r="AB4889">
        <v>24</v>
      </c>
      <c r="AC4889">
        <v>-0.47689999999999999</v>
      </c>
      <c r="AD4889">
        <v>-0.14439969999999999</v>
      </c>
      <c r="AE4889">
        <v>0.10550000000000601</v>
      </c>
      <c r="AF4889">
        <v>9.59313478887866E-2</v>
      </c>
      <c r="AG4889">
        <v>-0.14439969999999999</v>
      </c>
      <c r="AH4889">
        <v>0.43880716649709001</v>
      </c>
      <c r="AI4889">
        <v>107.821584930325</v>
      </c>
      <c r="AJ4889">
        <v>77.668105319285104</v>
      </c>
      <c r="AK4889">
        <v>0.47181121885458999</v>
      </c>
      <c r="AL4889">
        <v>88.769291689420797</v>
      </c>
      <c r="AM4889">
        <v>89.362957785928501</v>
      </c>
      <c r="AN4889">
        <v>0.999999979886526</v>
      </c>
    </row>
    <row r="4890" spans="1:40" x14ac:dyDescent="0.25">
      <c r="A4890" t="str">
        <f>"20190312160431068"</f>
        <v>20190312160431068</v>
      </c>
      <c r="B4890" t="str">
        <f>"1552377871060085"</f>
        <v>1552377871060085</v>
      </c>
      <c r="C4890" t="s">
        <v>40</v>
      </c>
      <c r="D4890">
        <v>4.77841</v>
      </c>
      <c r="E4890">
        <v>0.54900559999999998</v>
      </c>
      <c r="F4890" t="s">
        <v>49</v>
      </c>
      <c r="G4890">
        <v>-252.40940000000001</v>
      </c>
      <c r="H4890">
        <v>0.97039219999999904</v>
      </c>
      <c r="I4890">
        <v>141.26580000000001</v>
      </c>
      <c r="J4890">
        <v>-251.9522</v>
      </c>
      <c r="K4890">
        <v>1.109667</v>
      </c>
      <c r="L4890">
        <v>141.16319999999999</v>
      </c>
      <c r="M4890">
        <v>-0.99994970000000005</v>
      </c>
      <c r="N4890">
        <v>0</v>
      </c>
      <c r="O4890">
        <v>2.3645670000000001E-3</v>
      </c>
      <c r="P4890">
        <v>-0.99983690000000003</v>
      </c>
      <c r="Q4890">
        <v>1.1603749999999999E-2</v>
      </c>
      <c r="R4890">
        <v>1.3846020000000001E-2</v>
      </c>
      <c r="S4890">
        <v>-3.0014799999999999</v>
      </c>
      <c r="T4890">
        <v>-0.6002613</v>
      </c>
      <c r="U4890">
        <v>0.44335940000000001</v>
      </c>
      <c r="V4890">
        <v>1.147835E-2</v>
      </c>
      <c r="W4890">
        <v>2.1359079999999999E-2</v>
      </c>
      <c r="X4890">
        <v>0.99970599999999998</v>
      </c>
      <c r="Y4890">
        <v>0.14109949999999999</v>
      </c>
      <c r="Z4890">
        <v>1.3431790000000001E-2</v>
      </c>
      <c r="AA4890">
        <v>0.98990429999999996</v>
      </c>
      <c r="AB4890">
        <v>24</v>
      </c>
      <c r="AC4890">
        <v>-0.4572</v>
      </c>
      <c r="AD4890">
        <v>-0.1392748</v>
      </c>
      <c r="AE4890">
        <v>0.10260000000002301</v>
      </c>
      <c r="AF4890">
        <v>9.3277721264278607E-2</v>
      </c>
      <c r="AG4890">
        <v>-0.1392748</v>
      </c>
      <c r="AH4890">
        <v>0.42030813342591</v>
      </c>
      <c r="AI4890">
        <v>107.926032861812</v>
      </c>
      <c r="AJ4890">
        <v>77.487312528134197</v>
      </c>
      <c r="AK4890">
        <v>0.45250097262135203</v>
      </c>
      <c r="AL4890">
        <v>88.776121822190404</v>
      </c>
      <c r="AM4890">
        <v>89.342174486061296</v>
      </c>
      <c r="AN4890">
        <v>1.0000000246265801</v>
      </c>
    </row>
    <row r="4891" spans="1:40" x14ac:dyDescent="0.25">
      <c r="A4891" t="str">
        <f>"20190312160431082"</f>
        <v>20190312160431082</v>
      </c>
      <c r="B4891" t="str">
        <f>"1552377871069846"</f>
        <v>1552377871069846</v>
      </c>
      <c r="C4891" t="s">
        <v>40</v>
      </c>
      <c r="D4891">
        <v>4.8344250000000004</v>
      </c>
      <c r="E4891">
        <v>0.54958530000000005</v>
      </c>
      <c r="F4891" t="s">
        <v>49</v>
      </c>
      <c r="G4891">
        <v>-252.828</v>
      </c>
      <c r="H4891">
        <v>0.9338185</v>
      </c>
      <c r="I4891">
        <v>141.2937</v>
      </c>
      <c r="J4891">
        <v>-252.10120000000001</v>
      </c>
      <c r="K4891">
        <v>1.109667</v>
      </c>
      <c r="L4891">
        <v>141.1635</v>
      </c>
      <c r="M4891">
        <v>-0.9999498</v>
      </c>
      <c r="N4891">
        <v>0</v>
      </c>
      <c r="O4891">
        <v>2.2916019999999998E-3</v>
      </c>
      <c r="P4891">
        <v>-0.99983460000000002</v>
      </c>
      <c r="Q4891">
        <v>1.165016E-2</v>
      </c>
      <c r="R4891">
        <v>1.3971040000000001E-2</v>
      </c>
      <c r="S4891">
        <v>-3.0012819999999998</v>
      </c>
      <c r="T4891">
        <v>-0.6026686</v>
      </c>
      <c r="U4891">
        <v>0.44703670000000001</v>
      </c>
      <c r="V4891">
        <v>1.167639E-2</v>
      </c>
      <c r="W4891">
        <v>2.1407229999999999E-2</v>
      </c>
      <c r="X4891">
        <v>0.9997026</v>
      </c>
      <c r="Y4891">
        <v>0.14232139999999999</v>
      </c>
      <c r="Z4891">
        <v>1.3619559999999999E-2</v>
      </c>
      <c r="AA4891">
        <v>0.98972680000000002</v>
      </c>
      <c r="AB4891">
        <v>24</v>
      </c>
      <c r="AC4891">
        <v>-0.726799999999997</v>
      </c>
      <c r="AD4891">
        <v>-0.17584849999999899</v>
      </c>
      <c r="AE4891">
        <v>0.13020000000000201</v>
      </c>
      <c r="AF4891">
        <v>0.121635015491959</v>
      </c>
      <c r="AG4891">
        <v>-0.17584849999999899</v>
      </c>
      <c r="AH4891">
        <v>0.688069782334916</v>
      </c>
      <c r="AI4891">
        <v>104.126036152891</v>
      </c>
      <c r="AJ4891">
        <v>79.974986844964803</v>
      </c>
      <c r="AK4891">
        <v>0.720526055953841</v>
      </c>
      <c r="AL4891">
        <v>88.773362305552894</v>
      </c>
      <c r="AM4891">
        <v>89.3308235393243</v>
      </c>
      <c r="AN4891">
        <v>0.999999948013231</v>
      </c>
    </row>
    <row r="4892" spans="1:40" x14ac:dyDescent="0.25">
      <c r="A4892" t="str">
        <f>"20190312160431102"</f>
        <v>20190312160431102</v>
      </c>
      <c r="B4892" t="str">
        <f>"1552377871089366"</f>
        <v>1552377871089366</v>
      </c>
      <c r="C4892" t="s">
        <v>40</v>
      </c>
      <c r="D4892">
        <v>4.7951050000000004</v>
      </c>
      <c r="E4892">
        <v>0.55020340000000001</v>
      </c>
      <c r="F4892" t="s">
        <v>49</v>
      </c>
      <c r="G4892">
        <v>-252.8399</v>
      </c>
      <c r="H4892">
        <v>0.96030389999999999</v>
      </c>
      <c r="I4892">
        <v>141.2748</v>
      </c>
      <c r="J4892">
        <v>-252.30770000000001</v>
      </c>
      <c r="K4892">
        <v>1.109667</v>
      </c>
      <c r="L4892">
        <v>141.16390000000001</v>
      </c>
      <c r="M4892">
        <v>-0.99994989999999995</v>
      </c>
      <c r="N4892">
        <v>0</v>
      </c>
      <c r="O4892">
        <v>2.1905610000000002E-3</v>
      </c>
      <c r="P4892">
        <v>-0.99983569999999999</v>
      </c>
      <c r="Q4892">
        <v>1.1748939999999999E-2</v>
      </c>
      <c r="R4892">
        <v>1.380288E-2</v>
      </c>
      <c r="S4892">
        <v>-3.0012509999999999</v>
      </c>
      <c r="T4892">
        <v>-0.60687139999999995</v>
      </c>
      <c r="U4892">
        <v>0.45210270000000002</v>
      </c>
      <c r="V4892">
        <v>1.160915E-2</v>
      </c>
      <c r="W4892">
        <v>2.1508289999999999E-2</v>
      </c>
      <c r="X4892">
        <v>0.99970130000000001</v>
      </c>
      <c r="Y4892">
        <v>0.14398449999999999</v>
      </c>
      <c r="Z4892">
        <v>1.3896840000000001E-2</v>
      </c>
      <c r="AA4892">
        <v>0.98948230000000004</v>
      </c>
      <c r="AB4892">
        <v>24</v>
      </c>
      <c r="AC4892">
        <v>-0.53219999999998802</v>
      </c>
      <c r="AD4892">
        <v>-0.149363099999999</v>
      </c>
      <c r="AE4892">
        <v>0.110899999999986</v>
      </c>
      <c r="AF4892">
        <v>0.102031712358639</v>
      </c>
      <c r="AG4892">
        <v>-0.149363099999999</v>
      </c>
      <c r="AH4892">
        <v>0.49506992868861699</v>
      </c>
      <c r="AI4892">
        <v>106.4619218234</v>
      </c>
      <c r="AJ4892">
        <v>78.354647578332504</v>
      </c>
      <c r="AK4892">
        <v>0.52708067718348295</v>
      </c>
      <c r="AL4892">
        <v>88.767570766344207</v>
      </c>
      <c r="AM4892">
        <v>89.334675865904302</v>
      </c>
      <c r="AN4892">
        <v>1.0000000340620601</v>
      </c>
    </row>
    <row r="4893" spans="1:40" x14ac:dyDescent="0.25">
      <c r="A4893" t="str">
        <f>"20190312160431114"</f>
        <v>20190312160431114</v>
      </c>
      <c r="B4893" t="str">
        <f>"1552377871109862"</f>
        <v>1552377871109862</v>
      </c>
      <c r="C4893" t="s">
        <v>40</v>
      </c>
      <c r="D4893">
        <v>4.7882740000000004</v>
      </c>
      <c r="E4893">
        <v>0.55070620000000003</v>
      </c>
      <c r="F4893" t="s">
        <v>49</v>
      </c>
      <c r="G4893">
        <v>-253.05680000000001</v>
      </c>
      <c r="H4893">
        <v>0.95754689999999998</v>
      </c>
      <c r="I4893">
        <v>141.2782</v>
      </c>
      <c r="J4893">
        <v>-252.43719999999999</v>
      </c>
      <c r="K4893">
        <v>1.109669</v>
      </c>
      <c r="L4893">
        <v>141.16409999999999</v>
      </c>
      <c r="M4893">
        <v>-0.99995020000000001</v>
      </c>
      <c r="N4893">
        <v>0</v>
      </c>
      <c r="O4893">
        <v>2.127253E-3</v>
      </c>
      <c r="P4893">
        <v>-0.99983540000000004</v>
      </c>
      <c r="Q4893">
        <v>1.1803549999999999E-2</v>
      </c>
      <c r="R4893">
        <v>1.377895E-2</v>
      </c>
      <c r="S4893">
        <v>-3.0013580000000002</v>
      </c>
      <c r="T4893">
        <v>-0.60952830000000002</v>
      </c>
      <c r="U4893">
        <v>0.45709230000000001</v>
      </c>
      <c r="V4893">
        <v>1.164842E-2</v>
      </c>
      <c r="W4893">
        <v>2.1564070000000001E-2</v>
      </c>
      <c r="X4893">
        <v>0.99969960000000002</v>
      </c>
      <c r="Y4893">
        <v>0.1455931</v>
      </c>
      <c r="Z4893">
        <v>1.412778E-2</v>
      </c>
      <c r="AA4893">
        <v>0.98924369999999995</v>
      </c>
      <c r="AB4893">
        <v>24</v>
      </c>
      <c r="AC4893">
        <v>-0.61960000000001902</v>
      </c>
      <c r="AD4893">
        <v>-0.15212209999999901</v>
      </c>
      <c r="AE4893">
        <v>0.114100000000007</v>
      </c>
      <c r="AF4893">
        <v>0.106568546220158</v>
      </c>
      <c r="AG4893">
        <v>-0.15212209999999901</v>
      </c>
      <c r="AH4893">
        <v>0.58569456262165698</v>
      </c>
      <c r="AI4893">
        <v>104.334271044907</v>
      </c>
      <c r="AJ4893">
        <v>79.687708246705498</v>
      </c>
      <c r="AK4893">
        <v>0.61443967078669504</v>
      </c>
      <c r="AL4893">
        <v>88.764374015123394</v>
      </c>
      <c r="AM4893">
        <v>89.332424357747598</v>
      </c>
      <c r="AN4893">
        <v>0.99999999252181004</v>
      </c>
    </row>
    <row r="4894" spans="1:40" x14ac:dyDescent="0.25">
      <c r="A4894" t="str">
        <f>"20190312160431126"</f>
        <v>20190312160431126</v>
      </c>
      <c r="B4894" t="str">
        <f>"1552377871119622"</f>
        <v>1552377871119622</v>
      </c>
      <c r="C4894" t="s">
        <v>40</v>
      </c>
      <c r="D4894">
        <v>4.8011629999999998</v>
      </c>
      <c r="E4894">
        <v>0.55097700000000005</v>
      </c>
      <c r="F4894" t="s">
        <v>49</v>
      </c>
      <c r="G4894">
        <v>-253.26750000000001</v>
      </c>
      <c r="H4894">
        <v>0.94029249999999998</v>
      </c>
      <c r="I4894">
        <v>141.2919</v>
      </c>
      <c r="J4894">
        <v>-252.57910000000001</v>
      </c>
      <c r="K4894">
        <v>1.109666</v>
      </c>
      <c r="L4894">
        <v>141.1643</v>
      </c>
      <c r="M4894">
        <v>-0.99995020000000001</v>
      </c>
      <c r="N4894">
        <v>0</v>
      </c>
      <c r="O4894">
        <v>2.0578649999999999E-3</v>
      </c>
      <c r="P4894">
        <v>-0.99983610000000001</v>
      </c>
      <c r="Q4894">
        <v>1.1996649999999999E-2</v>
      </c>
      <c r="R4894">
        <v>1.356513E-2</v>
      </c>
      <c r="S4894">
        <v>-3.0013730000000001</v>
      </c>
      <c r="T4894">
        <v>-0.61225889999999905</v>
      </c>
      <c r="U4894">
        <v>0.46185300000000001</v>
      </c>
      <c r="V4894">
        <v>1.1504189999999999E-2</v>
      </c>
      <c r="W4894">
        <v>2.1758570000000001E-2</v>
      </c>
      <c r="X4894">
        <v>0.99969710000000001</v>
      </c>
      <c r="Y4894">
        <v>0.14713689999999999</v>
      </c>
      <c r="Z4894">
        <v>1.435701E-2</v>
      </c>
      <c r="AA4894">
        <v>0.98901190000000005</v>
      </c>
      <c r="AB4894">
        <v>24</v>
      </c>
      <c r="AC4894">
        <v>-0.68840000000000101</v>
      </c>
      <c r="AD4894">
        <v>-0.16937350000000001</v>
      </c>
      <c r="AE4894">
        <v>0.12760000000000099</v>
      </c>
      <c r="AF4894">
        <v>0.11920651223260501</v>
      </c>
      <c r="AG4894">
        <v>-0.16937350000000001</v>
      </c>
      <c r="AH4894">
        <v>0.65058584920754103</v>
      </c>
      <c r="AI4894">
        <v>104.363467021635</v>
      </c>
      <c r="AJ4894">
        <v>79.616898694672898</v>
      </c>
      <c r="AK4894">
        <v>0.68275875845719403</v>
      </c>
      <c r="AL4894">
        <v>88.753227425680194</v>
      </c>
      <c r="AM4894">
        <v>89.340687854280105</v>
      </c>
      <c r="AN4894">
        <v>1.0000000367522</v>
      </c>
    </row>
    <row r="4895" spans="1:40" x14ac:dyDescent="0.25">
      <c r="A4895" t="str">
        <f>"20190312160431139"</f>
        <v>20190312160431139</v>
      </c>
      <c r="B4895" t="str">
        <f>"1552377871129381"</f>
        <v>1552377871129381</v>
      </c>
      <c r="C4895" t="s">
        <v>40</v>
      </c>
      <c r="D4895">
        <v>5.0034679999999998</v>
      </c>
      <c r="E4895">
        <v>0.55152000000000001</v>
      </c>
      <c r="F4895" t="s">
        <v>49</v>
      </c>
      <c r="G4895">
        <v>-253.27940000000001</v>
      </c>
      <c r="H4895">
        <v>0.96648920000000005</v>
      </c>
      <c r="I4895">
        <v>141.27260000000001</v>
      </c>
      <c r="J4895">
        <v>-252.71430000000001</v>
      </c>
      <c r="K4895">
        <v>1.109666</v>
      </c>
      <c r="L4895">
        <v>141.1645</v>
      </c>
      <c r="M4895">
        <v>-0.99995040000000002</v>
      </c>
      <c r="N4895">
        <v>0</v>
      </c>
      <c r="O4895">
        <v>1.9915179999999998E-3</v>
      </c>
      <c r="P4895">
        <v>-0.99984479999999998</v>
      </c>
      <c r="Q4895">
        <v>1.155165E-2</v>
      </c>
      <c r="R4895">
        <v>1.3307039999999999E-2</v>
      </c>
      <c r="S4895">
        <v>-3.0015869999999998</v>
      </c>
      <c r="T4895">
        <v>-0.61369549999999995</v>
      </c>
      <c r="U4895">
        <v>0.46368409999999899</v>
      </c>
      <c r="V4895">
        <v>1.131242E-2</v>
      </c>
      <c r="W4895">
        <v>2.1315219999999999E-2</v>
      </c>
      <c r="X4895">
        <v>0.99970879999999995</v>
      </c>
      <c r="Y4895">
        <v>0.14775460000000001</v>
      </c>
      <c r="Z4895">
        <v>1.446387E-2</v>
      </c>
      <c r="AA4895">
        <v>0.98891830000000003</v>
      </c>
      <c r="AB4895">
        <v>24</v>
      </c>
      <c r="AC4895">
        <v>-0.56510000000000005</v>
      </c>
      <c r="AD4895">
        <v>-0.14317679999999999</v>
      </c>
      <c r="AE4895">
        <v>0.108100000000007</v>
      </c>
      <c r="AF4895">
        <v>0.10073595926529499</v>
      </c>
      <c r="AG4895">
        <v>-0.14317679999999999</v>
      </c>
      <c r="AH4895">
        <v>0.53234704083441897</v>
      </c>
      <c r="AI4895">
        <v>104.80282325834401</v>
      </c>
      <c r="AJ4895">
        <v>79.284626913702695</v>
      </c>
      <c r="AK4895">
        <v>0.56039334527856599</v>
      </c>
      <c r="AL4895">
        <v>88.778635353667397</v>
      </c>
      <c r="AM4895">
        <v>89.3516849508311</v>
      </c>
      <c r="AN4895">
        <v>0.99999999712367205</v>
      </c>
    </row>
    <row r="4896" spans="1:40" x14ac:dyDescent="0.25">
      <c r="A4896" t="str">
        <f>"20190312160431151"</f>
        <v>20190312160431151</v>
      </c>
      <c r="B4896" t="str">
        <f>"1552377871140117"</f>
        <v>1552377871140117</v>
      </c>
      <c r="C4896" t="s">
        <v>40</v>
      </c>
      <c r="D4896">
        <v>4.8317240000000004</v>
      </c>
      <c r="E4896">
        <v>0.55175359999999996</v>
      </c>
      <c r="F4896" t="s">
        <v>49</v>
      </c>
      <c r="G4896">
        <v>-253.49039999999999</v>
      </c>
      <c r="H4896">
        <v>0.94966790000000001</v>
      </c>
      <c r="I4896">
        <v>141.28550000000001</v>
      </c>
      <c r="J4896">
        <v>-252.85310000000001</v>
      </c>
      <c r="K4896">
        <v>1.1096619999999999</v>
      </c>
      <c r="L4896">
        <v>141.16470000000001</v>
      </c>
      <c r="M4896">
        <v>-0.99995049999999996</v>
      </c>
      <c r="N4896">
        <v>0</v>
      </c>
      <c r="O4896">
        <v>1.9236209999999999E-3</v>
      </c>
      <c r="P4896">
        <v>-0.9998513</v>
      </c>
      <c r="Q4896">
        <v>1.130256E-2</v>
      </c>
      <c r="R4896">
        <v>1.3031610000000001E-2</v>
      </c>
      <c r="S4896">
        <v>-3.001404</v>
      </c>
      <c r="T4896">
        <v>-0.61884839999999997</v>
      </c>
      <c r="U4896">
        <v>0.46713260000000001</v>
      </c>
      <c r="V4896">
        <v>1.110477E-2</v>
      </c>
      <c r="W4896">
        <v>2.1067789999999999E-2</v>
      </c>
      <c r="X4896">
        <v>0.99971639999999995</v>
      </c>
      <c r="Y4896">
        <v>0.1488671</v>
      </c>
      <c r="Z4896">
        <v>1.4709109999999999E-2</v>
      </c>
      <c r="AA4896">
        <v>0.98874779999999995</v>
      </c>
      <c r="AB4896">
        <v>24</v>
      </c>
      <c r="AC4896">
        <v>-0.63729999999998199</v>
      </c>
      <c r="AD4896">
        <v>-0.1599941</v>
      </c>
      <c r="AE4896">
        <v>0.120800000000002</v>
      </c>
      <c r="AF4896">
        <v>0.112716131222549</v>
      </c>
      <c r="AG4896">
        <v>-0.1599941</v>
      </c>
      <c r="AH4896">
        <v>0.60096822513096104</v>
      </c>
      <c r="AI4896">
        <v>104.663515499382</v>
      </c>
      <c r="AJ4896">
        <v>79.377159068237205</v>
      </c>
      <c r="AK4896">
        <v>0.63203310505830801</v>
      </c>
      <c r="AL4896">
        <v>88.792815265298799</v>
      </c>
      <c r="AM4896">
        <v>89.363589226860597</v>
      </c>
      <c r="AN4896">
        <v>1.00000002406059</v>
      </c>
    </row>
    <row r="4897" spans="1:40" x14ac:dyDescent="0.25">
      <c r="A4897" t="str">
        <f>"20190312160431169"</f>
        <v>20190312160431169</v>
      </c>
      <c r="B4897" t="str">
        <f>"1552377871159640"</f>
        <v>1552377871159640</v>
      </c>
      <c r="C4897" t="s">
        <v>40</v>
      </c>
      <c r="D4897">
        <v>4.8206119999999997</v>
      </c>
      <c r="E4897">
        <v>0.55210490000000001</v>
      </c>
      <c r="F4897" t="s">
        <v>49</v>
      </c>
      <c r="G4897">
        <v>-253.70240000000001</v>
      </c>
      <c r="H4897">
        <v>0.93378159999999999</v>
      </c>
      <c r="I4897">
        <v>141.2972</v>
      </c>
      <c r="J4897">
        <v>-253.04499999999999</v>
      </c>
      <c r="K4897">
        <v>1.109664</v>
      </c>
      <c r="L4897">
        <v>141.16499999999999</v>
      </c>
      <c r="M4897">
        <v>-0.99995080000000003</v>
      </c>
      <c r="N4897">
        <v>0</v>
      </c>
      <c r="O4897">
        <v>1.8296129999999999E-3</v>
      </c>
      <c r="P4897">
        <v>-0.99986169999999996</v>
      </c>
      <c r="Q4897">
        <v>1.0371150000000001E-2</v>
      </c>
      <c r="R4897">
        <v>1.302348E-2</v>
      </c>
      <c r="S4897">
        <v>-3.0013890000000001</v>
      </c>
      <c r="T4897">
        <v>-0.62151429999999996</v>
      </c>
      <c r="U4897">
        <v>0.4676208</v>
      </c>
      <c r="V4897">
        <v>1.1190810000000001E-2</v>
      </c>
      <c r="W4897">
        <v>2.0138630000000001E-2</v>
      </c>
      <c r="X4897">
        <v>0.99973460000000003</v>
      </c>
      <c r="Y4897">
        <v>0.14908560000000001</v>
      </c>
      <c r="Z4897">
        <v>1.4812479999999999E-2</v>
      </c>
      <c r="AA4897">
        <v>0.98871330000000002</v>
      </c>
      <c r="AB4897">
        <v>24</v>
      </c>
      <c r="AC4897">
        <v>-0.65740000000002397</v>
      </c>
      <c r="AD4897">
        <v>-0.17588239999999999</v>
      </c>
      <c r="AE4897">
        <v>0.132200000000011</v>
      </c>
      <c r="AF4897">
        <v>0.122564856555687</v>
      </c>
      <c r="AG4897">
        <v>-0.17588239999999999</v>
      </c>
      <c r="AH4897">
        <v>0.61530942866677196</v>
      </c>
      <c r="AI4897">
        <v>105.66011758081</v>
      </c>
      <c r="AJ4897">
        <v>78.734576234095996</v>
      </c>
      <c r="AK4897">
        <v>0.65158457294391703</v>
      </c>
      <c r="AL4897">
        <v>88.846063527459194</v>
      </c>
      <c r="AM4897">
        <v>89.358670387140194</v>
      </c>
      <c r="AN4897">
        <v>1.00000003454194</v>
      </c>
    </row>
    <row r="4898" spans="1:40" x14ac:dyDescent="0.25">
      <c r="A4898" t="str">
        <f>"20190312160431181"</f>
        <v>20190312160431181</v>
      </c>
      <c r="B4898" t="str">
        <f>"1552377871169398"</f>
        <v>1552377871169398</v>
      </c>
      <c r="C4898" t="s">
        <v>40</v>
      </c>
      <c r="D4898">
        <v>4.8338580000000002</v>
      </c>
      <c r="E4898">
        <v>0.55221560000000003</v>
      </c>
      <c r="F4898" t="s">
        <v>49</v>
      </c>
      <c r="G4898">
        <v>-253.91890000000001</v>
      </c>
      <c r="H4898">
        <v>0.9267628</v>
      </c>
      <c r="I4898">
        <v>141.30179999999999</v>
      </c>
      <c r="J4898">
        <v>-253.18049999999999</v>
      </c>
      <c r="K4898">
        <v>1.1096680000000001</v>
      </c>
      <c r="L4898">
        <v>141.1652</v>
      </c>
      <c r="M4898">
        <v>-0.99995080000000003</v>
      </c>
      <c r="N4898">
        <v>0</v>
      </c>
      <c r="O4898">
        <v>1.763564E-3</v>
      </c>
      <c r="P4898">
        <v>-0.99986160000000002</v>
      </c>
      <c r="Q4898">
        <v>1.046763E-2</v>
      </c>
      <c r="R4898">
        <v>1.2938730000000001E-2</v>
      </c>
      <c r="S4898">
        <v>-3.0008539999999999</v>
      </c>
      <c r="T4898">
        <v>-0.62814429999999999</v>
      </c>
      <c r="U4898">
        <v>0.46945189999999998</v>
      </c>
      <c r="V4898">
        <v>1.1172079999999999E-2</v>
      </c>
      <c r="W4898">
        <v>2.023637E-2</v>
      </c>
      <c r="X4898">
        <v>0.99973279999999998</v>
      </c>
      <c r="Y4898">
        <v>0.14968689999999901</v>
      </c>
      <c r="Z4898">
        <v>1.504461E-2</v>
      </c>
      <c r="AA4898">
        <v>0.98861900000000003</v>
      </c>
      <c r="AB4898">
        <v>25</v>
      </c>
      <c r="AC4898">
        <v>-0.73840000000001205</v>
      </c>
      <c r="AD4898">
        <v>-0.18290519999999999</v>
      </c>
      <c r="AE4898">
        <v>0.13659999999998701</v>
      </c>
      <c r="AF4898">
        <v>0.12772021511213999</v>
      </c>
      <c r="AG4898">
        <v>-0.18290519999999999</v>
      </c>
      <c r="AH4898">
        <v>0.69727247678014603</v>
      </c>
      <c r="AI4898">
        <v>104.46803235045699</v>
      </c>
      <c r="AJ4898">
        <v>79.620131603986394</v>
      </c>
      <c r="AK4898">
        <v>0.732089934646319</v>
      </c>
      <c r="AL4898">
        <v>88.840462255151706</v>
      </c>
      <c r="AM4898">
        <v>89.359742535046195</v>
      </c>
      <c r="AN4898">
        <v>0.99999999871907097</v>
      </c>
    </row>
    <row r="4899" spans="1:40" x14ac:dyDescent="0.25">
      <c r="A4899" t="str">
        <f>"20190312160431193"</f>
        <v>20190312160431193</v>
      </c>
      <c r="B4899" t="str">
        <f>"1552377871189894"</f>
        <v>1552377871189894</v>
      </c>
      <c r="C4899" t="s">
        <v>40</v>
      </c>
      <c r="D4899">
        <v>4.8544900000000002</v>
      </c>
      <c r="E4899">
        <v>0.55266230000000005</v>
      </c>
      <c r="F4899" t="s">
        <v>49</v>
      </c>
      <c r="G4899">
        <v>-253.93020000000001</v>
      </c>
      <c r="H4899">
        <v>0.9526211</v>
      </c>
      <c r="I4899">
        <v>141.28280000000001</v>
      </c>
      <c r="J4899">
        <v>-253.3177</v>
      </c>
      <c r="K4899">
        <v>1.1096699999999999</v>
      </c>
      <c r="L4899">
        <v>141.1653</v>
      </c>
      <c r="M4899">
        <v>-0.99995089999999998</v>
      </c>
      <c r="N4899">
        <v>0</v>
      </c>
      <c r="O4899">
        <v>1.69656E-3</v>
      </c>
      <c r="P4899">
        <v>-0.99986090000000005</v>
      </c>
      <c r="Q4899">
        <v>1.055553E-2</v>
      </c>
      <c r="R4899">
        <v>1.292776E-2</v>
      </c>
      <c r="S4899">
        <v>-3.0009160000000001</v>
      </c>
      <c r="T4899">
        <v>-0.62861149999999999</v>
      </c>
      <c r="U4899">
        <v>0.47010800000000003</v>
      </c>
      <c r="V4899">
        <v>1.1228170000000001E-2</v>
      </c>
      <c r="W4899">
        <v>2.0326E-2</v>
      </c>
      <c r="X4899">
        <v>0.99973029999999996</v>
      </c>
      <c r="Y4899">
        <v>0.14994969999999999</v>
      </c>
      <c r="Z4899">
        <v>1.5095890000000001E-2</v>
      </c>
      <c r="AA4899">
        <v>0.98857839999999997</v>
      </c>
      <c r="AB4899">
        <v>25</v>
      </c>
      <c r="AC4899">
        <v>-0.61250000000001104</v>
      </c>
      <c r="AD4899">
        <v>-0.15704889999999999</v>
      </c>
      <c r="AE4899">
        <v>0.117500000000006</v>
      </c>
      <c r="AF4899">
        <v>0.109516150317886</v>
      </c>
      <c r="AG4899">
        <v>-0.15704889999999999</v>
      </c>
      <c r="AH4899">
        <v>0.576163578503467</v>
      </c>
      <c r="AI4899">
        <v>104.991083286904</v>
      </c>
      <c r="AJ4899">
        <v>79.237707172127301</v>
      </c>
      <c r="AK4899">
        <v>0.60714299251953896</v>
      </c>
      <c r="AL4899">
        <v>88.835325715833704</v>
      </c>
      <c r="AM4899">
        <v>89.356526750271598</v>
      </c>
      <c r="AN4899">
        <v>0.999999945407817</v>
      </c>
    </row>
    <row r="4900" spans="1:40" x14ac:dyDescent="0.25">
      <c r="A4900" t="str">
        <f>"20190312160431207"</f>
        <v>20190312160431207</v>
      </c>
      <c r="B4900" t="str">
        <f>"1552377871199653"</f>
        <v>1552377871199653</v>
      </c>
      <c r="C4900" t="s">
        <v>40</v>
      </c>
      <c r="D4900">
        <v>4.9263810000000001</v>
      </c>
      <c r="E4900">
        <v>0.55292819999999898</v>
      </c>
      <c r="F4900" t="s">
        <v>49</v>
      </c>
      <c r="G4900">
        <v>-254.14269999999999</v>
      </c>
      <c r="H4900">
        <v>0.93642369999999997</v>
      </c>
      <c r="I4900">
        <v>141.29580000000001</v>
      </c>
      <c r="J4900">
        <v>-253.4676</v>
      </c>
      <c r="K4900">
        <v>1.109667</v>
      </c>
      <c r="L4900">
        <v>141.16550000000001</v>
      </c>
      <c r="M4900">
        <v>-0.99995089999999998</v>
      </c>
      <c r="N4900">
        <v>0</v>
      </c>
      <c r="O4900">
        <v>1.6232379999999999E-3</v>
      </c>
      <c r="P4900">
        <v>-0.99986140000000001</v>
      </c>
      <c r="Q4900">
        <v>1.0966500000000001E-2</v>
      </c>
      <c r="R4900">
        <v>1.25296E-2</v>
      </c>
      <c r="S4900">
        <v>-3.0009459999999999</v>
      </c>
      <c r="T4900">
        <v>-0.63018629999999998</v>
      </c>
      <c r="U4900">
        <v>0.47407529999999998</v>
      </c>
      <c r="V4900">
        <v>1.0903120000000001E-2</v>
      </c>
      <c r="W4900">
        <v>2.073885E-2</v>
      </c>
      <c r="X4900">
        <v>0.99972550000000004</v>
      </c>
      <c r="Y4900">
        <v>0.15125179999999999</v>
      </c>
      <c r="Z4900">
        <v>1.528085E-2</v>
      </c>
      <c r="AA4900">
        <v>0.98837719999999996</v>
      </c>
      <c r="AB4900">
        <v>25</v>
      </c>
      <c r="AC4900">
        <v>-0.67509999999998604</v>
      </c>
      <c r="AD4900">
        <v>-0.17324329999999999</v>
      </c>
      <c r="AE4900">
        <v>0.130300000000005</v>
      </c>
      <c r="AF4900">
        <v>0.12149071408821401</v>
      </c>
      <c r="AG4900">
        <v>-0.17324329999999999</v>
      </c>
      <c r="AH4900">
        <v>0.63499594611794197</v>
      </c>
      <c r="AI4900">
        <v>105.00086827233901</v>
      </c>
      <c r="AJ4900">
        <v>79.1687689709605</v>
      </c>
      <c r="AK4900">
        <v>0.66932285646821799</v>
      </c>
      <c r="AL4900">
        <v>88.811666260615198</v>
      </c>
      <c r="AM4900">
        <v>89.375150485588804</v>
      </c>
      <c r="AN4900">
        <v>1.0000000266376501</v>
      </c>
    </row>
    <row r="4901" spans="1:40" x14ac:dyDescent="0.25">
      <c r="A4901" t="str">
        <f>"20190312160431226"</f>
        <v>20190312160431226</v>
      </c>
      <c r="B4901" t="str">
        <f>"1552377871220151"</f>
        <v>1552377871220151</v>
      </c>
      <c r="C4901" t="s">
        <v>40</v>
      </c>
      <c r="D4901">
        <v>4.8896810000000004</v>
      </c>
      <c r="E4901">
        <v>0.5529906</v>
      </c>
      <c r="F4901" t="s">
        <v>49</v>
      </c>
      <c r="G4901">
        <v>-254.35720000000001</v>
      </c>
      <c r="H4901">
        <v>0.92297940000000001</v>
      </c>
      <c r="I4901">
        <v>141.30670000000001</v>
      </c>
      <c r="J4901">
        <v>-253.66669999999999</v>
      </c>
      <c r="K4901">
        <v>1.109667</v>
      </c>
      <c r="L4901">
        <v>141.16569999999999</v>
      </c>
      <c r="M4901">
        <v>-0.99995109999999998</v>
      </c>
      <c r="N4901">
        <v>0</v>
      </c>
      <c r="O4901">
        <v>1.5258909999999999E-3</v>
      </c>
      <c r="P4901">
        <v>-0.9998631</v>
      </c>
      <c r="Q4901">
        <v>1.0727799999999999E-2</v>
      </c>
      <c r="R4901">
        <v>1.260125E-2</v>
      </c>
      <c r="S4901">
        <v>-3.0013730000000001</v>
      </c>
      <c r="T4901">
        <v>-0.6298897</v>
      </c>
      <c r="U4901">
        <v>0.475296</v>
      </c>
      <c r="V4901">
        <v>1.1072179999999999E-2</v>
      </c>
      <c r="W4901">
        <v>2.0502389999999999E-2</v>
      </c>
      <c r="X4901">
        <v>0.99972850000000002</v>
      </c>
      <c r="Y4901">
        <v>0.1517107</v>
      </c>
      <c r="Z4901">
        <v>1.533868E-2</v>
      </c>
      <c r="AA4901">
        <v>0.98830589999999996</v>
      </c>
      <c r="AB4901">
        <v>25</v>
      </c>
      <c r="AC4901">
        <v>-0.69050000000001399</v>
      </c>
      <c r="AD4901">
        <v>-0.18668759999999901</v>
      </c>
      <c r="AE4901">
        <v>0.141000000000019</v>
      </c>
      <c r="AF4901">
        <v>0.13076981887261499</v>
      </c>
      <c r="AG4901">
        <v>-0.18668759999999901</v>
      </c>
      <c r="AH4901">
        <v>0.64542387423342296</v>
      </c>
      <c r="AI4901">
        <v>105.82738779606299</v>
      </c>
      <c r="AJ4901">
        <v>78.546308004871506</v>
      </c>
      <c r="AK4901">
        <v>0.68448884793853204</v>
      </c>
      <c r="AL4901">
        <v>88.825217279077194</v>
      </c>
      <c r="AM4901">
        <v>89.365464475696598</v>
      </c>
      <c r="AN4901">
        <v>1.0000000074389499</v>
      </c>
    </row>
    <row r="4902" spans="1:40" x14ac:dyDescent="0.25">
      <c r="A4902" t="str">
        <f>"20190312160431249"</f>
        <v>20190312160431249</v>
      </c>
      <c r="B4902" t="str">
        <f>"1552377871239669"</f>
        <v>1552377871239669</v>
      </c>
      <c r="C4902" t="s">
        <v>40</v>
      </c>
      <c r="D4902">
        <v>4.9229799999999999</v>
      </c>
      <c r="E4902">
        <v>0.55318909999999999</v>
      </c>
      <c r="F4902" t="s">
        <v>49</v>
      </c>
      <c r="G4902">
        <v>-254.37389999999999</v>
      </c>
      <c r="H4902">
        <v>0.96113029999999999</v>
      </c>
      <c r="I4902">
        <v>141.2782</v>
      </c>
      <c r="J4902">
        <v>-253.91730000000001</v>
      </c>
      <c r="K4902">
        <v>1.109664</v>
      </c>
      <c r="L4902">
        <v>141.166</v>
      </c>
      <c r="M4902">
        <v>-0.99995129999999999</v>
      </c>
      <c r="N4902">
        <v>0</v>
      </c>
      <c r="O4902">
        <v>1.4033870000000001E-3</v>
      </c>
      <c r="P4902">
        <v>-0.99986520000000001</v>
      </c>
      <c r="Q4902">
        <v>1.0586750000000001E-2</v>
      </c>
      <c r="R4902">
        <v>1.2562510000000001E-2</v>
      </c>
      <c r="S4902">
        <v>-3.0012050000000001</v>
      </c>
      <c r="T4902">
        <v>-0.63045509999999905</v>
      </c>
      <c r="U4902">
        <v>0.47610469999999999</v>
      </c>
      <c r="V4902">
        <v>1.115589E-2</v>
      </c>
      <c r="W4902">
        <v>2.0364130000000001E-2</v>
      </c>
      <c r="X4902">
        <v>0.99973040000000002</v>
      </c>
      <c r="Y4902">
        <v>0.15208369999999999</v>
      </c>
      <c r="Z4902">
        <v>1.541649E-2</v>
      </c>
      <c r="AA4902">
        <v>0.9882474</v>
      </c>
      <c r="AB4902">
        <v>25</v>
      </c>
      <c r="AC4902">
        <v>-0.45659999999998002</v>
      </c>
      <c r="AD4902">
        <v>-0.14853369999999999</v>
      </c>
      <c r="AE4902">
        <v>0.11220000000000099</v>
      </c>
      <c r="AF4902">
        <v>0.10143610079287201</v>
      </c>
      <c r="AG4902">
        <v>-0.14853369999999999</v>
      </c>
      <c r="AH4902">
        <v>0.41531047091135198</v>
      </c>
      <c r="AI4902">
        <v>109.158873924395</v>
      </c>
      <c r="AJ4902">
        <v>76.274698140270601</v>
      </c>
      <c r="AK4902">
        <v>0.45258626783007999</v>
      </c>
      <c r="AL4902">
        <v>88.833140653278605</v>
      </c>
      <c r="AM4902">
        <v>89.360668751273096</v>
      </c>
      <c r="AN4902">
        <v>1.00000001217825</v>
      </c>
    </row>
    <row r="4903" spans="1:40" x14ac:dyDescent="0.25">
      <c r="A4903" t="str">
        <f>"20190312160431269"</f>
        <v>20190312160431269</v>
      </c>
      <c r="B4903" t="str">
        <f>"1552377871260165"</f>
        <v>1552377871260165</v>
      </c>
      <c r="C4903" t="s">
        <v>40</v>
      </c>
      <c r="D4903">
        <v>4.9742189999999997</v>
      </c>
      <c r="E4903">
        <v>0.55356260000000002</v>
      </c>
      <c r="F4903" t="s">
        <v>49</v>
      </c>
      <c r="G4903">
        <v>-254.79859999999999</v>
      </c>
      <c r="H4903">
        <v>0.92393800000000004</v>
      </c>
      <c r="I4903">
        <v>141.3064</v>
      </c>
      <c r="J4903">
        <v>-254.1542</v>
      </c>
      <c r="K4903">
        <v>1.1096629999999901</v>
      </c>
      <c r="L4903">
        <v>141.1662</v>
      </c>
      <c r="M4903">
        <v>-0.99995140000000005</v>
      </c>
      <c r="N4903">
        <v>0</v>
      </c>
      <c r="O4903">
        <v>1.2876210000000001E-3</v>
      </c>
      <c r="P4903">
        <v>-0.99987170000000003</v>
      </c>
      <c r="Q4903">
        <v>1.024067E-2</v>
      </c>
      <c r="R4903">
        <v>1.233186E-2</v>
      </c>
      <c r="S4903">
        <v>-3.0010829999999999</v>
      </c>
      <c r="T4903">
        <v>-0.6324803</v>
      </c>
      <c r="U4903">
        <v>0.47747800000000001</v>
      </c>
      <c r="V4903">
        <v>1.1041209999999999E-2</v>
      </c>
      <c r="W4903">
        <v>2.0020880000000001E-2</v>
      </c>
      <c r="X4903">
        <v>0.99973860000000003</v>
      </c>
      <c r="Y4903">
        <v>0.1526111</v>
      </c>
      <c r="Z4903">
        <v>1.5543680000000001E-2</v>
      </c>
      <c r="AA4903">
        <v>0.98816409999999999</v>
      </c>
      <c r="AB4903">
        <v>25</v>
      </c>
      <c r="AC4903">
        <v>-0.64439999999998998</v>
      </c>
      <c r="AD4903">
        <v>-0.185724999999999</v>
      </c>
      <c r="AE4903">
        <v>0.140199999999993</v>
      </c>
      <c r="AF4903">
        <v>0.12912853967534901</v>
      </c>
      <c r="AG4903">
        <v>-0.185724999999999</v>
      </c>
      <c r="AH4903">
        <v>0.59721327074696395</v>
      </c>
      <c r="AI4903">
        <v>106.907280598146</v>
      </c>
      <c r="AJ4903">
        <v>77.799407906641505</v>
      </c>
      <c r="AK4903">
        <v>0.63861697921365601</v>
      </c>
      <c r="AL4903">
        <v>88.852811433193196</v>
      </c>
      <c r="AM4903">
        <v>89.367245582839899</v>
      </c>
      <c r="AN4903">
        <v>1.0000000061420899</v>
      </c>
    </row>
    <row r="4904" spans="1:40" x14ac:dyDescent="0.25">
      <c r="A4904" t="str">
        <f>"20190312160431291"</f>
        <v>20190312160431291</v>
      </c>
      <c r="B4904" t="str">
        <f>"1552377871279686"</f>
        <v>1552377871279686</v>
      </c>
      <c r="C4904" t="s">
        <v>40</v>
      </c>
      <c r="D4904">
        <v>5.0194879999999999</v>
      </c>
      <c r="E4904">
        <v>0.55400939999999999</v>
      </c>
      <c r="F4904" t="s">
        <v>49</v>
      </c>
      <c r="G4904">
        <v>-255.0206</v>
      </c>
      <c r="H4904">
        <v>0.92629189999999995</v>
      </c>
      <c r="I4904">
        <v>141.3049</v>
      </c>
      <c r="J4904">
        <v>-254.3922</v>
      </c>
      <c r="K4904">
        <v>1.109658</v>
      </c>
      <c r="L4904">
        <v>141.16640000000001</v>
      </c>
      <c r="M4904">
        <v>-0.99995140000000005</v>
      </c>
      <c r="N4904">
        <v>0</v>
      </c>
      <c r="O4904">
        <v>1.171379E-3</v>
      </c>
      <c r="P4904">
        <v>-0.99987680000000001</v>
      </c>
      <c r="Q4904">
        <v>1.0279719999999999E-2</v>
      </c>
      <c r="R4904">
        <v>1.187276E-2</v>
      </c>
      <c r="S4904">
        <v>-3.0009459999999999</v>
      </c>
      <c r="T4904">
        <v>-0.63525580000000004</v>
      </c>
      <c r="U4904">
        <v>0.4799194</v>
      </c>
      <c r="V4904">
        <v>1.069822E-2</v>
      </c>
      <c r="W4904">
        <v>2.006283E-2</v>
      </c>
      <c r="X4904">
        <v>0.99974149999999995</v>
      </c>
      <c r="Y4904">
        <v>0.15346779999999999</v>
      </c>
      <c r="Z4904">
        <v>1.572349E-2</v>
      </c>
      <c r="AA4904">
        <v>0.98802849999999998</v>
      </c>
      <c r="AB4904">
        <v>25</v>
      </c>
      <c r="AC4904">
        <v>-0.62839999999999896</v>
      </c>
      <c r="AD4904">
        <v>-0.1833661</v>
      </c>
      <c r="AE4904">
        <v>0.13849999999999299</v>
      </c>
      <c r="AF4904">
        <v>0.12741726567909301</v>
      </c>
      <c r="AG4904">
        <v>-0.1833661</v>
      </c>
      <c r="AH4904">
        <v>0.58135476755450699</v>
      </c>
      <c r="AI4904">
        <v>107.12398532332401</v>
      </c>
      <c r="AJ4904">
        <v>77.637785687890599</v>
      </c>
      <c r="AK4904">
        <v>0.62276131220612996</v>
      </c>
      <c r="AL4904">
        <v>88.850407405951202</v>
      </c>
      <c r="AM4904">
        <v>89.386902055289497</v>
      </c>
      <c r="AN4904">
        <v>1.00000001794051</v>
      </c>
    </row>
    <row r="4905" spans="1:40" x14ac:dyDescent="0.25">
      <c r="A4905" t="str">
        <f>"20190312160431304"</f>
        <v>20190312160431304</v>
      </c>
      <c r="B4905" t="str">
        <f>"1552377871300182"</f>
        <v>1552377871300182</v>
      </c>
      <c r="C4905" t="s">
        <v>40</v>
      </c>
      <c r="D4905">
        <v>5.0899729999999996</v>
      </c>
      <c r="E4905">
        <v>0.5543806</v>
      </c>
      <c r="F4905" t="s">
        <v>49</v>
      </c>
      <c r="G4905">
        <v>-255.24299999999999</v>
      </c>
      <c r="H4905">
        <v>0.92913869999999998</v>
      </c>
      <c r="I4905">
        <v>141.30330000000001</v>
      </c>
      <c r="J4905">
        <v>-254.53639999999999</v>
      </c>
      <c r="K4905">
        <v>1.109658</v>
      </c>
      <c r="L4905">
        <v>141.16650000000001</v>
      </c>
      <c r="M4905">
        <v>-0.9999517</v>
      </c>
      <c r="N4905">
        <v>0</v>
      </c>
      <c r="O4905">
        <v>1.1006200000000001E-3</v>
      </c>
      <c r="P4905">
        <v>-0.9998783</v>
      </c>
      <c r="Q4905">
        <v>1.049361E-2</v>
      </c>
      <c r="R4905">
        <v>1.1552400000000001E-2</v>
      </c>
      <c r="S4905">
        <v>-3.0011899999999998</v>
      </c>
      <c r="T4905">
        <v>-0.63680969999999903</v>
      </c>
      <c r="U4905">
        <v>0.48200989999999999</v>
      </c>
      <c r="V4905">
        <v>1.044849E-2</v>
      </c>
      <c r="W4905">
        <v>2.0278319999999999E-2</v>
      </c>
      <c r="X4905">
        <v>0.99973979999999996</v>
      </c>
      <c r="Y4905">
        <v>0.15416450000000001</v>
      </c>
      <c r="Z4905">
        <v>1.584646E-2</v>
      </c>
      <c r="AA4905">
        <v>0.98791810000000002</v>
      </c>
      <c r="AB4905">
        <v>25</v>
      </c>
      <c r="AC4905">
        <v>-0.706600000000008</v>
      </c>
      <c r="AD4905">
        <v>-0.18051929999999999</v>
      </c>
      <c r="AE4905">
        <v>0.13679999999999301</v>
      </c>
      <c r="AF4905">
        <v>0.12797150074796301</v>
      </c>
      <c r="AG4905">
        <v>-0.18051929999999999</v>
      </c>
      <c r="AH4905">
        <v>0.66492005409024202</v>
      </c>
      <c r="AI4905">
        <v>104.927720039785</v>
      </c>
      <c r="AJ4905">
        <v>79.105975791516798</v>
      </c>
      <c r="AK4905">
        <v>0.70077285978236004</v>
      </c>
      <c r="AL4905">
        <v>88.838058233791301</v>
      </c>
      <c r="AM4905">
        <v>89.401211611110696</v>
      </c>
      <c r="AN4905">
        <v>1.0000000244546701</v>
      </c>
    </row>
    <row r="4906" spans="1:40" x14ac:dyDescent="0.25">
      <c r="A4906" t="str">
        <f>"20190312160431316"</f>
        <v>20190312160431316</v>
      </c>
      <c r="B4906" t="str">
        <f>"1552377871309943"</f>
        <v>1552377871309943</v>
      </c>
      <c r="C4906" t="s">
        <v>40</v>
      </c>
      <c r="D4906">
        <v>5.0636599999999996</v>
      </c>
      <c r="E4906">
        <v>0.55401089999999997</v>
      </c>
      <c r="F4906" t="s">
        <v>49</v>
      </c>
      <c r="G4906">
        <v>-255.2551</v>
      </c>
      <c r="H4906">
        <v>0.95656160000000001</v>
      </c>
      <c r="I4906">
        <v>141.2826</v>
      </c>
      <c r="J4906">
        <v>-254.67570000000001</v>
      </c>
      <c r="K4906">
        <v>1.1096600000000001</v>
      </c>
      <c r="L4906">
        <v>141.16650000000001</v>
      </c>
      <c r="M4906">
        <v>-0.99995160000000005</v>
      </c>
      <c r="N4906">
        <v>0</v>
      </c>
      <c r="O4906">
        <v>1.0325429999999999E-3</v>
      </c>
      <c r="P4906">
        <v>-0.99987539999999997</v>
      </c>
      <c r="Q4906">
        <v>1.074461E-2</v>
      </c>
      <c r="R4906">
        <v>1.1576700000000001E-2</v>
      </c>
      <c r="S4906">
        <v>-3.0014949999999998</v>
      </c>
      <c r="T4906">
        <v>-0.63944060000000003</v>
      </c>
      <c r="U4906">
        <v>0.48406979999999999</v>
      </c>
      <c r="V4906">
        <v>1.054104E-2</v>
      </c>
      <c r="W4906">
        <v>2.0530989999999999E-2</v>
      </c>
      <c r="X4906">
        <v>0.9997336</v>
      </c>
      <c r="Y4906">
        <v>0.15483459999999999</v>
      </c>
      <c r="Z4906">
        <v>1.599252E-2</v>
      </c>
      <c r="AA4906">
        <v>0.98781099999999999</v>
      </c>
      <c r="AB4906">
        <v>25</v>
      </c>
      <c r="AC4906">
        <v>-0.57939999999999203</v>
      </c>
      <c r="AD4906">
        <v>-0.1530984</v>
      </c>
      <c r="AE4906">
        <v>0.116099999999988</v>
      </c>
      <c r="AF4906">
        <v>0.108236242655779</v>
      </c>
      <c r="AG4906">
        <v>-0.1530984</v>
      </c>
      <c r="AH4906">
        <v>0.54306600081059697</v>
      </c>
      <c r="AI4906">
        <v>105.45490560115201</v>
      </c>
      <c r="AJ4906">
        <v>78.728313611026195</v>
      </c>
      <c r="AK4906">
        <v>0.57452144045563402</v>
      </c>
      <c r="AL4906">
        <v>88.823578210775693</v>
      </c>
      <c r="AM4906">
        <v>89.395904344936596</v>
      </c>
      <c r="AN4906">
        <v>0.999999953021809</v>
      </c>
    </row>
    <row r="4907" spans="1:40" x14ac:dyDescent="0.25">
      <c r="A4907" t="str">
        <f>"20190312160431337"</f>
        <v>20190312160431337</v>
      </c>
      <c r="B4907" t="str">
        <f>"1552377871329462"</f>
        <v>1552377871329462</v>
      </c>
      <c r="C4907" t="s">
        <v>40</v>
      </c>
      <c r="D4907">
        <v>5.0392859999999997</v>
      </c>
      <c r="E4907">
        <v>0.51513750000000003</v>
      </c>
      <c r="F4907" t="s">
        <v>49</v>
      </c>
      <c r="G4907">
        <v>-255.46979999999999</v>
      </c>
      <c r="H4907">
        <v>0.94114640000000005</v>
      </c>
      <c r="I4907">
        <v>141.29390000000001</v>
      </c>
      <c r="J4907">
        <v>-254.90430000000001</v>
      </c>
      <c r="K4907">
        <v>1.1096629999999901</v>
      </c>
      <c r="L4907">
        <v>141.16659999999999</v>
      </c>
      <c r="M4907">
        <v>-0.9999517</v>
      </c>
      <c r="N4907">
        <v>0</v>
      </c>
      <c r="O4907">
        <v>9.2077070000000003E-4</v>
      </c>
      <c r="P4907">
        <v>-0.9998783</v>
      </c>
      <c r="Q4907">
        <v>1.085555E-2</v>
      </c>
      <c r="R4907">
        <v>1.119905E-2</v>
      </c>
      <c r="S4907">
        <v>-3.0016630000000002</v>
      </c>
      <c r="T4907">
        <v>-0.6369745</v>
      </c>
      <c r="U4907">
        <v>0.4811859</v>
      </c>
      <c r="V4907">
        <v>1.027489E-2</v>
      </c>
      <c r="W4907">
        <v>2.0644450000000002E-2</v>
      </c>
      <c r="X4907">
        <v>0.99973409999999996</v>
      </c>
      <c r="Y4907">
        <v>0.15405099999999999</v>
      </c>
      <c r="Z4907">
        <v>1.5874070000000001E-2</v>
      </c>
      <c r="AA4907">
        <v>0.98793540000000002</v>
      </c>
      <c r="AB4907">
        <v>25</v>
      </c>
      <c r="AC4907">
        <v>-0.56549999999998501</v>
      </c>
      <c r="AD4907">
        <v>-0.16851659999999899</v>
      </c>
      <c r="AE4907">
        <v>0.12730000000001901</v>
      </c>
      <c r="AF4907">
        <v>0.116899087827216</v>
      </c>
      <c r="AG4907">
        <v>-0.16851659999999899</v>
      </c>
      <c r="AH4907">
        <v>0.52153741181256197</v>
      </c>
      <c r="AI4907">
        <v>107.499644369593</v>
      </c>
      <c r="AJ4907">
        <v>77.366348166127295</v>
      </c>
      <c r="AK4907">
        <v>0.56041459039762798</v>
      </c>
      <c r="AL4907">
        <v>88.817076130887003</v>
      </c>
      <c r="AM4907">
        <v>89.411156321501693</v>
      </c>
      <c r="AN4907">
        <v>1.0000000186915601</v>
      </c>
    </row>
    <row r="4908" spans="1:40" x14ac:dyDescent="0.25">
      <c r="A4908" t="str">
        <f>"20190312160431358"</f>
        <v>20190312160431358</v>
      </c>
      <c r="B4908" t="str">
        <f>"1552377871349964"</f>
        <v>1552377871349964</v>
      </c>
      <c r="C4908" t="s">
        <v>40</v>
      </c>
      <c r="D4908">
        <v>5.0260420000000003</v>
      </c>
      <c r="E4908">
        <v>0.50752350000000002</v>
      </c>
      <c r="F4908" t="s">
        <v>49</v>
      </c>
      <c r="G4908">
        <v>-255.72219999999999</v>
      </c>
      <c r="H4908">
        <v>1.005959</v>
      </c>
      <c r="I4908">
        <v>141.2115</v>
      </c>
      <c r="J4908">
        <v>-255.14230000000001</v>
      </c>
      <c r="K4908">
        <v>1.1096619999999999</v>
      </c>
      <c r="L4908">
        <v>141.16669999999999</v>
      </c>
      <c r="M4908">
        <v>-0.9999519</v>
      </c>
      <c r="N4908">
        <v>0</v>
      </c>
      <c r="O4908">
        <v>8.0452729999999997E-4</v>
      </c>
      <c r="P4908">
        <v>-0.99987309999999996</v>
      </c>
      <c r="Q4908">
        <v>1.1653749999999999E-2</v>
      </c>
      <c r="R4908">
        <v>1.088658E-2</v>
      </c>
      <c r="S4908">
        <v>-3.0026860000000002</v>
      </c>
      <c r="T4908">
        <v>-0.3808049</v>
      </c>
      <c r="U4908">
        <v>0.16400149999999999</v>
      </c>
      <c r="V4908">
        <v>1.007868E-2</v>
      </c>
      <c r="W4908">
        <v>2.144536E-2</v>
      </c>
      <c r="X4908">
        <v>0.99971920000000003</v>
      </c>
      <c r="Y4908">
        <v>5.3314250000000001E-2</v>
      </c>
      <c r="Z4908">
        <v>3.2631779999999998E-3</v>
      </c>
      <c r="AA4908">
        <v>0.99857249999999997</v>
      </c>
      <c r="AB4908">
        <v>25</v>
      </c>
      <c r="AC4908">
        <v>-0.57989999999997999</v>
      </c>
      <c r="AD4908">
        <v>-0.103703</v>
      </c>
      <c r="AE4908">
        <v>4.4800000000009201E-2</v>
      </c>
      <c r="AF4908">
        <v>4.2967476697346997E-2</v>
      </c>
      <c r="AG4908">
        <v>-0.103703</v>
      </c>
      <c r="AH4908">
        <v>0.56206765993338004</v>
      </c>
      <c r="AI4908">
        <v>100.423921070375</v>
      </c>
      <c r="AJ4908">
        <v>85.628504568465701</v>
      </c>
      <c r="AK4908">
        <v>0.57316714020059001</v>
      </c>
      <c r="AL4908">
        <v>88.771177156319098</v>
      </c>
      <c r="AM4908">
        <v>89.422391543227604</v>
      </c>
      <c r="AN4908">
        <v>0.99999998105235499</v>
      </c>
    </row>
    <row r="4909" spans="1:40" x14ac:dyDescent="0.25">
      <c r="A4909" t="str">
        <f>"20190312160431372"</f>
        <v>20190312160431372</v>
      </c>
      <c r="B4909" t="str">
        <f>"1552377871359718"</f>
        <v>1552377871359718</v>
      </c>
      <c r="C4909" t="s">
        <v>40</v>
      </c>
      <c r="D4909">
        <v>5.0518229999999997</v>
      </c>
      <c r="E4909">
        <v>0.50521439999999995</v>
      </c>
      <c r="F4909" t="s">
        <v>49</v>
      </c>
      <c r="G4909">
        <v>-255.95429999999999</v>
      </c>
      <c r="H4909">
        <v>1.0255369999999999</v>
      </c>
      <c r="I4909">
        <v>141.19409999999999</v>
      </c>
      <c r="J4909">
        <v>-255.28989999999999</v>
      </c>
      <c r="K4909">
        <v>1.1096619999999999</v>
      </c>
      <c r="L4909">
        <v>141.16679999999999</v>
      </c>
      <c r="M4909">
        <v>-0.99995179999999995</v>
      </c>
      <c r="N4909">
        <v>0</v>
      </c>
      <c r="O4909">
        <v>7.32516E-4</v>
      </c>
      <c r="P4909">
        <v>-0.99987219999999999</v>
      </c>
      <c r="Q4909">
        <v>1.205879E-2</v>
      </c>
      <c r="R4909">
        <v>1.0501399999999999E-2</v>
      </c>
      <c r="S4909">
        <v>-3.002945</v>
      </c>
      <c r="T4909">
        <v>-0.31120310000000001</v>
      </c>
      <c r="U4909">
        <v>0.1009369</v>
      </c>
      <c r="V4909">
        <v>9.7652260000000001E-3</v>
      </c>
      <c r="W4909">
        <v>2.1852010000000002E-2</v>
      </c>
      <c r="X4909">
        <v>0.99971350000000003</v>
      </c>
      <c r="Y4909">
        <v>3.269056E-2</v>
      </c>
      <c r="Z4909">
        <v>1.613216E-3</v>
      </c>
      <c r="AA4909">
        <v>0.99946420000000002</v>
      </c>
      <c r="AB4909">
        <v>25</v>
      </c>
      <c r="AC4909">
        <v>-0.66439999999999999</v>
      </c>
      <c r="AD4909">
        <v>-8.4125000000000005E-2</v>
      </c>
      <c r="AE4909">
        <v>2.7299999999996698E-2</v>
      </c>
      <c r="AF4909">
        <v>2.6390896882934799E-2</v>
      </c>
      <c r="AG4909">
        <v>-8.4125000000000005E-2</v>
      </c>
      <c r="AH4909">
        <v>0.65395323618031598</v>
      </c>
      <c r="AI4909">
        <v>97.324413832983595</v>
      </c>
      <c r="AJ4909">
        <v>87.689029025345803</v>
      </c>
      <c r="AK4909">
        <v>0.65986993428553298</v>
      </c>
      <c r="AL4909">
        <v>88.7478723589727</v>
      </c>
      <c r="AM4909">
        <v>89.440351218779995</v>
      </c>
      <c r="AN4909">
        <v>0.99999997603105995</v>
      </c>
    </row>
    <row r="4910" spans="1:40" x14ac:dyDescent="0.25">
      <c r="A4910" t="str">
        <f>"20190312160431391"</f>
        <v>20190312160431391</v>
      </c>
      <c r="B4910" t="str">
        <f>"1552377871380214"</f>
        <v>1552377871380214</v>
      </c>
      <c r="C4910" t="s">
        <v>40</v>
      </c>
      <c r="D4910">
        <v>5.0812369999999998</v>
      </c>
      <c r="E4910">
        <v>0.50330909999999995</v>
      </c>
      <c r="F4910" t="s">
        <v>49</v>
      </c>
      <c r="G4910">
        <v>-256.1755</v>
      </c>
      <c r="H4910">
        <v>1.022769</v>
      </c>
      <c r="I4910">
        <v>141.191</v>
      </c>
      <c r="J4910">
        <v>-255.50460000000001</v>
      </c>
      <c r="K4910">
        <v>1.1096680000000001</v>
      </c>
      <c r="L4910">
        <v>141.16679999999999</v>
      </c>
      <c r="M4910">
        <v>-0.99995199999999995</v>
      </c>
      <c r="N4910">
        <v>0</v>
      </c>
      <c r="O4910">
        <v>6.2753929999999998E-4</v>
      </c>
      <c r="P4910">
        <v>-0.99987349999999997</v>
      </c>
      <c r="Q4910">
        <v>1.240436E-2</v>
      </c>
      <c r="R4910">
        <v>9.9897849999999993E-3</v>
      </c>
      <c r="S4910">
        <v>-3.003082</v>
      </c>
      <c r="T4910">
        <v>-0.29474139999999999</v>
      </c>
      <c r="U4910">
        <v>8.1237790000000004E-2</v>
      </c>
      <c r="V4910">
        <v>9.3587189999999997E-3</v>
      </c>
      <c r="W4910">
        <v>2.220049E-2</v>
      </c>
      <c r="X4910">
        <v>0.99970970000000003</v>
      </c>
      <c r="Y4910">
        <v>2.6291019999999998E-2</v>
      </c>
      <c r="Z4910">
        <v>1.225423E-3</v>
      </c>
      <c r="AA4910">
        <v>0.99965360000000003</v>
      </c>
      <c r="AB4910">
        <v>25</v>
      </c>
      <c r="AC4910">
        <v>-0.67089999999998895</v>
      </c>
      <c r="AD4910">
        <v>-8.6899000000000004E-2</v>
      </c>
      <c r="AE4910">
        <v>2.42000000000075E-2</v>
      </c>
      <c r="AF4910">
        <v>2.3387103699488099E-2</v>
      </c>
      <c r="AG4910">
        <v>-8.6899000000000004E-2</v>
      </c>
      <c r="AH4910">
        <v>0.65985899433318296</v>
      </c>
      <c r="AI4910">
        <v>97.497643145270004</v>
      </c>
      <c r="AJ4910">
        <v>87.970139550509998</v>
      </c>
      <c r="AK4910">
        <v>0.66596718028957702</v>
      </c>
      <c r="AL4910">
        <v>88.727901066986206</v>
      </c>
      <c r="AM4910">
        <v>89.463644858934103</v>
      </c>
      <c r="AN4910">
        <v>0.99999996582582495</v>
      </c>
    </row>
    <row r="4911" spans="1:40" x14ac:dyDescent="0.25">
      <c r="A4911" t="str">
        <f>"20190312160431406"</f>
        <v>20190312160431406</v>
      </c>
      <c r="B4911" t="str">
        <f>"1552377871399734"</f>
        <v>1552377871399734</v>
      </c>
      <c r="C4911" t="s">
        <v>40</v>
      </c>
      <c r="D4911">
        <v>5.0595309999999998</v>
      </c>
      <c r="E4911">
        <v>0.50268440000000003</v>
      </c>
      <c r="F4911" t="s">
        <v>49</v>
      </c>
      <c r="G4911">
        <v>-256.404</v>
      </c>
      <c r="H4911">
        <v>1.0339830000000001</v>
      </c>
      <c r="I4911">
        <v>141.18600000000001</v>
      </c>
      <c r="J4911">
        <v>-255.67150000000001</v>
      </c>
      <c r="K4911">
        <v>1.109669</v>
      </c>
      <c r="L4911">
        <v>141.16679999999999</v>
      </c>
      <c r="M4911">
        <v>-0.99995179999999995</v>
      </c>
      <c r="N4911">
        <v>0</v>
      </c>
      <c r="O4911">
        <v>5.4610919999999999E-4</v>
      </c>
      <c r="P4911">
        <v>-0.99987780000000004</v>
      </c>
      <c r="Q4911">
        <v>1.226989E-2</v>
      </c>
      <c r="R4911">
        <v>9.7060740000000003E-3</v>
      </c>
      <c r="S4911">
        <v>-3.0028990000000002</v>
      </c>
      <c r="T4911">
        <v>-0.25273800000000002</v>
      </c>
      <c r="U4911">
        <v>6.3659670000000002E-2</v>
      </c>
      <c r="V4911">
        <v>9.1563970000000001E-3</v>
      </c>
      <c r="W4911">
        <v>2.2067969999999999E-2</v>
      </c>
      <c r="X4911">
        <v>0.99971460000000001</v>
      </c>
      <c r="Y4911">
        <v>2.0577829999999998E-2</v>
      </c>
      <c r="Z4911">
        <v>8.1845929999999902E-4</v>
      </c>
      <c r="AA4911">
        <v>0.99978789999999995</v>
      </c>
      <c r="AB4911">
        <v>25</v>
      </c>
      <c r="AC4911">
        <v>-0.73249999999998705</v>
      </c>
      <c r="AD4911">
        <v>-7.5685999999999906E-2</v>
      </c>
      <c r="AE4911">
        <v>1.9200000000011999E-2</v>
      </c>
      <c r="AF4911">
        <v>1.8601496368571901E-2</v>
      </c>
      <c r="AG4911">
        <v>-7.5685999999999906E-2</v>
      </c>
      <c r="AH4911">
        <v>0.72477783129336004</v>
      </c>
      <c r="AI4911">
        <v>95.959640908898294</v>
      </c>
      <c r="AJ4911">
        <v>88.529820766379999</v>
      </c>
      <c r="AK4911">
        <v>0.72895630252948396</v>
      </c>
      <c r="AL4911">
        <v>88.735495881393902</v>
      </c>
      <c r="AM4911">
        <v>89.475241999446894</v>
      </c>
      <c r="AN4911">
        <v>1.0000000581795401</v>
      </c>
    </row>
    <row r="4912" spans="1:40" x14ac:dyDescent="0.25">
      <c r="A4912" t="str">
        <f>"20190312160431427"</f>
        <v>20190312160431427</v>
      </c>
      <c r="B4912" t="str">
        <f>"1552377871420230"</f>
        <v>1552377871420230</v>
      </c>
      <c r="C4912" t="s">
        <v>40</v>
      </c>
      <c r="D4912">
        <v>5.0747200000000001</v>
      </c>
      <c r="E4912">
        <v>0.50207159999999995</v>
      </c>
      <c r="F4912" t="s">
        <v>41</v>
      </c>
      <c r="G4912">
        <v>-270.06529999999998</v>
      </c>
      <c r="H4912" s="1">
        <v>-4.577391E-6</v>
      </c>
      <c r="I4912">
        <v>141.44049999999999</v>
      </c>
      <c r="J4912">
        <v>-255.90100000000001</v>
      </c>
      <c r="K4912">
        <v>1.109674</v>
      </c>
      <c r="L4912">
        <v>141.16679999999999</v>
      </c>
      <c r="M4912">
        <v>-0.99995179999999995</v>
      </c>
      <c r="N4912">
        <v>0</v>
      </c>
      <c r="O4912">
        <v>4.341576E-4</v>
      </c>
      <c r="P4912">
        <v>-0.99987470000000001</v>
      </c>
      <c r="Q4912">
        <v>1.243205E-2</v>
      </c>
      <c r="R4912">
        <v>9.7844070000000002E-3</v>
      </c>
      <c r="S4912">
        <v>-3.0026549999999999</v>
      </c>
      <c r="T4912">
        <v>-0.2314872</v>
      </c>
      <c r="U4912">
        <v>5.7098389999999999E-2</v>
      </c>
      <c r="V4912">
        <v>9.3464220000000001E-3</v>
      </c>
      <c r="W4912">
        <v>2.2232910000000002E-2</v>
      </c>
      <c r="X4912">
        <v>0.99970910000000002</v>
      </c>
      <c r="Y4912">
        <v>1.8524769999999999E-2</v>
      </c>
      <c r="Z4912">
        <v>6.7953389999999897E-4</v>
      </c>
      <c r="AA4912">
        <v>0.99982819999999994</v>
      </c>
      <c r="AB4912">
        <v>25</v>
      </c>
      <c r="AC4912">
        <v>-14.1642999999999</v>
      </c>
      <c r="AD4912">
        <v>-1.1096785773909901</v>
      </c>
      <c r="AE4912">
        <v>0.27369999999999001</v>
      </c>
      <c r="AF4912">
        <v>0.26591862588787002</v>
      </c>
      <c r="AG4912">
        <v>-1.1096785773909901</v>
      </c>
      <c r="AH4912">
        <v>14.078043240330301</v>
      </c>
      <c r="AI4912">
        <v>94.506126375896201</v>
      </c>
      <c r="AJ4912">
        <v>88.917874944356896</v>
      </c>
      <c r="AK4912">
        <v>14.124213278527201</v>
      </c>
      <c r="AL4912">
        <v>88.726043086080097</v>
      </c>
      <c r="AM4912">
        <v>89.464349246587602</v>
      </c>
      <c r="AN4912">
        <v>0.99999997125703899</v>
      </c>
    </row>
    <row r="4913" spans="1:40" x14ac:dyDescent="0.25">
      <c r="A4913" t="str">
        <f>"20190312160431450"</f>
        <v>20190312160431450</v>
      </c>
      <c r="B4913" t="str">
        <f>"1552377871439752"</f>
        <v>1552377871439752</v>
      </c>
      <c r="C4913" t="s">
        <v>40</v>
      </c>
      <c r="D4913">
        <v>5.1135599999999997</v>
      </c>
      <c r="E4913">
        <v>0.50187190000000004</v>
      </c>
      <c r="F4913" t="s">
        <v>41</v>
      </c>
      <c r="G4913">
        <v>-271.20940000000002</v>
      </c>
      <c r="H4913" s="1">
        <v>-4.1864609999999996E-6</v>
      </c>
      <c r="I4913">
        <v>141.43129999999999</v>
      </c>
      <c r="J4913">
        <v>-256.15100000000001</v>
      </c>
      <c r="K4913">
        <v>1.1096729999999999</v>
      </c>
      <c r="L4913">
        <v>141.16679999999999</v>
      </c>
      <c r="M4913">
        <v>-0.99995199999999995</v>
      </c>
      <c r="N4913">
        <v>0</v>
      </c>
      <c r="O4913">
        <v>3.1212969999999999E-4</v>
      </c>
      <c r="P4913">
        <v>-0.99986850000000005</v>
      </c>
      <c r="Q4913">
        <v>1.2829139999999999E-2</v>
      </c>
      <c r="R4913">
        <v>9.9352099999999999E-3</v>
      </c>
      <c r="S4913">
        <v>-3.0025940000000002</v>
      </c>
      <c r="T4913">
        <v>-0.2176546</v>
      </c>
      <c r="U4913">
        <v>5.1895139999999999E-2</v>
      </c>
      <c r="V4913">
        <v>9.6193800000000003E-3</v>
      </c>
      <c r="W4913">
        <v>2.263335E-2</v>
      </c>
      <c r="X4913">
        <v>0.99969759999999996</v>
      </c>
      <c r="Y4913">
        <v>1.6925180000000001E-2</v>
      </c>
      <c r="Z4913">
        <v>5.8999859999999999E-4</v>
      </c>
      <c r="AA4913">
        <v>0.99985659999999998</v>
      </c>
      <c r="AB4913">
        <v>25</v>
      </c>
      <c r="AC4913">
        <v>-15.058400000000001</v>
      </c>
      <c r="AD4913">
        <v>-1.109677186461</v>
      </c>
      <c r="AE4913">
        <v>0.26449999999999801</v>
      </c>
      <c r="AF4913">
        <v>0.25839681021238903</v>
      </c>
      <c r="AG4913">
        <v>-1.109677186461</v>
      </c>
      <c r="AH4913">
        <v>14.9771741494041</v>
      </c>
      <c r="AI4913">
        <v>94.236743933740797</v>
      </c>
      <c r="AJ4913">
        <v>89.011590715124896</v>
      </c>
      <c r="AK4913">
        <v>15.020449323214599</v>
      </c>
      <c r="AL4913">
        <v>88.703093885271102</v>
      </c>
      <c r="AM4913">
        <v>89.448700420569196</v>
      </c>
      <c r="AN4913">
        <v>1.00000004622478</v>
      </c>
    </row>
    <row r="4914" spans="1:40" x14ac:dyDescent="0.25">
      <c r="A4914" t="str">
        <f>"20190312160431471"</f>
        <v>20190312160431471</v>
      </c>
      <c r="B4914" t="str">
        <f>"1552377871460246"</f>
        <v>1552377871460246</v>
      </c>
      <c r="C4914" t="s">
        <v>40</v>
      </c>
      <c r="D4914">
        <v>5.0590419999999998</v>
      </c>
      <c r="E4914">
        <v>0.50170379999999903</v>
      </c>
      <c r="F4914" t="s">
        <v>49</v>
      </c>
      <c r="G4914">
        <v>-257.08190000000002</v>
      </c>
      <c r="H4914">
        <v>1.0444059999999999</v>
      </c>
      <c r="I4914">
        <v>141.18270000000001</v>
      </c>
      <c r="J4914">
        <v>-256.39760000000001</v>
      </c>
      <c r="K4914">
        <v>1.109675</v>
      </c>
      <c r="L4914">
        <v>141.16669999999999</v>
      </c>
      <c r="M4914">
        <v>-0.99995179999999995</v>
      </c>
      <c r="N4914">
        <v>0</v>
      </c>
      <c r="O4914">
        <v>1.917426E-4</v>
      </c>
      <c r="P4914">
        <v>-0.99987199999999998</v>
      </c>
      <c r="Q4914">
        <v>1.271825E-2</v>
      </c>
      <c r="R4914">
        <v>9.7108190000000007E-3</v>
      </c>
      <c r="S4914">
        <v>-3.0026250000000001</v>
      </c>
      <c r="T4914">
        <v>-0.2105911</v>
      </c>
      <c r="U4914">
        <v>5.0674440000000001E-2</v>
      </c>
      <c r="V4914">
        <v>9.5152469999999992E-3</v>
      </c>
      <c r="W4914">
        <v>2.2531809999999999E-2</v>
      </c>
      <c r="X4914">
        <v>0.99970079999999995</v>
      </c>
      <c r="Y4914">
        <v>1.6642190000000001E-2</v>
      </c>
      <c r="Z4914">
        <v>5.6941730000000001E-4</v>
      </c>
      <c r="AA4914">
        <v>0.99986140000000001</v>
      </c>
      <c r="AB4914">
        <v>25</v>
      </c>
      <c r="AC4914">
        <v>-0.68430000000000701</v>
      </c>
      <c r="AD4914">
        <v>-6.5268999999999994E-2</v>
      </c>
      <c r="AE4914">
        <v>1.6000000000019499E-2</v>
      </c>
      <c r="AF4914">
        <v>1.5725797058350401E-2</v>
      </c>
      <c r="AG4914">
        <v>-6.5268999999999994E-2</v>
      </c>
      <c r="AH4914">
        <v>0.67813709159788504</v>
      </c>
      <c r="AI4914">
        <v>95.496172778946203</v>
      </c>
      <c r="AJ4914">
        <v>88.671566041244503</v>
      </c>
      <c r="AK4914">
        <v>0.68145231531997796</v>
      </c>
      <c r="AL4914">
        <v>88.708913065920299</v>
      </c>
      <c r="AM4914">
        <v>89.454669805660998</v>
      </c>
      <c r="AN4914">
        <v>0.99999995595399205</v>
      </c>
    </row>
    <row r="4915" spans="1:40" x14ac:dyDescent="0.25">
      <c r="A4915" t="str">
        <f>"20190312160431492"</f>
        <v>20190312160431492</v>
      </c>
      <c r="B4915" t="str">
        <f>"1552377871479766"</f>
        <v>1552377871479766</v>
      </c>
      <c r="C4915" t="s">
        <v>40</v>
      </c>
      <c r="D4915">
        <v>5.1034800000000002</v>
      </c>
      <c r="E4915">
        <v>0.50167329999999999</v>
      </c>
      <c r="F4915" t="s">
        <v>49</v>
      </c>
      <c r="G4915">
        <v>-257.30759999999998</v>
      </c>
      <c r="H4915">
        <v>1.0461819999999999</v>
      </c>
      <c r="I4915">
        <v>141.1816</v>
      </c>
      <c r="J4915">
        <v>-256.62790000000001</v>
      </c>
      <c r="K4915">
        <v>1.1096790000000001</v>
      </c>
      <c r="L4915">
        <v>141.16659999999999</v>
      </c>
      <c r="M4915">
        <v>-0.9999517</v>
      </c>
      <c r="N4915">
        <v>0</v>
      </c>
      <c r="O4915" s="1">
        <v>7.9566839999999995E-5</v>
      </c>
      <c r="P4915">
        <v>-0.99986929999999996</v>
      </c>
      <c r="Q4915">
        <v>1.312371E-2</v>
      </c>
      <c r="R4915">
        <v>9.4323610000000002E-3</v>
      </c>
      <c r="S4915">
        <v>-3.0025940000000002</v>
      </c>
      <c r="T4915">
        <v>-0.2095196</v>
      </c>
      <c r="U4915">
        <v>4.8721309999999997E-2</v>
      </c>
      <c r="V4915">
        <v>9.3488519999999995E-3</v>
      </c>
      <c r="W4915">
        <v>2.294846E-2</v>
      </c>
      <c r="X4915">
        <v>0.9996929</v>
      </c>
      <c r="Y4915">
        <v>1.6105749999999999E-2</v>
      </c>
      <c r="Z4915">
        <v>5.5566139999999997E-4</v>
      </c>
      <c r="AA4915">
        <v>0.99987009999999998</v>
      </c>
      <c r="AB4915">
        <v>25</v>
      </c>
      <c r="AC4915">
        <v>-0.679699999999968</v>
      </c>
      <c r="AD4915">
        <v>-6.3497000000000095E-2</v>
      </c>
      <c r="AE4915">
        <v>1.5000000000014699E-2</v>
      </c>
      <c r="AF4915">
        <v>1.4816671557455601E-2</v>
      </c>
      <c r="AG4915">
        <v>-6.3497000000000095E-2</v>
      </c>
      <c r="AH4915">
        <v>0.673823502855873</v>
      </c>
      <c r="AI4915">
        <v>95.382012937438603</v>
      </c>
      <c r="AJ4915">
        <v>88.740328944966905</v>
      </c>
      <c r="AK4915">
        <v>0.67697083819467496</v>
      </c>
      <c r="AL4915">
        <v>88.685034613452302</v>
      </c>
      <c r="AM4915">
        <v>89.464201307546702</v>
      </c>
      <c r="AN4915">
        <v>0.99999996358024901</v>
      </c>
    </row>
    <row r="4916" spans="1:40" x14ac:dyDescent="0.25">
      <c r="A4916" t="str">
        <f>"20190312160431506"</f>
        <v>20190312160431506</v>
      </c>
      <c r="B4916" t="str">
        <f>"1552377871500262"</f>
        <v>1552377871500262</v>
      </c>
      <c r="C4916" t="s">
        <v>40</v>
      </c>
      <c r="D4916">
        <v>5.080514</v>
      </c>
      <c r="E4916">
        <v>0.50222250000000002</v>
      </c>
      <c r="F4916" t="s">
        <v>49</v>
      </c>
      <c r="G4916">
        <v>-257.53289999999998</v>
      </c>
      <c r="H4916">
        <v>1.0470759999999999</v>
      </c>
      <c r="I4916">
        <v>141.18119999999999</v>
      </c>
      <c r="J4916">
        <v>-256.78730000000002</v>
      </c>
      <c r="K4916">
        <v>1.1096809999999999</v>
      </c>
      <c r="L4916">
        <v>141.16659999999999</v>
      </c>
      <c r="M4916">
        <v>-0.9999517</v>
      </c>
      <c r="N4916">
        <v>0</v>
      </c>
      <c r="O4916" s="1">
        <v>1.621116E-6</v>
      </c>
      <c r="P4916">
        <v>-0.99986770000000003</v>
      </c>
      <c r="Q4916">
        <v>1.3094720000000001E-2</v>
      </c>
      <c r="R4916">
        <v>9.6431020000000006E-3</v>
      </c>
      <c r="S4916">
        <v>-3.0026860000000002</v>
      </c>
      <c r="T4916">
        <v>-0.2077869</v>
      </c>
      <c r="U4916">
        <v>4.7592160000000001E-2</v>
      </c>
      <c r="V4916">
        <v>9.6375060000000005E-3</v>
      </c>
      <c r="W4916">
        <v>2.2928440000000001E-2</v>
      </c>
      <c r="X4916">
        <v>0.99969070000000004</v>
      </c>
      <c r="Y4916">
        <v>1.580846E-2</v>
      </c>
      <c r="Z4916">
        <v>5.4617610000000003E-4</v>
      </c>
      <c r="AA4916">
        <v>0.99987490000000001</v>
      </c>
      <c r="AB4916">
        <v>25</v>
      </c>
      <c r="AC4916">
        <v>-0.74559999999996696</v>
      </c>
      <c r="AD4916">
        <v>-6.26049999999998E-2</v>
      </c>
      <c r="AE4916">
        <v>1.4600000000001501E-2</v>
      </c>
      <c r="AF4916">
        <v>1.4496625174430899E-2</v>
      </c>
      <c r="AG4916">
        <v>-6.26049999999998E-2</v>
      </c>
      <c r="AH4916">
        <v>0.74038212461019803</v>
      </c>
      <c r="AI4916">
        <v>94.832379277573693</v>
      </c>
      <c r="AJ4916">
        <v>88.878296363795997</v>
      </c>
      <c r="AK4916">
        <v>0.74316568045675901</v>
      </c>
      <c r="AL4916">
        <v>88.686182084245502</v>
      </c>
      <c r="AM4916">
        <v>89.447657847400393</v>
      </c>
      <c r="AN4916">
        <v>1.0000000452746101</v>
      </c>
    </row>
    <row r="4917" spans="1:40" x14ac:dyDescent="0.25">
      <c r="A4917" t="str">
        <f>"20190312160431518"</f>
        <v>20190312160431518</v>
      </c>
      <c r="B4917" t="str">
        <f>"1552377871510023"</f>
        <v>1552377871510023</v>
      </c>
      <c r="C4917" t="s">
        <v>40</v>
      </c>
      <c r="D4917">
        <v>5.0692199999999996</v>
      </c>
      <c r="E4917">
        <v>0.50250779999999995</v>
      </c>
      <c r="F4917" t="s">
        <v>41</v>
      </c>
      <c r="G4917">
        <v>-272.89030000000002</v>
      </c>
      <c r="H4917" s="1">
        <v>-3.5200499999999999E-6</v>
      </c>
      <c r="I4917">
        <v>141.44909999999999</v>
      </c>
      <c r="J4917">
        <v>-256.92720000000003</v>
      </c>
      <c r="K4917">
        <v>1.1096820000000001</v>
      </c>
      <c r="L4917">
        <v>141.16650000000001</v>
      </c>
      <c r="M4917">
        <v>-0.9999517</v>
      </c>
      <c r="N4917">
        <v>0</v>
      </c>
      <c r="O4917" s="1">
        <v>-6.6539809999999997E-5</v>
      </c>
      <c r="P4917">
        <v>-0.99986759999999997</v>
      </c>
      <c r="Q4917">
        <v>1.31241E-2</v>
      </c>
      <c r="R4917">
        <v>9.6299339999999997E-3</v>
      </c>
      <c r="S4917">
        <v>-3.0026250000000001</v>
      </c>
      <c r="T4917">
        <v>-0.20691680000000001</v>
      </c>
      <c r="U4917">
        <v>5.2688600000000002E-2</v>
      </c>
      <c r="V4917">
        <v>9.6925239999999992E-3</v>
      </c>
      <c r="W4917">
        <v>2.296467E-2</v>
      </c>
      <c r="X4917">
        <v>0.9996893</v>
      </c>
      <c r="Y4917">
        <v>1.756953E-2</v>
      </c>
      <c r="Z4917">
        <v>6.091922E-4</v>
      </c>
      <c r="AA4917">
        <v>0.9998454</v>
      </c>
      <c r="AB4917">
        <v>25</v>
      </c>
      <c r="AC4917">
        <v>-15.963099999999899</v>
      </c>
      <c r="AD4917">
        <v>-1.10968552005</v>
      </c>
      <c r="AE4917">
        <v>0.28259999999997298</v>
      </c>
      <c r="AF4917">
        <v>0.28229847275796499</v>
      </c>
      <c r="AG4917">
        <v>-1.10968552005</v>
      </c>
      <c r="AH4917">
        <v>15.8863356430248</v>
      </c>
      <c r="AI4917">
        <v>93.995081361608797</v>
      </c>
      <c r="AJ4917">
        <v>88.981967316579201</v>
      </c>
      <c r="AK4917">
        <v>15.9275470347437</v>
      </c>
      <c r="AL4917">
        <v>88.684105663535306</v>
      </c>
      <c r="AM4917">
        <v>89.444504089719999</v>
      </c>
      <c r="AN4917">
        <v>1.0000000088120899</v>
      </c>
    </row>
    <row r="4918" spans="1:40" x14ac:dyDescent="0.25">
      <c r="A4918" t="str">
        <f>"20190312160431532"</f>
        <v>20190312160431532</v>
      </c>
      <c r="B4918" t="str">
        <f>"1552377871519782"</f>
        <v>1552377871519782</v>
      </c>
      <c r="C4918" t="s">
        <v>40</v>
      </c>
      <c r="D4918">
        <v>5.0662029999999998</v>
      </c>
      <c r="E4918">
        <v>0.50278469999999997</v>
      </c>
      <c r="F4918" t="s">
        <v>41</v>
      </c>
      <c r="G4918">
        <v>-273.07990000000001</v>
      </c>
      <c r="H4918" s="1">
        <v>-3.4421710000000001E-6</v>
      </c>
      <c r="I4918">
        <v>141.46199999999999</v>
      </c>
      <c r="J4918">
        <v>-257.07389999999998</v>
      </c>
      <c r="K4918">
        <v>1.109683</v>
      </c>
      <c r="L4918">
        <v>141.16640000000001</v>
      </c>
      <c r="M4918">
        <v>-0.99995149999999999</v>
      </c>
      <c r="N4918">
        <v>0</v>
      </c>
      <c r="O4918">
        <v>-1.375011E-4</v>
      </c>
      <c r="P4918">
        <v>-0.99987199999999998</v>
      </c>
      <c r="Q4918">
        <v>1.2938359999999999E-2</v>
      </c>
      <c r="R4918">
        <v>9.4325899999999994E-3</v>
      </c>
      <c r="S4918">
        <v>-3.0025940000000002</v>
      </c>
      <c r="T4918">
        <v>-0.20627770000000001</v>
      </c>
      <c r="U4918">
        <v>5.49469E-2</v>
      </c>
      <c r="V4918">
        <v>9.5664370000000006E-3</v>
      </c>
      <c r="W4918">
        <v>2.2786379999999998E-2</v>
      </c>
      <c r="X4918">
        <v>0.99969459999999999</v>
      </c>
      <c r="Y4918">
        <v>1.8390569999999998E-2</v>
      </c>
      <c r="Z4918">
        <v>6.4035320000000004E-4</v>
      </c>
      <c r="AA4918">
        <v>0.99983069999999996</v>
      </c>
      <c r="AB4918">
        <v>25</v>
      </c>
      <c r="AC4918">
        <v>-16.006</v>
      </c>
      <c r="AD4918">
        <v>-1.109686442171</v>
      </c>
      <c r="AE4918">
        <v>0.29560000000000702</v>
      </c>
      <c r="AF4918">
        <v>0.29637687714210798</v>
      </c>
      <c r="AG4918">
        <v>-1.109686442171</v>
      </c>
      <c r="AH4918">
        <v>15.9294194962429</v>
      </c>
      <c r="AI4918">
        <v>93.984253778498498</v>
      </c>
      <c r="AJ4918">
        <v>88.934098937799504</v>
      </c>
      <c r="AK4918">
        <v>15.970774832190401</v>
      </c>
      <c r="AL4918">
        <v>88.694323609301506</v>
      </c>
      <c r="AM4918">
        <v>89.451732824031495</v>
      </c>
      <c r="AN4918">
        <v>1.0000000145497601</v>
      </c>
    </row>
    <row r="4919" spans="1:40" x14ac:dyDescent="0.25">
      <c r="A4919" t="str">
        <f>"20190312160431549"</f>
        <v>20190312160431549</v>
      </c>
      <c r="B4919" t="str">
        <f>"1552377871540280"</f>
        <v>1552377871540280</v>
      </c>
      <c r="C4919" t="s">
        <v>40</v>
      </c>
      <c r="D4919">
        <v>5.0875539999999999</v>
      </c>
      <c r="E4919">
        <v>0.50328390000000001</v>
      </c>
      <c r="F4919" t="s">
        <v>49</v>
      </c>
      <c r="G4919">
        <v>-257.98250000000002</v>
      </c>
      <c r="H4919">
        <v>1.0473269999999999</v>
      </c>
      <c r="I4919">
        <v>141.18360000000001</v>
      </c>
      <c r="J4919">
        <v>-257.26589999999999</v>
      </c>
      <c r="K4919">
        <v>1.1096790000000001</v>
      </c>
      <c r="L4919">
        <v>141.16630000000001</v>
      </c>
      <c r="M4919">
        <v>-0.99995149999999999</v>
      </c>
      <c r="N4919">
        <v>0</v>
      </c>
      <c r="O4919">
        <v>-2.2944649999999999E-4</v>
      </c>
      <c r="P4919">
        <v>-0.9998785</v>
      </c>
      <c r="Q4919">
        <v>1.2394779999999999E-2</v>
      </c>
      <c r="R4919">
        <v>9.4636960000000006E-3</v>
      </c>
      <c r="S4919">
        <v>-3.0025019999999998</v>
      </c>
      <c r="T4919">
        <v>-0.20607710000000001</v>
      </c>
      <c r="U4919">
        <v>5.647278E-2</v>
      </c>
      <c r="V4919">
        <v>9.6894040000000004E-3</v>
      </c>
      <c r="W4919">
        <v>2.2251509999999999E-2</v>
      </c>
      <c r="X4919">
        <v>0.99970539999999997</v>
      </c>
      <c r="Y4919">
        <v>1.898946E-2</v>
      </c>
      <c r="Z4919">
        <v>6.6657779999999996E-4</v>
      </c>
      <c r="AA4919">
        <v>0.99981949999999997</v>
      </c>
      <c r="AB4919">
        <v>25</v>
      </c>
      <c r="AC4919">
        <v>-0.71660000000002799</v>
      </c>
      <c r="AD4919">
        <v>-6.2351999999999901E-2</v>
      </c>
      <c r="AE4919">
        <v>1.73000000000058E-2</v>
      </c>
      <c r="AF4919">
        <v>1.7333276912436201E-2</v>
      </c>
      <c r="AG4919">
        <v>-6.2351999999999901E-2</v>
      </c>
      <c r="AH4919">
        <v>0.71121461740865599</v>
      </c>
      <c r="AI4919">
        <v>95.008816161647005</v>
      </c>
      <c r="AJ4919">
        <v>88.603899538267896</v>
      </c>
      <c r="AK4919">
        <v>0.71415295729154904</v>
      </c>
      <c r="AL4919">
        <v>88.724977094395996</v>
      </c>
      <c r="AM4919">
        <v>89.4446918339885</v>
      </c>
      <c r="AN4919">
        <v>0.99999995051815604</v>
      </c>
    </row>
    <row r="4920" spans="1:40" x14ac:dyDescent="0.25">
      <c r="A4920" t="str">
        <f>"20190312160431560"</f>
        <v>20190312160431560</v>
      </c>
      <c r="B4920" t="str">
        <f>"1552377871550038"</f>
        <v>1552377871550038</v>
      </c>
      <c r="C4920" t="s">
        <v>40</v>
      </c>
      <c r="D4920">
        <v>5.0708339999999996</v>
      </c>
      <c r="E4920">
        <v>0.50350950000000005</v>
      </c>
      <c r="F4920" t="s">
        <v>49</v>
      </c>
      <c r="G4920">
        <v>-258.2056</v>
      </c>
      <c r="H4920">
        <v>1.045156</v>
      </c>
      <c r="I4920">
        <v>141.18530000000001</v>
      </c>
      <c r="J4920">
        <v>-257.40980000000002</v>
      </c>
      <c r="K4920">
        <v>1.1096760000000001</v>
      </c>
      <c r="L4920">
        <v>141.1662</v>
      </c>
      <c r="M4920">
        <v>-0.99995140000000005</v>
      </c>
      <c r="N4920">
        <v>0</v>
      </c>
      <c r="O4920">
        <v>-2.9705900000000002E-4</v>
      </c>
      <c r="P4920">
        <v>-0.99987939999999997</v>
      </c>
      <c r="Q4920">
        <v>1.250104E-2</v>
      </c>
      <c r="R4920">
        <v>9.2325540000000005E-3</v>
      </c>
      <c r="S4920">
        <v>-3.0023499999999999</v>
      </c>
      <c r="T4920">
        <v>-0.20612730000000001</v>
      </c>
      <c r="U4920">
        <v>6.0546879999999997E-2</v>
      </c>
      <c r="V4920">
        <v>9.525904E-3</v>
      </c>
      <c r="W4920">
        <v>2.236401E-2</v>
      </c>
      <c r="X4920">
        <v>0.9997045</v>
      </c>
      <c r="Y4920">
        <v>2.041068E-2</v>
      </c>
      <c r="Z4920">
        <v>7.2012599999999997E-4</v>
      </c>
      <c r="AA4920">
        <v>0.9997914</v>
      </c>
      <c r="AB4920">
        <v>25</v>
      </c>
      <c r="AC4920">
        <v>-0.79579999999998496</v>
      </c>
      <c r="AD4920">
        <v>-6.4520000000000105E-2</v>
      </c>
      <c r="AE4920">
        <v>1.91000000000087E-2</v>
      </c>
      <c r="AF4920">
        <v>1.9210209176079799E-2</v>
      </c>
      <c r="AG4920">
        <v>-6.4520000000000105E-2</v>
      </c>
      <c r="AH4920">
        <v>0.790600459857287</v>
      </c>
      <c r="AI4920">
        <v>94.664133405248506</v>
      </c>
      <c r="AJ4920">
        <v>88.608086600729905</v>
      </c>
      <c r="AK4920">
        <v>0.79346137250854398</v>
      </c>
      <c r="AL4920">
        <v>88.718529764487101</v>
      </c>
      <c r="AM4920">
        <v>89.4540610976388</v>
      </c>
      <c r="AN4920">
        <v>0.99999998955527303</v>
      </c>
    </row>
    <row r="4921" spans="1:40" x14ac:dyDescent="0.25">
      <c r="A4921" t="str">
        <f>"20190312160431574"</f>
        <v>20190312160431574</v>
      </c>
      <c r="B4921" t="str">
        <f>"1552377871569558"</f>
        <v>1552377871569558</v>
      </c>
      <c r="C4921" t="s">
        <v>40</v>
      </c>
      <c r="D4921">
        <v>5.1002109999999998</v>
      </c>
      <c r="E4921">
        <v>0.50389059999999997</v>
      </c>
      <c r="F4921" t="s">
        <v>41</v>
      </c>
      <c r="G4921">
        <v>-273.67779999999999</v>
      </c>
      <c r="H4921" s="1">
        <v>-3.1956750000000001E-6</v>
      </c>
      <c r="I4921">
        <v>141.49959999999999</v>
      </c>
      <c r="J4921">
        <v>-257.54860000000002</v>
      </c>
      <c r="K4921">
        <v>1.1096760000000001</v>
      </c>
      <c r="L4921">
        <v>141.1661</v>
      </c>
      <c r="M4921">
        <v>-0.99995120000000004</v>
      </c>
      <c r="N4921">
        <v>0</v>
      </c>
      <c r="O4921">
        <v>-3.6204629999999998E-4</v>
      </c>
      <c r="P4921">
        <v>-0.99987910000000002</v>
      </c>
      <c r="Q4921">
        <v>1.2510439999999999E-2</v>
      </c>
      <c r="R4921">
        <v>9.2400650000000004E-3</v>
      </c>
      <c r="S4921">
        <v>-3.0023499999999999</v>
      </c>
      <c r="T4921">
        <v>-0.20479810000000001</v>
      </c>
      <c r="U4921">
        <v>6.1553959999999998E-2</v>
      </c>
      <c r="V4921">
        <v>9.5984E-3</v>
      </c>
      <c r="W4921">
        <v>2.2379739999999999E-2</v>
      </c>
      <c r="X4921">
        <v>0.99970349999999997</v>
      </c>
      <c r="Y4921">
        <v>2.081042E-2</v>
      </c>
      <c r="Z4921">
        <v>7.3353479999999896E-4</v>
      </c>
      <c r="AA4921">
        <v>0.99978319999999998</v>
      </c>
      <c r="AB4921">
        <v>25</v>
      </c>
      <c r="AC4921">
        <v>-16.129199999999901</v>
      </c>
      <c r="AD4921">
        <v>-1.1096791956750001</v>
      </c>
      <c r="AE4921">
        <v>0.33349999999998597</v>
      </c>
      <c r="AF4921">
        <v>0.337741810638922</v>
      </c>
      <c r="AG4921">
        <v>-1.1096791956750001</v>
      </c>
      <c r="AH4921">
        <v>16.053125497371099</v>
      </c>
      <c r="AI4921">
        <v>93.9534329561844</v>
      </c>
      <c r="AJ4921">
        <v>88.794731538407703</v>
      </c>
      <c r="AK4921">
        <v>16.0949773433302</v>
      </c>
      <c r="AL4921">
        <v>88.717628334499295</v>
      </c>
      <c r="AM4921">
        <v>89.449905984896702</v>
      </c>
      <c r="AN4921">
        <v>1.00000003497863</v>
      </c>
    </row>
    <row r="4922" spans="1:40" x14ac:dyDescent="0.25">
      <c r="A4922" t="str">
        <f>"20190312160431592"</f>
        <v>20190312160431592</v>
      </c>
      <c r="B4922" t="str">
        <f>"1552377871580294"</f>
        <v>1552377871580294</v>
      </c>
      <c r="C4922" t="s">
        <v>40</v>
      </c>
      <c r="D4922">
        <v>5.0526859999999996</v>
      </c>
      <c r="E4922">
        <v>0.50375340000000002</v>
      </c>
      <c r="F4922" t="s">
        <v>49</v>
      </c>
      <c r="G4922">
        <v>-258.44060000000002</v>
      </c>
      <c r="H4922">
        <v>1.049779</v>
      </c>
      <c r="I4922">
        <v>141.18539999999999</v>
      </c>
      <c r="J4922">
        <v>-257.76620000000003</v>
      </c>
      <c r="K4922">
        <v>1.1096680000000001</v>
      </c>
      <c r="L4922">
        <v>141.16589999999999</v>
      </c>
      <c r="M4922">
        <v>-0.99995120000000004</v>
      </c>
      <c r="N4922">
        <v>0</v>
      </c>
      <c r="O4922">
        <v>-4.6196790000000001E-4</v>
      </c>
      <c r="P4922">
        <v>-0.9998802</v>
      </c>
      <c r="Q4922">
        <v>1.2736859999999999E-2</v>
      </c>
      <c r="R4922">
        <v>8.8126679999999992E-3</v>
      </c>
      <c r="S4922">
        <v>-3.0022890000000002</v>
      </c>
      <c r="T4922">
        <v>-0.20165569999999999</v>
      </c>
      <c r="U4922">
        <v>6.4529420000000004E-2</v>
      </c>
      <c r="V4922">
        <v>9.2710469999999993E-3</v>
      </c>
      <c r="W4922">
        <v>2.2615240000000002E-2</v>
      </c>
      <c r="X4922">
        <v>0.99970130000000001</v>
      </c>
      <c r="Y4922">
        <v>2.1899970000000001E-2</v>
      </c>
      <c r="Z4922">
        <v>7.6556119999999996E-4</v>
      </c>
      <c r="AA4922">
        <v>0.99975990000000003</v>
      </c>
      <c r="AB4922">
        <v>25</v>
      </c>
      <c r="AC4922">
        <v>-0.67439999999999101</v>
      </c>
      <c r="AD4922">
        <v>-5.9888999999999998E-2</v>
      </c>
      <c r="AE4922">
        <v>1.9499999999993599E-2</v>
      </c>
      <c r="AF4922">
        <v>1.96566803569913E-2</v>
      </c>
      <c r="AG4922">
        <v>-5.9888999999999998E-2</v>
      </c>
      <c r="AH4922">
        <v>0.66911863055395304</v>
      </c>
      <c r="AI4922">
        <v>95.1123966093608</v>
      </c>
      <c r="AJ4922">
        <v>88.317307343759396</v>
      </c>
      <c r="AK4922">
        <v>0.67208096175836995</v>
      </c>
      <c r="AL4922">
        <v>88.704131776261903</v>
      </c>
      <c r="AM4922">
        <v>89.468664652730894</v>
      </c>
      <c r="AN4922">
        <v>1.00000004530721</v>
      </c>
    </row>
    <row r="4923" spans="1:40" x14ac:dyDescent="0.25">
      <c r="A4923" t="str">
        <f>"20190312160431616"</f>
        <v>20190312160431616</v>
      </c>
      <c r="B4923" t="str">
        <f>"1552377871609574"</f>
        <v>1552377871609574</v>
      </c>
      <c r="C4923" t="s">
        <v>40</v>
      </c>
      <c r="D4923">
        <v>5.0446730000000004</v>
      </c>
      <c r="E4923">
        <v>0.50369379999999997</v>
      </c>
      <c r="F4923" t="s">
        <v>49</v>
      </c>
      <c r="G4923">
        <v>-258.66109999999998</v>
      </c>
      <c r="H4923">
        <v>1.0492570000000001</v>
      </c>
      <c r="I4923">
        <v>141.18450000000001</v>
      </c>
      <c r="J4923">
        <v>-258.02120000000002</v>
      </c>
      <c r="K4923">
        <v>1.1096680000000001</v>
      </c>
      <c r="L4923">
        <v>141.16560000000001</v>
      </c>
      <c r="M4923">
        <v>-0.99995100000000003</v>
      </c>
      <c r="N4923">
        <v>0</v>
      </c>
      <c r="O4923">
        <v>-5.7499519999999998E-4</v>
      </c>
      <c r="P4923">
        <v>-0.99987890000000001</v>
      </c>
      <c r="Q4923">
        <v>1.3054339999999999E-2</v>
      </c>
      <c r="R4923">
        <v>8.4831519999999903E-3</v>
      </c>
      <c r="S4923">
        <v>-3.00238</v>
      </c>
      <c r="T4923">
        <v>-0.2026876</v>
      </c>
      <c r="U4923">
        <v>6.2286380000000002E-2</v>
      </c>
      <c r="V4923">
        <v>9.0546310000000005E-3</v>
      </c>
      <c r="W4923">
        <v>2.294322E-2</v>
      </c>
      <c r="X4923">
        <v>0.99969580000000002</v>
      </c>
      <c r="Y4923">
        <v>2.1266409999999999E-2</v>
      </c>
      <c r="Z4923">
        <v>7.5571459999999998E-4</v>
      </c>
      <c r="AA4923">
        <v>0.99977360000000004</v>
      </c>
      <c r="AB4923">
        <v>25</v>
      </c>
      <c r="AC4923">
        <v>-0.63989999999995395</v>
      </c>
      <c r="AD4923">
        <v>-6.0411000000000201E-2</v>
      </c>
      <c r="AE4923">
        <v>1.8900000000002099E-2</v>
      </c>
      <c r="AF4923">
        <v>1.9097889444578599E-2</v>
      </c>
      <c r="AG4923">
        <v>-6.0411000000000201E-2</v>
      </c>
      <c r="AH4923">
        <v>0.63424117098139798</v>
      </c>
      <c r="AI4923">
        <v>95.438515583999404</v>
      </c>
      <c r="AJ4923">
        <v>88.275265022791899</v>
      </c>
      <c r="AK4923">
        <v>0.63739789870228802</v>
      </c>
      <c r="AL4923">
        <v>88.685335016473203</v>
      </c>
      <c r="AM4923">
        <v>89.481064184264795</v>
      </c>
      <c r="AN4923">
        <v>1.0000000351120699</v>
      </c>
    </row>
    <row r="4924" spans="1:40" x14ac:dyDescent="0.25">
      <c r="A4924" t="str">
        <f>"20190312160431629"</f>
        <v>20190312160431629</v>
      </c>
      <c r="B4924" t="str">
        <f>"1552377871620310"</f>
        <v>1552377871620310</v>
      </c>
      <c r="C4924" t="s">
        <v>40</v>
      </c>
      <c r="D4924">
        <v>5.007695</v>
      </c>
      <c r="E4924">
        <v>0.50366520000000004</v>
      </c>
      <c r="F4924" t="s">
        <v>41</v>
      </c>
      <c r="G4924">
        <v>-274.92410000000001</v>
      </c>
      <c r="H4924" s="1">
        <v>-2.6633649999999999E-6</v>
      </c>
      <c r="I4924">
        <v>141.5085</v>
      </c>
      <c r="J4924">
        <v>-258.16860000000003</v>
      </c>
      <c r="K4924">
        <v>1.109664</v>
      </c>
      <c r="L4924">
        <v>141.16550000000001</v>
      </c>
      <c r="M4924">
        <v>-0.99995089999999998</v>
      </c>
      <c r="N4924">
        <v>0</v>
      </c>
      <c r="O4924">
        <v>-6.3829679999999995E-4</v>
      </c>
      <c r="P4924">
        <v>-0.99987530000000002</v>
      </c>
      <c r="Q4924">
        <v>1.327105E-2</v>
      </c>
      <c r="R4924">
        <v>8.5681130000000005E-3</v>
      </c>
      <c r="S4924">
        <v>-3.00238</v>
      </c>
      <c r="T4924">
        <v>-0.19710559999999999</v>
      </c>
      <c r="U4924">
        <v>6.0913090000000003E-2</v>
      </c>
      <c r="V4924">
        <v>9.2028639999999998E-3</v>
      </c>
      <c r="W4924">
        <v>2.3165359999999999E-2</v>
      </c>
      <c r="X4924">
        <v>0.9996893</v>
      </c>
      <c r="Y4924">
        <v>2.0875990000000001E-2</v>
      </c>
      <c r="Z4924">
        <v>7.2630220000000003E-4</v>
      </c>
      <c r="AA4924">
        <v>0.99978180000000005</v>
      </c>
      <c r="AB4924">
        <v>25</v>
      </c>
      <c r="AC4924">
        <v>-16.755499999999898</v>
      </c>
      <c r="AD4924">
        <v>-1.1096666633650001</v>
      </c>
      <c r="AE4924">
        <v>0.34299999999998898</v>
      </c>
      <c r="AF4924">
        <v>0.35215153952385497</v>
      </c>
      <c r="AG4924">
        <v>-1.1096666633650001</v>
      </c>
      <c r="AH4924">
        <v>16.682140141219399</v>
      </c>
      <c r="AI4924">
        <v>93.804763233008202</v>
      </c>
      <c r="AJ4924">
        <v>88.790694683364606</v>
      </c>
      <c r="AK4924">
        <v>16.722714208580399</v>
      </c>
      <c r="AL4924">
        <v>88.672603917447901</v>
      </c>
      <c r="AM4924">
        <v>89.472565753782405</v>
      </c>
      <c r="AN4924">
        <v>1.0000000115721099</v>
      </c>
    </row>
    <row r="4925" spans="1:40" x14ac:dyDescent="0.25">
      <c r="A4925" t="str">
        <f>"20190312160431649"</f>
        <v>20190312160431649</v>
      </c>
      <c r="B4925" t="str">
        <f>"1552377871639829"</f>
        <v>1552377871639829</v>
      </c>
      <c r="C4925" t="s">
        <v>40</v>
      </c>
      <c r="D4925">
        <v>4.8108849999999999</v>
      </c>
      <c r="E4925">
        <v>0.50376449999999995</v>
      </c>
      <c r="F4925" t="s">
        <v>49</v>
      </c>
      <c r="G4925">
        <v>-259.11290000000002</v>
      </c>
      <c r="H4925">
        <v>1.0487299999999999</v>
      </c>
      <c r="I4925">
        <v>141.18459999999999</v>
      </c>
      <c r="J4925">
        <v>-258.40629999999999</v>
      </c>
      <c r="K4925">
        <v>1.109661</v>
      </c>
      <c r="L4925">
        <v>141.1652</v>
      </c>
      <c r="M4925">
        <v>-0.99995069999999997</v>
      </c>
      <c r="N4925">
        <v>0</v>
      </c>
      <c r="O4925">
        <v>-7.3352910000000005E-4</v>
      </c>
      <c r="P4925">
        <v>-0.99988520000000003</v>
      </c>
      <c r="Q4925">
        <v>1.267765E-2</v>
      </c>
      <c r="R4925">
        <v>8.3132959999999995E-3</v>
      </c>
      <c r="S4925">
        <v>-3.00238</v>
      </c>
      <c r="T4925">
        <v>-0.1937141</v>
      </c>
      <c r="U4925">
        <v>6.0928339999999998E-2</v>
      </c>
      <c r="V4925">
        <v>9.043756E-3</v>
      </c>
      <c r="W4925">
        <v>2.258044E-2</v>
      </c>
      <c r="X4925">
        <v>0.99970409999999998</v>
      </c>
      <c r="Y4925">
        <v>2.0977450000000002E-2</v>
      </c>
      <c r="Z4925">
        <v>7.2323799999999996E-4</v>
      </c>
      <c r="AA4925">
        <v>0.99977969999999905</v>
      </c>
      <c r="AB4925">
        <v>25</v>
      </c>
      <c r="AC4925">
        <v>-0.70660000000003698</v>
      </c>
      <c r="AD4925">
        <v>-6.0930999999999999E-2</v>
      </c>
      <c r="AE4925">
        <v>1.93999999999903E-2</v>
      </c>
      <c r="AF4925">
        <v>1.9771425670775E-2</v>
      </c>
      <c r="AG4925">
        <v>-6.0930999999999999E-2</v>
      </c>
      <c r="AH4925">
        <v>0.70137420895014402</v>
      </c>
      <c r="AI4925">
        <v>94.963071481109495</v>
      </c>
      <c r="AJ4925">
        <v>88.385285188501399</v>
      </c>
      <c r="AK4925">
        <v>0.70429345944321797</v>
      </c>
      <c r="AL4925">
        <v>88.706126089780298</v>
      </c>
      <c r="AM4925">
        <v>89.481691717436107</v>
      </c>
      <c r="AN4925">
        <v>0.99999997667499496</v>
      </c>
    </row>
    <row r="4926" spans="1:40" x14ac:dyDescent="0.25">
      <c r="A4926" t="str">
        <f>"20190312160431728"</f>
        <v>20190312160431728</v>
      </c>
      <c r="B4926" t="str">
        <f>"1552377871719862"</f>
        <v>1552377871719862</v>
      </c>
      <c r="C4926" t="s">
        <v>40</v>
      </c>
      <c r="D4926">
        <v>4.8736079999999999</v>
      </c>
      <c r="E4926">
        <v>0.50376449999999995</v>
      </c>
      <c r="F4926" t="s">
        <v>49</v>
      </c>
      <c r="G4926">
        <v>-259.34129999999999</v>
      </c>
      <c r="H4926">
        <v>1.0494859999999999</v>
      </c>
      <c r="I4926">
        <v>141.18430000000001</v>
      </c>
      <c r="J4926">
        <v>-259.29829999999998</v>
      </c>
      <c r="K4926">
        <v>1.109631</v>
      </c>
      <c r="L4926">
        <v>141.16409999999999</v>
      </c>
      <c r="M4926">
        <v>-0.99995009999999995</v>
      </c>
      <c r="N4926">
        <v>0</v>
      </c>
      <c r="O4926">
        <v>-1.015522E-3</v>
      </c>
      <c r="P4926">
        <v>-0.99989459999999997</v>
      </c>
      <c r="Q4926">
        <v>1.237767E-2</v>
      </c>
      <c r="R4926">
        <v>7.5871690000000004E-3</v>
      </c>
      <c r="S4926">
        <v>-3.0022890000000002</v>
      </c>
      <c r="T4926">
        <v>-0.19321530000000001</v>
      </c>
      <c r="U4926">
        <v>6.0943600000000001E-2</v>
      </c>
      <c r="V4926">
        <v>8.6009269999999995E-3</v>
      </c>
      <c r="W4926">
        <v>2.2306320000000001E-2</v>
      </c>
      <c r="X4926">
        <v>0.9997142</v>
      </c>
      <c r="Y4926">
        <v>2.1264149999999999E-2</v>
      </c>
      <c r="Z4926">
        <v>7.4874459999999996E-4</v>
      </c>
      <c r="AA4926">
        <v>0.99977360000000004</v>
      </c>
      <c r="AB4926">
        <v>25</v>
      </c>
      <c r="AC4926">
        <v>-4.3000000000006297E-2</v>
      </c>
      <c r="AD4926">
        <v>-6.0144999999999803E-2</v>
      </c>
      <c r="AE4926">
        <v>2.0200000000016798E-2</v>
      </c>
      <c r="AF4926">
        <v>7.7778622300563802E-3</v>
      </c>
      <c r="AG4926">
        <v>-6.0144999999999803E-2</v>
      </c>
      <c r="AH4926">
        <v>1.65132371056513E-2</v>
      </c>
      <c r="AI4926">
        <v>163.11759291855901</v>
      </c>
      <c r="AJ4926">
        <v>64.779202196351704</v>
      </c>
      <c r="AK4926">
        <v>6.2853823794397606E-2</v>
      </c>
      <c r="AL4926">
        <v>88.7218360150477</v>
      </c>
      <c r="AM4926">
        <v>89.507074462993799</v>
      </c>
      <c r="AN4926">
        <v>1.0000000147694199</v>
      </c>
    </row>
    <row r="4927" spans="1:40" x14ac:dyDescent="0.25">
      <c r="A4927" t="str">
        <f>"20190312160431750"</f>
        <v>20190312160431750</v>
      </c>
      <c r="B4927" t="str">
        <f>"1552377871740358"</f>
        <v>1552377871740358</v>
      </c>
      <c r="C4927" t="s">
        <v>40</v>
      </c>
      <c r="D4927">
        <v>4.936083</v>
      </c>
      <c r="E4927">
        <v>0.56437169999999903</v>
      </c>
      <c r="F4927" t="s">
        <v>49</v>
      </c>
      <c r="G4927">
        <v>-260.24959999999999</v>
      </c>
      <c r="H4927">
        <v>1.0481860000000001</v>
      </c>
      <c r="I4927">
        <v>141.1831</v>
      </c>
      <c r="J4927">
        <v>-259.54489999999998</v>
      </c>
      <c r="K4927">
        <v>1.109629</v>
      </c>
      <c r="L4927">
        <v>141.16380000000001</v>
      </c>
      <c r="M4927">
        <v>-0.99995009999999995</v>
      </c>
      <c r="N4927">
        <v>0</v>
      </c>
      <c r="O4927">
        <v>-1.071619E-3</v>
      </c>
      <c r="P4927">
        <v>-0.99990159999999995</v>
      </c>
      <c r="Q4927">
        <v>1.1961930000000001E-2</v>
      </c>
      <c r="R4927">
        <v>7.3639209999999998E-3</v>
      </c>
      <c r="S4927">
        <v>-3.0022579999999999</v>
      </c>
      <c r="T4927">
        <v>-0.19408059999999999</v>
      </c>
      <c r="U4927">
        <v>5.9036249999999998E-2</v>
      </c>
      <c r="V4927">
        <v>8.4343669999999999E-3</v>
      </c>
      <c r="W4927">
        <v>2.1896820000000001E-2</v>
      </c>
      <c r="X4927">
        <v>0.99972470000000002</v>
      </c>
      <c r="Y4927">
        <v>2.068621E-2</v>
      </c>
      <c r="Z4927">
        <v>7.3706629999999997E-4</v>
      </c>
      <c r="AA4927">
        <v>0.9997857</v>
      </c>
      <c r="AB4927">
        <v>25</v>
      </c>
      <c r="AC4927">
        <v>-0.70470000000000199</v>
      </c>
      <c r="AD4927">
        <v>-6.14429999999999E-2</v>
      </c>
      <c r="AE4927">
        <v>1.9299999999986901E-2</v>
      </c>
      <c r="AF4927">
        <v>1.9903996376346E-2</v>
      </c>
      <c r="AG4927">
        <v>-6.14429999999999E-2</v>
      </c>
      <c r="AH4927">
        <v>0.69936621202560001</v>
      </c>
      <c r="AI4927">
        <v>95.018822420127094</v>
      </c>
      <c r="AJ4927">
        <v>88.369799376276205</v>
      </c>
      <c r="AK4927">
        <v>0.70234216009277595</v>
      </c>
      <c r="AL4927">
        <v>88.745304404018199</v>
      </c>
      <c r="AM4927">
        <v>89.516624759974803</v>
      </c>
      <c r="AN4927">
        <v>1.0000000425314399</v>
      </c>
    </row>
    <row r="4928" spans="1:40" x14ac:dyDescent="0.25">
      <c r="A4928" t="str">
        <f>"20190312160431760"</f>
        <v>20190312160431760</v>
      </c>
      <c r="B4928" t="str">
        <f>"1552377871750119"</f>
        <v>1552377871750119</v>
      </c>
      <c r="C4928" t="s">
        <v>40</v>
      </c>
      <c r="D4928">
        <v>4.6617369999999996</v>
      </c>
      <c r="E4928">
        <v>0.56426149999999997</v>
      </c>
      <c r="F4928" t="s">
        <v>49</v>
      </c>
      <c r="G4928">
        <v>-260.35270000000003</v>
      </c>
      <c r="H4928">
        <v>0.77109689999999997</v>
      </c>
      <c r="I4928">
        <v>141.3169</v>
      </c>
      <c r="J4928">
        <v>-259.67959999999999</v>
      </c>
      <c r="K4928">
        <v>1.1096269999999999</v>
      </c>
      <c r="L4928">
        <v>141.1636</v>
      </c>
      <c r="M4928">
        <v>-0.99995009999999995</v>
      </c>
      <c r="N4928">
        <v>0</v>
      </c>
      <c r="O4928">
        <v>-1.098536E-3</v>
      </c>
      <c r="P4928">
        <v>-0.99990579999999996</v>
      </c>
      <c r="Q4928">
        <v>1.174538E-2</v>
      </c>
      <c r="R4928">
        <v>7.1459360000000003E-3</v>
      </c>
      <c r="S4928">
        <v>-3.0112000000000001</v>
      </c>
      <c r="T4928">
        <v>-1.261952</v>
      </c>
      <c r="U4928">
        <v>0.56988530000000004</v>
      </c>
      <c r="V4928">
        <v>8.2435029999999992E-3</v>
      </c>
      <c r="W4928">
        <v>2.1683250000000001E-2</v>
      </c>
      <c r="X4928">
        <v>0.99973089999999998</v>
      </c>
      <c r="Y4928">
        <v>0.17286170000000001</v>
      </c>
      <c r="Z4928">
        <v>3.4924650000000002E-2</v>
      </c>
      <c r="AA4928">
        <v>0.9843267</v>
      </c>
      <c r="AB4928">
        <v>26</v>
      </c>
      <c r="AC4928">
        <v>-0.67310000000003301</v>
      </c>
      <c r="AD4928">
        <v>-0.3385301</v>
      </c>
      <c r="AE4928">
        <v>0.15330000000000099</v>
      </c>
      <c r="AF4928">
        <v>0.12417756517485</v>
      </c>
      <c r="AG4928">
        <v>-0.3385301</v>
      </c>
      <c r="AH4928">
        <v>0.54247791493729502</v>
      </c>
      <c r="AI4928">
        <v>121.312572103658</v>
      </c>
      <c r="AJ4928">
        <v>77.106670059051694</v>
      </c>
      <c r="AK4928">
        <v>0.65138696985238997</v>
      </c>
      <c r="AL4928">
        <v>88.757543910813993</v>
      </c>
      <c r="AM4928">
        <v>89.527565641776604</v>
      </c>
      <c r="AN4928">
        <v>0.99999999554354102</v>
      </c>
    </row>
    <row r="4929" spans="1:40" x14ac:dyDescent="0.25">
      <c r="A4929" t="str">
        <f>"20190312160431772"</f>
        <v>20190312160431772</v>
      </c>
      <c r="B4929" t="str">
        <f>"1552377871769637"</f>
        <v>1552377871769637</v>
      </c>
      <c r="C4929" t="s">
        <v>40</v>
      </c>
      <c r="D4929">
        <v>6.212078</v>
      </c>
      <c r="E4929">
        <v>0.56021519999999903</v>
      </c>
      <c r="F4929" t="s">
        <v>49</v>
      </c>
      <c r="G4929">
        <v>-260.37549999999999</v>
      </c>
      <c r="H4929">
        <v>0.82897770000000004</v>
      </c>
      <c r="I4929">
        <v>141.29490000000001</v>
      </c>
      <c r="J4929">
        <v>-259.7989</v>
      </c>
      <c r="K4929">
        <v>1.109623</v>
      </c>
      <c r="L4929">
        <v>141.1634</v>
      </c>
      <c r="M4929">
        <v>-0.99995000000000001</v>
      </c>
      <c r="N4929">
        <v>0</v>
      </c>
      <c r="O4929">
        <v>-1.121167E-3</v>
      </c>
      <c r="P4929">
        <v>-0.99990520000000005</v>
      </c>
      <c r="Q4929">
        <v>1.178564E-2</v>
      </c>
      <c r="R4929">
        <v>7.1184159999999998E-3</v>
      </c>
      <c r="S4929">
        <v>-3.0104980000000001</v>
      </c>
      <c r="T4929">
        <v>-1.2141360000000001</v>
      </c>
      <c r="U4929">
        <v>0.56700130000000004</v>
      </c>
      <c r="V4929">
        <v>8.2385140000000006E-3</v>
      </c>
      <c r="W4929">
        <v>2.172663E-2</v>
      </c>
      <c r="X4929">
        <v>0.99973000000000001</v>
      </c>
      <c r="Y4929">
        <v>0.17301059999999999</v>
      </c>
      <c r="Z4929">
        <v>3.3743969999999998E-2</v>
      </c>
      <c r="AA4929">
        <v>0.98434169999999999</v>
      </c>
      <c r="AB4929">
        <v>26</v>
      </c>
      <c r="AC4929">
        <v>-0.57659999999998401</v>
      </c>
      <c r="AD4929">
        <v>-0.28064529999999999</v>
      </c>
      <c r="AE4929">
        <v>0.13150000000001599</v>
      </c>
      <c r="AF4929">
        <v>0.10785805268462501</v>
      </c>
      <c r="AG4929">
        <v>-0.28064529999999999</v>
      </c>
      <c r="AH4929">
        <v>0.47050093499439299</v>
      </c>
      <c r="AI4929">
        <v>120.173753686</v>
      </c>
      <c r="AJ4929">
        <v>77.088550952261897</v>
      </c>
      <c r="AK4929">
        <v>0.55836034401773804</v>
      </c>
      <c r="AL4929">
        <v>88.755057835074894</v>
      </c>
      <c r="AM4929">
        <v>89.527851122906497</v>
      </c>
      <c r="AN4929">
        <v>0.99999999623204205</v>
      </c>
    </row>
    <row r="4930" spans="1:40" x14ac:dyDescent="0.25">
      <c r="A4930" t="str">
        <f>"20190312160431794"</f>
        <v>20190312160431794</v>
      </c>
      <c r="B4930" t="str">
        <f>"1552377871790134"</f>
        <v>1552377871790134</v>
      </c>
      <c r="C4930" t="s">
        <v>40</v>
      </c>
      <c r="D4930">
        <v>4.7489910000000002</v>
      </c>
      <c r="E4930">
        <v>0.5603148</v>
      </c>
      <c r="F4930" t="s">
        <v>49</v>
      </c>
      <c r="G4930">
        <v>-260.65230000000003</v>
      </c>
      <c r="H4930">
        <v>0.94003300000000001</v>
      </c>
      <c r="I4930">
        <v>141.3108</v>
      </c>
      <c r="J4930">
        <v>-260.04430000000002</v>
      </c>
      <c r="K4930">
        <v>1.109621</v>
      </c>
      <c r="L4930">
        <v>141.16309999999999</v>
      </c>
      <c r="M4930">
        <v>-0.99994989999999995</v>
      </c>
      <c r="N4930">
        <v>0</v>
      </c>
      <c r="O4930">
        <v>-1.1634620000000001E-3</v>
      </c>
      <c r="P4930">
        <v>-0.99990460000000003</v>
      </c>
      <c r="Q4930">
        <v>1.1868689999999999E-2</v>
      </c>
      <c r="R4930">
        <v>7.0749289999999998E-3</v>
      </c>
      <c r="S4930">
        <v>-3.0036320000000001</v>
      </c>
      <c r="T4930">
        <v>-0.59687419999999902</v>
      </c>
      <c r="U4930">
        <v>0.51844789999999996</v>
      </c>
      <c r="V4930">
        <v>8.2375399999999998E-3</v>
      </c>
      <c r="W4930">
        <v>2.181483E-2</v>
      </c>
      <c r="X4930">
        <v>0.99972810000000001</v>
      </c>
      <c r="Y4930">
        <v>0.168024799999999</v>
      </c>
      <c r="Z4930">
        <v>1.6642520000000001E-2</v>
      </c>
      <c r="AA4930">
        <v>0.98564229999999997</v>
      </c>
      <c r="AB4930">
        <v>26</v>
      </c>
      <c r="AC4930">
        <v>-0.60800000000000398</v>
      </c>
      <c r="AD4930">
        <v>-0.16958799999999899</v>
      </c>
      <c r="AE4930">
        <v>0.14770000000001399</v>
      </c>
      <c r="AF4930">
        <v>0.138250709045314</v>
      </c>
      <c r="AG4930">
        <v>-0.16958799999999899</v>
      </c>
      <c r="AH4930">
        <v>0.56622958781134802</v>
      </c>
      <c r="AI4930">
        <v>106.22271977097699</v>
      </c>
      <c r="AJ4930">
        <v>76.279102383277703</v>
      </c>
      <c r="AK4930">
        <v>0.60703319053289095</v>
      </c>
      <c r="AL4930">
        <v>88.750003165127097</v>
      </c>
      <c r="AM4930">
        <v>89.527906043097204</v>
      </c>
      <c r="AN4930">
        <v>1.0000000089013901</v>
      </c>
    </row>
    <row r="4931" spans="1:40" x14ac:dyDescent="0.25">
      <c r="A4931" t="str">
        <f>"20190312160431807"</f>
        <v>20190312160431807</v>
      </c>
      <c r="B4931" t="str">
        <f>"1552377871799895"</f>
        <v>1552377871799895</v>
      </c>
      <c r="C4931" t="s">
        <v>40</v>
      </c>
      <c r="D4931">
        <v>4.7929339999999998</v>
      </c>
      <c r="E4931">
        <v>0.56005280000000002</v>
      </c>
      <c r="F4931" t="s">
        <v>49</v>
      </c>
      <c r="G4931">
        <v>-260.88619999999997</v>
      </c>
      <c r="H4931">
        <v>0.95083050000000002</v>
      </c>
      <c r="I4931">
        <v>141.30850000000001</v>
      </c>
      <c r="J4931">
        <v>-260.20159999999998</v>
      </c>
      <c r="K4931">
        <v>1.1096140000000001</v>
      </c>
      <c r="L4931">
        <v>141.16290000000001</v>
      </c>
      <c r="M4931">
        <v>-0.9999498</v>
      </c>
      <c r="N4931">
        <v>0</v>
      </c>
      <c r="O4931">
        <v>-1.1889629999999999E-3</v>
      </c>
      <c r="P4931">
        <v>-0.99990179999999995</v>
      </c>
      <c r="Q4931">
        <v>1.2095450000000001E-2</v>
      </c>
      <c r="R4931">
        <v>7.0922650000000004E-3</v>
      </c>
      <c r="S4931">
        <v>-3.0033569999999998</v>
      </c>
      <c r="T4931">
        <v>-0.56642250000000005</v>
      </c>
      <c r="U4931">
        <v>0.5183411</v>
      </c>
      <c r="V4931">
        <v>8.2806029999999992E-3</v>
      </c>
      <c r="W4931">
        <v>2.2045080000000002E-2</v>
      </c>
      <c r="X4931">
        <v>0.99972269999999996</v>
      </c>
      <c r="Y4931">
        <v>0.1683414</v>
      </c>
      <c r="Z4931">
        <v>1.5843779999999998E-2</v>
      </c>
      <c r="AA4931">
        <v>0.98560139999999996</v>
      </c>
      <c r="AB4931">
        <v>26</v>
      </c>
      <c r="AC4931">
        <v>-0.684599999999989</v>
      </c>
      <c r="AD4931">
        <v>-0.15878349999999899</v>
      </c>
      <c r="AE4931">
        <v>0.14560000000000101</v>
      </c>
      <c r="AF4931">
        <v>0.13924733690976199</v>
      </c>
      <c r="AG4931">
        <v>-0.15878349999999899</v>
      </c>
      <c r="AH4931">
        <v>0.65092557338321</v>
      </c>
      <c r="AI4931">
        <v>103.416499809923</v>
      </c>
      <c r="AJ4931">
        <v>77.925165740875599</v>
      </c>
      <c r="AK4931">
        <v>0.68432895802601501</v>
      </c>
      <c r="AL4931">
        <v>88.7368076468168</v>
      </c>
      <c r="AM4931">
        <v>89.525435649096096</v>
      </c>
      <c r="AN4931">
        <v>1.0000000154167601</v>
      </c>
    </row>
    <row r="4932" spans="1:40" x14ac:dyDescent="0.25">
      <c r="A4932" t="str">
        <f>"20190312160431818"</f>
        <v>20190312160431818</v>
      </c>
      <c r="B4932" t="str">
        <f>"1552377871809654"</f>
        <v>1552377871809654</v>
      </c>
      <c r="C4932" t="s">
        <v>40</v>
      </c>
      <c r="D4932">
        <v>4.7693180000000002</v>
      </c>
      <c r="E4932">
        <v>0.56081199999999998</v>
      </c>
      <c r="F4932" t="s">
        <v>49</v>
      </c>
      <c r="G4932">
        <v>-261.1112</v>
      </c>
      <c r="H4932">
        <v>0.94109980000000004</v>
      </c>
      <c r="I4932">
        <v>141.3194</v>
      </c>
      <c r="J4932">
        <v>-260.33879999999999</v>
      </c>
      <c r="K4932">
        <v>1.109613</v>
      </c>
      <c r="L4932">
        <v>141.1627</v>
      </c>
      <c r="M4932">
        <v>-0.99994989999999995</v>
      </c>
      <c r="N4932">
        <v>0</v>
      </c>
      <c r="O4932">
        <v>-1.209824E-3</v>
      </c>
      <c r="P4932">
        <v>-0.99990140000000005</v>
      </c>
      <c r="Q4932">
        <v>1.2152639999999999E-2</v>
      </c>
      <c r="R4932">
        <v>7.0734500000000002E-3</v>
      </c>
      <c r="S4932">
        <v>-3.0033569999999998</v>
      </c>
      <c r="T4932">
        <v>-0.55638559999999904</v>
      </c>
      <c r="U4932">
        <v>0.51632690000000003</v>
      </c>
      <c r="V4932">
        <v>8.2826710000000001E-3</v>
      </c>
      <c r="W4932">
        <v>2.210467E-2</v>
      </c>
      <c r="X4932">
        <v>0.99972130000000003</v>
      </c>
      <c r="Y4932">
        <v>0.1678289</v>
      </c>
      <c r="Z4932">
        <v>1.5525590000000001E-2</v>
      </c>
      <c r="AA4932">
        <v>0.98569390000000001</v>
      </c>
      <c r="AB4932">
        <v>26</v>
      </c>
      <c r="AC4932">
        <v>-0.77240000000000397</v>
      </c>
      <c r="AD4932">
        <v>-0.1685132</v>
      </c>
      <c r="AE4932">
        <v>0.15670000000000001</v>
      </c>
      <c r="AF4932">
        <v>0.15074305403044899</v>
      </c>
      <c r="AG4932">
        <v>-0.1685132</v>
      </c>
      <c r="AH4932">
        <v>0.73845094021070801</v>
      </c>
      <c r="AI4932">
        <v>102.603316219462</v>
      </c>
      <c r="AJ4932">
        <v>78.462490738482401</v>
      </c>
      <c r="AK4932">
        <v>0.77228877889734104</v>
      </c>
      <c r="AL4932">
        <v>88.733392474249598</v>
      </c>
      <c r="AM4932">
        <v>89.525316471980204</v>
      </c>
      <c r="AN4932">
        <v>0.99999994837419504</v>
      </c>
    </row>
    <row r="4933" spans="1:40" x14ac:dyDescent="0.25">
      <c r="A4933" t="str">
        <f>"20190312160431832"</f>
        <v>20190312160431832</v>
      </c>
      <c r="B4933" t="str">
        <f>"1552377871820390"</f>
        <v>1552377871820390</v>
      </c>
      <c r="C4933" t="s">
        <v>40</v>
      </c>
      <c r="D4933">
        <v>5.6844260000000002</v>
      </c>
      <c r="E4933">
        <v>0.56145069999999997</v>
      </c>
      <c r="F4933" t="s">
        <v>49</v>
      </c>
      <c r="G4933">
        <v>-261.12110000000001</v>
      </c>
      <c r="H4933">
        <v>0.9636844</v>
      </c>
      <c r="I4933">
        <v>141.2989</v>
      </c>
      <c r="J4933">
        <v>-260.4769</v>
      </c>
      <c r="K4933">
        <v>1.109613</v>
      </c>
      <c r="L4933">
        <v>141.16249999999999</v>
      </c>
      <c r="M4933">
        <v>-0.9999498</v>
      </c>
      <c r="N4933">
        <v>0</v>
      </c>
      <c r="O4933">
        <v>-1.2304499999999999E-3</v>
      </c>
      <c r="P4933">
        <v>-0.99989819999999996</v>
      </c>
      <c r="Q4933">
        <v>1.249838E-2</v>
      </c>
      <c r="R4933">
        <v>6.907715E-3</v>
      </c>
      <c r="S4933">
        <v>-3.0034179999999999</v>
      </c>
      <c r="T4933">
        <v>-0.56032899999999997</v>
      </c>
      <c r="U4933">
        <v>0.52238459999999998</v>
      </c>
      <c r="V4933">
        <v>8.1375319999999994E-3</v>
      </c>
      <c r="W4933">
        <v>2.2452679999999999E-2</v>
      </c>
      <c r="X4933">
        <v>0.99971480000000001</v>
      </c>
      <c r="Y4933">
        <v>0.169706</v>
      </c>
      <c r="Z4933">
        <v>1.580703E-2</v>
      </c>
      <c r="AA4933">
        <v>0.98536800000000002</v>
      </c>
      <c r="AB4933">
        <v>26</v>
      </c>
      <c r="AC4933">
        <v>-0.64420000000001199</v>
      </c>
      <c r="AD4933">
        <v>-0.14592859999999899</v>
      </c>
      <c r="AE4933">
        <v>0.13640000000000799</v>
      </c>
      <c r="AF4933">
        <v>0.13077013020935699</v>
      </c>
      <c r="AG4933">
        <v>-0.14592859999999899</v>
      </c>
      <c r="AH4933">
        <v>0.61388231178492003</v>
      </c>
      <c r="AI4933">
        <v>103.08860555610001</v>
      </c>
      <c r="AJ4933">
        <v>77.9745149986651</v>
      </c>
      <c r="AK4933">
        <v>0.64439698631769704</v>
      </c>
      <c r="AL4933">
        <v>88.713448100284793</v>
      </c>
      <c r="AM4933">
        <v>89.533631049305598</v>
      </c>
      <c r="AN4933">
        <v>1.00000001180263</v>
      </c>
    </row>
    <row r="4934" spans="1:40" x14ac:dyDescent="0.25">
      <c r="A4934" t="str">
        <f>"20190312160431845"</f>
        <v>20190312160431845</v>
      </c>
      <c r="B4934" t="str">
        <f>"1552377871839910"</f>
        <v>1552377871839910</v>
      </c>
      <c r="C4934" t="s">
        <v>40</v>
      </c>
      <c r="D4934">
        <v>4.8096480000000001</v>
      </c>
      <c r="E4934">
        <v>0.56383609999999995</v>
      </c>
      <c r="F4934" t="s">
        <v>49</v>
      </c>
      <c r="G4934">
        <v>-261.34339999999997</v>
      </c>
      <c r="H4934">
        <v>0.94710720000000004</v>
      </c>
      <c r="I4934">
        <v>141.31450000000001</v>
      </c>
      <c r="J4934">
        <v>-260.63929999999999</v>
      </c>
      <c r="K4934">
        <v>1.109613</v>
      </c>
      <c r="L4934">
        <v>141.16229999999999</v>
      </c>
      <c r="M4934">
        <v>-0.99994959999999999</v>
      </c>
      <c r="N4934">
        <v>0</v>
      </c>
      <c r="O4934">
        <v>-1.253941E-3</v>
      </c>
      <c r="P4934">
        <v>-0.99989859999999997</v>
      </c>
      <c r="Q4934">
        <v>1.2385820000000001E-2</v>
      </c>
      <c r="R4934">
        <v>7.049179E-3</v>
      </c>
      <c r="S4934">
        <v>-3.0037229999999999</v>
      </c>
      <c r="T4934">
        <v>-0.56339419999999996</v>
      </c>
      <c r="U4934">
        <v>0.52725219999999995</v>
      </c>
      <c r="V4934">
        <v>8.3025919999999993E-3</v>
      </c>
      <c r="W4934">
        <v>2.234351E-2</v>
      </c>
      <c r="X4934">
        <v>0.99971589999999999</v>
      </c>
      <c r="Y4934">
        <v>0.1712061</v>
      </c>
      <c r="Z4934">
        <v>1.6031119999999999E-2</v>
      </c>
      <c r="AA4934">
        <v>0.9851048</v>
      </c>
      <c r="AB4934">
        <v>26</v>
      </c>
      <c r="AC4934">
        <v>-0.70409999999998196</v>
      </c>
      <c r="AD4934">
        <v>-0.16250579999999901</v>
      </c>
      <c r="AE4934">
        <v>0.15220000000002101</v>
      </c>
      <c r="AF4934">
        <v>0.145669636602242</v>
      </c>
      <c r="AG4934">
        <v>-0.16250579999999901</v>
      </c>
      <c r="AH4934">
        <v>0.66982111649419096</v>
      </c>
      <c r="AI4934">
        <v>103.336858949576</v>
      </c>
      <c r="AJ4934">
        <v>77.730623715024095</v>
      </c>
      <c r="AK4934">
        <v>0.70447718640350099</v>
      </c>
      <c r="AL4934">
        <v>88.719704664493904</v>
      </c>
      <c r="AM4934">
        <v>89.524172273045906</v>
      </c>
      <c r="AN4934">
        <v>1.00000002309292</v>
      </c>
    </row>
    <row r="4935" spans="1:40" x14ac:dyDescent="0.25">
      <c r="A4935" t="str">
        <f>"20190312160431862"</f>
        <v>20190312160431862</v>
      </c>
      <c r="B4935" t="str">
        <f>"1552377871849670"</f>
        <v>1552377871849670</v>
      </c>
      <c r="C4935" t="s">
        <v>40</v>
      </c>
      <c r="D4935">
        <v>4.7934989999999997</v>
      </c>
      <c r="E4935">
        <v>0.56431889999999996</v>
      </c>
      <c r="F4935" t="s">
        <v>49</v>
      </c>
      <c r="G4935">
        <v>-261.3535</v>
      </c>
      <c r="H4935">
        <v>0.97040709999999997</v>
      </c>
      <c r="I4935">
        <v>141.29239999999999</v>
      </c>
      <c r="J4935">
        <v>-260.82839999999999</v>
      </c>
      <c r="K4935">
        <v>1.109613</v>
      </c>
      <c r="L4935">
        <v>141.16200000000001</v>
      </c>
      <c r="M4935">
        <v>-0.9999498</v>
      </c>
      <c r="N4935">
        <v>0</v>
      </c>
      <c r="O4935">
        <v>-1.2817289999999999E-3</v>
      </c>
      <c r="P4935">
        <v>-0.99990020000000002</v>
      </c>
      <c r="Q4935">
        <v>1.2242350000000001E-2</v>
      </c>
      <c r="R4935">
        <v>7.0830060000000002E-3</v>
      </c>
      <c r="S4935">
        <v>-3.0036930000000002</v>
      </c>
      <c r="T4935">
        <v>-0.58545819999999904</v>
      </c>
      <c r="U4935">
        <v>0.54728699999999997</v>
      </c>
      <c r="V4935">
        <v>8.3642660000000004E-3</v>
      </c>
      <c r="W4935">
        <v>2.2203830000000001E-2</v>
      </c>
      <c r="X4935">
        <v>0.99971849999999995</v>
      </c>
      <c r="Y4935">
        <v>0.17726129999999901</v>
      </c>
      <c r="Z4935">
        <v>1.7223829999999999E-2</v>
      </c>
      <c r="AA4935">
        <v>0.98401309999999997</v>
      </c>
      <c r="AB4935">
        <v>26</v>
      </c>
      <c r="AC4935">
        <v>-0.525100000000008</v>
      </c>
      <c r="AD4935">
        <v>-0.13920589999999999</v>
      </c>
      <c r="AE4935">
        <v>0.13039999999998</v>
      </c>
      <c r="AF4935">
        <v>0.12293496918958501</v>
      </c>
      <c r="AG4935">
        <v>-0.13920589999999999</v>
      </c>
      <c r="AH4935">
        <v>0.49234067994174902</v>
      </c>
      <c r="AI4935">
        <v>105.340061398842</v>
      </c>
      <c r="AJ4935">
        <v>75.980209012025497</v>
      </c>
      <c r="AK4935">
        <v>0.52620398551318304</v>
      </c>
      <c r="AL4935">
        <v>88.727709727353798</v>
      </c>
      <c r="AM4935">
        <v>89.520639101168499</v>
      </c>
      <c r="AN4935">
        <v>1.00000002512731</v>
      </c>
    </row>
    <row r="4936" spans="1:40" x14ac:dyDescent="0.25">
      <c r="A4936" t="str">
        <f>"20190312160431884"</f>
        <v>20190312160431884</v>
      </c>
      <c r="B4936" t="str">
        <f>"1552377871879927"</f>
        <v>1552377871879927</v>
      </c>
      <c r="C4936" t="s">
        <v>40</v>
      </c>
      <c r="D4936">
        <v>4.8103420000000003</v>
      </c>
      <c r="E4936">
        <v>0.5652469</v>
      </c>
      <c r="F4936" t="s">
        <v>49</v>
      </c>
      <c r="G4936">
        <v>-261.57909999999998</v>
      </c>
      <c r="H4936">
        <v>0.96101930000000002</v>
      </c>
      <c r="I4936">
        <v>141.30000000000001</v>
      </c>
      <c r="J4936">
        <v>-261.08420000000001</v>
      </c>
      <c r="K4936">
        <v>1.1096109999999999</v>
      </c>
      <c r="L4936">
        <v>141.16159999999999</v>
      </c>
      <c r="M4936">
        <v>-0.99994950000000005</v>
      </c>
      <c r="N4936">
        <v>0</v>
      </c>
      <c r="O4936">
        <v>-1.3190630000000001E-3</v>
      </c>
      <c r="P4936">
        <v>-0.99990000000000001</v>
      </c>
      <c r="Q4936">
        <v>1.223666E-2</v>
      </c>
      <c r="R4936">
        <v>7.0971559999999899E-3</v>
      </c>
      <c r="S4936">
        <v>-3.0036619999999998</v>
      </c>
      <c r="T4936">
        <v>-0.59455469999999999</v>
      </c>
      <c r="U4936">
        <v>0.55139159999999998</v>
      </c>
      <c r="V4936">
        <v>8.4156860000000003E-3</v>
      </c>
      <c r="W4936">
        <v>2.2201930000000002E-2</v>
      </c>
      <c r="X4936">
        <v>0.99971810000000005</v>
      </c>
      <c r="Y4936">
        <v>0.17847729999999901</v>
      </c>
      <c r="Z4936">
        <v>1.76101E-2</v>
      </c>
      <c r="AA4936">
        <v>0.98378639999999995</v>
      </c>
      <c r="AB4936">
        <v>26</v>
      </c>
      <c r="AC4936">
        <v>-0.49489999999997197</v>
      </c>
      <c r="AD4936">
        <v>-0.14859169999999999</v>
      </c>
      <c r="AE4936">
        <v>0.13840000000001801</v>
      </c>
      <c r="AF4936">
        <v>0.12832370857919301</v>
      </c>
      <c r="AG4936">
        <v>-0.14859169999999999</v>
      </c>
      <c r="AH4936">
        <v>0.45654570513667297</v>
      </c>
      <c r="AI4936">
        <v>107.39722314428801</v>
      </c>
      <c r="AJ4936">
        <v>74.300639881305301</v>
      </c>
      <c r="AK4936">
        <v>0.49697127519721901</v>
      </c>
      <c r="AL4936">
        <v>88.727818602610796</v>
      </c>
      <c r="AM4936">
        <v>89.517692137188803</v>
      </c>
      <c r="AN4936">
        <v>1.00000001446709</v>
      </c>
    </row>
    <row r="4937" spans="1:40" x14ac:dyDescent="0.25">
      <c r="A4937" t="str">
        <f>"20190312160431906"</f>
        <v>20190312160431906</v>
      </c>
      <c r="B4937" t="str">
        <f>"1552377871900422"</f>
        <v>1552377871900422</v>
      </c>
      <c r="C4937" t="s">
        <v>40</v>
      </c>
      <c r="D4937">
        <v>4.8282089999999904</v>
      </c>
      <c r="E4937">
        <v>0.56567539999999905</v>
      </c>
      <c r="F4937" t="s">
        <v>49</v>
      </c>
      <c r="G4937">
        <v>-261.80950000000001</v>
      </c>
      <c r="H4937">
        <v>0.96180739999999998</v>
      </c>
      <c r="I4937">
        <v>141.29650000000001</v>
      </c>
      <c r="J4937">
        <v>-261.33460000000002</v>
      </c>
      <c r="K4937">
        <v>1.109615</v>
      </c>
      <c r="L4937">
        <v>141.16130000000001</v>
      </c>
      <c r="M4937">
        <v>-0.99994950000000005</v>
      </c>
      <c r="N4937">
        <v>0</v>
      </c>
      <c r="O4937">
        <v>-1.356519E-3</v>
      </c>
      <c r="P4937">
        <v>-0.99989890000000003</v>
      </c>
      <c r="Q4937">
        <v>1.2307510000000001E-2</v>
      </c>
      <c r="R4937">
        <v>7.1509130000000001E-3</v>
      </c>
      <c r="S4937">
        <v>-3.0038450000000001</v>
      </c>
      <c r="T4937">
        <v>-0.61218419999999996</v>
      </c>
      <c r="U4937">
        <v>0.55905150000000003</v>
      </c>
      <c r="V4937">
        <v>8.5068100000000001E-3</v>
      </c>
      <c r="W4937">
        <v>2.2277249999999998E-2</v>
      </c>
      <c r="X4937">
        <v>0.99971560000000004</v>
      </c>
      <c r="Y4937">
        <v>0.1806854</v>
      </c>
      <c r="Z4937">
        <v>1.8345400000000001E-2</v>
      </c>
      <c r="AA4937">
        <v>0.98336979999999996</v>
      </c>
      <c r="AB4937">
        <v>26</v>
      </c>
      <c r="AC4937">
        <v>-0.474899999999991</v>
      </c>
      <c r="AD4937">
        <v>-0.14780759999999901</v>
      </c>
      <c r="AE4937">
        <v>0.13519999999999699</v>
      </c>
      <c r="AF4937">
        <v>0.124672540521473</v>
      </c>
      <c r="AG4937">
        <v>-0.14780759999999901</v>
      </c>
      <c r="AH4937">
        <v>0.43567634328696803</v>
      </c>
      <c r="AI4937">
        <v>108.064689750689</v>
      </c>
      <c r="AJ4937">
        <v>74.031069855869006</v>
      </c>
      <c r="AK4937">
        <v>0.476659422520674</v>
      </c>
      <c r="AL4937">
        <v>88.7235019490372</v>
      </c>
      <c r="AM4937">
        <v>89.512468799323003</v>
      </c>
      <c r="AN4937">
        <v>0.99999996128364799</v>
      </c>
    </row>
    <row r="4938" spans="1:40" x14ac:dyDescent="0.25">
      <c r="A4938" t="str">
        <f>"20190312160431918"</f>
        <v>20190312160431918</v>
      </c>
      <c r="B4938" t="str">
        <f>"1552377871910183"</f>
        <v>1552377871910183</v>
      </c>
      <c r="C4938" t="s">
        <v>40</v>
      </c>
      <c r="D4938">
        <v>4.8554709999999996</v>
      </c>
      <c r="E4938">
        <v>0.56590319999999905</v>
      </c>
      <c r="F4938" t="s">
        <v>49</v>
      </c>
      <c r="G4938">
        <v>-262.04079999999999</v>
      </c>
      <c r="H4938">
        <v>0.96388399999999996</v>
      </c>
      <c r="I4938">
        <v>141.2937</v>
      </c>
      <c r="J4938">
        <v>-261.48860000000002</v>
      </c>
      <c r="K4938">
        <v>1.109615</v>
      </c>
      <c r="L4938">
        <v>141.161</v>
      </c>
      <c r="M4938">
        <v>-0.99994930000000004</v>
      </c>
      <c r="N4938">
        <v>0</v>
      </c>
      <c r="O4938">
        <v>-1.3796590000000001E-3</v>
      </c>
      <c r="P4938">
        <v>-0.99989430000000001</v>
      </c>
      <c r="Q4938">
        <v>1.24592E-2</v>
      </c>
      <c r="R4938">
        <v>7.5173030000000004E-3</v>
      </c>
      <c r="S4938">
        <v>-3.0039370000000001</v>
      </c>
      <c r="T4938">
        <v>-0.61993969999999998</v>
      </c>
      <c r="U4938">
        <v>0.56294250000000001</v>
      </c>
      <c r="V4938">
        <v>8.8963459999999994E-3</v>
      </c>
      <c r="W4938">
        <v>2.2431220000000002E-2</v>
      </c>
      <c r="X4938">
        <v>0.99970879999999995</v>
      </c>
      <c r="Y4938">
        <v>0.1818198</v>
      </c>
      <c r="Z4938">
        <v>1.8690040000000002E-2</v>
      </c>
      <c r="AA4938">
        <v>0.98315419999999998</v>
      </c>
      <c r="AB4938">
        <v>26</v>
      </c>
      <c r="AC4938">
        <v>-0.55219999999997005</v>
      </c>
      <c r="AD4938">
        <v>-0.145731</v>
      </c>
      <c r="AE4938">
        <v>0.13269999999999901</v>
      </c>
      <c r="AF4938">
        <v>0.12521675907961599</v>
      </c>
      <c r="AG4938">
        <v>-0.145731</v>
      </c>
      <c r="AH4938">
        <v>0.51791391778888995</v>
      </c>
      <c r="AI4938">
        <v>105.296358510367</v>
      </c>
      <c r="AJ4938">
        <v>76.408340726495197</v>
      </c>
      <c r="AK4938">
        <v>0.55240527455378197</v>
      </c>
      <c r="AL4938">
        <v>88.714677955460104</v>
      </c>
      <c r="AM4938">
        <v>89.490141904970102</v>
      </c>
      <c r="AN4938">
        <v>0.99999999470014</v>
      </c>
    </row>
    <row r="4939" spans="1:40" x14ac:dyDescent="0.25">
      <c r="A4939" t="str">
        <f>"20190312160431938"</f>
        <v>20190312160431938</v>
      </c>
      <c r="B4939" t="str">
        <f>"1552377871929702"</f>
        <v>1552377871929702</v>
      </c>
      <c r="C4939" t="s">
        <v>40</v>
      </c>
      <c r="D4939">
        <v>4.9208150000000002</v>
      </c>
      <c r="E4939">
        <v>0.56661609999999996</v>
      </c>
      <c r="F4939" t="s">
        <v>49</v>
      </c>
      <c r="G4939">
        <v>-262.26429999999999</v>
      </c>
      <c r="H4939">
        <v>0.94786890000000001</v>
      </c>
      <c r="I4939">
        <v>141.30709999999999</v>
      </c>
      <c r="J4939">
        <v>-261.71170000000001</v>
      </c>
      <c r="K4939">
        <v>1.1096200000000001</v>
      </c>
      <c r="L4939">
        <v>141.16069999999999</v>
      </c>
      <c r="M4939">
        <v>-0.99994939999999999</v>
      </c>
      <c r="N4939">
        <v>0</v>
      </c>
      <c r="O4939">
        <v>-1.4129360000000001E-3</v>
      </c>
      <c r="P4939">
        <v>-0.99989090000000003</v>
      </c>
      <c r="Q4939">
        <v>1.2726029999999999E-2</v>
      </c>
      <c r="R4939">
        <v>7.5382280000000001E-3</v>
      </c>
      <c r="S4939">
        <v>-3.003876</v>
      </c>
      <c r="T4939">
        <v>-0.62633729999999999</v>
      </c>
      <c r="U4939">
        <v>0.56576539999999997</v>
      </c>
      <c r="V4939">
        <v>8.9506380000000003E-3</v>
      </c>
      <c r="W4939">
        <v>2.270105E-2</v>
      </c>
      <c r="X4939">
        <v>0.99970219999999999</v>
      </c>
      <c r="Y4939">
        <v>0.1826545</v>
      </c>
      <c r="Z4939">
        <v>1.8969949999999999E-2</v>
      </c>
      <c r="AA4939">
        <v>0.98299409999999998</v>
      </c>
      <c r="AB4939">
        <v>26</v>
      </c>
      <c r="AC4939">
        <v>-0.55259999999998399</v>
      </c>
      <c r="AD4939">
        <v>-0.16175110000000001</v>
      </c>
      <c r="AE4939">
        <v>0.146399999999999</v>
      </c>
      <c r="AF4939">
        <v>0.136270902308399</v>
      </c>
      <c r="AG4939">
        <v>-0.16175110000000001</v>
      </c>
      <c r="AH4939">
        <v>0.51144644369042302</v>
      </c>
      <c r="AI4939">
        <v>106.99317926859599</v>
      </c>
      <c r="AJ4939">
        <v>75.080592037937393</v>
      </c>
      <c r="AK4939">
        <v>0.55345337828107599</v>
      </c>
      <c r="AL4939">
        <v>88.699213865303804</v>
      </c>
      <c r="AM4939">
        <v>89.487027157881101</v>
      </c>
      <c r="AN4939">
        <v>0.99999997013827402</v>
      </c>
    </row>
    <row r="4940" spans="1:40" x14ac:dyDescent="0.25">
      <c r="A4940" t="str">
        <f>"20190312160431960"</f>
        <v>20190312160431960</v>
      </c>
      <c r="B4940" t="str">
        <f>"1552377871950202"</f>
        <v>1552377871950202</v>
      </c>
      <c r="C4940" t="s">
        <v>40</v>
      </c>
      <c r="D4940">
        <v>4.9471100000000003</v>
      </c>
      <c r="E4940">
        <v>0.56746289999999999</v>
      </c>
      <c r="F4940" t="s">
        <v>49</v>
      </c>
      <c r="G4940">
        <v>-262.4941</v>
      </c>
      <c r="H4940">
        <v>0.94508910000000002</v>
      </c>
      <c r="I4940">
        <v>141.30959999999999</v>
      </c>
      <c r="J4940">
        <v>-261.96940000000001</v>
      </c>
      <c r="K4940">
        <v>1.1096200000000001</v>
      </c>
      <c r="L4940">
        <v>141.16030000000001</v>
      </c>
      <c r="M4940">
        <v>-0.99994919999999998</v>
      </c>
      <c r="N4940">
        <v>0</v>
      </c>
      <c r="O4940">
        <v>-1.4499000000000001E-3</v>
      </c>
      <c r="P4940">
        <v>-0.99988829999999995</v>
      </c>
      <c r="Q4940">
        <v>1.304555E-2</v>
      </c>
      <c r="R4940">
        <v>7.3087789999999996E-3</v>
      </c>
      <c r="S4940">
        <v>-3.0040589999999998</v>
      </c>
      <c r="T4940">
        <v>-0.63169909999999996</v>
      </c>
      <c r="U4940">
        <v>0.57183839999999997</v>
      </c>
      <c r="V4940">
        <v>8.7579659999999903E-3</v>
      </c>
      <c r="W4940">
        <v>2.3024260000000001E-2</v>
      </c>
      <c r="X4940">
        <v>0.99969660000000005</v>
      </c>
      <c r="Y4940">
        <v>0.18449550000000001</v>
      </c>
      <c r="Z4940">
        <v>1.9321830000000002E-2</v>
      </c>
      <c r="AA4940">
        <v>0.98264339999999994</v>
      </c>
      <c r="AB4940">
        <v>26</v>
      </c>
      <c r="AC4940">
        <v>-0.52469999999999495</v>
      </c>
      <c r="AD4940">
        <v>-0.16453090000000001</v>
      </c>
      <c r="AE4940">
        <v>0.149299999999982</v>
      </c>
      <c r="AF4940">
        <v>0.137548887723309</v>
      </c>
      <c r="AG4940">
        <v>-0.16453090000000001</v>
      </c>
      <c r="AH4940">
        <v>0.48075262887944897</v>
      </c>
      <c r="AI4940">
        <v>108.21294495673099</v>
      </c>
      <c r="AJ4940">
        <v>74.033561724094298</v>
      </c>
      <c r="AK4940">
        <v>0.52641542886130399</v>
      </c>
      <c r="AL4940">
        <v>88.680690566391604</v>
      </c>
      <c r="AM4940">
        <v>89.4980660610629</v>
      </c>
      <c r="AN4940">
        <v>1.00000005528428</v>
      </c>
    </row>
    <row r="4941" spans="1:40" x14ac:dyDescent="0.25">
      <c r="A4941" t="str">
        <f>"20190312160431974"</f>
        <v>20190312160431974</v>
      </c>
      <c r="B4941" t="str">
        <f>"1552377871969718"</f>
        <v>1552377871969718</v>
      </c>
      <c r="C4941" t="s">
        <v>40</v>
      </c>
      <c r="D4941">
        <v>4.9264979999999996</v>
      </c>
      <c r="E4941">
        <v>0.5680982</v>
      </c>
      <c r="F4941" t="s">
        <v>49</v>
      </c>
      <c r="G4941">
        <v>-262.72730000000001</v>
      </c>
      <c r="H4941">
        <v>0.94927689999999998</v>
      </c>
      <c r="I4941">
        <v>141.30629999999999</v>
      </c>
      <c r="J4941">
        <v>-262.12450000000001</v>
      </c>
      <c r="K4941">
        <v>1.10961</v>
      </c>
      <c r="L4941">
        <v>141.16</v>
      </c>
      <c r="M4941">
        <v>-0.99994919999999998</v>
      </c>
      <c r="N4941">
        <v>0</v>
      </c>
      <c r="O4941">
        <v>-1.46992E-3</v>
      </c>
      <c r="P4941">
        <v>-0.99989300000000003</v>
      </c>
      <c r="Q4941">
        <v>1.292488E-2</v>
      </c>
      <c r="R4941">
        <v>6.8632880000000004E-3</v>
      </c>
      <c r="S4941">
        <v>-3.0043950000000001</v>
      </c>
      <c r="T4941">
        <v>-0.63563480000000006</v>
      </c>
      <c r="U4941">
        <v>0.5792389</v>
      </c>
      <c r="V4941">
        <v>8.3326019999999997E-3</v>
      </c>
      <c r="W4941">
        <v>2.2906039999999999E-2</v>
      </c>
      <c r="X4941">
        <v>0.99970289999999995</v>
      </c>
      <c r="Y4941">
        <v>0.1867355</v>
      </c>
      <c r="Z4941">
        <v>1.966971E-2</v>
      </c>
      <c r="AA4941">
        <v>0.98221329999999996</v>
      </c>
      <c r="AB4941">
        <v>26</v>
      </c>
      <c r="AC4941">
        <v>-0.602800000000002</v>
      </c>
      <c r="AD4941">
        <v>-0.16033310000000001</v>
      </c>
      <c r="AE4941">
        <v>0.14629999999999599</v>
      </c>
      <c r="AF4941">
        <v>0.13796825282737299</v>
      </c>
      <c r="AG4941">
        <v>-0.16033310000000001</v>
      </c>
      <c r="AH4941">
        <v>0.56484670832844897</v>
      </c>
      <c r="AI4941">
        <v>105.415971197348</v>
      </c>
      <c r="AJ4941">
        <v>76.273819414197405</v>
      </c>
      <c r="AK4941">
        <v>0.603153169313842</v>
      </c>
      <c r="AL4941">
        <v>88.687465792095196</v>
      </c>
      <c r="AM4941">
        <v>89.522446247442502</v>
      </c>
      <c r="AN4941">
        <v>1.00000000359649</v>
      </c>
    </row>
    <row r="4942" spans="1:40" x14ac:dyDescent="0.25">
      <c r="A4942" t="str">
        <f>"20190312160431989"</f>
        <v>20190312160431989</v>
      </c>
      <c r="B4942" t="str">
        <f>"1552377871980456"</f>
        <v>1552377871980456</v>
      </c>
      <c r="C4942" t="s">
        <v>40</v>
      </c>
      <c r="D4942">
        <v>4.9692119999999997</v>
      </c>
      <c r="E4942">
        <v>0.56846030000000003</v>
      </c>
      <c r="F4942" t="s">
        <v>49</v>
      </c>
      <c r="G4942">
        <v>-262.95209999999997</v>
      </c>
      <c r="H4942">
        <v>0.93285929999999995</v>
      </c>
      <c r="I4942">
        <v>141.32089999999999</v>
      </c>
      <c r="J4942">
        <v>-262.286</v>
      </c>
      <c r="K4942">
        <v>1.1096060000000001</v>
      </c>
      <c r="L4942">
        <v>141.15979999999999</v>
      </c>
      <c r="M4942">
        <v>-0.99994910000000004</v>
      </c>
      <c r="N4942">
        <v>0</v>
      </c>
      <c r="O4942">
        <v>-1.488856E-3</v>
      </c>
      <c r="P4942">
        <v>-0.99989859999999997</v>
      </c>
      <c r="Q4942">
        <v>1.2639539999999999E-2</v>
      </c>
      <c r="R4942">
        <v>6.582849E-3</v>
      </c>
      <c r="S4942">
        <v>-3.0046080000000002</v>
      </c>
      <c r="T4942">
        <v>-0.64175850000000001</v>
      </c>
      <c r="U4942">
        <v>0.58363339999999997</v>
      </c>
      <c r="V4942">
        <v>8.0711529999999993E-3</v>
      </c>
      <c r="W4942">
        <v>2.2622860000000002E-2</v>
      </c>
      <c r="X4942">
        <v>0.99971149999999998</v>
      </c>
      <c r="Y4942">
        <v>0.1880223</v>
      </c>
      <c r="Z4942">
        <v>1.998979E-2</v>
      </c>
      <c r="AA4942">
        <v>0.98196130000000004</v>
      </c>
      <c r="AB4942">
        <v>26</v>
      </c>
      <c r="AC4942">
        <v>-0.66609999999997105</v>
      </c>
      <c r="AD4942">
        <v>-0.17674669999999901</v>
      </c>
      <c r="AE4942">
        <v>0.16110000000000399</v>
      </c>
      <c r="AF4942">
        <v>0.15198213994319801</v>
      </c>
      <c r="AG4942">
        <v>-0.17674669999999901</v>
      </c>
      <c r="AH4942">
        <v>0.62433054602540194</v>
      </c>
      <c r="AI4942">
        <v>105.37972269196</v>
      </c>
      <c r="AJ4942">
        <v>76.318473267655904</v>
      </c>
      <c r="AK4942">
        <v>0.66642823883969804</v>
      </c>
      <c r="AL4942">
        <v>88.703695025285299</v>
      </c>
      <c r="AM4942">
        <v>89.537433594011404</v>
      </c>
      <c r="AN4942">
        <v>1.00000001026878</v>
      </c>
    </row>
    <row r="4943" spans="1:40" x14ac:dyDescent="0.25">
      <c r="A4943" t="str">
        <f>"20190312160432005"</f>
        <v>20190312160432005</v>
      </c>
      <c r="B4943" t="str">
        <f>"1552377871999974"</f>
        <v>1552377871999974</v>
      </c>
      <c r="C4943" t="s">
        <v>40</v>
      </c>
      <c r="D4943">
        <v>5.0132279999999998</v>
      </c>
      <c r="E4943">
        <v>0.56904339999999998</v>
      </c>
      <c r="F4943" t="s">
        <v>49</v>
      </c>
      <c r="G4943">
        <v>-263.17829999999998</v>
      </c>
      <c r="H4943">
        <v>0.91797300000000004</v>
      </c>
      <c r="I4943">
        <v>141.33369999999999</v>
      </c>
      <c r="J4943">
        <v>-262.49740000000003</v>
      </c>
      <c r="K4943">
        <v>1.1096010000000001</v>
      </c>
      <c r="L4943">
        <v>141.15940000000001</v>
      </c>
      <c r="M4943">
        <v>-0.99994910000000004</v>
      </c>
      <c r="N4943">
        <v>0</v>
      </c>
      <c r="O4943">
        <v>-1.507527E-3</v>
      </c>
      <c r="P4943">
        <v>-0.99991350000000001</v>
      </c>
      <c r="Q4943">
        <v>1.153977E-2</v>
      </c>
      <c r="R4943">
        <v>6.3545869999999897E-3</v>
      </c>
      <c r="S4943">
        <v>-3.0046080000000002</v>
      </c>
      <c r="T4943">
        <v>-0.64528999999999903</v>
      </c>
      <c r="U4943">
        <v>0.58576969999999995</v>
      </c>
      <c r="V4943">
        <v>7.8620719999999995E-3</v>
      </c>
      <c r="W4943">
        <v>2.1526409999999999E-2</v>
      </c>
      <c r="X4943">
        <v>0.9997374</v>
      </c>
      <c r="Y4943">
        <v>0.18865460000000001</v>
      </c>
      <c r="Z4943">
        <v>2.016656E-2</v>
      </c>
      <c r="AA4943">
        <v>0.98183640000000005</v>
      </c>
      <c r="AB4943">
        <v>26</v>
      </c>
      <c r="AC4943">
        <v>-0.68089999999995099</v>
      </c>
      <c r="AD4943">
        <v>-0.19162799999999999</v>
      </c>
      <c r="AE4943">
        <v>0.17429999999998799</v>
      </c>
      <c r="AF4943">
        <v>0.16319539457580601</v>
      </c>
      <c r="AG4943">
        <v>-0.19162799999999999</v>
      </c>
      <c r="AH4943">
        <v>0.63354280780998995</v>
      </c>
      <c r="AI4943">
        <v>106.325771494379</v>
      </c>
      <c r="AJ4943">
        <v>75.555105497984201</v>
      </c>
      <c r="AK4943">
        <v>0.68171146134014704</v>
      </c>
      <c r="AL4943">
        <v>88.766532326021903</v>
      </c>
      <c r="AM4943">
        <v>89.5494274217222</v>
      </c>
      <c r="AN4943">
        <v>1.0000000337311901</v>
      </c>
    </row>
    <row r="4944" spans="1:40" x14ac:dyDescent="0.25">
      <c r="A4944" t="str">
        <f>"20190312160432020"</f>
        <v>20190312160432020</v>
      </c>
      <c r="B4944" t="str">
        <f>"1552377872009735"</f>
        <v>1552377872009735</v>
      </c>
      <c r="C4944" t="s">
        <v>40</v>
      </c>
      <c r="D4944">
        <v>5.0266890000000002</v>
      </c>
      <c r="E4944">
        <v>0.56912479999999999</v>
      </c>
      <c r="F4944" t="s">
        <v>49</v>
      </c>
      <c r="G4944">
        <v>-263.19409999999999</v>
      </c>
      <c r="H4944">
        <v>0.95754669999999997</v>
      </c>
      <c r="I4944">
        <v>141.29580000000001</v>
      </c>
      <c r="J4944">
        <v>-262.6558</v>
      </c>
      <c r="K4944">
        <v>1.1095969999999999</v>
      </c>
      <c r="L4944">
        <v>141.1592</v>
      </c>
      <c r="M4944">
        <v>-0.99994899999999998</v>
      </c>
      <c r="N4944">
        <v>0</v>
      </c>
      <c r="O4944">
        <v>-1.5169020000000001E-3</v>
      </c>
      <c r="P4944">
        <v>-0.9999152</v>
      </c>
      <c r="Q4944">
        <v>1.1354E-2</v>
      </c>
      <c r="R4944">
        <v>6.3740510000000004E-3</v>
      </c>
      <c r="S4944">
        <v>-3.004089</v>
      </c>
      <c r="T4944">
        <v>-0.65565669999999898</v>
      </c>
      <c r="U4944">
        <v>0.58840939999999997</v>
      </c>
      <c r="V4944">
        <v>7.8910979999999992E-3</v>
      </c>
      <c r="W4944">
        <v>2.1342389999999999E-2</v>
      </c>
      <c r="X4944">
        <v>0.99974110000000005</v>
      </c>
      <c r="Y4944">
        <v>0.18937560000000001</v>
      </c>
      <c r="Z4944">
        <v>2.056415E-2</v>
      </c>
      <c r="AA4944">
        <v>0.98168929999999999</v>
      </c>
      <c r="AB4944">
        <v>26</v>
      </c>
      <c r="AC4944">
        <v>-0.53829999999999201</v>
      </c>
      <c r="AD4944">
        <v>-0.1520503</v>
      </c>
      <c r="AE4944">
        <v>0.13660000000001499</v>
      </c>
      <c r="AF4944">
        <v>0.12783413166301</v>
      </c>
      <c r="AG4944">
        <v>-0.1520503</v>
      </c>
      <c r="AH4944">
        <v>0.500570006635773</v>
      </c>
      <c r="AI4944">
        <v>106.399622491302</v>
      </c>
      <c r="AJ4944">
        <v>75.674161300049605</v>
      </c>
      <c r="AK4944">
        <v>0.53854543957911605</v>
      </c>
      <c r="AL4944">
        <v>88.777078297473693</v>
      </c>
      <c r="AM4944">
        <v>89.547765694479494</v>
      </c>
      <c r="AN4944">
        <v>1.0000000170338801</v>
      </c>
    </row>
    <row r="4945" spans="1:40" x14ac:dyDescent="0.25">
      <c r="A4945" t="str">
        <f>"20190312160432039"</f>
        <v>20190312160432039</v>
      </c>
      <c r="B4945" t="str">
        <f>"1552377872030230"</f>
        <v>1552377872030230</v>
      </c>
      <c r="C4945" t="s">
        <v>40</v>
      </c>
      <c r="D4945">
        <v>5.0268829999999998</v>
      </c>
      <c r="E4945">
        <v>0.56933549999999999</v>
      </c>
      <c r="F4945" t="s">
        <v>49</v>
      </c>
      <c r="G4945">
        <v>-263.4196</v>
      </c>
      <c r="H4945">
        <v>0.94235709999999995</v>
      </c>
      <c r="I4945">
        <v>141.3091</v>
      </c>
      <c r="J4945">
        <v>-262.8845</v>
      </c>
      <c r="K4945">
        <v>1.109591</v>
      </c>
      <c r="L4945">
        <v>141.15880000000001</v>
      </c>
      <c r="M4945">
        <v>-0.99994899999999998</v>
      </c>
      <c r="N4945">
        <v>0</v>
      </c>
      <c r="O4945">
        <v>-1.527097E-3</v>
      </c>
      <c r="P4945">
        <v>-0.99991359999999996</v>
      </c>
      <c r="Q4945">
        <v>1.1741039999999999E-2</v>
      </c>
      <c r="R4945">
        <v>5.9355659999999998E-3</v>
      </c>
      <c r="S4945">
        <v>-3.0039669999999998</v>
      </c>
      <c r="T4945">
        <v>-0.65774600000000005</v>
      </c>
      <c r="U4945">
        <v>0.58901979999999998</v>
      </c>
      <c r="V4945">
        <v>7.4631899999999998E-3</v>
      </c>
      <c r="W4945">
        <v>2.1732350000000001E-2</v>
      </c>
      <c r="X4945">
        <v>0.99973599999999996</v>
      </c>
      <c r="Y4945">
        <v>0.18955350000000001</v>
      </c>
      <c r="Z4945">
        <v>2.0649879999999999E-2</v>
      </c>
      <c r="AA4945">
        <v>0.9816532</v>
      </c>
      <c r="AB4945">
        <v>26</v>
      </c>
      <c r="AC4945">
        <v>-0.53509999999999902</v>
      </c>
      <c r="AD4945">
        <v>-0.16723389999999999</v>
      </c>
      <c r="AE4945">
        <v>0.150299999999987</v>
      </c>
      <c r="AF4945">
        <v>0.13857189522532401</v>
      </c>
      <c r="AG4945">
        <v>-0.16723389999999999</v>
      </c>
      <c r="AH4945">
        <v>0.49046712350704502</v>
      </c>
      <c r="AI4945">
        <v>108.165906417087</v>
      </c>
      <c r="AJ4945">
        <v>74.223398549322894</v>
      </c>
      <c r="AK4945">
        <v>0.53640222473142596</v>
      </c>
      <c r="AL4945">
        <v>88.754730070323603</v>
      </c>
      <c r="AM4945">
        <v>89.572285737824302</v>
      </c>
      <c r="AN4945">
        <v>1.0000000319687401</v>
      </c>
    </row>
    <row r="4946" spans="1:40" x14ac:dyDescent="0.25">
      <c r="A4946" t="str">
        <f>"20190312160432063"</f>
        <v>20190312160432063</v>
      </c>
      <c r="B4946" t="str">
        <f>"1552377872049750"</f>
        <v>1552377872049750</v>
      </c>
      <c r="C4946" t="s">
        <v>40</v>
      </c>
      <c r="D4946">
        <v>5.1274810000000004</v>
      </c>
      <c r="E4946">
        <v>0.56972959999999995</v>
      </c>
      <c r="F4946" t="s">
        <v>49</v>
      </c>
      <c r="G4946">
        <v>-263.65159999999997</v>
      </c>
      <c r="H4946">
        <v>0.94130270000000005</v>
      </c>
      <c r="I4946">
        <v>141.30959999999999</v>
      </c>
      <c r="J4946">
        <v>-263.15190000000001</v>
      </c>
      <c r="K4946">
        <v>1.109583</v>
      </c>
      <c r="L4946">
        <v>141.1584</v>
      </c>
      <c r="M4946">
        <v>-0.99994890000000003</v>
      </c>
      <c r="N4946">
        <v>0</v>
      </c>
      <c r="O4946">
        <v>-1.532771E-3</v>
      </c>
      <c r="P4946">
        <v>-0.99991660000000004</v>
      </c>
      <c r="Q4946">
        <v>1.1536299999999999E-2</v>
      </c>
      <c r="R4946">
        <v>5.8483709999999998E-3</v>
      </c>
      <c r="S4946">
        <v>-3.004486</v>
      </c>
      <c r="T4946">
        <v>-0.65912280000000001</v>
      </c>
      <c r="U4946">
        <v>0.59011840000000004</v>
      </c>
      <c r="V4946">
        <v>7.382011E-3</v>
      </c>
      <c r="W4946">
        <v>2.153118E-2</v>
      </c>
      <c r="X4946">
        <v>0.99974090000000004</v>
      </c>
      <c r="Y4946">
        <v>0.18984960000000001</v>
      </c>
      <c r="Z4946">
        <v>2.0721030000000001E-2</v>
      </c>
      <c r="AA4946">
        <v>0.98159450000000004</v>
      </c>
      <c r="AB4946">
        <v>26</v>
      </c>
      <c r="AC4946">
        <v>-0.49969999999996101</v>
      </c>
      <c r="AD4946">
        <v>-0.16828029999999899</v>
      </c>
      <c r="AE4946">
        <v>0.15119999999998801</v>
      </c>
      <c r="AF4946">
        <v>0.13766304244831801</v>
      </c>
      <c r="AG4946">
        <v>-0.16828029999999899</v>
      </c>
      <c r="AH4946">
        <v>0.45245865857033002</v>
      </c>
      <c r="AI4946">
        <v>109.586538316621</v>
      </c>
      <c r="AJ4946">
        <v>73.077327686385502</v>
      </c>
      <c r="AK4946">
        <v>0.50198427300014103</v>
      </c>
      <c r="AL4946">
        <v>88.766258891143096</v>
      </c>
      <c r="AM4946">
        <v>89.576939997170101</v>
      </c>
      <c r="AN4946">
        <v>0.99999997646570304</v>
      </c>
    </row>
    <row r="4947" spans="1:40" x14ac:dyDescent="0.25">
      <c r="A4947" t="str">
        <f>"20190312160432086"</f>
        <v>20190312160432086</v>
      </c>
      <c r="B4947" t="str">
        <f>"1552377872080007"</f>
        <v>1552377872080007</v>
      </c>
      <c r="C4947" t="s">
        <v>40</v>
      </c>
      <c r="D4947">
        <v>5.0915900000000001</v>
      </c>
      <c r="E4947">
        <v>0.58785299999999996</v>
      </c>
      <c r="F4947" t="s">
        <v>49</v>
      </c>
      <c r="G4947">
        <v>-263.88679999999999</v>
      </c>
      <c r="H4947">
        <v>0.94714690000000001</v>
      </c>
      <c r="I4947">
        <v>141.3038</v>
      </c>
      <c r="J4947">
        <v>-263.42399999999998</v>
      </c>
      <c r="K4947">
        <v>1.109575</v>
      </c>
      <c r="L4947">
        <v>141.15799999999999</v>
      </c>
      <c r="M4947">
        <v>-0.99994890000000003</v>
      </c>
      <c r="N4947">
        <v>0</v>
      </c>
      <c r="O4947">
        <v>-1.5331089999999999E-3</v>
      </c>
      <c r="P4947">
        <v>-0.99991819999999998</v>
      </c>
      <c r="Q4947">
        <v>1.128523E-2</v>
      </c>
      <c r="R4947">
        <v>6.0180119999999997E-3</v>
      </c>
      <c r="S4947">
        <v>-3.0044559999999998</v>
      </c>
      <c r="T4947">
        <v>-0.66412179999999998</v>
      </c>
      <c r="U4947">
        <v>0.59358219999999995</v>
      </c>
      <c r="V4947">
        <v>7.5520140000000001E-3</v>
      </c>
      <c r="W4947">
        <v>2.1283280000000002E-2</v>
      </c>
      <c r="X4947">
        <v>0.99974499999999999</v>
      </c>
      <c r="Y4947">
        <v>0.19085279999999999</v>
      </c>
      <c r="Z4947">
        <v>2.0981179999999999E-2</v>
      </c>
      <c r="AA4947">
        <v>0.9813944</v>
      </c>
      <c r="AB4947">
        <v>26</v>
      </c>
      <c r="AC4947">
        <v>-0.46279999999995802</v>
      </c>
      <c r="AD4947">
        <v>-0.16242809999999899</v>
      </c>
      <c r="AE4947">
        <v>0.14580000000000801</v>
      </c>
      <c r="AF4947">
        <v>0.131746281655195</v>
      </c>
      <c r="AG4947">
        <v>-0.16242809999999899</v>
      </c>
      <c r="AH4947">
        <v>0.41596418096092502</v>
      </c>
      <c r="AI4947">
        <v>110.41830258172</v>
      </c>
      <c r="AJ4947">
        <v>72.4257003172944</v>
      </c>
      <c r="AK4947">
        <v>0.46558153984245698</v>
      </c>
      <c r="AL4947">
        <v>88.780465845940896</v>
      </c>
      <c r="AM4947">
        <v>89.567199336741794</v>
      </c>
      <c r="AN4947">
        <v>1.0000000379739999</v>
      </c>
    </row>
    <row r="4948" spans="1:40" x14ac:dyDescent="0.25">
      <c r="A4948" t="str">
        <f>"20190312160432108"</f>
        <v>20190312160432108</v>
      </c>
      <c r="B4948" t="str">
        <f>"1552377872099528"</f>
        <v>1552377872099528</v>
      </c>
      <c r="C4948" t="s">
        <v>40</v>
      </c>
      <c r="D4948">
        <v>5.1411379999999998</v>
      </c>
      <c r="E4948">
        <v>0.57023059999999903</v>
      </c>
      <c r="F4948" t="s">
        <v>49</v>
      </c>
      <c r="G4948">
        <v>-264.11779999999999</v>
      </c>
      <c r="H4948">
        <v>0.94007490000000005</v>
      </c>
      <c r="I4948">
        <v>141.32900000000001</v>
      </c>
      <c r="J4948">
        <v>-263.67129999999997</v>
      </c>
      <c r="K4948">
        <v>1.1095740000000001</v>
      </c>
      <c r="L4948">
        <v>141.1576</v>
      </c>
      <c r="M4948">
        <v>-0.99994890000000003</v>
      </c>
      <c r="N4948">
        <v>0</v>
      </c>
      <c r="O4948">
        <v>-1.5301329999999999E-3</v>
      </c>
      <c r="P4948">
        <v>-0.99991830000000004</v>
      </c>
      <c r="Q4948">
        <v>1.1049099999999999E-2</v>
      </c>
      <c r="R4948">
        <v>6.4575819999999999E-3</v>
      </c>
      <c r="S4948">
        <v>-3.004089</v>
      </c>
      <c r="T4948">
        <v>-0.73395239999999995</v>
      </c>
      <c r="U4948">
        <v>0.74064640000000004</v>
      </c>
      <c r="V4948">
        <v>7.9886560000000002E-3</v>
      </c>
      <c r="W4948">
        <v>2.1050159999999998E-2</v>
      </c>
      <c r="X4948">
        <v>0.99974649999999998</v>
      </c>
      <c r="Y4948">
        <v>0.234318</v>
      </c>
      <c r="Z4948">
        <v>2.8173469999999999E-2</v>
      </c>
      <c r="AA4948">
        <v>0.9717517</v>
      </c>
      <c r="AB4948">
        <v>26</v>
      </c>
      <c r="AC4948">
        <v>-0.446500000000014</v>
      </c>
      <c r="AD4948">
        <v>-0.16949910000000001</v>
      </c>
      <c r="AE4948">
        <v>0.17140000000000499</v>
      </c>
      <c r="AF4948">
        <v>0.15288106004118401</v>
      </c>
      <c r="AG4948">
        <v>-0.16949910000000001</v>
      </c>
      <c r="AH4948">
        <v>0.39644358287100501</v>
      </c>
      <c r="AI4948">
        <v>111.74780497321299</v>
      </c>
      <c r="AJ4948">
        <v>68.911798835432194</v>
      </c>
      <c r="AK4948">
        <v>0.45746046585440098</v>
      </c>
      <c r="AL4948">
        <v>88.793825580150298</v>
      </c>
      <c r="AM4948">
        <v>89.542177410698002</v>
      </c>
      <c r="AN4948">
        <v>0.99999999606148005</v>
      </c>
    </row>
    <row r="4949" spans="1:40" x14ac:dyDescent="0.25">
      <c r="A4949" t="str">
        <f>"20190312160432120"</f>
        <v>20190312160432120</v>
      </c>
      <c r="B4949" t="str">
        <f>"1552377872110262"</f>
        <v>1552377872110262</v>
      </c>
      <c r="C4949" t="s">
        <v>40</v>
      </c>
      <c r="D4949">
        <v>5.1085310000000002</v>
      </c>
      <c r="E4949">
        <v>0.56916650000000002</v>
      </c>
      <c r="F4949" t="s">
        <v>49</v>
      </c>
      <c r="G4949">
        <v>-264.56869999999998</v>
      </c>
      <c r="H4949">
        <v>0.90179100000000001</v>
      </c>
      <c r="I4949">
        <v>141.33680000000001</v>
      </c>
      <c r="J4949">
        <v>-263.82299999999998</v>
      </c>
      <c r="K4949">
        <v>1.1095729999999999</v>
      </c>
      <c r="L4949">
        <v>141.1574</v>
      </c>
      <c r="M4949">
        <v>-0.99994879999999997</v>
      </c>
      <c r="N4949">
        <v>0</v>
      </c>
      <c r="O4949">
        <v>-1.5257230000000001E-3</v>
      </c>
      <c r="P4949">
        <v>-0.99991699999999994</v>
      </c>
      <c r="Q4949">
        <v>1.1208849999999999E-2</v>
      </c>
      <c r="R4949">
        <v>6.3824969999999896E-3</v>
      </c>
      <c r="S4949">
        <v>-3.0040589999999998</v>
      </c>
      <c r="T4949">
        <v>-0.69559009999999999</v>
      </c>
      <c r="U4949">
        <v>0.60005189999999997</v>
      </c>
      <c r="V4949">
        <v>7.909134E-3</v>
      </c>
      <c r="W4949">
        <v>2.1211770000000001E-2</v>
      </c>
      <c r="X4949">
        <v>0.99974370000000001</v>
      </c>
      <c r="Y4949">
        <v>0.19243589999999999</v>
      </c>
      <c r="Z4949">
        <v>2.2126860000000002E-2</v>
      </c>
      <c r="AA4949">
        <v>0.98106000000000004</v>
      </c>
      <c r="AB4949">
        <v>26</v>
      </c>
      <c r="AC4949">
        <v>-0.74569999999999903</v>
      </c>
      <c r="AD4949">
        <v>-0.207781999999999</v>
      </c>
      <c r="AE4949">
        <v>0.17940000000001499</v>
      </c>
      <c r="AF4949">
        <v>0.168193439256554</v>
      </c>
      <c r="AG4949">
        <v>-0.207781999999999</v>
      </c>
      <c r="AH4949">
        <v>0.69445742274145605</v>
      </c>
      <c r="AI4949">
        <v>106.214079336292</v>
      </c>
      <c r="AJ4949">
        <v>76.385464047802998</v>
      </c>
      <c r="AK4949">
        <v>0.74413271970371897</v>
      </c>
      <c r="AL4949">
        <v>88.784563921238799</v>
      </c>
      <c r="AM4949">
        <v>89.546733283478204</v>
      </c>
      <c r="AN4949">
        <v>0.99999997963842602</v>
      </c>
    </row>
    <row r="4950" spans="1:40" x14ac:dyDescent="0.25">
      <c r="A4950" t="str">
        <f>"20190312160432140"</f>
        <v>20190312160432140</v>
      </c>
      <c r="B4950" t="str">
        <f>"1552377872129782"</f>
        <v>1552377872129782</v>
      </c>
      <c r="C4950" t="s">
        <v>40</v>
      </c>
      <c r="D4950">
        <v>5.1909939999999999</v>
      </c>
      <c r="E4950">
        <v>0.56921569999999899</v>
      </c>
      <c r="F4950" t="s">
        <v>49</v>
      </c>
      <c r="G4950">
        <v>-264.58109999999999</v>
      </c>
      <c r="H4950">
        <v>0.93466689999999997</v>
      </c>
      <c r="I4950">
        <v>141.3065</v>
      </c>
      <c r="J4950">
        <v>-264.05110000000002</v>
      </c>
      <c r="K4950">
        <v>1.109575</v>
      </c>
      <c r="L4950">
        <v>141.15700000000001</v>
      </c>
      <c r="M4950">
        <v>-0.99994879999999997</v>
      </c>
      <c r="N4950">
        <v>0</v>
      </c>
      <c r="O4950">
        <v>-1.517731E-3</v>
      </c>
      <c r="P4950">
        <v>-0.99991529999999995</v>
      </c>
      <c r="Q4950">
        <v>1.1569380000000001E-2</v>
      </c>
      <c r="R4950">
        <v>5.9624580000000003E-3</v>
      </c>
      <c r="S4950">
        <v>-3.0042420000000001</v>
      </c>
      <c r="T4950">
        <v>-0.69310399999999905</v>
      </c>
      <c r="U4950">
        <v>0.59138489999999999</v>
      </c>
      <c r="V4950">
        <v>7.4812280000000004E-3</v>
      </c>
      <c r="W4950">
        <v>2.1575509999999999E-2</v>
      </c>
      <c r="X4950">
        <v>0.99973920000000005</v>
      </c>
      <c r="Y4950">
        <v>0.18979180000000001</v>
      </c>
      <c r="Z4950">
        <v>2.1754260000000001E-2</v>
      </c>
      <c r="AA4950">
        <v>0.98158330000000005</v>
      </c>
      <c r="AB4950">
        <v>26</v>
      </c>
      <c r="AC4950">
        <v>-0.52999999999997205</v>
      </c>
      <c r="AD4950">
        <v>-0.17490810000000001</v>
      </c>
      <c r="AE4950">
        <v>0.149499999999989</v>
      </c>
      <c r="AF4950">
        <v>0.13653062465453999</v>
      </c>
      <c r="AG4950">
        <v>-0.17490810000000001</v>
      </c>
      <c r="AH4950">
        <v>0.48122498071430703</v>
      </c>
      <c r="AI4950">
        <v>109.272879393246</v>
      </c>
      <c r="AJ4950">
        <v>74.160578546073594</v>
      </c>
      <c r="AK4950">
        <v>0.52991597161970305</v>
      </c>
      <c r="AL4950">
        <v>88.763718370662701</v>
      </c>
      <c r="AM4950">
        <v>89.571253393684202</v>
      </c>
      <c r="AN4950">
        <v>0.99999996971039296</v>
      </c>
    </row>
    <row r="4951" spans="1:40" x14ac:dyDescent="0.25">
      <c r="A4951" t="str">
        <f>"20190312160432153"</f>
        <v>20190312160432153</v>
      </c>
      <c r="B4951" t="str">
        <f>"1552377872150279"</f>
        <v>1552377872150279</v>
      </c>
      <c r="C4951" t="s">
        <v>40</v>
      </c>
      <c r="D4951">
        <v>5.2355099999999997</v>
      </c>
      <c r="E4951">
        <v>0.56944450000000002</v>
      </c>
      <c r="F4951" t="s">
        <v>49</v>
      </c>
      <c r="G4951">
        <v>-264.81400000000002</v>
      </c>
      <c r="H4951">
        <v>0.93224079999999998</v>
      </c>
      <c r="I4951">
        <v>141.3073</v>
      </c>
      <c r="J4951">
        <v>-264.20159999999998</v>
      </c>
      <c r="K4951">
        <v>1.1095740000000001</v>
      </c>
      <c r="L4951">
        <v>141.1568</v>
      </c>
      <c r="M4951">
        <v>-0.99994879999999997</v>
      </c>
      <c r="N4951">
        <v>0</v>
      </c>
      <c r="O4951">
        <v>-1.510686E-3</v>
      </c>
      <c r="P4951">
        <v>-0.99991390000000002</v>
      </c>
      <c r="Q4951">
        <v>1.167114E-2</v>
      </c>
      <c r="R4951">
        <v>6.0111399999999999E-3</v>
      </c>
      <c r="S4951">
        <v>-3.004791</v>
      </c>
      <c r="T4951">
        <v>-0.69841469999999894</v>
      </c>
      <c r="U4951">
        <v>0.59121699999999999</v>
      </c>
      <c r="V4951">
        <v>7.5229440000000002E-3</v>
      </c>
      <c r="W4951">
        <v>2.167848E-2</v>
      </c>
      <c r="X4951">
        <v>0.99973670000000003</v>
      </c>
      <c r="Y4951">
        <v>0.18963060000000001</v>
      </c>
      <c r="Z4951">
        <v>2.189309E-2</v>
      </c>
      <c r="AA4951">
        <v>0.98161140000000002</v>
      </c>
      <c r="AB4951">
        <v>26</v>
      </c>
      <c r="AC4951">
        <v>-0.61240000000003603</v>
      </c>
      <c r="AD4951">
        <v>-0.177333199999999</v>
      </c>
      <c r="AE4951">
        <v>0.150499999999993</v>
      </c>
      <c r="AF4951">
        <v>0.14032847377489999</v>
      </c>
      <c r="AG4951">
        <v>-0.177333199999999</v>
      </c>
      <c r="AH4951">
        <v>0.56731148914813001</v>
      </c>
      <c r="AI4951">
        <v>106.879895634508</v>
      </c>
      <c r="AJ4951">
        <v>76.106369315568699</v>
      </c>
      <c r="AK4951">
        <v>0.61072208908283498</v>
      </c>
      <c r="AL4951">
        <v>88.757817294216295</v>
      </c>
      <c r="AM4951">
        <v>89.568861675964598</v>
      </c>
      <c r="AN4951">
        <v>1.0000000102542099</v>
      </c>
    </row>
    <row r="4952" spans="1:40" x14ac:dyDescent="0.25">
      <c r="A4952" t="str">
        <f>"20190312160432164"</f>
        <v>20190312160432164</v>
      </c>
      <c r="B4952" t="str">
        <f>"1552377872160039"</f>
        <v>1552377872160039</v>
      </c>
      <c r="C4952" t="s">
        <v>40</v>
      </c>
      <c r="D4952">
        <v>5.2088999999999999</v>
      </c>
      <c r="E4952">
        <v>0.56928290000000004</v>
      </c>
      <c r="F4952" t="s">
        <v>49</v>
      </c>
      <c r="G4952">
        <v>-265.041</v>
      </c>
      <c r="H4952">
        <v>0.9135453</v>
      </c>
      <c r="I4952">
        <v>141.32249999999999</v>
      </c>
      <c r="J4952">
        <v>-264.35039999999998</v>
      </c>
      <c r="K4952">
        <v>1.1095710000000001</v>
      </c>
      <c r="L4952">
        <v>141.1566</v>
      </c>
      <c r="M4952">
        <v>-0.99994879999999997</v>
      </c>
      <c r="N4952">
        <v>0</v>
      </c>
      <c r="O4952">
        <v>-1.5022010000000001E-3</v>
      </c>
      <c r="P4952">
        <v>-0.99991470000000005</v>
      </c>
      <c r="Q4952">
        <v>1.17555E-2</v>
      </c>
      <c r="R4952">
        <v>5.706605E-3</v>
      </c>
      <c r="S4952">
        <v>-3.004883</v>
      </c>
      <c r="T4952">
        <v>-0.70176359999999904</v>
      </c>
      <c r="U4952">
        <v>0.59336849999999997</v>
      </c>
      <c r="V4952">
        <v>7.210213E-3</v>
      </c>
      <c r="W4952">
        <v>2.1764769999999999E-2</v>
      </c>
      <c r="X4952">
        <v>0.99973710000000005</v>
      </c>
      <c r="Y4952">
        <v>0.19023219999999999</v>
      </c>
      <c r="Z4952">
        <v>2.2060059999999999E-2</v>
      </c>
      <c r="AA4952">
        <v>0.98149120000000001</v>
      </c>
      <c r="AB4952">
        <v>26</v>
      </c>
      <c r="AC4952">
        <v>-0.69060000000001698</v>
      </c>
      <c r="AD4952">
        <v>-0.196025699999999</v>
      </c>
      <c r="AE4952">
        <v>0.165899999999993</v>
      </c>
      <c r="AF4952">
        <v>0.15512108745949801</v>
      </c>
      <c r="AG4952">
        <v>-0.196025699999999</v>
      </c>
      <c r="AH4952">
        <v>0.64148546451748301</v>
      </c>
      <c r="AI4952">
        <v>106.542481809701</v>
      </c>
      <c r="AJ4952">
        <v>76.405955543715393</v>
      </c>
      <c r="AK4952">
        <v>0.68847093476944798</v>
      </c>
      <c r="AL4952">
        <v>88.752872037863995</v>
      </c>
      <c r="AM4952">
        <v>89.586783753590097</v>
      </c>
      <c r="AN4952">
        <v>0.99999998075053398</v>
      </c>
    </row>
    <row r="4953" spans="1:40" x14ac:dyDescent="0.25">
      <c r="A4953" t="str">
        <f>"20190312160432186"</f>
        <v>20190312160432186</v>
      </c>
      <c r="B4953" t="str">
        <f>"1552377872179560"</f>
        <v>1552377872179560</v>
      </c>
      <c r="C4953" t="s">
        <v>40</v>
      </c>
      <c r="D4953">
        <v>5.3398440000000003</v>
      </c>
      <c r="E4953">
        <v>0.56902799999999998</v>
      </c>
      <c r="F4953" t="s">
        <v>49</v>
      </c>
      <c r="G4953">
        <v>-265.05360000000002</v>
      </c>
      <c r="H4953">
        <v>0.94524960000000002</v>
      </c>
      <c r="I4953">
        <v>141.29490000000001</v>
      </c>
      <c r="J4953">
        <v>-264.58670000000001</v>
      </c>
      <c r="K4953">
        <v>1.1095680000000001</v>
      </c>
      <c r="L4953">
        <v>141.15620000000001</v>
      </c>
      <c r="M4953">
        <v>-0.99994879999999997</v>
      </c>
      <c r="N4953">
        <v>0</v>
      </c>
      <c r="O4953">
        <v>-1.482953E-3</v>
      </c>
      <c r="P4953">
        <v>-0.99991289999999999</v>
      </c>
      <c r="Q4953">
        <v>1.206203E-2</v>
      </c>
      <c r="R4953">
        <v>5.3900869999999896E-3</v>
      </c>
      <c r="S4953">
        <v>-3.0051570000000001</v>
      </c>
      <c r="T4953">
        <v>-0.70229359999999996</v>
      </c>
      <c r="U4953">
        <v>0.59112549999999997</v>
      </c>
      <c r="V4953">
        <v>6.874631E-3</v>
      </c>
      <c r="W4953">
        <v>2.207369E-2</v>
      </c>
      <c r="X4953">
        <v>0.99973270000000003</v>
      </c>
      <c r="Y4953">
        <v>0.18950310000000001</v>
      </c>
      <c r="Z4953">
        <v>2.1988190000000001E-2</v>
      </c>
      <c r="AA4953">
        <v>0.98163389999999995</v>
      </c>
      <c r="AB4953">
        <v>26</v>
      </c>
      <c r="AC4953">
        <v>-0.46690000000000897</v>
      </c>
      <c r="AD4953">
        <v>-0.1643184</v>
      </c>
      <c r="AE4953">
        <v>0.13869999999999999</v>
      </c>
      <c r="AF4953">
        <v>0.125148577969875</v>
      </c>
      <c r="AG4953">
        <v>-0.1643184</v>
      </c>
      <c r="AH4953">
        <v>0.41900503540279899</v>
      </c>
      <c r="AI4953">
        <v>110.59423824844301</v>
      </c>
      <c r="AJ4953">
        <v>73.370147330812003</v>
      </c>
      <c r="AK4953">
        <v>0.46714871597740998</v>
      </c>
      <c r="AL4953">
        <v>88.735167983320395</v>
      </c>
      <c r="AM4953">
        <v>89.6060135536665</v>
      </c>
      <c r="AN4953">
        <v>0.99999998989544603</v>
      </c>
    </row>
    <row r="4954" spans="1:40" x14ac:dyDescent="0.25">
      <c r="A4954" t="str">
        <f>"20190312160432200"</f>
        <v>20190312160432200</v>
      </c>
      <c r="B4954" t="str">
        <f>"1552377872190295"</f>
        <v>1552377872190295</v>
      </c>
      <c r="C4954" t="s">
        <v>40</v>
      </c>
      <c r="D4954">
        <v>5.3336930000000002</v>
      </c>
      <c r="E4954">
        <v>0.56905439999999996</v>
      </c>
      <c r="F4954" t="s">
        <v>49</v>
      </c>
      <c r="G4954">
        <v>-265.28809999999999</v>
      </c>
      <c r="H4954">
        <v>0.94566490000000003</v>
      </c>
      <c r="I4954">
        <v>141.2937</v>
      </c>
      <c r="J4954">
        <v>-264.75310000000002</v>
      </c>
      <c r="K4954">
        <v>1.1095630000000001</v>
      </c>
      <c r="L4954">
        <v>141.15600000000001</v>
      </c>
      <c r="M4954">
        <v>-0.99994879999999997</v>
      </c>
      <c r="N4954">
        <v>0</v>
      </c>
      <c r="O4954">
        <v>-1.463708E-3</v>
      </c>
      <c r="P4954">
        <v>-0.99991050000000004</v>
      </c>
      <c r="Q4954">
        <v>1.2209889999999999E-2</v>
      </c>
      <c r="R4954">
        <v>5.4625209999999997E-3</v>
      </c>
      <c r="S4954">
        <v>-3.0055239999999999</v>
      </c>
      <c r="T4954">
        <v>-0.7023298</v>
      </c>
      <c r="U4954">
        <v>0.58790589999999998</v>
      </c>
      <c r="V4954">
        <v>6.928081E-3</v>
      </c>
      <c r="W4954">
        <v>2.222385E-2</v>
      </c>
      <c r="X4954">
        <v>0.99972899999999998</v>
      </c>
      <c r="Y4954">
        <v>0.18847549999999999</v>
      </c>
      <c r="Z4954">
        <v>2.1867089999999999E-2</v>
      </c>
      <c r="AA4954">
        <v>0.9818344</v>
      </c>
      <c r="AB4954">
        <v>26</v>
      </c>
      <c r="AC4954">
        <v>-0.53499999999996795</v>
      </c>
      <c r="AD4954">
        <v>-0.16389809999999899</v>
      </c>
      <c r="AE4954">
        <v>0.13769999999999499</v>
      </c>
      <c r="AF4954">
        <v>0.12727977243608601</v>
      </c>
      <c r="AG4954">
        <v>-0.16389809999999899</v>
      </c>
      <c r="AH4954">
        <v>0.49153298587314098</v>
      </c>
      <c r="AI4954">
        <v>107.889881929303</v>
      </c>
      <c r="AJ4954">
        <v>75.482443744740095</v>
      </c>
      <c r="AK4954">
        <v>0.53354231683752795</v>
      </c>
      <c r="AL4954">
        <v>88.726562332452403</v>
      </c>
      <c r="AM4954">
        <v>89.602948951974398</v>
      </c>
      <c r="AN4954">
        <v>0.99999998562808201</v>
      </c>
    </row>
    <row r="4955" spans="1:40" x14ac:dyDescent="0.25">
      <c r="A4955" t="str">
        <f>"20190312160432218"</f>
        <v>20190312160432218</v>
      </c>
      <c r="B4955" t="str">
        <f>"1552377872209815"</f>
        <v>1552377872209815</v>
      </c>
      <c r="C4955" t="s">
        <v>40</v>
      </c>
      <c r="D4955">
        <v>5.2391040000000002</v>
      </c>
      <c r="E4955">
        <v>0.56900220000000001</v>
      </c>
      <c r="F4955" t="s">
        <v>49</v>
      </c>
      <c r="G4955">
        <v>-265.517</v>
      </c>
      <c r="H4955">
        <v>0.93152999999999997</v>
      </c>
      <c r="I4955">
        <v>141.30549999999999</v>
      </c>
      <c r="J4955">
        <v>-264.97579999999999</v>
      </c>
      <c r="K4955">
        <v>1.109558</v>
      </c>
      <c r="L4955">
        <v>141.1557</v>
      </c>
      <c r="M4955">
        <v>-0.99994879999999997</v>
      </c>
      <c r="N4955">
        <v>0</v>
      </c>
      <c r="O4955">
        <v>-1.4309679999999999E-3</v>
      </c>
      <c r="P4955">
        <v>-0.99991140000000001</v>
      </c>
      <c r="Q4955">
        <v>1.234797E-2</v>
      </c>
      <c r="R4955">
        <v>4.9528330000000002E-3</v>
      </c>
      <c r="S4955">
        <v>-3.005646</v>
      </c>
      <c r="T4955">
        <v>-0.70040159999999996</v>
      </c>
      <c r="U4955">
        <v>0.58808899999999997</v>
      </c>
      <c r="V4955">
        <v>6.3858719999999999E-3</v>
      </c>
      <c r="W4955">
        <v>2.2364479999999999E-2</v>
      </c>
      <c r="X4955">
        <v>0.99972950000000005</v>
      </c>
      <c r="Y4955">
        <v>0.1885203</v>
      </c>
      <c r="Z4955">
        <v>2.180526E-2</v>
      </c>
      <c r="AA4955">
        <v>0.98182720000000001</v>
      </c>
      <c r="AB4955">
        <v>26</v>
      </c>
      <c r="AC4955">
        <v>-0.54120000000000301</v>
      </c>
      <c r="AD4955">
        <v>-0.17802799999999999</v>
      </c>
      <c r="AE4955">
        <v>0.14979999999999899</v>
      </c>
      <c r="AF4955">
        <v>0.13682255160690501</v>
      </c>
      <c r="AG4955">
        <v>-0.17802799999999999</v>
      </c>
      <c r="AH4955">
        <v>0.49157755358225802</v>
      </c>
      <c r="AI4955">
        <v>109.2335837137</v>
      </c>
      <c r="AJ4955">
        <v>74.446328071049294</v>
      </c>
      <c r="AK4955">
        <v>0.54042841394410601</v>
      </c>
      <c r="AL4955">
        <v>88.718502856538095</v>
      </c>
      <c r="AM4955">
        <v>89.634022465034604</v>
      </c>
      <c r="AN4955">
        <v>1.0000000112485601</v>
      </c>
    </row>
    <row r="4956" spans="1:40" x14ac:dyDescent="0.25">
      <c r="A4956" t="str">
        <f>"20190312160432232"</f>
        <v>20190312160432232</v>
      </c>
      <c r="B4956" t="str">
        <f>"1552377872219575"</f>
        <v>1552377872219575</v>
      </c>
      <c r="C4956" t="s">
        <v>40</v>
      </c>
      <c r="D4956">
        <v>5.3892189999999998</v>
      </c>
      <c r="E4956">
        <v>0.56876340000000003</v>
      </c>
      <c r="F4956" t="s">
        <v>49</v>
      </c>
      <c r="G4956">
        <v>-265.75069999999999</v>
      </c>
      <c r="H4956">
        <v>0.92822579999999999</v>
      </c>
      <c r="I4956">
        <v>141.3073</v>
      </c>
      <c r="J4956">
        <v>-265.12759999999997</v>
      </c>
      <c r="K4956">
        <v>1.109553</v>
      </c>
      <c r="L4956">
        <v>141.15549999999999</v>
      </c>
      <c r="M4956">
        <v>-0.99994890000000003</v>
      </c>
      <c r="N4956">
        <v>0</v>
      </c>
      <c r="O4956">
        <v>-1.4044560000000001E-3</v>
      </c>
      <c r="P4956">
        <v>-0.99991180000000002</v>
      </c>
      <c r="Q4956">
        <v>1.2542920000000001E-2</v>
      </c>
      <c r="R4956">
        <v>4.4221729999999997E-3</v>
      </c>
      <c r="S4956">
        <v>-3.0060419999999999</v>
      </c>
      <c r="T4956">
        <v>-0.70349159999999999</v>
      </c>
      <c r="U4956">
        <v>0.58735660000000001</v>
      </c>
      <c r="V4956">
        <v>5.8292229999999997E-3</v>
      </c>
      <c r="W4956">
        <v>2.256184E-2</v>
      </c>
      <c r="X4956">
        <v>0.99972839999999996</v>
      </c>
      <c r="Y4956">
        <v>0.1882065</v>
      </c>
      <c r="Z4956">
        <v>2.1854749999999999E-2</v>
      </c>
      <c r="AA4956">
        <v>0.98188629999999999</v>
      </c>
      <c r="AB4956">
        <v>26</v>
      </c>
      <c r="AC4956">
        <v>-0.62310000000002197</v>
      </c>
      <c r="AD4956">
        <v>-0.18132719999999999</v>
      </c>
      <c r="AE4956">
        <v>0.15180000000000801</v>
      </c>
      <c r="AF4956">
        <v>0.141373450886875</v>
      </c>
      <c r="AG4956">
        <v>-0.18132719999999999</v>
      </c>
      <c r="AH4956">
        <v>0.57677787709644801</v>
      </c>
      <c r="AI4956">
        <v>106.979588062205</v>
      </c>
      <c r="AJ4956">
        <v>76.227807659050598</v>
      </c>
      <c r="AK4956">
        <v>0.62091764798835303</v>
      </c>
      <c r="AL4956">
        <v>88.707192022065101</v>
      </c>
      <c r="AM4956">
        <v>89.665923173946197</v>
      </c>
      <c r="AN4956">
        <v>0.99999994511576296</v>
      </c>
    </row>
    <row r="4957" spans="1:40" x14ac:dyDescent="0.25">
      <c r="A4957" t="str">
        <f>"20190312160432244"</f>
        <v>20190312160432244</v>
      </c>
      <c r="B4957" t="str">
        <f>"1552377872239603"</f>
        <v>1552377872239603</v>
      </c>
      <c r="C4957" t="s">
        <v>40</v>
      </c>
      <c r="D4957">
        <v>5.2621039999999999</v>
      </c>
      <c r="E4957">
        <v>0.56856600000000002</v>
      </c>
      <c r="F4957" t="s">
        <v>49</v>
      </c>
      <c r="G4957">
        <v>-265.97879999999998</v>
      </c>
      <c r="H4957">
        <v>0.90957690000000002</v>
      </c>
      <c r="I4957">
        <v>141.321</v>
      </c>
      <c r="J4957">
        <v>-265.27769999999998</v>
      </c>
      <c r="K4957">
        <v>1.1095459999999999</v>
      </c>
      <c r="L4957">
        <v>141.15530000000001</v>
      </c>
      <c r="M4957">
        <v>-0.99994870000000002</v>
      </c>
      <c r="N4957">
        <v>0</v>
      </c>
      <c r="O4957">
        <v>-1.37426E-3</v>
      </c>
      <c r="P4957">
        <v>-0.99991200000000002</v>
      </c>
      <c r="Q4957">
        <v>1.259037E-2</v>
      </c>
      <c r="R4957">
        <v>4.1661470000000003E-3</v>
      </c>
      <c r="S4957">
        <v>-3.0065309999999998</v>
      </c>
      <c r="T4957">
        <v>-0.70631429999999995</v>
      </c>
      <c r="U4957">
        <v>0.58427430000000002</v>
      </c>
      <c r="V4957">
        <v>5.5433030000000003E-3</v>
      </c>
      <c r="W4957">
        <v>2.261428E-2</v>
      </c>
      <c r="X4957">
        <v>0.99972890000000003</v>
      </c>
      <c r="Y4957">
        <v>0.1871662</v>
      </c>
      <c r="Z4957">
        <v>2.1812410000000001E-2</v>
      </c>
      <c r="AA4957">
        <v>0.98208609999999996</v>
      </c>
      <c r="AB4957">
        <v>26</v>
      </c>
      <c r="AC4957">
        <v>-0.70109999999999595</v>
      </c>
      <c r="AD4957">
        <v>-0.19996909999999901</v>
      </c>
      <c r="AE4957">
        <v>0.165699999999986</v>
      </c>
      <c r="AF4957">
        <v>0.15474093419920801</v>
      </c>
      <c r="AG4957">
        <v>-0.19996909999999901</v>
      </c>
      <c r="AH4957">
        <v>0.65073397767879104</v>
      </c>
      <c r="AI4957">
        <v>106.64463623644301</v>
      </c>
      <c r="AJ4957">
        <v>76.623812184713501</v>
      </c>
      <c r="AK4957">
        <v>0.69813115342127197</v>
      </c>
      <c r="AL4957">
        <v>88.704186740330201</v>
      </c>
      <c r="AM4957">
        <v>89.682309262456897</v>
      </c>
      <c r="AN4957">
        <v>1.0000000036816299</v>
      </c>
    </row>
    <row r="4958" spans="1:40" x14ac:dyDescent="0.25">
      <c r="A4958" t="str">
        <f>"20190312160432258"</f>
        <v>20190312160432258</v>
      </c>
      <c r="B4958" t="str">
        <f>"1552377872250339"</f>
        <v>1552377872250339</v>
      </c>
      <c r="C4958" t="s">
        <v>40</v>
      </c>
      <c r="D4958">
        <v>5.3638979999999998</v>
      </c>
      <c r="E4958">
        <v>0.5686561</v>
      </c>
      <c r="F4958" t="s">
        <v>49</v>
      </c>
      <c r="G4958">
        <v>-265.99110000000002</v>
      </c>
      <c r="H4958">
        <v>0.94107969999999996</v>
      </c>
      <c r="I4958">
        <v>141.29349999999999</v>
      </c>
      <c r="J4958">
        <v>-265.44009999999997</v>
      </c>
      <c r="K4958">
        <v>1.1095440000000001</v>
      </c>
      <c r="L4958">
        <v>141.1551</v>
      </c>
      <c r="M4958">
        <v>-0.99994890000000003</v>
      </c>
      <c r="N4958">
        <v>0</v>
      </c>
      <c r="O4958">
        <v>-1.3365789999999901E-3</v>
      </c>
      <c r="P4958">
        <v>-0.99991229999999998</v>
      </c>
      <c r="Q4958">
        <v>1.256285E-2</v>
      </c>
      <c r="R4958">
        <v>4.2447689999999998E-3</v>
      </c>
      <c r="S4958">
        <v>-3.0068049999999999</v>
      </c>
      <c r="T4958">
        <v>-0.70997129999999997</v>
      </c>
      <c r="U4958">
        <v>0.58201599999999998</v>
      </c>
      <c r="V4958">
        <v>5.5844400000000004E-3</v>
      </c>
      <c r="W4958">
        <v>2.2596649999999999E-2</v>
      </c>
      <c r="X4958">
        <v>0.99972899999999998</v>
      </c>
      <c r="Y4958">
        <v>0.18637280000000001</v>
      </c>
      <c r="Z4958">
        <v>2.1821699999999999E-2</v>
      </c>
      <c r="AA4958">
        <v>0.98223669999999996</v>
      </c>
      <c r="AB4958">
        <v>26</v>
      </c>
      <c r="AC4958">
        <v>-0.55100000000004401</v>
      </c>
      <c r="AD4958">
        <v>-0.16846430000000001</v>
      </c>
      <c r="AE4958">
        <v>0.13839999999999</v>
      </c>
      <c r="AF4958">
        <v>0.127890801792441</v>
      </c>
      <c r="AG4958">
        <v>-0.16846430000000001</v>
      </c>
      <c r="AH4958">
        <v>0.50629544891843703</v>
      </c>
      <c r="AI4958">
        <v>107.880009637521</v>
      </c>
      <c r="AJ4958">
        <v>75.823575604860494</v>
      </c>
      <c r="AK4958">
        <v>0.54869969851743605</v>
      </c>
      <c r="AL4958">
        <v>88.705197032870799</v>
      </c>
      <c r="AM4958">
        <v>89.679951751859903</v>
      </c>
      <c r="AN4958">
        <v>0.99999993400116505</v>
      </c>
    </row>
    <row r="4959" spans="1:40" x14ac:dyDescent="0.25">
      <c r="A4959" t="str">
        <f>"20190312160432275"</f>
        <v>20190312160432275</v>
      </c>
      <c r="B4959" t="str">
        <f>"1552377872269860"</f>
        <v>1552377872269860</v>
      </c>
      <c r="C4959" t="s">
        <v>40</v>
      </c>
      <c r="D4959">
        <v>5.357583</v>
      </c>
      <c r="E4959">
        <v>0.56848639999999995</v>
      </c>
      <c r="F4959" t="s">
        <v>49</v>
      </c>
      <c r="G4959">
        <v>-266.22039999999998</v>
      </c>
      <c r="H4959">
        <v>0.92539079999999996</v>
      </c>
      <c r="I4959">
        <v>141.3065</v>
      </c>
      <c r="J4959">
        <v>-265.63420000000002</v>
      </c>
      <c r="K4959">
        <v>1.1095440000000001</v>
      </c>
      <c r="L4959">
        <v>141.1549</v>
      </c>
      <c r="M4959">
        <v>-0.99994870000000002</v>
      </c>
      <c r="N4959">
        <v>0</v>
      </c>
      <c r="O4959">
        <v>-1.2863989999999999E-3</v>
      </c>
      <c r="P4959">
        <v>-0.99990869999999998</v>
      </c>
      <c r="Q4959">
        <v>1.274932E-2</v>
      </c>
      <c r="R4959">
        <v>4.4812230000000003E-3</v>
      </c>
      <c r="S4959">
        <v>-3.0066830000000002</v>
      </c>
      <c r="T4959">
        <v>-0.70954110000000004</v>
      </c>
      <c r="U4959">
        <v>0.58267209999999903</v>
      </c>
      <c r="V4959">
        <v>5.7710599999999997E-3</v>
      </c>
      <c r="W4959">
        <v>2.279782E-2</v>
      </c>
      <c r="X4959">
        <v>0.99972340000000004</v>
      </c>
      <c r="Y4959">
        <v>0.1865404</v>
      </c>
      <c r="Z4959">
        <v>2.1816990000000001E-2</v>
      </c>
      <c r="AA4959">
        <v>0.98220499999999999</v>
      </c>
      <c r="AB4959">
        <v>26</v>
      </c>
      <c r="AC4959">
        <v>-0.58619999999996197</v>
      </c>
      <c r="AD4959">
        <v>-0.18415319999999899</v>
      </c>
      <c r="AE4959">
        <v>0.15160000000000101</v>
      </c>
      <c r="AF4959">
        <v>0.13945421874807501</v>
      </c>
      <c r="AG4959">
        <v>-0.18415319999999899</v>
      </c>
      <c r="AH4959">
        <v>0.53638761091043197</v>
      </c>
      <c r="AI4959">
        <v>108.380352378316</v>
      </c>
      <c r="AJ4959">
        <v>75.426440168344499</v>
      </c>
      <c r="AK4959">
        <v>0.584013312635146</v>
      </c>
      <c r="AL4959">
        <v>88.693667905466398</v>
      </c>
      <c r="AM4959">
        <v>89.669254807383794</v>
      </c>
      <c r="AN4959">
        <v>0.99999996111891698</v>
      </c>
    </row>
    <row r="4960" spans="1:40" x14ac:dyDescent="0.25">
      <c r="A4960" t="str">
        <f>"20190312160432298"</f>
        <v>20190312160432298</v>
      </c>
      <c r="B4960" t="str">
        <f>"1552377872290357"</f>
        <v>1552377872290357</v>
      </c>
      <c r="C4960" t="s">
        <v>40</v>
      </c>
      <c r="D4960">
        <v>5.4453009999999997</v>
      </c>
      <c r="E4960">
        <v>0.56864510000000001</v>
      </c>
      <c r="F4960" t="s">
        <v>49</v>
      </c>
      <c r="G4960">
        <v>-266.45229999999998</v>
      </c>
      <c r="H4960">
        <v>0.91544219999999998</v>
      </c>
      <c r="I4960">
        <v>141.31319999999999</v>
      </c>
      <c r="J4960">
        <v>-265.9074</v>
      </c>
      <c r="K4960">
        <v>1.1095429999999999</v>
      </c>
      <c r="L4960">
        <v>141.15469999999999</v>
      </c>
      <c r="M4960">
        <v>-0.99994870000000002</v>
      </c>
      <c r="N4960">
        <v>0</v>
      </c>
      <c r="O4960">
        <v>-1.205249E-3</v>
      </c>
      <c r="P4960">
        <v>-0.99990509999999999</v>
      </c>
      <c r="Q4960">
        <v>1.2868930000000001E-2</v>
      </c>
      <c r="R4960">
        <v>4.9624350000000003E-3</v>
      </c>
      <c r="S4960">
        <v>-3.0068049999999999</v>
      </c>
      <c r="T4960">
        <v>-0.71336899999999903</v>
      </c>
      <c r="U4960">
        <v>0.58114619999999995</v>
      </c>
      <c r="V4960">
        <v>6.1717050000000004E-3</v>
      </c>
      <c r="W4960">
        <v>2.2940829999999999E-2</v>
      </c>
      <c r="X4960">
        <v>0.99971779999999999</v>
      </c>
      <c r="Y4960">
        <v>0.18593779999999999</v>
      </c>
      <c r="Z4960">
        <v>2.1843049999999999E-2</v>
      </c>
      <c r="AA4960">
        <v>0.98231869999999999</v>
      </c>
      <c r="AB4960">
        <v>26</v>
      </c>
      <c r="AC4960">
        <v>-0.54489999999998395</v>
      </c>
      <c r="AD4960">
        <v>-0.19410079999999999</v>
      </c>
      <c r="AE4960">
        <v>0.158500000000003</v>
      </c>
      <c r="AF4960">
        <v>0.142487146890794</v>
      </c>
      <c r="AG4960">
        <v>-0.19410079999999999</v>
      </c>
      <c r="AH4960">
        <v>0.48765769408350002</v>
      </c>
      <c r="AI4960">
        <v>110.90946710360301</v>
      </c>
      <c r="AJ4960">
        <v>73.712333498028698</v>
      </c>
      <c r="AK4960">
        <v>0.54386370920346805</v>
      </c>
      <c r="AL4960">
        <v>88.685471976966895</v>
      </c>
      <c r="AM4960">
        <v>89.646292026837699</v>
      </c>
      <c r="AN4960">
        <v>1.0000000256302599</v>
      </c>
    </row>
    <row r="4961" spans="1:40" x14ac:dyDescent="0.25">
      <c r="A4961" t="str">
        <f>"20190312160432319"</f>
        <v>20190312160432319</v>
      </c>
      <c r="B4961" t="str">
        <f>"1552377872309875"</f>
        <v>1552377872309875</v>
      </c>
      <c r="C4961" t="s">
        <v>40</v>
      </c>
      <c r="D4961">
        <v>5.5299829999999996</v>
      </c>
      <c r="E4961">
        <v>0.56923559999999995</v>
      </c>
      <c r="F4961" t="s">
        <v>49</v>
      </c>
      <c r="G4961">
        <v>-266.69159999999999</v>
      </c>
      <c r="H4961">
        <v>0.92364299999999999</v>
      </c>
      <c r="I4961">
        <v>141.30719999999999</v>
      </c>
      <c r="J4961">
        <v>-266.16230000000002</v>
      </c>
      <c r="K4961">
        <v>1.1095349999999999</v>
      </c>
      <c r="L4961">
        <v>141.15440000000001</v>
      </c>
      <c r="M4961">
        <v>-0.99994850000000002</v>
      </c>
      <c r="N4961">
        <v>0</v>
      </c>
      <c r="O4961">
        <v>-1.1208850000000001E-3</v>
      </c>
      <c r="P4961">
        <v>-0.99990650000000003</v>
      </c>
      <c r="Q4961">
        <v>1.274368E-2</v>
      </c>
      <c r="R4961">
        <v>4.9795200000000003E-3</v>
      </c>
      <c r="S4961">
        <v>-3.006561</v>
      </c>
      <c r="T4961">
        <v>-0.71275790000000006</v>
      </c>
      <c r="U4961">
        <v>0.58410640000000003</v>
      </c>
      <c r="V4961">
        <v>6.1046540000000002E-3</v>
      </c>
      <c r="W4961">
        <v>2.283644E-2</v>
      </c>
      <c r="X4961">
        <v>0.99972059999999996</v>
      </c>
      <c r="Y4961">
        <v>0.18679029999999999</v>
      </c>
      <c r="Z4961">
        <v>2.1903809999999999E-2</v>
      </c>
      <c r="AA4961">
        <v>0.98215560000000002</v>
      </c>
      <c r="AB4961">
        <v>26</v>
      </c>
      <c r="AC4961">
        <v>-0.52929999999997701</v>
      </c>
      <c r="AD4961">
        <v>-0.185891999999999</v>
      </c>
      <c r="AE4961">
        <v>0.152799999999984</v>
      </c>
      <c r="AF4961">
        <v>0.137713762608074</v>
      </c>
      <c r="AG4961">
        <v>-0.185891999999999</v>
      </c>
      <c r="AH4961">
        <v>0.47504225940358802</v>
      </c>
      <c r="AI4961">
        <v>110.598343070062</v>
      </c>
      <c r="AJ4961">
        <v>73.833236196535296</v>
      </c>
      <c r="AK4961">
        <v>0.52838060552497401</v>
      </c>
      <c r="AL4961">
        <v>88.691454648347701</v>
      </c>
      <c r="AM4961">
        <v>89.650135685602095</v>
      </c>
      <c r="AN4961">
        <v>1.00000002392834</v>
      </c>
    </row>
    <row r="4962" spans="1:40" x14ac:dyDescent="0.25">
      <c r="A4962" t="str">
        <f>"20190312160432341"</f>
        <v>20190312160432341</v>
      </c>
      <c r="B4962" t="str">
        <f>"1552377872330370"</f>
        <v>1552377872330370</v>
      </c>
      <c r="C4962" t="s">
        <v>40</v>
      </c>
      <c r="D4962">
        <v>5.5298949999999998</v>
      </c>
      <c r="E4962">
        <v>0.56944249999999996</v>
      </c>
      <c r="F4962" t="s">
        <v>49</v>
      </c>
      <c r="G4962">
        <v>-266.92939999999999</v>
      </c>
      <c r="H4962">
        <v>0.9275312</v>
      </c>
      <c r="I4962">
        <v>141.3049</v>
      </c>
      <c r="J4962">
        <v>-266.41059999999999</v>
      </c>
      <c r="K4962">
        <v>1.109529</v>
      </c>
      <c r="L4962">
        <v>141.15430000000001</v>
      </c>
      <c r="M4962">
        <v>-0.99994830000000001</v>
      </c>
      <c r="N4962">
        <v>0</v>
      </c>
      <c r="O4962">
        <v>-1.0333079999999999E-3</v>
      </c>
      <c r="P4962">
        <v>-0.99990889999999999</v>
      </c>
      <c r="Q4962">
        <v>1.2460000000000001E-2</v>
      </c>
      <c r="R4962">
        <v>5.19427E-3</v>
      </c>
      <c r="S4962">
        <v>-3.0064389999999999</v>
      </c>
      <c r="T4962">
        <v>-0.71323440000000005</v>
      </c>
      <c r="U4962">
        <v>0.58975219999999995</v>
      </c>
      <c r="V4962">
        <v>6.231927E-3</v>
      </c>
      <c r="W4962">
        <v>2.2571379999999999E-2</v>
      </c>
      <c r="X4962">
        <v>0.9997258</v>
      </c>
      <c r="Y4962">
        <v>0.18844150000000001</v>
      </c>
      <c r="Z4962">
        <v>2.2086290000000001E-2</v>
      </c>
      <c r="AA4962">
        <v>0.98183600000000004</v>
      </c>
      <c r="AB4962">
        <v>26</v>
      </c>
      <c r="AC4962">
        <v>-0.51879999999999804</v>
      </c>
      <c r="AD4962">
        <v>-0.18199779999999999</v>
      </c>
      <c r="AE4962">
        <v>0.15059999999999699</v>
      </c>
      <c r="AF4962">
        <v>0.13573057741913599</v>
      </c>
      <c r="AG4962">
        <v>-0.18199779999999999</v>
      </c>
      <c r="AH4962">
        <v>0.465778175534381</v>
      </c>
      <c r="AI4962">
        <v>110.562872345565</v>
      </c>
      <c r="AJ4962">
        <v>73.753557904239202</v>
      </c>
      <c r="AK4962">
        <v>0.51816531884670602</v>
      </c>
      <c r="AL4962">
        <v>88.706645338671393</v>
      </c>
      <c r="AM4962">
        <v>89.642843577213199</v>
      </c>
      <c r="AN4962">
        <v>0.99999998964743797</v>
      </c>
    </row>
    <row r="4963" spans="1:40" x14ac:dyDescent="0.25">
      <c r="A4963" t="str">
        <f>"20190312160432362"</f>
        <v>20190312160432362</v>
      </c>
      <c r="B4963" t="str">
        <f>"1552377872359651"</f>
        <v>1552377872359651</v>
      </c>
      <c r="C4963" t="s">
        <v>40</v>
      </c>
      <c r="D4963">
        <v>5.4446500000000002</v>
      </c>
      <c r="E4963">
        <v>0.56963599999999903</v>
      </c>
      <c r="F4963" t="s">
        <v>49</v>
      </c>
      <c r="G4963">
        <v>-267.16699999999997</v>
      </c>
      <c r="H4963">
        <v>0.92995209999999995</v>
      </c>
      <c r="I4963">
        <v>141.30330000000001</v>
      </c>
      <c r="J4963">
        <v>-266.67410000000001</v>
      </c>
      <c r="K4963">
        <v>1.1095269999999999</v>
      </c>
      <c r="L4963">
        <v>141.1541</v>
      </c>
      <c r="M4963">
        <v>-0.99994819999999995</v>
      </c>
      <c r="N4963">
        <v>0</v>
      </c>
      <c r="O4963">
        <v>-9.368213E-4</v>
      </c>
      <c r="P4963">
        <v>-0.99991759999999996</v>
      </c>
      <c r="Q4963">
        <v>1.147097E-2</v>
      </c>
      <c r="R4963">
        <v>5.7754049999999999E-3</v>
      </c>
      <c r="S4963">
        <v>-3.0061040000000001</v>
      </c>
      <c r="T4963">
        <v>-0.71368909999999997</v>
      </c>
      <c r="U4963">
        <v>0.59240719999999902</v>
      </c>
      <c r="V4963">
        <v>6.7167640000000001E-3</v>
      </c>
      <c r="W4963">
        <v>2.1605539999999999E-2</v>
      </c>
      <c r="X4963">
        <v>0.99974399999999997</v>
      </c>
      <c r="Y4963">
        <v>0.18917880000000001</v>
      </c>
      <c r="Z4963">
        <v>2.216371E-2</v>
      </c>
      <c r="AA4963">
        <v>0.98169249999999997</v>
      </c>
      <c r="AB4963">
        <v>26</v>
      </c>
      <c r="AC4963">
        <v>-0.49290000000001999</v>
      </c>
      <c r="AD4963">
        <v>-0.17957490000000001</v>
      </c>
      <c r="AE4963">
        <v>0.14920000000000699</v>
      </c>
      <c r="AF4963">
        <v>0.13343704069272</v>
      </c>
      <c r="AG4963">
        <v>-0.17957490000000001</v>
      </c>
      <c r="AH4963">
        <v>0.43934038482076199</v>
      </c>
      <c r="AI4963">
        <v>111.360303884386</v>
      </c>
      <c r="AJ4963">
        <v>73.105345830658706</v>
      </c>
      <c r="AK4963">
        <v>0.49302389624976201</v>
      </c>
      <c r="AL4963">
        <v>88.761997402190701</v>
      </c>
      <c r="AM4963">
        <v>89.615065017641797</v>
      </c>
      <c r="AN4963">
        <v>0.99999998990666095</v>
      </c>
    </row>
    <row r="4964" spans="1:40" x14ac:dyDescent="0.25">
      <c r="A4964" t="str">
        <f>"20190312160432386"</f>
        <v>20190312160432386</v>
      </c>
      <c r="B4964" t="str">
        <f>"1552377872380147"</f>
        <v>1552377872380147</v>
      </c>
      <c r="C4964" t="s">
        <v>40</v>
      </c>
      <c r="D4964">
        <v>5.4291609999999997</v>
      </c>
      <c r="E4964">
        <v>0.56964869999999901</v>
      </c>
      <c r="F4964" t="s">
        <v>49</v>
      </c>
      <c r="G4964">
        <v>-267.40570000000002</v>
      </c>
      <c r="H4964">
        <v>0.93494580000000005</v>
      </c>
      <c r="I4964">
        <v>141.2989</v>
      </c>
      <c r="J4964">
        <v>-266.9529</v>
      </c>
      <c r="K4964">
        <v>1.1095170000000001</v>
      </c>
      <c r="L4964">
        <v>141.15389999999999</v>
      </c>
      <c r="M4964">
        <v>-0.99994799999999995</v>
      </c>
      <c r="N4964">
        <v>0</v>
      </c>
      <c r="O4964">
        <v>-8.3178720000000002E-4</v>
      </c>
      <c r="P4964">
        <v>-0.99991649999999999</v>
      </c>
      <c r="Q4964">
        <v>1.129957E-2</v>
      </c>
      <c r="R4964">
        <v>6.3009260000000001E-3</v>
      </c>
      <c r="S4964">
        <v>-3.0050659999999998</v>
      </c>
      <c r="T4964">
        <v>-0.71704140000000005</v>
      </c>
      <c r="U4964">
        <v>0.59492489999999998</v>
      </c>
      <c r="V4964">
        <v>7.1373950000000004E-3</v>
      </c>
      <c r="W4964">
        <v>2.1462999999999999E-2</v>
      </c>
      <c r="X4964">
        <v>0.99974419999999997</v>
      </c>
      <c r="Y4964">
        <v>0.18986620000000001</v>
      </c>
      <c r="Z4964">
        <v>2.2326309999999999E-2</v>
      </c>
      <c r="AA4964">
        <v>0.98155610000000004</v>
      </c>
      <c r="AB4964">
        <v>26</v>
      </c>
      <c r="AC4964">
        <v>-0.45280000000002402</v>
      </c>
      <c r="AD4964">
        <v>-0.17457120000000001</v>
      </c>
      <c r="AE4964">
        <v>0.14500000000001001</v>
      </c>
      <c r="AF4964">
        <v>0.12810609782573101</v>
      </c>
      <c r="AG4964">
        <v>-0.17457120000000001</v>
      </c>
      <c r="AH4964">
        <v>0.398901669534099</v>
      </c>
      <c r="AI4964">
        <v>112.620032054875</v>
      </c>
      <c r="AJ4964">
        <v>72.195731391023799</v>
      </c>
      <c r="AK4964">
        <v>0.45388194293964601</v>
      </c>
      <c r="AL4964">
        <v>88.770166291322099</v>
      </c>
      <c r="AM4964">
        <v>89.590959704789896</v>
      </c>
      <c r="AN4964">
        <v>1.0000000341050099</v>
      </c>
    </row>
    <row r="4965" spans="1:40" x14ac:dyDescent="0.25">
      <c r="A4965" t="str">
        <f>"20190312160432409"</f>
        <v>20190312160432409</v>
      </c>
      <c r="B4965" t="str">
        <f>"1552377872399667"</f>
        <v>1552377872399667</v>
      </c>
      <c r="C4965" t="s">
        <v>40</v>
      </c>
      <c r="D4965">
        <v>5.3233439999999996</v>
      </c>
      <c r="E4965">
        <v>0.56945900000000005</v>
      </c>
      <c r="F4965" t="s">
        <v>49</v>
      </c>
      <c r="G4965">
        <v>-267.64679999999998</v>
      </c>
      <c r="H4965">
        <v>0.94406959999999995</v>
      </c>
      <c r="I4965">
        <v>141.29169999999999</v>
      </c>
      <c r="J4965">
        <v>-267.21570000000003</v>
      </c>
      <c r="K4965">
        <v>1.109518</v>
      </c>
      <c r="L4965">
        <v>141.15379999999999</v>
      </c>
      <c r="M4965">
        <v>-0.9999479</v>
      </c>
      <c r="N4965">
        <v>0</v>
      </c>
      <c r="O4965">
        <v>-7.2999969999999997E-4</v>
      </c>
      <c r="P4965">
        <v>-0.9999112</v>
      </c>
      <c r="Q4965">
        <v>1.156394E-2</v>
      </c>
      <c r="R4965">
        <v>6.6581899999999996E-3</v>
      </c>
      <c r="S4965">
        <v>-3.0046080000000002</v>
      </c>
      <c r="T4965">
        <v>-0.71650029999999998</v>
      </c>
      <c r="U4965">
        <v>0.59622189999999997</v>
      </c>
      <c r="V4965">
        <v>7.3931049999999996E-3</v>
      </c>
      <c r="W4965">
        <v>2.1760000000000002E-2</v>
      </c>
      <c r="X4965">
        <v>0.99973590000000001</v>
      </c>
      <c r="Y4965">
        <v>0.19020290000000001</v>
      </c>
      <c r="Z4965">
        <v>2.2327779999999998E-2</v>
      </c>
      <c r="AA4965">
        <v>0.98149090000000005</v>
      </c>
      <c r="AB4965">
        <v>26</v>
      </c>
      <c r="AC4965">
        <v>-0.43109999999995802</v>
      </c>
      <c r="AD4965">
        <v>-0.1654484</v>
      </c>
      <c r="AE4965">
        <v>0.13790000000000099</v>
      </c>
      <c r="AF4965">
        <v>0.12192366165447099</v>
      </c>
      <c r="AG4965">
        <v>-0.1654484</v>
      </c>
      <c r="AH4965">
        <v>0.38019840791212101</v>
      </c>
      <c r="AI4965">
        <v>112.50802472398399</v>
      </c>
      <c r="AJ4965">
        <v>72.219769672023205</v>
      </c>
      <c r="AK4965">
        <v>0.43219137163148602</v>
      </c>
      <c r="AL4965">
        <v>88.753145443289995</v>
      </c>
      <c r="AM4965">
        <v>89.576302108809799</v>
      </c>
      <c r="AN4965">
        <v>1.00000001267517</v>
      </c>
    </row>
    <row r="4966" spans="1:40" x14ac:dyDescent="0.25">
      <c r="A4966" t="str">
        <f>"20190312160432430"</f>
        <v>20190312160432430</v>
      </c>
      <c r="B4966" t="str">
        <f>"1552377872420163"</f>
        <v>1552377872420163</v>
      </c>
      <c r="C4966" t="s">
        <v>40</v>
      </c>
      <c r="D4966">
        <v>5.3997310000000001</v>
      </c>
      <c r="E4966">
        <v>0.56930800000000004</v>
      </c>
      <c r="F4966" t="s">
        <v>49</v>
      </c>
      <c r="G4966">
        <v>-268.10320000000002</v>
      </c>
      <c r="H4966">
        <v>0.89768340000000002</v>
      </c>
      <c r="I4966">
        <v>141.33000000000001</v>
      </c>
      <c r="J4966">
        <v>-267.4778</v>
      </c>
      <c r="K4966">
        <v>1.109523</v>
      </c>
      <c r="L4966">
        <v>141.15369999999999</v>
      </c>
      <c r="M4966">
        <v>-0.99994740000000004</v>
      </c>
      <c r="N4966">
        <v>0</v>
      </c>
      <c r="O4966">
        <v>-6.2742120000000004E-4</v>
      </c>
      <c r="P4966">
        <v>-0.99990919999999905</v>
      </c>
      <c r="Q4966">
        <v>1.1536960000000001E-2</v>
      </c>
      <c r="R4966">
        <v>6.9759339999999996E-3</v>
      </c>
      <c r="S4966">
        <v>-3.0046689999999998</v>
      </c>
      <c r="T4966">
        <v>-0.71716650000000004</v>
      </c>
      <c r="U4966">
        <v>0.59608459999999996</v>
      </c>
      <c r="V4966">
        <v>7.6083549999999998E-3</v>
      </c>
      <c r="W4966">
        <v>2.177287E-2</v>
      </c>
      <c r="X4966">
        <v>0.99973400000000001</v>
      </c>
      <c r="Y4966">
        <v>0.1900529</v>
      </c>
      <c r="Z4966">
        <v>2.2306240000000001E-2</v>
      </c>
      <c r="AA4966">
        <v>0.98152039999999996</v>
      </c>
      <c r="AB4966">
        <v>27</v>
      </c>
      <c r="AC4966">
        <v>-0.62540000000001295</v>
      </c>
      <c r="AD4966">
        <v>-0.21183959999999999</v>
      </c>
      <c r="AE4966">
        <v>0.17630000000002599</v>
      </c>
      <c r="AF4966">
        <v>0.159716265593038</v>
      </c>
      <c r="AG4966">
        <v>-0.21183959999999999</v>
      </c>
      <c r="AH4966">
        <v>0.56521321283689896</v>
      </c>
      <c r="AI4966">
        <v>109.83298566045499</v>
      </c>
      <c r="AJ4966">
        <v>74.220927332879398</v>
      </c>
      <c r="AK4966">
        <v>0.62438071525997296</v>
      </c>
      <c r="AL4966">
        <v>88.752407865846706</v>
      </c>
      <c r="AM4966">
        <v>89.563965800054305</v>
      </c>
      <c r="AN4966">
        <v>1.00000000784492</v>
      </c>
    </row>
    <row r="4967" spans="1:40" x14ac:dyDescent="0.25">
      <c r="A4967" t="str">
        <f>"20190312160432452"</f>
        <v>20190312160432452</v>
      </c>
      <c r="B4967" t="str">
        <f>"1552377872449943"</f>
        <v>1552377872449943</v>
      </c>
      <c r="C4967" t="s">
        <v>40</v>
      </c>
      <c r="D4967">
        <v>5.3915389999999999</v>
      </c>
      <c r="E4967">
        <v>0.56913769999999997</v>
      </c>
      <c r="F4967" t="s">
        <v>49</v>
      </c>
      <c r="G4967">
        <v>-268.34309999999999</v>
      </c>
      <c r="H4967">
        <v>0.90355300000000005</v>
      </c>
      <c r="I4967">
        <v>141.32550000000001</v>
      </c>
      <c r="J4967">
        <v>-267.74099999999999</v>
      </c>
      <c r="K4967">
        <v>1.109532</v>
      </c>
      <c r="L4967">
        <v>141.15369999999999</v>
      </c>
      <c r="M4967">
        <v>-0.99994700000000003</v>
      </c>
      <c r="N4967">
        <v>0</v>
      </c>
      <c r="O4967">
        <v>-5.2450390000000004E-4</v>
      </c>
      <c r="P4967">
        <v>-0.99991169999999996</v>
      </c>
      <c r="Q4967">
        <v>1.113655E-2</v>
      </c>
      <c r="R4967">
        <v>7.2489969999999897E-3</v>
      </c>
      <c r="S4967">
        <v>-3.0043639999999998</v>
      </c>
      <c r="T4967">
        <v>-0.71512790000000004</v>
      </c>
      <c r="U4967">
        <v>0.59625240000000002</v>
      </c>
      <c r="V4967">
        <v>7.7783510000000002E-3</v>
      </c>
      <c r="W4967">
        <v>2.141438E-2</v>
      </c>
      <c r="X4967">
        <v>0.99974039999999997</v>
      </c>
      <c r="Y4967">
        <v>0.19005440000000001</v>
      </c>
      <c r="Z4967">
        <v>2.2222780000000001E-2</v>
      </c>
      <c r="AA4967">
        <v>0.98152200000000001</v>
      </c>
      <c r="AB4967">
        <v>27</v>
      </c>
      <c r="AC4967">
        <v>-0.60210000000000696</v>
      </c>
      <c r="AD4967">
        <v>-0.205978999999999</v>
      </c>
      <c r="AE4967">
        <v>0.17180000000001799</v>
      </c>
      <c r="AF4967">
        <v>0.15530803720952699</v>
      </c>
      <c r="AG4967">
        <v>-0.205978999999999</v>
      </c>
      <c r="AH4967">
        <v>0.54322126460562803</v>
      </c>
      <c r="AI4967">
        <v>110.030500605239</v>
      </c>
      <c r="AJ4967">
        <v>74.044661928276298</v>
      </c>
      <c r="AK4967">
        <v>0.60136284985241195</v>
      </c>
      <c r="AL4967">
        <v>88.7729525773224</v>
      </c>
      <c r="AM4967">
        <v>89.554226585711206</v>
      </c>
      <c r="AN4967">
        <v>0.99999997290361098</v>
      </c>
    </row>
    <row r="4968" spans="1:40" x14ac:dyDescent="0.25">
      <c r="A4968" t="str">
        <f>"20190312160432476"</f>
        <v>20190312160432476</v>
      </c>
      <c r="B4968" t="str">
        <f>"1552377872470439"</f>
        <v>1552377872470439</v>
      </c>
      <c r="C4968" t="s">
        <v>40</v>
      </c>
      <c r="D4968">
        <v>5.4472959999999997</v>
      </c>
      <c r="E4968">
        <v>0.56909880000000002</v>
      </c>
      <c r="F4968" t="s">
        <v>49</v>
      </c>
      <c r="G4968">
        <v>-268.5829</v>
      </c>
      <c r="H4968">
        <v>0.90868760000000004</v>
      </c>
      <c r="I4968">
        <v>141.32069999999999</v>
      </c>
      <c r="J4968">
        <v>-268.02030000000002</v>
      </c>
      <c r="K4968">
        <v>1.1095349999999999</v>
      </c>
      <c r="L4968">
        <v>141.15360000000001</v>
      </c>
      <c r="M4968">
        <v>-0.99994669999999997</v>
      </c>
      <c r="N4968">
        <v>0</v>
      </c>
      <c r="O4968">
        <v>-4.1539460000000002E-4</v>
      </c>
      <c r="P4968">
        <v>-0.99991870000000005</v>
      </c>
      <c r="Q4968">
        <v>1.065697E-2</v>
      </c>
      <c r="R4968">
        <v>7.0323779999999997E-3</v>
      </c>
      <c r="S4968">
        <v>-3.0039669999999998</v>
      </c>
      <c r="T4968">
        <v>-0.71662099999999995</v>
      </c>
      <c r="U4968">
        <v>0.59547419999999995</v>
      </c>
      <c r="V4968">
        <v>7.45283199999999E-3</v>
      </c>
      <c r="W4968">
        <v>2.097626E-2</v>
      </c>
      <c r="X4968">
        <v>0.99975219999999998</v>
      </c>
      <c r="Y4968">
        <v>0.18971679999999999</v>
      </c>
      <c r="Z4968">
        <v>2.220652E-2</v>
      </c>
      <c r="AA4968">
        <v>0.98158769999999995</v>
      </c>
      <c r="AB4968">
        <v>27</v>
      </c>
      <c r="AC4968">
        <v>-0.56259999999997401</v>
      </c>
      <c r="AD4968">
        <v>-0.20084739999999901</v>
      </c>
      <c r="AE4968">
        <v>0.16709999999997599</v>
      </c>
      <c r="AF4968">
        <v>0.14979075844755499</v>
      </c>
      <c r="AG4968">
        <v>-0.20084739999999901</v>
      </c>
      <c r="AH4968">
        <v>0.50355592465480303</v>
      </c>
      <c r="AI4968">
        <v>110.92197761249901</v>
      </c>
      <c r="AJ4968">
        <v>73.434048894941299</v>
      </c>
      <c r="AK4968">
        <v>0.56244601399423899</v>
      </c>
      <c r="AL4968">
        <v>88.798060683891094</v>
      </c>
      <c r="AM4968">
        <v>89.572886252005105</v>
      </c>
      <c r="AN4968">
        <v>1.00000000479662</v>
      </c>
    </row>
    <row r="4969" spans="1:40" x14ac:dyDescent="0.25">
      <c r="A4969" t="str">
        <f>"20190312160432498"</f>
        <v>20190312160432498</v>
      </c>
      <c r="B4969" t="str">
        <f>"1552377872489958"</f>
        <v>1552377872489958</v>
      </c>
      <c r="C4969" t="s">
        <v>40</v>
      </c>
      <c r="D4969">
        <v>5.3450470000000001</v>
      </c>
      <c r="E4969">
        <v>0.56891729999999996</v>
      </c>
      <c r="F4969" t="s">
        <v>49</v>
      </c>
      <c r="G4969">
        <v>-268.82420000000002</v>
      </c>
      <c r="H4969">
        <v>0.91712899999999997</v>
      </c>
      <c r="I4969">
        <v>141.31270000000001</v>
      </c>
      <c r="J4969">
        <v>-268.28969999999998</v>
      </c>
      <c r="K4969">
        <v>1.1095379999999999</v>
      </c>
      <c r="L4969">
        <v>141.15360000000001</v>
      </c>
      <c r="M4969">
        <v>-0.99994629999999995</v>
      </c>
      <c r="N4969">
        <v>0</v>
      </c>
      <c r="O4969">
        <v>-3.1021599999999999E-4</v>
      </c>
      <c r="P4969">
        <v>-0.99992170000000002</v>
      </c>
      <c r="Q4969">
        <v>1.0438329999999999E-2</v>
      </c>
      <c r="R4969">
        <v>6.9272519999999897E-3</v>
      </c>
      <c r="S4969">
        <v>-3.0037539999999998</v>
      </c>
      <c r="T4969">
        <v>-0.71887730000000005</v>
      </c>
      <c r="U4969">
        <v>0.5945435</v>
      </c>
      <c r="V4969">
        <v>7.2424339999999999E-3</v>
      </c>
      <c r="W4969">
        <v>2.0797489999999998E-2</v>
      </c>
      <c r="X4969">
        <v>0.99975749999999997</v>
      </c>
      <c r="Y4969">
        <v>0.18931500000000001</v>
      </c>
      <c r="Z4969">
        <v>2.220515E-2</v>
      </c>
      <c r="AA4969">
        <v>0.98166529999999996</v>
      </c>
      <c r="AB4969">
        <v>27</v>
      </c>
      <c r="AC4969">
        <v>-0.53450000000003595</v>
      </c>
      <c r="AD4969">
        <v>-0.192408999999999</v>
      </c>
      <c r="AE4969">
        <v>0.159099999999995</v>
      </c>
      <c r="AF4969">
        <v>0.14232384683827001</v>
      </c>
      <c r="AG4969">
        <v>-0.192408999999999</v>
      </c>
      <c r="AH4969">
        <v>0.47759821674023001</v>
      </c>
      <c r="AI4969">
        <v>111.111048772231</v>
      </c>
      <c r="AJ4969">
        <v>73.405989889282296</v>
      </c>
      <c r="AK4969">
        <v>0.53420722317588598</v>
      </c>
      <c r="AL4969">
        <v>88.808305707792101</v>
      </c>
      <c r="AM4969">
        <v>89.584945706317299</v>
      </c>
      <c r="AN4969">
        <v>1.0000000236233899</v>
      </c>
    </row>
    <row r="4970" spans="1:40" x14ac:dyDescent="0.25">
      <c r="A4970" t="str">
        <f>"20190312160432519"</f>
        <v>20190312160432519</v>
      </c>
      <c r="B4970" t="str">
        <f>"1552377872509482"</f>
        <v>1552377872509482</v>
      </c>
      <c r="C4970" t="s">
        <v>40</v>
      </c>
      <c r="D4970">
        <v>5.2954379999999999</v>
      </c>
      <c r="E4970">
        <v>0.56872709999999904</v>
      </c>
      <c r="F4970" t="s">
        <v>49</v>
      </c>
      <c r="G4970">
        <v>-269.065</v>
      </c>
      <c r="H4970">
        <v>0.92373439999999996</v>
      </c>
      <c r="I4970">
        <v>141.30680000000001</v>
      </c>
      <c r="J4970">
        <v>-268.53719999999998</v>
      </c>
      <c r="K4970">
        <v>1.1095459999999999</v>
      </c>
      <c r="L4970">
        <v>141.15369999999999</v>
      </c>
      <c r="M4970">
        <v>-0.9999458</v>
      </c>
      <c r="N4970">
        <v>0</v>
      </c>
      <c r="O4970">
        <v>-2.1361890000000001E-4</v>
      </c>
      <c r="P4970">
        <v>-0.99992239999999999</v>
      </c>
      <c r="Q4970">
        <v>1.0663010000000001E-2</v>
      </c>
      <c r="R4970">
        <v>6.4357700000000004E-3</v>
      </c>
      <c r="S4970">
        <v>-3.0036010000000002</v>
      </c>
      <c r="T4970">
        <v>-0.71987760000000001</v>
      </c>
      <c r="U4970">
        <v>0.59275819999999901</v>
      </c>
      <c r="V4970">
        <v>6.6542420000000003E-3</v>
      </c>
      <c r="W4970">
        <v>2.1061119999999999E-2</v>
      </c>
      <c r="X4970">
        <v>0.99975599999999998</v>
      </c>
      <c r="Y4970">
        <v>0.18867300000000001</v>
      </c>
      <c r="Z4970">
        <v>2.2139740000000002E-2</v>
      </c>
      <c r="AA4970">
        <v>0.98179039999999995</v>
      </c>
      <c r="AB4970">
        <v>27</v>
      </c>
      <c r="AC4970">
        <v>-0.52780000000001304</v>
      </c>
      <c r="AD4970">
        <v>-0.18581159999999899</v>
      </c>
      <c r="AE4970">
        <v>0.153100000000023</v>
      </c>
      <c r="AF4970">
        <v>0.13749443779894599</v>
      </c>
      <c r="AG4970">
        <v>-0.18581159999999899</v>
      </c>
      <c r="AH4970">
        <v>0.47362288902286298</v>
      </c>
      <c r="AI4970">
        <v>110.64463687773799</v>
      </c>
      <c r="AJ4970">
        <v>73.811795820404697</v>
      </c>
      <c r="AK4970">
        <v>0.52701927111498603</v>
      </c>
      <c r="AL4970">
        <v>88.793197429143703</v>
      </c>
      <c r="AM4970">
        <v>89.618652598634995</v>
      </c>
      <c r="AN4970">
        <v>0.99999995462412306</v>
      </c>
    </row>
    <row r="4971" spans="1:40" x14ac:dyDescent="0.25">
      <c r="A4971" t="str">
        <f>"20190312160432542"</f>
        <v>20190312160432542</v>
      </c>
      <c r="B4971" t="str">
        <f>"1552377872529974"</f>
        <v>1552377872529974</v>
      </c>
      <c r="C4971" t="s">
        <v>40</v>
      </c>
      <c r="D4971">
        <v>5.2915469999999996</v>
      </c>
      <c r="E4971">
        <v>0.56854300000000002</v>
      </c>
      <c r="F4971" t="s">
        <v>49</v>
      </c>
      <c r="G4971">
        <v>-269.30419999999998</v>
      </c>
      <c r="H4971">
        <v>0.92581999999999998</v>
      </c>
      <c r="I4971">
        <v>141.30430000000001</v>
      </c>
      <c r="J4971">
        <v>-268.80549999999999</v>
      </c>
      <c r="K4971">
        <v>1.1095469999999901</v>
      </c>
      <c r="L4971">
        <v>141.15369999999999</v>
      </c>
      <c r="M4971">
        <v>-0.99994559999999999</v>
      </c>
      <c r="N4971">
        <v>0</v>
      </c>
      <c r="O4971">
        <v>-1.095278E-4</v>
      </c>
      <c r="P4971">
        <v>-0.99992559999999997</v>
      </c>
      <c r="Q4971">
        <v>1.0478619999999999E-2</v>
      </c>
      <c r="R4971">
        <v>6.2584509999999999E-3</v>
      </c>
      <c r="S4971">
        <v>-3.0041199999999999</v>
      </c>
      <c r="T4971">
        <v>-0.71960249999999903</v>
      </c>
      <c r="U4971">
        <v>0.58981319999999904</v>
      </c>
      <c r="V4971">
        <v>6.3726809999999998E-3</v>
      </c>
      <c r="W4971">
        <v>2.0918099999999999E-2</v>
      </c>
      <c r="X4971">
        <v>0.99976089999999995</v>
      </c>
      <c r="Y4971">
        <v>0.18764719999999999</v>
      </c>
      <c r="Z4971">
        <v>2.1985439999999998E-2</v>
      </c>
      <c r="AA4971">
        <v>0.98199040000000004</v>
      </c>
      <c r="AB4971">
        <v>27</v>
      </c>
      <c r="AC4971">
        <v>-0.49869999999998499</v>
      </c>
      <c r="AD4971">
        <v>-0.183726999999999</v>
      </c>
      <c r="AE4971">
        <v>0.15060000000002499</v>
      </c>
      <c r="AF4971">
        <v>0.13398857590604099</v>
      </c>
      <c r="AG4971">
        <v>-0.183726999999999</v>
      </c>
      <c r="AH4971">
        <v>0.44351703630695699</v>
      </c>
      <c r="AI4971">
        <v>111.630763658948</v>
      </c>
      <c r="AJ4971">
        <v>73.190187160479098</v>
      </c>
      <c r="AK4971">
        <v>0.498413393175621</v>
      </c>
      <c r="AL4971">
        <v>88.801393753050505</v>
      </c>
      <c r="AM4971">
        <v>89.634789897766893</v>
      </c>
      <c r="AN4971">
        <v>1.0000000175697701</v>
      </c>
    </row>
    <row r="4972" spans="1:40" x14ac:dyDescent="0.25">
      <c r="A4972" t="str">
        <f>"20190312160432564"</f>
        <v>20190312160432564</v>
      </c>
      <c r="B4972" t="str">
        <f>"1552377872560230"</f>
        <v>1552377872560230</v>
      </c>
      <c r="C4972" t="s">
        <v>40</v>
      </c>
      <c r="D4972">
        <v>5.2706650000000002</v>
      </c>
      <c r="E4972">
        <v>0.56836519999999902</v>
      </c>
      <c r="F4972" t="s">
        <v>49</v>
      </c>
      <c r="G4972">
        <v>-269.54500000000002</v>
      </c>
      <c r="H4972">
        <v>0.93180719999999995</v>
      </c>
      <c r="I4972">
        <v>141.2987</v>
      </c>
      <c r="J4972">
        <v>-269.07</v>
      </c>
      <c r="K4972">
        <v>1.109551</v>
      </c>
      <c r="L4972">
        <v>141.15379999999999</v>
      </c>
      <c r="M4972">
        <v>-0.99994519999999998</v>
      </c>
      <c r="N4972">
        <v>0</v>
      </c>
      <c r="O4972" s="1">
        <v>-7.20423099999999E-6</v>
      </c>
      <c r="P4972">
        <v>-0.99993160000000003</v>
      </c>
      <c r="Q4972">
        <v>1.0067909999999999E-2</v>
      </c>
      <c r="R4972">
        <v>5.9857349999999998E-3</v>
      </c>
      <c r="S4972">
        <v>-3.0041199999999999</v>
      </c>
      <c r="T4972">
        <v>-0.72195750000000003</v>
      </c>
      <c r="U4972">
        <v>0.58814999999999995</v>
      </c>
      <c r="V4972">
        <v>5.9977199999999998E-3</v>
      </c>
      <c r="W4972">
        <v>2.0545290000000001E-2</v>
      </c>
      <c r="X4972">
        <v>0.99977090000000002</v>
      </c>
      <c r="Y4972">
        <v>0.1870098</v>
      </c>
      <c r="Z4972">
        <v>2.19577E-2</v>
      </c>
      <c r="AA4972">
        <v>0.9821126</v>
      </c>
      <c r="AB4972">
        <v>27</v>
      </c>
      <c r="AC4972">
        <v>-0.47500000000002202</v>
      </c>
      <c r="AD4972">
        <v>-0.17774379999999901</v>
      </c>
      <c r="AE4972">
        <v>0.144900000000006</v>
      </c>
      <c r="AF4972">
        <v>0.12844876689433199</v>
      </c>
      <c r="AG4972">
        <v>-0.17774379999999901</v>
      </c>
      <c r="AH4972">
        <v>0.42105996708361199</v>
      </c>
      <c r="AI4972">
        <v>111.98710720483299</v>
      </c>
      <c r="AJ4972">
        <v>73.035122440424104</v>
      </c>
      <c r="AK4972">
        <v>0.47474565825878501</v>
      </c>
      <c r="AL4972">
        <v>88.822758724733703</v>
      </c>
      <c r="AM4972">
        <v>89.656281333747103</v>
      </c>
      <c r="AN4972">
        <v>0.99999996703659499</v>
      </c>
    </row>
    <row r="4973" spans="1:40" x14ac:dyDescent="0.25">
      <c r="A4973" t="str">
        <f>"20190312160432587"</f>
        <v>20190312160432587</v>
      </c>
      <c r="B4973" t="str">
        <f>"1552377872579750"</f>
        <v>1552377872579750</v>
      </c>
      <c r="C4973" t="s">
        <v>40</v>
      </c>
      <c r="D4973">
        <v>5.2518229999999999</v>
      </c>
      <c r="E4973">
        <v>0.56827700000000003</v>
      </c>
      <c r="F4973" t="s">
        <v>49</v>
      </c>
      <c r="G4973">
        <v>-269.786</v>
      </c>
      <c r="H4973">
        <v>0.93697169999999996</v>
      </c>
      <c r="I4973">
        <v>141.29349999999999</v>
      </c>
      <c r="J4973">
        <v>-269.34780000000001</v>
      </c>
      <c r="K4973">
        <v>1.109558</v>
      </c>
      <c r="L4973">
        <v>141.15389999999999</v>
      </c>
      <c r="M4973">
        <v>-0.99994470000000002</v>
      </c>
      <c r="N4973">
        <v>0</v>
      </c>
      <c r="O4973">
        <v>1.001967E-4</v>
      </c>
      <c r="P4973">
        <v>-0.99992999999999999</v>
      </c>
      <c r="Q4973">
        <v>1.0279979999999999E-2</v>
      </c>
      <c r="R4973">
        <v>5.872113E-3</v>
      </c>
      <c r="S4973">
        <v>-3.0039980000000002</v>
      </c>
      <c r="T4973">
        <v>-0.7240375</v>
      </c>
      <c r="U4973">
        <v>0.58583069999999904</v>
      </c>
      <c r="V4973">
        <v>5.7767769999999899E-3</v>
      </c>
      <c r="W4973">
        <v>2.0792720000000001E-2</v>
      </c>
      <c r="X4973">
        <v>0.99976710000000002</v>
      </c>
      <c r="Y4973">
        <v>0.18617690000000001</v>
      </c>
      <c r="Z4973">
        <v>2.1898279999999999E-2</v>
      </c>
      <c r="AA4973">
        <v>0.98227220000000004</v>
      </c>
      <c r="AB4973">
        <v>27</v>
      </c>
      <c r="AC4973">
        <v>-0.43819999999999398</v>
      </c>
      <c r="AD4973">
        <v>-0.1725863</v>
      </c>
      <c r="AE4973">
        <v>0.139600000000001</v>
      </c>
      <c r="AF4973">
        <v>0.12232884159917599</v>
      </c>
      <c r="AG4973">
        <v>-0.1725863</v>
      </c>
      <c r="AH4973">
        <v>0.38411945350287102</v>
      </c>
      <c r="AI4973">
        <v>113.17663767637499</v>
      </c>
      <c r="AJ4973">
        <v>72.335110997627297</v>
      </c>
      <c r="AK4973">
        <v>0.438518107943139</v>
      </c>
      <c r="AL4973">
        <v>88.8085790173334</v>
      </c>
      <c r="AM4973">
        <v>89.6689416386441</v>
      </c>
      <c r="AN4973">
        <v>0.99999998129995704</v>
      </c>
    </row>
    <row r="4974" spans="1:40" x14ac:dyDescent="0.25">
      <c r="A4974" t="str">
        <f>"20190312160432609"</f>
        <v>20190312160432609</v>
      </c>
      <c r="B4974" t="str">
        <f>"1552377872600247"</f>
        <v>1552377872600247</v>
      </c>
      <c r="C4974" t="s">
        <v>40</v>
      </c>
      <c r="D4974">
        <v>5.2436699999999998</v>
      </c>
      <c r="E4974">
        <v>0.56814409999999904</v>
      </c>
      <c r="F4974" t="s">
        <v>49</v>
      </c>
      <c r="G4974">
        <v>-270.24700000000001</v>
      </c>
      <c r="H4974">
        <v>0.89286919999999903</v>
      </c>
      <c r="I4974">
        <v>141.32910000000001</v>
      </c>
      <c r="J4974">
        <v>-269.60390000000001</v>
      </c>
      <c r="K4974">
        <v>1.1095539999999999</v>
      </c>
      <c r="L4974">
        <v>141.1541</v>
      </c>
      <c r="M4974">
        <v>-0.99994439999999996</v>
      </c>
      <c r="N4974">
        <v>0</v>
      </c>
      <c r="O4974">
        <v>1.9880629999999999E-4</v>
      </c>
      <c r="P4974">
        <v>-0.99992590000000003</v>
      </c>
      <c r="Q4974">
        <v>1.0840310000000001E-2</v>
      </c>
      <c r="R4974">
        <v>5.5557019999999896E-3</v>
      </c>
      <c r="S4974">
        <v>-3.004181</v>
      </c>
      <c r="T4974">
        <v>-0.72402119999999903</v>
      </c>
      <c r="U4974">
        <v>0.58491519999999997</v>
      </c>
      <c r="V4974">
        <v>5.3618700000000004E-3</v>
      </c>
      <c r="W4974">
        <v>2.1382439999999999E-2</v>
      </c>
      <c r="X4974">
        <v>0.99975700000000001</v>
      </c>
      <c r="Y4974">
        <v>0.18579419999999999</v>
      </c>
      <c r="Z4974">
        <v>2.1828859999999999E-2</v>
      </c>
      <c r="AA4974">
        <v>0.98234619999999995</v>
      </c>
      <c r="AB4974">
        <v>27</v>
      </c>
      <c r="AC4974">
        <v>-0.643100000000004</v>
      </c>
      <c r="AD4974">
        <v>-0.21668480000000001</v>
      </c>
      <c r="AE4974">
        <v>0.17500000000001101</v>
      </c>
      <c r="AF4974">
        <v>0.15815511100988699</v>
      </c>
      <c r="AG4974">
        <v>-0.21668480000000001</v>
      </c>
      <c r="AH4974">
        <v>0.58165385441988404</v>
      </c>
      <c r="AI4974">
        <v>109.77251945219101</v>
      </c>
      <c r="AJ4974">
        <v>74.788693876909306</v>
      </c>
      <c r="AK4974">
        <v>0.64053614109673596</v>
      </c>
      <c r="AL4974">
        <v>88.774783067580103</v>
      </c>
      <c r="AM4974">
        <v>89.692715754095104</v>
      </c>
      <c r="AN4974">
        <v>1.0000000087196199</v>
      </c>
    </row>
    <row r="4975" spans="1:40" x14ac:dyDescent="0.25">
      <c r="A4975" t="str">
        <f>"20190312160432630"</f>
        <v>20190312160432630</v>
      </c>
      <c r="B4975" t="str">
        <f>"1552377872620060"</f>
        <v>1552377872620060</v>
      </c>
      <c r="C4975" t="s">
        <v>40</v>
      </c>
      <c r="D4975">
        <v>5.2546089999999896</v>
      </c>
      <c r="E4975">
        <v>0.56806159999999895</v>
      </c>
      <c r="F4975" t="s">
        <v>49</v>
      </c>
      <c r="G4975">
        <v>-270.48790000000002</v>
      </c>
      <c r="H4975">
        <v>0.89692950000000005</v>
      </c>
      <c r="I4975">
        <v>141.32589999999999</v>
      </c>
      <c r="J4975">
        <v>-269.86540000000002</v>
      </c>
      <c r="K4975">
        <v>1.109558</v>
      </c>
      <c r="L4975">
        <v>141.1542</v>
      </c>
      <c r="M4975">
        <v>-0.99994419999999995</v>
      </c>
      <c r="N4975">
        <v>0</v>
      </c>
      <c r="O4975">
        <v>2.99454E-4</v>
      </c>
      <c r="P4975">
        <v>-0.99992890000000001</v>
      </c>
      <c r="Q4975">
        <v>1.043911E-2</v>
      </c>
      <c r="R4975">
        <v>5.7940630000000003E-3</v>
      </c>
      <c r="S4975">
        <v>-3.0048219999999999</v>
      </c>
      <c r="T4975">
        <v>-0.72277179999999996</v>
      </c>
      <c r="U4975">
        <v>0.58335879999999996</v>
      </c>
      <c r="V4975">
        <v>5.49937E-3</v>
      </c>
      <c r="W4975">
        <v>2.1008679999999998E-2</v>
      </c>
      <c r="X4975">
        <v>0.99976410000000004</v>
      </c>
      <c r="Y4975">
        <v>0.1852037</v>
      </c>
      <c r="Z4975">
        <v>2.1695740000000002E-2</v>
      </c>
      <c r="AA4975">
        <v>0.98246060000000002</v>
      </c>
      <c r="AB4975">
        <v>27</v>
      </c>
      <c r="AC4975">
        <v>-0.62250000000000205</v>
      </c>
      <c r="AD4975">
        <v>-0.2126285</v>
      </c>
      <c r="AE4975">
        <v>0.171699999999987</v>
      </c>
      <c r="AF4975">
        <v>0.154736608186892</v>
      </c>
      <c r="AG4975">
        <v>-0.2126285</v>
      </c>
      <c r="AH4975">
        <v>0.56165520716930994</v>
      </c>
      <c r="AI4975">
        <v>110.05092206250301</v>
      </c>
      <c r="AJ4975">
        <v>74.597061684407294</v>
      </c>
      <c r="AK4975">
        <v>0.62017003206042998</v>
      </c>
      <c r="AL4975">
        <v>88.7962026572675</v>
      </c>
      <c r="AM4975">
        <v>89.684838140214495</v>
      </c>
      <c r="AN4975">
        <v>0.99999993167727197</v>
      </c>
    </row>
    <row r="4976" spans="1:40" x14ac:dyDescent="0.25">
      <c r="A4976" t="str">
        <f>"20190312160432654"</f>
        <v>20190312160432654</v>
      </c>
      <c r="B4976" t="str">
        <f>"1552377872650316"</f>
        <v>1552377872650316</v>
      </c>
      <c r="C4976" t="s">
        <v>40</v>
      </c>
      <c r="D4976">
        <v>5.2368069999999998</v>
      </c>
      <c r="E4976">
        <v>0.56794500000000003</v>
      </c>
      <c r="F4976" t="s">
        <v>49</v>
      </c>
      <c r="G4976">
        <v>-270.72910000000002</v>
      </c>
      <c r="H4976">
        <v>0.90132199999999996</v>
      </c>
      <c r="I4976">
        <v>141.322</v>
      </c>
      <c r="J4976">
        <v>-270.1388</v>
      </c>
      <c r="K4976">
        <v>1.1095539999999999</v>
      </c>
      <c r="L4976">
        <v>141.15440000000001</v>
      </c>
      <c r="M4976">
        <v>-0.99994380000000005</v>
      </c>
      <c r="N4976">
        <v>0</v>
      </c>
      <c r="O4976">
        <v>4.0499850000000001E-4</v>
      </c>
      <c r="P4976">
        <v>-0.99992510000000001</v>
      </c>
      <c r="Q4976">
        <v>1.0606590000000001E-2</v>
      </c>
      <c r="R4976">
        <v>6.117178E-3</v>
      </c>
      <c r="S4976">
        <v>-3.0043950000000001</v>
      </c>
      <c r="T4976">
        <v>-0.72441230000000001</v>
      </c>
      <c r="U4976">
        <v>0.58308409999999999</v>
      </c>
      <c r="V4976">
        <v>5.7171339999999996E-3</v>
      </c>
      <c r="W4976">
        <v>2.1201279999999999E-2</v>
      </c>
      <c r="X4976">
        <v>0.99975890000000001</v>
      </c>
      <c r="Y4976">
        <v>0.1850233</v>
      </c>
      <c r="Z4976">
        <v>2.1700669999999998E-2</v>
      </c>
      <c r="AA4976">
        <v>0.98249450000000005</v>
      </c>
      <c r="AB4976">
        <v>27</v>
      </c>
      <c r="AC4976">
        <v>-0.59030000000001304</v>
      </c>
      <c r="AD4976">
        <v>-0.208232</v>
      </c>
      <c r="AE4976">
        <v>0.167599999999993</v>
      </c>
      <c r="AF4976">
        <v>0.15007872288840399</v>
      </c>
      <c r="AG4976">
        <v>-0.208232</v>
      </c>
      <c r="AH4976">
        <v>0.52940471314362303</v>
      </c>
      <c r="AI4976">
        <v>110.727666431599</v>
      </c>
      <c r="AJ4976">
        <v>74.172719421230994</v>
      </c>
      <c r="AK4976">
        <v>0.58834814454241002</v>
      </c>
      <c r="AL4976">
        <v>88.785165137010495</v>
      </c>
      <c r="AM4976">
        <v>89.672356926713107</v>
      </c>
      <c r="AN4976">
        <v>1.00000001901201</v>
      </c>
    </row>
    <row r="4977" spans="1:40" x14ac:dyDescent="0.25">
      <c r="A4977" t="str">
        <f>"20190312160432677"</f>
        <v>20190312160432677</v>
      </c>
      <c r="B4977" t="str">
        <f>"1552377872669835"</f>
        <v>1552377872669835</v>
      </c>
      <c r="C4977" t="s">
        <v>40</v>
      </c>
      <c r="D4977">
        <v>5.1863859999999997</v>
      </c>
      <c r="E4977">
        <v>0.56771139999999998</v>
      </c>
      <c r="F4977" t="s">
        <v>49</v>
      </c>
      <c r="G4977">
        <v>-270.9717</v>
      </c>
      <c r="H4977">
        <v>0.90878619999999999</v>
      </c>
      <c r="I4977">
        <v>141.31630000000001</v>
      </c>
      <c r="J4977">
        <v>-270.42259999999999</v>
      </c>
      <c r="K4977">
        <v>1.109559</v>
      </c>
      <c r="L4977">
        <v>141.15469999999999</v>
      </c>
      <c r="M4977">
        <v>-0.99994349999999999</v>
      </c>
      <c r="N4977">
        <v>0</v>
      </c>
      <c r="O4977">
        <v>5.1442800000000004E-4</v>
      </c>
      <c r="P4977">
        <v>-0.99991830000000004</v>
      </c>
      <c r="Q4977">
        <v>1.1048870000000001E-2</v>
      </c>
      <c r="R4977">
        <v>6.425381E-3</v>
      </c>
      <c r="S4977">
        <v>-3.0043329999999999</v>
      </c>
      <c r="T4977">
        <v>-0.72421150000000001</v>
      </c>
      <c r="U4977">
        <v>0.582901</v>
      </c>
      <c r="V4977">
        <v>5.9158459999999998E-3</v>
      </c>
      <c r="W4977">
        <v>2.1667039999999999E-2</v>
      </c>
      <c r="X4977">
        <v>0.99974779999999996</v>
      </c>
      <c r="Y4977">
        <v>0.1848716</v>
      </c>
      <c r="Z4977">
        <v>2.1651710000000001E-2</v>
      </c>
      <c r="AA4977">
        <v>0.98252419999999996</v>
      </c>
      <c r="AB4977">
        <v>27</v>
      </c>
      <c r="AC4977">
        <v>-0.54910000000000903</v>
      </c>
      <c r="AD4977">
        <v>-0.2007728</v>
      </c>
      <c r="AE4977">
        <v>0.161600000000021</v>
      </c>
      <c r="AF4977">
        <v>0.14364409450271801</v>
      </c>
      <c r="AG4977">
        <v>-0.2007728</v>
      </c>
      <c r="AH4977">
        <v>0.48901643429810698</v>
      </c>
      <c r="AI4977">
        <v>111.500551723252</v>
      </c>
      <c r="AJ4977">
        <v>73.630332637900395</v>
      </c>
      <c r="AK4977">
        <v>0.547795962123655</v>
      </c>
      <c r="AL4977">
        <v>88.758472974597396</v>
      </c>
      <c r="AM4977">
        <v>89.660965443486802</v>
      </c>
      <c r="AN4977">
        <v>1.0000000607305399</v>
      </c>
    </row>
    <row r="4978" spans="1:40" x14ac:dyDescent="0.25">
      <c r="A4978" t="str">
        <f>"20190312160432700"</f>
        <v>20190312160432700</v>
      </c>
      <c r="B4978" t="str">
        <f>"1552377872690332"</f>
        <v>1552377872690332</v>
      </c>
      <c r="C4978" t="s">
        <v>40</v>
      </c>
      <c r="D4978">
        <v>5.1362769999999998</v>
      </c>
      <c r="E4978">
        <v>0.56763549999999996</v>
      </c>
      <c r="F4978" t="s">
        <v>49</v>
      </c>
      <c r="G4978">
        <v>-271.21539999999999</v>
      </c>
      <c r="H4978">
        <v>0.91882229999999998</v>
      </c>
      <c r="I4978">
        <v>141.3083</v>
      </c>
      <c r="J4978">
        <v>-270.69240000000002</v>
      </c>
      <c r="K4978">
        <v>1.1095630000000001</v>
      </c>
      <c r="L4978">
        <v>141.1549</v>
      </c>
      <c r="M4978">
        <v>-0.99994329999999998</v>
      </c>
      <c r="N4978">
        <v>0</v>
      </c>
      <c r="O4978">
        <v>6.1830350000000001E-4</v>
      </c>
      <c r="P4978">
        <v>-0.99991180000000002</v>
      </c>
      <c r="Q4978">
        <v>1.174039E-2</v>
      </c>
      <c r="R4978">
        <v>6.2152569999999897E-3</v>
      </c>
      <c r="S4978">
        <v>-3.004486</v>
      </c>
      <c r="T4978">
        <v>-0.72286340000000004</v>
      </c>
      <c r="U4978">
        <v>0.58255000000000001</v>
      </c>
      <c r="V4978">
        <v>5.6019709999999999E-3</v>
      </c>
      <c r="W4978">
        <v>2.2384029999999999E-2</v>
      </c>
      <c r="X4978">
        <v>0.99973369999999995</v>
      </c>
      <c r="Y4978">
        <v>0.18467700000000001</v>
      </c>
      <c r="Z4978">
        <v>2.1564369999999999E-2</v>
      </c>
      <c r="AA4978">
        <v>0.98256270000000001</v>
      </c>
      <c r="AB4978">
        <v>27</v>
      </c>
      <c r="AC4978">
        <v>-0.52299999999996705</v>
      </c>
      <c r="AD4978">
        <v>-0.19074069999999901</v>
      </c>
      <c r="AE4978">
        <v>0.15340000000000401</v>
      </c>
      <c r="AF4978">
        <v>0.13637435030318401</v>
      </c>
      <c r="AG4978">
        <v>-0.19074069999999901</v>
      </c>
      <c r="AH4978">
        <v>0.466019735087979</v>
      </c>
      <c r="AI4978">
        <v>111.446042588342</v>
      </c>
      <c r="AJ4978">
        <v>73.688601615582797</v>
      </c>
      <c r="AK4978">
        <v>0.52168416838981702</v>
      </c>
      <c r="AL4978">
        <v>88.717382363595902</v>
      </c>
      <c r="AM4978">
        <v>89.678948568035906</v>
      </c>
      <c r="AN4978">
        <v>0.99999994889690602</v>
      </c>
    </row>
    <row r="4979" spans="1:40" x14ac:dyDescent="0.25">
      <c r="A4979" t="str">
        <f>"20190312160432720"</f>
        <v>20190312160432720</v>
      </c>
      <c r="B4979" t="str">
        <f>"1552377872709852"</f>
        <v>1552377872709852</v>
      </c>
      <c r="C4979" t="s">
        <v>40</v>
      </c>
      <c r="D4979">
        <v>5.1759839999999997</v>
      </c>
      <c r="E4979">
        <v>0.55457449999999997</v>
      </c>
      <c r="F4979" t="s">
        <v>49</v>
      </c>
      <c r="G4979">
        <v>-271.45830000000001</v>
      </c>
      <c r="H4979">
        <v>0.92602709999999999</v>
      </c>
      <c r="I4979">
        <v>141.30340000000001</v>
      </c>
      <c r="J4979">
        <v>-270.93869999999998</v>
      </c>
      <c r="K4979">
        <v>1.1095729999999999</v>
      </c>
      <c r="L4979">
        <v>141.15520000000001</v>
      </c>
      <c r="M4979">
        <v>-0.99994260000000001</v>
      </c>
      <c r="N4979">
        <v>0</v>
      </c>
      <c r="O4979">
        <v>7.1346240000000002E-4</v>
      </c>
      <c r="P4979">
        <v>-0.99990849999999998</v>
      </c>
      <c r="Q4979">
        <v>1.204648E-2</v>
      </c>
      <c r="R4979">
        <v>6.1606079999999997E-3</v>
      </c>
      <c r="S4979">
        <v>-3.005096</v>
      </c>
      <c r="T4979">
        <v>-0.72006340000000002</v>
      </c>
      <c r="U4979">
        <v>0.58161929999999995</v>
      </c>
      <c r="V4979">
        <v>5.4524069999999899E-3</v>
      </c>
      <c r="W4979">
        <v>2.2730130000000001E-2</v>
      </c>
      <c r="X4979">
        <v>0.99972680000000003</v>
      </c>
      <c r="Y4979">
        <v>0.18430589999999999</v>
      </c>
      <c r="Z4979">
        <v>2.141378E-2</v>
      </c>
      <c r="AA4979">
        <v>0.98263560000000005</v>
      </c>
      <c r="AB4979">
        <v>27</v>
      </c>
      <c r="AC4979">
        <v>-0.51960000000002504</v>
      </c>
      <c r="AD4979">
        <v>-0.18354589999999901</v>
      </c>
      <c r="AE4979">
        <v>0.148200000000002</v>
      </c>
      <c r="AF4979">
        <v>0.13253538386052499</v>
      </c>
      <c r="AG4979">
        <v>-0.18354589999999901</v>
      </c>
      <c r="AH4979">
        <v>0.46593886893771402</v>
      </c>
      <c r="AI4979">
        <v>110.75153368497899</v>
      </c>
      <c r="AJ4979">
        <v>74.121703146201</v>
      </c>
      <c r="AK4979">
        <v>0.51802872021618895</v>
      </c>
      <c r="AL4979">
        <v>88.697547353358402</v>
      </c>
      <c r="AM4979">
        <v>89.687517817969294</v>
      </c>
      <c r="AN4979">
        <v>1.0000000310950701</v>
      </c>
    </row>
    <row r="4980" spans="1:40" x14ac:dyDescent="0.25">
      <c r="A4980" t="str">
        <f>"20190312160432754"</f>
        <v>20190312160432754</v>
      </c>
      <c r="B4980" t="str">
        <f>"1552377872749868"</f>
        <v>1552377872749868</v>
      </c>
      <c r="C4980" t="s">
        <v>40</v>
      </c>
      <c r="D4980">
        <v>5.1646229999999997</v>
      </c>
      <c r="E4980">
        <v>0.50526729999999997</v>
      </c>
      <c r="F4980" t="s">
        <v>49</v>
      </c>
      <c r="G4980">
        <v>-271.7079</v>
      </c>
      <c r="H4980">
        <v>0.94905039999999996</v>
      </c>
      <c r="I4980">
        <v>141.2766</v>
      </c>
      <c r="J4980">
        <v>-271.35090000000002</v>
      </c>
      <c r="K4980">
        <v>1.1095919999999999</v>
      </c>
      <c r="L4980">
        <v>141.15559999999999</v>
      </c>
      <c r="M4980">
        <v>-0.99994150000000004</v>
      </c>
      <c r="N4980">
        <v>0</v>
      </c>
      <c r="O4980">
        <v>8.72623E-4</v>
      </c>
      <c r="P4980">
        <v>-0.99992230000000004</v>
      </c>
      <c r="Q4980">
        <v>1.0893140000000001E-2</v>
      </c>
      <c r="R4980">
        <v>6.0840449999999997E-3</v>
      </c>
      <c r="S4980">
        <v>-3.0049440000000001</v>
      </c>
      <c r="T4980">
        <v>-0.62710519999999903</v>
      </c>
      <c r="U4980">
        <v>0.47436519999999999</v>
      </c>
      <c r="V4980">
        <v>5.2163970000000002E-3</v>
      </c>
      <c r="W4980">
        <v>2.1688490000000001E-2</v>
      </c>
      <c r="X4980">
        <v>0.99975119999999895</v>
      </c>
      <c r="Y4980">
        <v>0.15189339999999901</v>
      </c>
      <c r="Z4980">
        <v>1.54079E-2</v>
      </c>
      <c r="AA4980">
        <v>0.98827679999999996</v>
      </c>
      <c r="AB4980">
        <v>27</v>
      </c>
      <c r="AC4980">
        <v>-0.35699999999997001</v>
      </c>
      <c r="AD4980">
        <v>-0.16054159999999901</v>
      </c>
      <c r="AE4980">
        <v>0.121000000000009</v>
      </c>
      <c r="AF4980">
        <v>0.10215803514408101</v>
      </c>
      <c r="AG4980">
        <v>-0.16054159999999901</v>
      </c>
      <c r="AH4980">
        <v>0.30227585287381797</v>
      </c>
      <c r="AI4980">
        <v>116.709327908292</v>
      </c>
      <c r="AJ4980">
        <v>71.326652565367098</v>
      </c>
      <c r="AK4980">
        <v>0.357184211165126</v>
      </c>
      <c r="AL4980">
        <v>88.757243655184595</v>
      </c>
      <c r="AM4980">
        <v>89.701050801278498</v>
      </c>
      <c r="AN4980">
        <v>1.00000003164879</v>
      </c>
    </row>
    <row r="4981" spans="1:40" x14ac:dyDescent="0.25">
      <c r="A4981" t="str">
        <f>"20190312160432777"</f>
        <v>20190312160432777</v>
      </c>
      <c r="B4981" t="str">
        <f>"1552377872770363"</f>
        <v>1552377872770363</v>
      </c>
      <c r="C4981" t="s">
        <v>40</v>
      </c>
      <c r="D4981">
        <v>5.1373179999999996</v>
      </c>
      <c r="E4981">
        <v>0.50458530000000001</v>
      </c>
      <c r="F4981" t="s">
        <v>49</v>
      </c>
      <c r="G4981">
        <v>-272.23079999999999</v>
      </c>
      <c r="H4981">
        <v>1.036732</v>
      </c>
      <c r="I4981">
        <v>141.17590000000001</v>
      </c>
      <c r="J4981">
        <v>-271.62079999999997</v>
      </c>
      <c r="K4981">
        <v>1.109604</v>
      </c>
      <c r="L4981">
        <v>141.15600000000001</v>
      </c>
      <c r="M4981">
        <v>-0.9999403</v>
      </c>
      <c r="N4981">
        <v>0</v>
      </c>
      <c r="O4981">
        <v>9.7665300000000007E-4</v>
      </c>
      <c r="P4981">
        <v>-0.9999228</v>
      </c>
      <c r="Q4981">
        <v>1.064091E-2</v>
      </c>
      <c r="R4981">
        <v>6.4188070000000003E-3</v>
      </c>
      <c r="S4981">
        <v>-3.0025330000000001</v>
      </c>
      <c r="T4981">
        <v>-0.2486141</v>
      </c>
      <c r="U4981">
        <v>6.8801879999999996E-2</v>
      </c>
      <c r="V4981">
        <v>5.4472000000000001E-3</v>
      </c>
      <c r="W4981">
        <v>2.1524020000000001E-2</v>
      </c>
      <c r="X4981">
        <v>0.99975349999999996</v>
      </c>
      <c r="Y4981">
        <v>2.1860709999999998E-2</v>
      </c>
      <c r="Z4981">
        <v>8.2266109999999996E-4</v>
      </c>
      <c r="AA4981">
        <v>0.99976069999999995</v>
      </c>
      <c r="AB4981">
        <v>27</v>
      </c>
      <c r="AC4981">
        <v>-0.61000000000001298</v>
      </c>
      <c r="AD4981">
        <v>-7.2872000000000006E-2</v>
      </c>
      <c r="AE4981">
        <v>1.9900000000006898E-2</v>
      </c>
      <c r="AF4981">
        <v>1.9032863105961001E-2</v>
      </c>
      <c r="AG4981">
        <v>-7.2872000000000006E-2</v>
      </c>
      <c r="AH4981">
        <v>0.60144490620932201</v>
      </c>
      <c r="AI4981">
        <v>96.904948695439302</v>
      </c>
      <c r="AJ4981">
        <v>88.187466685623093</v>
      </c>
      <c r="AK4981">
        <v>0.606142354127437</v>
      </c>
      <c r="AL4981">
        <v>88.766669263040498</v>
      </c>
      <c r="AM4981">
        <v>89.687824566950795</v>
      </c>
      <c r="AN4981">
        <v>1.0000000080935201</v>
      </c>
    </row>
    <row r="4982" spans="1:40" x14ac:dyDescent="0.25">
      <c r="A4982" t="str">
        <f>"20190312160432798"</f>
        <v>20190312160432798</v>
      </c>
      <c r="B4982" t="str">
        <f>"1552377872789884"</f>
        <v>1552377872789884</v>
      </c>
      <c r="C4982" t="s">
        <v>40</v>
      </c>
      <c r="D4982">
        <v>5.1453369999999996</v>
      </c>
      <c r="E4982">
        <v>0.50479160000000001</v>
      </c>
      <c r="F4982" t="s">
        <v>49</v>
      </c>
      <c r="G4982">
        <v>-272.47989999999999</v>
      </c>
      <c r="H4982">
        <v>1.0474669999999999</v>
      </c>
      <c r="I4982">
        <v>141.17439999999999</v>
      </c>
      <c r="J4982">
        <v>-271.8811</v>
      </c>
      <c r="K4982">
        <v>1.1096170000000001</v>
      </c>
      <c r="L4982">
        <v>141.15639999999999</v>
      </c>
      <c r="M4982">
        <v>-0.99993940000000003</v>
      </c>
      <c r="N4982">
        <v>0</v>
      </c>
      <c r="O4982">
        <v>1.076474E-3</v>
      </c>
      <c r="P4982">
        <v>-0.99991390000000002</v>
      </c>
      <c r="Q4982">
        <v>1.1180880000000001E-2</v>
      </c>
      <c r="R4982">
        <v>6.8867769999999898E-3</v>
      </c>
      <c r="S4982">
        <v>-3.0021360000000001</v>
      </c>
      <c r="T4982">
        <v>-0.2172771</v>
      </c>
      <c r="U4982">
        <v>6.3308719999999999E-2</v>
      </c>
      <c r="V4982">
        <v>5.8154490000000003E-3</v>
      </c>
      <c r="W4982">
        <v>2.214615E-2</v>
      </c>
      <c r="X4982">
        <v>0.99973789999999996</v>
      </c>
      <c r="Y4982">
        <v>1.9957530000000001E-2</v>
      </c>
      <c r="Z4982">
        <v>6.4337879999999995E-4</v>
      </c>
      <c r="AA4982">
        <v>0.99980060000000004</v>
      </c>
      <c r="AB4982">
        <v>27</v>
      </c>
      <c r="AC4982">
        <v>-0.59879999999998201</v>
      </c>
      <c r="AD4982">
        <v>-6.2150000000000101E-2</v>
      </c>
      <c r="AE4982">
        <v>1.8000000000000599E-2</v>
      </c>
      <c r="AF4982">
        <v>1.71705545110085E-2</v>
      </c>
      <c r="AG4982">
        <v>-6.2150000000000101E-2</v>
      </c>
      <c r="AH4982">
        <v>0.59244267174168397</v>
      </c>
      <c r="AI4982">
        <v>95.9861947755481</v>
      </c>
      <c r="AJ4982">
        <v>88.339881596897399</v>
      </c>
      <c r="AK4982">
        <v>0.59594107908638105</v>
      </c>
      <c r="AL4982">
        <v>88.731015417690799</v>
      </c>
      <c r="AM4982">
        <v>89.666715720631203</v>
      </c>
      <c r="AN4982">
        <v>1.00000007005164</v>
      </c>
    </row>
    <row r="4983" spans="1:40" x14ac:dyDescent="0.25">
      <c r="A4983" t="str">
        <f>"20190312160432821"</f>
        <v>20190312160432821</v>
      </c>
      <c r="B4983" t="str">
        <f>"1552377872810380"</f>
        <v>1552377872810380</v>
      </c>
      <c r="C4983" t="s">
        <v>40</v>
      </c>
      <c r="D4983">
        <v>5.1579879999999996</v>
      </c>
      <c r="E4983">
        <v>0.50483559999999905</v>
      </c>
      <c r="F4983" t="s">
        <v>60</v>
      </c>
      <c r="G4983">
        <v>-289.02100000000002</v>
      </c>
      <c r="H4983" s="1">
        <v>-8.9632260000000003E-6</v>
      </c>
      <c r="I4983">
        <v>141.53129999999999</v>
      </c>
      <c r="J4983">
        <v>-272.1454</v>
      </c>
      <c r="K4983">
        <v>1.1096360000000001</v>
      </c>
      <c r="L4983">
        <v>141.1568</v>
      </c>
      <c r="M4983">
        <v>-0.9999382</v>
      </c>
      <c r="N4983">
        <v>0</v>
      </c>
      <c r="O4983">
        <v>1.1783290000000001E-3</v>
      </c>
      <c r="P4983">
        <v>-0.99990460000000003</v>
      </c>
      <c r="Q4983">
        <v>1.154847E-2</v>
      </c>
      <c r="R4983">
        <v>7.5697189999999999E-3</v>
      </c>
      <c r="S4983">
        <v>-3.002014</v>
      </c>
      <c r="T4983">
        <v>-0.19434850000000001</v>
      </c>
      <c r="U4983">
        <v>6.5673830000000002E-2</v>
      </c>
      <c r="V4983">
        <v>6.3968069999999896E-3</v>
      </c>
      <c r="W4983">
        <v>2.2591400000000001E-2</v>
      </c>
      <c r="X4983">
        <v>0.99972430000000001</v>
      </c>
      <c r="Y4983">
        <v>2.0652480000000001E-2</v>
      </c>
      <c r="Z4983">
        <v>5.9153549999999997E-4</v>
      </c>
      <c r="AA4983">
        <v>0.99978659999999997</v>
      </c>
      <c r="AB4983">
        <v>27</v>
      </c>
      <c r="AC4983">
        <v>-16.875599999999899</v>
      </c>
      <c r="AD4983">
        <v>-1.1096449632259999</v>
      </c>
      <c r="AE4983">
        <v>0.37449999999998301</v>
      </c>
      <c r="AF4983">
        <v>0.353087643118846</v>
      </c>
      <c r="AG4983">
        <v>-1.1096449632259999</v>
      </c>
      <c r="AH4983">
        <v>16.803413425313199</v>
      </c>
      <c r="AI4983">
        <v>93.777317360919696</v>
      </c>
      <c r="AJ4983">
        <v>88.796229402273596</v>
      </c>
      <c r="AK4983">
        <v>16.843713532654601</v>
      </c>
      <c r="AL4983">
        <v>88.705497976307299</v>
      </c>
      <c r="AM4983">
        <v>89.633393884960995</v>
      </c>
      <c r="AN4983">
        <v>0.99999998325212203</v>
      </c>
    </row>
    <row r="4984" spans="1:40" x14ac:dyDescent="0.25">
      <c r="A4984" t="str">
        <f>"20190312160432843"</f>
        <v>20190312160432843</v>
      </c>
      <c r="B4984" t="str">
        <f>"1552377872839659"</f>
        <v>1552377872839659</v>
      </c>
      <c r="C4984" t="s">
        <v>40</v>
      </c>
      <c r="D4984">
        <v>5.1407759999999998</v>
      </c>
      <c r="E4984">
        <v>0.5044807</v>
      </c>
      <c r="F4984" t="s">
        <v>60</v>
      </c>
      <c r="G4984">
        <v>-290.53190000000001</v>
      </c>
      <c r="H4984" s="1">
        <v>-9.407903E-6</v>
      </c>
      <c r="I4984">
        <v>141.57149999999999</v>
      </c>
      <c r="J4984">
        <v>-272.41410000000002</v>
      </c>
      <c r="K4984">
        <v>1.1096440000000001</v>
      </c>
      <c r="L4984">
        <v>141.15719999999999</v>
      </c>
      <c r="M4984">
        <v>-0.99993739999999998</v>
      </c>
      <c r="N4984">
        <v>0</v>
      </c>
      <c r="O4984">
        <v>1.2823999999999999E-3</v>
      </c>
      <c r="P4984">
        <v>-0.99989919999999999</v>
      </c>
      <c r="Q4984">
        <v>1.184282E-2</v>
      </c>
      <c r="R4984">
        <v>7.8395549999999998E-3</v>
      </c>
      <c r="S4984">
        <v>-3.001862</v>
      </c>
      <c r="T4984">
        <v>-0.18116579999999999</v>
      </c>
      <c r="U4984">
        <v>6.7718509999999996E-2</v>
      </c>
      <c r="V4984">
        <v>6.5626390000000003E-3</v>
      </c>
      <c r="W4984">
        <v>2.2959899999999998E-2</v>
      </c>
      <c r="X4984">
        <v>0.99971489999999996</v>
      </c>
      <c r="Y4984">
        <v>2.1234639999999999E-2</v>
      </c>
      <c r="Z4984">
        <v>5.6278540000000003E-4</v>
      </c>
      <c r="AA4984">
        <v>0.9997743</v>
      </c>
      <c r="AB4984">
        <v>27</v>
      </c>
      <c r="AC4984">
        <v>-18.1177999999999</v>
      </c>
      <c r="AD4984">
        <v>-1.109653407903</v>
      </c>
      <c r="AE4984">
        <v>0.414299999999997</v>
      </c>
      <c r="AF4984">
        <v>0.389603262830099</v>
      </c>
      <c r="AG4984">
        <v>-1.109653407903</v>
      </c>
      <c r="AH4984">
        <v>18.050641257381798</v>
      </c>
      <c r="AI4984">
        <v>93.516983061158697</v>
      </c>
      <c r="AJ4984">
        <v>88.763525525012994</v>
      </c>
      <c r="AK4984">
        <v>18.088912935573902</v>
      </c>
      <c r="AL4984">
        <v>88.684379094968193</v>
      </c>
      <c r="AM4984">
        <v>89.623886653906894</v>
      </c>
      <c r="AN4984">
        <v>1.0000000532603299</v>
      </c>
    </row>
    <row r="4985" spans="1:40" x14ac:dyDescent="0.25">
      <c r="A4985" t="str">
        <f>"20190312160432857"</f>
        <v>20190312160432857</v>
      </c>
      <c r="B4985" t="str">
        <f>"1552377872850397"</f>
        <v>1552377872850397</v>
      </c>
      <c r="C4985" t="s">
        <v>40</v>
      </c>
      <c r="D4985">
        <v>5.1653209999999996</v>
      </c>
      <c r="E4985">
        <v>0.50441219999999998</v>
      </c>
      <c r="F4985" t="s">
        <v>60</v>
      </c>
      <c r="G4985">
        <v>-291.7534</v>
      </c>
      <c r="H4985" s="1">
        <v>-9.2909710000000003E-6</v>
      </c>
      <c r="I4985">
        <v>141.5813</v>
      </c>
      <c r="J4985">
        <v>-272.58440000000002</v>
      </c>
      <c r="K4985">
        <v>1.1096490000000001</v>
      </c>
      <c r="L4985">
        <v>141.1575</v>
      </c>
      <c r="M4985">
        <v>-0.99993679999999996</v>
      </c>
      <c r="N4985">
        <v>0</v>
      </c>
      <c r="O4985">
        <v>1.348314E-3</v>
      </c>
      <c r="P4985">
        <v>-0.99990009999999996</v>
      </c>
      <c r="Q4985">
        <v>1.188176E-2</v>
      </c>
      <c r="R4985">
        <v>7.6525430000000004E-3</v>
      </c>
      <c r="S4985">
        <v>-3.0018310000000001</v>
      </c>
      <c r="T4985">
        <v>-0.1722398</v>
      </c>
      <c r="U4985">
        <v>6.5826419999999997E-2</v>
      </c>
      <c r="V4985">
        <v>6.3094850000000001E-3</v>
      </c>
      <c r="W4985">
        <v>2.304285E-2</v>
      </c>
      <c r="X4985">
        <v>0.99971460000000001</v>
      </c>
      <c r="Y4985">
        <v>2.0543829999999999E-2</v>
      </c>
      <c r="Z4985">
        <v>5.1153400000000001E-4</v>
      </c>
      <c r="AA4985">
        <v>0.99978880000000003</v>
      </c>
      <c r="AB4985">
        <v>27</v>
      </c>
      <c r="AC4985">
        <v>-19.168999999999901</v>
      </c>
      <c r="AD4985">
        <v>-1.109658290971</v>
      </c>
      <c r="AE4985">
        <v>0.42380000000000001</v>
      </c>
      <c r="AF4985">
        <v>0.39662372098698401</v>
      </c>
      <c r="AG4985">
        <v>-1.109658290971</v>
      </c>
      <c r="AH4985">
        <v>19.105561802</v>
      </c>
      <c r="AI4985">
        <v>93.323311901182706</v>
      </c>
      <c r="AJ4985">
        <v>88.810733657656797</v>
      </c>
      <c r="AK4985">
        <v>19.141868865625799</v>
      </c>
      <c r="AL4985">
        <v>88.679625124491906</v>
      </c>
      <c r="AM4985">
        <v>89.638394736229202</v>
      </c>
      <c r="AN4985">
        <v>1.0000000319951201</v>
      </c>
    </row>
    <row r="4986" spans="1:40" x14ac:dyDescent="0.25">
      <c r="A4986" t="str">
        <f>"20190312160432868"</f>
        <v>20190312160432868</v>
      </c>
      <c r="B4986" t="str">
        <f>"1552377872860156"</f>
        <v>1552377872860156</v>
      </c>
      <c r="C4986" t="s">
        <v>40</v>
      </c>
      <c r="D4986">
        <v>5.336182</v>
      </c>
      <c r="E4986">
        <v>0.50412290000000004</v>
      </c>
      <c r="F4986" t="s">
        <v>60</v>
      </c>
      <c r="G4986">
        <v>-292.15440000000001</v>
      </c>
      <c r="H4986" s="1">
        <v>-9.2533500000000001E-6</v>
      </c>
      <c r="I4986">
        <v>141.5787</v>
      </c>
      <c r="J4986">
        <v>-272.72710000000001</v>
      </c>
      <c r="K4986">
        <v>1.1096520000000001</v>
      </c>
      <c r="L4986">
        <v>141.15770000000001</v>
      </c>
      <c r="M4986">
        <v>-0.9999363</v>
      </c>
      <c r="N4986">
        <v>0</v>
      </c>
      <c r="O4986">
        <v>1.4037229999999999E-3</v>
      </c>
      <c r="P4986">
        <v>-0.99990029999999996</v>
      </c>
      <c r="Q4986">
        <v>1.1881610000000001E-2</v>
      </c>
      <c r="R4986">
        <v>7.6413369999999998E-3</v>
      </c>
      <c r="S4986">
        <v>-3.0018310000000001</v>
      </c>
      <c r="T4986">
        <v>-0.17020969999999999</v>
      </c>
      <c r="U4986">
        <v>6.4605709999999997E-2</v>
      </c>
      <c r="V4986">
        <v>6.2430139999999999E-3</v>
      </c>
      <c r="W4986">
        <v>2.3078600000000001E-2</v>
      </c>
      <c r="X4986">
        <v>0.99971410000000005</v>
      </c>
      <c r="Y4986">
        <v>2.008362E-2</v>
      </c>
      <c r="Z4986">
        <v>4.8934230000000003E-4</v>
      </c>
      <c r="AA4986">
        <v>0.99979819999999997</v>
      </c>
      <c r="AB4986">
        <v>27</v>
      </c>
      <c r="AC4986">
        <v>-19.427299999999999</v>
      </c>
      <c r="AD4986">
        <v>-1.1096612533499901</v>
      </c>
      <c r="AE4986">
        <v>0.42099999999999199</v>
      </c>
      <c r="AF4986">
        <v>0.39244755181257701</v>
      </c>
      <c r="AG4986">
        <v>-1.1096612533499901</v>
      </c>
      <c r="AH4986">
        <v>19.3647233174901</v>
      </c>
      <c r="AI4986">
        <v>93.278974972133497</v>
      </c>
      <c r="AJ4986">
        <v>88.838996540319798</v>
      </c>
      <c r="AK4986">
        <v>19.400460621878398</v>
      </c>
      <c r="AL4986">
        <v>88.677576133065102</v>
      </c>
      <c r="AM4986">
        <v>89.642204002157101</v>
      </c>
      <c r="AN4986">
        <v>0.99999993937028497</v>
      </c>
    </row>
    <row r="4987" spans="1:40" x14ac:dyDescent="0.25">
      <c r="A4987" t="str">
        <f>"20190312160432889"</f>
        <v>20190312160432889</v>
      </c>
      <c r="B4987" t="str">
        <f>"1552377872879676"</f>
        <v>1552377872879676</v>
      </c>
      <c r="C4987" t="s">
        <v>40</v>
      </c>
      <c r="D4987">
        <v>5.134601</v>
      </c>
      <c r="E4987">
        <v>0.50386629999999999</v>
      </c>
      <c r="F4987" t="s">
        <v>60</v>
      </c>
      <c r="G4987">
        <v>-292.584</v>
      </c>
      <c r="H4987" s="1">
        <v>-9.2131850000000008E-6</v>
      </c>
      <c r="I4987">
        <v>141.56950000000001</v>
      </c>
      <c r="J4987">
        <v>-272.97219999999999</v>
      </c>
      <c r="K4987">
        <v>1.109658</v>
      </c>
      <c r="L4987">
        <v>141.15819999999999</v>
      </c>
      <c r="M4987">
        <v>-0.99993549999999998</v>
      </c>
      <c r="N4987">
        <v>0</v>
      </c>
      <c r="O4987">
        <v>1.499224E-3</v>
      </c>
      <c r="P4987">
        <v>-0.99991079999999999</v>
      </c>
      <c r="Q4987">
        <v>1.097151E-2</v>
      </c>
      <c r="R4987">
        <v>7.6188940000000002E-3</v>
      </c>
      <c r="S4987">
        <v>-3.001862</v>
      </c>
      <c r="T4987">
        <v>-0.16775329999999999</v>
      </c>
      <c r="U4987">
        <v>6.2240599999999903E-2</v>
      </c>
      <c r="V4987">
        <v>6.1247510000000003E-3</v>
      </c>
      <c r="W4987">
        <v>2.2229570000000001E-2</v>
      </c>
      <c r="X4987">
        <v>0.99973409999999996</v>
      </c>
      <c r="Y4987">
        <v>1.9202919999999998E-2</v>
      </c>
      <c r="Z4987">
        <v>4.5237149999999998E-4</v>
      </c>
      <c r="AA4987">
        <v>0.99981549999999997</v>
      </c>
      <c r="AB4987">
        <v>27</v>
      </c>
      <c r="AC4987">
        <v>-19.611799999999999</v>
      </c>
      <c r="AD4987">
        <v>-1.1096672131850001</v>
      </c>
      <c r="AE4987">
        <v>0.41130000000001099</v>
      </c>
      <c r="AF4987">
        <v>0.38067699947593803</v>
      </c>
      <c r="AG4987">
        <v>-1.1096672131850001</v>
      </c>
      <c r="AH4987">
        <v>19.549833769050199</v>
      </c>
      <c r="AI4987">
        <v>93.248062825218199</v>
      </c>
      <c r="AJ4987">
        <v>88.884469830285397</v>
      </c>
      <c r="AK4987">
        <v>19.585001319873399</v>
      </c>
      <c r="AL4987">
        <v>88.726234497822205</v>
      </c>
      <c r="AM4987">
        <v>89.648988673456003</v>
      </c>
      <c r="AN4987">
        <v>0.99999996853000295</v>
      </c>
    </row>
    <row r="4988" spans="1:40" x14ac:dyDescent="0.25">
      <c r="A4988" t="str">
        <f>"20190312160432911"</f>
        <v>20190312160432911</v>
      </c>
      <c r="B4988" t="str">
        <f>"1552377872900172"</f>
        <v>1552377872900172</v>
      </c>
      <c r="C4988" t="s">
        <v>40</v>
      </c>
      <c r="D4988">
        <v>5.078983</v>
      </c>
      <c r="E4988">
        <v>0.50392349999999997</v>
      </c>
      <c r="F4988" t="s">
        <v>60</v>
      </c>
      <c r="G4988">
        <v>-292.88</v>
      </c>
      <c r="H4988" s="1">
        <v>-9.1832830000000008E-6</v>
      </c>
      <c r="I4988">
        <v>141.5547</v>
      </c>
      <c r="J4988">
        <v>-273.24149999999997</v>
      </c>
      <c r="K4988">
        <v>1.109666</v>
      </c>
      <c r="L4988">
        <v>141.15870000000001</v>
      </c>
      <c r="M4988">
        <v>-0.99993449999999995</v>
      </c>
      <c r="N4988">
        <v>0</v>
      </c>
      <c r="O4988">
        <v>1.604627E-3</v>
      </c>
      <c r="P4988">
        <v>-0.99990979999999996</v>
      </c>
      <c r="Q4988">
        <v>1.1197520000000001E-2</v>
      </c>
      <c r="R4988">
        <v>7.43336E-3</v>
      </c>
      <c r="S4988">
        <v>-3.0016780000000001</v>
      </c>
      <c r="T4988">
        <v>-0.1673142</v>
      </c>
      <c r="U4988">
        <v>5.9783940000000001E-2</v>
      </c>
      <c r="V4988">
        <v>5.8340090000000002E-3</v>
      </c>
      <c r="W4988">
        <v>2.252848E-2</v>
      </c>
      <c r="X4988">
        <v>0.99972919999999998</v>
      </c>
      <c r="Y4988">
        <v>1.828258E-2</v>
      </c>
      <c r="Z4988">
        <v>4.1972230000000003E-4</v>
      </c>
      <c r="AA4988">
        <v>0.99983270000000002</v>
      </c>
      <c r="AB4988">
        <v>27</v>
      </c>
      <c r="AC4988">
        <v>-19.638500000000001</v>
      </c>
      <c r="AD4988">
        <v>-1.1096751832830001</v>
      </c>
      <c r="AE4988">
        <v>0.39599999999998597</v>
      </c>
      <c r="AF4988">
        <v>0.363325436088826</v>
      </c>
      <c r="AG4988">
        <v>-1.1096751832830001</v>
      </c>
      <c r="AH4988">
        <v>19.576630834260499</v>
      </c>
      <c r="AI4988">
        <v>93.243705702452203</v>
      </c>
      <c r="AJ4988">
        <v>88.936761659081199</v>
      </c>
      <c r="AK4988">
        <v>19.611421651828898</v>
      </c>
      <c r="AL4988">
        <v>88.709103992915004</v>
      </c>
      <c r="AM4988">
        <v>89.665649158727803</v>
      </c>
      <c r="AN4988">
        <v>1.00000002070238</v>
      </c>
    </row>
    <row r="4989" spans="1:40" x14ac:dyDescent="0.25">
      <c r="A4989" t="str">
        <f>"20190312160432933"</f>
        <v>20190312160432933</v>
      </c>
      <c r="B4989" t="str">
        <f>"1552377872919692"</f>
        <v>1552377872919692</v>
      </c>
      <c r="C4989" t="s">
        <v>40</v>
      </c>
      <c r="D4989">
        <v>5.1491699999999998</v>
      </c>
      <c r="E4989">
        <v>0.50384960000000001</v>
      </c>
      <c r="F4989" t="s">
        <v>60</v>
      </c>
      <c r="G4989">
        <v>-293.14640000000003</v>
      </c>
      <c r="H4989" s="1">
        <v>-9.1593920000000005E-6</v>
      </c>
      <c r="I4989">
        <v>141.55279999999999</v>
      </c>
      <c r="J4989">
        <v>-273.49470000000002</v>
      </c>
      <c r="K4989">
        <v>1.1096760000000001</v>
      </c>
      <c r="L4989">
        <v>141.1592</v>
      </c>
      <c r="M4989">
        <v>-0.99993350000000003</v>
      </c>
      <c r="N4989">
        <v>0</v>
      </c>
      <c r="O4989">
        <v>1.705956E-3</v>
      </c>
      <c r="P4989">
        <v>-0.99990480000000004</v>
      </c>
      <c r="Q4989">
        <v>1.1532769999999999E-2</v>
      </c>
      <c r="R4989">
        <v>7.5813069999999998E-3</v>
      </c>
      <c r="S4989">
        <v>-3.001709</v>
      </c>
      <c r="T4989">
        <v>-0.16734189999999999</v>
      </c>
      <c r="U4989">
        <v>5.9432980000000003E-2</v>
      </c>
      <c r="V4989">
        <v>5.8807800000000004E-3</v>
      </c>
      <c r="W4989">
        <v>2.294274E-2</v>
      </c>
      <c r="X4989">
        <v>0.99971949999999998</v>
      </c>
      <c r="Y4989">
        <v>1.8064690000000001E-2</v>
      </c>
      <c r="Z4989">
        <v>4.0807529999999998E-4</v>
      </c>
      <c r="AA4989">
        <v>0.99983670000000002</v>
      </c>
      <c r="AB4989">
        <v>27</v>
      </c>
      <c r="AC4989">
        <v>-19.651700000000002</v>
      </c>
      <c r="AD4989">
        <v>-1.1096851593920001</v>
      </c>
      <c r="AE4989">
        <v>0.39359999999999201</v>
      </c>
      <c r="AF4989">
        <v>0.35892829300589402</v>
      </c>
      <c r="AG4989">
        <v>-1.1096851593920001</v>
      </c>
      <c r="AH4989">
        <v>19.589903694958299</v>
      </c>
      <c r="AI4989">
        <v>93.241555877329006</v>
      </c>
      <c r="AJ4989">
        <v>88.950338098054502</v>
      </c>
      <c r="AK4989">
        <v>19.624590631405201</v>
      </c>
      <c r="AL4989">
        <v>88.685362500276497</v>
      </c>
      <c r="AM4989">
        <v>89.662965473910802</v>
      </c>
      <c r="AN4989">
        <v>1.0000000157861799</v>
      </c>
    </row>
    <row r="4990" spans="1:40" x14ac:dyDescent="0.25">
      <c r="A4990" t="str">
        <f>"20190312160432947"</f>
        <v>20190312160432947</v>
      </c>
      <c r="B4990" t="str">
        <f>"1552377872940187"</f>
        <v>1552377872940187</v>
      </c>
      <c r="C4990" t="s">
        <v>40</v>
      </c>
      <c r="D4990">
        <v>5.1183920000000001</v>
      </c>
      <c r="E4990">
        <v>0.50389300000000004</v>
      </c>
      <c r="F4990" t="s">
        <v>60</v>
      </c>
      <c r="G4990">
        <v>-293.4862</v>
      </c>
      <c r="H4990" s="1">
        <v>-9.1301790000000003E-6</v>
      </c>
      <c r="I4990">
        <v>141.55529999999999</v>
      </c>
      <c r="J4990">
        <v>-273.6694</v>
      </c>
      <c r="K4990">
        <v>1.1096839999999999</v>
      </c>
      <c r="L4990">
        <v>141.15960000000001</v>
      </c>
      <c r="M4990">
        <v>-0.99993259999999995</v>
      </c>
      <c r="N4990">
        <v>0</v>
      </c>
      <c r="O4990">
        <v>1.7751869999999999E-3</v>
      </c>
      <c r="P4990">
        <v>-0.99990979999999996</v>
      </c>
      <c r="Q4990">
        <v>1.1051500000000001E-2</v>
      </c>
      <c r="R4990">
        <v>7.6518790000000003E-3</v>
      </c>
      <c r="S4990">
        <v>-3.0018310000000001</v>
      </c>
      <c r="T4990">
        <v>-0.16662439999999901</v>
      </c>
      <c r="U4990">
        <v>5.9463500000000002E-2</v>
      </c>
      <c r="V4990">
        <v>5.8821969999999996E-3</v>
      </c>
      <c r="W4990">
        <v>2.2523230000000002E-2</v>
      </c>
      <c r="X4990">
        <v>0.99972899999999998</v>
      </c>
      <c r="Y4990">
        <v>1.8005230000000001E-2</v>
      </c>
      <c r="Z4990">
        <v>4.0082330000000002E-4</v>
      </c>
      <c r="AA4990">
        <v>0.9998378</v>
      </c>
      <c r="AB4990">
        <v>27</v>
      </c>
      <c r="AC4990">
        <v>-19.816800000000001</v>
      </c>
      <c r="AD4990">
        <v>-1.1096931301790001</v>
      </c>
      <c r="AE4990">
        <v>0.39569999999997602</v>
      </c>
      <c r="AF4990">
        <v>0.35939202752532201</v>
      </c>
      <c r="AG4990">
        <v>-1.1096931301790001</v>
      </c>
      <c r="AH4990">
        <v>19.755547873565199</v>
      </c>
      <c r="AI4990">
        <v>93.214464326349699</v>
      </c>
      <c r="AJ4990">
        <v>88.957792749259198</v>
      </c>
      <c r="AK4990">
        <v>19.7899533414645</v>
      </c>
      <c r="AL4990">
        <v>88.709404825734794</v>
      </c>
      <c r="AM4990">
        <v>89.662887469216003</v>
      </c>
      <c r="AN4990">
        <v>0.99999998478608898</v>
      </c>
    </row>
    <row r="4991" spans="1:40" x14ac:dyDescent="0.25">
      <c r="A4991" t="str">
        <f>"20190312160432958"</f>
        <v>20190312160432958</v>
      </c>
      <c r="B4991" t="str">
        <f>"1552377872949948"</f>
        <v>1552377872949948</v>
      </c>
      <c r="C4991" t="s">
        <v>40</v>
      </c>
      <c r="D4991">
        <v>5.141527</v>
      </c>
      <c r="E4991">
        <v>0.50391859999999999</v>
      </c>
      <c r="F4991" t="s">
        <v>60</v>
      </c>
      <c r="G4991">
        <v>-293.25450000000001</v>
      </c>
      <c r="H4991" s="1">
        <v>-9.1497040000000008E-6</v>
      </c>
      <c r="I4991">
        <v>141.5521</v>
      </c>
      <c r="J4991">
        <v>-273.81740000000002</v>
      </c>
      <c r="K4991">
        <v>1.1096870000000001</v>
      </c>
      <c r="L4991">
        <v>141.16</v>
      </c>
      <c r="M4991">
        <v>-0.99993189999999998</v>
      </c>
      <c r="N4991">
        <v>0</v>
      </c>
      <c r="O4991">
        <v>1.8296600000000001E-3</v>
      </c>
      <c r="P4991">
        <v>-0.99991039999999998</v>
      </c>
      <c r="Q4991">
        <v>1.0814789999999999E-2</v>
      </c>
      <c r="R4991">
        <v>7.8914320000000003E-3</v>
      </c>
      <c r="S4991">
        <v>-3.0016780000000001</v>
      </c>
      <c r="T4991">
        <v>-0.1700759</v>
      </c>
      <c r="U4991">
        <v>6.0150149999999999E-2</v>
      </c>
      <c r="V4991">
        <v>6.067238E-3</v>
      </c>
      <c r="W4991">
        <v>2.2343040000000002E-2</v>
      </c>
      <c r="X4991">
        <v>0.99973199999999995</v>
      </c>
      <c r="Y4991">
        <v>1.817916E-2</v>
      </c>
      <c r="Z4991">
        <v>4.1097179999999999E-4</v>
      </c>
      <c r="AA4991">
        <v>0.99983469999999997</v>
      </c>
      <c r="AB4991">
        <v>27</v>
      </c>
      <c r="AC4991">
        <v>-19.437099999999901</v>
      </c>
      <c r="AD4991">
        <v>-1.1096961497040001</v>
      </c>
      <c r="AE4991">
        <v>0.392099999999999</v>
      </c>
      <c r="AF4991">
        <v>0.35537583575278497</v>
      </c>
      <c r="AG4991">
        <v>-1.1096961497040001</v>
      </c>
      <c r="AH4991">
        <v>19.3746597416961</v>
      </c>
      <c r="AI4991">
        <v>93.277521239468101</v>
      </c>
      <c r="AJ4991">
        <v>88.949181416162801</v>
      </c>
      <c r="AK4991">
        <v>19.409666602901801</v>
      </c>
      <c r="AL4991">
        <v>88.719731631254604</v>
      </c>
      <c r="AM4991">
        <v>89.652283949134301</v>
      </c>
      <c r="AN4991">
        <v>1.0000000473186901</v>
      </c>
    </row>
    <row r="4992" spans="1:40" x14ac:dyDescent="0.25">
      <c r="A4992" t="str">
        <f>"20190312160432971"</f>
        <v>20190312160432971</v>
      </c>
      <c r="B4992" t="str">
        <f>"1552377872959708"</f>
        <v>1552377872959708</v>
      </c>
      <c r="C4992" t="s">
        <v>40</v>
      </c>
      <c r="D4992">
        <v>5.1102600000000002</v>
      </c>
      <c r="E4992">
        <v>0.50391319999999995</v>
      </c>
      <c r="F4992" t="s">
        <v>60</v>
      </c>
      <c r="G4992">
        <v>-293.22219999999999</v>
      </c>
      <c r="H4992" s="1">
        <v>-9.1530319999999995E-6</v>
      </c>
      <c r="I4992">
        <v>141.5539</v>
      </c>
      <c r="J4992">
        <v>-273.95569999999998</v>
      </c>
      <c r="K4992">
        <v>1.1096919999999999</v>
      </c>
      <c r="L4992">
        <v>141.16030000000001</v>
      </c>
      <c r="M4992">
        <v>-0.99993120000000002</v>
      </c>
      <c r="N4992">
        <v>0</v>
      </c>
      <c r="O4992">
        <v>1.879379E-3</v>
      </c>
      <c r="P4992">
        <v>-0.99990999999999997</v>
      </c>
      <c r="Q4992">
        <v>1.075009E-2</v>
      </c>
      <c r="R4992">
        <v>8.0444780000000007E-3</v>
      </c>
      <c r="S4992">
        <v>-3.0016479999999999</v>
      </c>
      <c r="T4992">
        <v>-0.17165449999999999</v>
      </c>
      <c r="U4992">
        <v>6.0943600000000001E-2</v>
      </c>
      <c r="V4992">
        <v>6.1707089999999999E-3</v>
      </c>
      <c r="W4992">
        <v>2.2332069999999999E-2</v>
      </c>
      <c r="X4992">
        <v>0.9997315</v>
      </c>
      <c r="Y4992">
        <v>1.8393079999999999E-2</v>
      </c>
      <c r="Z4992">
        <v>4.1805329999999998E-4</v>
      </c>
      <c r="AA4992">
        <v>0.99983069999999996</v>
      </c>
      <c r="AB4992">
        <v>27</v>
      </c>
      <c r="AC4992">
        <v>-19.266500000000001</v>
      </c>
      <c r="AD4992">
        <v>-1.109701153032</v>
      </c>
      <c r="AE4992">
        <v>0.39359999999999201</v>
      </c>
      <c r="AF4992">
        <v>0.35620661171877699</v>
      </c>
      <c r="AG4992">
        <v>-1.109701153032</v>
      </c>
      <c r="AH4992">
        <v>19.2035252871175</v>
      </c>
      <c r="AI4992">
        <v>93.306667024549299</v>
      </c>
      <c r="AJ4992">
        <v>88.937341193029297</v>
      </c>
      <c r="AK4992">
        <v>19.2388591983058</v>
      </c>
      <c r="AL4992">
        <v>88.720360179741206</v>
      </c>
      <c r="AM4992">
        <v>89.646353953563107</v>
      </c>
      <c r="AN4992">
        <v>0.99999993554614597</v>
      </c>
    </row>
    <row r="4993" spans="1:40" x14ac:dyDescent="0.25">
      <c r="A4993" t="str">
        <f>"20190312160432984"</f>
        <v>20190312160432984</v>
      </c>
      <c r="B4993" t="str">
        <f>"1552377872970444"</f>
        <v>1552377872970444</v>
      </c>
      <c r="C4993" t="s">
        <v>40</v>
      </c>
      <c r="D4993">
        <v>5.0760990000000001</v>
      </c>
      <c r="E4993">
        <v>0.50392870000000001</v>
      </c>
      <c r="F4993" t="s">
        <v>60</v>
      </c>
      <c r="G4993">
        <v>-293.31560000000002</v>
      </c>
      <c r="H4993" s="1">
        <v>-9.1456740000000001E-6</v>
      </c>
      <c r="I4993">
        <v>141.55719999999999</v>
      </c>
      <c r="J4993">
        <v>-274.10730000000001</v>
      </c>
      <c r="K4993">
        <v>1.109701</v>
      </c>
      <c r="L4993">
        <v>141.16059999999999</v>
      </c>
      <c r="M4993">
        <v>-0.9999304</v>
      </c>
      <c r="N4993">
        <v>0</v>
      </c>
      <c r="O4993">
        <v>1.931264E-3</v>
      </c>
      <c r="P4993">
        <v>-0.99991209999999997</v>
      </c>
      <c r="Q4993">
        <v>1.047092E-2</v>
      </c>
      <c r="R4993">
        <v>8.1500559999999993E-3</v>
      </c>
      <c r="S4993">
        <v>-3.001617</v>
      </c>
      <c r="T4993">
        <v>-0.17205119999999999</v>
      </c>
      <c r="U4993">
        <v>6.1538700000000002E-2</v>
      </c>
      <c r="V4993">
        <v>6.2243769999999997E-3</v>
      </c>
      <c r="W4993">
        <v>2.2113250000000001E-2</v>
      </c>
      <c r="X4993">
        <v>0.99973610000000002</v>
      </c>
      <c r="Y4993">
        <v>1.8539259999999998E-2</v>
      </c>
      <c r="Z4993">
        <v>4.202357E-4</v>
      </c>
      <c r="AA4993">
        <v>0.99982800000000005</v>
      </c>
      <c r="AB4993">
        <v>27</v>
      </c>
      <c r="AC4993">
        <v>-19.208300000000001</v>
      </c>
      <c r="AD4993">
        <v>-1.1097101456739999</v>
      </c>
      <c r="AE4993">
        <v>0.396600000000006</v>
      </c>
      <c r="AF4993">
        <v>0.35830506056025002</v>
      </c>
      <c r="AG4993">
        <v>-1.1097101456739999</v>
      </c>
      <c r="AH4993">
        <v>19.1451574919605</v>
      </c>
      <c r="AI4993">
        <v>93.316742156352205</v>
      </c>
      <c r="AJ4993">
        <v>88.927824364859802</v>
      </c>
      <c r="AK4993">
        <v>19.180638532536001</v>
      </c>
      <c r="AL4993">
        <v>88.7329008269529</v>
      </c>
      <c r="AM4993">
        <v>89.643279937331798</v>
      </c>
      <c r="AN4993">
        <v>1.0000000041688999</v>
      </c>
    </row>
    <row r="4994" spans="1:40" x14ac:dyDescent="0.25">
      <c r="A4994" t="str">
        <f>"20190312160433000"</f>
        <v>20190312160433000</v>
      </c>
      <c r="B4994" t="str">
        <f>"1552377872989965"</f>
        <v>1552377872989965</v>
      </c>
      <c r="C4994" t="s">
        <v>40</v>
      </c>
      <c r="D4994">
        <v>5.0692219999999999</v>
      </c>
      <c r="E4994">
        <v>0.50393149999999998</v>
      </c>
      <c r="F4994" t="s">
        <v>60</v>
      </c>
      <c r="G4994">
        <v>-293.25110000000001</v>
      </c>
      <c r="H4994" s="1">
        <v>-9.1511199999999992E-6</v>
      </c>
      <c r="I4994">
        <v>141.55629999999999</v>
      </c>
      <c r="J4994">
        <v>-274.30889999999999</v>
      </c>
      <c r="K4994">
        <v>1.1097140000000001</v>
      </c>
      <c r="L4994">
        <v>141.1611</v>
      </c>
      <c r="M4994">
        <v>-0.99992919999999996</v>
      </c>
      <c r="N4994">
        <v>0</v>
      </c>
      <c r="O4994">
        <v>2.0050279999999998E-3</v>
      </c>
      <c r="P4994">
        <v>-0.99991319999999995</v>
      </c>
      <c r="Q4994">
        <v>1.0293729999999999E-2</v>
      </c>
      <c r="R4994">
        <v>8.2339119999999995E-3</v>
      </c>
      <c r="S4994">
        <v>-3.0015869999999998</v>
      </c>
      <c r="T4994">
        <v>-0.1739935</v>
      </c>
      <c r="U4994">
        <v>6.2042239999999999E-2</v>
      </c>
      <c r="V4994">
        <v>6.2343429999999998E-3</v>
      </c>
      <c r="W4994">
        <v>2.2017910000000002E-2</v>
      </c>
      <c r="X4994">
        <v>0.99973820000000002</v>
      </c>
      <c r="Y4994">
        <v>1.8632719999999998E-2</v>
      </c>
      <c r="Z4994">
        <v>4.2340930000000002E-4</v>
      </c>
      <c r="AA4994">
        <v>0.99982629999999995</v>
      </c>
      <c r="AB4994">
        <v>27</v>
      </c>
      <c r="AC4994">
        <v>-18.9422</v>
      </c>
      <c r="AD4994">
        <v>-1.1097231511200001</v>
      </c>
      <c r="AE4994">
        <v>0.39519999999998801</v>
      </c>
      <c r="AF4994">
        <v>0.35599564631396502</v>
      </c>
      <c r="AG4994">
        <v>-1.1097231511200001</v>
      </c>
      <c r="AH4994">
        <v>18.878189446630898</v>
      </c>
      <c r="AI4994">
        <v>93.3635696587898</v>
      </c>
      <c r="AJ4994">
        <v>88.919672309493805</v>
      </c>
      <c r="AK4994">
        <v>18.914128453492399</v>
      </c>
      <c r="AL4994">
        <v>88.738364809805006</v>
      </c>
      <c r="AM4994">
        <v>89.642709549527098</v>
      </c>
      <c r="AN4994">
        <v>1.0000000619663201</v>
      </c>
    </row>
    <row r="4995" spans="1:40" x14ac:dyDescent="0.25">
      <c r="A4995" t="str">
        <f>"20190312160433023"</f>
        <v>20190312160433023</v>
      </c>
      <c r="B4995" t="str">
        <f>"1552377873020220"</f>
        <v>1552377873020220</v>
      </c>
      <c r="C4995" t="s">
        <v>40</v>
      </c>
      <c r="D4995">
        <v>5.0031080000000001</v>
      </c>
      <c r="E4995">
        <v>0.49563990000000002</v>
      </c>
      <c r="F4995" t="s">
        <v>60</v>
      </c>
      <c r="G4995">
        <v>-293.34699999999998</v>
      </c>
      <c r="H4995" s="1">
        <v>-9.1428350000000007E-6</v>
      </c>
      <c r="I4995">
        <v>141.55690000000001</v>
      </c>
      <c r="J4995">
        <v>-274.57159999999999</v>
      </c>
      <c r="K4995">
        <v>1.1097379999999999</v>
      </c>
      <c r="L4995">
        <v>141.1618</v>
      </c>
      <c r="M4995">
        <v>-0.99992789999999998</v>
      </c>
      <c r="N4995">
        <v>0</v>
      </c>
      <c r="O4995">
        <v>2.1070139999999999E-3</v>
      </c>
      <c r="P4995">
        <v>-0.99991439999999998</v>
      </c>
      <c r="Q4995">
        <v>1.0136650000000001E-2</v>
      </c>
      <c r="R4995">
        <v>8.3021190000000002E-3</v>
      </c>
      <c r="S4995">
        <v>-3.0015869999999998</v>
      </c>
      <c r="T4995">
        <v>-0.17496159999999999</v>
      </c>
      <c r="U4995">
        <v>6.2393190000000001E-2</v>
      </c>
      <c r="V4995">
        <v>6.2002769999999997E-3</v>
      </c>
      <c r="W4995">
        <v>2.1969280000000001E-2</v>
      </c>
      <c r="X4995">
        <v>0.99973939999999994</v>
      </c>
      <c r="Y4995">
        <v>1.864743E-2</v>
      </c>
      <c r="Z4995">
        <v>4.2024949999999999E-4</v>
      </c>
      <c r="AA4995">
        <v>0.99982599999999999</v>
      </c>
      <c r="AB4995">
        <v>27</v>
      </c>
      <c r="AC4995">
        <v>-18.775399999999902</v>
      </c>
      <c r="AD4995">
        <v>-1.1097471428350001</v>
      </c>
      <c r="AE4995">
        <v>0.395100000000013</v>
      </c>
      <c r="AF4995">
        <v>0.35429910605174902</v>
      </c>
      <c r="AG4995">
        <v>-1.1097471428350001</v>
      </c>
      <c r="AH4995">
        <v>18.710852085231799</v>
      </c>
      <c r="AI4995">
        <v>93.393649395192398</v>
      </c>
      <c r="AJ4995">
        <v>88.915206121903395</v>
      </c>
      <c r="AK4995">
        <v>18.747081168358001</v>
      </c>
      <c r="AL4995">
        <v>88.741151674710196</v>
      </c>
      <c r="AM4995">
        <v>89.644662249678305</v>
      </c>
      <c r="AN4995">
        <v>0.99999998030547699</v>
      </c>
    </row>
    <row r="4996" spans="1:40" x14ac:dyDescent="0.25">
      <c r="A4996" t="str">
        <f>"20190312160433045"</f>
        <v>20190312160433045</v>
      </c>
      <c r="B4996" t="str">
        <f>"1552377873039740"</f>
        <v>1552377873039740</v>
      </c>
      <c r="C4996" t="s">
        <v>40</v>
      </c>
      <c r="D4996">
        <v>4.9493470000000004</v>
      </c>
      <c r="E4996">
        <v>0.49430819999999998</v>
      </c>
      <c r="F4996" t="s">
        <v>41</v>
      </c>
      <c r="G4996">
        <v>-320.4579</v>
      </c>
      <c r="H4996" s="1">
        <v>-4.3757209999999901E-6</v>
      </c>
      <c r="I4996">
        <v>141.05690000000001</v>
      </c>
      <c r="J4996">
        <v>-274.84109999999998</v>
      </c>
      <c r="K4996">
        <v>1.1097520000000001</v>
      </c>
      <c r="L4996">
        <v>141.16249999999999</v>
      </c>
      <c r="M4996">
        <v>-0.99992630000000005</v>
      </c>
      <c r="N4996">
        <v>0</v>
      </c>
      <c r="O4996">
        <v>2.2144199999999999E-3</v>
      </c>
      <c r="P4996">
        <v>-0.99991640000000004</v>
      </c>
      <c r="Q4996">
        <v>9.9476679999999998E-3</v>
      </c>
      <c r="R4996">
        <v>8.2603969999999992E-3</v>
      </c>
      <c r="S4996">
        <v>-3.0010379999999999</v>
      </c>
      <c r="T4996">
        <v>-7.2579030000000003E-2</v>
      </c>
      <c r="U4996">
        <v>-6.8511960000000004E-3</v>
      </c>
      <c r="V4996">
        <v>6.0507869999999898E-3</v>
      </c>
      <c r="W4996">
        <v>2.18911E-2</v>
      </c>
      <c r="X4996">
        <v>0.99974200000000002</v>
      </c>
      <c r="Y4996">
        <v>-4.4955419999999999E-3</v>
      </c>
      <c r="Z4996">
        <v>-1.079044E-4</v>
      </c>
      <c r="AA4996">
        <v>0.99998989999999999</v>
      </c>
      <c r="AB4996">
        <v>27</v>
      </c>
      <c r="AC4996">
        <v>-45.616799999999998</v>
      </c>
      <c r="AD4996">
        <v>-1.1097563757210001</v>
      </c>
      <c r="AE4996">
        <v>-0.105599999999981</v>
      </c>
      <c r="AF4996">
        <v>-0.206499478540627</v>
      </c>
      <c r="AG4996">
        <v>-1.1097563757210001</v>
      </c>
      <c r="AH4996">
        <v>45.5894726671334</v>
      </c>
      <c r="AI4996">
        <v>91.394426091832401</v>
      </c>
      <c r="AJ4996">
        <v>90.2595219243792</v>
      </c>
      <c r="AK4996">
        <v>45.603445257078903</v>
      </c>
      <c r="AL4996">
        <v>88.745632097629098</v>
      </c>
      <c r="AM4996">
        <v>89.6532302085932</v>
      </c>
      <c r="AN4996">
        <v>0.99999994942326298</v>
      </c>
    </row>
    <row r="4997" spans="1:40" x14ac:dyDescent="0.25">
      <c r="A4997" t="str">
        <f>"20190312160433057"</f>
        <v>20190312160433057</v>
      </c>
      <c r="B4997" t="str">
        <f>"1552377873049500"</f>
        <v>1552377873049500</v>
      </c>
      <c r="C4997" t="s">
        <v>40</v>
      </c>
      <c r="D4997">
        <v>4.9141440000000003</v>
      </c>
      <c r="E4997">
        <v>0.49353249999999999</v>
      </c>
      <c r="F4997" t="s">
        <v>41</v>
      </c>
      <c r="G4997">
        <v>-333.7</v>
      </c>
      <c r="H4997" s="1">
        <v>-3.2758200000000002E-6</v>
      </c>
      <c r="I4997">
        <v>140.80869999999999</v>
      </c>
      <c r="J4997">
        <v>-274.99360000000001</v>
      </c>
      <c r="K4997">
        <v>1.1097600000000001</v>
      </c>
      <c r="L4997">
        <v>141.16290000000001</v>
      </c>
      <c r="M4997">
        <v>-0.99992539999999996</v>
      </c>
      <c r="N4997">
        <v>0</v>
      </c>
      <c r="O4997">
        <v>2.273649E-3</v>
      </c>
      <c r="P4997">
        <v>-0.99991529999999995</v>
      </c>
      <c r="Q4997">
        <v>1.0025330000000001E-2</v>
      </c>
      <c r="R4997">
        <v>8.2991750000000006E-3</v>
      </c>
      <c r="S4997">
        <v>-3.0009769999999998</v>
      </c>
      <c r="T4997">
        <v>-5.6581970000000002E-2</v>
      </c>
      <c r="U4997">
        <v>-1.8035889999999999E-2</v>
      </c>
      <c r="V4997">
        <v>6.0301869999999898E-3</v>
      </c>
      <c r="W4997">
        <v>2.202935E-2</v>
      </c>
      <c r="X4997">
        <v>0.99973909999999999</v>
      </c>
      <c r="Y4997">
        <v>-8.2817789999999995E-3</v>
      </c>
      <c r="Z4997">
        <v>-1.2093440000000001E-4</v>
      </c>
      <c r="AA4997">
        <v>0.99996569999999996</v>
      </c>
      <c r="AB4997">
        <v>27</v>
      </c>
      <c r="AC4997">
        <v>-58.706399999999903</v>
      </c>
      <c r="AD4997">
        <v>-1.10976327582</v>
      </c>
      <c r="AE4997">
        <v>-0.35420000000002</v>
      </c>
      <c r="AF4997">
        <v>-0.48751224054896702</v>
      </c>
      <c r="AG4997">
        <v>-1.10976327582</v>
      </c>
      <c r="AH4997">
        <v>58.684472912169298</v>
      </c>
      <c r="AI4997">
        <v>91.083335636861193</v>
      </c>
      <c r="AJ4997">
        <v>90.475964934643201</v>
      </c>
      <c r="AK4997">
        <v>58.696989732797903</v>
      </c>
      <c r="AL4997">
        <v>88.737709060575199</v>
      </c>
      <c r="AM4997">
        <v>89.654409760701597</v>
      </c>
      <c r="AN4997">
        <v>0.99999996174274297</v>
      </c>
    </row>
    <row r="4998" spans="1:40" x14ac:dyDescent="0.25">
      <c r="A4998" t="str">
        <f>"20190312160433069"</f>
        <v>20190312160433069</v>
      </c>
      <c r="B4998" t="str">
        <f>"1552377873060236"</f>
        <v>1552377873060236</v>
      </c>
      <c r="C4998" t="s">
        <v>40</v>
      </c>
      <c r="D4998">
        <v>4.9079839999999999</v>
      </c>
      <c r="E4998">
        <v>0.49352679999999999</v>
      </c>
      <c r="F4998" t="s">
        <v>41</v>
      </c>
      <c r="G4998">
        <v>-336.3098</v>
      </c>
      <c r="H4998" s="1">
        <v>-2.004861E-6</v>
      </c>
      <c r="I4998">
        <v>140.6687</v>
      </c>
      <c r="J4998">
        <v>-275.14060000000001</v>
      </c>
      <c r="K4998">
        <v>1.1097680000000001</v>
      </c>
      <c r="L4998">
        <v>141.16329999999999</v>
      </c>
      <c r="M4998">
        <v>-0.99992460000000005</v>
      </c>
      <c r="N4998">
        <v>0</v>
      </c>
      <c r="O4998">
        <v>2.329743E-3</v>
      </c>
      <c r="P4998">
        <v>-0.99991540000000001</v>
      </c>
      <c r="Q4998">
        <v>1.014055E-2</v>
      </c>
      <c r="R4998">
        <v>8.1644779999999993E-3</v>
      </c>
      <c r="S4998">
        <v>-3.001007</v>
      </c>
      <c r="T4998">
        <v>-5.4315210000000003E-2</v>
      </c>
      <c r="U4998">
        <v>-2.4185180000000001E-2</v>
      </c>
      <c r="V4998">
        <v>5.8395740000000002E-3</v>
      </c>
      <c r="W4998">
        <v>2.2203359999999998E-2</v>
      </c>
      <c r="X4998">
        <v>0.99973639999999997</v>
      </c>
      <c r="Y4998">
        <v>-1.038649E-2</v>
      </c>
      <c r="Z4998">
        <v>-1.3614829999999999E-4</v>
      </c>
      <c r="AA4998">
        <v>0.99994609999999995</v>
      </c>
      <c r="AB4998">
        <v>27</v>
      </c>
      <c r="AC4998">
        <v>-61.169199999999897</v>
      </c>
      <c r="AD4998">
        <v>-1.109770004861</v>
      </c>
      <c r="AE4998">
        <v>-0.49459999999999099</v>
      </c>
      <c r="AF4998">
        <v>-0.636907904496264</v>
      </c>
      <c r="AG4998">
        <v>-1.109770004861</v>
      </c>
      <c r="AH4998">
        <v>61.1477558274388</v>
      </c>
      <c r="AI4998">
        <v>91.039689991895699</v>
      </c>
      <c r="AJ4998">
        <v>90.596764587242205</v>
      </c>
      <c r="AK4998">
        <v>61.161141943840299</v>
      </c>
      <c r="AL4998">
        <v>88.727736605144301</v>
      </c>
      <c r="AM4998">
        <v>89.665332642420594</v>
      </c>
      <c r="AN4998">
        <v>0.99999997965237497</v>
      </c>
    </row>
    <row r="4999" spans="1:40" x14ac:dyDescent="0.25">
      <c r="A4999" t="str">
        <f>"20190312160433090"</f>
        <v>20190312160433090</v>
      </c>
      <c r="B4999" t="str">
        <f>"1552377873079756"</f>
        <v>1552377873079756</v>
      </c>
      <c r="C4999" t="s">
        <v>40</v>
      </c>
      <c r="D4999">
        <v>4.8763489999999896</v>
      </c>
      <c r="E4999">
        <v>0.4943302</v>
      </c>
      <c r="F4999" t="s">
        <v>41</v>
      </c>
      <c r="G4999">
        <v>-337.20179999999999</v>
      </c>
      <c r="H4999" s="1">
        <v>-1.5798980000000001E-6</v>
      </c>
      <c r="I4999">
        <v>140.65620000000001</v>
      </c>
      <c r="J4999">
        <v>-275.38409999999999</v>
      </c>
      <c r="K4999">
        <v>1.1097779999999999</v>
      </c>
      <c r="L4999">
        <v>141.16390000000001</v>
      </c>
      <c r="M4999">
        <v>-0.99992309999999995</v>
      </c>
      <c r="N4999">
        <v>0</v>
      </c>
      <c r="O4999">
        <v>2.4200939999999998E-3</v>
      </c>
      <c r="P4999">
        <v>-0.99990990000000002</v>
      </c>
      <c r="Q4999">
        <v>1.0619719999999999E-2</v>
      </c>
      <c r="R4999">
        <v>8.2032619999999994E-3</v>
      </c>
      <c r="S4999">
        <v>-3.001007</v>
      </c>
      <c r="T4999">
        <v>-5.366361E-2</v>
      </c>
      <c r="U4999">
        <v>-2.452087E-2</v>
      </c>
      <c r="V4999">
        <v>5.7880839999999998E-3</v>
      </c>
      <c r="W4999">
        <v>2.277494E-2</v>
      </c>
      <c r="X4999">
        <v>0.9997239</v>
      </c>
      <c r="Y4999">
        <v>-1.05887E-2</v>
      </c>
      <c r="Z4999">
        <v>-1.3793860000000001E-4</v>
      </c>
      <c r="AA4999">
        <v>0.9999439</v>
      </c>
      <c r="AB4999">
        <v>27</v>
      </c>
      <c r="AC4999">
        <v>-61.817700000000002</v>
      </c>
      <c r="AD4999">
        <v>-1.1097795798979999</v>
      </c>
      <c r="AE4999">
        <v>-0.50769999999999904</v>
      </c>
      <c r="AF4999">
        <v>-0.65710246142685402</v>
      </c>
      <c r="AG4999">
        <v>-1.1097795798979999</v>
      </c>
      <c r="AH4999">
        <v>61.796375117975501</v>
      </c>
      <c r="AI4999">
        <v>91.028786207687801</v>
      </c>
      <c r="AJ4999">
        <v>90.609223094349403</v>
      </c>
      <c r="AK4999">
        <v>61.809832325305003</v>
      </c>
      <c r="AL4999">
        <v>88.694979273789201</v>
      </c>
      <c r="AM4999">
        <v>89.668279332672498</v>
      </c>
      <c r="AN4999">
        <v>1.0000000380198</v>
      </c>
    </row>
    <row r="5000" spans="1:40" x14ac:dyDescent="0.25">
      <c r="A5000" t="str">
        <f>"20190312160433104"</f>
        <v>20190312160433104</v>
      </c>
      <c r="B5000" t="str">
        <f>"1552377873100252"</f>
        <v>1552377873100252</v>
      </c>
      <c r="C5000" t="s">
        <v>40</v>
      </c>
      <c r="D5000">
        <v>4.8659970000000001</v>
      </c>
      <c r="E5000">
        <v>0.49457820000000002</v>
      </c>
      <c r="F5000" t="s">
        <v>41</v>
      </c>
      <c r="G5000">
        <v>-343.03199999999998</v>
      </c>
      <c r="H5000" s="1">
        <v>-3.274485E-6</v>
      </c>
      <c r="I5000">
        <v>140.75489999999999</v>
      </c>
      <c r="J5000">
        <v>-275.55549999999999</v>
      </c>
      <c r="K5000">
        <v>1.1097859999999999</v>
      </c>
      <c r="L5000">
        <v>141.1644</v>
      </c>
      <c r="M5000">
        <v>-0.99992230000000004</v>
      </c>
      <c r="N5000">
        <v>0</v>
      </c>
      <c r="O5000">
        <v>2.4823620000000001E-3</v>
      </c>
      <c r="P5000">
        <v>-0.9999112</v>
      </c>
      <c r="Q5000">
        <v>1.036921E-2</v>
      </c>
      <c r="R5000">
        <v>8.3767459999999992E-3</v>
      </c>
      <c r="S5000">
        <v>-3.0009459999999999</v>
      </c>
      <c r="T5000">
        <v>-4.9231289999999997E-2</v>
      </c>
      <c r="U5000">
        <v>-1.8142700000000001E-2</v>
      </c>
      <c r="V5000">
        <v>5.8993759999999996E-3</v>
      </c>
      <c r="W5000">
        <v>2.2588540000000001E-2</v>
      </c>
      <c r="X5000">
        <v>0.99972740000000004</v>
      </c>
      <c r="Y5000">
        <v>-8.5265519999999997E-3</v>
      </c>
      <c r="Z5000">
        <v>-1.106586E-4</v>
      </c>
      <c r="AA5000">
        <v>0.99996359999999995</v>
      </c>
      <c r="AB5000">
        <v>27</v>
      </c>
      <c r="AC5000">
        <v>-67.476499999999902</v>
      </c>
      <c r="AD5000">
        <v>-1.109789274485</v>
      </c>
      <c r="AE5000">
        <v>-0.40950000000000802</v>
      </c>
      <c r="AF5000">
        <v>-0.57685630025456103</v>
      </c>
      <c r="AG5000">
        <v>-1.109789274485</v>
      </c>
      <c r="AH5000">
        <v>67.457028647382003</v>
      </c>
      <c r="AI5000">
        <v>90.942498992367206</v>
      </c>
      <c r="AJ5000">
        <v>90.489950809155701</v>
      </c>
      <c r="AK5000">
        <v>67.468623147049698</v>
      </c>
      <c r="AL5000">
        <v>88.705661853374394</v>
      </c>
      <c r="AM5000">
        <v>89.661902411298797</v>
      </c>
      <c r="AN5000">
        <v>0.99999995954363896</v>
      </c>
    </row>
    <row r="5001" spans="1:40" x14ac:dyDescent="0.25">
      <c r="A5001" t="str">
        <f>"20190312160433123"</f>
        <v>20190312160433123</v>
      </c>
      <c r="B5001" t="str">
        <f>"1552377873119771"</f>
        <v>1552377873119771</v>
      </c>
      <c r="C5001" t="s">
        <v>40</v>
      </c>
      <c r="D5001">
        <v>4.8544470000000004</v>
      </c>
      <c r="E5001">
        <v>0.49473489999999998</v>
      </c>
      <c r="F5001" t="s">
        <v>41</v>
      </c>
      <c r="G5001">
        <v>-352.21730000000002</v>
      </c>
      <c r="H5001" s="1">
        <v>-3.6257240000000001E-6</v>
      </c>
      <c r="I5001">
        <v>140.76130000000001</v>
      </c>
      <c r="J5001">
        <v>-275.77859999999998</v>
      </c>
      <c r="K5001">
        <v>1.109799</v>
      </c>
      <c r="L5001">
        <v>141.1651</v>
      </c>
      <c r="M5001">
        <v>-0.99992110000000001</v>
      </c>
      <c r="N5001">
        <v>0</v>
      </c>
      <c r="O5001">
        <v>2.5642299999999998E-3</v>
      </c>
      <c r="P5001">
        <v>-0.99991209999999997</v>
      </c>
      <c r="Q5001">
        <v>1.049868E-2</v>
      </c>
      <c r="R5001">
        <v>8.1073269999999992E-3</v>
      </c>
      <c r="S5001">
        <v>-3.0008849999999998</v>
      </c>
      <c r="T5001">
        <v>-4.3442130000000002E-2</v>
      </c>
      <c r="U5001">
        <v>-1.5777590000000001E-2</v>
      </c>
      <c r="V5001">
        <v>5.5480800000000004E-3</v>
      </c>
      <c r="W5001">
        <v>2.2802590000000001E-2</v>
      </c>
      <c r="X5001">
        <v>0.99972459999999996</v>
      </c>
      <c r="Y5001">
        <v>-7.8208569999999901E-3</v>
      </c>
      <c r="Z5001" s="1">
        <v>-9.3727289999999999E-5</v>
      </c>
      <c r="AA5001">
        <v>0.99996940000000001</v>
      </c>
      <c r="AB5001">
        <v>27</v>
      </c>
      <c r="AC5001">
        <v>-76.438699999999997</v>
      </c>
      <c r="AD5001">
        <v>-1.1098026257239999</v>
      </c>
      <c r="AE5001">
        <v>-0.403799999999989</v>
      </c>
      <c r="AF5001">
        <v>-0.59969349132579297</v>
      </c>
      <c r="AG5001">
        <v>-1.1098026257239999</v>
      </c>
      <c r="AH5001">
        <v>76.421304194331199</v>
      </c>
      <c r="AI5001">
        <v>90.831974545102497</v>
      </c>
      <c r="AJ5001">
        <v>90.449602387246102</v>
      </c>
      <c r="AK5001">
        <v>76.431714810765001</v>
      </c>
      <c r="AL5001">
        <v>88.693394594230796</v>
      </c>
      <c r="AM5001">
        <v>89.682034127125704</v>
      </c>
      <c r="AN5001">
        <v>1.0000000075737701</v>
      </c>
    </row>
    <row r="5002" spans="1:40" x14ac:dyDescent="0.25">
      <c r="A5002" t="str">
        <f>"20190312160433146"</f>
        <v>20190312160433146</v>
      </c>
      <c r="B5002" t="str">
        <f>"1552377873140269"</f>
        <v>1552377873140269</v>
      </c>
      <c r="C5002" t="s">
        <v>40</v>
      </c>
      <c r="D5002">
        <v>4.7628000000000004</v>
      </c>
      <c r="E5002">
        <v>0.49488840000000001</v>
      </c>
      <c r="F5002" t="s">
        <v>41</v>
      </c>
      <c r="G5002">
        <v>-365.3143</v>
      </c>
      <c r="H5002" s="1">
        <v>-2.2811079999999999E-6</v>
      </c>
      <c r="I5002">
        <v>140.7011</v>
      </c>
      <c r="J5002">
        <v>-276.04790000000003</v>
      </c>
      <c r="K5002">
        <v>1.1098170000000001</v>
      </c>
      <c r="L5002">
        <v>141.16589999999999</v>
      </c>
      <c r="M5002">
        <v>-0.99991940000000001</v>
      </c>
      <c r="N5002">
        <v>0</v>
      </c>
      <c r="O5002">
        <v>2.6651930000000002E-3</v>
      </c>
      <c r="P5002">
        <v>-0.99991359999999996</v>
      </c>
      <c r="Q5002">
        <v>1.0514819999999999E-2</v>
      </c>
      <c r="R5002">
        <v>7.9023830000000007E-3</v>
      </c>
      <c r="S5002">
        <v>-3.0008240000000002</v>
      </c>
      <c r="T5002">
        <v>-3.7195440000000003E-2</v>
      </c>
      <c r="U5002">
        <v>-1.554871E-2</v>
      </c>
      <c r="V5002">
        <v>5.2422559999999998E-3</v>
      </c>
      <c r="W5002">
        <v>2.2936539999999998E-2</v>
      </c>
      <c r="X5002">
        <v>0.99972320000000003</v>
      </c>
      <c r="Y5002">
        <v>-7.8459469999999903E-3</v>
      </c>
      <c r="Z5002" s="1">
        <v>-8.1659719999999995E-5</v>
      </c>
      <c r="AA5002">
        <v>0.9999692</v>
      </c>
      <c r="AB5002">
        <v>27</v>
      </c>
      <c r="AC5002">
        <v>-89.266399999999905</v>
      </c>
      <c r="AD5002">
        <v>-1.1098192811079901</v>
      </c>
      <c r="AE5002">
        <v>-0.46479999999999599</v>
      </c>
      <c r="AF5002">
        <v>-0.70262026356350504</v>
      </c>
      <c r="AG5002">
        <v>-1.1098192811079901</v>
      </c>
      <c r="AH5002">
        <v>89.2510487675859</v>
      </c>
      <c r="AI5002">
        <v>90.712402986505595</v>
      </c>
      <c r="AJ5002">
        <v>90.451046174210205</v>
      </c>
      <c r="AK5002">
        <v>89.260714091841606</v>
      </c>
      <c r="AL5002">
        <v>88.685717834943304</v>
      </c>
      <c r="AM5002">
        <v>89.699560447297699</v>
      </c>
      <c r="AN5002">
        <v>1.00000002136669</v>
      </c>
    </row>
    <row r="5003" spans="1:40" x14ac:dyDescent="0.25">
      <c r="A5003" t="str">
        <f>"20190312160433158"</f>
        <v>20190312160433158</v>
      </c>
      <c r="B5003" t="str">
        <f>"1552377873150028"</f>
        <v>1552377873150028</v>
      </c>
      <c r="C5003" t="s">
        <v>40</v>
      </c>
      <c r="D5003">
        <v>4.7966639999999998</v>
      </c>
      <c r="E5003">
        <v>0.49488209999999999</v>
      </c>
      <c r="F5003" t="s">
        <v>41</v>
      </c>
      <c r="G5003">
        <v>-374.221</v>
      </c>
      <c r="H5003" s="1">
        <v>-2.7425629999999998E-6</v>
      </c>
      <c r="I5003">
        <v>140.67259999999999</v>
      </c>
      <c r="J5003">
        <v>-276.21030000000002</v>
      </c>
      <c r="K5003">
        <v>1.1098319999999999</v>
      </c>
      <c r="L5003">
        <v>141.16640000000001</v>
      </c>
      <c r="M5003">
        <v>-0.99991799999999997</v>
      </c>
      <c r="N5003">
        <v>0</v>
      </c>
      <c r="O5003">
        <v>2.7274489999999998E-3</v>
      </c>
      <c r="P5003">
        <v>-0.99991300000000005</v>
      </c>
      <c r="Q5003">
        <v>1.0539649999999999E-2</v>
      </c>
      <c r="R5003">
        <v>7.9084259999999997E-3</v>
      </c>
      <c r="S5003">
        <v>-3.0007630000000001</v>
      </c>
      <c r="T5003">
        <v>-3.3922790000000001E-2</v>
      </c>
      <c r="U5003">
        <v>-1.5075679999999999E-2</v>
      </c>
      <c r="V5003">
        <v>5.1858590000000001E-3</v>
      </c>
      <c r="W5003">
        <v>2.3041889999999999E-2</v>
      </c>
      <c r="X5003">
        <v>0.99972110000000003</v>
      </c>
      <c r="Y5003">
        <v>-7.7508259999999997E-3</v>
      </c>
      <c r="Z5003" s="1">
        <v>-7.4643100000000004E-5</v>
      </c>
      <c r="AA5003">
        <v>0.99997000000000003</v>
      </c>
      <c r="AB5003">
        <v>27</v>
      </c>
      <c r="AC5003">
        <v>-98.0107</v>
      </c>
      <c r="AD5003">
        <v>-1.109834742563</v>
      </c>
      <c r="AE5003">
        <v>-0.493800000000021</v>
      </c>
      <c r="AF5003">
        <v>-0.76104069489154302</v>
      </c>
      <c r="AG5003">
        <v>-1.109834742563</v>
      </c>
      <c r="AH5003">
        <v>97.996423288810405</v>
      </c>
      <c r="AI5003">
        <v>90.648842160759997</v>
      </c>
      <c r="AJ5003">
        <v>90.444950354483197</v>
      </c>
      <c r="AK5003">
        <v>98.005662558317496</v>
      </c>
      <c r="AL5003">
        <v>88.679680166567707</v>
      </c>
      <c r="AM5003">
        <v>89.702791939831599</v>
      </c>
      <c r="AN5003">
        <v>1.00000004980677</v>
      </c>
    </row>
    <row r="5004" spans="1:40" x14ac:dyDescent="0.25">
      <c r="A5004" t="str">
        <f>"20190312160433171"</f>
        <v>20190312160433171</v>
      </c>
      <c r="B5004" t="str">
        <f>"1552377873159789"</f>
        <v>1552377873159789</v>
      </c>
      <c r="C5004" t="s">
        <v>40</v>
      </c>
      <c r="D5004">
        <v>4.7984970000000002</v>
      </c>
      <c r="E5004">
        <v>0.49491469999999999</v>
      </c>
      <c r="F5004" t="s">
        <v>41</v>
      </c>
      <c r="G5004">
        <v>-382.5763</v>
      </c>
      <c r="H5004" s="1">
        <v>-3.436169E-6</v>
      </c>
      <c r="I5004">
        <v>140.6276</v>
      </c>
      <c r="J5004">
        <v>-276.35300000000001</v>
      </c>
      <c r="K5004">
        <v>1.1098429999999999</v>
      </c>
      <c r="L5004">
        <v>141.16679999999999</v>
      </c>
      <c r="M5004">
        <v>-0.9999171</v>
      </c>
      <c r="N5004">
        <v>0</v>
      </c>
      <c r="O5004">
        <v>2.782423E-3</v>
      </c>
      <c r="P5004">
        <v>-0.99990829999999997</v>
      </c>
      <c r="Q5004">
        <v>1.08523E-2</v>
      </c>
      <c r="R5004">
        <v>8.1111020000000002E-3</v>
      </c>
      <c r="S5004">
        <v>-3.0007630000000001</v>
      </c>
      <c r="T5004">
        <v>-3.1310320000000003E-2</v>
      </c>
      <c r="U5004">
        <v>-1.5197749999999999E-2</v>
      </c>
      <c r="V5004">
        <v>5.3338099999999996E-3</v>
      </c>
      <c r="W5004">
        <v>2.3426599999999999E-2</v>
      </c>
      <c r="X5004">
        <v>0.99971129999999997</v>
      </c>
      <c r="Y5004">
        <v>-7.8465749999999997E-3</v>
      </c>
      <c r="Z5004" s="1">
        <v>-6.9968160000000003E-5</v>
      </c>
      <c r="AA5004">
        <v>0.9999692</v>
      </c>
      <c r="AB5004">
        <v>27</v>
      </c>
      <c r="AC5004">
        <v>-106.22329999999999</v>
      </c>
      <c r="AD5004">
        <v>-1.1098464361689999</v>
      </c>
      <c r="AE5004">
        <v>-0.53919999999999302</v>
      </c>
      <c r="AF5004">
        <v>-0.83468830796260995</v>
      </c>
      <c r="AG5004">
        <v>-1.1098464361689999</v>
      </c>
      <c r="AH5004">
        <v>106.209794181437</v>
      </c>
      <c r="AI5004">
        <v>90.598675851202103</v>
      </c>
      <c r="AJ5004">
        <v>90.450270458513998</v>
      </c>
      <c r="AK5004">
        <v>106.218872352075</v>
      </c>
      <c r="AL5004">
        <v>88.657631848065293</v>
      </c>
      <c r="AM5004">
        <v>89.694309845256399</v>
      </c>
      <c r="AN5004">
        <v>0.99999996923218204</v>
      </c>
    </row>
    <row r="5005" spans="1:40" x14ac:dyDescent="0.25">
      <c r="A5005" t="str">
        <f>"20190312160433190"</f>
        <v>20190312160433190</v>
      </c>
      <c r="B5005" t="str">
        <f>"1552377873180283"</f>
        <v>1552377873180283</v>
      </c>
      <c r="C5005" t="s">
        <v>40</v>
      </c>
      <c r="D5005">
        <v>4.7397780000000003</v>
      </c>
      <c r="E5005">
        <v>0.49504969999999998</v>
      </c>
      <c r="F5005" t="s">
        <v>41</v>
      </c>
      <c r="G5005">
        <v>-393.92</v>
      </c>
      <c r="H5005" s="1">
        <v>-2.8527249999999999E-6</v>
      </c>
      <c r="I5005">
        <v>140.60120000000001</v>
      </c>
      <c r="J5005">
        <v>-276.57139999999998</v>
      </c>
      <c r="K5005">
        <v>1.1098669999999999</v>
      </c>
      <c r="L5005">
        <v>141.16749999999999</v>
      </c>
      <c r="M5005">
        <v>-0.99991549999999996</v>
      </c>
      <c r="N5005">
        <v>0</v>
      </c>
      <c r="O5005">
        <v>2.866885E-3</v>
      </c>
      <c r="P5005">
        <v>-0.99990579999999996</v>
      </c>
      <c r="Q5005">
        <v>1.0987810000000001E-2</v>
      </c>
      <c r="R5005">
        <v>8.2477909999999904E-3</v>
      </c>
      <c r="S5005">
        <v>-3.000702</v>
      </c>
      <c r="T5005">
        <v>-2.832699E-2</v>
      </c>
      <c r="U5005">
        <v>-1.4434809999999999E-2</v>
      </c>
      <c r="V5005">
        <v>5.3861119999999898E-3</v>
      </c>
      <c r="W5005">
        <v>2.3674959999999998E-2</v>
      </c>
      <c r="X5005">
        <v>0.99970519999999996</v>
      </c>
      <c r="Y5005">
        <v>-7.67701699999999E-3</v>
      </c>
      <c r="Z5005" s="1">
        <v>-6.3300130000000003E-5</v>
      </c>
      <c r="AA5005">
        <v>0.99997060000000004</v>
      </c>
      <c r="AB5005">
        <v>27</v>
      </c>
      <c r="AC5005">
        <v>-117.3486</v>
      </c>
      <c r="AD5005">
        <v>-1.1098698527249999</v>
      </c>
      <c r="AE5005">
        <v>-0.56629999999998304</v>
      </c>
      <c r="AF5005">
        <v>-0.90266891760794798</v>
      </c>
      <c r="AG5005">
        <v>-1.1098698527249999</v>
      </c>
      <c r="AH5005">
        <v>117.33599837564999</v>
      </c>
      <c r="AI5005">
        <v>90.541923036038597</v>
      </c>
      <c r="AJ5005">
        <v>90.440769241641107</v>
      </c>
      <c r="AK5005">
        <v>117.344719255173</v>
      </c>
      <c r="AL5005">
        <v>88.643397962213399</v>
      </c>
      <c r="AM5005">
        <v>89.691310498655696</v>
      </c>
      <c r="AN5005">
        <v>1.0000000004202501</v>
      </c>
    </row>
    <row r="5006" spans="1:40" x14ac:dyDescent="0.25">
      <c r="A5006" t="str">
        <f>"20190312160433201"</f>
        <v>20190312160433201</v>
      </c>
      <c r="B5006" t="str">
        <f>"1552377873190045"</f>
        <v>1552377873190045</v>
      </c>
      <c r="C5006" t="s">
        <v>40</v>
      </c>
      <c r="D5006">
        <v>4.7337429999999996</v>
      </c>
      <c r="E5006">
        <v>0.49511860000000002</v>
      </c>
      <c r="F5006" t="s">
        <v>60</v>
      </c>
      <c r="G5006">
        <v>-412.4708</v>
      </c>
      <c r="H5006" s="1">
        <v>-1.079373E-5</v>
      </c>
      <c r="I5006">
        <v>140.57669999999999</v>
      </c>
      <c r="J5006">
        <v>-276.72430000000003</v>
      </c>
      <c r="K5006">
        <v>1.109877</v>
      </c>
      <c r="L5006">
        <v>141.16810000000001</v>
      </c>
      <c r="M5006">
        <v>-0.99991430000000003</v>
      </c>
      <c r="N5006">
        <v>0</v>
      </c>
      <c r="O5006">
        <v>2.9259379999999999E-3</v>
      </c>
      <c r="P5006">
        <v>-0.99990259999999997</v>
      </c>
      <c r="Q5006">
        <v>1.128025E-2</v>
      </c>
      <c r="R5006">
        <v>8.2346050000000007E-3</v>
      </c>
      <c r="S5006">
        <v>-3.0006710000000001</v>
      </c>
      <c r="T5006">
        <v>-2.450621E-2</v>
      </c>
      <c r="U5006">
        <v>-1.304626E-2</v>
      </c>
      <c r="V5006">
        <v>5.3138049999999996E-3</v>
      </c>
      <c r="W5006">
        <v>2.4045360000000002E-2</v>
      </c>
      <c r="X5006">
        <v>0.99969669999999999</v>
      </c>
      <c r="Y5006">
        <v>-7.2735309999999997E-3</v>
      </c>
      <c r="Z5006" s="1">
        <v>-5.3597819999999897E-5</v>
      </c>
      <c r="AA5006">
        <v>0.99997349999999996</v>
      </c>
      <c r="AB5006">
        <v>27</v>
      </c>
      <c r="AC5006">
        <v>-135.746499999999</v>
      </c>
      <c r="AD5006">
        <v>-1.10988779373</v>
      </c>
      <c r="AE5006">
        <v>-0.59140000000002102</v>
      </c>
      <c r="AF5006">
        <v>-0.98854956871774302</v>
      </c>
      <c r="AG5006">
        <v>-1.10988779373</v>
      </c>
      <c r="AH5006">
        <v>135.73511458407299</v>
      </c>
      <c r="AI5006">
        <v>90.468477025849793</v>
      </c>
      <c r="AJ5006">
        <v>90.417273871404205</v>
      </c>
      <c r="AK5006">
        <v>135.74325181133599</v>
      </c>
      <c r="AL5006">
        <v>88.622169497694301</v>
      </c>
      <c r="AM5006">
        <v>89.695451898213094</v>
      </c>
      <c r="AN5006">
        <v>0.99999995392599705</v>
      </c>
    </row>
    <row r="5007" spans="1:40" x14ac:dyDescent="0.25">
      <c r="A5007" t="str">
        <f>"20190312160433214"</f>
        <v>20190312160433214</v>
      </c>
      <c r="B5007" t="str">
        <f>"1552377873209565"</f>
        <v>1552377873209565</v>
      </c>
      <c r="C5007" t="s">
        <v>40</v>
      </c>
      <c r="D5007">
        <v>4.70451</v>
      </c>
      <c r="E5007">
        <v>0.49510939999999998</v>
      </c>
      <c r="F5007" t="s">
        <v>60</v>
      </c>
      <c r="G5007">
        <v>-429.55369999999999</v>
      </c>
      <c r="H5007" s="1">
        <v>-1.152797E-5</v>
      </c>
      <c r="I5007">
        <v>140.52850000000001</v>
      </c>
      <c r="J5007">
        <v>-276.86219999999997</v>
      </c>
      <c r="K5007">
        <v>1.1098889999999999</v>
      </c>
      <c r="L5007">
        <v>141.16849999999999</v>
      </c>
      <c r="M5007">
        <v>-0.9999133</v>
      </c>
      <c r="N5007">
        <v>0</v>
      </c>
      <c r="O5007">
        <v>2.9789069999999998E-3</v>
      </c>
      <c r="P5007">
        <v>-0.99990420000000002</v>
      </c>
      <c r="Q5007">
        <v>1.096829E-2</v>
      </c>
      <c r="R5007">
        <v>8.4603619999999904E-3</v>
      </c>
      <c r="S5007">
        <v>-3.0006409999999999</v>
      </c>
      <c r="T5007">
        <v>-2.1791459999999999E-2</v>
      </c>
      <c r="U5007">
        <v>-1.255798E-2</v>
      </c>
      <c r="V5007">
        <v>5.4865649999999997E-3</v>
      </c>
      <c r="W5007">
        <v>2.38032E-2</v>
      </c>
      <c r="X5007">
        <v>0.99970159999999997</v>
      </c>
      <c r="Y5007">
        <v>-7.1639030000000001E-3</v>
      </c>
      <c r="Z5007" s="1">
        <v>-4.7647659999999998E-5</v>
      </c>
      <c r="AA5007">
        <v>0.99997429999999998</v>
      </c>
      <c r="AB5007">
        <v>27</v>
      </c>
      <c r="AC5007">
        <v>-152.69149999999999</v>
      </c>
      <c r="AD5007">
        <v>-1.1099005279699901</v>
      </c>
      <c r="AE5007">
        <v>-0.63999999999998602</v>
      </c>
      <c r="AF5007">
        <v>-1.0948305120672801</v>
      </c>
      <c r="AG5007">
        <v>-1.1099005279699901</v>
      </c>
      <c r="AH5007">
        <v>152.68084868537099</v>
      </c>
      <c r="AI5007">
        <v>90.416488783989706</v>
      </c>
      <c r="AJ5007">
        <v>90.410844536412398</v>
      </c>
      <c r="AK5007">
        <v>152.68880799953001</v>
      </c>
      <c r="AL5007">
        <v>88.636048268575493</v>
      </c>
      <c r="AM5007">
        <v>89.685552306410102</v>
      </c>
      <c r="AN5007">
        <v>0.99999999188414901</v>
      </c>
    </row>
    <row r="5008" spans="1:40" x14ac:dyDescent="0.25">
      <c r="A5008" t="str">
        <f>"20190312160433226"</f>
        <v>20190312160433226</v>
      </c>
      <c r="B5008" t="str">
        <f>"1552377873220302"</f>
        <v>1552377873220302</v>
      </c>
      <c r="C5008" t="s">
        <v>40</v>
      </c>
      <c r="D5008">
        <v>4.7039839999999904</v>
      </c>
      <c r="E5008">
        <v>0.49511270000000002</v>
      </c>
      <c r="F5008" t="s">
        <v>41</v>
      </c>
      <c r="G5008">
        <v>-445.16019999999997</v>
      </c>
      <c r="H5008" s="1">
        <v>-1.2787849999999999E-6</v>
      </c>
      <c r="I5008">
        <v>140.494</v>
      </c>
      <c r="J5008">
        <v>-277.01710000000003</v>
      </c>
      <c r="K5008">
        <v>1.1099000000000001</v>
      </c>
      <c r="L5008">
        <v>141.16899999999899</v>
      </c>
      <c r="M5008">
        <v>-0.99991209999999997</v>
      </c>
      <c r="N5008">
        <v>0</v>
      </c>
      <c r="O5008">
        <v>3.0381449999999999E-3</v>
      </c>
      <c r="P5008">
        <v>-0.99990500000000004</v>
      </c>
      <c r="Q5008">
        <v>1.080183E-2</v>
      </c>
      <c r="R5008">
        <v>8.5442460000000001E-3</v>
      </c>
      <c r="S5008">
        <v>-3.00061</v>
      </c>
      <c r="T5008">
        <v>-1.9788380000000001E-2</v>
      </c>
      <c r="U5008">
        <v>-1.202393E-2</v>
      </c>
      <c r="V5008">
        <v>5.5110840000000003E-3</v>
      </c>
      <c r="W5008">
        <v>2.371357E-2</v>
      </c>
      <c r="X5008">
        <v>0.99970360000000003</v>
      </c>
      <c r="Y5008">
        <v>-7.0452639999999999E-3</v>
      </c>
      <c r="Z5008" s="1">
        <v>-4.3267959999999997E-5</v>
      </c>
      <c r="AA5008">
        <v>0.99997519999999995</v>
      </c>
      <c r="AB5008">
        <v>27</v>
      </c>
      <c r="AC5008">
        <v>-168.14309999999901</v>
      </c>
      <c r="AD5008">
        <v>-1.109901278785</v>
      </c>
      <c r="AE5008">
        <v>-0.67499999999998195</v>
      </c>
      <c r="AF5008">
        <v>-1.1858308830562001</v>
      </c>
      <c r="AG5008">
        <v>-1.109901278785</v>
      </c>
      <c r="AH5008">
        <v>168.13294711937101</v>
      </c>
      <c r="AI5008">
        <v>90.378213519602397</v>
      </c>
      <c r="AJ5008">
        <v>90.404096754550395</v>
      </c>
      <c r="AK5008">
        <v>168.14079214389599</v>
      </c>
      <c r="AL5008">
        <v>88.641185145801003</v>
      </c>
      <c r="AM5008">
        <v>89.684147726259496</v>
      </c>
      <c r="AN5008">
        <v>0.99999999665098005</v>
      </c>
    </row>
    <row r="5009" spans="1:40" x14ac:dyDescent="0.25">
      <c r="A5009" t="str">
        <f>"20190312160433238"</f>
        <v>20190312160433238</v>
      </c>
      <c r="B5009" t="str">
        <f>"1552377873230061"</f>
        <v>1552377873230061</v>
      </c>
      <c r="C5009" t="s">
        <v>40</v>
      </c>
      <c r="D5009">
        <v>4.7350339999999997</v>
      </c>
      <c r="E5009">
        <v>0.49512499999999998</v>
      </c>
      <c r="F5009" t="s">
        <v>41</v>
      </c>
      <c r="G5009">
        <v>-453.37360000000001</v>
      </c>
      <c r="H5009" s="1">
        <v>-2.0408500000000001E-6</v>
      </c>
      <c r="I5009">
        <v>140.47749999999999</v>
      </c>
      <c r="J5009">
        <v>-277.15800000000002</v>
      </c>
      <c r="K5009">
        <v>1.1099079999999999</v>
      </c>
      <c r="L5009">
        <v>141.1695</v>
      </c>
      <c r="M5009">
        <v>-0.99991099999999999</v>
      </c>
      <c r="N5009">
        <v>0</v>
      </c>
      <c r="O5009">
        <v>3.0917879999999998E-3</v>
      </c>
      <c r="P5009">
        <v>-0.9999055</v>
      </c>
      <c r="Q5009">
        <v>1.060753E-2</v>
      </c>
      <c r="R5009">
        <v>8.7375309999999998E-3</v>
      </c>
      <c r="S5009">
        <v>-3.0005799999999998</v>
      </c>
      <c r="T5009">
        <v>-1.888418E-2</v>
      </c>
      <c r="U5009">
        <v>-1.176453E-2</v>
      </c>
      <c r="V5009">
        <v>5.6508419999999997E-3</v>
      </c>
      <c r="W5009">
        <v>2.358582E-2</v>
      </c>
      <c r="X5009">
        <v>0.99970590000000004</v>
      </c>
      <c r="Y5009">
        <v>-7.0125269999999898E-3</v>
      </c>
      <c r="Z5009" s="1">
        <v>-4.1525990000000001E-5</v>
      </c>
      <c r="AA5009">
        <v>0.99997539999999996</v>
      </c>
      <c r="AB5009">
        <v>27</v>
      </c>
      <c r="AC5009">
        <v>-176.21559999999999</v>
      </c>
      <c r="AD5009">
        <v>-1.10991004085</v>
      </c>
      <c r="AE5009">
        <v>-0.69200000000000705</v>
      </c>
      <c r="AF5009">
        <v>-1.2368147917071699</v>
      </c>
      <c r="AG5009">
        <v>-1.10991004085</v>
      </c>
      <c r="AH5009">
        <v>176.20562755638699</v>
      </c>
      <c r="AI5009">
        <v>90.360889458378097</v>
      </c>
      <c r="AJ5009">
        <v>90.402161411233195</v>
      </c>
      <c r="AK5009">
        <v>176.21346371281601</v>
      </c>
      <c r="AL5009">
        <v>88.648506807937807</v>
      </c>
      <c r="AM5009">
        <v>89.676138803291707</v>
      </c>
      <c r="AN5009">
        <v>1.00000005470759</v>
      </c>
    </row>
    <row r="5010" spans="1:40" x14ac:dyDescent="0.25">
      <c r="A5010" t="str">
        <f>"20190312160433251"</f>
        <v>20190312160433251</v>
      </c>
      <c r="B5010" t="str">
        <f>"1552377873239821"</f>
        <v>1552377873239821</v>
      </c>
      <c r="C5010" t="s">
        <v>40</v>
      </c>
      <c r="D5010">
        <v>4.7573290000000004</v>
      </c>
      <c r="E5010">
        <v>0.49513190000000001</v>
      </c>
      <c r="F5010" t="s">
        <v>41</v>
      </c>
      <c r="G5010">
        <v>-459.82459999999998</v>
      </c>
      <c r="H5010" s="1">
        <v>7.2365279999999898E-7</v>
      </c>
      <c r="I5010">
        <v>140.48849999999999</v>
      </c>
      <c r="J5010">
        <v>-277.30189999999999</v>
      </c>
      <c r="K5010">
        <v>1.1099129999999999</v>
      </c>
      <c r="L5010">
        <v>141.16999999999999</v>
      </c>
      <c r="M5010">
        <v>-0.99990999999999997</v>
      </c>
      <c r="N5010">
        <v>0</v>
      </c>
      <c r="O5010">
        <v>3.1462059999999999E-3</v>
      </c>
      <c r="P5010">
        <v>-0.99990210000000002</v>
      </c>
      <c r="Q5010">
        <v>1.0759400000000001E-2</v>
      </c>
      <c r="R5010">
        <v>8.9465080000000006E-3</v>
      </c>
      <c r="S5010">
        <v>-3.0005489999999999</v>
      </c>
      <c r="T5010">
        <v>-1.8231750000000001E-2</v>
      </c>
      <c r="U5010">
        <v>-1.1184690000000001E-2</v>
      </c>
      <c r="V5010">
        <v>5.8054100000000004E-3</v>
      </c>
      <c r="W5010">
        <v>2.3803669999999999E-2</v>
      </c>
      <c r="X5010">
        <v>0.99969980000000003</v>
      </c>
      <c r="Y5010">
        <v>-6.8737719999999898E-3</v>
      </c>
      <c r="Z5010" s="1">
        <v>-4.0000899999999998E-5</v>
      </c>
      <c r="AA5010">
        <v>0.99997639999999999</v>
      </c>
      <c r="AB5010">
        <v>27</v>
      </c>
      <c r="AC5010">
        <v>-182.52269999999999</v>
      </c>
      <c r="AD5010">
        <v>-1.1099122763472</v>
      </c>
      <c r="AE5010">
        <v>-0.681499999999999</v>
      </c>
      <c r="AF5010">
        <v>-1.2557530503476699</v>
      </c>
      <c r="AG5010">
        <v>-1.1099122763472</v>
      </c>
      <c r="AH5010">
        <v>182.51290329164601</v>
      </c>
      <c r="AI5010">
        <v>90.348419201490103</v>
      </c>
      <c r="AJ5010">
        <v>90.394208920506898</v>
      </c>
      <c r="AK5010">
        <v>182.520597985351</v>
      </c>
      <c r="AL5010">
        <v>88.636021348189999</v>
      </c>
      <c r="AM5010">
        <v>89.667278364592704</v>
      </c>
      <c r="AN5010">
        <v>1.00000000380538</v>
      </c>
    </row>
    <row r="5011" spans="1:40" x14ac:dyDescent="0.25">
      <c r="A5011" t="str">
        <f>"20190312160433269"</f>
        <v>20190312160433269</v>
      </c>
      <c r="B5011" t="str">
        <f>"1552377873260316"</f>
        <v>1552377873260316</v>
      </c>
      <c r="C5011" t="s">
        <v>40</v>
      </c>
      <c r="D5011">
        <v>4.6776289999999996</v>
      </c>
      <c r="E5011">
        <v>0.49517739999999999</v>
      </c>
      <c r="F5011" t="s">
        <v>81</v>
      </c>
      <c r="G5011">
        <v>-474.18189999999998</v>
      </c>
      <c r="H5011" s="1">
        <v>-4.3474110000000002E-6</v>
      </c>
      <c r="I5011">
        <v>140.47720000000001</v>
      </c>
      <c r="J5011">
        <v>-277.50940000000003</v>
      </c>
      <c r="K5011">
        <v>1.109923</v>
      </c>
      <c r="L5011">
        <v>141.17080000000001</v>
      </c>
      <c r="M5011">
        <v>-0.99990849999999998</v>
      </c>
      <c r="N5011">
        <v>0</v>
      </c>
      <c r="O5011">
        <v>3.2249100000000001E-3</v>
      </c>
      <c r="P5011">
        <v>-0.9998977</v>
      </c>
      <c r="Q5011">
        <v>1.083479E-2</v>
      </c>
      <c r="R5011">
        <v>9.3436449999999994E-3</v>
      </c>
      <c r="S5011">
        <v>-3.00061</v>
      </c>
      <c r="T5011">
        <v>-1.691604E-2</v>
      </c>
      <c r="U5011">
        <v>-1.055908E-2</v>
      </c>
      <c r="V5011">
        <v>6.1240280000000001E-3</v>
      </c>
      <c r="W5011">
        <v>2.3968130000000001E-2</v>
      </c>
      <c r="X5011">
        <v>0.99969399999999997</v>
      </c>
      <c r="Y5011">
        <v>-6.7439479999999996E-3</v>
      </c>
      <c r="Z5011" s="1">
        <v>-3.7191299999999997E-5</v>
      </c>
      <c r="AA5011">
        <v>0.99997720000000001</v>
      </c>
      <c r="AB5011">
        <v>27</v>
      </c>
      <c r="AC5011">
        <v>-196.67250000000001</v>
      </c>
      <c r="AD5011">
        <v>-1.1099273474110001</v>
      </c>
      <c r="AE5011">
        <v>-0.69360000000000299</v>
      </c>
      <c r="AF5011">
        <v>-1.32785995382272</v>
      </c>
      <c r="AG5011">
        <v>-1.1099273474110001</v>
      </c>
      <c r="AH5011">
        <v>196.66297660063799</v>
      </c>
      <c r="AI5011">
        <v>90.323355361414201</v>
      </c>
      <c r="AJ5011">
        <v>90.386852758655195</v>
      </c>
      <c r="AK5011">
        <v>196.670591386197</v>
      </c>
      <c r="AL5011">
        <v>88.626595837020005</v>
      </c>
      <c r="AM5011">
        <v>89.649016029918997</v>
      </c>
      <c r="AN5011">
        <v>1.0000000343053199</v>
      </c>
    </row>
    <row r="5012" spans="1:40" x14ac:dyDescent="0.25">
      <c r="A5012" t="str">
        <f>"20190312160433281"</f>
        <v>20190312160433281</v>
      </c>
      <c r="B5012" t="str">
        <f>"1552377873270077"</f>
        <v>1552377873270077</v>
      </c>
      <c r="C5012" t="s">
        <v>40</v>
      </c>
      <c r="D5012">
        <v>4.6629050000000003</v>
      </c>
      <c r="E5012">
        <v>0.49519669999999999</v>
      </c>
      <c r="F5012" t="s">
        <v>81</v>
      </c>
      <c r="G5012">
        <v>-491.80970000000002</v>
      </c>
      <c r="H5012" s="1">
        <v>-9.5581870000000005E-6</v>
      </c>
      <c r="I5012">
        <v>140.53540000000001</v>
      </c>
      <c r="J5012">
        <v>-277.66820000000001</v>
      </c>
      <c r="K5012">
        <v>1.109928</v>
      </c>
      <c r="L5012">
        <v>141.1713</v>
      </c>
      <c r="M5012">
        <v>-0.99990760000000001</v>
      </c>
      <c r="N5012">
        <v>0</v>
      </c>
      <c r="O5012">
        <v>3.2851220000000001E-3</v>
      </c>
      <c r="P5012">
        <v>-0.99989539999999999</v>
      </c>
      <c r="Q5012">
        <v>1.0765240000000001E-2</v>
      </c>
      <c r="R5012">
        <v>9.6713289999999993E-3</v>
      </c>
      <c r="S5012">
        <v>-3.0005489999999999</v>
      </c>
      <c r="T5012">
        <v>-1.554084E-2</v>
      </c>
      <c r="U5012">
        <v>-8.8958739999999998E-3</v>
      </c>
      <c r="V5012">
        <v>6.3915219999999898E-3</v>
      </c>
      <c r="W5012">
        <v>2.396146E-2</v>
      </c>
      <c r="X5012">
        <v>0.99969240000000004</v>
      </c>
      <c r="Y5012">
        <v>-6.2499849999999996E-3</v>
      </c>
      <c r="Z5012" s="1">
        <v>-3.3201290000000003E-5</v>
      </c>
      <c r="AA5012">
        <v>0.99998039999999999</v>
      </c>
      <c r="AB5012">
        <v>27</v>
      </c>
      <c r="AC5012">
        <v>-214.14150000000001</v>
      </c>
      <c r="AD5012">
        <v>-1.1099375581869999</v>
      </c>
      <c r="AE5012">
        <v>-0.63589999999999203</v>
      </c>
      <c r="AF5012">
        <v>-1.3394027480167101</v>
      </c>
      <c r="AG5012">
        <v>-1.1099375581869999</v>
      </c>
      <c r="AH5012">
        <v>214.13250236211201</v>
      </c>
      <c r="AI5012">
        <v>90.296979315865698</v>
      </c>
      <c r="AJ5012">
        <v>90.358381482749195</v>
      </c>
      <c r="AK5012">
        <v>214.13956787330099</v>
      </c>
      <c r="AL5012">
        <v>88.626977992314394</v>
      </c>
      <c r="AM5012">
        <v>89.633685075922699</v>
      </c>
      <c r="AN5012">
        <v>0.99999994886828203</v>
      </c>
    </row>
    <row r="5013" spans="1:40" x14ac:dyDescent="0.25">
      <c r="A5013" t="str">
        <f>"20190312160433302"</f>
        <v>20190312160433302</v>
      </c>
      <c r="B5013" t="str">
        <f>"1552377873289597"</f>
        <v>1552377873289597</v>
      </c>
      <c r="C5013" t="s">
        <v>40</v>
      </c>
      <c r="D5013">
        <v>4.6454209999999998</v>
      </c>
      <c r="E5013">
        <v>0.49519099999999999</v>
      </c>
      <c r="F5013" t="s">
        <v>81</v>
      </c>
      <c r="G5013">
        <v>-492.11700000000002</v>
      </c>
      <c r="H5013" s="1">
        <v>-9.5522290000000008E-6</v>
      </c>
      <c r="I5013">
        <v>140.61080000000001</v>
      </c>
      <c r="J5013">
        <v>-277.90449999999998</v>
      </c>
      <c r="K5013">
        <v>1.109936</v>
      </c>
      <c r="L5013">
        <v>141.1722</v>
      </c>
      <c r="M5013">
        <v>-0.99990610000000002</v>
      </c>
      <c r="N5013">
        <v>0</v>
      </c>
      <c r="O5013">
        <v>3.375093E-3</v>
      </c>
      <c r="P5013">
        <v>-0.99988969999999999</v>
      </c>
      <c r="Q5013">
        <v>1.0954409999999999E-2</v>
      </c>
      <c r="R5013">
        <v>1.0041889999999999E-2</v>
      </c>
      <c r="S5013">
        <v>-3.0005190000000002</v>
      </c>
      <c r="T5013">
        <v>-1.552999E-2</v>
      </c>
      <c r="U5013">
        <v>-7.8430180000000002E-3</v>
      </c>
      <c r="V5013">
        <v>6.6721659999999898E-3</v>
      </c>
      <c r="W5013">
        <v>2.4237470000000001E-2</v>
      </c>
      <c r="X5013">
        <v>0.99968400000000002</v>
      </c>
      <c r="Y5013">
        <v>-5.9891179999999999E-3</v>
      </c>
      <c r="Z5013" s="1">
        <v>-3.2969100000000003E-5</v>
      </c>
      <c r="AA5013">
        <v>0.99998209999999998</v>
      </c>
      <c r="AB5013">
        <v>27</v>
      </c>
      <c r="AC5013">
        <v>-214.21250000000001</v>
      </c>
      <c r="AD5013">
        <v>-1.109945552229</v>
      </c>
      <c r="AE5013">
        <v>-0.56139999999999102</v>
      </c>
      <c r="AF5013">
        <v>-1.28441320320889</v>
      </c>
      <c r="AG5013">
        <v>-1.109945552229</v>
      </c>
      <c r="AH5013">
        <v>214.20363383915799</v>
      </c>
      <c r="AI5013">
        <v>90.296883307277795</v>
      </c>
      <c r="AJ5013">
        <v>90.343554273138096</v>
      </c>
      <c r="AK5013">
        <v>214.210360268372</v>
      </c>
      <c r="AL5013">
        <v>88.611159310486201</v>
      </c>
      <c r="AM5013">
        <v>89.617597885214096</v>
      </c>
      <c r="AN5013">
        <v>1.0000000363035599</v>
      </c>
    </row>
    <row r="5014" spans="1:40" x14ac:dyDescent="0.25">
      <c r="A5014" t="str">
        <f>"20190312160433324"</f>
        <v>20190312160433324</v>
      </c>
      <c r="B5014" t="str">
        <f>"1552377873319853"</f>
        <v>1552377873319853</v>
      </c>
      <c r="C5014" t="s">
        <v>40</v>
      </c>
      <c r="D5014">
        <v>4.7132930000000002</v>
      </c>
      <c r="E5014">
        <v>0.49526110000000001</v>
      </c>
      <c r="F5014" t="s">
        <v>81</v>
      </c>
      <c r="G5014">
        <v>-504.64440000000002</v>
      </c>
      <c r="H5014">
        <v>7.9987249999999996E-2</v>
      </c>
      <c r="I5014">
        <v>140.6557</v>
      </c>
      <c r="J5014">
        <v>-278.17149999999998</v>
      </c>
      <c r="K5014">
        <v>1.109944</v>
      </c>
      <c r="L5014">
        <v>141.17320000000001</v>
      </c>
      <c r="M5014">
        <v>-0.99990460000000003</v>
      </c>
      <c r="N5014">
        <v>0</v>
      </c>
      <c r="O5014">
        <v>3.4771479999999998E-3</v>
      </c>
      <c r="P5014">
        <v>-0.99989269999999997</v>
      </c>
      <c r="Q5014">
        <v>1.0529169999999999E-2</v>
      </c>
      <c r="R5014">
        <v>1.0192089999999999E-2</v>
      </c>
      <c r="S5014">
        <v>-3.0005799999999998</v>
      </c>
      <c r="T5014">
        <v>-1.362991E-2</v>
      </c>
      <c r="U5014">
        <v>-6.8359379999999997E-3</v>
      </c>
      <c r="V5014">
        <v>6.7202009999999899E-3</v>
      </c>
      <c r="W5014">
        <v>2.3899960000000001E-2</v>
      </c>
      <c r="X5014">
        <v>0.99969180000000002</v>
      </c>
      <c r="Y5014">
        <v>-5.7555410000000003E-3</v>
      </c>
      <c r="Z5014" s="1">
        <v>-2.886797E-5</v>
      </c>
      <c r="AA5014">
        <v>0.99998339999999997</v>
      </c>
      <c r="AB5014">
        <v>26</v>
      </c>
      <c r="AC5014">
        <v>-226.47290000000001</v>
      </c>
      <c r="AD5014">
        <v>-1.02995675</v>
      </c>
      <c r="AE5014">
        <v>-0.51750000000001195</v>
      </c>
      <c r="AF5014">
        <v>-1.30502004208472</v>
      </c>
      <c r="AG5014">
        <v>-1.02995675</v>
      </c>
      <c r="AH5014">
        <v>226.46504720895601</v>
      </c>
      <c r="AI5014">
        <v>90.2605734922397</v>
      </c>
      <c r="AJ5014">
        <v>90.330167122353402</v>
      </c>
      <c r="AK5014">
        <v>226.47114936691599</v>
      </c>
      <c r="AL5014">
        <v>88.630502806331805</v>
      </c>
      <c r="AM5014">
        <v>89.614847941037098</v>
      </c>
      <c r="AN5014">
        <v>1.00000003208836</v>
      </c>
    </row>
    <row r="5015" spans="1:40" x14ac:dyDescent="0.25">
      <c r="A5015" t="str">
        <f>"20190312160433348"</f>
        <v>20190312160433348</v>
      </c>
      <c r="B5015" t="str">
        <f>"1552377873340348"</f>
        <v>1552377873340348</v>
      </c>
      <c r="C5015" t="s">
        <v>40</v>
      </c>
      <c r="D5015">
        <v>4.6419829999999997</v>
      </c>
      <c r="E5015">
        <v>0.4952512</v>
      </c>
      <c r="F5015" t="s">
        <v>43</v>
      </c>
      <c r="G5015">
        <v>-537.96140000000003</v>
      </c>
      <c r="H5015">
        <v>-0.05</v>
      </c>
      <c r="I5015">
        <v>140.6567</v>
      </c>
      <c r="J5015">
        <v>-278.44409999999999</v>
      </c>
      <c r="K5015">
        <v>1.1099410000000001</v>
      </c>
      <c r="L5015">
        <v>141.17429999999999</v>
      </c>
      <c r="M5015">
        <v>-0.99990310000000004</v>
      </c>
      <c r="N5015">
        <v>0</v>
      </c>
      <c r="O5015">
        <v>3.5818170000000002E-3</v>
      </c>
      <c r="P5015">
        <v>-0.99989309999999998</v>
      </c>
      <c r="Q5015">
        <v>1.0086619999999999E-2</v>
      </c>
      <c r="R5015">
        <v>1.058771E-2</v>
      </c>
      <c r="S5015">
        <v>-3.0005190000000002</v>
      </c>
      <c r="T5015">
        <v>-1.33971E-2</v>
      </c>
      <c r="U5015">
        <v>-5.9661870000000004E-3</v>
      </c>
      <c r="V5015">
        <v>7.0111130000000002E-3</v>
      </c>
      <c r="W5015">
        <v>2.353719E-2</v>
      </c>
      <c r="X5015">
        <v>0.99969839999999999</v>
      </c>
      <c r="Y5015">
        <v>-5.5704119999999899E-3</v>
      </c>
      <c r="Z5015" s="1">
        <v>-2.842956E-5</v>
      </c>
      <c r="AA5015">
        <v>0.99998450000000005</v>
      </c>
      <c r="AB5015">
        <v>26</v>
      </c>
      <c r="AC5015">
        <v>-259.51729999999998</v>
      </c>
      <c r="AD5015">
        <v>-1.1599409999999899</v>
      </c>
      <c r="AE5015">
        <v>-0.51759999999998696</v>
      </c>
      <c r="AF5015">
        <v>-1.44719536203802</v>
      </c>
      <c r="AG5015">
        <v>-1.1599409999999899</v>
      </c>
      <c r="AH5015">
        <v>259.50859656092501</v>
      </c>
      <c r="AI5015">
        <v>90.256092663961596</v>
      </c>
      <c r="AJ5015">
        <v>90.319516686245805</v>
      </c>
      <c r="AK5015">
        <v>259.51522407473601</v>
      </c>
      <c r="AL5015">
        <v>88.651293832478402</v>
      </c>
      <c r="AM5015">
        <v>89.598178211803798</v>
      </c>
      <c r="AN5015">
        <v>1.0000000229905699</v>
      </c>
    </row>
    <row r="5016" spans="1:40" x14ac:dyDescent="0.25">
      <c r="A5016" t="str">
        <f>"20190312160433359"</f>
        <v>20190312160433359</v>
      </c>
      <c r="B5016" t="str">
        <f>"1552377873350108"</f>
        <v>1552377873350108</v>
      </c>
      <c r="C5016" t="s">
        <v>40</v>
      </c>
      <c r="D5016">
        <v>4.5949350000000004</v>
      </c>
      <c r="E5016">
        <v>0.48386829999999997</v>
      </c>
      <c r="F5016" t="s">
        <v>81</v>
      </c>
      <c r="G5016">
        <v>-499.96769999999998</v>
      </c>
      <c r="H5016">
        <v>5.9924440000000002E-2</v>
      </c>
      <c r="I5016">
        <v>140.81720000000001</v>
      </c>
      <c r="J5016">
        <v>-278.5933</v>
      </c>
      <c r="K5016">
        <v>1.1099410000000001</v>
      </c>
      <c r="L5016">
        <v>141.17490000000001</v>
      </c>
      <c r="M5016">
        <v>-0.99990250000000003</v>
      </c>
      <c r="N5016">
        <v>0</v>
      </c>
      <c r="O5016">
        <v>3.6389590000000002E-3</v>
      </c>
      <c r="P5016">
        <v>-0.99989119999999998</v>
      </c>
      <c r="Q5016">
        <v>1.008741E-2</v>
      </c>
      <c r="R5016">
        <v>1.077928E-2</v>
      </c>
      <c r="S5016">
        <v>-3.0005190000000002</v>
      </c>
      <c r="T5016">
        <v>-1.422238E-2</v>
      </c>
      <c r="U5016">
        <v>-4.8370359999999899E-3</v>
      </c>
      <c r="V5016">
        <v>7.1455809999999998E-3</v>
      </c>
      <c r="W5016">
        <v>2.3575809999999999E-2</v>
      </c>
      <c r="X5016">
        <v>0.99969649999999999</v>
      </c>
      <c r="Y5016">
        <v>-5.2512390000000004E-3</v>
      </c>
      <c r="Z5016" s="1">
        <v>-2.9695310000000001E-5</v>
      </c>
      <c r="AA5016">
        <v>0.99998620000000005</v>
      </c>
      <c r="AB5016">
        <v>26</v>
      </c>
      <c r="AC5016">
        <v>-221.37440000000001</v>
      </c>
      <c r="AD5016">
        <v>-1.05001656</v>
      </c>
      <c r="AE5016">
        <v>-0.35769999999999402</v>
      </c>
      <c r="AF5016">
        <v>-1.1633170403765001</v>
      </c>
      <c r="AG5016">
        <v>-1.05001656</v>
      </c>
      <c r="AH5016">
        <v>221.36665201193199</v>
      </c>
      <c r="AI5016">
        <v>90.271767381737703</v>
      </c>
      <c r="AJ5016">
        <v>90.301095682088999</v>
      </c>
      <c r="AK5016">
        <v>221.37219894170201</v>
      </c>
      <c r="AL5016">
        <v>88.649080404170107</v>
      </c>
      <c r="AM5016">
        <v>89.590471046605799</v>
      </c>
      <c r="AN5016">
        <v>0.99999998512861599</v>
      </c>
    </row>
    <row r="5017" spans="1:40" x14ac:dyDescent="0.25">
      <c r="A5017" t="str">
        <f>"20190312160433372"</f>
        <v>20190312160433372</v>
      </c>
      <c r="B5017" t="str">
        <f>"1552377873369629"</f>
        <v>1552377873369629</v>
      </c>
      <c r="C5017" t="s">
        <v>40</v>
      </c>
      <c r="D5017">
        <v>4.558243</v>
      </c>
      <c r="E5017">
        <v>0.48259220000000003</v>
      </c>
      <c r="F5017" t="s">
        <v>45</v>
      </c>
      <c r="G5017">
        <v>0</v>
      </c>
      <c r="H5017">
        <v>0</v>
      </c>
      <c r="I5017">
        <v>0</v>
      </c>
      <c r="J5017">
        <v>-278.74079999999998</v>
      </c>
      <c r="K5017">
        <v>1.109942</v>
      </c>
      <c r="L5017">
        <v>141.1755</v>
      </c>
      <c r="M5017">
        <v>-0.9999017</v>
      </c>
      <c r="N5017">
        <v>0</v>
      </c>
      <c r="O5017">
        <v>3.6954010000000001E-3</v>
      </c>
      <c r="P5017">
        <v>-0.99988999999999995</v>
      </c>
      <c r="Q5017">
        <v>1.007037E-2</v>
      </c>
      <c r="R5017">
        <v>1.0896970000000001E-2</v>
      </c>
      <c r="S5017">
        <v>-3.001099</v>
      </c>
      <c r="T5017">
        <v>2.3082490000000001E-2</v>
      </c>
      <c r="U5017">
        <v>-9.6115110000000004E-2</v>
      </c>
      <c r="V5017">
        <v>7.2067519999999899E-3</v>
      </c>
      <c r="W5017">
        <v>2.3594400000000001E-2</v>
      </c>
      <c r="X5017">
        <v>0.99969569999999996</v>
      </c>
      <c r="Y5017">
        <v>-3.5702690000000002E-2</v>
      </c>
      <c r="Z5017">
        <v>1.656816E-4</v>
      </c>
      <c r="AA5017">
        <v>0.99936250000000004</v>
      </c>
      <c r="AB5017">
        <v>26</v>
      </c>
      <c r="AC5017">
        <v>-3.001099</v>
      </c>
      <c r="AD5017">
        <v>2.3082490000000001E-2</v>
      </c>
      <c r="AE5017">
        <v>-9.6115110000000004E-2</v>
      </c>
      <c r="AF5017">
        <v>-0.10719939730898501</v>
      </c>
      <c r="AG5017">
        <v>2.3082490000000001E-2</v>
      </c>
      <c r="AH5017">
        <v>3.0005459675117101</v>
      </c>
      <c r="AI5017">
        <v>89.559526829971801</v>
      </c>
      <c r="AJ5017">
        <v>92.046114896047598</v>
      </c>
      <c r="AK5017">
        <v>3.0025490196296198</v>
      </c>
      <c r="AL5017">
        <v>88.648015084266206</v>
      </c>
      <c r="AM5017">
        <v>89.586964992564702</v>
      </c>
      <c r="AN5017">
        <v>1.00000006279211</v>
      </c>
    </row>
    <row r="5018" spans="1:40" x14ac:dyDescent="0.25">
      <c r="A5018" t="str">
        <f>"20190312160433391"</f>
        <v>20190312160433391</v>
      </c>
      <c r="B5018" t="str">
        <f>"1552377873380364"</f>
        <v>1552377873380364</v>
      </c>
      <c r="C5018" t="s">
        <v>40</v>
      </c>
      <c r="D5018">
        <v>4.58066</v>
      </c>
      <c r="E5018">
        <v>0.48249520000000001</v>
      </c>
      <c r="F5018" t="s">
        <v>45</v>
      </c>
      <c r="G5018">
        <v>0</v>
      </c>
      <c r="H5018">
        <v>0</v>
      </c>
      <c r="I5018">
        <v>0</v>
      </c>
      <c r="J5018">
        <v>-278.94909999999999</v>
      </c>
      <c r="K5018">
        <v>1.1099509999999999</v>
      </c>
      <c r="L5018">
        <v>141.1764</v>
      </c>
      <c r="M5018">
        <v>-0.99990089999999998</v>
      </c>
      <c r="N5018">
        <v>0</v>
      </c>
      <c r="O5018">
        <v>3.774838E-3</v>
      </c>
      <c r="P5018">
        <v>-0.99989399999999995</v>
      </c>
      <c r="Q5018">
        <v>9.4065260000000001E-3</v>
      </c>
      <c r="R5018">
        <v>1.1108089999999999E-2</v>
      </c>
      <c r="S5018">
        <v>-3.0011899999999998</v>
      </c>
      <c r="T5018">
        <v>2.9229399999999999E-2</v>
      </c>
      <c r="U5018">
        <v>-0.10612489999999999</v>
      </c>
      <c r="V5018">
        <v>7.3381100000000001E-3</v>
      </c>
      <c r="W5018">
        <v>2.2977069999999999E-2</v>
      </c>
      <c r="X5018">
        <v>0.99970910000000002</v>
      </c>
      <c r="Y5018">
        <v>-3.9109390000000001E-2</v>
      </c>
      <c r="Z5018">
        <v>2.2714020000000001E-4</v>
      </c>
      <c r="AA5018">
        <v>0.99923490000000004</v>
      </c>
      <c r="AB5018">
        <v>26</v>
      </c>
      <c r="AC5018">
        <v>-3.0011899999999998</v>
      </c>
      <c r="AD5018">
        <v>2.9229399999999999E-2</v>
      </c>
      <c r="AE5018">
        <v>-0.10612489999999999</v>
      </c>
      <c r="AF5018">
        <v>-0.117443065923972</v>
      </c>
      <c r="AG5018">
        <v>2.9229399999999999E-2</v>
      </c>
      <c r="AH5018">
        <v>3.00048372165215</v>
      </c>
      <c r="AI5018">
        <v>89.442294257353296</v>
      </c>
      <c r="AJ5018">
        <v>92.2414915098676</v>
      </c>
      <c r="AK5018">
        <v>3.0029235413938702</v>
      </c>
      <c r="AL5018">
        <v>88.683395048260294</v>
      </c>
      <c r="AM5018">
        <v>89.579442478009398</v>
      </c>
      <c r="AN5018">
        <v>1.00000003911348</v>
      </c>
    </row>
    <row r="5019" spans="1:40" x14ac:dyDescent="0.25">
      <c r="A5019" t="str">
        <f>"20190312160433404"</f>
        <v>20190312160433404</v>
      </c>
      <c r="B5019" t="str">
        <f>"1552377873399885"</f>
        <v>1552377873399885</v>
      </c>
      <c r="C5019" t="s">
        <v>40</v>
      </c>
      <c r="D5019">
        <v>4.6098689999999998</v>
      </c>
      <c r="E5019">
        <v>0.48228989999999999</v>
      </c>
      <c r="F5019" t="s">
        <v>45</v>
      </c>
      <c r="G5019">
        <v>0</v>
      </c>
      <c r="H5019">
        <v>0</v>
      </c>
      <c r="I5019">
        <v>0</v>
      </c>
      <c r="J5019">
        <v>-279.12040000000002</v>
      </c>
      <c r="K5019">
        <v>1.1099540000000001</v>
      </c>
      <c r="L5019">
        <v>141.1771</v>
      </c>
      <c r="M5019">
        <v>-0.99990000000000001</v>
      </c>
      <c r="N5019">
        <v>0</v>
      </c>
      <c r="O5019">
        <v>3.840408E-3</v>
      </c>
      <c r="P5019">
        <v>-0.99989150000000004</v>
      </c>
      <c r="Q5019">
        <v>9.3983780000000006E-3</v>
      </c>
      <c r="R5019">
        <v>1.1339510000000001E-2</v>
      </c>
      <c r="S5019">
        <v>-3.0012210000000001</v>
      </c>
      <c r="T5019">
        <v>2.84493E-2</v>
      </c>
      <c r="U5019">
        <v>-0.1063385</v>
      </c>
      <c r="V5019">
        <v>7.5041609999999996E-3</v>
      </c>
      <c r="W5019">
        <v>2.3002330000000001E-2</v>
      </c>
      <c r="X5019">
        <v>0.99970720000000002</v>
      </c>
      <c r="Y5019">
        <v>-3.924569E-2</v>
      </c>
      <c r="Z5019">
        <v>2.2234300000000001E-4</v>
      </c>
      <c r="AA5019">
        <v>0.99922960000000005</v>
      </c>
      <c r="AB5019">
        <v>26</v>
      </c>
      <c r="AC5019">
        <v>-3.0012210000000001</v>
      </c>
      <c r="AD5019">
        <v>2.84493E-2</v>
      </c>
      <c r="AE5019">
        <v>-0.1063385</v>
      </c>
      <c r="AF5019">
        <v>-0.117854119871492</v>
      </c>
      <c r="AG5019">
        <v>2.84493E-2</v>
      </c>
      <c r="AH5019">
        <v>3.00052116579608</v>
      </c>
      <c r="AI5019">
        <v>89.457187571385901</v>
      </c>
      <c r="AJ5019">
        <v>92.249300706244199</v>
      </c>
      <c r="AK5019">
        <v>3.0029695673835</v>
      </c>
      <c r="AL5019">
        <v>88.6819472603581</v>
      </c>
      <c r="AM5019">
        <v>89.569925395161107</v>
      </c>
      <c r="AN5019">
        <v>0.99999995267479003</v>
      </c>
    </row>
    <row r="5020" spans="1:40" x14ac:dyDescent="0.25">
      <c r="A5020" t="str">
        <f>"20190312160433425"</f>
        <v>20190312160433425</v>
      </c>
      <c r="B5020" t="str">
        <f>"1552377873420381"</f>
        <v>1552377873420381</v>
      </c>
      <c r="C5020" t="s">
        <v>40</v>
      </c>
      <c r="D5020">
        <v>4.8107600000000001</v>
      </c>
      <c r="E5020">
        <v>0.48201240000000001</v>
      </c>
      <c r="F5020" t="s">
        <v>45</v>
      </c>
      <c r="G5020">
        <v>0</v>
      </c>
      <c r="H5020">
        <v>0</v>
      </c>
      <c r="I5020">
        <v>0</v>
      </c>
      <c r="J5020">
        <v>-279.35730000000001</v>
      </c>
      <c r="K5020">
        <v>1.1099589999999999</v>
      </c>
      <c r="L5020">
        <v>141.1781</v>
      </c>
      <c r="M5020">
        <v>-0.99989910000000004</v>
      </c>
      <c r="N5020">
        <v>0</v>
      </c>
      <c r="O5020">
        <v>3.9309540000000004E-3</v>
      </c>
      <c r="P5020">
        <v>-0.99988600000000005</v>
      </c>
      <c r="Q5020">
        <v>9.828514E-3</v>
      </c>
      <c r="R5020">
        <v>1.145785E-2</v>
      </c>
      <c r="S5020">
        <v>-3.0012210000000001</v>
      </c>
      <c r="T5020">
        <v>3.3022759999999998E-2</v>
      </c>
      <c r="U5020">
        <v>-0.1074982</v>
      </c>
      <c r="V5020">
        <v>7.531935E-3</v>
      </c>
      <c r="W5020">
        <v>2.3474749999999999E-2</v>
      </c>
      <c r="X5020">
        <v>0.99969609999999998</v>
      </c>
      <c r="Y5020">
        <v>-3.9721079999999999E-2</v>
      </c>
      <c r="Z5020">
        <v>2.6169330000000001E-4</v>
      </c>
      <c r="AA5020">
        <v>0.99921079999999995</v>
      </c>
      <c r="AB5020">
        <v>26</v>
      </c>
      <c r="AC5020">
        <v>-3.0012210000000001</v>
      </c>
      <c r="AD5020">
        <v>3.3022759999999998E-2</v>
      </c>
      <c r="AE5020">
        <v>-0.1074982</v>
      </c>
      <c r="AF5020">
        <v>-0.119281707569518</v>
      </c>
      <c r="AG5020">
        <v>3.3022759999999998E-2</v>
      </c>
      <c r="AH5020">
        <v>3.00041240802534</v>
      </c>
      <c r="AI5020">
        <v>89.369921563013904</v>
      </c>
      <c r="AJ5020">
        <v>92.276600817915593</v>
      </c>
      <c r="AK5020">
        <v>3.0029640768199601</v>
      </c>
      <c r="AL5020">
        <v>88.654872396745503</v>
      </c>
      <c r="AM5020">
        <v>89.568328893348706</v>
      </c>
      <c r="AN5020">
        <v>1.0000000431438001</v>
      </c>
    </row>
    <row r="5021" spans="1:40" x14ac:dyDescent="0.25">
      <c r="A5021" t="str">
        <f>"20190312160433448"</f>
        <v>20190312160433448</v>
      </c>
      <c r="B5021" t="str">
        <f>"1552377873439900"</f>
        <v>1552377873439900</v>
      </c>
      <c r="C5021" t="s">
        <v>40</v>
      </c>
      <c r="D5021">
        <v>4.5436100000000001</v>
      </c>
      <c r="E5021">
        <v>0.48178710000000002</v>
      </c>
      <c r="F5021" t="s">
        <v>45</v>
      </c>
      <c r="G5021">
        <v>0</v>
      </c>
      <c r="H5021">
        <v>0</v>
      </c>
      <c r="I5021">
        <v>0</v>
      </c>
      <c r="J5021">
        <v>-279.62830000000002</v>
      </c>
      <c r="K5021">
        <v>1.109964</v>
      </c>
      <c r="L5021">
        <v>141.17930000000001</v>
      </c>
      <c r="M5021">
        <v>-0.99989810000000001</v>
      </c>
      <c r="N5021">
        <v>0</v>
      </c>
      <c r="O5021">
        <v>4.0348479999999997E-3</v>
      </c>
      <c r="P5021">
        <v>-0.99988770000000005</v>
      </c>
      <c r="Q5021">
        <v>9.7990579999999994E-3</v>
      </c>
      <c r="R5021">
        <v>1.1334739999999999E-2</v>
      </c>
      <c r="S5021">
        <v>-3.0012509999999999</v>
      </c>
      <c r="T5021">
        <v>3.6760090000000002E-2</v>
      </c>
      <c r="U5021">
        <v>-0.1092987</v>
      </c>
      <c r="V5021">
        <v>7.3049369999999897E-3</v>
      </c>
      <c r="W5021">
        <v>2.3487620000000001E-2</v>
      </c>
      <c r="X5021">
        <v>0.99969739999999996</v>
      </c>
      <c r="Y5021">
        <v>-4.0422510000000002E-2</v>
      </c>
      <c r="Z5021">
        <v>2.9686840000000002E-4</v>
      </c>
      <c r="AA5021">
        <v>0.99918260000000003</v>
      </c>
      <c r="AB5021">
        <v>26</v>
      </c>
      <c r="AC5021">
        <v>-3.0012509999999999</v>
      </c>
      <c r="AD5021">
        <v>3.6760090000000002E-2</v>
      </c>
      <c r="AE5021">
        <v>-0.1092987</v>
      </c>
      <c r="AF5021">
        <v>-0.121390350392964</v>
      </c>
      <c r="AG5021">
        <v>3.6760090000000002E-2</v>
      </c>
      <c r="AH5021">
        <v>3.0003360065933902</v>
      </c>
      <c r="AI5021">
        <v>89.298621502096395</v>
      </c>
      <c r="AJ5021">
        <v>92.316861657714199</v>
      </c>
      <c r="AK5021">
        <v>3.0030156632701899</v>
      </c>
      <c r="AL5021">
        <v>88.654134686124493</v>
      </c>
      <c r="AM5021">
        <v>89.581338702413106</v>
      </c>
      <c r="AN5021">
        <v>0.99999996098229804</v>
      </c>
    </row>
    <row r="5022" spans="1:40" x14ac:dyDescent="0.25">
      <c r="A5022" t="str">
        <f>"20190312160433469"</f>
        <v>20190312160433469</v>
      </c>
      <c r="B5022" t="str">
        <f>"1552377873460397"</f>
        <v>1552377873460397</v>
      </c>
      <c r="C5022" t="s">
        <v>40</v>
      </c>
      <c r="D5022">
        <v>4.5210559999999997</v>
      </c>
      <c r="E5022">
        <v>0.48183419999999999</v>
      </c>
      <c r="F5022" t="s">
        <v>45</v>
      </c>
      <c r="G5022">
        <v>0</v>
      </c>
      <c r="H5022">
        <v>0</v>
      </c>
      <c r="I5022">
        <v>0</v>
      </c>
      <c r="J5022">
        <v>-279.87169999999998</v>
      </c>
      <c r="K5022">
        <v>1.1099650000000001</v>
      </c>
      <c r="L5022">
        <v>141.18039999999999</v>
      </c>
      <c r="M5022">
        <v>-0.99989740000000005</v>
      </c>
      <c r="N5022">
        <v>0</v>
      </c>
      <c r="O5022">
        <v>4.1279619999999998E-3</v>
      </c>
      <c r="P5022">
        <v>-0.99989130000000004</v>
      </c>
      <c r="Q5022">
        <v>9.6949759999999992E-3</v>
      </c>
      <c r="R5022">
        <v>1.112134E-2</v>
      </c>
      <c r="S5022">
        <v>-3.0012509999999999</v>
      </c>
      <c r="T5022">
        <v>3.8690809999999999E-2</v>
      </c>
      <c r="U5022">
        <v>-0.1115112</v>
      </c>
      <c r="V5022">
        <v>6.9984579999999999E-3</v>
      </c>
      <c r="W5022">
        <v>2.341563E-2</v>
      </c>
      <c r="X5022">
        <v>0.99970130000000001</v>
      </c>
      <c r="Y5022">
        <v>-4.1250710000000003E-2</v>
      </c>
      <c r="Z5022">
        <v>3.1899149999999998E-4</v>
      </c>
      <c r="AA5022">
        <v>0.99914879999999995</v>
      </c>
      <c r="AB5022">
        <v>26</v>
      </c>
      <c r="AC5022">
        <v>-3.0012509999999999</v>
      </c>
      <c r="AD5022">
        <v>3.8690809999999999E-2</v>
      </c>
      <c r="AE5022">
        <v>-0.1115112</v>
      </c>
      <c r="AF5022">
        <v>-0.123879905969388</v>
      </c>
      <c r="AG5022">
        <v>3.8690809999999999E-2</v>
      </c>
      <c r="AH5022">
        <v>3.0002671329786499</v>
      </c>
      <c r="AI5022">
        <v>89.261795627409299</v>
      </c>
      <c r="AJ5022">
        <v>92.364378258924305</v>
      </c>
      <c r="AK5022">
        <v>3.0030727728633799</v>
      </c>
      <c r="AL5022">
        <v>88.658260569271604</v>
      </c>
      <c r="AM5022">
        <v>89.598904636524594</v>
      </c>
      <c r="AN5022">
        <v>0.99999997968218202</v>
      </c>
    </row>
    <row r="5023" spans="1:40" x14ac:dyDescent="0.25">
      <c r="A5023" t="str">
        <f>"20190312160433480"</f>
        <v>20190312160433480</v>
      </c>
      <c r="B5023" t="str">
        <f>"1552377873470157"</f>
        <v>1552377873470157</v>
      </c>
      <c r="C5023" t="s">
        <v>40</v>
      </c>
      <c r="D5023">
        <v>4.5201659999999997</v>
      </c>
      <c r="E5023">
        <v>0.48186709999999999</v>
      </c>
      <c r="F5023" t="s">
        <v>45</v>
      </c>
      <c r="G5023">
        <v>0</v>
      </c>
      <c r="H5023">
        <v>0</v>
      </c>
      <c r="I5023">
        <v>0</v>
      </c>
      <c r="J5023">
        <v>-280.01330000000002</v>
      </c>
      <c r="K5023">
        <v>1.109964</v>
      </c>
      <c r="L5023">
        <v>141.18100000000001</v>
      </c>
      <c r="M5023">
        <v>-0.99989689999999998</v>
      </c>
      <c r="N5023">
        <v>0</v>
      </c>
      <c r="O5023">
        <v>4.1822040000000001E-3</v>
      </c>
      <c r="P5023">
        <v>-0.99989110000000003</v>
      </c>
      <c r="Q5023">
        <v>9.5187740000000007E-3</v>
      </c>
      <c r="R5023">
        <v>1.130184E-2</v>
      </c>
      <c r="S5023">
        <v>-3.0011899999999998</v>
      </c>
      <c r="T5023">
        <v>3.9992930000000003E-2</v>
      </c>
      <c r="U5023">
        <v>-0.1119537</v>
      </c>
      <c r="V5023">
        <v>7.1248469999999897E-3</v>
      </c>
      <c r="W5023">
        <v>2.3256410000000002E-2</v>
      </c>
      <c r="X5023">
        <v>0.99970409999999998</v>
      </c>
      <c r="Y5023">
        <v>-4.1452509999999998E-2</v>
      </c>
      <c r="Z5023">
        <v>3.3179850000000002E-4</v>
      </c>
      <c r="AA5023">
        <v>0.99914040000000004</v>
      </c>
      <c r="AB5023">
        <v>26</v>
      </c>
      <c r="AC5023">
        <v>-3.0011899999999998</v>
      </c>
      <c r="AD5023">
        <v>3.9992930000000003E-2</v>
      </c>
      <c r="AE5023">
        <v>-0.1119537</v>
      </c>
      <c r="AF5023">
        <v>-0.12448341964666</v>
      </c>
      <c r="AG5023">
        <v>3.9992930000000003E-2</v>
      </c>
      <c r="AH5023">
        <v>3.0001634800533301</v>
      </c>
      <c r="AI5023">
        <v>89.236934642821296</v>
      </c>
      <c r="AJ5023">
        <v>92.375965774706202</v>
      </c>
      <c r="AK5023">
        <v>3.0030112326234502</v>
      </c>
      <c r="AL5023">
        <v>88.667385656625001</v>
      </c>
      <c r="AM5023">
        <v>89.591662421626296</v>
      </c>
      <c r="AN5023">
        <v>0.99999995580383405</v>
      </c>
    </row>
    <row r="5024" spans="1:40" x14ac:dyDescent="0.25">
      <c r="A5024" t="str">
        <f>"20190312160433494"</f>
        <v>20190312160433494</v>
      </c>
      <c r="B5024" t="str">
        <f>"1552377873489677"</f>
        <v>1552377873489677</v>
      </c>
      <c r="C5024" t="s">
        <v>40</v>
      </c>
      <c r="D5024">
        <v>4.504632</v>
      </c>
      <c r="E5024">
        <v>0.48185099999999997</v>
      </c>
      <c r="F5024" t="s">
        <v>45</v>
      </c>
      <c r="G5024">
        <v>0</v>
      </c>
      <c r="H5024">
        <v>0</v>
      </c>
      <c r="I5024">
        <v>0</v>
      </c>
      <c r="J5024">
        <v>-280.16629999999998</v>
      </c>
      <c r="K5024">
        <v>1.109966</v>
      </c>
      <c r="L5024">
        <v>141.18170000000001</v>
      </c>
      <c r="M5024">
        <v>-0.99989629999999996</v>
      </c>
      <c r="N5024">
        <v>0</v>
      </c>
      <c r="O5024">
        <v>4.2407959999999998E-3</v>
      </c>
      <c r="P5024">
        <v>-0.9998918</v>
      </c>
      <c r="Q5024">
        <v>9.1869629999999994E-3</v>
      </c>
      <c r="R5024">
        <v>1.1473550000000001E-2</v>
      </c>
      <c r="S5024">
        <v>-3.0012509999999999</v>
      </c>
      <c r="T5024">
        <v>3.9717200000000001E-2</v>
      </c>
      <c r="U5024">
        <v>-0.11106870000000001</v>
      </c>
      <c r="V5024">
        <v>7.2376740000000004E-3</v>
      </c>
      <c r="W5024">
        <v>2.2941309999999999E-2</v>
      </c>
      <c r="X5024">
        <v>0.9997106</v>
      </c>
      <c r="Y5024">
        <v>-4.121615E-2</v>
      </c>
      <c r="Z5024">
        <v>3.2871799999999998E-4</v>
      </c>
      <c r="AA5024">
        <v>0.99915019999999999</v>
      </c>
      <c r="AB5024">
        <v>26</v>
      </c>
      <c r="AC5024">
        <v>-3.0012509999999999</v>
      </c>
      <c r="AD5024">
        <v>3.9717200000000001E-2</v>
      </c>
      <c r="AE5024">
        <v>-0.11106870000000001</v>
      </c>
      <c r="AF5024">
        <v>-0.123774953142611</v>
      </c>
      <c r="AG5024">
        <v>3.9717200000000001E-2</v>
      </c>
      <c r="AH5024">
        <v>3.0002282409146099</v>
      </c>
      <c r="AI5024">
        <v>89.242203894811396</v>
      </c>
      <c r="AJ5024">
        <v>92.362407983189101</v>
      </c>
      <c r="AK5024">
        <v>3.0030429888003298</v>
      </c>
      <c r="AL5024">
        <v>88.685444415241804</v>
      </c>
      <c r="AM5024">
        <v>89.585199027870203</v>
      </c>
      <c r="AN5024">
        <v>0.99999998569090298</v>
      </c>
    </row>
    <row r="5025" spans="1:40" x14ac:dyDescent="0.25">
      <c r="A5025" t="str">
        <f>"20190312160433515"</f>
        <v>20190312160433515</v>
      </c>
      <c r="B5025" t="str">
        <f>"1552377873510173"</f>
        <v>1552377873510173</v>
      </c>
      <c r="C5025" t="s">
        <v>40</v>
      </c>
      <c r="D5025">
        <v>4.5331970000000004</v>
      </c>
      <c r="E5025">
        <v>0.4818617</v>
      </c>
      <c r="F5025" t="s">
        <v>45</v>
      </c>
      <c r="G5025">
        <v>0</v>
      </c>
      <c r="H5025">
        <v>0</v>
      </c>
      <c r="I5025">
        <v>0</v>
      </c>
      <c r="J5025">
        <v>-280.40690000000001</v>
      </c>
      <c r="K5025">
        <v>1.109969</v>
      </c>
      <c r="L5025">
        <v>141.18289999999999</v>
      </c>
      <c r="M5025">
        <v>-0.9998958</v>
      </c>
      <c r="N5025">
        <v>0</v>
      </c>
      <c r="O5025">
        <v>4.3326600000000003E-3</v>
      </c>
      <c r="P5025">
        <v>-0.99989079999999997</v>
      </c>
      <c r="Q5025">
        <v>9.2310139999999992E-3</v>
      </c>
      <c r="R5025">
        <v>1.1537510000000001E-2</v>
      </c>
      <c r="S5025">
        <v>-3.0012819999999998</v>
      </c>
      <c r="T5025">
        <v>3.9093379999999997E-2</v>
      </c>
      <c r="U5025">
        <v>-0.1106873</v>
      </c>
      <c r="V5025">
        <v>7.209745E-3</v>
      </c>
      <c r="W5025">
        <v>2.3009000000000002E-2</v>
      </c>
      <c r="X5025">
        <v>0.99970919999999996</v>
      </c>
      <c r="Y5025">
        <v>-4.118086E-2</v>
      </c>
      <c r="Z5025">
        <v>3.2451939999999997E-4</v>
      </c>
      <c r="AA5025">
        <v>0.99915160000000003</v>
      </c>
      <c r="AB5025">
        <v>26</v>
      </c>
      <c r="AC5025">
        <v>-3.0012819999999998</v>
      </c>
      <c r="AD5025">
        <v>3.9093379999999997E-2</v>
      </c>
      <c r="AE5025">
        <v>-0.1106873</v>
      </c>
      <c r="AF5025">
        <v>-0.123670074372045</v>
      </c>
      <c r="AG5025">
        <v>3.9093379999999997E-2</v>
      </c>
      <c r="AH5025">
        <v>3.0002658593119</v>
      </c>
      <c r="AI5025">
        <v>89.254113160281193</v>
      </c>
      <c r="AJ5025">
        <v>92.360378936652495</v>
      </c>
      <c r="AK5025">
        <v>3.00306806553025</v>
      </c>
      <c r="AL5025">
        <v>88.681564978990707</v>
      </c>
      <c r="AM5025">
        <v>89.586799042732807</v>
      </c>
      <c r="AN5025">
        <v>0.9999999395343</v>
      </c>
    </row>
    <row r="5026" spans="1:40" x14ac:dyDescent="0.25">
      <c r="A5026" t="str">
        <f>"20190312160433537"</f>
        <v>20190312160433537</v>
      </c>
      <c r="B5026" t="str">
        <f>"1552377873529693"</f>
        <v>1552377873529693</v>
      </c>
      <c r="C5026" t="s">
        <v>40</v>
      </c>
      <c r="D5026">
        <v>4.501538</v>
      </c>
      <c r="E5026">
        <v>0.48183120000000002</v>
      </c>
      <c r="F5026" t="s">
        <v>45</v>
      </c>
      <c r="G5026">
        <v>0</v>
      </c>
      <c r="H5026">
        <v>0</v>
      </c>
      <c r="I5026">
        <v>0</v>
      </c>
      <c r="J5026">
        <v>-280.67309999999998</v>
      </c>
      <c r="K5026">
        <v>1.109972</v>
      </c>
      <c r="L5026">
        <v>141.1841</v>
      </c>
      <c r="M5026">
        <v>-0.99989499999999998</v>
      </c>
      <c r="N5026">
        <v>0</v>
      </c>
      <c r="O5026">
        <v>4.4344249999999997E-3</v>
      </c>
      <c r="P5026">
        <v>-0.99989090000000003</v>
      </c>
      <c r="Q5026">
        <v>8.8001509999999904E-3</v>
      </c>
      <c r="R5026">
        <v>1.1879249999999999E-2</v>
      </c>
      <c r="S5026">
        <v>-3.0011899999999998</v>
      </c>
      <c r="T5026">
        <v>3.9888140000000002E-2</v>
      </c>
      <c r="U5026">
        <v>-0.1103668</v>
      </c>
      <c r="V5026">
        <v>7.4498009999999998E-3</v>
      </c>
      <c r="W5026">
        <v>2.259999E-2</v>
      </c>
      <c r="X5026">
        <v>0.99971679999999996</v>
      </c>
      <c r="Y5026">
        <v>-4.117697E-2</v>
      </c>
      <c r="Z5026">
        <v>3.3245349999999998E-4</v>
      </c>
      <c r="AA5026">
        <v>0.99915180000000003</v>
      </c>
      <c r="AB5026">
        <v>26</v>
      </c>
      <c r="AC5026">
        <v>-3.0011899999999998</v>
      </c>
      <c r="AD5026">
        <v>3.9888140000000002E-2</v>
      </c>
      <c r="AE5026">
        <v>-0.1103668</v>
      </c>
      <c r="AF5026">
        <v>-0.123653720001523</v>
      </c>
      <c r="AG5026">
        <v>3.9888140000000002E-2</v>
      </c>
      <c r="AH5026">
        <v>3.0001417830777299</v>
      </c>
      <c r="AI5026">
        <v>89.238919619003795</v>
      </c>
      <c r="AJ5026">
        <v>92.360164642967604</v>
      </c>
      <c r="AK5026">
        <v>3.0029538832209401</v>
      </c>
      <c r="AL5026">
        <v>88.705005662234896</v>
      </c>
      <c r="AM5026">
        <v>89.573044831508895</v>
      </c>
      <c r="AN5026">
        <v>0.99999996964258897</v>
      </c>
    </row>
    <row r="5027" spans="1:40" x14ac:dyDescent="0.25">
      <c r="A5027" t="str">
        <f>"20190312160433550"</f>
        <v>20190312160433550</v>
      </c>
      <c r="B5027" t="str">
        <f>"1552377873540428"</f>
        <v>1552377873540428</v>
      </c>
      <c r="C5027" t="s">
        <v>40</v>
      </c>
      <c r="D5027">
        <v>4.5209159999999997</v>
      </c>
      <c r="E5027">
        <v>0.48184290000000002</v>
      </c>
      <c r="F5027" t="s">
        <v>45</v>
      </c>
      <c r="G5027">
        <v>0</v>
      </c>
      <c r="H5027">
        <v>0</v>
      </c>
      <c r="I5027">
        <v>0</v>
      </c>
      <c r="J5027">
        <v>-280.81630000000001</v>
      </c>
      <c r="K5027">
        <v>1.1099760000000001</v>
      </c>
      <c r="L5027">
        <v>141.1848</v>
      </c>
      <c r="M5027">
        <v>-0.99989459999999997</v>
      </c>
      <c r="N5027">
        <v>0</v>
      </c>
      <c r="O5027">
        <v>4.4891840000000002E-3</v>
      </c>
      <c r="P5027">
        <v>-0.99988909999999998</v>
      </c>
      <c r="Q5027">
        <v>8.7496680000000004E-3</v>
      </c>
      <c r="R5027">
        <v>1.2057790000000001E-2</v>
      </c>
      <c r="S5027">
        <v>-3.0012819999999998</v>
      </c>
      <c r="T5027">
        <v>3.85133E-2</v>
      </c>
      <c r="U5027">
        <v>-0.1096954</v>
      </c>
      <c r="V5027">
        <v>7.5735840000000004E-3</v>
      </c>
      <c r="W5027">
        <v>2.2559940000000001E-2</v>
      </c>
      <c r="X5027">
        <v>0.99971679999999996</v>
      </c>
      <c r="Y5027">
        <v>-4.100765E-2</v>
      </c>
      <c r="Z5027">
        <v>3.206037E-4</v>
      </c>
      <c r="AA5027">
        <v>0.99915880000000001</v>
      </c>
      <c r="AB5027">
        <v>26</v>
      </c>
      <c r="AC5027">
        <v>-3.0012819999999998</v>
      </c>
      <c r="AD5027">
        <v>3.85133E-2</v>
      </c>
      <c r="AE5027">
        <v>-0.1096954</v>
      </c>
      <c r="AF5027">
        <v>-0.12314863449460201</v>
      </c>
      <c r="AG5027">
        <v>3.85133E-2</v>
      </c>
      <c r="AH5027">
        <v>3.0002658750811801</v>
      </c>
      <c r="AI5027">
        <v>89.265174403806597</v>
      </c>
      <c r="AJ5027">
        <v>92.350437858087503</v>
      </c>
      <c r="AK5027">
        <v>3.0030391575254902</v>
      </c>
      <c r="AL5027">
        <v>88.707300976438404</v>
      </c>
      <c r="AM5027">
        <v>89.565950979451301</v>
      </c>
      <c r="AN5027">
        <v>0.99999999513482396</v>
      </c>
    </row>
    <row r="5028" spans="1:40" x14ac:dyDescent="0.25">
      <c r="A5028" t="str">
        <f>"20190312160433560"</f>
        <v>20190312160433560</v>
      </c>
      <c r="B5028" t="str">
        <f>"1552377873550189"</f>
        <v>1552377873550189</v>
      </c>
      <c r="C5028" t="s">
        <v>40</v>
      </c>
      <c r="D5028">
        <v>4.5234699999999997</v>
      </c>
      <c r="E5028">
        <v>0.48187289999999999</v>
      </c>
      <c r="F5028" t="s">
        <v>45</v>
      </c>
      <c r="G5028">
        <v>0</v>
      </c>
      <c r="H5028">
        <v>0</v>
      </c>
      <c r="I5028">
        <v>0</v>
      </c>
      <c r="J5028">
        <v>-280.952</v>
      </c>
      <c r="K5028">
        <v>1.109977</v>
      </c>
      <c r="L5028">
        <v>141.18549999999999</v>
      </c>
      <c r="M5028">
        <v>-0.99989430000000001</v>
      </c>
      <c r="N5028">
        <v>0</v>
      </c>
      <c r="O5028">
        <v>4.5409170000000002E-3</v>
      </c>
      <c r="P5028">
        <v>-0.99988449999999995</v>
      </c>
      <c r="Q5028">
        <v>8.6333839999999992E-3</v>
      </c>
      <c r="R5028">
        <v>1.251217E-2</v>
      </c>
      <c r="S5028">
        <v>-3.0013429999999999</v>
      </c>
      <c r="T5028">
        <v>3.8790230000000002E-2</v>
      </c>
      <c r="U5028">
        <v>-0.1090546</v>
      </c>
      <c r="V5028">
        <v>7.9760109999999999E-3</v>
      </c>
      <c r="W5028">
        <v>2.2452679999999999E-2</v>
      </c>
      <c r="X5028">
        <v>0.9997161</v>
      </c>
      <c r="Y5028">
        <v>-4.0845480000000003E-2</v>
      </c>
      <c r="Z5028">
        <v>3.2252430000000003E-4</v>
      </c>
      <c r="AA5028">
        <v>0.99916539999999998</v>
      </c>
      <c r="AB5028">
        <v>26</v>
      </c>
      <c r="AC5028">
        <v>-3.0013429999999999</v>
      </c>
      <c r="AD5028">
        <v>3.8790230000000002E-2</v>
      </c>
      <c r="AE5028">
        <v>-0.1090546</v>
      </c>
      <c r="AF5028">
        <v>-0.122663162741068</v>
      </c>
      <c r="AG5028">
        <v>3.8790230000000002E-2</v>
      </c>
      <c r="AH5028">
        <v>3.0003162911436498</v>
      </c>
      <c r="AI5028">
        <v>89.2598987411194</v>
      </c>
      <c r="AJ5028">
        <v>92.341143087657997</v>
      </c>
      <c r="AK5028">
        <v>3.0030732226069801</v>
      </c>
      <c r="AL5028">
        <v>88.713448098087397</v>
      </c>
      <c r="AM5028">
        <v>89.542888154208697</v>
      </c>
      <c r="AN5028">
        <v>1.00000001009493</v>
      </c>
    </row>
    <row r="5029" spans="1:40" x14ac:dyDescent="0.25">
      <c r="A5029" t="str">
        <f>"20190312160433580"</f>
        <v>20190312160433580</v>
      </c>
      <c r="B5029" t="str">
        <f>"1552377873569708"</f>
        <v>1552377873569708</v>
      </c>
      <c r="C5029" t="s">
        <v>40</v>
      </c>
      <c r="D5029">
        <v>4.5152510000000001</v>
      </c>
      <c r="E5029">
        <v>0.48181499999999999</v>
      </c>
      <c r="F5029" t="s">
        <v>45</v>
      </c>
      <c r="G5029">
        <v>0</v>
      </c>
      <c r="H5029">
        <v>0</v>
      </c>
      <c r="I5029">
        <v>0</v>
      </c>
      <c r="J5029">
        <v>-281.17099999999999</v>
      </c>
      <c r="K5029">
        <v>1.1099760000000001</v>
      </c>
      <c r="L5029">
        <v>141.1866</v>
      </c>
      <c r="M5029">
        <v>-0.99989349999999999</v>
      </c>
      <c r="N5029">
        <v>0</v>
      </c>
      <c r="O5029">
        <v>4.6249230000000004E-3</v>
      </c>
      <c r="P5029">
        <v>-0.99988520000000003</v>
      </c>
      <c r="Q5029">
        <v>8.3174459999999992E-3</v>
      </c>
      <c r="R5029">
        <v>1.266687E-2</v>
      </c>
      <c r="S5029">
        <v>-3.0013730000000001</v>
      </c>
      <c r="T5029">
        <v>3.8198830000000003E-2</v>
      </c>
      <c r="U5029">
        <v>-0.1073456</v>
      </c>
      <c r="V5029">
        <v>8.0467230000000004E-3</v>
      </c>
      <c r="W5029">
        <v>2.2149970000000001E-2</v>
      </c>
      <c r="X5029">
        <v>0.99972229999999995</v>
      </c>
      <c r="Y5029">
        <v>-4.0361019999999997E-2</v>
      </c>
      <c r="Z5029">
        <v>3.1559470000000001E-4</v>
      </c>
      <c r="AA5029">
        <v>0.99918510000000005</v>
      </c>
      <c r="AB5029">
        <v>26</v>
      </c>
      <c r="AC5029">
        <v>-3.0013730000000001</v>
      </c>
      <c r="AD5029">
        <v>3.8198830000000003E-2</v>
      </c>
      <c r="AE5029">
        <v>-0.1073456</v>
      </c>
      <c r="AF5029">
        <v>-0.121207292709908</v>
      </c>
      <c r="AG5029">
        <v>3.8198830000000003E-2</v>
      </c>
      <c r="AH5029">
        <v>3.0003590055082801</v>
      </c>
      <c r="AI5029">
        <v>89.271177187995406</v>
      </c>
      <c r="AJ5029">
        <v>92.313353895739795</v>
      </c>
      <c r="AK5029">
        <v>3.0030492037850598</v>
      </c>
      <c r="AL5029">
        <v>88.730796435693307</v>
      </c>
      <c r="AM5029">
        <v>89.538838624629406</v>
      </c>
      <c r="AN5029">
        <v>1.00000002401966</v>
      </c>
    </row>
    <row r="5030" spans="1:40" x14ac:dyDescent="0.25">
      <c r="A5030" t="str">
        <f>"20190312160433594"</f>
        <v>20190312160433594</v>
      </c>
      <c r="B5030" t="str">
        <f>"1552377873590205"</f>
        <v>1552377873590205</v>
      </c>
      <c r="C5030" t="s">
        <v>40</v>
      </c>
      <c r="D5030">
        <v>4.5209140000000003</v>
      </c>
      <c r="E5030">
        <v>0.48180000000000001</v>
      </c>
      <c r="F5030" t="s">
        <v>45</v>
      </c>
      <c r="G5030">
        <v>0</v>
      </c>
      <c r="H5030">
        <v>0</v>
      </c>
      <c r="I5030">
        <v>0</v>
      </c>
      <c r="J5030">
        <v>-281.33170000000001</v>
      </c>
      <c r="K5030">
        <v>1.1099760000000001</v>
      </c>
      <c r="L5030">
        <v>141.1874</v>
      </c>
      <c r="M5030">
        <v>-0.99989329999999998</v>
      </c>
      <c r="N5030">
        <v>0</v>
      </c>
      <c r="O5030">
        <v>4.6864309999999996E-3</v>
      </c>
      <c r="P5030">
        <v>-0.99988189999999999</v>
      </c>
      <c r="Q5030">
        <v>8.4084209999999993E-3</v>
      </c>
      <c r="R5030">
        <v>1.2888739999999999E-2</v>
      </c>
      <c r="S5030">
        <v>-3.001404</v>
      </c>
      <c r="T5030">
        <v>3.7576680000000001E-2</v>
      </c>
      <c r="U5030">
        <v>-0.1074677</v>
      </c>
      <c r="V5030">
        <v>8.2073839999999999E-3</v>
      </c>
      <c r="W5030">
        <v>2.2249600000000001E-2</v>
      </c>
      <c r="X5030">
        <v>0.99971880000000002</v>
      </c>
      <c r="Y5030">
        <v>-4.0462819999999997E-2</v>
      </c>
      <c r="Z5030">
        <v>3.1185840000000001E-4</v>
      </c>
      <c r="AA5030">
        <v>0.99918099999999999</v>
      </c>
      <c r="AB5030">
        <v>26</v>
      </c>
      <c r="AC5030">
        <v>-3.001404</v>
      </c>
      <c r="AD5030">
        <v>3.7576680000000001E-2</v>
      </c>
      <c r="AE5030">
        <v>-0.1074677</v>
      </c>
      <c r="AF5030">
        <v>-0.12151471667727</v>
      </c>
      <c r="AG5030">
        <v>3.7576680000000001E-2</v>
      </c>
      <c r="AH5030">
        <v>3.0003976570794899</v>
      </c>
      <c r="AI5030">
        <v>89.283058569722698</v>
      </c>
      <c r="AJ5030">
        <v>92.319185125286793</v>
      </c>
      <c r="AK5030">
        <v>3.0030923951582098</v>
      </c>
      <c r="AL5030">
        <v>88.725086673681105</v>
      </c>
      <c r="AM5030">
        <v>89.529629832205302</v>
      </c>
      <c r="AN5030">
        <v>1.0000000424628599</v>
      </c>
    </row>
    <row r="5031" spans="1:40" x14ac:dyDescent="0.25">
      <c r="A5031" t="str">
        <f>"20190312160433605"</f>
        <v>20190312160433605</v>
      </c>
      <c r="B5031" t="str">
        <f>"1552377873599964"</f>
        <v>1552377873599964</v>
      </c>
      <c r="C5031" t="s">
        <v>40</v>
      </c>
      <c r="D5031">
        <v>4.506221</v>
      </c>
      <c r="E5031">
        <v>0.48176530000000001</v>
      </c>
      <c r="F5031" t="s">
        <v>45</v>
      </c>
      <c r="G5031">
        <v>0</v>
      </c>
      <c r="H5031">
        <v>0</v>
      </c>
      <c r="I5031">
        <v>0</v>
      </c>
      <c r="J5031">
        <v>-281.4776</v>
      </c>
      <c r="K5031">
        <v>1.1099779999999999</v>
      </c>
      <c r="L5031">
        <v>141.18819999999999</v>
      </c>
      <c r="M5031">
        <v>-0.99989280000000003</v>
      </c>
      <c r="N5031">
        <v>0</v>
      </c>
      <c r="O5031">
        <v>4.7423470000000001E-3</v>
      </c>
      <c r="P5031">
        <v>-0.99988299999999997</v>
      </c>
      <c r="Q5031">
        <v>8.2601600000000008E-3</v>
      </c>
      <c r="R5031">
        <v>1.2880870000000001E-2</v>
      </c>
      <c r="S5031">
        <v>-3.001404</v>
      </c>
      <c r="T5031">
        <v>3.8087610000000001E-2</v>
      </c>
      <c r="U5031">
        <v>-0.1068726</v>
      </c>
      <c r="V5031">
        <v>8.1432309999999904E-3</v>
      </c>
      <c r="W5031">
        <v>2.2108010000000001E-2</v>
      </c>
      <c r="X5031">
        <v>0.99972240000000001</v>
      </c>
      <c r="Y5031">
        <v>-4.0320750000000002E-2</v>
      </c>
      <c r="Z5031">
        <v>3.1590779999999998E-4</v>
      </c>
      <c r="AA5031">
        <v>0.99918680000000004</v>
      </c>
      <c r="AB5031">
        <v>26</v>
      </c>
      <c r="AC5031">
        <v>-3.001404</v>
      </c>
      <c r="AD5031">
        <v>3.8087610000000001E-2</v>
      </c>
      <c r="AE5031">
        <v>-0.1068726</v>
      </c>
      <c r="AF5031">
        <v>-0.121086988680475</v>
      </c>
      <c r="AG5031">
        <v>3.8087610000000001E-2</v>
      </c>
      <c r="AH5031">
        <v>3.0003808146186501</v>
      </c>
      <c r="AI5031">
        <v>89.2733031046549</v>
      </c>
      <c r="AJ5031">
        <v>92.311043491971603</v>
      </c>
      <c r="AK5031">
        <v>3.0030647275066999</v>
      </c>
      <c r="AL5031">
        <v>88.733201095434893</v>
      </c>
      <c r="AM5031">
        <v>89.533307996874598</v>
      </c>
      <c r="AN5031">
        <v>0.99999997668951901</v>
      </c>
    </row>
    <row r="5032" spans="1:40" x14ac:dyDescent="0.25">
      <c r="A5032" t="str">
        <f>"20190312160433626"</f>
        <v>20190312160433626</v>
      </c>
      <c r="B5032" t="str">
        <f>"1552377873620460"</f>
        <v>1552377873620460</v>
      </c>
      <c r="C5032" t="s">
        <v>40</v>
      </c>
      <c r="D5032">
        <v>4.5288940000000002</v>
      </c>
      <c r="E5032">
        <v>0.48170089999999999</v>
      </c>
      <c r="F5032" t="s">
        <v>45</v>
      </c>
      <c r="G5032">
        <v>0</v>
      </c>
      <c r="H5032">
        <v>0</v>
      </c>
      <c r="I5032">
        <v>0</v>
      </c>
      <c r="J5032">
        <v>-281.70370000000003</v>
      </c>
      <c r="K5032">
        <v>1.1099779999999999</v>
      </c>
      <c r="L5032">
        <v>141.1893</v>
      </c>
      <c r="M5032">
        <v>-0.99989229999999996</v>
      </c>
      <c r="N5032">
        <v>0</v>
      </c>
      <c r="O5032">
        <v>4.8289409999999998E-3</v>
      </c>
      <c r="P5032">
        <v>-0.99988069999999896</v>
      </c>
      <c r="Q5032">
        <v>8.2347719999999996E-3</v>
      </c>
      <c r="R5032">
        <v>1.3075689999999999E-2</v>
      </c>
      <c r="S5032">
        <v>-3.001465</v>
      </c>
      <c r="T5032">
        <v>3.7827369999999999E-2</v>
      </c>
      <c r="U5032">
        <v>-0.1071777</v>
      </c>
      <c r="V5032">
        <v>8.251576E-3</v>
      </c>
      <c r="W5032">
        <v>2.2091800000000002E-2</v>
      </c>
      <c r="X5032">
        <v>0.99972190000000005</v>
      </c>
      <c r="Y5032">
        <v>-4.0508049999999997E-2</v>
      </c>
      <c r="Z5032">
        <v>3.1601360000000001E-4</v>
      </c>
      <c r="AA5032">
        <v>0.99917920000000005</v>
      </c>
      <c r="AB5032">
        <v>26</v>
      </c>
      <c r="AC5032">
        <v>-3.001465</v>
      </c>
      <c r="AD5032">
        <v>3.7827369999999999E-2</v>
      </c>
      <c r="AE5032">
        <v>-0.1071777</v>
      </c>
      <c r="AF5032">
        <v>-0.121652441613044</v>
      </c>
      <c r="AG5032">
        <v>3.7827369999999999E-2</v>
      </c>
      <c r="AH5032">
        <v>3.0004364265940202</v>
      </c>
      <c r="AI5032">
        <v>89.278286702458004</v>
      </c>
      <c r="AJ5032">
        <v>92.3217808496521</v>
      </c>
      <c r="AK5032">
        <v>3.0031398529711901</v>
      </c>
      <c r="AL5032">
        <v>88.734130124974499</v>
      </c>
      <c r="AM5032">
        <v>89.527098742866301</v>
      </c>
      <c r="AN5032">
        <v>1.0000000067366599</v>
      </c>
    </row>
    <row r="5033" spans="1:40" x14ac:dyDescent="0.25">
      <c r="A5033" t="str">
        <f>"20190312160433648"</f>
        <v>20190312160433648</v>
      </c>
      <c r="B5033" t="str">
        <f>"1552377873639984"</f>
        <v>1552377873639984</v>
      </c>
      <c r="C5033" t="s">
        <v>40</v>
      </c>
      <c r="D5033">
        <v>4.5184139999999999</v>
      </c>
      <c r="E5033">
        <v>0.48164620000000002</v>
      </c>
      <c r="F5033" t="s">
        <v>45</v>
      </c>
      <c r="G5033">
        <v>0</v>
      </c>
      <c r="H5033">
        <v>0</v>
      </c>
      <c r="I5033">
        <v>0</v>
      </c>
      <c r="J5033">
        <v>-281.95650000000001</v>
      </c>
      <c r="K5033">
        <v>1.1099829999999999</v>
      </c>
      <c r="L5033">
        <v>141.19069999999999</v>
      </c>
      <c r="M5033">
        <v>-0.9998918</v>
      </c>
      <c r="N5033">
        <v>0</v>
      </c>
      <c r="O5033">
        <v>4.9257299999999997E-3</v>
      </c>
      <c r="P5033">
        <v>-0.99987820000000005</v>
      </c>
      <c r="Q5033">
        <v>8.0934869999999999E-3</v>
      </c>
      <c r="R5033">
        <v>1.3363150000000001E-2</v>
      </c>
      <c r="S5033">
        <v>-3.001404</v>
      </c>
      <c r="T5033">
        <v>3.7795540000000002E-2</v>
      </c>
      <c r="U5033">
        <v>-0.1071014</v>
      </c>
      <c r="V5033">
        <v>8.4422419999999904E-3</v>
      </c>
      <c r="W5033">
        <v>2.1959280000000001E-2</v>
      </c>
      <c r="X5033">
        <v>0.99972320000000003</v>
      </c>
      <c r="Y5033">
        <v>-4.0580119999999997E-2</v>
      </c>
      <c r="Z5033">
        <v>3.174265E-4</v>
      </c>
      <c r="AA5033">
        <v>0.99917630000000002</v>
      </c>
      <c r="AB5033">
        <v>26</v>
      </c>
      <c r="AC5033">
        <v>-3.001404</v>
      </c>
      <c r="AD5033">
        <v>3.7795540000000002E-2</v>
      </c>
      <c r="AE5033">
        <v>-0.1071014</v>
      </c>
      <c r="AF5033">
        <v>-0.12186632631821</v>
      </c>
      <c r="AG5033">
        <v>3.7795540000000002E-2</v>
      </c>
      <c r="AH5033">
        <v>3.0003648032335799</v>
      </c>
      <c r="AI5033">
        <v>89.2788788256359</v>
      </c>
      <c r="AJ5033">
        <v>92.325913898427203</v>
      </c>
      <c r="AK5033">
        <v>3.00307656526055</v>
      </c>
      <c r="AL5033">
        <v>88.741724769158793</v>
      </c>
      <c r="AM5033">
        <v>89.516172737706398</v>
      </c>
      <c r="AN5033">
        <v>0.99999997902317195</v>
      </c>
    </row>
    <row r="5034" spans="1:40" x14ac:dyDescent="0.25">
      <c r="A5034" t="str">
        <f>"20190312160433660"</f>
        <v>20190312160433660</v>
      </c>
      <c r="B5034" t="str">
        <f>"1552377873649741"</f>
        <v>1552377873649741</v>
      </c>
      <c r="C5034" t="s">
        <v>40</v>
      </c>
      <c r="D5034">
        <v>4.5395399999999997</v>
      </c>
      <c r="E5034">
        <v>0.48164380000000001</v>
      </c>
      <c r="F5034" t="s">
        <v>45</v>
      </c>
      <c r="G5034">
        <v>0</v>
      </c>
      <c r="H5034">
        <v>0</v>
      </c>
      <c r="I5034">
        <v>0</v>
      </c>
      <c r="J5034">
        <v>-282.1003</v>
      </c>
      <c r="K5034">
        <v>1.109985</v>
      </c>
      <c r="L5034">
        <v>141.19139999999999</v>
      </c>
      <c r="M5034">
        <v>-0.99989150000000004</v>
      </c>
      <c r="N5034">
        <v>0</v>
      </c>
      <c r="O5034">
        <v>4.9808309999999998E-3</v>
      </c>
      <c r="P5034">
        <v>-0.99987579999999998</v>
      </c>
      <c r="Q5034">
        <v>8.0114509999999993E-3</v>
      </c>
      <c r="R5034">
        <v>1.358113E-2</v>
      </c>
      <c r="S5034">
        <v>-3.001465</v>
      </c>
      <c r="T5034">
        <v>3.7331820000000002E-2</v>
      </c>
      <c r="U5034">
        <v>-0.1066742</v>
      </c>
      <c r="V5034">
        <v>8.6050299999999996E-3</v>
      </c>
      <c r="W5034">
        <v>2.1881569999999999E-2</v>
      </c>
      <c r="X5034">
        <v>0.99972360000000005</v>
      </c>
      <c r="Y5034">
        <v>-4.0492500000000001E-2</v>
      </c>
      <c r="Z5034">
        <v>3.1366709999999998E-4</v>
      </c>
      <c r="AA5034">
        <v>0.99917979999999995</v>
      </c>
      <c r="AB5034">
        <v>26</v>
      </c>
      <c r="AC5034">
        <v>-3.001465</v>
      </c>
      <c r="AD5034">
        <v>3.7331820000000002E-2</v>
      </c>
      <c r="AE5034">
        <v>-0.1066742</v>
      </c>
      <c r="AF5034">
        <v>-0.12160531448897199</v>
      </c>
      <c r="AG5034">
        <v>3.7331820000000002E-2</v>
      </c>
      <c r="AH5034">
        <v>3.0004328012709398</v>
      </c>
      <c r="AI5034">
        <v>89.287739072864994</v>
      </c>
      <c r="AJ5034">
        <v>92.320885196366802</v>
      </c>
      <c r="AK5034">
        <v>3.00312812118282</v>
      </c>
      <c r="AL5034">
        <v>88.746178399714793</v>
      </c>
      <c r="AM5034">
        <v>89.506843965379502</v>
      </c>
      <c r="AN5034">
        <v>1.0000000630219601</v>
      </c>
    </row>
    <row r="5035" spans="1:40" x14ac:dyDescent="0.25">
      <c r="A5035" t="str">
        <f>"20190312160433672"</f>
        <v>20190312160433672</v>
      </c>
      <c r="B5035" t="str">
        <f>"1552377873660476"</f>
        <v>1552377873660476</v>
      </c>
      <c r="C5035" t="s">
        <v>40</v>
      </c>
      <c r="D5035">
        <v>4.5413829999999997</v>
      </c>
      <c r="E5035">
        <v>0.48162579999999999</v>
      </c>
      <c r="F5035" t="s">
        <v>45</v>
      </c>
      <c r="G5035">
        <v>0</v>
      </c>
      <c r="H5035">
        <v>0</v>
      </c>
      <c r="I5035">
        <v>0</v>
      </c>
      <c r="J5035">
        <v>-282.23719999999997</v>
      </c>
      <c r="K5035">
        <v>1.1099870000000001</v>
      </c>
      <c r="L5035">
        <v>141.19220000000001</v>
      </c>
      <c r="M5035">
        <v>-0.99989099999999997</v>
      </c>
      <c r="N5035">
        <v>0</v>
      </c>
      <c r="O5035">
        <v>5.033432E-3</v>
      </c>
      <c r="P5035">
        <v>-0.99987199999999998</v>
      </c>
      <c r="Q5035">
        <v>7.9862890000000006E-3</v>
      </c>
      <c r="R5035">
        <v>1.3861210000000001E-2</v>
      </c>
      <c r="S5035">
        <v>-3.0015260000000001</v>
      </c>
      <c r="T5035">
        <v>3.7234660000000003E-2</v>
      </c>
      <c r="U5035">
        <v>-0.1060333</v>
      </c>
      <c r="V5035">
        <v>8.8323900000000007E-3</v>
      </c>
      <c r="W5035">
        <v>2.186012E-2</v>
      </c>
      <c r="X5035">
        <v>0.999722</v>
      </c>
      <c r="Y5035">
        <v>-4.03313E-2</v>
      </c>
      <c r="Z5035">
        <v>3.1249849999999998E-4</v>
      </c>
      <c r="AA5035">
        <v>0.99918629999999997</v>
      </c>
      <c r="AB5035">
        <v>26</v>
      </c>
      <c r="AC5035">
        <v>-3.0015260000000001</v>
      </c>
      <c r="AD5035">
        <v>3.7234660000000003E-2</v>
      </c>
      <c r="AE5035">
        <v>-0.1060333</v>
      </c>
      <c r="AF5035">
        <v>-0.121122772698151</v>
      </c>
      <c r="AG5035">
        <v>3.7234660000000003E-2</v>
      </c>
      <c r="AH5035">
        <v>3.00049303659384</v>
      </c>
      <c r="AI5035">
        <v>89.289602240501907</v>
      </c>
      <c r="AJ5035">
        <v>92.311639350684302</v>
      </c>
      <c r="AK5035">
        <v>3.0031675958260302</v>
      </c>
      <c r="AL5035">
        <v>88.747407579906707</v>
      </c>
      <c r="AM5035">
        <v>89.493813776319399</v>
      </c>
      <c r="AN5035">
        <v>0.99999997662176299</v>
      </c>
    </row>
    <row r="5036" spans="1:40" x14ac:dyDescent="0.25">
      <c r="A5036" t="str">
        <f>"20190312160433684"</f>
        <v>20190312160433684</v>
      </c>
      <c r="B5036" t="str">
        <f>"1552377873679997"</f>
        <v>1552377873679997</v>
      </c>
      <c r="C5036" t="s">
        <v>40</v>
      </c>
      <c r="D5036">
        <v>4.5238649999999998</v>
      </c>
      <c r="E5036">
        <v>0.48159560000000001</v>
      </c>
      <c r="F5036" t="s">
        <v>45</v>
      </c>
      <c r="G5036">
        <v>0</v>
      </c>
      <c r="H5036">
        <v>0</v>
      </c>
      <c r="I5036">
        <v>0</v>
      </c>
      <c r="J5036">
        <v>-282.3818</v>
      </c>
      <c r="K5036">
        <v>1.1099840000000001</v>
      </c>
      <c r="L5036">
        <v>141.19299999999899</v>
      </c>
      <c r="M5036">
        <v>-0.99989070000000002</v>
      </c>
      <c r="N5036">
        <v>0</v>
      </c>
      <c r="O5036">
        <v>5.0888959999999999E-3</v>
      </c>
      <c r="P5036">
        <v>-0.99987060000000005</v>
      </c>
      <c r="Q5036">
        <v>8.0527169999999992E-3</v>
      </c>
      <c r="R5036">
        <v>1.392268E-2</v>
      </c>
      <c r="S5036">
        <v>-3.0015559999999999</v>
      </c>
      <c r="T5036">
        <v>3.7110570000000002E-2</v>
      </c>
      <c r="U5036">
        <v>-0.1053467</v>
      </c>
      <c r="V5036">
        <v>8.8384840000000006E-3</v>
      </c>
      <c r="W5036">
        <v>2.1930189999999999E-2</v>
      </c>
      <c r="X5036">
        <v>0.99972050000000001</v>
      </c>
      <c r="Y5036">
        <v>-4.0158100000000002E-2</v>
      </c>
      <c r="Z5036">
        <v>3.1107040000000002E-4</v>
      </c>
      <c r="AA5036">
        <v>0.99919329999999995</v>
      </c>
      <c r="AB5036">
        <v>26</v>
      </c>
      <c r="AC5036">
        <v>-3.0015559999999999</v>
      </c>
      <c r="AD5036">
        <v>3.7110570000000002E-2</v>
      </c>
      <c r="AE5036">
        <v>-0.1053467</v>
      </c>
      <c r="AF5036">
        <v>-0.12060300077609799</v>
      </c>
      <c r="AG5036">
        <v>3.7110570000000002E-2</v>
      </c>
      <c r="AH5036">
        <v>3.0005228721657802</v>
      </c>
      <c r="AI5036">
        <v>89.291971600685301</v>
      </c>
      <c r="AJ5036">
        <v>92.301707285136601</v>
      </c>
      <c r="AK5036">
        <v>3.0031749507133099</v>
      </c>
      <c r="AL5036">
        <v>88.743392013043305</v>
      </c>
      <c r="AM5036">
        <v>89.493463786047201</v>
      </c>
      <c r="AN5036">
        <v>1.0000000650765499</v>
      </c>
    </row>
    <row r="5037" spans="1:40" x14ac:dyDescent="0.25">
      <c r="A5037" t="str">
        <f>"20190312160433696"</f>
        <v>20190312160433696</v>
      </c>
      <c r="B5037" t="str">
        <f>"1552377873689757"</f>
        <v>1552377873689757</v>
      </c>
      <c r="C5037" t="s">
        <v>40</v>
      </c>
      <c r="D5037">
        <v>4.4570790000000002</v>
      </c>
      <c r="E5037">
        <v>0.48159560000000001</v>
      </c>
      <c r="F5037" t="s">
        <v>45</v>
      </c>
      <c r="G5037">
        <v>0</v>
      </c>
      <c r="H5037">
        <v>0</v>
      </c>
      <c r="I5037">
        <v>0</v>
      </c>
      <c r="J5037">
        <v>-282.5154</v>
      </c>
      <c r="K5037">
        <v>1.1099870000000001</v>
      </c>
      <c r="L5037">
        <v>141.19370000000001</v>
      </c>
      <c r="M5037">
        <v>-0.99989059999999996</v>
      </c>
      <c r="N5037">
        <v>0</v>
      </c>
      <c r="O5037">
        <v>5.1400129999999997E-3</v>
      </c>
      <c r="P5037">
        <v>-0.99987210000000004</v>
      </c>
      <c r="Q5037">
        <v>7.8635839999999999E-3</v>
      </c>
      <c r="R5037">
        <v>1.393486E-2</v>
      </c>
      <c r="S5037">
        <v>-3.0015869999999998</v>
      </c>
      <c r="T5037">
        <v>3.7341829999999999E-2</v>
      </c>
      <c r="U5037">
        <v>-0.10545350000000001</v>
      </c>
      <c r="V5037">
        <v>8.7994300000000004E-3</v>
      </c>
      <c r="W5037">
        <v>2.1743789999999999E-2</v>
      </c>
      <c r="X5037">
        <v>0.99972490000000003</v>
      </c>
      <c r="Y5037">
        <v>-4.0244290000000002E-2</v>
      </c>
      <c r="Z5037">
        <v>3.1417709999999999E-4</v>
      </c>
      <c r="AA5037">
        <v>0.99918980000000002</v>
      </c>
      <c r="AB5037">
        <v>26</v>
      </c>
      <c r="AC5037">
        <v>-3.0015869999999998</v>
      </c>
      <c r="AD5037">
        <v>3.7341829999999999E-2</v>
      </c>
      <c r="AE5037">
        <v>-0.10545350000000001</v>
      </c>
      <c r="AF5037">
        <v>-0.12086310402714801</v>
      </c>
      <c r="AG5037">
        <v>3.7341829999999999E-2</v>
      </c>
      <c r="AH5037">
        <v>3.0005414330238098</v>
      </c>
      <c r="AI5037">
        <v>89.287566750629296</v>
      </c>
      <c r="AJ5037">
        <v>92.306651744035406</v>
      </c>
      <c r="AK5037">
        <v>3.00320681829864</v>
      </c>
      <c r="AL5037">
        <v>88.7540744729598</v>
      </c>
      <c r="AM5037">
        <v>89.495704086258201</v>
      </c>
      <c r="AN5037">
        <v>1.00000004902594</v>
      </c>
    </row>
    <row r="5038" spans="1:40" x14ac:dyDescent="0.25">
      <c r="A5038" t="str">
        <f>"20190312160433710"</f>
        <v>20190312160433710</v>
      </c>
      <c r="B5038" t="str">
        <f>"1552377873699517"</f>
        <v>1552377873699517</v>
      </c>
      <c r="C5038" t="s">
        <v>40</v>
      </c>
      <c r="D5038">
        <v>4.522532</v>
      </c>
      <c r="E5038">
        <v>0.48156890000000002</v>
      </c>
      <c r="F5038" t="s">
        <v>45</v>
      </c>
      <c r="G5038">
        <v>0</v>
      </c>
      <c r="H5038">
        <v>0</v>
      </c>
      <c r="I5038">
        <v>0</v>
      </c>
      <c r="J5038">
        <v>-282.66669999999999</v>
      </c>
      <c r="K5038">
        <v>1.109988</v>
      </c>
      <c r="L5038">
        <v>141.19450000000001</v>
      </c>
      <c r="M5038">
        <v>-0.9998901</v>
      </c>
      <c r="N5038">
        <v>0</v>
      </c>
      <c r="O5038">
        <v>5.1979840000000001E-3</v>
      </c>
      <c r="P5038">
        <v>-0.9998688</v>
      </c>
      <c r="Q5038">
        <v>8.074609E-3</v>
      </c>
      <c r="R5038">
        <v>1.4041710000000001E-2</v>
      </c>
      <c r="S5038">
        <v>-3.0015559999999999</v>
      </c>
      <c r="T5038">
        <v>3.6761160000000001E-2</v>
      </c>
      <c r="U5038">
        <v>-0.1053925</v>
      </c>
      <c r="V5038">
        <v>8.8484129999999994E-3</v>
      </c>
      <c r="W5038">
        <v>2.1957839999999999E-2</v>
      </c>
      <c r="X5038">
        <v>0.99971969999999999</v>
      </c>
      <c r="Y5038">
        <v>-4.028238E-2</v>
      </c>
      <c r="Z5038">
        <v>3.102383E-4</v>
      </c>
      <c r="AA5038">
        <v>0.99918830000000003</v>
      </c>
      <c r="AB5038">
        <v>26</v>
      </c>
      <c r="AC5038">
        <v>-3.0015559999999999</v>
      </c>
      <c r="AD5038">
        <v>3.6761160000000001E-2</v>
      </c>
      <c r="AE5038">
        <v>-0.1053925</v>
      </c>
      <c r="AF5038">
        <v>-0.12097649609890999</v>
      </c>
      <c r="AG5038">
        <v>3.6761160000000001E-2</v>
      </c>
      <c r="AH5038">
        <v>3.0005180434483099</v>
      </c>
      <c r="AI5038">
        <v>89.2986396674752</v>
      </c>
      <c r="AJ5038">
        <v>92.308831449720103</v>
      </c>
      <c r="AK5038">
        <v>3.0031808511229898</v>
      </c>
      <c r="AL5038">
        <v>88.741807270865493</v>
      </c>
      <c r="AM5038">
        <v>89.492894375951295</v>
      </c>
      <c r="AN5038">
        <v>0.99999995985908596</v>
      </c>
    </row>
    <row r="5039" spans="1:40" x14ac:dyDescent="0.25">
      <c r="A5039" t="str">
        <f>"20190312160433726"</f>
        <v>20190312160433726</v>
      </c>
      <c r="B5039" t="str">
        <f>"1552377873720013"</f>
        <v>1552377873720013</v>
      </c>
      <c r="C5039" t="s">
        <v>40</v>
      </c>
      <c r="D5039">
        <v>4.596425</v>
      </c>
      <c r="E5039">
        <v>0.48156159999999998</v>
      </c>
      <c r="F5039" t="s">
        <v>45</v>
      </c>
      <c r="G5039">
        <v>0</v>
      </c>
      <c r="H5039">
        <v>0</v>
      </c>
      <c r="I5039">
        <v>0</v>
      </c>
      <c r="J5039">
        <v>-282.86810000000003</v>
      </c>
      <c r="K5039">
        <v>1.1099950000000001</v>
      </c>
      <c r="L5039">
        <v>141.19569999999999</v>
      </c>
      <c r="M5039">
        <v>-0.99988969999999999</v>
      </c>
      <c r="N5039">
        <v>0</v>
      </c>
      <c r="O5039">
        <v>5.2753230000000002E-3</v>
      </c>
      <c r="P5039">
        <v>-0.99986489999999995</v>
      </c>
      <c r="Q5039">
        <v>8.4080890000000005E-3</v>
      </c>
      <c r="R5039">
        <v>1.412967E-2</v>
      </c>
      <c r="S5039">
        <v>-3.0015869999999998</v>
      </c>
      <c r="T5039">
        <v>3.7092449999999999E-2</v>
      </c>
      <c r="U5039">
        <v>-0.1052246</v>
      </c>
      <c r="V5039">
        <v>8.8592050000000002E-3</v>
      </c>
      <c r="W5039">
        <v>2.2294410000000001E-2</v>
      </c>
      <c r="X5039">
        <v>0.99971220000000005</v>
      </c>
      <c r="Y5039">
        <v>-4.0303430000000001E-2</v>
      </c>
      <c r="Z5039">
        <v>3.1411649999999998E-4</v>
      </c>
      <c r="AA5039">
        <v>0.99918739999999995</v>
      </c>
      <c r="AB5039">
        <v>26</v>
      </c>
      <c r="AC5039">
        <v>-3.0015869999999998</v>
      </c>
      <c r="AD5039">
        <v>3.7092449999999999E-2</v>
      </c>
      <c r="AE5039">
        <v>-0.1052246</v>
      </c>
      <c r="AF5039">
        <v>-0.12104054133577399</v>
      </c>
      <c r="AG5039">
        <v>3.7092449999999999E-2</v>
      </c>
      <c r="AH5039">
        <v>3.00053242810207</v>
      </c>
      <c r="AI5039">
        <v>89.292323673045402</v>
      </c>
      <c r="AJ5039">
        <v>92.310041364137007</v>
      </c>
      <c r="AK5039">
        <v>3.0032018770948401</v>
      </c>
      <c r="AL5039">
        <v>88.7225185644307</v>
      </c>
      <c r="AM5039">
        <v>89.492272106211502</v>
      </c>
      <c r="AN5039">
        <v>1.00000000452966</v>
      </c>
    </row>
    <row r="5040" spans="1:40" x14ac:dyDescent="0.25">
      <c r="A5040" t="str">
        <f>"20190312160433750"</f>
        <v>20190312160433750</v>
      </c>
      <c r="B5040" t="str">
        <f>"1552377873739532"</f>
        <v>1552377873739532</v>
      </c>
      <c r="C5040" t="s">
        <v>40</v>
      </c>
      <c r="D5040">
        <v>4.5567169999999999</v>
      </c>
      <c r="E5040">
        <v>0.48264459999999998</v>
      </c>
      <c r="F5040" t="s">
        <v>45</v>
      </c>
      <c r="G5040">
        <v>0</v>
      </c>
      <c r="H5040">
        <v>0</v>
      </c>
      <c r="I5040">
        <v>0</v>
      </c>
      <c r="J5040">
        <v>-283.12670000000003</v>
      </c>
      <c r="K5040">
        <v>1.1099909999999999</v>
      </c>
      <c r="L5040">
        <v>141.19720000000001</v>
      </c>
      <c r="M5040">
        <v>-0.99988900000000003</v>
      </c>
      <c r="N5040">
        <v>0</v>
      </c>
      <c r="O5040">
        <v>5.3746549999999999E-3</v>
      </c>
      <c r="P5040">
        <v>-0.99985889999999999</v>
      </c>
      <c r="Q5040">
        <v>8.3859499999999997E-3</v>
      </c>
      <c r="R5040">
        <v>1.455539E-2</v>
      </c>
      <c r="S5040">
        <v>-3.0015559999999999</v>
      </c>
      <c r="T5040">
        <v>3.7764550000000001E-2</v>
      </c>
      <c r="U5040">
        <v>-0.10501099999999999</v>
      </c>
      <c r="V5040">
        <v>9.1854659999999998E-3</v>
      </c>
      <c r="W5040">
        <v>2.227486E-2</v>
      </c>
      <c r="X5040">
        <v>0.99970970000000003</v>
      </c>
      <c r="Y5040">
        <v>-4.0331890000000002E-2</v>
      </c>
      <c r="Z5040">
        <v>3.212399E-4</v>
      </c>
      <c r="AA5040">
        <v>0.99918629999999997</v>
      </c>
      <c r="AB5040">
        <v>26</v>
      </c>
      <c r="AC5040">
        <v>-3.0015559999999999</v>
      </c>
      <c r="AD5040">
        <v>3.7764550000000001E-2</v>
      </c>
      <c r="AE5040">
        <v>-0.10501099999999999</v>
      </c>
      <c r="AF5040">
        <v>-0.121124218450282</v>
      </c>
      <c r="AG5040">
        <v>3.7764550000000001E-2</v>
      </c>
      <c r="AH5040">
        <v>3.0004737973849598</v>
      </c>
      <c r="AI5040">
        <v>89.279488962551994</v>
      </c>
      <c r="AJ5040">
        <v>92.311681719523605</v>
      </c>
      <c r="AK5040">
        <v>3.0031550486655898</v>
      </c>
      <c r="AL5040">
        <v>88.723638986249199</v>
      </c>
      <c r="AM5040">
        <v>89.473573553062593</v>
      </c>
      <c r="AN5040">
        <v>1.00000001322387</v>
      </c>
    </row>
    <row r="5041" spans="1:40" x14ac:dyDescent="0.25">
      <c r="A5041" t="str">
        <f>"20190312160433770"</f>
        <v>20190312160433770</v>
      </c>
      <c r="B5041" t="str">
        <f>"1552377873760030"</f>
        <v>1552377873760030</v>
      </c>
      <c r="C5041" t="s">
        <v>40</v>
      </c>
      <c r="D5041">
        <v>4.5690369999999998</v>
      </c>
      <c r="E5041">
        <v>0.48361789999999999</v>
      </c>
      <c r="F5041" t="s">
        <v>45</v>
      </c>
      <c r="G5041">
        <v>0</v>
      </c>
      <c r="H5041">
        <v>0</v>
      </c>
      <c r="I5041">
        <v>0</v>
      </c>
      <c r="J5041">
        <v>-283.36750000000001</v>
      </c>
      <c r="K5041">
        <v>1.1099920000000001</v>
      </c>
      <c r="L5041">
        <v>141.1986</v>
      </c>
      <c r="M5041">
        <v>-0.99988860000000002</v>
      </c>
      <c r="N5041">
        <v>0</v>
      </c>
      <c r="O5041">
        <v>5.4672560000000002E-3</v>
      </c>
      <c r="P5041">
        <v>-0.99985679999999999</v>
      </c>
      <c r="Q5041">
        <v>8.5097869999999996E-3</v>
      </c>
      <c r="R5041">
        <v>1.4639610000000001E-2</v>
      </c>
      <c r="S5041">
        <v>-3.001465</v>
      </c>
      <c r="T5041">
        <v>3.8991810000000002E-2</v>
      </c>
      <c r="U5041">
        <v>-9.5031740000000003E-2</v>
      </c>
      <c r="V5041">
        <v>9.1772320000000004E-3</v>
      </c>
      <c r="W5041">
        <v>2.2401190000000001E-2</v>
      </c>
      <c r="X5041">
        <v>0.99970689999999995</v>
      </c>
      <c r="Y5041">
        <v>-3.710691E-2</v>
      </c>
      <c r="Z5041">
        <v>3.1196810000000001E-4</v>
      </c>
      <c r="AA5041">
        <v>0.99931130000000001</v>
      </c>
      <c r="AB5041">
        <v>26</v>
      </c>
      <c r="AC5041">
        <v>-3.001465</v>
      </c>
      <c r="AD5041">
        <v>3.8991810000000002E-2</v>
      </c>
      <c r="AE5041">
        <v>-9.5031740000000003E-2</v>
      </c>
      <c r="AF5041">
        <v>-0.11142289451927199</v>
      </c>
      <c r="AG5041">
        <v>3.8991810000000002E-2</v>
      </c>
      <c r="AH5041">
        <v>3.00039466782605</v>
      </c>
      <c r="AI5041">
        <v>89.255963962788002</v>
      </c>
      <c r="AJ5041">
        <v>92.126763309860806</v>
      </c>
      <c r="AK5041">
        <v>3.00271603475738</v>
      </c>
      <c r="AL5041">
        <v>88.716398936148195</v>
      </c>
      <c r="AM5041">
        <v>89.474043950684404</v>
      </c>
      <c r="AN5041">
        <v>0.99999996040410299</v>
      </c>
    </row>
    <row r="5042" spans="1:40" x14ac:dyDescent="0.25">
      <c r="A5042" t="str">
        <f>"20190312160433783"</f>
        <v>20190312160433783</v>
      </c>
      <c r="B5042" t="str">
        <f>"1552377873769789"</f>
        <v>1552377873769789</v>
      </c>
      <c r="C5042" t="s">
        <v>40</v>
      </c>
      <c r="D5042">
        <v>4.5795079999999997</v>
      </c>
      <c r="E5042">
        <v>0.48405759999999998</v>
      </c>
      <c r="F5042" t="s">
        <v>45</v>
      </c>
      <c r="G5042">
        <v>0</v>
      </c>
      <c r="H5042">
        <v>0</v>
      </c>
      <c r="I5042">
        <v>0</v>
      </c>
      <c r="J5042">
        <v>-283.51589999999999</v>
      </c>
      <c r="K5042">
        <v>1.1099920000000001</v>
      </c>
      <c r="L5042">
        <v>141.1994</v>
      </c>
      <c r="M5042">
        <v>-0.99988840000000001</v>
      </c>
      <c r="N5042">
        <v>0</v>
      </c>
      <c r="O5042">
        <v>5.5242260000000001E-3</v>
      </c>
      <c r="P5042">
        <v>-0.99985840000000004</v>
      </c>
      <c r="Q5042">
        <v>8.3530419999999998E-3</v>
      </c>
      <c r="R5042">
        <v>1.461955E-2</v>
      </c>
      <c r="S5042">
        <v>-3.0013730000000001</v>
      </c>
      <c r="T5042">
        <v>4.0512079999999999E-2</v>
      </c>
      <c r="U5042">
        <v>-8.7158200000000005E-2</v>
      </c>
      <c r="V5042">
        <v>9.1000119999999993E-3</v>
      </c>
      <c r="W5042">
        <v>2.2245299999999999E-2</v>
      </c>
      <c r="X5042">
        <v>0.99971120000000002</v>
      </c>
      <c r="Y5042">
        <v>-3.4545550000000001E-2</v>
      </c>
      <c r="Z5042">
        <v>3.0763999999999998E-4</v>
      </c>
      <c r="AA5042">
        <v>0.99940309999999999</v>
      </c>
      <c r="AB5042">
        <v>26</v>
      </c>
      <c r="AC5042">
        <v>-3.0013730000000001</v>
      </c>
      <c r="AD5042">
        <v>4.0512079999999999E-2</v>
      </c>
      <c r="AE5042">
        <v>-8.7158200000000005E-2</v>
      </c>
      <c r="AF5042">
        <v>-0.10371984908615001</v>
      </c>
      <c r="AG5042">
        <v>4.0512079999999999E-2</v>
      </c>
      <c r="AH5042">
        <v>3.0002994964990402</v>
      </c>
      <c r="AI5042">
        <v>89.226862296959695</v>
      </c>
      <c r="AJ5042">
        <v>91.979916999238</v>
      </c>
      <c r="AK5042">
        <v>3.0023650851308501</v>
      </c>
      <c r="AL5042">
        <v>88.725333146081894</v>
      </c>
      <c r="AM5042">
        <v>89.478471501254703</v>
      </c>
      <c r="AN5042">
        <v>1.0000000734979599</v>
      </c>
    </row>
    <row r="5043" spans="1:40" x14ac:dyDescent="0.25">
      <c r="A5043" t="str">
        <f>"20190312160433804"</f>
        <v>20190312160433804</v>
      </c>
      <c r="B5043" t="str">
        <f>"1552377873800044"</f>
        <v>1552377873800044</v>
      </c>
      <c r="C5043" t="s">
        <v>40</v>
      </c>
      <c r="D5043">
        <v>4.5666029999999997</v>
      </c>
      <c r="E5043">
        <v>0.48525550000000001</v>
      </c>
      <c r="F5043" t="s">
        <v>45</v>
      </c>
      <c r="G5043">
        <v>0</v>
      </c>
      <c r="H5043">
        <v>0</v>
      </c>
      <c r="I5043">
        <v>0</v>
      </c>
      <c r="J5043">
        <v>-283.76029999999997</v>
      </c>
      <c r="K5043">
        <v>1.1099920000000001</v>
      </c>
      <c r="L5043">
        <v>141.20089999999999</v>
      </c>
      <c r="M5043">
        <v>-0.99988779999999999</v>
      </c>
      <c r="N5043">
        <v>0</v>
      </c>
      <c r="O5043">
        <v>5.6180300000000004E-3</v>
      </c>
      <c r="P5043">
        <v>-0.99985539999999995</v>
      </c>
      <c r="Q5043">
        <v>8.640043E-3</v>
      </c>
      <c r="R5043">
        <v>1.4658869999999999E-2</v>
      </c>
      <c r="S5043">
        <v>-3.001312</v>
      </c>
      <c r="T5043">
        <v>4.0753249999999998E-2</v>
      </c>
      <c r="U5043">
        <v>-8.3663940000000006E-2</v>
      </c>
      <c r="V5043">
        <v>9.0458099999999996E-3</v>
      </c>
      <c r="W5043">
        <v>2.253324E-2</v>
      </c>
      <c r="X5043">
        <v>0.99970519999999996</v>
      </c>
      <c r="Y5043">
        <v>-3.3477319999999998E-2</v>
      </c>
      <c r="Z5043">
        <v>3.0350530000000002E-4</v>
      </c>
      <c r="AA5043">
        <v>0.99943939999999998</v>
      </c>
      <c r="AB5043">
        <v>26</v>
      </c>
      <c r="AC5043">
        <v>-3.001312</v>
      </c>
      <c r="AD5043">
        <v>4.0753249999999998E-2</v>
      </c>
      <c r="AE5043">
        <v>-8.3663940000000006E-2</v>
      </c>
      <c r="AF5043">
        <v>-0.10050718953873899</v>
      </c>
      <c r="AG5043">
        <v>4.0753249999999998E-2</v>
      </c>
      <c r="AH5043">
        <v>3.0002418142521399</v>
      </c>
      <c r="AI5043">
        <v>89.222217099213495</v>
      </c>
      <c r="AJ5043">
        <v>91.918673695539297</v>
      </c>
      <c r="AK5043">
        <v>3.0022014366996599</v>
      </c>
      <c r="AL5043">
        <v>88.708831208083595</v>
      </c>
      <c r="AM5043">
        <v>89.481574577112497</v>
      </c>
      <c r="AN5043">
        <v>1.0000000302452401</v>
      </c>
    </row>
    <row r="5044" spans="1:40" x14ac:dyDescent="0.25">
      <c r="A5044" t="str">
        <f>"20190312160433817"</f>
        <v>20190312160433817</v>
      </c>
      <c r="B5044" t="str">
        <f>"1552377873809805"</f>
        <v>1552377873809805</v>
      </c>
      <c r="C5044" t="s">
        <v>40</v>
      </c>
      <c r="D5044">
        <v>4.5929869999999999</v>
      </c>
      <c r="E5044">
        <v>0.48561500000000002</v>
      </c>
      <c r="F5044" t="s">
        <v>45</v>
      </c>
      <c r="G5044">
        <v>0</v>
      </c>
      <c r="H5044">
        <v>0</v>
      </c>
      <c r="I5044">
        <v>0</v>
      </c>
      <c r="J5044">
        <v>-283.91300000000001</v>
      </c>
      <c r="K5044">
        <v>1.109998</v>
      </c>
      <c r="L5044">
        <v>141.20179999999999</v>
      </c>
      <c r="M5044">
        <v>-0.99988730000000003</v>
      </c>
      <c r="N5044">
        <v>0</v>
      </c>
      <c r="O5044">
        <v>5.6766739999999996E-3</v>
      </c>
      <c r="P5044">
        <v>-0.99986019999999998</v>
      </c>
      <c r="Q5044">
        <v>8.5264380000000008E-3</v>
      </c>
      <c r="R5044">
        <v>1.4389529999999999E-2</v>
      </c>
      <c r="S5044">
        <v>-3.0011290000000002</v>
      </c>
      <c r="T5044">
        <v>4.2984840000000003E-2</v>
      </c>
      <c r="U5044">
        <v>-7.4096679999999998E-2</v>
      </c>
      <c r="V5044">
        <v>8.717631E-3</v>
      </c>
      <c r="W5044">
        <v>2.2420260000000001E-2</v>
      </c>
      <c r="X5044">
        <v>0.9997106</v>
      </c>
      <c r="Y5044">
        <v>-3.0353479999999999E-2</v>
      </c>
      <c r="Z5044">
        <v>2.9862930000000001E-4</v>
      </c>
      <c r="AA5044">
        <v>0.99953919999999996</v>
      </c>
      <c r="AB5044">
        <v>26</v>
      </c>
      <c r="AC5044">
        <v>-3.0011290000000002</v>
      </c>
      <c r="AD5044">
        <v>4.2984840000000003E-2</v>
      </c>
      <c r="AE5044">
        <v>-7.4096679999999998E-2</v>
      </c>
      <c r="AF5044">
        <v>-9.1114882104265896E-2</v>
      </c>
      <c r="AG5044">
        <v>4.2984840000000003E-2</v>
      </c>
      <c r="AH5044">
        <v>3.000044902011</v>
      </c>
      <c r="AI5044">
        <v>89.179496766810601</v>
      </c>
      <c r="AJ5044">
        <v>91.739605276022303</v>
      </c>
      <c r="AK5044">
        <v>3.0017360030976898</v>
      </c>
      <c r="AL5044">
        <v>88.7153060491529</v>
      </c>
      <c r="AM5044">
        <v>89.500384607498802</v>
      </c>
      <c r="AN5044">
        <v>0.99999997445053901</v>
      </c>
    </row>
    <row r="5045" spans="1:40" x14ac:dyDescent="0.25">
      <c r="A5045" t="str">
        <f>"20190312160433830"</f>
        <v>20190312160433830</v>
      </c>
      <c r="B5045" t="str">
        <f>"1552377873819566"</f>
        <v>1552377873819566</v>
      </c>
      <c r="C5045" t="s">
        <v>40</v>
      </c>
      <c r="D5045">
        <v>4.6330640000000001</v>
      </c>
      <c r="E5045">
        <v>0.4859562</v>
      </c>
      <c r="F5045" t="s">
        <v>45</v>
      </c>
      <c r="G5045">
        <v>0</v>
      </c>
      <c r="H5045">
        <v>0</v>
      </c>
      <c r="I5045">
        <v>0</v>
      </c>
      <c r="J5045">
        <v>-284.05540000000002</v>
      </c>
      <c r="K5045">
        <v>1.1100000000000001</v>
      </c>
      <c r="L5045">
        <v>141.20269999999999</v>
      </c>
      <c r="M5045">
        <v>-0.99988719999999998</v>
      </c>
      <c r="N5045">
        <v>0</v>
      </c>
      <c r="O5045">
        <v>5.7311460000000003E-3</v>
      </c>
      <c r="P5045">
        <v>-0.99986030000000004</v>
      </c>
      <c r="Q5045">
        <v>8.383494E-3</v>
      </c>
      <c r="R5045">
        <v>1.4474010000000001E-2</v>
      </c>
      <c r="S5045">
        <v>-3.001099</v>
      </c>
      <c r="T5045">
        <v>4.3202160000000003E-2</v>
      </c>
      <c r="U5045">
        <v>-7.2082519999999997E-2</v>
      </c>
      <c r="V5045">
        <v>8.7476340000000007E-3</v>
      </c>
      <c r="W5045">
        <v>2.2277720000000001E-2</v>
      </c>
      <c r="X5045">
        <v>0.99971350000000003</v>
      </c>
      <c r="Y5045">
        <v>-2.973777E-2</v>
      </c>
      <c r="Z5045">
        <v>2.9649759999999999E-4</v>
      </c>
      <c r="AA5045">
        <v>0.99955769999999999</v>
      </c>
      <c r="AB5045">
        <v>26</v>
      </c>
      <c r="AC5045">
        <v>-3.001099</v>
      </c>
      <c r="AD5045">
        <v>4.3202160000000003E-2</v>
      </c>
      <c r="AE5045">
        <v>-7.2082519999999997E-2</v>
      </c>
      <c r="AF5045">
        <v>-8.9264242804396196E-2</v>
      </c>
      <c r="AG5045">
        <v>4.3202160000000003E-2</v>
      </c>
      <c r="AH5045">
        <v>3.00001521638359</v>
      </c>
      <c r="AI5045">
        <v>89.175325661476293</v>
      </c>
      <c r="AJ5045">
        <v>91.704309967364907</v>
      </c>
      <c r="AK5045">
        <v>3.0016538491646898</v>
      </c>
      <c r="AL5045">
        <v>88.723474998923194</v>
      </c>
      <c r="AM5045">
        <v>89.498666650000104</v>
      </c>
      <c r="AN5045">
        <v>0.99999994999562103</v>
      </c>
    </row>
    <row r="5046" spans="1:40" x14ac:dyDescent="0.25">
      <c r="A5046" t="str">
        <f>"20190312160433848"</f>
        <v>20190312160433848</v>
      </c>
      <c r="B5046" t="str">
        <f>"1552377873840064"</f>
        <v>1552377873840064</v>
      </c>
      <c r="C5046" t="s">
        <v>40</v>
      </c>
      <c r="D5046">
        <v>4.7406439999999996</v>
      </c>
      <c r="E5046">
        <v>0.486593</v>
      </c>
      <c r="F5046" t="s">
        <v>45</v>
      </c>
      <c r="G5046">
        <v>0</v>
      </c>
      <c r="H5046">
        <v>0</v>
      </c>
      <c r="I5046">
        <v>0</v>
      </c>
      <c r="J5046">
        <v>-284.26839999999999</v>
      </c>
      <c r="K5046">
        <v>1.110009</v>
      </c>
      <c r="L5046">
        <v>141.20400000000001</v>
      </c>
      <c r="M5046">
        <v>-0.99988659999999996</v>
      </c>
      <c r="N5046">
        <v>0</v>
      </c>
      <c r="O5046">
        <v>5.8128569999999899E-3</v>
      </c>
      <c r="P5046">
        <v>-0.99985650000000004</v>
      </c>
      <c r="Q5046">
        <v>8.3301929999999996E-3</v>
      </c>
      <c r="R5046">
        <v>1.475598E-2</v>
      </c>
      <c r="S5046">
        <v>-3.0010680000000001</v>
      </c>
      <c r="T5046">
        <v>4.3057199999999997E-2</v>
      </c>
      <c r="U5046">
        <v>-6.904602E-2</v>
      </c>
      <c r="V5046">
        <v>8.9478619999999991E-3</v>
      </c>
      <c r="W5046">
        <v>2.222433E-2</v>
      </c>
      <c r="X5046">
        <v>0.99971290000000002</v>
      </c>
      <c r="Y5046">
        <v>-2.8809000000000001E-2</v>
      </c>
      <c r="Z5046">
        <v>2.9002010000000003E-4</v>
      </c>
      <c r="AA5046">
        <v>0.9995849</v>
      </c>
      <c r="AB5046">
        <v>26</v>
      </c>
      <c r="AC5046">
        <v>-3.0010680000000001</v>
      </c>
      <c r="AD5046">
        <v>4.3057199999999997E-2</v>
      </c>
      <c r="AE5046">
        <v>-6.904602E-2</v>
      </c>
      <c r="AF5046">
        <v>-8.6473525325444903E-2</v>
      </c>
      <c r="AG5046">
        <v>4.3057199999999997E-2</v>
      </c>
      <c r="AH5046">
        <v>2.9999986869859301</v>
      </c>
      <c r="AI5046">
        <v>89.178065487359405</v>
      </c>
      <c r="AJ5046">
        <v>91.651066239893495</v>
      </c>
      <c r="AK5046">
        <v>3.00155355024217</v>
      </c>
      <c r="AL5046">
        <v>88.726534757610693</v>
      </c>
      <c r="AM5046">
        <v>89.487191733986293</v>
      </c>
      <c r="AN5046">
        <v>0.99999993375236196</v>
      </c>
    </row>
    <row r="5047" spans="1:40" x14ac:dyDescent="0.25">
      <c r="A5047" t="str">
        <f>"20190312160433861"</f>
        <v>20190312160433861</v>
      </c>
      <c r="B5047" t="str">
        <f>"1552377873849821"</f>
        <v>1552377873849821</v>
      </c>
      <c r="C5047" t="s">
        <v>40</v>
      </c>
      <c r="D5047">
        <v>4.5836030000000001</v>
      </c>
      <c r="E5047">
        <v>0.4868806</v>
      </c>
      <c r="F5047" t="s">
        <v>45</v>
      </c>
      <c r="G5047">
        <v>0</v>
      </c>
      <c r="H5047">
        <v>0</v>
      </c>
      <c r="I5047">
        <v>0</v>
      </c>
      <c r="J5047">
        <v>-284.4151</v>
      </c>
      <c r="K5047">
        <v>1.1100099999999999</v>
      </c>
      <c r="L5047">
        <v>141.20490000000001</v>
      </c>
      <c r="M5047">
        <v>-0.99988630000000001</v>
      </c>
      <c r="N5047">
        <v>0</v>
      </c>
      <c r="O5047">
        <v>5.8691200000000002E-3</v>
      </c>
      <c r="P5047">
        <v>-0.99985299999999999</v>
      </c>
      <c r="Q5047">
        <v>8.6676589999999994E-3</v>
      </c>
      <c r="R5047">
        <v>1.4800499999999999E-2</v>
      </c>
      <c r="S5047">
        <v>-3.001007</v>
      </c>
      <c r="T5047">
        <v>4.3361780000000003E-2</v>
      </c>
      <c r="U5047">
        <v>-6.3217159999999994E-2</v>
      </c>
      <c r="V5047">
        <v>8.9362590000000002E-3</v>
      </c>
      <c r="W5047">
        <v>2.2561850000000001E-2</v>
      </c>
      <c r="X5047">
        <v>0.99970550000000002</v>
      </c>
      <c r="Y5047">
        <v>-2.6925250000000001E-2</v>
      </c>
      <c r="Z5047">
        <v>2.7928939999999998E-4</v>
      </c>
      <c r="AA5047">
        <v>0.99963740000000001</v>
      </c>
      <c r="AB5047">
        <v>26</v>
      </c>
      <c r="AC5047">
        <v>-3.001007</v>
      </c>
      <c r="AD5047">
        <v>4.3361780000000003E-2</v>
      </c>
      <c r="AE5047">
        <v>-6.3217159999999994E-2</v>
      </c>
      <c r="AF5047">
        <v>-8.0814176017909203E-2</v>
      </c>
      <c r="AG5047">
        <v>4.3361780000000003E-2</v>
      </c>
      <c r="AH5047">
        <v>2.9999581965739202</v>
      </c>
      <c r="AI5047">
        <v>89.172197394294102</v>
      </c>
      <c r="AJ5047">
        <v>91.543085388035905</v>
      </c>
      <c r="AK5047">
        <v>3.0013597512129899</v>
      </c>
      <c r="AL5047">
        <v>88.707191507340994</v>
      </c>
      <c r="AM5047">
        <v>89.487852883861095</v>
      </c>
      <c r="AN5047">
        <v>0.99999999026529296</v>
      </c>
    </row>
    <row r="5048" spans="1:40" x14ac:dyDescent="0.25">
      <c r="A5048" t="str">
        <f>"20190312160433881"</f>
        <v>20190312160433881</v>
      </c>
      <c r="B5048" t="str">
        <f>"1552377873870320"</f>
        <v>1552377873870320</v>
      </c>
      <c r="C5048" t="s">
        <v>40</v>
      </c>
      <c r="D5048">
        <v>4.620501</v>
      </c>
      <c r="E5048">
        <v>0.4874521</v>
      </c>
      <c r="F5048" t="s">
        <v>45</v>
      </c>
      <c r="G5048">
        <v>0</v>
      </c>
      <c r="H5048">
        <v>0</v>
      </c>
      <c r="I5048">
        <v>0</v>
      </c>
      <c r="J5048">
        <v>-284.6386</v>
      </c>
      <c r="K5048">
        <v>1.110009</v>
      </c>
      <c r="L5048">
        <v>141.2063</v>
      </c>
      <c r="M5048">
        <v>-0.99988569999999999</v>
      </c>
      <c r="N5048">
        <v>0</v>
      </c>
      <c r="O5048">
        <v>5.9550059999999997E-3</v>
      </c>
      <c r="P5048">
        <v>-0.99984729999999999</v>
      </c>
      <c r="Q5048">
        <v>8.8315530000000007E-3</v>
      </c>
      <c r="R5048">
        <v>1.508688E-2</v>
      </c>
      <c r="S5048">
        <v>-3.0009459999999999</v>
      </c>
      <c r="T5048">
        <v>4.4580340000000003E-2</v>
      </c>
      <c r="U5048">
        <v>-6.0699459999999997E-2</v>
      </c>
      <c r="V5048">
        <v>9.1367180000000003E-3</v>
      </c>
      <c r="W5048">
        <v>2.272536E-2</v>
      </c>
      <c r="X5048">
        <v>0.99970000000000003</v>
      </c>
      <c r="Y5048">
        <v>-2.6173100000000001E-2</v>
      </c>
      <c r="Z5048">
        <v>2.8283550000000001E-4</v>
      </c>
      <c r="AA5048">
        <v>0.99965740000000003</v>
      </c>
      <c r="AB5048">
        <v>26</v>
      </c>
      <c r="AC5048">
        <v>-3.0009459999999999</v>
      </c>
      <c r="AD5048">
        <v>4.4580340000000003E-2</v>
      </c>
      <c r="AE5048">
        <v>-6.0699459999999997E-2</v>
      </c>
      <c r="AF5048">
        <v>-7.8553432458441694E-2</v>
      </c>
      <c r="AG5048">
        <v>4.4580340000000003E-2</v>
      </c>
      <c r="AH5048">
        <v>2.9998695269995701</v>
      </c>
      <c r="AI5048">
        <v>89.148895565624599</v>
      </c>
      <c r="AJ5048">
        <v>91.499982522768406</v>
      </c>
      <c r="AK5048">
        <v>3.0012289528601701</v>
      </c>
      <c r="AL5048">
        <v>88.697820691889902</v>
      </c>
      <c r="AM5048">
        <v>89.476362103707999</v>
      </c>
      <c r="AN5048">
        <v>1.00000000580147</v>
      </c>
    </row>
    <row r="5049" spans="1:40" x14ac:dyDescent="0.25">
      <c r="A5049" t="str">
        <f>"20190312160433905"</f>
        <v>20190312160433905</v>
      </c>
      <c r="B5049" t="str">
        <f>"1552377873899842"</f>
        <v>1552377873899842</v>
      </c>
      <c r="C5049" t="s">
        <v>40</v>
      </c>
      <c r="D5049">
        <v>4.6716660000000001</v>
      </c>
      <c r="E5049">
        <v>0.48820809999999998</v>
      </c>
      <c r="F5049" t="s">
        <v>45</v>
      </c>
      <c r="G5049">
        <v>0</v>
      </c>
      <c r="H5049">
        <v>0</v>
      </c>
      <c r="I5049">
        <v>0</v>
      </c>
      <c r="J5049">
        <v>-284.91039999999998</v>
      </c>
      <c r="K5049">
        <v>1.110009</v>
      </c>
      <c r="L5049">
        <v>141.2081</v>
      </c>
      <c r="M5049">
        <v>-0.99988509999999997</v>
      </c>
      <c r="N5049">
        <v>0</v>
      </c>
      <c r="O5049">
        <v>6.0592519999999898E-3</v>
      </c>
      <c r="P5049">
        <v>-0.99984119999999999</v>
      </c>
      <c r="Q5049">
        <v>8.6600840000000002E-3</v>
      </c>
      <c r="R5049">
        <v>1.5583359999999999E-2</v>
      </c>
      <c r="S5049">
        <v>-3.0008849999999998</v>
      </c>
      <c r="T5049">
        <v>4.5263289999999998E-2</v>
      </c>
      <c r="U5049">
        <v>-5.5267330000000003E-2</v>
      </c>
      <c r="V5049">
        <v>9.5291100000000004E-3</v>
      </c>
      <c r="W5049">
        <v>2.255279E-2</v>
      </c>
      <c r="X5049">
        <v>0.99970020000000004</v>
      </c>
      <c r="Y5049">
        <v>-2.446889E-2</v>
      </c>
      <c r="Z5049">
        <v>2.759002E-4</v>
      </c>
      <c r="AA5049">
        <v>0.99970049999999999</v>
      </c>
      <c r="AB5049">
        <v>26</v>
      </c>
      <c r="AC5049">
        <v>-3.0008849999999998</v>
      </c>
      <c r="AD5049">
        <v>4.5263289999999998E-2</v>
      </c>
      <c r="AE5049">
        <v>-5.5267330000000003E-2</v>
      </c>
      <c r="AF5049">
        <v>-7.3434488109925006E-2</v>
      </c>
      <c r="AG5049">
        <v>4.5263289999999998E-2</v>
      </c>
      <c r="AH5049">
        <v>2.9998127447436902</v>
      </c>
      <c r="AI5049">
        <v>89.135805334440505</v>
      </c>
      <c r="AJ5049">
        <v>91.402302892433298</v>
      </c>
      <c r="AK5049">
        <v>3.0010527974349701</v>
      </c>
      <c r="AL5049">
        <v>88.707710701500403</v>
      </c>
      <c r="AM5049">
        <v>89.453875020871394</v>
      </c>
      <c r="AN5049">
        <v>0.99999996107710698</v>
      </c>
    </row>
    <row r="5050" spans="1:40" x14ac:dyDescent="0.25">
      <c r="A5050" t="str">
        <f>"20190312160433928"</f>
        <v>20190312160433928</v>
      </c>
      <c r="B5050" t="str">
        <f>"1552377873920339"</f>
        <v>1552377873920339</v>
      </c>
      <c r="C5050" t="s">
        <v>40</v>
      </c>
      <c r="D5050">
        <v>4.6483319999999999</v>
      </c>
      <c r="E5050">
        <v>0.48863620000000002</v>
      </c>
      <c r="F5050" t="s">
        <v>45</v>
      </c>
      <c r="G5050">
        <v>0</v>
      </c>
      <c r="H5050">
        <v>0</v>
      </c>
      <c r="I5050">
        <v>0</v>
      </c>
      <c r="J5050">
        <v>-285.16739999999999</v>
      </c>
      <c r="K5050">
        <v>1.1100099999999999</v>
      </c>
      <c r="L5050">
        <v>141.2097</v>
      </c>
      <c r="M5050">
        <v>-0.99988449999999995</v>
      </c>
      <c r="N5050">
        <v>0</v>
      </c>
      <c r="O5050">
        <v>6.1578969999999998E-3</v>
      </c>
      <c r="P5050">
        <v>-0.99983580000000005</v>
      </c>
      <c r="Q5050">
        <v>8.6764459999999904E-3</v>
      </c>
      <c r="R5050">
        <v>1.591834E-2</v>
      </c>
      <c r="S5050">
        <v>-3.0008240000000002</v>
      </c>
      <c r="T5050">
        <v>4.4551849999999997E-2</v>
      </c>
      <c r="U5050">
        <v>-4.7836299999999998E-2</v>
      </c>
      <c r="V5050">
        <v>9.7654370000000001E-3</v>
      </c>
      <c r="W5050">
        <v>2.2568520000000002E-2</v>
      </c>
      <c r="X5050">
        <v>0.99969759999999996</v>
      </c>
      <c r="Y5050">
        <v>-2.2093330000000001E-2</v>
      </c>
      <c r="Z5050">
        <v>2.554074E-4</v>
      </c>
      <c r="AA5050">
        <v>0.99975590000000003</v>
      </c>
      <c r="AB5050">
        <v>26</v>
      </c>
      <c r="AC5050">
        <v>-3.0008240000000002</v>
      </c>
      <c r="AD5050">
        <v>4.4551849999999997E-2</v>
      </c>
      <c r="AE5050">
        <v>-4.7836299999999998E-2</v>
      </c>
      <c r="AF5050">
        <v>-6.6301331624448706E-2</v>
      </c>
      <c r="AG5050">
        <v>4.4551849999999997E-2</v>
      </c>
      <c r="AH5050">
        <v>2.9998114442602</v>
      </c>
      <c r="AI5050">
        <v>89.149339127978806</v>
      </c>
      <c r="AJ5050">
        <v>91.266135612950194</v>
      </c>
      <c r="AK5050">
        <v>3.0008747782984901</v>
      </c>
      <c r="AL5050">
        <v>88.706809255412907</v>
      </c>
      <c r="AM5050">
        <v>89.440330226326196</v>
      </c>
      <c r="AN5050">
        <v>0.99999999665027495</v>
      </c>
    </row>
    <row r="5051" spans="1:40" x14ac:dyDescent="0.25">
      <c r="A5051" t="str">
        <f>"20190312160433948"</f>
        <v>20190312160433948</v>
      </c>
      <c r="B5051" t="str">
        <f>"1552377873939857"</f>
        <v>1552377873939857</v>
      </c>
      <c r="C5051" t="s">
        <v>40</v>
      </c>
      <c r="D5051">
        <v>4.6221589999999999</v>
      </c>
      <c r="E5051">
        <v>0.489033</v>
      </c>
      <c r="F5051" t="s">
        <v>45</v>
      </c>
      <c r="G5051">
        <v>0</v>
      </c>
      <c r="H5051">
        <v>0</v>
      </c>
      <c r="I5051">
        <v>0</v>
      </c>
      <c r="J5051">
        <v>-285.40809999999999</v>
      </c>
      <c r="K5051">
        <v>1.1100049999999999</v>
      </c>
      <c r="L5051">
        <v>141.21129999999999</v>
      </c>
      <c r="M5051">
        <v>-0.999884</v>
      </c>
      <c r="N5051">
        <v>0</v>
      </c>
      <c r="O5051">
        <v>6.2503430000000002E-3</v>
      </c>
      <c r="P5051">
        <v>-0.99982990000000005</v>
      </c>
      <c r="Q5051">
        <v>8.877289E-3</v>
      </c>
      <c r="R5051">
        <v>1.6176099999999999E-2</v>
      </c>
      <c r="S5051">
        <v>-3.0007929999999998</v>
      </c>
      <c r="T5051">
        <v>4.478037E-2</v>
      </c>
      <c r="U5051">
        <v>-4.330444E-2</v>
      </c>
      <c r="V5051">
        <v>9.9308079999999993E-3</v>
      </c>
      <c r="W5051">
        <v>2.2768259999999998E-2</v>
      </c>
      <c r="X5051">
        <v>0.99969140000000001</v>
      </c>
      <c r="Y5051">
        <v>-2.0676509999999999E-2</v>
      </c>
      <c r="Z5051">
        <v>2.4753200000000001E-4</v>
      </c>
      <c r="AA5051">
        <v>0.99978619999999996</v>
      </c>
      <c r="AB5051">
        <v>25</v>
      </c>
      <c r="AC5051">
        <v>-3.0007929999999998</v>
      </c>
      <c r="AD5051">
        <v>4.478037E-2</v>
      </c>
      <c r="AE5051">
        <v>-4.330444E-2</v>
      </c>
      <c r="AF5051">
        <v>-6.2047574350761997E-2</v>
      </c>
      <c r="AG5051">
        <v>4.478037E-2</v>
      </c>
      <c r="AH5051">
        <v>2.99979578935219</v>
      </c>
      <c r="AI5051">
        <v>89.144946093916602</v>
      </c>
      <c r="AJ5051">
        <v>91.184933087838999</v>
      </c>
      <c r="AK5051">
        <v>3.0007715609215002</v>
      </c>
      <c r="AL5051">
        <v>88.695362000422705</v>
      </c>
      <c r="AM5051">
        <v>89.430849689990396</v>
      </c>
      <c r="AN5051">
        <v>0.99999995492245897</v>
      </c>
    </row>
    <row r="5052" spans="1:40" x14ac:dyDescent="0.25">
      <c r="A5052" t="str">
        <f>"20190312160433971"</f>
        <v>20190312160433971</v>
      </c>
      <c r="B5052" t="str">
        <f>"1552377873960358"</f>
        <v>1552377873960358</v>
      </c>
      <c r="C5052" t="s">
        <v>40</v>
      </c>
      <c r="D5052">
        <v>4.6737869999999999</v>
      </c>
      <c r="E5052">
        <v>0.48945519999999998</v>
      </c>
      <c r="F5052" t="s">
        <v>45</v>
      </c>
      <c r="G5052">
        <v>0</v>
      </c>
      <c r="H5052">
        <v>0</v>
      </c>
      <c r="I5052">
        <v>0</v>
      </c>
      <c r="J5052">
        <v>-285.65910000000002</v>
      </c>
      <c r="K5052">
        <v>1.110007</v>
      </c>
      <c r="L5052">
        <v>141.21299999999999</v>
      </c>
      <c r="M5052">
        <v>-0.99988339999999998</v>
      </c>
      <c r="N5052">
        <v>0</v>
      </c>
      <c r="O5052">
        <v>6.3471400000000002E-3</v>
      </c>
      <c r="P5052">
        <v>-0.99983040000000001</v>
      </c>
      <c r="Q5052">
        <v>8.9623059999999997E-3</v>
      </c>
      <c r="R5052">
        <v>1.6092220000000001E-2</v>
      </c>
      <c r="S5052">
        <v>-3.0007929999999998</v>
      </c>
      <c r="T5052">
        <v>4.5163149999999999E-2</v>
      </c>
      <c r="U5052">
        <v>-3.9459229999999998E-2</v>
      </c>
      <c r="V5052">
        <v>9.7499839999999997E-3</v>
      </c>
      <c r="W5052">
        <v>2.2851690000000001E-2</v>
      </c>
      <c r="X5052">
        <v>0.99969129999999995</v>
      </c>
      <c r="Y5052">
        <v>-1.9492470000000001E-2</v>
      </c>
      <c r="Z5052">
        <v>2.4219730000000001E-4</v>
      </c>
      <c r="AA5052">
        <v>0.99980999999999998</v>
      </c>
      <c r="AB5052">
        <v>25</v>
      </c>
      <c r="AC5052">
        <v>-3.0007929999999998</v>
      </c>
      <c r="AD5052">
        <v>4.5163149999999999E-2</v>
      </c>
      <c r="AE5052">
        <v>-3.9459229999999998E-2</v>
      </c>
      <c r="AF5052">
        <v>-5.8493478246505602E-2</v>
      </c>
      <c r="AG5052">
        <v>4.5163149999999999E-2</v>
      </c>
      <c r="AH5052">
        <v>2.9998026831548201</v>
      </c>
      <c r="AI5052">
        <v>89.137619706139603</v>
      </c>
      <c r="AJ5052">
        <v>91.117075064107098</v>
      </c>
      <c r="AK5052">
        <v>3.00071280448133</v>
      </c>
      <c r="AL5052">
        <v>88.690580600303903</v>
      </c>
      <c r="AM5052">
        <v>89.441212280257005</v>
      </c>
      <c r="AN5052">
        <v>0.99999997860977197</v>
      </c>
    </row>
    <row r="5053" spans="1:40" x14ac:dyDescent="0.25">
      <c r="A5053" t="str">
        <f>"20190312160433985"</f>
        <v>20190312160433985</v>
      </c>
      <c r="B5053" t="str">
        <f>"1552377873979874"</f>
        <v>1552377873979874</v>
      </c>
      <c r="C5053" t="s">
        <v>40</v>
      </c>
      <c r="D5053">
        <v>4.783182</v>
      </c>
      <c r="E5053">
        <v>0.52671330000000005</v>
      </c>
      <c r="F5053" t="s">
        <v>45</v>
      </c>
      <c r="G5053">
        <v>0</v>
      </c>
      <c r="H5053">
        <v>0</v>
      </c>
      <c r="I5053">
        <v>0</v>
      </c>
      <c r="J5053">
        <v>-285.8331</v>
      </c>
      <c r="K5053">
        <v>1.110009</v>
      </c>
      <c r="L5053">
        <v>141.21420000000001</v>
      </c>
      <c r="M5053">
        <v>-0.99988310000000002</v>
      </c>
      <c r="N5053">
        <v>0</v>
      </c>
      <c r="O5053">
        <v>6.4140179999999996E-3</v>
      </c>
      <c r="P5053">
        <v>-0.99983560000000005</v>
      </c>
      <c r="Q5053">
        <v>9.2067669999999994E-3</v>
      </c>
      <c r="R5053">
        <v>1.5634209999999999E-2</v>
      </c>
      <c r="S5053">
        <v>-3.0006710000000001</v>
      </c>
      <c r="T5053">
        <v>4.5612340000000001E-2</v>
      </c>
      <c r="U5053">
        <v>-3.6361690000000002E-2</v>
      </c>
      <c r="V5053">
        <v>9.2252159999999996E-3</v>
      </c>
      <c r="W5053">
        <v>2.3095290000000001E-2</v>
      </c>
      <c r="X5053">
        <v>0.99969070000000004</v>
      </c>
      <c r="Y5053">
        <v>-1.8527999999999999E-2</v>
      </c>
      <c r="Z5053">
        <v>2.383044E-4</v>
      </c>
      <c r="AA5053">
        <v>0.9998283</v>
      </c>
      <c r="AB5053">
        <v>25</v>
      </c>
      <c r="AC5053">
        <v>-3.0006710000000001</v>
      </c>
      <c r="AD5053">
        <v>4.5612340000000001E-2</v>
      </c>
      <c r="AE5053">
        <v>-3.6361690000000002E-2</v>
      </c>
      <c r="AF5053">
        <v>-5.5596309551608297E-2</v>
      </c>
      <c r="AG5053">
        <v>4.5612340000000001E-2</v>
      </c>
      <c r="AH5053">
        <v>2.9996830071675999</v>
      </c>
      <c r="AI5053">
        <v>89.128993119094702</v>
      </c>
      <c r="AJ5053">
        <v>91.061801936081594</v>
      </c>
      <c r="AK5053">
        <v>3.0005448802985901</v>
      </c>
      <c r="AL5053">
        <v>88.676619686913895</v>
      </c>
      <c r="AM5053">
        <v>89.471285529697198</v>
      </c>
      <c r="AN5053">
        <v>0.99999999634846004</v>
      </c>
    </row>
    <row r="5054" spans="1:40" x14ac:dyDescent="0.25">
      <c r="A5054" t="str">
        <f>"20190312160434005"</f>
        <v>20190312160434005</v>
      </c>
      <c r="B5054" t="str">
        <f>"1552377874000369"</f>
        <v>1552377874000369</v>
      </c>
      <c r="C5054" t="s">
        <v>40</v>
      </c>
      <c r="D5054">
        <v>5.1503969999999999</v>
      </c>
      <c r="E5054">
        <v>0.56305719999999904</v>
      </c>
      <c r="F5054" t="s">
        <v>60</v>
      </c>
      <c r="G5054">
        <v>-302.89640000000003</v>
      </c>
      <c r="H5054" s="1">
        <v>-9.3921889999999995E-6</v>
      </c>
      <c r="I5054">
        <v>142.7278</v>
      </c>
      <c r="J5054">
        <v>-286.04610000000002</v>
      </c>
      <c r="K5054">
        <v>1.1100129999999999</v>
      </c>
      <c r="L5054">
        <v>141.21559999999999</v>
      </c>
      <c r="M5054">
        <v>-0.99988250000000001</v>
      </c>
      <c r="N5054">
        <v>0</v>
      </c>
      <c r="O5054">
        <v>6.4960390000000003E-3</v>
      </c>
      <c r="P5054">
        <v>-0.99983880000000003</v>
      </c>
      <c r="Q5054">
        <v>9.5499669999999995E-3</v>
      </c>
      <c r="R5054">
        <v>1.521351E-2</v>
      </c>
      <c r="S5054">
        <v>-2.9981080000000002</v>
      </c>
      <c r="T5054">
        <v>-0.1950364</v>
      </c>
      <c r="U5054">
        <v>0.26596069999999999</v>
      </c>
      <c r="V5054">
        <v>8.7225610000000002E-3</v>
      </c>
      <c r="W5054">
        <v>2.343756E-2</v>
      </c>
      <c r="X5054">
        <v>0.99968729999999995</v>
      </c>
      <c r="Y5054">
        <v>8.173163E-2</v>
      </c>
      <c r="Z5054">
        <v>2.2291310000000001E-3</v>
      </c>
      <c r="AA5054">
        <v>0.99665190000000004</v>
      </c>
      <c r="AB5054">
        <v>25</v>
      </c>
      <c r="AC5054">
        <v>-16.850300000000001</v>
      </c>
      <c r="AD5054">
        <v>-1.110022392189</v>
      </c>
      <c r="AE5054">
        <v>1.5122</v>
      </c>
      <c r="AF5054">
        <v>1.39668472089186</v>
      </c>
      <c r="AG5054">
        <v>-1.110022392189</v>
      </c>
      <c r="AH5054">
        <v>16.7874999134573</v>
      </c>
      <c r="AI5054">
        <v>93.770014840251307</v>
      </c>
      <c r="AJ5054">
        <v>85.244064699979305</v>
      </c>
      <c r="AK5054">
        <v>16.882032794218301</v>
      </c>
      <c r="AL5054">
        <v>88.657003822374506</v>
      </c>
      <c r="AM5054">
        <v>89.500090428358106</v>
      </c>
      <c r="AN5054">
        <v>1.00000005003521</v>
      </c>
    </row>
    <row r="5055" spans="1:40" x14ac:dyDescent="0.25">
      <c r="A5055" t="str">
        <f>"20190312160434019"</f>
        <v>20190312160434019</v>
      </c>
      <c r="B5055" t="str">
        <f>"1552377874010130"</f>
        <v>1552377874010130</v>
      </c>
      <c r="C5055" t="s">
        <v>40</v>
      </c>
      <c r="D5055">
        <v>5.0777049999999999</v>
      </c>
      <c r="E5055">
        <v>0.56247599999999998</v>
      </c>
      <c r="F5055" t="s">
        <v>49</v>
      </c>
      <c r="G5055">
        <v>-286.76560000000001</v>
      </c>
      <c r="H5055">
        <v>0.97065230000000002</v>
      </c>
      <c r="I5055">
        <v>141.35120000000001</v>
      </c>
      <c r="J5055">
        <v>-286.2133</v>
      </c>
      <c r="K5055">
        <v>1.1100159999999999</v>
      </c>
      <c r="L5055">
        <v>141.21680000000001</v>
      </c>
      <c r="M5055">
        <v>-0.99988200000000005</v>
      </c>
      <c r="N5055">
        <v>0</v>
      </c>
      <c r="O5055">
        <v>6.5601770000000004E-3</v>
      </c>
      <c r="P5055">
        <v>-0.99983820000000001</v>
      </c>
      <c r="Q5055">
        <v>9.5938559999999996E-3</v>
      </c>
      <c r="R5055">
        <v>1.5215269999999999E-2</v>
      </c>
      <c r="S5055">
        <v>-2.9974370000000001</v>
      </c>
      <c r="T5055">
        <v>-0.58055699999999999</v>
      </c>
      <c r="U5055">
        <v>0.56515499999999996</v>
      </c>
      <c r="V5055">
        <v>8.6600540000000004E-3</v>
      </c>
      <c r="W5055">
        <v>2.3479989999999999E-2</v>
      </c>
      <c r="X5055">
        <v>0.99968679999999999</v>
      </c>
      <c r="Y5055">
        <v>0.17579320000000001</v>
      </c>
      <c r="Z5055">
        <v>1.547598E-2</v>
      </c>
      <c r="AA5055">
        <v>0.9843054</v>
      </c>
      <c r="AB5055">
        <v>25</v>
      </c>
      <c r="AC5055">
        <v>-0.55230000000000201</v>
      </c>
      <c r="AD5055">
        <v>-0.13936369999999901</v>
      </c>
      <c r="AE5055">
        <v>0.13439999999999899</v>
      </c>
      <c r="AF5055">
        <v>0.12335821174049701</v>
      </c>
      <c r="AG5055">
        <v>-0.13936369999999901</v>
      </c>
      <c r="AH5055">
        <v>0.52180304375622699</v>
      </c>
      <c r="AI5055">
        <v>104.56974022569401</v>
      </c>
      <c r="AJ5055">
        <v>76.699043367847395</v>
      </c>
      <c r="AK5055">
        <v>0.55400171999260694</v>
      </c>
      <c r="AL5055">
        <v>88.654572029108706</v>
      </c>
      <c r="AM5055">
        <v>89.503672416900798</v>
      </c>
      <c r="AN5055">
        <v>1.00000000227996</v>
      </c>
    </row>
    <row r="5056" spans="1:40" x14ac:dyDescent="0.25">
      <c r="A5056" t="str">
        <f>"20190312160434032"</f>
        <v>20190312160434032</v>
      </c>
      <c r="B5056" t="str">
        <f>"1552377874029649"</f>
        <v>1552377874029649</v>
      </c>
      <c r="C5056" t="s">
        <v>40</v>
      </c>
      <c r="D5056">
        <v>4.657394</v>
      </c>
      <c r="E5056">
        <v>0.56213930000000001</v>
      </c>
      <c r="F5056" t="s">
        <v>49</v>
      </c>
      <c r="G5056">
        <v>-286.9864</v>
      </c>
      <c r="H5056">
        <v>0.95862519999999996</v>
      </c>
      <c r="I5056">
        <v>141.36160000000001</v>
      </c>
      <c r="J5056">
        <v>-286.35449999999997</v>
      </c>
      <c r="K5056">
        <v>1.1100179999999999</v>
      </c>
      <c r="L5056">
        <v>141.21780000000001</v>
      </c>
      <c r="M5056">
        <v>-0.99988169999999998</v>
      </c>
      <c r="N5056">
        <v>0</v>
      </c>
      <c r="O5056">
        <v>6.6144799999999998E-3</v>
      </c>
      <c r="P5056">
        <v>-0.99983650000000002</v>
      </c>
      <c r="Q5056">
        <v>9.7003539999999996E-3</v>
      </c>
      <c r="R5056">
        <v>1.5262980000000001E-2</v>
      </c>
      <c r="S5056">
        <v>-2.9975890000000001</v>
      </c>
      <c r="T5056">
        <v>-0.58700629999999998</v>
      </c>
      <c r="U5056">
        <v>0.56062319999999999</v>
      </c>
      <c r="V5056">
        <v>8.6535259999999999E-3</v>
      </c>
      <c r="W5056">
        <v>2.358534E-2</v>
      </c>
      <c r="X5056">
        <v>0.99968440000000003</v>
      </c>
      <c r="Y5056">
        <v>0.1742543</v>
      </c>
      <c r="Z5056">
        <v>1.548767E-2</v>
      </c>
      <c r="AA5056">
        <v>0.98457890000000003</v>
      </c>
      <c r="AB5056">
        <v>25</v>
      </c>
      <c r="AC5056">
        <v>-0.63190000000002999</v>
      </c>
      <c r="AD5056">
        <v>-0.15139279999999899</v>
      </c>
      <c r="AE5056">
        <v>0.14379999999999801</v>
      </c>
      <c r="AF5056">
        <v>0.13239161830729901</v>
      </c>
      <c r="AG5056">
        <v>-0.15139279999999899</v>
      </c>
      <c r="AH5056">
        <v>0.60008820431349896</v>
      </c>
      <c r="AI5056">
        <v>103.83978217588</v>
      </c>
      <c r="AJ5056">
        <v>77.558688012171004</v>
      </c>
      <c r="AK5056">
        <v>0.63289270294898003</v>
      </c>
      <c r="AL5056">
        <v>88.648534278338502</v>
      </c>
      <c r="AM5056">
        <v>89.504045342272903</v>
      </c>
      <c r="AN5056">
        <v>1.0000000256892501</v>
      </c>
    </row>
    <row r="5057" spans="1:40" x14ac:dyDescent="0.25">
      <c r="A5057" t="str">
        <f>"20190312160434049"</f>
        <v>20190312160434049</v>
      </c>
      <c r="B5057" t="str">
        <f>"1552377874040387"</f>
        <v>1552377874040387</v>
      </c>
      <c r="C5057" t="s">
        <v>40</v>
      </c>
      <c r="D5057">
        <v>4.6575049999999996</v>
      </c>
      <c r="E5057">
        <v>0.56231189999999998</v>
      </c>
      <c r="F5057" t="s">
        <v>49</v>
      </c>
      <c r="G5057">
        <v>-287.20420000000001</v>
      </c>
      <c r="H5057">
        <v>0.94013449999999998</v>
      </c>
      <c r="I5057">
        <v>141.37610000000001</v>
      </c>
      <c r="J5057">
        <v>-286.55090000000001</v>
      </c>
      <c r="K5057">
        <v>1.11002</v>
      </c>
      <c r="L5057">
        <v>141.2192</v>
      </c>
      <c r="M5057">
        <v>-0.99988109999999997</v>
      </c>
      <c r="N5057">
        <v>0</v>
      </c>
      <c r="O5057">
        <v>6.6900619999999897E-3</v>
      </c>
      <c r="P5057">
        <v>-0.9998397</v>
      </c>
      <c r="Q5057">
        <v>9.8453970000000005E-3</v>
      </c>
      <c r="R5057">
        <v>1.4956560000000001E-2</v>
      </c>
      <c r="S5057">
        <v>-2.9977719999999999</v>
      </c>
      <c r="T5057">
        <v>-0.59945230000000005</v>
      </c>
      <c r="U5057">
        <v>0.55816650000000001</v>
      </c>
      <c r="V5057">
        <v>8.2714559999999999E-3</v>
      </c>
      <c r="W5057">
        <v>2.372931E-2</v>
      </c>
      <c r="X5057">
        <v>0.99968420000000002</v>
      </c>
      <c r="Y5057">
        <v>0.1732786</v>
      </c>
      <c r="Z5057">
        <v>1.569947E-2</v>
      </c>
      <c r="AA5057">
        <v>0.9847477</v>
      </c>
      <c r="AB5057">
        <v>25</v>
      </c>
      <c r="AC5057">
        <v>-0.65330000000000099</v>
      </c>
      <c r="AD5057">
        <v>-0.16988549999999999</v>
      </c>
      <c r="AE5057">
        <v>0.15690000000000701</v>
      </c>
      <c r="AF5057">
        <v>0.14335985057244</v>
      </c>
      <c r="AG5057">
        <v>-0.16988549999999999</v>
      </c>
      <c r="AH5057">
        <v>0.61501467466600301</v>
      </c>
      <c r="AI5057">
        <v>105.057122955343</v>
      </c>
      <c r="AJ5057">
        <v>76.878663270329199</v>
      </c>
      <c r="AK5057">
        <v>0.65395426439540305</v>
      </c>
      <c r="AL5057">
        <v>88.640283058811093</v>
      </c>
      <c r="AM5057">
        <v>89.525941587558606</v>
      </c>
      <c r="AN5057">
        <v>0.99999999843353704</v>
      </c>
    </row>
    <row r="5058" spans="1:40" x14ac:dyDescent="0.25">
      <c r="A5058" t="str">
        <f>"20190312160434062"</f>
        <v>20190312160434062</v>
      </c>
      <c r="B5058" t="str">
        <f>"1552377874060553"</f>
        <v>1552377874060553</v>
      </c>
      <c r="C5058" t="s">
        <v>40</v>
      </c>
      <c r="D5058">
        <v>4.6610630000000004</v>
      </c>
      <c r="E5058">
        <v>0.5624768</v>
      </c>
      <c r="F5058" t="s">
        <v>49</v>
      </c>
      <c r="G5058">
        <v>-287.42750000000001</v>
      </c>
      <c r="H5058">
        <v>0.93416060000000001</v>
      </c>
      <c r="I5058">
        <v>141.3827</v>
      </c>
      <c r="J5058">
        <v>-286.7013</v>
      </c>
      <c r="K5058">
        <v>1.1100219999999901</v>
      </c>
      <c r="L5058">
        <v>141.22020000000001</v>
      </c>
      <c r="M5058">
        <v>-0.99988080000000001</v>
      </c>
      <c r="N5058">
        <v>0</v>
      </c>
      <c r="O5058">
        <v>6.7478819999999898E-3</v>
      </c>
      <c r="P5058">
        <v>-0.9998437</v>
      </c>
      <c r="Q5058">
        <v>9.8981139999999995E-3</v>
      </c>
      <c r="R5058">
        <v>1.4649550000000001E-2</v>
      </c>
      <c r="S5058">
        <v>-2.9980159999999998</v>
      </c>
      <c r="T5058">
        <v>-0.60145249999999995</v>
      </c>
      <c r="U5058">
        <v>0.55894469999999996</v>
      </c>
      <c r="V5058">
        <v>7.9067670000000003E-3</v>
      </c>
      <c r="W5058">
        <v>2.378079E-2</v>
      </c>
      <c r="X5058">
        <v>0.99968590000000002</v>
      </c>
      <c r="Y5058">
        <v>0.173432</v>
      </c>
      <c r="Z5058">
        <v>1.575298E-2</v>
      </c>
      <c r="AA5058">
        <v>0.98471989999999998</v>
      </c>
      <c r="AB5058">
        <v>25</v>
      </c>
      <c r="AC5058">
        <v>-0.72620000000000495</v>
      </c>
      <c r="AD5058">
        <v>-0.175861399999999</v>
      </c>
      <c r="AE5058">
        <v>0.16249999999999401</v>
      </c>
      <c r="AF5058">
        <v>0.14925962712622101</v>
      </c>
      <c r="AG5058">
        <v>-0.175861399999999</v>
      </c>
      <c r="AH5058">
        <v>0.68881120401705398</v>
      </c>
      <c r="AI5058">
        <v>104.01038419752</v>
      </c>
      <c r="AJ5058">
        <v>77.773510808573207</v>
      </c>
      <c r="AK5058">
        <v>0.72640659625256898</v>
      </c>
      <c r="AL5058">
        <v>88.637332601829996</v>
      </c>
      <c r="AM5058">
        <v>89.546842730756893</v>
      </c>
      <c r="AN5058">
        <v>0.99999997079811198</v>
      </c>
    </row>
    <row r="5059" spans="1:40" x14ac:dyDescent="0.25">
      <c r="A5059" t="str">
        <f>"20190312160434083"</f>
        <v>20190312160434083</v>
      </c>
      <c r="B5059" t="str">
        <f>"1552377874080073"</f>
        <v>1552377874080073</v>
      </c>
      <c r="C5059" t="s">
        <v>40</v>
      </c>
      <c r="D5059">
        <v>4.6571170000000004</v>
      </c>
      <c r="E5059">
        <v>0.56244150000000004</v>
      </c>
      <c r="F5059" t="s">
        <v>49</v>
      </c>
      <c r="G5059">
        <v>-287.43950000000001</v>
      </c>
      <c r="H5059">
        <v>0.96139289999999999</v>
      </c>
      <c r="I5059">
        <v>141.35820000000001</v>
      </c>
      <c r="J5059">
        <v>-286.9323</v>
      </c>
      <c r="K5059">
        <v>1.1100239999999999</v>
      </c>
      <c r="L5059">
        <v>141.22190000000001</v>
      </c>
      <c r="M5059">
        <v>-0.99988030000000006</v>
      </c>
      <c r="N5059">
        <v>0</v>
      </c>
      <c r="O5059">
        <v>6.8365789999999997E-3</v>
      </c>
      <c r="P5059">
        <v>-0.99984620000000002</v>
      </c>
      <c r="Q5059">
        <v>1.018578E-2</v>
      </c>
      <c r="R5059">
        <v>1.429367E-2</v>
      </c>
      <c r="S5059">
        <v>-2.99823</v>
      </c>
      <c r="T5059">
        <v>-0.60360469999999999</v>
      </c>
      <c r="U5059">
        <v>0.55961609999999995</v>
      </c>
      <c r="V5059">
        <v>7.4622239999999999E-3</v>
      </c>
      <c r="W5059">
        <v>2.4066819999999999E-2</v>
      </c>
      <c r="X5059">
        <v>0.99968250000000003</v>
      </c>
      <c r="Y5059">
        <v>0.17352290000000001</v>
      </c>
      <c r="Z5059">
        <v>1.5798329999999999E-2</v>
      </c>
      <c r="AA5059">
        <v>0.98470310000000005</v>
      </c>
      <c r="AB5059">
        <v>25</v>
      </c>
      <c r="AC5059">
        <v>-0.50720000000001098</v>
      </c>
      <c r="AD5059">
        <v>-0.14863109999999899</v>
      </c>
      <c r="AE5059">
        <v>0.136300000000005</v>
      </c>
      <c r="AF5059">
        <v>0.12297952918337</v>
      </c>
      <c r="AG5059">
        <v>-0.14863109999999899</v>
      </c>
      <c r="AH5059">
        <v>0.47044230702851098</v>
      </c>
      <c r="AI5059">
        <v>106.99668998293799</v>
      </c>
      <c r="AJ5059">
        <v>75.350000724514402</v>
      </c>
      <c r="AK5059">
        <v>0.508459568429665</v>
      </c>
      <c r="AL5059">
        <v>88.620939636052697</v>
      </c>
      <c r="AM5059">
        <v>89.572318210910396</v>
      </c>
      <c r="AN5059">
        <v>0.99999999870909395</v>
      </c>
    </row>
    <row r="5060" spans="1:40" x14ac:dyDescent="0.25">
      <c r="A5060" t="str">
        <f>"20190312160434096"</f>
        <v>20190312160434096</v>
      </c>
      <c r="B5060" t="str">
        <f>"1552377874089832"</f>
        <v>1552377874089832</v>
      </c>
      <c r="C5060" t="s">
        <v>40</v>
      </c>
      <c r="D5060">
        <v>5.1353859999999996</v>
      </c>
      <c r="E5060">
        <v>0.56237040000000005</v>
      </c>
      <c r="F5060" t="s">
        <v>49</v>
      </c>
      <c r="G5060">
        <v>-287.66559999999998</v>
      </c>
      <c r="H5060">
        <v>0.96261909999999895</v>
      </c>
      <c r="I5060">
        <v>141.3586</v>
      </c>
      <c r="J5060">
        <v>-287.07830000000001</v>
      </c>
      <c r="K5060">
        <v>1.1100239999999999</v>
      </c>
      <c r="L5060">
        <v>141.22299999999899</v>
      </c>
      <c r="M5060">
        <v>-0.99987999999999999</v>
      </c>
      <c r="N5060">
        <v>0</v>
      </c>
      <c r="O5060">
        <v>6.8929079999999997E-3</v>
      </c>
      <c r="P5060">
        <v>-0.99983949999999999</v>
      </c>
      <c r="Q5060">
        <v>1.051446E-2</v>
      </c>
      <c r="R5060">
        <v>1.452294E-2</v>
      </c>
      <c r="S5060">
        <v>-2.9986269999999999</v>
      </c>
      <c r="T5060">
        <v>-0.60277320000000001</v>
      </c>
      <c r="U5060">
        <v>0.55793760000000003</v>
      </c>
      <c r="V5060">
        <v>7.6352619999999899E-3</v>
      </c>
      <c r="W5060">
        <v>2.439382E-2</v>
      </c>
      <c r="X5060">
        <v>0.99967320000000004</v>
      </c>
      <c r="Y5060">
        <v>0.172933</v>
      </c>
      <c r="Z5060">
        <v>1.5706419999999999E-2</v>
      </c>
      <c r="AA5060">
        <v>0.98480829999999997</v>
      </c>
      <c r="AB5060">
        <v>25</v>
      </c>
      <c r="AC5060">
        <v>-0.58729999999996996</v>
      </c>
      <c r="AD5060">
        <v>-0.14740490000000001</v>
      </c>
      <c r="AE5060">
        <v>0.13560000000000999</v>
      </c>
      <c r="AF5060">
        <v>0.124124723114668</v>
      </c>
      <c r="AG5060">
        <v>-0.14740490000000001</v>
      </c>
      <c r="AH5060">
        <v>0.55502663479335901</v>
      </c>
      <c r="AI5060">
        <v>104.530171874175</v>
      </c>
      <c r="AJ5060">
        <v>77.393946535288606</v>
      </c>
      <c r="AK5060">
        <v>0.58752848166054406</v>
      </c>
      <c r="AL5060">
        <v>88.602198319343302</v>
      </c>
      <c r="AM5060">
        <v>89.562397209655302</v>
      </c>
      <c r="AN5060">
        <v>0.99999993123911801</v>
      </c>
    </row>
    <row r="5061" spans="1:40" x14ac:dyDescent="0.25">
      <c r="A5061" t="str">
        <f>"20190312160434109"</f>
        <v>20190312160434109</v>
      </c>
      <c r="B5061" t="str">
        <f>"1552377874100570"</f>
        <v>1552377874100570</v>
      </c>
      <c r="C5061" t="s">
        <v>40</v>
      </c>
      <c r="D5061">
        <v>4.6633829999999996</v>
      </c>
      <c r="E5061">
        <v>0.56272180000000005</v>
      </c>
      <c r="F5061" t="s">
        <v>49</v>
      </c>
      <c r="G5061">
        <v>-287.88420000000002</v>
      </c>
      <c r="H5061">
        <v>0.94768969999999997</v>
      </c>
      <c r="I5061">
        <v>141.37299999999999</v>
      </c>
      <c r="J5061">
        <v>-287.21780000000001</v>
      </c>
      <c r="K5061">
        <v>1.1100239999999999</v>
      </c>
      <c r="L5061">
        <v>141.22399999999999</v>
      </c>
      <c r="M5061">
        <v>-0.99987969999999904</v>
      </c>
      <c r="N5061">
        <v>0</v>
      </c>
      <c r="O5061">
        <v>6.9467919999999898E-3</v>
      </c>
      <c r="P5061">
        <v>-0.99983639999999996</v>
      </c>
      <c r="Q5061">
        <v>1.0401870000000001E-2</v>
      </c>
      <c r="R5061">
        <v>1.481089E-2</v>
      </c>
      <c r="S5061">
        <v>-2.9987789999999999</v>
      </c>
      <c r="T5061">
        <v>-0.60410450000000004</v>
      </c>
      <c r="U5061">
        <v>0.55770869999999995</v>
      </c>
      <c r="V5061">
        <v>7.8692539999999991E-3</v>
      </c>
      <c r="W5061">
        <v>2.4280369999999999E-2</v>
      </c>
      <c r="X5061">
        <v>0.99967419999999996</v>
      </c>
      <c r="Y5061">
        <v>0.17278840000000001</v>
      </c>
      <c r="Z5061">
        <v>1.5714809999999999E-2</v>
      </c>
      <c r="AA5061">
        <v>0.98483359999999998</v>
      </c>
      <c r="AB5061">
        <v>25</v>
      </c>
      <c r="AC5061">
        <v>-0.66640000000000998</v>
      </c>
      <c r="AD5061">
        <v>-0.16233429999999999</v>
      </c>
      <c r="AE5061">
        <v>0.14899999999999999</v>
      </c>
      <c r="AF5061">
        <v>0.13664415800497701</v>
      </c>
      <c r="AG5061">
        <v>-0.16233429999999999</v>
      </c>
      <c r="AH5061">
        <v>0.63171750887010403</v>
      </c>
      <c r="AI5061">
        <v>104.09901351576001</v>
      </c>
      <c r="AJ5061">
        <v>77.794628099003702</v>
      </c>
      <c r="AK5061">
        <v>0.66640157704377501</v>
      </c>
      <c r="AL5061">
        <v>88.608700525044696</v>
      </c>
      <c r="AM5061">
        <v>89.548987330513</v>
      </c>
      <c r="AN5061">
        <v>0.99999998383574595</v>
      </c>
    </row>
    <row r="5062" spans="1:40" x14ac:dyDescent="0.25">
      <c r="A5062" t="str">
        <f>"20190312160434128"</f>
        <v>20190312160434128</v>
      </c>
      <c r="B5062" t="str">
        <f>"1552377874120089"</f>
        <v>1552377874120089</v>
      </c>
      <c r="C5062" t="s">
        <v>40</v>
      </c>
      <c r="D5062">
        <v>4.8437380000000001</v>
      </c>
      <c r="E5062">
        <v>0.56194690000000003</v>
      </c>
      <c r="F5062" t="s">
        <v>49</v>
      </c>
      <c r="G5062">
        <v>-288.10180000000003</v>
      </c>
      <c r="H5062">
        <v>0.93047740000000001</v>
      </c>
      <c r="I5062">
        <v>141.3896</v>
      </c>
      <c r="J5062">
        <v>-287.44420000000002</v>
      </c>
      <c r="K5062">
        <v>1.1100239999999999</v>
      </c>
      <c r="L5062">
        <v>141.22569999999999</v>
      </c>
      <c r="M5062">
        <v>-0.99987890000000001</v>
      </c>
      <c r="N5062">
        <v>0</v>
      </c>
      <c r="O5062">
        <v>7.0341780000000003E-3</v>
      </c>
      <c r="P5062">
        <v>-0.99982629999999995</v>
      </c>
      <c r="Q5062">
        <v>1.055937E-2</v>
      </c>
      <c r="R5062">
        <v>1.5362000000000001E-2</v>
      </c>
      <c r="S5062">
        <v>-2.998535</v>
      </c>
      <c r="T5062">
        <v>-0.60908549999999995</v>
      </c>
      <c r="U5062">
        <v>0.56114200000000003</v>
      </c>
      <c r="V5062">
        <v>8.3329709999999998E-3</v>
      </c>
      <c r="W5062">
        <v>2.4435780000000001E-2</v>
      </c>
      <c r="X5062">
        <v>0.99966670000000002</v>
      </c>
      <c r="Y5062">
        <v>0.1737369</v>
      </c>
      <c r="Z5062">
        <v>1.5918649999999999E-2</v>
      </c>
      <c r="AA5062">
        <v>0.98466339999999997</v>
      </c>
      <c r="AB5062">
        <v>25</v>
      </c>
      <c r="AC5062">
        <v>-0.65760000000000196</v>
      </c>
      <c r="AD5062">
        <v>-0.1795466</v>
      </c>
      <c r="AE5062">
        <v>0.16390000000001201</v>
      </c>
      <c r="AF5062">
        <v>0.148824285095009</v>
      </c>
      <c r="AG5062">
        <v>-0.1795466</v>
      </c>
      <c r="AH5062">
        <v>0.61553420845116602</v>
      </c>
      <c r="AI5062">
        <v>105.829249571011</v>
      </c>
      <c r="AJ5062">
        <v>76.407836439524999</v>
      </c>
      <c r="AK5062">
        <v>0.65823097099665795</v>
      </c>
      <c r="AL5062">
        <v>88.599793607518293</v>
      </c>
      <c r="AM5062">
        <v>89.522407807311495</v>
      </c>
      <c r="AN5062">
        <v>1.00000002841939</v>
      </c>
    </row>
    <row r="5063" spans="1:40" x14ac:dyDescent="0.25">
      <c r="A5063" t="str">
        <f>"20190312160434151"</f>
        <v>20190312160434151</v>
      </c>
      <c r="B5063" t="str">
        <f>"1552377874139609"</f>
        <v>1552377874139609</v>
      </c>
      <c r="C5063" t="s">
        <v>40</v>
      </c>
      <c r="D5063">
        <v>4.7902670000000001</v>
      </c>
      <c r="E5063">
        <v>0.56146759999999996</v>
      </c>
      <c r="F5063" t="s">
        <v>49</v>
      </c>
      <c r="G5063">
        <v>-288.32679999999999</v>
      </c>
      <c r="H5063">
        <v>0.931419</v>
      </c>
      <c r="I5063">
        <v>141.3897</v>
      </c>
      <c r="J5063">
        <v>-287.69349999999997</v>
      </c>
      <c r="K5063">
        <v>1.1100239999999999</v>
      </c>
      <c r="L5063">
        <v>141.22749999999999</v>
      </c>
      <c r="M5063">
        <v>-0.9998783</v>
      </c>
      <c r="N5063">
        <v>0</v>
      </c>
      <c r="O5063">
        <v>7.1299700000000002E-3</v>
      </c>
      <c r="P5063">
        <v>-0.9998205</v>
      </c>
      <c r="Q5063">
        <v>1.0124090000000001E-2</v>
      </c>
      <c r="R5063">
        <v>1.602609E-2</v>
      </c>
      <c r="S5063">
        <v>-2.998383</v>
      </c>
      <c r="T5063">
        <v>-0.60666580000000003</v>
      </c>
      <c r="U5063">
        <v>0.55657959999999995</v>
      </c>
      <c r="V5063">
        <v>8.9012729999999995E-3</v>
      </c>
      <c r="W5063">
        <v>2.3998169999999999E-2</v>
      </c>
      <c r="X5063">
        <v>0.99967240000000002</v>
      </c>
      <c r="Y5063">
        <v>0.17225869999999999</v>
      </c>
      <c r="Z5063">
        <v>1.5693700000000001E-2</v>
      </c>
      <c r="AA5063">
        <v>0.98492670000000004</v>
      </c>
      <c r="AB5063">
        <v>25</v>
      </c>
      <c r="AC5063">
        <v>-0.63330000000001896</v>
      </c>
      <c r="AD5063">
        <v>-0.17860499999999899</v>
      </c>
      <c r="AE5063">
        <v>0.162200000000012</v>
      </c>
      <c r="AF5063">
        <v>0.14672814901886599</v>
      </c>
      <c r="AG5063">
        <v>-0.17860499999999899</v>
      </c>
      <c r="AH5063">
        <v>0.59037455866350896</v>
      </c>
      <c r="AI5063">
        <v>106.362056203702</v>
      </c>
      <c r="AJ5063">
        <v>76.042838595980299</v>
      </c>
      <c r="AK5063">
        <v>0.634011841574458</v>
      </c>
      <c r="AL5063">
        <v>88.624874165326403</v>
      </c>
      <c r="AM5063">
        <v>89.489840974592397</v>
      </c>
      <c r="AN5063">
        <v>1.0000000260730599</v>
      </c>
    </row>
    <row r="5064" spans="1:40" x14ac:dyDescent="0.25">
      <c r="A5064" t="str">
        <f>"20190312160434172"</f>
        <v>20190312160434172</v>
      </c>
      <c r="B5064" t="str">
        <f>"1552377874159703"</f>
        <v>1552377874159703</v>
      </c>
      <c r="C5064" t="s">
        <v>40</v>
      </c>
      <c r="D5064">
        <v>4.6497279999999996</v>
      </c>
      <c r="E5064">
        <v>0.56101190000000001</v>
      </c>
      <c r="F5064" t="s">
        <v>49</v>
      </c>
      <c r="G5064">
        <v>-288.55309999999997</v>
      </c>
      <c r="H5064">
        <v>0.9360967</v>
      </c>
      <c r="I5064">
        <v>141.38659999999999</v>
      </c>
      <c r="J5064">
        <v>-287.93340000000001</v>
      </c>
      <c r="K5064">
        <v>1.110028</v>
      </c>
      <c r="L5064">
        <v>141.22929999999999</v>
      </c>
      <c r="M5064">
        <v>-0.99987780000000004</v>
      </c>
      <c r="N5064">
        <v>0</v>
      </c>
      <c r="O5064">
        <v>7.2221849999999999E-3</v>
      </c>
      <c r="P5064">
        <v>-0.99981319999999996</v>
      </c>
      <c r="Q5064">
        <v>9.7914620000000008E-3</v>
      </c>
      <c r="R5064">
        <v>1.6674370000000001E-2</v>
      </c>
      <c r="S5064">
        <v>-2.9978030000000002</v>
      </c>
      <c r="T5064">
        <v>-0.60663149999999999</v>
      </c>
      <c r="U5064">
        <v>0.55480959999999901</v>
      </c>
      <c r="V5064">
        <v>9.4572440000000001E-3</v>
      </c>
      <c r="W5064">
        <v>2.366352E-2</v>
      </c>
      <c r="X5064">
        <v>0.99967530000000004</v>
      </c>
      <c r="Y5064">
        <v>0.17165229999999901</v>
      </c>
      <c r="Z5064">
        <v>1.561801E-2</v>
      </c>
      <c r="AA5064">
        <v>0.98503379999999996</v>
      </c>
      <c r="AB5064">
        <v>25</v>
      </c>
      <c r="AC5064">
        <v>-0.61969999999996594</v>
      </c>
      <c r="AD5064">
        <v>-0.17393130000000001</v>
      </c>
      <c r="AE5064">
        <v>0.157299999999992</v>
      </c>
      <c r="AF5064">
        <v>0.142289412493359</v>
      </c>
      <c r="AG5064">
        <v>-0.17393130000000001</v>
      </c>
      <c r="AH5064">
        <v>0.57804071725750295</v>
      </c>
      <c r="AI5064">
        <v>106.287103822416</v>
      </c>
      <c r="AJ5064">
        <v>76.171118494726898</v>
      </c>
      <c r="AK5064">
        <v>0.62018500855387004</v>
      </c>
      <c r="AL5064">
        <v>88.644053681650306</v>
      </c>
      <c r="AM5064">
        <v>89.457980003270507</v>
      </c>
      <c r="AN5064">
        <v>1.0000000535364699</v>
      </c>
    </row>
    <row r="5065" spans="1:40" x14ac:dyDescent="0.25">
      <c r="A5065" t="str">
        <f>"20190312160434195"</f>
        <v>20190312160434195</v>
      </c>
      <c r="B5065" t="str">
        <f>"1552377874189946"</f>
        <v>1552377874189946</v>
      </c>
      <c r="C5065" t="s">
        <v>40</v>
      </c>
      <c r="D5065">
        <v>4.8061959999999999</v>
      </c>
      <c r="E5065">
        <v>0.56054009999999999</v>
      </c>
      <c r="F5065" t="s">
        <v>49</v>
      </c>
      <c r="G5065">
        <v>-288.77850000000001</v>
      </c>
      <c r="H5065">
        <v>0.93893979999999999</v>
      </c>
      <c r="I5065">
        <v>141.38560000000001</v>
      </c>
      <c r="J5065">
        <v>-288.18959999999998</v>
      </c>
      <c r="K5065">
        <v>1.110028</v>
      </c>
      <c r="L5065">
        <v>141.2313</v>
      </c>
      <c r="M5065">
        <v>-0.99987709999999996</v>
      </c>
      <c r="N5065">
        <v>0</v>
      </c>
      <c r="O5065">
        <v>7.320778E-3</v>
      </c>
      <c r="P5065">
        <v>-0.99981019999999998</v>
      </c>
      <c r="Q5065">
        <v>9.6910580000000007E-3</v>
      </c>
      <c r="R5065">
        <v>1.691732E-2</v>
      </c>
      <c r="S5065">
        <v>-2.9972840000000001</v>
      </c>
      <c r="T5065">
        <v>-0.60677559999999997</v>
      </c>
      <c r="U5065">
        <v>0.55319209999999996</v>
      </c>
      <c r="V5065">
        <v>9.6017069999999993E-3</v>
      </c>
      <c r="W5065">
        <v>2.356103E-2</v>
      </c>
      <c r="X5065">
        <v>0.99967629999999996</v>
      </c>
      <c r="Y5065">
        <v>0.17108180000000001</v>
      </c>
      <c r="Z5065">
        <v>1.55487E-2</v>
      </c>
      <c r="AA5065">
        <v>0.98513410000000001</v>
      </c>
      <c r="AB5065">
        <v>25</v>
      </c>
      <c r="AC5065">
        <v>-0.58890000000002296</v>
      </c>
      <c r="AD5065">
        <v>-0.171088199999999</v>
      </c>
      <c r="AE5065">
        <v>0.15430000000000599</v>
      </c>
      <c r="AF5065">
        <v>0.139005492517356</v>
      </c>
      <c r="AG5065">
        <v>-0.171088199999999</v>
      </c>
      <c r="AH5065">
        <v>0.54682527654371205</v>
      </c>
      <c r="AI5065">
        <v>106.868951153365</v>
      </c>
      <c r="AJ5065">
        <v>75.737247704865396</v>
      </c>
      <c r="AK5065">
        <v>0.58958594131503805</v>
      </c>
      <c r="AL5065">
        <v>88.649927504474505</v>
      </c>
      <c r="AM5065">
        <v>89.449701497395694</v>
      </c>
      <c r="AN5065">
        <v>1.00000000984683</v>
      </c>
    </row>
    <row r="5066" spans="1:40" x14ac:dyDescent="0.25">
      <c r="A5066" t="str">
        <f>"20190312160434209"</f>
        <v>20190312160434209</v>
      </c>
      <c r="B5066" t="str">
        <f>"1552377874199706"</f>
        <v>1552377874199706</v>
      </c>
      <c r="C5066" t="s">
        <v>40</v>
      </c>
      <c r="D5066">
        <v>4.6851799999999999</v>
      </c>
      <c r="E5066">
        <v>0.56039850000000002</v>
      </c>
      <c r="F5066" t="s">
        <v>49</v>
      </c>
      <c r="G5066">
        <v>-289.00450000000001</v>
      </c>
      <c r="H5066">
        <v>0.94362939999999995</v>
      </c>
      <c r="I5066">
        <v>141.38079999999999</v>
      </c>
      <c r="J5066">
        <v>-288.34530000000001</v>
      </c>
      <c r="K5066">
        <v>1.110031</v>
      </c>
      <c r="L5066">
        <v>141.23249999999999</v>
      </c>
      <c r="M5066">
        <v>-0.9998766</v>
      </c>
      <c r="N5066">
        <v>0</v>
      </c>
      <c r="O5066">
        <v>7.3807450000000002E-3</v>
      </c>
      <c r="P5066">
        <v>-0.9998068</v>
      </c>
      <c r="Q5066">
        <v>9.5048460000000008E-3</v>
      </c>
      <c r="R5066">
        <v>1.7209970000000002E-2</v>
      </c>
      <c r="S5066">
        <v>-2.997223</v>
      </c>
      <c r="T5066">
        <v>-0.61209290000000005</v>
      </c>
      <c r="U5066">
        <v>0.54986569999999901</v>
      </c>
      <c r="V5066">
        <v>9.8343219999999995E-3</v>
      </c>
      <c r="W5066">
        <v>2.3373689999999999E-2</v>
      </c>
      <c r="X5066">
        <v>0.99967839999999997</v>
      </c>
      <c r="Y5066">
        <v>0.1699359</v>
      </c>
      <c r="Z5066">
        <v>1.555719E-2</v>
      </c>
      <c r="AA5066">
        <v>0.98533230000000005</v>
      </c>
      <c r="AB5066">
        <v>25</v>
      </c>
      <c r="AC5066">
        <v>-0.65919999999999801</v>
      </c>
      <c r="AD5066">
        <v>-0.16640160000000001</v>
      </c>
      <c r="AE5066">
        <v>0.14830000000000601</v>
      </c>
      <c r="AF5066">
        <v>0.13522835930275601</v>
      </c>
      <c r="AG5066">
        <v>-0.16640160000000001</v>
      </c>
      <c r="AH5066">
        <v>0.62252019144135395</v>
      </c>
      <c r="AI5066">
        <v>104.639199418803</v>
      </c>
      <c r="AJ5066">
        <v>77.744201145789503</v>
      </c>
      <c r="AK5066">
        <v>0.65841293304009096</v>
      </c>
      <c r="AL5066">
        <v>88.660664203689905</v>
      </c>
      <c r="AM5066">
        <v>89.436371767790305</v>
      </c>
      <c r="AN5066">
        <v>0.99999997334998703</v>
      </c>
    </row>
    <row r="5067" spans="1:40" x14ac:dyDescent="0.25">
      <c r="A5067" t="str">
        <f>"20190312160434221"</f>
        <v>20190312160434221</v>
      </c>
      <c r="B5067" t="str">
        <f>"1552377874210443"</f>
        <v>1552377874210443</v>
      </c>
      <c r="C5067" t="s">
        <v>40</v>
      </c>
      <c r="D5067">
        <v>4.6791900000000002</v>
      </c>
      <c r="E5067">
        <v>0.56028159999999905</v>
      </c>
      <c r="F5067" t="s">
        <v>49</v>
      </c>
      <c r="G5067">
        <v>-289.22230000000002</v>
      </c>
      <c r="H5067">
        <v>0.93014859999999999</v>
      </c>
      <c r="I5067">
        <v>141.39359999999999</v>
      </c>
      <c r="J5067">
        <v>-288.48219999999998</v>
      </c>
      <c r="K5067">
        <v>1.1100319999999999</v>
      </c>
      <c r="L5067">
        <v>141.2336</v>
      </c>
      <c r="M5067">
        <v>-0.99987619999999999</v>
      </c>
      <c r="N5067">
        <v>0</v>
      </c>
      <c r="O5067">
        <v>7.4334999999999896E-3</v>
      </c>
      <c r="P5067">
        <v>-0.99980630000000004</v>
      </c>
      <c r="Q5067">
        <v>9.4491499999999999E-3</v>
      </c>
      <c r="R5067">
        <v>1.7271990000000001E-2</v>
      </c>
      <c r="S5067">
        <v>-2.9969790000000001</v>
      </c>
      <c r="T5067">
        <v>-0.61476339999999996</v>
      </c>
      <c r="U5067">
        <v>0.54957579999999995</v>
      </c>
      <c r="V5067">
        <v>9.8436019999999999E-3</v>
      </c>
      <c r="W5067">
        <v>2.3316480000000001E-2</v>
      </c>
      <c r="X5067">
        <v>0.99967969999999895</v>
      </c>
      <c r="Y5067">
        <v>0.169781399999999</v>
      </c>
      <c r="Z5067">
        <v>1.5598900000000001E-2</v>
      </c>
      <c r="AA5067">
        <v>0.98535830000000002</v>
      </c>
      <c r="AB5067">
        <v>25</v>
      </c>
      <c r="AC5067">
        <v>-0.74010000000003995</v>
      </c>
      <c r="AD5067">
        <v>-0.1798834</v>
      </c>
      <c r="AE5067">
        <v>0.15999999999999601</v>
      </c>
      <c r="AF5067">
        <v>0.146240161118321</v>
      </c>
      <c r="AG5067">
        <v>-0.1798834</v>
      </c>
      <c r="AH5067">
        <v>0.70166893747566905</v>
      </c>
      <c r="AI5067">
        <v>104.088655146153</v>
      </c>
      <c r="AJ5067">
        <v>78.227083453621702</v>
      </c>
      <c r="AK5067">
        <v>0.73897464106538002</v>
      </c>
      <c r="AL5067">
        <v>88.663943062821801</v>
      </c>
      <c r="AM5067">
        <v>89.435840677017296</v>
      </c>
      <c r="AN5067">
        <v>1.000000028666</v>
      </c>
    </row>
    <row r="5068" spans="1:40" x14ac:dyDescent="0.25">
      <c r="A5068" t="str">
        <f>"20190312160434233"</f>
        <v>20190312160434233</v>
      </c>
      <c r="B5068" t="str">
        <f>"1552377874229963"</f>
        <v>1552377874229963</v>
      </c>
      <c r="C5068" t="s">
        <v>40</v>
      </c>
      <c r="D5068">
        <v>4.8141780000000001</v>
      </c>
      <c r="E5068">
        <v>0.55997280000000005</v>
      </c>
      <c r="F5068" t="s">
        <v>49</v>
      </c>
      <c r="G5068">
        <v>-289.23329999999999</v>
      </c>
      <c r="H5068">
        <v>0.9554414</v>
      </c>
      <c r="I5068">
        <v>141.37129999999999</v>
      </c>
      <c r="J5068">
        <v>-288.6182</v>
      </c>
      <c r="K5068">
        <v>1.1100300000000001</v>
      </c>
      <c r="L5068">
        <v>141.2347</v>
      </c>
      <c r="M5068">
        <v>-0.99987579999999998</v>
      </c>
      <c r="N5068">
        <v>0</v>
      </c>
      <c r="O5068">
        <v>7.486075E-3</v>
      </c>
      <c r="P5068">
        <v>-0.99980409999999997</v>
      </c>
      <c r="Q5068">
        <v>9.3950449999999994E-3</v>
      </c>
      <c r="R5068">
        <v>1.742643E-2</v>
      </c>
      <c r="S5068">
        <v>-2.9969480000000002</v>
      </c>
      <c r="T5068">
        <v>-0.6168245</v>
      </c>
      <c r="U5068">
        <v>0.54850769999999904</v>
      </c>
      <c r="V5068">
        <v>9.945476E-3</v>
      </c>
      <c r="W5068">
        <v>2.3261179999999999E-2</v>
      </c>
      <c r="X5068">
        <v>0.99967989999999995</v>
      </c>
      <c r="Y5068">
        <v>0.169378799999999</v>
      </c>
      <c r="Z5068">
        <v>1.5599490000000001E-2</v>
      </c>
      <c r="AA5068">
        <v>0.98542759999999996</v>
      </c>
      <c r="AB5068">
        <v>25</v>
      </c>
      <c r="AC5068">
        <v>-0.61509999999998399</v>
      </c>
      <c r="AD5068">
        <v>-0.15458859999999899</v>
      </c>
      <c r="AE5068">
        <v>0.13659999999998701</v>
      </c>
      <c r="AF5068">
        <v>0.12449701967886199</v>
      </c>
      <c r="AG5068">
        <v>-0.15458859999999899</v>
      </c>
      <c r="AH5068">
        <v>0.58112498337309204</v>
      </c>
      <c r="AI5068">
        <v>104.580329382595</v>
      </c>
      <c r="AJ5068">
        <v>77.908048543060204</v>
      </c>
      <c r="AK5068">
        <v>0.61408744447289898</v>
      </c>
      <c r="AL5068">
        <v>88.667112272354899</v>
      </c>
      <c r="AM5068">
        <v>89.430002542576503</v>
      </c>
      <c r="AN5068">
        <v>0.99999994872593301</v>
      </c>
    </row>
    <row r="5069" spans="1:40" x14ac:dyDescent="0.25">
      <c r="A5069" t="str">
        <f>"20190312160434245"</f>
        <v>20190312160434245</v>
      </c>
      <c r="B5069" t="str">
        <f>"1552377874239722"</f>
        <v>1552377874239722</v>
      </c>
      <c r="C5069" t="s">
        <v>40</v>
      </c>
      <c r="D5069">
        <v>4.6588620000000001</v>
      </c>
      <c r="E5069">
        <v>0.55997280000000005</v>
      </c>
      <c r="F5069" t="s">
        <v>49</v>
      </c>
      <c r="G5069">
        <v>-289.44889999999998</v>
      </c>
      <c r="H5069">
        <v>0.93814750000000002</v>
      </c>
      <c r="I5069">
        <v>141.38630000000001</v>
      </c>
      <c r="J5069">
        <v>-288.75020000000001</v>
      </c>
      <c r="K5069">
        <v>1.1100300000000001</v>
      </c>
      <c r="L5069">
        <v>141.23570000000001</v>
      </c>
      <c r="M5069">
        <v>-0.99987539999999997</v>
      </c>
      <c r="N5069">
        <v>0</v>
      </c>
      <c r="O5069">
        <v>7.5370990000000002E-3</v>
      </c>
      <c r="P5069">
        <v>-0.99980409999999997</v>
      </c>
      <c r="Q5069">
        <v>9.1575379999999998E-3</v>
      </c>
      <c r="R5069">
        <v>1.7549289999999999E-2</v>
      </c>
      <c r="S5069">
        <v>-2.9968870000000001</v>
      </c>
      <c r="T5069">
        <v>-0.62012369999999895</v>
      </c>
      <c r="U5069">
        <v>0.54640200000000005</v>
      </c>
      <c r="V5069">
        <v>1.0017089999999999E-2</v>
      </c>
      <c r="W5069">
        <v>2.3022830000000001E-2</v>
      </c>
      <c r="X5069">
        <v>0.99968480000000004</v>
      </c>
      <c r="Y5069">
        <v>0.1686426</v>
      </c>
      <c r="Z5069">
        <v>1.5597369999999999E-2</v>
      </c>
      <c r="AA5069">
        <v>0.98555389999999998</v>
      </c>
      <c r="AB5069">
        <v>25</v>
      </c>
      <c r="AC5069">
        <v>-0.69869999999997301</v>
      </c>
      <c r="AD5069">
        <v>-0.17188249999999899</v>
      </c>
      <c r="AE5069">
        <v>0.15059999999999699</v>
      </c>
      <c r="AF5069">
        <v>0.13738400790024899</v>
      </c>
      <c r="AG5069">
        <v>-0.17188249999999899</v>
      </c>
      <c r="AH5069">
        <v>0.66155693703576102</v>
      </c>
      <c r="AI5069">
        <v>104.272605694752</v>
      </c>
      <c r="AJ5069">
        <v>78.268267433321199</v>
      </c>
      <c r="AK5069">
        <v>0.69719117921350904</v>
      </c>
      <c r="AL5069">
        <v>88.680772508921095</v>
      </c>
      <c r="AM5069">
        <v>89.425901271707403</v>
      </c>
      <c r="AN5069">
        <v>1.0000000460721501</v>
      </c>
    </row>
    <row r="5070" spans="1:40" x14ac:dyDescent="0.25">
      <c r="A5070" t="str">
        <f>"20190312160434261"</f>
        <v>20190312160434261</v>
      </c>
      <c r="B5070" t="str">
        <f>"1552377874250458"</f>
        <v>1552377874250458</v>
      </c>
      <c r="C5070" t="s">
        <v>40</v>
      </c>
      <c r="D5070">
        <v>4.6918579999999999</v>
      </c>
      <c r="E5070">
        <v>0.56780810000000004</v>
      </c>
      <c r="F5070" t="s">
        <v>49</v>
      </c>
      <c r="G5070">
        <v>-289.46010000000001</v>
      </c>
      <c r="H5070">
        <v>0.96295730000000002</v>
      </c>
      <c r="I5070">
        <v>141.36529999999999</v>
      </c>
      <c r="J5070">
        <v>-288.92779999999999</v>
      </c>
      <c r="K5070">
        <v>1.1100300000000001</v>
      </c>
      <c r="L5070">
        <v>141.2371</v>
      </c>
      <c r="M5070">
        <v>-0.99987490000000001</v>
      </c>
      <c r="N5070">
        <v>0</v>
      </c>
      <c r="O5070">
        <v>7.6056500000000003E-3</v>
      </c>
      <c r="P5070">
        <v>-0.99980709999999995</v>
      </c>
      <c r="Q5070">
        <v>8.5590089999999994E-3</v>
      </c>
      <c r="R5070">
        <v>1.767492E-2</v>
      </c>
      <c r="S5070">
        <v>-2.9966740000000001</v>
      </c>
      <c r="T5070">
        <v>-0.62083730000000004</v>
      </c>
      <c r="U5070">
        <v>0.54664609999999902</v>
      </c>
      <c r="V5070">
        <v>1.007401E-2</v>
      </c>
      <c r="W5070">
        <v>2.2422649999999999E-2</v>
      </c>
      <c r="X5070">
        <v>0.99969779999999997</v>
      </c>
      <c r="Y5070">
        <v>0.16865829999999901</v>
      </c>
      <c r="Z5070">
        <v>1.5603580000000001E-2</v>
      </c>
      <c r="AA5070">
        <v>0.98555110000000001</v>
      </c>
      <c r="AB5070">
        <v>25</v>
      </c>
      <c r="AC5070">
        <v>-0.53230000000001998</v>
      </c>
      <c r="AD5070">
        <v>-0.147072699999999</v>
      </c>
      <c r="AE5070">
        <v>0.12819999999999199</v>
      </c>
      <c r="AF5070">
        <v>0.11579246357468199</v>
      </c>
      <c r="AG5070">
        <v>-0.147072699999999</v>
      </c>
      <c r="AH5070">
        <v>0.497372089629248</v>
      </c>
      <c r="AI5070">
        <v>106.066284750069</v>
      </c>
      <c r="AJ5070">
        <v>76.894497618061294</v>
      </c>
      <c r="AK5070">
        <v>0.53142945839325495</v>
      </c>
      <c r="AL5070">
        <v>88.715169079945099</v>
      </c>
      <c r="AM5070">
        <v>89.422646804493496</v>
      </c>
      <c r="AN5070">
        <v>0.99999997611767</v>
      </c>
    </row>
    <row r="5071" spans="1:40" x14ac:dyDescent="0.25">
      <c r="A5071" t="str">
        <f>"20190312160434284"</f>
        <v>20190312160434284</v>
      </c>
      <c r="B5071" t="str">
        <f>"1552377874279738"</f>
        <v>1552377874279738</v>
      </c>
      <c r="C5071" t="s">
        <v>40</v>
      </c>
      <c r="D5071">
        <v>4.6268830000000003</v>
      </c>
      <c r="E5071">
        <v>0.56679109999999999</v>
      </c>
      <c r="F5071" t="s">
        <v>49</v>
      </c>
      <c r="G5071">
        <v>-289.67079999999999</v>
      </c>
      <c r="H5071">
        <v>0.93577909999999997</v>
      </c>
      <c r="I5071">
        <v>141.38890000000001</v>
      </c>
      <c r="J5071">
        <v>-289.1859</v>
      </c>
      <c r="K5071">
        <v>1.110023</v>
      </c>
      <c r="L5071">
        <v>141.23920000000001</v>
      </c>
      <c r="M5071">
        <v>-0.99987429999999999</v>
      </c>
      <c r="N5071">
        <v>0</v>
      </c>
      <c r="O5071">
        <v>7.7049019999999996E-3</v>
      </c>
      <c r="P5071">
        <v>-0.99979910000000005</v>
      </c>
      <c r="Q5071">
        <v>8.5105259999999992E-3</v>
      </c>
      <c r="R5071">
        <v>1.8151359999999998E-2</v>
      </c>
      <c r="S5071">
        <v>-2.9957889999999998</v>
      </c>
      <c r="T5071">
        <v>-0.70259890000000003</v>
      </c>
      <c r="U5071">
        <v>0.61145019999999894</v>
      </c>
      <c r="V5071">
        <v>1.045125E-2</v>
      </c>
      <c r="W5071">
        <v>2.2371640000000002E-2</v>
      </c>
      <c r="X5071">
        <v>0.99969509999999995</v>
      </c>
      <c r="Y5071">
        <v>0.18773429999999999</v>
      </c>
      <c r="Z5071">
        <v>1.9741660000000001E-2</v>
      </c>
      <c r="AA5071">
        <v>0.98202149999999999</v>
      </c>
      <c r="AB5071">
        <v>25</v>
      </c>
      <c r="AC5071">
        <v>-0.48489999999998101</v>
      </c>
      <c r="AD5071">
        <v>-0.17424389999999901</v>
      </c>
      <c r="AE5071">
        <v>0.149699999999995</v>
      </c>
      <c r="AF5071">
        <v>0.13056669833791401</v>
      </c>
      <c r="AG5071">
        <v>-0.17424389999999901</v>
      </c>
      <c r="AH5071">
        <v>0.43478296308051101</v>
      </c>
      <c r="AI5071">
        <v>110.998152406721</v>
      </c>
      <c r="AJ5071">
        <v>73.284821436334795</v>
      </c>
      <c r="AK5071">
        <v>0.48625592478358898</v>
      </c>
      <c r="AL5071">
        <v>88.718092509281107</v>
      </c>
      <c r="AM5071">
        <v>89.401026671756398</v>
      </c>
      <c r="AN5071">
        <v>1.00000000593343</v>
      </c>
    </row>
    <row r="5072" spans="1:40" x14ac:dyDescent="0.25">
      <c r="A5072" t="str">
        <f>"20190312160434298"</f>
        <v>20190312160434298</v>
      </c>
      <c r="B5072" t="str">
        <f>"1552377874290475"</f>
        <v>1552377874290475</v>
      </c>
      <c r="C5072" t="s">
        <v>40</v>
      </c>
      <c r="D5072">
        <v>4.6919779999999998</v>
      </c>
      <c r="E5072">
        <v>0.56713859999999905</v>
      </c>
      <c r="F5072" t="s">
        <v>49</v>
      </c>
      <c r="G5072">
        <v>-289.8974</v>
      </c>
      <c r="H5072">
        <v>0.94425769999999998</v>
      </c>
      <c r="I5072">
        <v>141.3828</v>
      </c>
      <c r="J5072">
        <v>-289.33589999999998</v>
      </c>
      <c r="K5072">
        <v>1.110025</v>
      </c>
      <c r="L5072">
        <v>141.24039999999999</v>
      </c>
      <c r="M5072">
        <v>-0.99987380000000003</v>
      </c>
      <c r="N5072">
        <v>0</v>
      </c>
      <c r="O5072">
        <v>7.7626650000000002E-3</v>
      </c>
      <c r="P5072">
        <v>-0.99979720000000005</v>
      </c>
      <c r="Q5072">
        <v>8.2297340000000007E-3</v>
      </c>
      <c r="R5072">
        <v>1.8384270000000001E-2</v>
      </c>
      <c r="S5072">
        <v>-2.9955440000000002</v>
      </c>
      <c r="T5072">
        <v>-0.697963</v>
      </c>
      <c r="U5072">
        <v>0.60493469999999905</v>
      </c>
      <c r="V5072">
        <v>1.062632E-2</v>
      </c>
      <c r="W5072">
        <v>2.2088940000000001E-2</v>
      </c>
      <c r="X5072">
        <v>0.99969949999999996</v>
      </c>
      <c r="Y5072">
        <v>0.18575179999999999</v>
      </c>
      <c r="Z5072">
        <v>1.9381410000000002E-2</v>
      </c>
      <c r="AA5072">
        <v>0.98240550000000004</v>
      </c>
      <c r="AB5072">
        <v>25</v>
      </c>
      <c r="AC5072">
        <v>-0.56150000000002298</v>
      </c>
      <c r="AD5072">
        <v>-0.16576730000000001</v>
      </c>
      <c r="AE5072">
        <v>0.14240000000000899</v>
      </c>
      <c r="AF5072">
        <v>0.12758841833207599</v>
      </c>
      <c r="AG5072">
        <v>-0.16576730000000001</v>
      </c>
      <c r="AH5072">
        <v>0.52000565325046999</v>
      </c>
      <c r="AI5072">
        <v>107.20236333005199</v>
      </c>
      <c r="AJ5072">
        <v>76.214259986678002</v>
      </c>
      <c r="AK5072">
        <v>0.56050288282418204</v>
      </c>
      <c r="AL5072">
        <v>88.734293978221103</v>
      </c>
      <c r="AM5072">
        <v>89.390996635551005</v>
      </c>
      <c r="AN5072">
        <v>0.99999996512365696</v>
      </c>
    </row>
    <row r="5073" spans="1:40" x14ac:dyDescent="0.25">
      <c r="A5073" t="str">
        <f>"20190312160434309"</f>
        <v>20190312160434309</v>
      </c>
      <c r="B5073" t="str">
        <f>"1552377874300235"</f>
        <v>1552377874300235</v>
      </c>
      <c r="C5073" t="s">
        <v>40</v>
      </c>
      <c r="D5073">
        <v>4.6577529999999996</v>
      </c>
      <c r="E5073">
        <v>0.5669826</v>
      </c>
      <c r="F5073" t="s">
        <v>49</v>
      </c>
      <c r="G5073">
        <v>-290.113</v>
      </c>
      <c r="H5073">
        <v>0.92834570000000005</v>
      </c>
      <c r="I5073">
        <v>141.39840000000001</v>
      </c>
      <c r="J5073">
        <v>-289.47120000000001</v>
      </c>
      <c r="K5073">
        <v>1.110028</v>
      </c>
      <c r="L5073">
        <v>141.2415</v>
      </c>
      <c r="M5073">
        <v>-0.99987349999999997</v>
      </c>
      <c r="N5073">
        <v>0</v>
      </c>
      <c r="O5073">
        <v>7.8147649999999996E-3</v>
      </c>
      <c r="P5073">
        <v>-0.99979499999999999</v>
      </c>
      <c r="Q5073">
        <v>8.1132689999999993E-3</v>
      </c>
      <c r="R5073">
        <v>1.8556369999999999E-2</v>
      </c>
      <c r="S5073">
        <v>-2.995209</v>
      </c>
      <c r="T5073">
        <v>-0.70028290000000004</v>
      </c>
      <c r="U5073">
        <v>0.60810850000000005</v>
      </c>
      <c r="V5073">
        <v>1.0746439999999999E-2</v>
      </c>
      <c r="W5073">
        <v>2.1971669999999999E-2</v>
      </c>
      <c r="X5073">
        <v>0.99970079999999995</v>
      </c>
      <c r="Y5073">
        <v>0.18666959999999999</v>
      </c>
      <c r="Z5073">
        <v>1.9537260000000001E-2</v>
      </c>
      <c r="AA5073">
        <v>0.98222849999999995</v>
      </c>
      <c r="AB5073">
        <v>25</v>
      </c>
      <c r="AC5073">
        <v>-0.64179999999998905</v>
      </c>
      <c r="AD5073">
        <v>-0.18168229999999999</v>
      </c>
      <c r="AE5073">
        <v>0.15690000000000701</v>
      </c>
      <c r="AF5073">
        <v>0.141202015777735</v>
      </c>
      <c r="AG5073">
        <v>-0.18168229999999999</v>
      </c>
      <c r="AH5073">
        <v>0.59780291995663704</v>
      </c>
      <c r="AI5073">
        <v>106.47704722418899</v>
      </c>
      <c r="AJ5073">
        <v>76.710221884436606</v>
      </c>
      <c r="AK5073">
        <v>0.64055819290808202</v>
      </c>
      <c r="AL5073">
        <v>88.741014685319101</v>
      </c>
      <c r="AM5073">
        <v>89.384113785158505</v>
      </c>
      <c r="AN5073">
        <v>0.99999996488794995</v>
      </c>
    </row>
    <row r="5074" spans="1:40" x14ac:dyDescent="0.25">
      <c r="A5074" t="str">
        <f>"20190312160434322"</f>
        <v>20190312160434322</v>
      </c>
      <c r="B5074" t="str">
        <f>"1552377874319754"</f>
        <v>1552377874319754</v>
      </c>
      <c r="C5074" t="s">
        <v>40</v>
      </c>
      <c r="D5074">
        <v>4.6782050000000002</v>
      </c>
      <c r="E5074">
        <v>0.56723310000000005</v>
      </c>
      <c r="F5074" t="s">
        <v>49</v>
      </c>
      <c r="G5074">
        <v>-290.32810000000001</v>
      </c>
      <c r="H5074">
        <v>0.91023310000000002</v>
      </c>
      <c r="I5074">
        <v>141.41550000000001</v>
      </c>
      <c r="J5074">
        <v>-289.61590000000001</v>
      </c>
      <c r="K5074">
        <v>1.1100289999999999</v>
      </c>
      <c r="L5074">
        <v>141.24270000000001</v>
      </c>
      <c r="M5074">
        <v>-0.99987300000000001</v>
      </c>
      <c r="N5074">
        <v>0</v>
      </c>
      <c r="O5074">
        <v>7.8705010000000002E-3</v>
      </c>
      <c r="P5074">
        <v>-0.99979200000000001</v>
      </c>
      <c r="Q5074">
        <v>8.0340869999999901E-3</v>
      </c>
      <c r="R5074">
        <v>1.8750050000000001E-2</v>
      </c>
      <c r="S5074">
        <v>-2.9949650000000001</v>
      </c>
      <c r="T5074">
        <v>-0.69832159999999999</v>
      </c>
      <c r="U5074">
        <v>0.60752869999999903</v>
      </c>
      <c r="V5074">
        <v>1.0884400000000001E-2</v>
      </c>
      <c r="W5074">
        <v>2.1890630000000001E-2</v>
      </c>
      <c r="X5074">
        <v>0.99970110000000001</v>
      </c>
      <c r="Y5074">
        <v>0.1864788</v>
      </c>
      <c r="Z5074">
        <v>1.9451380000000001E-2</v>
      </c>
      <c r="AA5074">
        <v>0.98226639999999998</v>
      </c>
      <c r="AB5074">
        <v>25</v>
      </c>
      <c r="AC5074">
        <v>-0.71219999999999495</v>
      </c>
      <c r="AD5074">
        <v>-0.1997959</v>
      </c>
      <c r="AE5074">
        <v>0.17279999999999501</v>
      </c>
      <c r="AF5074">
        <v>0.15562231612189101</v>
      </c>
      <c r="AG5074">
        <v>-0.1997959</v>
      </c>
      <c r="AH5074">
        <v>0.66417422438120199</v>
      </c>
      <c r="AI5074">
        <v>106.324572701365</v>
      </c>
      <c r="AJ5074">
        <v>76.812947966062794</v>
      </c>
      <c r="AK5074">
        <v>0.71081932111073298</v>
      </c>
      <c r="AL5074">
        <v>88.745659070950893</v>
      </c>
      <c r="AM5074">
        <v>89.376208006206895</v>
      </c>
      <c r="AN5074">
        <v>0.99999997959318299</v>
      </c>
    </row>
    <row r="5075" spans="1:40" x14ac:dyDescent="0.25">
      <c r="A5075" t="str">
        <f>"20190312160434341"</f>
        <v>20190312160434341</v>
      </c>
      <c r="B5075" t="str">
        <f>"1552377874330490"</f>
        <v>1552377874330490</v>
      </c>
      <c r="C5075" t="s">
        <v>40</v>
      </c>
      <c r="D5075">
        <v>4.7905139999999999</v>
      </c>
      <c r="E5075">
        <v>0.56723310000000005</v>
      </c>
      <c r="F5075" t="s">
        <v>49</v>
      </c>
      <c r="G5075">
        <v>-290.34059999999999</v>
      </c>
      <c r="H5075">
        <v>0.94093439999999995</v>
      </c>
      <c r="I5075">
        <v>141.3905</v>
      </c>
      <c r="J5075">
        <v>-289.80970000000002</v>
      </c>
      <c r="K5075">
        <v>1.1100289999999999</v>
      </c>
      <c r="L5075">
        <v>141.24440000000001</v>
      </c>
      <c r="M5075">
        <v>-0.99987250000000005</v>
      </c>
      <c r="N5075">
        <v>0</v>
      </c>
      <c r="O5075">
        <v>7.9450739999999999E-3</v>
      </c>
      <c r="P5075">
        <v>-0.99978359999999999</v>
      </c>
      <c r="Q5075">
        <v>8.6385519999999903E-3</v>
      </c>
      <c r="R5075">
        <v>1.8935440000000001E-2</v>
      </c>
      <c r="S5075">
        <v>-2.9947810000000001</v>
      </c>
      <c r="T5075">
        <v>-0.69873069999999904</v>
      </c>
      <c r="U5075">
        <v>0.6101837</v>
      </c>
      <c r="V5075">
        <v>1.0995420000000001E-2</v>
      </c>
      <c r="W5075">
        <v>2.2492729999999999E-2</v>
      </c>
      <c r="X5075">
        <v>0.99968650000000003</v>
      </c>
      <c r="Y5075">
        <v>0.18723119999999999</v>
      </c>
      <c r="Z5075">
        <v>1.9530749999999999E-2</v>
      </c>
      <c r="AA5075">
        <v>0.98212169999999999</v>
      </c>
      <c r="AB5075">
        <v>25</v>
      </c>
      <c r="AC5075">
        <v>-0.53089999999997395</v>
      </c>
      <c r="AD5075">
        <v>-0.16909460000000001</v>
      </c>
      <c r="AE5075">
        <v>0.14609999999998899</v>
      </c>
      <c r="AF5075">
        <v>0.12965038916386701</v>
      </c>
      <c r="AG5075">
        <v>-0.16909460000000001</v>
      </c>
      <c r="AH5075">
        <v>0.48619406704913198</v>
      </c>
      <c r="AI5075">
        <v>108.574891763235</v>
      </c>
      <c r="AJ5075">
        <v>75.068732676974307</v>
      </c>
      <c r="AK5075">
        <v>0.53083601798792701</v>
      </c>
      <c r="AL5075">
        <v>88.711152758196704</v>
      </c>
      <c r="AM5075">
        <v>89.369836686398202</v>
      </c>
      <c r="AN5075">
        <v>0.99999996022303805</v>
      </c>
    </row>
    <row r="5076" spans="1:40" x14ac:dyDescent="0.25">
      <c r="A5076" t="str">
        <f>"20190312160434362"</f>
        <v>20190312160434362</v>
      </c>
      <c r="B5076" t="str">
        <f>"1552377874350010"</f>
        <v>1552377874350010</v>
      </c>
      <c r="C5076" t="s">
        <v>40</v>
      </c>
      <c r="D5076">
        <v>4.695748</v>
      </c>
      <c r="E5076">
        <v>0.57173409999999902</v>
      </c>
      <c r="F5076" t="s">
        <v>49</v>
      </c>
      <c r="G5076">
        <v>-290.56020000000001</v>
      </c>
      <c r="H5076">
        <v>0.93544609999999995</v>
      </c>
      <c r="I5076">
        <v>141.39760000000001</v>
      </c>
      <c r="J5076">
        <v>-290.05110000000002</v>
      </c>
      <c r="K5076">
        <v>1.110034</v>
      </c>
      <c r="L5076">
        <v>141.24639999999999</v>
      </c>
      <c r="M5076">
        <v>-0.99987190000000004</v>
      </c>
      <c r="N5076">
        <v>0</v>
      </c>
      <c r="O5076">
        <v>8.0382430000000005E-3</v>
      </c>
      <c r="P5076">
        <v>-0.99980210000000003</v>
      </c>
      <c r="Q5076">
        <v>8.0625149999999993E-3</v>
      </c>
      <c r="R5076">
        <v>1.8196239999999999E-2</v>
      </c>
      <c r="S5076">
        <v>-2.9950559999999999</v>
      </c>
      <c r="T5076">
        <v>-0.69670810000000005</v>
      </c>
      <c r="U5076">
        <v>0.6109772</v>
      </c>
      <c r="V5076">
        <v>1.016267E-2</v>
      </c>
      <c r="W5076">
        <v>2.1914940000000001E-2</v>
      </c>
      <c r="X5076">
        <v>0.99970820000000005</v>
      </c>
      <c r="Y5076">
        <v>0.18739749999999999</v>
      </c>
      <c r="Z5076">
        <v>1.9471189999999999E-2</v>
      </c>
      <c r="AA5076">
        <v>0.98209109999999999</v>
      </c>
      <c r="AB5076">
        <v>25</v>
      </c>
      <c r="AC5076">
        <v>-0.50909999999998901</v>
      </c>
      <c r="AD5076">
        <v>-0.17458789999999999</v>
      </c>
      <c r="AE5076">
        <v>0.15120000000001699</v>
      </c>
      <c r="AF5076">
        <v>0.13275538404824</v>
      </c>
      <c r="AG5076">
        <v>-0.17458789999999999</v>
      </c>
      <c r="AH5076">
        <v>0.46052900458819401</v>
      </c>
      <c r="AI5076">
        <v>110.01515966069999</v>
      </c>
      <c r="AJ5076">
        <v>73.919466204032204</v>
      </c>
      <c r="AK5076">
        <v>0.51009008114959298</v>
      </c>
      <c r="AL5076">
        <v>88.744265920522295</v>
      </c>
      <c r="AM5076">
        <v>89.417572004254097</v>
      </c>
      <c r="AN5076">
        <v>1.0000000148019801</v>
      </c>
    </row>
    <row r="5077" spans="1:40" x14ac:dyDescent="0.25">
      <c r="A5077" t="str">
        <f>"20190312160434385"</f>
        <v>20190312160434385</v>
      </c>
      <c r="B5077" t="str">
        <f>"1552377874380267"</f>
        <v>1552377874380267</v>
      </c>
      <c r="C5077" t="s">
        <v>40</v>
      </c>
      <c r="D5077">
        <v>5.0854839999999903</v>
      </c>
      <c r="E5077">
        <v>0.57132680000000002</v>
      </c>
      <c r="F5077" t="s">
        <v>49</v>
      </c>
      <c r="G5077">
        <v>-290.779</v>
      </c>
      <c r="H5077">
        <v>0.92874219999999996</v>
      </c>
      <c r="I5077">
        <v>141.40350000000001</v>
      </c>
      <c r="J5077">
        <v>-290.30099999999999</v>
      </c>
      <c r="K5077">
        <v>1.110033</v>
      </c>
      <c r="L5077">
        <v>141.24850000000001</v>
      </c>
      <c r="M5077">
        <v>-0.99987099999999995</v>
      </c>
      <c r="N5077">
        <v>0</v>
      </c>
      <c r="O5077">
        <v>8.1351700000000006E-3</v>
      </c>
      <c r="P5077">
        <v>-0.99980970000000002</v>
      </c>
      <c r="Q5077">
        <v>7.5875219999999898E-3</v>
      </c>
      <c r="R5077">
        <v>1.7970969999999999E-2</v>
      </c>
      <c r="S5077">
        <v>-2.994812</v>
      </c>
      <c r="T5077">
        <v>-0.74584220000000001</v>
      </c>
      <c r="U5077">
        <v>0.64576719999999999</v>
      </c>
      <c r="V5077">
        <v>9.8403469999999993E-3</v>
      </c>
      <c r="W5077">
        <v>2.143726E-2</v>
      </c>
      <c r="X5077">
        <v>0.99972179999999999</v>
      </c>
      <c r="Y5077">
        <v>0.19730139999999999</v>
      </c>
      <c r="Z5077">
        <v>2.1962189999999999E-2</v>
      </c>
      <c r="AA5077">
        <v>0.98009690000000005</v>
      </c>
      <c r="AB5077">
        <v>25</v>
      </c>
      <c r="AC5077">
        <v>-0.47800000000000797</v>
      </c>
      <c r="AD5077">
        <v>-0.1812908</v>
      </c>
      <c r="AE5077">
        <v>0.155000000000001</v>
      </c>
      <c r="AF5077">
        <v>0.13370319310124801</v>
      </c>
      <c r="AG5077">
        <v>-0.1812908</v>
      </c>
      <c r="AH5077">
        <v>0.42405112251594002</v>
      </c>
      <c r="AI5077">
        <v>112.18239298178401</v>
      </c>
      <c r="AJ5077">
        <v>72.499952346564598</v>
      </c>
      <c r="AK5077">
        <v>0.48016898329352697</v>
      </c>
      <c r="AL5077">
        <v>88.771641422641693</v>
      </c>
      <c r="AM5077">
        <v>89.436050964780804</v>
      </c>
      <c r="AN5077">
        <v>1.00000003297031</v>
      </c>
    </row>
    <row r="5078" spans="1:40" x14ac:dyDescent="0.25">
      <c r="A5078" t="str">
        <f>"20190312160434408"</f>
        <v>20190312160434408</v>
      </c>
      <c r="B5078" t="str">
        <f>"1552377874399787"</f>
        <v>1552377874399787</v>
      </c>
      <c r="C5078" t="s">
        <v>40</v>
      </c>
      <c r="D5078">
        <v>4.8912009999999997</v>
      </c>
      <c r="E5078">
        <v>0.57494940000000005</v>
      </c>
      <c r="F5078" t="s">
        <v>49</v>
      </c>
      <c r="G5078">
        <v>-291.00389999999999</v>
      </c>
      <c r="H5078">
        <v>0.93708789999999997</v>
      </c>
      <c r="I5078">
        <v>141.3991</v>
      </c>
      <c r="J5078">
        <v>-290.55220000000003</v>
      </c>
      <c r="K5078">
        <v>1.1100289999999999</v>
      </c>
      <c r="L5078">
        <v>141.25069999999999</v>
      </c>
      <c r="M5078">
        <v>-0.99987029999999999</v>
      </c>
      <c r="N5078">
        <v>0</v>
      </c>
      <c r="O5078">
        <v>8.2318589999999994E-3</v>
      </c>
      <c r="P5078">
        <v>-0.99981640000000005</v>
      </c>
      <c r="Q5078">
        <v>7.4338449999999997E-3</v>
      </c>
      <c r="R5078">
        <v>1.7675010000000001E-2</v>
      </c>
      <c r="S5078">
        <v>-2.9946290000000002</v>
      </c>
      <c r="T5078">
        <v>-0.73681969999999997</v>
      </c>
      <c r="U5078">
        <v>0.64134219999999997</v>
      </c>
      <c r="V5078">
        <v>9.4475800000000006E-3</v>
      </c>
      <c r="W5078">
        <v>2.1281370000000001E-2</v>
      </c>
      <c r="X5078">
        <v>0.99972890000000003</v>
      </c>
      <c r="Y5078">
        <v>0.1960026</v>
      </c>
      <c r="Z5078">
        <v>2.1529530000000002E-2</v>
      </c>
      <c r="AA5078">
        <v>0.98036699999999999</v>
      </c>
      <c r="AB5078">
        <v>25</v>
      </c>
      <c r="AC5078">
        <v>-0.45169999999995902</v>
      </c>
      <c r="AD5078">
        <v>-0.17294109999999999</v>
      </c>
      <c r="AE5078">
        <v>0.148400000000009</v>
      </c>
      <c r="AF5078">
        <v>0.127771299847043</v>
      </c>
      <c r="AG5078">
        <v>-0.17294109999999999</v>
      </c>
      <c r="AH5078">
        <v>0.39998567906582499</v>
      </c>
      <c r="AI5078">
        <v>112.38504223475999</v>
      </c>
      <c r="AJ5078">
        <v>72.284454671706001</v>
      </c>
      <c r="AK5078">
        <v>0.45411746563148397</v>
      </c>
      <c r="AL5078">
        <v>88.780575275801894</v>
      </c>
      <c r="AM5078">
        <v>89.458562868742206</v>
      </c>
      <c r="AN5078">
        <v>1.00000001348607</v>
      </c>
    </row>
    <row r="5079" spans="1:40" x14ac:dyDescent="0.25">
      <c r="A5079" t="str">
        <f>"20190312160434430"</f>
        <v>20190312160434430</v>
      </c>
      <c r="B5079" t="str">
        <f>"1552377874420282"</f>
        <v>1552377874420282</v>
      </c>
      <c r="C5079" t="s">
        <v>40</v>
      </c>
      <c r="D5079">
        <v>4.8209710000000001</v>
      </c>
      <c r="E5079">
        <v>0.57416469999999997</v>
      </c>
      <c r="F5079" t="s">
        <v>49</v>
      </c>
      <c r="G5079">
        <v>-291.42610000000002</v>
      </c>
      <c r="H5079">
        <v>0.88709780000000005</v>
      </c>
      <c r="I5079">
        <v>141.44630000000001</v>
      </c>
      <c r="J5079">
        <v>-290.79629999999997</v>
      </c>
      <c r="K5079">
        <v>1.1100300000000001</v>
      </c>
      <c r="L5079">
        <v>141.25280000000001</v>
      </c>
      <c r="M5079">
        <v>-0.99986960000000003</v>
      </c>
      <c r="N5079">
        <v>0</v>
      </c>
      <c r="O5079">
        <v>8.3260450000000007E-3</v>
      </c>
      <c r="P5079">
        <v>-0.99981830000000005</v>
      </c>
      <c r="Q5079">
        <v>7.4178229999999996E-3</v>
      </c>
      <c r="R5079">
        <v>1.757891E-2</v>
      </c>
      <c r="S5079">
        <v>-2.994415</v>
      </c>
      <c r="T5079">
        <v>-0.76388650000000002</v>
      </c>
      <c r="U5079">
        <v>0.66954040000000004</v>
      </c>
      <c r="V5079">
        <v>9.2572520000000005E-3</v>
      </c>
      <c r="W5079">
        <v>2.1263250000000001E-2</v>
      </c>
      <c r="X5079">
        <v>0.99973109999999998</v>
      </c>
      <c r="Y5079">
        <v>0.20410149999999999</v>
      </c>
      <c r="Z5079">
        <v>2.3258919999999999E-2</v>
      </c>
      <c r="AA5079">
        <v>0.97867340000000003</v>
      </c>
      <c r="AB5079">
        <v>25</v>
      </c>
      <c r="AC5079">
        <v>-0.62980000000004499</v>
      </c>
      <c r="AD5079">
        <v>-0.222932199999999</v>
      </c>
      <c r="AE5079">
        <v>0.19350000000000001</v>
      </c>
      <c r="AF5079">
        <v>0.16891056580320399</v>
      </c>
      <c r="AG5079">
        <v>-0.222932199999999</v>
      </c>
      <c r="AH5079">
        <v>0.56652792911156302</v>
      </c>
      <c r="AI5079">
        <v>110.66155525625</v>
      </c>
      <c r="AJ5079">
        <v>73.398025847116898</v>
      </c>
      <c r="AK5079">
        <v>0.63180965448482496</v>
      </c>
      <c r="AL5079">
        <v>88.781613751630999</v>
      </c>
      <c r="AM5079">
        <v>89.469471029863698</v>
      </c>
      <c r="AN5079">
        <v>1.0000000474111801</v>
      </c>
    </row>
    <row r="5080" spans="1:40" x14ac:dyDescent="0.25">
      <c r="A5080" t="str">
        <f>"20190312160434452"</f>
        <v>20190312160434452</v>
      </c>
      <c r="B5080" t="str">
        <f>"1552377874439803"</f>
        <v>1552377874439803</v>
      </c>
      <c r="C5080" t="s">
        <v>40</v>
      </c>
      <c r="D5080">
        <v>4.7936170000000002</v>
      </c>
      <c r="E5080">
        <v>0.57342280000000001</v>
      </c>
      <c r="F5080" t="s">
        <v>49</v>
      </c>
      <c r="G5080">
        <v>-291.64940000000001</v>
      </c>
      <c r="H5080">
        <v>0.89418940000000002</v>
      </c>
      <c r="I5080">
        <v>141.44159999999999</v>
      </c>
      <c r="J5080">
        <v>-291.04050000000001</v>
      </c>
      <c r="K5080">
        <v>1.110028</v>
      </c>
      <c r="L5080">
        <v>141.25489999999999</v>
      </c>
      <c r="M5080">
        <v>-0.9998688</v>
      </c>
      <c r="N5080">
        <v>0</v>
      </c>
      <c r="O5080">
        <v>8.4202340000000004E-3</v>
      </c>
      <c r="P5080">
        <v>-0.99981370000000003</v>
      </c>
      <c r="Q5080">
        <v>7.8570489999999996E-3</v>
      </c>
      <c r="R5080">
        <v>1.763404E-2</v>
      </c>
      <c r="S5080">
        <v>-2.994507</v>
      </c>
      <c r="T5080">
        <v>-0.75762649999999998</v>
      </c>
      <c r="U5080">
        <v>0.66313169999999899</v>
      </c>
      <c r="V5080">
        <v>9.2181899999999994E-3</v>
      </c>
      <c r="W5080">
        <v>2.169946E-2</v>
      </c>
      <c r="X5080">
        <v>0.99972209999999995</v>
      </c>
      <c r="Y5080">
        <v>0.20216120000000001</v>
      </c>
      <c r="Z5080">
        <v>2.2816280000000001E-2</v>
      </c>
      <c r="AA5080">
        <v>0.97908649999999997</v>
      </c>
      <c r="AB5080">
        <v>25</v>
      </c>
      <c r="AC5080">
        <v>-0.60890000000000499</v>
      </c>
      <c r="AD5080">
        <v>-0.21583859999999999</v>
      </c>
      <c r="AE5080">
        <v>0.186700000000001</v>
      </c>
      <c r="AF5080">
        <v>0.16286073446586399</v>
      </c>
      <c r="AG5080">
        <v>-0.21583859999999999</v>
      </c>
      <c r="AH5080">
        <v>0.54756144211021895</v>
      </c>
      <c r="AI5080">
        <v>110.697753471553</v>
      </c>
      <c r="AJ5080">
        <v>73.435987749652995</v>
      </c>
      <c r="AK5080">
        <v>0.61068277605197197</v>
      </c>
      <c r="AL5080">
        <v>88.756615007070806</v>
      </c>
      <c r="AM5080">
        <v>89.471704772793899</v>
      </c>
      <c r="AN5080">
        <v>1.00000005940978</v>
      </c>
    </row>
    <row r="5081" spans="1:40" x14ac:dyDescent="0.25">
      <c r="A5081" t="str">
        <f>"20190312160434474"</f>
        <v>20190312160434474</v>
      </c>
      <c r="B5081" t="str">
        <f>"1552377874470059"</f>
        <v>1552377874470059</v>
      </c>
      <c r="C5081" t="s">
        <v>40</v>
      </c>
      <c r="D5081">
        <v>4.8465569999999998</v>
      </c>
      <c r="E5081">
        <v>0.57259939999999998</v>
      </c>
      <c r="F5081" t="s">
        <v>49</v>
      </c>
      <c r="G5081">
        <v>-291.8723</v>
      </c>
      <c r="H5081">
        <v>0.9009916</v>
      </c>
      <c r="I5081">
        <v>141.43790000000001</v>
      </c>
      <c r="J5081">
        <v>-291.2851</v>
      </c>
      <c r="K5081">
        <v>1.1100190000000001</v>
      </c>
      <c r="L5081">
        <v>141.25710000000001</v>
      </c>
      <c r="M5081">
        <v>-0.99986799999999998</v>
      </c>
      <c r="N5081">
        <v>0</v>
      </c>
      <c r="O5081">
        <v>8.5149839999999997E-3</v>
      </c>
      <c r="P5081">
        <v>-0.99980440000000004</v>
      </c>
      <c r="Q5081">
        <v>8.1948950000000007E-3</v>
      </c>
      <c r="R5081">
        <v>1.7991159999999999E-2</v>
      </c>
      <c r="S5081">
        <v>-2.9948429999999999</v>
      </c>
      <c r="T5081">
        <v>-0.75258409999999998</v>
      </c>
      <c r="U5081">
        <v>0.65789790000000004</v>
      </c>
      <c r="V5081">
        <v>9.4806809999999995E-3</v>
      </c>
      <c r="W5081">
        <v>2.202983E-2</v>
      </c>
      <c r="X5081">
        <v>0.9997123</v>
      </c>
      <c r="Y5081">
        <v>0.200539</v>
      </c>
      <c r="Z5081">
        <v>2.2448880000000001E-2</v>
      </c>
      <c r="AA5081">
        <v>0.97942850000000004</v>
      </c>
      <c r="AB5081">
        <v>25</v>
      </c>
      <c r="AC5081">
        <v>-0.58719999999999495</v>
      </c>
      <c r="AD5081">
        <v>-0.2090274</v>
      </c>
      <c r="AE5081">
        <v>0.18080000000000401</v>
      </c>
      <c r="AF5081">
        <v>0.15755673496071099</v>
      </c>
      <c r="AG5081">
        <v>-0.2090274</v>
      </c>
      <c r="AH5081">
        <v>0.52764649815610598</v>
      </c>
      <c r="AI5081">
        <v>110.786209720188</v>
      </c>
      <c r="AJ5081">
        <v>73.374226390942795</v>
      </c>
      <c r="AK5081">
        <v>0.58900543774963698</v>
      </c>
      <c r="AL5081">
        <v>88.7376815241537</v>
      </c>
      <c r="AM5081">
        <v>89.456656955447997</v>
      </c>
      <c r="AN5081">
        <v>0.99999993974666901</v>
      </c>
    </row>
    <row r="5082" spans="1:40" x14ac:dyDescent="0.25">
      <c r="A5082" t="str">
        <f>"20190312160434496"</f>
        <v>20190312160434496</v>
      </c>
      <c r="B5082" t="str">
        <f>"1552377874490554"</f>
        <v>1552377874490554</v>
      </c>
      <c r="C5082" t="s">
        <v>40</v>
      </c>
      <c r="D5082">
        <v>4.8146909999999998</v>
      </c>
      <c r="E5082">
        <v>0.57204509999999997</v>
      </c>
      <c r="F5082" t="s">
        <v>49</v>
      </c>
      <c r="G5082">
        <v>-292.09480000000002</v>
      </c>
      <c r="H5082">
        <v>0.90737869999999998</v>
      </c>
      <c r="I5082">
        <v>141.4333</v>
      </c>
      <c r="J5082">
        <v>-291.53059999999999</v>
      </c>
      <c r="K5082">
        <v>1.110017</v>
      </c>
      <c r="L5082">
        <v>141.2593</v>
      </c>
      <c r="M5082">
        <v>-0.99986739999999996</v>
      </c>
      <c r="N5082">
        <v>0</v>
      </c>
      <c r="O5082">
        <v>8.6095459999999992E-3</v>
      </c>
      <c r="P5082">
        <v>-0.99980480000000005</v>
      </c>
      <c r="Q5082">
        <v>8.038679E-3</v>
      </c>
      <c r="R5082">
        <v>1.8060380000000001E-2</v>
      </c>
      <c r="S5082">
        <v>-2.9949949999999999</v>
      </c>
      <c r="T5082">
        <v>-0.74949030000000005</v>
      </c>
      <c r="U5082">
        <v>0.65223690000000001</v>
      </c>
      <c r="V5082">
        <v>9.4554319999999997E-3</v>
      </c>
      <c r="W5082">
        <v>2.1860109999999999E-2</v>
      </c>
      <c r="X5082">
        <v>0.9997163</v>
      </c>
      <c r="Y5082">
        <v>0.19876769999999999</v>
      </c>
      <c r="Z5082">
        <v>2.2123569999999999E-2</v>
      </c>
      <c r="AA5082">
        <v>0.97979689999999997</v>
      </c>
      <c r="AB5082">
        <v>25</v>
      </c>
      <c r="AC5082">
        <v>-0.56420000000002701</v>
      </c>
      <c r="AD5082">
        <v>-0.20263829999999999</v>
      </c>
      <c r="AE5082">
        <v>0.17400000000000601</v>
      </c>
      <c r="AF5082">
        <v>0.15131210798466799</v>
      </c>
      <c r="AG5082">
        <v>-0.20263829999999999</v>
      </c>
      <c r="AH5082">
        <v>0.50606633530749601</v>
      </c>
      <c r="AI5082">
        <v>110.988666931452</v>
      </c>
      <c r="AJ5082">
        <v>73.353514564039301</v>
      </c>
      <c r="AK5082">
        <v>0.56573913633512496</v>
      </c>
      <c r="AL5082">
        <v>88.747408151025596</v>
      </c>
      <c r="AM5082">
        <v>89.458106071194294</v>
      </c>
      <c r="AN5082">
        <v>0.99999997504460403</v>
      </c>
    </row>
    <row r="5083" spans="1:40" x14ac:dyDescent="0.25">
      <c r="A5083" t="str">
        <f>"20190312160434518"</f>
        <v>20190312160434518</v>
      </c>
      <c r="B5083" t="str">
        <f>"1552377874510077"</f>
        <v>1552377874510077</v>
      </c>
      <c r="C5083" t="s">
        <v>40</v>
      </c>
      <c r="D5083">
        <v>4.824872</v>
      </c>
      <c r="E5083">
        <v>0.57144869999999903</v>
      </c>
      <c r="F5083" t="s">
        <v>49</v>
      </c>
      <c r="G5083">
        <v>-292.31760000000003</v>
      </c>
      <c r="H5083">
        <v>0.91469909999999999</v>
      </c>
      <c r="I5083">
        <v>141.4297</v>
      </c>
      <c r="J5083">
        <v>-291.77170000000001</v>
      </c>
      <c r="K5083">
        <v>1.1100110000000001</v>
      </c>
      <c r="L5083">
        <v>141.26150000000001</v>
      </c>
      <c r="M5083">
        <v>-0.9998669</v>
      </c>
      <c r="N5083">
        <v>0</v>
      </c>
      <c r="O5083">
        <v>8.7024790000000008E-3</v>
      </c>
      <c r="P5083">
        <v>-0.99979759999999995</v>
      </c>
      <c r="Q5083">
        <v>7.9257609999999999E-3</v>
      </c>
      <c r="R5083">
        <v>1.8495319999999999E-2</v>
      </c>
      <c r="S5083">
        <v>-2.9948730000000001</v>
      </c>
      <c r="T5083">
        <v>-0.74335249999999997</v>
      </c>
      <c r="U5083">
        <v>0.6476288</v>
      </c>
      <c r="V5083">
        <v>9.7973560000000001E-3</v>
      </c>
      <c r="W5083">
        <v>2.172806E-2</v>
      </c>
      <c r="X5083">
        <v>0.99971589999999999</v>
      </c>
      <c r="Y5083">
        <v>0.19737560000000001</v>
      </c>
      <c r="Z5083">
        <v>2.1761019999999999E-2</v>
      </c>
      <c r="AA5083">
        <v>0.98008640000000002</v>
      </c>
      <c r="AB5083">
        <v>25</v>
      </c>
      <c r="AC5083">
        <v>-0.54590000000001704</v>
      </c>
      <c r="AD5083">
        <v>-0.19531190000000001</v>
      </c>
      <c r="AE5083">
        <v>0.168199999999984</v>
      </c>
      <c r="AF5083">
        <v>0.146334832383964</v>
      </c>
      <c r="AG5083">
        <v>-0.19531190000000001</v>
      </c>
      <c r="AH5083">
        <v>0.49005235177551698</v>
      </c>
      <c r="AI5083">
        <v>110.90137629756801</v>
      </c>
      <c r="AJ5083">
        <v>73.373816786663099</v>
      </c>
      <c r="AK5083">
        <v>0.54745952264178199</v>
      </c>
      <c r="AL5083">
        <v>88.754975873439903</v>
      </c>
      <c r="AM5083">
        <v>89.438511301945795</v>
      </c>
      <c r="AN5083">
        <v>0.99999998874438201</v>
      </c>
    </row>
    <row r="5084" spans="1:40" x14ac:dyDescent="0.25">
      <c r="A5084" t="str">
        <f>"20190312160434541"</f>
        <v>20190312160434541</v>
      </c>
      <c r="B5084" t="str">
        <f>"1552377874530570"</f>
        <v>1552377874530570</v>
      </c>
      <c r="C5084" t="s">
        <v>40</v>
      </c>
      <c r="D5084">
        <v>4.8830589999999896</v>
      </c>
      <c r="E5084">
        <v>0.57103119999999996</v>
      </c>
      <c r="F5084" t="s">
        <v>49</v>
      </c>
      <c r="G5084">
        <v>-292.5394</v>
      </c>
      <c r="H5084">
        <v>0.92044329999999996</v>
      </c>
      <c r="I5084">
        <v>141.4264</v>
      </c>
      <c r="J5084">
        <v>-292.01929999999999</v>
      </c>
      <c r="K5084">
        <v>1.110012</v>
      </c>
      <c r="L5084">
        <v>141.2637</v>
      </c>
      <c r="M5084">
        <v>-0.99986640000000004</v>
      </c>
      <c r="N5084">
        <v>0</v>
      </c>
      <c r="O5084">
        <v>8.7978299999999995E-3</v>
      </c>
      <c r="P5084">
        <v>-0.9997952</v>
      </c>
      <c r="Q5084">
        <v>8.0080629999999993E-3</v>
      </c>
      <c r="R5084">
        <v>1.8597889999999999E-2</v>
      </c>
      <c r="S5084">
        <v>-2.9945680000000001</v>
      </c>
      <c r="T5084">
        <v>-0.73944390000000004</v>
      </c>
      <c r="U5084">
        <v>0.6437988</v>
      </c>
      <c r="V5084">
        <v>9.8047010000000007E-3</v>
      </c>
      <c r="W5084">
        <v>2.178575E-2</v>
      </c>
      <c r="X5084">
        <v>0.99971460000000001</v>
      </c>
      <c r="Y5084">
        <v>0.19619529999999999</v>
      </c>
      <c r="Z5084">
        <v>2.148974E-2</v>
      </c>
      <c r="AA5084">
        <v>0.98032929999999996</v>
      </c>
      <c r="AB5084">
        <v>25</v>
      </c>
      <c r="AC5084">
        <v>-0.520100000000013</v>
      </c>
      <c r="AD5084">
        <v>-0.18956869999999901</v>
      </c>
      <c r="AE5084">
        <v>0.16270000000000001</v>
      </c>
      <c r="AF5084">
        <v>0.141049449751178</v>
      </c>
      <c r="AG5084">
        <v>-0.18956869999999901</v>
      </c>
      <c r="AH5084">
        <v>0.46521662573653999</v>
      </c>
      <c r="AI5084">
        <v>111.303570741622</v>
      </c>
      <c r="AJ5084">
        <v>73.133173708079397</v>
      </c>
      <c r="AK5084">
        <v>0.521783238669557</v>
      </c>
      <c r="AL5084">
        <v>88.751669731631594</v>
      </c>
      <c r="AM5084">
        <v>89.4380896546635</v>
      </c>
      <c r="AN5084">
        <v>1.00000001625896</v>
      </c>
    </row>
    <row r="5085" spans="1:40" x14ac:dyDescent="0.25">
      <c r="A5085" t="str">
        <f>"20190312160434563"</f>
        <v>20190312160434563</v>
      </c>
      <c r="B5085" t="str">
        <f>"1552377874559851"</f>
        <v>1552377874559851</v>
      </c>
      <c r="C5085" t="s">
        <v>40</v>
      </c>
      <c r="D5085">
        <v>4.9659829999999996</v>
      </c>
      <c r="E5085">
        <v>0.53062119999999902</v>
      </c>
      <c r="F5085" t="s">
        <v>49</v>
      </c>
      <c r="G5085">
        <v>-292.76159999999999</v>
      </c>
      <c r="H5085">
        <v>0.92764579999999996</v>
      </c>
      <c r="I5085">
        <v>141.4228</v>
      </c>
      <c r="J5085">
        <v>-292.26330000000002</v>
      </c>
      <c r="K5085">
        <v>1.1100110000000001</v>
      </c>
      <c r="L5085">
        <v>141.26599999999999</v>
      </c>
      <c r="M5085">
        <v>-0.99986589999999997</v>
      </c>
      <c r="N5085">
        <v>0</v>
      </c>
      <c r="O5085">
        <v>8.8919889999999994E-3</v>
      </c>
      <c r="P5085">
        <v>-0.99979050000000003</v>
      </c>
      <c r="Q5085">
        <v>8.5207659999999904E-3</v>
      </c>
      <c r="R5085">
        <v>1.8623109999999998E-2</v>
      </c>
      <c r="S5085">
        <v>-2.9945979999999999</v>
      </c>
      <c r="T5085">
        <v>-0.73571909999999996</v>
      </c>
      <c r="U5085">
        <v>0.64089969999999996</v>
      </c>
      <c r="V5085">
        <v>9.7359439999999998E-3</v>
      </c>
      <c r="W5085">
        <v>2.227343E-2</v>
      </c>
      <c r="X5085">
        <v>0.9997045</v>
      </c>
      <c r="Y5085">
        <v>0.19527449999999999</v>
      </c>
      <c r="Z5085">
        <v>2.1253580000000001E-2</v>
      </c>
      <c r="AA5085">
        <v>0.98051829999999995</v>
      </c>
      <c r="AB5085">
        <v>25</v>
      </c>
      <c r="AC5085">
        <v>-0.49829999999997199</v>
      </c>
      <c r="AD5085">
        <v>-0.18236520000000001</v>
      </c>
      <c r="AE5085">
        <v>0.15680000000000399</v>
      </c>
      <c r="AF5085">
        <v>0.13581116250021</v>
      </c>
      <c r="AG5085">
        <v>-0.18236520000000001</v>
      </c>
      <c r="AH5085">
        <v>0.44539436934487597</v>
      </c>
      <c r="AI5085">
        <v>111.387496949</v>
      </c>
      <c r="AJ5085">
        <v>73.042309876052897</v>
      </c>
      <c r="AK5085">
        <v>0.50007787621011401</v>
      </c>
      <c r="AL5085">
        <v>88.723720910927796</v>
      </c>
      <c r="AM5085">
        <v>89.442024252070297</v>
      </c>
      <c r="AN5085">
        <v>0.99999999080489299</v>
      </c>
    </row>
    <row r="5086" spans="1:40" x14ac:dyDescent="0.25">
      <c r="A5086" t="str">
        <f>"20190312160434586"</f>
        <v>20190312160434586</v>
      </c>
      <c r="B5086" t="str">
        <f>"1552377874580346"</f>
        <v>1552377874580346</v>
      </c>
      <c r="C5086" t="s">
        <v>40</v>
      </c>
      <c r="D5086">
        <v>4.8656430000000004</v>
      </c>
      <c r="E5086">
        <v>0.52048359999999905</v>
      </c>
      <c r="F5086" t="s">
        <v>49</v>
      </c>
      <c r="G5086">
        <v>-293.00110000000001</v>
      </c>
      <c r="H5086">
        <v>0.97351730000000003</v>
      </c>
      <c r="I5086">
        <v>141.3434</v>
      </c>
      <c r="J5086">
        <v>-292.5093</v>
      </c>
      <c r="K5086">
        <v>1.110009</v>
      </c>
      <c r="L5086">
        <v>141.26830000000001</v>
      </c>
      <c r="M5086">
        <v>-0.99986540000000002</v>
      </c>
      <c r="N5086">
        <v>0</v>
      </c>
      <c r="O5086">
        <v>8.986974E-3</v>
      </c>
      <c r="P5086">
        <v>-0.99978809999999996</v>
      </c>
      <c r="Q5086">
        <v>8.7503489999999993E-3</v>
      </c>
      <c r="R5086">
        <v>1.8642019999999999E-2</v>
      </c>
      <c r="S5086">
        <v>-2.9995419999999999</v>
      </c>
      <c r="T5086">
        <v>-0.55492699999999995</v>
      </c>
      <c r="U5086">
        <v>0.31431579999999998</v>
      </c>
      <c r="V5086">
        <v>9.659918E-3</v>
      </c>
      <c r="W5086">
        <v>2.247938E-2</v>
      </c>
      <c r="X5086">
        <v>0.9997007</v>
      </c>
      <c r="Y5086">
        <v>9.3850020000000006E-2</v>
      </c>
      <c r="Z5086">
        <v>6.9411580000000002E-3</v>
      </c>
      <c r="AA5086">
        <v>0.99556210000000001</v>
      </c>
      <c r="AB5086">
        <v>25</v>
      </c>
      <c r="AC5086">
        <v>-0.49180000000001201</v>
      </c>
      <c r="AD5086">
        <v>-0.13649169999999999</v>
      </c>
      <c r="AE5086">
        <v>7.5099999999991895E-2</v>
      </c>
      <c r="AF5086">
        <v>6.5729283092932606E-2</v>
      </c>
      <c r="AG5086">
        <v>-0.13649169999999999</v>
      </c>
      <c r="AH5086">
        <v>0.45798256341461702</v>
      </c>
      <c r="AI5086">
        <v>106.436344894394</v>
      </c>
      <c r="AJ5086">
        <v>81.832727661251596</v>
      </c>
      <c r="AK5086">
        <v>0.48238817483083501</v>
      </c>
      <c r="AL5086">
        <v>88.711917982817795</v>
      </c>
      <c r="AM5086">
        <v>89.446378994316902</v>
      </c>
      <c r="AN5086">
        <v>1.00000006306071</v>
      </c>
    </row>
    <row r="5087" spans="1:40" x14ac:dyDescent="0.25">
      <c r="A5087" t="str">
        <f>"20190312160434608"</f>
        <v>20190312160434608</v>
      </c>
      <c r="B5087" t="str">
        <f>"1552377874599866"</f>
        <v>1552377874599866</v>
      </c>
      <c r="C5087" t="s">
        <v>40</v>
      </c>
      <c r="D5087">
        <v>4.9423219999999999</v>
      </c>
      <c r="E5087">
        <v>0.4784968</v>
      </c>
      <c r="F5087" t="s">
        <v>49</v>
      </c>
      <c r="G5087">
        <v>-293.2278</v>
      </c>
      <c r="H5087">
        <v>0.98864019999999997</v>
      </c>
      <c r="I5087">
        <v>141.32409999999999</v>
      </c>
      <c r="J5087">
        <v>-292.75819999999999</v>
      </c>
      <c r="K5087">
        <v>1.1100099999999999</v>
      </c>
      <c r="L5087">
        <v>141.2706</v>
      </c>
      <c r="M5087">
        <v>-0.9998648</v>
      </c>
      <c r="N5087">
        <v>0</v>
      </c>
      <c r="O5087">
        <v>9.0832619999999999E-3</v>
      </c>
      <c r="P5087">
        <v>-0.99979110000000004</v>
      </c>
      <c r="Q5087">
        <v>8.6139670000000002E-3</v>
      </c>
      <c r="R5087">
        <v>1.8533009999999999E-2</v>
      </c>
      <c r="S5087">
        <v>-3.0007630000000001</v>
      </c>
      <c r="T5087">
        <v>-0.50694430000000001</v>
      </c>
      <c r="U5087">
        <v>0.23220830000000001</v>
      </c>
      <c r="V5087">
        <v>9.4544520000000003E-3</v>
      </c>
      <c r="W5087">
        <v>2.2320630000000001E-2</v>
      </c>
      <c r="X5087">
        <v>0.99970610000000004</v>
      </c>
      <c r="Y5087">
        <v>6.7272699999999894E-2</v>
      </c>
      <c r="Z5087">
        <v>4.1127660000000003E-3</v>
      </c>
      <c r="AA5087">
        <v>0.99772609999999995</v>
      </c>
      <c r="AB5087">
        <v>25</v>
      </c>
      <c r="AC5087">
        <v>-0.46960000000001401</v>
      </c>
      <c r="AD5087">
        <v>-0.121369799999999</v>
      </c>
      <c r="AE5087">
        <v>5.34999999999854E-2</v>
      </c>
      <c r="AF5087">
        <v>4.6186260637630698E-2</v>
      </c>
      <c r="AG5087">
        <v>-0.121369799999999</v>
      </c>
      <c r="AH5087">
        <v>0.440986904086072</v>
      </c>
      <c r="AI5087">
        <v>105.308364259995</v>
      </c>
      <c r="AJ5087">
        <v>84.020989887288295</v>
      </c>
      <c r="AK5087">
        <v>0.45970996138777098</v>
      </c>
      <c r="AL5087">
        <v>88.721015814901904</v>
      </c>
      <c r="AM5087">
        <v>89.458156703928594</v>
      </c>
      <c r="AN5087">
        <v>0.99999994178171103</v>
      </c>
    </row>
    <row r="5088" spans="1:40" x14ac:dyDescent="0.25">
      <c r="A5088" t="str">
        <f>"20190312160434630"</f>
        <v>20190312160434630</v>
      </c>
      <c r="B5088" t="str">
        <f>"1552377874620364"</f>
        <v>1552377874620364</v>
      </c>
      <c r="C5088" t="s">
        <v>40</v>
      </c>
      <c r="D5088">
        <v>4.9575050000000003</v>
      </c>
      <c r="E5088">
        <v>0.47932560000000002</v>
      </c>
      <c r="F5088" t="s">
        <v>41</v>
      </c>
      <c r="G5088">
        <v>-335.96559999999999</v>
      </c>
      <c r="H5088" s="1">
        <v>-1.8935730000000001E-6</v>
      </c>
      <c r="I5088">
        <v>139.63900000000001</v>
      </c>
      <c r="J5088">
        <v>-292.99380000000002</v>
      </c>
      <c r="K5088">
        <v>1.1100080000000001</v>
      </c>
      <c r="L5088">
        <v>141.27289999999999</v>
      </c>
      <c r="M5088">
        <v>-0.99986419999999998</v>
      </c>
      <c r="N5088">
        <v>0</v>
      </c>
      <c r="O5088">
        <v>9.174527E-3</v>
      </c>
      <c r="P5088">
        <v>-0.99978509999999998</v>
      </c>
      <c r="Q5088">
        <v>9.0478239999999995E-3</v>
      </c>
      <c r="R5088">
        <v>1.865257E-2</v>
      </c>
      <c r="S5088">
        <v>-3.0033569999999998</v>
      </c>
      <c r="T5088">
        <v>-7.7157139999999999E-2</v>
      </c>
      <c r="U5088">
        <v>-0.11341859999999999</v>
      </c>
      <c r="V5088">
        <v>9.482964E-3</v>
      </c>
      <c r="W5088">
        <v>2.2734420000000002E-2</v>
      </c>
      <c r="X5088">
        <v>0.99969660000000005</v>
      </c>
      <c r="Y5088">
        <v>-4.6885830000000003E-2</v>
      </c>
      <c r="Z5088">
        <v>-8.3754509999999904E-4</v>
      </c>
      <c r="AA5088">
        <v>0.99889989999999995</v>
      </c>
      <c r="AB5088">
        <v>24</v>
      </c>
      <c r="AC5088">
        <v>-42.971799999999902</v>
      </c>
      <c r="AD5088">
        <v>-1.1100098935729901</v>
      </c>
      <c r="AE5088">
        <v>-1.6338999999999799</v>
      </c>
      <c r="AF5088">
        <v>-2.0267637090253801</v>
      </c>
      <c r="AG5088">
        <v>-1.1100098935729901</v>
      </c>
      <c r="AH5088">
        <v>42.926398288610002</v>
      </c>
      <c r="AI5088">
        <v>91.479602106866196</v>
      </c>
      <c r="AJ5088">
        <v>92.703204465927499</v>
      </c>
      <c r="AK5088">
        <v>42.988551535594098</v>
      </c>
      <c r="AL5088">
        <v>88.697301497661599</v>
      </c>
      <c r="AM5088">
        <v>89.456517588691398</v>
      </c>
      <c r="AN5088">
        <v>1.0000000362552599</v>
      </c>
    </row>
    <row r="5089" spans="1:40" x14ac:dyDescent="0.25">
      <c r="A5089" t="str">
        <f>"20190312160434652"</f>
        <v>20190312160434652</v>
      </c>
      <c r="B5089" t="str">
        <f>"1552377874639882"</f>
        <v>1552377874639882</v>
      </c>
      <c r="C5089" t="s">
        <v>40</v>
      </c>
      <c r="D5089">
        <v>4.9970689999999998</v>
      </c>
      <c r="E5089">
        <v>0.4803171</v>
      </c>
      <c r="F5089" t="s">
        <v>41</v>
      </c>
      <c r="G5089">
        <v>-344.0609</v>
      </c>
      <c r="H5089" s="1">
        <v>-2.5581539999999999E-6</v>
      </c>
      <c r="I5089">
        <v>139.45869999999999</v>
      </c>
      <c r="J5089">
        <v>-293.23450000000003</v>
      </c>
      <c r="K5089">
        <v>1.1100110000000001</v>
      </c>
      <c r="L5089">
        <v>141.27520000000001</v>
      </c>
      <c r="M5089">
        <v>-0.99986370000000002</v>
      </c>
      <c r="N5089">
        <v>0</v>
      </c>
      <c r="O5089">
        <v>9.2676330000000008E-3</v>
      </c>
      <c r="P5089">
        <v>-0.99977130000000003</v>
      </c>
      <c r="Q5089">
        <v>9.1396419999999999E-3</v>
      </c>
      <c r="R5089">
        <v>1.9346809999999999E-2</v>
      </c>
      <c r="S5089">
        <v>-3.0032350000000001</v>
      </c>
      <c r="T5089">
        <v>-6.5279359999999995E-2</v>
      </c>
      <c r="U5089">
        <v>-0.10668950000000001</v>
      </c>
      <c r="V5089">
        <v>1.0084279999999999E-2</v>
      </c>
      <c r="W5089">
        <v>2.2806880000000002E-2</v>
      </c>
      <c r="X5089">
        <v>0.99968900000000005</v>
      </c>
      <c r="Y5089">
        <v>-4.4750829999999998E-2</v>
      </c>
      <c r="Z5089">
        <v>-6.8753130000000001E-4</v>
      </c>
      <c r="AA5089">
        <v>0.99899789999999999</v>
      </c>
      <c r="AB5089">
        <v>24</v>
      </c>
      <c r="AC5089">
        <v>-50.8263999999999</v>
      </c>
      <c r="AD5089">
        <v>-1.110013558154</v>
      </c>
      <c r="AE5089">
        <v>-1.81650000000001</v>
      </c>
      <c r="AF5089">
        <v>-2.2864172448028999</v>
      </c>
      <c r="AG5089">
        <v>-1.110013558154</v>
      </c>
      <c r="AH5089">
        <v>50.783190179833397</v>
      </c>
      <c r="AI5089">
        <v>91.250898861056996</v>
      </c>
      <c r="AJ5089">
        <v>92.577893356633993</v>
      </c>
      <c r="AK5089">
        <v>50.846752489787796</v>
      </c>
      <c r="AL5089">
        <v>88.693148684378201</v>
      </c>
      <c r="AM5089">
        <v>89.422053171662895</v>
      </c>
      <c r="AN5089">
        <v>0.99999997159972598</v>
      </c>
    </row>
    <row r="5090" spans="1:40" x14ac:dyDescent="0.25">
      <c r="A5090" t="str">
        <f>"20190312160434675"</f>
        <v>20190312160434675</v>
      </c>
      <c r="B5090" t="str">
        <f>"1552377874670139"</f>
        <v>1552377874670139</v>
      </c>
      <c r="C5090" t="s">
        <v>40</v>
      </c>
      <c r="D5090">
        <v>5.0116129999999997</v>
      </c>
      <c r="E5090">
        <v>0.48105759999999997</v>
      </c>
      <c r="F5090" t="s">
        <v>41</v>
      </c>
      <c r="G5090">
        <v>-349.06549999999999</v>
      </c>
      <c r="H5090" s="1">
        <v>-4.083274E-7</v>
      </c>
      <c r="I5090">
        <v>139.47470000000001</v>
      </c>
      <c r="J5090">
        <v>-293.48739999999998</v>
      </c>
      <c r="K5090">
        <v>1.110012</v>
      </c>
      <c r="L5090">
        <v>141.27770000000001</v>
      </c>
      <c r="M5090">
        <v>-0.9998631</v>
      </c>
      <c r="N5090">
        <v>0</v>
      </c>
      <c r="O5090">
        <v>9.3653820000000002E-3</v>
      </c>
      <c r="P5090">
        <v>-0.99976679999999996</v>
      </c>
      <c r="Q5090">
        <v>9.1967249999999993E-3</v>
      </c>
      <c r="R5090">
        <v>1.9542529999999999E-2</v>
      </c>
      <c r="S5090">
        <v>-3.0031430000000001</v>
      </c>
      <c r="T5090">
        <v>-5.9707400000000001E-2</v>
      </c>
      <c r="U5090">
        <v>-9.6847530000000001E-2</v>
      </c>
      <c r="V5090">
        <v>1.018202E-2</v>
      </c>
      <c r="W5090">
        <v>2.284597E-2</v>
      </c>
      <c r="X5090">
        <v>0.99968710000000005</v>
      </c>
      <c r="Y5090">
        <v>-4.1581880000000002E-2</v>
      </c>
      <c r="Z5090">
        <v>-5.9936440000000004E-4</v>
      </c>
      <c r="AA5090">
        <v>0.99913490000000005</v>
      </c>
      <c r="AB5090">
        <v>24</v>
      </c>
      <c r="AC5090">
        <v>-55.578099999999999</v>
      </c>
      <c r="AD5090">
        <v>-1.1100124083273999</v>
      </c>
      <c r="AE5090">
        <v>-1.8029999999999899</v>
      </c>
      <c r="AF5090">
        <v>-2.3225540234068101</v>
      </c>
      <c r="AG5090">
        <v>-1.1100124083273999</v>
      </c>
      <c r="AH5090">
        <v>55.536645275226903</v>
      </c>
      <c r="AI5090">
        <v>91.144020113850999</v>
      </c>
      <c r="AJ5090">
        <v>92.394725963415993</v>
      </c>
      <c r="AK5090">
        <v>55.596271036506302</v>
      </c>
      <c r="AL5090">
        <v>88.6909083866977</v>
      </c>
      <c r="AM5090">
        <v>89.416450806495305</v>
      </c>
      <c r="AN5090">
        <v>0.99999995489146398</v>
      </c>
    </row>
    <row r="5091" spans="1:40" x14ac:dyDescent="0.25">
      <c r="A5091" t="str">
        <f>"20190312160434697"</f>
        <v>20190312160434697</v>
      </c>
      <c r="B5091" t="str">
        <f>"1552377874689660"</f>
        <v>1552377874689660</v>
      </c>
      <c r="C5091" t="s">
        <v>40</v>
      </c>
      <c r="D5091">
        <v>5.0313129999999999</v>
      </c>
      <c r="E5091">
        <v>0.48129729999999998</v>
      </c>
      <c r="F5091" t="s">
        <v>41</v>
      </c>
      <c r="G5091">
        <v>-346.94130000000001</v>
      </c>
      <c r="H5091" s="1">
        <v>-1.3089000000000001E-6</v>
      </c>
      <c r="I5091">
        <v>139.6705</v>
      </c>
      <c r="J5091">
        <v>-293.72829999999999</v>
      </c>
      <c r="K5091">
        <v>1.1100110000000001</v>
      </c>
      <c r="L5091">
        <v>141.28</v>
      </c>
      <c r="M5091">
        <v>-0.99986240000000004</v>
      </c>
      <c r="N5091">
        <v>0</v>
      </c>
      <c r="O5091">
        <v>9.4582869999999993E-3</v>
      </c>
      <c r="P5091">
        <v>-0.9997663</v>
      </c>
      <c r="Q5091">
        <v>9.9999939999999999E-3</v>
      </c>
      <c r="R5091">
        <v>1.9181409999999999E-2</v>
      </c>
      <c r="S5091">
        <v>-3.0030209999999999</v>
      </c>
      <c r="T5091">
        <v>-6.2360169999999999E-2</v>
      </c>
      <c r="U5091">
        <v>-9.0286249999999998E-2</v>
      </c>
      <c r="V5091">
        <v>9.728324E-3</v>
      </c>
      <c r="W5091">
        <v>2.363349E-2</v>
      </c>
      <c r="X5091">
        <v>0.99967340000000005</v>
      </c>
      <c r="Y5091">
        <v>-3.9494559999999998E-2</v>
      </c>
      <c r="Z5091">
        <v>-6.0629789999999998E-4</v>
      </c>
      <c r="AA5091">
        <v>0.99921959999999999</v>
      </c>
      <c r="AB5091">
        <v>24</v>
      </c>
      <c r="AC5091">
        <v>-53.213000000000001</v>
      </c>
      <c r="AD5091">
        <v>-1.1100123089</v>
      </c>
      <c r="AE5091">
        <v>-1.6094999999999899</v>
      </c>
      <c r="AF5091">
        <v>-2.1118604664321698</v>
      </c>
      <c r="AG5091">
        <v>-1.1100123089</v>
      </c>
      <c r="AH5091">
        <v>53.172279018094798</v>
      </c>
      <c r="AI5091">
        <v>91.194977980437002</v>
      </c>
      <c r="AJ5091">
        <v>92.274439411354706</v>
      </c>
      <c r="AK5091">
        <v>53.225777006387702</v>
      </c>
      <c r="AL5091">
        <v>88.645774742769206</v>
      </c>
      <c r="AM5091">
        <v>89.442443589542407</v>
      </c>
      <c r="AN5091">
        <v>1.0000000444024899</v>
      </c>
    </row>
    <row r="5092" spans="1:40" x14ac:dyDescent="0.25">
      <c r="A5092" t="str">
        <f>"20190312160434718"</f>
        <v>20190312160434718</v>
      </c>
      <c r="B5092" t="str">
        <f>"1552377874710158"</f>
        <v>1552377874710158</v>
      </c>
      <c r="C5092" t="s">
        <v>40</v>
      </c>
      <c r="D5092">
        <v>5.029369</v>
      </c>
      <c r="E5092">
        <v>0.48149900000000001</v>
      </c>
      <c r="F5092" t="s">
        <v>41</v>
      </c>
      <c r="G5092">
        <v>-347.20639999999997</v>
      </c>
      <c r="H5092" s="1">
        <v>-1.2008889999999999E-6</v>
      </c>
      <c r="I5092">
        <v>139.69200000000001</v>
      </c>
      <c r="J5092">
        <v>-293.9631</v>
      </c>
      <c r="K5092">
        <v>1.1100110000000001</v>
      </c>
      <c r="L5092">
        <v>141.2824</v>
      </c>
      <c r="M5092">
        <v>-0.99986149999999996</v>
      </c>
      <c r="N5092">
        <v>0</v>
      </c>
      <c r="O5092">
        <v>9.5487939999999993E-3</v>
      </c>
      <c r="P5092">
        <v>-0.99977269999999896</v>
      </c>
      <c r="Q5092">
        <v>1.008442E-2</v>
      </c>
      <c r="R5092">
        <v>1.8781840000000001E-2</v>
      </c>
      <c r="S5092">
        <v>-3.0030209999999999</v>
      </c>
      <c r="T5092">
        <v>-6.2331909999999997E-2</v>
      </c>
      <c r="U5092">
        <v>-8.9172360000000006E-2</v>
      </c>
      <c r="V5092">
        <v>9.2380859999999995E-3</v>
      </c>
      <c r="W5092">
        <v>2.3704039999999999E-2</v>
      </c>
      <c r="X5092">
        <v>0.99967629999999996</v>
      </c>
      <c r="Y5092">
        <v>-3.9214760000000001E-2</v>
      </c>
      <c r="Z5092">
        <v>-6.0500199999999999E-4</v>
      </c>
      <c r="AA5092">
        <v>0.99923059999999997</v>
      </c>
      <c r="AB5092">
        <v>24</v>
      </c>
      <c r="AC5092">
        <v>-53.243299999999898</v>
      </c>
      <c r="AD5092">
        <v>-1.1100122008890001</v>
      </c>
      <c r="AE5092">
        <v>-1.5903999999999801</v>
      </c>
      <c r="AF5092">
        <v>-2.0978730226357198</v>
      </c>
      <c r="AG5092">
        <v>-1.1100122008890001</v>
      </c>
      <c r="AH5092">
        <v>53.202581195629101</v>
      </c>
      <c r="AI5092">
        <v>91.194310917522898</v>
      </c>
      <c r="AJ5092">
        <v>92.258105294578499</v>
      </c>
      <c r="AK5092">
        <v>53.255495905894399</v>
      </c>
      <c r="AL5092">
        <v>88.641731284110605</v>
      </c>
      <c r="AM5092">
        <v>89.470540341620094</v>
      </c>
      <c r="AN5092">
        <v>0.99999996426347604</v>
      </c>
    </row>
    <row r="5093" spans="1:40" x14ac:dyDescent="0.25">
      <c r="A5093" t="str">
        <f>"20190312160434742"</f>
        <v>20190312160434742</v>
      </c>
      <c r="B5093" t="str">
        <f>"1552377874729674"</f>
        <v>1552377874729674</v>
      </c>
      <c r="C5093" t="s">
        <v>40</v>
      </c>
      <c r="D5093">
        <v>5.0701769999999904</v>
      </c>
      <c r="E5093">
        <v>0.48183920000000002</v>
      </c>
      <c r="F5093" t="s">
        <v>41</v>
      </c>
      <c r="G5093">
        <v>-346.79039999999998</v>
      </c>
      <c r="H5093" s="1">
        <v>-1.3864439999999999E-6</v>
      </c>
      <c r="I5093">
        <v>139.71870000000001</v>
      </c>
      <c r="J5093">
        <v>-294.21269999999998</v>
      </c>
      <c r="K5093">
        <v>1.1100129999999999</v>
      </c>
      <c r="L5093">
        <v>141.28489999999999</v>
      </c>
      <c r="M5093">
        <v>-0.99986090000000005</v>
      </c>
      <c r="N5093">
        <v>0</v>
      </c>
      <c r="O5093">
        <v>9.645196E-3</v>
      </c>
      <c r="P5093">
        <v>-0.9997741</v>
      </c>
      <c r="Q5093">
        <v>9.0141720000000009E-3</v>
      </c>
      <c r="R5093">
        <v>1.9248629999999999E-2</v>
      </c>
      <c r="S5093">
        <v>-3.0029599999999999</v>
      </c>
      <c r="T5093">
        <v>-6.3098550000000003E-2</v>
      </c>
      <c r="U5093">
        <v>-8.8882450000000002E-2</v>
      </c>
      <c r="V5093">
        <v>9.6082330000000007E-3</v>
      </c>
      <c r="W5093">
        <v>2.2620959999999999E-2</v>
      </c>
      <c r="X5093">
        <v>0.99969790000000003</v>
      </c>
      <c r="Y5093">
        <v>-3.921504E-2</v>
      </c>
      <c r="Z5093">
        <v>-6.1448280000000002E-4</v>
      </c>
      <c r="AA5093">
        <v>0.99923059999999997</v>
      </c>
      <c r="AB5093">
        <v>24</v>
      </c>
      <c r="AC5093">
        <v>-52.577699999999901</v>
      </c>
      <c r="AD5093">
        <v>-1.110014386444</v>
      </c>
      <c r="AE5093">
        <v>-1.5661999999999801</v>
      </c>
      <c r="AF5093">
        <v>-2.0723734462530401</v>
      </c>
      <c r="AG5093">
        <v>-1.110014386444</v>
      </c>
      <c r="AH5093">
        <v>52.536750653637696</v>
      </c>
      <c r="AI5093">
        <v>91.209444382452105</v>
      </c>
      <c r="AJ5093">
        <v>92.258927749125306</v>
      </c>
      <c r="AK5093">
        <v>52.589324324251898</v>
      </c>
      <c r="AL5093">
        <v>88.703803848170807</v>
      </c>
      <c r="AM5093">
        <v>89.449339395977503</v>
      </c>
      <c r="AN5093">
        <v>0.99999995861855595</v>
      </c>
    </row>
    <row r="5094" spans="1:40" x14ac:dyDescent="0.25">
      <c r="A5094" t="str">
        <f>"20190312160434765"</f>
        <v>20190312160434765</v>
      </c>
      <c r="B5094" t="str">
        <f>"1552377874759932"</f>
        <v>1552377874759932</v>
      </c>
      <c r="C5094" t="s">
        <v>40</v>
      </c>
      <c r="D5094">
        <v>5.158436</v>
      </c>
      <c r="E5094">
        <v>0.48199880000000001</v>
      </c>
      <c r="F5094" t="s">
        <v>41</v>
      </c>
      <c r="G5094">
        <v>-344.95060000000001</v>
      </c>
      <c r="H5094" s="1">
        <v>-2.210322E-6</v>
      </c>
      <c r="I5094">
        <v>139.84870000000001</v>
      </c>
      <c r="J5094">
        <v>-294.46230000000003</v>
      </c>
      <c r="K5094">
        <v>1.110017</v>
      </c>
      <c r="L5094">
        <v>141.28739999999999</v>
      </c>
      <c r="M5094">
        <v>-0.99985999999999997</v>
      </c>
      <c r="N5094">
        <v>0</v>
      </c>
      <c r="O5094">
        <v>9.7417089999999994E-3</v>
      </c>
      <c r="P5094">
        <v>-0.99977199999999999</v>
      </c>
      <c r="Q5094">
        <v>9.1172270000000003E-3</v>
      </c>
      <c r="R5094">
        <v>1.9305590000000001E-2</v>
      </c>
      <c r="S5094">
        <v>-3.002869</v>
      </c>
      <c r="T5094">
        <v>-6.5695169999999997E-2</v>
      </c>
      <c r="U5094">
        <v>-8.4991460000000005E-2</v>
      </c>
      <c r="V5094">
        <v>9.5686690000000001E-3</v>
      </c>
      <c r="W5094">
        <v>2.2712960000000001E-2</v>
      </c>
      <c r="X5094">
        <v>0.99969629999999998</v>
      </c>
      <c r="Y5094">
        <v>-3.8018030000000001E-2</v>
      </c>
      <c r="Z5094">
        <v>-6.2881639999999995E-4</v>
      </c>
      <c r="AA5094">
        <v>0.99927690000000002</v>
      </c>
      <c r="AB5094">
        <v>24</v>
      </c>
      <c r="AC5094">
        <v>-50.488299999999903</v>
      </c>
      <c r="AD5094">
        <v>-1.1100192103219999</v>
      </c>
      <c r="AE5094">
        <v>-1.4386999999999801</v>
      </c>
      <c r="AF5094">
        <v>-1.92958761898061</v>
      </c>
      <c r="AG5094">
        <v>-1.1100192103219999</v>
      </c>
      <c r="AH5094">
        <v>50.447522090277303</v>
      </c>
      <c r="AI5094">
        <v>91.259580298682494</v>
      </c>
      <c r="AJ5094">
        <v>92.1904615682312</v>
      </c>
      <c r="AK5094">
        <v>50.496613114897301</v>
      </c>
      <c r="AL5094">
        <v>88.698531420176593</v>
      </c>
      <c r="AM5094">
        <v>89.451605844997701</v>
      </c>
      <c r="AN5094">
        <v>1.0000000651060299</v>
      </c>
    </row>
    <row r="5095" spans="1:40" x14ac:dyDescent="0.25">
      <c r="A5095" t="str">
        <f>"20190312160434788"</f>
        <v>20190312160434788</v>
      </c>
      <c r="B5095" t="str">
        <f>"1552377874780426"</f>
        <v>1552377874780426</v>
      </c>
      <c r="C5095" t="s">
        <v>40</v>
      </c>
      <c r="D5095">
        <v>5.1071099999999996</v>
      </c>
      <c r="E5095">
        <v>0.4823056</v>
      </c>
      <c r="F5095" t="s">
        <v>41</v>
      </c>
      <c r="G5095">
        <v>-344.58530000000002</v>
      </c>
      <c r="H5095" s="1">
        <v>-2.3793249999999999E-6</v>
      </c>
      <c r="I5095">
        <v>139.89490000000001</v>
      </c>
      <c r="J5095">
        <v>-294.70999999999998</v>
      </c>
      <c r="K5095">
        <v>1.110012</v>
      </c>
      <c r="L5095">
        <v>141.28989999999999</v>
      </c>
      <c r="M5095">
        <v>-0.99985939999999995</v>
      </c>
      <c r="N5095">
        <v>0</v>
      </c>
      <c r="O5095">
        <v>9.8369040000000005E-3</v>
      </c>
      <c r="P5095">
        <v>-0.99976350000000003</v>
      </c>
      <c r="Q5095">
        <v>9.5932210000000007E-3</v>
      </c>
      <c r="R5095">
        <v>1.9517699999999999E-2</v>
      </c>
      <c r="S5095">
        <v>-3.0028990000000002</v>
      </c>
      <c r="T5095">
        <v>-6.6501980000000002E-2</v>
      </c>
      <c r="U5095">
        <v>-8.3419800000000002E-2</v>
      </c>
      <c r="V5095">
        <v>9.68574E-3</v>
      </c>
      <c r="W5095">
        <v>2.3178239999999999E-2</v>
      </c>
      <c r="X5095">
        <v>0.99968449999999998</v>
      </c>
      <c r="Y5095">
        <v>-3.7590100000000001E-2</v>
      </c>
      <c r="Z5095">
        <v>-6.3390599999999897E-4</v>
      </c>
      <c r="AA5095">
        <v>0.99929299999999999</v>
      </c>
      <c r="AB5095">
        <v>24</v>
      </c>
      <c r="AC5095">
        <v>-49.875300000000003</v>
      </c>
      <c r="AD5095">
        <v>-1.1100143793249999</v>
      </c>
      <c r="AE5095">
        <v>-1.39499999999998</v>
      </c>
      <c r="AF5095">
        <v>-1.8846634932753501</v>
      </c>
      <c r="AG5095">
        <v>-1.1100143793249999</v>
      </c>
      <c r="AH5095">
        <v>49.8344979208658</v>
      </c>
      <c r="AI5095">
        <v>91.275084879782298</v>
      </c>
      <c r="AJ5095">
        <v>92.165805458350405</v>
      </c>
      <c r="AK5095">
        <v>49.882474592084698</v>
      </c>
      <c r="AL5095">
        <v>88.671865829826999</v>
      </c>
      <c r="AM5095">
        <v>89.444890203383906</v>
      </c>
      <c r="AN5095">
        <v>1.0000000719545401</v>
      </c>
    </row>
    <row r="5096" spans="1:40" x14ac:dyDescent="0.25">
      <c r="A5096" t="str">
        <f>"20190312160434819"</f>
        <v>20190312160434819</v>
      </c>
      <c r="B5096" t="str">
        <f>"1552377874809707"</f>
        <v>1552377874809707</v>
      </c>
      <c r="C5096" t="s">
        <v>40</v>
      </c>
      <c r="D5096">
        <v>5.0859629999999996</v>
      </c>
      <c r="E5096">
        <v>0.48246529999999999</v>
      </c>
      <c r="F5096" t="s">
        <v>41</v>
      </c>
      <c r="G5096">
        <v>-344.94819999999999</v>
      </c>
      <c r="H5096" s="1">
        <v>-2.2382130000000002E-6</v>
      </c>
      <c r="I5096">
        <v>139.9496</v>
      </c>
      <c r="J5096">
        <v>-295.05290000000002</v>
      </c>
      <c r="K5096">
        <v>1.1100049999999999</v>
      </c>
      <c r="L5096">
        <v>141.29339999999999</v>
      </c>
      <c r="M5096">
        <v>-0.99985829999999998</v>
      </c>
      <c r="N5096">
        <v>0</v>
      </c>
      <c r="O5096">
        <v>9.9690060000000007E-3</v>
      </c>
      <c r="P5096">
        <v>-0.99976589999999999</v>
      </c>
      <c r="Q5096">
        <v>8.549503E-3</v>
      </c>
      <c r="R5096">
        <v>1.9883330000000001E-2</v>
      </c>
      <c r="S5096">
        <v>-3.0028990000000002</v>
      </c>
      <c r="T5096">
        <v>-6.6349270000000002E-2</v>
      </c>
      <c r="U5096">
        <v>-8.0108639999999995E-2</v>
      </c>
      <c r="V5096">
        <v>9.9192180000000005E-3</v>
      </c>
      <c r="W5096">
        <v>2.212184E-2</v>
      </c>
      <c r="X5096">
        <v>0.99970610000000004</v>
      </c>
      <c r="Y5096">
        <v>-3.6621300000000002E-2</v>
      </c>
      <c r="Z5096">
        <v>-6.2467860000000003E-4</v>
      </c>
      <c r="AA5096">
        <v>0.99932900000000002</v>
      </c>
      <c r="AB5096">
        <v>24</v>
      </c>
      <c r="AC5096">
        <v>-49.895299999999899</v>
      </c>
      <c r="AD5096">
        <v>-1.110007238213</v>
      </c>
      <c r="AE5096">
        <v>-1.3437999999999799</v>
      </c>
      <c r="AF5096">
        <v>-1.8402754010418201</v>
      </c>
      <c r="AG5096">
        <v>-1.110007238213</v>
      </c>
      <c r="AH5096">
        <v>49.854766489226598</v>
      </c>
      <c r="AI5096">
        <v>91.274601526238797</v>
      </c>
      <c r="AJ5096">
        <v>92.113983698625503</v>
      </c>
      <c r="AK5096">
        <v>49.901066835448198</v>
      </c>
      <c r="AL5096">
        <v>88.7324085641377</v>
      </c>
      <c r="AM5096">
        <v>89.431522246252797</v>
      </c>
      <c r="AN5096">
        <v>1.0000000265339599</v>
      </c>
    </row>
    <row r="5097" spans="1:40" x14ac:dyDescent="0.25">
      <c r="A5097" t="str">
        <f>"20190312160434841"</f>
        <v>20190312160434841</v>
      </c>
      <c r="B5097" t="str">
        <f>"1552377874830203"</f>
        <v>1552377874830203</v>
      </c>
      <c r="C5097" t="s">
        <v>40</v>
      </c>
      <c r="D5097">
        <v>5.0989610000000001</v>
      </c>
      <c r="E5097">
        <v>0.48265999999999998</v>
      </c>
      <c r="F5097" t="s">
        <v>41</v>
      </c>
      <c r="G5097">
        <v>-341.90120000000002</v>
      </c>
      <c r="H5097" s="1">
        <v>-3.5795729999999999E-6</v>
      </c>
      <c r="I5097">
        <v>140.07830000000001</v>
      </c>
      <c r="J5097">
        <v>-295.29270000000002</v>
      </c>
      <c r="K5097">
        <v>1.1099939999999999</v>
      </c>
      <c r="L5097">
        <v>141.29589999999999</v>
      </c>
      <c r="M5097">
        <v>-0.99985740000000001</v>
      </c>
      <c r="N5097">
        <v>0</v>
      </c>
      <c r="O5097">
        <v>1.0061469999999999E-2</v>
      </c>
      <c r="P5097">
        <v>-0.99976770000000004</v>
      </c>
      <c r="Q5097">
        <v>7.6765100000000001E-3</v>
      </c>
      <c r="R5097">
        <v>2.014722E-2</v>
      </c>
      <c r="S5097">
        <v>-3.002869</v>
      </c>
      <c r="T5097">
        <v>-7.1148989999999995E-2</v>
      </c>
      <c r="U5097">
        <v>-7.7880859999999996E-2</v>
      </c>
      <c r="V5097">
        <v>1.009034E-2</v>
      </c>
      <c r="W5097">
        <v>2.1237510000000001E-2</v>
      </c>
      <c r="X5097">
        <v>0.99972360000000005</v>
      </c>
      <c r="Y5097">
        <v>-3.5971549999999998E-2</v>
      </c>
      <c r="Z5097">
        <v>-6.6436399999999997E-4</v>
      </c>
      <c r="AA5097">
        <v>0.99935260000000004</v>
      </c>
      <c r="AB5097">
        <v>24</v>
      </c>
      <c r="AC5097">
        <v>-46.6084999999999</v>
      </c>
      <c r="AD5097">
        <v>-1.1099975795729999</v>
      </c>
      <c r="AE5097">
        <v>-1.21759999999997</v>
      </c>
      <c r="AF5097">
        <v>-1.6855761601753001</v>
      </c>
      <c r="AG5097">
        <v>-1.1099975795729999</v>
      </c>
      <c r="AH5097">
        <v>46.567494662877401</v>
      </c>
      <c r="AI5097">
        <v>91.364568531423103</v>
      </c>
      <c r="AJ5097">
        <v>92.072996547396798</v>
      </c>
      <c r="AK5097">
        <v>46.611209175428201</v>
      </c>
      <c r="AL5097">
        <v>88.783088895293801</v>
      </c>
      <c r="AM5097">
        <v>89.421725899731101</v>
      </c>
      <c r="AN5097">
        <v>1.0000000615946301</v>
      </c>
    </row>
    <row r="5098" spans="1:40" x14ac:dyDescent="0.25">
      <c r="A5098" t="str">
        <f>"20190312160434865"</f>
        <v>20190312160434865</v>
      </c>
      <c r="B5098" t="str">
        <f>"1552377874860459"</f>
        <v>1552377874860459</v>
      </c>
      <c r="C5098" t="s">
        <v>40</v>
      </c>
      <c r="D5098">
        <v>5.1205540000000003</v>
      </c>
      <c r="E5098">
        <v>0.4828095</v>
      </c>
      <c r="F5098" t="s">
        <v>41</v>
      </c>
      <c r="G5098">
        <v>-339.1309</v>
      </c>
      <c r="H5098" s="1">
        <v>-5.4522269999999996E-7</v>
      </c>
      <c r="I5098">
        <v>140.19479999999999</v>
      </c>
      <c r="J5098">
        <v>-295.54050000000001</v>
      </c>
      <c r="K5098">
        <v>1.1099870000000001</v>
      </c>
      <c r="L5098">
        <v>141.29859999999999</v>
      </c>
      <c r="M5098">
        <v>-0.99985679999999999</v>
      </c>
      <c r="N5098">
        <v>0</v>
      </c>
      <c r="O5098">
        <v>1.015721E-2</v>
      </c>
      <c r="P5098">
        <v>-0.99977119999999997</v>
      </c>
      <c r="Q5098">
        <v>7.4178809999999899E-3</v>
      </c>
      <c r="R5098">
        <v>2.006863E-2</v>
      </c>
      <c r="S5098">
        <v>-3.0028079999999999</v>
      </c>
      <c r="T5098">
        <v>-7.6031920000000003E-2</v>
      </c>
      <c r="U5098">
        <v>-7.5424190000000002E-2</v>
      </c>
      <c r="V5098">
        <v>9.9158849999999993E-3</v>
      </c>
      <c r="W5098">
        <v>2.0958149999999998E-2</v>
      </c>
      <c r="X5098">
        <v>0.99973120000000004</v>
      </c>
      <c r="Y5098">
        <v>-3.524907E-2</v>
      </c>
      <c r="Z5098">
        <v>-7.0324630000000003E-4</v>
      </c>
      <c r="AA5098">
        <v>0.99937830000000005</v>
      </c>
      <c r="AB5098">
        <v>24</v>
      </c>
      <c r="AC5098">
        <v>-43.590399999999903</v>
      </c>
      <c r="AD5098">
        <v>-1.1099875452226999</v>
      </c>
      <c r="AE5098">
        <v>-1.1037999999999999</v>
      </c>
      <c r="AF5098">
        <v>-1.5455389485942499</v>
      </c>
      <c r="AG5098">
        <v>-1.1099875452226999</v>
      </c>
      <c r="AH5098">
        <v>43.548718745151596</v>
      </c>
      <c r="AI5098">
        <v>91.459143891136705</v>
      </c>
      <c r="AJ5098">
        <v>92.032567457047904</v>
      </c>
      <c r="AK5098">
        <v>43.5902703287843</v>
      </c>
      <c r="AL5098">
        <v>88.799098557520097</v>
      </c>
      <c r="AM5098">
        <v>89.431727517326607</v>
      </c>
      <c r="AN5098">
        <v>1.0000000205400901</v>
      </c>
    </row>
    <row r="5099" spans="1:40" x14ac:dyDescent="0.25">
      <c r="A5099" t="str">
        <f>"20190312160434887"</f>
        <v>20190312160434887</v>
      </c>
      <c r="B5099" t="str">
        <f>"1552377874879979"</f>
        <v>1552377874879979</v>
      </c>
      <c r="C5099" t="s">
        <v>40</v>
      </c>
      <c r="D5099">
        <v>5.0762510000000001</v>
      </c>
      <c r="E5099">
        <v>0.48286230000000002</v>
      </c>
      <c r="F5099" t="s">
        <v>41</v>
      </c>
      <c r="G5099">
        <v>-337.70190000000002</v>
      </c>
      <c r="H5099" s="1">
        <v>-1.236287E-6</v>
      </c>
      <c r="I5099">
        <v>140.2533</v>
      </c>
      <c r="J5099">
        <v>-295.78300000000002</v>
      </c>
      <c r="K5099">
        <v>1.109985</v>
      </c>
      <c r="L5099">
        <v>141.30109999999999</v>
      </c>
      <c r="M5099">
        <v>-0.99985619999999997</v>
      </c>
      <c r="N5099">
        <v>0</v>
      </c>
      <c r="O5099">
        <v>1.02507E-2</v>
      </c>
      <c r="P5099">
        <v>-0.99976920000000002</v>
      </c>
      <c r="Q5099">
        <v>7.7780749999999997E-3</v>
      </c>
      <c r="R5099">
        <v>2.0033749999999999E-2</v>
      </c>
      <c r="S5099">
        <v>-3.002777</v>
      </c>
      <c r="T5099">
        <v>-7.9054589999999994E-2</v>
      </c>
      <c r="U5099">
        <v>-7.4447630000000001E-2</v>
      </c>
      <c r="V5099">
        <v>9.7874989999999999E-3</v>
      </c>
      <c r="W5099">
        <v>2.1286139999999999E-2</v>
      </c>
      <c r="X5099">
        <v>0.99972550000000004</v>
      </c>
      <c r="Y5099">
        <v>-3.5016819999999997E-2</v>
      </c>
      <c r="Z5099">
        <v>-7.3060940000000004E-4</v>
      </c>
      <c r="AA5099">
        <v>0.99938640000000001</v>
      </c>
      <c r="AB5099">
        <v>24</v>
      </c>
      <c r="AC5099">
        <v>-41.918900000000001</v>
      </c>
      <c r="AD5099">
        <v>-1.1099862362870001</v>
      </c>
      <c r="AE5099">
        <v>-1.0477999999999901</v>
      </c>
      <c r="AF5099">
        <v>-1.47644764723848</v>
      </c>
      <c r="AG5099">
        <v>-1.1099862362870001</v>
      </c>
      <c r="AH5099">
        <v>41.876611767104897</v>
      </c>
      <c r="AI5099">
        <v>91.517390565417401</v>
      </c>
      <c r="AJ5099">
        <v>92.019246291376703</v>
      </c>
      <c r="AK5099">
        <v>41.917330308508603</v>
      </c>
      <c r="AL5099">
        <v>88.780301878412502</v>
      </c>
      <c r="AM5099">
        <v>89.439081558745599</v>
      </c>
      <c r="AN5099">
        <v>0.999999985121512</v>
      </c>
    </row>
    <row r="5100" spans="1:40" x14ac:dyDescent="0.25">
      <c r="A5100" t="str">
        <f>"20190312160434909"</f>
        <v>20190312160434909</v>
      </c>
      <c r="B5100" t="str">
        <f>"1552377874900474"</f>
        <v>1552377874900474</v>
      </c>
      <c r="C5100" t="s">
        <v>40</v>
      </c>
      <c r="D5100">
        <v>4.9775499999999999</v>
      </c>
      <c r="E5100">
        <v>0.48290460000000002</v>
      </c>
      <c r="F5100" t="s">
        <v>41</v>
      </c>
      <c r="G5100">
        <v>-338.5634</v>
      </c>
      <c r="H5100" s="1">
        <v>-8.2718379999999999E-7</v>
      </c>
      <c r="I5100">
        <v>140.24629999999999</v>
      </c>
      <c r="J5100">
        <v>-296.01560000000001</v>
      </c>
      <c r="K5100">
        <v>1.109982</v>
      </c>
      <c r="L5100">
        <v>141.30359999999999</v>
      </c>
      <c r="M5100">
        <v>-0.99985590000000002</v>
      </c>
      <c r="N5100">
        <v>0</v>
      </c>
      <c r="O5100">
        <v>1.0340200000000001E-2</v>
      </c>
      <c r="P5100">
        <v>-0.99976399999999999</v>
      </c>
      <c r="Q5100">
        <v>8.3671590000000007E-3</v>
      </c>
      <c r="R5100">
        <v>2.0057869999999998E-2</v>
      </c>
      <c r="S5100">
        <v>-3.002777</v>
      </c>
      <c r="T5100">
        <v>-7.7910419999999994E-2</v>
      </c>
      <c r="U5100">
        <v>-7.403564E-2</v>
      </c>
      <c r="V5100">
        <v>9.7224779999999997E-3</v>
      </c>
      <c r="W5100">
        <v>2.183533E-2</v>
      </c>
      <c r="X5100">
        <v>0.99971429999999994</v>
      </c>
      <c r="Y5100">
        <v>-3.4969670000000001E-2</v>
      </c>
      <c r="Z5100">
        <v>-7.2174999999999995E-4</v>
      </c>
      <c r="AA5100">
        <v>0.9993881</v>
      </c>
      <c r="AB5100">
        <v>24</v>
      </c>
      <c r="AC5100">
        <v>-42.547800000000002</v>
      </c>
      <c r="AD5100">
        <v>-1.1099828271837999</v>
      </c>
      <c r="AE5100">
        <v>-1.0572999999999899</v>
      </c>
      <c r="AF5100">
        <v>-1.49621843904999</v>
      </c>
      <c r="AG5100">
        <v>-1.1099828271837999</v>
      </c>
      <c r="AH5100">
        <v>42.505680637697203</v>
      </c>
      <c r="AI5100">
        <v>91.4949423844986</v>
      </c>
      <c r="AJ5100">
        <v>92.016003967756205</v>
      </c>
      <c r="AK5100">
        <v>42.546487727753799</v>
      </c>
      <c r="AL5100">
        <v>88.748828304318806</v>
      </c>
      <c r="AM5100">
        <v>89.442801413821499</v>
      </c>
      <c r="AN5100">
        <v>0.99999999491957903</v>
      </c>
    </row>
    <row r="5101" spans="1:40" x14ac:dyDescent="0.25">
      <c r="A5101" t="str">
        <f>"20190312160434922"</f>
        <v>20190312160434922</v>
      </c>
      <c r="B5101" t="str">
        <f>"1552377874919995"</f>
        <v>1552377874919995</v>
      </c>
      <c r="C5101" t="s">
        <v>40</v>
      </c>
      <c r="D5101">
        <v>4.9675440000000002</v>
      </c>
      <c r="E5101">
        <v>0.4709219</v>
      </c>
      <c r="F5101" t="s">
        <v>41</v>
      </c>
      <c r="G5101">
        <v>-339.65370000000001</v>
      </c>
      <c r="H5101" s="1">
        <v>-3.0826889999999997E-7</v>
      </c>
      <c r="I5101">
        <v>140.233</v>
      </c>
      <c r="J5101">
        <v>-296.16800000000001</v>
      </c>
      <c r="K5101">
        <v>1.109977</v>
      </c>
      <c r="L5101">
        <v>141.30529999999999</v>
      </c>
      <c r="M5101">
        <v>-0.99985570000000001</v>
      </c>
      <c r="N5101">
        <v>0</v>
      </c>
      <c r="O5101">
        <v>1.039821E-2</v>
      </c>
      <c r="P5101">
        <v>-0.99975769999999997</v>
      </c>
      <c r="Q5101">
        <v>8.6224349999999995E-3</v>
      </c>
      <c r="R5101">
        <v>2.0268689999999999E-2</v>
      </c>
      <c r="S5101">
        <v>-3.0028380000000001</v>
      </c>
      <c r="T5101">
        <v>-7.6380370000000003E-2</v>
      </c>
      <c r="U5101">
        <v>-7.3669429999999994E-2</v>
      </c>
      <c r="V5101">
        <v>9.8754410000000004E-3</v>
      </c>
      <c r="W5101">
        <v>2.2062249999999999E-2</v>
      </c>
      <c r="X5101">
        <v>0.99970780000000004</v>
      </c>
      <c r="Y5101">
        <v>-3.4905930000000002E-2</v>
      </c>
      <c r="Z5101">
        <v>-7.0823179999999998E-4</v>
      </c>
      <c r="AA5101">
        <v>0.99939040000000001</v>
      </c>
      <c r="AB5101">
        <v>24</v>
      </c>
      <c r="AC5101">
        <v>-43.485700000000001</v>
      </c>
      <c r="AD5101">
        <v>-1.1099773082689</v>
      </c>
      <c r="AE5101">
        <v>-1.07229999999998</v>
      </c>
      <c r="AF5101">
        <v>-1.5234642814062</v>
      </c>
      <c r="AG5101">
        <v>-1.1099773082689</v>
      </c>
      <c r="AH5101">
        <v>43.443909742551902</v>
      </c>
      <c r="AI5101">
        <v>91.462670848565594</v>
      </c>
      <c r="AJ5101">
        <v>92.008390139186304</v>
      </c>
      <c r="AK5101">
        <v>43.484782243453701</v>
      </c>
      <c r="AL5101">
        <v>88.735823589511199</v>
      </c>
      <c r="AM5101">
        <v>89.434031937453298</v>
      </c>
      <c r="AN5101">
        <v>0.99999997629542303</v>
      </c>
    </row>
    <row r="5102" spans="1:40" x14ac:dyDescent="0.25">
      <c r="A5102" t="str">
        <f>"20190312160434935"</f>
        <v>20190312160434935</v>
      </c>
      <c r="B5102" t="str">
        <f>"1552377874929755"</f>
        <v>1552377874929755</v>
      </c>
      <c r="C5102" t="s">
        <v>40</v>
      </c>
      <c r="D5102">
        <v>4.9373559999999896</v>
      </c>
      <c r="E5102">
        <v>0.47017130000000001</v>
      </c>
      <c r="F5102" t="s">
        <v>43</v>
      </c>
      <c r="G5102">
        <v>-550.75400000000002</v>
      </c>
      <c r="H5102">
        <v>-0.05</v>
      </c>
      <c r="I5102">
        <v>126.8813</v>
      </c>
      <c r="J5102">
        <v>-296.30040000000002</v>
      </c>
      <c r="K5102">
        <v>1.109972</v>
      </c>
      <c r="L5102">
        <v>141.30670000000001</v>
      </c>
      <c r="M5102">
        <v>-0.99985559999999996</v>
      </c>
      <c r="N5102">
        <v>0</v>
      </c>
      <c r="O5102">
        <v>1.04484E-2</v>
      </c>
      <c r="P5102">
        <v>-0.9997547</v>
      </c>
      <c r="Q5102">
        <v>8.9238589999999993E-3</v>
      </c>
      <c r="R5102">
        <v>2.0287369999999999E-2</v>
      </c>
      <c r="S5102">
        <v>-3.0042719999999998</v>
      </c>
      <c r="T5102">
        <v>-1.368845E-2</v>
      </c>
      <c r="U5102">
        <v>-0.1702118</v>
      </c>
      <c r="V5102">
        <v>9.843882E-3</v>
      </c>
      <c r="W5102">
        <v>2.233636E-2</v>
      </c>
      <c r="X5102">
        <v>0.99970199999999998</v>
      </c>
      <c r="Y5102">
        <v>-6.6994579999999998E-2</v>
      </c>
      <c r="Z5102">
        <v>-2.000766E-4</v>
      </c>
      <c r="AA5102">
        <v>0.99775329999999995</v>
      </c>
      <c r="AB5102">
        <v>24</v>
      </c>
      <c r="AC5102">
        <v>-254.45359999999999</v>
      </c>
      <c r="AD5102">
        <v>-1.159972</v>
      </c>
      <c r="AE5102">
        <v>-14.4254</v>
      </c>
      <c r="AF5102">
        <v>-17.083130341923699</v>
      </c>
      <c r="AG5102">
        <v>-1.159972</v>
      </c>
      <c r="AH5102">
        <v>254.28370452975301</v>
      </c>
      <c r="AI5102">
        <v>90.260777883355701</v>
      </c>
      <c r="AJ5102">
        <v>93.843434275589601</v>
      </c>
      <c r="AK5102">
        <v>254.859532422656</v>
      </c>
      <c r="AL5102">
        <v>88.720114340435202</v>
      </c>
      <c r="AM5102">
        <v>89.435837214662399</v>
      </c>
      <c r="AN5102">
        <v>0.99999995189743796</v>
      </c>
    </row>
    <row r="5103" spans="1:40" x14ac:dyDescent="0.25">
      <c r="A5103" t="str">
        <f>"20190312160434950"</f>
        <v>20190312160434950</v>
      </c>
      <c r="B5103" t="str">
        <f>"1552377874940491"</f>
        <v>1552377874940491</v>
      </c>
      <c r="C5103" t="s">
        <v>40</v>
      </c>
      <c r="D5103">
        <v>4.8934360000000003</v>
      </c>
      <c r="E5103">
        <v>0.46939589999999998</v>
      </c>
      <c r="F5103" t="s">
        <v>45</v>
      </c>
      <c r="G5103">
        <v>0</v>
      </c>
      <c r="H5103">
        <v>0</v>
      </c>
      <c r="I5103">
        <v>0</v>
      </c>
      <c r="J5103">
        <v>-296.45400000000001</v>
      </c>
      <c r="K5103">
        <v>1.1099699999999999</v>
      </c>
      <c r="L5103">
        <v>141.30840000000001</v>
      </c>
      <c r="M5103">
        <v>-0.9998553</v>
      </c>
      <c r="N5103">
        <v>0</v>
      </c>
      <c r="O5103">
        <v>1.050735E-2</v>
      </c>
      <c r="P5103">
        <v>-0.99975499999999995</v>
      </c>
      <c r="Q5103">
        <v>8.8903160000000005E-3</v>
      </c>
      <c r="R5103">
        <v>2.0272979999999999E-2</v>
      </c>
      <c r="S5103">
        <v>-3.0044249999999999</v>
      </c>
      <c r="T5103">
        <v>-7.4676279999999996E-3</v>
      </c>
      <c r="U5103">
        <v>-0.17616270000000001</v>
      </c>
      <c r="V5103">
        <v>9.7706230000000008E-3</v>
      </c>
      <c r="W5103">
        <v>2.2267229999999999E-2</v>
      </c>
      <c r="X5103">
        <v>0.99970429999999999</v>
      </c>
      <c r="Y5103">
        <v>-6.9020689999999996E-2</v>
      </c>
      <c r="Z5103">
        <v>-1.118012E-4</v>
      </c>
      <c r="AA5103">
        <v>0.99761520000000004</v>
      </c>
      <c r="AB5103">
        <v>24</v>
      </c>
      <c r="AC5103">
        <v>-3.0044249999999999</v>
      </c>
      <c r="AD5103">
        <v>-7.4676279999999996E-3</v>
      </c>
      <c r="AE5103">
        <v>-0.17616270000000001</v>
      </c>
      <c r="AF5103">
        <v>-0.207723064908926</v>
      </c>
      <c r="AG5103">
        <v>-7.4676279999999996E-3</v>
      </c>
      <c r="AH5103">
        <v>3.0023894610618398</v>
      </c>
      <c r="AI5103">
        <v>90.142167541300594</v>
      </c>
      <c r="AJ5103">
        <v>93.957754177534298</v>
      </c>
      <c r="AK5103">
        <v>3.0095759025248601</v>
      </c>
      <c r="AL5103">
        <v>88.724076233166301</v>
      </c>
      <c r="AM5103">
        <v>89.440036781556103</v>
      </c>
      <c r="AN5103">
        <v>0.99999999102208503</v>
      </c>
    </row>
    <row r="5104" spans="1:40" x14ac:dyDescent="0.25">
      <c r="A5104" t="str">
        <f>"20190312160434967"</f>
        <v>20190312160434967</v>
      </c>
      <c r="B5104" t="str">
        <f>"1552377874960010"</f>
        <v>1552377874960010</v>
      </c>
      <c r="C5104" t="s">
        <v>40</v>
      </c>
      <c r="D5104">
        <v>4.8989330000000004</v>
      </c>
      <c r="E5104">
        <v>0.46918260000000001</v>
      </c>
      <c r="F5104" t="s">
        <v>41</v>
      </c>
      <c r="G5104">
        <v>-440.84800000000001</v>
      </c>
      <c r="H5104" s="1">
        <v>-4.1464690000000002E-6</v>
      </c>
      <c r="I5104">
        <v>132.56229999999999</v>
      </c>
      <c r="J5104">
        <v>-296.64519999999999</v>
      </c>
      <c r="K5104">
        <v>1.1099619999999999</v>
      </c>
      <c r="L5104">
        <v>141.31049999999999</v>
      </c>
      <c r="M5104">
        <v>-0.9998553</v>
      </c>
      <c r="N5104">
        <v>0</v>
      </c>
      <c r="O5104">
        <v>1.05805E-2</v>
      </c>
      <c r="P5104">
        <v>-0.99975910000000001</v>
      </c>
      <c r="Q5104">
        <v>8.9728440000000007E-3</v>
      </c>
      <c r="R5104">
        <v>2.0040780000000001E-2</v>
      </c>
      <c r="S5104">
        <v>-3.0046390000000001</v>
      </c>
      <c r="T5104">
        <v>-2.3097039999999999E-2</v>
      </c>
      <c r="U5104">
        <v>-0.1819916</v>
      </c>
      <c r="V5104">
        <v>9.4652409999999992E-3</v>
      </c>
      <c r="W5104">
        <v>2.2294410000000001E-2</v>
      </c>
      <c r="X5104">
        <v>0.9997066</v>
      </c>
      <c r="Y5104">
        <v>-7.1015690000000006E-2</v>
      </c>
      <c r="Z5104">
        <v>-3.5397E-4</v>
      </c>
      <c r="AA5104">
        <v>0.99747509999999995</v>
      </c>
      <c r="AB5104">
        <v>24</v>
      </c>
      <c r="AC5104">
        <v>-144.2028</v>
      </c>
      <c r="AD5104">
        <v>-1.109966146469</v>
      </c>
      <c r="AE5104">
        <v>-8.74819999999999</v>
      </c>
      <c r="AF5104">
        <v>-10.2729769136978</v>
      </c>
      <c r="AG5104">
        <v>-1.109966146469</v>
      </c>
      <c r="AH5104">
        <v>144.09365234069799</v>
      </c>
      <c r="AI5104">
        <v>90.440228393051399</v>
      </c>
      <c r="AJ5104">
        <v>94.077931253679495</v>
      </c>
      <c r="AK5104">
        <v>144.46365191423601</v>
      </c>
      <c r="AL5104">
        <v>88.7225185059946</v>
      </c>
      <c r="AM5104">
        <v>89.457538684688402</v>
      </c>
      <c r="AN5104">
        <v>0.99999995879399695</v>
      </c>
    </row>
    <row r="5105" spans="1:40" x14ac:dyDescent="0.25">
      <c r="A5105" t="str">
        <f>"20190312160434989"</f>
        <v>20190312160434989</v>
      </c>
      <c r="B5105" t="str">
        <f>"1552377874980507"</f>
        <v>1552377874980507</v>
      </c>
      <c r="C5105" t="s">
        <v>40</v>
      </c>
      <c r="D5105">
        <v>4.859108</v>
      </c>
      <c r="E5105">
        <v>0.46880440000000001</v>
      </c>
      <c r="F5105" t="s">
        <v>44</v>
      </c>
      <c r="G5105">
        <v>-500.7115</v>
      </c>
      <c r="H5105">
        <v>0.4658796</v>
      </c>
      <c r="I5105">
        <v>128.76179999999999</v>
      </c>
      <c r="J5105">
        <v>-296.87529999999998</v>
      </c>
      <c r="K5105">
        <v>1.109952</v>
      </c>
      <c r="L5105">
        <v>141.31299999999999</v>
      </c>
      <c r="M5105">
        <v>-0.99985550000000001</v>
      </c>
      <c r="N5105">
        <v>0</v>
      </c>
      <c r="O5105">
        <v>1.065849E-2</v>
      </c>
      <c r="P5105">
        <v>-0.99975420000000004</v>
      </c>
      <c r="Q5105">
        <v>9.2317419999999994E-3</v>
      </c>
      <c r="R5105">
        <v>2.0163299999999999E-2</v>
      </c>
      <c r="S5105">
        <v>-3.004486</v>
      </c>
      <c r="T5105">
        <v>-9.482384E-3</v>
      </c>
      <c r="U5105">
        <v>-0.18475340000000001</v>
      </c>
      <c r="V5105">
        <v>9.5101330000000005E-3</v>
      </c>
      <c r="W5105">
        <v>2.2477469999999999E-2</v>
      </c>
      <c r="X5105">
        <v>0.99970210000000004</v>
      </c>
      <c r="Y5105">
        <v>-7.2012019999999996E-2</v>
      </c>
      <c r="Z5105">
        <v>-1.471426E-4</v>
      </c>
      <c r="AA5105">
        <v>0.9974037</v>
      </c>
      <c r="AB5105">
        <v>24</v>
      </c>
      <c r="AC5105">
        <v>-203.83619999999999</v>
      </c>
      <c r="AD5105">
        <v>-0.64407239999999999</v>
      </c>
      <c r="AE5105">
        <v>-12.5511999999999</v>
      </c>
      <c r="AF5105">
        <v>-14.723117117842</v>
      </c>
      <c r="AG5105">
        <v>-0.64407239999999999</v>
      </c>
      <c r="AH5105">
        <v>203.688804866834</v>
      </c>
      <c r="AI5105">
        <v>90.180699576967299</v>
      </c>
      <c r="AJ5105">
        <v>94.134286665317603</v>
      </c>
      <c r="AK5105">
        <v>204.221238452325</v>
      </c>
      <c r="AL5105">
        <v>88.712027343583003</v>
      </c>
      <c r="AM5105">
        <v>89.4549635861528</v>
      </c>
      <c r="AN5105">
        <v>0.999999984015844</v>
      </c>
    </row>
    <row r="5106" spans="1:40" x14ac:dyDescent="0.25">
      <c r="A5106" t="str">
        <f>"20190312160435009"</f>
        <v>20190312160435009</v>
      </c>
      <c r="B5106" t="str">
        <f>"1552377875000027"</f>
        <v>1552377875000027</v>
      </c>
      <c r="C5106" t="s">
        <v>40</v>
      </c>
      <c r="D5106">
        <v>4.8048900000000003</v>
      </c>
      <c r="E5106">
        <v>0.46895120000000001</v>
      </c>
      <c r="F5106" t="s">
        <v>44</v>
      </c>
      <c r="G5106">
        <v>-500.7989</v>
      </c>
      <c r="H5106">
        <v>1.363143</v>
      </c>
      <c r="I5106">
        <v>128.56720000000001</v>
      </c>
      <c r="J5106">
        <v>-297.101</v>
      </c>
      <c r="K5106">
        <v>1.1099429999999999</v>
      </c>
      <c r="L5106">
        <v>141.31559999999999</v>
      </c>
      <c r="M5106">
        <v>-0.99985550000000001</v>
      </c>
      <c r="N5106">
        <v>0</v>
      </c>
      <c r="O5106">
        <v>1.074429E-2</v>
      </c>
      <c r="P5106">
        <v>-0.99974980000000002</v>
      </c>
      <c r="Q5106">
        <v>9.4769090000000004E-3</v>
      </c>
      <c r="R5106">
        <v>2.026596E-2</v>
      </c>
      <c r="S5106">
        <v>-3.0045169999999999</v>
      </c>
      <c r="T5106">
        <v>3.7308929999999999E-3</v>
      </c>
      <c r="U5106">
        <v>-0.18778990000000001</v>
      </c>
      <c r="V5106">
        <v>9.5269059999999999E-3</v>
      </c>
      <c r="W5106">
        <v>2.2647179999999999E-2</v>
      </c>
      <c r="X5106">
        <v>0.99969810000000003</v>
      </c>
      <c r="Y5106">
        <v>-7.3101449999999998E-2</v>
      </c>
      <c r="Z5106" s="1">
        <v>5.8673949999999998E-5</v>
      </c>
      <c r="AA5106">
        <v>0.99732449999999995</v>
      </c>
      <c r="AB5106">
        <v>24</v>
      </c>
      <c r="AC5106">
        <v>-203.6979</v>
      </c>
      <c r="AD5106">
        <v>0.25319999999999898</v>
      </c>
      <c r="AE5106">
        <v>-12.748399999999901</v>
      </c>
      <c r="AF5106">
        <v>-14.936420264666699</v>
      </c>
      <c r="AG5106">
        <v>0.25319999999999898</v>
      </c>
      <c r="AH5106">
        <v>203.54884253284999</v>
      </c>
      <c r="AI5106">
        <v>89.928919356106306</v>
      </c>
      <c r="AJ5106">
        <v>94.196844015920405</v>
      </c>
      <c r="AK5106">
        <v>204.096281340513</v>
      </c>
      <c r="AL5106">
        <v>88.702301187670301</v>
      </c>
      <c r="AM5106">
        <v>89.454000180292098</v>
      </c>
      <c r="AN5106">
        <v>0.999999973921747</v>
      </c>
    </row>
    <row r="5107" spans="1:40" x14ac:dyDescent="0.25">
      <c r="A5107" t="str">
        <f>"20190312160435032"</f>
        <v>20190312160435032</v>
      </c>
      <c r="B5107" t="str">
        <f>"1552377875020524"</f>
        <v>1552377875020524</v>
      </c>
      <c r="C5107" t="s">
        <v>40</v>
      </c>
      <c r="D5107">
        <v>4.8002469999999997</v>
      </c>
      <c r="E5107">
        <v>0.4691842</v>
      </c>
      <c r="F5107" t="s">
        <v>45</v>
      </c>
      <c r="G5107">
        <v>0</v>
      </c>
      <c r="H5107">
        <v>0</v>
      </c>
      <c r="I5107">
        <v>0</v>
      </c>
      <c r="J5107">
        <v>-297.33870000000002</v>
      </c>
      <c r="K5107">
        <v>1.1099349999999999</v>
      </c>
      <c r="L5107">
        <v>141.31819999999999</v>
      </c>
      <c r="M5107">
        <v>-0.99985539999999995</v>
      </c>
      <c r="N5107">
        <v>0</v>
      </c>
      <c r="O5107">
        <v>1.084247E-2</v>
      </c>
      <c r="P5107">
        <v>-0.99973889999999999</v>
      </c>
      <c r="Q5107">
        <v>9.6313790000000007E-3</v>
      </c>
      <c r="R5107">
        <v>2.0717590000000001E-2</v>
      </c>
      <c r="S5107">
        <v>-3.0044559999999998</v>
      </c>
      <c r="T5107">
        <v>1.058567E-2</v>
      </c>
      <c r="U5107">
        <v>-0.1864471</v>
      </c>
      <c r="V5107">
        <v>9.8800150000000007E-3</v>
      </c>
      <c r="W5107">
        <v>2.2724879999999999E-2</v>
      </c>
      <c r="X5107">
        <v>0.9996929</v>
      </c>
      <c r="Y5107">
        <v>-7.2756180000000004E-2</v>
      </c>
      <c r="Z5107">
        <v>1.6621879999999999E-4</v>
      </c>
      <c r="AA5107">
        <v>0.99734970000000001</v>
      </c>
      <c r="AB5107">
        <v>24</v>
      </c>
      <c r="AC5107">
        <v>-3.0044559999999998</v>
      </c>
      <c r="AD5107">
        <v>1.058567E-2</v>
      </c>
      <c r="AE5107">
        <v>-0.1864471</v>
      </c>
      <c r="AF5107">
        <v>-0.21901194990058001</v>
      </c>
      <c r="AG5107">
        <v>1.058567E-2</v>
      </c>
      <c r="AH5107">
        <v>3.0022205172461098</v>
      </c>
      <c r="AI5107">
        <v>89.798514370734594</v>
      </c>
      <c r="AJ5107">
        <v>94.172335579644297</v>
      </c>
      <c r="AK5107">
        <v>3.0102169896507598</v>
      </c>
      <c r="AL5107">
        <v>88.697848147293797</v>
      </c>
      <c r="AM5107">
        <v>89.433761376676401</v>
      </c>
      <c r="AN5107">
        <v>0.99999996458891105</v>
      </c>
    </row>
    <row r="5108" spans="1:40" x14ac:dyDescent="0.25">
      <c r="A5108" t="str">
        <f>"20190312160435055"</f>
        <v>20190312160435055</v>
      </c>
      <c r="B5108" t="str">
        <f>"1552377875049803"</f>
        <v>1552377875049803</v>
      </c>
      <c r="C5108" t="s">
        <v>40</v>
      </c>
      <c r="D5108">
        <v>4.78498</v>
      </c>
      <c r="E5108">
        <v>0.4694392</v>
      </c>
      <c r="F5108" t="s">
        <v>45</v>
      </c>
      <c r="G5108">
        <v>0</v>
      </c>
      <c r="H5108">
        <v>0</v>
      </c>
      <c r="I5108">
        <v>0</v>
      </c>
      <c r="J5108">
        <v>-297.58460000000002</v>
      </c>
      <c r="K5108">
        <v>1.1099220000000001</v>
      </c>
      <c r="L5108">
        <v>141.321</v>
      </c>
      <c r="M5108">
        <v>-0.99985550000000001</v>
      </c>
      <c r="N5108">
        <v>0</v>
      </c>
      <c r="O5108">
        <v>1.094476E-2</v>
      </c>
      <c r="P5108">
        <v>-0.99973409999999996</v>
      </c>
      <c r="Q5108">
        <v>9.4786169999999999E-3</v>
      </c>
      <c r="R5108">
        <v>2.1029900000000001E-2</v>
      </c>
      <c r="S5108">
        <v>-3.0044559999999998</v>
      </c>
      <c r="T5108">
        <v>1.4966729999999999E-2</v>
      </c>
      <c r="U5108">
        <v>-0.18331910000000001</v>
      </c>
      <c r="V5108">
        <v>1.0090180000000001E-2</v>
      </c>
      <c r="W5108">
        <v>2.2491770000000001E-2</v>
      </c>
      <c r="X5108">
        <v>0.99969609999999998</v>
      </c>
      <c r="Y5108">
        <v>-7.1823189999999995E-2</v>
      </c>
      <c r="Z5108">
        <v>2.3320550000000001E-4</v>
      </c>
      <c r="AA5108">
        <v>0.99741729999999995</v>
      </c>
      <c r="AB5108">
        <v>24</v>
      </c>
      <c r="AC5108">
        <v>-3.0044559999999998</v>
      </c>
      <c r="AD5108">
        <v>1.4966729999999999E-2</v>
      </c>
      <c r="AE5108">
        <v>-0.18331910000000001</v>
      </c>
      <c r="AF5108">
        <v>-0.21618860516844299</v>
      </c>
      <c r="AG5108">
        <v>1.4966729999999999E-2</v>
      </c>
      <c r="AH5108">
        <v>3.0021952378145098</v>
      </c>
      <c r="AI5108">
        <v>89.715105578511398</v>
      </c>
      <c r="AJ5108">
        <v>94.118769694982902</v>
      </c>
      <c r="AK5108">
        <v>3.0100062727455699</v>
      </c>
      <c r="AL5108">
        <v>88.711207816901194</v>
      </c>
      <c r="AM5108">
        <v>89.421719162616796</v>
      </c>
      <c r="AN5108">
        <v>0.99999999190268696</v>
      </c>
    </row>
    <row r="5109" spans="1:40" x14ac:dyDescent="0.25">
      <c r="A5109" t="str">
        <f>"20190312160435068"</f>
        <v>20190312160435068</v>
      </c>
      <c r="B5109" t="str">
        <f>"1552377875060539"</f>
        <v>1552377875060539</v>
      </c>
      <c r="C5109" t="s">
        <v>40</v>
      </c>
      <c r="D5109">
        <v>4.7958179999999997</v>
      </c>
      <c r="E5109">
        <v>0.46952090000000002</v>
      </c>
      <c r="F5109" t="s">
        <v>45</v>
      </c>
      <c r="G5109">
        <v>0</v>
      </c>
      <c r="H5109">
        <v>0</v>
      </c>
      <c r="I5109">
        <v>0</v>
      </c>
      <c r="J5109">
        <v>-297.73070000000001</v>
      </c>
      <c r="K5109">
        <v>1.109915</v>
      </c>
      <c r="L5109">
        <v>141.3227</v>
      </c>
      <c r="M5109">
        <v>-0.99985550000000001</v>
      </c>
      <c r="N5109">
        <v>0</v>
      </c>
      <c r="O5109">
        <v>1.100372E-2</v>
      </c>
      <c r="P5109">
        <v>-0.99974010000000002</v>
      </c>
      <c r="Q5109">
        <v>9.1338040000000006E-3</v>
      </c>
      <c r="R5109">
        <v>2.089941E-2</v>
      </c>
      <c r="S5109">
        <v>-3.0044249999999999</v>
      </c>
      <c r="T5109">
        <v>1.8120290000000001E-2</v>
      </c>
      <c r="U5109">
        <v>-0.18037410000000001</v>
      </c>
      <c r="V5109">
        <v>9.9004579999999991E-3</v>
      </c>
      <c r="W5109">
        <v>2.209991E-2</v>
      </c>
      <c r="X5109">
        <v>0.99970669999999995</v>
      </c>
      <c r="Y5109">
        <v>-7.0908020000000002E-2</v>
      </c>
      <c r="Z5109">
        <v>2.7995139999999999E-4</v>
      </c>
      <c r="AA5109">
        <v>0.9974828</v>
      </c>
      <c r="AB5109">
        <v>24</v>
      </c>
      <c r="AC5109">
        <v>-3.0044249999999999</v>
      </c>
      <c r="AD5109">
        <v>1.8120290000000001E-2</v>
      </c>
      <c r="AE5109">
        <v>-0.18037410000000001</v>
      </c>
      <c r="AF5109">
        <v>-0.21341806967715801</v>
      </c>
      <c r="AG5109">
        <v>1.8120290000000001E-2</v>
      </c>
      <c r="AH5109">
        <v>3.0021493084109401</v>
      </c>
      <c r="AI5109">
        <v>89.655050406549904</v>
      </c>
      <c r="AJ5109">
        <v>94.066226356701705</v>
      </c>
      <c r="AK5109">
        <v>3.0097800729233901</v>
      </c>
      <c r="AL5109">
        <v>88.733665277912195</v>
      </c>
      <c r="AM5109">
        <v>89.432597665952301</v>
      </c>
      <c r="AN5109">
        <v>0.99999995555775201</v>
      </c>
    </row>
    <row r="5110" spans="1:40" x14ac:dyDescent="0.25">
      <c r="A5110" t="str">
        <f>"20190312160435080"</f>
        <v>20190312160435080</v>
      </c>
      <c r="B5110" t="str">
        <f>"1552377875070300"</f>
        <v>1552377875070300</v>
      </c>
      <c r="C5110" t="s">
        <v>40</v>
      </c>
      <c r="D5110">
        <v>4.7535749999999997</v>
      </c>
      <c r="E5110">
        <v>0.4695531</v>
      </c>
      <c r="F5110" t="s">
        <v>45</v>
      </c>
      <c r="G5110">
        <v>0</v>
      </c>
      <c r="H5110">
        <v>0</v>
      </c>
      <c r="I5110">
        <v>0</v>
      </c>
      <c r="J5110">
        <v>-297.85700000000003</v>
      </c>
      <c r="K5110">
        <v>1.109909</v>
      </c>
      <c r="L5110">
        <v>141.32409999999999</v>
      </c>
      <c r="M5110">
        <v>-0.9998553</v>
      </c>
      <c r="N5110">
        <v>0</v>
      </c>
      <c r="O5110">
        <v>1.105298E-2</v>
      </c>
      <c r="P5110">
        <v>-0.99973429999999996</v>
      </c>
      <c r="Q5110">
        <v>9.2330559999999999E-3</v>
      </c>
      <c r="R5110">
        <v>2.1120679999999999E-2</v>
      </c>
      <c r="S5110">
        <v>-3.0043950000000001</v>
      </c>
      <c r="T5110">
        <v>1.8383380000000001E-2</v>
      </c>
      <c r="U5110">
        <v>-0.1802521</v>
      </c>
      <c r="V5110">
        <v>1.007274E-2</v>
      </c>
      <c r="W5110">
        <v>2.2159970000000001E-2</v>
      </c>
      <c r="X5110">
        <v>0.99970369999999997</v>
      </c>
      <c r="Y5110">
        <v>-7.0917330000000001E-2</v>
      </c>
      <c r="Z5110">
        <v>2.8434880000000002E-4</v>
      </c>
      <c r="AA5110">
        <v>0.99748219999999999</v>
      </c>
      <c r="AB5110">
        <v>24</v>
      </c>
      <c r="AC5110">
        <v>-3.0043950000000001</v>
      </c>
      <c r="AD5110">
        <v>1.8383380000000001E-2</v>
      </c>
      <c r="AE5110">
        <v>-0.1802521</v>
      </c>
      <c r="AF5110">
        <v>-0.21344341911633599</v>
      </c>
      <c r="AG5110">
        <v>1.8383380000000001E-2</v>
      </c>
      <c r="AH5110">
        <v>3.0021069572743899</v>
      </c>
      <c r="AI5110">
        <v>89.650037475404105</v>
      </c>
      <c r="AJ5110">
        <v>94.066764892971804</v>
      </c>
      <c r="AK5110">
        <v>3.0097412222215398</v>
      </c>
      <c r="AL5110">
        <v>88.730223314457902</v>
      </c>
      <c r="AM5110">
        <v>89.422722991473506</v>
      </c>
      <c r="AN5110">
        <v>1.00000000607759</v>
      </c>
    </row>
    <row r="5111" spans="1:40" x14ac:dyDescent="0.25">
      <c r="A5111" t="str">
        <f>"20190312160435092"</f>
        <v>20190312160435092</v>
      </c>
      <c r="B5111" t="str">
        <f>"1552377875080060"</f>
        <v>1552377875080060</v>
      </c>
      <c r="C5111" t="s">
        <v>40</v>
      </c>
      <c r="D5111">
        <v>4.7643209999999998</v>
      </c>
      <c r="E5111">
        <v>0.4695531</v>
      </c>
      <c r="F5111" t="s">
        <v>45</v>
      </c>
      <c r="G5111">
        <v>0</v>
      </c>
      <c r="H5111">
        <v>0</v>
      </c>
      <c r="I5111">
        <v>0</v>
      </c>
      <c r="J5111">
        <v>-297.98390000000001</v>
      </c>
      <c r="K5111">
        <v>1.1099030000000001</v>
      </c>
      <c r="L5111">
        <v>141.32560000000001</v>
      </c>
      <c r="M5111">
        <v>-0.9998553</v>
      </c>
      <c r="N5111">
        <v>0</v>
      </c>
      <c r="O5111">
        <v>1.110236E-2</v>
      </c>
      <c r="P5111">
        <v>-0.99973290000000004</v>
      </c>
      <c r="Q5111">
        <v>9.4191729999999994E-3</v>
      </c>
      <c r="R5111">
        <v>2.111126E-2</v>
      </c>
      <c r="S5111">
        <v>-3.0043950000000001</v>
      </c>
      <c r="T5111">
        <v>1.954198E-2</v>
      </c>
      <c r="U5111">
        <v>-0.1792755</v>
      </c>
      <c r="V5111">
        <v>1.0013879999999999E-2</v>
      </c>
      <c r="W5111">
        <v>2.2307279999999999E-2</v>
      </c>
      <c r="X5111">
        <v>0.99970099999999995</v>
      </c>
      <c r="Y5111">
        <v>-7.0643330000000004E-2</v>
      </c>
      <c r="Z5111">
        <v>3.0170279999999999E-4</v>
      </c>
      <c r="AA5111">
        <v>0.99750159999999999</v>
      </c>
      <c r="AB5111">
        <v>24</v>
      </c>
      <c r="AC5111">
        <v>-3.0043950000000001</v>
      </c>
      <c r="AD5111">
        <v>1.954198E-2</v>
      </c>
      <c r="AE5111">
        <v>-0.1792755</v>
      </c>
      <c r="AF5111">
        <v>-0.21261413118525599</v>
      </c>
      <c r="AG5111">
        <v>1.954198E-2</v>
      </c>
      <c r="AH5111">
        <v>3.0020926905205898</v>
      </c>
      <c r="AI5111">
        <v>89.627972912668</v>
      </c>
      <c r="AJ5111">
        <v>94.051036258171706</v>
      </c>
      <c r="AK5111">
        <v>3.0096755938537898</v>
      </c>
      <c r="AL5111">
        <v>88.721780966980901</v>
      </c>
      <c r="AM5111">
        <v>89.426094530262702</v>
      </c>
      <c r="AN5111">
        <v>0.99999999096732595</v>
      </c>
    </row>
    <row r="5112" spans="1:40" x14ac:dyDescent="0.25">
      <c r="A5112" t="str">
        <f>"20190312160435111"</f>
        <v>20190312160435111</v>
      </c>
      <c r="B5112" t="str">
        <f>"1552377875100554"</f>
        <v>1552377875100554</v>
      </c>
      <c r="C5112" t="s">
        <v>40</v>
      </c>
      <c r="D5112">
        <v>4.7671320000000001</v>
      </c>
      <c r="E5112">
        <v>0.469557</v>
      </c>
      <c r="F5112" t="s">
        <v>45</v>
      </c>
      <c r="G5112">
        <v>0</v>
      </c>
      <c r="H5112">
        <v>0</v>
      </c>
      <c r="I5112">
        <v>0</v>
      </c>
      <c r="J5112">
        <v>-298.18689999999998</v>
      </c>
      <c r="K5112">
        <v>1.109893</v>
      </c>
      <c r="L5112">
        <v>141.328</v>
      </c>
      <c r="M5112">
        <v>-0.99985520000000006</v>
      </c>
      <c r="N5112">
        <v>0</v>
      </c>
      <c r="O5112">
        <v>1.118271E-2</v>
      </c>
      <c r="P5112">
        <v>-0.99972749999999999</v>
      </c>
      <c r="Q5112">
        <v>8.7884880000000005E-3</v>
      </c>
      <c r="R5112">
        <v>2.1633110000000001E-2</v>
      </c>
      <c r="S5112">
        <v>-3.0043950000000001</v>
      </c>
      <c r="T5112">
        <v>2.0032049999999999E-2</v>
      </c>
      <c r="U5112">
        <v>-0.17924499999999999</v>
      </c>
      <c r="V5112">
        <v>1.0455509999999999E-2</v>
      </c>
      <c r="W5112">
        <v>2.1615559999999999E-2</v>
      </c>
      <c r="X5112">
        <v>0.99971169999999998</v>
      </c>
      <c r="Y5112">
        <v>-7.0713289999999998E-2</v>
      </c>
      <c r="Z5112">
        <v>3.1003710000000002E-4</v>
      </c>
      <c r="AA5112">
        <v>0.99749659999999996</v>
      </c>
      <c r="AB5112">
        <v>24</v>
      </c>
      <c r="AC5112">
        <v>-3.0043950000000001</v>
      </c>
      <c r="AD5112">
        <v>2.0032049999999999E-2</v>
      </c>
      <c r="AE5112">
        <v>-0.17924499999999999</v>
      </c>
      <c r="AF5112">
        <v>-0.21282440450534601</v>
      </c>
      <c r="AG5112">
        <v>2.0032049999999999E-2</v>
      </c>
      <c r="AH5112">
        <v>3.00206951054912</v>
      </c>
      <c r="AI5112">
        <v>89.618642514794402</v>
      </c>
      <c r="AJ5112">
        <v>94.055060541030997</v>
      </c>
      <c r="AK5112">
        <v>3.0096705561155499</v>
      </c>
      <c r="AL5112">
        <v>88.761423197461298</v>
      </c>
      <c r="AM5112">
        <v>89.400792493138695</v>
      </c>
      <c r="AN5112">
        <v>1.0000000166201799</v>
      </c>
    </row>
    <row r="5113" spans="1:40" x14ac:dyDescent="0.25">
      <c r="A5113" t="str">
        <f>"20190312160435123"</f>
        <v>20190312160435123</v>
      </c>
      <c r="B5113" t="str">
        <f>"1552377875120076"</f>
        <v>1552377875120076</v>
      </c>
      <c r="C5113" t="s">
        <v>40</v>
      </c>
      <c r="D5113">
        <v>4.7582370000000003</v>
      </c>
      <c r="E5113">
        <v>0.46970469999999998</v>
      </c>
      <c r="F5113" t="s">
        <v>45</v>
      </c>
      <c r="G5113">
        <v>0</v>
      </c>
      <c r="H5113">
        <v>0</v>
      </c>
      <c r="I5113">
        <v>0</v>
      </c>
      <c r="J5113">
        <v>-298.32819999999998</v>
      </c>
      <c r="K5113">
        <v>1.109888</v>
      </c>
      <c r="L5113">
        <v>141.3296</v>
      </c>
      <c r="M5113">
        <v>-0.9998551</v>
      </c>
      <c r="N5113">
        <v>0</v>
      </c>
      <c r="O5113">
        <v>1.124153E-2</v>
      </c>
      <c r="P5113">
        <v>-0.99971529999999997</v>
      </c>
      <c r="Q5113">
        <v>8.2165369999999995E-3</v>
      </c>
      <c r="R5113">
        <v>2.2403490000000002E-2</v>
      </c>
      <c r="S5113">
        <v>-3.004486</v>
      </c>
      <c r="T5113">
        <v>1.5790220000000001E-2</v>
      </c>
      <c r="U5113">
        <v>-0.17767330000000001</v>
      </c>
      <c r="V5113">
        <v>1.116703E-2</v>
      </c>
      <c r="W5113">
        <v>2.100248E-2</v>
      </c>
      <c r="X5113">
        <v>0.99971710000000003</v>
      </c>
      <c r="Y5113">
        <v>-7.0250880000000002E-2</v>
      </c>
      <c r="Z5113">
        <v>2.4347830000000001E-4</v>
      </c>
      <c r="AA5113">
        <v>0.99752929999999995</v>
      </c>
      <c r="AB5113">
        <v>24</v>
      </c>
      <c r="AC5113">
        <v>-3.004486</v>
      </c>
      <c r="AD5113">
        <v>1.5790220000000001E-2</v>
      </c>
      <c r="AE5113">
        <v>-0.17767330000000001</v>
      </c>
      <c r="AF5113">
        <v>-0.21143403110283401</v>
      </c>
      <c r="AG5113">
        <v>1.5790220000000001E-2</v>
      </c>
      <c r="AH5113">
        <v>3.00221600400647</v>
      </c>
      <c r="AI5113">
        <v>89.6993989150521</v>
      </c>
      <c r="AJ5113">
        <v>94.028460574161599</v>
      </c>
      <c r="AK5113">
        <v>3.00969344207489</v>
      </c>
      <c r="AL5113">
        <v>88.796558103967499</v>
      </c>
      <c r="AM5113">
        <v>89.360021870437194</v>
      </c>
      <c r="AN5113">
        <v>1.0000000433787799</v>
      </c>
    </row>
    <row r="5114" spans="1:40" x14ac:dyDescent="0.25">
      <c r="A5114" t="str">
        <f>"20190312160435136"</f>
        <v>20190312160435136</v>
      </c>
      <c r="B5114" t="str">
        <f>"1552377875129836"</f>
        <v>1552377875129836</v>
      </c>
      <c r="C5114" t="s">
        <v>40</v>
      </c>
      <c r="D5114">
        <v>4.7635389999999997</v>
      </c>
      <c r="E5114">
        <v>0.46977629999999998</v>
      </c>
      <c r="F5114" t="s">
        <v>45</v>
      </c>
      <c r="G5114">
        <v>0</v>
      </c>
      <c r="H5114">
        <v>0</v>
      </c>
      <c r="I5114">
        <v>0</v>
      </c>
      <c r="J5114">
        <v>-298.452</v>
      </c>
      <c r="K5114">
        <v>1.109883</v>
      </c>
      <c r="L5114">
        <v>141.33109999999999</v>
      </c>
      <c r="M5114">
        <v>-0.99985489999999999</v>
      </c>
      <c r="N5114">
        <v>0</v>
      </c>
      <c r="O5114">
        <v>1.1294210000000001E-2</v>
      </c>
      <c r="P5114">
        <v>-0.99970879999999995</v>
      </c>
      <c r="Q5114">
        <v>8.0279689999999994E-3</v>
      </c>
      <c r="R5114">
        <v>2.2756229999999999E-2</v>
      </c>
      <c r="S5114">
        <v>-3.0046080000000002</v>
      </c>
      <c r="T5114">
        <v>1.5513900000000001E-2</v>
      </c>
      <c r="U5114">
        <v>-0.174102799999999</v>
      </c>
      <c r="V5114">
        <v>1.146722E-2</v>
      </c>
      <c r="W5114">
        <v>2.0778890000000001E-2</v>
      </c>
      <c r="X5114">
        <v>0.99971829999999995</v>
      </c>
      <c r="Y5114">
        <v>-6.9119680000000003E-2</v>
      </c>
      <c r="Z5114">
        <v>2.3656999999999999E-4</v>
      </c>
      <c r="AA5114">
        <v>0.99760839999999995</v>
      </c>
      <c r="AB5114">
        <v>24</v>
      </c>
      <c r="AC5114">
        <v>-3.0046080000000002</v>
      </c>
      <c r="AD5114">
        <v>1.5513900000000001E-2</v>
      </c>
      <c r="AE5114">
        <v>-0.174102799999999</v>
      </c>
      <c r="AF5114">
        <v>-0.20802359948610399</v>
      </c>
      <c r="AG5114">
        <v>1.5513900000000001E-2</v>
      </c>
      <c r="AH5114">
        <v>3.0023700400995001</v>
      </c>
      <c r="AI5114">
        <v>89.704650928539294</v>
      </c>
      <c r="AJ5114">
        <v>93.9634875919444</v>
      </c>
      <c r="AK5114">
        <v>3.0096080071536599</v>
      </c>
      <c r="AL5114">
        <v>88.809371575017707</v>
      </c>
      <c r="AM5114">
        <v>89.342820376603797</v>
      </c>
      <c r="AN5114">
        <v>0.99999996937952396</v>
      </c>
    </row>
    <row r="5115" spans="1:40" x14ac:dyDescent="0.25">
      <c r="A5115" t="str">
        <f>"20190312160435149"</f>
        <v>20190312160435149</v>
      </c>
      <c r="B5115" t="str">
        <f>"1552377875140570"</f>
        <v>1552377875140570</v>
      </c>
      <c r="C5115" t="s">
        <v>40</v>
      </c>
      <c r="D5115">
        <v>4.6943869999999999</v>
      </c>
      <c r="E5115">
        <v>0.4697885</v>
      </c>
      <c r="F5115" t="s">
        <v>45</v>
      </c>
      <c r="G5115">
        <v>0</v>
      </c>
      <c r="H5115">
        <v>0</v>
      </c>
      <c r="I5115">
        <v>0</v>
      </c>
      <c r="J5115">
        <v>-298.59230000000002</v>
      </c>
      <c r="K5115">
        <v>1.1098699999999999</v>
      </c>
      <c r="L5115">
        <v>141.33269999999999</v>
      </c>
      <c r="M5115">
        <v>-0.99985469999999999</v>
      </c>
      <c r="N5115">
        <v>0</v>
      </c>
      <c r="O5115">
        <v>1.1354120000000001E-2</v>
      </c>
      <c r="P5115">
        <v>-0.99968800000000002</v>
      </c>
      <c r="Q5115">
        <v>8.260692E-3</v>
      </c>
      <c r="R5115">
        <v>2.3581600000000001E-2</v>
      </c>
      <c r="S5115">
        <v>-3.0046390000000001</v>
      </c>
      <c r="T5115">
        <v>1.6248579999999999E-2</v>
      </c>
      <c r="U5115">
        <v>-0.17257690000000001</v>
      </c>
      <c r="V5115">
        <v>1.2233000000000001E-2</v>
      </c>
      <c r="W5115">
        <v>2.0972930000000001E-2</v>
      </c>
      <c r="X5115">
        <v>0.99970519999999996</v>
      </c>
      <c r="Y5115">
        <v>-6.8673819999999997E-2</v>
      </c>
      <c r="Z5115">
        <v>2.4689310000000002E-4</v>
      </c>
      <c r="AA5115">
        <v>0.9976391</v>
      </c>
      <c r="AB5115">
        <v>24</v>
      </c>
      <c r="AC5115">
        <v>-3.0046390000000001</v>
      </c>
      <c r="AD5115">
        <v>1.6248579999999999E-2</v>
      </c>
      <c r="AE5115">
        <v>-0.17257690000000001</v>
      </c>
      <c r="AF5115">
        <v>-0.206677539205745</v>
      </c>
      <c r="AG5115">
        <v>1.6248579999999999E-2</v>
      </c>
      <c r="AH5115">
        <v>3.0023981567914202</v>
      </c>
      <c r="AI5115">
        <v>89.690657922942606</v>
      </c>
      <c r="AJ5115">
        <v>93.937885204424006</v>
      </c>
      <c r="AK5115">
        <v>3.00954719409228</v>
      </c>
      <c r="AL5115">
        <v>88.798251513243599</v>
      </c>
      <c r="AM5115">
        <v>89.298929033300695</v>
      </c>
      <c r="AN5115">
        <v>0.99999999849441201</v>
      </c>
    </row>
    <row r="5116" spans="1:40" x14ac:dyDescent="0.25">
      <c r="A5116" t="str">
        <f>"20190312160435167"</f>
        <v>20190312160435167</v>
      </c>
      <c r="B5116" t="str">
        <f>"1552377875160090"</f>
        <v>1552377875160090</v>
      </c>
      <c r="C5116" t="s">
        <v>40</v>
      </c>
      <c r="D5116">
        <v>4.6617870000000003</v>
      </c>
      <c r="E5116">
        <v>0.4696726</v>
      </c>
      <c r="F5116" t="s">
        <v>45</v>
      </c>
      <c r="G5116">
        <v>0</v>
      </c>
      <c r="H5116">
        <v>0</v>
      </c>
      <c r="I5116">
        <v>0</v>
      </c>
      <c r="J5116">
        <v>-298.78919999999999</v>
      </c>
      <c r="K5116">
        <v>1.1098699999999999</v>
      </c>
      <c r="L5116">
        <v>141.33510000000001</v>
      </c>
      <c r="M5116">
        <v>-0.99985429999999997</v>
      </c>
      <c r="N5116">
        <v>0</v>
      </c>
      <c r="O5116">
        <v>1.1437920000000001E-2</v>
      </c>
      <c r="P5116">
        <v>-0.99965760000000004</v>
      </c>
      <c r="Q5116">
        <v>8.8193490000000006E-3</v>
      </c>
      <c r="R5116">
        <v>2.4632540000000001E-2</v>
      </c>
      <c r="S5116">
        <v>-3.0048219999999999</v>
      </c>
      <c r="T5116">
        <v>1.8793109999999998E-2</v>
      </c>
      <c r="U5116">
        <v>-0.17005919999999999</v>
      </c>
      <c r="V5116">
        <v>1.3200430000000001E-2</v>
      </c>
      <c r="W5116">
        <v>2.148255E-2</v>
      </c>
      <c r="X5116">
        <v>0.99968210000000002</v>
      </c>
      <c r="Y5116">
        <v>-6.7920339999999996E-2</v>
      </c>
      <c r="Z5116">
        <v>2.837146E-4</v>
      </c>
      <c r="AA5116">
        <v>0.99769070000000004</v>
      </c>
      <c r="AB5116">
        <v>24</v>
      </c>
      <c r="AC5116">
        <v>-3.0048219999999999</v>
      </c>
      <c r="AD5116">
        <v>1.8793109999999998E-2</v>
      </c>
      <c r="AE5116">
        <v>-0.17005919999999999</v>
      </c>
      <c r="AF5116">
        <v>-0.20441177641991201</v>
      </c>
      <c r="AG5116">
        <v>1.8793109999999998E-2</v>
      </c>
      <c r="AH5116">
        <v>3.0025630531586902</v>
      </c>
      <c r="AI5116">
        <v>89.642217243249604</v>
      </c>
      <c r="AJ5116">
        <v>93.894635351467201</v>
      </c>
      <c r="AK5116">
        <v>3.0095717707867098</v>
      </c>
      <c r="AL5116">
        <v>88.769045890793606</v>
      </c>
      <c r="AM5116">
        <v>89.2434745275865</v>
      </c>
      <c r="AN5116">
        <v>1.00000002618354</v>
      </c>
    </row>
    <row r="5117" spans="1:40" x14ac:dyDescent="0.25">
      <c r="A5117" t="str">
        <f>"20190312160435189"</f>
        <v>20190312160435189</v>
      </c>
      <c r="B5117" t="str">
        <f>"1552377875180588"</f>
        <v>1552377875180588</v>
      </c>
      <c r="C5117" t="s">
        <v>40</v>
      </c>
      <c r="D5117">
        <v>4.7278699999999896</v>
      </c>
      <c r="E5117">
        <v>0.46965459999999898</v>
      </c>
      <c r="F5117" t="s">
        <v>45</v>
      </c>
      <c r="G5117">
        <v>0</v>
      </c>
      <c r="H5117">
        <v>0</v>
      </c>
      <c r="I5117">
        <v>0</v>
      </c>
      <c r="J5117">
        <v>-299.02210000000002</v>
      </c>
      <c r="K5117">
        <v>1.1098709999999901</v>
      </c>
      <c r="L5117">
        <v>141.33789999999999</v>
      </c>
      <c r="M5117">
        <v>-0.99985400000000002</v>
      </c>
      <c r="N5117">
        <v>0</v>
      </c>
      <c r="O5117">
        <v>1.1534600000000001E-2</v>
      </c>
      <c r="P5117">
        <v>-0.99963299999999999</v>
      </c>
      <c r="Q5117">
        <v>9.6397840000000002E-3</v>
      </c>
      <c r="R5117">
        <v>2.53263E-2</v>
      </c>
      <c r="S5117">
        <v>-3.0049440000000001</v>
      </c>
      <c r="T5117">
        <v>2.3005600000000001E-2</v>
      </c>
      <c r="U5117">
        <v>-0.16792299999999999</v>
      </c>
      <c r="V5117">
        <v>1.37977999999999E-2</v>
      </c>
      <c r="W5117">
        <v>2.2251509999999999E-2</v>
      </c>
      <c r="X5117">
        <v>0.99965720000000002</v>
      </c>
      <c r="Y5117">
        <v>-6.730672E-2</v>
      </c>
      <c r="Z5117">
        <v>3.4569329999999999E-4</v>
      </c>
      <c r="AA5117">
        <v>0.99773230000000002</v>
      </c>
      <c r="AB5117">
        <v>24</v>
      </c>
      <c r="AC5117">
        <v>-3.0049440000000001</v>
      </c>
      <c r="AD5117">
        <v>2.3005600000000001E-2</v>
      </c>
      <c r="AE5117">
        <v>-0.16792299999999999</v>
      </c>
      <c r="AF5117">
        <v>-0.20256357286127299</v>
      </c>
      <c r="AG5117">
        <v>2.3005600000000001E-2</v>
      </c>
      <c r="AH5117">
        <v>3.00263153808775</v>
      </c>
      <c r="AI5117">
        <v>89.562014559819005</v>
      </c>
      <c r="AJ5117">
        <v>93.859440876110099</v>
      </c>
      <c r="AK5117">
        <v>3.0095443861489901</v>
      </c>
      <c r="AL5117">
        <v>88.724977174389807</v>
      </c>
      <c r="AM5117">
        <v>89.209223412372296</v>
      </c>
      <c r="AN5117">
        <v>1.00000001324698</v>
      </c>
    </row>
    <row r="5118" spans="1:40" x14ac:dyDescent="0.25">
      <c r="A5118" t="str">
        <f>"20190312160435203"</f>
        <v>20190312160435203</v>
      </c>
      <c r="B5118" t="str">
        <f>"1552377875200107"</f>
        <v>1552377875200107</v>
      </c>
      <c r="C5118" t="s">
        <v>40</v>
      </c>
      <c r="D5118">
        <v>4.8879199999999896</v>
      </c>
      <c r="E5118">
        <v>0.46968379999999998</v>
      </c>
      <c r="F5118" t="s">
        <v>45</v>
      </c>
      <c r="G5118">
        <v>0</v>
      </c>
      <c r="H5118">
        <v>0</v>
      </c>
      <c r="I5118">
        <v>0</v>
      </c>
      <c r="J5118">
        <v>-299.17570000000001</v>
      </c>
      <c r="K5118">
        <v>1.1098699999999999</v>
      </c>
      <c r="L5118">
        <v>141.33969999999999</v>
      </c>
      <c r="M5118">
        <v>-0.99985349999999995</v>
      </c>
      <c r="N5118">
        <v>0</v>
      </c>
      <c r="O5118">
        <v>1.159761E-2</v>
      </c>
      <c r="P5118">
        <v>-0.99962169999999895</v>
      </c>
      <c r="Q5118">
        <v>9.7670959999999994E-3</v>
      </c>
      <c r="R5118">
        <v>2.5709880000000001E-2</v>
      </c>
      <c r="S5118">
        <v>-3.0050349999999999</v>
      </c>
      <c r="T5118">
        <v>2.819669E-2</v>
      </c>
      <c r="U5118">
        <v>-0.1660461</v>
      </c>
      <c r="V5118">
        <v>1.4118520000000001E-2</v>
      </c>
      <c r="W5118">
        <v>2.2347800000000001E-2</v>
      </c>
      <c r="X5118">
        <v>0.9996505</v>
      </c>
      <c r="Y5118">
        <v>-6.6745529999999997E-2</v>
      </c>
      <c r="Z5118">
        <v>4.2164829999999999E-4</v>
      </c>
      <c r="AA5118">
        <v>0.99777000000000005</v>
      </c>
      <c r="AB5118">
        <v>24</v>
      </c>
      <c r="AC5118">
        <v>-3.0050349999999999</v>
      </c>
      <c r="AD5118">
        <v>2.819669E-2</v>
      </c>
      <c r="AE5118">
        <v>-0.1660461</v>
      </c>
      <c r="AF5118">
        <v>-0.200871285103013</v>
      </c>
      <c r="AG5118">
        <v>2.819669E-2</v>
      </c>
      <c r="AH5118">
        <v>3.0026434167332301</v>
      </c>
      <c r="AI5118">
        <v>89.463172631293006</v>
      </c>
      <c r="AJ5118">
        <v>93.827278876174901</v>
      </c>
      <c r="AK5118">
        <v>3.0094869686638099</v>
      </c>
      <c r="AL5118">
        <v>88.719458697103406</v>
      </c>
      <c r="AM5118">
        <v>89.190839369357704</v>
      </c>
      <c r="AN5118">
        <v>0.99999993946103805</v>
      </c>
    </row>
    <row r="5119" spans="1:40" x14ac:dyDescent="0.25">
      <c r="A5119" t="str">
        <f>"20190312160435222"</f>
        <v>20190312160435222</v>
      </c>
      <c r="B5119" t="str">
        <f>"1552377875209867"</f>
        <v>1552377875209867</v>
      </c>
      <c r="C5119" t="s">
        <v>40</v>
      </c>
      <c r="D5119">
        <v>4.8390409999999999</v>
      </c>
      <c r="E5119">
        <v>0.49052679999999999</v>
      </c>
      <c r="F5119" t="s">
        <v>45</v>
      </c>
      <c r="G5119">
        <v>0</v>
      </c>
      <c r="H5119">
        <v>0</v>
      </c>
      <c r="I5119">
        <v>0</v>
      </c>
      <c r="J5119">
        <v>-299.37450000000001</v>
      </c>
      <c r="K5119">
        <v>1.1098749999999999</v>
      </c>
      <c r="L5119">
        <v>141.34209999999999</v>
      </c>
      <c r="M5119">
        <v>-0.99985310000000005</v>
      </c>
      <c r="N5119">
        <v>0</v>
      </c>
      <c r="O5119">
        <v>1.167794E-2</v>
      </c>
      <c r="P5119">
        <v>-0.99961540000000004</v>
      </c>
      <c r="Q5119">
        <v>9.9988239999999999E-3</v>
      </c>
      <c r="R5119">
        <v>2.586782E-2</v>
      </c>
      <c r="S5119">
        <v>-3.005096</v>
      </c>
      <c r="T5119">
        <v>2.9581900000000001E-2</v>
      </c>
      <c r="U5119">
        <v>-0.1646881</v>
      </c>
      <c r="V5119">
        <v>1.419611E-2</v>
      </c>
      <c r="W5119">
        <v>2.2542779999999998E-2</v>
      </c>
      <c r="X5119">
        <v>0.99964509999999995</v>
      </c>
      <c r="Y5119">
        <v>-6.637469E-2</v>
      </c>
      <c r="Z5119">
        <v>4.413245E-4</v>
      </c>
      <c r="AA5119">
        <v>0.99779470000000003</v>
      </c>
      <c r="AB5119">
        <v>24</v>
      </c>
      <c r="AC5119">
        <v>-3.005096</v>
      </c>
      <c r="AD5119">
        <v>2.9581900000000001E-2</v>
      </c>
      <c r="AE5119">
        <v>-0.1646881</v>
      </c>
      <c r="AF5119">
        <v>-0.199753662576206</v>
      </c>
      <c r="AG5119">
        <v>2.9581900000000001E-2</v>
      </c>
      <c r="AH5119">
        <v>3.00267758671664</v>
      </c>
      <c r="AI5119">
        <v>89.436794197955194</v>
      </c>
      <c r="AJ5119">
        <v>93.806003956689395</v>
      </c>
      <c r="AK5119">
        <v>3.0094599688799102</v>
      </c>
      <c r="AL5119">
        <v>88.708284449353698</v>
      </c>
      <c r="AM5119">
        <v>89.186388732889796</v>
      </c>
      <c r="AN5119">
        <v>1.00000001621163</v>
      </c>
    </row>
    <row r="5120" spans="1:40" x14ac:dyDescent="0.25">
      <c r="A5120" t="str">
        <f>"20190312160435237"</f>
        <v>20190312160435237</v>
      </c>
      <c r="B5120" t="str">
        <f>"1552377875230364"</f>
        <v>1552377875230364</v>
      </c>
      <c r="C5120" t="s">
        <v>40</v>
      </c>
      <c r="D5120">
        <v>4.7893699999999999</v>
      </c>
      <c r="E5120">
        <v>0.49604350000000003</v>
      </c>
      <c r="F5120" t="s">
        <v>45</v>
      </c>
      <c r="G5120">
        <v>0</v>
      </c>
      <c r="H5120">
        <v>0</v>
      </c>
      <c r="I5120">
        <v>0</v>
      </c>
      <c r="J5120">
        <v>-299.5333</v>
      </c>
      <c r="K5120">
        <v>1.109874</v>
      </c>
      <c r="L5120">
        <v>141.34399999999999</v>
      </c>
      <c r="M5120">
        <v>-0.99985279999999999</v>
      </c>
      <c r="N5120">
        <v>0</v>
      </c>
      <c r="O5120">
        <v>1.1741649999999999E-2</v>
      </c>
      <c r="P5120">
        <v>-0.99961650000000002</v>
      </c>
      <c r="Q5120">
        <v>1.022873E-2</v>
      </c>
      <c r="R5120">
        <v>2.5743680000000001E-2</v>
      </c>
      <c r="S5120">
        <v>-3.0006710000000001</v>
      </c>
      <c r="T5120">
        <v>3.7062879999999999E-2</v>
      </c>
      <c r="U5120">
        <v>1.8005370000000001E-3</v>
      </c>
      <c r="V5120">
        <v>1.4008410000000001E-2</v>
      </c>
      <c r="W5120">
        <v>2.274586E-2</v>
      </c>
      <c r="X5120">
        <v>0.99964310000000001</v>
      </c>
      <c r="Y5120">
        <v>-1.1140819999999999E-2</v>
      </c>
      <c r="Z5120">
        <v>2.1383099999999999E-4</v>
      </c>
      <c r="AA5120">
        <v>0.99993790000000005</v>
      </c>
      <c r="AB5120">
        <v>24</v>
      </c>
      <c r="AC5120">
        <v>-3.0006710000000001</v>
      </c>
      <c r="AD5120">
        <v>3.7062879999999999E-2</v>
      </c>
      <c r="AE5120">
        <v>1.8005370000000001E-3</v>
      </c>
      <c r="AF5120">
        <v>-3.3430073190773499E-2</v>
      </c>
      <c r="AG5120">
        <v>3.7062879999999999E-2</v>
      </c>
      <c r="AH5120">
        <v>3.0000275726735701</v>
      </c>
      <c r="AI5120">
        <v>89.292237583549394</v>
      </c>
      <c r="AJ5120">
        <v>90.638435075109996</v>
      </c>
      <c r="AK5120">
        <v>3.00044274460772</v>
      </c>
      <c r="AL5120">
        <v>88.696645776152096</v>
      </c>
      <c r="AM5120">
        <v>89.197143222073393</v>
      </c>
      <c r="AN5120">
        <v>0.99999996853773798</v>
      </c>
    </row>
    <row r="5121" spans="1:40" x14ac:dyDescent="0.25">
      <c r="A5121" t="str">
        <f>"20190312160435248"</f>
        <v>20190312160435248</v>
      </c>
      <c r="B5121" t="str">
        <f>"1552377875240124"</f>
        <v>1552377875240124</v>
      </c>
      <c r="C5121" t="s">
        <v>40</v>
      </c>
      <c r="D5121">
        <v>4.9386999999999999</v>
      </c>
      <c r="E5121">
        <v>0.49884440000000002</v>
      </c>
      <c r="F5121" t="s">
        <v>45</v>
      </c>
      <c r="G5121">
        <v>0</v>
      </c>
      <c r="H5121">
        <v>0</v>
      </c>
      <c r="I5121">
        <v>0</v>
      </c>
      <c r="J5121">
        <v>-299.65940000000001</v>
      </c>
      <c r="K5121">
        <v>1.109874</v>
      </c>
      <c r="L5121">
        <v>141.34559999999999</v>
      </c>
      <c r="M5121">
        <v>-0.99985239999999997</v>
      </c>
      <c r="N5121">
        <v>0</v>
      </c>
      <c r="O5121">
        <v>1.179238E-2</v>
      </c>
      <c r="P5121">
        <v>-0.99961990000000001</v>
      </c>
      <c r="Q5121">
        <v>1.046854E-2</v>
      </c>
      <c r="R5121">
        <v>2.5509899999999999E-2</v>
      </c>
      <c r="S5121">
        <v>-2.9994510000000001</v>
      </c>
      <c r="T5121">
        <v>5.1591989999999997E-2</v>
      </c>
      <c r="U5121">
        <v>4.5181270000000003E-2</v>
      </c>
      <c r="V5121">
        <v>1.3723859999999999E-2</v>
      </c>
      <c r="W5121">
        <v>2.2965619999999999E-2</v>
      </c>
      <c r="X5121">
        <v>0.99964209999999998</v>
      </c>
      <c r="Y5121">
        <v>3.269728E-3</v>
      </c>
      <c r="Z5121">
        <v>1.7469910000000001E-4</v>
      </c>
      <c r="AA5121">
        <v>0.99999459999999996</v>
      </c>
      <c r="AB5121">
        <v>24</v>
      </c>
      <c r="AC5121">
        <v>-2.9994510000000001</v>
      </c>
      <c r="AD5121">
        <v>5.1591989999999997E-2</v>
      </c>
      <c r="AE5121">
        <v>4.5181270000000003E-2</v>
      </c>
      <c r="AF5121">
        <v>9.8018013679660194E-3</v>
      </c>
      <c r="AG5121">
        <v>5.1591989999999997E-2</v>
      </c>
      <c r="AH5121">
        <v>2.9988882052172601</v>
      </c>
      <c r="AI5121">
        <v>89.014402764751793</v>
      </c>
      <c r="AJ5121">
        <v>89.812730648247907</v>
      </c>
      <c r="AK5121">
        <v>2.9993479751661698</v>
      </c>
      <c r="AL5121">
        <v>88.684051267216105</v>
      </c>
      <c r="AM5121">
        <v>89.213448632665305</v>
      </c>
      <c r="AN5121">
        <v>1.0000000460638401</v>
      </c>
    </row>
    <row r="5122" spans="1:40" x14ac:dyDescent="0.25">
      <c r="A5122" t="str">
        <f>"20190312160435268"</f>
        <v>20190312160435268</v>
      </c>
      <c r="B5122" t="str">
        <f>"1552377875259644"</f>
        <v>1552377875259644</v>
      </c>
      <c r="C5122" t="s">
        <v>40</v>
      </c>
      <c r="D5122">
        <v>4.8196269999999997</v>
      </c>
      <c r="E5122">
        <v>0.4999034</v>
      </c>
      <c r="F5122" t="s">
        <v>45</v>
      </c>
      <c r="G5122">
        <v>0</v>
      </c>
      <c r="H5122">
        <v>0</v>
      </c>
      <c r="I5122">
        <v>0</v>
      </c>
      <c r="J5122">
        <v>-299.86869999999999</v>
      </c>
      <c r="K5122">
        <v>1.109874</v>
      </c>
      <c r="L5122">
        <v>141.34809999999999</v>
      </c>
      <c r="M5122">
        <v>-0.99985170000000001</v>
      </c>
      <c r="N5122">
        <v>0</v>
      </c>
      <c r="O5122">
        <v>1.1876370000000001E-2</v>
      </c>
      <c r="P5122">
        <v>-0.99962439999999997</v>
      </c>
      <c r="Q5122">
        <v>1.037741E-2</v>
      </c>
      <c r="R5122">
        <v>2.5369019999999999E-2</v>
      </c>
      <c r="S5122">
        <v>-2.9989620000000001</v>
      </c>
      <c r="T5122">
        <v>4.8207279999999998E-2</v>
      </c>
      <c r="U5122">
        <v>6.6894529999999994E-2</v>
      </c>
      <c r="V5122">
        <v>1.3498960000000001E-2</v>
      </c>
      <c r="W5122">
        <v>2.2845009999999999E-2</v>
      </c>
      <c r="X5122">
        <v>0.99964790000000003</v>
      </c>
      <c r="Y5122">
        <v>1.0424620000000001E-2</v>
      </c>
      <c r="Z5122">
        <v>1.071073E-4</v>
      </c>
      <c r="AA5122">
        <v>0.99994559999999999</v>
      </c>
      <c r="AB5122">
        <v>24</v>
      </c>
      <c r="AC5122">
        <v>-2.9989620000000001</v>
      </c>
      <c r="AD5122">
        <v>4.8207279999999998E-2</v>
      </c>
      <c r="AE5122">
        <v>6.6894529999999994E-2</v>
      </c>
      <c r="AF5122">
        <v>3.1262185076388102E-2</v>
      </c>
      <c r="AG5122">
        <v>4.8207279999999998E-2</v>
      </c>
      <c r="AH5122">
        <v>2.9987705059987602</v>
      </c>
      <c r="AI5122">
        <v>89.079060653614107</v>
      </c>
      <c r="AJ5122">
        <v>89.402713087043693</v>
      </c>
      <c r="AK5122">
        <v>2.9993208920868701</v>
      </c>
      <c r="AL5122">
        <v>88.6909634904992</v>
      </c>
      <c r="AM5122">
        <v>89.226341165707694</v>
      </c>
      <c r="AN5122">
        <v>1.0000000201886901</v>
      </c>
    </row>
    <row r="5123" spans="1:40" x14ac:dyDescent="0.25">
      <c r="A5123" t="str">
        <f>"20190312160435288"</f>
        <v>20190312160435288</v>
      </c>
      <c r="B5123" t="str">
        <f>"1552377875280139"</f>
        <v>1552377875280139</v>
      </c>
      <c r="C5123" t="s">
        <v>40</v>
      </c>
      <c r="D5123">
        <v>4.8467370000000001</v>
      </c>
      <c r="E5123">
        <v>0.50045790000000001</v>
      </c>
      <c r="F5123" t="s">
        <v>45</v>
      </c>
      <c r="G5123">
        <v>0</v>
      </c>
      <c r="H5123">
        <v>0</v>
      </c>
      <c r="I5123">
        <v>0</v>
      </c>
      <c r="J5123">
        <v>-300.0915</v>
      </c>
      <c r="K5123">
        <v>1.109872</v>
      </c>
      <c r="L5123">
        <v>141.3509</v>
      </c>
      <c r="M5123">
        <v>-0.99985089999999999</v>
      </c>
      <c r="N5123">
        <v>0</v>
      </c>
      <c r="O5123">
        <v>1.1966549999999999E-2</v>
      </c>
      <c r="P5123">
        <v>-0.99963340000000001</v>
      </c>
      <c r="Q5123">
        <v>1.049137E-2</v>
      </c>
      <c r="R5123">
        <v>2.4961819999999999E-2</v>
      </c>
      <c r="S5123">
        <v>-2.998688</v>
      </c>
      <c r="T5123">
        <v>5.2225710000000002E-2</v>
      </c>
      <c r="U5123">
        <v>7.4890139999999994E-2</v>
      </c>
      <c r="V5123">
        <v>1.300161E-2</v>
      </c>
      <c r="W5123">
        <v>2.2929870000000002E-2</v>
      </c>
      <c r="X5123">
        <v>0.99965250000000005</v>
      </c>
      <c r="Y5123">
        <v>1.300083E-2</v>
      </c>
      <c r="Z5123" s="1">
        <v>9.5181749999999994E-5</v>
      </c>
      <c r="AA5123">
        <v>0.99991549999999996</v>
      </c>
      <c r="AB5123">
        <v>24</v>
      </c>
      <c r="AC5123">
        <v>-2.998688</v>
      </c>
      <c r="AD5123">
        <v>5.2225710000000002E-2</v>
      </c>
      <c r="AE5123">
        <v>7.4890139999999994E-2</v>
      </c>
      <c r="AF5123">
        <v>3.8986227988403503E-2</v>
      </c>
      <c r="AG5123">
        <v>5.2225710000000002E-2</v>
      </c>
      <c r="AH5123">
        <v>2.9984605647379698</v>
      </c>
      <c r="AI5123">
        <v>89.002235533637901</v>
      </c>
      <c r="AJ5123">
        <v>89.255077593071306</v>
      </c>
      <c r="AK5123">
        <v>2.9991687530125</v>
      </c>
      <c r="AL5123">
        <v>88.686100031840496</v>
      </c>
      <c r="AM5123">
        <v>89.254845679124301</v>
      </c>
      <c r="AN5123">
        <v>0.99999997077852898</v>
      </c>
    </row>
    <row r="5124" spans="1:40" x14ac:dyDescent="0.25">
      <c r="A5124" t="str">
        <f>"20190312160435302"</f>
        <v>20190312160435302</v>
      </c>
      <c r="B5124" t="str">
        <f>"1552377875289899"</f>
        <v>1552377875289899</v>
      </c>
      <c r="C5124" t="s">
        <v>40</v>
      </c>
      <c r="D5124">
        <v>4.8622579999999997</v>
      </c>
      <c r="E5124">
        <v>0.50065090000000001</v>
      </c>
      <c r="F5124" t="s">
        <v>45</v>
      </c>
      <c r="G5124">
        <v>0</v>
      </c>
      <c r="H5124">
        <v>0</v>
      </c>
      <c r="I5124">
        <v>0</v>
      </c>
      <c r="J5124">
        <v>-300.24110000000002</v>
      </c>
      <c r="K5124">
        <v>1.109869</v>
      </c>
      <c r="L5124">
        <v>141.3528</v>
      </c>
      <c r="M5124">
        <v>-0.99985049999999998</v>
      </c>
      <c r="N5124">
        <v>0</v>
      </c>
      <c r="O5124">
        <v>1.203016E-2</v>
      </c>
      <c r="P5124">
        <v>-0.99963749999999996</v>
      </c>
      <c r="Q5124">
        <v>1.0481000000000001E-2</v>
      </c>
      <c r="R5124">
        <v>2.480694E-2</v>
      </c>
      <c r="S5124">
        <v>-2.998596</v>
      </c>
      <c r="T5124">
        <v>5.3336500000000002E-2</v>
      </c>
      <c r="U5124">
        <v>7.8079220000000005E-2</v>
      </c>
      <c r="V5124">
        <v>1.278309E-2</v>
      </c>
      <c r="W5124">
        <v>2.2899840000000001E-2</v>
      </c>
      <c r="X5124">
        <v>0.99965599999999999</v>
      </c>
      <c r="Y5124">
        <v>1.400056E-2</v>
      </c>
      <c r="Z5124" s="1">
        <v>8.9449360000000002E-5</v>
      </c>
      <c r="AA5124">
        <v>0.99990199999999996</v>
      </c>
      <c r="AB5124">
        <v>24</v>
      </c>
      <c r="AC5124">
        <v>-2.998596</v>
      </c>
      <c r="AD5124">
        <v>5.3336500000000002E-2</v>
      </c>
      <c r="AE5124">
        <v>7.8079220000000005E-2</v>
      </c>
      <c r="AF5124">
        <v>4.1983922722169199E-2</v>
      </c>
      <c r="AG5124">
        <v>5.3336500000000002E-2</v>
      </c>
      <c r="AH5124">
        <v>2.9983703605017999</v>
      </c>
      <c r="AI5124">
        <v>88.9810015895128</v>
      </c>
      <c r="AJ5124">
        <v>89.197782762373194</v>
      </c>
      <c r="AK5124">
        <v>2.9991385847831502</v>
      </c>
      <c r="AL5124">
        <v>88.687821067426</v>
      </c>
      <c r="AM5124">
        <v>89.267370787082399</v>
      </c>
      <c r="AN5124">
        <v>0.99999996419898596</v>
      </c>
    </row>
    <row r="5125" spans="1:40" x14ac:dyDescent="0.25">
      <c r="A5125" t="str">
        <f>"20190312160435322"</f>
        <v>20190312160435322</v>
      </c>
      <c r="B5125" t="str">
        <f>"1552377875310396"</f>
        <v>1552377875310396</v>
      </c>
      <c r="C5125" t="s">
        <v>40</v>
      </c>
      <c r="D5125">
        <v>4.8477129999999997</v>
      </c>
      <c r="E5125">
        <v>0.5009209</v>
      </c>
      <c r="F5125" t="s">
        <v>45</v>
      </c>
      <c r="G5125">
        <v>0</v>
      </c>
      <c r="H5125">
        <v>0</v>
      </c>
      <c r="I5125">
        <v>0</v>
      </c>
      <c r="J5125">
        <v>-300.45</v>
      </c>
      <c r="K5125">
        <v>1.1098680000000001</v>
      </c>
      <c r="L5125">
        <v>141.3554</v>
      </c>
      <c r="M5125">
        <v>-0.99984989999999996</v>
      </c>
      <c r="N5125">
        <v>0</v>
      </c>
      <c r="O5125">
        <v>1.211784E-2</v>
      </c>
      <c r="P5125">
        <v>-0.99963749999999996</v>
      </c>
      <c r="Q5125">
        <v>1.038422E-2</v>
      </c>
      <c r="R5125">
        <v>2.4846819999999999E-2</v>
      </c>
      <c r="S5125">
        <v>-2.998535</v>
      </c>
      <c r="T5125">
        <v>5.3392170000000003E-2</v>
      </c>
      <c r="U5125">
        <v>7.9071039999999995E-2</v>
      </c>
      <c r="V5125">
        <v>1.2735379999999999E-2</v>
      </c>
      <c r="W5125">
        <v>2.277351E-2</v>
      </c>
      <c r="X5125">
        <v>0.99965950000000003</v>
      </c>
      <c r="Y5125">
        <v>1.42439E-2</v>
      </c>
      <c r="Z5125" s="1">
        <v>8.893885E-5</v>
      </c>
      <c r="AA5125">
        <v>0.99989859999999997</v>
      </c>
      <c r="AB5125">
        <v>24</v>
      </c>
      <c r="AC5125">
        <v>-2.998535</v>
      </c>
      <c r="AD5125">
        <v>5.3392170000000003E-2</v>
      </c>
      <c r="AE5125">
        <v>7.9071039999999995E-2</v>
      </c>
      <c r="AF5125">
        <v>4.2713146877097E-2</v>
      </c>
      <c r="AG5125">
        <v>5.3392170000000003E-2</v>
      </c>
      <c r="AH5125">
        <v>2.9983230685727502</v>
      </c>
      <c r="AI5125">
        <v>88.979925653976196</v>
      </c>
      <c r="AJ5125">
        <v>89.183837945427996</v>
      </c>
      <c r="AK5125">
        <v>2.9991025924881201</v>
      </c>
      <c r="AL5125">
        <v>88.695061138317399</v>
      </c>
      <c r="AM5125">
        <v>89.270107419215904</v>
      </c>
      <c r="AN5125">
        <v>0.999999969300856</v>
      </c>
    </row>
    <row r="5126" spans="1:40" x14ac:dyDescent="0.25">
      <c r="A5126" t="str">
        <f>"20190312160435336"</f>
        <v>20190312160435336</v>
      </c>
      <c r="B5126" t="str">
        <f>"1552377875329915"</f>
        <v>1552377875329915</v>
      </c>
      <c r="C5126" t="s">
        <v>40</v>
      </c>
      <c r="D5126">
        <v>4.8533679999999997</v>
      </c>
      <c r="E5126">
        <v>0.50098220000000004</v>
      </c>
      <c r="F5126" t="s">
        <v>45</v>
      </c>
      <c r="G5126">
        <v>0</v>
      </c>
      <c r="H5126">
        <v>0</v>
      </c>
      <c r="I5126">
        <v>0</v>
      </c>
      <c r="J5126">
        <v>-300.60570000000001</v>
      </c>
      <c r="K5126">
        <v>1.1098669999999999</v>
      </c>
      <c r="L5126">
        <v>141.35740000000001</v>
      </c>
      <c r="M5126">
        <v>-0.99984930000000005</v>
      </c>
      <c r="N5126">
        <v>0</v>
      </c>
      <c r="O5126">
        <v>1.218264E-2</v>
      </c>
      <c r="P5126">
        <v>-0.9996294</v>
      </c>
      <c r="Q5126">
        <v>1.04764E-2</v>
      </c>
      <c r="R5126">
        <v>2.513541E-2</v>
      </c>
      <c r="S5126">
        <v>-2.9985050000000002</v>
      </c>
      <c r="T5126">
        <v>5.3882960000000001E-2</v>
      </c>
      <c r="U5126">
        <v>8.1344600000000003E-2</v>
      </c>
      <c r="V5126">
        <v>1.2959180000000001E-2</v>
      </c>
      <c r="W5126">
        <v>2.2844059999999999E-2</v>
      </c>
      <c r="X5126">
        <v>0.99965510000000002</v>
      </c>
      <c r="Y5126">
        <v>1.493687E-2</v>
      </c>
      <c r="Z5126" s="1">
        <v>8.4695159999999999E-5</v>
      </c>
      <c r="AA5126">
        <v>0.99988840000000001</v>
      </c>
      <c r="AB5126">
        <v>24</v>
      </c>
      <c r="AC5126">
        <v>-2.9985050000000002</v>
      </c>
      <c r="AD5126">
        <v>5.3882960000000001E-2</v>
      </c>
      <c r="AE5126">
        <v>8.1344600000000003E-2</v>
      </c>
      <c r="AF5126">
        <v>4.4791607911532201E-2</v>
      </c>
      <c r="AG5126">
        <v>5.3882960000000001E-2</v>
      </c>
      <c r="AH5126">
        <v>2.9983060139789699</v>
      </c>
      <c r="AI5126">
        <v>88.970555519925099</v>
      </c>
      <c r="AJ5126">
        <v>89.144123651886304</v>
      </c>
      <c r="AK5126">
        <v>2.99912464145459</v>
      </c>
      <c r="AL5126">
        <v>88.691017981521</v>
      </c>
      <c r="AM5126">
        <v>89.257279105695801</v>
      </c>
      <c r="AN5126">
        <v>1.0000000551897801</v>
      </c>
    </row>
    <row r="5127" spans="1:40" x14ac:dyDescent="0.25">
      <c r="A5127" t="str">
        <f>"20190312160435350"</f>
        <v>20190312160435350</v>
      </c>
      <c r="B5127" t="str">
        <f>"1552377875340651"</f>
        <v>1552377875340651</v>
      </c>
      <c r="C5127" t="s">
        <v>40</v>
      </c>
      <c r="D5127">
        <v>4.8454040000000003</v>
      </c>
      <c r="E5127">
        <v>0.50103229999999999</v>
      </c>
      <c r="F5127" t="s">
        <v>45</v>
      </c>
      <c r="G5127">
        <v>0</v>
      </c>
      <c r="H5127">
        <v>0</v>
      </c>
      <c r="I5127">
        <v>0</v>
      </c>
      <c r="J5127">
        <v>-300.74630000000002</v>
      </c>
      <c r="K5127">
        <v>1.109866</v>
      </c>
      <c r="L5127">
        <v>141.35910000000001</v>
      </c>
      <c r="M5127">
        <v>-0.99984870000000003</v>
      </c>
      <c r="N5127">
        <v>0</v>
      </c>
      <c r="O5127">
        <v>1.224139E-2</v>
      </c>
      <c r="P5127">
        <v>-0.99961129999999998</v>
      </c>
      <c r="Q5127">
        <v>1.082027E-2</v>
      </c>
      <c r="R5127">
        <v>2.5693959999999998E-2</v>
      </c>
      <c r="S5127">
        <v>-2.9984739999999999</v>
      </c>
      <c r="T5127">
        <v>5.3757190000000003E-2</v>
      </c>
      <c r="U5127">
        <v>8.2702639999999994E-2</v>
      </c>
      <c r="V5127">
        <v>1.345912E-2</v>
      </c>
      <c r="W5127">
        <v>2.316965E-2</v>
      </c>
      <c r="X5127">
        <v>0.99964090000000005</v>
      </c>
      <c r="Y5127">
        <v>1.533085E-2</v>
      </c>
      <c r="Z5127" s="1">
        <v>8.2019889999999996E-5</v>
      </c>
      <c r="AA5127">
        <v>0.99988250000000001</v>
      </c>
      <c r="AB5127">
        <v>24</v>
      </c>
      <c r="AC5127">
        <v>-2.9984739999999999</v>
      </c>
      <c r="AD5127">
        <v>5.3757190000000003E-2</v>
      </c>
      <c r="AE5127">
        <v>8.2702639999999994E-2</v>
      </c>
      <c r="AF5127">
        <v>4.5973383846630397E-2</v>
      </c>
      <c r="AG5127">
        <v>5.3757190000000003E-2</v>
      </c>
      <c r="AH5127">
        <v>2.9982987869129398</v>
      </c>
      <c r="AI5127">
        <v>88.972961515056895</v>
      </c>
      <c r="AJ5127">
        <v>89.121543698102201</v>
      </c>
      <c r="AK5127">
        <v>2.99913304191438</v>
      </c>
      <c r="AL5127">
        <v>88.672357977142894</v>
      </c>
      <c r="AM5127">
        <v>89.228618817567195</v>
      </c>
      <c r="AN5127">
        <v>0.99999995477255199</v>
      </c>
    </row>
    <row r="5128" spans="1:40" x14ac:dyDescent="0.25">
      <c r="A5128" t="str">
        <f>"20190312160435379"</f>
        <v>20190312160435379</v>
      </c>
      <c r="B5128" t="str">
        <f>"1552377875369931"</f>
        <v>1552377875369931</v>
      </c>
      <c r="C5128" t="s">
        <v>40</v>
      </c>
      <c r="D5128">
        <v>4.8178349999999996</v>
      </c>
      <c r="E5128">
        <v>0.50167870000000003</v>
      </c>
      <c r="F5128" t="s">
        <v>45</v>
      </c>
      <c r="G5128">
        <v>0</v>
      </c>
      <c r="H5128">
        <v>0</v>
      </c>
      <c r="I5128">
        <v>0</v>
      </c>
      <c r="J5128">
        <v>-301.0609</v>
      </c>
      <c r="K5128">
        <v>1.109861</v>
      </c>
      <c r="L5128">
        <v>141.36320000000001</v>
      </c>
      <c r="M5128">
        <v>-0.99984759999999995</v>
      </c>
      <c r="N5128">
        <v>0</v>
      </c>
      <c r="O5128">
        <v>1.237476E-2</v>
      </c>
      <c r="P5128">
        <v>-0.99958979999999997</v>
      </c>
      <c r="Q5128">
        <v>1.112863E-2</v>
      </c>
      <c r="R5128">
        <v>2.6399889999999999E-2</v>
      </c>
      <c r="S5128">
        <v>-2.998383</v>
      </c>
      <c r="T5128">
        <v>5.433702E-2</v>
      </c>
      <c r="U5128">
        <v>8.4793090000000002E-2</v>
      </c>
      <c r="V5128">
        <v>1.403216E-2</v>
      </c>
      <c r="W5128">
        <v>2.3442330000000001E-2</v>
      </c>
      <c r="X5128">
        <v>0.99962669999999998</v>
      </c>
      <c r="Y5128">
        <v>1.589482E-2</v>
      </c>
      <c r="Z5128" s="1">
        <v>8.0213240000000002E-5</v>
      </c>
      <c r="AA5128">
        <v>0.99987360000000003</v>
      </c>
      <c r="AB5128">
        <v>24</v>
      </c>
      <c r="AC5128">
        <v>-2.998383</v>
      </c>
      <c r="AD5128">
        <v>5.433702E-2</v>
      </c>
      <c r="AE5128">
        <v>8.4793090000000002E-2</v>
      </c>
      <c r="AF5128">
        <v>4.76638719461372E-2</v>
      </c>
      <c r="AG5128">
        <v>5.433702E-2</v>
      </c>
      <c r="AH5128">
        <v>2.9982188912655001</v>
      </c>
      <c r="AI5128">
        <v>88.961867679966005</v>
      </c>
      <c r="AJ5128">
        <v>89.089223045128307</v>
      </c>
      <c r="AK5128">
        <v>2.9990900080478902</v>
      </c>
      <c r="AL5128">
        <v>88.6567303682382</v>
      </c>
      <c r="AM5128">
        <v>89.195769036831393</v>
      </c>
      <c r="AN5128">
        <v>0.99999999185149202</v>
      </c>
    </row>
    <row r="5129" spans="1:40" x14ac:dyDescent="0.25">
      <c r="A5129" t="str">
        <f>"20190312160435713"</f>
        <v>20190312160435713</v>
      </c>
      <c r="B5129" t="str">
        <f>"1552377875710555"</f>
        <v>1552377875710555</v>
      </c>
      <c r="C5129" t="s">
        <v>40</v>
      </c>
      <c r="D5129">
        <v>4.642347</v>
      </c>
      <c r="E5129">
        <v>0.50167870000000003</v>
      </c>
      <c r="F5129" t="s">
        <v>98</v>
      </c>
      <c r="G5129">
        <v>-546.57539999999995</v>
      </c>
      <c r="H5129">
        <v>5.5135769999999997</v>
      </c>
      <c r="I5129">
        <v>148.90770000000001</v>
      </c>
      <c r="J5129">
        <v>-304.6343</v>
      </c>
      <c r="K5129">
        <v>1.1097840000000001</v>
      </c>
      <c r="L5129">
        <v>141.41139999999999</v>
      </c>
      <c r="M5129">
        <v>-0.99983449999999996</v>
      </c>
      <c r="N5129">
        <v>0</v>
      </c>
      <c r="O5129">
        <v>1.3793440000000001E-2</v>
      </c>
      <c r="P5129">
        <v>-0.99963709999999995</v>
      </c>
      <c r="Q5129">
        <v>8.7370069999999998E-3</v>
      </c>
      <c r="R5129">
        <v>2.548131E-2</v>
      </c>
      <c r="S5129">
        <v>-2.9981689999999999</v>
      </c>
      <c r="T5129">
        <v>5.3777690000000003E-2</v>
      </c>
      <c r="U5129">
        <v>9.2132569999999997E-2</v>
      </c>
      <c r="V5129">
        <v>1.169338E-2</v>
      </c>
      <c r="W5129">
        <v>2.0593920000000002E-2</v>
      </c>
      <c r="X5129">
        <v>0.99971960000000004</v>
      </c>
      <c r="Y5129">
        <v>1.6923790000000001E-2</v>
      </c>
      <c r="Z5129" s="1">
        <v>9.5599239999999994E-5</v>
      </c>
      <c r="AA5129">
        <v>0.99985679999999999</v>
      </c>
      <c r="AB5129">
        <v>24</v>
      </c>
      <c r="AC5129">
        <v>-241.94109999999901</v>
      </c>
      <c r="AD5129">
        <v>4.4037929999999896</v>
      </c>
      <c r="AE5129">
        <v>7.4963000000000104</v>
      </c>
      <c r="AF5129">
        <v>4.1567760201057498</v>
      </c>
      <c r="AG5129">
        <v>4.4037929999999896</v>
      </c>
      <c r="AH5129">
        <v>241.941406251876</v>
      </c>
      <c r="AI5129">
        <v>88.957377005587205</v>
      </c>
      <c r="AJ5129">
        <v>89.015702620178004</v>
      </c>
      <c r="AK5129">
        <v>242.01718170163701</v>
      </c>
      <c r="AL5129">
        <v>88.819971952906997</v>
      </c>
      <c r="AM5129">
        <v>89.329861322158706</v>
      </c>
      <c r="AN5129">
        <v>1.0000000616504701</v>
      </c>
    </row>
    <row r="5130" spans="1:40" x14ac:dyDescent="0.25">
      <c r="A5130" t="str">
        <f>"20190312160435736"</f>
        <v>20190312160435736</v>
      </c>
      <c r="B5130" t="str">
        <f>"1552377875730075"</f>
        <v>1552377875730075</v>
      </c>
      <c r="C5130" t="s">
        <v>40</v>
      </c>
      <c r="D5130">
        <v>4.7594909999999997</v>
      </c>
      <c r="E5130">
        <v>0.43328870000000003</v>
      </c>
      <c r="F5130" t="s">
        <v>45</v>
      </c>
      <c r="G5130">
        <v>0</v>
      </c>
      <c r="H5130">
        <v>0</v>
      </c>
      <c r="I5130">
        <v>0</v>
      </c>
      <c r="J5130">
        <v>-304.8843</v>
      </c>
      <c r="K5130">
        <v>1.109775</v>
      </c>
      <c r="L5130">
        <v>141.41489999999999</v>
      </c>
      <c r="M5130">
        <v>-0.99983370000000005</v>
      </c>
      <c r="N5130">
        <v>0</v>
      </c>
      <c r="O5130">
        <v>1.389133E-2</v>
      </c>
      <c r="P5130">
        <v>-0.9996543</v>
      </c>
      <c r="Q5130">
        <v>8.9909880000000001E-3</v>
      </c>
      <c r="R5130">
        <v>2.471073E-2</v>
      </c>
      <c r="S5130">
        <v>-2.9984130000000002</v>
      </c>
      <c r="T5130">
        <v>4.6622509999999999E-2</v>
      </c>
      <c r="U5130">
        <v>8.9340210000000003E-2</v>
      </c>
      <c r="V5130">
        <v>1.082487E-2</v>
      </c>
      <c r="W5130">
        <v>2.0804639999999999E-2</v>
      </c>
      <c r="X5130">
        <v>0.99972499999999997</v>
      </c>
      <c r="Y5130">
        <v>1.5893359999999999E-2</v>
      </c>
      <c r="Z5130" s="1">
        <v>9.2406320000000005E-5</v>
      </c>
      <c r="AA5130">
        <v>0.99987369999999998</v>
      </c>
      <c r="AB5130">
        <v>24</v>
      </c>
      <c r="AC5130">
        <v>-2.9984130000000002</v>
      </c>
      <c r="AD5130">
        <v>4.6622509999999999E-2</v>
      </c>
      <c r="AE5130">
        <v>8.9340210000000003E-2</v>
      </c>
      <c r="AF5130">
        <v>4.7665222337016797E-2</v>
      </c>
      <c r="AG5130">
        <v>4.6622509999999999E-2</v>
      </c>
      <c r="AH5130">
        <v>2.9986404379462201</v>
      </c>
      <c r="AI5130">
        <v>89.109356202862998</v>
      </c>
      <c r="AJ5130">
        <v>89.089325264182307</v>
      </c>
      <c r="AK5130">
        <v>2.99938162092546</v>
      </c>
      <c r="AL5130">
        <v>88.8078959777107</v>
      </c>
      <c r="AM5130">
        <v>89.379634271587094</v>
      </c>
      <c r="AN5130">
        <v>1.0000000432405201</v>
      </c>
    </row>
    <row r="5131" spans="1:40" x14ac:dyDescent="0.25">
      <c r="A5131" t="str">
        <f>"20190312160435759"</f>
        <v>20190312160435759</v>
      </c>
      <c r="B5131" t="str">
        <f>"1552377875749595"</f>
        <v>1552377875749595</v>
      </c>
      <c r="C5131" t="s">
        <v>40</v>
      </c>
      <c r="D5131">
        <v>4.792618</v>
      </c>
      <c r="E5131">
        <v>0.44239240000000002</v>
      </c>
      <c r="F5131" t="s">
        <v>97</v>
      </c>
      <c r="G5131">
        <v>-447.52690000000001</v>
      </c>
      <c r="H5131">
        <v>15.391389999999999</v>
      </c>
      <c r="I5131">
        <v>119.395</v>
      </c>
      <c r="J5131">
        <v>-305.12029999999999</v>
      </c>
      <c r="K5131">
        <v>1.1097760000000001</v>
      </c>
      <c r="L5131">
        <v>141.41829999999999</v>
      </c>
      <c r="M5131">
        <v>-0.99983299999999997</v>
      </c>
      <c r="N5131">
        <v>0</v>
      </c>
      <c r="O5131">
        <v>1.3983499999999999E-2</v>
      </c>
      <c r="P5131">
        <v>-0.99966900000000003</v>
      </c>
      <c r="Q5131">
        <v>9.2263050000000006E-3</v>
      </c>
      <c r="R5131">
        <v>2.4020880000000001E-2</v>
      </c>
      <c r="S5131">
        <v>-3.009827</v>
      </c>
      <c r="T5131">
        <v>0.30134919999999998</v>
      </c>
      <c r="U5131">
        <v>-0.46463009999999899</v>
      </c>
      <c r="V5131">
        <v>1.004275E-2</v>
      </c>
      <c r="W5131">
        <v>2.0996290000000001E-2</v>
      </c>
      <c r="X5131">
        <v>0.99972910000000004</v>
      </c>
      <c r="Y5131">
        <v>-0.1654928</v>
      </c>
      <c r="Z5131">
        <v>9.6045929999999998E-3</v>
      </c>
      <c r="AA5131">
        <v>0.98616420000000005</v>
      </c>
      <c r="AB5131">
        <v>24</v>
      </c>
      <c r="AC5131">
        <v>-142.4066</v>
      </c>
      <c r="AD5131">
        <v>14.281613999999999</v>
      </c>
      <c r="AE5131">
        <v>-22.0232999999999</v>
      </c>
      <c r="AF5131">
        <v>-23.779053098102199</v>
      </c>
      <c r="AG5131">
        <v>14.281613999999999</v>
      </c>
      <c r="AH5131">
        <v>140.70261465136099</v>
      </c>
      <c r="AI5131">
        <v>84.284703356093701</v>
      </c>
      <c r="AJ5131">
        <v>99.592472904117002</v>
      </c>
      <c r="AK5131">
        <v>143.41071659543701</v>
      </c>
      <c r="AL5131">
        <v>88.796912775458296</v>
      </c>
      <c r="AM5131">
        <v>89.424456249387504</v>
      </c>
      <c r="AN5131">
        <v>0.99999998720406802</v>
      </c>
    </row>
    <row r="5132" spans="1:40" x14ac:dyDescent="0.25">
      <c r="A5132" t="str">
        <f>"20190312160435781"</f>
        <v>20190312160435781</v>
      </c>
      <c r="B5132" t="str">
        <f>"1552377875770091"</f>
        <v>1552377875770091</v>
      </c>
      <c r="C5132" t="s">
        <v>40</v>
      </c>
      <c r="D5132">
        <v>4.804246</v>
      </c>
      <c r="E5132">
        <v>0.44489099999999998</v>
      </c>
      <c r="F5132" t="s">
        <v>97</v>
      </c>
      <c r="G5132">
        <v>-470.8775</v>
      </c>
      <c r="H5132">
        <v>16.227070000000001</v>
      </c>
      <c r="I5132">
        <v>119.72150000000001</v>
      </c>
      <c r="J5132">
        <v>-305.35980000000001</v>
      </c>
      <c r="K5132">
        <v>1.1097649999999999</v>
      </c>
      <c r="L5132">
        <v>141.42179999999999</v>
      </c>
      <c r="M5132">
        <v>-0.99983219999999995</v>
      </c>
      <c r="N5132">
        <v>0</v>
      </c>
      <c r="O5132">
        <v>1.4076989999999999E-2</v>
      </c>
      <c r="P5132">
        <v>-0.99968409999999996</v>
      </c>
      <c r="Q5132">
        <v>9.2683030000000003E-3</v>
      </c>
      <c r="R5132">
        <v>2.3363430000000001E-2</v>
      </c>
      <c r="S5132">
        <v>-3.0079349999999998</v>
      </c>
      <c r="T5132">
        <v>0.27432820000000002</v>
      </c>
      <c r="U5132">
        <v>-0.39372249999999998</v>
      </c>
      <c r="V5132">
        <v>9.2915229999999994E-3</v>
      </c>
      <c r="W5132">
        <v>2.0991510000000001E-2</v>
      </c>
      <c r="X5132">
        <v>0.99973650000000003</v>
      </c>
      <c r="Y5132">
        <v>-0.14309189999999999</v>
      </c>
      <c r="Z5132">
        <v>7.7602280000000001E-3</v>
      </c>
      <c r="AA5132">
        <v>0.98967899999999998</v>
      </c>
      <c r="AB5132">
        <v>24</v>
      </c>
      <c r="AC5132">
        <v>-165.51769999999999</v>
      </c>
      <c r="AD5132">
        <v>15.117305</v>
      </c>
      <c r="AE5132">
        <v>-21.700299999999899</v>
      </c>
      <c r="AF5132">
        <v>-23.8328512182662</v>
      </c>
      <c r="AG5132">
        <v>15.117305</v>
      </c>
      <c r="AH5132">
        <v>163.85207672202401</v>
      </c>
      <c r="AI5132">
        <v>84.783292915195503</v>
      </c>
      <c r="AJ5132">
        <v>98.275831831474605</v>
      </c>
      <c r="AK5132">
        <v>166.264971517681</v>
      </c>
      <c r="AL5132">
        <v>88.797186752317401</v>
      </c>
      <c r="AM5132">
        <v>89.467509963126602</v>
      </c>
      <c r="AN5132">
        <v>1.0000000226619901</v>
      </c>
    </row>
    <row r="5133" spans="1:40" x14ac:dyDescent="0.25">
      <c r="A5133" t="str">
        <f>"20190312160436093"</f>
        <v>20190312160436093</v>
      </c>
      <c r="B5133" t="str">
        <f>"1552377876090132"</f>
        <v>1552377876090132</v>
      </c>
      <c r="C5133" t="s">
        <v>40</v>
      </c>
      <c r="D5133">
        <v>4.4760429999999998</v>
      </c>
      <c r="E5133">
        <v>0.36851210000000001</v>
      </c>
      <c r="F5133" t="s">
        <v>45</v>
      </c>
      <c r="G5133">
        <v>0</v>
      </c>
      <c r="H5133">
        <v>0</v>
      </c>
      <c r="I5133">
        <v>0</v>
      </c>
      <c r="J5133">
        <v>-308.72590000000002</v>
      </c>
      <c r="K5133">
        <v>1.109694</v>
      </c>
      <c r="L5133">
        <v>141.4727</v>
      </c>
      <c r="M5133">
        <v>-0.99981900000000001</v>
      </c>
      <c r="N5133">
        <v>0</v>
      </c>
      <c r="O5133">
        <v>1.539098E-2</v>
      </c>
      <c r="P5133">
        <v>-0.99963990000000003</v>
      </c>
      <c r="Q5133">
        <v>1.032692E-2</v>
      </c>
      <c r="R5133">
        <v>2.4773759999999999E-2</v>
      </c>
      <c r="S5133">
        <v>-3.007355</v>
      </c>
      <c r="T5133">
        <v>0.25506030000000002</v>
      </c>
      <c r="U5133">
        <v>-0.37542720000000002</v>
      </c>
      <c r="V5133">
        <v>9.3886600000000001E-3</v>
      </c>
      <c r="W5133">
        <v>2.151401E-2</v>
      </c>
      <c r="X5133">
        <v>0.99972439999999996</v>
      </c>
      <c r="Y5133">
        <v>-0.13858899999999999</v>
      </c>
      <c r="Z5133">
        <v>7.1422730000000002E-3</v>
      </c>
      <c r="AA5133">
        <v>0.99032430000000005</v>
      </c>
      <c r="AB5133">
        <v>24</v>
      </c>
      <c r="AC5133">
        <v>-3.007355</v>
      </c>
      <c r="AD5133">
        <v>0.25506030000000002</v>
      </c>
      <c r="AE5133">
        <v>-0.37542720000000002</v>
      </c>
      <c r="AF5133">
        <v>-0.41870618041654201</v>
      </c>
      <c r="AG5133">
        <v>0.25506030000000002</v>
      </c>
      <c r="AH5133">
        <v>2.98011286305338</v>
      </c>
      <c r="AI5133">
        <v>85.155473712672404</v>
      </c>
      <c r="AJ5133">
        <v>97.997711740907206</v>
      </c>
      <c r="AK5133">
        <v>3.0201727266319298</v>
      </c>
      <c r="AL5133">
        <v>88.767242839908207</v>
      </c>
      <c r="AM5133">
        <v>89.461936930058101</v>
      </c>
      <c r="AN5133">
        <v>0.999999937759115</v>
      </c>
    </row>
    <row r="5134" spans="1:40" x14ac:dyDescent="0.25">
      <c r="A5134" t="str">
        <f>"20190312160436263"</f>
        <v>20190312160436263</v>
      </c>
      <c r="B5134" t="str">
        <f>"1552377876259956"</f>
        <v>1552377876259956</v>
      </c>
      <c r="C5134" t="s">
        <v>40</v>
      </c>
      <c r="D5134">
        <v>5.1073839999999997</v>
      </c>
      <c r="E5134">
        <v>0.4311065</v>
      </c>
      <c r="F5134" t="s">
        <v>96</v>
      </c>
      <c r="G5134">
        <v>-373.85739999999998</v>
      </c>
      <c r="H5134">
        <v>11.92639</v>
      </c>
      <c r="I5134">
        <v>120.18729999999999</v>
      </c>
      <c r="J5134">
        <v>-310.58330000000001</v>
      </c>
      <c r="K5134">
        <v>1.109666</v>
      </c>
      <c r="L5134">
        <v>141.5027</v>
      </c>
      <c r="M5134">
        <v>-0.99980979999999997</v>
      </c>
      <c r="N5134">
        <v>0</v>
      </c>
      <c r="O5134">
        <v>1.6115730000000002E-2</v>
      </c>
      <c r="P5134">
        <v>-0.99964140000000001</v>
      </c>
      <c r="Q5134">
        <v>9.5649029999999996E-3</v>
      </c>
      <c r="R5134">
        <v>2.5020509999999999E-2</v>
      </c>
      <c r="S5134">
        <v>-3.0203250000000001</v>
      </c>
      <c r="T5134">
        <v>0.50159909999999996</v>
      </c>
      <c r="U5134">
        <v>-0.98706050000000001</v>
      </c>
      <c r="V5134">
        <v>8.9104049999999997E-3</v>
      </c>
      <c r="W5134">
        <v>2.0552440000000002E-2</v>
      </c>
      <c r="X5134">
        <v>0.99974909999999995</v>
      </c>
      <c r="Y5134">
        <v>-0.32172840000000003</v>
      </c>
      <c r="Z5134">
        <v>2.84674E-2</v>
      </c>
      <c r="AA5134">
        <v>0.94640400000000002</v>
      </c>
      <c r="AB5134">
        <v>24</v>
      </c>
      <c r="AC5134">
        <v>-63.274099999999898</v>
      </c>
      <c r="AD5134">
        <v>10.816724000000001</v>
      </c>
      <c r="AE5134">
        <v>-21.3154</v>
      </c>
      <c r="AF5134">
        <v>-21.7612651632184</v>
      </c>
      <c r="AG5134">
        <v>10.816724000000001</v>
      </c>
      <c r="AH5134">
        <v>61.313151049940799</v>
      </c>
      <c r="AI5134">
        <v>80.560536198151397</v>
      </c>
      <c r="AJ5134">
        <v>109.540792887972</v>
      </c>
      <c r="AK5134">
        <v>65.953443210108006</v>
      </c>
      <c r="AL5134">
        <v>88.822349048160007</v>
      </c>
      <c r="AM5134">
        <v>89.489356796699596</v>
      </c>
      <c r="AN5134">
        <v>1.00000003052901</v>
      </c>
    </row>
    <row r="5135" spans="1:40" x14ac:dyDescent="0.25">
      <c r="A5135" t="str">
        <f>"20190312160436275"</f>
        <v>20190312160436275</v>
      </c>
      <c r="B5135" t="str">
        <f>"1552377876270691"</f>
        <v>1552377876270691</v>
      </c>
      <c r="C5135" t="s">
        <v>40</v>
      </c>
      <c r="D5135">
        <v>5.0255640000000001</v>
      </c>
      <c r="E5135">
        <v>0.438581</v>
      </c>
      <c r="F5135" t="s">
        <v>60</v>
      </c>
      <c r="G5135">
        <v>-319.43329999999997</v>
      </c>
      <c r="H5135" s="1">
        <v>-5.7585349999999999E-6</v>
      </c>
      <c r="I5135">
        <v>140.14279999999999</v>
      </c>
      <c r="J5135">
        <v>-310.71039999999999</v>
      </c>
      <c r="K5135">
        <v>1.1096619999999999</v>
      </c>
      <c r="L5135">
        <v>141.50479999999999</v>
      </c>
      <c r="M5135">
        <v>-0.99980910000000001</v>
      </c>
      <c r="N5135">
        <v>0</v>
      </c>
      <c r="O5135">
        <v>1.6165450000000001E-2</v>
      </c>
      <c r="P5135">
        <v>-0.99962340000000005</v>
      </c>
      <c r="Q5135">
        <v>9.8643659999999994E-3</v>
      </c>
      <c r="R5135">
        <v>2.561399E-2</v>
      </c>
      <c r="S5135">
        <v>-3.0162960000000001</v>
      </c>
      <c r="T5135">
        <v>-0.37820530000000002</v>
      </c>
      <c r="U5135">
        <v>-0.463501</v>
      </c>
      <c r="V5135">
        <v>9.4544590000000001E-3</v>
      </c>
      <c r="W5135">
        <v>2.0839920000000001E-2</v>
      </c>
      <c r="X5135">
        <v>0.99973809999999996</v>
      </c>
      <c r="Y5135">
        <v>-0.16644400000000001</v>
      </c>
      <c r="Z5135">
        <v>-1.23424E-2</v>
      </c>
      <c r="AA5135">
        <v>0.98597369999999995</v>
      </c>
      <c r="AB5135">
        <v>24</v>
      </c>
      <c r="AC5135">
        <v>-8.7228999999999797</v>
      </c>
      <c r="AD5135">
        <v>-1.1096677585349899</v>
      </c>
      <c r="AE5135">
        <v>-1.3619999999999901</v>
      </c>
      <c r="AF5135">
        <v>-1.4794674240911501</v>
      </c>
      <c r="AG5135">
        <v>-1.1096677585349899</v>
      </c>
      <c r="AH5135">
        <v>8.5644400488070005</v>
      </c>
      <c r="AI5135">
        <v>97.275925084525397</v>
      </c>
      <c r="AJ5135">
        <v>99.800855907223394</v>
      </c>
      <c r="AK5135">
        <v>8.7618388334235107</v>
      </c>
      <c r="AL5135">
        <v>88.805874067418799</v>
      </c>
      <c r="AM5135">
        <v>89.458173645282699</v>
      </c>
      <c r="AN5135">
        <v>0.99999997882609903</v>
      </c>
    </row>
    <row r="5136" spans="1:40" x14ac:dyDescent="0.25">
      <c r="A5136" t="str">
        <f>"20190312160436288"</f>
        <v>20190312160436288</v>
      </c>
      <c r="B5136" t="str">
        <f>"1552377876280453"</f>
        <v>1552377876280453</v>
      </c>
      <c r="C5136" t="s">
        <v>40</v>
      </c>
      <c r="D5136">
        <v>5.0770900000000001</v>
      </c>
      <c r="E5136">
        <v>0.44626480000000002</v>
      </c>
      <c r="F5136" t="s">
        <v>41</v>
      </c>
      <c r="G5136">
        <v>-323.96359999999999</v>
      </c>
      <c r="H5136" s="1">
        <v>-2.600003E-6</v>
      </c>
      <c r="I5136">
        <v>139.72190000000001</v>
      </c>
      <c r="J5136">
        <v>-310.85169999999999</v>
      </c>
      <c r="K5136">
        <v>1.109661</v>
      </c>
      <c r="L5136">
        <v>141.50720000000001</v>
      </c>
      <c r="M5136">
        <v>-0.99980840000000004</v>
      </c>
      <c r="N5136">
        <v>0</v>
      </c>
      <c r="O5136">
        <v>1.6220709999999999E-2</v>
      </c>
      <c r="P5136">
        <v>-0.99962620000000002</v>
      </c>
      <c r="Q5136">
        <v>9.7358619999999996E-3</v>
      </c>
      <c r="R5136">
        <v>2.555646E-2</v>
      </c>
      <c r="S5136">
        <v>-3.0139770000000001</v>
      </c>
      <c r="T5136">
        <v>-0.2523551</v>
      </c>
      <c r="U5136">
        <v>-0.4054413</v>
      </c>
      <c r="V5136">
        <v>9.3416750000000007E-3</v>
      </c>
      <c r="W5136">
        <v>2.0698330000000001E-2</v>
      </c>
      <c r="X5136">
        <v>0.99974220000000003</v>
      </c>
      <c r="Y5136">
        <v>-0.14881129999999901</v>
      </c>
      <c r="Z5136">
        <v>-7.5413559999999999E-3</v>
      </c>
      <c r="AA5136">
        <v>0.98883679999999996</v>
      </c>
      <c r="AB5136">
        <v>24</v>
      </c>
      <c r="AC5136">
        <v>-13.111899999999901</v>
      </c>
      <c r="AD5136">
        <v>-1.109663600003</v>
      </c>
      <c r="AE5136">
        <v>-1.7853000000000001</v>
      </c>
      <c r="AF5136">
        <v>-1.98381218450789</v>
      </c>
      <c r="AG5136">
        <v>-1.109663600003</v>
      </c>
      <c r="AH5136">
        <v>12.9898704842272</v>
      </c>
      <c r="AI5136">
        <v>94.826958209322697</v>
      </c>
      <c r="AJ5136">
        <v>98.683116034150899</v>
      </c>
      <c r="AK5136">
        <v>13.1872513923702</v>
      </c>
      <c r="AL5136">
        <v>88.813988443857994</v>
      </c>
      <c r="AM5136">
        <v>89.464639009603403</v>
      </c>
      <c r="AN5136">
        <v>1.0000000771087101</v>
      </c>
    </row>
    <row r="5137" spans="1:40" x14ac:dyDescent="0.25">
      <c r="A5137" t="str">
        <f>"20190312160436305"</f>
        <v>20190312160436305</v>
      </c>
      <c r="B5137" t="str">
        <f>"1552377876299975"</f>
        <v>1552377876299975</v>
      </c>
      <c r="C5137" t="s">
        <v>40</v>
      </c>
      <c r="D5137">
        <v>5.0810820000000003</v>
      </c>
      <c r="E5137">
        <v>0.45198240000000001</v>
      </c>
      <c r="F5137" t="s">
        <v>41</v>
      </c>
      <c r="G5137">
        <v>-329.24430000000001</v>
      </c>
      <c r="H5137" s="1">
        <v>-3.4620169999999999E-7</v>
      </c>
      <c r="I5137">
        <v>139.39250000000001</v>
      </c>
      <c r="J5137">
        <v>-311.03809999999999</v>
      </c>
      <c r="K5137">
        <v>1.1096629999999901</v>
      </c>
      <c r="L5137">
        <v>141.5103</v>
      </c>
      <c r="M5137">
        <v>-0.99980740000000001</v>
      </c>
      <c r="N5137">
        <v>0</v>
      </c>
      <c r="O5137">
        <v>1.629357E-2</v>
      </c>
      <c r="P5137">
        <v>-0.99960599999999999</v>
      </c>
      <c r="Q5137">
        <v>1.005692E-2</v>
      </c>
      <c r="R5137">
        <v>2.620811E-2</v>
      </c>
      <c r="S5137">
        <v>-3.011749</v>
      </c>
      <c r="T5137">
        <v>-0.1817057</v>
      </c>
      <c r="U5137">
        <v>-0.34625240000000002</v>
      </c>
      <c r="V5137">
        <v>9.9206899999999994E-3</v>
      </c>
      <c r="W5137">
        <v>2.1004390000000001E-2</v>
      </c>
      <c r="X5137">
        <v>0.99973020000000001</v>
      </c>
      <c r="Y5137">
        <v>-0.13012470000000001</v>
      </c>
      <c r="Z5137">
        <v>-4.8881300000000001E-3</v>
      </c>
      <c r="AA5137">
        <v>0.99148559999999997</v>
      </c>
      <c r="AB5137">
        <v>24</v>
      </c>
      <c r="AC5137">
        <v>-18.206199999999999</v>
      </c>
      <c r="AD5137">
        <v>-1.10966334620169</v>
      </c>
      <c r="AE5137">
        <v>-2.1177999999999799</v>
      </c>
      <c r="AF5137">
        <v>-2.4053642513365601</v>
      </c>
      <c r="AG5137">
        <v>-1.10966334620169</v>
      </c>
      <c r="AH5137">
        <v>18.102922042975401</v>
      </c>
      <c r="AI5137">
        <v>93.477212957737507</v>
      </c>
      <c r="AJ5137">
        <v>97.568648637531098</v>
      </c>
      <c r="AK5137">
        <v>18.295707595432201</v>
      </c>
      <c r="AL5137">
        <v>88.796448639183694</v>
      </c>
      <c r="AM5137">
        <v>89.431451595521693</v>
      </c>
      <c r="AN5137">
        <v>1.00000003864069</v>
      </c>
    </row>
    <row r="5138" spans="1:40" x14ac:dyDescent="0.25">
      <c r="A5138" t="str">
        <f>"20190312160436328"</f>
        <v>20190312160436328</v>
      </c>
      <c r="B5138" t="str">
        <f>"1552377876320472"</f>
        <v>1552377876320472</v>
      </c>
      <c r="C5138" t="s">
        <v>40</v>
      </c>
      <c r="D5138">
        <v>5.1158859999999997</v>
      </c>
      <c r="E5138">
        <v>0.4540361</v>
      </c>
      <c r="F5138" t="s">
        <v>41</v>
      </c>
      <c r="G5138">
        <v>-341.83960000000002</v>
      </c>
      <c r="H5138" s="1">
        <v>-3.6929409999999999E-6</v>
      </c>
      <c r="I5138">
        <v>138.4332</v>
      </c>
      <c r="J5138">
        <v>-311.2835</v>
      </c>
      <c r="K5138">
        <v>1.109659</v>
      </c>
      <c r="L5138">
        <v>141.51439999999999</v>
      </c>
      <c r="M5138">
        <v>-0.99980590000000003</v>
      </c>
      <c r="N5138">
        <v>0</v>
      </c>
      <c r="O5138">
        <v>1.638945E-2</v>
      </c>
      <c r="P5138">
        <v>-0.99959739999999997</v>
      </c>
      <c r="Q5138">
        <v>1.0288719999999999E-2</v>
      </c>
      <c r="R5138">
        <v>2.6440390000000001E-2</v>
      </c>
      <c r="S5138">
        <v>-3.010132</v>
      </c>
      <c r="T5138">
        <v>-0.10844429999999999</v>
      </c>
      <c r="U5138">
        <v>-0.300705</v>
      </c>
      <c r="V5138">
        <v>1.0057200000000001E-2</v>
      </c>
      <c r="W5138">
        <v>2.1217489999999999E-2</v>
      </c>
      <c r="X5138">
        <v>0.99972430000000001</v>
      </c>
      <c r="Y5138">
        <v>-0.11561390000000001</v>
      </c>
      <c r="Z5138">
        <v>-2.6656729999999999E-3</v>
      </c>
      <c r="AA5138">
        <v>0.99329069999999997</v>
      </c>
      <c r="AB5138">
        <v>24</v>
      </c>
      <c r="AC5138">
        <v>-30.556100000000001</v>
      </c>
      <c r="AD5138">
        <v>-1.1096626929410001</v>
      </c>
      <c r="AE5138">
        <v>-3.0811999999999902</v>
      </c>
      <c r="AF5138">
        <v>-3.57694383899012</v>
      </c>
      <c r="AG5138">
        <v>-1.1096626929410001</v>
      </c>
      <c r="AH5138">
        <v>30.461723937051801</v>
      </c>
      <c r="AI5138">
        <v>92.072030231430006</v>
      </c>
      <c r="AJ5138">
        <v>96.697242441604402</v>
      </c>
      <c r="AK5138">
        <v>30.6910818274063</v>
      </c>
      <c r="AL5138">
        <v>88.784236143497097</v>
      </c>
      <c r="AM5138">
        <v>89.423625417548706</v>
      </c>
      <c r="AN5138">
        <v>1.0000000025821101</v>
      </c>
    </row>
    <row r="5139" spans="1:40" x14ac:dyDescent="0.25">
      <c r="A5139" t="str">
        <f>"20190312160436349"</f>
        <v>20190312160436349</v>
      </c>
      <c r="B5139" t="str">
        <f>"1552377876339991"</f>
        <v>1552377876339991</v>
      </c>
      <c r="C5139" t="s">
        <v>40</v>
      </c>
      <c r="D5139">
        <v>5.0739109999999998</v>
      </c>
      <c r="E5139">
        <v>0.45756249999999998</v>
      </c>
      <c r="F5139" t="s">
        <v>41</v>
      </c>
      <c r="G5139">
        <v>-352.03550000000001</v>
      </c>
      <c r="H5139" s="1">
        <v>-3.7450999999999999E-6</v>
      </c>
      <c r="I5139">
        <v>137.66550000000001</v>
      </c>
      <c r="J5139">
        <v>-311.52</v>
      </c>
      <c r="K5139">
        <v>1.1096619999999999</v>
      </c>
      <c r="L5139">
        <v>141.51840000000001</v>
      </c>
      <c r="M5139">
        <v>-0.99980460000000004</v>
      </c>
      <c r="N5139">
        <v>0</v>
      </c>
      <c r="O5139">
        <v>1.6481510000000001E-2</v>
      </c>
      <c r="P5139">
        <v>-0.99959330000000002</v>
      </c>
      <c r="Q5139">
        <v>1.02416E-2</v>
      </c>
      <c r="R5139">
        <v>2.661929E-2</v>
      </c>
      <c r="S5139">
        <v>-3.0095830000000001</v>
      </c>
      <c r="T5139">
        <v>-8.1949949999999994E-2</v>
      </c>
      <c r="U5139">
        <v>-0.28424070000000001</v>
      </c>
      <c r="V5139">
        <v>1.0144200000000001E-2</v>
      </c>
      <c r="W5139">
        <v>2.1154559999999999E-2</v>
      </c>
      <c r="X5139">
        <v>0.99972470000000002</v>
      </c>
      <c r="Y5139">
        <v>-0.1103769</v>
      </c>
      <c r="Z5139">
        <v>-1.946957E-3</v>
      </c>
      <c r="AA5139">
        <v>0.99388790000000005</v>
      </c>
      <c r="AB5139">
        <v>24</v>
      </c>
      <c r="AC5139">
        <v>-40.515500000000003</v>
      </c>
      <c r="AD5139">
        <v>-1.1096657451</v>
      </c>
      <c r="AE5139">
        <v>-3.8529</v>
      </c>
      <c r="AF5139">
        <v>-4.5168151208754299</v>
      </c>
      <c r="AG5139">
        <v>-1.1096657451</v>
      </c>
      <c r="AH5139">
        <v>40.416444514672598</v>
      </c>
      <c r="AI5139">
        <v>91.562980918792405</v>
      </c>
      <c r="AJ5139">
        <v>96.376736898710604</v>
      </c>
      <c r="AK5139">
        <v>40.683190190908398</v>
      </c>
      <c r="AL5139">
        <v>88.787842510176901</v>
      </c>
      <c r="AM5139">
        <v>89.418640051588497</v>
      </c>
      <c r="AN5139">
        <v>0.99999994799626002</v>
      </c>
    </row>
    <row r="5140" spans="1:40" x14ac:dyDescent="0.25">
      <c r="A5140" t="str">
        <f>"20190312160436363"</f>
        <v>20190312160436363</v>
      </c>
      <c r="B5140" t="str">
        <f>"1552377876360014"</f>
        <v>1552377876360014</v>
      </c>
      <c r="C5140" t="s">
        <v>40</v>
      </c>
      <c r="D5140">
        <v>4.9746009999999998</v>
      </c>
      <c r="E5140">
        <v>0.4591287</v>
      </c>
      <c r="F5140" t="s">
        <v>41</v>
      </c>
      <c r="G5140">
        <v>-356.45780000000002</v>
      </c>
      <c r="H5140" s="1">
        <v>-1.842348E-6</v>
      </c>
      <c r="I5140">
        <v>137.6969</v>
      </c>
      <c r="J5140">
        <v>-311.67520000000002</v>
      </c>
      <c r="K5140">
        <v>1.1096619999999999</v>
      </c>
      <c r="L5140">
        <v>141.52099999999999</v>
      </c>
      <c r="M5140">
        <v>-0.99980369999999996</v>
      </c>
      <c r="N5140">
        <v>0</v>
      </c>
      <c r="O5140">
        <v>1.6541879999999998E-2</v>
      </c>
      <c r="P5140">
        <v>-0.99958499999999995</v>
      </c>
      <c r="Q5140">
        <v>1.0343939999999999E-2</v>
      </c>
      <c r="R5140">
        <v>2.68913E-2</v>
      </c>
      <c r="S5140">
        <v>-3.0088200000000001</v>
      </c>
      <c r="T5140">
        <v>-7.4297790000000002E-2</v>
      </c>
      <c r="U5140">
        <v>-0.25585940000000001</v>
      </c>
      <c r="V5140">
        <v>1.0355939999999999E-2</v>
      </c>
      <c r="W5140">
        <v>2.124705E-2</v>
      </c>
      <c r="X5140">
        <v>0.99972059999999996</v>
      </c>
      <c r="Y5140">
        <v>-0.1011668</v>
      </c>
      <c r="Z5140">
        <v>-1.654392E-3</v>
      </c>
      <c r="AA5140">
        <v>0.99486810000000003</v>
      </c>
      <c r="AB5140">
        <v>24</v>
      </c>
      <c r="AC5140">
        <v>-44.782600000000002</v>
      </c>
      <c r="AD5140">
        <v>-1.1096638423479901</v>
      </c>
      <c r="AE5140">
        <v>-3.8241000000000098</v>
      </c>
      <c r="AF5140">
        <v>-4.5616286117096898</v>
      </c>
      <c r="AG5140">
        <v>-1.1096638423479901</v>
      </c>
      <c r="AH5140">
        <v>44.685971961872198</v>
      </c>
      <c r="AI5140">
        <v>91.4151530543284</v>
      </c>
      <c r="AJ5140">
        <v>95.828671291009996</v>
      </c>
      <c r="AK5140">
        <v>44.931902915538899</v>
      </c>
      <c r="AL5140">
        <v>88.782542071294301</v>
      </c>
      <c r="AM5140">
        <v>89.4065037441773</v>
      </c>
      <c r="AN5140">
        <v>0.99999998034567195</v>
      </c>
    </row>
    <row r="5141" spans="1:40" x14ac:dyDescent="0.25">
      <c r="A5141" t="str">
        <f>"20190312160436376"</f>
        <v>20190312160436376</v>
      </c>
      <c r="B5141" t="str">
        <f>"1552377876369775"</f>
        <v>1552377876369775</v>
      </c>
      <c r="C5141" t="s">
        <v>40</v>
      </c>
      <c r="D5141">
        <v>4.9937760000000004</v>
      </c>
      <c r="E5141">
        <v>0.45944990000000002</v>
      </c>
      <c r="F5141" t="s">
        <v>41</v>
      </c>
      <c r="G5141">
        <v>-361.72399999999999</v>
      </c>
      <c r="H5141" s="1">
        <v>-3.9112279999999998E-6</v>
      </c>
      <c r="I5141">
        <v>137.48230000000001</v>
      </c>
      <c r="J5141">
        <v>-311.81310000000002</v>
      </c>
      <c r="K5141">
        <v>1.109664</v>
      </c>
      <c r="L5141">
        <v>141.52330000000001</v>
      </c>
      <c r="M5141">
        <v>-0.99980290000000005</v>
      </c>
      <c r="N5141">
        <v>0</v>
      </c>
      <c r="O5141">
        <v>1.6595740000000001E-2</v>
      </c>
      <c r="P5141">
        <v>-0.99958409999999998</v>
      </c>
      <c r="Q5141">
        <v>1.014205E-2</v>
      </c>
      <c r="R5141">
        <v>2.6996599999999999E-2</v>
      </c>
      <c r="S5141">
        <v>-3.0084840000000002</v>
      </c>
      <c r="T5141">
        <v>-6.6703199999999893E-2</v>
      </c>
      <c r="U5141">
        <v>-0.24276729999999999</v>
      </c>
      <c r="V5141">
        <v>1.040723E-2</v>
      </c>
      <c r="W5141">
        <v>2.103824E-2</v>
      </c>
      <c r="X5141">
        <v>0.99972450000000002</v>
      </c>
      <c r="Y5141">
        <v>-9.6936939999999999E-2</v>
      </c>
      <c r="Z5141">
        <v>-1.4401380000000001E-3</v>
      </c>
      <c r="AA5141">
        <v>0.99528950000000005</v>
      </c>
      <c r="AB5141">
        <v>24</v>
      </c>
      <c r="AC5141">
        <v>-49.910899999999899</v>
      </c>
      <c r="AD5141">
        <v>-1.1096679112279999</v>
      </c>
      <c r="AE5141">
        <v>-4.0409999999999897</v>
      </c>
      <c r="AF5141">
        <v>-4.8664110871180402</v>
      </c>
      <c r="AG5141">
        <v>-1.1096679112279999</v>
      </c>
      <c r="AH5141">
        <v>49.812495923445098</v>
      </c>
      <c r="AI5141">
        <v>91.270116430504103</v>
      </c>
      <c r="AJ5141">
        <v>95.5797807492403</v>
      </c>
      <c r="AK5141">
        <v>50.061942330130101</v>
      </c>
      <c r="AL5141">
        <v>88.794508698182099</v>
      </c>
      <c r="AM5141">
        <v>89.403566865872193</v>
      </c>
      <c r="AN5141">
        <v>0.99999999693941</v>
      </c>
    </row>
    <row r="5142" spans="1:40" x14ac:dyDescent="0.25">
      <c r="A5142" t="str">
        <f>"20190312160436396"</f>
        <v>20190312160436396</v>
      </c>
      <c r="B5142" t="str">
        <f>"1552377876390270"</f>
        <v>1552377876390270</v>
      </c>
      <c r="C5142" t="s">
        <v>40</v>
      </c>
      <c r="D5142">
        <v>5.0733079999999999</v>
      </c>
      <c r="E5142">
        <v>0.46030339999999997</v>
      </c>
      <c r="F5142" t="s">
        <v>41</v>
      </c>
      <c r="G5142">
        <v>-365.55029999999999</v>
      </c>
      <c r="H5142" s="1">
        <v>-2.3136120000000001E-6</v>
      </c>
      <c r="I5142">
        <v>137.23509999999999</v>
      </c>
      <c r="J5142">
        <v>-312.02730000000003</v>
      </c>
      <c r="K5142">
        <v>1.1096629999999901</v>
      </c>
      <c r="L5142">
        <v>141.52699999999999</v>
      </c>
      <c r="M5142">
        <v>-0.99980179999999996</v>
      </c>
      <c r="N5142">
        <v>0</v>
      </c>
      <c r="O5142">
        <v>1.6679260000000001E-2</v>
      </c>
      <c r="P5142">
        <v>-0.99959229999999999</v>
      </c>
      <c r="Q5142">
        <v>1.034852E-2</v>
      </c>
      <c r="R5142">
        <v>2.6617890000000002E-2</v>
      </c>
      <c r="S5142">
        <v>-3.008362</v>
      </c>
      <c r="T5142">
        <v>-6.2122339999999998E-2</v>
      </c>
      <c r="U5142">
        <v>-0.24006649999999999</v>
      </c>
      <c r="V5142">
        <v>9.9450170000000004E-3</v>
      </c>
      <c r="W5142">
        <v>2.123179E-2</v>
      </c>
      <c r="X5142">
        <v>0.99972510000000003</v>
      </c>
      <c r="Y5142">
        <v>-9.6139279999999994E-2</v>
      </c>
      <c r="Z5142">
        <v>-1.33486E-3</v>
      </c>
      <c r="AA5142">
        <v>0.995367</v>
      </c>
      <c r="AB5142">
        <v>24</v>
      </c>
      <c r="AC5142">
        <v>-53.522999999999897</v>
      </c>
      <c r="AD5142">
        <v>-1.1096653136119901</v>
      </c>
      <c r="AE5142">
        <v>-4.2919000000000196</v>
      </c>
      <c r="AF5142">
        <v>-5.1818665467530503</v>
      </c>
      <c r="AG5142">
        <v>-1.1096653136119901</v>
      </c>
      <c r="AH5142">
        <v>53.421148024808602</v>
      </c>
      <c r="AI5142">
        <v>91.184420619307502</v>
      </c>
      <c r="AJ5142">
        <v>95.5403737276866</v>
      </c>
      <c r="AK5142">
        <v>53.683350811076501</v>
      </c>
      <c r="AL5142">
        <v>88.783416606534203</v>
      </c>
      <c r="AM5142">
        <v>89.430054615237097</v>
      </c>
      <c r="AN5142">
        <v>0.99999998391987199</v>
      </c>
    </row>
    <row r="5143" spans="1:40" x14ac:dyDescent="0.25">
      <c r="A5143" t="str">
        <f>"20190312160436418"</f>
        <v>20190312160436418</v>
      </c>
      <c r="B5143" t="str">
        <f>"1552377876409790"</f>
        <v>1552377876409790</v>
      </c>
      <c r="C5143" t="s">
        <v>40</v>
      </c>
      <c r="D5143">
        <v>5.1226750000000001</v>
      </c>
      <c r="E5143">
        <v>0.46153860000000002</v>
      </c>
      <c r="F5143" t="s">
        <v>41</v>
      </c>
      <c r="G5143">
        <v>-372.49860000000001</v>
      </c>
      <c r="H5143" s="1">
        <v>-3.6977280000000001E-6</v>
      </c>
      <c r="I5143">
        <v>136.8124</v>
      </c>
      <c r="J5143">
        <v>-312.27120000000002</v>
      </c>
      <c r="K5143">
        <v>1.10965</v>
      </c>
      <c r="L5143">
        <v>141.53120000000001</v>
      </c>
      <c r="M5143">
        <v>-0.99980029999999998</v>
      </c>
      <c r="N5143">
        <v>0</v>
      </c>
      <c r="O5143">
        <v>1.6774299999999999E-2</v>
      </c>
      <c r="P5143">
        <v>-0.99960519999999997</v>
      </c>
      <c r="Q5143">
        <v>1.010519E-2</v>
      </c>
      <c r="R5143">
        <v>2.6225539999999999E-2</v>
      </c>
      <c r="S5143">
        <v>-3.0080260000000001</v>
      </c>
      <c r="T5143">
        <v>-5.5198190000000001E-2</v>
      </c>
      <c r="U5143">
        <v>-0.23451230000000001</v>
      </c>
      <c r="V5143">
        <v>9.4574759999999994E-3</v>
      </c>
      <c r="W5143">
        <v>2.0970539999999999E-2</v>
      </c>
      <c r="X5143">
        <v>0.99973540000000005</v>
      </c>
      <c r="Y5143">
        <v>-9.4421329999999998E-2</v>
      </c>
      <c r="Z5143">
        <v>-1.172324E-3</v>
      </c>
      <c r="AA5143">
        <v>0.99553159999999896</v>
      </c>
      <c r="AB5143">
        <v>24</v>
      </c>
      <c r="AC5143">
        <v>-60.227399999999903</v>
      </c>
      <c r="AD5143">
        <v>-1.109653697728</v>
      </c>
      <c r="AE5143">
        <v>-4.7188000000000097</v>
      </c>
      <c r="AF5143">
        <v>-5.7265360112212598</v>
      </c>
      <c r="AG5143">
        <v>-1.109653697728</v>
      </c>
      <c r="AH5143">
        <v>60.119482304832097</v>
      </c>
      <c r="AI5143">
        <v>91.052651691405302</v>
      </c>
      <c r="AJ5143">
        <v>95.441154687257594</v>
      </c>
      <c r="AK5143">
        <v>60.401793836091599</v>
      </c>
      <c r="AL5143">
        <v>88.798388528606793</v>
      </c>
      <c r="AM5143">
        <v>89.457999290400906</v>
      </c>
      <c r="AN5143">
        <v>1.0000000387066701</v>
      </c>
    </row>
    <row r="5144" spans="1:40" x14ac:dyDescent="0.25">
      <c r="A5144" t="str">
        <f>"20190312160436440"</f>
        <v>20190312160436440</v>
      </c>
      <c r="B5144" t="str">
        <f>"1552377876430287"</f>
        <v>1552377876430287</v>
      </c>
      <c r="C5144" t="s">
        <v>40</v>
      </c>
      <c r="D5144">
        <v>5.1008310000000003</v>
      </c>
      <c r="E5144">
        <v>0.46274310000000002</v>
      </c>
      <c r="F5144" t="s">
        <v>41</v>
      </c>
      <c r="G5144">
        <v>-375.84899999999999</v>
      </c>
      <c r="H5144" s="1">
        <v>-2.2698689999999998E-6</v>
      </c>
      <c r="I5144">
        <v>136.75919999999999</v>
      </c>
      <c r="J5144">
        <v>-312.50490000000002</v>
      </c>
      <c r="K5144">
        <v>1.109645</v>
      </c>
      <c r="L5144">
        <v>141.5352</v>
      </c>
      <c r="M5144">
        <v>-0.99979899999999999</v>
      </c>
      <c r="N5144">
        <v>0</v>
      </c>
      <c r="O5144">
        <v>1.6865479999999999E-2</v>
      </c>
      <c r="P5144">
        <v>-0.9996237</v>
      </c>
      <c r="Q5144">
        <v>9.5626970000000002E-3</v>
      </c>
      <c r="R5144">
        <v>2.5720159999999999E-2</v>
      </c>
      <c r="S5144">
        <v>-3.0076290000000001</v>
      </c>
      <c r="T5144">
        <v>-5.2493570000000003E-2</v>
      </c>
      <c r="U5144">
        <v>-0.22573850000000001</v>
      </c>
      <c r="V5144">
        <v>8.8604779999999998E-3</v>
      </c>
      <c r="W5144">
        <v>2.0409420000000001E-2</v>
      </c>
      <c r="X5144">
        <v>0.99975250000000004</v>
      </c>
      <c r="Y5144">
        <v>-9.1636869999999995E-2</v>
      </c>
      <c r="Z5144">
        <v>-1.0924859999999999E-3</v>
      </c>
      <c r="AA5144">
        <v>0.99579189999999995</v>
      </c>
      <c r="AB5144">
        <v>25</v>
      </c>
      <c r="AC5144">
        <v>-63.344099999999898</v>
      </c>
      <c r="AD5144">
        <v>-1.1096472698690001</v>
      </c>
      <c r="AE5144">
        <v>-4.7760000000000096</v>
      </c>
      <c r="AF5144">
        <v>-5.8419294561178203</v>
      </c>
      <c r="AG5144">
        <v>-1.1096472698690001</v>
      </c>
      <c r="AH5144">
        <v>63.235239650194302</v>
      </c>
      <c r="AI5144">
        <v>91.001056915493606</v>
      </c>
      <c r="AJ5144">
        <v>95.278235657607198</v>
      </c>
      <c r="AK5144">
        <v>63.5142109330762</v>
      </c>
      <c r="AL5144">
        <v>88.830545240314194</v>
      </c>
      <c r="AM5144">
        <v>89.492219621784997</v>
      </c>
      <c r="AN5144">
        <v>1.0000000568756799</v>
      </c>
    </row>
    <row r="5145" spans="1:40" x14ac:dyDescent="0.25">
      <c r="A5145" t="str">
        <f>"20190312160436462"</f>
        <v>20190312160436462</v>
      </c>
      <c r="B5145" t="str">
        <f>"1552377876449806"</f>
        <v>1552377876449806</v>
      </c>
      <c r="C5145" t="s">
        <v>40</v>
      </c>
      <c r="D5145">
        <v>5.0877339999999904</v>
      </c>
      <c r="E5145">
        <v>0.46380379999999899</v>
      </c>
      <c r="F5145" t="s">
        <v>41</v>
      </c>
      <c r="G5145">
        <v>-377.32409999999999</v>
      </c>
      <c r="H5145" s="1">
        <v>-1.6353330000000001E-6</v>
      </c>
      <c r="I5145">
        <v>136.84010000000001</v>
      </c>
      <c r="J5145">
        <v>-312.75080000000003</v>
      </c>
      <c r="K5145">
        <v>1.1096440000000001</v>
      </c>
      <c r="L5145">
        <v>141.5394</v>
      </c>
      <c r="M5145">
        <v>-0.99979759999999995</v>
      </c>
      <c r="N5145">
        <v>0</v>
      </c>
      <c r="O5145">
        <v>1.6961540000000001E-2</v>
      </c>
      <c r="P5145">
        <v>-0.99962609999999996</v>
      </c>
      <c r="Q5145">
        <v>9.4868839999999992E-3</v>
      </c>
      <c r="R5145">
        <v>2.5650989999999999E-2</v>
      </c>
      <c r="S5145">
        <v>-3.0072329999999998</v>
      </c>
      <c r="T5145">
        <v>-5.148113E-2</v>
      </c>
      <c r="U5145">
        <v>-0.21781919999999999</v>
      </c>
      <c r="V5145">
        <v>8.6952290000000005E-3</v>
      </c>
      <c r="W5145">
        <v>2.0315980000000001E-2</v>
      </c>
      <c r="X5145">
        <v>0.99975579999999997</v>
      </c>
      <c r="Y5145">
        <v>-8.9134870000000005E-2</v>
      </c>
      <c r="Z5145">
        <v>-1.0519170000000001E-3</v>
      </c>
      <c r="AA5145">
        <v>0.99601899999999999</v>
      </c>
      <c r="AB5145">
        <v>25</v>
      </c>
      <c r="AC5145">
        <v>-64.573299999999904</v>
      </c>
      <c r="AD5145">
        <v>-1.109645635333</v>
      </c>
      <c r="AE5145">
        <v>-4.6992999999999903</v>
      </c>
      <c r="AF5145">
        <v>-5.7922491804690397</v>
      </c>
      <c r="AG5145">
        <v>-1.109645635333</v>
      </c>
      <c r="AH5145">
        <v>64.4653612460706</v>
      </c>
      <c r="AI5145">
        <v>90.982181974500804</v>
      </c>
      <c r="AJ5145">
        <v>95.134271288457398</v>
      </c>
      <c r="AK5145">
        <v>64.734567771717096</v>
      </c>
      <c r="AL5145">
        <v>88.835900005016995</v>
      </c>
      <c r="AM5145">
        <v>89.501690950696499</v>
      </c>
      <c r="AN5145">
        <v>1.00000000284218</v>
      </c>
    </row>
    <row r="5146" spans="1:40" x14ac:dyDescent="0.25">
      <c r="A5146" t="str">
        <f>"20190312160436485"</f>
        <v>20190312160436485</v>
      </c>
      <c r="B5146" t="str">
        <f>"1552377876480569"</f>
        <v>1552377876480569</v>
      </c>
      <c r="C5146" t="s">
        <v>40</v>
      </c>
      <c r="D5146">
        <v>5.0789350000000004</v>
      </c>
      <c r="E5146">
        <v>0.46511409999999997</v>
      </c>
      <c r="F5146" t="s">
        <v>41</v>
      </c>
      <c r="G5146">
        <v>-380.00020000000001</v>
      </c>
      <c r="H5146" s="1">
        <v>-4.7633629999999996E-6</v>
      </c>
      <c r="I5146">
        <v>136.84710000000001</v>
      </c>
      <c r="J5146">
        <v>-313.00510000000003</v>
      </c>
      <c r="K5146">
        <v>1.1096440000000001</v>
      </c>
      <c r="L5146">
        <v>141.54390000000001</v>
      </c>
      <c r="M5146">
        <v>-0.99979589999999996</v>
      </c>
      <c r="N5146">
        <v>0</v>
      </c>
      <c r="O5146">
        <v>1.7060740000000001E-2</v>
      </c>
      <c r="P5146">
        <v>-0.9996138</v>
      </c>
      <c r="Q5146">
        <v>1.023719E-2</v>
      </c>
      <c r="R5146">
        <v>2.5832580000000001E-2</v>
      </c>
      <c r="S5146">
        <v>-3.0069889999999999</v>
      </c>
      <c r="T5146">
        <v>-4.9616809999999997E-2</v>
      </c>
      <c r="U5146">
        <v>-0.2098083</v>
      </c>
      <c r="V5146">
        <v>8.7778079999999998E-3</v>
      </c>
      <c r="W5146">
        <v>2.1050630000000001E-2</v>
      </c>
      <c r="X5146">
        <v>0.99973990000000001</v>
      </c>
      <c r="Y5146">
        <v>-8.6600540000000004E-2</v>
      </c>
      <c r="Z5146">
        <v>-9.9475819999999995E-4</v>
      </c>
      <c r="AA5146">
        <v>0.99624259999999998</v>
      </c>
      <c r="AB5146">
        <v>25</v>
      </c>
      <c r="AC5146">
        <v>-66.995099999999894</v>
      </c>
      <c r="AD5146">
        <v>-1.1096487633629999</v>
      </c>
      <c r="AE5146">
        <v>-4.6967999999999899</v>
      </c>
      <c r="AF5146">
        <v>-5.8375755955939397</v>
      </c>
      <c r="AG5146">
        <v>-1.1096487633629999</v>
      </c>
      <c r="AH5146">
        <v>66.886952634485695</v>
      </c>
      <c r="AI5146">
        <v>90.946846291249003</v>
      </c>
      <c r="AJ5146">
        <v>94.987865034365399</v>
      </c>
      <c r="AK5146">
        <v>67.1503763350604</v>
      </c>
      <c r="AL5146">
        <v>88.793798678018604</v>
      </c>
      <c r="AM5146">
        <v>89.496950728171498</v>
      </c>
      <c r="AN5146">
        <v>1.00000002329434</v>
      </c>
    </row>
    <row r="5147" spans="1:40" x14ac:dyDescent="0.25">
      <c r="A5147" t="str">
        <f>"20190312160436507"</f>
        <v>20190312160436507</v>
      </c>
      <c r="B5147" t="str">
        <f>"1552377876500092"</f>
        <v>1552377876500092</v>
      </c>
      <c r="C5147" t="s">
        <v>40</v>
      </c>
      <c r="D5147">
        <v>5.0997000000000003</v>
      </c>
      <c r="E5147">
        <v>0.46568019999999999</v>
      </c>
      <c r="F5147" t="s">
        <v>41</v>
      </c>
      <c r="G5147">
        <v>-385.7604</v>
      </c>
      <c r="H5147" s="1">
        <v>-2.3119479999999999E-6</v>
      </c>
      <c r="I5147">
        <v>136.7362</v>
      </c>
      <c r="J5147">
        <v>-313.25099999999998</v>
      </c>
      <c r="K5147">
        <v>1.1096360000000001</v>
      </c>
      <c r="L5147">
        <v>141.54820000000001</v>
      </c>
      <c r="M5147">
        <v>-0.99979470000000004</v>
      </c>
      <c r="N5147">
        <v>0</v>
      </c>
      <c r="O5147">
        <v>1.7156629999999999E-2</v>
      </c>
      <c r="P5147">
        <v>-0.99961509999999998</v>
      </c>
      <c r="Q5147">
        <v>1.0012190000000001E-2</v>
      </c>
      <c r="R5147">
        <v>2.5882860000000001E-2</v>
      </c>
      <c r="S5147">
        <v>-3.0068049999999999</v>
      </c>
      <c r="T5147">
        <v>-4.58591E-2</v>
      </c>
      <c r="U5147">
        <v>-0.19868469999999999</v>
      </c>
      <c r="V5147">
        <v>8.7322559999999903E-3</v>
      </c>
      <c r="W5147">
        <v>2.0807019999999999E-2</v>
      </c>
      <c r="X5147">
        <v>0.99974540000000001</v>
      </c>
      <c r="Y5147">
        <v>-8.3033529999999994E-2</v>
      </c>
      <c r="Z5147">
        <v>-8.9388909999999996E-4</v>
      </c>
      <c r="AA5147">
        <v>0.9965463</v>
      </c>
      <c r="AB5147">
        <v>25</v>
      </c>
      <c r="AC5147">
        <v>-72.509399999999999</v>
      </c>
      <c r="AD5147">
        <v>-1.109638311948</v>
      </c>
      <c r="AE5147">
        <v>-4.81200000000001</v>
      </c>
      <c r="AF5147">
        <v>-6.0539693139256396</v>
      </c>
      <c r="AG5147">
        <v>-1.109638311948</v>
      </c>
      <c r="AH5147">
        <v>72.399282831825502</v>
      </c>
      <c r="AI5147">
        <v>90.875030111151204</v>
      </c>
      <c r="AJ5147">
        <v>94.779906674291198</v>
      </c>
      <c r="AK5147">
        <v>72.660429369774306</v>
      </c>
      <c r="AL5147">
        <v>88.807759562008201</v>
      </c>
      <c r="AM5147">
        <v>89.499563897321295</v>
      </c>
      <c r="AN5147">
        <v>1.00000002459864</v>
      </c>
    </row>
    <row r="5148" spans="1:40" x14ac:dyDescent="0.25">
      <c r="A5148" t="str">
        <f>"20190312160436521"</f>
        <v>20190312160436521</v>
      </c>
      <c r="B5148" t="str">
        <f>"1552377876509849"</f>
        <v>1552377876509849</v>
      </c>
      <c r="C5148" t="s">
        <v>40</v>
      </c>
      <c r="D5148">
        <v>5.1678600000000001</v>
      </c>
      <c r="E5148">
        <v>0.46568019999999999</v>
      </c>
      <c r="F5148" t="s">
        <v>41</v>
      </c>
      <c r="G5148">
        <v>-389.1592</v>
      </c>
      <c r="H5148" s="1">
        <v>-1.0621040000000001E-6</v>
      </c>
      <c r="I5148">
        <v>136.6474</v>
      </c>
      <c r="J5148">
        <v>-313.41210000000001</v>
      </c>
      <c r="K5148">
        <v>1.109631</v>
      </c>
      <c r="L5148">
        <v>141.55099999999999</v>
      </c>
      <c r="M5148">
        <v>-0.99979359999999995</v>
      </c>
      <c r="N5148">
        <v>0</v>
      </c>
      <c r="O5148">
        <v>1.7219229999999999E-2</v>
      </c>
      <c r="P5148">
        <v>-0.99960800000000005</v>
      </c>
      <c r="Q5148">
        <v>1.0250560000000001E-2</v>
      </c>
      <c r="R5148">
        <v>2.605683E-2</v>
      </c>
      <c r="S5148">
        <v>-3.0066220000000001</v>
      </c>
      <c r="T5148">
        <v>-4.3951270000000001E-2</v>
      </c>
      <c r="U5148">
        <v>-0.1941071</v>
      </c>
      <c r="V5148">
        <v>8.8437529999999993E-3</v>
      </c>
      <c r="W5148">
        <v>2.1030610000000002E-2</v>
      </c>
      <c r="X5148">
        <v>0.99973970000000001</v>
      </c>
      <c r="Y5148">
        <v>-8.1590099999999999E-2</v>
      </c>
      <c r="Z5148">
        <v>-8.4717500000000003E-4</v>
      </c>
      <c r="AA5148">
        <v>0.99666560000000004</v>
      </c>
      <c r="AB5148">
        <v>25</v>
      </c>
      <c r="AC5148">
        <v>-75.747099999999904</v>
      </c>
      <c r="AD5148">
        <v>-1.1096320621039999</v>
      </c>
      <c r="AE5148">
        <v>-4.9036000000000097</v>
      </c>
      <c r="AF5148">
        <v>-6.2059292350460398</v>
      </c>
      <c r="AG5148">
        <v>-1.1096320621039999</v>
      </c>
      <c r="AH5148">
        <v>75.635263708361705</v>
      </c>
      <c r="AI5148">
        <v>90.837701610588994</v>
      </c>
      <c r="AJ5148">
        <v>94.690653514133402</v>
      </c>
      <c r="AK5148">
        <v>75.897549085705506</v>
      </c>
      <c r="AL5148">
        <v>88.794945945093403</v>
      </c>
      <c r="AM5148">
        <v>89.493171567116804</v>
      </c>
      <c r="AN5148">
        <v>0.99999998314009297</v>
      </c>
    </row>
    <row r="5149" spans="1:40" x14ac:dyDescent="0.25">
      <c r="A5149" t="str">
        <f>"20190312160436540"</f>
        <v>20190312160436540</v>
      </c>
      <c r="B5149" t="str">
        <f>"1552377876530346"</f>
        <v>1552377876530346</v>
      </c>
      <c r="C5149" t="s">
        <v>40</v>
      </c>
      <c r="D5149">
        <v>5.1420159999999999</v>
      </c>
      <c r="E5149">
        <v>0.44305529999999999</v>
      </c>
      <c r="F5149" t="s">
        <v>41</v>
      </c>
      <c r="G5149">
        <v>-390.59559999999999</v>
      </c>
      <c r="H5149" s="1">
        <v>-4.5548650000000003E-6</v>
      </c>
      <c r="I5149">
        <v>136.58250000000001</v>
      </c>
      <c r="J5149">
        <v>-313.60660000000001</v>
      </c>
      <c r="K5149">
        <v>1.109632</v>
      </c>
      <c r="L5149">
        <v>141.55439999999999</v>
      </c>
      <c r="M5149">
        <v>-0.99979249999999997</v>
      </c>
      <c r="N5149">
        <v>0</v>
      </c>
      <c r="O5149">
        <v>1.7295020000000001E-2</v>
      </c>
      <c r="P5149">
        <v>-0.99960599999999999</v>
      </c>
      <c r="Q5149">
        <v>1.029656E-2</v>
      </c>
      <c r="R5149">
        <v>2.6117629999999999E-2</v>
      </c>
      <c r="S5149">
        <v>-3.006653</v>
      </c>
      <c r="T5149">
        <v>-4.3225409999999999E-2</v>
      </c>
      <c r="U5149">
        <v>-0.19354250000000001</v>
      </c>
      <c r="V5149">
        <v>8.8288299999999993E-3</v>
      </c>
      <c r="W5149">
        <v>2.1059209999999998E-2</v>
      </c>
      <c r="X5149">
        <v>0.99973920000000005</v>
      </c>
      <c r="Y5149">
        <v>-8.1478990000000001E-2</v>
      </c>
      <c r="Z5149">
        <v>-8.3347249999999999E-4</v>
      </c>
      <c r="AA5149">
        <v>0.99667470000000002</v>
      </c>
      <c r="AB5149">
        <v>25</v>
      </c>
      <c r="AC5149">
        <v>-76.988999999999905</v>
      </c>
      <c r="AD5149">
        <v>-1.109636554865</v>
      </c>
      <c r="AE5149">
        <v>-4.9718999999999696</v>
      </c>
      <c r="AF5149">
        <v>-6.3014561097342998</v>
      </c>
      <c r="AG5149">
        <v>-1.109636554865</v>
      </c>
      <c r="AH5149">
        <v>76.875586104302798</v>
      </c>
      <c r="AI5149">
        <v>90.824196672897997</v>
      </c>
      <c r="AJ5149">
        <v>94.686032033177</v>
      </c>
      <c r="AK5149">
        <v>77.141398621407404</v>
      </c>
      <c r="AL5149">
        <v>88.793306886755303</v>
      </c>
      <c r="AM5149">
        <v>89.494026494808594</v>
      </c>
      <c r="AN5149">
        <v>0.99999995329081504</v>
      </c>
    </row>
    <row r="5150" spans="1:40" x14ac:dyDescent="0.25">
      <c r="A5150" t="str">
        <f>"20190312160436554"</f>
        <v>20190312160436554</v>
      </c>
      <c r="B5150" t="str">
        <f>"1552377876549866"</f>
        <v>1552377876549866</v>
      </c>
      <c r="C5150" t="s">
        <v>40</v>
      </c>
      <c r="D5150">
        <v>5.0627389999999997</v>
      </c>
      <c r="E5150">
        <v>0.44366359999999999</v>
      </c>
      <c r="F5150" t="s">
        <v>45</v>
      </c>
      <c r="G5150">
        <v>0</v>
      </c>
      <c r="H5150">
        <v>0</v>
      </c>
      <c r="I5150">
        <v>0</v>
      </c>
      <c r="J5150">
        <v>-313.76130000000001</v>
      </c>
      <c r="K5150">
        <v>1.1096280000000001</v>
      </c>
      <c r="L5150">
        <v>141.55719999999999</v>
      </c>
      <c r="M5150">
        <v>-0.99979169999999995</v>
      </c>
      <c r="N5150">
        <v>0</v>
      </c>
      <c r="O5150">
        <v>1.735505E-2</v>
      </c>
      <c r="P5150">
        <v>-0.9995986</v>
      </c>
      <c r="Q5150">
        <v>1.0571229999999999E-2</v>
      </c>
      <c r="R5150">
        <v>2.6290089999999999E-2</v>
      </c>
      <c r="S5150">
        <v>-3.0108640000000002</v>
      </c>
      <c r="T5150">
        <v>1.3347029999999999E-2</v>
      </c>
      <c r="U5150">
        <v>-0.37539670000000003</v>
      </c>
      <c r="V5150">
        <v>8.9414179999999996E-3</v>
      </c>
      <c r="W5150">
        <v>2.1321409999999999E-2</v>
      </c>
      <c r="X5150">
        <v>0.99973270000000003</v>
      </c>
      <c r="Y5150">
        <v>-0.1409253</v>
      </c>
      <c r="Z5150">
        <v>3.87811E-4</v>
      </c>
      <c r="AA5150">
        <v>0.99002020000000002</v>
      </c>
      <c r="AB5150">
        <v>25</v>
      </c>
      <c r="AC5150">
        <v>-3.0108640000000002</v>
      </c>
      <c r="AD5150">
        <v>1.3347029999999999E-2</v>
      </c>
      <c r="AE5150">
        <v>-0.37539670000000003</v>
      </c>
      <c r="AF5150">
        <v>-0.42758859041582598</v>
      </c>
      <c r="AG5150">
        <v>1.3347029999999999E-2</v>
      </c>
      <c r="AH5150">
        <v>3.00383695132318</v>
      </c>
      <c r="AI5150">
        <v>89.747958482477102</v>
      </c>
      <c r="AJ5150">
        <v>98.101482254713503</v>
      </c>
      <c r="AK5150">
        <v>3.03414676243555</v>
      </c>
      <c r="AL5150">
        <v>88.778280629695701</v>
      </c>
      <c r="AM5150">
        <v>89.487571172921903</v>
      </c>
      <c r="AN5150">
        <v>1.00000001146476</v>
      </c>
    </row>
    <row r="5151" spans="1:40" x14ac:dyDescent="0.25">
      <c r="A5151" t="str">
        <f>"20190312160436565"</f>
        <v>20190312160436565</v>
      </c>
      <c r="B5151" t="str">
        <f>"1552377876560134"</f>
        <v>1552377876560134</v>
      </c>
      <c r="C5151" t="s">
        <v>40</v>
      </c>
      <c r="D5151">
        <v>4.9924619999999997</v>
      </c>
      <c r="E5151">
        <v>0.4439015</v>
      </c>
      <c r="F5151" t="s">
        <v>45</v>
      </c>
      <c r="G5151">
        <v>0</v>
      </c>
      <c r="H5151">
        <v>0</v>
      </c>
      <c r="I5151">
        <v>0</v>
      </c>
      <c r="J5151">
        <v>-313.8974</v>
      </c>
      <c r="K5151">
        <v>1.109626</v>
      </c>
      <c r="L5151">
        <v>141.55959999999999</v>
      </c>
      <c r="M5151">
        <v>-0.99979070000000003</v>
      </c>
      <c r="N5151">
        <v>0</v>
      </c>
      <c r="O5151">
        <v>1.740827E-2</v>
      </c>
      <c r="P5151">
        <v>-0.99960490000000002</v>
      </c>
      <c r="Q5151">
        <v>1.0375779999999999E-2</v>
      </c>
      <c r="R5151">
        <v>2.6127460000000002E-2</v>
      </c>
      <c r="S5151">
        <v>-3.0108030000000001</v>
      </c>
      <c r="T5151">
        <v>1.037312E-2</v>
      </c>
      <c r="U5151">
        <v>-0.36987300000000001</v>
      </c>
      <c r="V5151">
        <v>8.7255179999999998E-3</v>
      </c>
      <c r="W5151">
        <v>2.1115950000000001E-2</v>
      </c>
      <c r="X5151">
        <v>0.99973889999999999</v>
      </c>
      <c r="Y5151">
        <v>-0.13919200000000001</v>
      </c>
      <c r="Z5151">
        <v>2.9864939999999998E-4</v>
      </c>
      <c r="AA5151">
        <v>0.99026539999999996</v>
      </c>
      <c r="AB5151">
        <v>25</v>
      </c>
      <c r="AC5151">
        <v>-3.0108030000000001</v>
      </c>
      <c r="AD5151">
        <v>1.037312E-2</v>
      </c>
      <c r="AE5151">
        <v>-0.36987300000000001</v>
      </c>
      <c r="AF5151">
        <v>-0.42222790616046002</v>
      </c>
      <c r="AG5151">
        <v>1.037312E-2</v>
      </c>
      <c r="AH5151">
        <v>3.0038723569311299</v>
      </c>
      <c r="AI5151">
        <v>89.804070232299196</v>
      </c>
      <c r="AJ5151">
        <v>98.001144298130697</v>
      </c>
      <c r="AK5151">
        <v>3.0334193813408201</v>
      </c>
      <c r="AL5151">
        <v>88.790055188660304</v>
      </c>
      <c r="AM5151">
        <v>89.499946774155305</v>
      </c>
      <c r="AN5151">
        <v>0.99999994309098805</v>
      </c>
    </row>
    <row r="5152" spans="1:40" x14ac:dyDescent="0.25">
      <c r="A5152" t="str">
        <f>"20190312160436586"</f>
        <v>20190312160436586</v>
      </c>
      <c r="B5152" t="str">
        <f>"1552377876580629"</f>
        <v>1552377876580629</v>
      </c>
      <c r="C5152" t="s">
        <v>40</v>
      </c>
      <c r="D5152">
        <v>4.8221410000000002</v>
      </c>
      <c r="E5152">
        <v>0.4441872</v>
      </c>
      <c r="F5152" t="s">
        <v>45</v>
      </c>
      <c r="G5152">
        <v>0</v>
      </c>
      <c r="H5152">
        <v>0</v>
      </c>
      <c r="I5152">
        <v>0</v>
      </c>
      <c r="J5152">
        <v>-314.113</v>
      </c>
      <c r="K5152">
        <v>1.109613</v>
      </c>
      <c r="L5152">
        <v>141.5634</v>
      </c>
      <c r="M5152">
        <v>-0.9997895</v>
      </c>
      <c r="N5152">
        <v>0</v>
      </c>
      <c r="O5152">
        <v>1.749239E-2</v>
      </c>
      <c r="P5152">
        <v>-0.99960939999999998</v>
      </c>
      <c r="Q5152">
        <v>1.065018E-2</v>
      </c>
      <c r="R5152">
        <v>2.583802E-2</v>
      </c>
      <c r="S5152">
        <v>-3.0107729999999999</v>
      </c>
      <c r="T5152">
        <v>6.4843890000000001E-3</v>
      </c>
      <c r="U5152">
        <v>-0.3683014</v>
      </c>
      <c r="V5152">
        <v>8.3517160000000003E-3</v>
      </c>
      <c r="W5152">
        <v>2.137528E-2</v>
      </c>
      <c r="X5152">
        <v>0.99973670000000003</v>
      </c>
      <c r="Y5152">
        <v>-0.1387678</v>
      </c>
      <c r="Z5152">
        <v>1.8642370000000001E-4</v>
      </c>
      <c r="AA5152">
        <v>0.99032489999999995</v>
      </c>
      <c r="AB5152">
        <v>25</v>
      </c>
      <c r="AC5152">
        <v>-3.0107729999999999</v>
      </c>
      <c r="AD5152">
        <v>6.4843890000000001E-3</v>
      </c>
      <c r="AE5152">
        <v>-0.3683014</v>
      </c>
      <c r="AF5152">
        <v>-0.42091176177445999</v>
      </c>
      <c r="AG5152">
        <v>6.4843890000000001E-3</v>
      </c>
      <c r="AH5152">
        <v>3.0038557178309899</v>
      </c>
      <c r="AI5152">
        <v>89.877513094772794</v>
      </c>
      <c r="AJ5152">
        <v>97.976568709271405</v>
      </c>
      <c r="AK5152">
        <v>3.03320918039734</v>
      </c>
      <c r="AL5152">
        <v>88.775193463846605</v>
      </c>
      <c r="AM5152">
        <v>89.521367028572101</v>
      </c>
      <c r="AN5152">
        <v>1.00000006154105</v>
      </c>
    </row>
    <row r="5153" spans="1:40" x14ac:dyDescent="0.25">
      <c r="A5153" t="str">
        <f>"20190312160436608"</f>
        <v>20190312160436608</v>
      </c>
      <c r="B5153" t="str">
        <f>"1552377876600149"</f>
        <v>1552377876600149</v>
      </c>
      <c r="C5153" t="s">
        <v>40</v>
      </c>
      <c r="D5153">
        <v>4.8785059999999998</v>
      </c>
      <c r="E5153">
        <v>0.44444539999999999</v>
      </c>
      <c r="F5153" t="s">
        <v>45</v>
      </c>
      <c r="G5153">
        <v>0</v>
      </c>
      <c r="H5153">
        <v>0</v>
      </c>
      <c r="I5153">
        <v>0</v>
      </c>
      <c r="J5153">
        <v>-314.36169999999998</v>
      </c>
      <c r="K5153">
        <v>1.109615</v>
      </c>
      <c r="L5153">
        <v>141.56790000000001</v>
      </c>
      <c r="M5153">
        <v>-0.99978800000000001</v>
      </c>
      <c r="N5153">
        <v>0</v>
      </c>
      <c r="O5153">
        <v>1.7589210000000001E-2</v>
      </c>
      <c r="P5153">
        <v>-0.99961480000000003</v>
      </c>
      <c r="Q5153">
        <v>1.078693E-2</v>
      </c>
      <c r="R5153">
        <v>2.5578960000000001E-2</v>
      </c>
      <c r="S5153">
        <v>-3.0105590000000002</v>
      </c>
      <c r="T5153">
        <v>1.1005640000000001E-2</v>
      </c>
      <c r="U5153">
        <v>-0.36698910000000001</v>
      </c>
      <c r="V5153">
        <v>7.9959390000000005E-3</v>
      </c>
      <c r="W5153">
        <v>2.1496370000000001E-2</v>
      </c>
      <c r="X5153">
        <v>0.99973699999999999</v>
      </c>
      <c r="Y5153">
        <v>-0.13844609999999999</v>
      </c>
      <c r="Z5153">
        <v>3.1620489999999998E-4</v>
      </c>
      <c r="AA5153">
        <v>0.99036990000000003</v>
      </c>
      <c r="AB5153">
        <v>25</v>
      </c>
      <c r="AC5153">
        <v>-3.0105590000000002</v>
      </c>
      <c r="AD5153">
        <v>1.1005640000000001E-2</v>
      </c>
      <c r="AE5153">
        <v>-0.36698910000000001</v>
      </c>
      <c r="AF5153">
        <v>-0.41988317863465002</v>
      </c>
      <c r="AG5153">
        <v>1.1005640000000001E-2</v>
      </c>
      <c r="AH5153">
        <v>3.00359823625943</v>
      </c>
      <c r="AI5153">
        <v>89.792082240464893</v>
      </c>
      <c r="AJ5153">
        <v>97.957999727437397</v>
      </c>
      <c r="AK5153">
        <v>3.0328246524771099</v>
      </c>
      <c r="AL5153">
        <v>88.768253908436506</v>
      </c>
      <c r="AM5153">
        <v>89.541755692161601</v>
      </c>
      <c r="AN5153">
        <v>1.0000000490663301</v>
      </c>
    </row>
    <row r="5154" spans="1:40" x14ac:dyDescent="0.25">
      <c r="A5154" t="str">
        <f>"20190312160436630"</f>
        <v>20190312160436630</v>
      </c>
      <c r="B5154" t="str">
        <f>"1552377876620644"</f>
        <v>1552377876620644</v>
      </c>
      <c r="C5154" t="s">
        <v>40</v>
      </c>
      <c r="D5154">
        <v>4.8489509999999996</v>
      </c>
      <c r="E5154">
        <v>0.44475759999999998</v>
      </c>
      <c r="F5154" t="s">
        <v>45</v>
      </c>
      <c r="G5154">
        <v>0</v>
      </c>
      <c r="H5154">
        <v>0</v>
      </c>
      <c r="I5154">
        <v>0</v>
      </c>
      <c r="J5154">
        <v>-314.59890000000001</v>
      </c>
      <c r="K5154">
        <v>1.109613</v>
      </c>
      <c r="L5154">
        <v>141.57220000000001</v>
      </c>
      <c r="M5154">
        <v>-0.99978650000000002</v>
      </c>
      <c r="N5154">
        <v>0</v>
      </c>
      <c r="O5154">
        <v>1.7681880000000001E-2</v>
      </c>
      <c r="P5154">
        <v>-0.99961560000000005</v>
      </c>
      <c r="Q5154">
        <v>1.119203E-2</v>
      </c>
      <c r="R5154">
        <v>2.537362E-2</v>
      </c>
      <c r="S5154">
        <v>-3.0103759999999999</v>
      </c>
      <c r="T5154">
        <v>1.5135529999999999E-2</v>
      </c>
      <c r="U5154">
        <v>-0.3659058</v>
      </c>
      <c r="V5154">
        <v>7.6980590000000002E-3</v>
      </c>
      <c r="W5154">
        <v>2.188205E-2</v>
      </c>
      <c r="X5154">
        <v>0.99973089999999998</v>
      </c>
      <c r="Y5154">
        <v>-0.13819300000000001</v>
      </c>
      <c r="Z5154">
        <v>4.3472619999999998E-4</v>
      </c>
      <c r="AA5154">
        <v>0.99040519999999999</v>
      </c>
      <c r="AB5154">
        <v>25</v>
      </c>
      <c r="AC5154">
        <v>-3.0103759999999999</v>
      </c>
      <c r="AD5154">
        <v>1.5135529999999999E-2</v>
      </c>
      <c r="AE5154">
        <v>-0.3659058</v>
      </c>
      <c r="AF5154">
        <v>-0.41907029930837397</v>
      </c>
      <c r="AG5154">
        <v>1.5135529999999999E-2</v>
      </c>
      <c r="AH5154">
        <v>3.0033602262582102</v>
      </c>
      <c r="AI5154">
        <v>89.714028945841605</v>
      </c>
      <c r="AJ5154">
        <v>97.943411543213898</v>
      </c>
      <c r="AK5154">
        <v>3.0324942949164102</v>
      </c>
      <c r="AL5154">
        <v>88.746150784934997</v>
      </c>
      <c r="AM5154">
        <v>89.558823705243199</v>
      </c>
      <c r="AN5154">
        <v>0.99999997831968901</v>
      </c>
    </row>
    <row r="5155" spans="1:40" x14ac:dyDescent="0.25">
      <c r="A5155" t="str">
        <f>"20190312160436652"</f>
        <v>20190312160436652</v>
      </c>
      <c r="B5155" t="str">
        <f>"1552377876640165"</f>
        <v>1552377876640165</v>
      </c>
      <c r="C5155" t="s">
        <v>40</v>
      </c>
      <c r="D5155">
        <v>4.7964510000000002</v>
      </c>
      <c r="E5155">
        <v>0.44492609999999999</v>
      </c>
      <c r="F5155" t="s">
        <v>45</v>
      </c>
      <c r="G5155">
        <v>0</v>
      </c>
      <c r="H5155">
        <v>0</v>
      </c>
      <c r="I5155">
        <v>0</v>
      </c>
      <c r="J5155">
        <v>-314.84969999999998</v>
      </c>
      <c r="K5155">
        <v>1.1096170000000001</v>
      </c>
      <c r="L5155">
        <v>141.57669999999999</v>
      </c>
      <c r="M5155">
        <v>-0.99978509999999998</v>
      </c>
      <c r="N5155">
        <v>0</v>
      </c>
      <c r="O5155">
        <v>1.777975E-2</v>
      </c>
      <c r="P5155">
        <v>-0.99961960000000005</v>
      </c>
      <c r="Q5155">
        <v>1.12812E-2</v>
      </c>
      <c r="R5155">
        <v>2.5173259999999999E-2</v>
      </c>
      <c r="S5155">
        <v>-3.0101930000000001</v>
      </c>
      <c r="T5155">
        <v>1.9425390000000001E-2</v>
      </c>
      <c r="U5155">
        <v>-0.36404419999999998</v>
      </c>
      <c r="V5155">
        <v>7.39981699999999E-3</v>
      </c>
      <c r="W5155">
        <v>2.1948780000000001E-2</v>
      </c>
      <c r="X5155">
        <v>0.9997317</v>
      </c>
      <c r="Y5155">
        <v>-0.13769229999999999</v>
      </c>
      <c r="Z5155">
        <v>5.5701250000000002E-4</v>
      </c>
      <c r="AA5155">
        <v>0.99047490000000005</v>
      </c>
      <c r="AB5155">
        <v>25</v>
      </c>
      <c r="AC5155">
        <v>-3.0101930000000001</v>
      </c>
      <c r="AD5155">
        <v>1.9425390000000001E-2</v>
      </c>
      <c r="AE5155">
        <v>-0.36404419999999998</v>
      </c>
      <c r="AF5155">
        <v>-0.41749303291072698</v>
      </c>
      <c r="AG5155">
        <v>1.9425390000000001E-2</v>
      </c>
      <c r="AH5155">
        <v>3.0031208765516899</v>
      </c>
      <c r="AI5155">
        <v>89.632923172012795</v>
      </c>
      <c r="AJ5155">
        <v>97.914516957057003</v>
      </c>
      <c r="AK5155">
        <v>3.03206411170448</v>
      </c>
      <c r="AL5155">
        <v>88.742326532577493</v>
      </c>
      <c r="AM5155">
        <v>89.575915677440904</v>
      </c>
      <c r="AN5155">
        <v>0.99999998911000498</v>
      </c>
    </row>
    <row r="5156" spans="1:40" x14ac:dyDescent="0.25">
      <c r="A5156" t="str">
        <f>"20190312160436675"</f>
        <v>20190312160436675</v>
      </c>
      <c r="B5156" t="str">
        <f>"1552377876669955"</f>
        <v>1552377876669955</v>
      </c>
      <c r="C5156" t="s">
        <v>40</v>
      </c>
      <c r="D5156">
        <v>4.7677519999999998</v>
      </c>
      <c r="E5156">
        <v>0.44511580000000001</v>
      </c>
      <c r="F5156" t="s">
        <v>45</v>
      </c>
      <c r="G5156">
        <v>0</v>
      </c>
      <c r="H5156">
        <v>0</v>
      </c>
      <c r="I5156">
        <v>0</v>
      </c>
      <c r="J5156">
        <v>-315.10599999999999</v>
      </c>
      <c r="K5156">
        <v>1.1096189999999999</v>
      </c>
      <c r="L5156">
        <v>141.5814</v>
      </c>
      <c r="M5156">
        <v>-0.99978350000000005</v>
      </c>
      <c r="N5156">
        <v>0</v>
      </c>
      <c r="O5156">
        <v>1.7879760000000001E-2</v>
      </c>
      <c r="P5156">
        <v>-0.99961920000000004</v>
      </c>
      <c r="Q5156">
        <v>1.1524639999999999E-2</v>
      </c>
      <c r="R5156">
        <v>2.5079000000000001E-2</v>
      </c>
      <c r="S5156">
        <v>-3.0100709999999999</v>
      </c>
      <c r="T5156">
        <v>2.0379540000000002E-2</v>
      </c>
      <c r="U5156">
        <v>-0.36338809999999999</v>
      </c>
      <c r="V5156">
        <v>7.2056059999999998E-3</v>
      </c>
      <c r="W5156">
        <v>2.2170459999999999E-2</v>
      </c>
      <c r="X5156">
        <v>0.99972830000000001</v>
      </c>
      <c r="Y5156">
        <v>-0.13758310000000001</v>
      </c>
      <c r="Z5156">
        <v>5.8470919999999995E-4</v>
      </c>
      <c r="AA5156">
        <v>0.99049010000000004</v>
      </c>
      <c r="AB5156">
        <v>25</v>
      </c>
      <c r="AC5156">
        <v>-3.0100709999999999</v>
      </c>
      <c r="AD5156">
        <v>2.0379540000000002E-2</v>
      </c>
      <c r="AE5156">
        <v>-0.36338809999999999</v>
      </c>
      <c r="AF5156">
        <v>-0.41713355275435199</v>
      </c>
      <c r="AG5156">
        <v>2.0379540000000002E-2</v>
      </c>
      <c r="AH5156">
        <v>3.0029564333200698</v>
      </c>
      <c r="AI5156">
        <v>89.614866390499301</v>
      </c>
      <c r="AJ5156">
        <v>97.908216008291205</v>
      </c>
      <c r="AK5156">
        <v>3.0318580222204501</v>
      </c>
      <c r="AL5156">
        <v>88.729622205012404</v>
      </c>
      <c r="AM5156">
        <v>89.587044136094704</v>
      </c>
      <c r="AN5156">
        <v>1.0000000619376599</v>
      </c>
    </row>
    <row r="5157" spans="1:40" x14ac:dyDescent="0.25">
      <c r="A5157" t="str">
        <f>"20190312160436697"</f>
        <v>20190312160436697</v>
      </c>
      <c r="B5157" t="str">
        <f>"1552377876690453"</f>
        <v>1552377876690453</v>
      </c>
      <c r="C5157" t="s">
        <v>40</v>
      </c>
      <c r="D5157">
        <v>4.7256859999999996</v>
      </c>
      <c r="E5157">
        <v>0.44507940000000001</v>
      </c>
      <c r="F5157" t="s">
        <v>45</v>
      </c>
      <c r="G5157">
        <v>0</v>
      </c>
      <c r="H5157">
        <v>0</v>
      </c>
      <c r="I5157">
        <v>0</v>
      </c>
      <c r="J5157">
        <v>-315.34840000000003</v>
      </c>
      <c r="K5157">
        <v>1.1096159999999999</v>
      </c>
      <c r="L5157">
        <v>141.58580000000001</v>
      </c>
      <c r="M5157">
        <v>-0.99978199999999995</v>
      </c>
      <c r="N5157">
        <v>0</v>
      </c>
      <c r="O5157">
        <v>1.7974270000000001E-2</v>
      </c>
      <c r="P5157">
        <v>-0.99962169999999895</v>
      </c>
      <c r="Q5157">
        <v>1.1932979999999999E-2</v>
      </c>
      <c r="R5157">
        <v>2.4789530000000001E-2</v>
      </c>
      <c r="S5157">
        <v>-3.009979</v>
      </c>
      <c r="T5157">
        <v>2.1975640000000001E-2</v>
      </c>
      <c r="U5157">
        <v>-0.36213679999999998</v>
      </c>
      <c r="V5157">
        <v>6.8217019999999998E-3</v>
      </c>
      <c r="W5157">
        <v>2.2561370000000001E-2</v>
      </c>
      <c r="X5157">
        <v>0.99972220000000001</v>
      </c>
      <c r="Y5157">
        <v>-0.1372739</v>
      </c>
      <c r="Z5157">
        <v>6.3009920000000003E-4</v>
      </c>
      <c r="AA5157">
        <v>0.99053290000000005</v>
      </c>
      <c r="AB5157">
        <v>25</v>
      </c>
      <c r="AC5157">
        <v>-3.009979</v>
      </c>
      <c r="AD5157">
        <v>2.1975640000000001E-2</v>
      </c>
      <c r="AE5157">
        <v>-0.36213679999999998</v>
      </c>
      <c r="AF5157">
        <v>-0.41616165270428401</v>
      </c>
      <c r="AG5157">
        <v>2.1975640000000001E-2</v>
      </c>
      <c r="AH5157">
        <v>3.0028253928234099</v>
      </c>
      <c r="AI5157">
        <v>89.584668149512893</v>
      </c>
      <c r="AJ5157">
        <v>97.890362566250602</v>
      </c>
      <c r="AK5157">
        <v>3.0316058104113801</v>
      </c>
      <c r="AL5157">
        <v>88.707219047140796</v>
      </c>
      <c r="AM5157">
        <v>89.609042724462199</v>
      </c>
      <c r="AN5157">
        <v>1.00000001410364</v>
      </c>
    </row>
    <row r="5158" spans="1:40" x14ac:dyDescent="0.25">
      <c r="A5158" t="str">
        <f>"20190312160436718"</f>
        <v>20190312160436718</v>
      </c>
      <c r="B5158" t="str">
        <f>"1552377876709969"</f>
        <v>1552377876709969</v>
      </c>
      <c r="C5158" t="s">
        <v>40</v>
      </c>
      <c r="D5158">
        <v>4.7991739999999998</v>
      </c>
      <c r="E5158">
        <v>0.4450133</v>
      </c>
      <c r="F5158" t="s">
        <v>45</v>
      </c>
      <c r="G5158">
        <v>0</v>
      </c>
      <c r="H5158">
        <v>0</v>
      </c>
      <c r="I5158">
        <v>0</v>
      </c>
      <c r="J5158">
        <v>-315.58800000000002</v>
      </c>
      <c r="K5158">
        <v>1.109618</v>
      </c>
      <c r="L5158">
        <v>141.59030000000001</v>
      </c>
      <c r="M5158">
        <v>-0.99978049999999996</v>
      </c>
      <c r="N5158">
        <v>0</v>
      </c>
      <c r="O5158">
        <v>1.8067570000000002E-2</v>
      </c>
      <c r="P5158">
        <v>-0.99960640000000001</v>
      </c>
      <c r="Q5158">
        <v>1.2313960000000001E-2</v>
      </c>
      <c r="R5158">
        <v>2.5213090000000001E-2</v>
      </c>
      <c r="S5158">
        <v>-3.0098569999999998</v>
      </c>
      <c r="T5158">
        <v>2.5332449999999999E-2</v>
      </c>
      <c r="U5158">
        <v>-0.3633728</v>
      </c>
      <c r="V5158">
        <v>7.1522859999999999E-3</v>
      </c>
      <c r="W5158">
        <v>2.2927010000000001E-2</v>
      </c>
      <c r="X5158">
        <v>0.99971160000000003</v>
      </c>
      <c r="Y5158">
        <v>-0.13777059999999999</v>
      </c>
      <c r="Z5158">
        <v>7.292221E-4</v>
      </c>
      <c r="AA5158">
        <v>0.99046389999999995</v>
      </c>
      <c r="AB5158">
        <v>25</v>
      </c>
      <c r="AC5158">
        <v>-3.0098569999999998</v>
      </c>
      <c r="AD5158">
        <v>2.5332449999999999E-2</v>
      </c>
      <c r="AE5158">
        <v>-0.3633728</v>
      </c>
      <c r="AF5158">
        <v>-0.41766817942345602</v>
      </c>
      <c r="AG5158">
        <v>2.5332449999999999E-2</v>
      </c>
      <c r="AH5158">
        <v>3.0025903670804599</v>
      </c>
      <c r="AI5158">
        <v>89.5212243376332</v>
      </c>
      <c r="AJ5158">
        <v>97.919176350365703</v>
      </c>
      <c r="AK5158">
        <v>3.0316063982005099</v>
      </c>
      <c r="AL5158">
        <v>88.686264035864795</v>
      </c>
      <c r="AM5158">
        <v>89.590092972688396</v>
      </c>
      <c r="AN5158">
        <v>1.0000000430785601</v>
      </c>
    </row>
    <row r="5159" spans="1:40" x14ac:dyDescent="0.25">
      <c r="A5159" t="str">
        <f>"20190312160436740"</f>
        <v>20190312160436740</v>
      </c>
      <c r="B5159" t="str">
        <f>"1552377876730466"</f>
        <v>1552377876730466</v>
      </c>
      <c r="C5159" t="s">
        <v>40</v>
      </c>
      <c r="D5159">
        <v>4.6597390000000001</v>
      </c>
      <c r="E5159">
        <v>0.44489489999999998</v>
      </c>
      <c r="F5159" t="s">
        <v>45</v>
      </c>
      <c r="G5159">
        <v>0</v>
      </c>
      <c r="H5159">
        <v>0</v>
      </c>
      <c r="I5159">
        <v>0</v>
      </c>
      <c r="J5159">
        <v>-315.83319999999998</v>
      </c>
      <c r="K5159">
        <v>1.1096189999999999</v>
      </c>
      <c r="L5159">
        <v>141.59479999999999</v>
      </c>
      <c r="M5159">
        <v>-0.99977890000000003</v>
      </c>
      <c r="N5159">
        <v>0</v>
      </c>
      <c r="O5159">
        <v>1.8163189999999999E-2</v>
      </c>
      <c r="P5159">
        <v>-0.9995908</v>
      </c>
      <c r="Q5159">
        <v>1.2882370000000001E-2</v>
      </c>
      <c r="R5159">
        <v>2.554501E-2</v>
      </c>
      <c r="S5159">
        <v>-3.0099490000000002</v>
      </c>
      <c r="T5159">
        <v>3.070819E-2</v>
      </c>
      <c r="U5159">
        <v>-0.36265560000000002</v>
      </c>
      <c r="V5159">
        <v>7.38886199999999E-3</v>
      </c>
      <c r="W5159">
        <v>2.3479989999999999E-2</v>
      </c>
      <c r="X5159">
        <v>0.99969699999999995</v>
      </c>
      <c r="Y5159">
        <v>-0.13762659999999999</v>
      </c>
      <c r="Z5159">
        <v>8.841872E-4</v>
      </c>
      <c r="AA5159">
        <v>0.99048380000000003</v>
      </c>
      <c r="AB5159">
        <v>25</v>
      </c>
      <c r="AC5159">
        <v>-3.0099490000000002</v>
      </c>
      <c r="AD5159">
        <v>3.070819E-2</v>
      </c>
      <c r="AE5159">
        <v>-0.36265560000000002</v>
      </c>
      <c r="AF5159">
        <v>-0.41722630643682301</v>
      </c>
      <c r="AG5159">
        <v>3.070819E-2</v>
      </c>
      <c r="AH5159">
        <v>3.0025570070134902</v>
      </c>
      <c r="AI5159">
        <v>89.419612840463799</v>
      </c>
      <c r="AJ5159">
        <v>97.910991149953901</v>
      </c>
      <c r="AK5159">
        <v>3.0315621986167098</v>
      </c>
      <c r="AL5159">
        <v>88.654572024036298</v>
      </c>
      <c r="AM5159">
        <v>89.576528788951904</v>
      </c>
      <c r="AN5159">
        <v>0.99999999851052701</v>
      </c>
    </row>
    <row r="5160" spans="1:40" x14ac:dyDescent="0.25">
      <c r="A5160" t="str">
        <f>"20190312160436763"</f>
        <v>20190312160436763</v>
      </c>
      <c r="B5160" t="str">
        <f>"1552377876749985"</f>
        <v>1552377876749985</v>
      </c>
      <c r="C5160" t="s">
        <v>40</v>
      </c>
      <c r="D5160">
        <v>4.6271500000000003</v>
      </c>
      <c r="E5160">
        <v>0.44477349999999999</v>
      </c>
      <c r="F5160" t="s">
        <v>45</v>
      </c>
      <c r="G5160">
        <v>0</v>
      </c>
      <c r="H5160">
        <v>0</v>
      </c>
      <c r="I5160">
        <v>0</v>
      </c>
      <c r="J5160">
        <v>-316.08589999999998</v>
      </c>
      <c r="K5160">
        <v>1.1096200000000001</v>
      </c>
      <c r="L5160">
        <v>141.59950000000001</v>
      </c>
      <c r="M5160">
        <v>-0.99977729999999998</v>
      </c>
      <c r="N5160">
        <v>0</v>
      </c>
      <c r="O5160">
        <v>1.8261320000000001E-2</v>
      </c>
      <c r="P5160">
        <v>-0.99958139999999995</v>
      </c>
      <c r="Q5160">
        <v>1.283544E-2</v>
      </c>
      <c r="R5160">
        <v>2.5929959999999998E-2</v>
      </c>
      <c r="S5160">
        <v>-3.0100709999999999</v>
      </c>
      <c r="T5160">
        <v>3.575242E-2</v>
      </c>
      <c r="U5160">
        <v>-0.36270140000000001</v>
      </c>
      <c r="V5160">
        <v>7.6755429999999999E-3</v>
      </c>
      <c r="W5160">
        <v>2.341992E-2</v>
      </c>
      <c r="X5160">
        <v>0.99969629999999998</v>
      </c>
      <c r="Y5160">
        <v>-0.13773099999999999</v>
      </c>
      <c r="Z5160">
        <v>1.031155E-3</v>
      </c>
      <c r="AA5160">
        <v>0.99046920000000005</v>
      </c>
      <c r="AB5160">
        <v>25</v>
      </c>
      <c r="AC5160">
        <v>-3.0100709999999999</v>
      </c>
      <c r="AD5160">
        <v>3.575242E-2</v>
      </c>
      <c r="AE5160">
        <v>-0.36270140000000001</v>
      </c>
      <c r="AF5160">
        <v>-0.417553792538569</v>
      </c>
      <c r="AG5160">
        <v>3.575242E-2</v>
      </c>
      <c r="AH5160">
        <v>3.0025277056202202</v>
      </c>
      <c r="AI5160">
        <v>89.324288302020307</v>
      </c>
      <c r="AJ5160">
        <v>97.917198158668896</v>
      </c>
      <c r="AK5160">
        <v>3.03163355770717</v>
      </c>
      <c r="AL5160">
        <v>88.6580147965565</v>
      </c>
      <c r="AM5160">
        <v>89.560098823903601</v>
      </c>
      <c r="AN5160">
        <v>1.00000004942341</v>
      </c>
    </row>
    <row r="5161" spans="1:40" x14ac:dyDescent="0.25">
      <c r="A5161" t="str">
        <f>"20190312160436787"</f>
        <v>20190312160436787</v>
      </c>
      <c r="B5161" t="str">
        <f>"1552377876780241"</f>
        <v>1552377876780241</v>
      </c>
      <c r="C5161" t="s">
        <v>40</v>
      </c>
      <c r="D5161">
        <v>4.5921909999999997</v>
      </c>
      <c r="E5161">
        <v>0.44460240000000001</v>
      </c>
      <c r="F5161" t="s">
        <v>45</v>
      </c>
      <c r="G5161">
        <v>0</v>
      </c>
      <c r="H5161">
        <v>0</v>
      </c>
      <c r="I5161">
        <v>0</v>
      </c>
      <c r="J5161">
        <v>-316.34780000000001</v>
      </c>
      <c r="K5161">
        <v>1.109613</v>
      </c>
      <c r="L5161">
        <v>141.6044</v>
      </c>
      <c r="M5161">
        <v>-0.99977550000000004</v>
      </c>
      <c r="N5161">
        <v>0</v>
      </c>
      <c r="O5161">
        <v>1.8363129999999998E-2</v>
      </c>
      <c r="P5161">
        <v>-0.99957090000000004</v>
      </c>
      <c r="Q5161">
        <v>1.2776859999999999E-2</v>
      </c>
      <c r="R5161">
        <v>2.635993E-2</v>
      </c>
      <c r="S5161">
        <v>-3.0101619999999998</v>
      </c>
      <c r="T5161">
        <v>3.838921E-2</v>
      </c>
      <c r="U5161">
        <v>-0.36262509999999998</v>
      </c>
      <c r="V5161">
        <v>8.0040440000000001E-3</v>
      </c>
      <c r="W5161">
        <v>2.3348899999999999E-2</v>
      </c>
      <c r="X5161">
        <v>0.99969540000000001</v>
      </c>
      <c r="Y5161">
        <v>-0.1378019</v>
      </c>
      <c r="Z5161">
        <v>1.1089100000000001E-3</v>
      </c>
      <c r="AA5161">
        <v>0.99045919999999998</v>
      </c>
      <c r="AB5161">
        <v>25</v>
      </c>
      <c r="AC5161">
        <v>-3.0101619999999998</v>
      </c>
      <c r="AD5161">
        <v>3.838921E-2</v>
      </c>
      <c r="AE5161">
        <v>-0.36262509999999998</v>
      </c>
      <c r="AF5161">
        <v>-0.41777605652143102</v>
      </c>
      <c r="AG5161">
        <v>3.838921E-2</v>
      </c>
      <c r="AH5161">
        <v>3.00251372049263</v>
      </c>
      <c r="AI5161">
        <v>89.274462795696095</v>
      </c>
      <c r="AJ5161">
        <v>97.921395429707701</v>
      </c>
      <c r="AK5161">
        <v>3.0316825702229302</v>
      </c>
      <c r="AL5161">
        <v>88.662085075569607</v>
      </c>
      <c r="AM5161">
        <v>89.541272130162</v>
      </c>
      <c r="AN5161">
        <v>1.00000006431636</v>
      </c>
    </row>
    <row r="5162" spans="1:40" x14ac:dyDescent="0.25">
      <c r="A5162" t="str">
        <f>"20190312160436809"</f>
        <v>20190312160436809</v>
      </c>
      <c r="B5162" t="str">
        <f>"1552377876799761"</f>
        <v>1552377876799761</v>
      </c>
      <c r="C5162" t="s">
        <v>40</v>
      </c>
      <c r="D5162">
        <v>4.5809230000000003</v>
      </c>
      <c r="E5162">
        <v>0.44459349999999997</v>
      </c>
      <c r="F5162" t="s">
        <v>45</v>
      </c>
      <c r="G5162">
        <v>0</v>
      </c>
      <c r="H5162">
        <v>0</v>
      </c>
      <c r="I5162">
        <v>0</v>
      </c>
      <c r="J5162">
        <v>-316.59120000000001</v>
      </c>
      <c r="K5162">
        <v>1.109613</v>
      </c>
      <c r="L5162">
        <v>141.60900000000001</v>
      </c>
      <c r="M5162">
        <v>-0.99977389999999999</v>
      </c>
      <c r="N5162">
        <v>0</v>
      </c>
      <c r="O5162">
        <v>1.8457379999999999E-2</v>
      </c>
      <c r="P5162">
        <v>-0.99956310000000004</v>
      </c>
      <c r="Q5162">
        <v>1.3268800000000001E-2</v>
      </c>
      <c r="R5162">
        <v>2.6416450000000001E-2</v>
      </c>
      <c r="S5162">
        <v>-3.0103149999999999</v>
      </c>
      <c r="T5162">
        <v>4.3176770000000003E-2</v>
      </c>
      <c r="U5162">
        <v>-0.36291499999999999</v>
      </c>
      <c r="V5162">
        <v>7.9664750000000006E-3</v>
      </c>
      <c r="W5162">
        <v>2.3826079999999999E-2</v>
      </c>
      <c r="X5162">
        <v>0.99968440000000003</v>
      </c>
      <c r="Y5162">
        <v>-0.13797999999999999</v>
      </c>
      <c r="Z5162">
        <v>1.249741E-3</v>
      </c>
      <c r="AA5162">
        <v>0.99043419999999904</v>
      </c>
      <c r="AB5162">
        <v>25</v>
      </c>
      <c r="AC5162">
        <v>-3.0103149999999999</v>
      </c>
      <c r="AD5162">
        <v>4.3176770000000003E-2</v>
      </c>
      <c r="AE5162">
        <v>-0.36291499999999999</v>
      </c>
      <c r="AF5162">
        <v>-0.41833396808256301</v>
      </c>
      <c r="AG5162">
        <v>4.3176770000000003E-2</v>
      </c>
      <c r="AH5162">
        <v>3.0024944720022799</v>
      </c>
      <c r="AI5162">
        <v>89.184007397318496</v>
      </c>
      <c r="AJ5162">
        <v>97.931889567249698</v>
      </c>
      <c r="AK5162">
        <v>3.0318048414638401</v>
      </c>
      <c r="AL5162">
        <v>88.634737012006596</v>
      </c>
      <c r="AM5162">
        <v>89.543420170099097</v>
      </c>
      <c r="AN5162">
        <v>1.00000002320772</v>
      </c>
    </row>
    <row r="5163" spans="1:40" x14ac:dyDescent="0.25">
      <c r="A5163" t="str">
        <f>"20190312160436830"</f>
        <v>20190312160436830</v>
      </c>
      <c r="B5163" t="str">
        <f>"1552377876820257"</f>
        <v>1552377876820257</v>
      </c>
      <c r="C5163" t="s">
        <v>40</v>
      </c>
      <c r="D5163">
        <v>4.5771699999999997</v>
      </c>
      <c r="E5163">
        <v>0.44458340000000002</v>
      </c>
      <c r="F5163" t="s">
        <v>45</v>
      </c>
      <c r="G5163">
        <v>0</v>
      </c>
      <c r="H5163">
        <v>0</v>
      </c>
      <c r="I5163">
        <v>0</v>
      </c>
      <c r="J5163">
        <v>-316.8372</v>
      </c>
      <c r="K5163">
        <v>1.10961</v>
      </c>
      <c r="L5163">
        <v>141.61359999999999</v>
      </c>
      <c r="M5163">
        <v>-0.99977240000000001</v>
      </c>
      <c r="N5163">
        <v>0</v>
      </c>
      <c r="O5163">
        <v>1.8553199999999999E-2</v>
      </c>
      <c r="P5163">
        <v>-0.99956610000000001</v>
      </c>
      <c r="Q5163">
        <v>1.3585979999999999E-2</v>
      </c>
      <c r="R5163">
        <v>2.6143380000000001E-2</v>
      </c>
      <c r="S5163">
        <v>-3.0103149999999999</v>
      </c>
      <c r="T5163">
        <v>4.5893789999999997E-2</v>
      </c>
      <c r="U5163">
        <v>-0.36267090000000002</v>
      </c>
      <c r="V5163">
        <v>7.5976619999999998E-3</v>
      </c>
      <c r="W5163">
        <v>2.4125919999999999E-2</v>
      </c>
      <c r="X5163">
        <v>0.99968000000000001</v>
      </c>
      <c r="Y5163">
        <v>-0.13799359999999999</v>
      </c>
      <c r="Z5163">
        <v>1.329942E-3</v>
      </c>
      <c r="AA5163">
        <v>0.99043219999999998</v>
      </c>
      <c r="AB5163">
        <v>25</v>
      </c>
      <c r="AC5163">
        <v>-3.0103149999999999</v>
      </c>
      <c r="AD5163">
        <v>4.5893789999999997E-2</v>
      </c>
      <c r="AE5163">
        <v>-0.36267090000000002</v>
      </c>
      <c r="AF5163">
        <v>-0.41836669444818902</v>
      </c>
      <c r="AG5163">
        <v>4.5893789999999997E-2</v>
      </c>
      <c r="AH5163">
        <v>3.0023798655676299</v>
      </c>
      <c r="AI5163">
        <v>89.132635193694696</v>
      </c>
      <c r="AJ5163">
        <v>97.932801125827595</v>
      </c>
      <c r="AK5163">
        <v>3.0317357714929498</v>
      </c>
      <c r="AL5163">
        <v>88.617552395563806</v>
      </c>
      <c r="AM5163">
        <v>89.564555072017896</v>
      </c>
      <c r="AN5163">
        <v>0.99999994344185394</v>
      </c>
    </row>
    <row r="5164" spans="1:40" x14ac:dyDescent="0.25">
      <c r="A5164" t="str">
        <f>"20190312160436852"</f>
        <v>20190312160436852</v>
      </c>
      <c r="B5164" t="str">
        <f>"1552377876839778"</f>
        <v>1552377876839778</v>
      </c>
      <c r="C5164" t="s">
        <v>40</v>
      </c>
      <c r="D5164">
        <v>4.5689679999999999</v>
      </c>
      <c r="E5164">
        <v>0.44455149999999999</v>
      </c>
      <c r="F5164" t="s">
        <v>45</v>
      </c>
      <c r="G5164">
        <v>0</v>
      </c>
      <c r="H5164">
        <v>0</v>
      </c>
      <c r="I5164">
        <v>0</v>
      </c>
      <c r="J5164">
        <v>-317.0806</v>
      </c>
      <c r="K5164">
        <v>1.109602</v>
      </c>
      <c r="L5164">
        <v>141.6183</v>
      </c>
      <c r="M5164">
        <v>-0.99977079999999996</v>
      </c>
      <c r="N5164">
        <v>0</v>
      </c>
      <c r="O5164">
        <v>1.864847E-2</v>
      </c>
      <c r="P5164">
        <v>-0.9995617</v>
      </c>
      <c r="Q5164">
        <v>1.284165E-2</v>
      </c>
      <c r="R5164">
        <v>2.6682500000000001E-2</v>
      </c>
      <c r="S5164">
        <v>-3.0101930000000001</v>
      </c>
      <c r="T5164">
        <v>4.7843459999999997E-2</v>
      </c>
      <c r="U5164">
        <v>-0.36372379999999999</v>
      </c>
      <c r="V5164">
        <v>8.0415160000000003E-3</v>
      </c>
      <c r="W5164">
        <v>2.3365110000000001E-2</v>
      </c>
      <c r="X5164">
        <v>0.99969459999999999</v>
      </c>
      <c r="Y5164">
        <v>-0.13843259999999999</v>
      </c>
      <c r="Z5164">
        <v>1.391446E-3</v>
      </c>
      <c r="AA5164">
        <v>0.99037090000000005</v>
      </c>
      <c r="AB5164">
        <v>25</v>
      </c>
      <c r="AC5164">
        <v>-3.0101930000000001</v>
      </c>
      <c r="AD5164">
        <v>4.7843459999999997E-2</v>
      </c>
      <c r="AE5164">
        <v>-0.36372379999999999</v>
      </c>
      <c r="AF5164">
        <v>-0.41969464524089201</v>
      </c>
      <c r="AG5164">
        <v>4.7843459999999997E-2</v>
      </c>
      <c r="AH5164">
        <v>3.0021387410521898</v>
      </c>
      <c r="AI5164">
        <v>89.095777129815602</v>
      </c>
      <c r="AJ5164">
        <v>97.958289769378695</v>
      </c>
      <c r="AK5164">
        <v>3.0317106742621598</v>
      </c>
      <c r="AL5164">
        <v>88.661155896223505</v>
      </c>
      <c r="AM5164">
        <v>89.539124258051999</v>
      </c>
      <c r="AN5164">
        <v>0.99999994380702295</v>
      </c>
    </row>
    <row r="5165" spans="1:40" x14ac:dyDescent="0.25">
      <c r="A5165" t="str">
        <f>"20190312160436875"</f>
        <v>20190312160436875</v>
      </c>
      <c r="B5165" t="str">
        <f>"1552377876870034"</f>
        <v>1552377876870034</v>
      </c>
      <c r="C5165" t="s">
        <v>40</v>
      </c>
      <c r="D5165">
        <v>4.5781890000000001</v>
      </c>
      <c r="E5165">
        <v>0.44442470000000001</v>
      </c>
      <c r="F5165" t="s">
        <v>45</v>
      </c>
      <c r="G5165">
        <v>0</v>
      </c>
      <c r="H5165">
        <v>0</v>
      </c>
      <c r="I5165">
        <v>0</v>
      </c>
      <c r="J5165">
        <v>-317.33980000000003</v>
      </c>
      <c r="K5165">
        <v>1.1095969999999999</v>
      </c>
      <c r="L5165">
        <v>141.6232</v>
      </c>
      <c r="M5165">
        <v>-0.99976900000000002</v>
      </c>
      <c r="N5165">
        <v>0</v>
      </c>
      <c r="O5165">
        <v>1.8749410000000001E-2</v>
      </c>
      <c r="P5165">
        <v>-0.99954500000000002</v>
      </c>
      <c r="Q5165">
        <v>1.288299E-2</v>
      </c>
      <c r="R5165">
        <v>2.727595E-2</v>
      </c>
      <c r="S5165">
        <v>-3.0104060000000001</v>
      </c>
      <c r="T5165">
        <v>4.6726230000000001E-2</v>
      </c>
      <c r="U5165">
        <v>-0.36236570000000001</v>
      </c>
      <c r="V5165">
        <v>8.5341050000000002E-3</v>
      </c>
      <c r="W5165">
        <v>2.338894E-2</v>
      </c>
      <c r="X5165">
        <v>0.99968999999999997</v>
      </c>
      <c r="Y5165">
        <v>-0.13808480000000001</v>
      </c>
      <c r="Z5165">
        <v>1.3577699999999999E-3</v>
      </c>
      <c r="AA5165">
        <v>0.99041950000000001</v>
      </c>
      <c r="AB5165">
        <v>25</v>
      </c>
      <c r="AC5165">
        <v>-3.0104060000000001</v>
      </c>
      <c r="AD5165">
        <v>4.6726230000000001E-2</v>
      </c>
      <c r="AE5165">
        <v>-0.36236570000000001</v>
      </c>
      <c r="AF5165">
        <v>-0.41864902669089099</v>
      </c>
      <c r="AG5165">
        <v>4.6726230000000001E-2</v>
      </c>
      <c r="AH5165">
        <v>3.0023692397303199</v>
      </c>
      <c r="AI5165">
        <v>89.116913339430695</v>
      </c>
      <c r="AJ5165">
        <v>97.938114044431799</v>
      </c>
      <c r="AK5165">
        <v>3.0317769376717099</v>
      </c>
      <c r="AL5165">
        <v>88.6597902194179</v>
      </c>
      <c r="AM5165">
        <v>89.510892055632098</v>
      </c>
      <c r="AN5165">
        <v>0.99999998478123697</v>
      </c>
    </row>
    <row r="5166" spans="1:40" x14ac:dyDescent="0.25">
      <c r="A5166" t="str">
        <f>"20190312160436897"</f>
        <v>20190312160436897</v>
      </c>
      <c r="B5166" t="str">
        <f>"1552377876890531"</f>
        <v>1552377876890531</v>
      </c>
      <c r="C5166" t="s">
        <v>40</v>
      </c>
      <c r="D5166">
        <v>4.6881719999999998</v>
      </c>
      <c r="E5166">
        <v>0.46473730000000002</v>
      </c>
      <c r="F5166" t="s">
        <v>45</v>
      </c>
      <c r="G5166">
        <v>0</v>
      </c>
      <c r="H5166">
        <v>0</v>
      </c>
      <c r="I5166">
        <v>0</v>
      </c>
      <c r="J5166">
        <v>-317.59030000000001</v>
      </c>
      <c r="K5166">
        <v>1.1095950000000001</v>
      </c>
      <c r="L5166">
        <v>141.62799999999999</v>
      </c>
      <c r="M5166">
        <v>-0.99976750000000003</v>
      </c>
      <c r="N5166">
        <v>0</v>
      </c>
      <c r="O5166">
        <v>1.8846910000000001E-2</v>
      </c>
      <c r="P5166">
        <v>-0.99953040000000004</v>
      </c>
      <c r="Q5166">
        <v>1.257058E-2</v>
      </c>
      <c r="R5166">
        <v>2.7946539999999999E-2</v>
      </c>
      <c r="S5166">
        <v>-3.0106199999999999</v>
      </c>
      <c r="T5166">
        <v>4.8772570000000001E-2</v>
      </c>
      <c r="U5166">
        <v>-0.36164859999999999</v>
      </c>
      <c r="V5166">
        <v>9.1071169999999996E-3</v>
      </c>
      <c r="W5166">
        <v>2.3056199999999999E-2</v>
      </c>
      <c r="X5166">
        <v>0.99969269999999999</v>
      </c>
      <c r="Y5166">
        <v>-0.1379388</v>
      </c>
      <c r="Z5166">
        <v>1.417541E-3</v>
      </c>
      <c r="AA5166">
        <v>0.99043979999999998</v>
      </c>
      <c r="AB5166">
        <v>25</v>
      </c>
      <c r="AC5166">
        <v>-3.0106199999999999</v>
      </c>
      <c r="AD5166">
        <v>4.8772570000000001E-2</v>
      </c>
      <c r="AE5166">
        <v>-0.36164859999999999</v>
      </c>
      <c r="AF5166">
        <v>-0.418220156402411</v>
      </c>
      <c r="AG5166">
        <v>4.8772570000000001E-2</v>
      </c>
      <c r="AH5166">
        <v>3.0024920838367999</v>
      </c>
      <c r="AI5166">
        <v>89.078264749421294</v>
      </c>
      <c r="AJ5166">
        <v>97.929765304110205</v>
      </c>
      <c r="AK5166">
        <v>3.0318716292594501</v>
      </c>
      <c r="AL5166">
        <v>88.6788599950942</v>
      </c>
      <c r="AM5166">
        <v>89.478054672660704</v>
      </c>
      <c r="AN5166">
        <v>1.00000001118589</v>
      </c>
    </row>
    <row r="5167" spans="1:40" x14ac:dyDescent="0.25">
      <c r="A5167" t="str">
        <f>"20190312160436918"</f>
        <v>20190312160436918</v>
      </c>
      <c r="B5167" t="str">
        <f>"1552377876910053"</f>
        <v>1552377876910053</v>
      </c>
      <c r="C5167" t="s">
        <v>40</v>
      </c>
      <c r="D5167">
        <v>4.594195</v>
      </c>
      <c r="E5167">
        <v>0.47815970000000002</v>
      </c>
      <c r="F5167" t="s">
        <v>45</v>
      </c>
      <c r="G5167">
        <v>0</v>
      </c>
      <c r="H5167">
        <v>0</v>
      </c>
      <c r="I5167">
        <v>0</v>
      </c>
      <c r="J5167">
        <v>-317.83139999999997</v>
      </c>
      <c r="K5167">
        <v>1.109594</v>
      </c>
      <c r="L5167">
        <v>141.6327</v>
      </c>
      <c r="M5167">
        <v>-0.99976589999999999</v>
      </c>
      <c r="N5167">
        <v>0</v>
      </c>
      <c r="O5167">
        <v>1.8941019999999999E-2</v>
      </c>
      <c r="P5167">
        <v>-0.99950439999999996</v>
      </c>
      <c r="Q5167">
        <v>1.2501730000000001E-2</v>
      </c>
      <c r="R5167">
        <v>2.8898610000000002E-2</v>
      </c>
      <c r="S5167">
        <v>-3.0063170000000001</v>
      </c>
      <c r="T5167">
        <v>4.98935E-2</v>
      </c>
      <c r="U5167">
        <v>-0.19775390000000001</v>
      </c>
      <c r="V5167">
        <v>9.9655999999999998E-3</v>
      </c>
      <c r="W5167">
        <v>2.2965619999999999E-2</v>
      </c>
      <c r="X5167">
        <v>0.99968659999999998</v>
      </c>
      <c r="Y5167">
        <v>-8.4512840000000006E-2</v>
      </c>
      <c r="Z5167">
        <v>1.0145320000000001E-3</v>
      </c>
      <c r="AA5167">
        <v>0.99642189999999997</v>
      </c>
      <c r="AB5167">
        <v>25</v>
      </c>
      <c r="AC5167">
        <v>-3.0063170000000001</v>
      </c>
      <c r="AD5167">
        <v>4.98935E-2</v>
      </c>
      <c r="AE5167">
        <v>-0.19775390000000001</v>
      </c>
      <c r="AF5167">
        <v>-0.25459442259894399</v>
      </c>
      <c r="AG5167">
        <v>4.98935E-2</v>
      </c>
      <c r="AH5167">
        <v>3.00120867553537</v>
      </c>
      <c r="AI5167">
        <v>89.050983760232896</v>
      </c>
      <c r="AJ5167">
        <v>94.848828203001801</v>
      </c>
      <c r="AK5167">
        <v>3.0124012341435402</v>
      </c>
      <c r="AL5167">
        <v>88.684051227057694</v>
      </c>
      <c r="AM5167">
        <v>89.428853095143097</v>
      </c>
      <c r="AN5167">
        <v>1.00000001555245</v>
      </c>
    </row>
    <row r="5168" spans="1:40" x14ac:dyDescent="0.25">
      <c r="A5168" t="str">
        <f>"20190312160436941"</f>
        <v>20190312160436941</v>
      </c>
      <c r="B5168" t="str">
        <f>"1552377876930546"</f>
        <v>1552377876930546</v>
      </c>
      <c r="C5168" t="s">
        <v>40</v>
      </c>
      <c r="D5168">
        <v>4.5596230000000002</v>
      </c>
      <c r="E5168">
        <v>0.48424319999999998</v>
      </c>
      <c r="F5168" t="s">
        <v>45</v>
      </c>
      <c r="G5168">
        <v>0</v>
      </c>
      <c r="H5168">
        <v>0</v>
      </c>
      <c r="I5168">
        <v>0</v>
      </c>
      <c r="J5168">
        <v>-318.08249999999998</v>
      </c>
      <c r="K5168">
        <v>1.1095930000000001</v>
      </c>
      <c r="L5168">
        <v>141.63749999999999</v>
      </c>
      <c r="M5168">
        <v>-0.99976419999999999</v>
      </c>
      <c r="N5168">
        <v>0</v>
      </c>
      <c r="O5168">
        <v>1.9038639999999999E-2</v>
      </c>
      <c r="P5168">
        <v>-0.9994847</v>
      </c>
      <c r="Q5168">
        <v>1.295137E-2</v>
      </c>
      <c r="R5168">
        <v>2.9378999999999999E-2</v>
      </c>
      <c r="S5168">
        <v>-3.0032960000000002</v>
      </c>
      <c r="T5168">
        <v>5.8531519999999997E-2</v>
      </c>
      <c r="U5168">
        <v>-8.8012699999999999E-2</v>
      </c>
      <c r="V5168">
        <v>1.034881E-2</v>
      </c>
      <c r="W5168">
        <v>2.3394660000000001E-2</v>
      </c>
      <c r="X5168">
        <v>0.99967280000000003</v>
      </c>
      <c r="Y5168">
        <v>-4.8306200000000001E-2</v>
      </c>
      <c r="Z5168">
        <v>8.4153669999999996E-4</v>
      </c>
      <c r="AA5168">
        <v>0.99883219999999995</v>
      </c>
      <c r="AB5168">
        <v>25</v>
      </c>
      <c r="AC5168">
        <v>-3.0032960000000002</v>
      </c>
      <c r="AD5168">
        <v>5.8531519999999997E-2</v>
      </c>
      <c r="AE5168">
        <v>-8.8012699999999999E-2</v>
      </c>
      <c r="AF5168">
        <v>-0.145123461629697</v>
      </c>
      <c r="AG5168">
        <v>5.8531519999999997E-2</v>
      </c>
      <c r="AH5168">
        <v>2.99993738278688</v>
      </c>
      <c r="AI5168">
        <v>88.883554050608197</v>
      </c>
      <c r="AJ5168">
        <v>92.769552726756302</v>
      </c>
      <c r="AK5168">
        <v>3.0040158219608402</v>
      </c>
      <c r="AL5168">
        <v>88.659462495383707</v>
      </c>
      <c r="AM5168">
        <v>89.4068839766</v>
      </c>
      <c r="AN5168">
        <v>1.00000005752238</v>
      </c>
    </row>
    <row r="5169" spans="1:40" x14ac:dyDescent="0.25">
      <c r="A5169" t="str">
        <f>"20190312160436964"</f>
        <v>20190312160436964</v>
      </c>
      <c r="B5169" t="str">
        <f>"1552377876959826"</f>
        <v>1552377876959826</v>
      </c>
      <c r="C5169" t="s">
        <v>40</v>
      </c>
      <c r="D5169">
        <v>4.5137499999999999</v>
      </c>
      <c r="E5169">
        <v>0.48797439999999997</v>
      </c>
      <c r="F5169" t="s">
        <v>45</v>
      </c>
      <c r="G5169">
        <v>0</v>
      </c>
      <c r="H5169">
        <v>0</v>
      </c>
      <c r="I5169">
        <v>0</v>
      </c>
      <c r="J5169">
        <v>-318.33890000000002</v>
      </c>
      <c r="K5169">
        <v>1.1095919999999999</v>
      </c>
      <c r="L5169">
        <v>141.64259999999999</v>
      </c>
      <c r="M5169">
        <v>-0.9997625</v>
      </c>
      <c r="N5169">
        <v>0</v>
      </c>
      <c r="O5169">
        <v>1.913809E-2</v>
      </c>
      <c r="P5169">
        <v>-0.99947660000000005</v>
      </c>
      <c r="Q5169">
        <v>1.2987759999999999E-2</v>
      </c>
      <c r="R5169">
        <v>2.9633909999999999E-2</v>
      </c>
      <c r="S5169">
        <v>-3.0018919999999998</v>
      </c>
      <c r="T5169">
        <v>6.1077239999999998E-2</v>
      </c>
      <c r="U5169">
        <v>-3.8146970000000002E-2</v>
      </c>
      <c r="V5169">
        <v>1.0504299999999999E-2</v>
      </c>
      <c r="W5169">
        <v>2.3412780000000001E-2</v>
      </c>
      <c r="X5169">
        <v>0.99967070000000002</v>
      </c>
      <c r="Y5169">
        <v>-3.1831320000000003E-2</v>
      </c>
      <c r="Z5169">
        <v>7.1312479999999896E-4</v>
      </c>
      <c r="AA5169">
        <v>0.99949299999999996</v>
      </c>
      <c r="AB5169">
        <v>25</v>
      </c>
      <c r="AC5169">
        <v>-3.0018919999999998</v>
      </c>
      <c r="AD5169">
        <v>6.1077239999999998E-2</v>
      </c>
      <c r="AE5169">
        <v>-3.8146970000000002E-2</v>
      </c>
      <c r="AF5169">
        <v>-9.5554033819562803E-2</v>
      </c>
      <c r="AG5169">
        <v>6.1077239999999998E-2</v>
      </c>
      <c r="AH5169">
        <v>2.9993705954191898</v>
      </c>
      <c r="AI5169">
        <v>88.834018470535298</v>
      </c>
      <c r="AJ5169">
        <v>91.824713420683906</v>
      </c>
      <c r="AK5169">
        <v>3.0015137799601201</v>
      </c>
      <c r="AL5169">
        <v>88.658423939001096</v>
      </c>
      <c r="AM5169">
        <v>89.397971844690503</v>
      </c>
      <c r="AN5169">
        <v>1.0000000035121499</v>
      </c>
    </row>
    <row r="5170" spans="1:40" x14ac:dyDescent="0.25">
      <c r="A5170" t="str">
        <f>"20190312160437445"</f>
        <v>20190312160437445</v>
      </c>
      <c r="B5170" t="str">
        <f>"1552377877440019"</f>
        <v>1552377877440019</v>
      </c>
      <c r="C5170" t="s">
        <v>40</v>
      </c>
      <c r="D5170">
        <v>4.5423</v>
      </c>
      <c r="E5170">
        <v>0.48755110000000002</v>
      </c>
      <c r="F5170" t="s">
        <v>45</v>
      </c>
      <c r="G5170">
        <v>0</v>
      </c>
      <c r="H5170">
        <v>0</v>
      </c>
      <c r="I5170">
        <v>0</v>
      </c>
      <c r="J5170">
        <v>-323.84210000000002</v>
      </c>
      <c r="K5170">
        <v>1.1095520000000001</v>
      </c>
      <c r="L5170">
        <v>141.75380000000001</v>
      </c>
      <c r="M5170">
        <v>-0.99974439999999998</v>
      </c>
      <c r="N5170">
        <v>0</v>
      </c>
      <c r="O5170">
        <v>2.0356570000000001E-2</v>
      </c>
      <c r="P5170">
        <v>-0.99944639999999996</v>
      </c>
      <c r="Q5170">
        <v>1.115855E-2</v>
      </c>
      <c r="R5170">
        <v>3.1349380000000003E-2</v>
      </c>
      <c r="S5170">
        <v>-3.0008539999999999</v>
      </c>
      <c r="T5170">
        <v>7.2181220000000004E-2</v>
      </c>
      <c r="U5170">
        <v>-7.9040529999999994E-3</v>
      </c>
      <c r="V5170">
        <v>1.0997369999999999E-2</v>
      </c>
      <c r="W5170">
        <v>2.1003910000000001E-2</v>
      </c>
      <c r="X5170">
        <v>0.99971889999999997</v>
      </c>
      <c r="Y5170">
        <v>-2.2978330000000002E-2</v>
      </c>
      <c r="Z5170">
        <v>7.6589270000000003E-4</v>
      </c>
      <c r="AA5170">
        <v>0.9997357</v>
      </c>
      <c r="AB5170">
        <v>26</v>
      </c>
      <c r="AC5170">
        <v>-3.0008539999999999</v>
      </c>
      <c r="AD5170">
        <v>7.2181220000000004E-2</v>
      </c>
      <c r="AE5170">
        <v>-7.9040529999999994E-3</v>
      </c>
      <c r="AF5170">
        <v>-6.8952570775452304E-2</v>
      </c>
      <c r="AG5170">
        <v>7.2181220000000004E-2</v>
      </c>
      <c r="AH5170">
        <v>2.9983364597070001</v>
      </c>
      <c r="AI5170">
        <v>88.621306137191297</v>
      </c>
      <c r="AJ5170">
        <v>91.3173955333734</v>
      </c>
      <c r="AK5170">
        <v>2.9999976851900301</v>
      </c>
      <c r="AL5170">
        <v>88.796476091926195</v>
      </c>
      <c r="AM5170">
        <v>89.369745363118199</v>
      </c>
      <c r="AN5170">
        <v>0.99999999269970696</v>
      </c>
    </row>
    <row r="5171" spans="1:40" x14ac:dyDescent="0.25">
      <c r="A5171" t="str">
        <f>"20190312160437461"</f>
        <v>20190312160437461</v>
      </c>
      <c r="B5171" t="str">
        <f>"1552377877449778"</f>
        <v>1552377877449778</v>
      </c>
      <c r="C5171" t="s">
        <v>40</v>
      </c>
      <c r="D5171">
        <v>4.6965700000000004</v>
      </c>
      <c r="E5171">
        <v>0.48676710000000001</v>
      </c>
      <c r="F5171" t="s">
        <v>45</v>
      </c>
      <c r="G5171">
        <v>0</v>
      </c>
      <c r="H5171">
        <v>0</v>
      </c>
      <c r="I5171">
        <v>0</v>
      </c>
      <c r="J5171">
        <v>-324.02960000000002</v>
      </c>
      <c r="K5171">
        <v>1.109548</v>
      </c>
      <c r="L5171">
        <v>141.7576</v>
      </c>
      <c r="M5171">
        <v>-0.99974459999999998</v>
      </c>
      <c r="N5171">
        <v>0</v>
      </c>
      <c r="O5171">
        <v>2.035406E-2</v>
      </c>
      <c r="P5171">
        <v>-0.99944820000000001</v>
      </c>
      <c r="Q5171">
        <v>1.115591E-2</v>
      </c>
      <c r="R5171">
        <v>3.1288679999999999E-2</v>
      </c>
      <c r="S5171">
        <v>-3.001007</v>
      </c>
      <c r="T5171">
        <v>7.7064389999999997E-2</v>
      </c>
      <c r="U5171">
        <v>-6.3323969999999896E-3</v>
      </c>
      <c r="V5171">
        <v>1.093906E-2</v>
      </c>
      <c r="W5171">
        <v>2.097769E-2</v>
      </c>
      <c r="X5171">
        <v>0.9997201</v>
      </c>
      <c r="Y5171">
        <v>-2.2450540000000001E-2</v>
      </c>
      <c r="Z5171">
        <v>8.1080819999999995E-4</v>
      </c>
      <c r="AA5171">
        <v>0.99974759999999996</v>
      </c>
      <c r="AB5171">
        <v>26</v>
      </c>
      <c r="AC5171">
        <v>-3.001007</v>
      </c>
      <c r="AD5171">
        <v>7.7064389999999997E-2</v>
      </c>
      <c r="AE5171">
        <v>-6.3323969999999896E-3</v>
      </c>
      <c r="AF5171">
        <v>-6.7372279799763193E-2</v>
      </c>
      <c r="AG5171">
        <v>7.7064389999999997E-2</v>
      </c>
      <c r="AH5171">
        <v>2.9982791710354002</v>
      </c>
      <c r="AI5171">
        <v>88.528029402652706</v>
      </c>
      <c r="AJ5171">
        <v>91.287237639685898</v>
      </c>
      <c r="AK5171">
        <v>3.0000259885134599</v>
      </c>
      <c r="AL5171">
        <v>88.797978730046395</v>
      </c>
      <c r="AM5171">
        <v>89.373087569654004</v>
      </c>
      <c r="AN5171">
        <v>1.00000000242771</v>
      </c>
    </row>
    <row r="5172" spans="1:40" x14ac:dyDescent="0.25">
      <c r="A5172" t="str">
        <f>"20190312160437478"</f>
        <v>20190312160437478</v>
      </c>
      <c r="B5172" t="str">
        <f>"1552377877470274"</f>
        <v>1552377877470274</v>
      </c>
      <c r="C5172" t="s">
        <v>40</v>
      </c>
      <c r="D5172">
        <v>4.6949959999999997</v>
      </c>
      <c r="E5172">
        <v>0.48951939999999999</v>
      </c>
      <c r="F5172" t="s">
        <v>45</v>
      </c>
      <c r="G5172">
        <v>0</v>
      </c>
      <c r="H5172">
        <v>0</v>
      </c>
      <c r="I5172">
        <v>0</v>
      </c>
      <c r="J5172">
        <v>-324.22930000000002</v>
      </c>
      <c r="K5172">
        <v>1.1095379999999999</v>
      </c>
      <c r="L5172">
        <v>141.76159999999999</v>
      </c>
      <c r="M5172">
        <v>-0.99974499999999999</v>
      </c>
      <c r="N5172">
        <v>0</v>
      </c>
      <c r="O5172">
        <v>2.035151E-2</v>
      </c>
      <c r="P5172">
        <v>-0.99947169999999996</v>
      </c>
      <c r="Q5172">
        <v>1.118015E-2</v>
      </c>
      <c r="R5172">
        <v>3.0523959999999999E-2</v>
      </c>
      <c r="S5172">
        <v>-3.0008539999999999</v>
      </c>
      <c r="T5172">
        <v>0.1139879</v>
      </c>
      <c r="U5172">
        <v>-1.3748170000000001E-2</v>
      </c>
      <c r="V5172">
        <v>1.0176599999999999E-2</v>
      </c>
      <c r="W5172">
        <v>2.097626E-2</v>
      </c>
      <c r="X5172">
        <v>0.99972819999999996</v>
      </c>
      <c r="Y5172">
        <v>-2.4900060000000002E-2</v>
      </c>
      <c r="Z5172">
        <v>1.245522E-3</v>
      </c>
      <c r="AA5172">
        <v>0.99968919999999994</v>
      </c>
      <c r="AB5172">
        <v>26</v>
      </c>
      <c r="AC5172">
        <v>-3.0008539999999999</v>
      </c>
      <c r="AD5172">
        <v>0.1139879</v>
      </c>
      <c r="AE5172">
        <v>-1.3748170000000001E-2</v>
      </c>
      <c r="AF5172">
        <v>-7.4712358445643098E-2</v>
      </c>
      <c r="AG5172">
        <v>0.1139879</v>
      </c>
      <c r="AH5172">
        <v>2.9956303937339399</v>
      </c>
      <c r="AI5172">
        <v>87.821544048173806</v>
      </c>
      <c r="AJ5172">
        <v>91.428686124693499</v>
      </c>
      <c r="AK5172">
        <v>2.9987291697840002</v>
      </c>
      <c r="AL5172">
        <v>88.798060702495803</v>
      </c>
      <c r="AM5172">
        <v>89.416785390581495</v>
      </c>
      <c r="AN5172">
        <v>1.00000002027319</v>
      </c>
    </row>
    <row r="5173" spans="1:40" x14ac:dyDescent="0.25">
      <c r="A5173" t="str">
        <f>"20190312160437500"</f>
        <v>20190312160437500</v>
      </c>
      <c r="B5173" t="str">
        <f>"1552377877489794"</f>
        <v>1552377877489794</v>
      </c>
      <c r="C5173" t="s">
        <v>40</v>
      </c>
      <c r="D5173">
        <v>4.7402689999999996</v>
      </c>
      <c r="E5173">
        <v>0.49125669999999999</v>
      </c>
      <c r="F5173" t="s">
        <v>45</v>
      </c>
      <c r="G5173">
        <v>0</v>
      </c>
      <c r="H5173">
        <v>0</v>
      </c>
      <c r="I5173">
        <v>0</v>
      </c>
      <c r="J5173">
        <v>-324.48559999999998</v>
      </c>
      <c r="K5173">
        <v>1.109532</v>
      </c>
      <c r="L5173">
        <v>141.76689999999999</v>
      </c>
      <c r="M5173">
        <v>-0.9997452</v>
      </c>
      <c r="N5173">
        <v>0</v>
      </c>
      <c r="O5173">
        <v>2.034882E-2</v>
      </c>
      <c r="P5173">
        <v>-0.99949189999999999</v>
      </c>
      <c r="Q5173">
        <v>1.1522289999999999E-2</v>
      </c>
      <c r="R5173">
        <v>2.97177E-2</v>
      </c>
      <c r="S5173">
        <v>-3.0000610000000001</v>
      </c>
      <c r="T5173">
        <v>0.12399739999999999</v>
      </c>
      <c r="U5173">
        <v>5.6457520000000004E-3</v>
      </c>
      <c r="V5173">
        <v>9.3727889999999994E-3</v>
      </c>
      <c r="W5173">
        <v>2.1284230000000001E-2</v>
      </c>
      <c r="X5173">
        <v>0.99972950000000005</v>
      </c>
      <c r="Y5173">
        <v>-1.8435159999999999E-2</v>
      </c>
      <c r="Z5173">
        <v>1.2214979999999999E-3</v>
      </c>
      <c r="AA5173">
        <v>0.99982930000000003</v>
      </c>
      <c r="AB5173">
        <v>26</v>
      </c>
      <c r="AC5173">
        <v>-3.0000610000000001</v>
      </c>
      <c r="AD5173">
        <v>0.12399739999999999</v>
      </c>
      <c r="AE5173">
        <v>5.6457520000000004E-3</v>
      </c>
      <c r="AF5173">
        <v>-5.53115438654464E-2</v>
      </c>
      <c r="AG5173">
        <v>0.12399739999999999</v>
      </c>
      <c r="AH5173">
        <v>2.9944392494880998</v>
      </c>
      <c r="AI5173">
        <v>87.629185006048004</v>
      </c>
      <c r="AJ5173">
        <v>91.058214044191502</v>
      </c>
      <c r="AK5173">
        <v>2.9975158283095702</v>
      </c>
      <c r="AL5173">
        <v>88.780411320189003</v>
      </c>
      <c r="AM5173">
        <v>89.462849182042802</v>
      </c>
      <c r="AN5173">
        <v>0.99999997039528998</v>
      </c>
    </row>
    <row r="5174" spans="1:40" x14ac:dyDescent="0.25">
      <c r="A5174" t="str">
        <f>"20190312160437514"</f>
        <v>20190312160437514</v>
      </c>
      <c r="B5174" t="str">
        <f>"1552377877500530"</f>
        <v>1552377877500530</v>
      </c>
      <c r="C5174" t="s">
        <v>40</v>
      </c>
      <c r="D5174">
        <v>4.4103490000000001</v>
      </c>
      <c r="E5174">
        <v>0.49173620000000001</v>
      </c>
      <c r="F5174" t="s">
        <v>45</v>
      </c>
      <c r="G5174">
        <v>0</v>
      </c>
      <c r="H5174">
        <v>0</v>
      </c>
      <c r="I5174">
        <v>0</v>
      </c>
      <c r="J5174">
        <v>-324.64729999999997</v>
      </c>
      <c r="K5174">
        <v>1.1095330000000001</v>
      </c>
      <c r="L5174">
        <v>141.77019999999999</v>
      </c>
      <c r="M5174">
        <v>-0.99974549999999995</v>
      </c>
      <c r="N5174">
        <v>0</v>
      </c>
      <c r="O5174">
        <v>2.0347440000000001E-2</v>
      </c>
      <c r="P5174">
        <v>-0.99949639999999995</v>
      </c>
      <c r="Q5174">
        <v>1.133062E-2</v>
      </c>
      <c r="R5174">
        <v>2.964311E-2</v>
      </c>
      <c r="S5174">
        <v>-2.9995729999999998</v>
      </c>
      <c r="T5174">
        <v>0.12544350000000001</v>
      </c>
      <c r="U5174">
        <v>1.7013549999999999E-2</v>
      </c>
      <c r="V5174">
        <v>9.2995130000000006E-3</v>
      </c>
      <c r="W5174">
        <v>2.1071610000000001E-2</v>
      </c>
      <c r="X5174">
        <v>0.99973469999999998</v>
      </c>
      <c r="Y5174">
        <v>-1.464677E-2</v>
      </c>
      <c r="Z5174">
        <v>1.156675E-3</v>
      </c>
      <c r="AA5174">
        <v>0.99989209999999995</v>
      </c>
      <c r="AB5174">
        <v>26</v>
      </c>
      <c r="AC5174">
        <v>-2.9995729999999998</v>
      </c>
      <c r="AD5174">
        <v>0.12544350000000001</v>
      </c>
      <c r="AE5174">
        <v>1.7013549999999999E-2</v>
      </c>
      <c r="AF5174">
        <v>-4.3949637814097199E-2</v>
      </c>
      <c r="AG5174">
        <v>0.12544350000000001</v>
      </c>
      <c r="AH5174">
        <v>2.9940618395791101</v>
      </c>
      <c r="AI5174">
        <v>87.601115305517595</v>
      </c>
      <c r="AJ5174">
        <v>90.840980599207597</v>
      </c>
      <c r="AK5174">
        <v>2.99701083441153</v>
      </c>
      <c r="AL5174">
        <v>88.792596296081598</v>
      </c>
      <c r="AM5174">
        <v>89.467051129266693</v>
      </c>
      <c r="AN5174">
        <v>0.99999998203705898</v>
      </c>
    </row>
    <row r="5175" spans="1:40" x14ac:dyDescent="0.25">
      <c r="A5175" t="str">
        <f>"20190312160437569"</f>
        <v>20190312160437569</v>
      </c>
      <c r="B5175" t="str">
        <f>"1552377877560066"</f>
        <v>1552377877560066</v>
      </c>
      <c r="C5175" t="s">
        <v>40</v>
      </c>
      <c r="D5175">
        <v>3.9544600000000001</v>
      </c>
      <c r="E5175">
        <v>0.49173620000000001</v>
      </c>
      <c r="F5175" t="s">
        <v>45</v>
      </c>
      <c r="G5175">
        <v>0</v>
      </c>
      <c r="H5175">
        <v>0</v>
      </c>
      <c r="I5175">
        <v>0</v>
      </c>
      <c r="J5175">
        <v>-325.30520000000001</v>
      </c>
      <c r="K5175">
        <v>1.109526</v>
      </c>
      <c r="L5175">
        <v>141.7835</v>
      </c>
      <c r="M5175">
        <v>-0.99974640000000004</v>
      </c>
      <c r="N5175">
        <v>0</v>
      </c>
      <c r="O5175">
        <v>2.0345019999999998E-2</v>
      </c>
      <c r="P5175">
        <v>-0.99950249999999996</v>
      </c>
      <c r="Q5175">
        <v>1.2063020000000001E-2</v>
      </c>
      <c r="R5175">
        <v>2.9145190000000001E-2</v>
      </c>
      <c r="S5175">
        <v>-2.9997250000000002</v>
      </c>
      <c r="T5175">
        <v>0.10548879999999999</v>
      </c>
      <c r="U5175">
        <v>2.114868E-2</v>
      </c>
      <c r="V5175">
        <v>8.8040900000000005E-3</v>
      </c>
      <c r="W5175">
        <v>2.1715189999999999E-2</v>
      </c>
      <c r="X5175">
        <v>0.99972550000000004</v>
      </c>
      <c r="Y5175">
        <v>-1.3276120000000001E-2</v>
      </c>
      <c r="Z5175">
        <v>9.4856970000000004E-4</v>
      </c>
      <c r="AA5175">
        <v>0.99991140000000001</v>
      </c>
      <c r="AB5175">
        <v>26</v>
      </c>
      <c r="AC5175">
        <v>-2.9997250000000002</v>
      </c>
      <c r="AD5175">
        <v>0.10548879999999999</v>
      </c>
      <c r="AE5175">
        <v>2.114868E-2</v>
      </c>
      <c r="AF5175">
        <v>-3.9838743090119803E-2</v>
      </c>
      <c r="AG5175">
        <v>0.10548879999999999</v>
      </c>
      <c r="AH5175">
        <v>2.9958297109760799</v>
      </c>
      <c r="AI5175">
        <v>87.983519150933702</v>
      </c>
      <c r="AJ5175">
        <v>90.761878185527294</v>
      </c>
      <c r="AK5175">
        <v>2.9979510785774099</v>
      </c>
      <c r="AL5175">
        <v>88.755713543301994</v>
      </c>
      <c r="AM5175">
        <v>89.495437337959501</v>
      </c>
      <c r="AN5175">
        <v>1.0000000684138499</v>
      </c>
    </row>
    <row r="5176" spans="1:40" x14ac:dyDescent="0.25">
      <c r="A5176" t="str">
        <f>"20190312160437580"</f>
        <v>20190312160437580</v>
      </c>
      <c r="B5176" t="str">
        <f>"1552377877569826"</f>
        <v>1552377877569826</v>
      </c>
      <c r="C5176" t="s">
        <v>40</v>
      </c>
      <c r="D5176">
        <v>4.7900580000000001</v>
      </c>
      <c r="E5176">
        <v>0.55782399999999999</v>
      </c>
      <c r="F5176" t="s">
        <v>45</v>
      </c>
      <c r="G5176">
        <v>0</v>
      </c>
      <c r="H5176">
        <v>0</v>
      </c>
      <c r="I5176">
        <v>0</v>
      </c>
      <c r="J5176">
        <v>-325.43639999999999</v>
      </c>
      <c r="K5176">
        <v>1.1095250000000001</v>
      </c>
      <c r="L5176">
        <v>141.78620000000001</v>
      </c>
      <c r="M5176">
        <v>-0.99974669999999999</v>
      </c>
      <c r="N5176">
        <v>0</v>
      </c>
      <c r="O5176">
        <v>2.0344810000000001E-2</v>
      </c>
      <c r="P5176">
        <v>-0.99950490000000003</v>
      </c>
      <c r="Q5176">
        <v>1.218558E-2</v>
      </c>
      <c r="R5176">
        <v>2.9018019999999999E-2</v>
      </c>
      <c r="S5176">
        <v>-2.9996640000000001</v>
      </c>
      <c r="T5176">
        <v>0.1076294</v>
      </c>
      <c r="U5176">
        <v>1.9577029999999999E-2</v>
      </c>
      <c r="V5176">
        <v>8.6772580000000002E-3</v>
      </c>
      <c r="W5176">
        <v>2.182102E-2</v>
      </c>
      <c r="X5176">
        <v>0.99972419999999995</v>
      </c>
      <c r="Y5176">
        <v>-1.379844E-2</v>
      </c>
      <c r="Z5176">
        <v>9.771882E-4</v>
      </c>
      <c r="AA5176">
        <v>0.99990429999999997</v>
      </c>
      <c r="AB5176">
        <v>26</v>
      </c>
      <c r="AC5176">
        <v>-2.9996640000000001</v>
      </c>
      <c r="AD5176">
        <v>0.1076294</v>
      </c>
      <c r="AE5176">
        <v>1.9577029999999999E-2</v>
      </c>
      <c r="AF5176">
        <v>-4.1404141235401801E-2</v>
      </c>
      <c r="AG5176">
        <v>0.1076294</v>
      </c>
      <c r="AH5176">
        <v>2.9955850107131199</v>
      </c>
      <c r="AI5176">
        <v>87.942481808840498</v>
      </c>
      <c r="AJ5176">
        <v>90.791875873675707</v>
      </c>
      <c r="AK5176">
        <v>2.9978038540012699</v>
      </c>
      <c r="AL5176">
        <v>88.749648363526404</v>
      </c>
      <c r="AM5176">
        <v>89.502705069346305</v>
      </c>
      <c r="AN5176">
        <v>0.99999996389293799</v>
      </c>
    </row>
    <row r="5177" spans="1:40" x14ac:dyDescent="0.25">
      <c r="A5177" t="str">
        <f>"20190312160437602"</f>
        <v>20190312160437602</v>
      </c>
      <c r="B5177" t="str">
        <f>"1552377877590322"</f>
        <v>1552377877590322</v>
      </c>
      <c r="C5177" t="s">
        <v>40</v>
      </c>
      <c r="D5177">
        <v>4.9396620000000002</v>
      </c>
      <c r="E5177">
        <v>0.52580709999999997</v>
      </c>
      <c r="F5177" t="s">
        <v>49</v>
      </c>
      <c r="G5177">
        <v>-326.1705</v>
      </c>
      <c r="H5177">
        <v>0.91154000000000002</v>
      </c>
      <c r="I5177">
        <v>141.9263</v>
      </c>
      <c r="J5177">
        <v>-325.67750000000001</v>
      </c>
      <c r="K5177">
        <v>1.109524</v>
      </c>
      <c r="L5177">
        <v>141.7911</v>
      </c>
      <c r="M5177">
        <v>-0.99974689999999999</v>
      </c>
      <c r="N5177">
        <v>0</v>
      </c>
      <c r="O5177">
        <v>2.0344959999999999E-2</v>
      </c>
      <c r="P5177">
        <v>-0.99949980000000005</v>
      </c>
      <c r="Q5177">
        <v>1.262694E-2</v>
      </c>
      <c r="R5177">
        <v>2.899989E-2</v>
      </c>
      <c r="S5177">
        <v>-2.9947509999999999</v>
      </c>
      <c r="T5177">
        <v>-0.80761319999999903</v>
      </c>
      <c r="U5177">
        <v>0.57072449999999997</v>
      </c>
      <c r="V5177">
        <v>8.6590940000000009E-3</v>
      </c>
      <c r="W5177">
        <v>2.2232910000000002E-2</v>
      </c>
      <c r="X5177">
        <v>0.99971529999999997</v>
      </c>
      <c r="Y5177">
        <v>0.1622894</v>
      </c>
      <c r="Z5177">
        <v>1.597465E-2</v>
      </c>
      <c r="AA5177">
        <v>0.98661390000000004</v>
      </c>
      <c r="AB5177">
        <v>26</v>
      </c>
      <c r="AC5177">
        <v>-0.492999999999995</v>
      </c>
      <c r="AD5177">
        <v>-0.19798399999999899</v>
      </c>
      <c r="AE5177">
        <v>0.13519999999999699</v>
      </c>
      <c r="AF5177">
        <v>0.108819241661941</v>
      </c>
      <c r="AG5177">
        <v>-0.19798399999999899</v>
      </c>
      <c r="AH5177">
        <v>0.43100109354409899</v>
      </c>
      <c r="AI5177">
        <v>114.007332600472</v>
      </c>
      <c r="AJ5177">
        <v>75.830088984363897</v>
      </c>
      <c r="AK5177">
        <v>0.48662227060430502</v>
      </c>
      <c r="AL5177">
        <v>88.726043099290607</v>
      </c>
      <c r="AM5177">
        <v>89.503741581041993</v>
      </c>
      <c r="AN5177">
        <v>0.99999998162502901</v>
      </c>
    </row>
    <row r="5178" spans="1:40" x14ac:dyDescent="0.25">
      <c r="A5178" t="str">
        <f>"20190312160437624"</f>
        <v>20190312160437624</v>
      </c>
      <c r="B5178" t="str">
        <f>"1552377877620578"</f>
        <v>1552377877620578</v>
      </c>
      <c r="C5178" t="s">
        <v>40</v>
      </c>
      <c r="D5178">
        <v>4.8420379999999996</v>
      </c>
      <c r="E5178">
        <v>0.52643589999999996</v>
      </c>
      <c r="F5178" t="s">
        <v>41</v>
      </c>
      <c r="G5178">
        <v>-372.35660000000001</v>
      </c>
      <c r="H5178" s="1">
        <v>-4.6775389999999997E-6</v>
      </c>
      <c r="I5178">
        <v>146.4007</v>
      </c>
      <c r="J5178">
        <v>-325.93959999999998</v>
      </c>
      <c r="K5178">
        <v>1.1095200000000001</v>
      </c>
      <c r="L5178">
        <v>141.79640000000001</v>
      </c>
      <c r="M5178">
        <v>-0.99974719999999995</v>
      </c>
      <c r="N5178">
        <v>0</v>
      </c>
      <c r="O5178">
        <v>2.034474E-2</v>
      </c>
      <c r="P5178">
        <v>-0.99949250000000001</v>
      </c>
      <c r="Q5178">
        <v>1.274691E-2</v>
      </c>
      <c r="R5178">
        <v>2.9197279999999999E-2</v>
      </c>
      <c r="S5178">
        <v>-2.9938660000000001</v>
      </c>
      <c r="T5178">
        <v>-7.1162100000000006E-2</v>
      </c>
      <c r="U5178">
        <v>0.29565429999999998</v>
      </c>
      <c r="V5178">
        <v>8.8566269999999902E-3</v>
      </c>
      <c r="W5178">
        <v>2.2324440000000001E-2</v>
      </c>
      <c r="X5178">
        <v>0.99971160000000003</v>
      </c>
      <c r="Y5178">
        <v>7.7991669999999999E-2</v>
      </c>
      <c r="Z5178">
        <v>4.4230959999999998E-4</v>
      </c>
      <c r="AA5178">
        <v>0.99695389999999995</v>
      </c>
      <c r="AB5178">
        <v>26</v>
      </c>
      <c r="AC5178">
        <v>-46.417000000000002</v>
      </c>
      <c r="AD5178">
        <v>-1.109524677539</v>
      </c>
      <c r="AE5178">
        <v>4.6042999999999896</v>
      </c>
      <c r="AF5178">
        <v>3.65689277988634</v>
      </c>
      <c r="AG5178">
        <v>-1.109524677539</v>
      </c>
      <c r="AH5178">
        <v>46.4747738099759</v>
      </c>
      <c r="AI5178">
        <v>91.363389762589406</v>
      </c>
      <c r="AJ5178">
        <v>85.500920459686299</v>
      </c>
      <c r="AK5178">
        <v>46.631625647215898</v>
      </c>
      <c r="AL5178">
        <v>88.7207976043439</v>
      </c>
      <c r="AM5178">
        <v>89.492419541035005</v>
      </c>
      <c r="AN5178">
        <v>1.0000000518188401</v>
      </c>
    </row>
    <row r="5179" spans="1:40" x14ac:dyDescent="0.25">
      <c r="A5179" t="str">
        <f>"20190312160437645"</f>
        <v>20190312160437645</v>
      </c>
      <c r="B5179" t="str">
        <f>"1552377877640101"</f>
        <v>1552377877640101</v>
      </c>
      <c r="C5179" t="s">
        <v>40</v>
      </c>
      <c r="D5179">
        <v>4.850695</v>
      </c>
      <c r="E5179">
        <v>0.52704050000000002</v>
      </c>
      <c r="F5179" t="s">
        <v>98</v>
      </c>
      <c r="G5179">
        <v>-511.92520000000002</v>
      </c>
      <c r="H5179">
        <v>7.6922710000000005E-2</v>
      </c>
      <c r="I5179">
        <v>160.42740000000001</v>
      </c>
      <c r="J5179">
        <v>-326.20049999999998</v>
      </c>
      <c r="K5179">
        <v>1.1095090000000001</v>
      </c>
      <c r="L5179">
        <v>141.80170000000001</v>
      </c>
      <c r="M5179">
        <v>-0.99974750000000001</v>
      </c>
      <c r="N5179">
        <v>0</v>
      </c>
      <c r="O5179">
        <v>2.0344569999999999E-2</v>
      </c>
      <c r="P5179">
        <v>-0.99948610000000004</v>
      </c>
      <c r="Q5179">
        <v>1.244961E-2</v>
      </c>
      <c r="R5179">
        <v>2.9541009999999999E-2</v>
      </c>
      <c r="S5179">
        <v>-2.9929809999999999</v>
      </c>
      <c r="T5179">
        <v>-1.661634E-2</v>
      </c>
      <c r="U5179">
        <v>0.29981989999999997</v>
      </c>
      <c r="V5179">
        <v>9.2007349999999998E-3</v>
      </c>
      <c r="W5179">
        <v>2.200218E-2</v>
      </c>
      <c r="X5179">
        <v>0.99971560000000004</v>
      </c>
      <c r="Y5179">
        <v>7.9409789999999994E-2</v>
      </c>
      <c r="Z5179">
        <v>1.072443E-4</v>
      </c>
      <c r="AA5179">
        <v>0.99684200000000001</v>
      </c>
      <c r="AB5179">
        <v>26</v>
      </c>
      <c r="AC5179">
        <v>-185.72470000000001</v>
      </c>
      <c r="AD5179">
        <v>-1.03258629</v>
      </c>
      <c r="AE5179">
        <v>18.625699999999899</v>
      </c>
      <c r="AF5179">
        <v>14.8427292532241</v>
      </c>
      <c r="AG5179">
        <v>-1.03258629</v>
      </c>
      <c r="AH5179">
        <v>186.05951173721101</v>
      </c>
      <c r="AI5179">
        <v>90.316967805718406</v>
      </c>
      <c r="AJ5179">
        <v>85.438940035918506</v>
      </c>
      <c r="AK5179">
        <v>186.65346167167701</v>
      </c>
      <c r="AL5179">
        <v>88.739266231733097</v>
      </c>
      <c r="AM5179">
        <v>89.472701635545206</v>
      </c>
      <c r="AN5179">
        <v>1.00000001516632</v>
      </c>
    </row>
    <row r="5180" spans="1:40" x14ac:dyDescent="0.25">
      <c r="A5180" t="str">
        <f>"20190312160437661"</f>
        <v>20190312160437661</v>
      </c>
      <c r="B5180" t="str">
        <f>"1552377877649858"</f>
        <v>1552377877649858</v>
      </c>
      <c r="C5180" t="s">
        <v>40</v>
      </c>
      <c r="D5180">
        <v>4.8828269999999998</v>
      </c>
      <c r="E5180">
        <v>0.52680099999999996</v>
      </c>
      <c r="F5180" t="s">
        <v>98</v>
      </c>
      <c r="G5180">
        <v>-511.92540000000002</v>
      </c>
      <c r="H5180">
        <v>0.79349419999999904</v>
      </c>
      <c r="I5180">
        <v>160.75380000000001</v>
      </c>
      <c r="J5180">
        <v>-326.3759</v>
      </c>
      <c r="K5180">
        <v>1.1095060000000001</v>
      </c>
      <c r="L5180">
        <v>141.80529999999999</v>
      </c>
      <c r="M5180">
        <v>-0.99974750000000001</v>
      </c>
      <c r="N5180">
        <v>0</v>
      </c>
      <c r="O5180">
        <v>2.0344460000000002E-2</v>
      </c>
      <c r="P5180">
        <v>-0.99948300000000001</v>
      </c>
      <c r="Q5180">
        <v>1.2580269999999999E-2</v>
      </c>
      <c r="R5180">
        <v>2.9589569999999999E-2</v>
      </c>
      <c r="S5180">
        <v>-2.9925839999999999</v>
      </c>
      <c r="T5180">
        <v>-5.0911899999999998E-3</v>
      </c>
      <c r="U5180">
        <v>0.30537409999999998</v>
      </c>
      <c r="V5180">
        <v>9.2495200000000007E-3</v>
      </c>
      <c r="W5180">
        <v>2.2118499999999999E-2</v>
      </c>
      <c r="X5180">
        <v>0.99971259999999995</v>
      </c>
      <c r="Y5180">
        <v>8.1255090000000002E-2</v>
      </c>
      <c r="Z5180" s="1">
        <v>3.4426730000000002E-5</v>
      </c>
      <c r="AA5180">
        <v>0.9966933</v>
      </c>
      <c r="AB5180">
        <v>26</v>
      </c>
      <c r="AC5180">
        <v>-185.54949999999999</v>
      </c>
      <c r="AD5180">
        <v>-0.31601179999999901</v>
      </c>
      <c r="AE5180">
        <v>18.948499999999999</v>
      </c>
      <c r="AF5180">
        <v>15.1694581019603</v>
      </c>
      <c r="AG5180">
        <v>-0.31601179999999901</v>
      </c>
      <c r="AH5180">
        <v>185.89607423863799</v>
      </c>
      <c r="AI5180">
        <v>90.097076506407404</v>
      </c>
      <c r="AJ5180">
        <v>85.334896508031306</v>
      </c>
      <c r="AK5180">
        <v>186.51424272666699</v>
      </c>
      <c r="AL5180">
        <v>88.732599985966004</v>
      </c>
      <c r="AM5180">
        <v>89.469904313180194</v>
      </c>
      <c r="AN5180">
        <v>1.00000003213061</v>
      </c>
    </row>
    <row r="5181" spans="1:40" x14ac:dyDescent="0.25">
      <c r="A5181" t="str">
        <f>"20190312160437673"</f>
        <v>20190312160437673</v>
      </c>
      <c r="B5181" t="str">
        <f>"1552377877670355"</f>
        <v>1552377877670355</v>
      </c>
      <c r="C5181" t="s">
        <v>40</v>
      </c>
      <c r="D5181">
        <v>4.91153</v>
      </c>
      <c r="E5181">
        <v>0.52581820000000001</v>
      </c>
      <c r="F5181" t="s">
        <v>98</v>
      </c>
      <c r="G5181">
        <v>-511.92540000000002</v>
      </c>
      <c r="H5181">
        <v>0.74838070000000001</v>
      </c>
      <c r="I5181">
        <v>160.62729999999999</v>
      </c>
      <c r="J5181">
        <v>-326.51889999999997</v>
      </c>
      <c r="K5181">
        <v>1.109505</v>
      </c>
      <c r="L5181">
        <v>141.8082</v>
      </c>
      <c r="M5181">
        <v>-0.99974779999999996</v>
      </c>
      <c r="N5181">
        <v>0</v>
      </c>
      <c r="O5181">
        <v>2.0344339999999999E-2</v>
      </c>
      <c r="P5181">
        <v>-0.99947560000000002</v>
      </c>
      <c r="Q5181">
        <v>1.260236E-2</v>
      </c>
      <c r="R5181">
        <v>2.983972E-2</v>
      </c>
      <c r="S5181">
        <v>-2.9926759999999999</v>
      </c>
      <c r="T5181">
        <v>-5.8237310000000004E-3</v>
      </c>
      <c r="U5181">
        <v>0.3035736</v>
      </c>
      <c r="V5181">
        <v>9.4999939999999995E-3</v>
      </c>
      <c r="W5181">
        <v>2.2128990000000001E-2</v>
      </c>
      <c r="X5181">
        <v>0.99970999999999999</v>
      </c>
      <c r="Y5181">
        <v>8.0658579999999994E-2</v>
      </c>
      <c r="Z5181" s="1">
        <v>3.8801450000000001E-5</v>
      </c>
      <c r="AA5181">
        <v>0.99674180000000001</v>
      </c>
      <c r="AB5181">
        <v>26</v>
      </c>
      <c r="AC5181">
        <v>-185.40649999999999</v>
      </c>
      <c r="AD5181">
        <v>-0.36112430000000001</v>
      </c>
      <c r="AE5181">
        <v>18.819099999999899</v>
      </c>
      <c r="AF5181">
        <v>15.0430047564062</v>
      </c>
      <c r="AG5181">
        <v>-0.36112430000000001</v>
      </c>
      <c r="AH5181">
        <v>185.75030539653901</v>
      </c>
      <c r="AI5181">
        <v>90.111027289316496</v>
      </c>
      <c r="AJ5181">
        <v>85.370000714237705</v>
      </c>
      <c r="AK5181">
        <v>186.35878932255599</v>
      </c>
      <c r="AL5181">
        <v>88.731998781968798</v>
      </c>
      <c r="AM5181">
        <v>89.455548930829394</v>
      </c>
      <c r="AN5181">
        <v>1.00000001309221</v>
      </c>
    </row>
    <row r="5182" spans="1:40" x14ac:dyDescent="0.25">
      <c r="A5182" t="str">
        <f>"20190312160437690"</f>
        <v>20190312160437690</v>
      </c>
      <c r="B5182" t="str">
        <f>"1552377877680114"</f>
        <v>1552377877680114</v>
      </c>
      <c r="C5182" t="s">
        <v>40</v>
      </c>
      <c r="D5182">
        <v>4.8989630000000002</v>
      </c>
      <c r="E5182">
        <v>0.52617320000000001</v>
      </c>
      <c r="F5182" t="s">
        <v>98</v>
      </c>
      <c r="G5182">
        <v>-511.92529999999999</v>
      </c>
      <c r="H5182">
        <v>0.32151160000000001</v>
      </c>
      <c r="I5182">
        <v>160.18819999999999</v>
      </c>
      <c r="J5182">
        <v>-326.72359999999998</v>
      </c>
      <c r="K5182">
        <v>1.1095090000000001</v>
      </c>
      <c r="L5182">
        <v>141.8124</v>
      </c>
      <c r="M5182">
        <v>-0.99974779999999996</v>
      </c>
      <c r="N5182">
        <v>0</v>
      </c>
      <c r="O5182">
        <v>2.0344419999999998E-2</v>
      </c>
      <c r="P5182">
        <v>-0.99947220000000003</v>
      </c>
      <c r="Q5182">
        <v>1.299588E-2</v>
      </c>
      <c r="R5182">
        <v>2.9778789999999999E-2</v>
      </c>
      <c r="S5182">
        <v>-2.9928590000000002</v>
      </c>
      <c r="T5182">
        <v>-1.271915E-2</v>
      </c>
      <c r="U5182">
        <v>0.29669190000000001</v>
      </c>
      <c r="V5182">
        <v>9.4390099999999994E-3</v>
      </c>
      <c r="W5182">
        <v>2.2507019999999999E-2</v>
      </c>
      <c r="X5182">
        <v>0.99970210000000004</v>
      </c>
      <c r="Y5182">
        <v>7.8382690000000005E-2</v>
      </c>
      <c r="Z5182" s="1">
        <v>7.9922389999999998E-5</v>
      </c>
      <c r="AA5182">
        <v>0.99692329999999996</v>
      </c>
      <c r="AB5182">
        <v>27</v>
      </c>
      <c r="AC5182">
        <v>-185.20169999999999</v>
      </c>
      <c r="AD5182">
        <v>-0.78799739999999996</v>
      </c>
      <c r="AE5182">
        <v>18.375800000000002</v>
      </c>
      <c r="AF5182">
        <v>14.603743069094</v>
      </c>
      <c r="AG5182">
        <v>-0.78799739999999996</v>
      </c>
      <c r="AH5182">
        <v>185.53390135091399</v>
      </c>
      <c r="AI5182">
        <v>90.242594160466894</v>
      </c>
      <c r="AJ5182">
        <v>85.499414297111301</v>
      </c>
      <c r="AK5182">
        <v>186.109426956351</v>
      </c>
      <c r="AL5182">
        <v>88.710333812955497</v>
      </c>
      <c r="AM5182">
        <v>89.459039482094795</v>
      </c>
      <c r="AN5182">
        <v>0.99999997480173497</v>
      </c>
    </row>
    <row r="5183" spans="1:40" x14ac:dyDescent="0.25">
      <c r="A5183" t="str">
        <f>"20190312160437704"</f>
        <v>20190312160437704</v>
      </c>
      <c r="B5183" t="str">
        <f>"1552377877700610"</f>
        <v>1552377877700610</v>
      </c>
      <c r="C5183" t="s">
        <v>40</v>
      </c>
      <c r="D5183">
        <v>4.9559660000000001</v>
      </c>
      <c r="E5183">
        <v>0.52609309999999998</v>
      </c>
      <c r="F5183" t="s">
        <v>98</v>
      </c>
      <c r="G5183">
        <v>-511.92540000000002</v>
      </c>
      <c r="H5183">
        <v>0.52711569999999996</v>
      </c>
      <c r="I5183">
        <v>160.33279999999999</v>
      </c>
      <c r="J5183">
        <v>-326.89589999999998</v>
      </c>
      <c r="K5183">
        <v>1.1095060000000001</v>
      </c>
      <c r="L5183">
        <v>141.8159</v>
      </c>
      <c r="M5183">
        <v>-0.99974799999999997</v>
      </c>
      <c r="N5183">
        <v>0</v>
      </c>
      <c r="O5183">
        <v>2.0344190000000002E-2</v>
      </c>
      <c r="P5183">
        <v>-0.99946769999999996</v>
      </c>
      <c r="Q5183">
        <v>1.327327E-2</v>
      </c>
      <c r="R5183">
        <v>2.9809169999999999E-2</v>
      </c>
      <c r="S5183">
        <v>-2.9928279999999998</v>
      </c>
      <c r="T5183">
        <v>-9.4106199999999997E-3</v>
      </c>
      <c r="U5183">
        <v>0.29928589999999999</v>
      </c>
      <c r="V5183">
        <v>9.4696710000000007E-3</v>
      </c>
      <c r="W5183">
        <v>2.2770169999999999E-2</v>
      </c>
      <c r="X5183">
        <v>0.99969589999999997</v>
      </c>
      <c r="Y5183">
        <v>7.9239699999999996E-2</v>
      </c>
      <c r="Z5183" s="1">
        <v>6.047588E-5</v>
      </c>
      <c r="AA5183">
        <v>0.99685559999999995</v>
      </c>
      <c r="AB5183">
        <v>27</v>
      </c>
      <c r="AC5183">
        <v>-185.02950000000001</v>
      </c>
      <c r="AD5183">
        <v>-0.58239029999999903</v>
      </c>
      <c r="AE5183">
        <v>18.5169</v>
      </c>
      <c r="AF5183">
        <v>14.748477846711699</v>
      </c>
      <c r="AG5183">
        <v>-0.58239029999999903</v>
      </c>
      <c r="AH5183">
        <v>185.36611208665599</v>
      </c>
      <c r="AI5183">
        <v>90.179446379347397</v>
      </c>
      <c r="AJ5183">
        <v>85.450899085092502</v>
      </c>
      <c r="AK5183">
        <v>185.95282274646701</v>
      </c>
      <c r="AL5183">
        <v>88.695252627106001</v>
      </c>
      <c r="AM5183">
        <v>89.457279004189502</v>
      </c>
      <c r="AN5183">
        <v>1.0000000238937401</v>
      </c>
    </row>
    <row r="5184" spans="1:40" x14ac:dyDescent="0.25">
      <c r="A5184" t="str">
        <f>"20190312160437725"</f>
        <v>20190312160437725</v>
      </c>
      <c r="B5184" t="str">
        <f>"1552377877710371"</f>
        <v>1552377877710371</v>
      </c>
      <c r="C5184" t="s">
        <v>40</v>
      </c>
      <c r="D5184">
        <v>4.9215140000000002</v>
      </c>
      <c r="E5184">
        <v>0.52535669999999901</v>
      </c>
      <c r="F5184" t="s">
        <v>98</v>
      </c>
      <c r="G5184">
        <v>-511.92540000000002</v>
      </c>
      <c r="H5184">
        <v>0.79187859999999999</v>
      </c>
      <c r="I5184">
        <v>160.2807</v>
      </c>
      <c r="J5184">
        <v>-327.12909999999999</v>
      </c>
      <c r="K5184">
        <v>1.109499</v>
      </c>
      <c r="L5184">
        <v>141.82069999999999</v>
      </c>
      <c r="M5184">
        <v>-0.99974810000000003</v>
      </c>
      <c r="N5184">
        <v>0</v>
      </c>
      <c r="O5184">
        <v>2.0344109999999999E-2</v>
      </c>
      <c r="P5184">
        <v>-0.99946360000000001</v>
      </c>
      <c r="Q5184">
        <v>1.28914999999999E-2</v>
      </c>
      <c r="R5184">
        <v>3.01033E-2</v>
      </c>
      <c r="S5184">
        <v>-2.9927670000000002</v>
      </c>
      <c r="T5184">
        <v>-5.1367280000000001E-3</v>
      </c>
      <c r="U5184">
        <v>0.29866029999999999</v>
      </c>
      <c r="V5184">
        <v>9.763819E-3</v>
      </c>
      <c r="W5184">
        <v>2.236782E-2</v>
      </c>
      <c r="X5184">
        <v>0.99970219999999999</v>
      </c>
      <c r="Y5184">
        <v>7.9035659999999994E-2</v>
      </c>
      <c r="Z5184" s="1">
        <v>3.2836899999999997E-5</v>
      </c>
      <c r="AA5184">
        <v>0.99687179999999997</v>
      </c>
      <c r="AB5184">
        <v>27</v>
      </c>
      <c r="AC5184">
        <v>-184.7963</v>
      </c>
      <c r="AD5184">
        <v>-0.31762040000000002</v>
      </c>
      <c r="AE5184">
        <v>18.46</v>
      </c>
      <c r="AF5184">
        <v>14.6964509671347</v>
      </c>
      <c r="AG5184">
        <v>-0.31762040000000002</v>
      </c>
      <c r="AH5184">
        <v>185.13307823862499</v>
      </c>
      <c r="AI5184">
        <v>90.0979901617293</v>
      </c>
      <c r="AJ5184">
        <v>85.461197358487198</v>
      </c>
      <c r="AK5184">
        <v>185.715759190911</v>
      </c>
      <c r="AL5184">
        <v>88.718311516206597</v>
      </c>
      <c r="AM5184">
        <v>89.440425524750907</v>
      </c>
      <c r="AN5184">
        <v>1.00000007010892</v>
      </c>
    </row>
    <row r="5185" spans="1:40" x14ac:dyDescent="0.25">
      <c r="A5185" t="str">
        <f>"20190312160437746"</f>
        <v>20190312160437746</v>
      </c>
      <c r="B5185" t="str">
        <f>"1552377877740626"</f>
        <v>1552377877740626</v>
      </c>
      <c r="C5185" t="s">
        <v>40</v>
      </c>
      <c r="D5185">
        <v>4.902647</v>
      </c>
      <c r="E5185">
        <v>0.52390079999999895</v>
      </c>
      <c r="F5185" t="s">
        <v>98</v>
      </c>
      <c r="G5185">
        <v>-511.92520000000002</v>
      </c>
      <c r="H5185">
        <v>0.1026248</v>
      </c>
      <c r="I5185">
        <v>159.96899999999999</v>
      </c>
      <c r="J5185">
        <v>-327.39490000000001</v>
      </c>
      <c r="K5185">
        <v>1.109499</v>
      </c>
      <c r="L5185">
        <v>141.8261</v>
      </c>
      <c r="M5185">
        <v>-0.99974830000000003</v>
      </c>
      <c r="N5185">
        <v>0</v>
      </c>
      <c r="O5185">
        <v>2.0343859999999998E-2</v>
      </c>
      <c r="P5185">
        <v>-0.99945390000000001</v>
      </c>
      <c r="Q5185">
        <v>1.302086E-2</v>
      </c>
      <c r="R5185">
        <v>3.037283E-2</v>
      </c>
      <c r="S5185">
        <v>-2.99295</v>
      </c>
      <c r="T5185">
        <v>-1.6306520000000001E-2</v>
      </c>
      <c r="U5185">
        <v>0.29393010000000003</v>
      </c>
      <c r="V5185">
        <v>1.0033790000000001E-2</v>
      </c>
      <c r="W5185">
        <v>2.2474129999999998E-2</v>
      </c>
      <c r="X5185">
        <v>0.99969710000000001</v>
      </c>
      <c r="Y5185">
        <v>7.7468830000000002E-2</v>
      </c>
      <c r="Z5185" s="1">
        <v>9.9984559999999995E-5</v>
      </c>
      <c r="AA5185">
        <v>0.99699479999999996</v>
      </c>
      <c r="AB5185">
        <v>27</v>
      </c>
      <c r="AC5185">
        <v>-184.53030000000001</v>
      </c>
      <c r="AD5185">
        <v>-1.0068741999999999</v>
      </c>
      <c r="AE5185">
        <v>18.142900000000001</v>
      </c>
      <c r="AF5185">
        <v>14.384494161865801</v>
      </c>
      <c r="AG5185">
        <v>-1.0068741999999999</v>
      </c>
      <c r="AH5185">
        <v>184.85576881606099</v>
      </c>
      <c r="AI5185">
        <v>90.311135580778299</v>
      </c>
      <c r="AJ5185">
        <v>85.550513014822798</v>
      </c>
      <c r="AK5185">
        <v>185.417320476067</v>
      </c>
      <c r="AL5185">
        <v>88.712218815986205</v>
      </c>
      <c r="AM5185">
        <v>89.424951301605404</v>
      </c>
      <c r="AN5185">
        <v>1.0000000276047101</v>
      </c>
    </row>
    <row r="5186" spans="1:40" x14ac:dyDescent="0.25">
      <c r="A5186" t="str">
        <f>"20190312160437761"</f>
        <v>20190312160437761</v>
      </c>
      <c r="B5186" t="str">
        <f>"1552377877750386"</f>
        <v>1552377877750386</v>
      </c>
      <c r="C5186" t="s">
        <v>40</v>
      </c>
      <c r="D5186">
        <v>4.9528339999999904</v>
      </c>
      <c r="E5186">
        <v>0.52354709999999904</v>
      </c>
      <c r="F5186" t="s">
        <v>60</v>
      </c>
      <c r="G5186">
        <v>-430.2602</v>
      </c>
      <c r="H5186">
        <v>2.710245E-2</v>
      </c>
      <c r="I5186">
        <v>151.5668</v>
      </c>
      <c r="J5186">
        <v>-327.5702</v>
      </c>
      <c r="K5186">
        <v>1.109499</v>
      </c>
      <c r="L5186">
        <v>141.8296</v>
      </c>
      <c r="M5186">
        <v>-0.99974859999999999</v>
      </c>
      <c r="N5186">
        <v>0</v>
      </c>
      <c r="O5186">
        <v>2.0343630000000001E-2</v>
      </c>
      <c r="P5186">
        <v>-0.9994478</v>
      </c>
      <c r="Q5186">
        <v>1.2815119999999999E-2</v>
      </c>
      <c r="R5186">
        <v>3.066375E-2</v>
      </c>
      <c r="S5186">
        <v>-2.9934690000000002</v>
      </c>
      <c r="T5186">
        <v>-3.1498669999999999E-2</v>
      </c>
      <c r="U5186">
        <v>0.28346250000000001</v>
      </c>
      <c r="V5186">
        <v>1.032508E-2</v>
      </c>
      <c r="W5186">
        <v>2.225531E-2</v>
      </c>
      <c r="X5186">
        <v>0.999699</v>
      </c>
      <c r="Y5186">
        <v>7.3995569999999997E-2</v>
      </c>
      <c r="Z5186">
        <v>1.748997E-4</v>
      </c>
      <c r="AA5186">
        <v>0.99725850000000005</v>
      </c>
      <c r="AB5186">
        <v>27</v>
      </c>
      <c r="AC5186">
        <v>-102.69</v>
      </c>
      <c r="AD5186">
        <v>-1.0823965499999999</v>
      </c>
      <c r="AE5186">
        <v>9.7371999999999996</v>
      </c>
      <c r="AF5186">
        <v>7.6451626609063696</v>
      </c>
      <c r="AG5186">
        <v>-1.0823965499999999</v>
      </c>
      <c r="AH5186">
        <v>102.855519414854</v>
      </c>
      <c r="AI5186">
        <v>90.601269382217595</v>
      </c>
      <c r="AJ5186">
        <v>85.749070824748998</v>
      </c>
      <c r="AK5186">
        <v>103.144936708025</v>
      </c>
      <c r="AL5186">
        <v>88.724759377500902</v>
      </c>
      <c r="AM5186">
        <v>89.408259412632106</v>
      </c>
      <c r="AN5186">
        <v>0.99999999835060105</v>
      </c>
    </row>
    <row r="5187" spans="1:40" x14ac:dyDescent="0.25">
      <c r="A5187" t="str">
        <f>"20190312160437779"</f>
        <v>20190312160437779</v>
      </c>
      <c r="B5187" t="str">
        <f>"1552377877769924"</f>
        <v>1552377877769924</v>
      </c>
      <c r="C5187" t="s">
        <v>40</v>
      </c>
      <c r="D5187">
        <v>4.882047</v>
      </c>
      <c r="E5187">
        <v>0.52313549999999998</v>
      </c>
      <c r="F5187" t="s">
        <v>60</v>
      </c>
      <c r="G5187">
        <v>-430.29649999999998</v>
      </c>
      <c r="H5187">
        <v>1.9468160000000002E-2</v>
      </c>
      <c r="I5187">
        <v>151.4897</v>
      </c>
      <c r="J5187">
        <v>-327.7919</v>
      </c>
      <c r="K5187">
        <v>1.109499</v>
      </c>
      <c r="L5187">
        <v>141.83420000000001</v>
      </c>
      <c r="M5187">
        <v>-0.99974859999999999</v>
      </c>
      <c r="N5187">
        <v>0</v>
      </c>
      <c r="O5187">
        <v>2.0343340000000001E-2</v>
      </c>
      <c r="P5187">
        <v>-0.99943510000000002</v>
      </c>
      <c r="Q5187">
        <v>1.3024930000000001E-2</v>
      </c>
      <c r="R5187">
        <v>3.098863E-2</v>
      </c>
      <c r="S5187">
        <v>-2.993439</v>
      </c>
      <c r="T5187">
        <v>-3.1763430000000002E-2</v>
      </c>
      <c r="U5187">
        <v>0.28149410000000002</v>
      </c>
      <c r="V5187">
        <v>1.065053E-2</v>
      </c>
      <c r="W5187">
        <v>2.2450299999999999E-2</v>
      </c>
      <c r="X5187">
        <v>0.9996912</v>
      </c>
      <c r="Y5187">
        <v>7.3346809999999998E-2</v>
      </c>
      <c r="Z5187">
        <v>1.729453E-4</v>
      </c>
      <c r="AA5187">
        <v>0.99730649999999998</v>
      </c>
      <c r="AB5187">
        <v>27</v>
      </c>
      <c r="AC5187">
        <v>-102.504599999999</v>
      </c>
      <c r="AD5187">
        <v>-1.0900308400000001</v>
      </c>
      <c r="AE5187">
        <v>9.6554999999999893</v>
      </c>
      <c r="AF5187">
        <v>7.5672748413732798</v>
      </c>
      <c r="AG5187">
        <v>-1.0900308400000001</v>
      </c>
      <c r="AH5187">
        <v>102.668311167052</v>
      </c>
      <c r="AI5187">
        <v>90.606641746824096</v>
      </c>
      <c r="AJ5187">
        <v>85.784577390140697</v>
      </c>
      <c r="AK5187">
        <v>102.952580995581</v>
      </c>
      <c r="AL5187">
        <v>88.713584448126994</v>
      </c>
      <c r="AM5187">
        <v>89.389604177460001</v>
      </c>
      <c r="AN5187">
        <v>0.999999972558405</v>
      </c>
    </row>
    <row r="5188" spans="1:40" x14ac:dyDescent="0.25">
      <c r="A5188" t="str">
        <f>"20190312160437803"</f>
        <v>20190312160437803</v>
      </c>
      <c r="B5188" t="str">
        <f>"1552377877790403"</f>
        <v>1552377877790403</v>
      </c>
      <c r="C5188" t="s">
        <v>40</v>
      </c>
      <c r="D5188">
        <v>4.9095769999999996</v>
      </c>
      <c r="E5188">
        <v>0.52263409999999999</v>
      </c>
      <c r="F5188" t="s">
        <v>60</v>
      </c>
      <c r="G5188">
        <v>-421.1909</v>
      </c>
      <c r="H5188" s="1">
        <v>-1.40103E-5</v>
      </c>
      <c r="I5188">
        <v>150.54839999999999</v>
      </c>
      <c r="J5188">
        <v>-328.06420000000003</v>
      </c>
      <c r="K5188">
        <v>1.109497</v>
      </c>
      <c r="L5188">
        <v>141.83969999999999</v>
      </c>
      <c r="M5188">
        <v>-0.99974879999999999</v>
      </c>
      <c r="N5188">
        <v>0</v>
      </c>
      <c r="O5188">
        <v>2.034294E-2</v>
      </c>
      <c r="P5188">
        <v>-0.99941970000000002</v>
      </c>
      <c r="Q5188">
        <v>1.3244179999999999E-2</v>
      </c>
      <c r="R5188">
        <v>3.1378089999999997E-2</v>
      </c>
      <c r="S5188">
        <v>-2.9935</v>
      </c>
      <c r="T5188">
        <v>-3.5560609999999999E-2</v>
      </c>
      <c r="U5188">
        <v>0.27929690000000001</v>
      </c>
      <c r="V5188">
        <v>1.104045E-2</v>
      </c>
      <c r="W5188">
        <v>2.265242E-2</v>
      </c>
      <c r="X5188">
        <v>0.99968239999999997</v>
      </c>
      <c r="Y5188">
        <v>7.2618920000000003E-2</v>
      </c>
      <c r="Z5188">
        <v>1.8931180000000001E-4</v>
      </c>
      <c r="AA5188">
        <v>0.99735980000000002</v>
      </c>
      <c r="AB5188">
        <v>27</v>
      </c>
      <c r="AC5188">
        <v>-93.1266999999999</v>
      </c>
      <c r="AD5188">
        <v>-1.1095110103000001</v>
      </c>
      <c r="AE5188">
        <v>8.7086999999999897</v>
      </c>
      <c r="AF5188">
        <v>6.8113845140800704</v>
      </c>
      <c r="AG5188">
        <v>-1.1095110103000001</v>
      </c>
      <c r="AH5188">
        <v>93.271470663747195</v>
      </c>
      <c r="AI5188">
        <v>90.679720042718301</v>
      </c>
      <c r="AJ5188">
        <v>85.8232454903319</v>
      </c>
      <c r="AK5188">
        <v>93.526430560878794</v>
      </c>
      <c r="AL5188">
        <v>88.702000865609193</v>
      </c>
      <c r="AM5188">
        <v>89.367253566950495</v>
      </c>
      <c r="AN5188">
        <v>0.99999996226890797</v>
      </c>
    </row>
    <row r="5189" spans="1:40" x14ac:dyDescent="0.25">
      <c r="A5189" t="str">
        <f>"20190312160437825"</f>
        <v>20190312160437825</v>
      </c>
      <c r="B5189" t="str">
        <f>"1552377877820658"</f>
        <v>1552377877820658</v>
      </c>
      <c r="C5189" t="s">
        <v>40</v>
      </c>
      <c r="D5189">
        <v>4.8969389999999997</v>
      </c>
      <c r="E5189">
        <v>0.5220863</v>
      </c>
      <c r="F5189" t="s">
        <v>60</v>
      </c>
      <c r="G5189">
        <v>-411.81009999999998</v>
      </c>
      <c r="H5189" s="1">
        <v>-1.4095209999999999E-5</v>
      </c>
      <c r="I5189">
        <v>149.58099999999999</v>
      </c>
      <c r="J5189">
        <v>-328.33249999999998</v>
      </c>
      <c r="K5189">
        <v>1.109488</v>
      </c>
      <c r="L5189">
        <v>141.84520000000001</v>
      </c>
      <c r="M5189">
        <v>-0.999749</v>
      </c>
      <c r="N5189">
        <v>0</v>
      </c>
      <c r="O5189">
        <v>2.034248E-2</v>
      </c>
      <c r="P5189">
        <v>-0.99941429999999998</v>
      </c>
      <c r="Q5189">
        <v>1.359089E-2</v>
      </c>
      <c r="R5189">
        <v>3.1413730000000001E-2</v>
      </c>
      <c r="S5189">
        <v>-2.9935610000000001</v>
      </c>
      <c r="T5189">
        <v>-3.9660330000000001E-2</v>
      </c>
      <c r="U5189">
        <v>0.27671810000000002</v>
      </c>
      <c r="V5189">
        <v>1.107671E-2</v>
      </c>
      <c r="W5189">
        <v>2.2984689999999999E-2</v>
      </c>
      <c r="X5189">
        <v>0.99967439999999996</v>
      </c>
      <c r="Y5189">
        <v>7.1764869999999994E-2</v>
      </c>
      <c r="Z5189">
        <v>2.0550009999999999E-4</v>
      </c>
      <c r="AA5189">
        <v>0.99742160000000002</v>
      </c>
      <c r="AB5189">
        <v>27</v>
      </c>
      <c r="AC5189">
        <v>-83.477599999999995</v>
      </c>
      <c r="AD5189">
        <v>-1.1095020952099901</v>
      </c>
      <c r="AE5189">
        <v>7.73580000000001</v>
      </c>
      <c r="AF5189">
        <v>6.0349258593175303</v>
      </c>
      <c r="AG5189">
        <v>-1.1095020952099901</v>
      </c>
      <c r="AH5189">
        <v>83.603053952222396</v>
      </c>
      <c r="AI5189">
        <v>90.758358736517707</v>
      </c>
      <c r="AJ5189">
        <v>85.871238513468995</v>
      </c>
      <c r="AK5189">
        <v>83.827930638689494</v>
      </c>
      <c r="AL5189">
        <v>88.682958218750201</v>
      </c>
      <c r="AM5189">
        <v>89.365170536392895</v>
      </c>
      <c r="AN5189">
        <v>0.999999947747088</v>
      </c>
    </row>
    <row r="5190" spans="1:40" x14ac:dyDescent="0.25">
      <c r="A5190" t="str">
        <f>"20190312160437847"</f>
        <v>20190312160437847</v>
      </c>
      <c r="B5190" t="str">
        <f>"1552377877840178"</f>
        <v>1552377877840178</v>
      </c>
      <c r="C5190" t="s">
        <v>40</v>
      </c>
      <c r="D5190">
        <v>4.8735239999999997</v>
      </c>
      <c r="E5190">
        <v>0.52192970000000005</v>
      </c>
      <c r="F5190" t="s">
        <v>41</v>
      </c>
      <c r="G5190">
        <v>-395.19749999999999</v>
      </c>
      <c r="H5190" s="1">
        <v>-3.9825539999999998E-6</v>
      </c>
      <c r="I5190">
        <v>147.93289999999999</v>
      </c>
      <c r="J5190">
        <v>-328.60329999999999</v>
      </c>
      <c r="K5190">
        <v>1.1094869999999999</v>
      </c>
      <c r="L5190">
        <v>141.85069999999999</v>
      </c>
      <c r="M5190">
        <v>-0.99974909999999995</v>
      </c>
      <c r="N5190">
        <v>0</v>
      </c>
      <c r="O5190">
        <v>2.0342240000000001E-2</v>
      </c>
      <c r="P5190">
        <v>-0.999413</v>
      </c>
      <c r="Q5190">
        <v>1.3698200000000001E-2</v>
      </c>
      <c r="R5190">
        <v>3.1399290000000003E-2</v>
      </c>
      <c r="S5190">
        <v>-2.9938660000000001</v>
      </c>
      <c r="T5190">
        <v>-4.9677249999999999E-2</v>
      </c>
      <c r="U5190">
        <v>0.27258300000000002</v>
      </c>
      <c r="V5190">
        <v>1.106241E-2</v>
      </c>
      <c r="W5190">
        <v>2.3080030000000001E-2</v>
      </c>
      <c r="X5190">
        <v>0.99967240000000002</v>
      </c>
      <c r="Y5190">
        <v>7.0387210000000006E-2</v>
      </c>
      <c r="Z5190">
        <v>2.459839E-4</v>
      </c>
      <c r="AA5190">
        <v>0.99751970000000001</v>
      </c>
      <c r="AB5190">
        <v>27</v>
      </c>
      <c r="AC5190">
        <v>-66.594200000000001</v>
      </c>
      <c r="AD5190">
        <v>-1.109490982554</v>
      </c>
      <c r="AE5190">
        <v>6.0822000000000003</v>
      </c>
      <c r="AF5190">
        <v>4.7249059206588102</v>
      </c>
      <c r="AG5190">
        <v>-1.109490982554</v>
      </c>
      <c r="AH5190">
        <v>66.685792866501004</v>
      </c>
      <c r="AI5190">
        <v>90.950792682610199</v>
      </c>
      <c r="AJ5190">
        <v>85.947180063843504</v>
      </c>
      <c r="AK5190">
        <v>66.862176725210801</v>
      </c>
      <c r="AL5190">
        <v>88.677494239959003</v>
      </c>
      <c r="AM5190">
        <v>89.365988764086097</v>
      </c>
      <c r="AN5190">
        <v>0.99999998601078399</v>
      </c>
    </row>
    <row r="5191" spans="1:40" x14ac:dyDescent="0.25">
      <c r="A5191" t="str">
        <f>"20190312160437861"</f>
        <v>20190312160437861</v>
      </c>
      <c r="B5191" t="str">
        <f>"1552377877849938"</f>
        <v>1552377877849938</v>
      </c>
      <c r="C5191" t="s">
        <v>40</v>
      </c>
      <c r="D5191">
        <v>4.8502580000000002</v>
      </c>
      <c r="E5191">
        <v>0.52194289999999999</v>
      </c>
      <c r="F5191" t="s">
        <v>41</v>
      </c>
      <c r="G5191">
        <v>-391.1816</v>
      </c>
      <c r="H5191" s="1">
        <v>-5.2765829999999998E-6</v>
      </c>
      <c r="I5191">
        <v>147.52369999999999</v>
      </c>
      <c r="J5191">
        <v>-328.77969999999999</v>
      </c>
      <c r="K5191">
        <v>1.1094869999999999</v>
      </c>
      <c r="L5191">
        <v>141.85429999999999</v>
      </c>
      <c r="M5191">
        <v>-0.99974909999999995</v>
      </c>
      <c r="N5191">
        <v>0</v>
      </c>
      <c r="O5191">
        <v>2.034209E-2</v>
      </c>
      <c r="P5191">
        <v>-0.99941389999999997</v>
      </c>
      <c r="Q5191">
        <v>1.381222E-2</v>
      </c>
      <c r="R5191">
        <v>3.132559E-2</v>
      </c>
      <c r="S5191">
        <v>-2.9939879999999999</v>
      </c>
      <c r="T5191">
        <v>-5.308247E-2</v>
      </c>
      <c r="U5191">
        <v>0.27142329999999998</v>
      </c>
      <c r="V5191">
        <v>1.098901E-2</v>
      </c>
      <c r="W5191">
        <v>2.3187289999999999E-2</v>
      </c>
      <c r="X5191">
        <v>0.99967070000000002</v>
      </c>
      <c r="Y5191">
        <v>6.9999549999999994E-2</v>
      </c>
      <c r="Z5191">
        <v>2.5940959999999998E-4</v>
      </c>
      <c r="AA5191">
        <v>0.99754699999999996</v>
      </c>
      <c r="AB5191">
        <v>27</v>
      </c>
      <c r="AC5191">
        <v>-62.401899999999998</v>
      </c>
      <c r="AD5191">
        <v>-1.109492276583</v>
      </c>
      <c r="AE5191">
        <v>5.6693999999999898</v>
      </c>
      <c r="AF5191">
        <v>4.3974071615391503</v>
      </c>
      <c r="AG5191">
        <v>-1.109492276583</v>
      </c>
      <c r="AH5191">
        <v>62.484728065097997</v>
      </c>
      <c r="AI5191">
        <v>91.014740049641901</v>
      </c>
      <c r="AJ5191">
        <v>85.974405935017302</v>
      </c>
      <c r="AK5191">
        <v>62.649097393541098</v>
      </c>
      <c r="AL5191">
        <v>88.671347013026903</v>
      </c>
      <c r="AM5191">
        <v>89.370194069853696</v>
      </c>
      <c r="AN5191">
        <v>0.99999995859840596</v>
      </c>
    </row>
    <row r="5192" spans="1:40" x14ac:dyDescent="0.25">
      <c r="A5192" t="str">
        <f>"20190312160437880"</f>
        <v>20190312160437880</v>
      </c>
      <c r="B5192" t="str">
        <f>"1552377877870438"</f>
        <v>1552377877870438</v>
      </c>
      <c r="C5192" t="s">
        <v>40</v>
      </c>
      <c r="D5192">
        <v>4.873837</v>
      </c>
      <c r="E5192">
        <v>0.52188800000000002</v>
      </c>
      <c r="F5192" t="s">
        <v>41</v>
      </c>
      <c r="G5192">
        <v>-389.88659999999999</v>
      </c>
      <c r="H5192" s="1">
        <v>-2.10016E-6</v>
      </c>
      <c r="I5192">
        <v>147.3929</v>
      </c>
      <c r="J5192">
        <v>-328.99579999999997</v>
      </c>
      <c r="K5192">
        <v>1.109488</v>
      </c>
      <c r="L5192">
        <v>141.8587</v>
      </c>
      <c r="M5192">
        <v>-0.9997492</v>
      </c>
      <c r="N5192">
        <v>0</v>
      </c>
      <c r="O5192">
        <v>2.0341769999999999E-2</v>
      </c>
      <c r="P5192">
        <v>-0.99941429999999998</v>
      </c>
      <c r="Q5192">
        <v>1.383472E-2</v>
      </c>
      <c r="R5192">
        <v>3.130078E-2</v>
      </c>
      <c r="S5192">
        <v>-2.9940190000000002</v>
      </c>
      <c r="T5192">
        <v>-5.4360989999999998E-2</v>
      </c>
      <c r="U5192">
        <v>0.2713776</v>
      </c>
      <c r="V5192">
        <v>1.096447E-2</v>
      </c>
      <c r="W5192">
        <v>2.3202070000000002E-2</v>
      </c>
      <c r="X5192">
        <v>0.99967070000000002</v>
      </c>
      <c r="Y5192">
        <v>6.9983470000000006E-2</v>
      </c>
      <c r="Z5192">
        <v>2.6551439999999998E-4</v>
      </c>
      <c r="AA5192">
        <v>0.99754810000000005</v>
      </c>
      <c r="AB5192">
        <v>27</v>
      </c>
      <c r="AC5192">
        <v>-60.890799999999999</v>
      </c>
      <c r="AD5192">
        <v>-1.1094901001599999</v>
      </c>
      <c r="AE5192">
        <v>5.5341999999999896</v>
      </c>
      <c r="AF5192">
        <v>4.2929601891224101</v>
      </c>
      <c r="AG5192">
        <v>-1.1094901001599999</v>
      </c>
      <c r="AH5192">
        <v>60.970703341941601</v>
      </c>
      <c r="AI5192">
        <v>91.039928059373096</v>
      </c>
      <c r="AJ5192">
        <v>85.972438879406496</v>
      </c>
      <c r="AK5192">
        <v>61.131719601846598</v>
      </c>
      <c r="AL5192">
        <v>88.670500051150697</v>
      </c>
      <c r="AM5192">
        <v>89.371600401884905</v>
      </c>
      <c r="AN5192">
        <v>1.0000000320465701</v>
      </c>
    </row>
    <row r="5193" spans="1:40" x14ac:dyDescent="0.25">
      <c r="A5193" t="str">
        <f>"20190312160437895"</f>
        <v>20190312160437895</v>
      </c>
      <c r="B5193" t="str">
        <f>"1552377877889955"</f>
        <v>1552377877889955</v>
      </c>
      <c r="C5193" t="s">
        <v>40</v>
      </c>
      <c r="D5193">
        <v>4.8133059999999999</v>
      </c>
      <c r="E5193">
        <v>0.52181789999999995</v>
      </c>
      <c r="F5193" t="s">
        <v>41</v>
      </c>
      <c r="G5193">
        <v>-388.12619999999998</v>
      </c>
      <c r="H5193" s="1">
        <v>-2.8068509999999999E-6</v>
      </c>
      <c r="I5193">
        <v>147.2106</v>
      </c>
      <c r="J5193">
        <v>-329.18220000000002</v>
      </c>
      <c r="K5193">
        <v>1.1094869999999999</v>
      </c>
      <c r="L5193">
        <v>141.86250000000001</v>
      </c>
      <c r="M5193">
        <v>-0.99974929999999995</v>
      </c>
      <c r="N5193">
        <v>0</v>
      </c>
      <c r="O5193">
        <v>2.034132E-2</v>
      </c>
      <c r="P5193">
        <v>-0.99941329999999995</v>
      </c>
      <c r="Q5193">
        <v>1.389694E-2</v>
      </c>
      <c r="R5193">
        <v>3.1312260000000001E-2</v>
      </c>
      <c r="S5193">
        <v>-2.994049</v>
      </c>
      <c r="T5193">
        <v>-5.6178810000000003E-2</v>
      </c>
      <c r="U5193">
        <v>0.27099610000000002</v>
      </c>
      <c r="V5193">
        <v>1.097657E-2</v>
      </c>
      <c r="W5193">
        <v>2.325928E-2</v>
      </c>
      <c r="X5193">
        <v>0.99966920000000004</v>
      </c>
      <c r="Y5193">
        <v>6.9856390000000004E-2</v>
      </c>
      <c r="Z5193">
        <v>2.7320909999999999E-4</v>
      </c>
      <c r="AA5193">
        <v>0.99755700000000003</v>
      </c>
      <c r="AB5193">
        <v>27</v>
      </c>
      <c r="AC5193">
        <v>-58.943999999999903</v>
      </c>
      <c r="AD5193">
        <v>-1.109489806851</v>
      </c>
      <c r="AE5193">
        <v>5.3480999999999801</v>
      </c>
      <c r="AF5193">
        <v>4.1464849905678296</v>
      </c>
      <c r="AG5193">
        <v>-1.109489806851</v>
      </c>
      <c r="AH5193">
        <v>59.019855418862697</v>
      </c>
      <c r="AI5193">
        <v>91.074305339447506</v>
      </c>
      <c r="AJ5193">
        <v>85.981244618686503</v>
      </c>
      <c r="AK5193">
        <v>59.1757352220652</v>
      </c>
      <c r="AL5193">
        <v>88.667221224569701</v>
      </c>
      <c r="AM5193">
        <v>89.370906034214997</v>
      </c>
      <c r="AN5193">
        <v>0.99999999431186104</v>
      </c>
    </row>
    <row r="5194" spans="1:40" x14ac:dyDescent="0.25">
      <c r="A5194" t="str">
        <f>"20190312160437913"</f>
        <v>20190312160437913</v>
      </c>
      <c r="B5194" t="str">
        <f>"1552377877900690"</f>
        <v>1552377877900690</v>
      </c>
      <c r="C5194" t="s">
        <v>40</v>
      </c>
      <c r="D5194">
        <v>4.793736</v>
      </c>
      <c r="E5194">
        <v>0.52176109999999998</v>
      </c>
      <c r="F5194" t="s">
        <v>41</v>
      </c>
      <c r="G5194">
        <v>-387.26920000000001</v>
      </c>
      <c r="H5194" s="1">
        <v>-3.1307360000000001E-6</v>
      </c>
      <c r="I5194">
        <v>147.1054</v>
      </c>
      <c r="J5194">
        <v>-329.4015</v>
      </c>
      <c r="K5194">
        <v>1.1094889999999999</v>
      </c>
      <c r="L5194">
        <v>141.86689999999999</v>
      </c>
      <c r="M5194">
        <v>-0.99974940000000001</v>
      </c>
      <c r="N5194">
        <v>0</v>
      </c>
      <c r="O5194">
        <v>2.0340980000000002E-2</v>
      </c>
      <c r="P5194">
        <v>-0.9994092</v>
      </c>
      <c r="Q5194">
        <v>1.422762E-2</v>
      </c>
      <c r="R5194">
        <v>3.1292790000000001E-2</v>
      </c>
      <c r="S5194">
        <v>-2.9940799999999999</v>
      </c>
      <c r="T5194">
        <v>-5.7188389999999999E-2</v>
      </c>
      <c r="U5194">
        <v>0.2702484</v>
      </c>
      <c r="V5194">
        <v>1.095758E-2</v>
      </c>
      <c r="W5194">
        <v>2.358391E-2</v>
      </c>
      <c r="X5194">
        <v>0.99966180000000004</v>
      </c>
      <c r="Y5194">
        <v>6.9608459999999997E-2</v>
      </c>
      <c r="Z5194">
        <v>2.7576169999999999E-4</v>
      </c>
      <c r="AA5194">
        <v>0.99757430000000002</v>
      </c>
      <c r="AB5194">
        <v>27</v>
      </c>
      <c r="AC5194">
        <v>-57.867699999999999</v>
      </c>
      <c r="AD5194">
        <v>-1.1094921307359999</v>
      </c>
      <c r="AE5194">
        <v>5.2385000000000099</v>
      </c>
      <c r="AF5194">
        <v>4.0587990157499299</v>
      </c>
      <c r="AG5194">
        <v>-1.1094921307359999</v>
      </c>
      <c r="AH5194">
        <v>57.941160985462197</v>
      </c>
      <c r="AI5194">
        <v>91.094318913473799</v>
      </c>
      <c r="AJ5194">
        <v>85.9929558908877</v>
      </c>
      <c r="AK5194">
        <v>58.093742852235501</v>
      </c>
      <c r="AL5194">
        <v>88.648616188392793</v>
      </c>
      <c r="AM5194">
        <v>89.371989661690094</v>
      </c>
      <c r="AN5194">
        <v>0.99999999187479205</v>
      </c>
    </row>
    <row r="5195" spans="1:40" x14ac:dyDescent="0.25">
      <c r="A5195" t="str">
        <f>"20190312160437928"</f>
        <v>20190312160437928</v>
      </c>
      <c r="B5195" t="str">
        <f>"1552377877920210"</f>
        <v>1552377877920210</v>
      </c>
      <c r="C5195" t="s">
        <v>40</v>
      </c>
      <c r="D5195">
        <v>4.7708209999999998</v>
      </c>
      <c r="E5195">
        <v>0.52168139999999996</v>
      </c>
      <c r="F5195" t="s">
        <v>41</v>
      </c>
      <c r="G5195">
        <v>-387.9796</v>
      </c>
      <c r="H5195" s="1">
        <v>-2.852883E-6</v>
      </c>
      <c r="I5195">
        <v>147.1472</v>
      </c>
      <c r="J5195">
        <v>-329.58539999999999</v>
      </c>
      <c r="K5195">
        <v>1.1094889999999999</v>
      </c>
      <c r="L5195">
        <v>141.8707</v>
      </c>
      <c r="M5195">
        <v>-0.99974940000000001</v>
      </c>
      <c r="N5195">
        <v>0</v>
      </c>
      <c r="O5195">
        <v>2.0340710000000001E-2</v>
      </c>
      <c r="P5195">
        <v>-0.99941170000000001</v>
      </c>
      <c r="Q5195">
        <v>1.4361570000000001E-2</v>
      </c>
      <c r="R5195">
        <v>3.1144459999999999E-2</v>
      </c>
      <c r="S5195">
        <v>-2.9941409999999999</v>
      </c>
      <c r="T5195">
        <v>-5.6710240000000002E-2</v>
      </c>
      <c r="U5195">
        <v>0.26989750000000001</v>
      </c>
      <c r="V5195">
        <v>1.080922E-2</v>
      </c>
      <c r="W5195">
        <v>2.3714530000000001E-2</v>
      </c>
      <c r="X5195">
        <v>0.99966029999999995</v>
      </c>
      <c r="Y5195">
        <v>6.9491109999999995E-2</v>
      </c>
      <c r="Z5195">
        <v>2.7234839999999998E-4</v>
      </c>
      <c r="AA5195">
        <v>0.99758259999999999</v>
      </c>
      <c r="AB5195">
        <v>27</v>
      </c>
      <c r="AC5195">
        <v>-58.394199999999998</v>
      </c>
      <c r="AD5195">
        <v>-1.109491852883</v>
      </c>
      <c r="AE5195">
        <v>5.2764999999999898</v>
      </c>
      <c r="AF5195">
        <v>4.0861136913253899</v>
      </c>
      <c r="AG5195">
        <v>-1.109491852883</v>
      </c>
      <c r="AH5195">
        <v>58.468513733189504</v>
      </c>
      <c r="AI5195">
        <v>91.084463304437506</v>
      </c>
      <c r="AJ5195">
        <v>86.002343421358404</v>
      </c>
      <c r="AK5195">
        <v>58.621620545991597</v>
      </c>
      <c r="AL5195">
        <v>88.641130085785903</v>
      </c>
      <c r="AM5195">
        <v>89.380491002064304</v>
      </c>
      <c r="AN5195">
        <v>0.99999996678310898</v>
      </c>
    </row>
    <row r="5196" spans="1:40" x14ac:dyDescent="0.25">
      <c r="A5196" t="str">
        <f>"20190312160437941"</f>
        <v>20190312160437941</v>
      </c>
      <c r="B5196" t="str">
        <f>"1552377877929970"</f>
        <v>1552377877929970</v>
      </c>
      <c r="C5196" t="s">
        <v>40</v>
      </c>
      <c r="D5196">
        <v>4.7252150000000004</v>
      </c>
      <c r="E5196">
        <v>0.52167370000000002</v>
      </c>
      <c r="F5196" t="s">
        <v>41</v>
      </c>
      <c r="G5196">
        <v>-390.57830000000001</v>
      </c>
      <c r="H5196" s="1">
        <v>-5.4500739999999901E-6</v>
      </c>
      <c r="I5196">
        <v>147.3443</v>
      </c>
      <c r="J5196">
        <v>-329.7414</v>
      </c>
      <c r="K5196">
        <v>1.1094900000000001</v>
      </c>
      <c r="L5196">
        <v>141.87379999999999</v>
      </c>
      <c r="M5196">
        <v>-0.99974940000000001</v>
      </c>
      <c r="N5196">
        <v>0</v>
      </c>
      <c r="O5196">
        <v>2.0339340000000001E-2</v>
      </c>
      <c r="P5196">
        <v>-0.99940499999999999</v>
      </c>
      <c r="Q5196">
        <v>1.4380779999999999E-2</v>
      </c>
      <c r="R5196">
        <v>3.1357110000000001E-2</v>
      </c>
      <c r="S5196">
        <v>-2.9941710000000001</v>
      </c>
      <c r="T5196">
        <v>-5.4465649999999997E-2</v>
      </c>
      <c r="U5196">
        <v>0.26870729999999998</v>
      </c>
      <c r="V5196">
        <v>1.102357E-2</v>
      </c>
      <c r="W5196">
        <v>2.373074E-2</v>
      </c>
      <c r="X5196">
        <v>0.99965760000000004</v>
      </c>
      <c r="Y5196">
        <v>6.9098930000000003E-2</v>
      </c>
      <c r="Z5196">
        <v>2.5803760000000001E-4</v>
      </c>
      <c r="AA5196">
        <v>0.99760979999999999</v>
      </c>
      <c r="AB5196">
        <v>27</v>
      </c>
      <c r="AC5196">
        <v>-60.8369</v>
      </c>
      <c r="AD5196">
        <v>-1.109495450074</v>
      </c>
      <c r="AE5196">
        <v>5.4705000000000101</v>
      </c>
      <c r="AF5196">
        <v>4.2305359679494003</v>
      </c>
      <c r="AG5196">
        <v>-1.109495450074</v>
      </c>
      <c r="AH5196">
        <v>60.915487315179703</v>
      </c>
      <c r="AI5196">
        <v>91.040945090908096</v>
      </c>
      <c r="AJ5196">
        <v>86.027229050022996</v>
      </c>
      <c r="AK5196">
        <v>61.072293305358002</v>
      </c>
      <c r="AL5196">
        <v>88.6402010942587</v>
      </c>
      <c r="AM5196">
        <v>89.368205236950999</v>
      </c>
      <c r="AN5196">
        <v>0.99999999217712598</v>
      </c>
    </row>
    <row r="5197" spans="1:40" x14ac:dyDescent="0.25">
      <c r="A5197" t="str">
        <f>"20190312160437958"</f>
        <v>20190312160437958</v>
      </c>
      <c r="B5197" t="str">
        <f>"1552377877950470"</f>
        <v>1552377877950470</v>
      </c>
      <c r="C5197" t="s">
        <v>40</v>
      </c>
      <c r="D5197">
        <v>4.7499039999999999</v>
      </c>
      <c r="E5197">
        <v>0.52168700000000001</v>
      </c>
      <c r="F5197" t="s">
        <v>41</v>
      </c>
      <c r="G5197">
        <v>-390.37729999999999</v>
      </c>
      <c r="H5197" s="1">
        <v>-5.5151699999999997E-6</v>
      </c>
      <c r="I5197">
        <v>147.32570000000001</v>
      </c>
      <c r="J5197">
        <v>-329.9427</v>
      </c>
      <c r="K5197">
        <v>1.109494</v>
      </c>
      <c r="L5197">
        <v>141.87790000000001</v>
      </c>
      <c r="M5197">
        <v>-0.99974940000000001</v>
      </c>
      <c r="N5197">
        <v>0</v>
      </c>
      <c r="O5197">
        <v>2.0334319999999999E-2</v>
      </c>
      <c r="P5197">
        <v>-0.99939270000000002</v>
      </c>
      <c r="Q5197">
        <v>1.453051E-2</v>
      </c>
      <c r="R5197">
        <v>3.167317E-2</v>
      </c>
      <c r="S5197">
        <v>-2.9941409999999999</v>
      </c>
      <c r="T5197">
        <v>-5.4785849999999997E-2</v>
      </c>
      <c r="U5197">
        <v>0.26921079999999997</v>
      </c>
      <c r="V5197">
        <v>1.134459E-2</v>
      </c>
      <c r="W5197">
        <v>2.387804E-2</v>
      </c>
      <c r="X5197">
        <v>0.9996505</v>
      </c>
      <c r="Y5197">
        <v>6.9271150000000004E-2</v>
      </c>
      <c r="Z5197">
        <v>2.6121880000000002E-4</v>
      </c>
      <c r="AA5197">
        <v>0.99759779999999998</v>
      </c>
      <c r="AB5197">
        <v>27</v>
      </c>
      <c r="AC5197">
        <v>-60.434599999999897</v>
      </c>
      <c r="AD5197">
        <v>-1.10949951517</v>
      </c>
      <c r="AE5197">
        <v>5.4478</v>
      </c>
      <c r="AF5197">
        <v>4.2163135203905497</v>
      </c>
      <c r="AG5197">
        <v>-1.10949951517</v>
      </c>
      <c r="AH5197">
        <v>60.512654528195199</v>
      </c>
      <c r="AI5197">
        <v>91.047860477197901</v>
      </c>
      <c r="AJ5197">
        <v>86.014268937073993</v>
      </c>
      <c r="AK5197">
        <v>60.669511675347202</v>
      </c>
      <c r="AL5197">
        <v>88.631759032526602</v>
      </c>
      <c r="AM5197">
        <v>89.349803531190005</v>
      </c>
      <c r="AN5197">
        <v>0.99999999133337902</v>
      </c>
    </row>
    <row r="5198" spans="1:40" x14ac:dyDescent="0.25">
      <c r="A5198" t="str">
        <f>"20190312160437972"</f>
        <v>20190312160437972</v>
      </c>
      <c r="B5198" t="str">
        <f>"1552377877960226"</f>
        <v>1552377877960226</v>
      </c>
      <c r="C5198" t="s">
        <v>40</v>
      </c>
      <c r="D5198">
        <v>4.7550569999999999</v>
      </c>
      <c r="E5198">
        <v>0.52171829999999997</v>
      </c>
      <c r="F5198" t="s">
        <v>41</v>
      </c>
      <c r="G5198">
        <v>-394.25470000000001</v>
      </c>
      <c r="H5198" s="1">
        <v>-4.2590439999999997E-6</v>
      </c>
      <c r="I5198">
        <v>147.68299999999999</v>
      </c>
      <c r="J5198">
        <v>-330.11900000000003</v>
      </c>
      <c r="K5198">
        <v>1.109497</v>
      </c>
      <c r="L5198">
        <v>141.88149999999999</v>
      </c>
      <c r="M5198">
        <v>-0.99974980000000002</v>
      </c>
      <c r="N5198">
        <v>0</v>
      </c>
      <c r="O5198">
        <v>2.0325650000000001E-2</v>
      </c>
      <c r="P5198">
        <v>-0.99939069999999997</v>
      </c>
      <c r="Q5198">
        <v>1.45072E-2</v>
      </c>
      <c r="R5198">
        <v>3.1748150000000003E-2</v>
      </c>
      <c r="S5198">
        <v>-2.9940799999999999</v>
      </c>
      <c r="T5198">
        <v>-5.1653270000000001E-2</v>
      </c>
      <c r="U5198">
        <v>0.2702637</v>
      </c>
      <c r="V5198">
        <v>1.1428000000000001E-2</v>
      </c>
      <c r="W5198">
        <v>2.38523E-2</v>
      </c>
      <c r="X5198">
        <v>0.99965020000000004</v>
      </c>
      <c r="Y5198">
        <v>6.9630440000000002E-2</v>
      </c>
      <c r="Z5198">
        <v>2.4952839999999997E-4</v>
      </c>
      <c r="AA5198">
        <v>0.99757280000000004</v>
      </c>
      <c r="AB5198">
        <v>27</v>
      </c>
      <c r="AC5198">
        <v>-64.1356999999999</v>
      </c>
      <c r="AD5198">
        <v>-1.1095012590440001</v>
      </c>
      <c r="AE5198">
        <v>5.8014999999999999</v>
      </c>
      <c r="AF5198">
        <v>4.4953103733368396</v>
      </c>
      <c r="AG5198">
        <v>-1.1095012590440001</v>
      </c>
      <c r="AH5198">
        <v>64.221310412321699</v>
      </c>
      <c r="AI5198">
        <v>90.987340472576605</v>
      </c>
      <c r="AJ5198">
        <v>85.995988068790496</v>
      </c>
      <c r="AK5198">
        <v>64.388007574953093</v>
      </c>
      <c r="AL5198">
        <v>88.633234294657797</v>
      </c>
      <c r="AM5198">
        <v>89.345023242981597</v>
      </c>
      <c r="AN5198">
        <v>1.0000000268796601</v>
      </c>
    </row>
    <row r="5199" spans="1:40" x14ac:dyDescent="0.25">
      <c r="A5199" t="str">
        <f>"20190312160437992"</f>
        <v>20190312160437992</v>
      </c>
      <c r="B5199" t="str">
        <f>"1552377877980486"</f>
        <v>1552377877980486</v>
      </c>
      <c r="C5199" t="s">
        <v>40</v>
      </c>
      <c r="D5199">
        <v>4.771001</v>
      </c>
      <c r="E5199">
        <v>0.5216575</v>
      </c>
      <c r="F5199" t="s">
        <v>41</v>
      </c>
      <c r="G5199">
        <v>-397.42630000000003</v>
      </c>
      <c r="H5199" s="1">
        <v>-3.2300399999999998E-6</v>
      </c>
      <c r="I5199">
        <v>147.9665</v>
      </c>
      <c r="J5199">
        <v>-330.35539999999997</v>
      </c>
      <c r="K5199">
        <v>1.109499</v>
      </c>
      <c r="L5199">
        <v>141.88630000000001</v>
      </c>
      <c r="M5199">
        <v>-0.99975029999999998</v>
      </c>
      <c r="N5199">
        <v>0</v>
      </c>
      <c r="O5199">
        <v>2.0304539999999999E-2</v>
      </c>
      <c r="P5199">
        <v>-0.99938769999999999</v>
      </c>
      <c r="Q5199">
        <v>1.4477159999999999E-2</v>
      </c>
      <c r="R5199">
        <v>3.1855649999999999E-2</v>
      </c>
      <c r="S5199">
        <v>-2.9939580000000001</v>
      </c>
      <c r="T5199">
        <v>-4.9352769999999997E-2</v>
      </c>
      <c r="U5199">
        <v>0.27067570000000002</v>
      </c>
      <c r="V5199">
        <v>1.1556210000000001E-2</v>
      </c>
      <c r="W5199">
        <v>2.3820359999999999E-2</v>
      </c>
      <c r="X5199">
        <v>0.99964949999999997</v>
      </c>
      <c r="Y5199">
        <v>6.9791930000000002E-2</v>
      </c>
      <c r="Z5199">
        <v>2.401002E-4</v>
      </c>
      <c r="AA5199">
        <v>0.99756149999999999</v>
      </c>
      <c r="AB5199">
        <v>27</v>
      </c>
      <c r="AC5199">
        <v>-67.070899999999995</v>
      </c>
      <c r="AD5199">
        <v>-1.1095022300399999</v>
      </c>
      <c r="AE5199">
        <v>6.0801999999999898</v>
      </c>
      <c r="AF5199">
        <v>4.7157634190334496</v>
      </c>
      <c r="AG5199">
        <v>-1.1095022300399999</v>
      </c>
      <c r="AH5199">
        <v>67.162303755881993</v>
      </c>
      <c r="AI5199">
        <v>90.944100003066694</v>
      </c>
      <c r="AJ5199">
        <v>85.983600754385606</v>
      </c>
      <c r="AK5199">
        <v>67.336798747936697</v>
      </c>
      <c r="AL5199">
        <v>88.635064858724803</v>
      </c>
      <c r="AM5199">
        <v>89.337675287911097</v>
      </c>
      <c r="AN5199">
        <v>1.00000003919517</v>
      </c>
    </row>
    <row r="5200" spans="1:40" x14ac:dyDescent="0.25">
      <c r="A5200" t="str">
        <f>"20190312160438015"</f>
        <v>20190312160438015</v>
      </c>
      <c r="B5200" t="str">
        <f>"1552377878010742"</f>
        <v>1552377878010742</v>
      </c>
      <c r="C5200" t="s">
        <v>40</v>
      </c>
      <c r="D5200">
        <v>4.5586859999999998</v>
      </c>
      <c r="E5200">
        <v>0.52160969999999995</v>
      </c>
      <c r="F5200" t="s">
        <v>60</v>
      </c>
      <c r="G5200">
        <v>-405.84109999999998</v>
      </c>
      <c r="H5200" s="1">
        <v>-1.1806639999999999E-5</v>
      </c>
      <c r="I5200">
        <v>148.7028</v>
      </c>
      <c r="J5200">
        <v>-330.63209999999998</v>
      </c>
      <c r="K5200">
        <v>1.1095090000000001</v>
      </c>
      <c r="L5200">
        <v>141.89189999999999</v>
      </c>
      <c r="M5200">
        <v>-0.99975099999999995</v>
      </c>
      <c r="N5200">
        <v>0</v>
      </c>
      <c r="O5200">
        <v>2.026501E-2</v>
      </c>
      <c r="P5200">
        <v>-0.99939389999999995</v>
      </c>
      <c r="Q5200">
        <v>1.475833E-2</v>
      </c>
      <c r="R5200">
        <v>3.1530309999999999E-2</v>
      </c>
      <c r="S5200">
        <v>-2.9938959999999999</v>
      </c>
      <c r="T5200">
        <v>-4.4005160000000001E-2</v>
      </c>
      <c r="U5200">
        <v>0.27035520000000002</v>
      </c>
      <c r="V5200">
        <v>1.126973E-2</v>
      </c>
      <c r="W5200">
        <v>2.4100179999999999E-2</v>
      </c>
      <c r="X5200">
        <v>0.99964600000000003</v>
      </c>
      <c r="Y5200">
        <v>6.9728659999999998E-2</v>
      </c>
      <c r="Z5200">
        <v>2.1420790000000001E-4</v>
      </c>
      <c r="AA5200">
        <v>0.99756599999999995</v>
      </c>
      <c r="AB5200">
        <v>27</v>
      </c>
      <c r="AC5200">
        <v>-75.209000000000003</v>
      </c>
      <c r="AD5200">
        <v>-1.10952080664</v>
      </c>
      <c r="AE5200">
        <v>6.8109000000000002</v>
      </c>
      <c r="AF5200">
        <v>5.28418289686019</v>
      </c>
      <c r="AG5200">
        <v>-1.10952080664</v>
      </c>
      <c r="AH5200">
        <v>75.3153249682222</v>
      </c>
      <c r="AI5200">
        <v>90.841932308621693</v>
      </c>
      <c r="AJ5200">
        <v>85.986659345351995</v>
      </c>
      <c r="AK5200">
        <v>75.508620702385699</v>
      </c>
      <c r="AL5200">
        <v>88.619027662096599</v>
      </c>
      <c r="AM5200">
        <v>89.354090736584496</v>
      </c>
      <c r="AN5200">
        <v>0.999999975403152</v>
      </c>
    </row>
    <row r="5201" spans="1:40" x14ac:dyDescent="0.25">
      <c r="A5201" t="str">
        <f>"20190312160438038"</f>
        <v>20190312160438038</v>
      </c>
      <c r="B5201" t="str">
        <f>"1552377878030262"</f>
        <v>1552377878030262</v>
      </c>
      <c r="C5201" t="s">
        <v>40</v>
      </c>
      <c r="D5201">
        <v>4.5428119999999996</v>
      </c>
      <c r="E5201">
        <v>0.5216075</v>
      </c>
      <c r="F5201" t="s">
        <v>60</v>
      </c>
      <c r="G5201">
        <v>-426.41210000000001</v>
      </c>
      <c r="H5201" s="1">
        <v>-1.490807E-5</v>
      </c>
      <c r="I5201">
        <v>150.49340000000001</v>
      </c>
      <c r="J5201">
        <v>-330.9117</v>
      </c>
      <c r="K5201">
        <v>1.1095170000000001</v>
      </c>
      <c r="L5201">
        <v>141.89750000000001</v>
      </c>
      <c r="M5201">
        <v>-0.99975210000000003</v>
      </c>
      <c r="N5201">
        <v>0</v>
      </c>
      <c r="O5201">
        <v>2.0209970000000001E-2</v>
      </c>
      <c r="P5201">
        <v>-0.9994016</v>
      </c>
      <c r="Q5201">
        <v>1.4588749999999999E-2</v>
      </c>
      <c r="R5201">
        <v>3.1363490000000001E-2</v>
      </c>
      <c r="S5201">
        <v>-2.993805</v>
      </c>
      <c r="T5201">
        <v>-3.4680490000000001E-2</v>
      </c>
      <c r="U5201">
        <v>0.26885989999999999</v>
      </c>
      <c r="V5201">
        <v>1.115699E-2</v>
      </c>
      <c r="W5201">
        <v>2.3930469999999999E-2</v>
      </c>
      <c r="X5201">
        <v>0.99965139999999997</v>
      </c>
      <c r="Y5201">
        <v>6.9294079999999994E-2</v>
      </c>
      <c r="Z5201">
        <v>1.6695340000000001E-4</v>
      </c>
      <c r="AA5201">
        <v>0.99759629999999999</v>
      </c>
      <c r="AB5201">
        <v>27</v>
      </c>
      <c r="AC5201">
        <v>-95.500399999999999</v>
      </c>
      <c r="AD5201">
        <v>-1.1095319080699999</v>
      </c>
      <c r="AE5201">
        <v>8.5959000000000003</v>
      </c>
      <c r="AF5201">
        <v>6.6631075749831101</v>
      </c>
      <c r="AG5201">
        <v>-1.1095319080699999</v>
      </c>
      <c r="AH5201">
        <v>95.641817562796504</v>
      </c>
      <c r="AI5201">
        <v>90.663046273486799</v>
      </c>
      <c r="AJ5201">
        <v>86.014796628703905</v>
      </c>
      <c r="AK5201">
        <v>95.880057000014702</v>
      </c>
      <c r="AL5201">
        <v>88.628754214210801</v>
      </c>
      <c r="AM5201">
        <v>89.360555191201897</v>
      </c>
      <c r="AN5201">
        <v>1.0000000336711199</v>
      </c>
    </row>
    <row r="5202" spans="1:40" x14ac:dyDescent="0.25">
      <c r="A5202" t="str">
        <f>"20190312160438058"</f>
        <v>20190312160438058</v>
      </c>
      <c r="B5202" t="str">
        <f>"1552377878049783"</f>
        <v>1552377878049783</v>
      </c>
      <c r="C5202" t="s">
        <v>40</v>
      </c>
      <c r="D5202">
        <v>4.7275660000000004</v>
      </c>
      <c r="E5202">
        <v>0.52160810000000002</v>
      </c>
      <c r="F5202" t="s">
        <v>60</v>
      </c>
      <c r="G5202">
        <v>-433.54730000000001</v>
      </c>
      <c r="H5202">
        <v>7.9981979999999994E-2</v>
      </c>
      <c r="I5202">
        <v>151.0932</v>
      </c>
      <c r="J5202">
        <v>-331.16559999999998</v>
      </c>
      <c r="K5202">
        <v>1.1095280000000001</v>
      </c>
      <c r="L5202">
        <v>141.9025</v>
      </c>
      <c r="M5202">
        <v>-0.99975349999999996</v>
      </c>
      <c r="N5202">
        <v>0</v>
      </c>
      <c r="O5202">
        <v>2.0147450000000001E-2</v>
      </c>
      <c r="P5202">
        <v>-0.99940819999999997</v>
      </c>
      <c r="Q5202">
        <v>1.4030330000000001E-2</v>
      </c>
      <c r="R5202">
        <v>3.1411759999999997E-2</v>
      </c>
      <c r="S5202">
        <v>-2.9938349999999998</v>
      </c>
      <c r="T5202">
        <v>-3.003109E-2</v>
      </c>
      <c r="U5202">
        <v>0.26823429999999998</v>
      </c>
      <c r="V5202">
        <v>1.126711E-2</v>
      </c>
      <c r="W5202">
        <v>2.3372259999999999E-2</v>
      </c>
      <c r="X5202">
        <v>0.99966339999999998</v>
      </c>
      <c r="Y5202">
        <v>6.9149580000000002E-2</v>
      </c>
      <c r="Z5202">
        <v>1.4447430000000001E-4</v>
      </c>
      <c r="AA5202">
        <v>0.99760629999999995</v>
      </c>
      <c r="AB5202">
        <v>27</v>
      </c>
      <c r="AC5202">
        <v>-102.3817</v>
      </c>
      <c r="AD5202">
        <v>-1.02954602</v>
      </c>
      <c r="AE5202">
        <v>9.1906999999999908</v>
      </c>
      <c r="AF5202">
        <v>7.1252996020002204</v>
      </c>
      <c r="AG5202">
        <v>-1.02954602</v>
      </c>
      <c r="AH5202">
        <v>102.535808164231</v>
      </c>
      <c r="AI5202">
        <v>90.573894731904403</v>
      </c>
      <c r="AJ5202">
        <v>86.024858465856894</v>
      </c>
      <c r="AK5202">
        <v>102.788237728437</v>
      </c>
      <c r="AL5202">
        <v>88.660746277527707</v>
      </c>
      <c r="AM5202">
        <v>89.354252124647502</v>
      </c>
      <c r="AN5202">
        <v>1.0000000618024001</v>
      </c>
    </row>
    <row r="5203" spans="1:40" x14ac:dyDescent="0.25">
      <c r="A5203" t="str">
        <f>"20190312160438073"</f>
        <v>20190312160438073</v>
      </c>
      <c r="B5203" t="str">
        <f>"1552377878069861"</f>
        <v>1552377878069861</v>
      </c>
      <c r="C5203" t="s">
        <v>40</v>
      </c>
      <c r="D5203">
        <v>4.4837740000000004</v>
      </c>
      <c r="E5203">
        <v>0.48379620000000001</v>
      </c>
      <c r="F5203" t="s">
        <v>60</v>
      </c>
      <c r="G5203">
        <v>-435.09309999999999</v>
      </c>
      <c r="H5203">
        <v>7.9981849999999993E-2</v>
      </c>
      <c r="I5203">
        <v>151.2131</v>
      </c>
      <c r="J5203">
        <v>-331.3476</v>
      </c>
      <c r="K5203">
        <v>1.109532</v>
      </c>
      <c r="L5203">
        <v>141.90620000000001</v>
      </c>
      <c r="M5203">
        <v>-0.99975440000000004</v>
      </c>
      <c r="N5203">
        <v>0</v>
      </c>
      <c r="O5203">
        <v>2.009648E-2</v>
      </c>
      <c r="P5203">
        <v>-0.99940910000000005</v>
      </c>
      <c r="Q5203">
        <v>1.395914E-2</v>
      </c>
      <c r="R5203">
        <v>3.141356E-2</v>
      </c>
      <c r="S5203">
        <v>-2.9937740000000002</v>
      </c>
      <c r="T5203">
        <v>-2.965748E-2</v>
      </c>
      <c r="U5203">
        <v>0.26820369999999999</v>
      </c>
      <c r="V5203">
        <v>1.1319600000000001E-2</v>
      </c>
      <c r="W5203">
        <v>2.3301700000000002E-2</v>
      </c>
      <c r="X5203">
        <v>0.99966440000000001</v>
      </c>
      <c r="Y5203">
        <v>6.9192219999999999E-2</v>
      </c>
      <c r="Z5203">
        <v>1.433943E-4</v>
      </c>
      <c r="AA5203">
        <v>0.99760340000000003</v>
      </c>
      <c r="AB5203">
        <v>27</v>
      </c>
      <c r="AC5203">
        <v>-103.74550000000001</v>
      </c>
      <c r="AD5203">
        <v>-1.0295501499999999</v>
      </c>
      <c r="AE5203">
        <v>9.3068999999999793</v>
      </c>
      <c r="AF5203">
        <v>7.2193046208278799</v>
      </c>
      <c r="AG5203">
        <v>-1.0295501499999999</v>
      </c>
      <c r="AH5203">
        <v>103.90143965438099</v>
      </c>
      <c r="AI5203">
        <v>90.566354833652696</v>
      </c>
      <c r="AJ5203">
        <v>86.025349012150897</v>
      </c>
      <c r="AK5203">
        <v>104.157032863713</v>
      </c>
      <c r="AL5203">
        <v>88.664790096423701</v>
      </c>
      <c r="AM5203">
        <v>89.351244689358495</v>
      </c>
      <c r="AN5203">
        <v>1.0000000075972</v>
      </c>
    </row>
    <row r="5204" spans="1:40" x14ac:dyDescent="0.25">
      <c r="A5204" t="str">
        <f>"20190312160438085"</f>
        <v>20190312160438085</v>
      </c>
      <c r="B5204" t="str">
        <f>"1552377878080597"</f>
        <v>1552377878080597</v>
      </c>
      <c r="C5204" t="s">
        <v>40</v>
      </c>
      <c r="D5204">
        <v>4.4636849999999999</v>
      </c>
      <c r="E5204">
        <v>0.48182259999999999</v>
      </c>
      <c r="F5204" t="s">
        <v>45</v>
      </c>
      <c r="G5204">
        <v>0</v>
      </c>
      <c r="H5204">
        <v>0</v>
      </c>
      <c r="I5204">
        <v>0</v>
      </c>
      <c r="J5204">
        <v>-331.50009999999997</v>
      </c>
      <c r="K5204">
        <v>1.109532</v>
      </c>
      <c r="L5204">
        <v>141.9092</v>
      </c>
      <c r="M5204">
        <v>-0.99975530000000001</v>
      </c>
      <c r="N5204">
        <v>0</v>
      </c>
      <c r="O5204">
        <v>2.0050539999999999E-2</v>
      </c>
      <c r="P5204">
        <v>-0.99940810000000002</v>
      </c>
      <c r="Q5204">
        <v>1.3820320000000001E-2</v>
      </c>
      <c r="R5204">
        <v>3.1506230000000003E-2</v>
      </c>
      <c r="S5204">
        <v>-3.0021059999999999</v>
      </c>
      <c r="T5204">
        <v>5.549026E-2</v>
      </c>
      <c r="U5204">
        <v>-3.5293579999999998E-2</v>
      </c>
      <c r="V5204">
        <v>1.1458100000000001E-2</v>
      </c>
      <c r="W5204">
        <v>2.3163929999999999E-2</v>
      </c>
      <c r="X5204">
        <v>0.99966600000000005</v>
      </c>
      <c r="Y5204">
        <v>-3.1794280000000001E-2</v>
      </c>
      <c r="Z5204">
        <v>6.6437769999999998E-4</v>
      </c>
      <c r="AA5204">
        <v>0.9994942</v>
      </c>
      <c r="AB5204">
        <v>27</v>
      </c>
      <c r="AC5204">
        <v>-3.0021059999999999</v>
      </c>
      <c r="AD5204">
        <v>5.549026E-2</v>
      </c>
      <c r="AE5204">
        <v>-3.5293579999999998E-2</v>
      </c>
      <c r="AF5204">
        <v>-9.5450352672473204E-2</v>
      </c>
      <c r="AG5204">
        <v>5.549026E-2</v>
      </c>
      <c r="AH5204">
        <v>2.9997700109194998</v>
      </c>
      <c r="AI5204">
        <v>88.940789658903299</v>
      </c>
      <c r="AJ5204">
        <v>91.822492315941901</v>
      </c>
      <c r="AK5204">
        <v>3.0018011355171601</v>
      </c>
      <c r="AL5204">
        <v>88.672685835311597</v>
      </c>
      <c r="AM5204">
        <v>89.343308641019206</v>
      </c>
      <c r="AN5204">
        <v>0.99999998363232701</v>
      </c>
    </row>
    <row r="5205" spans="1:40" x14ac:dyDescent="0.25">
      <c r="A5205" t="str">
        <f>"20190312160438097"</f>
        <v>20190312160438097</v>
      </c>
      <c r="B5205" t="str">
        <f>"1552377878090357"</f>
        <v>1552377878090357</v>
      </c>
      <c r="C5205" t="s">
        <v>40</v>
      </c>
      <c r="D5205">
        <v>4.4403639999999998</v>
      </c>
      <c r="E5205">
        <v>0.48080899999999999</v>
      </c>
      <c r="F5205" t="s">
        <v>45</v>
      </c>
      <c r="G5205">
        <v>0</v>
      </c>
      <c r="H5205">
        <v>0</v>
      </c>
      <c r="I5205">
        <v>0</v>
      </c>
      <c r="J5205">
        <v>-331.64429999999999</v>
      </c>
      <c r="K5205">
        <v>1.109534</v>
      </c>
      <c r="L5205">
        <v>141.91200000000001</v>
      </c>
      <c r="M5205">
        <v>-0.99975630000000004</v>
      </c>
      <c r="N5205">
        <v>0</v>
      </c>
      <c r="O5205">
        <v>2.0003960000000001E-2</v>
      </c>
      <c r="P5205">
        <v>-0.99940419999999996</v>
      </c>
      <c r="Q5205">
        <v>1.376663E-2</v>
      </c>
      <c r="R5205">
        <v>3.1654849999999998E-2</v>
      </c>
      <c r="S5205">
        <v>-3.0025940000000002</v>
      </c>
      <c r="T5205">
        <v>5.6743259999999997E-2</v>
      </c>
      <c r="U5205">
        <v>-5.0811769999999999E-2</v>
      </c>
      <c r="V5205">
        <v>1.1653210000000001E-2</v>
      </c>
      <c r="W5205">
        <v>2.3110539999999999E-2</v>
      </c>
      <c r="X5205">
        <v>0.99966500000000003</v>
      </c>
      <c r="Y5205">
        <v>-3.6908620000000003E-2</v>
      </c>
      <c r="Z5205">
        <v>7.2668410000000004E-4</v>
      </c>
      <c r="AA5205">
        <v>0.99931840000000005</v>
      </c>
      <c r="AB5205">
        <v>27</v>
      </c>
      <c r="AC5205">
        <v>-3.0025940000000002</v>
      </c>
      <c r="AD5205">
        <v>5.6743259999999997E-2</v>
      </c>
      <c r="AE5205">
        <v>-5.0811769999999999E-2</v>
      </c>
      <c r="AF5205">
        <v>-0.110828420763507</v>
      </c>
      <c r="AG5205">
        <v>5.6743259999999997E-2</v>
      </c>
      <c r="AH5205">
        <v>2.9999055781721702</v>
      </c>
      <c r="AI5205">
        <v>88.917117233654906</v>
      </c>
      <c r="AJ5205">
        <v>92.115771316965393</v>
      </c>
      <c r="AK5205">
        <v>3.00248833708857</v>
      </c>
      <c r="AL5205">
        <v>88.675745702195997</v>
      </c>
      <c r="AM5205">
        <v>89.332126752513005</v>
      </c>
      <c r="AN5205">
        <v>1.00000000329369</v>
      </c>
    </row>
    <row r="5206" spans="1:40" x14ac:dyDescent="0.25">
      <c r="A5206" t="str">
        <f>"20190312160438114"</f>
        <v>20190312160438114</v>
      </c>
      <c r="B5206" t="str">
        <f>"1552377878109878"</f>
        <v>1552377878109878</v>
      </c>
      <c r="C5206" t="s">
        <v>40</v>
      </c>
      <c r="D5206">
        <v>4.442062</v>
      </c>
      <c r="E5206">
        <v>0.47979270000000002</v>
      </c>
      <c r="F5206" t="s">
        <v>45</v>
      </c>
      <c r="G5206">
        <v>0</v>
      </c>
      <c r="H5206">
        <v>0</v>
      </c>
      <c r="I5206">
        <v>0</v>
      </c>
      <c r="J5206">
        <v>-331.85539999999997</v>
      </c>
      <c r="K5206">
        <v>1.1095349999999999</v>
      </c>
      <c r="L5206">
        <v>141.9162</v>
      </c>
      <c r="M5206">
        <v>-0.99975780000000003</v>
      </c>
      <c r="N5206">
        <v>0</v>
      </c>
      <c r="O5206">
        <v>1.9933820000000001E-2</v>
      </c>
      <c r="P5206">
        <v>-0.99939659999999997</v>
      </c>
      <c r="Q5206">
        <v>1.359661E-2</v>
      </c>
      <c r="R5206">
        <v>3.1966660000000001E-2</v>
      </c>
      <c r="S5206">
        <v>-3.0028380000000001</v>
      </c>
      <c r="T5206">
        <v>5.8560130000000002E-2</v>
      </c>
      <c r="U5206">
        <v>-5.8532710000000002E-2</v>
      </c>
      <c r="V5206">
        <v>1.2034960000000001E-2</v>
      </c>
      <c r="W5206">
        <v>2.294179E-2</v>
      </c>
      <c r="X5206">
        <v>0.99966440000000001</v>
      </c>
      <c r="Y5206">
        <v>-3.9404509999999997E-2</v>
      </c>
      <c r="Z5206">
        <v>7.7283630000000005E-4</v>
      </c>
      <c r="AA5206">
        <v>0.99922310000000003</v>
      </c>
      <c r="AB5206">
        <v>27</v>
      </c>
      <c r="AC5206">
        <v>-3.0028380000000001</v>
      </c>
      <c r="AD5206">
        <v>5.8560130000000002E-2</v>
      </c>
      <c r="AE5206">
        <v>-5.8532710000000002E-2</v>
      </c>
      <c r="AF5206">
        <v>-0.118336726530221</v>
      </c>
      <c r="AG5206">
        <v>5.8560130000000002E-2</v>
      </c>
      <c r="AH5206">
        <v>2.99993397977694</v>
      </c>
      <c r="AI5206">
        <v>88.8825701297188</v>
      </c>
      <c r="AJ5206">
        <v>92.258943565492203</v>
      </c>
      <c r="AK5206">
        <v>3.0028381162979501</v>
      </c>
      <c r="AL5206">
        <v>88.685416976524806</v>
      </c>
      <c r="AM5206">
        <v>89.310249416205906</v>
      </c>
      <c r="AN5206">
        <v>1.0000000393089801</v>
      </c>
    </row>
    <row r="5207" spans="1:40" x14ac:dyDescent="0.25">
      <c r="A5207" t="str">
        <f>"20190312160438137"</f>
        <v>20190312160438137</v>
      </c>
      <c r="B5207" t="str">
        <f>"1552377878130377"</f>
        <v>1552377878130377</v>
      </c>
      <c r="C5207" t="s">
        <v>40</v>
      </c>
      <c r="D5207">
        <v>4.4471629999999998</v>
      </c>
      <c r="E5207">
        <v>0.47918070000000001</v>
      </c>
      <c r="F5207" t="s">
        <v>45</v>
      </c>
      <c r="G5207">
        <v>0</v>
      </c>
      <c r="H5207">
        <v>0</v>
      </c>
      <c r="I5207">
        <v>0</v>
      </c>
      <c r="J5207">
        <v>-332.13130000000001</v>
      </c>
      <c r="K5207">
        <v>1.109537</v>
      </c>
      <c r="L5207">
        <v>141.92160000000001</v>
      </c>
      <c r="M5207">
        <v>-0.99975959999999997</v>
      </c>
      <c r="N5207">
        <v>0</v>
      </c>
      <c r="O5207">
        <v>1.9839490000000001E-2</v>
      </c>
      <c r="P5207">
        <v>-0.99939040000000001</v>
      </c>
      <c r="Q5207">
        <v>1.343451E-2</v>
      </c>
      <c r="R5207">
        <v>3.2230660000000001E-2</v>
      </c>
      <c r="S5207">
        <v>-3.0031129999999999</v>
      </c>
      <c r="T5207">
        <v>6.1605220000000002E-2</v>
      </c>
      <c r="U5207">
        <v>-6.5795899999999893E-2</v>
      </c>
      <c r="V5207">
        <v>1.239342E-2</v>
      </c>
      <c r="W5207">
        <v>2.2781610000000001E-2</v>
      </c>
      <c r="X5207">
        <v>0.99966370000000004</v>
      </c>
      <c r="Y5207">
        <v>-4.172232E-2</v>
      </c>
      <c r="Z5207">
        <v>8.3475629999999997E-4</v>
      </c>
      <c r="AA5207">
        <v>0.99912889999999999</v>
      </c>
      <c r="AB5207">
        <v>27</v>
      </c>
      <c r="AC5207">
        <v>-3.0031129999999999</v>
      </c>
      <c r="AD5207">
        <v>6.1605220000000002E-2</v>
      </c>
      <c r="AE5207">
        <v>-6.5795899999999893E-2</v>
      </c>
      <c r="AF5207">
        <v>-0.125313066732061</v>
      </c>
      <c r="AG5207">
        <v>6.1605220000000002E-2</v>
      </c>
      <c r="AH5207">
        <v>2.99995463407812</v>
      </c>
      <c r="AI5207">
        <v>88.824599248541901</v>
      </c>
      <c r="AJ5207">
        <v>92.391948905137099</v>
      </c>
      <c r="AK5207">
        <v>3.0032026861921599</v>
      </c>
      <c r="AL5207">
        <v>88.694597035060099</v>
      </c>
      <c r="AM5207">
        <v>89.289706845688201</v>
      </c>
      <c r="AN5207">
        <v>1.0000000558555799</v>
      </c>
    </row>
    <row r="5208" spans="1:40" x14ac:dyDescent="0.25">
      <c r="A5208" t="str">
        <f>"20190312160438159"</f>
        <v>20190312160438159</v>
      </c>
      <c r="B5208" t="str">
        <f>"1552377878149893"</f>
        <v>1552377878149893</v>
      </c>
      <c r="C5208" t="s">
        <v>40</v>
      </c>
      <c r="D5208">
        <v>4.411397</v>
      </c>
      <c r="E5208">
        <v>0.47892990000000002</v>
      </c>
      <c r="F5208" t="s">
        <v>45</v>
      </c>
      <c r="G5208">
        <v>0</v>
      </c>
      <c r="H5208">
        <v>0</v>
      </c>
      <c r="I5208">
        <v>0</v>
      </c>
      <c r="J5208">
        <v>-332.40210000000002</v>
      </c>
      <c r="K5208">
        <v>1.1095349999999999</v>
      </c>
      <c r="L5208">
        <v>141.92689999999999</v>
      </c>
      <c r="M5208">
        <v>-0.99976149999999997</v>
      </c>
      <c r="N5208">
        <v>0</v>
      </c>
      <c r="O5208">
        <v>1.974631E-2</v>
      </c>
      <c r="P5208">
        <v>-0.9993957</v>
      </c>
      <c r="Q5208">
        <v>1.375329E-2</v>
      </c>
      <c r="R5208">
        <v>3.1925620000000002E-2</v>
      </c>
      <c r="S5208">
        <v>-3.0032960000000002</v>
      </c>
      <c r="T5208">
        <v>6.2893270000000001E-2</v>
      </c>
      <c r="U5208">
        <v>-6.9854739999999999E-2</v>
      </c>
      <c r="V5208">
        <v>1.2181249999999999E-2</v>
      </c>
      <c r="W5208">
        <v>2.3101960000000001E-2</v>
      </c>
      <c r="X5208">
        <v>0.99965890000000002</v>
      </c>
      <c r="Y5208">
        <v>-4.297662E-2</v>
      </c>
      <c r="Z5208">
        <v>8.6332149999999996E-4</v>
      </c>
      <c r="AA5208">
        <v>0.99907570000000001</v>
      </c>
      <c r="AB5208">
        <v>28</v>
      </c>
      <c r="AC5208">
        <v>-3.0032960000000002</v>
      </c>
      <c r="AD5208">
        <v>6.2893270000000001E-2</v>
      </c>
      <c r="AE5208">
        <v>-6.9854739999999999E-2</v>
      </c>
      <c r="AF5208">
        <v>-0.12909113184436299</v>
      </c>
      <c r="AG5208">
        <v>6.2893270000000001E-2</v>
      </c>
      <c r="AH5208">
        <v>3.0000160165195502</v>
      </c>
      <c r="AI5208">
        <v>88.800119368224699</v>
      </c>
      <c r="AJ5208">
        <v>92.463925866820802</v>
      </c>
      <c r="AK5208">
        <v>3.0034507126147298</v>
      </c>
      <c r="AL5208">
        <v>88.676237426745004</v>
      </c>
      <c r="AM5208">
        <v>89.301862191974294</v>
      </c>
      <c r="AN5208">
        <v>0.99999999987830701</v>
      </c>
    </row>
    <row r="5209" spans="1:40" x14ac:dyDescent="0.25">
      <c r="A5209" t="str">
        <f>"20190312160438181"</f>
        <v>20190312160438181</v>
      </c>
      <c r="B5209" t="str">
        <f>"1552377878170107"</f>
        <v>1552377878170107</v>
      </c>
      <c r="C5209" t="s">
        <v>40</v>
      </c>
      <c r="D5209">
        <v>4.4284819999999998</v>
      </c>
      <c r="E5209">
        <v>0.47875180000000001</v>
      </c>
      <c r="F5209" t="s">
        <v>45</v>
      </c>
      <c r="G5209">
        <v>0</v>
      </c>
      <c r="H5209">
        <v>0</v>
      </c>
      <c r="I5209">
        <v>0</v>
      </c>
      <c r="J5209">
        <v>-332.6789</v>
      </c>
      <c r="K5209">
        <v>1.109542</v>
      </c>
      <c r="L5209">
        <v>141.9323</v>
      </c>
      <c r="M5209">
        <v>-0.99976330000000002</v>
      </c>
      <c r="N5209">
        <v>0</v>
      </c>
      <c r="O5209">
        <v>1.9651809999999999E-2</v>
      </c>
      <c r="P5209">
        <v>-0.99940530000000005</v>
      </c>
      <c r="Q5209">
        <v>1.3328690000000001E-2</v>
      </c>
      <c r="R5209">
        <v>3.180964E-2</v>
      </c>
      <c r="S5209">
        <v>-3.0032040000000002</v>
      </c>
      <c r="T5209">
        <v>6.741047E-2</v>
      </c>
      <c r="U5209">
        <v>-7.2875980000000007E-2</v>
      </c>
      <c r="V5209">
        <v>1.2159710000000001E-2</v>
      </c>
      <c r="W5209">
        <v>2.268007E-2</v>
      </c>
      <c r="X5209">
        <v>0.99966880000000002</v>
      </c>
      <c r="Y5209">
        <v>-4.3885130000000001E-2</v>
      </c>
      <c r="Z5209">
        <v>9.3340410000000002E-4</v>
      </c>
      <c r="AA5209">
        <v>0.99903609999999998</v>
      </c>
      <c r="AB5209">
        <v>28</v>
      </c>
      <c r="AC5209">
        <v>-3.0032040000000002</v>
      </c>
      <c r="AD5209">
        <v>6.741047E-2</v>
      </c>
      <c r="AE5209">
        <v>-7.2875980000000007E-2</v>
      </c>
      <c r="AF5209">
        <v>-0.13181649742049301</v>
      </c>
      <c r="AG5209">
        <v>6.741047E-2</v>
      </c>
      <c r="AH5209">
        <v>2.9996813334071799</v>
      </c>
      <c r="AI5209">
        <v>88.713875528918393</v>
      </c>
      <c r="AJ5209">
        <v>92.516158341002097</v>
      </c>
      <c r="AK5209">
        <v>3.0033327924905899</v>
      </c>
      <c r="AL5209">
        <v>88.700416249161407</v>
      </c>
      <c r="AM5209">
        <v>89.303103482163195</v>
      </c>
      <c r="AN5209">
        <v>0.99999997690796405</v>
      </c>
    </row>
    <row r="5210" spans="1:40" x14ac:dyDescent="0.25">
      <c r="A5210" t="str">
        <f>"20190312160438204"</f>
        <v>20190312160438204</v>
      </c>
      <c r="B5210" t="str">
        <f>"1552377878190602"</f>
        <v>1552377878190602</v>
      </c>
      <c r="C5210" t="s">
        <v>40</v>
      </c>
      <c r="D5210">
        <v>4.4007990000000001</v>
      </c>
      <c r="E5210">
        <v>0.47862080000000001</v>
      </c>
      <c r="F5210" t="s">
        <v>45</v>
      </c>
      <c r="G5210">
        <v>0</v>
      </c>
      <c r="H5210">
        <v>0</v>
      </c>
      <c r="I5210">
        <v>0</v>
      </c>
      <c r="J5210">
        <v>-332.95929999999998</v>
      </c>
      <c r="K5210">
        <v>1.10954</v>
      </c>
      <c r="L5210">
        <v>141.93770000000001</v>
      </c>
      <c r="M5210">
        <v>-0.99976509999999996</v>
      </c>
      <c r="N5210">
        <v>0</v>
      </c>
      <c r="O5210">
        <v>1.9556299999999999E-2</v>
      </c>
      <c r="P5210">
        <v>-0.99940899999999999</v>
      </c>
      <c r="Q5210">
        <v>1.348649E-2</v>
      </c>
      <c r="R5210">
        <v>3.1626620000000001E-2</v>
      </c>
      <c r="S5210">
        <v>-3.0032040000000002</v>
      </c>
      <c r="T5210">
        <v>6.9013829999999998E-2</v>
      </c>
      <c r="U5210">
        <v>-7.4630740000000001E-2</v>
      </c>
      <c r="V5210">
        <v>1.2071989999999999E-2</v>
      </c>
      <c r="W5210">
        <v>2.284073E-2</v>
      </c>
      <c r="X5210">
        <v>0.99966619999999995</v>
      </c>
      <c r="Y5210">
        <v>-4.4372200000000001E-2</v>
      </c>
      <c r="Z5210">
        <v>9.5899389999999998E-4</v>
      </c>
      <c r="AA5210">
        <v>0.99901459999999997</v>
      </c>
      <c r="AB5210">
        <v>28</v>
      </c>
      <c r="AC5210">
        <v>-3.0032040000000002</v>
      </c>
      <c r="AD5210">
        <v>6.9013829999999998E-2</v>
      </c>
      <c r="AE5210">
        <v>-7.4630740000000001E-2</v>
      </c>
      <c r="AF5210">
        <v>-0.133280248573171</v>
      </c>
      <c r="AG5210">
        <v>6.9013829999999998E-2</v>
      </c>
      <c r="AH5210">
        <v>2.9995869893249201</v>
      </c>
      <c r="AI5210">
        <v>88.683282673784703</v>
      </c>
      <c r="AJ5210">
        <v>92.544142326019298</v>
      </c>
      <c r="AK5210">
        <v>3.00333958118597</v>
      </c>
      <c r="AL5210">
        <v>88.691208716904399</v>
      </c>
      <c r="AM5210">
        <v>89.308128595401399</v>
      </c>
      <c r="AN5210">
        <v>0.99999997165596599</v>
      </c>
    </row>
    <row r="5211" spans="1:40" x14ac:dyDescent="0.25">
      <c r="A5211" t="str">
        <f>"20190312160438227"</f>
        <v>20190312160438227</v>
      </c>
      <c r="B5211" t="str">
        <f>"1552377878219883"</f>
        <v>1552377878219883</v>
      </c>
      <c r="C5211" t="s">
        <v>40</v>
      </c>
      <c r="D5211">
        <v>4.4122640000000004</v>
      </c>
      <c r="E5211">
        <v>0.47834749999999998</v>
      </c>
      <c r="F5211" t="s">
        <v>45</v>
      </c>
      <c r="G5211">
        <v>0</v>
      </c>
      <c r="H5211">
        <v>0</v>
      </c>
      <c r="I5211">
        <v>0</v>
      </c>
      <c r="J5211">
        <v>-333.24200000000002</v>
      </c>
      <c r="K5211">
        <v>1.109542</v>
      </c>
      <c r="L5211">
        <v>141.94309999999999</v>
      </c>
      <c r="M5211">
        <v>-0.99976690000000001</v>
      </c>
      <c r="N5211">
        <v>0</v>
      </c>
      <c r="O5211">
        <v>1.945815E-2</v>
      </c>
      <c r="P5211">
        <v>-0.9994094</v>
      </c>
      <c r="Q5211">
        <v>1.3795139999999999E-2</v>
      </c>
      <c r="R5211">
        <v>3.147701E-2</v>
      </c>
      <c r="S5211">
        <v>-3.0032040000000002</v>
      </c>
      <c r="T5211">
        <v>7.0803640000000001E-2</v>
      </c>
      <c r="U5211">
        <v>-7.6278689999999996E-2</v>
      </c>
      <c r="V5211">
        <v>1.202044E-2</v>
      </c>
      <c r="W5211">
        <v>2.3152019999999999E-2</v>
      </c>
      <c r="X5211">
        <v>0.99965970000000004</v>
      </c>
      <c r="Y5211">
        <v>-4.4820980000000003E-2</v>
      </c>
      <c r="Z5211">
        <v>9.8682679999999995E-4</v>
      </c>
      <c r="AA5211">
        <v>0.99899450000000001</v>
      </c>
      <c r="AB5211">
        <v>28</v>
      </c>
      <c r="AC5211">
        <v>-3.0032040000000002</v>
      </c>
      <c r="AD5211">
        <v>7.0803640000000001E-2</v>
      </c>
      <c r="AE5211">
        <v>-7.6278689999999996E-2</v>
      </c>
      <c r="AF5211">
        <v>-0.13462881610790201</v>
      </c>
      <c r="AG5211">
        <v>7.0803640000000001E-2</v>
      </c>
      <c r="AH5211">
        <v>2.99948492627786</v>
      </c>
      <c r="AI5211">
        <v>88.649128520465595</v>
      </c>
      <c r="AJ5211">
        <v>92.569937671614895</v>
      </c>
      <c r="AK5211">
        <v>3.0033394574260099</v>
      </c>
      <c r="AL5211">
        <v>88.673368447963298</v>
      </c>
      <c r="AM5211">
        <v>89.311078271052395</v>
      </c>
      <c r="AN5211">
        <v>1.0000000114059799</v>
      </c>
    </row>
    <row r="5212" spans="1:40" x14ac:dyDescent="0.25">
      <c r="A5212" t="str">
        <f>"20190312160438249"</f>
        <v>20190312160438249</v>
      </c>
      <c r="B5212" t="str">
        <f>"1552377878240379"</f>
        <v>1552377878240379</v>
      </c>
      <c r="C5212" t="s">
        <v>40</v>
      </c>
      <c r="D5212">
        <v>4.3774089999999903</v>
      </c>
      <c r="E5212">
        <v>0.4782691</v>
      </c>
      <c r="F5212" t="s">
        <v>45</v>
      </c>
      <c r="G5212">
        <v>0</v>
      </c>
      <c r="H5212">
        <v>0</v>
      </c>
      <c r="I5212">
        <v>0</v>
      </c>
      <c r="J5212">
        <v>-333.51459999999997</v>
      </c>
      <c r="K5212">
        <v>1.1095429999999999</v>
      </c>
      <c r="L5212">
        <v>141.94829999999999</v>
      </c>
      <c r="M5212">
        <v>-0.99976889999999996</v>
      </c>
      <c r="N5212">
        <v>0</v>
      </c>
      <c r="O5212">
        <v>1.9360410000000002E-2</v>
      </c>
      <c r="P5212">
        <v>-0.99941610000000003</v>
      </c>
      <c r="Q5212">
        <v>1.401986E-2</v>
      </c>
      <c r="R5212">
        <v>3.1161350000000001E-2</v>
      </c>
      <c r="S5212">
        <v>-3.0032040000000002</v>
      </c>
      <c r="T5212">
        <v>7.3985339999999997E-2</v>
      </c>
      <c r="U5212">
        <v>-7.9086299999999998E-2</v>
      </c>
      <c r="V5212">
        <v>1.1802160000000001E-2</v>
      </c>
      <c r="W5212">
        <v>2.3379879999999999E-2</v>
      </c>
      <c r="X5212">
        <v>0.99965700000000002</v>
      </c>
      <c r="Y5212">
        <v>-4.5654739999999999E-2</v>
      </c>
      <c r="Z5212">
        <v>1.039007E-3</v>
      </c>
      <c r="AA5212">
        <v>0.99895670000000003</v>
      </c>
      <c r="AB5212">
        <v>28</v>
      </c>
      <c r="AC5212">
        <v>-3.0032040000000002</v>
      </c>
      <c r="AD5212">
        <v>7.3985339999999997E-2</v>
      </c>
      <c r="AE5212">
        <v>-7.9086299999999998E-2</v>
      </c>
      <c r="AF5212">
        <v>-0.13713410514088401</v>
      </c>
      <c r="AG5212">
        <v>7.3985339999999997E-2</v>
      </c>
      <c r="AH5212">
        <v>2.9992908221702002</v>
      </c>
      <c r="AI5212">
        <v>88.588410659028497</v>
      </c>
      <c r="AJ5212">
        <v>92.617864544127102</v>
      </c>
      <c r="AK5212">
        <v>3.0033356504530202</v>
      </c>
      <c r="AL5212">
        <v>88.660309499937895</v>
      </c>
      <c r="AM5212">
        <v>89.323585448427707</v>
      </c>
      <c r="AN5212">
        <v>1.00000001370924</v>
      </c>
    </row>
    <row r="5213" spans="1:40" x14ac:dyDescent="0.25">
      <c r="A5213" t="str">
        <f>"20190312160438270"</f>
        <v>20190312160438270</v>
      </c>
      <c r="B5213" t="str">
        <f>"1552377878259899"</f>
        <v>1552377878259899</v>
      </c>
      <c r="C5213" t="s">
        <v>40</v>
      </c>
      <c r="D5213">
        <v>4.3237699999999997</v>
      </c>
      <c r="E5213">
        <v>0.47821209999999997</v>
      </c>
      <c r="F5213" t="s">
        <v>45</v>
      </c>
      <c r="G5213">
        <v>0</v>
      </c>
      <c r="H5213">
        <v>0</v>
      </c>
      <c r="I5213">
        <v>0</v>
      </c>
      <c r="J5213">
        <v>-333.78489999999999</v>
      </c>
      <c r="K5213">
        <v>1.1095349999999999</v>
      </c>
      <c r="L5213">
        <v>141.95339999999999</v>
      </c>
      <c r="M5213">
        <v>-0.99977070000000001</v>
      </c>
      <c r="N5213">
        <v>0</v>
      </c>
      <c r="O5213">
        <v>1.925932E-2</v>
      </c>
      <c r="P5213">
        <v>-0.99941480000000005</v>
      </c>
      <c r="Q5213">
        <v>1.420517E-2</v>
      </c>
      <c r="R5213">
        <v>3.1120330000000002E-2</v>
      </c>
      <c r="S5213">
        <v>-3.0032040000000002</v>
      </c>
      <c r="T5213">
        <v>7.6124789999999998E-2</v>
      </c>
      <c r="U5213">
        <v>-8.0627439999999995E-2</v>
      </c>
      <c r="V5213">
        <v>1.186211E-2</v>
      </c>
      <c r="W5213">
        <v>2.3568660000000002E-2</v>
      </c>
      <c r="X5213">
        <v>0.99965179999999998</v>
      </c>
      <c r="Y5213">
        <v>-4.6064750000000002E-2</v>
      </c>
      <c r="Z5213">
        <v>1.0716689999999999E-3</v>
      </c>
      <c r="AA5213">
        <v>0.99893790000000005</v>
      </c>
      <c r="AB5213">
        <v>28</v>
      </c>
      <c r="AC5213">
        <v>-3.0032040000000002</v>
      </c>
      <c r="AD5213">
        <v>7.6124789999999998E-2</v>
      </c>
      <c r="AE5213">
        <v>-8.0627439999999995E-2</v>
      </c>
      <c r="AF5213">
        <v>-0.13836584728565601</v>
      </c>
      <c r="AG5213">
        <v>7.6124789999999998E-2</v>
      </c>
      <c r="AH5213">
        <v>2.9991684059380299</v>
      </c>
      <c r="AI5213">
        <v>88.547576859706098</v>
      </c>
      <c r="AJ5213">
        <v>92.6414527781819</v>
      </c>
      <c r="AK5213">
        <v>3.0033233622979201</v>
      </c>
      <c r="AL5213">
        <v>88.649490143942899</v>
      </c>
      <c r="AM5213">
        <v>89.320146333067299</v>
      </c>
      <c r="AN5213">
        <v>0.99999995631554295</v>
      </c>
    </row>
    <row r="5214" spans="1:40" x14ac:dyDescent="0.25">
      <c r="A5214" t="str">
        <f>"20190312160438293"</f>
        <v>20190312160438293</v>
      </c>
      <c r="B5214" t="str">
        <f>"1552377878280706"</f>
        <v>1552377878280706</v>
      </c>
      <c r="C5214" t="s">
        <v>40</v>
      </c>
      <c r="D5214">
        <v>4.3483749999999999</v>
      </c>
      <c r="E5214">
        <v>0.44471430000000001</v>
      </c>
      <c r="F5214" t="s">
        <v>45</v>
      </c>
      <c r="G5214">
        <v>0</v>
      </c>
      <c r="H5214">
        <v>0</v>
      </c>
      <c r="I5214">
        <v>0</v>
      </c>
      <c r="J5214">
        <v>-334.06529999999998</v>
      </c>
      <c r="K5214">
        <v>1.1095349999999999</v>
      </c>
      <c r="L5214">
        <v>141.95869999999999</v>
      </c>
      <c r="M5214">
        <v>-0.99977280000000002</v>
      </c>
      <c r="N5214">
        <v>0</v>
      </c>
      <c r="O5214">
        <v>1.9149949999999999E-2</v>
      </c>
      <c r="P5214">
        <v>-0.99943099999999996</v>
      </c>
      <c r="Q5214">
        <v>1.3837790000000001E-2</v>
      </c>
      <c r="R5214">
        <v>3.0761090000000001E-2</v>
      </c>
      <c r="S5214">
        <v>-3.0032040000000002</v>
      </c>
      <c r="T5214">
        <v>7.7230930000000003E-2</v>
      </c>
      <c r="U5214">
        <v>-8.1130980000000005E-2</v>
      </c>
      <c r="V5214">
        <v>1.1611649999999999E-2</v>
      </c>
      <c r="W5214">
        <v>2.3204929999999999E-2</v>
      </c>
      <c r="X5214">
        <v>0.99966330000000003</v>
      </c>
      <c r="Y5214">
        <v>-4.6122249999999997E-2</v>
      </c>
      <c r="Z5214">
        <v>1.0851610000000001E-3</v>
      </c>
      <c r="AA5214">
        <v>0.99893520000000002</v>
      </c>
      <c r="AB5214">
        <v>28</v>
      </c>
      <c r="AC5214">
        <v>-3.0032040000000002</v>
      </c>
      <c r="AD5214">
        <v>7.7230930000000003E-2</v>
      </c>
      <c r="AE5214">
        <v>-8.1130980000000005E-2</v>
      </c>
      <c r="AF5214">
        <v>-0.13853827595482199</v>
      </c>
      <c r="AG5214">
        <v>7.7230930000000003E-2</v>
      </c>
      <c r="AH5214">
        <v>2.99911757506819</v>
      </c>
      <c r="AI5214">
        <v>88.526460487347805</v>
      </c>
      <c r="AJ5214">
        <v>92.644784592373497</v>
      </c>
      <c r="AK5214">
        <v>3.0033087919053698</v>
      </c>
      <c r="AL5214">
        <v>88.670336106828003</v>
      </c>
      <c r="AM5214">
        <v>89.334507308977393</v>
      </c>
      <c r="AN5214">
        <v>1.0000000062794501</v>
      </c>
    </row>
    <row r="5215" spans="1:40" x14ac:dyDescent="0.25">
      <c r="A5215" t="str">
        <f>"20190312160438315"</f>
        <v>20190312160438315</v>
      </c>
      <c r="B5215" t="str">
        <f>"1552377878309989"</f>
        <v>1552377878309989</v>
      </c>
      <c r="C5215" t="s">
        <v>40</v>
      </c>
      <c r="D5215">
        <v>4.2986459999999997</v>
      </c>
      <c r="E5215">
        <v>0.44012059999999997</v>
      </c>
      <c r="F5215" t="s">
        <v>45</v>
      </c>
      <c r="G5215">
        <v>0</v>
      </c>
      <c r="H5215">
        <v>0</v>
      </c>
      <c r="I5215">
        <v>0</v>
      </c>
      <c r="J5215">
        <v>-334.35169999999999</v>
      </c>
      <c r="K5215">
        <v>1.109534</v>
      </c>
      <c r="L5215">
        <v>141.9641</v>
      </c>
      <c r="M5215">
        <v>-0.99977499999999997</v>
      </c>
      <c r="N5215">
        <v>0</v>
      </c>
      <c r="O5215">
        <v>1.903181E-2</v>
      </c>
      <c r="P5215">
        <v>-0.99942419999999998</v>
      </c>
      <c r="Q5215">
        <v>1.3727400000000001E-2</v>
      </c>
      <c r="R5215">
        <v>3.1036350000000001E-2</v>
      </c>
      <c r="S5215">
        <v>-3.0106199999999999</v>
      </c>
      <c r="T5215">
        <v>0.1392658</v>
      </c>
      <c r="U5215">
        <v>-0.3509216</v>
      </c>
      <c r="V5215">
        <v>1.2005139999999999E-2</v>
      </c>
      <c r="W5215">
        <v>2.3098150000000001E-2</v>
      </c>
      <c r="X5215">
        <v>0.99966109999999997</v>
      </c>
      <c r="Y5215">
        <v>-0.13449900000000001</v>
      </c>
      <c r="Z5215">
        <v>3.9758880000000003E-3</v>
      </c>
      <c r="AA5215">
        <v>0.99090579999999995</v>
      </c>
      <c r="AB5215">
        <v>28</v>
      </c>
      <c r="AC5215">
        <v>-3.0106199999999999</v>
      </c>
      <c r="AD5215">
        <v>0.1392658</v>
      </c>
      <c r="AE5215">
        <v>-0.3509216</v>
      </c>
      <c r="AF5215">
        <v>-0.40729823463449799</v>
      </c>
      <c r="AG5215">
        <v>0.1392658</v>
      </c>
      <c r="AH5215">
        <v>2.9970684788771802</v>
      </c>
      <c r="AI5215">
        <v>87.363729228738606</v>
      </c>
      <c r="AJ5215">
        <v>97.739021655321295</v>
      </c>
      <c r="AK5215">
        <v>3.0278220360624202</v>
      </c>
      <c r="AL5215">
        <v>88.676455757452203</v>
      </c>
      <c r="AM5215">
        <v>89.311956031778706</v>
      </c>
      <c r="AN5215">
        <v>0.99999998138652502</v>
      </c>
    </row>
    <row r="5216" spans="1:40" x14ac:dyDescent="0.25">
      <c r="A5216" t="str">
        <f>"20190312160438337"</f>
        <v>20190312160438337</v>
      </c>
      <c r="B5216" t="str">
        <f>"1552377878330482"</f>
        <v>1552377878330482</v>
      </c>
      <c r="C5216" t="s">
        <v>40</v>
      </c>
      <c r="D5216">
        <v>4.3028700000000004</v>
      </c>
      <c r="E5216">
        <v>0.43902079999999999</v>
      </c>
      <c r="F5216" t="s">
        <v>45</v>
      </c>
      <c r="G5216">
        <v>0</v>
      </c>
      <c r="H5216">
        <v>0</v>
      </c>
      <c r="I5216">
        <v>0</v>
      </c>
      <c r="J5216">
        <v>-334.62349999999998</v>
      </c>
      <c r="K5216">
        <v>1.1095429999999999</v>
      </c>
      <c r="L5216">
        <v>141.9691</v>
      </c>
      <c r="M5216">
        <v>-0.99977729999999998</v>
      </c>
      <c r="N5216">
        <v>0</v>
      </c>
      <c r="O5216">
        <v>1.8912169999999999E-2</v>
      </c>
      <c r="P5216">
        <v>-0.99942260000000005</v>
      </c>
      <c r="Q5216">
        <v>1.379766E-2</v>
      </c>
      <c r="R5216">
        <v>3.105171E-2</v>
      </c>
      <c r="S5216">
        <v>-3.0116580000000002</v>
      </c>
      <c r="T5216">
        <v>0.15294929999999901</v>
      </c>
      <c r="U5216">
        <v>-0.38687129999999997</v>
      </c>
      <c r="V5216">
        <v>1.213967E-2</v>
      </c>
      <c r="W5216">
        <v>2.3172040000000001E-2</v>
      </c>
      <c r="X5216">
        <v>0.99965780000000004</v>
      </c>
      <c r="Y5216">
        <v>-0.14593789999999901</v>
      </c>
      <c r="Z5216">
        <v>4.6444930000000004E-3</v>
      </c>
      <c r="AA5216">
        <v>0.98928280000000002</v>
      </c>
      <c r="AB5216">
        <v>28</v>
      </c>
      <c r="AC5216">
        <v>-3.0116580000000002</v>
      </c>
      <c r="AD5216">
        <v>0.15294929999999901</v>
      </c>
      <c r="AE5216">
        <v>-0.38687129999999997</v>
      </c>
      <c r="AF5216">
        <v>-0.442638470234333</v>
      </c>
      <c r="AG5216">
        <v>0.15294929999999901</v>
      </c>
      <c r="AH5216">
        <v>2.9962000917178702</v>
      </c>
      <c r="AI5216">
        <v>87.109038879191601</v>
      </c>
      <c r="AJ5216">
        <v>98.403707989580298</v>
      </c>
      <c r="AK5216">
        <v>3.0325793136061701</v>
      </c>
      <c r="AL5216">
        <v>88.672221084843898</v>
      </c>
      <c r="AM5216">
        <v>89.304244245264499</v>
      </c>
      <c r="AN5216">
        <v>1.0000000160631499</v>
      </c>
    </row>
    <row r="5217" spans="1:40" x14ac:dyDescent="0.25">
      <c r="A5217" t="str">
        <f>"20190312160438359"</f>
        <v>20190312160438359</v>
      </c>
      <c r="B5217" t="str">
        <f>"1552377878350001"</f>
        <v>1552377878350001</v>
      </c>
      <c r="C5217" t="s">
        <v>40</v>
      </c>
      <c r="D5217">
        <v>4.2671760000000001</v>
      </c>
      <c r="E5217">
        <v>0.43867889999999998</v>
      </c>
      <c r="F5217" t="s">
        <v>45</v>
      </c>
      <c r="G5217">
        <v>0</v>
      </c>
      <c r="H5217">
        <v>0</v>
      </c>
      <c r="I5217">
        <v>0</v>
      </c>
      <c r="J5217">
        <v>-334.9006</v>
      </c>
      <c r="K5217">
        <v>1.109551</v>
      </c>
      <c r="L5217">
        <v>141.9743</v>
      </c>
      <c r="M5217">
        <v>-0.99977959999999999</v>
      </c>
      <c r="N5217">
        <v>0</v>
      </c>
      <c r="O5217">
        <v>1.8781550000000001E-2</v>
      </c>
      <c r="P5217">
        <v>-0.99941550000000001</v>
      </c>
      <c r="Q5217">
        <v>1.436949E-2</v>
      </c>
      <c r="R5217">
        <v>3.102094E-2</v>
      </c>
      <c r="S5217">
        <v>-3.0119020000000001</v>
      </c>
      <c r="T5217">
        <v>0.15438929999999901</v>
      </c>
      <c r="U5217">
        <v>-0.39569090000000001</v>
      </c>
      <c r="V5217">
        <v>1.2239389999999999E-2</v>
      </c>
      <c r="W5217">
        <v>2.3747899999999999E-2</v>
      </c>
      <c r="X5217">
        <v>0.99964299999999995</v>
      </c>
      <c r="Y5217">
        <v>-0.14863959999999901</v>
      </c>
      <c r="Z5217">
        <v>4.7491520000000004E-3</v>
      </c>
      <c r="AA5217">
        <v>0.98887999999999998</v>
      </c>
      <c r="AB5217">
        <v>28</v>
      </c>
      <c r="AC5217">
        <v>-3.0119020000000001</v>
      </c>
      <c r="AD5217">
        <v>0.15438929999999901</v>
      </c>
      <c r="AE5217">
        <v>-0.39569090000000001</v>
      </c>
      <c r="AF5217">
        <v>-0.45102678284008102</v>
      </c>
      <c r="AG5217">
        <v>0.15438929999999901</v>
      </c>
      <c r="AH5217">
        <v>2.9961995503052798</v>
      </c>
      <c r="AI5217">
        <v>87.083056693067903</v>
      </c>
      <c r="AJ5217">
        <v>98.560627603046001</v>
      </c>
      <c r="AK5217">
        <v>3.0338874336473198</v>
      </c>
      <c r="AL5217">
        <v>88.639217559258697</v>
      </c>
      <c r="AM5217">
        <v>89.298519219552901</v>
      </c>
      <c r="AN5217">
        <v>0.99999994643548895</v>
      </c>
    </row>
    <row r="5218" spans="1:40" x14ac:dyDescent="0.25">
      <c r="A5218" t="str">
        <f>"20190312160438382"</f>
        <v>20190312160438382</v>
      </c>
      <c r="B5218" t="str">
        <f>"1552377878370501"</f>
        <v>1552377878370501</v>
      </c>
      <c r="C5218" t="s">
        <v>40</v>
      </c>
      <c r="D5218">
        <v>4.2715379999999996</v>
      </c>
      <c r="E5218">
        <v>0.43841439999999998</v>
      </c>
      <c r="F5218" t="s">
        <v>45</v>
      </c>
      <c r="G5218">
        <v>0</v>
      </c>
      <c r="H5218">
        <v>0</v>
      </c>
      <c r="I5218">
        <v>0</v>
      </c>
      <c r="J5218">
        <v>-335.17860000000002</v>
      </c>
      <c r="K5218">
        <v>1.109561</v>
      </c>
      <c r="L5218">
        <v>141.97929999999999</v>
      </c>
      <c r="M5218">
        <v>-0.99978230000000001</v>
      </c>
      <c r="N5218">
        <v>0</v>
      </c>
      <c r="O5218">
        <v>1.8641990000000001E-2</v>
      </c>
      <c r="P5218">
        <v>-0.99941489999999999</v>
      </c>
      <c r="Q5218">
        <v>1.4835950000000001E-2</v>
      </c>
      <c r="R5218">
        <v>3.0823039999999999E-2</v>
      </c>
      <c r="S5218">
        <v>-3.0118710000000002</v>
      </c>
      <c r="T5218">
        <v>0.15651199999999901</v>
      </c>
      <c r="U5218">
        <v>-0.39871220000000002</v>
      </c>
      <c r="V5218">
        <v>1.218056E-2</v>
      </c>
      <c r="W5218">
        <v>2.4218400000000001E-2</v>
      </c>
      <c r="X5218">
        <v>0.99963250000000003</v>
      </c>
      <c r="Y5218">
        <v>-0.14947099999999999</v>
      </c>
      <c r="Z5218">
        <v>4.828372E-3</v>
      </c>
      <c r="AA5218">
        <v>0.98875429999999997</v>
      </c>
      <c r="AB5218">
        <v>28</v>
      </c>
      <c r="AC5218">
        <v>-3.0118710000000002</v>
      </c>
      <c r="AD5218">
        <v>0.15651199999999901</v>
      </c>
      <c r="AE5218">
        <v>-0.39871220000000002</v>
      </c>
      <c r="AF5218">
        <v>-0.45358888137791398</v>
      </c>
      <c r="AG5218">
        <v>0.15651199999999901</v>
      </c>
      <c r="AH5218">
        <v>2.99596358329224</v>
      </c>
      <c r="AI5218">
        <v>87.043167581262907</v>
      </c>
      <c r="AJ5218">
        <v>98.609198345598998</v>
      </c>
      <c r="AK5218">
        <v>3.0341451303236902</v>
      </c>
      <c r="AL5218">
        <v>88.612252233602305</v>
      </c>
      <c r="AM5218">
        <v>89.301883298935806</v>
      </c>
      <c r="AN5218">
        <v>1.00000001599836</v>
      </c>
    </row>
    <row r="5219" spans="1:40" x14ac:dyDescent="0.25">
      <c r="A5219" t="str">
        <f>"20190312160438405"</f>
        <v>20190312160438405</v>
      </c>
      <c r="B5219" t="str">
        <f>"1552377878400754"</f>
        <v>1552377878400754</v>
      </c>
      <c r="C5219" t="s">
        <v>40</v>
      </c>
      <c r="D5219">
        <v>4.2833670000000001</v>
      </c>
      <c r="E5219">
        <v>0.4382527</v>
      </c>
      <c r="F5219" t="s">
        <v>45</v>
      </c>
      <c r="G5219">
        <v>0</v>
      </c>
      <c r="H5219">
        <v>0</v>
      </c>
      <c r="I5219">
        <v>0</v>
      </c>
      <c r="J5219">
        <v>-335.47340000000003</v>
      </c>
      <c r="K5219">
        <v>1.1095680000000001</v>
      </c>
      <c r="L5219">
        <v>141.9847</v>
      </c>
      <c r="M5219">
        <v>-0.99978509999999998</v>
      </c>
      <c r="N5219">
        <v>0</v>
      </c>
      <c r="O5219">
        <v>1.848692E-2</v>
      </c>
      <c r="P5219">
        <v>-0.99943119999999996</v>
      </c>
      <c r="Q5219">
        <v>1.448547E-2</v>
      </c>
      <c r="R5219">
        <v>3.0462220000000002E-2</v>
      </c>
      <c r="S5219">
        <v>-3.011749</v>
      </c>
      <c r="T5219">
        <v>0.15902379999999999</v>
      </c>
      <c r="U5219">
        <v>-0.40139770000000002</v>
      </c>
      <c r="V5219">
        <v>1.1974490000000001E-2</v>
      </c>
      <c r="W5219">
        <v>2.3871839999999998E-2</v>
      </c>
      <c r="X5219">
        <v>0.99964330000000001</v>
      </c>
      <c r="Y5219">
        <v>-0.15018119999999999</v>
      </c>
      <c r="Z5219">
        <v>4.9161700000000001E-3</v>
      </c>
      <c r="AA5219">
        <v>0.98864629999999998</v>
      </c>
      <c r="AB5219">
        <v>28</v>
      </c>
      <c r="AC5219">
        <v>-3.011749</v>
      </c>
      <c r="AD5219">
        <v>0.15902379999999999</v>
      </c>
      <c r="AE5219">
        <v>-0.40139770000000002</v>
      </c>
      <c r="AF5219">
        <v>-0.45576104077151097</v>
      </c>
      <c r="AG5219">
        <v>0.15902379999999999</v>
      </c>
      <c r="AH5219">
        <v>2.9956074427532999</v>
      </c>
      <c r="AI5219">
        <v>86.995774874790698</v>
      </c>
      <c r="AJ5219">
        <v>98.650816994359403</v>
      </c>
      <c r="AK5219">
        <v>3.0342496018506</v>
      </c>
      <c r="AL5219">
        <v>88.632114366092793</v>
      </c>
      <c r="AM5219">
        <v>89.313700270990097</v>
      </c>
      <c r="AN5219">
        <v>0.99999999019531705</v>
      </c>
    </row>
    <row r="5220" spans="1:40" x14ac:dyDescent="0.25">
      <c r="A5220" t="str">
        <f>"20190312160438429"</f>
        <v>20190312160438429</v>
      </c>
      <c r="B5220" t="str">
        <f>"1552377878420273"</f>
        <v>1552377878420273</v>
      </c>
      <c r="C5220" t="s">
        <v>40</v>
      </c>
      <c r="D5220">
        <v>4.2601589999999998</v>
      </c>
      <c r="E5220">
        <v>0.43822519999999998</v>
      </c>
      <c r="F5220" t="s">
        <v>45</v>
      </c>
      <c r="G5220">
        <v>0</v>
      </c>
      <c r="H5220">
        <v>0</v>
      </c>
      <c r="I5220">
        <v>0</v>
      </c>
      <c r="J5220">
        <v>-335.75889999999998</v>
      </c>
      <c r="K5220">
        <v>1.109572</v>
      </c>
      <c r="L5220">
        <v>141.9898</v>
      </c>
      <c r="M5220">
        <v>-0.99978789999999995</v>
      </c>
      <c r="N5220">
        <v>0</v>
      </c>
      <c r="O5220">
        <v>1.8331340000000002E-2</v>
      </c>
      <c r="P5220">
        <v>-0.99943320000000002</v>
      </c>
      <c r="Q5220">
        <v>1.429852E-2</v>
      </c>
      <c r="R5220">
        <v>3.0479300000000001E-2</v>
      </c>
      <c r="S5220">
        <v>-3.0116879999999999</v>
      </c>
      <c r="T5220">
        <v>0.15813769999999999</v>
      </c>
      <c r="U5220">
        <v>-0.40394590000000002</v>
      </c>
      <c r="V5220">
        <v>1.214665E-2</v>
      </c>
      <c r="W5220">
        <v>2.368926E-2</v>
      </c>
      <c r="X5220">
        <v>0.99964560000000002</v>
      </c>
      <c r="Y5220">
        <v>-0.15085370000000001</v>
      </c>
      <c r="Z5220">
        <v>4.898075E-3</v>
      </c>
      <c r="AA5220">
        <v>0.98854399999999998</v>
      </c>
      <c r="AB5220">
        <v>28</v>
      </c>
      <c r="AC5220">
        <v>-3.0116879999999999</v>
      </c>
      <c r="AD5220">
        <v>0.15813769999999999</v>
      </c>
      <c r="AE5220">
        <v>-0.40394590000000002</v>
      </c>
      <c r="AF5220">
        <v>-0.45784870483692702</v>
      </c>
      <c r="AG5220">
        <v>0.15813769999999999</v>
      </c>
      <c r="AH5220">
        <v>2.9956633415743599</v>
      </c>
      <c r="AI5220">
        <v>87.012848441775901</v>
      </c>
      <c r="AJ5220">
        <v>98.689679811367</v>
      </c>
      <c r="AK5220">
        <v>3.0345727581876498</v>
      </c>
      <c r="AL5220">
        <v>88.642578434553101</v>
      </c>
      <c r="AM5220">
        <v>89.303835747570702</v>
      </c>
      <c r="AN5220">
        <v>1.00000002387246</v>
      </c>
    </row>
    <row r="5221" spans="1:40" x14ac:dyDescent="0.25">
      <c r="A5221" t="str">
        <f>"20190312160438450"</f>
        <v>20190312160438450</v>
      </c>
      <c r="B5221" t="str">
        <f>"1552377878440770"</f>
        <v>1552377878440770</v>
      </c>
      <c r="C5221" t="s">
        <v>40</v>
      </c>
      <c r="D5221">
        <v>4.2796649999999996</v>
      </c>
      <c r="E5221">
        <v>0.4381005</v>
      </c>
      <c r="F5221" t="s">
        <v>45</v>
      </c>
      <c r="G5221">
        <v>0</v>
      </c>
      <c r="H5221">
        <v>0</v>
      </c>
      <c r="I5221">
        <v>0</v>
      </c>
      <c r="J5221">
        <v>-336.03699999999998</v>
      </c>
      <c r="K5221">
        <v>1.1095790000000001</v>
      </c>
      <c r="L5221">
        <v>141.99469999999999</v>
      </c>
      <c r="M5221">
        <v>-0.99979070000000003</v>
      </c>
      <c r="N5221">
        <v>0</v>
      </c>
      <c r="O5221">
        <v>1.817597E-2</v>
      </c>
      <c r="P5221">
        <v>-0.99942940000000002</v>
      </c>
      <c r="Q5221">
        <v>1.4537639999999999E-2</v>
      </c>
      <c r="R5221">
        <v>3.049375E-2</v>
      </c>
      <c r="S5221">
        <v>-3.0117799999999999</v>
      </c>
      <c r="T5221">
        <v>0.1589526</v>
      </c>
      <c r="U5221">
        <v>-0.40390009999999998</v>
      </c>
      <c r="V5221">
        <v>1.2316499999999999E-2</v>
      </c>
      <c r="W5221">
        <v>2.393286E-2</v>
      </c>
      <c r="X5221">
        <v>0.99963769999999996</v>
      </c>
      <c r="Y5221">
        <v>-0.15067939999999999</v>
      </c>
      <c r="Z5221">
        <v>4.9104020000000003E-3</v>
      </c>
      <c r="AA5221">
        <v>0.98857050000000002</v>
      </c>
      <c r="AB5221">
        <v>28</v>
      </c>
      <c r="AC5221">
        <v>-3.0117799999999999</v>
      </c>
      <c r="AD5221">
        <v>0.1589526</v>
      </c>
      <c r="AE5221">
        <v>-0.40390009999999998</v>
      </c>
      <c r="AF5221">
        <v>-0.457326472242153</v>
      </c>
      <c r="AG5221">
        <v>0.1589526</v>
      </c>
      <c r="AH5221">
        <v>2.9957438713254398</v>
      </c>
      <c r="AI5221">
        <v>86.997484176001706</v>
      </c>
      <c r="AJ5221">
        <v>98.679689430004402</v>
      </c>
      <c r="AK5221">
        <v>3.0346160834353002</v>
      </c>
      <c r="AL5221">
        <v>88.628617198211401</v>
      </c>
      <c r="AM5221">
        <v>89.294096488563099</v>
      </c>
      <c r="AN5221">
        <v>1.0000000046106501</v>
      </c>
    </row>
    <row r="5222" spans="1:40" x14ac:dyDescent="0.25">
      <c r="A5222" t="str">
        <f>"20190312160438472"</f>
        <v>20190312160438472</v>
      </c>
      <c r="B5222" t="str">
        <f>"1552377878460289"</f>
        <v>1552377878460289</v>
      </c>
      <c r="C5222" t="s">
        <v>40</v>
      </c>
      <c r="D5222">
        <v>4.2978809999999896</v>
      </c>
      <c r="E5222">
        <v>0.43810529999999998</v>
      </c>
      <c r="F5222" t="s">
        <v>45</v>
      </c>
      <c r="G5222">
        <v>0</v>
      </c>
      <c r="H5222">
        <v>0</v>
      </c>
      <c r="I5222">
        <v>0</v>
      </c>
      <c r="J5222">
        <v>-336.30790000000002</v>
      </c>
      <c r="K5222">
        <v>1.109586</v>
      </c>
      <c r="L5222">
        <v>141.99950000000001</v>
      </c>
      <c r="M5222">
        <v>-0.9997935</v>
      </c>
      <c r="N5222">
        <v>0</v>
      </c>
      <c r="O5222">
        <v>1.8022739999999999E-2</v>
      </c>
      <c r="P5222">
        <v>-0.99942089999999995</v>
      </c>
      <c r="Q5222">
        <v>1.483814E-2</v>
      </c>
      <c r="R5222">
        <v>3.0631599999999998E-2</v>
      </c>
      <c r="S5222">
        <v>-3.0116879999999999</v>
      </c>
      <c r="T5222">
        <v>0.16058420000000001</v>
      </c>
      <c r="U5222">
        <v>-0.4046478</v>
      </c>
      <c r="V5222">
        <v>1.260759E-2</v>
      </c>
      <c r="W5222">
        <v>2.4237470000000001E-2</v>
      </c>
      <c r="X5222">
        <v>0.99962680000000004</v>
      </c>
      <c r="Y5222">
        <v>-0.15076829999999999</v>
      </c>
      <c r="Z5222">
        <v>4.9550289999999997E-3</v>
      </c>
      <c r="AA5222">
        <v>0.98855669999999995</v>
      </c>
      <c r="AB5222">
        <v>28</v>
      </c>
      <c r="AC5222">
        <v>-3.0116879999999999</v>
      </c>
      <c r="AD5222">
        <v>0.16058420000000001</v>
      </c>
      <c r="AE5222">
        <v>-0.4046478</v>
      </c>
      <c r="AF5222">
        <v>-0.45758545895884101</v>
      </c>
      <c r="AG5222">
        <v>0.16058420000000001</v>
      </c>
      <c r="AH5222">
        <v>2.99554013009663</v>
      </c>
      <c r="AI5222">
        <v>86.966559361323803</v>
      </c>
      <c r="AJ5222">
        <v>98.685111540982902</v>
      </c>
      <c r="AK5222">
        <v>3.0345399006372502</v>
      </c>
      <c r="AL5222">
        <v>88.611159361153199</v>
      </c>
      <c r="AM5222">
        <v>89.277406929812699</v>
      </c>
      <c r="AN5222">
        <v>1.0000000727779199</v>
      </c>
    </row>
    <row r="5223" spans="1:40" x14ac:dyDescent="0.25">
      <c r="A5223" t="str">
        <f>"20190312160438494"</f>
        <v>20190312160438494</v>
      </c>
      <c r="B5223" t="str">
        <f>"1552377878490546"</f>
        <v>1552377878490546</v>
      </c>
      <c r="C5223" t="s">
        <v>40</v>
      </c>
      <c r="D5223">
        <v>4.305212</v>
      </c>
      <c r="E5223">
        <v>0.43792199999999998</v>
      </c>
      <c r="F5223" t="s">
        <v>45</v>
      </c>
      <c r="G5223">
        <v>0</v>
      </c>
      <c r="H5223">
        <v>0</v>
      </c>
      <c r="I5223">
        <v>0</v>
      </c>
      <c r="J5223">
        <v>-336.59210000000002</v>
      </c>
      <c r="K5223">
        <v>1.109585</v>
      </c>
      <c r="L5223">
        <v>142.00450000000001</v>
      </c>
      <c r="M5223">
        <v>-0.99979640000000003</v>
      </c>
      <c r="N5223">
        <v>0</v>
      </c>
      <c r="O5223">
        <v>1.7861490000000001E-2</v>
      </c>
      <c r="P5223">
        <v>-0.9994073</v>
      </c>
      <c r="Q5223">
        <v>1.5393E-2</v>
      </c>
      <c r="R5223">
        <v>3.0795969999999999E-2</v>
      </c>
      <c r="S5223">
        <v>-3.0117799999999999</v>
      </c>
      <c r="T5223">
        <v>0.16085279999999999</v>
      </c>
      <c r="U5223">
        <v>-0.40429690000000001</v>
      </c>
      <c r="V5223">
        <v>1.293301E-2</v>
      </c>
      <c r="W5223">
        <v>2.4796160000000001E-2</v>
      </c>
      <c r="X5223">
        <v>0.99960890000000002</v>
      </c>
      <c r="Y5223">
        <v>-0.1504916</v>
      </c>
      <c r="Z5223">
        <v>4.9472700000000001E-3</v>
      </c>
      <c r="AA5223">
        <v>0.98859889999999995</v>
      </c>
      <c r="AB5223">
        <v>28</v>
      </c>
      <c r="AC5223">
        <v>-3.0117799999999999</v>
      </c>
      <c r="AD5223">
        <v>0.16085279999999999</v>
      </c>
      <c r="AE5223">
        <v>-0.40429690000000001</v>
      </c>
      <c r="AF5223">
        <v>-0.45674987319141802</v>
      </c>
      <c r="AG5223">
        <v>0.16085279999999999</v>
      </c>
      <c r="AH5223">
        <v>2.9956841849090998</v>
      </c>
      <c r="AI5223">
        <v>86.961511356940306</v>
      </c>
      <c r="AJ5223">
        <v>98.669082489533494</v>
      </c>
      <c r="AK5223">
        <v>3.0345704482912699</v>
      </c>
      <c r="AL5223">
        <v>88.579139102247396</v>
      </c>
      <c r="AM5223">
        <v>89.258744548057805</v>
      </c>
      <c r="AN5223">
        <v>1.0000000326288001</v>
      </c>
    </row>
    <row r="5224" spans="1:40" x14ac:dyDescent="0.25">
      <c r="A5224" t="str">
        <f>"20190312160438516"</f>
        <v>20190312160438516</v>
      </c>
      <c r="B5224" t="str">
        <f>"1552377878510069"</f>
        <v>1552377878510069</v>
      </c>
      <c r="C5224" t="s">
        <v>40</v>
      </c>
      <c r="D5224">
        <v>4.2916369999999997</v>
      </c>
      <c r="E5224">
        <v>0.43782539999999998</v>
      </c>
      <c r="F5224" t="s">
        <v>45</v>
      </c>
      <c r="G5224">
        <v>0</v>
      </c>
      <c r="H5224">
        <v>0</v>
      </c>
      <c r="I5224">
        <v>0</v>
      </c>
      <c r="J5224">
        <v>-336.88170000000002</v>
      </c>
      <c r="K5224">
        <v>1.109583</v>
      </c>
      <c r="L5224">
        <v>142.0095</v>
      </c>
      <c r="M5224">
        <v>-0.9997992</v>
      </c>
      <c r="N5224">
        <v>0</v>
      </c>
      <c r="O5224">
        <v>1.7697729999999998E-2</v>
      </c>
      <c r="P5224">
        <v>-0.99941150000000001</v>
      </c>
      <c r="Q5224">
        <v>1.4864520000000001E-2</v>
      </c>
      <c r="R5224">
        <v>3.091472E-2</v>
      </c>
      <c r="S5224">
        <v>-3.0117799999999999</v>
      </c>
      <c r="T5224">
        <v>0.16103020000000001</v>
      </c>
      <c r="U5224">
        <v>-0.40538020000000002</v>
      </c>
      <c r="V5224">
        <v>1.3215559999999999E-2</v>
      </c>
      <c r="W5224">
        <v>2.4272269999999999E-2</v>
      </c>
      <c r="X5224">
        <v>0.99961809999999995</v>
      </c>
      <c r="Y5224">
        <v>-0.15067839999999999</v>
      </c>
      <c r="Z5224">
        <v>4.9488539999999999E-3</v>
      </c>
      <c r="AA5224">
        <v>0.98857050000000002</v>
      </c>
      <c r="AB5224">
        <v>28</v>
      </c>
      <c r="AC5224">
        <v>-3.0117799999999999</v>
      </c>
      <c r="AD5224">
        <v>0.16103020000000001</v>
      </c>
      <c r="AE5224">
        <v>-0.40538020000000002</v>
      </c>
      <c r="AF5224">
        <v>-0.45733660605175902</v>
      </c>
      <c r="AG5224">
        <v>0.16103020000000001</v>
      </c>
      <c r="AH5224">
        <v>2.9957221609026798</v>
      </c>
      <c r="AI5224">
        <v>86.958292853524696</v>
      </c>
      <c r="AJ5224">
        <v>98.679940778692696</v>
      </c>
      <c r="AK5224">
        <v>3.0347057125643002</v>
      </c>
      <c r="AL5224">
        <v>88.609164877521096</v>
      </c>
      <c r="AM5224">
        <v>89.2425590321306</v>
      </c>
      <c r="AN5224">
        <v>1.0000000699823299</v>
      </c>
    </row>
    <row r="5225" spans="1:40" x14ac:dyDescent="0.25">
      <c r="A5225" t="str">
        <f>"20190312160438538"</f>
        <v>20190312160438538</v>
      </c>
      <c r="B5225" t="str">
        <f>"1552377878530561"</f>
        <v>1552377878530561</v>
      </c>
      <c r="C5225" t="s">
        <v>40</v>
      </c>
      <c r="D5225">
        <v>4.29983</v>
      </c>
      <c r="E5225">
        <v>0.43775310000000001</v>
      </c>
      <c r="F5225" t="s">
        <v>45</v>
      </c>
      <c r="G5225">
        <v>0</v>
      </c>
      <c r="H5225">
        <v>0</v>
      </c>
      <c r="I5225">
        <v>0</v>
      </c>
      <c r="J5225">
        <v>-337.15629999999999</v>
      </c>
      <c r="K5225">
        <v>1.1095809999999999</v>
      </c>
      <c r="L5225">
        <v>142.01419999999999</v>
      </c>
      <c r="M5225">
        <v>-0.99980190000000002</v>
      </c>
      <c r="N5225">
        <v>0</v>
      </c>
      <c r="O5225">
        <v>1.7542789999999999E-2</v>
      </c>
      <c r="P5225">
        <v>-0.99940580000000001</v>
      </c>
      <c r="Q5225">
        <v>1.462741E-2</v>
      </c>
      <c r="R5225">
        <v>3.121341E-2</v>
      </c>
      <c r="S5225">
        <v>-3.0119319999999998</v>
      </c>
      <c r="T5225">
        <v>0.15930749999999999</v>
      </c>
      <c r="U5225">
        <v>-0.40557860000000001</v>
      </c>
      <c r="V5225">
        <v>1.366933E-2</v>
      </c>
      <c r="W5225">
        <v>2.4039640000000001E-2</v>
      </c>
      <c r="X5225">
        <v>0.9996176</v>
      </c>
      <c r="Y5225">
        <v>-0.1505879</v>
      </c>
      <c r="Z5225">
        <v>4.8851809999999997E-3</v>
      </c>
      <c r="AA5225">
        <v>0.98858460000000004</v>
      </c>
      <c r="AB5225">
        <v>28</v>
      </c>
      <c r="AC5225">
        <v>-3.0119319999999998</v>
      </c>
      <c r="AD5225">
        <v>0.15930749999999999</v>
      </c>
      <c r="AE5225">
        <v>-0.40557860000000001</v>
      </c>
      <c r="AF5225">
        <v>-0.45710020909110999</v>
      </c>
      <c r="AG5225">
        <v>0.15930749999999999</v>
      </c>
      <c r="AH5225">
        <v>2.99612056733806</v>
      </c>
      <c r="AI5225">
        <v>86.9911278667537</v>
      </c>
      <c r="AJ5225">
        <v>98.674386332627805</v>
      </c>
      <c r="AK5225">
        <v>3.0349724767670501</v>
      </c>
      <c r="AL5225">
        <v>88.622497457458707</v>
      </c>
      <c r="AM5225">
        <v>89.216554304588797</v>
      </c>
      <c r="AN5225">
        <v>1.00000005055186</v>
      </c>
    </row>
    <row r="5226" spans="1:40" x14ac:dyDescent="0.25">
      <c r="A5226" t="str">
        <f>"20190312160438561"</f>
        <v>20190312160438561</v>
      </c>
      <c r="B5226" t="str">
        <f>"1552377878550081"</f>
        <v>1552377878550081</v>
      </c>
      <c r="C5226" t="s">
        <v>40</v>
      </c>
      <c r="D5226">
        <v>4.3247689999999999</v>
      </c>
      <c r="E5226">
        <v>0.42317900000000003</v>
      </c>
      <c r="F5226" t="s">
        <v>45</v>
      </c>
      <c r="G5226">
        <v>0</v>
      </c>
      <c r="H5226">
        <v>0</v>
      </c>
      <c r="I5226">
        <v>0</v>
      </c>
      <c r="J5226">
        <v>-337.44389999999999</v>
      </c>
      <c r="K5226">
        <v>1.1095820000000001</v>
      </c>
      <c r="L5226">
        <v>142.01910000000001</v>
      </c>
      <c r="M5226">
        <v>-0.99980469999999999</v>
      </c>
      <c r="N5226">
        <v>0</v>
      </c>
      <c r="O5226">
        <v>1.7381540000000001E-2</v>
      </c>
      <c r="P5226">
        <v>-0.99941089999999999</v>
      </c>
      <c r="Q5226">
        <v>1.4576850000000001E-2</v>
      </c>
      <c r="R5226">
        <v>3.107793E-2</v>
      </c>
      <c r="S5226">
        <v>-3.0120849999999999</v>
      </c>
      <c r="T5226">
        <v>0.15870519999999999</v>
      </c>
      <c r="U5226">
        <v>-0.4052887</v>
      </c>
      <c r="V5226">
        <v>1.369506E-2</v>
      </c>
      <c r="W5226">
        <v>2.3993400000000002E-2</v>
      </c>
      <c r="X5226">
        <v>0.99961829999999996</v>
      </c>
      <c r="Y5226">
        <v>-0.15033070000000001</v>
      </c>
      <c r="Z5226">
        <v>4.8513280000000002E-3</v>
      </c>
      <c r="AA5226">
        <v>0.9886239</v>
      </c>
      <c r="AB5226">
        <v>28</v>
      </c>
      <c r="AC5226">
        <v>-3.0120849999999999</v>
      </c>
      <c r="AD5226">
        <v>0.15870519999999999</v>
      </c>
      <c r="AE5226">
        <v>-0.4052887</v>
      </c>
      <c r="AF5226">
        <v>-0.45634010459548802</v>
      </c>
      <c r="AG5226">
        <v>0.15870519999999999</v>
      </c>
      <c r="AH5226">
        <v>2.9964144076590302</v>
      </c>
      <c r="AI5226">
        <v>87.002656527109906</v>
      </c>
      <c r="AJ5226">
        <v>98.659344328832205</v>
      </c>
      <c r="AK5226">
        <v>3.0351166260946001</v>
      </c>
      <c r="AL5226">
        <v>88.625147497779807</v>
      </c>
      <c r="AM5226">
        <v>89.215080346052403</v>
      </c>
      <c r="AN5226">
        <v>0.99999999180342602</v>
      </c>
    </row>
    <row r="5227" spans="1:40" x14ac:dyDescent="0.25">
      <c r="A5227" t="str">
        <f>"20190312160438584"</f>
        <v>20190312160438584</v>
      </c>
      <c r="B5227" t="str">
        <f>"1552377878580337"</f>
        <v>1552377878580337</v>
      </c>
      <c r="C5227" t="s">
        <v>40</v>
      </c>
      <c r="D5227">
        <v>4.2883370000000003</v>
      </c>
      <c r="E5227">
        <v>0.42057870000000003</v>
      </c>
      <c r="F5227" t="s">
        <v>97</v>
      </c>
      <c r="G5227">
        <v>-466.23840000000001</v>
      </c>
      <c r="H5227">
        <v>6.3067830000000002</v>
      </c>
      <c r="I5227">
        <v>119.7701</v>
      </c>
      <c r="J5227">
        <v>-337.73</v>
      </c>
      <c r="K5227">
        <v>1.109586</v>
      </c>
      <c r="L5227">
        <v>142.02379999999999</v>
      </c>
      <c r="M5227">
        <v>-0.99980740000000001</v>
      </c>
      <c r="N5227">
        <v>0</v>
      </c>
      <c r="O5227">
        <v>1.7221719999999999E-2</v>
      </c>
      <c r="P5227">
        <v>-0.99941999999999998</v>
      </c>
      <c r="Q5227">
        <v>1.4573539999999999E-2</v>
      </c>
      <c r="R5227">
        <v>3.0788619999999999E-2</v>
      </c>
      <c r="S5227">
        <v>-3.0162049999999998</v>
      </c>
      <c r="T5227">
        <v>0.1217124</v>
      </c>
      <c r="U5227">
        <v>-0.52104189999999995</v>
      </c>
      <c r="V5227">
        <v>1.356536E-2</v>
      </c>
      <c r="W5227">
        <v>2.3994350000000001E-2</v>
      </c>
      <c r="X5227">
        <v>0.99962010000000001</v>
      </c>
      <c r="Y5227">
        <v>-0.1870106</v>
      </c>
      <c r="Z5227">
        <v>4.4337990000000004E-3</v>
      </c>
      <c r="AA5227">
        <v>0.98234790000000005</v>
      </c>
      <c r="AB5227">
        <v>28</v>
      </c>
      <c r="AC5227">
        <v>-128.50839999999999</v>
      </c>
      <c r="AD5227">
        <v>5.1971970000000001</v>
      </c>
      <c r="AE5227">
        <v>-22.253699999999899</v>
      </c>
      <c r="AF5227">
        <v>-24.424847062601401</v>
      </c>
      <c r="AG5227">
        <v>5.1971970000000001</v>
      </c>
      <c r="AH5227">
        <v>127.902969365825</v>
      </c>
      <c r="AI5227">
        <v>87.714385682103</v>
      </c>
      <c r="AJ5227">
        <v>100.81125960525</v>
      </c>
      <c r="AK5227">
        <v>130.317894332603</v>
      </c>
      <c r="AL5227">
        <v>88.625093125745195</v>
      </c>
      <c r="AM5227">
        <v>89.222514464152695</v>
      </c>
      <c r="AN5227">
        <v>1.00000004607393</v>
      </c>
    </row>
    <row r="5228" spans="1:40" x14ac:dyDescent="0.25">
      <c r="A5228" t="str">
        <f>"20190312160438606"</f>
        <v>20190312160438606</v>
      </c>
      <c r="B5228" t="str">
        <f>"1552377878599857"</f>
        <v>1552377878599857</v>
      </c>
      <c r="C5228" t="s">
        <v>40</v>
      </c>
      <c r="D5228">
        <v>4.2843</v>
      </c>
      <c r="E5228">
        <v>0.42022870000000001</v>
      </c>
      <c r="F5228" t="s">
        <v>97</v>
      </c>
      <c r="G5228">
        <v>-461.32279999999997</v>
      </c>
      <c r="H5228">
        <v>5.0643000000000002</v>
      </c>
      <c r="I5228">
        <v>119.8177</v>
      </c>
      <c r="J5228">
        <v>-338.02010000000001</v>
      </c>
      <c r="K5228">
        <v>1.1095809999999999</v>
      </c>
      <c r="L5228">
        <v>142.02869999999999</v>
      </c>
      <c r="M5228">
        <v>-0.99981019999999998</v>
      </c>
      <c r="N5228">
        <v>0</v>
      </c>
      <c r="O5228">
        <v>1.706011E-2</v>
      </c>
      <c r="P5228">
        <v>-0.99942759999999997</v>
      </c>
      <c r="Q5228">
        <v>1.426403E-2</v>
      </c>
      <c r="R5228">
        <v>3.068504E-2</v>
      </c>
      <c r="S5228">
        <v>-3.0169980000000001</v>
      </c>
      <c r="T5228">
        <v>9.6538310000000002E-2</v>
      </c>
      <c r="U5228">
        <v>-0.54206849999999995</v>
      </c>
      <c r="V5228">
        <v>1.3623329999999999E-2</v>
      </c>
      <c r="W5228">
        <v>2.3689740000000001E-2</v>
      </c>
      <c r="X5228">
        <v>0.99962649999999997</v>
      </c>
      <c r="Y5228">
        <v>-0.19350149999999999</v>
      </c>
      <c r="Z5228">
        <v>3.6121170000000002E-3</v>
      </c>
      <c r="AA5228">
        <v>0.98109329999999995</v>
      </c>
      <c r="AB5228">
        <v>28</v>
      </c>
      <c r="AC5228">
        <v>-123.30269999999901</v>
      </c>
      <c r="AD5228">
        <v>3.9547189999999999</v>
      </c>
      <c r="AE5228">
        <v>-22.210999999999899</v>
      </c>
      <c r="AF5228">
        <v>-24.287219085403802</v>
      </c>
      <c r="AG5228">
        <v>3.9547189999999999</v>
      </c>
      <c r="AH5228">
        <v>122.783477794879</v>
      </c>
      <c r="AI5228">
        <v>88.190245897289898</v>
      </c>
      <c r="AJ5228">
        <v>101.188969373164</v>
      </c>
      <c r="AK5228">
        <v>125.224962498206</v>
      </c>
      <c r="AL5228">
        <v>88.642550850633</v>
      </c>
      <c r="AM5228">
        <v>89.219197378347602</v>
      </c>
      <c r="AN5228">
        <v>0.99999996920190204</v>
      </c>
    </row>
    <row r="5229" spans="1:40" x14ac:dyDescent="0.25">
      <c r="A5229" t="str">
        <f>"20190312160438630"</f>
        <v>20190312160438630</v>
      </c>
      <c r="B5229" t="str">
        <f>"1552377878620353"</f>
        <v>1552377878620353</v>
      </c>
      <c r="C5229" t="s">
        <v>40</v>
      </c>
      <c r="D5229">
        <v>4.3076910000000002</v>
      </c>
      <c r="E5229">
        <v>0.42009790000000002</v>
      </c>
      <c r="F5229" t="s">
        <v>97</v>
      </c>
      <c r="G5229">
        <v>-461.03219999999999</v>
      </c>
      <c r="H5229">
        <v>4.859318</v>
      </c>
      <c r="I5229">
        <v>119.8023</v>
      </c>
      <c r="J5229">
        <v>-338.3091</v>
      </c>
      <c r="K5229">
        <v>1.109578</v>
      </c>
      <c r="L5229">
        <v>142.0334</v>
      </c>
      <c r="M5229">
        <v>-0.9998129</v>
      </c>
      <c r="N5229">
        <v>0</v>
      </c>
      <c r="O5229">
        <v>1.689945E-2</v>
      </c>
      <c r="P5229">
        <v>-0.99942989999999998</v>
      </c>
      <c r="Q5229">
        <v>1.3854419999999999E-2</v>
      </c>
      <c r="R5229">
        <v>3.0789150000000001E-2</v>
      </c>
      <c r="S5229">
        <v>-3.0171510000000001</v>
      </c>
      <c r="T5229">
        <v>9.1971399999999995E-2</v>
      </c>
      <c r="U5229">
        <v>-0.54515080000000005</v>
      </c>
      <c r="V5229">
        <v>1.3888070000000001E-2</v>
      </c>
      <c r="W5229">
        <v>2.3284539999999999E-2</v>
      </c>
      <c r="X5229">
        <v>0.99963239999999998</v>
      </c>
      <c r="Y5229">
        <v>-0.1943153</v>
      </c>
      <c r="Z5229">
        <v>3.4482810000000001E-3</v>
      </c>
      <c r="AA5229">
        <v>0.9809331</v>
      </c>
      <c r="AB5229">
        <v>29</v>
      </c>
      <c r="AC5229">
        <v>-122.7231</v>
      </c>
      <c r="AD5229">
        <v>3.7497400000000001</v>
      </c>
      <c r="AE5229">
        <v>-22.231100000000001</v>
      </c>
      <c r="AF5229">
        <v>-24.2800226747473</v>
      </c>
      <c r="AG5229">
        <v>3.7497400000000001</v>
      </c>
      <c r="AH5229">
        <v>122.219387014877</v>
      </c>
      <c r="AI5229">
        <v>88.276355889262504</v>
      </c>
      <c r="AJ5229">
        <v>101.23605366032299</v>
      </c>
      <c r="AK5229">
        <v>124.664183362529</v>
      </c>
      <c r="AL5229">
        <v>88.665773537627004</v>
      </c>
      <c r="AM5229">
        <v>89.204030796434793</v>
      </c>
      <c r="AN5229">
        <v>0.99999999171054799</v>
      </c>
    </row>
    <row r="5230" spans="1:40" x14ac:dyDescent="0.25">
      <c r="A5230" t="str">
        <f>"20190312160438651"</f>
        <v>20190312160438651</v>
      </c>
      <c r="B5230" t="str">
        <f>"1552377878639873"</f>
        <v>1552377878639873</v>
      </c>
      <c r="C5230" t="s">
        <v>40</v>
      </c>
      <c r="D5230">
        <v>4.3261430000000001</v>
      </c>
      <c r="E5230">
        <v>0.42014869999999999</v>
      </c>
      <c r="F5230" t="s">
        <v>97</v>
      </c>
      <c r="G5230">
        <v>-461.15519999999998</v>
      </c>
      <c r="H5230">
        <v>4.6671779999999998</v>
      </c>
      <c r="I5230">
        <v>119.8177</v>
      </c>
      <c r="J5230">
        <v>-338.59109999999998</v>
      </c>
      <c r="K5230">
        <v>1.109567</v>
      </c>
      <c r="L5230">
        <v>142.03799999999899</v>
      </c>
      <c r="M5230">
        <v>-0.99981540000000002</v>
      </c>
      <c r="N5230">
        <v>0</v>
      </c>
      <c r="O5230">
        <v>1.674279E-2</v>
      </c>
      <c r="P5230">
        <v>-0.99943510000000002</v>
      </c>
      <c r="Q5230">
        <v>1.3250390000000001E-2</v>
      </c>
      <c r="R5230">
        <v>3.088919E-2</v>
      </c>
      <c r="S5230">
        <v>-3.0173030000000001</v>
      </c>
      <c r="T5230">
        <v>8.7381120000000007E-2</v>
      </c>
      <c r="U5230">
        <v>-0.54565430000000004</v>
      </c>
      <c r="V5230">
        <v>1.4144759999999999E-2</v>
      </c>
      <c r="W5230">
        <v>2.2684840000000001E-2</v>
      </c>
      <c r="X5230">
        <v>0.99964260000000005</v>
      </c>
      <c r="Y5230">
        <v>-0.19432079999999999</v>
      </c>
      <c r="Z5230">
        <v>3.2716160000000002E-3</v>
      </c>
      <c r="AA5230">
        <v>0.98093260000000004</v>
      </c>
      <c r="AB5230">
        <v>29</v>
      </c>
      <c r="AC5230">
        <v>-122.5641</v>
      </c>
      <c r="AD5230">
        <v>3.5576110000000001</v>
      </c>
      <c r="AE5230">
        <v>-22.220299999999899</v>
      </c>
      <c r="AF5230">
        <v>-24.249560195303602</v>
      </c>
      <c r="AG5230">
        <v>3.5576110000000001</v>
      </c>
      <c r="AH5230">
        <v>122.075292006849</v>
      </c>
      <c r="AI5230">
        <v>88.362688612920493</v>
      </c>
      <c r="AJ5230">
        <v>101.23522435421</v>
      </c>
      <c r="AK5230">
        <v>124.51134359668001</v>
      </c>
      <c r="AL5230">
        <v>88.700142910533998</v>
      </c>
      <c r="AM5230">
        <v>89.189329297281404</v>
      </c>
      <c r="AN5230">
        <v>1.00000000196802</v>
      </c>
    </row>
    <row r="5231" spans="1:40" x14ac:dyDescent="0.25">
      <c r="A5231" t="str">
        <f>"20190312160438665"</f>
        <v>20190312160438665</v>
      </c>
      <c r="B5231" t="str">
        <f>"1552377878660369"</f>
        <v>1552377878660369</v>
      </c>
      <c r="C5231" t="s">
        <v>40</v>
      </c>
      <c r="D5231">
        <v>4.3606720000000001</v>
      </c>
      <c r="E5231">
        <v>0.42017719999999997</v>
      </c>
      <c r="F5231" t="s">
        <v>97</v>
      </c>
      <c r="G5231">
        <v>-461.62450000000001</v>
      </c>
      <c r="H5231">
        <v>4.5332420000000004</v>
      </c>
      <c r="I5231">
        <v>119.8177</v>
      </c>
      <c r="J5231">
        <v>-338.77780000000001</v>
      </c>
      <c r="K5231">
        <v>1.109564</v>
      </c>
      <c r="L5231">
        <v>142.0411</v>
      </c>
      <c r="M5231">
        <v>-0.99981719999999996</v>
      </c>
      <c r="N5231">
        <v>0</v>
      </c>
      <c r="O5231">
        <v>1.6638940000000001E-2</v>
      </c>
      <c r="P5231">
        <v>-0.99943919999999997</v>
      </c>
      <c r="Q5231">
        <v>1.3084520000000001E-2</v>
      </c>
      <c r="R5231">
        <v>3.0830320000000001E-2</v>
      </c>
      <c r="S5231">
        <v>-3.017395</v>
      </c>
      <c r="T5231">
        <v>8.3966260000000001E-2</v>
      </c>
      <c r="U5231">
        <v>-0.5449524</v>
      </c>
      <c r="V5231">
        <v>1.4189709999999999E-2</v>
      </c>
      <c r="W5231">
        <v>2.2522279999999999E-2</v>
      </c>
      <c r="X5231">
        <v>0.99964569999999997</v>
      </c>
      <c r="Y5231">
        <v>-0.19399939999999999</v>
      </c>
      <c r="Z5231">
        <v>3.1364769999999999E-3</v>
      </c>
      <c r="AA5231">
        <v>0.9809966</v>
      </c>
      <c r="AB5231">
        <v>29</v>
      </c>
      <c r="AC5231">
        <v>-122.8467</v>
      </c>
      <c r="AD5231">
        <v>3.4236780000000002</v>
      </c>
      <c r="AE5231">
        <v>-22.223400000000002</v>
      </c>
      <c r="AF5231">
        <v>-24.246217233831601</v>
      </c>
      <c r="AG5231">
        <v>3.4236780000000002</v>
      </c>
      <c r="AH5231">
        <v>122.367869299801</v>
      </c>
      <c r="AI5231">
        <v>88.427911537622705</v>
      </c>
      <c r="AJ5231">
        <v>101.207536177078</v>
      </c>
      <c r="AK5231">
        <v>124.793814182318</v>
      </c>
      <c r="AL5231">
        <v>88.709459371811803</v>
      </c>
      <c r="AM5231">
        <v>89.186755970188301</v>
      </c>
      <c r="AN5231">
        <v>1.00000006324738</v>
      </c>
    </row>
    <row r="5232" spans="1:40" x14ac:dyDescent="0.25">
      <c r="A5232" t="str">
        <f>"20190312160438684"</f>
        <v>20190312160438684</v>
      </c>
      <c r="B5232" t="str">
        <f>"1552377878679889"</f>
        <v>1552377878679889</v>
      </c>
      <c r="C5232" t="s">
        <v>40</v>
      </c>
      <c r="D5232">
        <v>4.3923800000000002</v>
      </c>
      <c r="E5232">
        <v>0.4201685</v>
      </c>
      <c r="F5232" t="s">
        <v>97</v>
      </c>
      <c r="G5232">
        <v>-461.84519999999998</v>
      </c>
      <c r="H5232">
        <v>4.4713729999999998</v>
      </c>
      <c r="I5232">
        <v>119.8177</v>
      </c>
      <c r="J5232">
        <v>-339.02480000000003</v>
      </c>
      <c r="K5232">
        <v>1.109564</v>
      </c>
      <c r="L5232">
        <v>142.04499999999999</v>
      </c>
      <c r="M5232">
        <v>-0.99981929999999997</v>
      </c>
      <c r="N5232">
        <v>0</v>
      </c>
      <c r="O5232">
        <v>1.6501829999999999E-2</v>
      </c>
      <c r="P5232">
        <v>-0.99943700000000002</v>
      </c>
      <c r="Q5232">
        <v>1.310157E-2</v>
      </c>
      <c r="R5232">
        <v>3.0894330000000001E-2</v>
      </c>
      <c r="S5232">
        <v>-3.017395</v>
      </c>
      <c r="T5232">
        <v>8.2426189999999996E-2</v>
      </c>
      <c r="U5232">
        <v>-0.54487609999999997</v>
      </c>
      <c r="V5232">
        <v>1.4391040000000001E-2</v>
      </c>
      <c r="W5232">
        <v>2.2543259999999999E-2</v>
      </c>
      <c r="X5232">
        <v>0.99964229999999998</v>
      </c>
      <c r="Y5232">
        <v>-0.19384390000000001</v>
      </c>
      <c r="Z5232">
        <v>3.0731529999999999E-3</v>
      </c>
      <c r="AA5232">
        <v>0.9810276</v>
      </c>
      <c r="AB5232">
        <v>29</v>
      </c>
      <c r="AC5232">
        <v>-122.820399999999</v>
      </c>
      <c r="AD5232">
        <v>3.361809</v>
      </c>
      <c r="AE5232">
        <v>-22.2272999999999</v>
      </c>
      <c r="AF5232">
        <v>-24.233544484329499</v>
      </c>
      <c r="AG5232">
        <v>3.361809</v>
      </c>
      <c r="AH5232">
        <v>122.348109493289</v>
      </c>
      <c r="AI5232">
        <v>88.456036495087005</v>
      </c>
      <c r="AJ5232">
        <v>101.203589903476</v>
      </c>
      <c r="AK5232">
        <v>124.770294279561</v>
      </c>
      <c r="AL5232">
        <v>88.708256937889104</v>
      </c>
      <c r="AM5232">
        <v>89.175216075354996</v>
      </c>
      <c r="AN5232">
        <v>1.00000001427649</v>
      </c>
    </row>
    <row r="5233" spans="1:40" x14ac:dyDescent="0.25">
      <c r="A5233" t="str">
        <f>"20190312160438707"</f>
        <v>20190312160438707</v>
      </c>
      <c r="B5233" t="str">
        <f>"1552377878700385"</f>
        <v>1552377878700385</v>
      </c>
      <c r="C5233" t="s">
        <v>40</v>
      </c>
      <c r="D5233">
        <v>4.3565050000000003</v>
      </c>
      <c r="E5233">
        <v>0.42011900000000002</v>
      </c>
      <c r="F5233" t="s">
        <v>97</v>
      </c>
      <c r="G5233">
        <v>-462.14890000000003</v>
      </c>
      <c r="H5233">
        <v>4.3871820000000001</v>
      </c>
      <c r="I5233">
        <v>119.8177</v>
      </c>
      <c r="J5233">
        <v>-339.31060000000002</v>
      </c>
      <c r="K5233">
        <v>1.1095649999999999</v>
      </c>
      <c r="L5233">
        <v>142.04949999999999</v>
      </c>
      <c r="M5233">
        <v>-0.99982190000000004</v>
      </c>
      <c r="N5233">
        <v>0</v>
      </c>
      <c r="O5233">
        <v>1.6343139999999999E-2</v>
      </c>
      <c r="P5233">
        <v>-0.99945070000000003</v>
      </c>
      <c r="Q5233">
        <v>1.300898E-2</v>
      </c>
      <c r="R5233">
        <v>3.0481089999999999E-2</v>
      </c>
      <c r="S5233">
        <v>-3.017487</v>
      </c>
      <c r="T5233">
        <v>8.0327389999999999E-2</v>
      </c>
      <c r="U5233">
        <v>-0.54473879999999997</v>
      </c>
      <c r="V5233">
        <v>1.413611E-2</v>
      </c>
      <c r="W5233">
        <v>2.2455070000000001E-2</v>
      </c>
      <c r="X5233">
        <v>0.99964790000000003</v>
      </c>
      <c r="Y5233">
        <v>-0.1936437</v>
      </c>
      <c r="Z5233">
        <v>2.988016E-3</v>
      </c>
      <c r="AA5233">
        <v>0.98106740000000003</v>
      </c>
      <c r="AB5233">
        <v>29</v>
      </c>
      <c r="AC5233">
        <v>-122.8383</v>
      </c>
      <c r="AD5233">
        <v>3.2776169999999998</v>
      </c>
      <c r="AE5233">
        <v>-22.2318</v>
      </c>
      <c r="AF5233">
        <v>-24.2197870910984</v>
      </c>
      <c r="AG5233">
        <v>3.2776169999999998</v>
      </c>
      <c r="AH5233">
        <v>122.374178002454</v>
      </c>
      <c r="AI5233">
        <v>88.494961177505701</v>
      </c>
      <c r="AJ5233">
        <v>101.19506533237499</v>
      </c>
      <c r="AK5233">
        <v>124.79094639321001</v>
      </c>
      <c r="AL5233">
        <v>88.713311103194499</v>
      </c>
      <c r="AM5233">
        <v>89.189829278651104</v>
      </c>
      <c r="AN5233">
        <v>0.99999999187452304</v>
      </c>
    </row>
    <row r="5234" spans="1:40" x14ac:dyDescent="0.25">
      <c r="A5234" t="str">
        <f>"20190312160438728"</f>
        <v>20190312160438728</v>
      </c>
      <c r="B5234" t="str">
        <f>"1552377878719907"</f>
        <v>1552377878719907</v>
      </c>
      <c r="C5234" t="s">
        <v>40</v>
      </c>
      <c r="D5234">
        <v>4.413945</v>
      </c>
      <c r="E5234">
        <v>0.4201163</v>
      </c>
      <c r="F5234" t="s">
        <v>97</v>
      </c>
      <c r="G5234">
        <v>-462.08429999999998</v>
      </c>
      <c r="H5234">
        <v>4.2995559999999999</v>
      </c>
      <c r="I5234">
        <v>119.8177</v>
      </c>
      <c r="J5234">
        <v>-339.58960000000002</v>
      </c>
      <c r="K5234">
        <v>1.1095649999999999</v>
      </c>
      <c r="L5234">
        <v>142.0539</v>
      </c>
      <c r="M5234">
        <v>-0.99982439999999995</v>
      </c>
      <c r="N5234">
        <v>0</v>
      </c>
      <c r="O5234">
        <v>1.618762E-2</v>
      </c>
      <c r="P5234">
        <v>-0.99947490000000005</v>
      </c>
      <c r="Q5234">
        <v>1.271338E-2</v>
      </c>
      <c r="R5234">
        <v>2.9806220000000001E-2</v>
      </c>
      <c r="S5234">
        <v>-3.0173030000000001</v>
      </c>
      <c r="T5234">
        <v>7.8398229999999999E-2</v>
      </c>
      <c r="U5234">
        <v>-0.54637150000000001</v>
      </c>
      <c r="V5234">
        <v>1.3616629999999999E-2</v>
      </c>
      <c r="W5234">
        <v>2.2164260000000002E-2</v>
      </c>
      <c r="X5234">
        <v>0.99966160000000004</v>
      </c>
      <c r="Y5234">
        <v>-0.19401889999999999</v>
      </c>
      <c r="Z5234">
        <v>2.9171380000000001E-3</v>
      </c>
      <c r="AA5234">
        <v>0.98099340000000002</v>
      </c>
      <c r="AB5234">
        <v>29</v>
      </c>
      <c r="AC5234">
        <v>-122.494699999999</v>
      </c>
      <c r="AD5234">
        <v>3.189991</v>
      </c>
      <c r="AE5234">
        <v>-22.2362</v>
      </c>
      <c r="AF5234">
        <v>-24.2003835790556</v>
      </c>
      <c r="AG5234">
        <v>3.189991</v>
      </c>
      <c r="AH5234">
        <v>122.038557405162</v>
      </c>
      <c r="AI5234">
        <v>88.531261284007002</v>
      </c>
      <c r="AJ5234">
        <v>101.21630754443299</v>
      </c>
      <c r="AK5234">
        <v>124.455791755492</v>
      </c>
      <c r="AL5234">
        <v>88.729977435741006</v>
      </c>
      <c r="AM5234">
        <v>89.219608730804694</v>
      </c>
      <c r="AN5234">
        <v>0.99999999077423196</v>
      </c>
    </row>
    <row r="5235" spans="1:40" x14ac:dyDescent="0.25">
      <c r="A5235" t="str">
        <f>"20190312160438742"</f>
        <v>20190312160438742</v>
      </c>
      <c r="B5235" t="str">
        <f>"1552377878730641"</f>
        <v>1552377878730641</v>
      </c>
      <c r="C5235" t="s">
        <v>40</v>
      </c>
      <c r="D5235">
        <v>4.4108549999999997</v>
      </c>
      <c r="E5235">
        <v>0.42011979999999999</v>
      </c>
      <c r="F5235" t="s">
        <v>97</v>
      </c>
      <c r="G5235">
        <v>-461.923</v>
      </c>
      <c r="H5235">
        <v>4.1710129999999896</v>
      </c>
      <c r="I5235">
        <v>119.8177</v>
      </c>
      <c r="J5235">
        <v>-339.76819999999998</v>
      </c>
      <c r="K5235">
        <v>1.109564</v>
      </c>
      <c r="L5235">
        <v>142.05670000000001</v>
      </c>
      <c r="M5235">
        <v>-0.99982599999999999</v>
      </c>
      <c r="N5235">
        <v>0</v>
      </c>
      <c r="O5235">
        <v>1.6088479999999999E-2</v>
      </c>
      <c r="P5235">
        <v>-0.99948599999999999</v>
      </c>
      <c r="Q5235">
        <v>1.229122E-2</v>
      </c>
      <c r="R5235">
        <v>2.9612320000000001E-2</v>
      </c>
      <c r="S5235">
        <v>-3.0169679999999999</v>
      </c>
      <c r="T5235">
        <v>7.5501559999999995E-2</v>
      </c>
      <c r="U5235">
        <v>-0.54838560000000003</v>
      </c>
      <c r="V5235">
        <v>1.352192E-2</v>
      </c>
      <c r="W5235">
        <v>2.1745230000000001E-2</v>
      </c>
      <c r="X5235">
        <v>0.99967209999999995</v>
      </c>
      <c r="Y5235">
        <v>-0.19457959999999999</v>
      </c>
      <c r="Z5235">
        <v>2.8140280000000001E-3</v>
      </c>
      <c r="AA5235">
        <v>0.9808827</v>
      </c>
      <c r="AB5235">
        <v>29</v>
      </c>
      <c r="AC5235">
        <v>-122.15479999999999</v>
      </c>
      <c r="AD5235">
        <v>3.0614490000000001</v>
      </c>
      <c r="AE5235">
        <v>-22.239000000000001</v>
      </c>
      <c r="AF5235">
        <v>-24.186789542648601</v>
      </c>
      <c r="AG5235">
        <v>3.0614490000000001</v>
      </c>
      <c r="AH5235">
        <v>121.70718810323299</v>
      </c>
      <c r="AI5235">
        <v>88.586699605255603</v>
      </c>
      <c r="AJ5235">
        <v>101.239912247568</v>
      </c>
      <c r="AK5235">
        <v>124.124989000425</v>
      </c>
      <c r="AL5235">
        <v>88.753991889465098</v>
      </c>
      <c r="AM5235">
        <v>89.225044189836495</v>
      </c>
      <c r="AN5235">
        <v>1.00000000243332</v>
      </c>
    </row>
    <row r="5236" spans="1:40" x14ac:dyDescent="0.25">
      <c r="A5236" t="str">
        <f>"20190312160438755"</f>
        <v>20190312160438755</v>
      </c>
      <c r="B5236" t="str">
        <f>"1552377878750163"</f>
        <v>1552377878750163</v>
      </c>
      <c r="C5236" t="s">
        <v>40</v>
      </c>
      <c r="D5236">
        <v>4.4614929999999999</v>
      </c>
      <c r="E5236">
        <v>0.42014000000000001</v>
      </c>
      <c r="F5236" t="s">
        <v>97</v>
      </c>
      <c r="G5236">
        <v>-462.00560000000002</v>
      </c>
      <c r="H5236">
        <v>4.082687</v>
      </c>
      <c r="I5236">
        <v>119.8177</v>
      </c>
      <c r="J5236">
        <v>-339.9307</v>
      </c>
      <c r="K5236">
        <v>1.1095630000000001</v>
      </c>
      <c r="L5236">
        <v>142.0592</v>
      </c>
      <c r="M5236">
        <v>-0.99982729999999997</v>
      </c>
      <c r="N5236">
        <v>0</v>
      </c>
      <c r="O5236">
        <v>1.599828E-2</v>
      </c>
      <c r="P5236">
        <v>-0.99949619999999995</v>
      </c>
      <c r="Q5236">
        <v>1.2131660000000001E-2</v>
      </c>
      <c r="R5236">
        <v>2.9328320000000001E-2</v>
      </c>
      <c r="S5236">
        <v>-3.0169069999999998</v>
      </c>
      <c r="T5236">
        <v>7.3379399999999997E-2</v>
      </c>
      <c r="U5236">
        <v>-0.54887390000000003</v>
      </c>
      <c r="V5236">
        <v>1.332798E-2</v>
      </c>
      <c r="W5236">
        <v>2.15879E-2</v>
      </c>
      <c r="X5236">
        <v>0.99967810000000001</v>
      </c>
      <c r="Y5236">
        <v>-0.19465189999999999</v>
      </c>
      <c r="Z5236">
        <v>2.7336650000000001E-3</v>
      </c>
      <c r="AA5236">
        <v>0.98086859999999998</v>
      </c>
      <c r="AB5236">
        <v>29</v>
      </c>
      <c r="AC5236">
        <v>-122.0749</v>
      </c>
      <c r="AD5236">
        <v>2.9731239999999999</v>
      </c>
      <c r="AE5236">
        <v>-22.241499999999998</v>
      </c>
      <c r="AF5236">
        <v>-24.1778484133565</v>
      </c>
      <c r="AG5236">
        <v>2.9731239999999999</v>
      </c>
      <c r="AH5236">
        <v>121.633603327399</v>
      </c>
      <c r="AI5236">
        <v>88.626640739454402</v>
      </c>
      <c r="AJ5236">
        <v>101.24248720186</v>
      </c>
      <c r="AK5236">
        <v>124.04894710809</v>
      </c>
      <c r="AL5236">
        <v>88.763008333239</v>
      </c>
      <c r="AM5236">
        <v>89.236162357760307</v>
      </c>
      <c r="AN5236">
        <v>0.99999998804845003</v>
      </c>
    </row>
    <row r="5237" spans="1:40" x14ac:dyDescent="0.25">
      <c r="A5237" t="str">
        <f>"20190312160438766"</f>
        <v>20190312160438766</v>
      </c>
      <c r="B5237" t="str">
        <f>"1552377878759922"</f>
        <v>1552377878759922</v>
      </c>
      <c r="C5237" t="s">
        <v>40</v>
      </c>
      <c r="D5237">
        <v>4.474259</v>
      </c>
      <c r="E5237">
        <v>0.4201162</v>
      </c>
      <c r="F5237" t="s">
        <v>97</v>
      </c>
      <c r="G5237">
        <v>-462.03660000000002</v>
      </c>
      <c r="H5237">
        <v>3.9862039999999999</v>
      </c>
      <c r="I5237">
        <v>119.8177</v>
      </c>
      <c r="J5237">
        <v>-340.08300000000003</v>
      </c>
      <c r="K5237">
        <v>1.109564</v>
      </c>
      <c r="L5237">
        <v>142.0616</v>
      </c>
      <c r="M5237">
        <v>-0.99982879999999996</v>
      </c>
      <c r="N5237">
        <v>0</v>
      </c>
      <c r="O5237">
        <v>1.5913690000000001E-2</v>
      </c>
      <c r="P5237">
        <v>-0.99950450000000002</v>
      </c>
      <c r="Q5237">
        <v>1.1968019999999999E-2</v>
      </c>
      <c r="R5237">
        <v>2.9118660000000001E-2</v>
      </c>
      <c r="S5237">
        <v>-3.0167540000000002</v>
      </c>
      <c r="T5237">
        <v>7.1071029999999993E-2</v>
      </c>
      <c r="U5237">
        <v>-0.54949950000000003</v>
      </c>
      <c r="V5237">
        <v>1.3202820000000001E-2</v>
      </c>
      <c r="W5237">
        <v>2.1426770000000001E-2</v>
      </c>
      <c r="X5237">
        <v>0.99968330000000005</v>
      </c>
      <c r="Y5237">
        <v>-0.19477820000000001</v>
      </c>
      <c r="Z5237">
        <v>2.6472739999999998E-3</v>
      </c>
      <c r="AA5237">
        <v>0.98084369999999999</v>
      </c>
      <c r="AB5237">
        <v>29</v>
      </c>
      <c r="AC5237">
        <v>-121.95359999999999</v>
      </c>
      <c r="AD5237">
        <v>2.8766400000000001</v>
      </c>
      <c r="AE5237">
        <v>-22.2439</v>
      </c>
      <c r="AF5237">
        <v>-24.168886827859701</v>
      </c>
      <c r="AG5237">
        <v>2.8766400000000001</v>
      </c>
      <c r="AH5237">
        <v>121.518721983614</v>
      </c>
      <c r="AI5237">
        <v>88.669966088458594</v>
      </c>
      <c r="AJ5237">
        <v>101.248780010578</v>
      </c>
      <c r="AK5237">
        <v>123.932279655941</v>
      </c>
      <c r="AL5237">
        <v>88.772242627377693</v>
      </c>
      <c r="AM5237">
        <v>89.243338479188793</v>
      </c>
      <c r="AN5237">
        <v>1.00000006061373</v>
      </c>
    </row>
    <row r="5238" spans="1:40" x14ac:dyDescent="0.25">
      <c r="A5238" t="str">
        <f>"20190312160438778"</f>
        <v>20190312160438778</v>
      </c>
      <c r="B5238" t="str">
        <f>"1552377878770657"</f>
        <v>1552377878770657</v>
      </c>
      <c r="C5238" t="s">
        <v>40</v>
      </c>
      <c r="D5238">
        <v>4.476877</v>
      </c>
      <c r="E5238">
        <v>0.42012460000000001</v>
      </c>
      <c r="F5238" t="s">
        <v>97</v>
      </c>
      <c r="G5238">
        <v>-462.01650000000001</v>
      </c>
      <c r="H5238">
        <v>3.9342540000000001</v>
      </c>
      <c r="I5238">
        <v>119.8177</v>
      </c>
      <c r="J5238">
        <v>-340.22629999999998</v>
      </c>
      <c r="K5238">
        <v>1.109561</v>
      </c>
      <c r="L5238">
        <v>142.06379999999999</v>
      </c>
      <c r="M5238">
        <v>-0.99983</v>
      </c>
      <c r="N5238">
        <v>0</v>
      </c>
      <c r="O5238">
        <v>1.5833570000000002E-2</v>
      </c>
      <c r="P5238">
        <v>-0.99950799999999995</v>
      </c>
      <c r="Q5238">
        <v>1.199976E-2</v>
      </c>
      <c r="R5238">
        <v>2.8987389999999998E-2</v>
      </c>
      <c r="S5238">
        <v>-3.0166930000000001</v>
      </c>
      <c r="T5238">
        <v>6.9884779999999994E-2</v>
      </c>
      <c r="U5238">
        <v>-0.55032349999999997</v>
      </c>
      <c r="V5238">
        <v>1.3151609999999999E-2</v>
      </c>
      <c r="W5238">
        <v>2.146062E-2</v>
      </c>
      <c r="X5238">
        <v>0.99968319999999999</v>
      </c>
      <c r="Y5238">
        <v>-0.1949642</v>
      </c>
      <c r="Z5238">
        <v>2.6033839999999998E-3</v>
      </c>
      <c r="AA5238">
        <v>0.98080690000000004</v>
      </c>
      <c r="AB5238">
        <v>29</v>
      </c>
      <c r="AC5238">
        <v>-121.7902</v>
      </c>
      <c r="AD5238">
        <v>2.8246929999999999</v>
      </c>
      <c r="AE5238">
        <v>-22.246099999999899</v>
      </c>
      <c r="AF5238">
        <v>-24.159194617709801</v>
      </c>
      <c r="AG5238">
        <v>2.8246929999999999</v>
      </c>
      <c r="AH5238">
        <v>121.359506291146</v>
      </c>
      <c r="AI5238">
        <v>88.692308221198303</v>
      </c>
      <c r="AJ5238">
        <v>101.25875928859401</v>
      </c>
      <c r="AK5238">
        <v>123.77308003904299</v>
      </c>
      <c r="AL5238">
        <v>88.770302659144605</v>
      </c>
      <c r="AM5238">
        <v>89.246272940325397</v>
      </c>
      <c r="AN5238">
        <v>1.0000000117093</v>
      </c>
    </row>
    <row r="5239" spans="1:40" x14ac:dyDescent="0.25">
      <c r="A5239" t="str">
        <f>"20190312160438791"</f>
        <v>20190312160438791</v>
      </c>
      <c r="B5239" t="str">
        <f>"1552377878780419"</f>
        <v>1552377878780419</v>
      </c>
      <c r="C5239" t="s">
        <v>40</v>
      </c>
      <c r="D5239">
        <v>4.5175109999999998</v>
      </c>
      <c r="E5239">
        <v>0.4200603</v>
      </c>
      <c r="F5239" t="s">
        <v>97</v>
      </c>
      <c r="G5239">
        <v>-462.10169999999999</v>
      </c>
      <c r="H5239">
        <v>3.8886690000000002</v>
      </c>
      <c r="I5239">
        <v>119.8177</v>
      </c>
      <c r="J5239">
        <v>-340.39109999999999</v>
      </c>
      <c r="K5239">
        <v>1.109561</v>
      </c>
      <c r="L5239">
        <v>142.06630000000001</v>
      </c>
      <c r="M5239">
        <v>-0.99983129999999998</v>
      </c>
      <c r="N5239">
        <v>0</v>
      </c>
      <c r="O5239">
        <v>1.5741339999999999E-2</v>
      </c>
      <c r="P5239">
        <v>-0.99951460000000003</v>
      </c>
      <c r="Q5239">
        <v>1.1931010000000001E-2</v>
      </c>
      <c r="R5239">
        <v>2.8780360000000001E-2</v>
      </c>
      <c r="S5239">
        <v>-3.016632</v>
      </c>
      <c r="T5239">
        <v>6.8788409999999994E-2</v>
      </c>
      <c r="U5239">
        <v>-0.55062869999999997</v>
      </c>
      <c r="V5239">
        <v>1.303675E-2</v>
      </c>
      <c r="W5239">
        <v>2.139483E-2</v>
      </c>
      <c r="X5239">
        <v>0.99968610000000002</v>
      </c>
      <c r="Y5239">
        <v>-0.19497500000000001</v>
      </c>
      <c r="Z5239">
        <v>2.5606140000000001E-3</v>
      </c>
      <c r="AA5239">
        <v>0.98080489999999998</v>
      </c>
      <c r="AB5239">
        <v>29</v>
      </c>
      <c r="AC5239">
        <v>-121.7106</v>
      </c>
      <c r="AD5239">
        <v>2.7791079999999999</v>
      </c>
      <c r="AE5239">
        <v>-22.2486</v>
      </c>
      <c r="AF5239">
        <v>-24.149632859199802</v>
      </c>
      <c r="AG5239">
        <v>2.7791079999999999</v>
      </c>
      <c r="AH5239">
        <v>121.284089585507</v>
      </c>
      <c r="AI5239">
        <v>88.712615965854496</v>
      </c>
      <c r="AJ5239">
        <v>101.26123645946799</v>
      </c>
      <c r="AK5239">
        <v>123.69623516944699</v>
      </c>
      <c r="AL5239">
        <v>88.774072996156093</v>
      </c>
      <c r="AM5239">
        <v>89.252857056987594</v>
      </c>
      <c r="AN5239">
        <v>0.99999999706724996</v>
      </c>
    </row>
    <row r="5240" spans="1:40" x14ac:dyDescent="0.25">
      <c r="A5240" t="str">
        <f>"20190312160438802"</f>
        <v>20190312160438802</v>
      </c>
      <c r="B5240" t="str">
        <f>"1552377878790179"</f>
        <v>1552377878790179</v>
      </c>
      <c r="C5240" t="s">
        <v>40</v>
      </c>
      <c r="D5240">
        <v>4.4926680000000001</v>
      </c>
      <c r="E5240">
        <v>0.42006120000000002</v>
      </c>
      <c r="F5240" t="s">
        <v>97</v>
      </c>
      <c r="G5240">
        <v>-462.02269999999999</v>
      </c>
      <c r="H5240">
        <v>3.8478669999999999</v>
      </c>
      <c r="I5240">
        <v>119.8177</v>
      </c>
      <c r="J5240">
        <v>-340.55459999999999</v>
      </c>
      <c r="K5240">
        <v>1.1095619999999999</v>
      </c>
      <c r="L5240">
        <v>142.06880000000001</v>
      </c>
      <c r="M5240">
        <v>-0.99983279999999997</v>
      </c>
      <c r="N5240">
        <v>0</v>
      </c>
      <c r="O5240">
        <v>1.564917E-2</v>
      </c>
      <c r="P5240">
        <v>-0.99951460000000003</v>
      </c>
      <c r="Q5240">
        <v>1.2135079999999999E-2</v>
      </c>
      <c r="R5240">
        <v>2.8696030000000001E-2</v>
      </c>
      <c r="S5240">
        <v>-3.0165099999999998</v>
      </c>
      <c r="T5240">
        <v>6.7911620000000006E-2</v>
      </c>
      <c r="U5240">
        <v>-0.55177310000000002</v>
      </c>
      <c r="V5240">
        <v>1.3044399999999999E-2</v>
      </c>
      <c r="W5240">
        <v>2.1601260000000001E-2</v>
      </c>
      <c r="X5240">
        <v>0.99968159999999895</v>
      </c>
      <c r="Y5240">
        <v>-0.19525300000000001</v>
      </c>
      <c r="Z5240">
        <v>2.5290439999999998E-3</v>
      </c>
      <c r="AA5240">
        <v>0.98074969999999995</v>
      </c>
      <c r="AB5240">
        <v>29</v>
      </c>
      <c r="AC5240">
        <v>-121.46810000000001</v>
      </c>
      <c r="AD5240">
        <v>2.7383049999999902</v>
      </c>
      <c r="AE5240">
        <v>-22.251100000000001</v>
      </c>
      <c r="AF5240">
        <v>-24.137466453984199</v>
      </c>
      <c r="AG5240">
        <v>2.7383049999999902</v>
      </c>
      <c r="AH5240">
        <v>121.045478672654</v>
      </c>
      <c r="AI5240">
        <v>88.729082592062596</v>
      </c>
      <c r="AJ5240">
        <v>101.277327738008</v>
      </c>
      <c r="AK5240">
        <v>123.45899525017199</v>
      </c>
      <c r="AL5240">
        <v>88.762242742548693</v>
      </c>
      <c r="AM5240">
        <v>89.252415316434707</v>
      </c>
      <c r="AN5240">
        <v>1.00000003609175</v>
      </c>
    </row>
    <row r="5241" spans="1:40" x14ac:dyDescent="0.25">
      <c r="A5241" t="str">
        <f>"20190312160438819"</f>
        <v>20190312160438819</v>
      </c>
      <c r="B5241" t="str">
        <f>"1552377878810675"</f>
        <v>1552377878810675</v>
      </c>
      <c r="C5241" t="s">
        <v>40</v>
      </c>
      <c r="D5241">
        <v>4.5432540000000001</v>
      </c>
      <c r="E5241">
        <v>0.4201433</v>
      </c>
      <c r="F5241" t="s">
        <v>97</v>
      </c>
      <c r="G5241">
        <v>-462.17149999999998</v>
      </c>
      <c r="H5241">
        <v>3.8263560000000001</v>
      </c>
      <c r="I5241">
        <v>119.8177</v>
      </c>
      <c r="J5241">
        <v>-340.75699999999898</v>
      </c>
      <c r="K5241">
        <v>1.1095630000000001</v>
      </c>
      <c r="L5241">
        <v>142.0719</v>
      </c>
      <c r="M5241">
        <v>-0.99983449999999996</v>
      </c>
      <c r="N5241">
        <v>0</v>
      </c>
      <c r="O5241">
        <v>1.553477E-2</v>
      </c>
      <c r="P5241">
        <v>-0.99951710000000005</v>
      </c>
      <c r="Q5241">
        <v>1.250617E-2</v>
      </c>
      <c r="R5241">
        <v>2.84446E-2</v>
      </c>
      <c r="S5241">
        <v>-3.0164789999999999</v>
      </c>
      <c r="T5241">
        <v>6.7385550000000002E-2</v>
      </c>
      <c r="U5241">
        <v>-0.55189509999999997</v>
      </c>
      <c r="V5241">
        <v>1.290723E-2</v>
      </c>
      <c r="W5241">
        <v>2.1975959999999999E-2</v>
      </c>
      <c r="X5241">
        <v>0.99967519999999999</v>
      </c>
      <c r="Y5241">
        <v>-0.19518170000000001</v>
      </c>
      <c r="Z5241">
        <v>2.5061490000000001E-3</v>
      </c>
      <c r="AA5241">
        <v>0.98076390000000002</v>
      </c>
      <c r="AB5241">
        <v>29</v>
      </c>
      <c r="AC5241">
        <v>-121.4145</v>
      </c>
      <c r="AD5241">
        <v>2.716793</v>
      </c>
      <c r="AE5241">
        <v>-22.254200000000001</v>
      </c>
      <c r="AF5241">
        <v>-24.126058057653399</v>
      </c>
      <c r="AG5241">
        <v>2.716793</v>
      </c>
      <c r="AH5241">
        <v>120.995505460313</v>
      </c>
      <c r="AI5241">
        <v>88.738540120508901</v>
      </c>
      <c r="AJ5241">
        <v>101.276670406995</v>
      </c>
      <c r="AK5241">
        <v>123.407293071369</v>
      </c>
      <c r="AL5241">
        <v>88.740768899548101</v>
      </c>
      <c r="AM5241">
        <v>89.260271022117607</v>
      </c>
      <c r="AN5241">
        <v>1.0000000224496099</v>
      </c>
    </row>
    <row r="5242" spans="1:40" x14ac:dyDescent="0.25">
      <c r="A5242" t="str">
        <f>"20190312160438840"</f>
        <v>20190312160438840</v>
      </c>
      <c r="B5242" t="str">
        <f>"1552377878830194"</f>
        <v>1552377878830194</v>
      </c>
      <c r="C5242" t="s">
        <v>40</v>
      </c>
      <c r="D5242">
        <v>4.5891380000000002</v>
      </c>
      <c r="E5242">
        <v>0.42012959999999999</v>
      </c>
      <c r="F5242" t="s">
        <v>97</v>
      </c>
      <c r="G5242">
        <v>-462.34969999999998</v>
      </c>
      <c r="H5242">
        <v>3.7739630000000002</v>
      </c>
      <c r="I5242">
        <v>119.8177</v>
      </c>
      <c r="J5242">
        <v>-341.041</v>
      </c>
      <c r="K5242">
        <v>1.1095630000000001</v>
      </c>
      <c r="L5242">
        <v>142.0761</v>
      </c>
      <c r="M5242">
        <v>-0.99983710000000003</v>
      </c>
      <c r="N5242">
        <v>0</v>
      </c>
      <c r="O5242">
        <v>1.537296E-2</v>
      </c>
      <c r="P5242">
        <v>-0.99951020000000002</v>
      </c>
      <c r="Q5242">
        <v>1.1897359999999999E-2</v>
      </c>
      <c r="R5242">
        <v>2.89529E-2</v>
      </c>
      <c r="S5242">
        <v>-3.0162960000000001</v>
      </c>
      <c r="T5242">
        <v>6.6095230000000005E-2</v>
      </c>
      <c r="U5242">
        <v>-0.55204770000000003</v>
      </c>
      <c r="V5242">
        <v>1.3577540000000001E-2</v>
      </c>
      <c r="W5242">
        <v>2.1371950000000001E-2</v>
      </c>
      <c r="X5242">
        <v>0.9996794</v>
      </c>
      <c r="Y5242">
        <v>-0.1950836</v>
      </c>
      <c r="Z5242">
        <v>2.4537220000000002E-3</v>
      </c>
      <c r="AA5242">
        <v>0.98078359999999998</v>
      </c>
      <c r="AB5242">
        <v>29</v>
      </c>
      <c r="AC5242">
        <v>-121.3087</v>
      </c>
      <c r="AD5242">
        <v>2.6644000000000001</v>
      </c>
      <c r="AE5242">
        <v>-22.258399999999899</v>
      </c>
      <c r="AF5242">
        <v>-24.109474867910301</v>
      </c>
      <c r="AG5242">
        <v>2.6644000000000001</v>
      </c>
      <c r="AH5242">
        <v>120.895749165182</v>
      </c>
      <c r="AI5242">
        <v>88.761845570434602</v>
      </c>
      <c r="AJ5242">
        <v>101.27817813231199</v>
      </c>
      <c r="AK5242">
        <v>123.305101159591</v>
      </c>
      <c r="AL5242">
        <v>88.775384234731206</v>
      </c>
      <c r="AM5242">
        <v>89.221862620404494</v>
      </c>
      <c r="AN5242">
        <v>1.0000000063118</v>
      </c>
    </row>
    <row r="5243" spans="1:40" x14ac:dyDescent="0.25">
      <c r="A5243" t="str">
        <f>"20190312160438863"</f>
        <v>20190312160438863</v>
      </c>
      <c r="B5243" t="str">
        <f>"1552377878850690"</f>
        <v>1552377878850690</v>
      </c>
      <c r="C5243" t="s">
        <v>40</v>
      </c>
      <c r="D5243">
        <v>4.5884460000000002</v>
      </c>
      <c r="E5243">
        <v>0.42010370000000002</v>
      </c>
      <c r="F5243" t="s">
        <v>97</v>
      </c>
      <c r="G5243">
        <v>-463.01220000000001</v>
      </c>
      <c r="H5243">
        <v>3.6260599999999998</v>
      </c>
      <c r="I5243">
        <v>119.8177</v>
      </c>
      <c r="J5243">
        <v>-341.32979999999998</v>
      </c>
      <c r="K5243">
        <v>1.109561</v>
      </c>
      <c r="L5243">
        <v>142.0804</v>
      </c>
      <c r="M5243">
        <v>-0.99983949999999999</v>
      </c>
      <c r="N5243">
        <v>0</v>
      </c>
      <c r="O5243">
        <v>1.520848E-2</v>
      </c>
      <c r="P5243">
        <v>-0.99950099999999997</v>
      </c>
      <c r="Q5243">
        <v>1.173417E-2</v>
      </c>
      <c r="R5243">
        <v>2.9332150000000001E-2</v>
      </c>
      <c r="S5243">
        <v>-3.0166629999999999</v>
      </c>
      <c r="T5243">
        <v>6.2240120000000003E-2</v>
      </c>
      <c r="U5243">
        <v>-0.55050659999999996</v>
      </c>
      <c r="V5243">
        <v>1.412133E-2</v>
      </c>
      <c r="W5243">
        <v>2.121367E-2</v>
      </c>
      <c r="X5243">
        <v>0.99967519999999999</v>
      </c>
      <c r="Y5243">
        <v>-0.19442200000000001</v>
      </c>
      <c r="Z5243">
        <v>2.3003289999999998E-3</v>
      </c>
      <c r="AA5243">
        <v>0.98091530000000005</v>
      </c>
      <c r="AB5243">
        <v>29</v>
      </c>
      <c r="AC5243">
        <v>-121.6824</v>
      </c>
      <c r="AD5243">
        <v>2.516499</v>
      </c>
      <c r="AE5243">
        <v>-22.262699999999899</v>
      </c>
      <c r="AF5243">
        <v>-24.100838259201499</v>
      </c>
      <c r="AG5243">
        <v>2.516499</v>
      </c>
      <c r="AH5243">
        <v>121.27953743254901</v>
      </c>
      <c r="AI5243">
        <v>88.834098889945494</v>
      </c>
      <c r="AJ5243">
        <v>101.23947388117401</v>
      </c>
      <c r="AK5243">
        <v>123.676632278965</v>
      </c>
      <c r="AL5243">
        <v>88.784455021365602</v>
      </c>
      <c r="AM5243">
        <v>89.190698338134297</v>
      </c>
      <c r="AN5243">
        <v>0.99999996862543805</v>
      </c>
    </row>
    <row r="5244" spans="1:40" x14ac:dyDescent="0.25">
      <c r="A5244" t="str">
        <f>"20190312160438878"</f>
        <v>20190312160438878</v>
      </c>
      <c r="B5244" t="str">
        <f>"1552377878870209"</f>
        <v>1552377878870209</v>
      </c>
      <c r="C5244" t="s">
        <v>40</v>
      </c>
      <c r="D5244">
        <v>4.6203969999999996</v>
      </c>
      <c r="E5244">
        <v>0.42004849999999999</v>
      </c>
      <c r="F5244" t="s">
        <v>97</v>
      </c>
      <c r="G5244">
        <v>-463.53530000000001</v>
      </c>
      <c r="H5244">
        <v>3.5197669999999999</v>
      </c>
      <c r="I5244">
        <v>119.8177</v>
      </c>
      <c r="J5244">
        <v>-341.53899999999999</v>
      </c>
      <c r="K5244">
        <v>1.1095600000000001</v>
      </c>
      <c r="L5244">
        <v>142.08340000000001</v>
      </c>
      <c r="M5244">
        <v>-0.99984130000000004</v>
      </c>
      <c r="N5244">
        <v>0</v>
      </c>
      <c r="O5244">
        <v>1.508865E-2</v>
      </c>
      <c r="P5244">
        <v>-0.99949889999999997</v>
      </c>
      <c r="Q5244">
        <v>1.2145639999999999E-2</v>
      </c>
      <c r="R5244">
        <v>2.923601E-2</v>
      </c>
      <c r="S5244">
        <v>-3.016937</v>
      </c>
      <c r="T5244">
        <v>5.9502359999999997E-2</v>
      </c>
      <c r="U5244">
        <v>-0.54960629999999999</v>
      </c>
      <c r="V5244">
        <v>1.414501E-2</v>
      </c>
      <c r="W5244">
        <v>2.162795E-2</v>
      </c>
      <c r="X5244">
        <v>0.99966600000000005</v>
      </c>
      <c r="Y5244">
        <v>-0.19400909999999999</v>
      </c>
      <c r="Z5244">
        <v>2.1926419999999999E-3</v>
      </c>
      <c r="AA5244">
        <v>0.98099729999999996</v>
      </c>
      <c r="AB5244">
        <v>29</v>
      </c>
      <c r="AC5244">
        <v>-121.99630000000001</v>
      </c>
      <c r="AD5244">
        <v>2.4102070000000002</v>
      </c>
      <c r="AE5244">
        <v>-22.265699999999999</v>
      </c>
      <c r="AF5244">
        <v>-24.0949056504612</v>
      </c>
      <c r="AG5244">
        <v>2.4102070000000002</v>
      </c>
      <c r="AH5244">
        <v>121.600503764805</v>
      </c>
      <c r="AI5244">
        <v>88.886156370575506</v>
      </c>
      <c r="AJ5244">
        <v>101.207869763484</v>
      </c>
      <c r="AK5244">
        <v>123.988128834747</v>
      </c>
      <c r="AL5244">
        <v>88.760713092051304</v>
      </c>
      <c r="AM5244">
        <v>89.189333944918999</v>
      </c>
      <c r="AN5244">
        <v>0.99999998054255101</v>
      </c>
    </row>
    <row r="5245" spans="1:40" x14ac:dyDescent="0.25">
      <c r="A5245" t="str">
        <f>"20190312160438896"</f>
        <v>20190312160438896</v>
      </c>
      <c r="B5245" t="str">
        <f>"1552377878890706"</f>
        <v>1552377878890706</v>
      </c>
      <c r="C5245" t="s">
        <v>40</v>
      </c>
      <c r="D5245">
        <v>4.6383669999999997</v>
      </c>
      <c r="E5245">
        <v>0.42003879999999999</v>
      </c>
      <c r="F5245" t="s">
        <v>97</v>
      </c>
      <c r="G5245">
        <v>-463.6198</v>
      </c>
      <c r="H5245">
        <v>3.4693969999999998</v>
      </c>
      <c r="I5245">
        <v>119.8177</v>
      </c>
      <c r="J5245">
        <v>-341.77069999999998</v>
      </c>
      <c r="K5245">
        <v>1.109561</v>
      </c>
      <c r="L5245">
        <v>142.08680000000001</v>
      </c>
      <c r="M5245">
        <v>-0.99984309999999998</v>
      </c>
      <c r="N5245">
        <v>0</v>
      </c>
      <c r="O5245">
        <v>1.495577E-2</v>
      </c>
      <c r="P5245">
        <v>-0.99951250000000003</v>
      </c>
      <c r="Q5245">
        <v>1.221709E-2</v>
      </c>
      <c r="R5245">
        <v>2.8729970000000001E-2</v>
      </c>
      <c r="S5245">
        <v>-3.0168759999999999</v>
      </c>
      <c r="T5245">
        <v>5.8317180000000003E-2</v>
      </c>
      <c r="U5245">
        <v>-0.5502319</v>
      </c>
      <c r="V5245">
        <v>1.3771469999999999E-2</v>
      </c>
      <c r="W5245">
        <v>2.170327E-2</v>
      </c>
      <c r="X5245">
        <v>0.99966960000000005</v>
      </c>
      <c r="Y5245">
        <v>-0.19408069999999999</v>
      </c>
      <c r="Z5245">
        <v>2.147117E-3</v>
      </c>
      <c r="AA5245">
        <v>0.98098320000000006</v>
      </c>
      <c r="AB5245">
        <v>29</v>
      </c>
      <c r="AC5245">
        <v>-121.84910000000001</v>
      </c>
      <c r="AD5245">
        <v>2.359836</v>
      </c>
      <c r="AE5245">
        <v>-22.269100000000002</v>
      </c>
      <c r="AF5245">
        <v>-24.080298321874398</v>
      </c>
      <c r="AG5245">
        <v>2.359836</v>
      </c>
      <c r="AH5245">
        <v>121.458320535007</v>
      </c>
      <c r="AI5245">
        <v>88.908175846485193</v>
      </c>
      <c r="AJ5245">
        <v>101.214027381539</v>
      </c>
      <c r="AK5245">
        <v>123.844875632388</v>
      </c>
      <c r="AL5245">
        <v>88.756396581414904</v>
      </c>
      <c r="AM5245">
        <v>89.210742029589497</v>
      </c>
      <c r="AN5245">
        <v>0.99999999723940602</v>
      </c>
    </row>
    <row r="5246" spans="1:40" x14ac:dyDescent="0.25">
      <c r="A5246" t="str">
        <f>"20190312160438912"</f>
        <v>20190312160438912</v>
      </c>
      <c r="B5246" t="str">
        <f>"1552377878900466"</f>
        <v>1552377878900466</v>
      </c>
      <c r="C5246" t="s">
        <v>40</v>
      </c>
      <c r="D5246">
        <v>4.6662480000000004</v>
      </c>
      <c r="E5246">
        <v>0.41999779999999998</v>
      </c>
      <c r="F5246" t="s">
        <v>97</v>
      </c>
      <c r="G5246">
        <v>-463.50760000000002</v>
      </c>
      <c r="H5246">
        <v>3.363137</v>
      </c>
      <c r="I5246">
        <v>119.8177</v>
      </c>
      <c r="J5246">
        <v>-341.96609999999998</v>
      </c>
      <c r="K5246">
        <v>1.109559</v>
      </c>
      <c r="L5246">
        <v>142.08959999999999</v>
      </c>
      <c r="M5246">
        <v>-0.99984490000000004</v>
      </c>
      <c r="N5246">
        <v>0</v>
      </c>
      <c r="O5246">
        <v>1.4843159999999999E-2</v>
      </c>
      <c r="P5246">
        <v>-0.9995231</v>
      </c>
      <c r="Q5246">
        <v>1.208E-2</v>
      </c>
      <c r="R5246">
        <v>2.8424870000000001E-2</v>
      </c>
      <c r="S5246">
        <v>-3.0166019999999998</v>
      </c>
      <c r="T5246">
        <v>5.5843469999999999E-2</v>
      </c>
      <c r="U5246">
        <v>-0.55181880000000005</v>
      </c>
      <c r="V5246">
        <v>1.3578979999999999E-2</v>
      </c>
      <c r="W5246">
        <v>2.1569319999999999E-2</v>
      </c>
      <c r="X5246">
        <v>0.99967519999999999</v>
      </c>
      <c r="Y5246">
        <v>-0.19448850000000001</v>
      </c>
      <c r="Z5246">
        <v>2.0578179999999999E-3</v>
      </c>
      <c r="AA5246">
        <v>0.98090270000000002</v>
      </c>
      <c r="AB5246">
        <v>29</v>
      </c>
      <c r="AC5246">
        <v>-121.5415</v>
      </c>
      <c r="AD5246">
        <v>2.2535780000000001</v>
      </c>
      <c r="AE5246">
        <v>-22.271899999999899</v>
      </c>
      <c r="AF5246">
        <v>-24.065582399825001</v>
      </c>
      <c r="AG5246">
        <v>2.2535780000000001</v>
      </c>
      <c r="AH5246">
        <v>121.157209168745</v>
      </c>
      <c r="AI5246">
        <v>88.954810373652904</v>
      </c>
      <c r="AJ5246">
        <v>101.234493754497</v>
      </c>
      <c r="AK5246">
        <v>123.544729566275</v>
      </c>
      <c r="AL5246">
        <v>88.764073231741307</v>
      </c>
      <c r="AM5246">
        <v>89.221776834061998</v>
      </c>
      <c r="AN5246">
        <v>1.0000000648790599</v>
      </c>
    </row>
    <row r="5247" spans="1:40" x14ac:dyDescent="0.25">
      <c r="A5247" t="str">
        <f>"20190312160438923"</f>
        <v>20190312160438923</v>
      </c>
      <c r="B5247" t="str">
        <f>"1552377878919988"</f>
        <v>1552377878919988</v>
      </c>
      <c r="C5247" t="s">
        <v>40</v>
      </c>
      <c r="D5247">
        <v>4.5317610000000004</v>
      </c>
      <c r="E5247">
        <v>0.41994959999999998</v>
      </c>
      <c r="F5247" t="s">
        <v>97</v>
      </c>
      <c r="G5247">
        <v>-463.43819999999999</v>
      </c>
      <c r="H5247">
        <v>3.3176899999999998</v>
      </c>
      <c r="I5247">
        <v>119.8177</v>
      </c>
      <c r="J5247">
        <v>-342.12549999999999</v>
      </c>
      <c r="K5247">
        <v>1.109558</v>
      </c>
      <c r="L5247">
        <v>142.09190000000001</v>
      </c>
      <c r="M5247">
        <v>-0.99984620000000002</v>
      </c>
      <c r="N5247">
        <v>0</v>
      </c>
      <c r="O5247">
        <v>1.4751480000000001E-2</v>
      </c>
      <c r="P5247">
        <v>-0.99952180000000002</v>
      </c>
      <c r="Q5247">
        <v>1.190941E-2</v>
      </c>
      <c r="R5247">
        <v>2.853574E-2</v>
      </c>
      <c r="S5247">
        <v>-3.0164789999999999</v>
      </c>
      <c r="T5247">
        <v>5.483449E-2</v>
      </c>
      <c r="U5247">
        <v>-0.55307010000000001</v>
      </c>
      <c r="V5247">
        <v>1.378134E-2</v>
      </c>
      <c r="W5247">
        <v>2.1401030000000001E-2</v>
      </c>
      <c r="X5247">
        <v>0.99967600000000001</v>
      </c>
      <c r="Y5247">
        <v>-0.19480040000000001</v>
      </c>
      <c r="Z5247">
        <v>2.021807E-3</v>
      </c>
      <c r="AA5247">
        <v>0.98084079999999996</v>
      </c>
      <c r="AB5247">
        <v>29</v>
      </c>
      <c r="AC5247">
        <v>-121.31270000000001</v>
      </c>
      <c r="AD5247">
        <v>2.208132</v>
      </c>
      <c r="AE5247">
        <v>-22.2742</v>
      </c>
      <c r="AF5247">
        <v>-24.053689144844402</v>
      </c>
      <c r="AG5247">
        <v>2.208132</v>
      </c>
      <c r="AH5247">
        <v>120.932147081837</v>
      </c>
      <c r="AI5247">
        <v>88.974030973039405</v>
      </c>
      <c r="AJ5247">
        <v>101.249448300224</v>
      </c>
      <c r="AK5247">
        <v>123.32088227964201</v>
      </c>
      <c r="AL5247">
        <v>88.773717705656594</v>
      </c>
      <c r="AM5247">
        <v>89.2101814966219</v>
      </c>
      <c r="AN5247">
        <v>1.0000000171966199</v>
      </c>
    </row>
    <row r="5248" spans="1:40" x14ac:dyDescent="0.25">
      <c r="A5248" t="str">
        <f>"20190312160438936"</f>
        <v>20190312160438936</v>
      </c>
      <c r="B5248" t="str">
        <f>"1552377878930722"</f>
        <v>1552377878930722</v>
      </c>
      <c r="C5248" t="s">
        <v>40</v>
      </c>
      <c r="D5248">
        <v>4.6834369999999996</v>
      </c>
      <c r="E5248">
        <v>0.41992239999999997</v>
      </c>
      <c r="F5248" t="s">
        <v>97</v>
      </c>
      <c r="G5248">
        <v>-463.62709999999998</v>
      </c>
      <c r="H5248">
        <v>3.2823380000000002</v>
      </c>
      <c r="I5248">
        <v>119.8177</v>
      </c>
      <c r="J5248">
        <v>-342.29160000000002</v>
      </c>
      <c r="K5248">
        <v>1.109559</v>
      </c>
      <c r="L5248">
        <v>142.0942</v>
      </c>
      <c r="M5248">
        <v>-0.99984770000000001</v>
      </c>
      <c r="N5248">
        <v>0</v>
      </c>
      <c r="O5248">
        <v>1.4655919999999999E-2</v>
      </c>
      <c r="P5248">
        <v>-0.99953449999999999</v>
      </c>
      <c r="Q5248">
        <v>1.1597390000000001E-2</v>
      </c>
      <c r="R5248">
        <v>2.822759E-2</v>
      </c>
      <c r="S5248">
        <v>-3.0165709999999999</v>
      </c>
      <c r="T5248">
        <v>5.3945180000000002E-2</v>
      </c>
      <c r="U5248">
        <v>-0.55300899999999997</v>
      </c>
      <c r="V5248">
        <v>1.356889E-2</v>
      </c>
      <c r="W5248">
        <v>2.109163E-2</v>
      </c>
      <c r="X5248">
        <v>0.9996855</v>
      </c>
      <c r="Y5248">
        <v>-0.1946833</v>
      </c>
      <c r="Z5248">
        <v>1.986233E-3</v>
      </c>
      <c r="AA5248">
        <v>0.98086419999999996</v>
      </c>
      <c r="AB5248">
        <v>29</v>
      </c>
      <c r="AC5248">
        <v>-121.335499999999</v>
      </c>
      <c r="AD5248">
        <v>2.1727789999999998</v>
      </c>
      <c r="AE5248">
        <v>-22.276499999999999</v>
      </c>
      <c r="AF5248">
        <v>-24.045011379638101</v>
      </c>
      <c r="AG5248">
        <v>2.1727789999999998</v>
      </c>
      <c r="AH5248">
        <v>120.958446975676</v>
      </c>
      <c r="AI5248">
        <v>88.990650948076095</v>
      </c>
      <c r="AJ5248">
        <v>101.24311051432301</v>
      </c>
      <c r="AK5248">
        <v>123.344353075434</v>
      </c>
      <c r="AL5248">
        <v>88.791449043918703</v>
      </c>
      <c r="AM5248">
        <v>89.222363040986295</v>
      </c>
      <c r="AN5248">
        <v>1.0000000352710601</v>
      </c>
    </row>
    <row r="5249" spans="1:40" x14ac:dyDescent="0.25">
      <c r="A5249" t="str">
        <f>"20190312160438948"</f>
        <v>20190312160438948</v>
      </c>
      <c r="B5249" t="str">
        <f>"1552377878940482"</f>
        <v>1552377878940482</v>
      </c>
      <c r="C5249" t="s">
        <v>40</v>
      </c>
      <c r="D5249">
        <v>4.6872540000000003</v>
      </c>
      <c r="E5249">
        <v>0.41992439999999998</v>
      </c>
      <c r="F5249" t="s">
        <v>97</v>
      </c>
      <c r="G5249">
        <v>-463.55349999999999</v>
      </c>
      <c r="H5249">
        <v>3.2156790000000002</v>
      </c>
      <c r="I5249">
        <v>119.8177</v>
      </c>
      <c r="J5249">
        <v>-342.44639999999998</v>
      </c>
      <c r="K5249">
        <v>1.1095660000000001</v>
      </c>
      <c r="L5249">
        <v>142.09639999999999</v>
      </c>
      <c r="M5249">
        <v>-0.99984899999999999</v>
      </c>
      <c r="N5249">
        <v>0</v>
      </c>
      <c r="O5249">
        <v>1.456704E-2</v>
      </c>
      <c r="P5249">
        <v>-0.99954279999999995</v>
      </c>
      <c r="Q5249">
        <v>1.1564059999999999E-2</v>
      </c>
      <c r="R5249">
        <v>2.794224E-2</v>
      </c>
      <c r="S5249">
        <v>-3.0164490000000002</v>
      </c>
      <c r="T5249">
        <v>5.2391409999999999E-2</v>
      </c>
      <c r="U5249">
        <v>-0.55413819999999903</v>
      </c>
      <c r="V5249">
        <v>1.337236E-2</v>
      </c>
      <c r="W5249">
        <v>2.1061119999999999E-2</v>
      </c>
      <c r="X5249">
        <v>0.99968869999999999</v>
      </c>
      <c r="Y5249">
        <v>-0.1949601</v>
      </c>
      <c r="Z5249">
        <v>1.929896E-3</v>
      </c>
      <c r="AA5249">
        <v>0.9808093</v>
      </c>
      <c r="AB5249">
        <v>29</v>
      </c>
      <c r="AC5249">
        <v>-121.1071</v>
      </c>
      <c r="AD5249">
        <v>2.1061130000000001</v>
      </c>
      <c r="AE5249">
        <v>-22.278699999999901</v>
      </c>
      <c r="AF5249">
        <v>-24.0335565377951</v>
      </c>
      <c r="AG5249">
        <v>2.1061130000000001</v>
      </c>
      <c r="AH5249">
        <v>120.734381066563</v>
      </c>
      <c r="AI5249">
        <v>89.019850047462597</v>
      </c>
      <c r="AJ5249">
        <v>101.258214448815</v>
      </c>
      <c r="AK5249">
        <v>123.121234250434</v>
      </c>
      <c r="AL5249">
        <v>88.793197416136707</v>
      </c>
      <c r="AM5249">
        <v>89.233627331026597</v>
      </c>
      <c r="AN5249">
        <v>0.999999943847655</v>
      </c>
    </row>
    <row r="5250" spans="1:40" x14ac:dyDescent="0.25">
      <c r="A5250" t="str">
        <f>"20190312160438962"</f>
        <v>20190312160438962</v>
      </c>
      <c r="B5250" t="str">
        <f>"1552377878950242"</f>
        <v>1552377878950242</v>
      </c>
      <c r="C5250" t="s">
        <v>40</v>
      </c>
      <c r="D5250">
        <v>4.7264989999999996</v>
      </c>
      <c r="E5250">
        <v>0.41993910000000001</v>
      </c>
      <c r="F5250" t="s">
        <v>97</v>
      </c>
      <c r="G5250">
        <v>-463.50389999999999</v>
      </c>
      <c r="H5250">
        <v>3.156898</v>
      </c>
      <c r="I5250">
        <v>119.8177</v>
      </c>
      <c r="J5250">
        <v>-342.63819999999998</v>
      </c>
      <c r="K5250">
        <v>1.1095619999999999</v>
      </c>
      <c r="L5250">
        <v>142.09909999999999</v>
      </c>
      <c r="M5250">
        <v>-0.99985049999999998</v>
      </c>
      <c r="N5250">
        <v>0</v>
      </c>
      <c r="O5250">
        <v>1.4456689999999999E-2</v>
      </c>
      <c r="P5250">
        <v>-0.99953860000000005</v>
      </c>
      <c r="Q5250">
        <v>1.1893290000000001E-2</v>
      </c>
      <c r="R5250">
        <v>2.7954639999999999E-2</v>
      </c>
      <c r="S5250">
        <v>-3.0162960000000001</v>
      </c>
      <c r="T5250">
        <v>5.1012399999999999E-2</v>
      </c>
      <c r="U5250">
        <v>-0.55509949999999997</v>
      </c>
      <c r="V5250">
        <v>1.349497E-2</v>
      </c>
      <c r="W5250">
        <v>2.13934E-2</v>
      </c>
      <c r="X5250">
        <v>0.99968000000000001</v>
      </c>
      <c r="Y5250">
        <v>-0.19516459999999999</v>
      </c>
      <c r="Z5250">
        <v>1.8790090000000001E-3</v>
      </c>
      <c r="AA5250">
        <v>0.98076870000000005</v>
      </c>
      <c r="AB5250">
        <v>29</v>
      </c>
      <c r="AC5250">
        <v>-120.8657</v>
      </c>
      <c r="AD5250">
        <v>2.047336</v>
      </c>
      <c r="AE5250">
        <v>-22.281399999999898</v>
      </c>
      <c r="AF5250">
        <v>-24.019802462706</v>
      </c>
      <c r="AG5250">
        <v>2.047336</v>
      </c>
      <c r="AH5250">
        <v>120.49750051712</v>
      </c>
      <c r="AI5250">
        <v>89.045376737544998</v>
      </c>
      <c r="AJ5250">
        <v>101.27348966004401</v>
      </c>
      <c r="AK5250">
        <v>122.885272209153</v>
      </c>
      <c r="AL5250">
        <v>88.774154886603796</v>
      </c>
      <c r="AM5250">
        <v>89.2265946467475</v>
      </c>
      <c r="AN5250">
        <v>0.99999994708942896</v>
      </c>
    </row>
    <row r="5251" spans="1:40" x14ac:dyDescent="0.25">
      <c r="A5251" t="str">
        <f>"20190312160438978"</f>
        <v>20190312160438978</v>
      </c>
      <c r="B5251" t="str">
        <f>"1552377878970738"</f>
        <v>1552377878970738</v>
      </c>
      <c r="C5251" t="s">
        <v>40</v>
      </c>
      <c r="D5251">
        <v>4.7108499999999998</v>
      </c>
      <c r="E5251">
        <v>0.41994900000000002</v>
      </c>
      <c r="F5251" t="s">
        <v>97</v>
      </c>
      <c r="G5251">
        <v>-466.04250000000002</v>
      </c>
      <c r="H5251">
        <v>3.1648999999999998</v>
      </c>
      <c r="I5251">
        <v>119.395</v>
      </c>
      <c r="J5251">
        <v>-342.84350000000001</v>
      </c>
      <c r="K5251">
        <v>1.109558</v>
      </c>
      <c r="L5251">
        <v>142.1019</v>
      </c>
      <c r="M5251">
        <v>-0.99985210000000002</v>
      </c>
      <c r="N5251">
        <v>0</v>
      </c>
      <c r="O5251">
        <v>1.433919E-2</v>
      </c>
      <c r="P5251">
        <v>-0.9995465</v>
      </c>
      <c r="Q5251">
        <v>1.166528E-2</v>
      </c>
      <c r="R5251">
        <v>2.7763989999999999E-2</v>
      </c>
      <c r="S5251">
        <v>-3.016327</v>
      </c>
      <c r="T5251">
        <v>5.0238369999999997E-2</v>
      </c>
      <c r="U5251">
        <v>-0.55494690000000002</v>
      </c>
      <c r="V5251">
        <v>1.342171E-2</v>
      </c>
      <c r="W5251">
        <v>2.1168380000000001E-2</v>
      </c>
      <c r="X5251">
        <v>0.99968579999999996</v>
      </c>
      <c r="Y5251">
        <v>-0.19500049999999999</v>
      </c>
      <c r="Z5251">
        <v>1.847195E-3</v>
      </c>
      <c r="AA5251">
        <v>0.98080140000000005</v>
      </c>
      <c r="AB5251">
        <v>29</v>
      </c>
      <c r="AC5251">
        <v>-123.199</v>
      </c>
      <c r="AD5251">
        <v>2.055342</v>
      </c>
      <c r="AE5251">
        <v>-22.706900000000001</v>
      </c>
      <c r="AF5251">
        <v>-24.4646333419843</v>
      </c>
      <c r="AG5251">
        <v>2.055342</v>
      </c>
      <c r="AH5251">
        <v>122.82765638395099</v>
      </c>
      <c r="AI5251">
        <v>89.059793202890404</v>
      </c>
      <c r="AJ5251">
        <v>101.26466941238</v>
      </c>
      <c r="AK5251">
        <v>125.25723886494001</v>
      </c>
      <c r="AL5251">
        <v>88.787050532611801</v>
      </c>
      <c r="AM5251">
        <v>89.230797180576801</v>
      </c>
      <c r="AN5251">
        <v>0.99999997066639301</v>
      </c>
    </row>
    <row r="5252" spans="1:40" x14ac:dyDescent="0.25">
      <c r="A5252" t="str">
        <f>"20190312160438998"</f>
        <v>20190312160438998</v>
      </c>
      <c r="B5252" t="str">
        <f>"1552377878990258"</f>
        <v>1552377878990258</v>
      </c>
      <c r="C5252" t="s">
        <v>40</v>
      </c>
      <c r="D5252">
        <v>4.7170459999999999</v>
      </c>
      <c r="E5252">
        <v>0.41995640000000001</v>
      </c>
      <c r="F5252" t="s">
        <v>97</v>
      </c>
      <c r="G5252">
        <v>-466.18259999999998</v>
      </c>
      <c r="H5252">
        <v>3.0791689999999998</v>
      </c>
      <c r="I5252">
        <v>119.395</v>
      </c>
      <c r="J5252">
        <v>-343.08800000000002</v>
      </c>
      <c r="K5252">
        <v>1.109559</v>
      </c>
      <c r="L5252">
        <v>142.1053</v>
      </c>
      <c r="M5252">
        <v>-0.99985400000000002</v>
      </c>
      <c r="N5252">
        <v>0</v>
      </c>
      <c r="O5252">
        <v>1.419928E-2</v>
      </c>
      <c r="P5252">
        <v>-0.99954489999999996</v>
      </c>
      <c r="Q5252">
        <v>1.160724E-2</v>
      </c>
      <c r="R5252">
        <v>2.7844600000000001E-2</v>
      </c>
      <c r="S5252">
        <v>-3.0162659999999999</v>
      </c>
      <c r="T5252">
        <v>4.8167349999999998E-2</v>
      </c>
      <c r="U5252">
        <v>-0.55529790000000001</v>
      </c>
      <c r="V5252">
        <v>1.3642359999999999E-2</v>
      </c>
      <c r="W5252">
        <v>2.1114040000000001E-2</v>
      </c>
      <c r="X5252">
        <v>0.99968400000000002</v>
      </c>
      <c r="Y5252">
        <v>-0.1949795</v>
      </c>
      <c r="Z5252">
        <v>1.7686900000000001E-3</v>
      </c>
      <c r="AA5252">
        <v>0.9808057</v>
      </c>
      <c r="AB5252">
        <v>29</v>
      </c>
      <c r="AC5252">
        <v>-123.09459999999901</v>
      </c>
      <c r="AD5252">
        <v>1.9696100000000001</v>
      </c>
      <c r="AE5252">
        <v>-22.7103</v>
      </c>
      <c r="AF5252">
        <v>-24.4498901958343</v>
      </c>
      <c r="AG5252">
        <v>1.9696100000000001</v>
      </c>
      <c r="AH5252">
        <v>122.729317190987</v>
      </c>
      <c r="AI5252">
        <v>89.098289305344593</v>
      </c>
      <c r="AJ5252">
        <v>101.26684447007</v>
      </c>
      <c r="AK5252">
        <v>125.156549138694</v>
      </c>
      <c r="AL5252">
        <v>88.790164726868994</v>
      </c>
      <c r="AM5252">
        <v>89.218151802589304</v>
      </c>
      <c r="AN5252">
        <v>1.0000000082637399</v>
      </c>
    </row>
    <row r="5253" spans="1:40" x14ac:dyDescent="0.25">
      <c r="A5253" t="str">
        <f>"20190312160439013"</f>
        <v>20190312160439013</v>
      </c>
      <c r="B5253" t="str">
        <f>"1552377879010755"</f>
        <v>1552377879010755</v>
      </c>
      <c r="C5253" t="s">
        <v>40</v>
      </c>
      <c r="D5253">
        <v>4.9199510000000002</v>
      </c>
      <c r="E5253">
        <v>0.42206670000000002</v>
      </c>
      <c r="F5253" t="s">
        <v>97</v>
      </c>
      <c r="G5253">
        <v>-466.52690000000001</v>
      </c>
      <c r="H5253">
        <v>3.0431840000000001</v>
      </c>
      <c r="I5253">
        <v>119.395</v>
      </c>
      <c r="J5253">
        <v>-343.28930000000003</v>
      </c>
      <c r="K5253">
        <v>1.1095600000000001</v>
      </c>
      <c r="L5253">
        <v>142.108</v>
      </c>
      <c r="M5253">
        <v>-0.99985559999999996</v>
      </c>
      <c r="N5253">
        <v>0</v>
      </c>
      <c r="O5253">
        <v>1.408393E-2</v>
      </c>
      <c r="P5253">
        <v>-0.9995465</v>
      </c>
      <c r="Q5253">
        <v>1.1775870000000001E-2</v>
      </c>
      <c r="R5253">
        <v>2.7717889999999999E-2</v>
      </c>
      <c r="S5253">
        <v>-3.0162659999999999</v>
      </c>
      <c r="T5253">
        <v>4.7249079999999999E-2</v>
      </c>
      <c r="U5253">
        <v>-0.55493159999999997</v>
      </c>
      <c r="V5253">
        <v>1.3630990000000001E-2</v>
      </c>
      <c r="W5253">
        <v>2.1286139999999999E-2</v>
      </c>
      <c r="X5253">
        <v>0.99968049999999997</v>
      </c>
      <c r="Y5253">
        <v>-0.19475219999999999</v>
      </c>
      <c r="Z5253">
        <v>1.731436E-3</v>
      </c>
      <c r="AA5253">
        <v>0.98085089999999997</v>
      </c>
      <c r="AB5253">
        <v>29</v>
      </c>
      <c r="AC5253">
        <v>-123.2376</v>
      </c>
      <c r="AD5253">
        <v>1.933624</v>
      </c>
      <c r="AE5253">
        <v>-22.713000000000001</v>
      </c>
      <c r="AF5253">
        <v>-24.440676041876401</v>
      </c>
      <c r="AG5253">
        <v>1.933624</v>
      </c>
      <c r="AH5253">
        <v>122.876216753389</v>
      </c>
      <c r="AI5253">
        <v>89.115766607228096</v>
      </c>
      <c r="AJ5253">
        <v>101.249585938501</v>
      </c>
      <c r="AK5253">
        <v>125.29824496290099</v>
      </c>
      <c r="AL5253">
        <v>88.780301900054198</v>
      </c>
      <c r="AM5253">
        <v>89.218800605567495</v>
      </c>
      <c r="AN5253">
        <v>1.0000000028623599</v>
      </c>
    </row>
    <row r="5254" spans="1:40" x14ac:dyDescent="0.25">
      <c r="A5254" t="str">
        <f>"20190312160439027"</f>
        <v>20190312160439027</v>
      </c>
      <c r="B5254" t="str">
        <f>"1552377879020515"</f>
        <v>1552377879020515</v>
      </c>
      <c r="C5254" t="s">
        <v>40</v>
      </c>
      <c r="D5254">
        <v>4.8940769999999896</v>
      </c>
      <c r="E5254">
        <v>0.42206670000000002</v>
      </c>
      <c r="F5254" t="s">
        <v>97</v>
      </c>
      <c r="G5254">
        <v>-470.49</v>
      </c>
      <c r="H5254">
        <v>2.971816</v>
      </c>
      <c r="I5254">
        <v>119.395</v>
      </c>
      <c r="J5254">
        <v>-343.4794</v>
      </c>
      <c r="K5254">
        <v>1.109558</v>
      </c>
      <c r="L5254">
        <v>142.11060000000001</v>
      </c>
      <c r="M5254">
        <v>-0.99985710000000005</v>
      </c>
      <c r="N5254">
        <v>0</v>
      </c>
      <c r="O5254">
        <v>1.3975069999999999E-2</v>
      </c>
      <c r="P5254">
        <v>-0.99954900000000002</v>
      </c>
      <c r="Q5254">
        <v>1.1961050000000001E-2</v>
      </c>
      <c r="R5254">
        <v>2.7549959999999998E-2</v>
      </c>
      <c r="S5254">
        <v>-3.0157780000000001</v>
      </c>
      <c r="T5254">
        <v>4.4152499999999997E-2</v>
      </c>
      <c r="U5254">
        <v>-0.53849789999999997</v>
      </c>
      <c r="V5254">
        <v>1.357176E-2</v>
      </c>
      <c r="W5254">
        <v>2.1473969999999998E-2</v>
      </c>
      <c r="X5254">
        <v>0.99967729999999999</v>
      </c>
      <c r="Y5254">
        <v>-0.18949969999999999</v>
      </c>
      <c r="Z5254">
        <v>1.579282E-3</v>
      </c>
      <c r="AA5254">
        <v>0.98187950000000002</v>
      </c>
      <c r="AB5254">
        <v>29</v>
      </c>
      <c r="AC5254">
        <v>-127.0106</v>
      </c>
      <c r="AD5254">
        <v>1.862258</v>
      </c>
      <c r="AE5254">
        <v>-22.715599999999998</v>
      </c>
      <c r="AF5254">
        <v>-24.4833435038434</v>
      </c>
      <c r="AG5254">
        <v>1.862258</v>
      </c>
      <c r="AH5254">
        <v>126.65434474826201</v>
      </c>
      <c r="AI5254">
        <v>89.172923325712702</v>
      </c>
      <c r="AJ5254">
        <v>100.94080601904101</v>
      </c>
      <c r="AK5254">
        <v>129.01250000522199</v>
      </c>
      <c r="AL5254">
        <v>88.769537587123693</v>
      </c>
      <c r="AM5254">
        <v>89.222192201425102</v>
      </c>
      <c r="AN5254">
        <v>1.00000001409617</v>
      </c>
    </row>
    <row r="5255" spans="1:40" x14ac:dyDescent="0.25">
      <c r="A5255" t="str">
        <f>"20190312160439042"</f>
        <v>20190312160439042</v>
      </c>
      <c r="B5255" t="str">
        <f>"1552377879030274"</f>
        <v>1552377879030274</v>
      </c>
      <c r="C5255" t="s">
        <v>40</v>
      </c>
      <c r="D5255">
        <v>4.8881920000000001</v>
      </c>
      <c r="E5255">
        <v>0.48364299999999999</v>
      </c>
      <c r="F5255" t="s">
        <v>97</v>
      </c>
      <c r="G5255">
        <v>-470.55380000000002</v>
      </c>
      <c r="H5255">
        <v>2.995762</v>
      </c>
      <c r="I5255">
        <v>119.395</v>
      </c>
      <c r="J5255">
        <v>-343.67700000000002</v>
      </c>
      <c r="K5255">
        <v>1.1095549999999901</v>
      </c>
      <c r="L5255">
        <v>142.11330000000001</v>
      </c>
      <c r="M5255">
        <v>-0.99985869999999999</v>
      </c>
      <c r="N5255">
        <v>0</v>
      </c>
      <c r="O5255">
        <v>1.386193E-2</v>
      </c>
      <c r="P5255">
        <v>-0.99956909999999999</v>
      </c>
      <c r="Q5255">
        <v>1.1506189999999999E-2</v>
      </c>
      <c r="R5255">
        <v>2.70099E-2</v>
      </c>
      <c r="S5255">
        <v>-3.0156860000000001</v>
      </c>
      <c r="T5255">
        <v>4.4763089999999998E-2</v>
      </c>
      <c r="U5255">
        <v>-0.53907780000000005</v>
      </c>
      <c r="V5255">
        <v>1.314483E-2</v>
      </c>
      <c r="W5255">
        <v>2.1022510000000001E-2</v>
      </c>
      <c r="X5255">
        <v>0.99969260000000004</v>
      </c>
      <c r="Y5255">
        <v>-0.1895761</v>
      </c>
      <c r="Z5255">
        <v>1.6000369999999999E-3</v>
      </c>
      <c r="AA5255">
        <v>0.98186470000000003</v>
      </c>
      <c r="AB5255">
        <v>29</v>
      </c>
      <c r="AC5255">
        <v>-126.8768</v>
      </c>
      <c r="AD5255">
        <v>1.886207</v>
      </c>
      <c r="AE5255">
        <v>-22.718299999999999</v>
      </c>
      <c r="AF5255">
        <v>-24.4697137722364</v>
      </c>
      <c r="AG5255">
        <v>1.886207</v>
      </c>
      <c r="AH5255">
        <v>126.522580484008</v>
      </c>
      <c r="AI5255">
        <v>89.161430798733704</v>
      </c>
      <c r="AJ5255">
        <v>100.945975146549</v>
      </c>
      <c r="AK5255">
        <v>128.88090642633799</v>
      </c>
      <c r="AL5255">
        <v>88.795410180104298</v>
      </c>
      <c r="AM5255">
        <v>89.2466685443503</v>
      </c>
      <c r="AN5255">
        <v>1.00000001348859</v>
      </c>
    </row>
    <row r="5256" spans="1:40" x14ac:dyDescent="0.25">
      <c r="A5256" t="str">
        <f>"20190312160439065"</f>
        <v>20190312160439065</v>
      </c>
      <c r="B5256" t="str">
        <f>"1552377879060530"</f>
        <v>1552377879060530</v>
      </c>
      <c r="C5256" t="s">
        <v>40</v>
      </c>
      <c r="D5256">
        <v>4.9161960000000002</v>
      </c>
      <c r="E5256">
        <v>0.48443320000000001</v>
      </c>
      <c r="F5256" t="s">
        <v>41</v>
      </c>
      <c r="G5256">
        <v>-378.1662</v>
      </c>
      <c r="H5256" s="1">
        <v>-1.2913710000000001E-6</v>
      </c>
      <c r="I5256">
        <v>141.5795</v>
      </c>
      <c r="J5256">
        <v>-343.96769999999998</v>
      </c>
      <c r="K5256">
        <v>1.1095539999999999</v>
      </c>
      <c r="L5256">
        <v>142.11709999999999</v>
      </c>
      <c r="M5256">
        <v>-0.99986090000000005</v>
      </c>
      <c r="N5256">
        <v>0</v>
      </c>
      <c r="O5256">
        <v>1.369561E-2</v>
      </c>
      <c r="P5256">
        <v>-0.99957870000000004</v>
      </c>
      <c r="Q5256">
        <v>1.15995E-2</v>
      </c>
      <c r="R5256">
        <v>2.6607249999999999E-2</v>
      </c>
      <c r="S5256">
        <v>-3.0036619999999998</v>
      </c>
      <c r="T5256">
        <v>-9.6631049999999996E-2</v>
      </c>
      <c r="U5256">
        <v>-4.6478270000000002E-2</v>
      </c>
      <c r="V5256">
        <v>1.2908070000000001E-2</v>
      </c>
      <c r="W5256">
        <v>2.112023E-2</v>
      </c>
      <c r="X5256">
        <v>0.99969359999999996</v>
      </c>
      <c r="Y5256">
        <v>-2.9142990000000001E-2</v>
      </c>
      <c r="Z5256">
        <v>-9.0911500000000005E-4</v>
      </c>
      <c r="AA5256">
        <v>0.99957479999999999</v>
      </c>
      <c r="AB5256">
        <v>29</v>
      </c>
      <c r="AC5256">
        <v>-34.198500000000003</v>
      </c>
      <c r="AD5256">
        <v>-1.1095552913710001</v>
      </c>
      <c r="AE5256">
        <v>-0.53759999999999697</v>
      </c>
      <c r="AF5256">
        <v>-1.0048825862328901</v>
      </c>
      <c r="AG5256">
        <v>-1.1095552913710001</v>
      </c>
      <c r="AH5256">
        <v>34.151987972775501</v>
      </c>
      <c r="AI5256">
        <v>91.860009129164297</v>
      </c>
      <c r="AJ5256">
        <v>91.685375510043698</v>
      </c>
      <c r="AK5256">
        <v>34.1847800117147</v>
      </c>
      <c r="AL5256">
        <v>88.789809962527897</v>
      </c>
      <c r="AM5256">
        <v>89.260236500608301</v>
      </c>
      <c r="AN5256">
        <v>0.99999998813366797</v>
      </c>
    </row>
    <row r="5257" spans="1:40" x14ac:dyDescent="0.25">
      <c r="A5257" t="str">
        <f>"20190312160439086"</f>
        <v>20190312160439086</v>
      </c>
      <c r="B5257" t="str">
        <f>"1552377879080050"</f>
        <v>1552377879080050</v>
      </c>
      <c r="C5257" t="s">
        <v>40</v>
      </c>
      <c r="D5257">
        <v>4.8616060000000001</v>
      </c>
      <c r="E5257">
        <v>0.48533100000000001</v>
      </c>
      <c r="F5257" t="s">
        <v>41</v>
      </c>
      <c r="G5257">
        <v>-392.24090000000001</v>
      </c>
      <c r="H5257" s="1">
        <v>-3.797077E-6</v>
      </c>
      <c r="I5257">
        <v>141.44329999999999</v>
      </c>
      <c r="J5257">
        <v>-344.27</v>
      </c>
      <c r="K5257">
        <v>1.109553</v>
      </c>
      <c r="L5257">
        <v>142.12110000000001</v>
      </c>
      <c r="M5257">
        <v>-0.99986330000000001</v>
      </c>
      <c r="N5257">
        <v>0</v>
      </c>
      <c r="O5257">
        <v>1.352249E-2</v>
      </c>
      <c r="P5257">
        <v>-0.99958340000000001</v>
      </c>
      <c r="Q5257">
        <v>1.1725660000000001E-2</v>
      </c>
      <c r="R5257">
        <v>2.637492E-2</v>
      </c>
      <c r="S5257">
        <v>-3.003174</v>
      </c>
      <c r="T5257">
        <v>-6.9027900000000003E-2</v>
      </c>
      <c r="U5257">
        <v>-4.1915889999999997E-2</v>
      </c>
      <c r="V5257">
        <v>1.284892E-2</v>
      </c>
      <c r="W5257">
        <v>2.125086E-2</v>
      </c>
      <c r="X5257">
        <v>0.99969160000000001</v>
      </c>
      <c r="Y5257">
        <v>-2.7465529999999998E-2</v>
      </c>
      <c r="Z5257">
        <v>-6.2636270000000001E-4</v>
      </c>
      <c r="AA5257">
        <v>0.99962260000000003</v>
      </c>
      <c r="AB5257">
        <v>29</v>
      </c>
      <c r="AC5257">
        <v>-47.9709</v>
      </c>
      <c r="AD5257">
        <v>-1.1095567970769999</v>
      </c>
      <c r="AE5257">
        <v>-0.67780000000001905</v>
      </c>
      <c r="AF5257">
        <v>-1.32574428471613</v>
      </c>
      <c r="AG5257">
        <v>-1.1095567970769999</v>
      </c>
      <c r="AH5257">
        <v>47.9317097886304</v>
      </c>
      <c r="AI5257">
        <v>91.325579240007002</v>
      </c>
      <c r="AJ5257">
        <v>91.584341372691895</v>
      </c>
      <c r="AK5257">
        <v>47.962876451020797</v>
      </c>
      <c r="AL5257">
        <v>88.782323742251904</v>
      </c>
      <c r="AM5257">
        <v>89.263624549131293</v>
      </c>
      <c r="AN5257">
        <v>0.99999999445323295</v>
      </c>
    </row>
    <row r="5258" spans="1:40" x14ac:dyDescent="0.25">
      <c r="A5258" t="str">
        <f>"20190312160439102"</f>
        <v>20190312160439102</v>
      </c>
      <c r="B5258" t="str">
        <f>"1552377879090785"</f>
        <v>1552377879090785</v>
      </c>
      <c r="C5258" t="s">
        <v>40</v>
      </c>
      <c r="D5258">
        <v>4.8799229999999998</v>
      </c>
      <c r="E5258">
        <v>0.48555039999999999</v>
      </c>
      <c r="F5258" t="s">
        <v>41</v>
      </c>
      <c r="G5258">
        <v>-396.54809999999998</v>
      </c>
      <c r="H5258" s="1">
        <v>-1.9647410000000001E-6</v>
      </c>
      <c r="I5258">
        <v>141.50120000000001</v>
      </c>
      <c r="J5258">
        <v>-344.47199999999998</v>
      </c>
      <c r="K5258">
        <v>1.1095539999999999</v>
      </c>
      <c r="L5258">
        <v>142.12370000000001</v>
      </c>
      <c r="M5258">
        <v>-0.9998648</v>
      </c>
      <c r="N5258">
        <v>0</v>
      </c>
      <c r="O5258">
        <v>1.3406899999999999E-2</v>
      </c>
      <c r="P5258">
        <v>-0.99958539999999996</v>
      </c>
      <c r="Q5258">
        <v>1.1795140000000001E-2</v>
      </c>
      <c r="R5258">
        <v>2.6269399999999998E-2</v>
      </c>
      <c r="S5258">
        <v>-3.0029300000000001</v>
      </c>
      <c r="T5258">
        <v>-6.3734410000000005E-2</v>
      </c>
      <c r="U5258">
        <v>-3.5598749999999998E-2</v>
      </c>
      <c r="V5258">
        <v>1.2858899999999999E-2</v>
      </c>
      <c r="W5258">
        <v>2.132332E-2</v>
      </c>
      <c r="X5258">
        <v>0.99968990000000002</v>
      </c>
      <c r="Y5258">
        <v>-2.5250640000000001E-2</v>
      </c>
      <c r="Z5258">
        <v>-5.5244039999999999E-4</v>
      </c>
      <c r="AA5258">
        <v>0.99968100000000004</v>
      </c>
      <c r="AB5258">
        <v>30</v>
      </c>
      <c r="AC5258">
        <v>-52.076099999999997</v>
      </c>
      <c r="AD5258">
        <v>-1.109555964741</v>
      </c>
      <c r="AE5258">
        <v>-0.62250000000000205</v>
      </c>
      <c r="AF5258">
        <v>-1.3200555821326401</v>
      </c>
      <c r="AG5258">
        <v>-1.109555964741</v>
      </c>
      <c r="AH5258">
        <v>52.039452314893602</v>
      </c>
      <c r="AI5258">
        <v>91.221050687433305</v>
      </c>
      <c r="AJ5258">
        <v>91.453078273675004</v>
      </c>
      <c r="AK5258">
        <v>52.068015694982002</v>
      </c>
      <c r="AL5258">
        <v>88.778171113976299</v>
      </c>
      <c r="AM5258">
        <v>89.263051402337993</v>
      </c>
      <c r="AN5258">
        <v>0.99999996572352001</v>
      </c>
    </row>
    <row r="5259" spans="1:40" x14ac:dyDescent="0.25">
      <c r="A5259" t="str">
        <f>"20190312160439115"</f>
        <v>20190312160439115</v>
      </c>
      <c r="B5259" t="str">
        <f>"1552377879110306"</f>
        <v>1552377879110306</v>
      </c>
      <c r="C5259" t="s">
        <v>40</v>
      </c>
      <c r="D5259">
        <v>4.912903</v>
      </c>
      <c r="E5259">
        <v>0.48560680000000001</v>
      </c>
      <c r="F5259" t="s">
        <v>60</v>
      </c>
      <c r="G5259">
        <v>-402.0684</v>
      </c>
      <c r="H5259" s="1">
        <v>-7.043134E-6</v>
      </c>
      <c r="I5259">
        <v>141.46520000000001</v>
      </c>
      <c r="J5259">
        <v>-344.64080000000001</v>
      </c>
      <c r="K5259">
        <v>1.1095539999999999</v>
      </c>
      <c r="L5259">
        <v>142.1258</v>
      </c>
      <c r="M5259">
        <v>-0.99986609999999998</v>
      </c>
      <c r="N5259">
        <v>0</v>
      </c>
      <c r="O5259">
        <v>1.331045E-2</v>
      </c>
      <c r="P5259">
        <v>-0.99958650000000004</v>
      </c>
      <c r="Q5259">
        <v>1.194663E-2</v>
      </c>
      <c r="R5259">
        <v>2.6158609999999999E-2</v>
      </c>
      <c r="S5259">
        <v>-3.0028380000000001</v>
      </c>
      <c r="T5259">
        <v>-5.784798E-2</v>
      </c>
      <c r="U5259">
        <v>-3.433228E-2</v>
      </c>
      <c r="V5259">
        <v>1.284454E-2</v>
      </c>
      <c r="W5259">
        <v>2.1477779999999998E-2</v>
      </c>
      <c r="X5259">
        <v>0.99968679999999999</v>
      </c>
      <c r="Y5259">
        <v>-2.4734639999999999E-2</v>
      </c>
      <c r="Z5259">
        <v>-4.9461660000000001E-4</v>
      </c>
      <c r="AA5259">
        <v>0.99969390000000002</v>
      </c>
      <c r="AB5259">
        <v>30</v>
      </c>
      <c r="AC5259">
        <v>-57.427599999999899</v>
      </c>
      <c r="AD5259">
        <v>-1.1095610431339999</v>
      </c>
      <c r="AE5259">
        <v>-0.66059999999998797</v>
      </c>
      <c r="AF5259">
        <v>-1.424431632606</v>
      </c>
      <c r="AG5259">
        <v>-1.1095610431339999</v>
      </c>
      <c r="AH5259">
        <v>57.392297001482902</v>
      </c>
      <c r="AI5259">
        <v>91.107216222322705</v>
      </c>
      <c r="AJ5259">
        <v>91.421744264135</v>
      </c>
      <c r="AK5259">
        <v>57.420692143954803</v>
      </c>
      <c r="AL5259">
        <v>88.769319207318901</v>
      </c>
      <c r="AM5259">
        <v>89.263872006499895</v>
      </c>
      <c r="AN5259">
        <v>0.999999987667889</v>
      </c>
    </row>
    <row r="5260" spans="1:40" x14ac:dyDescent="0.25">
      <c r="A5260" t="str">
        <f>"20190312160439127"</f>
        <v>20190312160439127</v>
      </c>
      <c r="B5260" t="str">
        <f>"1552377879120066"</f>
        <v>1552377879120066</v>
      </c>
      <c r="C5260" t="s">
        <v>40</v>
      </c>
      <c r="D5260">
        <v>4.9029949999999998</v>
      </c>
      <c r="E5260">
        <v>0.48582940000000002</v>
      </c>
      <c r="F5260" t="s">
        <v>60</v>
      </c>
      <c r="G5260">
        <v>-403.95890000000003</v>
      </c>
      <c r="H5260" s="1">
        <v>-7.8757690000000003E-6</v>
      </c>
      <c r="I5260">
        <v>141.4513</v>
      </c>
      <c r="J5260">
        <v>-344.80959999999999</v>
      </c>
      <c r="K5260">
        <v>1.1095549999999901</v>
      </c>
      <c r="L5260">
        <v>142.12799999999999</v>
      </c>
      <c r="M5260">
        <v>-0.99986739999999996</v>
      </c>
      <c r="N5260">
        <v>0</v>
      </c>
      <c r="O5260">
        <v>1.3213819999999999E-2</v>
      </c>
      <c r="P5260">
        <v>-0.99959050000000005</v>
      </c>
      <c r="Q5260">
        <v>1.218521E-2</v>
      </c>
      <c r="R5260">
        <v>2.590015E-2</v>
      </c>
      <c r="S5260">
        <v>-3.0028380000000001</v>
      </c>
      <c r="T5260">
        <v>-5.6169030000000002E-2</v>
      </c>
      <c r="U5260">
        <v>-3.414917E-2</v>
      </c>
      <c r="V5260">
        <v>1.2682529999999999E-2</v>
      </c>
      <c r="W5260">
        <v>2.171853E-2</v>
      </c>
      <c r="X5260">
        <v>0.99968369999999995</v>
      </c>
      <c r="Y5260">
        <v>-2.457753E-2</v>
      </c>
      <c r="Z5260">
        <v>-4.7698720000000002E-4</v>
      </c>
      <c r="AA5260">
        <v>0.99969779999999997</v>
      </c>
      <c r="AB5260">
        <v>30</v>
      </c>
      <c r="AC5260">
        <v>-59.149299999999997</v>
      </c>
      <c r="AD5260">
        <v>-1.1095628757689999</v>
      </c>
      <c r="AE5260">
        <v>-0.67669999999998198</v>
      </c>
      <c r="AF5260">
        <v>-1.4577516189311699</v>
      </c>
      <c r="AG5260">
        <v>-1.1095628757689999</v>
      </c>
      <c r="AH5260">
        <v>59.114394295529699</v>
      </c>
      <c r="AI5260">
        <v>91.074974926701799</v>
      </c>
      <c r="AJ5260">
        <v>91.412618570830105</v>
      </c>
      <c r="AK5260">
        <v>59.142774558564099</v>
      </c>
      <c r="AL5260">
        <v>88.755522070730194</v>
      </c>
      <c r="AM5260">
        <v>89.273153636851902</v>
      </c>
      <c r="AN5260">
        <v>1.00000002057912</v>
      </c>
    </row>
    <row r="5261" spans="1:40" x14ac:dyDescent="0.25">
      <c r="A5261" t="str">
        <f>"20190312160439141"</f>
        <v>20190312160439141</v>
      </c>
      <c r="B5261" t="str">
        <f>"1552377879130802"</f>
        <v>1552377879130802</v>
      </c>
      <c r="C5261" t="s">
        <v>40</v>
      </c>
      <c r="D5261">
        <v>4.9285610000000002</v>
      </c>
      <c r="E5261">
        <v>0.48611720000000003</v>
      </c>
      <c r="F5261" t="s">
        <v>60</v>
      </c>
      <c r="G5261">
        <v>-402.04739999999998</v>
      </c>
      <c r="H5261" s="1">
        <v>-7.047097E-6</v>
      </c>
      <c r="I5261">
        <v>141.4974</v>
      </c>
      <c r="J5261">
        <v>-344.9957</v>
      </c>
      <c r="K5261">
        <v>1.109567</v>
      </c>
      <c r="L5261">
        <v>142.13030000000001</v>
      </c>
      <c r="M5261">
        <v>-0.99986870000000005</v>
      </c>
      <c r="N5261">
        <v>0</v>
      </c>
      <c r="O5261">
        <v>1.310747E-2</v>
      </c>
      <c r="P5261">
        <v>-0.99959779999999998</v>
      </c>
      <c r="Q5261">
        <v>1.254162E-2</v>
      </c>
      <c r="R5261">
        <v>2.544167E-2</v>
      </c>
      <c r="S5261">
        <v>-3.0028079999999999</v>
      </c>
      <c r="T5261">
        <v>-5.8209780000000003E-2</v>
      </c>
      <c r="U5261">
        <v>-3.3081050000000001E-2</v>
      </c>
      <c r="V5261">
        <v>1.2330300000000001E-2</v>
      </c>
      <c r="W5261">
        <v>2.2077980000000001E-2</v>
      </c>
      <c r="X5261">
        <v>0.99968020000000002</v>
      </c>
      <c r="Y5261">
        <v>-2.4115370000000001E-2</v>
      </c>
      <c r="Z5261">
        <v>-4.8777940000000001E-4</v>
      </c>
      <c r="AA5261">
        <v>0.99970910000000002</v>
      </c>
      <c r="AB5261">
        <v>30</v>
      </c>
      <c r="AC5261">
        <v>-57.051699999999897</v>
      </c>
      <c r="AD5261">
        <v>-1.1095740470969999</v>
      </c>
      <c r="AE5261">
        <v>-0.63290000000000601</v>
      </c>
      <c r="AF5261">
        <v>-1.3801610375510001</v>
      </c>
      <c r="AG5261">
        <v>-1.1095740470969999</v>
      </c>
      <c r="AH5261">
        <v>57.016938516933202</v>
      </c>
      <c r="AI5261">
        <v>91.114533297449697</v>
      </c>
      <c r="AJ5261">
        <v>91.3866399207527</v>
      </c>
      <c r="AK5261">
        <v>57.044432479421701</v>
      </c>
      <c r="AL5261">
        <v>88.734922121964601</v>
      </c>
      <c r="AM5261">
        <v>89.293335681499798</v>
      </c>
      <c r="AN5261">
        <v>0.99999998788550504</v>
      </c>
    </row>
    <row r="5262" spans="1:40" x14ac:dyDescent="0.25">
      <c r="A5262" t="str">
        <f>"20190312160439164"</f>
        <v>20190312160439164</v>
      </c>
      <c r="B5262" t="str">
        <f>"1552377879160082"</f>
        <v>1552377879160082</v>
      </c>
      <c r="C5262" t="s">
        <v>40</v>
      </c>
      <c r="D5262">
        <v>4.9549529999999997</v>
      </c>
      <c r="E5262">
        <v>0.48613459999999997</v>
      </c>
      <c r="F5262" t="s">
        <v>60</v>
      </c>
      <c r="G5262">
        <v>-400.678</v>
      </c>
      <c r="H5262" s="1">
        <v>-6.4557249999999999E-6</v>
      </c>
      <c r="I5262">
        <v>141.5361</v>
      </c>
      <c r="J5262">
        <v>-345.30130000000003</v>
      </c>
      <c r="K5262">
        <v>1.1095660000000001</v>
      </c>
      <c r="L5262">
        <v>142.13419999999999</v>
      </c>
      <c r="M5262">
        <v>-0.99987079999999995</v>
      </c>
      <c r="N5262">
        <v>0</v>
      </c>
      <c r="O5262">
        <v>1.2932920000000001E-2</v>
      </c>
      <c r="P5262">
        <v>-0.99960789999999999</v>
      </c>
      <c r="Q5262">
        <v>1.299199E-2</v>
      </c>
      <c r="R5262">
        <v>2.481388E-2</v>
      </c>
      <c r="S5262">
        <v>-3.002777</v>
      </c>
      <c r="T5262">
        <v>-5.9835909999999999E-2</v>
      </c>
      <c r="U5262">
        <v>-3.2043460000000003E-2</v>
      </c>
      <c r="V5262">
        <v>1.187684E-2</v>
      </c>
      <c r="W5262">
        <v>2.2532759999999999E-2</v>
      </c>
      <c r="X5262">
        <v>0.9996756</v>
      </c>
      <c r="Y5262">
        <v>-2.35953E-2</v>
      </c>
      <c r="Z5262">
        <v>-4.9275060000000001E-4</v>
      </c>
      <c r="AA5262">
        <v>0.99972150000000004</v>
      </c>
      <c r="AB5262">
        <v>30</v>
      </c>
      <c r="AC5262">
        <v>-55.3767</v>
      </c>
      <c r="AD5262">
        <v>-1.109572455725</v>
      </c>
      <c r="AE5262">
        <v>-0.59809999999998797</v>
      </c>
      <c r="AF5262">
        <v>-1.31373766790769</v>
      </c>
      <c r="AG5262">
        <v>-1.109572455725</v>
      </c>
      <c r="AH5262">
        <v>55.342116869788903</v>
      </c>
      <c r="AI5262">
        <v>91.148264800762405</v>
      </c>
      <c r="AJ5262">
        <v>91.359859251649695</v>
      </c>
      <c r="AK5262">
        <v>55.368826584315102</v>
      </c>
      <c r="AL5262">
        <v>88.708858735989907</v>
      </c>
      <c r="AM5262">
        <v>89.319318395612896</v>
      </c>
      <c r="AN5262">
        <v>1.00000004491848</v>
      </c>
    </row>
    <row r="5263" spans="1:40" x14ac:dyDescent="0.25">
      <c r="A5263" t="str">
        <f>"20190312160439180"</f>
        <v>20190312160439180</v>
      </c>
      <c r="B5263" t="str">
        <f>"1552377879170818"</f>
        <v>1552377879170818</v>
      </c>
      <c r="C5263" t="s">
        <v>40</v>
      </c>
      <c r="D5263">
        <v>5.0304960000000003</v>
      </c>
      <c r="E5263">
        <v>0.48590329999999898</v>
      </c>
      <c r="F5263" t="s">
        <v>60</v>
      </c>
      <c r="G5263">
        <v>-401.51679999999999</v>
      </c>
      <c r="H5263" s="1">
        <v>-6.8136670000000002E-6</v>
      </c>
      <c r="I5263">
        <v>141.50200000000001</v>
      </c>
      <c r="J5263">
        <v>-345.50510000000003</v>
      </c>
      <c r="K5263">
        <v>1.1095630000000001</v>
      </c>
      <c r="L5263">
        <v>142.13669999999999</v>
      </c>
      <c r="M5263">
        <v>-0.9998726</v>
      </c>
      <c r="N5263">
        <v>0</v>
      </c>
      <c r="O5263">
        <v>1.2816320000000001E-2</v>
      </c>
      <c r="P5263">
        <v>-0.99960939999999998</v>
      </c>
      <c r="Q5263">
        <v>1.310826E-2</v>
      </c>
      <c r="R5263">
        <v>2.469236E-2</v>
      </c>
      <c r="S5263">
        <v>-3.002777</v>
      </c>
      <c r="T5263">
        <v>-5.9268359999999999E-2</v>
      </c>
      <c r="U5263">
        <v>-3.3767699999999998E-2</v>
      </c>
      <c r="V5263">
        <v>1.187173E-2</v>
      </c>
      <c r="W5263">
        <v>2.2651939999999999E-2</v>
      </c>
      <c r="X5263">
        <v>0.99967289999999998</v>
      </c>
      <c r="Y5263">
        <v>-2.4052770000000001E-2</v>
      </c>
      <c r="Z5263">
        <v>-4.9028910000000002E-4</v>
      </c>
      <c r="AA5263">
        <v>0.9997106</v>
      </c>
      <c r="AB5263">
        <v>30</v>
      </c>
      <c r="AC5263">
        <v>-56.011699999999898</v>
      </c>
      <c r="AD5263">
        <v>-1.10956981366699</v>
      </c>
      <c r="AE5263">
        <v>-0.63469999999998095</v>
      </c>
      <c r="AF5263">
        <v>-1.35201374168524</v>
      </c>
      <c r="AG5263">
        <v>-1.10956981366699</v>
      </c>
      <c r="AH5263">
        <v>55.9770006155712</v>
      </c>
      <c r="AI5263">
        <v>91.135230798850401</v>
      </c>
      <c r="AJ5263">
        <v>91.383597230582893</v>
      </c>
      <c r="AK5263">
        <v>56.004318442819802</v>
      </c>
      <c r="AL5263">
        <v>88.702028394645396</v>
      </c>
      <c r="AM5263">
        <v>89.319609393261203</v>
      </c>
      <c r="AN5263">
        <v>0.99999997767668203</v>
      </c>
    </row>
    <row r="5264" spans="1:40" x14ac:dyDescent="0.25">
      <c r="A5264" t="str">
        <f>"20190312160439198"</f>
        <v>20190312160439198</v>
      </c>
      <c r="B5264" t="str">
        <f>"1552377879190342"</f>
        <v>1552377879190342</v>
      </c>
      <c r="C5264" t="s">
        <v>40</v>
      </c>
      <c r="D5264">
        <v>5.0154230000000002</v>
      </c>
      <c r="E5264">
        <v>0.48603109999999999</v>
      </c>
      <c r="F5264" t="s">
        <v>41</v>
      </c>
      <c r="G5264">
        <v>-399.7706</v>
      </c>
      <c r="H5264" s="1">
        <v>-5.7769879999999998E-7</v>
      </c>
      <c r="I5264">
        <v>141.48390000000001</v>
      </c>
      <c r="J5264">
        <v>-345.74740000000003</v>
      </c>
      <c r="K5264">
        <v>1.1095649999999999</v>
      </c>
      <c r="L5264">
        <v>142.1396</v>
      </c>
      <c r="M5264">
        <v>-0.99987409999999999</v>
      </c>
      <c r="N5264">
        <v>0</v>
      </c>
      <c r="O5264">
        <v>1.267778E-2</v>
      </c>
      <c r="P5264">
        <v>-0.99961319999999998</v>
      </c>
      <c r="Q5264">
        <v>1.338572E-2</v>
      </c>
      <c r="R5264">
        <v>2.4386250000000002E-2</v>
      </c>
      <c r="S5264">
        <v>-3.0028380000000001</v>
      </c>
      <c r="T5264">
        <v>-6.139886E-2</v>
      </c>
      <c r="U5264">
        <v>-3.6117549999999998E-2</v>
      </c>
      <c r="V5264">
        <v>1.170421E-2</v>
      </c>
      <c r="W5264">
        <v>2.2933680000000001E-2</v>
      </c>
      <c r="X5264">
        <v>0.99966849999999996</v>
      </c>
      <c r="Y5264">
        <v>-2.4695600000000002E-2</v>
      </c>
      <c r="Z5264">
        <v>-5.1163610000000003E-4</v>
      </c>
      <c r="AA5264">
        <v>0.99969490000000005</v>
      </c>
      <c r="AB5264">
        <v>30</v>
      </c>
      <c r="AC5264">
        <v>-54.023199999999903</v>
      </c>
      <c r="AD5264">
        <v>-1.1095655776987901</v>
      </c>
      <c r="AE5264">
        <v>-0.65569999999999595</v>
      </c>
      <c r="AF5264">
        <v>-1.34000754584645</v>
      </c>
      <c r="AG5264">
        <v>-1.1095655776987901</v>
      </c>
      <c r="AH5264">
        <v>53.987774040775399</v>
      </c>
      <c r="AI5264">
        <v>91.177024092762906</v>
      </c>
      <c r="AJ5264">
        <v>91.421822212375901</v>
      </c>
      <c r="AK5264">
        <v>54.015798632177699</v>
      </c>
      <c r="AL5264">
        <v>88.685881750141505</v>
      </c>
      <c r="AM5264">
        <v>89.329206435777806</v>
      </c>
      <c r="AN5264">
        <v>1.0000000260511499</v>
      </c>
    </row>
    <row r="5265" spans="1:40" x14ac:dyDescent="0.25">
      <c r="A5265" t="str">
        <f>"20190312160439213"</f>
        <v>20190312160439213</v>
      </c>
      <c r="B5265" t="str">
        <f>"1552377879209859"</f>
        <v>1552377879209859</v>
      </c>
      <c r="C5265" t="s">
        <v>40</v>
      </c>
      <c r="D5265">
        <v>4.9692559999999997</v>
      </c>
      <c r="E5265">
        <v>0.48606149999999998</v>
      </c>
      <c r="F5265" t="s">
        <v>60</v>
      </c>
      <c r="G5265">
        <v>-399.99239999999998</v>
      </c>
      <c r="H5265" s="1">
        <v>-6.1335159999999901E-6</v>
      </c>
      <c r="I5265">
        <v>141.49189999999999</v>
      </c>
      <c r="J5265">
        <v>-345.94409999999999</v>
      </c>
      <c r="K5265">
        <v>1.109572</v>
      </c>
      <c r="L5265">
        <v>142.142</v>
      </c>
      <c r="M5265">
        <v>-0.99987550000000003</v>
      </c>
      <c r="N5265">
        <v>0</v>
      </c>
      <c r="O5265">
        <v>1.2565349999999999E-2</v>
      </c>
      <c r="P5265">
        <v>-0.9996119</v>
      </c>
      <c r="Q5265">
        <v>1.393722E-2</v>
      </c>
      <c r="R5265">
        <v>2.4127099999999999E-2</v>
      </c>
      <c r="S5265">
        <v>-3.0028380000000001</v>
      </c>
      <c r="T5265">
        <v>-6.142247E-2</v>
      </c>
      <c r="U5265">
        <v>-3.5858149999999998E-2</v>
      </c>
      <c r="V5265">
        <v>1.15573E-2</v>
      </c>
      <c r="W5265">
        <v>2.3488100000000001E-2</v>
      </c>
      <c r="X5265">
        <v>0.99965729999999997</v>
      </c>
      <c r="Y5265">
        <v>-2.4496899999999999E-2</v>
      </c>
      <c r="Z5265">
        <v>-5.0750169999999996E-4</v>
      </c>
      <c r="AA5265">
        <v>0.99969980000000003</v>
      </c>
      <c r="AB5265">
        <v>30</v>
      </c>
      <c r="AC5265">
        <v>-54.048299999999898</v>
      </c>
      <c r="AD5265">
        <v>-1.109578133516</v>
      </c>
      <c r="AE5265">
        <v>-0.650100000000009</v>
      </c>
      <c r="AF5265">
        <v>-1.3286555256100601</v>
      </c>
      <c r="AG5265">
        <v>-1.109578133516</v>
      </c>
      <c r="AH5265">
        <v>54.013102722101401</v>
      </c>
      <c r="AI5265">
        <v>91.176492050739697</v>
      </c>
      <c r="AJ5265">
        <v>91.409121141289006</v>
      </c>
      <c r="AK5265">
        <v>54.040834142418497</v>
      </c>
      <c r="AL5265">
        <v>88.654107215263906</v>
      </c>
      <c r="AM5265">
        <v>89.337617989893602</v>
      </c>
      <c r="AN5265">
        <v>0.99999998973409499</v>
      </c>
    </row>
    <row r="5266" spans="1:40" x14ac:dyDescent="0.25">
      <c r="A5266" t="str">
        <f>"20190312160439226"</f>
        <v>20190312160439226</v>
      </c>
      <c r="B5266" t="str">
        <f>"1552377879220594"</f>
        <v>1552377879220594</v>
      </c>
      <c r="C5266" t="s">
        <v>40</v>
      </c>
      <c r="D5266">
        <v>4.9876009999999997</v>
      </c>
      <c r="E5266">
        <v>0.4861104</v>
      </c>
      <c r="F5266" t="s">
        <v>60</v>
      </c>
      <c r="G5266">
        <v>-401.72730000000001</v>
      </c>
      <c r="H5266" s="1">
        <v>-6.8924509999999998E-6</v>
      </c>
      <c r="I5266">
        <v>141.4666</v>
      </c>
      <c r="J5266">
        <v>-346.12689999999998</v>
      </c>
      <c r="K5266">
        <v>1.1095729999999999</v>
      </c>
      <c r="L5266">
        <v>142.14420000000001</v>
      </c>
      <c r="M5266">
        <v>-0.99987689999999996</v>
      </c>
      <c r="N5266">
        <v>0</v>
      </c>
      <c r="O5266">
        <v>1.2460789999999999E-2</v>
      </c>
      <c r="P5266">
        <v>-0.9996138</v>
      </c>
      <c r="Q5266">
        <v>1.4200910000000001E-2</v>
      </c>
      <c r="R5266">
        <v>2.3891160000000002E-2</v>
      </c>
      <c r="S5266">
        <v>-3.0028990000000002</v>
      </c>
      <c r="T5266">
        <v>-5.9730409999999998E-2</v>
      </c>
      <c r="U5266">
        <v>-3.6361690000000002E-2</v>
      </c>
      <c r="V5266">
        <v>1.1425640000000001E-2</v>
      </c>
      <c r="W5266">
        <v>2.37541E-2</v>
      </c>
      <c r="X5266">
        <v>0.9996526</v>
      </c>
      <c r="Y5266">
        <v>-2.4560149999999999E-2</v>
      </c>
      <c r="Z5266">
        <v>-4.9206290000000001E-4</v>
      </c>
      <c r="AA5266">
        <v>0.99969819999999998</v>
      </c>
      <c r="AB5266">
        <v>30</v>
      </c>
      <c r="AC5266">
        <v>-55.6004</v>
      </c>
      <c r="AD5266">
        <v>-1.1095798924510001</v>
      </c>
      <c r="AE5266">
        <v>-0.67760000000001197</v>
      </c>
      <c r="AF5266">
        <v>-1.36985831929532</v>
      </c>
      <c r="AG5266">
        <v>-1.1095798924510001</v>
      </c>
      <c r="AH5266">
        <v>55.565513090287098</v>
      </c>
      <c r="AI5266">
        <v>91.143631910207901</v>
      </c>
      <c r="AJ5266">
        <v>91.412228573189196</v>
      </c>
      <c r="AK5266">
        <v>55.593470159179098</v>
      </c>
      <c r="AL5266">
        <v>88.638862381955093</v>
      </c>
      <c r="AM5266">
        <v>89.345160062694006</v>
      </c>
      <c r="AN5266">
        <v>1.0000000616014799</v>
      </c>
    </row>
    <row r="5267" spans="1:40" x14ac:dyDescent="0.25">
      <c r="A5267" t="str">
        <f>"20190312160439243"</f>
        <v>20190312160439243</v>
      </c>
      <c r="B5267" t="str">
        <f>"1552377879230354"</f>
        <v>1552377879230354</v>
      </c>
      <c r="C5267" t="s">
        <v>40</v>
      </c>
      <c r="D5267">
        <v>4.9952610000000002</v>
      </c>
      <c r="E5267">
        <v>0.48623870000000002</v>
      </c>
      <c r="F5267" t="s">
        <v>60</v>
      </c>
      <c r="G5267">
        <v>-402.68779999999998</v>
      </c>
      <c r="H5267" s="1">
        <v>-7.3128229999999899E-6</v>
      </c>
      <c r="I5267">
        <v>141.453</v>
      </c>
      <c r="J5267">
        <v>-346.33710000000002</v>
      </c>
      <c r="K5267">
        <v>1.1095740000000001</v>
      </c>
      <c r="L5267">
        <v>142.14670000000001</v>
      </c>
      <c r="M5267">
        <v>-0.9998783</v>
      </c>
      <c r="N5267">
        <v>0</v>
      </c>
      <c r="O5267">
        <v>1.234066E-2</v>
      </c>
      <c r="P5267">
        <v>-0.9996178</v>
      </c>
      <c r="Q5267">
        <v>1.446149E-2</v>
      </c>
      <c r="R5267">
        <v>2.356637E-2</v>
      </c>
      <c r="S5267">
        <v>-3.0028380000000001</v>
      </c>
      <c r="T5267">
        <v>-5.890799E-2</v>
      </c>
      <c r="U5267">
        <v>-3.6697390000000003E-2</v>
      </c>
      <c r="V5267">
        <v>1.1220910000000001E-2</v>
      </c>
      <c r="W5267">
        <v>2.4018189999999998E-2</v>
      </c>
      <c r="X5267">
        <v>0.9996486</v>
      </c>
      <c r="Y5267">
        <v>-2.4552270000000001E-2</v>
      </c>
      <c r="Z5267">
        <v>-4.828651E-4</v>
      </c>
      <c r="AA5267">
        <v>0.99969850000000005</v>
      </c>
      <c r="AB5267">
        <v>30</v>
      </c>
      <c r="AC5267">
        <v>-56.350699999999897</v>
      </c>
      <c r="AD5267">
        <v>-1.1095813128229901</v>
      </c>
      <c r="AE5267">
        <v>-0.69370000000000598</v>
      </c>
      <c r="AF5267">
        <v>-1.38854538870147</v>
      </c>
      <c r="AG5267">
        <v>-1.1095813128229901</v>
      </c>
      <c r="AH5267">
        <v>56.3160158534007</v>
      </c>
      <c r="AI5267">
        <v>91.128396469721594</v>
      </c>
      <c r="AJ5267">
        <v>91.412416577240094</v>
      </c>
      <c r="AK5267">
        <v>56.344057988280603</v>
      </c>
      <c r="AL5267">
        <v>88.623726810025204</v>
      </c>
      <c r="AM5267">
        <v>89.356890225574503</v>
      </c>
      <c r="AN5267">
        <v>1.0000000528770301</v>
      </c>
    </row>
    <row r="5268" spans="1:40" x14ac:dyDescent="0.25">
      <c r="A5268" t="str">
        <f>"20190312160439261"</f>
        <v>20190312160439261</v>
      </c>
      <c r="B5268" t="str">
        <f>"1552377879250850"</f>
        <v>1552377879250850</v>
      </c>
      <c r="C5268" t="s">
        <v>40</v>
      </c>
      <c r="D5268">
        <v>5.0111480000000004</v>
      </c>
      <c r="E5268">
        <v>0.4864329</v>
      </c>
      <c r="F5268" t="s">
        <v>60</v>
      </c>
      <c r="G5268">
        <v>-403.00830000000002</v>
      </c>
      <c r="H5268" s="1">
        <v>-7.4562549999999902E-6</v>
      </c>
      <c r="I5268">
        <v>141.45609999999999</v>
      </c>
      <c r="J5268">
        <v>-346.58280000000002</v>
      </c>
      <c r="K5268">
        <v>1.1095729999999999</v>
      </c>
      <c r="L5268">
        <v>142.14959999999999</v>
      </c>
      <c r="M5268">
        <v>-0.99987979999999999</v>
      </c>
      <c r="N5268">
        <v>0</v>
      </c>
      <c r="O5268">
        <v>1.2200570000000001E-2</v>
      </c>
      <c r="P5268">
        <v>-0.99961750000000005</v>
      </c>
      <c r="Q5268">
        <v>1.4461470000000001E-2</v>
      </c>
      <c r="R5268">
        <v>2.3574339999999999E-2</v>
      </c>
      <c r="S5268">
        <v>-3.002869</v>
      </c>
      <c r="T5268">
        <v>-5.8794020000000002E-2</v>
      </c>
      <c r="U5268">
        <v>-3.6590579999999998E-2</v>
      </c>
      <c r="V5268">
        <v>1.1369000000000001E-2</v>
      </c>
      <c r="W5268">
        <v>2.4022000000000002E-2</v>
      </c>
      <c r="X5268">
        <v>0.99964679999999995</v>
      </c>
      <c r="Y5268">
        <v>-2.4376620000000002E-2</v>
      </c>
      <c r="Z5268">
        <v>-4.7746440000000001E-4</v>
      </c>
      <c r="AA5268">
        <v>0.9997028</v>
      </c>
      <c r="AB5268">
        <v>30</v>
      </c>
      <c r="AC5268">
        <v>-56.4255</v>
      </c>
      <c r="AD5268">
        <v>-1.109580456255</v>
      </c>
      <c r="AE5268">
        <v>-0.69350000000000001</v>
      </c>
      <c r="AF5268">
        <v>-1.3813690635868501</v>
      </c>
      <c r="AG5268">
        <v>-1.109580456255</v>
      </c>
      <c r="AH5268">
        <v>56.3910356504948</v>
      </c>
      <c r="AI5268">
        <v>91.126899254548306</v>
      </c>
      <c r="AJ5268">
        <v>91.403251261531096</v>
      </c>
      <c r="AK5268">
        <v>56.418864318719798</v>
      </c>
      <c r="AL5268">
        <v>88.623508401681306</v>
      </c>
      <c r="AM5268">
        <v>89.348402221238899</v>
      </c>
      <c r="AN5268">
        <v>1.00000001769761</v>
      </c>
    </row>
    <row r="5269" spans="1:40" x14ac:dyDescent="0.25">
      <c r="A5269" t="str">
        <f>"20190312160439277"</f>
        <v>20190312160439277</v>
      </c>
      <c r="B5269" t="str">
        <f>"1552377879270374"</f>
        <v>1552377879270374</v>
      </c>
      <c r="C5269" t="s">
        <v>40</v>
      </c>
      <c r="D5269">
        <v>5.0275109999999996</v>
      </c>
      <c r="E5269">
        <v>0.4866434</v>
      </c>
      <c r="F5269" t="s">
        <v>60</v>
      </c>
      <c r="G5269">
        <v>-403.40050000000002</v>
      </c>
      <c r="H5269" s="1">
        <v>-7.6422469999999997E-6</v>
      </c>
      <c r="I5269">
        <v>141.4855</v>
      </c>
      <c r="J5269">
        <v>-346.79289999999997</v>
      </c>
      <c r="K5269">
        <v>1.109575</v>
      </c>
      <c r="L5269">
        <v>142.15199999999999</v>
      </c>
      <c r="M5269">
        <v>-0.99988140000000003</v>
      </c>
      <c r="N5269">
        <v>0</v>
      </c>
      <c r="O5269">
        <v>1.208039E-2</v>
      </c>
      <c r="P5269">
        <v>-0.9996102</v>
      </c>
      <c r="Q5269">
        <v>1.4493809999999999E-2</v>
      </c>
      <c r="R5269">
        <v>2.3868750000000001E-2</v>
      </c>
      <c r="S5269">
        <v>-3.0028380000000001</v>
      </c>
      <c r="T5269">
        <v>-5.8641789999999999E-2</v>
      </c>
      <c r="U5269">
        <v>-3.5095210000000002E-2</v>
      </c>
      <c r="V5269">
        <v>1.1783480000000001E-2</v>
      </c>
      <c r="W5269">
        <v>2.4057760000000001E-2</v>
      </c>
      <c r="X5269">
        <v>0.99964109999999995</v>
      </c>
      <c r="Y5269">
        <v>-2.3758990000000001E-2</v>
      </c>
      <c r="Z5269">
        <v>-4.678576E-4</v>
      </c>
      <c r="AA5269">
        <v>0.99971759999999998</v>
      </c>
      <c r="AB5269">
        <v>30</v>
      </c>
      <c r="AC5269">
        <v>-56.607599999999998</v>
      </c>
      <c r="AD5269">
        <v>-1.1095826422470001</v>
      </c>
      <c r="AE5269">
        <v>-0.66650000000001297</v>
      </c>
      <c r="AF5269">
        <v>-1.3498059096686701</v>
      </c>
      <c r="AG5269">
        <v>-1.1095826422470001</v>
      </c>
      <c r="AH5269">
        <v>56.573683766435202</v>
      </c>
      <c r="AI5269">
        <v>91.1232814919682</v>
      </c>
      <c r="AJ5269">
        <v>91.366775263108806</v>
      </c>
      <c r="AK5269">
        <v>56.600661166971904</v>
      </c>
      <c r="AL5269">
        <v>88.6214588569337</v>
      </c>
      <c r="AM5269">
        <v>89.3246452110143</v>
      </c>
      <c r="AN5269">
        <v>0.99999997751316805</v>
      </c>
    </row>
    <row r="5270" spans="1:40" x14ac:dyDescent="0.25">
      <c r="A5270" t="str">
        <f>"20190312160439292"</f>
        <v>20190312160439292</v>
      </c>
      <c r="B5270" t="str">
        <f>"1552377879280130"</f>
        <v>1552377879280130</v>
      </c>
      <c r="C5270" t="s">
        <v>40</v>
      </c>
      <c r="D5270">
        <v>4.996823</v>
      </c>
      <c r="E5270">
        <v>0.48677280000000001</v>
      </c>
      <c r="F5270" t="s">
        <v>60</v>
      </c>
      <c r="G5270">
        <v>-403.9384</v>
      </c>
      <c r="H5270" s="1">
        <v>-7.900631E-6</v>
      </c>
      <c r="I5270">
        <v>141.53380000000001</v>
      </c>
      <c r="J5270">
        <v>-347.00389999999999</v>
      </c>
      <c r="K5270">
        <v>1.109575</v>
      </c>
      <c r="L5270">
        <v>142.15450000000001</v>
      </c>
      <c r="M5270">
        <v>-0.99988290000000002</v>
      </c>
      <c r="N5270">
        <v>0</v>
      </c>
      <c r="O5270">
        <v>1.196009E-2</v>
      </c>
      <c r="P5270">
        <v>-0.99961540000000004</v>
      </c>
      <c r="Q5270">
        <v>1.445832E-2</v>
      </c>
      <c r="R5270">
        <v>2.3668080000000001E-2</v>
      </c>
      <c r="S5270">
        <v>-3.002777</v>
      </c>
      <c r="T5270">
        <v>-5.8304309999999998E-2</v>
      </c>
      <c r="U5270">
        <v>-3.2485960000000001E-2</v>
      </c>
      <c r="V5270">
        <v>1.1703119999999999E-2</v>
      </c>
      <c r="W5270">
        <v>2.4025339999999999E-2</v>
      </c>
      <c r="X5270">
        <v>0.99964280000000005</v>
      </c>
      <c r="Y5270">
        <v>-2.277063E-2</v>
      </c>
      <c r="Z5270">
        <v>-4.5324740000000002E-4</v>
      </c>
      <c r="AA5270">
        <v>0.99974059999999998</v>
      </c>
      <c r="AB5270">
        <v>30</v>
      </c>
      <c r="AC5270">
        <v>-56.9345</v>
      </c>
      <c r="AD5270">
        <v>-1.1095829006309901</v>
      </c>
      <c r="AE5270">
        <v>-0.62069999999999903</v>
      </c>
      <c r="AF5270">
        <v>-1.30113425088818</v>
      </c>
      <c r="AG5270">
        <v>-1.1095829006309901</v>
      </c>
      <c r="AH5270">
        <v>56.901394200330301</v>
      </c>
      <c r="AI5270">
        <v>91.116839998186506</v>
      </c>
      <c r="AJ5270">
        <v>91.309924175068204</v>
      </c>
      <c r="AK5270">
        <v>56.927083066793301</v>
      </c>
      <c r="AL5270">
        <v>88.623316890531299</v>
      </c>
      <c r="AM5270">
        <v>89.329251657952099</v>
      </c>
      <c r="AN5270">
        <v>0.99999995378584305</v>
      </c>
    </row>
    <row r="5271" spans="1:40" x14ac:dyDescent="0.25">
      <c r="A5271" t="str">
        <f>"20190312160439305"</f>
        <v>20190312160439305</v>
      </c>
      <c r="B5271" t="str">
        <f>"1552377879300626"</f>
        <v>1552377879300626</v>
      </c>
      <c r="C5271" t="s">
        <v>40</v>
      </c>
      <c r="D5271">
        <v>5.0399159999999998</v>
      </c>
      <c r="E5271">
        <v>0.48683310000000002</v>
      </c>
      <c r="F5271" t="s">
        <v>60</v>
      </c>
      <c r="G5271">
        <v>-403.75970000000001</v>
      </c>
      <c r="H5271" s="1">
        <v>-7.827206E-6</v>
      </c>
      <c r="I5271">
        <v>141.5479</v>
      </c>
      <c r="J5271">
        <v>-347.18259999999998</v>
      </c>
      <c r="K5271">
        <v>1.1095729999999999</v>
      </c>
      <c r="L5271">
        <v>142.15649999999999</v>
      </c>
      <c r="M5271">
        <v>-0.99988390000000005</v>
      </c>
      <c r="N5271">
        <v>0</v>
      </c>
      <c r="O5271">
        <v>1.185816E-2</v>
      </c>
      <c r="P5271">
        <v>-0.99961409999999995</v>
      </c>
      <c r="Q5271">
        <v>1.4632579999999999E-2</v>
      </c>
      <c r="R5271">
        <v>2.36181E-2</v>
      </c>
      <c r="S5271">
        <v>-3.002777</v>
      </c>
      <c r="T5271">
        <v>-5.8704609999999997E-2</v>
      </c>
      <c r="U5271">
        <v>-3.2089230000000003E-2</v>
      </c>
      <c r="V5271">
        <v>1.175497E-2</v>
      </c>
      <c r="W5271">
        <v>2.4202669999999999E-2</v>
      </c>
      <c r="X5271">
        <v>0.99963800000000003</v>
      </c>
      <c r="Y5271">
        <v>-2.2536609999999999E-2</v>
      </c>
      <c r="Z5271">
        <v>-4.5207899999999998E-4</v>
      </c>
      <c r="AA5271">
        <v>0.99974589999999997</v>
      </c>
      <c r="AB5271">
        <v>30</v>
      </c>
      <c r="AC5271">
        <v>-56.577100000000002</v>
      </c>
      <c r="AD5271">
        <v>-1.1095808272059999</v>
      </c>
      <c r="AE5271">
        <v>-0.60859999999999503</v>
      </c>
      <c r="AF5271">
        <v>-1.2789963528079999</v>
      </c>
      <c r="AG5271">
        <v>-1.1095808272059999</v>
      </c>
      <c r="AH5271">
        <v>56.544158736296701</v>
      </c>
      <c r="AI5271">
        <v>91.123898391371398</v>
      </c>
      <c r="AJ5271">
        <v>91.295776622989095</v>
      </c>
      <c r="AK5271">
        <v>56.569504934002403</v>
      </c>
      <c r="AL5271">
        <v>88.613153793468101</v>
      </c>
      <c r="AM5271">
        <v>89.326276984587693</v>
      </c>
      <c r="AN5271">
        <v>1.00000003979941</v>
      </c>
    </row>
    <row r="5272" spans="1:40" x14ac:dyDescent="0.25">
      <c r="A5272" t="str">
        <f>"20190312160439320"</f>
        <v>20190312160439320</v>
      </c>
      <c r="B5272" t="str">
        <f>"1552377879310386"</f>
        <v>1552377879310386</v>
      </c>
      <c r="C5272" t="s">
        <v>40</v>
      </c>
      <c r="D5272">
        <v>5.0544599999999997</v>
      </c>
      <c r="E5272">
        <v>0.48688579999999998</v>
      </c>
      <c r="F5272" t="s">
        <v>60</v>
      </c>
      <c r="G5272">
        <v>-404.2552</v>
      </c>
      <c r="H5272" s="1">
        <v>-8.048864E-6</v>
      </c>
      <c r="I5272">
        <v>141.55269999999999</v>
      </c>
      <c r="J5272">
        <v>-347.38159999999999</v>
      </c>
      <c r="K5272">
        <v>1.1095680000000001</v>
      </c>
      <c r="L5272">
        <v>142.15870000000001</v>
      </c>
      <c r="M5272">
        <v>-0.99988529999999998</v>
      </c>
      <c r="N5272">
        <v>0</v>
      </c>
      <c r="O5272">
        <v>1.174453E-2</v>
      </c>
      <c r="P5272">
        <v>-0.99962580000000001</v>
      </c>
      <c r="Q5272">
        <v>1.4462040000000001E-2</v>
      </c>
      <c r="R5272">
        <v>2.3228019999999999E-2</v>
      </c>
      <c r="S5272">
        <v>-3.002777</v>
      </c>
      <c r="T5272">
        <v>-5.8378699999999902E-2</v>
      </c>
      <c r="U5272">
        <v>-3.17688E-2</v>
      </c>
      <c r="V5272">
        <v>1.147857E-2</v>
      </c>
      <c r="W5272">
        <v>2.403487E-2</v>
      </c>
      <c r="X5272">
        <v>0.99964520000000001</v>
      </c>
      <c r="Y5272">
        <v>-2.2316470000000001E-2</v>
      </c>
      <c r="Z5272">
        <v>-4.4522129999999998E-4</v>
      </c>
      <c r="AA5272">
        <v>0.9997509</v>
      </c>
      <c r="AB5272">
        <v>30</v>
      </c>
      <c r="AC5272">
        <v>-56.873600000000003</v>
      </c>
      <c r="AD5272">
        <v>-1.1095760488640001</v>
      </c>
      <c r="AE5272">
        <v>-0.60600000000002296</v>
      </c>
      <c r="AF5272">
        <v>-1.27345779766454</v>
      </c>
      <c r="AG5272">
        <v>-1.1095760488640001</v>
      </c>
      <c r="AH5272">
        <v>56.840927201475203</v>
      </c>
      <c r="AI5272">
        <v>91.118032579114001</v>
      </c>
      <c r="AJ5272">
        <v>91.283433553817204</v>
      </c>
      <c r="AK5272">
        <v>56.8660167313841</v>
      </c>
      <c r="AL5272">
        <v>88.622770739035204</v>
      </c>
      <c r="AM5272">
        <v>89.342121871707803</v>
      </c>
      <c r="AN5272">
        <v>0.9999999792141</v>
      </c>
    </row>
    <row r="5273" spans="1:40" x14ac:dyDescent="0.25">
      <c r="A5273" t="str">
        <f>"20190312160439336"</f>
        <v>20190312160439336</v>
      </c>
      <c r="B5273" t="str">
        <f>"1552377879329907"</f>
        <v>1552377879329907</v>
      </c>
      <c r="C5273" t="s">
        <v>40</v>
      </c>
      <c r="D5273">
        <v>5.0444469999999999</v>
      </c>
      <c r="E5273">
        <v>0.48706460000000001</v>
      </c>
      <c r="F5273" t="s">
        <v>60</v>
      </c>
      <c r="G5273">
        <v>-403.49459999999999</v>
      </c>
      <c r="H5273" s="1">
        <v>-7.7109450000000008E-6</v>
      </c>
      <c r="I5273">
        <v>141.55109999999999</v>
      </c>
      <c r="J5273">
        <v>-347.59589999999997</v>
      </c>
      <c r="K5273">
        <v>1.1095680000000001</v>
      </c>
      <c r="L5273">
        <v>142.1611</v>
      </c>
      <c r="M5273">
        <v>-0.99988659999999996</v>
      </c>
      <c r="N5273">
        <v>0</v>
      </c>
      <c r="O5273">
        <v>1.162233E-2</v>
      </c>
      <c r="P5273">
        <v>-0.99963159999999895</v>
      </c>
      <c r="Q5273">
        <v>1.438263E-2</v>
      </c>
      <c r="R5273">
        <v>2.3020800000000001E-2</v>
      </c>
      <c r="S5273">
        <v>-3.0027469999999998</v>
      </c>
      <c r="T5273">
        <v>-5.9376119999999998E-2</v>
      </c>
      <c r="U5273">
        <v>-3.251648E-2</v>
      </c>
      <c r="V5273">
        <v>1.1393439999999999E-2</v>
      </c>
      <c r="W5273">
        <v>2.3959080000000001E-2</v>
      </c>
      <c r="X5273">
        <v>0.99964799999999998</v>
      </c>
      <c r="Y5273">
        <v>-2.2443069999999999E-2</v>
      </c>
      <c r="Z5273">
        <v>-4.5166599999999998E-4</v>
      </c>
      <c r="AA5273">
        <v>0.99974799999999997</v>
      </c>
      <c r="AB5273">
        <v>30</v>
      </c>
      <c r="AC5273">
        <v>-55.898699999999998</v>
      </c>
      <c r="AD5273">
        <v>-1.109575710945</v>
      </c>
      <c r="AE5273">
        <v>-0.61000000000001298</v>
      </c>
      <c r="AF5273">
        <v>-1.2591656577253501</v>
      </c>
      <c r="AG5273">
        <v>-1.109575710945</v>
      </c>
      <c r="AH5273">
        <v>55.865824985936698</v>
      </c>
      <c r="AI5273">
        <v>91.137538238288599</v>
      </c>
      <c r="AJ5273">
        <v>91.291176937483201</v>
      </c>
      <c r="AK5273">
        <v>55.8910284193378</v>
      </c>
      <c r="AL5273">
        <v>88.627114446350603</v>
      </c>
      <c r="AM5273">
        <v>89.347002382983902</v>
      </c>
      <c r="AN5273">
        <v>0.999999985946739</v>
      </c>
    </row>
    <row r="5274" spans="1:40" x14ac:dyDescent="0.25">
      <c r="A5274" t="str">
        <f>"20190312160439350"</f>
        <v>20190312160439350</v>
      </c>
      <c r="B5274" t="str">
        <f>"1552377879340642"</f>
        <v>1552377879340642</v>
      </c>
      <c r="C5274" t="s">
        <v>40</v>
      </c>
      <c r="D5274">
        <v>5.0603259999999999</v>
      </c>
      <c r="E5274">
        <v>0.48711910000000003</v>
      </c>
      <c r="F5274" t="s">
        <v>60</v>
      </c>
      <c r="G5274">
        <v>-402.75920000000002</v>
      </c>
      <c r="H5274" s="1">
        <v>-7.3957729999999999E-6</v>
      </c>
      <c r="I5274">
        <v>141.5778</v>
      </c>
      <c r="J5274">
        <v>-347.79020000000003</v>
      </c>
      <c r="K5274">
        <v>1.1095660000000001</v>
      </c>
      <c r="L5274">
        <v>142.16329999999999</v>
      </c>
      <c r="M5274">
        <v>-0.99988809999999995</v>
      </c>
      <c r="N5274">
        <v>0</v>
      </c>
      <c r="O5274">
        <v>1.151139E-2</v>
      </c>
      <c r="P5274">
        <v>-0.99963310000000005</v>
      </c>
      <c r="Q5274">
        <v>1.454977E-2</v>
      </c>
      <c r="R5274">
        <v>2.285794E-2</v>
      </c>
      <c r="S5274">
        <v>-3.0027469999999998</v>
      </c>
      <c r="T5274">
        <v>-6.0398460000000001E-2</v>
      </c>
      <c r="U5274">
        <v>-3.1753539999999997E-2</v>
      </c>
      <c r="V5274">
        <v>1.1341499999999999E-2</v>
      </c>
      <c r="W5274">
        <v>2.412926E-2</v>
      </c>
      <c r="X5274">
        <v>0.99964450000000005</v>
      </c>
      <c r="Y5274">
        <v>-2.207802E-2</v>
      </c>
      <c r="Z5274">
        <v>-4.535397E-4</v>
      </c>
      <c r="AA5274">
        <v>0.99975619999999998</v>
      </c>
      <c r="AB5274">
        <v>30</v>
      </c>
      <c r="AC5274">
        <v>-54.969000000000001</v>
      </c>
      <c r="AD5274">
        <v>-1.1095733957730001</v>
      </c>
      <c r="AE5274">
        <v>-0.58549999999999602</v>
      </c>
      <c r="AF5274">
        <v>-1.2177635554406701</v>
      </c>
      <c r="AG5274">
        <v>-1.1095733957730001</v>
      </c>
      <c r="AH5274">
        <v>54.936235954525898</v>
      </c>
      <c r="AI5274">
        <v>91.156788809854902</v>
      </c>
      <c r="AJ5274">
        <v>91.269859251693404</v>
      </c>
      <c r="AK5274">
        <v>54.960932689037499</v>
      </c>
      <c r="AL5274">
        <v>88.617361034366695</v>
      </c>
      <c r="AM5274">
        <v>89.349976713078405</v>
      </c>
      <c r="AN5274">
        <v>0.99999998859532302</v>
      </c>
    </row>
    <row r="5275" spans="1:40" x14ac:dyDescent="0.25">
      <c r="A5275" t="str">
        <f>"20190312160439366"</f>
        <v>20190312160439366</v>
      </c>
      <c r="B5275" t="str">
        <f>"1552377879360166"</f>
        <v>1552377879360166</v>
      </c>
      <c r="C5275" t="s">
        <v>40</v>
      </c>
      <c r="D5275">
        <v>5.1048609999999996</v>
      </c>
      <c r="E5275">
        <v>0.48719499999999999</v>
      </c>
      <c r="F5275" t="s">
        <v>60</v>
      </c>
      <c r="G5275">
        <v>-403.72</v>
      </c>
      <c r="H5275" s="1">
        <v>-7.8191529999999994E-6</v>
      </c>
      <c r="I5275">
        <v>141.57130000000001</v>
      </c>
      <c r="J5275">
        <v>-347.995</v>
      </c>
      <c r="K5275">
        <v>1.1095649999999999</v>
      </c>
      <c r="L5275">
        <v>142.16550000000001</v>
      </c>
      <c r="M5275">
        <v>-0.99988929999999998</v>
      </c>
      <c r="N5275">
        <v>0</v>
      </c>
      <c r="O5275">
        <v>1.139455E-2</v>
      </c>
      <c r="P5275">
        <v>-0.99963809999999997</v>
      </c>
      <c r="Q5275">
        <v>1.4495579999999999E-2</v>
      </c>
      <c r="R5275">
        <v>2.2668020000000001E-2</v>
      </c>
      <c r="S5275">
        <v>-3.0026549999999999</v>
      </c>
      <c r="T5275">
        <v>-5.9568759999999998E-2</v>
      </c>
      <c r="U5275">
        <v>-3.1784060000000003E-2</v>
      </c>
      <c r="V5275">
        <v>1.126833E-2</v>
      </c>
      <c r="W5275">
        <v>2.4078260000000001E-2</v>
      </c>
      <c r="X5275">
        <v>0.99964649999999999</v>
      </c>
      <c r="Y5275">
        <v>-2.1971899999999999E-2</v>
      </c>
      <c r="Z5275">
        <v>-4.4395390000000001E-4</v>
      </c>
      <c r="AA5275">
        <v>0.99975849999999999</v>
      </c>
      <c r="AB5275">
        <v>30</v>
      </c>
      <c r="AC5275">
        <v>-55.725000000000001</v>
      </c>
      <c r="AD5275">
        <v>-1.1095728191530001</v>
      </c>
      <c r="AE5275">
        <v>-0.59419999999999995</v>
      </c>
      <c r="AF5275">
        <v>-1.22866471314572</v>
      </c>
      <c r="AG5275">
        <v>-1.1095728191530001</v>
      </c>
      <c r="AH5275">
        <v>55.692533084685401</v>
      </c>
      <c r="AI5275">
        <v>91.141086016966497</v>
      </c>
      <c r="AJ5275">
        <v>91.263829832196606</v>
      </c>
      <c r="AK5275">
        <v>55.717133901584702</v>
      </c>
      <c r="AL5275">
        <v>88.620283889468993</v>
      </c>
      <c r="AM5275">
        <v>89.354171291886999</v>
      </c>
      <c r="AN5275">
        <v>0.99999993141392995</v>
      </c>
    </row>
    <row r="5276" spans="1:40" x14ac:dyDescent="0.25">
      <c r="A5276" t="str">
        <f>"20190312160439382"</f>
        <v>20190312160439382</v>
      </c>
      <c r="B5276" t="str">
        <f>"1552377879369923"</f>
        <v>1552377879369923</v>
      </c>
      <c r="C5276" t="s">
        <v>40</v>
      </c>
      <c r="D5276">
        <v>5.1129499999999997</v>
      </c>
      <c r="E5276">
        <v>0.48726340000000001</v>
      </c>
      <c r="F5276" t="s">
        <v>60</v>
      </c>
      <c r="G5276">
        <v>-403.63310000000001</v>
      </c>
      <c r="H5276" s="1">
        <v>-7.7833810000000004E-6</v>
      </c>
      <c r="I5276">
        <v>141.578</v>
      </c>
      <c r="J5276">
        <v>-348.22050000000002</v>
      </c>
      <c r="K5276">
        <v>1.1095680000000001</v>
      </c>
      <c r="L5276">
        <v>142.16800000000001</v>
      </c>
      <c r="M5276">
        <v>-0.99989059999999996</v>
      </c>
      <c r="N5276">
        <v>0</v>
      </c>
      <c r="O5276">
        <v>1.126596E-2</v>
      </c>
      <c r="P5276">
        <v>-0.99964120000000001</v>
      </c>
      <c r="Q5276">
        <v>1.4670610000000001E-2</v>
      </c>
      <c r="R5276">
        <v>2.2414679999999999E-2</v>
      </c>
      <c r="S5276">
        <v>-3.0026860000000002</v>
      </c>
      <c r="T5276">
        <v>-5.9881690000000001E-2</v>
      </c>
      <c r="U5276">
        <v>-3.1707760000000001E-2</v>
      </c>
      <c r="V5276">
        <v>1.114354E-2</v>
      </c>
      <c r="W5276">
        <v>2.425654E-2</v>
      </c>
      <c r="X5276">
        <v>0.99964370000000002</v>
      </c>
      <c r="Y5276">
        <v>-2.1817820000000002E-2</v>
      </c>
      <c r="Z5276">
        <v>-4.4218099999999999E-4</v>
      </c>
      <c r="AA5276">
        <v>0.99976189999999998</v>
      </c>
      <c r="AB5276">
        <v>30</v>
      </c>
      <c r="AC5276">
        <v>-55.412599999999998</v>
      </c>
      <c r="AD5276">
        <v>-1.109575783381</v>
      </c>
      <c r="AE5276">
        <v>-0.59000000000000297</v>
      </c>
      <c r="AF5276">
        <v>-1.2137807477337701</v>
      </c>
      <c r="AG5276">
        <v>-1.109575783381</v>
      </c>
      <c r="AH5276">
        <v>55.380233280304303</v>
      </c>
      <c r="AI5276">
        <v>91.147525809536802</v>
      </c>
      <c r="AJ5276">
        <v>91.255563178712293</v>
      </c>
      <c r="AK5276">
        <v>55.404644753879197</v>
      </c>
      <c r="AL5276">
        <v>88.610066367410596</v>
      </c>
      <c r="AM5276">
        <v>89.361321073136494</v>
      </c>
      <c r="AN5276">
        <v>1.0000000425830899</v>
      </c>
    </row>
    <row r="5277" spans="1:40" x14ac:dyDescent="0.25">
      <c r="A5277" t="str">
        <f>"20190312160439399"</f>
        <v>20190312160439399</v>
      </c>
      <c r="B5277" t="str">
        <f>"1552377879390422"</f>
        <v>1552377879390422</v>
      </c>
      <c r="C5277" t="s">
        <v>40</v>
      </c>
      <c r="D5277">
        <v>5.1015439999999996</v>
      </c>
      <c r="E5277">
        <v>0.48742570000000002</v>
      </c>
      <c r="F5277" t="s">
        <v>60</v>
      </c>
      <c r="G5277">
        <v>-404.56650000000002</v>
      </c>
      <c r="H5277" s="1">
        <v>-8.193509E-6</v>
      </c>
      <c r="I5277">
        <v>141.56870000000001</v>
      </c>
      <c r="J5277">
        <v>-348.44130000000001</v>
      </c>
      <c r="K5277">
        <v>1.1095660000000001</v>
      </c>
      <c r="L5277">
        <v>142.1703</v>
      </c>
      <c r="M5277">
        <v>-0.99989209999999995</v>
      </c>
      <c r="N5277">
        <v>0</v>
      </c>
      <c r="O5277">
        <v>1.1140000000000001E-2</v>
      </c>
      <c r="P5277">
        <v>-0.99965630000000005</v>
      </c>
      <c r="Q5277">
        <v>1.46981E-2</v>
      </c>
      <c r="R5277">
        <v>2.1715149999999999E-2</v>
      </c>
      <c r="S5277">
        <v>-3.0026860000000002</v>
      </c>
      <c r="T5277">
        <v>-5.9129359999999999E-2</v>
      </c>
      <c r="U5277">
        <v>-3.1936649999999997E-2</v>
      </c>
      <c r="V5277">
        <v>1.0569719999999999E-2</v>
      </c>
      <c r="W5277">
        <v>2.428752E-2</v>
      </c>
      <c r="X5277">
        <v>0.99964909999999996</v>
      </c>
      <c r="Y5277">
        <v>-2.1768269999999999E-2</v>
      </c>
      <c r="Z5277">
        <v>-4.3365830000000001E-4</v>
      </c>
      <c r="AA5277">
        <v>0.99976299999999996</v>
      </c>
      <c r="AB5277">
        <v>30</v>
      </c>
      <c r="AC5277">
        <v>-56.1252</v>
      </c>
      <c r="AD5277">
        <v>-1.109574193509</v>
      </c>
      <c r="AE5277">
        <v>-0.60159999999999003</v>
      </c>
      <c r="AF5277">
        <v>-1.22634681173511</v>
      </c>
      <c r="AG5277">
        <v>-1.109574193509</v>
      </c>
      <c r="AH5277">
        <v>56.093094084251497</v>
      </c>
      <c r="AI5277">
        <v>91.132945996189804</v>
      </c>
      <c r="AJ5277">
        <v>91.2524412484142</v>
      </c>
      <c r="AK5277">
        <v>56.117468629102</v>
      </c>
      <c r="AL5277">
        <v>88.608290710185102</v>
      </c>
      <c r="AM5277">
        <v>89.3942096482035</v>
      </c>
      <c r="AN5277">
        <v>0.99999996286971804</v>
      </c>
    </row>
    <row r="5278" spans="1:40" x14ac:dyDescent="0.25">
      <c r="A5278" t="str">
        <f>"20190312160439422"</f>
        <v>20190312160439422</v>
      </c>
      <c r="B5278" t="str">
        <f>"1552377879409938"</f>
        <v>1552377879409938</v>
      </c>
      <c r="C5278" t="s">
        <v>40</v>
      </c>
      <c r="D5278">
        <v>5.1286909999999999</v>
      </c>
      <c r="E5278">
        <v>0.4876143</v>
      </c>
      <c r="F5278" t="s">
        <v>60</v>
      </c>
      <c r="G5278">
        <v>-405.9853</v>
      </c>
      <c r="H5278" s="1">
        <v>-8.9965139999999993E-6</v>
      </c>
      <c r="I5278">
        <v>141.54390000000001</v>
      </c>
      <c r="J5278">
        <v>-348.7466</v>
      </c>
      <c r="K5278">
        <v>1.109567</v>
      </c>
      <c r="L5278">
        <v>142.17349999999999</v>
      </c>
      <c r="M5278">
        <v>-0.9998939</v>
      </c>
      <c r="N5278">
        <v>0</v>
      </c>
      <c r="O5278">
        <v>1.096635E-2</v>
      </c>
      <c r="P5278">
        <v>-0.99967620000000001</v>
      </c>
      <c r="Q5278">
        <v>1.448933E-2</v>
      </c>
      <c r="R5278">
        <v>2.092109E-2</v>
      </c>
      <c r="S5278">
        <v>-3.0025940000000002</v>
      </c>
      <c r="T5278">
        <v>-5.7896610000000001E-2</v>
      </c>
      <c r="U5278">
        <v>-3.2684329999999998E-2</v>
      </c>
      <c r="V5278">
        <v>9.9491719999999992E-3</v>
      </c>
      <c r="W5278">
        <v>2.4083500000000001E-2</v>
      </c>
      <c r="X5278">
        <v>0.9996604</v>
      </c>
      <c r="Y5278">
        <v>-2.184417E-2</v>
      </c>
      <c r="Z5278">
        <v>-4.2201510000000001E-4</v>
      </c>
      <c r="AA5278">
        <v>0.99976129999999996</v>
      </c>
      <c r="AB5278">
        <v>30</v>
      </c>
      <c r="AC5278">
        <v>-57.238700000000001</v>
      </c>
      <c r="AD5278">
        <v>-1.109575996514</v>
      </c>
      <c r="AE5278">
        <v>-0.62959999999998195</v>
      </c>
      <c r="AF5278">
        <v>-1.2568183774863</v>
      </c>
      <c r="AG5278">
        <v>-1.109575996514</v>
      </c>
      <c r="AH5278">
        <v>57.206858423677801</v>
      </c>
      <c r="AI5278">
        <v>91.110893374786201</v>
      </c>
      <c r="AJ5278">
        <v>91.258569483973105</v>
      </c>
      <c r="AK5278">
        <v>57.231419710092297</v>
      </c>
      <c r="AL5278">
        <v>88.619983609395803</v>
      </c>
      <c r="AM5278">
        <v>89.429779608416098</v>
      </c>
      <c r="AN5278">
        <v>0.99999995816194698</v>
      </c>
    </row>
    <row r="5279" spans="1:40" x14ac:dyDescent="0.25">
      <c r="A5279" t="str">
        <f>"20190312160439447"</f>
        <v>20190312160439447</v>
      </c>
      <c r="B5279" t="str">
        <f>"1552377879440195"</f>
        <v>1552377879440195</v>
      </c>
      <c r="C5279" t="s">
        <v>40</v>
      </c>
      <c r="D5279">
        <v>5.1058219999999999</v>
      </c>
      <c r="E5279">
        <v>0.48790349999999999</v>
      </c>
      <c r="F5279" t="s">
        <v>60</v>
      </c>
      <c r="G5279">
        <v>-406.5711</v>
      </c>
      <c r="H5279" s="1">
        <v>-9.3542389999999993E-6</v>
      </c>
      <c r="I5279">
        <v>141.52699999999999</v>
      </c>
      <c r="J5279">
        <v>-349.08170000000001</v>
      </c>
      <c r="K5279">
        <v>1.109564</v>
      </c>
      <c r="L5279">
        <v>142.17699999999999</v>
      </c>
      <c r="M5279">
        <v>-0.99989589999999995</v>
      </c>
      <c r="N5279">
        <v>0</v>
      </c>
      <c r="O5279">
        <v>1.077535E-2</v>
      </c>
      <c r="P5279">
        <v>-0.99968800000000002</v>
      </c>
      <c r="Q5279">
        <v>1.445109E-2</v>
      </c>
      <c r="R5279">
        <v>2.038073E-2</v>
      </c>
      <c r="S5279">
        <v>-3.002472</v>
      </c>
      <c r="T5279">
        <v>-5.7613490000000003E-2</v>
      </c>
      <c r="U5279">
        <v>-3.3569340000000003E-2</v>
      </c>
      <c r="V5279">
        <v>9.5998439999999997E-3</v>
      </c>
      <c r="W5279">
        <v>2.4049649999999999E-2</v>
      </c>
      <c r="X5279">
        <v>0.99966469999999996</v>
      </c>
      <c r="Y5279">
        <v>-2.1948369999999998E-2</v>
      </c>
      <c r="Z5279">
        <v>-4.1730320000000001E-4</v>
      </c>
      <c r="AA5279">
        <v>0.99975899999999995</v>
      </c>
      <c r="AB5279">
        <v>30</v>
      </c>
      <c r="AC5279">
        <v>-57.489399999999897</v>
      </c>
      <c r="AD5279">
        <v>-1.1095733542389901</v>
      </c>
      <c r="AE5279">
        <v>-0.65000000000000502</v>
      </c>
      <c r="AF5279">
        <v>-1.26898654099182</v>
      </c>
      <c r="AG5279">
        <v>-1.1095733542389901</v>
      </c>
      <c r="AH5279">
        <v>57.457657056732103</v>
      </c>
      <c r="AI5279">
        <v>91.106040156125601</v>
      </c>
      <c r="AJ5279">
        <v>91.265205694608696</v>
      </c>
      <c r="AK5279">
        <v>57.482378467828603</v>
      </c>
      <c r="AL5279">
        <v>88.621923729163697</v>
      </c>
      <c r="AM5279">
        <v>89.449801880176594</v>
      </c>
      <c r="AN5279">
        <v>1.0000000275480101</v>
      </c>
    </row>
    <row r="5280" spans="1:40" x14ac:dyDescent="0.25">
      <c r="A5280" t="str">
        <f>"20190312160439467"</f>
        <v>20190312160439467</v>
      </c>
      <c r="B5280" t="str">
        <f>"1552377879460692"</f>
        <v>1552377879460692</v>
      </c>
      <c r="C5280" t="s">
        <v>40</v>
      </c>
      <c r="D5280">
        <v>5.1344979999999998</v>
      </c>
      <c r="E5280">
        <v>0.48806060000000001</v>
      </c>
      <c r="F5280" t="s">
        <v>60</v>
      </c>
      <c r="G5280">
        <v>-407.94799999999998</v>
      </c>
      <c r="H5280" s="1">
        <v>-1.021348E-5</v>
      </c>
      <c r="I5280">
        <v>141.53200000000001</v>
      </c>
      <c r="J5280">
        <v>-349.36040000000003</v>
      </c>
      <c r="K5280">
        <v>1.1095649999999999</v>
      </c>
      <c r="L5280">
        <v>142.1798</v>
      </c>
      <c r="M5280">
        <v>-0.99989760000000005</v>
      </c>
      <c r="N5280">
        <v>0</v>
      </c>
      <c r="O5280">
        <v>1.0616479999999999E-2</v>
      </c>
      <c r="P5280">
        <v>-0.99970530000000002</v>
      </c>
      <c r="Q5280">
        <v>1.427176E-2</v>
      </c>
      <c r="R5280">
        <v>1.9650529999999999E-2</v>
      </c>
      <c r="S5280">
        <v>-3.0024410000000001</v>
      </c>
      <c r="T5280">
        <v>-5.659318E-2</v>
      </c>
      <c r="U5280">
        <v>-3.2897950000000002E-2</v>
      </c>
      <c r="V5280">
        <v>9.0282820000000003E-3</v>
      </c>
      <c r="W5280">
        <v>2.3875179999999999E-2</v>
      </c>
      <c r="X5280">
        <v>0.99967419999999996</v>
      </c>
      <c r="Y5280">
        <v>-2.1566410000000001E-2</v>
      </c>
      <c r="Z5280">
        <v>-4.0332520000000002E-4</v>
      </c>
      <c r="AA5280">
        <v>0.99976739999999997</v>
      </c>
      <c r="AB5280">
        <v>30</v>
      </c>
      <c r="AC5280">
        <v>-58.587600000000002</v>
      </c>
      <c r="AD5280">
        <v>-1.1095752134800001</v>
      </c>
      <c r="AE5280">
        <v>-0.64779999999998905</v>
      </c>
      <c r="AF5280">
        <v>-1.2693309884902899</v>
      </c>
      <c r="AG5280">
        <v>-1.1095752134800001</v>
      </c>
      <c r="AH5280">
        <v>58.556420033133101</v>
      </c>
      <c r="AI5280">
        <v>91.085302748211006</v>
      </c>
      <c r="AJ5280">
        <v>91.241809526914395</v>
      </c>
      <c r="AK5280">
        <v>58.580685258960699</v>
      </c>
      <c r="AL5280">
        <v>88.631922984577599</v>
      </c>
      <c r="AM5280">
        <v>89.482563027197401</v>
      </c>
      <c r="AN5280">
        <v>1.0000000201207699</v>
      </c>
    </row>
    <row r="5281" spans="1:40" x14ac:dyDescent="0.25">
      <c r="A5281" t="str">
        <f>"20190312160439488"</f>
        <v>20190312160439488</v>
      </c>
      <c r="B5281" t="str">
        <f>"1552377879480210"</f>
        <v>1552377879480210</v>
      </c>
      <c r="C5281" t="s">
        <v>40</v>
      </c>
      <c r="D5281">
        <v>5.1416559999999896</v>
      </c>
      <c r="E5281">
        <v>0.48816709999999902</v>
      </c>
      <c r="F5281" t="s">
        <v>60</v>
      </c>
      <c r="G5281">
        <v>-407.54919999999998</v>
      </c>
      <c r="H5281" s="1">
        <v>-9.9622070000000001E-6</v>
      </c>
      <c r="I5281">
        <v>141.5248</v>
      </c>
      <c r="J5281">
        <v>-349.65589999999997</v>
      </c>
      <c r="K5281">
        <v>1.109567</v>
      </c>
      <c r="L5281">
        <v>142.18279999999999</v>
      </c>
      <c r="M5281">
        <v>-0.99989939999999999</v>
      </c>
      <c r="N5281">
        <v>0</v>
      </c>
      <c r="O5281">
        <v>1.04476E-2</v>
      </c>
      <c r="P5281">
        <v>-0.99972360000000005</v>
      </c>
      <c r="Q5281">
        <v>1.440344E-2</v>
      </c>
      <c r="R5281">
        <v>1.8599830000000001E-2</v>
      </c>
      <c r="S5281">
        <v>-3.00238</v>
      </c>
      <c r="T5281">
        <v>-5.725098E-2</v>
      </c>
      <c r="U5281">
        <v>-3.3798219999999997E-2</v>
      </c>
      <c r="V5281">
        <v>8.1463460000000005E-3</v>
      </c>
      <c r="W5281">
        <v>2.4011040000000001E-2</v>
      </c>
      <c r="X5281">
        <v>0.99967850000000003</v>
      </c>
      <c r="Y5281">
        <v>-2.169739E-2</v>
      </c>
      <c r="Z5281">
        <v>-4.0604850000000001E-4</v>
      </c>
      <c r="AA5281">
        <v>0.99976449999999994</v>
      </c>
      <c r="AB5281">
        <v>30</v>
      </c>
      <c r="AC5281">
        <v>-57.893300000000004</v>
      </c>
      <c r="AD5281">
        <v>-1.109576962207</v>
      </c>
      <c r="AE5281">
        <v>-0.65799999999998704</v>
      </c>
      <c r="AF5281">
        <v>-1.26237431182405</v>
      </c>
      <c r="AG5281">
        <v>-1.109576962207</v>
      </c>
      <c r="AH5281">
        <v>57.862013392297399</v>
      </c>
      <c r="AI5281">
        <v>91.098322772440198</v>
      </c>
      <c r="AJ5281">
        <v>91.249822527448998</v>
      </c>
      <c r="AK5281">
        <v>57.886417610252998</v>
      </c>
      <c r="AL5281">
        <v>88.624136517733405</v>
      </c>
      <c r="AM5281">
        <v>89.533108981511802</v>
      </c>
      <c r="AN5281">
        <v>0.99999999817864105</v>
      </c>
    </row>
    <row r="5282" spans="1:40" x14ac:dyDescent="0.25">
      <c r="A5282" t="str">
        <f>"20190312160439504"</f>
        <v>20190312160439504</v>
      </c>
      <c r="B5282" t="str">
        <f>"1552377879500706"</f>
        <v>1552377879500706</v>
      </c>
      <c r="C5282" t="s">
        <v>40</v>
      </c>
      <c r="D5282">
        <v>5.1621360000000003</v>
      </c>
      <c r="E5282">
        <v>0.48828959999999999</v>
      </c>
      <c r="F5282" t="s">
        <v>60</v>
      </c>
      <c r="G5282">
        <v>-408.1431</v>
      </c>
      <c r="H5282" s="1">
        <v>-1.0313360000000001E-5</v>
      </c>
      <c r="I5282">
        <v>141.4795</v>
      </c>
      <c r="J5282">
        <v>-349.8818</v>
      </c>
      <c r="K5282">
        <v>1.1095660000000001</v>
      </c>
      <c r="L5282">
        <v>142.185</v>
      </c>
      <c r="M5282">
        <v>-0.99990069999999998</v>
      </c>
      <c r="N5282">
        <v>0</v>
      </c>
      <c r="O5282">
        <v>1.031877E-2</v>
      </c>
      <c r="P5282">
        <v>-0.99972380000000005</v>
      </c>
      <c r="Q5282">
        <v>1.4810729999999999E-2</v>
      </c>
      <c r="R5282">
        <v>1.8263419999999999E-2</v>
      </c>
      <c r="S5282">
        <v>-3.002319</v>
      </c>
      <c r="T5282">
        <v>-5.6957840000000003E-2</v>
      </c>
      <c r="U5282">
        <v>-3.6102290000000002E-2</v>
      </c>
      <c r="V5282">
        <v>7.9386189999999992E-3</v>
      </c>
      <c r="W5282">
        <v>2.4421950000000001E-2</v>
      </c>
      <c r="X5282">
        <v>0.99967019999999995</v>
      </c>
      <c r="Y5282">
        <v>-2.2335919999999999E-2</v>
      </c>
      <c r="Z5282">
        <v>-4.075889E-4</v>
      </c>
      <c r="AA5282">
        <v>0.99975040000000004</v>
      </c>
      <c r="AB5282">
        <v>30</v>
      </c>
      <c r="AC5282">
        <v>-58.261299999999999</v>
      </c>
      <c r="AD5282">
        <v>-1.1095763133600001</v>
      </c>
      <c r="AE5282">
        <v>-0.70550000000000002</v>
      </c>
      <c r="AF5282">
        <v>-1.3062013839740101</v>
      </c>
      <c r="AG5282">
        <v>-1.1095763133600001</v>
      </c>
      <c r="AH5282">
        <v>58.229800493347497</v>
      </c>
      <c r="AI5282">
        <v>91.091371830537696</v>
      </c>
      <c r="AJ5282">
        <v>91.285034069042496</v>
      </c>
      <c r="AK5282">
        <v>58.255016841004498</v>
      </c>
      <c r="AL5282">
        <v>88.600586178357005</v>
      </c>
      <c r="AM5282">
        <v>89.545010141548602</v>
      </c>
      <c r="AN5282">
        <v>0.99999998104073395</v>
      </c>
    </row>
    <row r="5283" spans="1:40" x14ac:dyDescent="0.25">
      <c r="A5283" t="str">
        <f>"20190312160439517"</f>
        <v>20190312160439517</v>
      </c>
      <c r="B5283" t="str">
        <f>"1552377879510467"</f>
        <v>1552377879510467</v>
      </c>
      <c r="C5283" t="s">
        <v>40</v>
      </c>
      <c r="D5283">
        <v>5.1761650000000001</v>
      </c>
      <c r="E5283">
        <v>0.48835519999999999</v>
      </c>
      <c r="F5283" t="s">
        <v>60</v>
      </c>
      <c r="G5283">
        <v>-409.52609999999999</v>
      </c>
      <c r="H5283" s="1">
        <v>-1.112063E-5</v>
      </c>
      <c r="I5283">
        <v>141.46870000000001</v>
      </c>
      <c r="J5283">
        <v>-350.05189999999999</v>
      </c>
      <c r="K5283">
        <v>1.1095680000000001</v>
      </c>
      <c r="L5283">
        <v>142.1867</v>
      </c>
      <c r="M5283">
        <v>-0.99990159999999995</v>
      </c>
      <c r="N5283">
        <v>0</v>
      </c>
      <c r="O5283">
        <v>1.0222200000000001E-2</v>
      </c>
      <c r="P5283">
        <v>-0.99973400000000001</v>
      </c>
      <c r="Q5283">
        <v>1.4930540000000001E-2</v>
      </c>
      <c r="R5283">
        <v>1.7590970000000001E-2</v>
      </c>
      <c r="S5283">
        <v>-3.0023499999999999</v>
      </c>
      <c r="T5283">
        <v>-5.5853489999999999E-2</v>
      </c>
      <c r="U5283">
        <v>-3.6056520000000002E-2</v>
      </c>
      <c r="V5283">
        <v>7.3627069999999996E-3</v>
      </c>
      <c r="W5283">
        <v>2.4544460000000001E-2</v>
      </c>
      <c r="X5283">
        <v>0.99967159999999999</v>
      </c>
      <c r="Y5283">
        <v>-2.2224259999999999E-2</v>
      </c>
      <c r="Z5283">
        <v>-3.9684870000000001E-4</v>
      </c>
      <c r="AA5283">
        <v>0.99975290000000006</v>
      </c>
      <c r="AB5283">
        <v>30</v>
      </c>
      <c r="AC5283">
        <v>-59.474200000000003</v>
      </c>
      <c r="AD5283">
        <v>-1.1095791206299901</v>
      </c>
      <c r="AE5283">
        <v>-0.71799999999998898</v>
      </c>
      <c r="AF5283">
        <v>-1.3254864207963799</v>
      </c>
      <c r="AG5283">
        <v>-1.1095791206299901</v>
      </c>
      <c r="AH5283">
        <v>59.443065436845202</v>
      </c>
      <c r="AI5283">
        <v>91.069107460298</v>
      </c>
      <c r="AJ5283">
        <v>91.277393651117606</v>
      </c>
      <c r="AK5283">
        <v>59.468194092352498</v>
      </c>
      <c r="AL5283">
        <v>88.593564757510407</v>
      </c>
      <c r="AM5283">
        <v>89.578017011445496</v>
      </c>
      <c r="AN5283">
        <v>0.99999997390880901</v>
      </c>
    </row>
    <row r="5284" spans="1:40" x14ac:dyDescent="0.25">
      <c r="A5284" t="str">
        <f>"20190312160439529"</f>
        <v>20190312160439529</v>
      </c>
      <c r="B5284" t="str">
        <f>"1552377879520226"</f>
        <v>1552377879520226</v>
      </c>
      <c r="C5284" t="s">
        <v>40</v>
      </c>
      <c r="D5284">
        <v>5.2199879999999999</v>
      </c>
      <c r="E5284">
        <v>0.488423</v>
      </c>
      <c r="F5284" t="s">
        <v>60</v>
      </c>
      <c r="G5284">
        <v>-409.80930000000001</v>
      </c>
      <c r="H5284" s="1">
        <v>-1.125818E-5</v>
      </c>
      <c r="I5284">
        <v>141.43960000000001</v>
      </c>
      <c r="J5284">
        <v>-350.22219999999999</v>
      </c>
      <c r="K5284">
        <v>1.1095680000000001</v>
      </c>
      <c r="L5284">
        <v>142.1883</v>
      </c>
      <c r="M5284">
        <v>-0.99990250000000003</v>
      </c>
      <c r="N5284">
        <v>0</v>
      </c>
      <c r="O5284">
        <v>1.0125210000000001E-2</v>
      </c>
      <c r="P5284">
        <v>-0.99973389999999995</v>
      </c>
      <c r="Q5284">
        <v>1.505335E-2</v>
      </c>
      <c r="R5284">
        <v>1.7488799999999999E-2</v>
      </c>
      <c r="S5284">
        <v>-3.0022579999999999</v>
      </c>
      <c r="T5284">
        <v>-5.5746200000000003E-2</v>
      </c>
      <c r="U5284">
        <v>-3.753662E-2</v>
      </c>
      <c r="V5284">
        <v>7.357293E-3</v>
      </c>
      <c r="W5284">
        <v>2.466983E-2</v>
      </c>
      <c r="X5284">
        <v>0.99966860000000002</v>
      </c>
      <c r="Y5284">
        <v>-2.2620419999999999E-2</v>
      </c>
      <c r="Z5284">
        <v>-3.9797420000000001E-4</v>
      </c>
      <c r="AA5284">
        <v>0.99974410000000002</v>
      </c>
      <c r="AB5284">
        <v>30</v>
      </c>
      <c r="AC5284">
        <v>-59.5871</v>
      </c>
      <c r="AD5284">
        <v>-1.1095792581799999</v>
      </c>
      <c r="AE5284">
        <v>-0.74869999999998504</v>
      </c>
      <c r="AF5284">
        <v>-1.3515528427905099</v>
      </c>
      <c r="AG5284">
        <v>-1.1095792581799999</v>
      </c>
      <c r="AH5284">
        <v>59.555816598102403</v>
      </c>
      <c r="AI5284">
        <v>91.067074538934904</v>
      </c>
      <c r="AJ5284">
        <v>91.300040673089399</v>
      </c>
      <c r="AK5284">
        <v>59.581483297110402</v>
      </c>
      <c r="AL5284">
        <v>88.586379474943897</v>
      </c>
      <c r="AM5284">
        <v>89.578326030487901</v>
      </c>
      <c r="AN5284">
        <v>1.0000000200492301</v>
      </c>
    </row>
    <row r="5285" spans="1:40" x14ac:dyDescent="0.25">
      <c r="A5285" t="str">
        <f>"20190312160439543"</f>
        <v>20190312160439543</v>
      </c>
      <c r="B5285" t="str">
        <f>"1552377879540723"</f>
        <v>1552377879540723</v>
      </c>
      <c r="C5285" t="s">
        <v>40</v>
      </c>
      <c r="D5285">
        <v>5.199179</v>
      </c>
      <c r="E5285">
        <v>0.48850939999999998</v>
      </c>
      <c r="F5285" t="s">
        <v>60</v>
      </c>
      <c r="G5285">
        <v>-410.38069999999999</v>
      </c>
      <c r="H5285" s="1">
        <v>-1.129551E-5</v>
      </c>
      <c r="I5285">
        <v>141.4426</v>
      </c>
      <c r="J5285">
        <v>-350.41059999999999</v>
      </c>
      <c r="K5285">
        <v>1.1095710000000001</v>
      </c>
      <c r="L5285">
        <v>142.1901</v>
      </c>
      <c r="M5285">
        <v>-0.9999036</v>
      </c>
      <c r="N5285">
        <v>0</v>
      </c>
      <c r="O5285">
        <v>1.001785E-2</v>
      </c>
      <c r="P5285">
        <v>-0.99974289999999999</v>
      </c>
      <c r="Q5285">
        <v>1.4905059999999999E-2</v>
      </c>
      <c r="R5285">
        <v>1.7091619999999998E-2</v>
      </c>
      <c r="S5285">
        <v>-3.0022890000000002</v>
      </c>
      <c r="T5285">
        <v>-5.5374979999999997E-2</v>
      </c>
      <c r="U5285">
        <v>-3.7216190000000003E-2</v>
      </c>
      <c r="V5285">
        <v>7.0674709999999996E-3</v>
      </c>
      <c r="W5285">
        <v>2.4524919999999999E-2</v>
      </c>
      <c r="X5285">
        <v>0.99967430000000002</v>
      </c>
      <c r="Y5285">
        <v>-2.24064E-2</v>
      </c>
      <c r="Z5285">
        <v>-3.9136740000000002E-4</v>
      </c>
      <c r="AA5285">
        <v>0.99974890000000005</v>
      </c>
      <c r="AB5285">
        <v>30</v>
      </c>
      <c r="AC5285">
        <v>-59.970100000000002</v>
      </c>
      <c r="AD5285">
        <v>-1.1095822955100001</v>
      </c>
      <c r="AE5285">
        <v>-0.74750000000000205</v>
      </c>
      <c r="AF5285">
        <v>-1.34780039527552</v>
      </c>
      <c r="AG5285">
        <v>-1.1095822955100001</v>
      </c>
      <c r="AH5285">
        <v>59.939085764263702</v>
      </c>
      <c r="AI5285">
        <v>91.060260767872293</v>
      </c>
      <c r="AJ5285">
        <v>91.288145486822302</v>
      </c>
      <c r="AK5285">
        <v>59.9645040088866</v>
      </c>
      <c r="AL5285">
        <v>88.594684780061996</v>
      </c>
      <c r="AM5285">
        <v>89.5949385576222</v>
      </c>
      <c r="AN5285">
        <v>1.0000000634639099</v>
      </c>
    </row>
    <row r="5286" spans="1:40" x14ac:dyDescent="0.25">
      <c r="A5286" t="str">
        <f>"20190312160439561"</f>
        <v>20190312160439561</v>
      </c>
      <c r="B5286" t="str">
        <f>"1552377879550483"</f>
        <v>1552377879550483</v>
      </c>
      <c r="C5286" t="s">
        <v>40</v>
      </c>
      <c r="D5286">
        <v>5.2038640000000003</v>
      </c>
      <c r="E5286">
        <v>0.48850939999999998</v>
      </c>
      <c r="F5286" t="s">
        <v>60</v>
      </c>
      <c r="G5286">
        <v>-410.07670000000002</v>
      </c>
      <c r="H5286" s="1">
        <v>-1.132474E-5</v>
      </c>
      <c r="I5286">
        <v>141.44110000000001</v>
      </c>
      <c r="J5286">
        <v>-350.63850000000002</v>
      </c>
      <c r="K5286">
        <v>1.1095699999999999</v>
      </c>
      <c r="L5286">
        <v>142.19229999999999</v>
      </c>
      <c r="M5286">
        <v>-0.99990489999999999</v>
      </c>
      <c r="N5286">
        <v>0</v>
      </c>
      <c r="O5286">
        <v>9.8881920000000005E-3</v>
      </c>
      <c r="P5286">
        <v>-0.99974280000000004</v>
      </c>
      <c r="Q5286">
        <v>1.4831169999999999E-2</v>
      </c>
      <c r="R5286">
        <v>1.71717999999999E-2</v>
      </c>
      <c r="S5286">
        <v>-3.0022890000000002</v>
      </c>
      <c r="T5286">
        <v>-5.5832149999999997E-2</v>
      </c>
      <c r="U5286">
        <v>-3.7689210000000001E-2</v>
      </c>
      <c r="V5286">
        <v>7.2774869999999896E-3</v>
      </c>
      <c r="W5286">
        <v>2.445437E-2</v>
      </c>
      <c r="X5286">
        <v>0.99967439999999996</v>
      </c>
      <c r="Y5286">
        <v>-2.243417E-2</v>
      </c>
      <c r="Z5286">
        <v>-3.9244460000000003E-4</v>
      </c>
      <c r="AA5286">
        <v>0.99974819999999998</v>
      </c>
      <c r="AB5286">
        <v>30</v>
      </c>
      <c r="AC5286">
        <v>-59.438200000000002</v>
      </c>
      <c r="AD5286">
        <v>-1.1095813247399999</v>
      </c>
      <c r="AE5286">
        <v>-0.75119999999998199</v>
      </c>
      <c r="AF5286">
        <v>-1.3384604022583599</v>
      </c>
      <c r="AG5286">
        <v>-1.1095813247399999</v>
      </c>
      <c r="AH5286">
        <v>59.407166144650702</v>
      </c>
      <c r="AI5286">
        <v>91.069749932560697</v>
      </c>
      <c r="AJ5286">
        <v>91.290671901015202</v>
      </c>
      <c r="AK5286">
        <v>59.432600786964997</v>
      </c>
      <c r="AL5286">
        <v>88.598728039534606</v>
      </c>
      <c r="AM5286">
        <v>89.582902268129303</v>
      </c>
      <c r="AN5286">
        <v>0.99999994202224396</v>
      </c>
    </row>
    <row r="5287" spans="1:40" x14ac:dyDescent="0.25">
      <c r="A5287" t="str">
        <f>"20190312160439577"</f>
        <v>20190312160439577</v>
      </c>
      <c r="B5287" t="str">
        <f>"1552377879570006"</f>
        <v>1552377879570006</v>
      </c>
      <c r="C5287" t="s">
        <v>40</v>
      </c>
      <c r="D5287">
        <v>5.1479200000000001</v>
      </c>
      <c r="E5287">
        <v>0.45581830000000001</v>
      </c>
      <c r="F5287" t="s">
        <v>60</v>
      </c>
      <c r="G5287">
        <v>-410.09809999999999</v>
      </c>
      <c r="H5287" s="1">
        <v>-1.13260999999999E-5</v>
      </c>
      <c r="I5287">
        <v>141.45070000000001</v>
      </c>
      <c r="J5287">
        <v>-350.87450000000001</v>
      </c>
      <c r="K5287">
        <v>1.1095729999999999</v>
      </c>
      <c r="L5287">
        <v>142.19450000000001</v>
      </c>
      <c r="M5287">
        <v>-0.99990619999999997</v>
      </c>
      <c r="N5287">
        <v>0</v>
      </c>
      <c r="O5287">
        <v>9.753767E-3</v>
      </c>
      <c r="P5287">
        <v>-0.99974819999999998</v>
      </c>
      <c r="Q5287">
        <v>1.4689539999999999E-2</v>
      </c>
      <c r="R5287">
        <v>1.6967940000000001E-2</v>
      </c>
      <c r="S5287">
        <v>-3.0022579999999999</v>
      </c>
      <c r="T5287">
        <v>-5.6025510000000001E-2</v>
      </c>
      <c r="U5287">
        <v>-3.7445069999999997E-2</v>
      </c>
      <c r="V5287">
        <v>7.2078119999999897E-3</v>
      </c>
      <c r="W5287">
        <v>2.431612E-2</v>
      </c>
      <c r="X5287">
        <v>0.99967830000000002</v>
      </c>
      <c r="Y5287">
        <v>-2.221863E-2</v>
      </c>
      <c r="Z5287">
        <v>-3.8928859999999999E-4</v>
      </c>
      <c r="AA5287">
        <v>0.99975309999999995</v>
      </c>
      <c r="AB5287">
        <v>31</v>
      </c>
      <c r="AC5287">
        <v>-59.223599999999898</v>
      </c>
      <c r="AD5287">
        <v>-1.1095843261</v>
      </c>
      <c r="AE5287">
        <v>-0.74379999999999302</v>
      </c>
      <c r="AF5287">
        <v>-1.3209808988131799</v>
      </c>
      <c r="AG5287">
        <v>-1.1095843261</v>
      </c>
      <c r="AH5287">
        <v>59.192752814866097</v>
      </c>
      <c r="AI5287">
        <v>91.073632015952001</v>
      </c>
      <c r="AJ5287">
        <v>91.278434702259403</v>
      </c>
      <c r="AK5287">
        <v>59.2178871095009</v>
      </c>
      <c r="AL5287">
        <v>88.606651569522398</v>
      </c>
      <c r="AM5287">
        <v>89.586897053778998</v>
      </c>
      <c r="AN5287">
        <v>0.99999996486828502</v>
      </c>
    </row>
    <row r="5288" spans="1:40" x14ac:dyDescent="0.25">
      <c r="A5288" t="str">
        <f>"20190312160439593"</f>
        <v>20190312160439593</v>
      </c>
      <c r="B5288" t="str">
        <f>"1552377879590644"</f>
        <v>1552377879590644</v>
      </c>
      <c r="C5288" t="s">
        <v>40</v>
      </c>
      <c r="D5288">
        <v>5.1732680000000002</v>
      </c>
      <c r="E5288">
        <v>0.45450889999999999</v>
      </c>
      <c r="F5288" t="s">
        <v>81</v>
      </c>
      <c r="G5288">
        <v>-496.42489999999998</v>
      </c>
      <c r="H5288">
        <v>7.9988039999999996E-2</v>
      </c>
      <c r="I5288">
        <v>127.6802</v>
      </c>
      <c r="J5288">
        <v>-351.08580000000001</v>
      </c>
      <c r="K5288">
        <v>1.1095710000000001</v>
      </c>
      <c r="L5288">
        <v>142.19640000000001</v>
      </c>
      <c r="M5288">
        <v>-0.9999074</v>
      </c>
      <c r="N5288">
        <v>0</v>
      </c>
      <c r="O5288">
        <v>9.6332919999999999E-3</v>
      </c>
      <c r="P5288">
        <v>-0.99974099999999999</v>
      </c>
      <c r="Q5288">
        <v>1.513423E-2</v>
      </c>
      <c r="R5288">
        <v>1.7009929999999999E-2</v>
      </c>
      <c r="S5288">
        <v>-3.0061650000000002</v>
      </c>
      <c r="T5288">
        <v>-2.1264789999999999E-2</v>
      </c>
      <c r="U5288">
        <v>-0.29977419999999999</v>
      </c>
      <c r="V5288">
        <v>7.3703129999999999E-3</v>
      </c>
      <c r="W5288">
        <v>2.476422E-2</v>
      </c>
      <c r="X5288">
        <v>0.99966619999999995</v>
      </c>
      <c r="Y5288">
        <v>-0.10880629999999999</v>
      </c>
      <c r="Z5288">
        <v>-4.5186089999999998E-4</v>
      </c>
      <c r="AA5288">
        <v>0.99406280000000002</v>
      </c>
      <c r="AB5288">
        <v>31</v>
      </c>
      <c r="AC5288">
        <v>-145.33909999999901</v>
      </c>
      <c r="AD5288">
        <v>-1.0295829599999999</v>
      </c>
      <c r="AE5288">
        <v>-14.5162</v>
      </c>
      <c r="AF5288">
        <v>-15.914894269302099</v>
      </c>
      <c r="AG5288">
        <v>-1.0295829599999999</v>
      </c>
      <c r="AH5288">
        <v>145.18529631992899</v>
      </c>
      <c r="AI5288">
        <v>90.403887531871902</v>
      </c>
      <c r="AJ5288">
        <v>96.255661531005103</v>
      </c>
      <c r="AK5288">
        <v>146.05859840550301</v>
      </c>
      <c r="AL5288">
        <v>88.580969715836105</v>
      </c>
      <c r="AM5288">
        <v>89.577578818514993</v>
      </c>
      <c r="AN5288">
        <v>1.0000000497641801</v>
      </c>
    </row>
    <row r="5289" spans="1:40" x14ac:dyDescent="0.25">
      <c r="A5289" t="str">
        <f>"20190312160439606"</f>
        <v>20190312160439606</v>
      </c>
      <c r="B5289" t="str">
        <f>"1552377879600404"</f>
        <v>1552377879600404</v>
      </c>
      <c r="C5289" t="s">
        <v>40</v>
      </c>
      <c r="D5289">
        <v>5.138522</v>
      </c>
      <c r="E5289">
        <v>0.45485710000000001</v>
      </c>
      <c r="F5289" t="s">
        <v>41</v>
      </c>
      <c r="G5289">
        <v>-457.58080000000001</v>
      </c>
      <c r="H5289" s="1">
        <v>-2.02977E-6</v>
      </c>
      <c r="I5289">
        <v>131.22120000000001</v>
      </c>
      <c r="J5289">
        <v>-351.26530000000002</v>
      </c>
      <c r="K5289">
        <v>1.109572</v>
      </c>
      <c r="L5289">
        <v>142.19799999999901</v>
      </c>
      <c r="M5289">
        <v>-0.99990820000000002</v>
      </c>
      <c r="N5289">
        <v>0</v>
      </c>
      <c r="O5289">
        <v>9.5311170000000004E-3</v>
      </c>
      <c r="P5289">
        <v>-0.99974039999999997</v>
      </c>
      <c r="Q5289">
        <v>1.526048E-2</v>
      </c>
      <c r="R5289">
        <v>1.6934279999999999E-2</v>
      </c>
      <c r="S5289">
        <v>-3.0065309999999998</v>
      </c>
      <c r="T5289">
        <v>-3.1325099999999897E-2</v>
      </c>
      <c r="U5289">
        <v>-0.30984499999999998</v>
      </c>
      <c r="V5289">
        <v>7.3968509999999899E-3</v>
      </c>
      <c r="W5289">
        <v>2.48934E-2</v>
      </c>
      <c r="X5289">
        <v>0.99966279999999996</v>
      </c>
      <c r="Y5289">
        <v>-0.1119845</v>
      </c>
      <c r="Z5289">
        <v>-6.8088369999999999E-4</v>
      </c>
      <c r="AA5289">
        <v>0.99370970000000003</v>
      </c>
      <c r="AB5289">
        <v>31</v>
      </c>
      <c r="AC5289">
        <v>-106.3155</v>
      </c>
      <c r="AD5289">
        <v>-1.1095740297700001</v>
      </c>
      <c r="AE5289">
        <v>-10.9767999999999</v>
      </c>
      <c r="AF5289">
        <v>-11.988361793948799</v>
      </c>
      <c r="AG5289">
        <v>-1.1095740297700001</v>
      </c>
      <c r="AH5289">
        <v>106.194599433938</v>
      </c>
      <c r="AI5289">
        <v>90.594854818185695</v>
      </c>
      <c r="AJ5289">
        <v>96.440880335991295</v>
      </c>
      <c r="AK5289">
        <v>106.874903143651</v>
      </c>
      <c r="AL5289">
        <v>88.573565971335896</v>
      </c>
      <c r="AM5289">
        <v>89.576056436536902</v>
      </c>
      <c r="AN5289">
        <v>1.0000000542360501</v>
      </c>
    </row>
    <row r="5290" spans="1:40" x14ac:dyDescent="0.25">
      <c r="A5290" t="str">
        <f>"20190312160439618"</f>
        <v>20190312160439618</v>
      </c>
      <c r="B5290" t="str">
        <f>"1552377879610164"</f>
        <v>1552377879610164</v>
      </c>
      <c r="C5290" t="s">
        <v>40</v>
      </c>
      <c r="D5290">
        <v>5.2206900000000003</v>
      </c>
      <c r="E5290">
        <v>0.45416119999999999</v>
      </c>
      <c r="F5290" t="s">
        <v>60</v>
      </c>
      <c r="G5290">
        <v>-435.59100000000001</v>
      </c>
      <c r="H5290" s="1">
        <v>-6.6165010000000003E-6</v>
      </c>
      <c r="I5290">
        <v>133.58789999999999</v>
      </c>
      <c r="J5290">
        <v>-351.42869999999999</v>
      </c>
      <c r="K5290">
        <v>1.1095729999999999</v>
      </c>
      <c r="L5290">
        <v>142.1995</v>
      </c>
      <c r="M5290">
        <v>-0.99990919999999905</v>
      </c>
      <c r="N5290">
        <v>0</v>
      </c>
      <c r="O5290">
        <v>9.4378259999999999E-3</v>
      </c>
      <c r="P5290">
        <v>-0.9997355</v>
      </c>
      <c r="Q5290">
        <v>1.557394E-2</v>
      </c>
      <c r="R5290">
        <v>1.6937710000000002E-2</v>
      </c>
      <c r="S5290">
        <v>-3.0066220000000001</v>
      </c>
      <c r="T5290">
        <v>-3.9561869999999999E-2</v>
      </c>
      <c r="U5290">
        <v>-0.30699159999999998</v>
      </c>
      <c r="V5290">
        <v>7.4933999999999999E-3</v>
      </c>
      <c r="W5290">
        <v>2.5208970000000001E-2</v>
      </c>
      <c r="X5290">
        <v>0.99965409999999999</v>
      </c>
      <c r="Y5290">
        <v>-0.1109516</v>
      </c>
      <c r="Z5290">
        <v>-8.5191729999999999E-4</v>
      </c>
      <c r="AA5290">
        <v>0.99382539999999997</v>
      </c>
      <c r="AB5290">
        <v>31</v>
      </c>
      <c r="AC5290">
        <v>-84.162300000000002</v>
      </c>
      <c r="AD5290">
        <v>-1.1095796165009999</v>
      </c>
      <c r="AE5290">
        <v>-8.6116000000000099</v>
      </c>
      <c r="AF5290">
        <v>-9.4039447271539593</v>
      </c>
      <c r="AG5290">
        <v>-1.1095796165009999</v>
      </c>
      <c r="AH5290">
        <v>84.062812948106199</v>
      </c>
      <c r="AI5290">
        <v>90.751539233755395</v>
      </c>
      <c r="AJ5290">
        <v>96.383029875823496</v>
      </c>
      <c r="AK5290">
        <v>84.594455279911898</v>
      </c>
      <c r="AL5290">
        <v>88.555479361817106</v>
      </c>
      <c r="AM5290">
        <v>89.570519289676596</v>
      </c>
      <c r="AN5290">
        <v>0.99999998142941504</v>
      </c>
    </row>
    <row r="5291" spans="1:40" x14ac:dyDescent="0.25">
      <c r="A5291" t="str">
        <f>"20190312160439633"</f>
        <v>20190312160439633</v>
      </c>
      <c r="B5291" t="str">
        <f>"1552377879619924"</f>
        <v>1552377879619924</v>
      </c>
      <c r="C5291" t="s">
        <v>40</v>
      </c>
      <c r="D5291">
        <v>5.2025129999999997</v>
      </c>
      <c r="E5291">
        <v>0.45365739999999999</v>
      </c>
      <c r="F5291" t="s">
        <v>60</v>
      </c>
      <c r="G5291">
        <v>-429.68549999999999</v>
      </c>
      <c r="H5291" s="1">
        <v>-9.0023910000000008E-6</v>
      </c>
      <c r="I5291">
        <v>134.06809999999999</v>
      </c>
      <c r="J5291">
        <v>-351.63720000000001</v>
      </c>
      <c r="K5291">
        <v>1.1095740000000001</v>
      </c>
      <c r="L5291">
        <v>142.2013</v>
      </c>
      <c r="M5291">
        <v>-0.99991030000000003</v>
      </c>
      <c r="N5291">
        <v>0</v>
      </c>
      <c r="O5291">
        <v>9.3190200000000008E-3</v>
      </c>
      <c r="P5291">
        <v>-0.99972340000000004</v>
      </c>
      <c r="Q5291">
        <v>1.615138E-2</v>
      </c>
      <c r="R5291">
        <v>1.7108829999999998E-2</v>
      </c>
      <c r="S5291">
        <v>-3.0067750000000002</v>
      </c>
      <c r="T5291">
        <v>-4.2632219999999998E-2</v>
      </c>
      <c r="U5291">
        <v>-0.31242370000000003</v>
      </c>
      <c r="V5291">
        <v>7.7831430000000002E-3</v>
      </c>
      <c r="W5291">
        <v>2.578956E-2</v>
      </c>
      <c r="X5291">
        <v>0.99963709999999995</v>
      </c>
      <c r="Y5291">
        <v>-0.1126031</v>
      </c>
      <c r="Z5291">
        <v>-9.2789239999999996E-4</v>
      </c>
      <c r="AA5291">
        <v>0.99363959999999996</v>
      </c>
      <c r="AB5291">
        <v>31</v>
      </c>
      <c r="AC5291">
        <v>-78.048299999999898</v>
      </c>
      <c r="AD5291">
        <v>-1.1095830023910001</v>
      </c>
      <c r="AE5291">
        <v>-8.1332000000000093</v>
      </c>
      <c r="AF5291">
        <v>-8.8584429601613106</v>
      </c>
      <c r="AG5291">
        <v>-1.1095830023910001</v>
      </c>
      <c r="AH5291">
        <v>77.953527520333594</v>
      </c>
      <c r="AI5291">
        <v>90.810273296655197</v>
      </c>
      <c r="AJ5291">
        <v>96.483137229052204</v>
      </c>
      <c r="AK5291">
        <v>78.463084561983905</v>
      </c>
      <c r="AL5291">
        <v>88.522203219198303</v>
      </c>
      <c r="AM5291">
        <v>89.553905878048795</v>
      </c>
      <c r="AN5291">
        <v>1.0000000052081801</v>
      </c>
    </row>
    <row r="5292" spans="1:40" x14ac:dyDescent="0.25">
      <c r="A5292" t="str">
        <f>"20190312160439657"</f>
        <v>20190312160439657</v>
      </c>
      <c r="B5292" t="str">
        <f>"1552377879650180"</f>
        <v>1552377879650180</v>
      </c>
      <c r="C5292" t="s">
        <v>40</v>
      </c>
      <c r="D5292">
        <v>5.142328</v>
      </c>
      <c r="E5292">
        <v>0.45257570000000003</v>
      </c>
      <c r="F5292" t="s">
        <v>60</v>
      </c>
      <c r="G5292">
        <v>-434.98070000000001</v>
      </c>
      <c r="H5292" s="1">
        <v>-6.82741099999999E-6</v>
      </c>
      <c r="I5292">
        <v>133.44120000000001</v>
      </c>
      <c r="J5292">
        <v>-351.96730000000002</v>
      </c>
      <c r="K5292">
        <v>1.109577</v>
      </c>
      <c r="L5292">
        <v>142.20419999999999</v>
      </c>
      <c r="M5292">
        <v>-0.99991180000000002</v>
      </c>
      <c r="N5292">
        <v>0</v>
      </c>
      <c r="O5292">
        <v>9.1312430000000007E-3</v>
      </c>
      <c r="P5292">
        <v>-0.99972119999999998</v>
      </c>
      <c r="Q5292">
        <v>1.615287E-2</v>
      </c>
      <c r="R5292">
        <v>1.7226060000000001E-2</v>
      </c>
      <c r="S5292">
        <v>-3.0069270000000001</v>
      </c>
      <c r="T5292">
        <v>-4.0032270000000002E-2</v>
      </c>
      <c r="U5292">
        <v>-0.31605529999999998</v>
      </c>
      <c r="V5292">
        <v>8.0882119999999991E-3</v>
      </c>
      <c r="W5292">
        <v>2.5795760000000001E-2</v>
      </c>
      <c r="X5292">
        <v>0.99963449999999998</v>
      </c>
      <c r="Y5292">
        <v>-0.1135997</v>
      </c>
      <c r="Z5292">
        <v>-8.7533320000000002E-4</v>
      </c>
      <c r="AA5292">
        <v>0.99352620000000003</v>
      </c>
      <c r="AB5292">
        <v>31</v>
      </c>
      <c r="AC5292">
        <v>-83.013399999999905</v>
      </c>
      <c r="AD5292">
        <v>-1.1095838274109999</v>
      </c>
      <c r="AE5292">
        <v>-8.7629999999999697</v>
      </c>
      <c r="AF5292">
        <v>-9.5190035036621108</v>
      </c>
      <c r="AG5292">
        <v>-1.1095838274109999</v>
      </c>
      <c r="AH5292">
        <v>82.915267718146197</v>
      </c>
      <c r="AI5292">
        <v>90.761691945095293</v>
      </c>
      <c r="AJ5292">
        <v>96.549112151263699</v>
      </c>
      <c r="AK5292">
        <v>83.4672643899669</v>
      </c>
      <c r="AL5292">
        <v>88.521847840224297</v>
      </c>
      <c r="AM5292">
        <v>89.536420262719602</v>
      </c>
      <c r="AN5292">
        <v>0.999999986998792</v>
      </c>
    </row>
    <row r="5293" spans="1:40" x14ac:dyDescent="0.25">
      <c r="A5293" t="str">
        <f>"20190312160439679"</f>
        <v>20190312160439679</v>
      </c>
      <c r="B5293" t="str">
        <f>"1552377879670676"</f>
        <v>1552377879670676</v>
      </c>
      <c r="C5293" t="s">
        <v>40</v>
      </c>
      <c r="D5293">
        <v>5.1893739999999999</v>
      </c>
      <c r="E5293">
        <v>0.4522313</v>
      </c>
      <c r="F5293" t="s">
        <v>60</v>
      </c>
      <c r="G5293">
        <v>-433.67399999999998</v>
      </c>
      <c r="H5293" s="1">
        <v>-7.3343949999999899E-6</v>
      </c>
      <c r="I5293">
        <v>133.39519999999999</v>
      </c>
      <c r="J5293">
        <v>-352.2552</v>
      </c>
      <c r="K5293">
        <v>1.1095740000000001</v>
      </c>
      <c r="L5293">
        <v>142.20670000000001</v>
      </c>
      <c r="M5293">
        <v>-0.99991339999999995</v>
      </c>
      <c r="N5293">
        <v>0</v>
      </c>
      <c r="O5293">
        <v>8.9674279999999995E-3</v>
      </c>
      <c r="P5293">
        <v>-0.99973350000000005</v>
      </c>
      <c r="Q5293">
        <v>1.570593E-2</v>
      </c>
      <c r="R5293">
        <v>1.693416E-2</v>
      </c>
      <c r="S5293">
        <v>-3.0070800000000002</v>
      </c>
      <c r="T5293">
        <v>-4.0836450000000003E-2</v>
      </c>
      <c r="U5293">
        <v>-0.32420349999999998</v>
      </c>
      <c r="V5293">
        <v>7.9602579999999996E-3</v>
      </c>
      <c r="W5293">
        <v>2.5353400000000002E-2</v>
      </c>
      <c r="X5293">
        <v>0.99964679999999995</v>
      </c>
      <c r="Y5293">
        <v>-0.11609269999999999</v>
      </c>
      <c r="Z5293">
        <v>-9.074021E-4</v>
      </c>
      <c r="AA5293">
        <v>0.99323799999999995</v>
      </c>
      <c r="AB5293">
        <v>31</v>
      </c>
      <c r="AC5293">
        <v>-81.418800000000005</v>
      </c>
      <c r="AD5293">
        <v>-1.1095813343950001</v>
      </c>
      <c r="AE5293">
        <v>-8.8115000000000201</v>
      </c>
      <c r="AF5293">
        <v>-9.5395455562307507</v>
      </c>
      <c r="AG5293">
        <v>-1.1095813343950001</v>
      </c>
      <c r="AH5293">
        <v>81.321577288338005</v>
      </c>
      <c r="AI5293">
        <v>90.776393071023705</v>
      </c>
      <c r="AJ5293">
        <v>96.690587033301298</v>
      </c>
      <c r="AK5293">
        <v>81.886708523546005</v>
      </c>
      <c r="AL5293">
        <v>88.547201430129604</v>
      </c>
      <c r="AM5293">
        <v>89.543759308465695</v>
      </c>
      <c r="AN5293">
        <v>0.99999994267461101</v>
      </c>
    </row>
    <row r="5294" spans="1:40" x14ac:dyDescent="0.25">
      <c r="A5294" t="str">
        <f>"20190312160439700"</f>
        <v>20190312160439700</v>
      </c>
      <c r="B5294" t="str">
        <f>"1552377879689954"</f>
        <v>1552377879689954</v>
      </c>
      <c r="C5294" t="s">
        <v>40</v>
      </c>
      <c r="D5294">
        <v>5.1410280000000004</v>
      </c>
      <c r="E5294">
        <v>0.4519958</v>
      </c>
      <c r="F5294" t="s">
        <v>60</v>
      </c>
      <c r="G5294">
        <v>-424.21719999999999</v>
      </c>
      <c r="H5294" s="1">
        <v>-8.2726639999999994E-6</v>
      </c>
      <c r="I5294">
        <v>134.36750000000001</v>
      </c>
      <c r="J5294">
        <v>-352.55560000000003</v>
      </c>
      <c r="K5294">
        <v>1.1095740000000001</v>
      </c>
      <c r="L5294">
        <v>142.20920000000001</v>
      </c>
      <c r="M5294">
        <v>-0.99991479999999999</v>
      </c>
      <c r="N5294">
        <v>0</v>
      </c>
      <c r="O5294">
        <v>8.7966969999999992E-3</v>
      </c>
      <c r="P5294">
        <v>-0.99974350000000001</v>
      </c>
      <c r="Q5294">
        <v>1.553481E-2</v>
      </c>
      <c r="R5294">
        <v>1.648316E-2</v>
      </c>
      <c r="S5294">
        <v>-3.0070800000000002</v>
      </c>
      <c r="T5294">
        <v>-4.6366209999999998E-2</v>
      </c>
      <c r="U5294">
        <v>-0.32757570000000003</v>
      </c>
      <c r="V5294">
        <v>7.6798099999999996E-3</v>
      </c>
      <c r="W5294">
        <v>2.518656E-2</v>
      </c>
      <c r="X5294">
        <v>0.99965329999999997</v>
      </c>
      <c r="Y5294">
        <v>-0.1170206</v>
      </c>
      <c r="Z5294">
        <v>-1.0347069999999999E-3</v>
      </c>
      <c r="AA5294">
        <v>0.99312900000000004</v>
      </c>
      <c r="AB5294">
        <v>31</v>
      </c>
      <c r="AC5294">
        <v>-71.661599999999893</v>
      </c>
      <c r="AD5294">
        <v>-1.1095822726639999</v>
      </c>
      <c r="AE5294">
        <v>-7.8417000000000003</v>
      </c>
      <c r="AF5294">
        <v>-8.4698047133985401</v>
      </c>
      <c r="AG5294">
        <v>-1.1095822726639999</v>
      </c>
      <c r="AH5294">
        <v>71.572886700681906</v>
      </c>
      <c r="AI5294">
        <v>90.882022130916397</v>
      </c>
      <c r="AJ5294">
        <v>96.748891060356399</v>
      </c>
      <c r="AK5294">
        <v>72.080835701118005</v>
      </c>
      <c r="AL5294">
        <v>88.556763839985805</v>
      </c>
      <c r="AM5294">
        <v>89.559835350879695</v>
      </c>
      <c r="AN5294">
        <v>1.00000003124357</v>
      </c>
    </row>
    <row r="5295" spans="1:40" x14ac:dyDescent="0.25">
      <c r="A5295" t="str">
        <f>"20190312160439716"</f>
        <v>20190312160439716</v>
      </c>
      <c r="B5295" t="str">
        <f>"1552377879710450"</f>
        <v>1552377879710450</v>
      </c>
      <c r="C5295" t="s">
        <v>40</v>
      </c>
      <c r="D5295">
        <v>5.1517999999999997</v>
      </c>
      <c r="E5295">
        <v>0.4518586</v>
      </c>
      <c r="F5295" t="s">
        <v>60</v>
      </c>
      <c r="G5295">
        <v>-419.70280000000002</v>
      </c>
      <c r="H5295" s="1">
        <v>-7.8610680000000008E-6</v>
      </c>
      <c r="I5295">
        <v>134.82239999999999</v>
      </c>
      <c r="J5295">
        <v>-352.77659999999997</v>
      </c>
      <c r="K5295">
        <v>1.109575</v>
      </c>
      <c r="L5295">
        <v>142.21100000000001</v>
      </c>
      <c r="M5295">
        <v>-0.99991580000000002</v>
      </c>
      <c r="N5295">
        <v>0</v>
      </c>
      <c r="O5295">
        <v>8.6711540000000004E-3</v>
      </c>
      <c r="P5295">
        <v>-0.99975250000000004</v>
      </c>
      <c r="Q5295">
        <v>1.551133E-2</v>
      </c>
      <c r="R5295">
        <v>1.5948339999999998E-2</v>
      </c>
      <c r="S5295">
        <v>-3.0069889999999999</v>
      </c>
      <c r="T5295">
        <v>-4.9689410000000003E-2</v>
      </c>
      <c r="U5295">
        <v>-0.33079530000000001</v>
      </c>
      <c r="V5295">
        <v>7.2704019999999996E-3</v>
      </c>
      <c r="W5295">
        <v>2.5166540000000001E-2</v>
      </c>
      <c r="X5295">
        <v>0.99965689999999996</v>
      </c>
      <c r="Y5295">
        <v>-0.1179475</v>
      </c>
      <c r="Z5295">
        <v>-1.1143940000000001E-3</v>
      </c>
      <c r="AA5295">
        <v>0.99301919999999999</v>
      </c>
      <c r="AB5295">
        <v>31</v>
      </c>
      <c r="AC5295">
        <v>-66.926199999999994</v>
      </c>
      <c r="AD5295">
        <v>-1.1095828610680001</v>
      </c>
      <c r="AE5295">
        <v>-7.3886000000000198</v>
      </c>
      <c r="AF5295">
        <v>-7.9665132444609998</v>
      </c>
      <c r="AG5295">
        <v>-1.1095828610680001</v>
      </c>
      <c r="AH5295">
        <v>66.841461515476695</v>
      </c>
      <c r="AI5295">
        <v>90.944352660213795</v>
      </c>
      <c r="AJ5295">
        <v>96.796747341411205</v>
      </c>
      <c r="AK5295">
        <v>67.323677000923695</v>
      </c>
      <c r="AL5295">
        <v>88.557911314720499</v>
      </c>
      <c r="AM5295">
        <v>89.583301025096205</v>
      </c>
      <c r="AN5295">
        <v>1.0000000655992001</v>
      </c>
    </row>
    <row r="5296" spans="1:40" x14ac:dyDescent="0.25">
      <c r="A5296" t="str">
        <f>"20190312160439734"</f>
        <v>20190312160439734</v>
      </c>
      <c r="B5296" t="str">
        <f>"1552377879729970"</f>
        <v>1552377879729970</v>
      </c>
      <c r="C5296" t="s">
        <v>40</v>
      </c>
      <c r="D5296">
        <v>5.2432160000000003</v>
      </c>
      <c r="E5296">
        <v>0.45146829999999999</v>
      </c>
      <c r="F5296" t="s">
        <v>60</v>
      </c>
      <c r="G5296">
        <v>-418.36630000000002</v>
      </c>
      <c r="H5296" s="1">
        <v>-7.9846279999999997E-6</v>
      </c>
      <c r="I5296">
        <v>134.93530000000001</v>
      </c>
      <c r="J5296">
        <v>-353.02190000000002</v>
      </c>
      <c r="K5296">
        <v>1.10958</v>
      </c>
      <c r="L5296">
        <v>142.21299999999999</v>
      </c>
      <c r="M5296">
        <v>-0.99991699999999994</v>
      </c>
      <c r="N5296">
        <v>0</v>
      </c>
      <c r="O5296">
        <v>8.531772E-3</v>
      </c>
      <c r="P5296">
        <v>-0.99975380000000003</v>
      </c>
      <c r="Q5296">
        <v>1.5867539999999999E-2</v>
      </c>
      <c r="R5296">
        <v>1.5516169999999999E-2</v>
      </c>
      <c r="S5296">
        <v>-3.006866</v>
      </c>
      <c r="T5296">
        <v>-5.0867200000000001E-2</v>
      </c>
      <c r="U5296">
        <v>-0.3335419</v>
      </c>
      <c r="V5296">
        <v>6.9774850000000003E-3</v>
      </c>
      <c r="W5296">
        <v>2.552739E-2</v>
      </c>
      <c r="X5296">
        <v>0.99964980000000003</v>
      </c>
      <c r="Y5296">
        <v>-0.1187087</v>
      </c>
      <c r="Z5296">
        <v>-1.1448599999999999E-3</v>
      </c>
      <c r="AA5296">
        <v>0.99292840000000004</v>
      </c>
      <c r="AB5296">
        <v>31</v>
      </c>
      <c r="AC5296">
        <v>-65.344399999999993</v>
      </c>
      <c r="AD5296">
        <v>-1.1095879846279999</v>
      </c>
      <c r="AE5296">
        <v>-7.2776999999999799</v>
      </c>
      <c r="AF5296">
        <v>-7.8327337705375397</v>
      </c>
      <c r="AG5296">
        <v>-1.1095879846279999</v>
      </c>
      <c r="AH5296">
        <v>65.261339941002802</v>
      </c>
      <c r="AI5296">
        <v>90.967122397917606</v>
      </c>
      <c r="AJ5296">
        <v>96.843961695351197</v>
      </c>
      <c r="AK5296">
        <v>65.739070534278795</v>
      </c>
      <c r="AL5296">
        <v>88.537229433828003</v>
      </c>
      <c r="AM5296">
        <v>89.600086000167906</v>
      </c>
      <c r="AN5296">
        <v>1.0000000277885801</v>
      </c>
    </row>
    <row r="5297" spans="1:40" x14ac:dyDescent="0.25">
      <c r="A5297" t="str">
        <f>"20190312160439750"</f>
        <v>20190312160439750</v>
      </c>
      <c r="B5297" t="str">
        <f>"1552377879740706"</f>
        <v>1552377879740706</v>
      </c>
      <c r="C5297" t="s">
        <v>40</v>
      </c>
      <c r="D5297">
        <v>5.2064269999999997</v>
      </c>
      <c r="E5297">
        <v>0.4513432</v>
      </c>
      <c r="F5297" t="s">
        <v>60</v>
      </c>
      <c r="G5297">
        <v>-418.99689999999998</v>
      </c>
      <c r="H5297" s="1">
        <v>-7.8923370000000002E-6</v>
      </c>
      <c r="I5297">
        <v>134.79859999999999</v>
      </c>
      <c r="J5297">
        <v>-353.24720000000002</v>
      </c>
      <c r="K5297">
        <v>1.1095790000000001</v>
      </c>
      <c r="L5297">
        <v>142.2148</v>
      </c>
      <c r="M5297">
        <v>-0.99991799999999997</v>
      </c>
      <c r="N5297">
        <v>0</v>
      </c>
      <c r="O5297">
        <v>8.4036430000000006E-3</v>
      </c>
      <c r="P5297">
        <v>-0.99975040000000004</v>
      </c>
      <c r="Q5297">
        <v>1.6225159999999999E-2</v>
      </c>
      <c r="R5297">
        <v>1.5357900000000001E-2</v>
      </c>
      <c r="S5297">
        <v>-3.0067750000000002</v>
      </c>
      <c r="T5297">
        <v>-5.056882E-2</v>
      </c>
      <c r="U5297">
        <v>-0.33790589999999998</v>
      </c>
      <c r="V5297">
        <v>6.9471530000000002E-3</v>
      </c>
      <c r="W5297">
        <v>2.589253E-2</v>
      </c>
      <c r="X5297">
        <v>0.99964059999999999</v>
      </c>
      <c r="Y5297">
        <v>-0.12000810000000001</v>
      </c>
      <c r="Z5297">
        <v>-1.146832E-3</v>
      </c>
      <c r="AA5297">
        <v>0.99277219999999999</v>
      </c>
      <c r="AB5297">
        <v>31</v>
      </c>
      <c r="AC5297">
        <v>-65.749699999999905</v>
      </c>
      <c r="AD5297">
        <v>-1.109586892337</v>
      </c>
      <c r="AE5297">
        <v>-7.4161999999999999</v>
      </c>
      <c r="AF5297">
        <v>-7.9662606406257099</v>
      </c>
      <c r="AG5297">
        <v>-1.109586892337</v>
      </c>
      <c r="AH5297">
        <v>65.666585384798495</v>
      </c>
      <c r="AI5297">
        <v>90.961006473724595</v>
      </c>
      <c r="AJ5297">
        <v>96.916966425743695</v>
      </c>
      <c r="AK5297">
        <v>66.157334648284106</v>
      </c>
      <c r="AL5297">
        <v>88.516301505575896</v>
      </c>
      <c r="AM5297">
        <v>89.601820755834794</v>
      </c>
      <c r="AN5297">
        <v>1.0000000076064799</v>
      </c>
    </row>
    <row r="5298" spans="1:40" x14ac:dyDescent="0.25">
      <c r="A5298" t="str">
        <f>"20190312160439768"</f>
        <v>20190312160439768</v>
      </c>
      <c r="B5298" t="str">
        <f>"1552377879760229"</f>
        <v>1552377879760229</v>
      </c>
      <c r="C5298" t="s">
        <v>40</v>
      </c>
      <c r="D5298">
        <v>5.1319559999999997</v>
      </c>
      <c r="E5298">
        <v>0.45132139999999998</v>
      </c>
      <c r="F5298" t="s">
        <v>60</v>
      </c>
      <c r="G5298">
        <v>-422.41489999999999</v>
      </c>
      <c r="H5298" s="1">
        <v>-8.0298429999999999E-6</v>
      </c>
      <c r="I5298">
        <v>134.4068</v>
      </c>
      <c r="J5298">
        <v>-353.48540000000003</v>
      </c>
      <c r="K5298">
        <v>1.1095809999999999</v>
      </c>
      <c r="L5298">
        <v>142.2167</v>
      </c>
      <c r="M5298">
        <v>-0.99991909999999895</v>
      </c>
      <c r="N5298">
        <v>0</v>
      </c>
      <c r="O5298">
        <v>8.2682880000000004E-3</v>
      </c>
      <c r="P5298">
        <v>-0.99975420000000004</v>
      </c>
      <c r="Q5298">
        <v>1.5850469999999998E-2</v>
      </c>
      <c r="R5298">
        <v>1.550812E-2</v>
      </c>
      <c r="S5298">
        <v>-3.0067439999999999</v>
      </c>
      <c r="T5298">
        <v>-4.8234109999999997E-2</v>
      </c>
      <c r="U5298">
        <v>-0.33941650000000001</v>
      </c>
      <c r="V5298">
        <v>7.2328409999999899E-3</v>
      </c>
      <c r="W5298">
        <v>2.552834E-2</v>
      </c>
      <c r="X5298">
        <v>0.99964790000000003</v>
      </c>
      <c r="Y5298">
        <v>-0.1203689</v>
      </c>
      <c r="Z5298">
        <v>-1.094591E-3</v>
      </c>
      <c r="AA5298">
        <v>0.99272870000000002</v>
      </c>
      <c r="AB5298">
        <v>31</v>
      </c>
      <c r="AC5298">
        <v>-68.929499999999905</v>
      </c>
      <c r="AD5298">
        <v>-1.109589029843</v>
      </c>
      <c r="AE5298">
        <v>-7.8098999999999901</v>
      </c>
      <c r="AF5298">
        <v>-8.3774452792973708</v>
      </c>
      <c r="AG5298">
        <v>-1.109589029843</v>
      </c>
      <c r="AH5298">
        <v>68.844952522852296</v>
      </c>
      <c r="AI5298">
        <v>90.916608364275405</v>
      </c>
      <c r="AJ5298">
        <v>96.9379659914961</v>
      </c>
      <c r="AK5298">
        <v>69.361662790741605</v>
      </c>
      <c r="AL5298">
        <v>88.537174896230297</v>
      </c>
      <c r="AM5298">
        <v>89.585450005124102</v>
      </c>
      <c r="AN5298">
        <v>0.99999996705324701</v>
      </c>
    </row>
    <row r="5299" spans="1:40" x14ac:dyDescent="0.25">
      <c r="A5299" t="str">
        <f>"20190312160439782"</f>
        <v>20190312160439782</v>
      </c>
      <c r="B5299" t="str">
        <f>"1552377879769986"</f>
        <v>1552377879769986</v>
      </c>
      <c r="C5299" t="s">
        <v>40</v>
      </c>
      <c r="D5299">
        <v>5.1757400000000002</v>
      </c>
      <c r="E5299">
        <v>0.4512042</v>
      </c>
      <c r="F5299" t="s">
        <v>60</v>
      </c>
      <c r="G5299">
        <v>-419.69009999999997</v>
      </c>
      <c r="H5299" s="1">
        <v>-7.8319629999999993E-6</v>
      </c>
      <c r="I5299">
        <v>134.7492</v>
      </c>
      <c r="J5299">
        <v>-353.69319999999999</v>
      </c>
      <c r="K5299">
        <v>1.1095839999999999</v>
      </c>
      <c r="L5299">
        <v>142.2183</v>
      </c>
      <c r="M5299">
        <v>-0.99992000000000003</v>
      </c>
      <c r="N5299">
        <v>0</v>
      </c>
      <c r="O5299">
        <v>8.1500469999999901E-3</v>
      </c>
      <c r="P5299">
        <v>-0.99976299999999996</v>
      </c>
      <c r="Q5299">
        <v>1.5512130000000001E-2</v>
      </c>
      <c r="R5299">
        <v>1.528241E-2</v>
      </c>
      <c r="S5299">
        <v>-3.006866</v>
      </c>
      <c r="T5299">
        <v>-5.0395009999999997E-2</v>
      </c>
      <c r="U5299">
        <v>-0.33915709999999999</v>
      </c>
      <c r="V5299">
        <v>7.1254329999999996E-3</v>
      </c>
      <c r="W5299">
        <v>2.5199429999999998E-2</v>
      </c>
      <c r="X5299">
        <v>0.99965700000000002</v>
      </c>
      <c r="Y5299">
        <v>-0.120161</v>
      </c>
      <c r="Z5299">
        <v>-1.1398700000000001E-3</v>
      </c>
      <c r="AA5299">
        <v>0.99275369999999996</v>
      </c>
      <c r="AB5299">
        <v>31</v>
      </c>
      <c r="AC5299">
        <v>-65.996899999999897</v>
      </c>
      <c r="AD5299">
        <v>-1.10959183196299</v>
      </c>
      <c r="AE5299">
        <v>-7.4690999999999903</v>
      </c>
      <c r="AF5299">
        <v>-8.0045208924680509</v>
      </c>
      <c r="AG5299">
        <v>-1.10959183196299</v>
      </c>
      <c r="AH5299">
        <v>65.915434854911496</v>
      </c>
      <c r="AI5299">
        <v>90.957369319631496</v>
      </c>
      <c r="AJ5299">
        <v>96.923880472577693</v>
      </c>
      <c r="AK5299">
        <v>66.408945940013197</v>
      </c>
      <c r="AL5299">
        <v>88.556026092386205</v>
      </c>
      <c r="AM5299">
        <v>89.591609597837902</v>
      </c>
      <c r="AN5299">
        <v>0.99999995035837896</v>
      </c>
    </row>
    <row r="5300" spans="1:40" x14ac:dyDescent="0.25">
      <c r="A5300" t="str">
        <f>"20190312160439795"</f>
        <v>20190312160439795</v>
      </c>
      <c r="B5300" t="str">
        <f>"1552377879790095"</f>
        <v>1552377879790095</v>
      </c>
      <c r="C5300" t="s">
        <v>40</v>
      </c>
      <c r="D5300">
        <v>5.1728139999999998</v>
      </c>
      <c r="E5300">
        <v>0.45093440000000001</v>
      </c>
      <c r="F5300" t="s">
        <v>60</v>
      </c>
      <c r="G5300">
        <v>-418.4239</v>
      </c>
      <c r="H5300" s="1">
        <v>-7.9598509999999906E-6</v>
      </c>
      <c r="I5300">
        <v>134.8827</v>
      </c>
      <c r="J5300">
        <v>-353.86540000000002</v>
      </c>
      <c r="K5300">
        <v>1.1095839999999999</v>
      </c>
      <c r="L5300">
        <v>142.21960000000001</v>
      </c>
      <c r="M5300">
        <v>-0.99992049999999999</v>
      </c>
      <c r="N5300">
        <v>0</v>
      </c>
      <c r="O5300">
        <v>8.0523160000000003E-3</v>
      </c>
      <c r="P5300">
        <v>-0.99976209999999999</v>
      </c>
      <c r="Q5300">
        <v>1.5423589999999999E-2</v>
      </c>
      <c r="R5300">
        <v>1.542348E-2</v>
      </c>
      <c r="S5300">
        <v>-3.0066830000000002</v>
      </c>
      <c r="T5300">
        <v>-5.1539540000000002E-2</v>
      </c>
      <c r="U5300">
        <v>-0.3407288</v>
      </c>
      <c r="V5300">
        <v>7.3642269999999897E-3</v>
      </c>
      <c r="W5300">
        <v>2.5118399999999999E-2</v>
      </c>
      <c r="X5300">
        <v>0.99965729999999997</v>
      </c>
      <c r="Y5300">
        <v>-0.1205823</v>
      </c>
      <c r="Z5300">
        <v>-1.167719E-3</v>
      </c>
      <c r="AA5300">
        <v>0.99270270000000005</v>
      </c>
      <c r="AB5300">
        <v>31</v>
      </c>
      <c r="AC5300">
        <v>-64.558499999999896</v>
      </c>
      <c r="AD5300">
        <v>-1.109591959851</v>
      </c>
      <c r="AE5300">
        <v>-7.3369000000000097</v>
      </c>
      <c r="AF5300">
        <v>-7.8542414216534597</v>
      </c>
      <c r="AG5300">
        <v>-1.109591959851</v>
      </c>
      <c r="AH5300">
        <v>64.478520483117705</v>
      </c>
      <c r="AI5300">
        <v>90.978656419480302</v>
      </c>
      <c r="AJ5300">
        <v>96.945083427131394</v>
      </c>
      <c r="AK5300">
        <v>64.9646050270361</v>
      </c>
      <c r="AL5300">
        <v>88.560670227133897</v>
      </c>
      <c r="AM5300">
        <v>89.577923860524393</v>
      </c>
      <c r="AN5300">
        <v>0.99999994165057604</v>
      </c>
    </row>
    <row r="5301" spans="1:40" x14ac:dyDescent="0.25">
      <c r="A5301" t="str">
        <f>"20190312160439812"</f>
        <v>20190312160439812</v>
      </c>
      <c r="B5301" t="str">
        <f>"1552377879800830"</f>
        <v>1552377879800830</v>
      </c>
      <c r="C5301" t="s">
        <v>40</v>
      </c>
      <c r="D5301">
        <v>5.1388230000000004</v>
      </c>
      <c r="E5301">
        <v>0.45086569999999998</v>
      </c>
      <c r="F5301" t="s">
        <v>60</v>
      </c>
      <c r="G5301">
        <v>-417.48570000000001</v>
      </c>
      <c r="H5301" s="1">
        <v>-8.0514939999999993E-6</v>
      </c>
      <c r="I5301">
        <v>134.97399999999999</v>
      </c>
      <c r="J5301">
        <v>-354.09960000000001</v>
      </c>
      <c r="K5301">
        <v>1.10958</v>
      </c>
      <c r="L5301">
        <v>142.22130000000001</v>
      </c>
      <c r="M5301">
        <v>-0.99992159999999997</v>
      </c>
      <c r="N5301">
        <v>0</v>
      </c>
      <c r="O5301">
        <v>7.9192259999999997E-3</v>
      </c>
      <c r="P5301">
        <v>-0.99975570000000002</v>
      </c>
      <c r="Q5301">
        <v>1.5657529999999999E-2</v>
      </c>
      <c r="R5301">
        <v>1.560785E-2</v>
      </c>
      <c r="S5301">
        <v>-3.0068049999999999</v>
      </c>
      <c r="T5301">
        <v>-5.244124E-2</v>
      </c>
      <c r="U5301">
        <v>-0.34243770000000001</v>
      </c>
      <c r="V5301">
        <v>7.6817229999999997E-3</v>
      </c>
      <c r="W5301">
        <v>2.5362929999999999E-2</v>
      </c>
      <c r="X5301">
        <v>0.9996488</v>
      </c>
      <c r="Y5301">
        <v>-0.1210019</v>
      </c>
      <c r="Z5301">
        <v>-1.189393E-3</v>
      </c>
      <c r="AA5301">
        <v>0.99265159999999997</v>
      </c>
      <c r="AB5301">
        <v>31</v>
      </c>
      <c r="AC5301">
        <v>-63.386099999999999</v>
      </c>
      <c r="AD5301">
        <v>-1.109588051494</v>
      </c>
      <c r="AE5301">
        <v>-7.2473000000000196</v>
      </c>
      <c r="AF5301">
        <v>-7.7467219674987904</v>
      </c>
      <c r="AG5301">
        <v>-1.109588051494</v>
      </c>
      <c r="AH5301">
        <v>63.307567278662098</v>
      </c>
      <c r="AI5301">
        <v>90.996684278578499</v>
      </c>
      <c r="AJ5301">
        <v>96.976398349038703</v>
      </c>
      <c r="AK5301">
        <v>63.789426722836097</v>
      </c>
      <c r="AL5301">
        <v>88.546655316587305</v>
      </c>
      <c r="AM5301">
        <v>89.559723730659798</v>
      </c>
      <c r="AN5301">
        <v>1.00000000521393</v>
      </c>
    </row>
    <row r="5302" spans="1:40" x14ac:dyDescent="0.25">
      <c r="A5302" t="str">
        <f>"20190312160439828"</f>
        <v>20190312160439828</v>
      </c>
      <c r="B5302" t="str">
        <f>"1552377879820351"</f>
        <v>1552377879820351</v>
      </c>
      <c r="C5302" t="s">
        <v>40</v>
      </c>
      <c r="D5302">
        <v>5.2158449999999998</v>
      </c>
      <c r="E5302">
        <v>0.45064090000000001</v>
      </c>
      <c r="F5302" t="s">
        <v>60</v>
      </c>
      <c r="G5302">
        <v>-417.97550000000001</v>
      </c>
      <c r="H5302" s="1">
        <v>-8.0121730000000004E-6</v>
      </c>
      <c r="I5302">
        <v>134.94730000000001</v>
      </c>
      <c r="J5302">
        <v>-354.3295</v>
      </c>
      <c r="K5302">
        <v>1.10958</v>
      </c>
      <c r="L5302">
        <v>142.22299999999899</v>
      </c>
      <c r="M5302">
        <v>-0.99992259999999999</v>
      </c>
      <c r="N5302">
        <v>0</v>
      </c>
      <c r="O5302">
        <v>7.7885819999999996E-3</v>
      </c>
      <c r="P5302">
        <v>-0.99975369999999997</v>
      </c>
      <c r="Q5302">
        <v>1.5882589999999999E-2</v>
      </c>
      <c r="R5302">
        <v>1.550349E-2</v>
      </c>
      <c r="S5302">
        <v>-3.0069270000000001</v>
      </c>
      <c r="T5302">
        <v>-5.2233340000000003E-2</v>
      </c>
      <c r="U5302">
        <v>-0.34242250000000002</v>
      </c>
      <c r="V5302">
        <v>7.7078729999999996E-3</v>
      </c>
      <c r="W5302">
        <v>2.5597459999999999E-2</v>
      </c>
      <c r="X5302">
        <v>0.99964260000000005</v>
      </c>
      <c r="Y5302">
        <v>-0.1208629</v>
      </c>
      <c r="Z5302">
        <v>-1.1811650000000001E-3</v>
      </c>
      <c r="AA5302">
        <v>0.99266849999999995</v>
      </c>
      <c r="AB5302">
        <v>31</v>
      </c>
      <c r="AC5302">
        <v>-63.646000000000001</v>
      </c>
      <c r="AD5302">
        <v>-1.109588012173</v>
      </c>
      <c r="AE5302">
        <v>-7.2756999999999703</v>
      </c>
      <c r="AF5302">
        <v>-7.7688839390715501</v>
      </c>
      <c r="AG5302">
        <v>-1.109588012173</v>
      </c>
      <c r="AH5302">
        <v>63.568327848043602</v>
      </c>
      <c r="AI5302">
        <v>90.992614945687706</v>
      </c>
      <c r="AJ5302">
        <v>96.967743128346299</v>
      </c>
      <c r="AK5302">
        <v>64.050909818767394</v>
      </c>
      <c r="AL5302">
        <v>88.533213342832894</v>
      </c>
      <c r="AM5302">
        <v>89.558222268569196</v>
      </c>
      <c r="AN5302">
        <v>0.99999998449969696</v>
      </c>
    </row>
    <row r="5303" spans="1:40" x14ac:dyDescent="0.25">
      <c r="A5303" t="str">
        <f>"20190312160439845"</f>
        <v>20190312160439845</v>
      </c>
      <c r="B5303" t="str">
        <f>"1552377879840135"</f>
        <v>1552377879840135</v>
      </c>
      <c r="C5303" t="s">
        <v>40</v>
      </c>
      <c r="D5303">
        <v>5.128285</v>
      </c>
      <c r="E5303">
        <v>0.4505403</v>
      </c>
      <c r="F5303" t="s">
        <v>60</v>
      </c>
      <c r="G5303">
        <v>-419.4502</v>
      </c>
      <c r="H5303" s="1">
        <v>-7.8510630000000006E-6</v>
      </c>
      <c r="I5303">
        <v>134.7619</v>
      </c>
      <c r="J5303">
        <v>-354.57569999999998</v>
      </c>
      <c r="K5303">
        <v>1.1095839999999999</v>
      </c>
      <c r="L5303">
        <v>142.22479999999999</v>
      </c>
      <c r="M5303">
        <v>-0.99992349999999997</v>
      </c>
      <c r="N5303">
        <v>0</v>
      </c>
      <c r="O5303">
        <v>7.6488160000000001E-3</v>
      </c>
      <c r="P5303">
        <v>-0.99975809999999998</v>
      </c>
      <c r="Q5303">
        <v>1.6175620000000002E-2</v>
      </c>
      <c r="R5303">
        <v>1.49082E-2</v>
      </c>
      <c r="S5303">
        <v>-3.0068969999999999</v>
      </c>
      <c r="T5303">
        <v>-5.123436E-2</v>
      </c>
      <c r="U5303">
        <v>-0.34451290000000001</v>
      </c>
      <c r="V5303">
        <v>7.2520850000000001E-3</v>
      </c>
      <c r="W5303">
        <v>2.5900630000000001E-2</v>
      </c>
      <c r="X5303">
        <v>0.99963820000000003</v>
      </c>
      <c r="Y5303">
        <v>-0.12140720000000001</v>
      </c>
      <c r="Z5303">
        <v>-1.1607919999999999E-3</v>
      </c>
      <c r="AA5303">
        <v>0.99260210000000004</v>
      </c>
      <c r="AB5303">
        <v>31</v>
      </c>
      <c r="AC5303">
        <v>-64.874499999999998</v>
      </c>
      <c r="AD5303">
        <v>-1.1095918510629901</v>
      </c>
      <c r="AE5303">
        <v>-7.4628999999999897</v>
      </c>
      <c r="AF5303">
        <v>-7.9566210346187303</v>
      </c>
      <c r="AG5303">
        <v>-1.1095918510629901</v>
      </c>
      <c r="AH5303">
        <v>64.796809228549293</v>
      </c>
      <c r="AI5303">
        <v>90.973734821168506</v>
      </c>
      <c r="AJ5303">
        <v>97.000499373894101</v>
      </c>
      <c r="AK5303">
        <v>65.2929207385111</v>
      </c>
      <c r="AL5303">
        <v>88.515837217740597</v>
      </c>
      <c r="AM5303">
        <v>89.584343041522999</v>
      </c>
      <c r="AN5303">
        <v>0.99999998313524197</v>
      </c>
    </row>
    <row r="5304" spans="1:40" x14ac:dyDescent="0.25">
      <c r="A5304" t="str">
        <f>"20190312160439869"</f>
        <v>20190312160439869</v>
      </c>
      <c r="B5304" t="str">
        <f>"1552377879860631"</f>
        <v>1552377879860631</v>
      </c>
      <c r="C5304" t="s">
        <v>40</v>
      </c>
      <c r="D5304">
        <v>5.145721</v>
      </c>
      <c r="E5304">
        <v>0.45045750000000001</v>
      </c>
      <c r="F5304" t="s">
        <v>60</v>
      </c>
      <c r="G5304">
        <v>-420.18729999999999</v>
      </c>
      <c r="H5304" s="1">
        <v>-7.8094390000000002E-6</v>
      </c>
      <c r="I5304">
        <v>134.65110000000001</v>
      </c>
      <c r="J5304">
        <v>-354.88400000000001</v>
      </c>
      <c r="K5304">
        <v>1.1095889999999999</v>
      </c>
      <c r="L5304">
        <v>142.227</v>
      </c>
      <c r="M5304">
        <v>-0.9999247</v>
      </c>
      <c r="N5304">
        <v>0</v>
      </c>
      <c r="O5304">
        <v>7.4738740000000001E-3</v>
      </c>
      <c r="P5304">
        <v>-0.99976149999999997</v>
      </c>
      <c r="Q5304">
        <v>1.6147100000000001E-2</v>
      </c>
      <c r="R5304">
        <v>1.4716709999999999E-2</v>
      </c>
      <c r="S5304">
        <v>-3.0067439999999999</v>
      </c>
      <c r="T5304">
        <v>-5.0848600000000001E-2</v>
      </c>
      <c r="U5304">
        <v>-0.34707640000000001</v>
      </c>
      <c r="V5304">
        <v>7.2357649999999999E-3</v>
      </c>
      <c r="W5304">
        <v>2.5884899999999999E-2</v>
      </c>
      <c r="X5304">
        <v>0.99963869999999999</v>
      </c>
      <c r="Y5304">
        <v>-0.12207460000000001</v>
      </c>
      <c r="Z5304">
        <v>-1.154731E-3</v>
      </c>
      <c r="AA5304">
        <v>0.99252030000000002</v>
      </c>
      <c r="AB5304">
        <v>31</v>
      </c>
      <c r="AC5304">
        <v>-65.303299999999894</v>
      </c>
      <c r="AD5304">
        <v>-1.1095968094390001</v>
      </c>
      <c r="AE5304">
        <v>-7.5758999999999901</v>
      </c>
      <c r="AF5304">
        <v>-8.0614836288691496</v>
      </c>
      <c r="AG5304">
        <v>-1.1095968094390001</v>
      </c>
      <c r="AH5304">
        <v>65.226270589855901</v>
      </c>
      <c r="AI5304">
        <v>90.967235331315507</v>
      </c>
      <c r="AJ5304">
        <v>97.045604508354501</v>
      </c>
      <c r="AK5304">
        <v>65.731918414413698</v>
      </c>
      <c r="AL5304">
        <v>88.516738744518094</v>
      </c>
      <c r="AM5304">
        <v>89.585278605385</v>
      </c>
      <c r="AN5304">
        <v>0.99999995744041603</v>
      </c>
    </row>
    <row r="5305" spans="1:40" x14ac:dyDescent="0.25">
      <c r="A5305" t="str">
        <f>"20190312160439889"</f>
        <v>20190312160439889</v>
      </c>
      <c r="B5305" t="str">
        <f>"1552377879880152"</f>
        <v>1552377879880152</v>
      </c>
      <c r="C5305" t="s">
        <v>40</v>
      </c>
      <c r="D5305">
        <v>5.1585660000000004</v>
      </c>
      <c r="E5305">
        <v>0.45033489999999998</v>
      </c>
      <c r="F5305" t="s">
        <v>60</v>
      </c>
      <c r="G5305">
        <v>-419.6096</v>
      </c>
      <c r="H5305" s="1">
        <v>-7.828059E-6</v>
      </c>
      <c r="I5305">
        <v>134.72810000000001</v>
      </c>
      <c r="J5305">
        <v>-355.1841</v>
      </c>
      <c r="K5305">
        <v>1.109585</v>
      </c>
      <c r="L5305">
        <v>142.22899999999899</v>
      </c>
      <c r="M5305">
        <v>-0.99992599999999998</v>
      </c>
      <c r="N5305">
        <v>0</v>
      </c>
      <c r="O5305">
        <v>7.3035269999999998E-3</v>
      </c>
      <c r="P5305">
        <v>-0.99975990000000003</v>
      </c>
      <c r="Q5305">
        <v>1.6029809999999999E-2</v>
      </c>
      <c r="R5305">
        <v>1.4942510000000001E-2</v>
      </c>
      <c r="S5305">
        <v>-3.0066830000000002</v>
      </c>
      <c r="T5305">
        <v>-5.1543829999999999E-2</v>
      </c>
      <c r="U5305">
        <v>-0.34834290000000001</v>
      </c>
      <c r="V5305">
        <v>7.6316600000000002E-3</v>
      </c>
      <c r="W5305">
        <v>2.5778599999999999E-2</v>
      </c>
      <c r="X5305">
        <v>0.99963860000000004</v>
      </c>
      <c r="Y5305">
        <v>-0.122319899999999</v>
      </c>
      <c r="Z5305">
        <v>-1.169696E-3</v>
      </c>
      <c r="AA5305">
        <v>0.99249010000000004</v>
      </c>
      <c r="AB5305">
        <v>31</v>
      </c>
      <c r="AC5305">
        <v>-64.4255</v>
      </c>
      <c r="AD5305">
        <v>-1.1095928280589999</v>
      </c>
      <c r="AE5305">
        <v>-7.5008999999999704</v>
      </c>
      <c r="AF5305">
        <v>-7.96892338312208</v>
      </c>
      <c r="AG5305">
        <v>-1.1095928280589999</v>
      </c>
      <c r="AH5305">
        <v>64.3501631639881</v>
      </c>
      <c r="AI5305">
        <v>90.980368691739599</v>
      </c>
      <c r="AJ5305">
        <v>97.059390331082199</v>
      </c>
      <c r="AK5305">
        <v>64.851202266126407</v>
      </c>
      <c r="AL5305">
        <v>88.522831462657393</v>
      </c>
      <c r="AM5305">
        <v>89.562588505686094</v>
      </c>
      <c r="AN5305">
        <v>1.0000000545311301</v>
      </c>
    </row>
    <row r="5306" spans="1:40" x14ac:dyDescent="0.25">
      <c r="A5306" t="str">
        <f>"20190312160439906"</f>
        <v>20190312160439906</v>
      </c>
      <c r="B5306" t="str">
        <f>"1552377879900647"</f>
        <v>1552377879900647</v>
      </c>
      <c r="C5306" t="s">
        <v>40</v>
      </c>
      <c r="D5306">
        <v>5.1736750000000002</v>
      </c>
      <c r="E5306">
        <v>0.4501694</v>
      </c>
      <c r="F5306" t="s">
        <v>60</v>
      </c>
      <c r="G5306">
        <v>-417.88240000000002</v>
      </c>
      <c r="H5306" s="1">
        <v>-8.0231880000000002E-6</v>
      </c>
      <c r="I5306">
        <v>134.96109999999999</v>
      </c>
      <c r="J5306">
        <v>-355.41129999999998</v>
      </c>
      <c r="K5306">
        <v>1.1095870000000001</v>
      </c>
      <c r="L5306">
        <v>142.23060000000001</v>
      </c>
      <c r="M5306">
        <v>-0.9999266</v>
      </c>
      <c r="N5306">
        <v>0</v>
      </c>
      <c r="O5306">
        <v>7.1747989999999999E-3</v>
      </c>
      <c r="P5306">
        <v>-0.99976069999999995</v>
      </c>
      <c r="Q5306">
        <v>1.590544E-2</v>
      </c>
      <c r="R5306">
        <v>1.50052E-2</v>
      </c>
      <c r="S5306">
        <v>-3.0067439999999999</v>
      </c>
      <c r="T5306">
        <v>-5.3211330000000001E-2</v>
      </c>
      <c r="U5306">
        <v>-0.3485413</v>
      </c>
      <c r="V5306">
        <v>7.8230299999999999E-3</v>
      </c>
      <c r="W5306">
        <v>2.5662770000000001E-2</v>
      </c>
      <c r="X5306">
        <v>0.99963999999999997</v>
      </c>
      <c r="Y5306">
        <v>-0.12225320000000001</v>
      </c>
      <c r="Z5306">
        <v>-1.204643E-3</v>
      </c>
      <c r="AA5306">
        <v>0.9924982</v>
      </c>
      <c r="AB5306">
        <v>31</v>
      </c>
      <c r="AC5306">
        <v>-62.4711</v>
      </c>
      <c r="AD5306">
        <v>-1.1095950231880001</v>
      </c>
      <c r="AE5306">
        <v>-7.2695000000000203</v>
      </c>
      <c r="AF5306">
        <v>-7.7151503685162197</v>
      </c>
      <c r="AG5306">
        <v>-1.1095950231880001</v>
      </c>
      <c r="AH5306">
        <v>62.397909958830198</v>
      </c>
      <c r="AI5306">
        <v>91.0110610864227</v>
      </c>
      <c r="AJ5306">
        <v>97.048526799223197</v>
      </c>
      <c r="AK5306">
        <v>62.882858662393701</v>
      </c>
      <c r="AL5306">
        <v>88.529470080270798</v>
      </c>
      <c r="AM5306">
        <v>89.551621131646499</v>
      </c>
      <c r="AN5306">
        <v>0.99999995358122495</v>
      </c>
    </row>
    <row r="5307" spans="1:40" x14ac:dyDescent="0.25">
      <c r="A5307" t="str">
        <f>"20190312160439924"</f>
        <v>20190312160439924</v>
      </c>
      <c r="B5307" t="str">
        <f>"1552377879920170"</f>
        <v>1552377879920170</v>
      </c>
      <c r="C5307" t="s">
        <v>40</v>
      </c>
      <c r="D5307">
        <v>5.1221969999999999</v>
      </c>
      <c r="E5307">
        <v>0.43299199999999999</v>
      </c>
      <c r="F5307" t="s">
        <v>60</v>
      </c>
      <c r="G5307">
        <v>-418.28550000000001</v>
      </c>
      <c r="H5307" s="1">
        <v>-7.9815550000000002E-6</v>
      </c>
      <c r="I5307">
        <v>134.91630000000001</v>
      </c>
      <c r="J5307">
        <v>-355.65750000000003</v>
      </c>
      <c r="K5307">
        <v>1.109591</v>
      </c>
      <c r="L5307">
        <v>142.23220000000001</v>
      </c>
      <c r="M5307">
        <v>-0.99992769999999997</v>
      </c>
      <c r="N5307">
        <v>0</v>
      </c>
      <c r="O5307">
        <v>7.0346870000000004E-3</v>
      </c>
      <c r="P5307">
        <v>-0.9997568</v>
      </c>
      <c r="Q5307">
        <v>1.6122899999999999E-2</v>
      </c>
      <c r="R5307">
        <v>1.5055900000000001E-2</v>
      </c>
      <c r="S5307">
        <v>-3.0068359999999998</v>
      </c>
      <c r="T5307">
        <v>-5.3064229999999997E-2</v>
      </c>
      <c r="U5307">
        <v>-0.34979250000000001</v>
      </c>
      <c r="V5307">
        <v>8.01394699999999E-3</v>
      </c>
      <c r="W5307">
        <v>2.5888230000000002E-2</v>
      </c>
      <c r="X5307">
        <v>0.99963270000000004</v>
      </c>
      <c r="Y5307">
        <v>-0.1225183</v>
      </c>
      <c r="Z5307">
        <v>-1.201115E-3</v>
      </c>
      <c r="AA5307">
        <v>0.99246559999999995</v>
      </c>
      <c r="AB5307">
        <v>31</v>
      </c>
      <c r="AC5307">
        <v>-62.627999999999901</v>
      </c>
      <c r="AD5307">
        <v>-1.109598981555</v>
      </c>
      <c r="AE5307">
        <v>-7.3158999999999903</v>
      </c>
      <c r="AF5307">
        <v>-7.7539070841091302</v>
      </c>
      <c r="AG5307">
        <v>-1.109598981555</v>
      </c>
      <c r="AH5307">
        <v>62.555610662041403</v>
      </c>
      <c r="AI5307">
        <v>91.008478510234298</v>
      </c>
      <c r="AJ5307">
        <v>97.065899207461399</v>
      </c>
      <c r="AK5307">
        <v>63.044101312254199</v>
      </c>
      <c r="AL5307">
        <v>88.516547918120096</v>
      </c>
      <c r="AM5307">
        <v>89.540675786431905</v>
      </c>
      <c r="AN5307">
        <v>0.99999997935416995</v>
      </c>
    </row>
    <row r="5308" spans="1:40" x14ac:dyDescent="0.25">
      <c r="A5308" t="str">
        <f>"20190312160439940"</f>
        <v>20190312160439940</v>
      </c>
      <c r="B5308" t="str">
        <f>"1552377879929928"</f>
        <v>1552377879929928</v>
      </c>
      <c r="C5308" t="s">
        <v>40</v>
      </c>
      <c r="D5308">
        <v>5.1754499999999997</v>
      </c>
      <c r="E5308">
        <v>0.4334576</v>
      </c>
      <c r="F5308" t="s">
        <v>45</v>
      </c>
      <c r="G5308">
        <v>0</v>
      </c>
      <c r="H5308">
        <v>0</v>
      </c>
      <c r="I5308">
        <v>0</v>
      </c>
      <c r="J5308">
        <v>-355.89120000000003</v>
      </c>
      <c r="K5308">
        <v>1.1095930000000001</v>
      </c>
      <c r="L5308">
        <v>142.2337</v>
      </c>
      <c r="M5308">
        <v>-0.9999285</v>
      </c>
      <c r="N5308">
        <v>0</v>
      </c>
      <c r="O5308">
        <v>6.9020870000000003E-3</v>
      </c>
      <c r="P5308">
        <v>-0.99976080000000001</v>
      </c>
      <c r="Q5308">
        <v>1.61829E-2</v>
      </c>
      <c r="R5308">
        <v>1.4720789999999999E-2</v>
      </c>
      <c r="S5308">
        <v>-3.0080260000000001</v>
      </c>
      <c r="T5308">
        <v>4.0521619999999998E-3</v>
      </c>
      <c r="U5308">
        <v>-0.48817440000000001</v>
      </c>
      <c r="V5308">
        <v>7.8112549999999996E-3</v>
      </c>
      <c r="W5308">
        <v>2.5955929999999999E-2</v>
      </c>
      <c r="X5308">
        <v>0.99963259999999998</v>
      </c>
      <c r="Y5308">
        <v>-0.16700400000000001</v>
      </c>
      <c r="Z5308">
        <v>1.20995E-4</v>
      </c>
      <c r="AA5308">
        <v>0.98595619999999995</v>
      </c>
      <c r="AB5308">
        <v>31</v>
      </c>
      <c r="AC5308">
        <v>-3.0080260000000001</v>
      </c>
      <c r="AD5308">
        <v>4.0521619999999998E-3</v>
      </c>
      <c r="AE5308">
        <v>-0.48817440000000001</v>
      </c>
      <c r="AF5308">
        <v>-0.50892451796970795</v>
      </c>
      <c r="AG5308">
        <v>4.0521619999999998E-3</v>
      </c>
      <c r="AH5308">
        <v>3.0045794475357099</v>
      </c>
      <c r="AI5308">
        <v>89.923812608958698</v>
      </c>
      <c r="AJ5308">
        <v>99.613680268828205</v>
      </c>
      <c r="AK5308">
        <v>3.0473789133551401</v>
      </c>
      <c r="AL5308">
        <v>88.512667765959407</v>
      </c>
      <c r="AM5308">
        <v>89.552292677053302</v>
      </c>
      <c r="AN5308">
        <v>1.00000003049479</v>
      </c>
    </row>
    <row r="5309" spans="1:40" x14ac:dyDescent="0.25">
      <c r="A5309" t="str">
        <f>"20190312160439953"</f>
        <v>20190312160439953</v>
      </c>
      <c r="B5309" t="str">
        <f>"1552377879950424"</f>
        <v>1552377879950424</v>
      </c>
      <c r="C5309" t="s">
        <v>40</v>
      </c>
      <c r="D5309">
        <v>5.1160519999999998</v>
      </c>
      <c r="E5309">
        <v>0.43336540000000001</v>
      </c>
      <c r="F5309" t="s">
        <v>45</v>
      </c>
      <c r="G5309">
        <v>0</v>
      </c>
      <c r="H5309">
        <v>0</v>
      </c>
      <c r="I5309">
        <v>0</v>
      </c>
      <c r="J5309">
        <v>-356.0668</v>
      </c>
      <c r="K5309">
        <v>1.109585</v>
      </c>
      <c r="L5309">
        <v>142.23480000000001</v>
      </c>
      <c r="M5309">
        <v>-0.99992919999999996</v>
      </c>
      <c r="N5309">
        <v>0</v>
      </c>
      <c r="O5309">
        <v>6.8024000000000001E-3</v>
      </c>
      <c r="P5309">
        <v>-0.9997568</v>
      </c>
      <c r="Q5309">
        <v>1.642774E-2</v>
      </c>
      <c r="R5309">
        <v>1.4717579999999999E-2</v>
      </c>
      <c r="S5309">
        <v>-3.0080260000000001</v>
      </c>
      <c r="T5309">
        <v>-7.9236029999999995E-3</v>
      </c>
      <c r="U5309">
        <v>-0.4850159</v>
      </c>
      <c r="V5309">
        <v>7.9076370000000003E-3</v>
      </c>
      <c r="W5309">
        <v>2.6206179999999999E-2</v>
      </c>
      <c r="X5309">
        <v>0.99962530000000005</v>
      </c>
      <c r="Y5309">
        <v>-0.1658963</v>
      </c>
      <c r="Z5309">
        <v>-2.3490260000000001E-4</v>
      </c>
      <c r="AA5309">
        <v>0.9861432</v>
      </c>
      <c r="AB5309">
        <v>31</v>
      </c>
      <c r="AC5309">
        <v>-3.0080260000000001</v>
      </c>
      <c r="AD5309">
        <v>-7.9236029999999995E-3</v>
      </c>
      <c r="AE5309">
        <v>-0.4850159</v>
      </c>
      <c r="AF5309">
        <v>-0.50546403025853603</v>
      </c>
      <c r="AG5309">
        <v>-7.9236029999999995E-3</v>
      </c>
      <c r="AH5309">
        <v>3.0046366483068101</v>
      </c>
      <c r="AI5309">
        <v>90.149002084225202</v>
      </c>
      <c r="AJ5309">
        <v>99.549340441036804</v>
      </c>
      <c r="AK5309">
        <v>3.0468669248456002</v>
      </c>
      <c r="AL5309">
        <v>88.498324598924697</v>
      </c>
      <c r="AM5309">
        <v>89.5467653973854</v>
      </c>
      <c r="AN5309">
        <v>1.0000000174965999</v>
      </c>
    </row>
    <row r="5310" spans="1:40" x14ac:dyDescent="0.25">
      <c r="A5310" t="str">
        <f>"20190312160439968"</f>
        <v>20190312160439968</v>
      </c>
      <c r="B5310" t="str">
        <f>"1552377879960183"</f>
        <v>1552377879960183</v>
      </c>
      <c r="C5310" t="s">
        <v>40</v>
      </c>
      <c r="D5310">
        <v>5.1433109999999997</v>
      </c>
      <c r="E5310">
        <v>0.43349169999999998</v>
      </c>
      <c r="F5310" t="s">
        <v>45</v>
      </c>
      <c r="G5310">
        <v>0</v>
      </c>
      <c r="H5310">
        <v>0</v>
      </c>
      <c r="I5310">
        <v>0</v>
      </c>
      <c r="J5310">
        <v>-356.2876</v>
      </c>
      <c r="K5310">
        <v>1.109586</v>
      </c>
      <c r="L5310">
        <v>142.2363</v>
      </c>
      <c r="M5310">
        <v>-0.99992979999999998</v>
      </c>
      <c r="N5310">
        <v>0</v>
      </c>
      <c r="O5310">
        <v>6.6773750000000002E-3</v>
      </c>
      <c r="P5310">
        <v>-0.99975809999999998</v>
      </c>
      <c r="Q5310">
        <v>1.6523010000000001E-2</v>
      </c>
      <c r="R5310">
        <v>1.452608E-2</v>
      </c>
      <c r="S5310">
        <v>-3.0080870000000002</v>
      </c>
      <c r="T5310">
        <v>-1.358092E-2</v>
      </c>
      <c r="U5310">
        <v>-0.48559570000000002</v>
      </c>
      <c r="V5310">
        <v>7.8412489999999998E-3</v>
      </c>
      <c r="W5310">
        <v>2.6308189999999999E-2</v>
      </c>
      <c r="X5310">
        <v>0.99962309999999999</v>
      </c>
      <c r="Y5310">
        <v>-0.16595399999999999</v>
      </c>
      <c r="Z5310">
        <v>-4.021718E-4</v>
      </c>
      <c r="AA5310">
        <v>0.98613340000000005</v>
      </c>
      <c r="AB5310">
        <v>31</v>
      </c>
      <c r="AC5310">
        <v>-3.0080870000000002</v>
      </c>
      <c r="AD5310">
        <v>-1.358092E-2</v>
      </c>
      <c r="AE5310">
        <v>-0.48559570000000002</v>
      </c>
      <c r="AF5310">
        <v>-0.50566191498281499</v>
      </c>
      <c r="AG5310">
        <v>-1.358092E-2</v>
      </c>
      <c r="AH5310">
        <v>3.0047175806353601</v>
      </c>
      <c r="AI5310">
        <v>90.255376466569999</v>
      </c>
      <c r="AJ5310">
        <v>99.552757467080198</v>
      </c>
      <c r="AK5310">
        <v>3.0469995328242701</v>
      </c>
      <c r="AL5310">
        <v>88.492477775203696</v>
      </c>
      <c r="AM5310">
        <v>89.550569350207695</v>
      </c>
      <c r="AN5310">
        <v>0.99999997405028196</v>
      </c>
    </row>
    <row r="5311" spans="1:40" x14ac:dyDescent="0.25">
      <c r="A5311" t="str">
        <f>"20190312160439984"</f>
        <v>20190312160439984</v>
      </c>
      <c r="B5311" t="str">
        <f>"1552377879969944"</f>
        <v>1552377879969944</v>
      </c>
      <c r="C5311" t="s">
        <v>40</v>
      </c>
      <c r="D5311">
        <v>5.1517369999999998</v>
      </c>
      <c r="E5311">
        <v>0.43368760000000001</v>
      </c>
      <c r="F5311" t="s">
        <v>45</v>
      </c>
      <c r="G5311">
        <v>0</v>
      </c>
      <c r="H5311">
        <v>0</v>
      </c>
      <c r="I5311">
        <v>0</v>
      </c>
      <c r="J5311">
        <v>-356.51209999999998</v>
      </c>
      <c r="K5311">
        <v>1.1095839999999999</v>
      </c>
      <c r="L5311">
        <v>142.23759999999999</v>
      </c>
      <c r="M5311">
        <v>-0.99993069999999895</v>
      </c>
      <c r="N5311">
        <v>0</v>
      </c>
      <c r="O5311">
        <v>6.5501459999999997E-3</v>
      </c>
      <c r="P5311">
        <v>-0.99976200000000004</v>
      </c>
      <c r="Q5311">
        <v>1.642892E-2</v>
      </c>
      <c r="R5311">
        <v>1.4355069999999999E-2</v>
      </c>
      <c r="S5311">
        <v>-3.008057</v>
      </c>
      <c r="T5311">
        <v>-1.6634349999999999E-2</v>
      </c>
      <c r="U5311">
        <v>-0.4851837</v>
      </c>
      <c r="V5311">
        <v>7.7973729999999998E-3</v>
      </c>
      <c r="W5311">
        <v>2.622E-2</v>
      </c>
      <c r="X5311">
        <v>0.99962580000000001</v>
      </c>
      <c r="Y5311">
        <v>-0.1656976</v>
      </c>
      <c r="Z5311">
        <v>-4.9119829999999998E-4</v>
      </c>
      <c r="AA5311">
        <v>0.98617650000000001</v>
      </c>
      <c r="AB5311">
        <v>31</v>
      </c>
      <c r="AC5311">
        <v>-3.008057</v>
      </c>
      <c r="AD5311">
        <v>-1.6634349999999999E-2</v>
      </c>
      <c r="AE5311">
        <v>-0.4851837</v>
      </c>
      <c r="AF5311">
        <v>-0.504862398637969</v>
      </c>
      <c r="AG5311">
        <v>-1.6634349999999999E-2</v>
      </c>
      <c r="AH5311">
        <v>3.0047247324798998</v>
      </c>
      <c r="AI5311">
        <v>90.312805205311406</v>
      </c>
      <c r="AJ5311">
        <v>99.537908758791005</v>
      </c>
      <c r="AK5311">
        <v>3.04688914487134</v>
      </c>
      <c r="AL5311">
        <v>88.497532493415704</v>
      </c>
      <c r="AM5311">
        <v>89.553085260885794</v>
      </c>
      <c r="AN5311">
        <v>1.0000000137256699</v>
      </c>
    </row>
    <row r="5312" spans="1:40" x14ac:dyDescent="0.25">
      <c r="A5312" t="str">
        <f>"20190312160440002"</f>
        <v>20190312160440002</v>
      </c>
      <c r="B5312" t="str">
        <f>"1552377879990440"</f>
        <v>1552377879990440</v>
      </c>
      <c r="C5312" t="s">
        <v>40</v>
      </c>
      <c r="D5312">
        <v>5.0320900000000002</v>
      </c>
      <c r="E5312">
        <v>0.43284640000000002</v>
      </c>
      <c r="F5312" t="s">
        <v>45</v>
      </c>
      <c r="G5312">
        <v>0</v>
      </c>
      <c r="H5312">
        <v>0</v>
      </c>
      <c r="I5312">
        <v>0</v>
      </c>
      <c r="J5312">
        <v>-356.74930000000001</v>
      </c>
      <c r="K5312">
        <v>1.109585</v>
      </c>
      <c r="L5312">
        <v>142.239</v>
      </c>
      <c r="M5312">
        <v>-0.99993160000000003</v>
      </c>
      <c r="N5312">
        <v>0</v>
      </c>
      <c r="O5312">
        <v>6.4155269999999999E-3</v>
      </c>
      <c r="P5312">
        <v>-0.99976469999999995</v>
      </c>
      <c r="Q5312">
        <v>1.6161620000000002E-2</v>
      </c>
      <c r="R5312">
        <v>1.447847E-2</v>
      </c>
      <c r="S5312">
        <v>-3.0079039999999999</v>
      </c>
      <c r="T5312">
        <v>-1.519942E-2</v>
      </c>
      <c r="U5312">
        <v>-0.48416140000000002</v>
      </c>
      <c r="V5312">
        <v>8.0553559999999996E-3</v>
      </c>
      <c r="W5312">
        <v>2.5959260000000001E-2</v>
      </c>
      <c r="X5312">
        <v>0.99963060000000004</v>
      </c>
      <c r="Y5312">
        <v>-0.16524639999999999</v>
      </c>
      <c r="Z5312">
        <v>-4.4705260000000002E-4</v>
      </c>
      <c r="AA5312">
        <v>0.98625220000000002</v>
      </c>
      <c r="AB5312">
        <v>31</v>
      </c>
      <c r="AC5312">
        <v>-3.0079039999999999</v>
      </c>
      <c r="AD5312">
        <v>-1.519942E-2</v>
      </c>
      <c r="AE5312">
        <v>-0.48416140000000002</v>
      </c>
      <c r="AF5312">
        <v>-0.50343711697282101</v>
      </c>
      <c r="AG5312">
        <v>-1.519942E-2</v>
      </c>
      <c r="AH5312">
        <v>3.00466100853872</v>
      </c>
      <c r="AI5312">
        <v>90.285850161084596</v>
      </c>
      <c r="AJ5312">
        <v>99.511672892666496</v>
      </c>
      <c r="AK5312">
        <v>3.0465829595379699</v>
      </c>
      <c r="AL5312">
        <v>88.512476941975706</v>
      </c>
      <c r="AM5312">
        <v>89.538301537176693</v>
      </c>
      <c r="AN5312">
        <v>1.0000000541981899</v>
      </c>
    </row>
    <row r="5313" spans="1:40" x14ac:dyDescent="0.25">
      <c r="A5313" t="str">
        <f>"20190312160440229"</f>
        <v>20190312160440229</v>
      </c>
      <c r="B5313" t="str">
        <f>"1552377880220776"</f>
        <v>1552377880220776</v>
      </c>
      <c r="C5313" t="s">
        <v>40</v>
      </c>
      <c r="D5313">
        <v>4.9810499999999998</v>
      </c>
      <c r="E5313">
        <v>0.42633470000000001</v>
      </c>
      <c r="F5313" t="s">
        <v>43</v>
      </c>
      <c r="G5313">
        <v>-519.14909999999998</v>
      </c>
      <c r="H5313">
        <v>-0.05</v>
      </c>
      <c r="I5313">
        <v>115.7611</v>
      </c>
      <c r="J5313">
        <v>-359.96710000000002</v>
      </c>
      <c r="K5313">
        <v>1.109586</v>
      </c>
      <c r="L5313">
        <v>142.2552</v>
      </c>
      <c r="M5313">
        <v>-0.99994070000000002</v>
      </c>
      <c r="N5313">
        <v>0</v>
      </c>
      <c r="O5313">
        <v>4.5949809999999997E-3</v>
      </c>
      <c r="P5313">
        <v>-0.99979510000000005</v>
      </c>
      <c r="Q5313">
        <v>1.401323E-2</v>
      </c>
      <c r="R5313">
        <v>1.461173E-2</v>
      </c>
      <c r="S5313">
        <v>-3.0081180000000001</v>
      </c>
      <c r="T5313">
        <v>-2.147889E-2</v>
      </c>
      <c r="U5313">
        <v>-0.490448</v>
      </c>
      <c r="V5313">
        <v>1.0009270000000001E-2</v>
      </c>
      <c r="W5313">
        <v>2.389997E-2</v>
      </c>
      <c r="X5313">
        <v>0.9996642</v>
      </c>
      <c r="Y5313">
        <v>-0.16544610000000001</v>
      </c>
      <c r="Z5313">
        <v>-6.1938550000000003E-4</v>
      </c>
      <c r="AA5313">
        <v>0.98621859999999995</v>
      </c>
      <c r="AB5313">
        <v>32</v>
      </c>
      <c r="AC5313">
        <v>-159.18199999999899</v>
      </c>
      <c r="AD5313">
        <v>-1.159586</v>
      </c>
      <c r="AE5313">
        <v>-26.4941</v>
      </c>
      <c r="AF5313">
        <v>-27.223888467435401</v>
      </c>
      <c r="AG5313">
        <v>-1.159586</v>
      </c>
      <c r="AH5313">
        <v>159.05036084341299</v>
      </c>
      <c r="AI5313">
        <v>90.411730458815896</v>
      </c>
      <c r="AJ5313">
        <v>99.712919215649507</v>
      </c>
      <c r="AK5313">
        <v>161.36759906312901</v>
      </c>
      <c r="AL5313">
        <v>88.630502125435498</v>
      </c>
      <c r="AM5313">
        <v>89.426337600631001</v>
      </c>
      <c r="AN5313">
        <v>0.99999995340678505</v>
      </c>
    </row>
    <row r="5314" spans="1:40" x14ac:dyDescent="0.25">
      <c r="A5314" t="str">
        <f>"20190312160440241"</f>
        <v>20190312160440241</v>
      </c>
      <c r="B5314" t="str">
        <f>"1552377880230537"</f>
        <v>1552377880230537</v>
      </c>
      <c r="C5314" t="s">
        <v>40</v>
      </c>
      <c r="D5314">
        <v>4.9967649999999999</v>
      </c>
      <c r="E5314">
        <v>0.42233510000000002</v>
      </c>
      <c r="F5314" t="s">
        <v>45</v>
      </c>
      <c r="G5314">
        <v>0</v>
      </c>
      <c r="H5314">
        <v>0</v>
      </c>
      <c r="I5314">
        <v>0</v>
      </c>
      <c r="J5314">
        <v>-360.14620000000002</v>
      </c>
      <c r="K5314">
        <v>1.109586</v>
      </c>
      <c r="L5314">
        <v>142.2559</v>
      </c>
      <c r="M5314">
        <v>-0.99994099999999997</v>
      </c>
      <c r="N5314">
        <v>0</v>
      </c>
      <c r="O5314">
        <v>4.4940279999999997E-3</v>
      </c>
      <c r="P5314">
        <v>-0.99979879999999999</v>
      </c>
      <c r="Q5314">
        <v>1.396579E-2</v>
      </c>
      <c r="R5314">
        <v>1.44017E-2</v>
      </c>
      <c r="S5314">
        <v>-3.0087890000000002</v>
      </c>
      <c r="T5314">
        <v>-1.591277E-2</v>
      </c>
      <c r="U5314">
        <v>-0.54219059999999997</v>
      </c>
      <c r="V5314">
        <v>9.9001809999999992E-3</v>
      </c>
      <c r="W5314">
        <v>2.3860880000000001E-2</v>
      </c>
      <c r="X5314">
        <v>0.99966630000000001</v>
      </c>
      <c r="Y5314">
        <v>-0.1817645</v>
      </c>
      <c r="Z5314">
        <v>-5.0039259999999999E-4</v>
      </c>
      <c r="AA5314">
        <v>0.98334200000000005</v>
      </c>
      <c r="AB5314">
        <v>32</v>
      </c>
      <c r="AC5314">
        <v>-3.0087890000000002</v>
      </c>
      <c r="AD5314">
        <v>-1.591277E-2</v>
      </c>
      <c r="AE5314">
        <v>-0.54219059999999997</v>
      </c>
      <c r="AF5314">
        <v>-0.55569231317179402</v>
      </c>
      <c r="AG5314">
        <v>-1.591277E-2</v>
      </c>
      <c r="AH5314">
        <v>3.00624043190362</v>
      </c>
      <c r="AI5314">
        <v>90.298225796484701</v>
      </c>
      <c r="AJ5314">
        <v>100.472700989963</v>
      </c>
      <c r="AK5314">
        <v>3.0572092989488602</v>
      </c>
      <c r="AL5314">
        <v>88.6327425656645</v>
      </c>
      <c r="AM5314">
        <v>89.432590611417098</v>
      </c>
      <c r="AN5314">
        <v>1.0000000332669401</v>
      </c>
    </row>
    <row r="5315" spans="1:40" x14ac:dyDescent="0.25">
      <c r="A5315" t="str">
        <f>"20190312160440259"</f>
        <v>20190312160440259</v>
      </c>
      <c r="B5315" t="str">
        <f>"1552377880240296"</f>
        <v>1552377880240296</v>
      </c>
      <c r="C5315" t="s">
        <v>40</v>
      </c>
      <c r="D5315">
        <v>4.9450469999999997</v>
      </c>
      <c r="E5315">
        <v>0.41872819999999999</v>
      </c>
      <c r="F5315" t="s">
        <v>45</v>
      </c>
      <c r="G5315">
        <v>0</v>
      </c>
      <c r="H5315">
        <v>0</v>
      </c>
      <c r="I5315">
        <v>0</v>
      </c>
      <c r="J5315">
        <v>-360.39139999999998</v>
      </c>
      <c r="K5315">
        <v>1.1095900000000001</v>
      </c>
      <c r="L5315">
        <v>142.2569</v>
      </c>
      <c r="M5315">
        <v>-0.99994150000000004</v>
      </c>
      <c r="N5315">
        <v>0</v>
      </c>
      <c r="O5315">
        <v>4.3553910000000001E-3</v>
      </c>
      <c r="P5315">
        <v>-0.99980769999999997</v>
      </c>
      <c r="Q5315">
        <v>1.3778250000000001E-2</v>
      </c>
      <c r="R5315">
        <v>1.396092E-2</v>
      </c>
      <c r="S5315">
        <v>-3.0090330000000001</v>
      </c>
      <c r="T5315">
        <v>-1.5916590000000001E-2</v>
      </c>
      <c r="U5315">
        <v>-0.57484440000000003</v>
      </c>
      <c r="V5315">
        <v>9.5980119999999995E-3</v>
      </c>
      <c r="W5315">
        <v>2.3684500000000001E-2</v>
      </c>
      <c r="X5315">
        <v>0.99967340000000005</v>
      </c>
      <c r="Y5315">
        <v>-0.1919199</v>
      </c>
      <c r="Z5315">
        <v>-5.2587279999999998E-4</v>
      </c>
      <c r="AA5315">
        <v>0.98141040000000002</v>
      </c>
      <c r="AB5315">
        <v>32</v>
      </c>
      <c r="AC5315">
        <v>-3.0090330000000001</v>
      </c>
      <c r="AD5315">
        <v>-1.5916590000000001E-2</v>
      </c>
      <c r="AE5315">
        <v>-0.57484440000000003</v>
      </c>
      <c r="AF5315">
        <v>-0.58792923387414298</v>
      </c>
      <c r="AG5315">
        <v>-1.5916590000000001E-2</v>
      </c>
      <c r="AH5315">
        <v>3.00641950500885</v>
      </c>
      <c r="AI5315">
        <v>90.2976937287998</v>
      </c>
      <c r="AJ5315">
        <v>101.06500286727299</v>
      </c>
      <c r="AK5315">
        <v>3.0634086181864002</v>
      </c>
      <c r="AL5315">
        <v>88.642851195763697</v>
      </c>
      <c r="AM5315">
        <v>89.449911658650706</v>
      </c>
      <c r="AN5315">
        <v>0.99999999202108103</v>
      </c>
    </row>
    <row r="5316" spans="1:40" x14ac:dyDescent="0.25">
      <c r="A5316" t="str">
        <f>"20190312160440282"</f>
        <v>20190312160440282</v>
      </c>
      <c r="B5316" t="str">
        <f>"1552377880270552"</f>
        <v>1552377880270552</v>
      </c>
      <c r="C5316" t="s">
        <v>40</v>
      </c>
      <c r="D5316">
        <v>4.5983989999999997</v>
      </c>
      <c r="E5316">
        <v>0.41274339999999998</v>
      </c>
      <c r="F5316" t="s">
        <v>97</v>
      </c>
      <c r="G5316">
        <v>-472.03680000000003</v>
      </c>
      <c r="H5316">
        <v>0.45374989999999998</v>
      </c>
      <c r="I5316">
        <v>119.8177</v>
      </c>
      <c r="J5316">
        <v>-360.71589999999998</v>
      </c>
      <c r="K5316">
        <v>1.10958</v>
      </c>
      <c r="L5316">
        <v>142.25810000000001</v>
      </c>
      <c r="M5316">
        <v>-0.9999422</v>
      </c>
      <c r="N5316">
        <v>0</v>
      </c>
      <c r="O5316">
        <v>4.172093E-3</v>
      </c>
      <c r="P5316">
        <v>-0.9998203</v>
      </c>
      <c r="Q5316">
        <v>1.378336E-2</v>
      </c>
      <c r="R5316">
        <v>1.303209E-2</v>
      </c>
      <c r="S5316">
        <v>-3.0093079999999999</v>
      </c>
      <c r="T5316">
        <v>-1.7676830000000001E-2</v>
      </c>
      <c r="U5316">
        <v>-0.60482789999999997</v>
      </c>
      <c r="V5316">
        <v>8.85256699999999E-3</v>
      </c>
      <c r="W5316">
        <v>2.370357E-2</v>
      </c>
      <c r="X5316">
        <v>0.99967989999999995</v>
      </c>
      <c r="Y5316">
        <v>-0.20113059999999999</v>
      </c>
      <c r="Z5316">
        <v>-6.0914080000000004E-4</v>
      </c>
      <c r="AA5316">
        <v>0.9795642</v>
      </c>
      <c r="AB5316">
        <v>32</v>
      </c>
      <c r="AC5316">
        <v>-111.32089999999999</v>
      </c>
      <c r="AD5316">
        <v>-0.65583009999999997</v>
      </c>
      <c r="AE5316">
        <v>-22.4404</v>
      </c>
      <c r="AF5316">
        <v>-22.903904721982901</v>
      </c>
      <c r="AG5316">
        <v>-0.65583009999999997</v>
      </c>
      <c r="AH5316">
        <v>111.222593452277</v>
      </c>
      <c r="AI5316">
        <v>90.3309006071471</v>
      </c>
      <c r="AJ5316">
        <v>101.63617191723399</v>
      </c>
      <c r="AK5316">
        <v>113.558285734173</v>
      </c>
      <c r="AL5316">
        <v>88.641758357300205</v>
      </c>
      <c r="AM5316">
        <v>89.492636123520597</v>
      </c>
      <c r="AN5316">
        <v>1.00000006481862</v>
      </c>
    </row>
    <row r="5317" spans="1:40" x14ac:dyDescent="0.25">
      <c r="A5317" t="str">
        <f>"20190312160440303"</f>
        <v>20190312160440303</v>
      </c>
      <c r="B5317" t="str">
        <f>"1552377880300808"</f>
        <v>1552377880300808</v>
      </c>
      <c r="C5317" t="s">
        <v>40</v>
      </c>
      <c r="D5317">
        <v>5.1732430000000003</v>
      </c>
      <c r="E5317">
        <v>0.40925460000000002</v>
      </c>
      <c r="F5317" t="s">
        <v>97</v>
      </c>
      <c r="G5317">
        <v>-465.70429999999999</v>
      </c>
      <c r="H5317">
        <v>0.31714310000000001</v>
      </c>
      <c r="I5317">
        <v>119.395</v>
      </c>
      <c r="J5317">
        <v>-361.01949999999999</v>
      </c>
      <c r="K5317">
        <v>1.109578</v>
      </c>
      <c r="L5317">
        <v>142.25919999999999</v>
      </c>
      <c r="M5317">
        <v>-0.99994269999999996</v>
      </c>
      <c r="N5317">
        <v>0</v>
      </c>
      <c r="O5317">
        <v>4.0009629999999997E-3</v>
      </c>
      <c r="P5317">
        <v>-0.99983330000000004</v>
      </c>
      <c r="Q5317">
        <v>1.3604359999999999E-2</v>
      </c>
      <c r="R5317">
        <v>1.2186000000000001E-2</v>
      </c>
      <c r="S5317">
        <v>-3.0093990000000002</v>
      </c>
      <c r="T5317">
        <v>-2.2713540000000001E-2</v>
      </c>
      <c r="U5317">
        <v>-0.65534969999999904</v>
      </c>
      <c r="V5317">
        <v>8.1776959999999999E-3</v>
      </c>
      <c r="W5317">
        <v>2.353719E-2</v>
      </c>
      <c r="X5317">
        <v>0.99968950000000001</v>
      </c>
      <c r="Y5317">
        <v>-0.2166826</v>
      </c>
      <c r="Z5317">
        <v>-8.3807899999999895E-4</v>
      </c>
      <c r="AA5317">
        <v>0.97624180000000005</v>
      </c>
      <c r="AB5317">
        <v>32</v>
      </c>
      <c r="AC5317">
        <v>-104.6848</v>
      </c>
      <c r="AD5317">
        <v>-0.79243490000000005</v>
      </c>
      <c r="AE5317">
        <v>-22.8642</v>
      </c>
      <c r="AF5317">
        <v>-23.281604327451198</v>
      </c>
      <c r="AG5317">
        <v>-0.79243490000000005</v>
      </c>
      <c r="AH5317">
        <v>104.58675867193899</v>
      </c>
      <c r="AI5317">
        <v>90.423739900153805</v>
      </c>
      <c r="AJ5317">
        <v>102.54974146276901</v>
      </c>
      <c r="AK5317">
        <v>107.149667020636</v>
      </c>
      <c r="AL5317">
        <v>88.651293781524402</v>
      </c>
      <c r="AM5317">
        <v>89.531317457858094</v>
      </c>
      <c r="AN5317">
        <v>0.99999998521760702</v>
      </c>
    </row>
    <row r="5318" spans="1:40" x14ac:dyDescent="0.25">
      <c r="A5318" t="str">
        <f>"20190312160440319"</f>
        <v>20190312160440319</v>
      </c>
      <c r="B5318" t="str">
        <f>"1552377880310568"</f>
        <v>1552377880310568</v>
      </c>
      <c r="C5318" t="s">
        <v>40</v>
      </c>
      <c r="D5318">
        <v>5.2168850000000004</v>
      </c>
      <c r="E5318">
        <v>0.40809069999999997</v>
      </c>
      <c r="F5318" t="s">
        <v>43</v>
      </c>
      <c r="G5318">
        <v>-472.22280000000001</v>
      </c>
      <c r="H5318">
        <v>-0.05</v>
      </c>
      <c r="I5318">
        <v>116.93210000000001</v>
      </c>
      <c r="J5318">
        <v>-361.24709999999999</v>
      </c>
      <c r="K5318">
        <v>1.109577</v>
      </c>
      <c r="L5318">
        <v>142.26</v>
      </c>
      <c r="M5318">
        <v>-0.99994309999999997</v>
      </c>
      <c r="N5318">
        <v>0</v>
      </c>
      <c r="O5318">
        <v>3.872337E-3</v>
      </c>
      <c r="P5318">
        <v>-0.99983719999999998</v>
      </c>
      <c r="Q5318">
        <v>1.3647619999999999E-2</v>
      </c>
      <c r="R5318">
        <v>1.179735E-2</v>
      </c>
      <c r="S5318">
        <v>-3.0092159999999999</v>
      </c>
      <c r="T5318">
        <v>-3.1378749999999997E-2</v>
      </c>
      <c r="U5318">
        <v>-0.68536379999999997</v>
      </c>
      <c r="V5318">
        <v>7.9173730000000001E-3</v>
      </c>
      <c r="W5318">
        <v>2.3591540000000001E-2</v>
      </c>
      <c r="X5318">
        <v>0.99969039999999998</v>
      </c>
      <c r="Y5318">
        <v>-0.22583039999999999</v>
      </c>
      <c r="Z5318">
        <v>-1.2023859999999999E-3</v>
      </c>
      <c r="AA5318">
        <v>0.97416590000000003</v>
      </c>
      <c r="AB5318">
        <v>32</v>
      </c>
      <c r="AC5318">
        <v>-110.9757</v>
      </c>
      <c r="AD5318">
        <v>-1.1595770000000001</v>
      </c>
      <c r="AE5318">
        <v>-25.3278999999999</v>
      </c>
      <c r="AF5318">
        <v>-25.7547939311902</v>
      </c>
      <c r="AG5318">
        <v>-1.1595770000000001</v>
      </c>
      <c r="AH5318">
        <v>110.865279864247</v>
      </c>
      <c r="AI5318">
        <v>90.583711457706798</v>
      </c>
      <c r="AJ5318">
        <v>103.078247912745</v>
      </c>
      <c r="AK5318">
        <v>113.82339086776</v>
      </c>
      <c r="AL5318">
        <v>88.648179006507206</v>
      </c>
      <c r="AM5318">
        <v>89.546236941352007</v>
      </c>
      <c r="AN5318">
        <v>1.00000007070347</v>
      </c>
    </row>
    <row r="5319" spans="1:40" x14ac:dyDescent="0.25">
      <c r="A5319" t="str">
        <f>"20190312160440332"</f>
        <v>20190312160440332</v>
      </c>
      <c r="B5319" t="str">
        <f>"1552377880320327"</f>
        <v>1552377880320327</v>
      </c>
      <c r="C5319" t="s">
        <v>40</v>
      </c>
      <c r="D5319">
        <v>5.2282199999999897</v>
      </c>
      <c r="E5319">
        <v>0.40700429999999999</v>
      </c>
      <c r="F5319" t="s">
        <v>43</v>
      </c>
      <c r="G5319">
        <v>-476.73599999999999</v>
      </c>
      <c r="H5319">
        <v>-0.05</v>
      </c>
      <c r="I5319">
        <v>115.5522</v>
      </c>
      <c r="J5319">
        <v>-361.4205</v>
      </c>
      <c r="K5319">
        <v>1.109575</v>
      </c>
      <c r="L5319">
        <v>142.26060000000001</v>
      </c>
      <c r="M5319">
        <v>-0.99994329999999998</v>
      </c>
      <c r="N5319">
        <v>0</v>
      </c>
      <c r="O5319">
        <v>3.7747129999999999E-3</v>
      </c>
      <c r="P5319">
        <v>-0.99983909999999998</v>
      </c>
      <c r="Q5319">
        <v>1.372804E-2</v>
      </c>
      <c r="R5319">
        <v>1.1545420000000001E-2</v>
      </c>
      <c r="S5319">
        <v>-3.0091549999999998</v>
      </c>
      <c r="T5319">
        <v>-3.0213710000000001E-2</v>
      </c>
      <c r="U5319">
        <v>-0.69589230000000002</v>
      </c>
      <c r="V5319">
        <v>7.7630379999999999E-3</v>
      </c>
      <c r="W5319">
        <v>2.368164E-2</v>
      </c>
      <c r="X5319">
        <v>0.99968939999999995</v>
      </c>
      <c r="Y5319">
        <v>-0.22897709999999999</v>
      </c>
      <c r="Z5319">
        <v>-1.1719460000000001E-3</v>
      </c>
      <c r="AA5319">
        <v>0.97343109999999999</v>
      </c>
      <c r="AB5319">
        <v>32</v>
      </c>
      <c r="AC5319">
        <v>-115.3155</v>
      </c>
      <c r="AD5319">
        <v>-1.159575</v>
      </c>
      <c r="AE5319">
        <v>-26.708400000000001</v>
      </c>
      <c r="AF5319">
        <v>-27.140909530165601</v>
      </c>
      <c r="AG5319">
        <v>-1.159575</v>
      </c>
      <c r="AH5319">
        <v>115.20280100499301</v>
      </c>
      <c r="AI5319">
        <v>90.561325332017205</v>
      </c>
      <c r="AJ5319">
        <v>103.25671504531</v>
      </c>
      <c r="AK5319">
        <v>118.362405111173</v>
      </c>
      <c r="AL5319">
        <v>88.643015105811003</v>
      </c>
      <c r="AM5319">
        <v>89.555081434963796</v>
      </c>
      <c r="AN5319">
        <v>0.99999999065221901</v>
      </c>
    </row>
    <row r="5320" spans="1:40" x14ac:dyDescent="0.25">
      <c r="A5320" t="str">
        <f>"20190312160440348"</f>
        <v>20190312160440348</v>
      </c>
      <c r="B5320" t="str">
        <f>"1552377880340824"</f>
        <v>1552377880340824</v>
      </c>
      <c r="C5320" t="s">
        <v>40</v>
      </c>
      <c r="D5320">
        <v>5.2442010000000003</v>
      </c>
      <c r="E5320">
        <v>0.405169</v>
      </c>
      <c r="F5320" t="s">
        <v>97</v>
      </c>
      <c r="G5320">
        <v>-458.96789999999999</v>
      </c>
      <c r="H5320">
        <v>0.17649679999999901</v>
      </c>
      <c r="I5320">
        <v>119.395</v>
      </c>
      <c r="J5320">
        <v>-361.66419999999999</v>
      </c>
      <c r="K5320">
        <v>1.1095790000000001</v>
      </c>
      <c r="L5320">
        <v>142.26140000000001</v>
      </c>
      <c r="M5320">
        <v>-0.99994369999999999</v>
      </c>
      <c r="N5320">
        <v>0</v>
      </c>
      <c r="O5320">
        <v>3.6374810000000001E-3</v>
      </c>
      <c r="P5320">
        <v>-0.99984399999999996</v>
      </c>
      <c r="Q5320">
        <v>1.375208E-2</v>
      </c>
      <c r="R5320">
        <v>1.11007E-2</v>
      </c>
      <c r="S5320">
        <v>-3.009064</v>
      </c>
      <c r="T5320">
        <v>-2.8781890000000001E-2</v>
      </c>
      <c r="U5320">
        <v>-0.70533749999999995</v>
      </c>
      <c r="V5320">
        <v>7.4556199999999996E-3</v>
      </c>
      <c r="W5320">
        <v>2.3720729999999999E-2</v>
      </c>
      <c r="X5320">
        <v>0.99969079999999999</v>
      </c>
      <c r="Y5320">
        <v>-0.23174839999999999</v>
      </c>
      <c r="Z5320">
        <v>-1.1278320000000001E-3</v>
      </c>
      <c r="AA5320">
        <v>0.9727751</v>
      </c>
      <c r="AB5320">
        <v>32</v>
      </c>
      <c r="AC5320">
        <v>-97.303700000000006</v>
      </c>
      <c r="AD5320">
        <v>-0.93308219999999997</v>
      </c>
      <c r="AE5320">
        <v>-22.866399999999999</v>
      </c>
      <c r="AF5320">
        <v>-23.218183336492402</v>
      </c>
      <c r="AG5320">
        <v>-0.93308219999999997</v>
      </c>
      <c r="AH5320">
        <v>97.211404619034496</v>
      </c>
      <c r="AI5320">
        <v>90.534891680890894</v>
      </c>
      <c r="AJ5320">
        <v>103.432991336059</v>
      </c>
      <c r="AK5320">
        <v>99.950046862643205</v>
      </c>
      <c r="AL5320">
        <v>88.640774766490296</v>
      </c>
      <c r="AM5320">
        <v>89.572700238925094</v>
      </c>
      <c r="AN5320">
        <v>0.99999997745297797</v>
      </c>
    </row>
    <row r="5321" spans="1:40" x14ac:dyDescent="0.25">
      <c r="A5321" t="str">
        <f>"20190312160440364"</f>
        <v>20190312160440364</v>
      </c>
      <c r="B5321" t="str">
        <f>"1552377880360344"</f>
        <v>1552377880360344</v>
      </c>
      <c r="C5321" t="s">
        <v>40</v>
      </c>
      <c r="D5321">
        <v>5.252605</v>
      </c>
      <c r="E5321">
        <v>0.40372239999999998</v>
      </c>
      <c r="F5321" t="s">
        <v>97</v>
      </c>
      <c r="G5321">
        <v>-457.04750000000001</v>
      </c>
      <c r="H5321">
        <v>0.2500347</v>
      </c>
      <c r="I5321">
        <v>119.395</v>
      </c>
      <c r="J5321">
        <v>-361.89429999999999</v>
      </c>
      <c r="K5321">
        <v>1.1095809999999999</v>
      </c>
      <c r="L5321">
        <v>142.2621</v>
      </c>
      <c r="M5321">
        <v>-0.99994400000000006</v>
      </c>
      <c r="N5321">
        <v>0</v>
      </c>
      <c r="O5321">
        <v>3.5078079999999998E-3</v>
      </c>
      <c r="P5321">
        <v>-0.99984629999999997</v>
      </c>
      <c r="Q5321">
        <v>1.375494E-2</v>
      </c>
      <c r="R5321">
        <v>1.0869419999999999E-2</v>
      </c>
      <c r="S5321">
        <v>-3.0088499999999998</v>
      </c>
      <c r="T5321">
        <v>-2.711332E-2</v>
      </c>
      <c r="U5321">
        <v>-0.72131350000000005</v>
      </c>
      <c r="V5321">
        <v>7.3538450000000003E-3</v>
      </c>
      <c r="W5321">
        <v>2.3741700000000001E-2</v>
      </c>
      <c r="X5321">
        <v>0.99969110000000005</v>
      </c>
      <c r="Y5321">
        <v>-0.23652590000000001</v>
      </c>
      <c r="Z5321">
        <v>-1.0819549999999999E-3</v>
      </c>
      <c r="AA5321">
        <v>0.97162459999999995</v>
      </c>
      <c r="AB5321">
        <v>32</v>
      </c>
      <c r="AC5321">
        <v>-95.153199999999998</v>
      </c>
      <c r="AD5321">
        <v>-0.85954629999999899</v>
      </c>
      <c r="AE5321">
        <v>-22.867100000000001</v>
      </c>
      <c r="AF5321">
        <v>-23.1989654111715</v>
      </c>
      <c r="AG5321">
        <v>-0.85954629999999899</v>
      </c>
      <c r="AH5321">
        <v>95.065063339739197</v>
      </c>
      <c r="AI5321">
        <v>90.503267269820796</v>
      </c>
      <c r="AJ5321">
        <v>103.713994519287</v>
      </c>
      <c r="AK5321">
        <v>97.858556517962199</v>
      </c>
      <c r="AL5321">
        <v>88.639572995281696</v>
      </c>
      <c r="AM5321">
        <v>89.5785331269349</v>
      </c>
      <c r="AN5321">
        <v>1.00000002138719</v>
      </c>
    </row>
    <row r="5322" spans="1:40" x14ac:dyDescent="0.25">
      <c r="A5322" t="str">
        <f>"20190312160440375"</f>
        <v>20190312160440375</v>
      </c>
      <c r="B5322" t="str">
        <f>"1552377880370105"</f>
        <v>1552377880370105</v>
      </c>
      <c r="C5322" t="s">
        <v>40</v>
      </c>
      <c r="D5322">
        <v>5.2496330000000002</v>
      </c>
      <c r="E5322">
        <v>0.4030688</v>
      </c>
      <c r="F5322" t="s">
        <v>97</v>
      </c>
      <c r="G5322">
        <v>-455.68060000000003</v>
      </c>
      <c r="H5322">
        <v>0.30860860000000001</v>
      </c>
      <c r="I5322">
        <v>119.395</v>
      </c>
      <c r="J5322">
        <v>-362.06380000000001</v>
      </c>
      <c r="K5322">
        <v>1.1095820000000001</v>
      </c>
      <c r="L5322">
        <v>142.26259999999999</v>
      </c>
      <c r="M5322">
        <v>-0.99994419999999995</v>
      </c>
      <c r="N5322">
        <v>0</v>
      </c>
      <c r="O5322">
        <v>3.412296E-3</v>
      </c>
      <c r="P5322">
        <v>-0.99984640000000002</v>
      </c>
      <c r="Q5322">
        <v>1.392616E-2</v>
      </c>
      <c r="R5322">
        <v>1.0641329999999999E-2</v>
      </c>
      <c r="S5322">
        <v>-3.0088200000000001</v>
      </c>
      <c r="T5322">
        <v>-2.5695679999999999E-2</v>
      </c>
      <c r="U5322">
        <v>-0.73361209999999999</v>
      </c>
      <c r="V5322">
        <v>7.2212140000000001E-3</v>
      </c>
      <c r="W5322">
        <v>2.3929039999999999E-2</v>
      </c>
      <c r="X5322">
        <v>0.99968760000000001</v>
      </c>
      <c r="Y5322">
        <v>-0.2401867</v>
      </c>
      <c r="Z5322">
        <v>-1.0395129999999999E-3</v>
      </c>
      <c r="AA5322">
        <v>0.97072610000000004</v>
      </c>
      <c r="AB5322">
        <v>32</v>
      </c>
      <c r="AC5322">
        <v>-93.616799999999998</v>
      </c>
      <c r="AD5322">
        <v>-0.80097339999999995</v>
      </c>
      <c r="AE5322">
        <v>-22.867599999999999</v>
      </c>
      <c r="AF5322">
        <v>-23.185329384132501</v>
      </c>
      <c r="AG5322">
        <v>-0.80097339999999995</v>
      </c>
      <c r="AH5322">
        <v>93.531758721413297</v>
      </c>
      <c r="AI5322">
        <v>90.476236025631195</v>
      </c>
      <c r="AJ5322">
        <v>103.92225536141601</v>
      </c>
      <c r="AK5322">
        <v>96.365922122703296</v>
      </c>
      <c r="AL5322">
        <v>88.628836153593795</v>
      </c>
      <c r="AM5322">
        <v>89.586132818709601</v>
      </c>
      <c r="AN5322">
        <v>1.0000000212403499</v>
      </c>
    </row>
    <row r="5323" spans="1:40" x14ac:dyDescent="0.25">
      <c r="A5323" t="str">
        <f>"20190312160440388"</f>
        <v>20190312160440388</v>
      </c>
      <c r="B5323" t="str">
        <f>"1552377880380841"</f>
        <v>1552377880380841</v>
      </c>
      <c r="C5323" t="s">
        <v>40</v>
      </c>
      <c r="D5323">
        <v>5.2518830000000003</v>
      </c>
      <c r="E5323">
        <v>0.40248200000000001</v>
      </c>
      <c r="F5323" t="s">
        <v>97</v>
      </c>
      <c r="G5323">
        <v>-455.10140000000001</v>
      </c>
      <c r="H5323">
        <v>0.31932830000000001</v>
      </c>
      <c r="I5323">
        <v>119.395</v>
      </c>
      <c r="J5323">
        <v>-362.23630000000003</v>
      </c>
      <c r="K5323">
        <v>1.109586</v>
      </c>
      <c r="L5323">
        <v>142.26310000000001</v>
      </c>
      <c r="M5323">
        <v>-0.99994419999999995</v>
      </c>
      <c r="N5323">
        <v>0</v>
      </c>
      <c r="O5323">
        <v>3.315405E-3</v>
      </c>
      <c r="P5323">
        <v>-0.99984930000000005</v>
      </c>
      <c r="Q5323">
        <v>1.37203E-2</v>
      </c>
      <c r="R5323">
        <v>1.063862E-2</v>
      </c>
      <c r="S5323">
        <v>-3.008759</v>
      </c>
      <c r="T5323">
        <v>-2.5555250000000002E-2</v>
      </c>
      <c r="U5323">
        <v>-0.73951719999999999</v>
      </c>
      <c r="V5323">
        <v>7.3154479999999996E-3</v>
      </c>
      <c r="W5323">
        <v>2.3741700000000001E-2</v>
      </c>
      <c r="X5323">
        <v>0.99969140000000001</v>
      </c>
      <c r="Y5323">
        <v>-0.24189430000000001</v>
      </c>
      <c r="Z5323">
        <v>-1.0399490000000001E-3</v>
      </c>
      <c r="AA5323">
        <v>0.970302</v>
      </c>
      <c r="AB5323">
        <v>32</v>
      </c>
      <c r="AC5323">
        <v>-92.865099999999899</v>
      </c>
      <c r="AD5323">
        <v>-0.79025769999999995</v>
      </c>
      <c r="AE5323">
        <v>-22.868099999999998</v>
      </c>
      <c r="AF5323">
        <v>-23.174292974851099</v>
      </c>
      <c r="AG5323">
        <v>-0.79025769999999995</v>
      </c>
      <c r="AH5323">
        <v>92.782433974189601</v>
      </c>
      <c r="AI5323">
        <v>90.473450652663502</v>
      </c>
      <c r="AJ5323">
        <v>104.023854152566</v>
      </c>
      <c r="AK5323">
        <v>95.636041408516604</v>
      </c>
      <c r="AL5323">
        <v>88.639573020153605</v>
      </c>
      <c r="AM5323">
        <v>89.580733800124406</v>
      </c>
      <c r="AN5323">
        <v>1.0000000396661399</v>
      </c>
    </row>
    <row r="5324" spans="1:40" x14ac:dyDescent="0.25">
      <c r="A5324" t="str">
        <f>"20190312160440404"</f>
        <v>20190312160440404</v>
      </c>
      <c r="B5324" t="str">
        <f>"1552377880400360"</f>
        <v>1552377880400360</v>
      </c>
      <c r="C5324" t="s">
        <v>40</v>
      </c>
      <c r="D5324">
        <v>5.2811469999999998</v>
      </c>
      <c r="E5324">
        <v>0.40158389999999999</v>
      </c>
      <c r="F5324" t="s">
        <v>97</v>
      </c>
      <c r="G5324">
        <v>-452.98489999999998</v>
      </c>
      <c r="H5324">
        <v>0.33317720000000001</v>
      </c>
      <c r="I5324">
        <v>119.8177</v>
      </c>
      <c r="J5324">
        <v>-362.46429999999998</v>
      </c>
      <c r="K5324">
        <v>1.1095919999999999</v>
      </c>
      <c r="L5324">
        <v>142.2637</v>
      </c>
      <c r="M5324">
        <v>-0.99994450000000001</v>
      </c>
      <c r="N5324">
        <v>0</v>
      </c>
      <c r="O5324">
        <v>3.1868640000000002E-3</v>
      </c>
      <c r="P5324">
        <v>-0.99985299999999999</v>
      </c>
      <c r="Q5324">
        <v>1.3706019999999999E-2</v>
      </c>
      <c r="R5324">
        <v>1.0307449999999999E-2</v>
      </c>
      <c r="S5324">
        <v>-3.008759</v>
      </c>
      <c r="T5324">
        <v>-2.5740740000000002E-2</v>
      </c>
      <c r="U5324">
        <v>-0.74417109999999997</v>
      </c>
      <c r="V5324">
        <v>7.1127480000000003E-3</v>
      </c>
      <c r="W5324">
        <v>2.375648E-2</v>
      </c>
      <c r="X5324">
        <v>0.99969249999999998</v>
      </c>
      <c r="Y5324">
        <v>-0.24318400000000001</v>
      </c>
      <c r="Z5324">
        <v>-1.0516569999999999E-3</v>
      </c>
      <c r="AA5324">
        <v>0.96997960000000005</v>
      </c>
      <c r="AB5324">
        <v>32</v>
      </c>
      <c r="AC5324">
        <v>-90.520600000000002</v>
      </c>
      <c r="AD5324">
        <v>-0.77641479999999996</v>
      </c>
      <c r="AE5324">
        <v>-22.446000000000002</v>
      </c>
      <c r="AF5324">
        <v>-22.732801847988402</v>
      </c>
      <c r="AG5324">
        <v>-0.77641479999999996</v>
      </c>
      <c r="AH5324">
        <v>90.442336026577706</v>
      </c>
      <c r="AI5324">
        <v>90.477014680555996</v>
      </c>
      <c r="AJ5324">
        <v>104.109091568157</v>
      </c>
      <c r="AK5324">
        <v>93.258775703662096</v>
      </c>
      <c r="AL5324">
        <v>88.638725933822499</v>
      </c>
      <c r="AM5324">
        <v>89.592351083320196</v>
      </c>
      <c r="AN5324">
        <v>1.0000000280411701</v>
      </c>
    </row>
    <row r="5325" spans="1:40" x14ac:dyDescent="0.25">
      <c r="A5325" t="str">
        <f>"20190312160440421"</f>
        <v>20190312160440421</v>
      </c>
      <c r="B5325" t="str">
        <f>"1552377880410120"</f>
        <v>1552377880410120</v>
      </c>
      <c r="C5325" t="s">
        <v>40</v>
      </c>
      <c r="D5325">
        <v>5.2732289999999997</v>
      </c>
      <c r="E5325">
        <v>0.40119110000000002</v>
      </c>
      <c r="F5325" t="s">
        <v>97</v>
      </c>
      <c r="G5325">
        <v>-452.2235</v>
      </c>
      <c r="H5325">
        <v>0.36387609999999998</v>
      </c>
      <c r="I5325">
        <v>119.8177</v>
      </c>
      <c r="J5325">
        <v>-362.71660000000003</v>
      </c>
      <c r="K5325">
        <v>1.1096010000000001</v>
      </c>
      <c r="L5325">
        <v>142.26439999999999</v>
      </c>
      <c r="M5325">
        <v>-0.99994450000000001</v>
      </c>
      <c r="N5325">
        <v>0</v>
      </c>
      <c r="O5325">
        <v>3.0449439999999999E-3</v>
      </c>
      <c r="P5325">
        <v>-0.99985270000000004</v>
      </c>
      <c r="Q5325">
        <v>1.381022E-2</v>
      </c>
      <c r="R5325">
        <v>1.020559E-2</v>
      </c>
      <c r="S5325">
        <v>-3.008575</v>
      </c>
      <c r="T5325">
        <v>-2.499413E-2</v>
      </c>
      <c r="U5325">
        <v>-0.75234990000000002</v>
      </c>
      <c r="V5325">
        <v>7.1527759999999996E-3</v>
      </c>
      <c r="W5325">
        <v>2.3894729999999999E-2</v>
      </c>
      <c r="X5325">
        <v>0.99968889999999999</v>
      </c>
      <c r="Y5325">
        <v>-0.24554309999999999</v>
      </c>
      <c r="Z5325">
        <v>-1.0293749999999999E-3</v>
      </c>
      <c r="AA5325">
        <v>0.9693851</v>
      </c>
      <c r="AB5325">
        <v>32</v>
      </c>
      <c r="AC5325">
        <v>-89.506899999999902</v>
      </c>
      <c r="AD5325">
        <v>-0.74572490000000002</v>
      </c>
      <c r="AE5325">
        <v>-22.4467</v>
      </c>
      <c r="AF5325">
        <v>-22.717669683483098</v>
      </c>
      <c r="AG5325">
        <v>-0.74572490000000002</v>
      </c>
      <c r="AH5325">
        <v>89.432292100456394</v>
      </c>
      <c r="AI5325">
        <v>90.463040735932495</v>
      </c>
      <c r="AJ5325">
        <v>104.252865299094</v>
      </c>
      <c r="AK5325">
        <v>92.275584483739195</v>
      </c>
      <c r="AL5325">
        <v>88.630802516621898</v>
      </c>
      <c r="AM5325">
        <v>89.590055582989606</v>
      </c>
      <c r="AN5325">
        <v>1.00000000855474</v>
      </c>
    </row>
    <row r="5326" spans="1:40" x14ac:dyDescent="0.25">
      <c r="A5326" t="str">
        <f>"20190312160440438"</f>
        <v>20190312160440438</v>
      </c>
      <c r="B5326" t="str">
        <f>"1552377880430617"</f>
        <v>1552377880430617</v>
      </c>
      <c r="C5326" t="s">
        <v>40</v>
      </c>
      <c r="D5326">
        <v>5.3051680000000001</v>
      </c>
      <c r="E5326">
        <v>0.4005108</v>
      </c>
      <c r="F5326" t="s">
        <v>97</v>
      </c>
      <c r="G5326">
        <v>-452.07330000000002</v>
      </c>
      <c r="H5326">
        <v>0.37251380000000001</v>
      </c>
      <c r="I5326">
        <v>119.8177</v>
      </c>
      <c r="J5326">
        <v>-362.95420000000001</v>
      </c>
      <c r="K5326">
        <v>1.109613</v>
      </c>
      <c r="L5326">
        <v>142.26499999999999</v>
      </c>
      <c r="M5326">
        <v>-0.99994459999999996</v>
      </c>
      <c r="N5326">
        <v>0</v>
      </c>
      <c r="O5326">
        <v>2.9111139999999998E-3</v>
      </c>
      <c r="P5326">
        <v>-0.99985489999999999</v>
      </c>
      <c r="Q5326">
        <v>1.3752230000000001E-2</v>
      </c>
      <c r="R5326">
        <v>1.0081400000000001E-2</v>
      </c>
      <c r="S5326">
        <v>-3.0085449999999998</v>
      </c>
      <c r="T5326">
        <v>-2.4815920000000002E-2</v>
      </c>
      <c r="U5326">
        <v>-0.7557526</v>
      </c>
      <c r="V5326">
        <v>7.1625480000000004E-3</v>
      </c>
      <c r="W5326">
        <v>2.387423E-2</v>
      </c>
      <c r="X5326">
        <v>0.9996893</v>
      </c>
      <c r="Y5326">
        <v>-0.24644720000000001</v>
      </c>
      <c r="Z5326">
        <v>-1.024491E-3</v>
      </c>
      <c r="AA5326">
        <v>0.96915569999999895</v>
      </c>
      <c r="AB5326">
        <v>32</v>
      </c>
      <c r="AC5326">
        <v>-89.119100000000003</v>
      </c>
      <c r="AD5326">
        <v>-0.73709919999999995</v>
      </c>
      <c r="AE5326">
        <v>-22.447299999999899</v>
      </c>
      <c r="AF5326">
        <v>-22.705193442286902</v>
      </c>
      <c r="AG5326">
        <v>-0.73709919999999995</v>
      </c>
      <c r="AH5326">
        <v>89.047644141932196</v>
      </c>
      <c r="AI5326">
        <v>90.459556811314798</v>
      </c>
      <c r="AJ5326">
        <v>104.30437024736401</v>
      </c>
      <c r="AK5326">
        <v>91.899684720408601</v>
      </c>
      <c r="AL5326">
        <v>88.631977388153203</v>
      </c>
      <c r="AM5326">
        <v>89.589495707351901</v>
      </c>
      <c r="AN5326">
        <v>0.99999998874321705</v>
      </c>
    </row>
    <row r="5327" spans="1:40" x14ac:dyDescent="0.25">
      <c r="A5327" t="str">
        <f>"20190312160440460"</f>
        <v>20190312160440460</v>
      </c>
      <c r="B5327" t="str">
        <f>"1552377880450136"</f>
        <v>1552377880450136</v>
      </c>
      <c r="C5327" t="s">
        <v>40</v>
      </c>
      <c r="D5327">
        <v>5.2699629999999997</v>
      </c>
      <c r="E5327">
        <v>0.39985799999999999</v>
      </c>
      <c r="F5327" t="s">
        <v>97</v>
      </c>
      <c r="G5327">
        <v>-451.6268</v>
      </c>
      <c r="H5327">
        <v>0.35008210000000001</v>
      </c>
      <c r="I5327">
        <v>119.8177</v>
      </c>
      <c r="J5327">
        <v>-363.2715</v>
      </c>
      <c r="K5327">
        <v>1.109623</v>
      </c>
      <c r="L5327">
        <v>142.26570000000001</v>
      </c>
      <c r="M5327">
        <v>-0.99994450000000001</v>
      </c>
      <c r="N5327">
        <v>0</v>
      </c>
      <c r="O5327">
        <v>2.7328259999999998E-3</v>
      </c>
      <c r="P5327">
        <v>-0.99985380000000001</v>
      </c>
      <c r="Q5327">
        <v>1.3807710000000001E-2</v>
      </c>
      <c r="R5327">
        <v>1.009198E-2</v>
      </c>
      <c r="S5327">
        <v>-3.0085139999999999</v>
      </c>
      <c r="T5327">
        <v>-2.5768639999999999E-2</v>
      </c>
      <c r="U5327">
        <v>-0.76159670000000002</v>
      </c>
      <c r="V5327">
        <v>7.3511490000000004E-3</v>
      </c>
      <c r="W5327">
        <v>2.3988160000000001E-2</v>
      </c>
      <c r="X5327">
        <v>0.99968520000000005</v>
      </c>
      <c r="Y5327">
        <v>-0.24804580000000001</v>
      </c>
      <c r="Z5327">
        <v>-1.0688200000000001E-3</v>
      </c>
      <c r="AA5327">
        <v>0.96874769999999999</v>
      </c>
      <c r="AB5327">
        <v>32</v>
      </c>
      <c r="AC5327">
        <v>-88.3553</v>
      </c>
      <c r="AD5327">
        <v>-0.75954089999999996</v>
      </c>
      <c r="AE5327">
        <v>-22.448</v>
      </c>
      <c r="AF5327">
        <v>-22.687813387376799</v>
      </c>
      <c r="AG5327">
        <v>-0.75954089999999996</v>
      </c>
      <c r="AH5327">
        <v>88.287491646115598</v>
      </c>
      <c r="AI5327">
        <v>90.477395633251803</v>
      </c>
      <c r="AJ5327">
        <v>104.411834066561</v>
      </c>
      <c r="AK5327">
        <v>91.159173755810997</v>
      </c>
      <c r="AL5327">
        <v>88.625447804964296</v>
      </c>
      <c r="AM5327">
        <v>89.578685149292895</v>
      </c>
      <c r="AN5327">
        <v>0.99999998515542199</v>
      </c>
    </row>
    <row r="5328" spans="1:40" x14ac:dyDescent="0.25">
      <c r="A5328" t="str">
        <f>"20190312160440483"</f>
        <v>20190312160440483</v>
      </c>
      <c r="B5328" t="str">
        <f>"1552377880470632"</f>
        <v>1552377880470632</v>
      </c>
      <c r="C5328" t="s">
        <v>40</v>
      </c>
      <c r="D5328">
        <v>5.3249909999999998</v>
      </c>
      <c r="E5328">
        <v>0.3993815</v>
      </c>
      <c r="F5328" t="s">
        <v>97</v>
      </c>
      <c r="G5328">
        <v>-451.35410000000002</v>
      </c>
      <c r="H5328">
        <v>0.352520099999999</v>
      </c>
      <c r="I5328">
        <v>119.8177</v>
      </c>
      <c r="J5328">
        <v>-363.5933</v>
      </c>
      <c r="K5328">
        <v>1.1096360000000001</v>
      </c>
      <c r="L5328">
        <v>142.2664</v>
      </c>
      <c r="M5328">
        <v>-0.99994430000000001</v>
      </c>
      <c r="N5328">
        <v>0</v>
      </c>
      <c r="O5328">
        <v>2.551958E-3</v>
      </c>
      <c r="P5328">
        <v>-0.99985009999999996</v>
      </c>
      <c r="Q5328">
        <v>1.3759779999999999E-2</v>
      </c>
      <c r="R5328">
        <v>1.052811E-2</v>
      </c>
      <c r="S5328">
        <v>-3.0085139999999999</v>
      </c>
      <c r="T5328">
        <v>-2.5858280000000001E-2</v>
      </c>
      <c r="U5328">
        <v>-0.76672359999999995</v>
      </c>
      <c r="V5328">
        <v>7.9681289999999991E-3</v>
      </c>
      <c r="W5328">
        <v>2.4012470000000001E-2</v>
      </c>
      <c r="X5328">
        <v>0.99967989999999995</v>
      </c>
      <c r="Y5328">
        <v>-0.24942110000000001</v>
      </c>
      <c r="Z5328">
        <v>-1.076603E-3</v>
      </c>
      <c r="AA5328">
        <v>0.96839450000000005</v>
      </c>
      <c r="AB5328">
        <v>32</v>
      </c>
      <c r="AC5328">
        <v>-87.760800000000003</v>
      </c>
      <c r="AD5328">
        <v>-0.75711589999999995</v>
      </c>
      <c r="AE5328">
        <v>-22.448699999999999</v>
      </c>
      <c r="AF5328">
        <v>-22.671016828202699</v>
      </c>
      <c r="AG5328">
        <v>-0.75711589999999995</v>
      </c>
      <c r="AH5328">
        <v>87.697096961359705</v>
      </c>
      <c r="AI5328">
        <v>90.478896932471201</v>
      </c>
      <c r="AJ5328">
        <v>104.494491789929</v>
      </c>
      <c r="AK5328">
        <v>90.583271325122794</v>
      </c>
      <c r="AL5328">
        <v>88.624054558318704</v>
      </c>
      <c r="AM5328">
        <v>89.543323323376001</v>
      </c>
      <c r="AN5328">
        <v>0.99999999612963497</v>
      </c>
    </row>
    <row r="5329" spans="1:40" x14ac:dyDescent="0.25">
      <c r="A5329" t="str">
        <f>"20190312160440504"</f>
        <v>20190312160440504</v>
      </c>
      <c r="B5329" t="str">
        <f>"1552377880500888"</f>
        <v>1552377880500888</v>
      </c>
      <c r="C5329" t="s">
        <v>40</v>
      </c>
      <c r="D5329">
        <v>5.3057559999999997</v>
      </c>
      <c r="E5329">
        <v>0.39867459999999999</v>
      </c>
      <c r="F5329" t="s">
        <v>97</v>
      </c>
      <c r="G5329">
        <v>-451.40449999999998</v>
      </c>
      <c r="H5329">
        <v>0.31111339999999998</v>
      </c>
      <c r="I5329">
        <v>119.8177</v>
      </c>
      <c r="J5329">
        <v>-363.90649999999999</v>
      </c>
      <c r="K5329">
        <v>1.1096509999999999</v>
      </c>
      <c r="L5329">
        <v>142.2671</v>
      </c>
      <c r="M5329">
        <v>-0.99994380000000005</v>
      </c>
      <c r="N5329">
        <v>0</v>
      </c>
      <c r="O5329">
        <v>2.3759039999999999E-3</v>
      </c>
      <c r="P5329">
        <v>-0.9998532</v>
      </c>
      <c r="Q5329">
        <v>1.3092070000000001E-2</v>
      </c>
      <c r="R5329">
        <v>1.1077389999999999E-2</v>
      </c>
      <c r="S5329">
        <v>-3.0089419999999998</v>
      </c>
      <c r="T5329">
        <v>-2.7361150000000001E-2</v>
      </c>
      <c r="U5329">
        <v>-0.76922609999999902</v>
      </c>
      <c r="V5329">
        <v>8.6937950000000007E-3</v>
      </c>
      <c r="W5329">
        <v>2.3430889999999999E-2</v>
      </c>
      <c r="X5329">
        <v>0.99968769999999996</v>
      </c>
      <c r="Y5329">
        <v>-0.24997269999999999</v>
      </c>
      <c r="Z5329">
        <v>-1.1397930000000001E-3</v>
      </c>
      <c r="AA5329">
        <v>0.96825220000000001</v>
      </c>
      <c r="AB5329">
        <v>32</v>
      </c>
      <c r="AC5329">
        <v>-87.497999999999905</v>
      </c>
      <c r="AD5329">
        <v>-0.79853759999999996</v>
      </c>
      <c r="AE5329">
        <v>-22.449400000000001</v>
      </c>
      <c r="AF5329">
        <v>-22.655464140114201</v>
      </c>
      <c r="AG5329">
        <v>-0.79853759999999996</v>
      </c>
      <c r="AH5329">
        <v>87.437579643055102</v>
      </c>
      <c r="AI5329">
        <v>90.506522635051795</v>
      </c>
      <c r="AJ5329">
        <v>104.52614236453</v>
      </c>
      <c r="AK5329">
        <v>90.328500771009303</v>
      </c>
      <c r="AL5329">
        <v>88.657386080875796</v>
      </c>
      <c r="AM5329">
        <v>89.501739188559696</v>
      </c>
      <c r="AN5329">
        <v>1.00000004310449</v>
      </c>
    </row>
    <row r="5330" spans="1:40" x14ac:dyDescent="0.25">
      <c r="A5330" t="str">
        <f>"20190312160440522"</f>
        <v>20190312160440522</v>
      </c>
      <c r="B5330" t="str">
        <f>"1552377880510647"</f>
        <v>1552377880510647</v>
      </c>
      <c r="C5330" t="s">
        <v>40</v>
      </c>
      <c r="D5330">
        <v>5.3069680000000004</v>
      </c>
      <c r="E5330">
        <v>0.3984646</v>
      </c>
      <c r="F5330" t="s">
        <v>97</v>
      </c>
      <c r="G5330">
        <v>-451.28989999999999</v>
      </c>
      <c r="H5330">
        <v>0.22749539999999999</v>
      </c>
      <c r="I5330">
        <v>119.8177</v>
      </c>
      <c r="J5330">
        <v>-364.15910000000002</v>
      </c>
      <c r="K5330">
        <v>1.1096649999999999</v>
      </c>
      <c r="L5330">
        <v>142.26750000000001</v>
      </c>
      <c r="M5330">
        <v>-0.99994320000000003</v>
      </c>
      <c r="N5330">
        <v>0</v>
      </c>
      <c r="O5330">
        <v>2.234003E-3</v>
      </c>
      <c r="P5330">
        <v>-0.99985210000000002</v>
      </c>
      <c r="Q5330">
        <v>1.2960340000000001E-2</v>
      </c>
      <c r="R5330">
        <v>1.1322509999999999E-2</v>
      </c>
      <c r="S5330">
        <v>-3.0093990000000002</v>
      </c>
      <c r="T5330">
        <v>-3.0379529999999998E-2</v>
      </c>
      <c r="U5330">
        <v>-0.77313229999999999</v>
      </c>
      <c r="V5330">
        <v>9.0806499999999991E-3</v>
      </c>
      <c r="W5330">
        <v>2.3384169999999999E-2</v>
      </c>
      <c r="X5330">
        <v>0.9996853</v>
      </c>
      <c r="Y5330">
        <v>-0.2509768</v>
      </c>
      <c r="Z5330">
        <v>-1.2687149999999999E-3</v>
      </c>
      <c r="AA5330">
        <v>0.96799219999999997</v>
      </c>
      <c r="AB5330">
        <v>32</v>
      </c>
      <c r="AC5330">
        <v>-87.130799999999894</v>
      </c>
      <c r="AD5330">
        <v>-0.882169599999999</v>
      </c>
      <c r="AE5330">
        <v>-22.4498</v>
      </c>
      <c r="AF5330">
        <v>-22.6422284798394</v>
      </c>
      <c r="AG5330">
        <v>-0.882169599999999</v>
      </c>
      <c r="AH5330">
        <v>87.072056919179104</v>
      </c>
      <c r="AI5330">
        <v>90.5617893107448</v>
      </c>
      <c r="AJ5330">
        <v>104.576369546176</v>
      </c>
      <c r="AK5330">
        <v>89.972172530584004</v>
      </c>
      <c r="AL5330">
        <v>88.660063599806705</v>
      </c>
      <c r="AM5330">
        <v>89.479567608519304</v>
      </c>
      <c r="AN5330">
        <v>0.99999998832354997</v>
      </c>
    </row>
    <row r="5331" spans="1:40" x14ac:dyDescent="0.25">
      <c r="A5331" t="str">
        <f>"20190312160440537"</f>
        <v>20190312160440537</v>
      </c>
      <c r="B5331" t="str">
        <f>"1552377880530168"</f>
        <v>1552377880530168</v>
      </c>
      <c r="C5331" t="s">
        <v>40</v>
      </c>
      <c r="D5331">
        <v>5.3092300000000003</v>
      </c>
      <c r="E5331">
        <v>0.39805249999999998</v>
      </c>
      <c r="F5331" t="s">
        <v>97</v>
      </c>
      <c r="G5331">
        <v>-451.4479</v>
      </c>
      <c r="H5331">
        <v>0.18959780000000001</v>
      </c>
      <c r="I5331">
        <v>119.8177</v>
      </c>
      <c r="J5331">
        <v>-364.38729999999998</v>
      </c>
      <c r="K5331">
        <v>1.1096729999999999</v>
      </c>
      <c r="L5331">
        <v>142.2679</v>
      </c>
      <c r="M5331">
        <v>-0.99994269999999996</v>
      </c>
      <c r="N5331">
        <v>0</v>
      </c>
      <c r="O5331">
        <v>2.1053719999999999E-3</v>
      </c>
      <c r="P5331">
        <v>-0.9998534</v>
      </c>
      <c r="Q5331">
        <v>1.2693960000000001E-2</v>
      </c>
      <c r="R5331">
        <v>1.149562E-2</v>
      </c>
      <c r="S5331">
        <v>-3.0096440000000002</v>
      </c>
      <c r="T5331">
        <v>-3.1722069999999998E-2</v>
      </c>
      <c r="U5331">
        <v>-0.77404790000000001</v>
      </c>
      <c r="V5331">
        <v>9.3822269999999999E-3</v>
      </c>
      <c r="W5331">
        <v>2.3205409999999999E-2</v>
      </c>
      <c r="X5331">
        <v>0.99968670000000004</v>
      </c>
      <c r="Y5331">
        <v>-0.25110850000000001</v>
      </c>
      <c r="Z5331">
        <v>-1.3239739999999999E-3</v>
      </c>
      <c r="AA5331">
        <v>0.96795799999999999</v>
      </c>
      <c r="AB5331">
        <v>32</v>
      </c>
      <c r="AC5331">
        <v>-87.060599999999994</v>
      </c>
      <c r="AD5331">
        <v>-0.92007519999999998</v>
      </c>
      <c r="AE5331">
        <v>-22.450199999999899</v>
      </c>
      <c r="AF5331">
        <v>-22.6310852791351</v>
      </c>
      <c r="AG5331">
        <v>-0.92007519999999998</v>
      </c>
      <c r="AH5331">
        <v>87.004027037036394</v>
      </c>
      <c r="AI5331">
        <v>90.586374332749102</v>
      </c>
      <c r="AJ5331">
        <v>104.580408048998</v>
      </c>
      <c r="AK5331">
        <v>89.903911371789107</v>
      </c>
      <c r="AL5331">
        <v>88.670308599331406</v>
      </c>
      <c r="AM5331">
        <v>89.462285306684294</v>
      </c>
      <c r="AN5331">
        <v>1.0000000076968101</v>
      </c>
    </row>
    <row r="5332" spans="1:40" x14ac:dyDescent="0.25">
      <c r="A5332" t="str">
        <f>"20190312160440554"</f>
        <v>20190312160440554</v>
      </c>
      <c r="B5332" t="str">
        <f>"1552377880550664"</f>
        <v>1552377880550664</v>
      </c>
      <c r="C5332" t="s">
        <v>40</v>
      </c>
      <c r="D5332">
        <v>5.3090640000000002</v>
      </c>
      <c r="E5332">
        <v>0.3977137</v>
      </c>
      <c r="F5332" t="s">
        <v>43</v>
      </c>
      <c r="G5332">
        <v>-468.37130000000002</v>
      </c>
      <c r="H5332">
        <v>-0.05</v>
      </c>
      <c r="I5332">
        <v>115.4329</v>
      </c>
      <c r="J5332">
        <v>-364.6191</v>
      </c>
      <c r="K5332">
        <v>1.1096900000000001</v>
      </c>
      <c r="L5332">
        <v>142.26830000000001</v>
      </c>
      <c r="M5332">
        <v>-0.99994190000000005</v>
      </c>
      <c r="N5332">
        <v>0</v>
      </c>
      <c r="O5332">
        <v>1.97459E-3</v>
      </c>
      <c r="P5332">
        <v>-0.99985679999999999</v>
      </c>
      <c r="Q5332">
        <v>1.264911E-2</v>
      </c>
      <c r="R5332">
        <v>1.124708E-2</v>
      </c>
      <c r="S5332">
        <v>-3.0097960000000001</v>
      </c>
      <c r="T5332">
        <v>-3.3566470000000001E-2</v>
      </c>
      <c r="U5332">
        <v>-0.77673340000000002</v>
      </c>
      <c r="V5332">
        <v>9.2644419999999995E-3</v>
      </c>
      <c r="W5332">
        <v>2.325785E-2</v>
      </c>
      <c r="X5332">
        <v>0.99968659999999998</v>
      </c>
      <c r="Y5332">
        <v>-0.25177840000000001</v>
      </c>
      <c r="Z5332">
        <v>-1.402967E-3</v>
      </c>
      <c r="AA5332">
        <v>0.96778390000000003</v>
      </c>
      <c r="AB5332">
        <v>32</v>
      </c>
      <c r="AC5332">
        <v>-103.7522</v>
      </c>
      <c r="AD5332">
        <v>-1.1596899999999899</v>
      </c>
      <c r="AE5332">
        <v>-26.8354</v>
      </c>
      <c r="AF5332">
        <v>-27.037061134498199</v>
      </c>
      <c r="AG5332">
        <v>-1.1596899999999899</v>
      </c>
      <c r="AH5332">
        <v>103.68686384402601</v>
      </c>
      <c r="AI5332">
        <v>90.620068137432398</v>
      </c>
      <c r="AJ5332">
        <v>104.614827791675</v>
      </c>
      <c r="AK5332">
        <v>107.16022251515</v>
      </c>
      <c r="AL5332">
        <v>88.667303224403895</v>
      </c>
      <c r="AM5332">
        <v>89.469035364831797</v>
      </c>
      <c r="AN5332">
        <v>1.0000000278458701</v>
      </c>
    </row>
    <row r="5333" spans="1:40" x14ac:dyDescent="0.25">
      <c r="A5333" t="str">
        <f>"20190312160440571"</f>
        <v>20190312160440571</v>
      </c>
      <c r="B5333" t="str">
        <f>"1552377880560424"</f>
        <v>1552377880560424</v>
      </c>
      <c r="C5333" t="s">
        <v>40</v>
      </c>
      <c r="D5333">
        <v>5.25352</v>
      </c>
      <c r="E5333">
        <v>0.39752330000000002</v>
      </c>
      <c r="F5333" t="s">
        <v>43</v>
      </c>
      <c r="G5333">
        <v>-465.28739999999999</v>
      </c>
      <c r="H5333">
        <v>-0.05</v>
      </c>
      <c r="I5333">
        <v>116.17100000000001</v>
      </c>
      <c r="J5333">
        <v>-364.86770000000001</v>
      </c>
      <c r="K5333">
        <v>1.1097049999999999</v>
      </c>
      <c r="L5333">
        <v>142.26859999999999</v>
      </c>
      <c r="M5333">
        <v>-0.99994090000000002</v>
      </c>
      <c r="N5333">
        <v>0</v>
      </c>
      <c r="O5333">
        <v>1.8339980000000001E-3</v>
      </c>
      <c r="P5333">
        <v>-0.99986600000000003</v>
      </c>
      <c r="Q5333">
        <v>1.211214E-2</v>
      </c>
      <c r="R5333">
        <v>1.1019350000000001E-2</v>
      </c>
      <c r="S5333">
        <v>-3.0096129999999999</v>
      </c>
      <c r="T5333">
        <v>-3.4670470000000002E-2</v>
      </c>
      <c r="U5333">
        <v>-0.78021240000000003</v>
      </c>
      <c r="V5333">
        <v>9.1773840000000002E-3</v>
      </c>
      <c r="W5333">
        <v>2.2833099999999999E-2</v>
      </c>
      <c r="X5333">
        <v>0.99969710000000001</v>
      </c>
      <c r="Y5333">
        <v>-0.25270399999999998</v>
      </c>
      <c r="Z5333">
        <v>-1.4526369999999999E-3</v>
      </c>
      <c r="AA5333">
        <v>0.96754249999999997</v>
      </c>
      <c r="AB5333">
        <v>32</v>
      </c>
      <c r="AC5333">
        <v>-100.419699999999</v>
      </c>
      <c r="AD5333">
        <v>-1.159705</v>
      </c>
      <c r="AE5333">
        <v>-26.0975999999999</v>
      </c>
      <c r="AF5333">
        <v>-26.278453195001902</v>
      </c>
      <c r="AG5333">
        <v>-1.159705</v>
      </c>
      <c r="AH5333">
        <v>100.359127358393</v>
      </c>
      <c r="AI5333">
        <v>90.640464787720404</v>
      </c>
      <c r="AJ5333">
        <v>104.67314470011399</v>
      </c>
      <c r="AK5333">
        <v>103.74900704174</v>
      </c>
      <c r="AL5333">
        <v>88.691645947551507</v>
      </c>
      <c r="AM5333">
        <v>89.474030084179901</v>
      </c>
      <c r="AN5333">
        <v>0.99999993329054904</v>
      </c>
    </row>
    <row r="5334" spans="1:40" x14ac:dyDescent="0.25">
      <c r="A5334" t="str">
        <f>"20190312160440587"</f>
        <v>20190312160440587</v>
      </c>
      <c r="B5334" t="str">
        <f>"1552377880580922"</f>
        <v>1552377880580922</v>
      </c>
      <c r="C5334" t="s">
        <v>40</v>
      </c>
      <c r="D5334">
        <v>5.2625060000000001</v>
      </c>
      <c r="E5334">
        <v>0.39719850000000001</v>
      </c>
      <c r="F5334" t="s">
        <v>43</v>
      </c>
      <c r="G5334">
        <v>-460.93369999999999</v>
      </c>
      <c r="H5334">
        <v>-0.05</v>
      </c>
      <c r="I5334">
        <v>117.2911</v>
      </c>
      <c r="J5334">
        <v>-365.10379999999998</v>
      </c>
      <c r="K5334">
        <v>1.1097250000000001</v>
      </c>
      <c r="L5334">
        <v>142.2689</v>
      </c>
      <c r="M5334">
        <v>-0.99994000000000005</v>
      </c>
      <c r="N5334">
        <v>0</v>
      </c>
      <c r="O5334">
        <v>1.6997780000000001E-3</v>
      </c>
      <c r="P5334">
        <v>-0.99987409999999999</v>
      </c>
      <c r="Q5334">
        <v>1.1735590000000001E-2</v>
      </c>
      <c r="R5334">
        <v>1.0691640000000001E-2</v>
      </c>
      <c r="S5334">
        <v>-3.0094599999999998</v>
      </c>
      <c r="T5334">
        <v>-3.6330099999999997E-2</v>
      </c>
      <c r="U5334">
        <v>-0.78247069999999996</v>
      </c>
      <c r="V5334">
        <v>8.9837619999999993E-3</v>
      </c>
      <c r="W5334">
        <v>2.256756E-2</v>
      </c>
      <c r="X5334">
        <v>0.99970499999999995</v>
      </c>
      <c r="Y5334">
        <v>-0.25326460000000001</v>
      </c>
      <c r="Z5334">
        <v>-1.523836E-3</v>
      </c>
      <c r="AA5334">
        <v>0.96739580000000003</v>
      </c>
      <c r="AB5334">
        <v>32</v>
      </c>
      <c r="AC5334">
        <v>-95.829899999999995</v>
      </c>
      <c r="AD5334">
        <v>-1.1597249999999999</v>
      </c>
      <c r="AE5334">
        <v>-24.977799999999998</v>
      </c>
      <c r="AF5334">
        <v>-25.137215703190101</v>
      </c>
      <c r="AG5334">
        <v>-1.1597249999999999</v>
      </c>
      <c r="AH5334">
        <v>95.774167929723404</v>
      </c>
      <c r="AI5334">
        <v>90.671032414939503</v>
      </c>
      <c r="AJ5334">
        <v>104.706343134561</v>
      </c>
      <c r="AK5334">
        <v>99.024824251372394</v>
      </c>
      <c r="AL5334">
        <v>88.706864335757999</v>
      </c>
      <c r="AM5334">
        <v>89.485130321847706</v>
      </c>
      <c r="AN5334">
        <v>1.0000000448845101</v>
      </c>
    </row>
    <row r="5335" spans="1:40" x14ac:dyDescent="0.25">
      <c r="A5335" t="str">
        <f>"20190312160440599"</f>
        <v>20190312160440599</v>
      </c>
      <c r="B5335" t="str">
        <f>"1552377880590680"</f>
        <v>1552377880590680</v>
      </c>
      <c r="C5335" t="s">
        <v>40</v>
      </c>
      <c r="D5335">
        <v>5.2802730000000002</v>
      </c>
      <c r="E5335">
        <v>0.39703759999999999</v>
      </c>
      <c r="F5335" t="s">
        <v>43</v>
      </c>
      <c r="G5335">
        <v>-456.90460000000002</v>
      </c>
      <c r="H5335">
        <v>-0.05</v>
      </c>
      <c r="I5335">
        <v>118.2895</v>
      </c>
      <c r="J5335">
        <v>-365.28539999999998</v>
      </c>
      <c r="K5335">
        <v>1.1097440000000001</v>
      </c>
      <c r="L5335">
        <v>142.26910000000001</v>
      </c>
      <c r="M5335">
        <v>-0.99993909999999997</v>
      </c>
      <c r="N5335">
        <v>0</v>
      </c>
      <c r="O5335">
        <v>1.5968239999999999E-3</v>
      </c>
      <c r="P5335">
        <v>-0.99987510000000002</v>
      </c>
      <c r="Q5335">
        <v>1.180136E-2</v>
      </c>
      <c r="R5335">
        <v>1.0515160000000001E-2</v>
      </c>
      <c r="S5335">
        <v>-3.0092159999999999</v>
      </c>
      <c r="T5335">
        <v>-3.8015599999999997E-2</v>
      </c>
      <c r="U5335">
        <v>-0.78604130000000005</v>
      </c>
      <c r="V5335">
        <v>8.910088E-3</v>
      </c>
      <c r="W5335">
        <v>2.272822E-2</v>
      </c>
      <c r="X5335">
        <v>0.99970199999999998</v>
      </c>
      <c r="Y5335">
        <v>-0.25425710000000001</v>
      </c>
      <c r="Z5335">
        <v>-1.5993050000000001E-3</v>
      </c>
      <c r="AA5335">
        <v>0.96713539999999998</v>
      </c>
      <c r="AB5335">
        <v>32</v>
      </c>
      <c r="AC5335">
        <v>-91.619200000000006</v>
      </c>
      <c r="AD5335">
        <v>-1.1597440000000001</v>
      </c>
      <c r="AE5335">
        <v>-23.979600000000001</v>
      </c>
      <c r="AF5335">
        <v>-24.122260510906699</v>
      </c>
      <c r="AG5335">
        <v>-1.1597440000000001</v>
      </c>
      <c r="AH5335">
        <v>91.567058297857898</v>
      </c>
      <c r="AI5335">
        <v>90.701703697830197</v>
      </c>
      <c r="AJ5335">
        <v>104.758581636843</v>
      </c>
      <c r="AK5335">
        <v>94.698229252847696</v>
      </c>
      <c r="AL5335">
        <v>88.697656808930802</v>
      </c>
      <c r="AM5335">
        <v>89.489350906242393</v>
      </c>
      <c r="AN5335">
        <v>1.0000000252282599</v>
      </c>
    </row>
    <row r="5336" spans="1:40" x14ac:dyDescent="0.25">
      <c r="A5336" t="str">
        <f>"20190312160440613"</f>
        <v>20190312160440613</v>
      </c>
      <c r="B5336" t="str">
        <f>"1552377880600440"</f>
        <v>1552377880600440</v>
      </c>
      <c r="C5336" t="s">
        <v>40</v>
      </c>
      <c r="D5336">
        <v>5.2953239999999999</v>
      </c>
      <c r="E5336">
        <v>0.39688380000000001</v>
      </c>
      <c r="F5336" t="s">
        <v>43</v>
      </c>
      <c r="G5336">
        <v>-457.63889999999998</v>
      </c>
      <c r="H5336">
        <v>-0.05</v>
      </c>
      <c r="I5336">
        <v>118.0849</v>
      </c>
      <c r="J5336">
        <v>-365.46409999999997</v>
      </c>
      <c r="K5336">
        <v>1.109766</v>
      </c>
      <c r="L5336">
        <v>142.26929999999999</v>
      </c>
      <c r="M5336">
        <v>-0.9999382</v>
      </c>
      <c r="N5336">
        <v>0</v>
      </c>
      <c r="O5336">
        <v>1.4981899999999999E-3</v>
      </c>
      <c r="P5336">
        <v>-0.99987459999999995</v>
      </c>
      <c r="Q5336">
        <v>1.1859979999999999E-2</v>
      </c>
      <c r="R5336">
        <v>1.0509020000000001E-2</v>
      </c>
      <c r="S5336">
        <v>-3.0090940000000002</v>
      </c>
      <c r="T5336">
        <v>-3.7787199999999903E-2</v>
      </c>
      <c r="U5336">
        <v>-0.78797910000000004</v>
      </c>
      <c r="V5336">
        <v>9.0024939999999998E-3</v>
      </c>
      <c r="W5336">
        <v>2.2886489999999999E-2</v>
      </c>
      <c r="X5336">
        <v>0.99969750000000002</v>
      </c>
      <c r="Y5336">
        <v>-0.25475439999999999</v>
      </c>
      <c r="Z5336">
        <v>-1.5914849999999999E-3</v>
      </c>
      <c r="AA5336">
        <v>0.96700450000000004</v>
      </c>
      <c r="AB5336">
        <v>32</v>
      </c>
      <c r="AC5336">
        <v>-92.174800000000005</v>
      </c>
      <c r="AD5336">
        <v>-1.1597660000000001</v>
      </c>
      <c r="AE5336">
        <v>-24.184399999999901</v>
      </c>
      <c r="AF5336">
        <v>-24.3188745729211</v>
      </c>
      <c r="AG5336">
        <v>-1.1597660000000001</v>
      </c>
      <c r="AH5336">
        <v>92.124816315226795</v>
      </c>
      <c r="AI5336">
        <v>90.697376251152605</v>
      </c>
      <c r="AJ5336">
        <v>104.787470048377</v>
      </c>
      <c r="AK5336">
        <v>95.287640850125499</v>
      </c>
      <c r="AL5336">
        <v>88.688586166256101</v>
      </c>
      <c r="AM5336">
        <v>89.484052956935599</v>
      </c>
      <c r="AN5336">
        <v>0.99999996391449397</v>
      </c>
    </row>
    <row r="5337" spans="1:40" x14ac:dyDescent="0.25">
      <c r="A5337" t="str">
        <f>"20190312160440627"</f>
        <v>20190312160440627</v>
      </c>
      <c r="B5337" t="str">
        <f>"1552377880620937"</f>
        <v>1552377880620937</v>
      </c>
      <c r="C5337" t="s">
        <v>40</v>
      </c>
      <c r="D5337">
        <v>5.2942679999999998</v>
      </c>
      <c r="E5337">
        <v>0.39653749999999999</v>
      </c>
      <c r="F5337" t="s">
        <v>43</v>
      </c>
      <c r="G5337">
        <v>-457.54660000000001</v>
      </c>
      <c r="H5337">
        <v>-0.05</v>
      </c>
      <c r="I5337">
        <v>118.11750000000001</v>
      </c>
      <c r="J5337">
        <v>-365.6771</v>
      </c>
      <c r="K5337">
        <v>1.1097870000000001</v>
      </c>
      <c r="L5337">
        <v>142.26949999999999</v>
      </c>
      <c r="M5337">
        <v>-0.99993690000000002</v>
      </c>
      <c r="N5337">
        <v>0</v>
      </c>
      <c r="O5337">
        <v>1.3850760000000001E-3</v>
      </c>
      <c r="P5337">
        <v>-0.99987749999999997</v>
      </c>
      <c r="Q5337">
        <v>1.1636469999999999E-2</v>
      </c>
      <c r="R5337">
        <v>1.047993E-2</v>
      </c>
      <c r="S5337">
        <v>-3.009125</v>
      </c>
      <c r="T5337">
        <v>-3.7899490000000001E-2</v>
      </c>
      <c r="U5337">
        <v>-0.78924559999999999</v>
      </c>
      <c r="V5337">
        <v>9.0862860000000007E-3</v>
      </c>
      <c r="W5337">
        <v>2.2792099999999999E-2</v>
      </c>
      <c r="X5337">
        <v>0.99969889999999995</v>
      </c>
      <c r="Y5337">
        <v>-0.25502329999999901</v>
      </c>
      <c r="Z5337">
        <v>-1.5963780000000001E-3</v>
      </c>
      <c r="AA5337">
        <v>0.96693359999999995</v>
      </c>
      <c r="AB5337">
        <v>32</v>
      </c>
      <c r="AC5337">
        <v>-91.869500000000002</v>
      </c>
      <c r="AD5337">
        <v>-1.1597869999999999</v>
      </c>
      <c r="AE5337">
        <v>-24.151999999999902</v>
      </c>
      <c r="AF5337">
        <v>-24.275612214622601</v>
      </c>
      <c r="AG5337">
        <v>-1.1597869999999999</v>
      </c>
      <c r="AH5337">
        <v>91.822269496616798</v>
      </c>
      <c r="AI5337">
        <v>90.699617622043604</v>
      </c>
      <c r="AJ5337">
        <v>104.808819914599</v>
      </c>
      <c r="AK5337">
        <v>94.984101984434304</v>
      </c>
      <c r="AL5337">
        <v>88.693995728290503</v>
      </c>
      <c r="AM5337">
        <v>89.479251698534398</v>
      </c>
      <c r="AN5337">
        <v>0.99999996553844595</v>
      </c>
    </row>
    <row r="5338" spans="1:40" x14ac:dyDescent="0.25">
      <c r="A5338" t="str">
        <f>"20190312160440650"</f>
        <v>20190312160440650</v>
      </c>
      <c r="B5338" t="str">
        <f>"1552377880640459"</f>
        <v>1552377880640459</v>
      </c>
      <c r="C5338" t="s">
        <v>40</v>
      </c>
      <c r="D5338">
        <v>5.256888</v>
      </c>
      <c r="E5338">
        <v>0.39618989999999998</v>
      </c>
      <c r="F5338" t="s">
        <v>43</v>
      </c>
      <c r="G5338">
        <v>-455.7577</v>
      </c>
      <c r="H5338">
        <v>-0.05</v>
      </c>
      <c r="I5338">
        <v>118.5605</v>
      </c>
      <c r="J5338">
        <v>-365.99540000000002</v>
      </c>
      <c r="K5338">
        <v>1.109815</v>
      </c>
      <c r="L5338">
        <v>142.2697</v>
      </c>
      <c r="M5338">
        <v>-0.9999344</v>
      </c>
      <c r="N5338">
        <v>0</v>
      </c>
      <c r="O5338">
        <v>1.2129529999999999E-3</v>
      </c>
      <c r="P5338">
        <v>-0.99988449999999995</v>
      </c>
      <c r="Q5338">
        <v>1.1112800000000001E-2</v>
      </c>
      <c r="R5338">
        <v>1.0374E-2</v>
      </c>
      <c r="S5338">
        <v>-3.009125</v>
      </c>
      <c r="T5338">
        <v>-3.874242E-2</v>
      </c>
      <c r="U5338">
        <v>-0.79199219999999904</v>
      </c>
      <c r="V5338">
        <v>9.1529260000000005E-3</v>
      </c>
      <c r="W5338">
        <v>2.2502729999999999E-2</v>
      </c>
      <c r="X5338">
        <v>0.99970490000000001</v>
      </c>
      <c r="Y5338">
        <v>-0.25568150000000001</v>
      </c>
      <c r="Z5338">
        <v>-1.6336809999999999E-3</v>
      </c>
      <c r="AA5338">
        <v>0.9667597</v>
      </c>
      <c r="AB5338">
        <v>32</v>
      </c>
      <c r="AC5338">
        <v>-89.762299999999897</v>
      </c>
      <c r="AD5338">
        <v>-1.159815</v>
      </c>
      <c r="AE5338">
        <v>-23.709199999999999</v>
      </c>
      <c r="AF5338">
        <v>-23.8143505260587</v>
      </c>
      <c r="AG5338">
        <v>-1.159815</v>
      </c>
      <c r="AH5338">
        <v>89.719472038948197</v>
      </c>
      <c r="AI5338">
        <v>90.715843513486007</v>
      </c>
      <c r="AJ5338">
        <v>104.865311429553</v>
      </c>
      <c r="AK5338">
        <v>92.833464465998603</v>
      </c>
      <c r="AL5338">
        <v>88.710579729831693</v>
      </c>
      <c r="AM5338">
        <v>89.475435823751496</v>
      </c>
      <c r="AN5338">
        <v>1.0000000179979101</v>
      </c>
    </row>
    <row r="5339" spans="1:40" x14ac:dyDescent="0.25">
      <c r="A5339" t="str">
        <f>"20190312160440666"</f>
        <v>20190312160440666</v>
      </c>
      <c r="B5339" t="str">
        <f>"1552377880660953"</f>
        <v>1552377880660953</v>
      </c>
      <c r="C5339" t="s">
        <v>40</v>
      </c>
      <c r="D5339">
        <v>5.2839809999999998</v>
      </c>
      <c r="E5339">
        <v>0.39614820000000001</v>
      </c>
      <c r="F5339" t="s">
        <v>43</v>
      </c>
      <c r="G5339">
        <v>-450.59559999999999</v>
      </c>
      <c r="H5339">
        <v>-0.05</v>
      </c>
      <c r="I5339">
        <v>119.9174</v>
      </c>
      <c r="J5339">
        <v>-366.2389</v>
      </c>
      <c r="K5339">
        <v>1.1098399999999999</v>
      </c>
      <c r="L5339">
        <v>142.2698</v>
      </c>
      <c r="M5339">
        <v>-0.99993240000000005</v>
      </c>
      <c r="N5339">
        <v>0</v>
      </c>
      <c r="O5339">
        <v>1.0760850000000001E-3</v>
      </c>
      <c r="P5339">
        <v>-0.9998861</v>
      </c>
      <c r="Q5339">
        <v>1.0965610000000001E-2</v>
      </c>
      <c r="R5339">
        <v>1.037572E-2</v>
      </c>
      <c r="S5339">
        <v>-3.009064</v>
      </c>
      <c r="T5339">
        <v>-4.1252369999999997E-2</v>
      </c>
      <c r="U5339">
        <v>-0.79502869999999903</v>
      </c>
      <c r="V5339">
        <v>9.2918170000000008E-3</v>
      </c>
      <c r="W5339">
        <v>2.2555169999999999E-2</v>
      </c>
      <c r="X5339">
        <v>0.99970239999999999</v>
      </c>
      <c r="Y5339">
        <v>-0.25646340000000001</v>
      </c>
      <c r="Z5339">
        <v>-1.7427499999999999E-3</v>
      </c>
      <c r="AA5339">
        <v>0.96655239999999998</v>
      </c>
      <c r="AB5339">
        <v>32</v>
      </c>
      <c r="AC5339">
        <v>-84.356699999999904</v>
      </c>
      <c r="AD5339">
        <v>-1.15984</v>
      </c>
      <c r="AE5339">
        <v>-22.352399999999999</v>
      </c>
      <c r="AF5339">
        <v>-22.439204475128701</v>
      </c>
      <c r="AG5339">
        <v>-1.15984</v>
      </c>
      <c r="AH5339">
        <v>84.317702638385001</v>
      </c>
      <c r="AI5339">
        <v>90.761583322139103</v>
      </c>
      <c r="AJ5339">
        <v>104.902537393831</v>
      </c>
      <c r="AK5339">
        <v>87.260174790779303</v>
      </c>
      <c r="AL5339">
        <v>88.707574328676102</v>
      </c>
      <c r="AM5339">
        <v>89.467474952338605</v>
      </c>
      <c r="AN5339">
        <v>0.99999998106132404</v>
      </c>
    </row>
    <row r="5340" spans="1:40" x14ac:dyDescent="0.25">
      <c r="A5340" t="str">
        <f>"20190312160440683"</f>
        <v>20190312160440683</v>
      </c>
      <c r="B5340" t="str">
        <f>"1552377880670713"</f>
        <v>1552377880670713</v>
      </c>
      <c r="C5340" t="s">
        <v>40</v>
      </c>
      <c r="D5340">
        <v>5.3237139999999998</v>
      </c>
      <c r="E5340">
        <v>0.39750849999999999</v>
      </c>
      <c r="F5340" t="s">
        <v>43</v>
      </c>
      <c r="G5340">
        <v>-448.25319999999999</v>
      </c>
      <c r="H5340">
        <v>-0.05</v>
      </c>
      <c r="I5340">
        <v>120.5899</v>
      </c>
      <c r="J5340">
        <v>-366.47879999999998</v>
      </c>
      <c r="K5340">
        <v>1.1098600000000001</v>
      </c>
      <c r="L5340">
        <v>142.27000000000001</v>
      </c>
      <c r="M5340">
        <v>-0.99993010000000004</v>
      </c>
      <c r="N5340">
        <v>0</v>
      </c>
      <c r="O5340">
        <v>9.3792099999999998E-4</v>
      </c>
      <c r="P5340">
        <v>-0.99989019999999995</v>
      </c>
      <c r="Q5340">
        <v>1.0829139999999999E-2</v>
      </c>
      <c r="R5340">
        <v>1.012191E-2</v>
      </c>
      <c r="S5340">
        <v>-3.009064</v>
      </c>
      <c r="T5340">
        <v>-4.2553899999999999E-2</v>
      </c>
      <c r="U5340">
        <v>-0.79542539999999995</v>
      </c>
      <c r="V5340">
        <v>9.1764050000000003E-3</v>
      </c>
      <c r="W5340">
        <v>2.2620479999999998E-2</v>
      </c>
      <c r="X5340">
        <v>0.99970199999999998</v>
      </c>
      <c r="Y5340">
        <v>-0.2564476</v>
      </c>
      <c r="Z5340">
        <v>-1.7956679999999901E-3</v>
      </c>
      <c r="AA5340">
        <v>0.96655650000000004</v>
      </c>
      <c r="AB5340">
        <v>32</v>
      </c>
      <c r="AC5340">
        <v>-81.7744</v>
      </c>
      <c r="AD5340">
        <v>-1.1598599999999999</v>
      </c>
      <c r="AE5340">
        <v>-21.680099999999999</v>
      </c>
      <c r="AF5340">
        <v>-21.752704986111599</v>
      </c>
      <c r="AG5340">
        <v>-1.1598599999999999</v>
      </c>
      <c r="AH5340">
        <v>81.738664444184295</v>
      </c>
      <c r="AI5340">
        <v>90.785623917557501</v>
      </c>
      <c r="AJ5340">
        <v>104.902440393413</v>
      </c>
      <c r="AK5340">
        <v>84.591575907718905</v>
      </c>
      <c r="AL5340">
        <v>88.703831398728695</v>
      </c>
      <c r="AM5340">
        <v>89.474088766617001</v>
      </c>
      <c r="AN5340">
        <v>0.99999999066407697</v>
      </c>
    </row>
    <row r="5341" spans="1:40" x14ac:dyDescent="0.25">
      <c r="A5341" t="str">
        <f>"20190312160440705"</f>
        <v>20190312160440705</v>
      </c>
      <c r="B5341" t="str">
        <f>"1552377880699992"</f>
        <v>1552377880699992</v>
      </c>
      <c r="C5341" t="s">
        <v>40</v>
      </c>
      <c r="D5341">
        <v>5.1268630000000002</v>
      </c>
      <c r="E5341">
        <v>0.47081129999999999</v>
      </c>
      <c r="F5341" t="s">
        <v>43</v>
      </c>
      <c r="G5341">
        <v>-447.2097</v>
      </c>
      <c r="H5341">
        <v>-0.05</v>
      </c>
      <c r="I5341">
        <v>121.1998</v>
      </c>
      <c r="J5341">
        <v>-366.80239999999998</v>
      </c>
      <c r="K5341">
        <v>1.109899</v>
      </c>
      <c r="L5341">
        <v>142.27010000000001</v>
      </c>
      <c r="M5341">
        <v>-0.99992700000000001</v>
      </c>
      <c r="N5341">
        <v>0</v>
      </c>
      <c r="O5341">
        <v>7.5249050000000004E-4</v>
      </c>
      <c r="P5341">
        <v>-0.99989930000000005</v>
      </c>
      <c r="Q5341">
        <v>1.056023E-2</v>
      </c>
      <c r="R5341">
        <v>9.4895989999999996E-3</v>
      </c>
      <c r="S5341">
        <v>-3.008759</v>
      </c>
      <c r="T5341">
        <v>-4.3226840000000002E-2</v>
      </c>
      <c r="U5341">
        <v>-0.78526309999999999</v>
      </c>
      <c r="V5341">
        <v>8.7299309999999998E-3</v>
      </c>
      <c r="W5341">
        <v>2.262668E-2</v>
      </c>
      <c r="X5341">
        <v>0.99970590000000004</v>
      </c>
      <c r="Y5341">
        <v>-0.25323669999999998</v>
      </c>
      <c r="Z5341">
        <v>-1.7997060000000001E-3</v>
      </c>
      <c r="AA5341">
        <v>0.96740269999999995</v>
      </c>
      <c r="AB5341">
        <v>32</v>
      </c>
      <c r="AC5341">
        <v>-80.407300000000006</v>
      </c>
      <c r="AD5341">
        <v>-1.159899</v>
      </c>
      <c r="AE5341">
        <v>-21.0703</v>
      </c>
      <c r="AF5341">
        <v>-21.126690409298501</v>
      </c>
      <c r="AG5341">
        <v>-1.159899</v>
      </c>
      <c r="AH5341">
        <v>80.375770242326993</v>
      </c>
      <c r="AI5341">
        <v>90.7996177212747</v>
      </c>
      <c r="AJ5341">
        <v>104.727009198768</v>
      </c>
      <c r="AK5341">
        <v>83.114059312416501</v>
      </c>
      <c r="AL5341">
        <v>88.703476128093797</v>
      </c>
      <c r="AM5341">
        <v>89.499677366999194</v>
      </c>
      <c r="AN5341">
        <v>1.00000003241894</v>
      </c>
    </row>
    <row r="5342" spans="1:40" x14ac:dyDescent="0.25">
      <c r="A5342" t="str">
        <f>"20190312160440728"</f>
        <v>20190312160440728</v>
      </c>
      <c r="B5342" t="str">
        <f>"1552377880720491"</f>
        <v>1552377880720491</v>
      </c>
      <c r="C5342" t="s">
        <v>40</v>
      </c>
      <c r="D5342">
        <v>5.160819</v>
      </c>
      <c r="E5342">
        <v>0.46925430000000001</v>
      </c>
      <c r="F5342" t="s">
        <v>41</v>
      </c>
      <c r="G5342">
        <v>-389.93150000000003</v>
      </c>
      <c r="H5342" s="1">
        <v>-3.0824390000000002E-7</v>
      </c>
      <c r="I5342">
        <v>140.73060000000001</v>
      </c>
      <c r="J5342">
        <v>-367.12279999999998</v>
      </c>
      <c r="K5342">
        <v>1.109931</v>
      </c>
      <c r="L5342">
        <v>142.27010000000001</v>
      </c>
      <c r="M5342">
        <v>-0.99992380000000003</v>
      </c>
      <c r="N5342">
        <v>0</v>
      </c>
      <c r="O5342">
        <v>5.7323059999999997E-4</v>
      </c>
      <c r="P5342">
        <v>-0.99990800000000002</v>
      </c>
      <c r="Q5342">
        <v>1.022847E-2</v>
      </c>
      <c r="R5342">
        <v>8.9368360000000001E-3</v>
      </c>
      <c r="S5342">
        <v>-3.0037539999999998</v>
      </c>
      <c r="T5342">
        <v>-0.144142299999999</v>
      </c>
      <c r="U5342">
        <v>-0.19992070000000001</v>
      </c>
      <c r="V5342">
        <v>8.3565730000000008E-3</v>
      </c>
      <c r="W5342">
        <v>2.255946E-2</v>
      </c>
      <c r="X5342">
        <v>0.9997106</v>
      </c>
      <c r="Y5342">
        <v>-6.6904720000000001E-2</v>
      </c>
      <c r="Z5342">
        <v>-1.630063E-3</v>
      </c>
      <c r="AA5342">
        <v>0.99775800000000003</v>
      </c>
      <c r="AB5342">
        <v>32</v>
      </c>
      <c r="AC5342">
        <v>-22.808700000000002</v>
      </c>
      <c r="AD5342">
        <v>-1.1099313082439</v>
      </c>
      <c r="AE5342">
        <v>-1.5395000000000001</v>
      </c>
      <c r="AF5342">
        <v>-1.5489240884023701</v>
      </c>
      <c r="AG5342">
        <v>-1.1099313082439</v>
      </c>
      <c r="AH5342">
        <v>22.7541750024489</v>
      </c>
      <c r="AI5342">
        <v>92.786193216179001</v>
      </c>
      <c r="AJ5342">
        <v>93.894235423803906</v>
      </c>
      <c r="AK5342">
        <v>22.8338256405431</v>
      </c>
      <c r="AL5342">
        <v>88.707328520988</v>
      </c>
      <c r="AM5342">
        <v>89.5210761864939</v>
      </c>
      <c r="AN5342">
        <v>1.00000002265007</v>
      </c>
    </row>
    <row r="5343" spans="1:40" x14ac:dyDescent="0.25">
      <c r="A5343" t="str">
        <f>"20190312160440744"</f>
        <v>20190312160440744</v>
      </c>
      <c r="B5343" t="str">
        <f>"1552377880740985"</f>
        <v>1552377880740985</v>
      </c>
      <c r="C5343" t="s">
        <v>40</v>
      </c>
      <c r="D5343">
        <v>5.0727390000000003</v>
      </c>
      <c r="E5343">
        <v>0.46851409999999999</v>
      </c>
      <c r="F5343" t="s">
        <v>41</v>
      </c>
      <c r="G5343">
        <v>-391.55410000000001</v>
      </c>
      <c r="H5343" s="1">
        <v>-3.8480630000000001E-6</v>
      </c>
      <c r="I5343">
        <v>140.52760000000001</v>
      </c>
      <c r="J5343">
        <v>-367.35610000000003</v>
      </c>
      <c r="K5343">
        <v>1.1099540000000001</v>
      </c>
      <c r="L5343">
        <v>142.27010000000001</v>
      </c>
      <c r="M5343">
        <v>-0.99992159999999997</v>
      </c>
      <c r="N5343">
        <v>0</v>
      </c>
      <c r="O5343">
        <v>4.4582239999999999E-4</v>
      </c>
      <c r="P5343">
        <v>-0.99990939999999995</v>
      </c>
      <c r="Q5343">
        <v>1.025994E-2</v>
      </c>
      <c r="R5343">
        <v>8.7092479999999993E-3</v>
      </c>
      <c r="S5343">
        <v>-3.0036010000000002</v>
      </c>
      <c r="T5343">
        <v>-0.1364561</v>
      </c>
      <c r="U5343">
        <v>-0.21421809999999999</v>
      </c>
      <c r="V5343">
        <v>8.2560789999999995E-3</v>
      </c>
      <c r="W5343">
        <v>2.2771130000000001E-2</v>
      </c>
      <c r="X5343">
        <v>0.9997066</v>
      </c>
      <c r="Y5343">
        <v>-7.1510610000000002E-2</v>
      </c>
      <c r="Z5343">
        <v>-1.641719E-3</v>
      </c>
      <c r="AA5343">
        <v>0.99743850000000001</v>
      </c>
      <c r="AB5343">
        <v>32</v>
      </c>
      <c r="AC5343">
        <v>-24.197999999999901</v>
      </c>
      <c r="AD5343">
        <v>-1.1099578480629999</v>
      </c>
      <c r="AE5343">
        <v>-1.7424999999999999</v>
      </c>
      <c r="AF5343">
        <v>-1.7496263884526599</v>
      </c>
      <c r="AG5343">
        <v>-1.1099578480629999</v>
      </c>
      <c r="AH5343">
        <v>24.146677200444099</v>
      </c>
      <c r="AI5343">
        <v>92.625008084618898</v>
      </c>
      <c r="AJ5343">
        <v>94.144310207768498</v>
      </c>
      <c r="AK5343">
        <v>24.235412493830101</v>
      </c>
      <c r="AL5343">
        <v>88.695197560279993</v>
      </c>
      <c r="AM5343">
        <v>89.526833444657797</v>
      </c>
      <c r="AN5343">
        <v>0.99999998664274503</v>
      </c>
    </row>
    <row r="5344" spans="1:40" x14ac:dyDescent="0.25">
      <c r="A5344" t="str">
        <f>"20190312160440761"</f>
        <v>20190312160440761</v>
      </c>
      <c r="B5344" t="str">
        <f>"1552377880750744"</f>
        <v>1552377880750744</v>
      </c>
      <c r="C5344" t="s">
        <v>40</v>
      </c>
      <c r="D5344">
        <v>5.0007549999999998</v>
      </c>
      <c r="E5344">
        <v>0.46823670000000001</v>
      </c>
      <c r="F5344" t="s">
        <v>41</v>
      </c>
      <c r="G5344">
        <v>-394.43299999999999</v>
      </c>
      <c r="H5344" s="1">
        <v>-2.5461769999999999E-6</v>
      </c>
      <c r="I5344">
        <v>140.27629999999999</v>
      </c>
      <c r="J5344">
        <v>-367.59449999999998</v>
      </c>
      <c r="K5344">
        <v>1.1099749999999999</v>
      </c>
      <c r="L5344">
        <v>142.27010000000001</v>
      </c>
      <c r="M5344">
        <v>-0.99991969999999997</v>
      </c>
      <c r="N5344">
        <v>0</v>
      </c>
      <c r="O5344">
        <v>3.1642200000000001E-4</v>
      </c>
      <c r="P5344">
        <v>-0.99991110000000005</v>
      </c>
      <c r="Q5344">
        <v>1.021243E-2</v>
      </c>
      <c r="R5344">
        <v>8.5982230000000003E-3</v>
      </c>
      <c r="S5344">
        <v>-3.0034179999999999</v>
      </c>
      <c r="T5344">
        <v>-0.1231183</v>
      </c>
      <c r="U5344">
        <v>-0.2211456</v>
      </c>
      <c r="V5344">
        <v>8.2743049999999992E-3</v>
      </c>
      <c r="W5344">
        <v>2.28965E-2</v>
      </c>
      <c r="X5344">
        <v>0.99970360000000003</v>
      </c>
      <c r="Y5344">
        <v>-7.3686310000000005E-2</v>
      </c>
      <c r="Z5344">
        <v>-1.520579E-3</v>
      </c>
      <c r="AA5344">
        <v>0.99728030000000001</v>
      </c>
      <c r="AB5344">
        <v>32</v>
      </c>
      <c r="AC5344">
        <v>-26.8385</v>
      </c>
      <c r="AD5344">
        <v>-1.1099775461769901</v>
      </c>
      <c r="AE5344">
        <v>-1.99380000000002</v>
      </c>
      <c r="AF5344">
        <v>-1.9988926210948501</v>
      </c>
      <c r="AG5344">
        <v>-1.1099775461769901</v>
      </c>
      <c r="AH5344">
        <v>26.792292209641499</v>
      </c>
      <c r="AI5344">
        <v>92.365781925067196</v>
      </c>
      <c r="AJ5344">
        <v>94.266761545382195</v>
      </c>
      <c r="AK5344">
        <v>26.8896735515793</v>
      </c>
      <c r="AL5344">
        <v>88.688012533612294</v>
      </c>
      <c r="AM5344">
        <v>89.525787513706604</v>
      </c>
      <c r="AN5344">
        <v>1.00000000084422</v>
      </c>
    </row>
    <row r="5345" spans="1:40" x14ac:dyDescent="0.25">
      <c r="A5345" t="str">
        <f>"20190312160440779"</f>
        <v>20190312160440779</v>
      </c>
      <c r="B5345" t="str">
        <f>"1552377880770265"</f>
        <v>1552377880770265</v>
      </c>
      <c r="C5345" t="s">
        <v>40</v>
      </c>
      <c r="D5345">
        <v>5.1453329999999999</v>
      </c>
      <c r="E5345">
        <v>0.46804609999999902</v>
      </c>
      <c r="F5345" t="s">
        <v>41</v>
      </c>
      <c r="G5345">
        <v>-396.50009999999997</v>
      </c>
      <c r="H5345" s="1">
        <v>-1.616681E-6</v>
      </c>
      <c r="I5345">
        <v>140.11580000000001</v>
      </c>
      <c r="J5345">
        <v>-367.83909999999997</v>
      </c>
      <c r="K5345">
        <v>1.109996</v>
      </c>
      <c r="L5345">
        <v>142.27000000000001</v>
      </c>
      <c r="M5345">
        <v>-0.99991759999999996</v>
      </c>
      <c r="N5345">
        <v>0</v>
      </c>
      <c r="O5345">
        <v>1.8366580000000001E-4</v>
      </c>
      <c r="P5345">
        <v>-0.99991540000000001</v>
      </c>
      <c r="Q5345">
        <v>1.0000810000000001E-2</v>
      </c>
      <c r="R5345">
        <v>8.3543669999999997E-3</v>
      </c>
      <c r="S5345">
        <v>-3.0033569999999998</v>
      </c>
      <c r="T5345">
        <v>-0.1153291</v>
      </c>
      <c r="U5345">
        <v>-0.22383120000000001</v>
      </c>
      <c r="V5345">
        <v>8.1633480000000008E-3</v>
      </c>
      <c r="W5345">
        <v>2.2848830000000001E-2</v>
      </c>
      <c r="X5345">
        <v>0.99970559999999997</v>
      </c>
      <c r="Y5345">
        <v>-7.4449349999999997E-2</v>
      </c>
      <c r="Z5345">
        <v>-1.433969E-3</v>
      </c>
      <c r="AA5345">
        <v>0.99722379999999999</v>
      </c>
      <c r="AB5345">
        <v>32</v>
      </c>
      <c r="AC5345">
        <v>-28.660999999999898</v>
      </c>
      <c r="AD5345">
        <v>-1.1099976166809999</v>
      </c>
      <c r="AE5345">
        <v>-2.1541999999999999</v>
      </c>
      <c r="AF5345">
        <v>-2.1562484602561498</v>
      </c>
      <c r="AG5345">
        <v>-1.1099976166809999</v>
      </c>
      <c r="AH5345">
        <v>28.617921024392899</v>
      </c>
      <c r="AI5345">
        <v>92.214934638108701</v>
      </c>
      <c r="AJ5345">
        <v>94.308871412622295</v>
      </c>
      <c r="AK5345">
        <v>28.720496268166801</v>
      </c>
      <c r="AL5345">
        <v>88.690744534394796</v>
      </c>
      <c r="AM5345">
        <v>89.532147272543696</v>
      </c>
      <c r="AN5345">
        <v>0.999999997977149</v>
      </c>
    </row>
    <row r="5346" spans="1:40" x14ac:dyDescent="0.25">
      <c r="A5346" t="str">
        <f>"20190312160440796"</f>
        <v>20190312160440796</v>
      </c>
      <c r="B5346" t="str">
        <f>"1552377880790760"</f>
        <v>1552377880790760</v>
      </c>
      <c r="C5346" t="s">
        <v>40</v>
      </c>
      <c r="D5346">
        <v>4.9927859999999997</v>
      </c>
      <c r="E5346">
        <v>0.46804279999999998</v>
      </c>
      <c r="F5346" t="s">
        <v>41</v>
      </c>
      <c r="G5346">
        <v>-399.48379999999997</v>
      </c>
      <c r="H5346" s="1">
        <v>-2.7519369999999999E-7</v>
      </c>
      <c r="I5346">
        <v>139.88460000000001</v>
      </c>
      <c r="J5346">
        <v>-368.07799999999997</v>
      </c>
      <c r="K5346">
        <v>1.1100110000000001</v>
      </c>
      <c r="L5346">
        <v>142.26990000000001</v>
      </c>
      <c r="M5346">
        <v>-0.99991560000000002</v>
      </c>
      <c r="N5346">
        <v>0</v>
      </c>
      <c r="O5346" s="1">
        <v>5.33954E-5</v>
      </c>
      <c r="P5346">
        <v>-0.99991269999999999</v>
      </c>
      <c r="Q5346">
        <v>1.0320569999999999E-2</v>
      </c>
      <c r="R5346">
        <v>8.2761729999999995E-3</v>
      </c>
      <c r="S5346">
        <v>-3.0032040000000002</v>
      </c>
      <c r="T5346">
        <v>-0.1053432</v>
      </c>
      <c r="U5346">
        <v>-0.22637940000000001</v>
      </c>
      <c r="V5346">
        <v>8.2151749999999999E-3</v>
      </c>
      <c r="W5346">
        <v>2.3316960000000001E-2</v>
      </c>
      <c r="X5346">
        <v>0.99969430000000004</v>
      </c>
      <c r="Y5346">
        <v>-7.5173299999999998E-2</v>
      </c>
      <c r="Z5346">
        <v>-1.3180240000000001E-3</v>
      </c>
      <c r="AA5346">
        <v>0.99716959999999999</v>
      </c>
      <c r="AB5346">
        <v>32</v>
      </c>
      <c r="AC5346">
        <v>-31.4057999999999</v>
      </c>
      <c r="AD5346">
        <v>-1.1100112751936999</v>
      </c>
      <c r="AE5346">
        <v>-2.3853</v>
      </c>
      <c r="AF5346">
        <v>-2.3840160104164299</v>
      </c>
      <c r="AG5346">
        <v>-1.1100112751936999</v>
      </c>
      <c r="AH5346">
        <v>31.366713739241</v>
      </c>
      <c r="AI5346">
        <v>92.020924372500104</v>
      </c>
      <c r="AJ5346">
        <v>94.346389088238794</v>
      </c>
      <c r="AK5346">
        <v>31.4767594928142</v>
      </c>
      <c r="AL5346">
        <v>88.663915423641697</v>
      </c>
      <c r="AM5346">
        <v>89.529171807331906</v>
      </c>
      <c r="AN5346">
        <v>0.99999993158820299</v>
      </c>
    </row>
    <row r="5347" spans="1:40" x14ac:dyDescent="0.25">
      <c r="A5347" t="str">
        <f>"20190312160440818"</f>
        <v>20190312160440818</v>
      </c>
      <c r="B5347" t="str">
        <f>"1552377880810283"</f>
        <v>1552377880810283</v>
      </c>
      <c r="C5347" t="s">
        <v>40</v>
      </c>
      <c r="D5347">
        <v>4.9991110000000001</v>
      </c>
      <c r="E5347">
        <v>0.46814440000000002</v>
      </c>
      <c r="F5347" t="s">
        <v>60</v>
      </c>
      <c r="G5347">
        <v>-401.71499999999997</v>
      </c>
      <c r="H5347" s="1">
        <v>-6.1730890000000001E-6</v>
      </c>
      <c r="I5347">
        <v>139.7296</v>
      </c>
      <c r="J5347">
        <v>-368.39580000000001</v>
      </c>
      <c r="K5347">
        <v>1.110025</v>
      </c>
      <c r="L5347">
        <v>142.2697</v>
      </c>
      <c r="M5347">
        <v>-0.99991319999999995</v>
      </c>
      <c r="N5347">
        <v>0</v>
      </c>
      <c r="O5347">
        <v>-1.21783E-4</v>
      </c>
      <c r="P5347">
        <v>-0.99991010000000002</v>
      </c>
      <c r="Q5347">
        <v>1.063592E-2</v>
      </c>
      <c r="R5347">
        <v>8.1796179999999996E-3</v>
      </c>
      <c r="S5347">
        <v>-3.0032040000000002</v>
      </c>
      <c r="T5347">
        <v>-9.9105479999999996E-2</v>
      </c>
      <c r="U5347">
        <v>-0.2268066</v>
      </c>
      <c r="V5347">
        <v>8.2936219999999901E-3</v>
      </c>
      <c r="W5347">
        <v>2.3811300000000001E-2</v>
      </c>
      <c r="X5347">
        <v>0.99968210000000002</v>
      </c>
      <c r="Y5347">
        <v>-7.5145039999999996E-2</v>
      </c>
      <c r="Z5347">
        <v>-1.233779E-3</v>
      </c>
      <c r="AA5347">
        <v>0.9971719</v>
      </c>
      <c r="AB5347">
        <v>32</v>
      </c>
      <c r="AC5347">
        <v>-33.319199999999903</v>
      </c>
      <c r="AD5347">
        <v>-1.110031173089</v>
      </c>
      <c r="AE5347">
        <v>-2.54009999999999</v>
      </c>
      <c r="AF5347">
        <v>-2.5332465298292899</v>
      </c>
      <c r="AG5347">
        <v>-1.110031173089</v>
      </c>
      <c r="AH5347">
        <v>33.2827822347802</v>
      </c>
      <c r="AI5347">
        <v>91.904687903882703</v>
      </c>
      <c r="AJ5347">
        <v>94.352551486737795</v>
      </c>
      <c r="AK5347">
        <v>33.397501410643301</v>
      </c>
      <c r="AL5347">
        <v>88.635584095402805</v>
      </c>
      <c r="AM5347">
        <v>89.524670256850001</v>
      </c>
      <c r="AN5347">
        <v>1.0000000316169799</v>
      </c>
    </row>
    <row r="5348" spans="1:40" x14ac:dyDescent="0.25">
      <c r="A5348" t="str">
        <f>"20190312160440832"</f>
        <v>20190312160440832</v>
      </c>
      <c r="B5348" t="str">
        <f>"1552377880820040"</f>
        <v>1552377880820040</v>
      </c>
      <c r="C5348" t="s">
        <v>40</v>
      </c>
      <c r="D5348">
        <v>4.9580869999999999</v>
      </c>
      <c r="E5348">
        <v>0.46824919999999998</v>
      </c>
      <c r="F5348" t="s">
        <v>60</v>
      </c>
      <c r="G5348">
        <v>-403.75310000000002</v>
      </c>
      <c r="H5348" s="1">
        <v>-7.0247489999999997E-6</v>
      </c>
      <c r="I5348">
        <v>139.60429999999999</v>
      </c>
      <c r="J5348">
        <v>-368.60160000000002</v>
      </c>
      <c r="K5348">
        <v>1.1100319999999999</v>
      </c>
      <c r="L5348">
        <v>142.2696</v>
      </c>
      <c r="M5348">
        <v>-0.99991180000000002</v>
      </c>
      <c r="N5348">
        <v>0</v>
      </c>
      <c r="O5348">
        <v>-2.3573649999999999E-4</v>
      </c>
      <c r="P5348">
        <v>-0.99991070000000004</v>
      </c>
      <c r="Q5348">
        <v>1.080306E-2</v>
      </c>
      <c r="R5348">
        <v>7.8973849999999998E-3</v>
      </c>
      <c r="S5348">
        <v>-3.0031129999999999</v>
      </c>
      <c r="T5348">
        <v>-9.4281790000000004E-2</v>
      </c>
      <c r="U5348">
        <v>-0.2263947</v>
      </c>
      <c r="V5348">
        <v>8.1254080000000006E-3</v>
      </c>
      <c r="W5348">
        <v>2.4083500000000001E-2</v>
      </c>
      <c r="X5348">
        <v>0.99967689999999998</v>
      </c>
      <c r="Y5348">
        <v>-7.4901690000000007E-2</v>
      </c>
      <c r="Z5348">
        <v>-1.1664139999999999E-3</v>
      </c>
      <c r="AA5348">
        <v>0.99719020000000003</v>
      </c>
      <c r="AB5348">
        <v>32</v>
      </c>
      <c r="AC5348">
        <v>-35.151499999999999</v>
      </c>
      <c r="AD5348">
        <v>-1.110039024749</v>
      </c>
      <c r="AE5348">
        <v>-2.6652999999999998</v>
      </c>
      <c r="AF5348">
        <v>-2.6543808464196301</v>
      </c>
      <c r="AG5348">
        <v>-1.110039024749</v>
      </c>
      <c r="AH5348">
        <v>35.117308065150702</v>
      </c>
      <c r="AI5348">
        <v>91.805339209740893</v>
      </c>
      <c r="AJ5348">
        <v>94.322545875444604</v>
      </c>
      <c r="AK5348">
        <v>35.234971974687397</v>
      </c>
      <c r="AL5348">
        <v>88.619983626854406</v>
      </c>
      <c r="AM5348">
        <v>89.534308201564102</v>
      </c>
      <c r="AN5348">
        <v>0.99999997081051195</v>
      </c>
    </row>
    <row r="5349" spans="1:40" x14ac:dyDescent="0.25">
      <c r="A5349" t="str">
        <f>"20190312160440851"</f>
        <v>20190312160440851</v>
      </c>
      <c r="B5349" t="str">
        <f>"1552377880840537"</f>
        <v>1552377880840537</v>
      </c>
      <c r="C5349" t="s">
        <v>40</v>
      </c>
      <c r="D5349">
        <v>4.956931</v>
      </c>
      <c r="E5349">
        <v>0.46831729999999999</v>
      </c>
      <c r="F5349" t="s">
        <v>60</v>
      </c>
      <c r="G5349">
        <v>-404.71660000000003</v>
      </c>
      <c r="H5349" s="1">
        <v>-7.4247360000000004E-6</v>
      </c>
      <c r="I5349">
        <v>139.54589999999999</v>
      </c>
      <c r="J5349">
        <v>-368.86689999999999</v>
      </c>
      <c r="K5349">
        <v>1.1100410000000001</v>
      </c>
      <c r="L5349">
        <v>142.26939999999999</v>
      </c>
      <c r="M5349">
        <v>-0.99991019999999997</v>
      </c>
      <c r="N5349">
        <v>0</v>
      </c>
      <c r="O5349">
        <v>-3.8331189999999998E-4</v>
      </c>
      <c r="P5349">
        <v>-0.99990460000000003</v>
      </c>
      <c r="Q5349">
        <v>1.129031E-2</v>
      </c>
      <c r="R5349">
        <v>7.9682280000000008E-3</v>
      </c>
      <c r="S5349">
        <v>-3.0030519999999998</v>
      </c>
      <c r="T5349">
        <v>-9.2302319999999993E-2</v>
      </c>
      <c r="U5349">
        <v>-0.2264862</v>
      </c>
      <c r="V5349">
        <v>8.3434540000000001E-3</v>
      </c>
      <c r="W5349">
        <v>2.4693670000000001E-2</v>
      </c>
      <c r="X5349">
        <v>0.99966029999999995</v>
      </c>
      <c r="Y5349">
        <v>-7.4787889999999996E-2</v>
      </c>
      <c r="Z5349">
        <v>-1.1356840000000001E-3</v>
      </c>
      <c r="AA5349">
        <v>0.99719880000000005</v>
      </c>
      <c r="AB5349">
        <v>32</v>
      </c>
      <c r="AC5349">
        <v>-35.849699999999999</v>
      </c>
      <c r="AD5349">
        <v>-1.1100484247360001</v>
      </c>
      <c r="AE5349">
        <v>-2.7235</v>
      </c>
      <c r="AF5349">
        <v>-2.7071762946221498</v>
      </c>
      <c r="AG5349">
        <v>-1.1100484247360001</v>
      </c>
      <c r="AH5349">
        <v>35.816598711008702</v>
      </c>
      <c r="AI5349">
        <v>91.770129249835705</v>
      </c>
      <c r="AJ5349">
        <v>94.322448507442203</v>
      </c>
      <c r="AK5349">
        <v>35.935911762759801</v>
      </c>
      <c r="AL5349">
        <v>88.585013173947601</v>
      </c>
      <c r="AM5349">
        <v>89.521803955862893</v>
      </c>
      <c r="AN5349">
        <v>1.0000000529794</v>
      </c>
    </row>
    <row r="5350" spans="1:40" x14ac:dyDescent="0.25">
      <c r="A5350" t="str">
        <f>"20190312160440884"</f>
        <v>20190312160440884</v>
      </c>
      <c r="B5350" t="str">
        <f>"1552377880880553"</f>
        <v>1552377880880553</v>
      </c>
      <c r="C5350" t="s">
        <v>40</v>
      </c>
      <c r="D5350">
        <v>4.930911</v>
      </c>
      <c r="E5350">
        <v>0.46828399999999998</v>
      </c>
      <c r="F5350" t="s">
        <v>60</v>
      </c>
      <c r="G5350">
        <v>-406.73099999999999</v>
      </c>
      <c r="H5350" s="1">
        <v>-8.5829810000000004E-6</v>
      </c>
      <c r="I5350">
        <v>139.42070000000001</v>
      </c>
      <c r="J5350">
        <v>-369.34589999999997</v>
      </c>
      <c r="K5350">
        <v>1.1100559999999999</v>
      </c>
      <c r="L5350">
        <v>142.2689</v>
      </c>
      <c r="M5350">
        <v>-0.99990749999999995</v>
      </c>
      <c r="N5350">
        <v>0</v>
      </c>
      <c r="O5350">
        <v>-6.497238E-4</v>
      </c>
      <c r="P5350">
        <v>-0.99990509999999999</v>
      </c>
      <c r="Q5350">
        <v>1.138662E-2</v>
      </c>
      <c r="R5350">
        <v>7.7684889999999999E-3</v>
      </c>
      <c r="S5350">
        <v>-3.003082</v>
      </c>
      <c r="T5350">
        <v>-8.8040469999999996E-2</v>
      </c>
      <c r="U5350">
        <v>-0.2259369</v>
      </c>
      <c r="V5350">
        <v>8.4099550000000002E-3</v>
      </c>
      <c r="W5350">
        <v>2.4979680000000001E-2</v>
      </c>
      <c r="X5350">
        <v>0.9996526</v>
      </c>
      <c r="Y5350">
        <v>-7.4343510000000002E-2</v>
      </c>
      <c r="Z5350">
        <v>-1.0689639999999999E-3</v>
      </c>
      <c r="AA5350">
        <v>0.99723209999999995</v>
      </c>
      <c r="AB5350">
        <v>32</v>
      </c>
      <c r="AC5350">
        <v>-37.385100000000001</v>
      </c>
      <c r="AD5350">
        <v>-1.1100645829810001</v>
      </c>
      <c r="AE5350">
        <v>-2.8481999999999901</v>
      </c>
      <c r="AF5350">
        <v>-2.8214339869295899</v>
      </c>
      <c r="AG5350">
        <v>-1.1100645829810001</v>
      </c>
      <c r="AH5350">
        <v>37.354199300818998</v>
      </c>
      <c r="AI5350">
        <v>91.697340825292002</v>
      </c>
      <c r="AJ5350">
        <v>94.319457802170703</v>
      </c>
      <c r="AK5350">
        <v>37.477045488222501</v>
      </c>
      <c r="AL5350">
        <v>88.568620899599793</v>
      </c>
      <c r="AM5350">
        <v>89.517988989500594</v>
      </c>
      <c r="AN5350">
        <v>1.00000001622138</v>
      </c>
    </row>
    <row r="5351" spans="1:40" x14ac:dyDescent="0.25">
      <c r="A5351" t="str">
        <f>"20190312160440907"</f>
        <v>20190312160440907</v>
      </c>
      <c r="B5351" t="str">
        <f>"1552377880900073"</f>
        <v>1552377880900073</v>
      </c>
      <c r="C5351" t="s">
        <v>40</v>
      </c>
      <c r="D5351">
        <v>4.9090220000000002</v>
      </c>
      <c r="E5351">
        <v>0.46827990000000003</v>
      </c>
      <c r="F5351" t="s">
        <v>60</v>
      </c>
      <c r="G5351">
        <v>-407.59500000000003</v>
      </c>
      <c r="H5351" s="1">
        <v>-9.1029149999999999E-6</v>
      </c>
      <c r="I5351">
        <v>139.37970000000001</v>
      </c>
      <c r="J5351">
        <v>-369.66550000000001</v>
      </c>
      <c r="K5351">
        <v>1.110069</v>
      </c>
      <c r="L5351">
        <v>142.26849999999999</v>
      </c>
      <c r="M5351">
        <v>-0.99990579999999996</v>
      </c>
      <c r="N5351">
        <v>0</v>
      </c>
      <c r="O5351">
        <v>-8.271261E-4</v>
      </c>
      <c r="P5351">
        <v>-0.99990809999999997</v>
      </c>
      <c r="Q5351">
        <v>1.120207E-2</v>
      </c>
      <c r="R5351">
        <v>7.6411319999999897E-3</v>
      </c>
      <c r="S5351">
        <v>-3.0030519999999998</v>
      </c>
      <c r="T5351">
        <v>-8.7154750000000003E-2</v>
      </c>
      <c r="U5351">
        <v>-0.22683719999999999</v>
      </c>
      <c r="V5351">
        <v>8.4601989999999998E-3</v>
      </c>
      <c r="W5351">
        <v>2.4902460000000001E-2</v>
      </c>
      <c r="X5351">
        <v>0.99965409999999999</v>
      </c>
      <c r="Y5351">
        <v>-7.446527E-2</v>
      </c>
      <c r="Z5351">
        <v>-1.0548370000000001E-3</v>
      </c>
      <c r="AA5351">
        <v>0.99722310000000003</v>
      </c>
      <c r="AB5351">
        <v>32</v>
      </c>
      <c r="AC5351">
        <v>-37.929499999999997</v>
      </c>
      <c r="AD5351">
        <v>-1.110078102915</v>
      </c>
      <c r="AE5351">
        <v>-2.8887999999999701</v>
      </c>
      <c r="AF5351">
        <v>-2.8549922466250299</v>
      </c>
      <c r="AG5351">
        <v>-1.110078102915</v>
      </c>
      <c r="AH5351">
        <v>37.8996009590036</v>
      </c>
      <c r="AI5351">
        <v>91.672974524011906</v>
      </c>
      <c r="AJ5351">
        <v>94.307977721546294</v>
      </c>
      <c r="AK5351">
        <v>38.023190383955999</v>
      </c>
      <c r="AL5351">
        <v>88.573046652580999</v>
      </c>
      <c r="AM5351">
        <v>89.515110152501194</v>
      </c>
      <c r="AN5351">
        <v>1.0000000135639899</v>
      </c>
    </row>
    <row r="5352" spans="1:40" x14ac:dyDescent="0.25">
      <c r="A5352" t="str">
        <f>"20190312160440929"</f>
        <v>20190312160440929</v>
      </c>
      <c r="B5352" t="str">
        <f>"1552377880920573"</f>
        <v>1552377880920573</v>
      </c>
      <c r="C5352" t="s">
        <v>40</v>
      </c>
      <c r="D5352">
        <v>5.1069490000000002</v>
      </c>
      <c r="E5352">
        <v>0.46829959999999998</v>
      </c>
      <c r="F5352" t="s">
        <v>60</v>
      </c>
      <c r="G5352">
        <v>-408.33260000000001</v>
      </c>
      <c r="H5352" s="1">
        <v>-9.5461630000000006E-6</v>
      </c>
      <c r="I5352">
        <v>139.3432</v>
      </c>
      <c r="J5352">
        <v>-369.9744</v>
      </c>
      <c r="K5352">
        <v>1.1100730000000001</v>
      </c>
      <c r="L5352">
        <v>142.2681</v>
      </c>
      <c r="M5352">
        <v>-0.99990440000000003</v>
      </c>
      <c r="N5352">
        <v>0</v>
      </c>
      <c r="O5352">
        <v>-9.9844699999999996E-4</v>
      </c>
      <c r="P5352">
        <v>-0.99990860000000004</v>
      </c>
      <c r="Q5352">
        <v>1.147449E-2</v>
      </c>
      <c r="R5352">
        <v>7.1551770000000004E-3</v>
      </c>
      <c r="S5352">
        <v>-3.0029910000000002</v>
      </c>
      <c r="T5352">
        <v>-8.6211679999999999E-2</v>
      </c>
      <c r="U5352">
        <v>-0.2271881</v>
      </c>
      <c r="V5352">
        <v>8.1453359999999995E-3</v>
      </c>
      <c r="W5352">
        <v>2.5263790000000001E-2</v>
      </c>
      <c r="X5352">
        <v>0.99964759999999997</v>
      </c>
      <c r="Y5352">
        <v>-7.4412569999999997E-2</v>
      </c>
      <c r="Z5352">
        <v>-1.0377780000000001E-3</v>
      </c>
      <c r="AA5352">
        <v>0.99722699999999997</v>
      </c>
      <c r="AB5352">
        <v>32</v>
      </c>
      <c r="AC5352">
        <v>-38.358199999999997</v>
      </c>
      <c r="AD5352">
        <v>-1.110082546163</v>
      </c>
      <c r="AE5352">
        <v>-2.9249000000000001</v>
      </c>
      <c r="AF5352">
        <v>-2.88419466865221</v>
      </c>
      <c r="AG5352">
        <v>-1.110082546163</v>
      </c>
      <c r="AH5352">
        <v>38.329185703719801</v>
      </c>
      <c r="AI5352">
        <v>91.654251502426206</v>
      </c>
      <c r="AJ5352">
        <v>94.303283092808201</v>
      </c>
      <c r="AK5352">
        <v>38.453573811236502</v>
      </c>
      <c r="AL5352">
        <v>88.552337382493704</v>
      </c>
      <c r="AM5352">
        <v>89.533152435426103</v>
      </c>
      <c r="AN5352">
        <v>0.99999996488473697</v>
      </c>
    </row>
    <row r="5353" spans="1:40" x14ac:dyDescent="0.25">
      <c r="A5353" t="str">
        <f>"20190312160440950"</f>
        <v>20190312160440950</v>
      </c>
      <c r="B5353" t="str">
        <f>"1552377880940088"</f>
        <v>1552377880940088</v>
      </c>
      <c r="C5353" t="s">
        <v>40</v>
      </c>
      <c r="D5353">
        <v>4.9018649999999999</v>
      </c>
      <c r="E5353">
        <v>0.46831620000000002</v>
      </c>
      <c r="F5353" t="s">
        <v>60</v>
      </c>
      <c r="G5353">
        <v>-409.57389999999998</v>
      </c>
      <c r="H5353" s="1">
        <v>-1.027991E-5</v>
      </c>
      <c r="I5353">
        <v>139.25399999999999</v>
      </c>
      <c r="J5353">
        <v>-370.28469999999999</v>
      </c>
      <c r="K5353">
        <v>1.1100749999999999</v>
      </c>
      <c r="L5353">
        <v>142.26759999999999</v>
      </c>
      <c r="M5353">
        <v>-0.99990330000000005</v>
      </c>
      <c r="N5353">
        <v>0</v>
      </c>
      <c r="O5353">
        <v>-1.1706430000000001E-3</v>
      </c>
      <c r="P5353">
        <v>-0.99991070000000004</v>
      </c>
      <c r="Q5353">
        <v>1.1319890000000001E-2</v>
      </c>
      <c r="R5353">
        <v>7.1441480000000003E-3</v>
      </c>
      <c r="S5353">
        <v>-3.0028990000000002</v>
      </c>
      <c r="T5353">
        <v>-8.417964E-2</v>
      </c>
      <c r="U5353">
        <v>-0.2285614</v>
      </c>
      <c r="V5353">
        <v>8.3067579999999992E-3</v>
      </c>
      <c r="W5353">
        <v>2.518656E-2</v>
      </c>
      <c r="X5353">
        <v>0.99964830000000005</v>
      </c>
      <c r="Y5353">
        <v>-7.4697899999999998E-2</v>
      </c>
      <c r="Z5353">
        <v>-1.0125139999999999E-3</v>
      </c>
      <c r="AA5353">
        <v>0.99720569999999997</v>
      </c>
      <c r="AB5353">
        <v>32</v>
      </c>
      <c r="AC5353">
        <v>-39.289200000000001</v>
      </c>
      <c r="AD5353">
        <v>-1.1100852799099901</v>
      </c>
      <c r="AE5353">
        <v>-3.0135999999999901</v>
      </c>
      <c r="AF5353">
        <v>-2.9652465792328999</v>
      </c>
      <c r="AG5353">
        <v>-1.1100852799099901</v>
      </c>
      <c r="AH5353">
        <v>39.261542080195603</v>
      </c>
      <c r="AI5353">
        <v>91.614958922929702</v>
      </c>
      <c r="AJ5353">
        <v>94.319091193500199</v>
      </c>
      <c r="AK5353">
        <v>39.389004342827597</v>
      </c>
      <c r="AL5353">
        <v>88.556763858924199</v>
      </c>
      <c r="AM5353">
        <v>89.523901335537104</v>
      </c>
      <c r="AN5353">
        <v>1.0000000443629899</v>
      </c>
    </row>
    <row r="5354" spans="1:40" x14ac:dyDescent="0.25">
      <c r="A5354" t="str">
        <f>"20190312160440973"</f>
        <v>20190312160440973</v>
      </c>
      <c r="B5354" t="str">
        <f>"1552377880970345"</f>
        <v>1552377880970345</v>
      </c>
      <c r="C5354" t="s">
        <v>40</v>
      </c>
      <c r="D5354">
        <v>4.8632379999999999</v>
      </c>
      <c r="E5354">
        <v>0.46825859999999903</v>
      </c>
      <c r="F5354" t="s">
        <v>60</v>
      </c>
      <c r="G5354">
        <v>-410.04719999999998</v>
      </c>
      <c r="H5354" s="1">
        <v>-1.050573E-5</v>
      </c>
      <c r="I5354">
        <v>139.24189999999999</v>
      </c>
      <c r="J5354">
        <v>-370.59949999999998</v>
      </c>
      <c r="K5354">
        <v>1.110077</v>
      </c>
      <c r="L5354">
        <v>142.267</v>
      </c>
      <c r="M5354">
        <v>-0.99990199999999996</v>
      </c>
      <c r="N5354">
        <v>0</v>
      </c>
      <c r="O5354">
        <v>-1.3452780000000001E-3</v>
      </c>
      <c r="P5354">
        <v>-0.99991110000000005</v>
      </c>
      <c r="Q5354">
        <v>1.1440479999999999E-2</v>
      </c>
      <c r="R5354">
        <v>6.8683149999999998E-3</v>
      </c>
      <c r="S5354">
        <v>-3.0028380000000001</v>
      </c>
      <c r="T5354">
        <v>-8.3832859999999995E-2</v>
      </c>
      <c r="U5354">
        <v>-0.22850039999999999</v>
      </c>
      <c r="V5354">
        <v>8.2053730000000002E-3</v>
      </c>
      <c r="W5354">
        <v>2.5375330000000001E-2</v>
      </c>
      <c r="X5354">
        <v>0.99964430000000004</v>
      </c>
      <c r="Y5354">
        <v>-7.4505520000000006E-2</v>
      </c>
      <c r="Z5354">
        <v>-1.0008160000000001E-3</v>
      </c>
      <c r="AA5354">
        <v>0.99722010000000005</v>
      </c>
      <c r="AB5354">
        <v>32</v>
      </c>
      <c r="AC5354">
        <v>-39.447699999999998</v>
      </c>
      <c r="AD5354">
        <v>-1.1100875057299999</v>
      </c>
      <c r="AE5354">
        <v>-3.0251000000000001</v>
      </c>
      <c r="AF5354">
        <v>-2.9696860367531102</v>
      </c>
      <c r="AG5354">
        <v>-1.1100875057299999</v>
      </c>
      <c r="AH5354">
        <v>39.420699499131302</v>
      </c>
      <c r="AI5354">
        <v>91.608468519161704</v>
      </c>
      <c r="AJ5354">
        <v>94.308134996844899</v>
      </c>
      <c r="AK5354">
        <v>39.547981976683403</v>
      </c>
      <c r="AL5354">
        <v>88.545944585002601</v>
      </c>
      <c r="AM5354">
        <v>89.529710033778102</v>
      </c>
      <c r="AN5354">
        <v>0.99999998102058396</v>
      </c>
    </row>
    <row r="5355" spans="1:40" x14ac:dyDescent="0.25">
      <c r="A5355" t="str">
        <f>"20190312160440996"</f>
        <v>20190312160440996</v>
      </c>
      <c r="B5355" t="str">
        <f>"1552377880990840"</f>
        <v>1552377880990840</v>
      </c>
      <c r="C5355" t="s">
        <v>40</v>
      </c>
      <c r="D5355">
        <v>4.8266650000000002</v>
      </c>
      <c r="E5355">
        <v>0.46832299999999899</v>
      </c>
      <c r="F5355" t="s">
        <v>60</v>
      </c>
      <c r="G5355">
        <v>-410.87599999999998</v>
      </c>
      <c r="H5355" s="1">
        <v>-1.040779E-5</v>
      </c>
      <c r="I5355">
        <v>139.18440000000001</v>
      </c>
      <c r="J5355">
        <v>-370.92509999999999</v>
      </c>
      <c r="K5355">
        <v>1.110082</v>
      </c>
      <c r="L5355">
        <v>142.2664</v>
      </c>
      <c r="M5355">
        <v>-0.99990109999999999</v>
      </c>
      <c r="N5355">
        <v>0</v>
      </c>
      <c r="O5355">
        <v>-1.5260600000000001E-3</v>
      </c>
      <c r="P5355">
        <v>-0.99991430000000003</v>
      </c>
      <c r="Q5355">
        <v>1.1199189999999999E-2</v>
      </c>
      <c r="R5355">
        <v>6.7912550000000004E-3</v>
      </c>
      <c r="S5355">
        <v>-3.0028079999999999</v>
      </c>
      <c r="T5355">
        <v>-8.2762479999999999E-2</v>
      </c>
      <c r="U5355">
        <v>-0.2298279</v>
      </c>
      <c r="V5355">
        <v>8.3090890000000004E-3</v>
      </c>
      <c r="W5355">
        <v>2.5194660000000001E-2</v>
      </c>
      <c r="X5355">
        <v>0.99964799999999998</v>
      </c>
      <c r="Y5355">
        <v>-7.4764960000000005E-2</v>
      </c>
      <c r="Z5355">
        <v>-9.866307999999999E-4</v>
      </c>
      <c r="AA5355">
        <v>0.99720070000000005</v>
      </c>
      <c r="AB5355">
        <v>32</v>
      </c>
      <c r="AC5355">
        <v>-39.950899999999898</v>
      </c>
      <c r="AD5355">
        <v>-1.1100924077900001</v>
      </c>
      <c r="AE5355">
        <v>-3.0819999999999901</v>
      </c>
      <c r="AF5355">
        <v>-3.0187060716774798</v>
      </c>
      <c r="AG5355">
        <v>-1.1100924077900001</v>
      </c>
      <c r="AH5355">
        <v>39.924914185265003</v>
      </c>
      <c r="AI5355">
        <v>91.588139604043207</v>
      </c>
      <c r="AJ5355">
        <v>94.323882857221406</v>
      </c>
      <c r="AK5355">
        <v>40.054259002031102</v>
      </c>
      <c r="AL5355">
        <v>88.556299505366297</v>
      </c>
      <c r="AM5355">
        <v>89.523767598400696</v>
      </c>
      <c r="AN5355">
        <v>0.99999996787826195</v>
      </c>
    </row>
    <row r="5356" spans="1:40" x14ac:dyDescent="0.25">
      <c r="A5356" t="str">
        <f>"20190312160441018"</f>
        <v>20190312160441018</v>
      </c>
      <c r="B5356" t="str">
        <f>"1552377881010363"</f>
        <v>1552377881010363</v>
      </c>
      <c r="C5356" t="s">
        <v>40</v>
      </c>
      <c r="D5356">
        <v>4.7985249999999997</v>
      </c>
      <c r="E5356">
        <v>0.46834750000000003</v>
      </c>
      <c r="F5356" t="s">
        <v>60</v>
      </c>
      <c r="G5356">
        <v>-409.36200000000002</v>
      </c>
      <c r="H5356" s="1">
        <v>-1.0180360000000001E-5</v>
      </c>
      <c r="I5356">
        <v>139.32810000000001</v>
      </c>
      <c r="J5356">
        <v>-371.23340000000002</v>
      </c>
      <c r="K5356">
        <v>1.1100909999999999</v>
      </c>
      <c r="L5356">
        <v>142.26570000000001</v>
      </c>
      <c r="M5356">
        <v>-0.99990000000000001</v>
      </c>
      <c r="N5356">
        <v>0</v>
      </c>
      <c r="O5356">
        <v>-1.697107E-3</v>
      </c>
      <c r="P5356">
        <v>-0.99991430000000003</v>
      </c>
      <c r="Q5356">
        <v>1.102502E-2</v>
      </c>
      <c r="R5356">
        <v>7.076199E-3</v>
      </c>
      <c r="S5356">
        <v>-3.0028380000000001</v>
      </c>
      <c r="T5356">
        <v>-8.6724880000000004E-2</v>
      </c>
      <c r="U5356">
        <v>-0.22955320000000001</v>
      </c>
      <c r="V5356">
        <v>8.7651819999999998E-3</v>
      </c>
      <c r="W5356">
        <v>2.507026E-2</v>
      </c>
      <c r="X5356">
        <v>0.99964730000000002</v>
      </c>
      <c r="Y5356">
        <v>-7.4500399999999994E-2</v>
      </c>
      <c r="Z5356">
        <v>-1.025095E-3</v>
      </c>
      <c r="AA5356">
        <v>0.99722049999999995</v>
      </c>
      <c r="AB5356">
        <v>32</v>
      </c>
      <c r="AC5356">
        <v>-38.128599999999899</v>
      </c>
      <c r="AD5356">
        <v>-1.1101011803599901</v>
      </c>
      <c r="AE5356">
        <v>-2.9376000000000002</v>
      </c>
      <c r="AF5356">
        <v>-2.8704622486928102</v>
      </c>
      <c r="AG5356">
        <v>-1.1101011803599901</v>
      </c>
      <c r="AH5356">
        <v>38.101424392513003</v>
      </c>
      <c r="AI5356">
        <v>91.664151470086793</v>
      </c>
      <c r="AJ5356">
        <v>94.308376306406402</v>
      </c>
      <c r="AK5356">
        <v>38.225520518237403</v>
      </c>
      <c r="AL5356">
        <v>88.563429449661101</v>
      </c>
      <c r="AM5356">
        <v>89.497627747806007</v>
      </c>
      <c r="AN5356">
        <v>1.0000000353746199</v>
      </c>
    </row>
    <row r="5357" spans="1:40" x14ac:dyDescent="0.25">
      <c r="A5357" t="str">
        <f>"20190312160441040"</f>
        <v>20190312160441040</v>
      </c>
      <c r="B5357" t="str">
        <f>"1552377881030856"</f>
        <v>1552377881030856</v>
      </c>
      <c r="C5357" t="s">
        <v>40</v>
      </c>
      <c r="D5357">
        <v>4.8211449999999996</v>
      </c>
      <c r="E5357">
        <v>0.46827000000000002</v>
      </c>
      <c r="F5357" t="s">
        <v>60</v>
      </c>
      <c r="G5357">
        <v>-408.07619999999997</v>
      </c>
      <c r="H5357" s="1">
        <v>-9.4388649999999996E-6</v>
      </c>
      <c r="I5357">
        <v>139.46299999999999</v>
      </c>
      <c r="J5357">
        <v>-371.54140000000001</v>
      </c>
      <c r="K5357">
        <v>1.1100939999999999</v>
      </c>
      <c r="L5357">
        <v>142.26509999999999</v>
      </c>
      <c r="M5357">
        <v>-0.99989919999999999</v>
      </c>
      <c r="N5357">
        <v>0</v>
      </c>
      <c r="O5357">
        <v>-1.868459E-3</v>
      </c>
      <c r="P5357">
        <v>-0.99991790000000003</v>
      </c>
      <c r="Q5357">
        <v>1.070196E-2</v>
      </c>
      <c r="R5357">
        <v>7.0885690000000003E-3</v>
      </c>
      <c r="S5357">
        <v>-3.002869</v>
      </c>
      <c r="T5357">
        <v>-9.0478779999999995E-2</v>
      </c>
      <c r="U5357">
        <v>-0.22843930000000001</v>
      </c>
      <c r="V5357">
        <v>8.949083E-3</v>
      </c>
      <c r="W5357">
        <v>2.4789479999999999E-2</v>
      </c>
      <c r="X5357">
        <v>0.9996526</v>
      </c>
      <c r="Y5357">
        <v>-7.3958599999999999E-2</v>
      </c>
      <c r="Z5357">
        <v>-1.056148E-3</v>
      </c>
      <c r="AA5357">
        <v>0.9972607</v>
      </c>
      <c r="AB5357">
        <v>31</v>
      </c>
      <c r="AC5357">
        <v>-36.534799999999898</v>
      </c>
      <c r="AD5357">
        <v>-1.110103438865</v>
      </c>
      <c r="AE5357">
        <v>-2.80209999999999</v>
      </c>
      <c r="AF5357">
        <v>-2.7313176611787302</v>
      </c>
      <c r="AG5357">
        <v>-1.110103438865</v>
      </c>
      <c r="AH5357">
        <v>36.506465305262502</v>
      </c>
      <c r="AI5357">
        <v>91.7368851870676</v>
      </c>
      <c r="AJ5357">
        <v>94.278747694215795</v>
      </c>
      <c r="AK5357">
        <v>36.625325048326602</v>
      </c>
      <c r="AL5357">
        <v>88.579521856155594</v>
      </c>
      <c r="AM5357">
        <v>89.487090825702396</v>
      </c>
      <c r="AN5357">
        <v>0.999999962545984</v>
      </c>
    </row>
    <row r="5358" spans="1:40" x14ac:dyDescent="0.25">
      <c r="A5358" t="str">
        <f>"20190312160441063"</f>
        <v>20190312160441063</v>
      </c>
      <c r="B5358" t="str">
        <f>"1552377881050380"</f>
        <v>1552377881050380</v>
      </c>
      <c r="C5358" t="s">
        <v>40</v>
      </c>
      <c r="D5358">
        <v>4.7849199999999996</v>
      </c>
      <c r="E5358">
        <v>0.46824719999999997</v>
      </c>
      <c r="F5358" t="s">
        <v>60</v>
      </c>
      <c r="G5358">
        <v>-406.19940000000003</v>
      </c>
      <c r="H5358" s="1">
        <v>-8.3405820000000002E-6</v>
      </c>
      <c r="I5358">
        <v>139.62379999999999</v>
      </c>
      <c r="J5358">
        <v>-371.85309999999998</v>
      </c>
      <c r="K5358">
        <v>1.110098</v>
      </c>
      <c r="L5358">
        <v>142.26429999999999</v>
      </c>
      <c r="M5358">
        <v>-0.99989839999999997</v>
      </c>
      <c r="N5358">
        <v>0</v>
      </c>
      <c r="O5358">
        <v>-2.0416789999999998E-3</v>
      </c>
      <c r="P5358">
        <v>-0.99991549999999996</v>
      </c>
      <c r="Q5358">
        <v>1.095639E-2</v>
      </c>
      <c r="R5358">
        <v>7.0315389999999998E-3</v>
      </c>
      <c r="S5358">
        <v>-3.0028990000000002</v>
      </c>
      <c r="T5358">
        <v>-9.6183539999999998E-2</v>
      </c>
      <c r="U5358">
        <v>-0.22885130000000001</v>
      </c>
      <c r="V5358">
        <v>9.0651849999999999E-3</v>
      </c>
      <c r="W5358">
        <v>2.508026E-2</v>
      </c>
      <c r="X5358">
        <v>0.99964430000000004</v>
      </c>
      <c r="Y5358">
        <v>-7.3916990000000002E-2</v>
      </c>
      <c r="Z5358">
        <v>-1.1164839999999901E-3</v>
      </c>
      <c r="AA5358">
        <v>0.99726380000000003</v>
      </c>
      <c r="AB5358">
        <v>31</v>
      </c>
      <c r="AC5358">
        <v>-34.346299999999999</v>
      </c>
      <c r="AD5358">
        <v>-1.110106340582</v>
      </c>
      <c r="AE5358">
        <v>-2.6404999999999998</v>
      </c>
      <c r="AF5358">
        <v>-2.5676968224356602</v>
      </c>
      <c r="AG5358">
        <v>-1.110106340582</v>
      </c>
      <c r="AH5358">
        <v>34.315982557077596</v>
      </c>
      <c r="AI5358">
        <v>91.847684522900096</v>
      </c>
      <c r="AJ5358">
        <v>94.279188213467705</v>
      </c>
      <c r="AK5358">
        <v>34.429813562042398</v>
      </c>
      <c r="AL5358">
        <v>88.562856205871995</v>
      </c>
      <c r="AM5358">
        <v>89.480432585881601</v>
      </c>
      <c r="AN5358">
        <v>0.99999996177161998</v>
      </c>
    </row>
    <row r="5359" spans="1:40" x14ac:dyDescent="0.25">
      <c r="A5359" t="str">
        <f>"20190312160441086"</f>
        <v>20190312160441086</v>
      </c>
      <c r="B5359" t="str">
        <f>"1552377881080633"</f>
        <v>1552377881080633</v>
      </c>
      <c r="C5359" t="s">
        <v>40</v>
      </c>
      <c r="D5359">
        <v>4.8178939999999999</v>
      </c>
      <c r="E5359">
        <v>0.4680783</v>
      </c>
      <c r="F5359" t="s">
        <v>60</v>
      </c>
      <c r="G5359">
        <v>-405.59399999999999</v>
      </c>
      <c r="H5359" s="1">
        <v>-7.9908699999999996E-6</v>
      </c>
      <c r="I5359">
        <v>139.68989999999999</v>
      </c>
      <c r="J5359">
        <v>-372.18369999999999</v>
      </c>
      <c r="K5359">
        <v>1.110106</v>
      </c>
      <c r="L5359">
        <v>142.26339999999999</v>
      </c>
      <c r="M5359">
        <v>-0.99989749999999999</v>
      </c>
      <c r="N5359">
        <v>0</v>
      </c>
      <c r="O5359">
        <v>-2.2254839999999998E-3</v>
      </c>
      <c r="P5359">
        <v>-0.99991439999999998</v>
      </c>
      <c r="Q5359">
        <v>1.1362840000000001E-2</v>
      </c>
      <c r="R5359">
        <v>6.512075E-3</v>
      </c>
      <c r="S5359">
        <v>-3.0029910000000002</v>
      </c>
      <c r="T5359">
        <v>-9.8801260000000002E-2</v>
      </c>
      <c r="U5359">
        <v>-0.229126</v>
      </c>
      <c r="V5359">
        <v>8.7294439999999994E-3</v>
      </c>
      <c r="W5359">
        <v>2.5519759999999999E-2</v>
      </c>
      <c r="X5359">
        <v>0.99963619999999997</v>
      </c>
      <c r="Y5359">
        <v>-7.3820200000000002E-2</v>
      </c>
      <c r="Z5359">
        <v>-1.139188E-3</v>
      </c>
      <c r="AA5359">
        <v>0.99727089999999996</v>
      </c>
      <c r="AB5359">
        <v>31</v>
      </c>
      <c r="AC5359">
        <v>-33.410299999999999</v>
      </c>
      <c r="AD5359">
        <v>-1.11011399087</v>
      </c>
      <c r="AE5359">
        <v>-2.5734999999999899</v>
      </c>
      <c r="AF5359">
        <v>-2.4963923045370202</v>
      </c>
      <c r="AG5359">
        <v>-1.11011399087</v>
      </c>
      <c r="AH5359">
        <v>33.379311245985903</v>
      </c>
      <c r="AI5359">
        <v>91.899513967172197</v>
      </c>
      <c r="AJ5359">
        <v>94.277109155194793</v>
      </c>
      <c r="AK5359">
        <v>33.490935294005702</v>
      </c>
      <c r="AL5359">
        <v>88.5376666978228</v>
      </c>
      <c r="AM5359">
        <v>89.499670394664804</v>
      </c>
      <c r="AN5359">
        <v>0.99999999684672303</v>
      </c>
    </row>
    <row r="5360" spans="1:40" x14ac:dyDescent="0.25">
      <c r="A5360" t="str">
        <f>"20190312160441108"</f>
        <v>20190312160441108</v>
      </c>
      <c r="B5360" t="str">
        <f>"1552377881100152"</f>
        <v>1552377881100152</v>
      </c>
      <c r="C5360" t="s">
        <v>40</v>
      </c>
      <c r="D5360">
        <v>4.8185449999999896</v>
      </c>
      <c r="E5360">
        <v>0.46797739999999999</v>
      </c>
      <c r="F5360" t="s">
        <v>60</v>
      </c>
      <c r="G5360">
        <v>-406.54140000000001</v>
      </c>
      <c r="H5360" s="1">
        <v>-8.5470550000000001E-6</v>
      </c>
      <c r="I5360">
        <v>139.60849999999999</v>
      </c>
      <c r="J5360">
        <v>-372.49610000000001</v>
      </c>
      <c r="K5360">
        <v>1.110114</v>
      </c>
      <c r="L5360">
        <v>142.26249999999999</v>
      </c>
      <c r="M5360">
        <v>-0.99989669999999997</v>
      </c>
      <c r="N5360">
        <v>0</v>
      </c>
      <c r="O5360">
        <v>-2.3992290000000001E-3</v>
      </c>
      <c r="P5360">
        <v>-0.99991839999999999</v>
      </c>
      <c r="Q5360">
        <v>1.154846E-2</v>
      </c>
      <c r="R5360">
        <v>5.5079630000000003E-3</v>
      </c>
      <c r="S5360">
        <v>-3.002869</v>
      </c>
      <c r="T5360">
        <v>-9.7023960000000006E-2</v>
      </c>
      <c r="U5360">
        <v>-0.23204040000000001</v>
      </c>
      <c r="V5360">
        <v>7.898983E-3</v>
      </c>
      <c r="W5360">
        <v>2.573141E-2</v>
      </c>
      <c r="X5360">
        <v>0.99963769999999996</v>
      </c>
      <c r="Y5360">
        <v>-7.4613230000000003E-2</v>
      </c>
      <c r="Z5360">
        <v>-1.1258959999999999E-3</v>
      </c>
      <c r="AA5360">
        <v>0.99721190000000004</v>
      </c>
      <c r="AB5360">
        <v>31</v>
      </c>
      <c r="AC5360">
        <v>-34.045299999999997</v>
      </c>
      <c r="AD5360">
        <v>-1.110122547055</v>
      </c>
      <c r="AE5360">
        <v>-2.6539999999999901</v>
      </c>
      <c r="AF5360">
        <v>-2.5695861247576102</v>
      </c>
      <c r="AG5360">
        <v>-1.110122547055</v>
      </c>
      <c r="AH5360">
        <v>34.015622186639298</v>
      </c>
      <c r="AI5360">
        <v>91.863915702887994</v>
      </c>
      <c r="AJ5360">
        <v>94.319995829398806</v>
      </c>
      <c r="AK5360">
        <v>34.130597675197798</v>
      </c>
      <c r="AL5360">
        <v>88.525536089712702</v>
      </c>
      <c r="AM5360">
        <v>89.547267005677</v>
      </c>
      <c r="AN5360">
        <v>1.00000001532715</v>
      </c>
    </row>
    <row r="5361" spans="1:40" x14ac:dyDescent="0.25">
      <c r="A5361" t="str">
        <f>"20190312160441129"</f>
        <v>20190312160441129</v>
      </c>
      <c r="B5361" t="str">
        <f>"1552377881120648"</f>
        <v>1552377881120648</v>
      </c>
      <c r="C5361" t="s">
        <v>40</v>
      </c>
      <c r="D5361">
        <v>5.1842959999999998</v>
      </c>
      <c r="E5361">
        <v>0.46787129999999999</v>
      </c>
      <c r="F5361" t="s">
        <v>60</v>
      </c>
      <c r="G5361">
        <v>-406.73610000000002</v>
      </c>
      <c r="H5361" s="1">
        <v>-8.6520279999999994E-6</v>
      </c>
      <c r="I5361">
        <v>139.57149999999999</v>
      </c>
      <c r="J5361">
        <v>-372.79399999999998</v>
      </c>
      <c r="K5361">
        <v>1.1101209999999999</v>
      </c>
      <c r="L5361">
        <v>142.26159999999999</v>
      </c>
      <c r="M5361">
        <v>-0.99989589999999995</v>
      </c>
      <c r="N5361">
        <v>0</v>
      </c>
      <c r="O5361">
        <v>-2.5644750000000001E-3</v>
      </c>
      <c r="P5361">
        <v>-0.99992400000000004</v>
      </c>
      <c r="Q5361">
        <v>1.1478149999999999E-2</v>
      </c>
      <c r="R5361">
        <v>4.5456940000000003E-3</v>
      </c>
      <c r="S5361">
        <v>-3.0027159999999999</v>
      </c>
      <c r="T5361">
        <v>-9.7353460000000003E-2</v>
      </c>
      <c r="U5361">
        <v>-0.23599239999999999</v>
      </c>
      <c r="V5361">
        <v>7.1020279999999998E-3</v>
      </c>
      <c r="W5361">
        <v>2.568231E-2</v>
      </c>
      <c r="X5361">
        <v>0.99964489999999995</v>
      </c>
      <c r="Y5361">
        <v>-7.575606E-2</v>
      </c>
      <c r="Z5361">
        <v>-1.142861E-3</v>
      </c>
      <c r="AA5361">
        <v>0.9971257</v>
      </c>
      <c r="AB5361">
        <v>31</v>
      </c>
      <c r="AC5361">
        <v>-33.942099999999897</v>
      </c>
      <c r="AD5361">
        <v>-1.110129652028</v>
      </c>
      <c r="AE5361">
        <v>-2.6901000000000002</v>
      </c>
      <c r="AF5361">
        <v>-2.6002745080032801</v>
      </c>
      <c r="AG5361">
        <v>-1.110129652028</v>
      </c>
      <c r="AH5361">
        <v>33.912836977937197</v>
      </c>
      <c r="AI5361">
        <v>91.869412643402299</v>
      </c>
      <c r="AJ5361">
        <v>94.384587924971697</v>
      </c>
      <c r="AK5361">
        <v>34.030491140349802</v>
      </c>
      <c r="AL5361">
        <v>88.528350180108504</v>
      </c>
      <c r="AM5361">
        <v>89.592946070875698</v>
      </c>
      <c r="AN5361">
        <v>0.99999997297232901</v>
      </c>
    </row>
    <row r="5362" spans="1:40" x14ac:dyDescent="0.25">
      <c r="A5362" t="str">
        <f>"20190312160441151"</f>
        <v>20190312160441151</v>
      </c>
      <c r="B5362" t="str">
        <f>"1552377881140172"</f>
        <v>1552377881140172</v>
      </c>
      <c r="C5362" t="s">
        <v>40</v>
      </c>
      <c r="D5362">
        <v>4.8292330000000003</v>
      </c>
      <c r="E5362">
        <v>0.46778930000000002</v>
      </c>
      <c r="F5362" t="s">
        <v>60</v>
      </c>
      <c r="G5362">
        <v>-406.73939999999999</v>
      </c>
      <c r="H5362" s="1">
        <v>-8.6459540000000007E-6</v>
      </c>
      <c r="I5362">
        <v>139.55279999999999</v>
      </c>
      <c r="J5362">
        <v>-373.10230000000001</v>
      </c>
      <c r="K5362">
        <v>1.1101270000000001</v>
      </c>
      <c r="L5362">
        <v>142.26070000000001</v>
      </c>
      <c r="M5362">
        <v>-0.99989510000000004</v>
      </c>
      <c r="N5362">
        <v>0</v>
      </c>
      <c r="O5362">
        <v>-2.7356619999999998E-3</v>
      </c>
      <c r="P5362">
        <v>-0.9999228</v>
      </c>
      <c r="Q5362">
        <v>1.165153E-2</v>
      </c>
      <c r="R5362">
        <v>4.3725860000000004E-3</v>
      </c>
      <c r="S5362">
        <v>-3.002472</v>
      </c>
      <c r="T5362">
        <v>-9.8191020000000004E-2</v>
      </c>
      <c r="U5362">
        <v>-0.23959349999999999</v>
      </c>
      <c r="V5362">
        <v>7.1002469999999996E-3</v>
      </c>
      <c r="W5362">
        <v>2.5873940000000002E-2</v>
      </c>
      <c r="X5362">
        <v>0.99963999999999997</v>
      </c>
      <c r="Y5362">
        <v>-7.6778990000000005E-2</v>
      </c>
      <c r="Z5362">
        <v>-1.163835E-3</v>
      </c>
      <c r="AA5362">
        <v>0.99704749999999998</v>
      </c>
      <c r="AB5362">
        <v>31</v>
      </c>
      <c r="AC5362">
        <v>-33.637099999999897</v>
      </c>
      <c r="AD5362">
        <v>-1.1101356459539999</v>
      </c>
      <c r="AE5362">
        <v>-2.70790000000002</v>
      </c>
      <c r="AF5362">
        <v>-2.6130329822720801</v>
      </c>
      <c r="AG5362">
        <v>-1.1101356459539999</v>
      </c>
      <c r="AH5362">
        <v>33.608011998851801</v>
      </c>
      <c r="AI5362">
        <v>91.886210677311595</v>
      </c>
      <c r="AJ5362">
        <v>94.445819896719698</v>
      </c>
      <c r="AK5362">
        <v>33.727715799232897</v>
      </c>
      <c r="AL5362">
        <v>88.517366982671106</v>
      </c>
      <c r="AM5362">
        <v>89.593046151041605</v>
      </c>
      <c r="AN5362">
        <v>1.0000000019392901</v>
      </c>
    </row>
    <row r="5363" spans="1:40" x14ac:dyDescent="0.25">
      <c r="A5363" t="str">
        <f>"20190312160441175"</f>
        <v>20190312160441175</v>
      </c>
      <c r="B5363" t="str">
        <f>"1552377881170425"</f>
        <v>1552377881170425</v>
      </c>
      <c r="C5363" t="s">
        <v>40</v>
      </c>
      <c r="D5363">
        <v>4.7934340000000004</v>
      </c>
      <c r="E5363">
        <v>0.46778399999999998</v>
      </c>
      <c r="F5363" t="s">
        <v>60</v>
      </c>
      <c r="G5363">
        <v>-407.76780000000002</v>
      </c>
      <c r="H5363" s="1">
        <v>-9.2548819999999992E-6</v>
      </c>
      <c r="I5363">
        <v>139.4813</v>
      </c>
      <c r="J5363">
        <v>-373.42649999999998</v>
      </c>
      <c r="K5363">
        <v>1.110134</v>
      </c>
      <c r="L5363">
        <v>142.25960000000001</v>
      </c>
      <c r="M5363">
        <v>-0.99989450000000002</v>
      </c>
      <c r="N5363">
        <v>0</v>
      </c>
      <c r="O5363">
        <v>-2.9161259999999998E-3</v>
      </c>
      <c r="P5363">
        <v>-0.99993290000000001</v>
      </c>
      <c r="Q5363">
        <v>1.1067159999999999E-2</v>
      </c>
      <c r="R5363">
        <v>3.4971080000000001E-3</v>
      </c>
      <c r="S5363">
        <v>-3.0024109999999999</v>
      </c>
      <c r="T5363">
        <v>-9.6150040000000006E-2</v>
      </c>
      <c r="U5363">
        <v>-0.24072270000000001</v>
      </c>
      <c r="V5363">
        <v>6.4053440000000003E-3</v>
      </c>
      <c r="W5363">
        <v>2.5305729999999999E-2</v>
      </c>
      <c r="X5363">
        <v>0.99965919999999997</v>
      </c>
      <c r="Y5363">
        <v>-7.6974849999999997E-2</v>
      </c>
      <c r="Z5363">
        <v>-1.137023E-3</v>
      </c>
      <c r="AA5363">
        <v>0.99703240000000004</v>
      </c>
      <c r="AB5363">
        <v>31</v>
      </c>
      <c r="AC5363">
        <v>-34.341299999999997</v>
      </c>
      <c r="AD5363">
        <v>-1.1101432548819901</v>
      </c>
      <c r="AE5363">
        <v>-2.7783000000000002</v>
      </c>
      <c r="AF5363">
        <v>-2.6753568652470898</v>
      </c>
      <c r="AG5363">
        <v>-1.1101432548819901</v>
      </c>
      <c r="AH5363">
        <v>34.313631393427201</v>
      </c>
      <c r="AI5363">
        <v>91.847431722804799</v>
      </c>
      <c r="AJ5363">
        <v>94.458204232071793</v>
      </c>
      <c r="AK5363">
        <v>34.435668307828401</v>
      </c>
      <c r="AL5363">
        <v>88.5499336251236</v>
      </c>
      <c r="AM5363">
        <v>89.632880730656197</v>
      </c>
      <c r="AN5363">
        <v>0.99999996227361498</v>
      </c>
    </row>
    <row r="5364" spans="1:40" x14ac:dyDescent="0.25">
      <c r="A5364" t="str">
        <f>"20190312160441241"</f>
        <v>20190312160441241</v>
      </c>
      <c r="B5364" t="str">
        <f>"1552377881229960"</f>
        <v>1552377881229960</v>
      </c>
      <c r="C5364" t="s">
        <v>40</v>
      </c>
      <c r="D5364">
        <v>4.889958</v>
      </c>
      <c r="E5364">
        <v>0.45820060000000001</v>
      </c>
      <c r="F5364" t="s">
        <v>60</v>
      </c>
      <c r="G5364">
        <v>-408.35950000000003</v>
      </c>
      <c r="H5364" s="1">
        <v>-9.5988179999999995E-6</v>
      </c>
      <c r="I5364">
        <v>139.4254</v>
      </c>
      <c r="J5364">
        <v>-374.3503</v>
      </c>
      <c r="K5364">
        <v>1.1101529999999999</v>
      </c>
      <c r="L5364">
        <v>142.25620000000001</v>
      </c>
      <c r="M5364">
        <v>-0.99989240000000001</v>
      </c>
      <c r="N5364">
        <v>0</v>
      </c>
      <c r="O5364">
        <v>-3.430223E-3</v>
      </c>
      <c r="P5364">
        <v>-0.99992890000000001</v>
      </c>
      <c r="Q5364">
        <v>1.149476E-2</v>
      </c>
      <c r="R5364">
        <v>3.1991480000000002E-3</v>
      </c>
      <c r="S5364">
        <v>-3.0021059999999999</v>
      </c>
      <c r="T5364">
        <v>-9.5404859999999994E-2</v>
      </c>
      <c r="U5364">
        <v>-0.24356079999999999</v>
      </c>
      <c r="V5364">
        <v>6.6213549999999998E-3</v>
      </c>
      <c r="W5364">
        <v>2.576525E-2</v>
      </c>
      <c r="X5364">
        <v>0.99964609999999998</v>
      </c>
      <c r="Y5364">
        <v>-7.7407379999999998E-2</v>
      </c>
      <c r="Z5364">
        <v>-1.1188400000000001E-3</v>
      </c>
      <c r="AA5364">
        <v>0.99699890000000002</v>
      </c>
      <c r="AB5364">
        <v>31</v>
      </c>
      <c r="AC5364">
        <v>-34.0092</v>
      </c>
      <c r="AD5364">
        <v>-1.1101625988179999</v>
      </c>
      <c r="AE5364">
        <v>-2.8308</v>
      </c>
      <c r="AF5364">
        <v>-2.7112432045653998</v>
      </c>
      <c r="AG5364">
        <v>-1.1101625988179999</v>
      </c>
      <c r="AH5364">
        <v>33.982749429054898</v>
      </c>
      <c r="AI5364">
        <v>91.865174339573599</v>
      </c>
      <c r="AJ5364">
        <v>94.561562752286406</v>
      </c>
      <c r="AK5364">
        <v>34.108804720600297</v>
      </c>
      <c r="AL5364">
        <v>88.523596546479297</v>
      </c>
      <c r="AM5364">
        <v>89.620495545235499</v>
      </c>
      <c r="AN5364">
        <v>1.0000000078474001</v>
      </c>
    </row>
    <row r="5365" spans="1:40" x14ac:dyDescent="0.25">
      <c r="A5365" t="str">
        <f>"20190312160441264"</f>
        <v>20190312160441264</v>
      </c>
      <c r="B5365" t="str">
        <f>"1552377881260216"</f>
        <v>1552377881260216</v>
      </c>
      <c r="C5365" t="s">
        <v>40</v>
      </c>
      <c r="D5365">
        <v>4.7966620000000004</v>
      </c>
      <c r="E5365">
        <v>0.46154109999999998</v>
      </c>
      <c r="F5365" t="s">
        <v>49</v>
      </c>
      <c r="G5365">
        <v>-375.10199999999998</v>
      </c>
      <c r="H5365">
        <v>0.91355679999999995</v>
      </c>
      <c r="I5365">
        <v>142.18010000000001</v>
      </c>
      <c r="J5365">
        <v>-374.65910000000002</v>
      </c>
      <c r="K5365">
        <v>1.1101570000000001</v>
      </c>
      <c r="L5365">
        <v>142.25489999999999</v>
      </c>
      <c r="M5365">
        <v>-0.9998918</v>
      </c>
      <c r="N5365">
        <v>0</v>
      </c>
      <c r="O5365">
        <v>-3.602278E-3</v>
      </c>
      <c r="P5365">
        <v>-0.99992700000000001</v>
      </c>
      <c r="Q5365">
        <v>1.174482E-2</v>
      </c>
      <c r="R5365">
        <v>2.9537410000000002E-3</v>
      </c>
      <c r="S5365">
        <v>-3.010284</v>
      </c>
      <c r="T5365">
        <v>-0.78735980000000005</v>
      </c>
      <c r="U5365">
        <v>-0.30447390000000002</v>
      </c>
      <c r="V5365">
        <v>6.5480819999999898E-3</v>
      </c>
      <c r="W5365">
        <v>2.6022179999999999E-2</v>
      </c>
      <c r="X5365">
        <v>0.99963990000000003</v>
      </c>
      <c r="Y5365">
        <v>-9.4034569999999998E-2</v>
      </c>
      <c r="Z5365">
        <v>-1.1140550000000001E-2</v>
      </c>
      <c r="AA5365">
        <v>0.99550660000000002</v>
      </c>
      <c r="AB5365">
        <v>31</v>
      </c>
      <c r="AC5365">
        <v>-0.442899999999951</v>
      </c>
      <c r="AD5365">
        <v>-0.1966002</v>
      </c>
      <c r="AE5365">
        <v>-7.4799999999981895E-2</v>
      </c>
      <c r="AF5365">
        <v>-6.1434488261558298E-2</v>
      </c>
      <c r="AG5365">
        <v>-0.1966002</v>
      </c>
      <c r="AH5365">
        <v>0.37191614455649202</v>
      </c>
      <c r="AI5365">
        <v>117.544150474313</v>
      </c>
      <c r="AJ5365">
        <v>99.379631585753003</v>
      </c>
      <c r="AK5365">
        <v>0.42514403861487299</v>
      </c>
      <c r="AL5365">
        <v>88.508870563477501</v>
      </c>
      <c r="AM5365">
        <v>89.624692755289999</v>
      </c>
      <c r="AN5365">
        <v>0.99999998045091998</v>
      </c>
    </row>
    <row r="5366" spans="1:40" x14ac:dyDescent="0.25">
      <c r="A5366" t="str">
        <f>"20190312160441286"</f>
        <v>20190312160441286</v>
      </c>
      <c r="B5366" t="str">
        <f>"1552377881280712"</f>
        <v>1552377881280712</v>
      </c>
      <c r="C5366" t="s">
        <v>40</v>
      </c>
      <c r="D5366">
        <v>4.7475940000000003</v>
      </c>
      <c r="E5366">
        <v>0.46101839999999999</v>
      </c>
      <c r="F5366" t="s">
        <v>49</v>
      </c>
      <c r="G5366">
        <v>-375.3929</v>
      </c>
      <c r="H5366">
        <v>0.94617260000000003</v>
      </c>
      <c r="I5366">
        <v>142.18639999999999</v>
      </c>
      <c r="J5366">
        <v>-374.96940000000001</v>
      </c>
      <c r="K5366">
        <v>1.1101529999999999</v>
      </c>
      <c r="L5366">
        <v>142.25360000000001</v>
      </c>
      <c r="M5366">
        <v>-0.99989090000000003</v>
      </c>
      <c r="N5366">
        <v>0</v>
      </c>
      <c r="O5366">
        <v>-3.7749189999999998E-3</v>
      </c>
      <c r="P5366">
        <v>-0.99992840000000005</v>
      </c>
      <c r="Q5366">
        <v>1.1615840000000001E-2</v>
      </c>
      <c r="R5366">
        <v>2.892651E-3</v>
      </c>
      <c r="S5366">
        <v>-3.008972</v>
      </c>
      <c r="T5366">
        <v>-0.67232139999999996</v>
      </c>
      <c r="U5366">
        <v>-0.28128049999999999</v>
      </c>
      <c r="V5366">
        <v>6.6594879999999999E-3</v>
      </c>
      <c r="W5366">
        <v>2.5899200000000001E-2</v>
      </c>
      <c r="X5366">
        <v>0.99964240000000004</v>
      </c>
      <c r="Y5366">
        <v>-8.7274099999999993E-2</v>
      </c>
      <c r="Z5366">
        <v>-8.7797740000000006E-3</v>
      </c>
      <c r="AA5366">
        <v>0.99614570000000002</v>
      </c>
      <c r="AB5366">
        <v>31</v>
      </c>
      <c r="AC5366">
        <v>-0.42349999999999</v>
      </c>
      <c r="AD5366">
        <v>-0.1639804</v>
      </c>
      <c r="AE5366">
        <v>-6.7200000000013901E-2</v>
      </c>
      <c r="AF5366">
        <v>-5.72309999003624E-2</v>
      </c>
      <c r="AG5366">
        <v>-0.1639804</v>
      </c>
      <c r="AH5366">
        <v>0.36968634030330899</v>
      </c>
      <c r="AI5366">
        <v>113.669987779675</v>
      </c>
      <c r="AJ5366">
        <v>98.8000803274182</v>
      </c>
      <c r="AK5366">
        <v>0.40845189330031201</v>
      </c>
      <c r="AL5366">
        <v>88.515919236797004</v>
      </c>
      <c r="AM5366">
        <v>89.618308595503507</v>
      </c>
      <c r="AN5366">
        <v>1.0000000226094099</v>
      </c>
    </row>
    <row r="5367" spans="1:40" x14ac:dyDescent="0.25">
      <c r="A5367" t="str">
        <f>"20190312160441309"</f>
        <v>20190312160441309</v>
      </c>
      <c r="B5367" t="str">
        <f>"1552377881300233"</f>
        <v>1552377881300233</v>
      </c>
      <c r="C5367" t="s">
        <v>40</v>
      </c>
      <c r="D5367">
        <v>4.858473</v>
      </c>
      <c r="E5367">
        <v>0.46163189999999998</v>
      </c>
      <c r="F5367" t="s">
        <v>49</v>
      </c>
      <c r="G5367">
        <v>-375.68669999999997</v>
      </c>
      <c r="H5367">
        <v>0.98249339999999996</v>
      </c>
      <c r="I5367">
        <v>142.18469999999999</v>
      </c>
      <c r="J5367">
        <v>-375.28190000000001</v>
      </c>
      <c r="K5367">
        <v>1.110163</v>
      </c>
      <c r="L5367">
        <v>142.25229999999999</v>
      </c>
      <c r="M5367">
        <v>-0.9998901</v>
      </c>
      <c r="N5367">
        <v>0</v>
      </c>
      <c r="O5367">
        <v>-3.9492199999999998E-3</v>
      </c>
      <c r="P5367">
        <v>-0.99992210000000004</v>
      </c>
      <c r="Q5367">
        <v>1.216155E-2</v>
      </c>
      <c r="R5367">
        <v>2.8672630000000001E-3</v>
      </c>
      <c r="S5367">
        <v>-3.0072329999999998</v>
      </c>
      <c r="T5367">
        <v>-0.53512689999999996</v>
      </c>
      <c r="U5367">
        <v>-0.28868100000000002</v>
      </c>
      <c r="V5367">
        <v>6.8083040000000003E-3</v>
      </c>
      <c r="W5367">
        <v>2.6449279999999999E-2</v>
      </c>
      <c r="X5367">
        <v>0.99962700000000004</v>
      </c>
      <c r="Y5367">
        <v>-9.0280260000000001E-2</v>
      </c>
      <c r="Z5367">
        <v>-7.2563289999999997E-3</v>
      </c>
      <c r="AA5367">
        <v>0.99589000000000005</v>
      </c>
      <c r="AB5367">
        <v>31</v>
      </c>
      <c r="AC5367">
        <v>-0.40479999999996602</v>
      </c>
      <c r="AD5367">
        <v>-0.12766959999999899</v>
      </c>
      <c r="AE5367">
        <v>-6.7599999999998703E-2</v>
      </c>
      <c r="AF5367">
        <v>-6.0177214473794101E-2</v>
      </c>
      <c r="AG5367">
        <v>-0.12766959999999899</v>
      </c>
      <c r="AH5367">
        <v>0.369323753289102</v>
      </c>
      <c r="AI5367">
        <v>108.83889009510899</v>
      </c>
      <c r="AJ5367">
        <v>99.254385964959496</v>
      </c>
      <c r="AK5367">
        <v>0.395374327251447</v>
      </c>
      <c r="AL5367">
        <v>88.484391181657898</v>
      </c>
      <c r="AM5367">
        <v>89.609773392200196</v>
      </c>
      <c r="AN5367">
        <v>1.00000002827243</v>
      </c>
    </row>
    <row r="5368" spans="1:40" x14ac:dyDescent="0.25">
      <c r="A5368" t="str">
        <f>"20190312160441331"</f>
        <v>20190312160441331</v>
      </c>
      <c r="B5368" t="str">
        <f>"1552377881320730"</f>
        <v>1552377881320730</v>
      </c>
      <c r="C5368" t="s">
        <v>40</v>
      </c>
      <c r="D5368">
        <v>4.6920159999999997</v>
      </c>
      <c r="E5368">
        <v>0.46153519999999998</v>
      </c>
      <c r="F5368" t="s">
        <v>49</v>
      </c>
      <c r="G5368">
        <v>-376.23739999999998</v>
      </c>
      <c r="H5368">
        <v>0.96995339999999997</v>
      </c>
      <c r="I5368">
        <v>142.16120000000001</v>
      </c>
      <c r="J5368">
        <v>-375.58249999999998</v>
      </c>
      <c r="K5368">
        <v>1.1101700000000001</v>
      </c>
      <c r="L5368">
        <v>142.2509</v>
      </c>
      <c r="M5368">
        <v>-0.99988940000000004</v>
      </c>
      <c r="N5368">
        <v>0</v>
      </c>
      <c r="O5368">
        <v>-4.1168369999999999E-3</v>
      </c>
      <c r="P5368">
        <v>-0.99991830000000004</v>
      </c>
      <c r="Q5368">
        <v>1.2469060000000001E-2</v>
      </c>
      <c r="R5368">
        <v>2.8421869999999999E-3</v>
      </c>
      <c r="S5368">
        <v>-3.0064700000000002</v>
      </c>
      <c r="T5368">
        <v>-0.44119819999999998</v>
      </c>
      <c r="U5368">
        <v>-0.28637699999999999</v>
      </c>
      <c r="V5368">
        <v>6.9506799999999999E-3</v>
      </c>
      <c r="W5368">
        <v>2.675959E-2</v>
      </c>
      <c r="X5368">
        <v>0.9996178</v>
      </c>
      <c r="Y5368">
        <v>-8.9815300000000001E-2</v>
      </c>
      <c r="Z5368">
        <v>-5.9408859999999898E-3</v>
      </c>
      <c r="AA5368">
        <v>0.99594070000000001</v>
      </c>
      <c r="AB5368">
        <v>31</v>
      </c>
      <c r="AC5368">
        <v>-0.65489999999999704</v>
      </c>
      <c r="AD5368">
        <v>-0.1402166</v>
      </c>
      <c r="AE5368">
        <v>-8.9699999999993396E-2</v>
      </c>
      <c r="AF5368">
        <v>-8.3256607163392907E-2</v>
      </c>
      <c r="AG5368">
        <v>-0.1402166</v>
      </c>
      <c r="AH5368">
        <v>0.62704887751431704</v>
      </c>
      <c r="AI5368">
        <v>102.498550500398</v>
      </c>
      <c r="AJ5368">
        <v>97.5632269891573</v>
      </c>
      <c r="AK5368">
        <v>0.64790636078362795</v>
      </c>
      <c r="AL5368">
        <v>88.466605492452302</v>
      </c>
      <c r="AM5368">
        <v>89.601609524458397</v>
      </c>
      <c r="AN5368">
        <v>1.0000000668431299</v>
      </c>
    </row>
    <row r="5369" spans="1:40" x14ac:dyDescent="0.25">
      <c r="A5369" t="str">
        <f>"20190312160441352"</f>
        <v>20190312160441352</v>
      </c>
      <c r="B5369" t="str">
        <f>"1552377881350985"</f>
        <v>1552377881350985</v>
      </c>
      <c r="C5369" t="s">
        <v>40</v>
      </c>
      <c r="D5369">
        <v>4.8203740000000002</v>
      </c>
      <c r="E5369">
        <v>0.46014240000000001</v>
      </c>
      <c r="F5369" t="s">
        <v>41</v>
      </c>
      <c r="G5369">
        <v>-384.21629999999999</v>
      </c>
      <c r="H5369" s="1">
        <v>-2.9439919999999999E-6</v>
      </c>
      <c r="I5369">
        <v>141.422</v>
      </c>
      <c r="J5369">
        <v>-375.8904</v>
      </c>
      <c r="K5369">
        <v>1.1101760000000001</v>
      </c>
      <c r="L5369">
        <v>142.24940000000001</v>
      </c>
      <c r="M5369">
        <v>-0.99988869999999996</v>
      </c>
      <c r="N5369">
        <v>0</v>
      </c>
      <c r="O5369">
        <v>-4.2882650000000003E-3</v>
      </c>
      <c r="P5369">
        <v>-0.9999074</v>
      </c>
      <c r="Q5369">
        <v>1.3346790000000001E-2</v>
      </c>
      <c r="R5369">
        <v>2.6976669999999999E-3</v>
      </c>
      <c r="S5369">
        <v>-3.00589</v>
      </c>
      <c r="T5369">
        <v>-0.38651540000000001</v>
      </c>
      <c r="U5369">
        <v>-0.28854370000000001</v>
      </c>
      <c r="V5369">
        <v>6.9772280000000002E-3</v>
      </c>
      <c r="W5369">
        <v>2.7639509999999999E-2</v>
      </c>
      <c r="X5369">
        <v>0.99959359999999997</v>
      </c>
      <c r="Y5369">
        <v>-9.0579660000000006E-2</v>
      </c>
      <c r="Z5369">
        <v>-5.238693E-3</v>
      </c>
      <c r="AA5369">
        <v>0.99587539999999997</v>
      </c>
      <c r="AB5369">
        <v>31</v>
      </c>
      <c r="AC5369">
        <v>-8.3258999999999901</v>
      </c>
      <c r="AD5369">
        <v>-1.110178943992</v>
      </c>
      <c r="AE5369">
        <v>-0.82740000000001102</v>
      </c>
      <c r="AF5369">
        <v>-0.77798798176953099</v>
      </c>
      <c r="AG5369">
        <v>-1.110178943992</v>
      </c>
      <c r="AH5369">
        <v>8.1852638195657796</v>
      </c>
      <c r="AI5369">
        <v>97.689735852745002</v>
      </c>
      <c r="AJ5369">
        <v>95.429503581231003</v>
      </c>
      <c r="AK5369">
        <v>8.2967648142727093</v>
      </c>
      <c r="AL5369">
        <v>88.416171018067601</v>
      </c>
      <c r="AM5369">
        <v>89.600078246878098</v>
      </c>
      <c r="AN5369">
        <v>0.99999999469228196</v>
      </c>
    </row>
    <row r="5370" spans="1:40" x14ac:dyDescent="0.25">
      <c r="A5370" t="str">
        <f>"20190312160441376"</f>
        <v>20190312160441376</v>
      </c>
      <c r="B5370" t="str">
        <f>"1552377881370508"</f>
        <v>1552377881370508</v>
      </c>
      <c r="C5370" t="s">
        <v>40</v>
      </c>
      <c r="D5370">
        <v>4.9211220000000004</v>
      </c>
      <c r="E5370">
        <v>0.46043630000000002</v>
      </c>
      <c r="F5370" t="s">
        <v>41</v>
      </c>
      <c r="G5370">
        <v>-385.80790000000002</v>
      </c>
      <c r="H5370" s="1">
        <v>-2.21672E-6</v>
      </c>
      <c r="I5370">
        <v>141.25479999999999</v>
      </c>
      <c r="J5370">
        <v>-376.20330000000001</v>
      </c>
      <c r="K5370">
        <v>1.110177</v>
      </c>
      <c r="L5370">
        <v>142.24789999999999</v>
      </c>
      <c r="M5370">
        <v>-0.99988790000000005</v>
      </c>
      <c r="N5370">
        <v>0</v>
      </c>
      <c r="O5370">
        <v>-4.4624259999999898E-3</v>
      </c>
      <c r="P5370">
        <v>-0.99990679999999998</v>
      </c>
      <c r="Q5370">
        <v>1.3427110000000001E-2</v>
      </c>
      <c r="R5370">
        <v>2.5559300000000001E-3</v>
      </c>
      <c r="S5370">
        <v>-3.0056150000000001</v>
      </c>
      <c r="T5370">
        <v>-0.33645399999999998</v>
      </c>
      <c r="U5370">
        <v>-0.30140689999999998</v>
      </c>
      <c r="V5370">
        <v>7.0099419999999999E-3</v>
      </c>
      <c r="W5370">
        <v>2.77215E-2</v>
      </c>
      <c r="X5370">
        <v>0.99959109999999995</v>
      </c>
      <c r="Y5370">
        <v>-9.4780729999999994E-2</v>
      </c>
      <c r="Z5370">
        <v>-4.7785759999999997E-3</v>
      </c>
      <c r="AA5370">
        <v>0.99548669999999995</v>
      </c>
      <c r="AB5370">
        <v>31</v>
      </c>
      <c r="AC5370">
        <v>-9.6045999999999996</v>
      </c>
      <c r="AD5370">
        <v>-1.11017921672</v>
      </c>
      <c r="AE5370">
        <v>-0.99309999999999798</v>
      </c>
      <c r="AF5370">
        <v>-0.93782846018656396</v>
      </c>
      <c r="AG5370">
        <v>-1.11017921672</v>
      </c>
      <c r="AH5370">
        <v>9.4835700878632299</v>
      </c>
      <c r="AI5370">
        <v>96.644732373261505</v>
      </c>
      <c r="AJ5370">
        <v>95.6476069282282</v>
      </c>
      <c r="AK5370">
        <v>9.5942754664115792</v>
      </c>
      <c r="AL5370">
        <v>88.411471535276704</v>
      </c>
      <c r="AM5370">
        <v>89.598202197605403</v>
      </c>
      <c r="AN5370">
        <v>0.99999999402415096</v>
      </c>
    </row>
    <row r="5371" spans="1:40" x14ac:dyDescent="0.25">
      <c r="A5371" t="str">
        <f>"20190312160441398"</f>
        <v>20190312160441398</v>
      </c>
      <c r="B5371" t="str">
        <f>"1552377881390665"</f>
        <v>1552377881390665</v>
      </c>
      <c r="C5371" t="s">
        <v>40</v>
      </c>
      <c r="D5371">
        <v>4.9493070000000001</v>
      </c>
      <c r="E5371">
        <v>0.46104250000000002</v>
      </c>
      <c r="F5371" t="s">
        <v>41</v>
      </c>
      <c r="G5371">
        <v>-386.81569999999999</v>
      </c>
      <c r="H5371" s="1">
        <v>-1.7666689999999999E-6</v>
      </c>
      <c r="I5371">
        <v>141.1883</v>
      </c>
      <c r="J5371">
        <v>-376.51159999999999</v>
      </c>
      <c r="K5371">
        <v>1.110185</v>
      </c>
      <c r="L5371">
        <v>142.24639999999999</v>
      </c>
      <c r="M5371">
        <v>-0.99988719999999998</v>
      </c>
      <c r="N5371">
        <v>0</v>
      </c>
      <c r="O5371">
        <v>-4.6345570000000001E-3</v>
      </c>
      <c r="P5371">
        <v>-0.99990250000000003</v>
      </c>
      <c r="Q5371">
        <v>1.370439E-2</v>
      </c>
      <c r="R5371">
        <v>2.7697120000000001E-3</v>
      </c>
      <c r="S5371">
        <v>-3.0053100000000001</v>
      </c>
      <c r="T5371">
        <v>-0.31439139999999999</v>
      </c>
      <c r="U5371">
        <v>-0.3000488</v>
      </c>
      <c r="V5371">
        <v>7.3956680000000002E-3</v>
      </c>
      <c r="W5371">
        <v>2.7999380000000001E-2</v>
      </c>
      <c r="X5371">
        <v>0.99958060000000004</v>
      </c>
      <c r="Y5371">
        <v>-9.4248349999999995E-2</v>
      </c>
      <c r="Z5371">
        <v>-4.4219039999999999E-3</v>
      </c>
      <c r="AA5371">
        <v>0.9955389</v>
      </c>
      <c r="AB5371">
        <v>31</v>
      </c>
      <c r="AC5371">
        <v>-10.3041</v>
      </c>
      <c r="AD5371">
        <v>-1.110186766669</v>
      </c>
      <c r="AE5371">
        <v>-1.05809999999999</v>
      </c>
      <c r="AF5371">
        <v>-0.99885471731870701</v>
      </c>
      <c r="AG5371">
        <v>-1.110186766669</v>
      </c>
      <c r="AH5371">
        <v>10.191817584027101</v>
      </c>
      <c r="AI5371">
        <v>96.187261879304003</v>
      </c>
      <c r="AJ5371">
        <v>95.597428956278506</v>
      </c>
      <c r="AK5371">
        <v>10.3006490605826</v>
      </c>
      <c r="AL5371">
        <v>88.395544040556601</v>
      </c>
      <c r="AM5371">
        <v>89.576089380661202</v>
      </c>
      <c r="AN5371">
        <v>1.0000000185409501</v>
      </c>
    </row>
    <row r="5372" spans="1:40" x14ac:dyDescent="0.25">
      <c r="A5372" t="str">
        <f>"20190312160441420"</f>
        <v>20190312160441420</v>
      </c>
      <c r="B5372" t="str">
        <f>"1552377881410184"</f>
        <v>1552377881410184</v>
      </c>
      <c r="C5372" t="s">
        <v>40</v>
      </c>
      <c r="D5372">
        <v>4.9417499999999999</v>
      </c>
      <c r="E5372">
        <v>0.46158539999999998</v>
      </c>
      <c r="F5372" t="s">
        <v>41</v>
      </c>
      <c r="G5372">
        <v>-387.69069999999999</v>
      </c>
      <c r="H5372" s="1">
        <v>-1.380593E-6</v>
      </c>
      <c r="I5372">
        <v>141.148</v>
      </c>
      <c r="J5372">
        <v>-376.81709999999998</v>
      </c>
      <c r="K5372">
        <v>1.1101939999999999</v>
      </c>
      <c r="L5372">
        <v>142.2448</v>
      </c>
      <c r="M5372">
        <v>-0.99988639999999995</v>
      </c>
      <c r="N5372">
        <v>0</v>
      </c>
      <c r="O5372">
        <v>-4.8048969999999998E-3</v>
      </c>
      <c r="P5372">
        <v>-0.99989280000000003</v>
      </c>
      <c r="Q5372">
        <v>1.4402949999999999E-2</v>
      </c>
      <c r="R5372">
        <v>2.713095E-3</v>
      </c>
      <c r="S5372">
        <v>-3.0052189999999999</v>
      </c>
      <c r="T5372">
        <v>-0.29844890000000002</v>
      </c>
      <c r="U5372">
        <v>-0.29524230000000001</v>
      </c>
      <c r="V5372">
        <v>7.5091769999999997E-3</v>
      </c>
      <c r="W5372">
        <v>2.8698620000000001E-2</v>
      </c>
      <c r="X5372">
        <v>0.99955989999999995</v>
      </c>
      <c r="Y5372">
        <v>-9.2561500000000005E-2</v>
      </c>
      <c r="Z5372">
        <v>-4.0990559999999898E-3</v>
      </c>
      <c r="AA5372">
        <v>0.99569850000000004</v>
      </c>
      <c r="AB5372">
        <v>31</v>
      </c>
      <c r="AC5372">
        <v>-10.8736</v>
      </c>
      <c r="AD5372">
        <v>-1.110195380593</v>
      </c>
      <c r="AE5372">
        <v>-1.0968</v>
      </c>
      <c r="AF5372">
        <v>-1.0338665606248401</v>
      </c>
      <c r="AG5372">
        <v>-1.110195380593</v>
      </c>
      <c r="AH5372">
        <v>10.7676291907121</v>
      </c>
      <c r="AI5372">
        <v>95.859914225958406</v>
      </c>
      <c r="AJ5372">
        <v>95.484508696635302</v>
      </c>
      <c r="AK5372">
        <v>10.8739713185636</v>
      </c>
      <c r="AL5372">
        <v>88.355464394170696</v>
      </c>
      <c r="AM5372">
        <v>89.569574513706996</v>
      </c>
      <c r="AN5372">
        <v>0.99999999610856505</v>
      </c>
    </row>
    <row r="5373" spans="1:40" x14ac:dyDescent="0.25">
      <c r="A5373" t="str">
        <f>"20190312160441435"</f>
        <v>20190312160441435</v>
      </c>
      <c r="B5373" t="str">
        <f>"1552377881430680"</f>
        <v>1552377881430680</v>
      </c>
      <c r="C5373" t="s">
        <v>40</v>
      </c>
      <c r="D5373">
        <v>4.9750480000000001</v>
      </c>
      <c r="E5373">
        <v>0.46199240000000003</v>
      </c>
      <c r="F5373" t="s">
        <v>41</v>
      </c>
      <c r="G5373">
        <v>-388.47699999999998</v>
      </c>
      <c r="H5373" s="1">
        <v>-1.0346859999999901E-6</v>
      </c>
      <c r="I5373">
        <v>141.1157</v>
      </c>
      <c r="J5373">
        <v>-377.02640000000002</v>
      </c>
      <c r="K5373">
        <v>1.110198</v>
      </c>
      <c r="L5373">
        <v>142.24369999999999</v>
      </c>
      <c r="M5373">
        <v>-0.99988589999999999</v>
      </c>
      <c r="N5373">
        <v>0</v>
      </c>
      <c r="O5373">
        <v>-4.9217130000000003E-3</v>
      </c>
      <c r="P5373">
        <v>-0.99988480000000002</v>
      </c>
      <c r="Q5373">
        <v>1.4963799999999999E-2</v>
      </c>
      <c r="R5373">
        <v>2.570948E-3</v>
      </c>
      <c r="S5373">
        <v>-3.00528</v>
      </c>
      <c r="T5373">
        <v>-0.28615000000000002</v>
      </c>
      <c r="U5373">
        <v>-0.290985099999999</v>
      </c>
      <c r="V5373">
        <v>7.4834089999999999E-3</v>
      </c>
      <c r="W5373">
        <v>2.9259150000000001E-2</v>
      </c>
      <c r="X5373">
        <v>0.99954379999999998</v>
      </c>
      <c r="Y5373">
        <v>-9.1087420000000002E-2</v>
      </c>
      <c r="Z5373">
        <v>-3.8501669999999998E-3</v>
      </c>
      <c r="AA5373">
        <v>0.99583549999999998</v>
      </c>
      <c r="AB5373">
        <v>31</v>
      </c>
      <c r="AC5373">
        <v>-11.4505999999999</v>
      </c>
      <c r="AD5373">
        <v>-1.110199034686</v>
      </c>
      <c r="AE5373">
        <v>-1.1279999999999799</v>
      </c>
      <c r="AF5373">
        <v>-1.0617391976709001</v>
      </c>
      <c r="AG5373">
        <v>-1.110199034686</v>
      </c>
      <c r="AH5373">
        <v>11.350341538124701</v>
      </c>
      <c r="AI5373">
        <v>95.562312245041696</v>
      </c>
      <c r="AJ5373">
        <v>95.344038894361006</v>
      </c>
      <c r="AK5373">
        <v>11.4538240362146</v>
      </c>
      <c r="AL5373">
        <v>88.323334825577106</v>
      </c>
      <c r="AM5373">
        <v>89.571044569366904</v>
      </c>
      <c r="AN5373">
        <v>0.99999995369370998</v>
      </c>
    </row>
    <row r="5374" spans="1:40" x14ac:dyDescent="0.25">
      <c r="A5374" t="str">
        <f>"20190312160441454"</f>
        <v>20190312160441454</v>
      </c>
      <c r="B5374" t="str">
        <f>"1552377881440440"</f>
        <v>1552377881440440</v>
      </c>
      <c r="C5374" t="s">
        <v>40</v>
      </c>
      <c r="D5374">
        <v>4.9792529999999999</v>
      </c>
      <c r="E5374">
        <v>0.462144</v>
      </c>
      <c r="F5374" t="s">
        <v>41</v>
      </c>
      <c r="G5374">
        <v>-389.32929999999999</v>
      </c>
      <c r="H5374" s="1">
        <v>-6.5519879999999998E-7</v>
      </c>
      <c r="I5374">
        <v>141.06360000000001</v>
      </c>
      <c r="J5374">
        <v>-377.2747</v>
      </c>
      <c r="K5374">
        <v>1.1101989999999999</v>
      </c>
      <c r="L5374">
        <v>142.2423</v>
      </c>
      <c r="M5374">
        <v>-0.99988509999999997</v>
      </c>
      <c r="N5374">
        <v>0</v>
      </c>
      <c r="O5374">
        <v>-5.0602219999999996E-3</v>
      </c>
      <c r="P5374">
        <v>-0.99987969999999904</v>
      </c>
      <c r="Q5374">
        <v>1.535448E-2</v>
      </c>
      <c r="R5374">
        <v>2.3193110000000001E-3</v>
      </c>
      <c r="S5374">
        <v>-3.005188</v>
      </c>
      <c r="T5374">
        <v>-0.2711865</v>
      </c>
      <c r="U5374">
        <v>-0.28822330000000002</v>
      </c>
      <c r="V5374">
        <v>7.3703739999999998E-3</v>
      </c>
      <c r="W5374">
        <v>2.964951E-2</v>
      </c>
      <c r="X5374">
        <v>0.99953320000000001</v>
      </c>
      <c r="Y5374">
        <v>-9.0089320000000001E-2</v>
      </c>
      <c r="Z5374">
        <v>-3.5926479999999999E-3</v>
      </c>
      <c r="AA5374">
        <v>0.99592720000000001</v>
      </c>
      <c r="AB5374">
        <v>31</v>
      </c>
      <c r="AC5374">
        <v>-12.054599999999899</v>
      </c>
      <c r="AD5374">
        <v>-1.1101996551988</v>
      </c>
      <c r="AE5374">
        <v>-1.1786999999999901</v>
      </c>
      <c r="AF5374">
        <v>-1.10836762071943</v>
      </c>
      <c r="AG5374">
        <v>-1.1101996551988</v>
      </c>
      <c r="AH5374">
        <v>11.9599277288614</v>
      </c>
      <c r="AI5374">
        <v>95.280875855496404</v>
      </c>
      <c r="AJ5374">
        <v>95.294673896001697</v>
      </c>
      <c r="AK5374">
        <v>12.0623751117535</v>
      </c>
      <c r="AL5374">
        <v>88.300959243088002</v>
      </c>
      <c r="AM5374">
        <v>89.577519115812393</v>
      </c>
      <c r="AN5374">
        <v>1.0000000168791801</v>
      </c>
    </row>
    <row r="5375" spans="1:40" x14ac:dyDescent="0.25">
      <c r="A5375" t="str">
        <f>"20190312160441476"</f>
        <v>20190312160441476</v>
      </c>
      <c r="B5375" t="str">
        <f>"1552377881470696"</f>
        <v>1552377881470696</v>
      </c>
      <c r="C5375" t="s">
        <v>40</v>
      </c>
      <c r="D5375">
        <v>5.0235979999999998</v>
      </c>
      <c r="E5375">
        <v>0.46251189999999998</v>
      </c>
      <c r="F5375" t="s">
        <v>41</v>
      </c>
      <c r="G5375">
        <v>-389.75630000000001</v>
      </c>
      <c r="H5375" s="1">
        <v>-4.6727589999999999E-7</v>
      </c>
      <c r="I5375">
        <v>141.04599999999999</v>
      </c>
      <c r="J5375">
        <v>-377.58409999999998</v>
      </c>
      <c r="K5375">
        <v>1.110212</v>
      </c>
      <c r="L5375">
        <v>142.2405</v>
      </c>
      <c r="M5375">
        <v>-0.9998842</v>
      </c>
      <c r="N5375">
        <v>0</v>
      </c>
      <c r="O5375">
        <v>-5.2329400000000002E-3</v>
      </c>
      <c r="P5375">
        <v>-0.99988290000000002</v>
      </c>
      <c r="Q5375">
        <v>1.5078070000000001E-2</v>
      </c>
      <c r="R5375">
        <v>2.6981560000000002E-3</v>
      </c>
      <c r="S5375">
        <v>-3.0051269999999999</v>
      </c>
      <c r="T5375">
        <v>-0.26729629999999999</v>
      </c>
      <c r="U5375">
        <v>-0.28800959999999998</v>
      </c>
      <c r="V5375">
        <v>7.9220609999999993E-3</v>
      </c>
      <c r="W5375">
        <v>2.9372590000000001E-2</v>
      </c>
      <c r="X5375">
        <v>0.99953709999999996</v>
      </c>
      <c r="Y5375">
        <v>-8.9860350000000005E-2</v>
      </c>
      <c r="Z5375">
        <v>-3.5159589999999999E-3</v>
      </c>
      <c r="AA5375">
        <v>0.99594819999999995</v>
      </c>
      <c r="AB5375">
        <v>31</v>
      </c>
      <c r="AC5375">
        <v>-12.1722</v>
      </c>
      <c r="AD5375">
        <v>-1.1102124672759</v>
      </c>
      <c r="AE5375">
        <v>-1.1944999999999999</v>
      </c>
      <c r="AF5375">
        <v>-1.1215395883534001</v>
      </c>
      <c r="AG5375">
        <v>-1.1102124672759</v>
      </c>
      <c r="AH5375">
        <v>12.078759264341601</v>
      </c>
      <c r="AI5375">
        <v>95.229186240024305</v>
      </c>
      <c r="AJ5375">
        <v>95.304829844646804</v>
      </c>
      <c r="AK5375">
        <v>12.1814140450383</v>
      </c>
      <c r="AL5375">
        <v>88.316832409897501</v>
      </c>
      <c r="AM5375">
        <v>89.545898640032206</v>
      </c>
      <c r="AN5375">
        <v>0.99999996118510204</v>
      </c>
    </row>
    <row r="5376" spans="1:40" x14ac:dyDescent="0.25">
      <c r="A5376" t="str">
        <f>"20190312160441491"</f>
        <v>20190312160441491</v>
      </c>
      <c r="B5376" t="str">
        <f>"1552377881480457"</f>
        <v>1552377881480457</v>
      </c>
      <c r="C5376" t="s">
        <v>40</v>
      </c>
      <c r="D5376">
        <v>5.0217390000000002</v>
      </c>
      <c r="E5376">
        <v>0.46260570000000001</v>
      </c>
      <c r="F5376" t="s">
        <v>41</v>
      </c>
      <c r="G5376">
        <v>-390.46600000000001</v>
      </c>
      <c r="H5376" s="1">
        <v>-4.3664159999999998E-6</v>
      </c>
      <c r="I5376">
        <v>141.0198</v>
      </c>
      <c r="J5376">
        <v>-377.78960000000001</v>
      </c>
      <c r="K5376">
        <v>1.110217</v>
      </c>
      <c r="L5376">
        <v>142.23929999999999</v>
      </c>
      <c r="M5376">
        <v>-0.99988359999999998</v>
      </c>
      <c r="N5376">
        <v>0</v>
      </c>
      <c r="O5376">
        <v>-5.3476080000000002E-3</v>
      </c>
      <c r="P5376">
        <v>-0.99987990000000004</v>
      </c>
      <c r="Q5376">
        <v>1.5278369999999999E-2</v>
      </c>
      <c r="R5376">
        <v>2.6239280000000002E-3</v>
      </c>
      <c r="S5376">
        <v>-3.0050659999999998</v>
      </c>
      <c r="T5376">
        <v>-0.25898949999999998</v>
      </c>
      <c r="U5376">
        <v>-0.28474429999999901</v>
      </c>
      <c r="V5376">
        <v>7.9622089999999996E-3</v>
      </c>
      <c r="W5376">
        <v>2.9572299999999999E-2</v>
      </c>
      <c r="X5376">
        <v>0.9995309</v>
      </c>
      <c r="Y5376">
        <v>-8.8700370000000001E-2</v>
      </c>
      <c r="Z5376">
        <v>-3.3477189999999999E-3</v>
      </c>
      <c r="AA5376">
        <v>0.99605270000000001</v>
      </c>
      <c r="AB5376">
        <v>31</v>
      </c>
      <c r="AC5376">
        <v>-12.676399999999999</v>
      </c>
      <c r="AD5376">
        <v>-1.1102213664159899</v>
      </c>
      <c r="AE5376">
        <v>-1.21949999999998</v>
      </c>
      <c r="AF5376">
        <v>-1.14300016145953</v>
      </c>
      <c r="AG5376">
        <v>-1.1102213664159899</v>
      </c>
      <c r="AH5376">
        <v>12.5870761767257</v>
      </c>
      <c r="AI5376">
        <v>95.020081704010195</v>
      </c>
      <c r="AJ5376">
        <v>95.188652411219195</v>
      </c>
      <c r="AK5376">
        <v>12.687534336120599</v>
      </c>
      <c r="AL5376">
        <v>88.305384909467804</v>
      </c>
      <c r="AM5376">
        <v>89.543594578155606</v>
      </c>
      <c r="AN5376">
        <v>0.99999996887712905</v>
      </c>
    </row>
    <row r="5377" spans="1:40" x14ac:dyDescent="0.25">
      <c r="A5377" t="str">
        <f>"20190312160441511"</f>
        <v>20190312160441511</v>
      </c>
      <c r="B5377" t="str">
        <f>"1552377881500523"</f>
        <v>1552377881500523</v>
      </c>
      <c r="C5377" t="s">
        <v>40</v>
      </c>
      <c r="D5377">
        <v>5.1390510000000003</v>
      </c>
      <c r="E5377">
        <v>0.4628833</v>
      </c>
      <c r="F5377" t="s">
        <v>41</v>
      </c>
      <c r="G5377">
        <v>-390.84120000000001</v>
      </c>
      <c r="H5377" s="1">
        <v>-4.2359130000000001E-6</v>
      </c>
      <c r="I5377">
        <v>141.00389999999999</v>
      </c>
      <c r="J5377">
        <v>-378.04919999999998</v>
      </c>
      <c r="K5377">
        <v>1.110222</v>
      </c>
      <c r="L5377">
        <v>142.23779999999999</v>
      </c>
      <c r="M5377">
        <v>-0.99988279999999996</v>
      </c>
      <c r="N5377">
        <v>0</v>
      </c>
      <c r="O5377">
        <v>-5.4923109999999997E-3</v>
      </c>
      <c r="P5377">
        <v>-0.99986280000000005</v>
      </c>
      <c r="Q5377">
        <v>1.6334999999999999E-2</v>
      </c>
      <c r="R5377">
        <v>2.7258040000000001E-3</v>
      </c>
      <c r="S5377">
        <v>-3.0050050000000001</v>
      </c>
      <c r="T5377">
        <v>-0.2556176</v>
      </c>
      <c r="U5377">
        <v>-0.284439099999999</v>
      </c>
      <c r="V5377">
        <v>8.2082979999999993E-3</v>
      </c>
      <c r="W5377">
        <v>3.062753E-2</v>
      </c>
      <c r="X5377">
        <v>0.99949719999999997</v>
      </c>
      <c r="Y5377">
        <v>-8.8467110000000002E-2</v>
      </c>
      <c r="Z5377">
        <v>-3.2822319999999999E-3</v>
      </c>
      <c r="AA5377">
        <v>0.99607369999999995</v>
      </c>
      <c r="AB5377">
        <v>31</v>
      </c>
      <c r="AC5377">
        <v>-12.792</v>
      </c>
      <c r="AD5377">
        <v>-1.110226235913</v>
      </c>
      <c r="AE5377">
        <v>-1.2339</v>
      </c>
      <c r="AF5377">
        <v>-1.15499661961262</v>
      </c>
      <c r="AG5377">
        <v>-1.110226235913</v>
      </c>
      <c r="AH5377">
        <v>12.703774114395699</v>
      </c>
      <c r="AI5377">
        <v>94.974171814716499</v>
      </c>
      <c r="AJ5377">
        <v>95.194912294932607</v>
      </c>
      <c r="AK5377">
        <v>12.804393630149599</v>
      </c>
      <c r="AL5377">
        <v>88.244897392186502</v>
      </c>
      <c r="AM5377">
        <v>89.529473159274502</v>
      </c>
      <c r="AN5377">
        <v>1.00000003727889</v>
      </c>
    </row>
    <row r="5378" spans="1:40" x14ac:dyDescent="0.25">
      <c r="A5378" t="str">
        <f>"20190312160441532"</f>
        <v>20190312160441532</v>
      </c>
      <c r="B5378" t="str">
        <f>"1552377881520042"</f>
        <v>1552377881520042</v>
      </c>
      <c r="C5378" t="s">
        <v>40</v>
      </c>
      <c r="D5378">
        <v>5.0993529999999998</v>
      </c>
      <c r="E5378">
        <v>0.46305770000000002</v>
      </c>
      <c r="F5378" t="s">
        <v>41</v>
      </c>
      <c r="G5378">
        <v>-391.6309</v>
      </c>
      <c r="H5378" s="1">
        <v>-3.9311229999999999E-6</v>
      </c>
      <c r="I5378">
        <v>140.96350000000001</v>
      </c>
      <c r="J5378">
        <v>-378.34989999999999</v>
      </c>
      <c r="K5378">
        <v>1.1102259999999999</v>
      </c>
      <c r="L5378">
        <v>142.23599999999999</v>
      </c>
      <c r="M5378">
        <v>-0.99988180000000004</v>
      </c>
      <c r="N5378">
        <v>0</v>
      </c>
      <c r="O5378">
        <v>-5.6602550000000003E-3</v>
      </c>
      <c r="P5378">
        <v>-0.99985299999999999</v>
      </c>
      <c r="Q5378">
        <v>1.696021E-2</v>
      </c>
      <c r="R5378">
        <v>2.5188300000000001E-3</v>
      </c>
      <c r="S5378">
        <v>-3.0052189999999999</v>
      </c>
      <c r="T5378">
        <v>-0.24565919999999999</v>
      </c>
      <c r="U5378">
        <v>-0.28193659999999998</v>
      </c>
      <c r="V5378">
        <v>8.1691560000000003E-3</v>
      </c>
      <c r="W5378">
        <v>3.1250939999999998E-2</v>
      </c>
      <c r="X5378">
        <v>0.99947819999999998</v>
      </c>
      <c r="Y5378">
        <v>-8.7497409999999998E-2</v>
      </c>
      <c r="Z5378">
        <v>-3.1015359999999998E-3</v>
      </c>
      <c r="AA5378">
        <v>0.99615989999999999</v>
      </c>
      <c r="AB5378">
        <v>31</v>
      </c>
      <c r="AC5378">
        <v>-13.281000000000001</v>
      </c>
      <c r="AD5378">
        <v>-1.1102299311229999</v>
      </c>
      <c r="AE5378">
        <v>-1.27249999999997</v>
      </c>
      <c r="AF5378">
        <v>-1.1890642714202999</v>
      </c>
      <c r="AG5378">
        <v>-1.1102299311229999</v>
      </c>
      <c r="AH5378">
        <v>13.196609188644301</v>
      </c>
      <c r="AI5378">
        <v>94.789653349368507</v>
      </c>
      <c r="AJ5378">
        <v>95.148662453134804</v>
      </c>
      <c r="AK5378">
        <v>13.296502488223799</v>
      </c>
      <c r="AL5378">
        <v>88.209161481969801</v>
      </c>
      <c r="AM5378">
        <v>89.531707906629293</v>
      </c>
      <c r="AN5378">
        <v>1.00000001431793</v>
      </c>
    </row>
    <row r="5379" spans="1:40" x14ac:dyDescent="0.25">
      <c r="A5379" t="str">
        <f>"20190312160441555"</f>
        <v>20190312160441555</v>
      </c>
      <c r="B5379" t="str">
        <f>"1552377881550299"</f>
        <v>1552377881550299</v>
      </c>
      <c r="C5379" t="s">
        <v>40</v>
      </c>
      <c r="D5379">
        <v>5.1091949999999997</v>
      </c>
      <c r="E5379">
        <v>0.46327560000000001</v>
      </c>
      <c r="F5379" t="s">
        <v>41</v>
      </c>
      <c r="G5379">
        <v>-392.59480000000002</v>
      </c>
      <c r="H5379" s="1">
        <v>-3.5013139999999998E-6</v>
      </c>
      <c r="I5379">
        <v>140.9023</v>
      </c>
      <c r="J5379">
        <v>-378.65410000000003</v>
      </c>
      <c r="K5379">
        <v>1.110228</v>
      </c>
      <c r="L5379">
        <v>142.23410000000001</v>
      </c>
      <c r="M5379">
        <v>-0.99988100000000002</v>
      </c>
      <c r="N5379">
        <v>0</v>
      </c>
      <c r="O5379">
        <v>-5.830343E-3</v>
      </c>
      <c r="P5379">
        <v>-0.9998494</v>
      </c>
      <c r="Q5379">
        <v>1.7195309999999998E-2</v>
      </c>
      <c r="R5379">
        <v>2.3323720000000001E-3</v>
      </c>
      <c r="S5379">
        <v>-3.0051269999999999</v>
      </c>
      <c r="T5379">
        <v>-0.2342149</v>
      </c>
      <c r="U5379">
        <v>-0.28132629999999997</v>
      </c>
      <c r="V5379">
        <v>8.1526159999999997E-3</v>
      </c>
      <c r="W5379">
        <v>3.1483990000000003E-2</v>
      </c>
      <c r="X5379">
        <v>0.999471</v>
      </c>
      <c r="Y5379">
        <v>-8.7156299999999895E-2</v>
      </c>
      <c r="Z5379">
        <v>-2.931159E-3</v>
      </c>
      <c r="AA5379">
        <v>0.99619029999999997</v>
      </c>
      <c r="AB5379">
        <v>31</v>
      </c>
      <c r="AC5379">
        <v>-13.9406999999999</v>
      </c>
      <c r="AD5379">
        <v>-1.1102315013140001</v>
      </c>
      <c r="AE5379">
        <v>-1.3318000000000101</v>
      </c>
      <c r="AF5379">
        <v>-1.2426796379093099</v>
      </c>
      <c r="AG5379">
        <v>-1.1102315013140001</v>
      </c>
      <c r="AH5379">
        <v>13.861110169783201</v>
      </c>
      <c r="AI5379">
        <v>94.561219889804704</v>
      </c>
      <c r="AJ5379">
        <v>95.122999117367698</v>
      </c>
      <c r="AK5379">
        <v>13.960918372651999</v>
      </c>
      <c r="AL5379">
        <v>88.195802088924296</v>
      </c>
      <c r="AM5379">
        <v>89.532652643857801</v>
      </c>
      <c r="AN5379">
        <v>0.99999999330748102</v>
      </c>
    </row>
    <row r="5380" spans="1:40" x14ac:dyDescent="0.25">
      <c r="A5380" t="str">
        <f>"20190312160441568"</f>
        <v>20190312160441568</v>
      </c>
      <c r="B5380" t="str">
        <f>"1552377881560059"</f>
        <v>1552377881560059</v>
      </c>
      <c r="C5380" t="s">
        <v>40</v>
      </c>
      <c r="D5380">
        <v>5.1116760000000001</v>
      </c>
      <c r="E5380">
        <v>0.46328340000000001</v>
      </c>
      <c r="F5380" t="s">
        <v>41</v>
      </c>
      <c r="G5380">
        <v>-393.61040000000003</v>
      </c>
      <c r="H5380" s="1">
        <v>-3.0485309999999999E-6</v>
      </c>
      <c r="I5380">
        <v>140.83799999999999</v>
      </c>
      <c r="J5380">
        <v>-378.84010000000001</v>
      </c>
      <c r="K5380">
        <v>1.110228</v>
      </c>
      <c r="L5380">
        <v>142.2329</v>
      </c>
      <c r="M5380">
        <v>-0.99988030000000006</v>
      </c>
      <c r="N5380">
        <v>0</v>
      </c>
      <c r="O5380">
        <v>-5.9341589999999996E-3</v>
      </c>
      <c r="P5380">
        <v>-0.99985029999999997</v>
      </c>
      <c r="Q5380">
        <v>1.7163850000000001E-2</v>
      </c>
      <c r="R5380">
        <v>2.1121790000000001E-3</v>
      </c>
      <c r="S5380">
        <v>-3.0049130000000002</v>
      </c>
      <c r="T5380">
        <v>-0.2230598</v>
      </c>
      <c r="U5380">
        <v>-0.28047179999999999</v>
      </c>
      <c r="V5380">
        <v>8.0362439999999997E-3</v>
      </c>
      <c r="W5380">
        <v>3.1451109999999997E-2</v>
      </c>
      <c r="X5380">
        <v>0.99947299999999994</v>
      </c>
      <c r="Y5380">
        <v>-8.6802530000000003E-2</v>
      </c>
      <c r="Z5380">
        <v>-2.7714139999999998E-3</v>
      </c>
      <c r="AA5380">
        <v>0.99622169999999999</v>
      </c>
      <c r="AB5380">
        <v>30</v>
      </c>
      <c r="AC5380">
        <v>-14.770300000000001</v>
      </c>
      <c r="AD5380">
        <v>-1.1102310485310001</v>
      </c>
      <c r="AE5380">
        <v>-1.3949</v>
      </c>
      <c r="AF5380">
        <v>-1.2999374624286499</v>
      </c>
      <c r="AG5380">
        <v>-1.1102310485310001</v>
      </c>
      <c r="AH5380">
        <v>14.696019844391699</v>
      </c>
      <c r="AI5380">
        <v>94.303542219283997</v>
      </c>
      <c r="AJ5380">
        <v>95.054945773711594</v>
      </c>
      <c r="AK5380">
        <v>14.7951157364213</v>
      </c>
      <c r="AL5380">
        <v>88.197686947830107</v>
      </c>
      <c r="AM5380">
        <v>89.539324281616601</v>
      </c>
      <c r="AN5380">
        <v>1.0000000156334199</v>
      </c>
    </row>
    <row r="5381" spans="1:40" x14ac:dyDescent="0.25">
      <c r="A5381" t="str">
        <f>"20190312160441588"</f>
        <v>20190312160441588</v>
      </c>
      <c r="B5381" t="str">
        <f>"1552377881580554"</f>
        <v>1552377881580554</v>
      </c>
      <c r="C5381" t="s">
        <v>40</v>
      </c>
      <c r="D5381">
        <v>5.0843610000000004</v>
      </c>
      <c r="E5381">
        <v>0.4631036</v>
      </c>
      <c r="F5381" t="s">
        <v>41</v>
      </c>
      <c r="G5381">
        <v>-394.03739999999999</v>
      </c>
      <c r="H5381" s="1">
        <v>-2.858117E-6</v>
      </c>
      <c r="I5381">
        <v>140.8108</v>
      </c>
      <c r="J5381">
        <v>-379.10700000000003</v>
      </c>
      <c r="K5381">
        <v>1.1102259999999999</v>
      </c>
      <c r="L5381">
        <v>142.2311</v>
      </c>
      <c r="M5381">
        <v>-0.99987959999999998</v>
      </c>
      <c r="N5381">
        <v>0</v>
      </c>
      <c r="O5381">
        <v>-6.0832669999999998E-3</v>
      </c>
      <c r="P5381">
        <v>-0.99985069999999998</v>
      </c>
      <c r="Q5381">
        <v>1.7229990000000001E-2</v>
      </c>
      <c r="R5381">
        <v>1.4225380000000001E-3</v>
      </c>
      <c r="S5381">
        <v>-3.0048219999999999</v>
      </c>
      <c r="T5381">
        <v>-0.2195172</v>
      </c>
      <c r="U5381">
        <v>-0.28115839999999998</v>
      </c>
      <c r="V5381">
        <v>7.4957790000000002E-3</v>
      </c>
      <c r="W5381">
        <v>3.151545E-2</v>
      </c>
      <c r="X5381">
        <v>0.99947520000000001</v>
      </c>
      <c r="Y5381">
        <v>-8.6889579999999994E-2</v>
      </c>
      <c r="Z5381">
        <v>-2.719885E-3</v>
      </c>
      <c r="AA5381">
        <v>0.99621420000000005</v>
      </c>
      <c r="AB5381">
        <v>30</v>
      </c>
      <c r="AC5381">
        <v>-14.930400000000001</v>
      </c>
      <c r="AD5381">
        <v>-1.1102288581169999</v>
      </c>
      <c r="AE5381">
        <v>-1.4202999999999899</v>
      </c>
      <c r="AF5381">
        <v>-1.3221934100164801</v>
      </c>
      <c r="AG5381">
        <v>-1.1102288581169999</v>
      </c>
      <c r="AH5381">
        <v>14.857348388121901</v>
      </c>
      <c r="AI5381">
        <v>94.256775877242305</v>
      </c>
      <c r="AJ5381">
        <v>95.085500937120003</v>
      </c>
      <c r="AK5381">
        <v>14.957326119895701</v>
      </c>
      <c r="AL5381">
        <v>88.193998758270098</v>
      </c>
      <c r="AM5381">
        <v>89.570306047551298</v>
      </c>
      <c r="AN5381">
        <v>1.00000004285327</v>
      </c>
    </row>
    <row r="5382" spans="1:40" x14ac:dyDescent="0.25">
      <c r="A5382" t="str">
        <f>"20190312160441601"</f>
        <v>20190312160441601</v>
      </c>
      <c r="B5382" t="str">
        <f>"1552377881590928"</f>
        <v>1552377881590928</v>
      </c>
      <c r="C5382" t="s">
        <v>40</v>
      </c>
      <c r="D5382">
        <v>5.1320119999999996</v>
      </c>
      <c r="E5382">
        <v>0.46318029999999999</v>
      </c>
      <c r="F5382" t="s">
        <v>41</v>
      </c>
      <c r="G5382">
        <v>-394.59710000000001</v>
      </c>
      <c r="H5382" s="1">
        <v>-2.605023E-6</v>
      </c>
      <c r="I5382">
        <v>140.7621</v>
      </c>
      <c r="J5382">
        <v>-379.30160000000001</v>
      </c>
      <c r="K5382">
        <v>1.1102240000000001</v>
      </c>
      <c r="L5382">
        <v>142.22980000000001</v>
      </c>
      <c r="M5382">
        <v>-0.99987879999999996</v>
      </c>
      <c r="N5382">
        <v>0</v>
      </c>
      <c r="O5382">
        <v>-6.191968E-3</v>
      </c>
      <c r="P5382">
        <v>-0.99984810000000002</v>
      </c>
      <c r="Q5382">
        <v>1.7398719999999999E-2</v>
      </c>
      <c r="R5382">
        <v>1.052552E-3</v>
      </c>
      <c r="S5382">
        <v>-3.004578</v>
      </c>
      <c r="T5382">
        <v>-0.2153486</v>
      </c>
      <c r="U5382">
        <v>-0.2849274</v>
      </c>
      <c r="V5382">
        <v>7.2344760000000001E-3</v>
      </c>
      <c r="W5382">
        <v>3.1682729999999999E-2</v>
      </c>
      <c r="X5382">
        <v>0.99947180000000002</v>
      </c>
      <c r="Y5382">
        <v>-8.8032739999999998E-2</v>
      </c>
      <c r="Z5382">
        <v>-2.7014869999999998E-3</v>
      </c>
      <c r="AA5382">
        <v>0.9961139</v>
      </c>
      <c r="AB5382">
        <v>30</v>
      </c>
      <c r="AC5382">
        <v>-15.295500000000001</v>
      </c>
      <c r="AD5382">
        <v>-1.1102266050230001</v>
      </c>
      <c r="AE5382">
        <v>-1.4677</v>
      </c>
      <c r="AF5382">
        <v>-1.36582261645367</v>
      </c>
      <c r="AG5382">
        <v>-1.1102266050230001</v>
      </c>
      <c r="AH5382">
        <v>15.224813855967099</v>
      </c>
      <c r="AI5382">
        <v>94.154126875238603</v>
      </c>
      <c r="AJ5382">
        <v>95.126298905926305</v>
      </c>
      <c r="AK5382">
        <v>15.326220391308601</v>
      </c>
      <c r="AL5382">
        <v>88.184409465128198</v>
      </c>
      <c r="AM5382">
        <v>89.585283243642195</v>
      </c>
      <c r="AN5382">
        <v>1.00000000600924</v>
      </c>
    </row>
    <row r="5383" spans="1:40" x14ac:dyDescent="0.25">
      <c r="A5383" t="str">
        <f>"20190312160441621"</f>
        <v>20190312160441621</v>
      </c>
      <c r="B5383" t="str">
        <f>"1552377881610449"</f>
        <v>1552377881610449</v>
      </c>
      <c r="C5383" t="s">
        <v>40</v>
      </c>
      <c r="D5383">
        <v>5.1589109999999998</v>
      </c>
      <c r="E5383">
        <v>0.4633234</v>
      </c>
      <c r="F5383" t="s">
        <v>41</v>
      </c>
      <c r="G5383">
        <v>-394.85680000000002</v>
      </c>
      <c r="H5383" s="1">
        <v>-2.4908770000000002E-6</v>
      </c>
      <c r="I5383">
        <v>140.7518</v>
      </c>
      <c r="J5383">
        <v>-379.55599999999998</v>
      </c>
      <c r="K5383">
        <v>1.110222</v>
      </c>
      <c r="L5383">
        <v>142.22810000000001</v>
      </c>
      <c r="M5383">
        <v>-0.99987800000000004</v>
      </c>
      <c r="N5383">
        <v>0</v>
      </c>
      <c r="O5383">
        <v>-6.334162E-3</v>
      </c>
      <c r="P5383">
        <v>-0.99984689999999998</v>
      </c>
      <c r="Q5383">
        <v>1.7498909999999999E-2</v>
      </c>
      <c r="R5383">
        <v>2.336079E-4</v>
      </c>
      <c r="S5383">
        <v>-3.0045169999999999</v>
      </c>
      <c r="T5383">
        <v>-0.21444279999999999</v>
      </c>
      <c r="U5383">
        <v>-0.28547670000000003</v>
      </c>
      <c r="V5383">
        <v>6.5575869999999897E-3</v>
      </c>
      <c r="W5383">
        <v>3.1780919999999997E-2</v>
      </c>
      <c r="X5383">
        <v>0.99947330000000001</v>
      </c>
      <c r="Y5383">
        <v>-8.8075479999999998E-2</v>
      </c>
      <c r="Z5383">
        <v>-2.681592E-3</v>
      </c>
      <c r="AA5383">
        <v>0.99611019999999995</v>
      </c>
      <c r="AB5383">
        <v>30</v>
      </c>
      <c r="AC5383">
        <v>-15.300800000000001</v>
      </c>
      <c r="AD5383">
        <v>-1.110224490877</v>
      </c>
      <c r="AE5383">
        <v>-1.4762999999999999</v>
      </c>
      <c r="AF5383">
        <v>-1.37218491684383</v>
      </c>
      <c r="AG5383">
        <v>-1.110224490877</v>
      </c>
      <c r="AH5383">
        <v>15.2303975604821</v>
      </c>
      <c r="AI5383">
        <v>94.1524593330561</v>
      </c>
      <c r="AJ5383">
        <v>95.148172267377305</v>
      </c>
      <c r="AK5383">
        <v>15.332335103189401</v>
      </c>
      <c r="AL5383">
        <v>88.178780661699705</v>
      </c>
      <c r="AM5383">
        <v>89.624085337989499</v>
      </c>
      <c r="AN5383">
        <v>0.99999995311809797</v>
      </c>
    </row>
    <row r="5384" spans="1:40" x14ac:dyDescent="0.25">
      <c r="A5384" t="str">
        <f>"20190312160441643"</f>
        <v>20190312160441643</v>
      </c>
      <c r="B5384" t="str">
        <f>"1552377881629969"</f>
        <v>1552377881629969</v>
      </c>
      <c r="C5384" t="s">
        <v>40</v>
      </c>
      <c r="D5384">
        <v>5.1651989999999897</v>
      </c>
      <c r="E5384">
        <v>0.46342670000000002</v>
      </c>
      <c r="F5384" t="s">
        <v>41</v>
      </c>
      <c r="G5384">
        <v>-395.18049999999999</v>
      </c>
      <c r="H5384" s="1">
        <v>-2.3478659999999999E-6</v>
      </c>
      <c r="I5384">
        <v>140.73609999999999</v>
      </c>
      <c r="J5384">
        <v>-379.86</v>
      </c>
      <c r="K5384">
        <v>1.1102240000000001</v>
      </c>
      <c r="L5384">
        <v>142.226</v>
      </c>
      <c r="M5384">
        <v>-0.99987700000000002</v>
      </c>
      <c r="N5384">
        <v>0</v>
      </c>
      <c r="O5384">
        <v>-6.5042440000000002E-3</v>
      </c>
      <c r="P5384">
        <v>-0.99984189999999995</v>
      </c>
      <c r="Q5384">
        <v>1.776641E-2</v>
      </c>
      <c r="R5384">
        <v>-8.8519949999999999E-4</v>
      </c>
      <c r="S5384">
        <v>-3.0042110000000002</v>
      </c>
      <c r="T5384">
        <v>-0.21347050000000001</v>
      </c>
      <c r="U5384">
        <v>-0.28686519999999999</v>
      </c>
      <c r="V5384">
        <v>5.6089829999999997E-3</v>
      </c>
      <c r="W5384">
        <v>3.2046379999999999E-2</v>
      </c>
      <c r="X5384">
        <v>0.99947070000000005</v>
      </c>
      <c r="Y5384">
        <v>-8.8373339999999995E-2</v>
      </c>
      <c r="Z5384">
        <v>-2.6681769999999999E-3</v>
      </c>
      <c r="AA5384">
        <v>0.99608390000000002</v>
      </c>
      <c r="AB5384">
        <v>30</v>
      </c>
      <c r="AC5384">
        <v>-15.3204999999999</v>
      </c>
      <c r="AD5384">
        <v>-1.1102263478659999</v>
      </c>
      <c r="AE5384">
        <v>-1.4899</v>
      </c>
      <c r="AF5384">
        <v>-1.3830152998988201</v>
      </c>
      <c r="AG5384">
        <v>-1.1102263478659999</v>
      </c>
      <c r="AH5384">
        <v>15.2505308141771</v>
      </c>
      <c r="AI5384">
        <v>94.146784389826394</v>
      </c>
      <c r="AJ5384">
        <v>95.181772357513296</v>
      </c>
      <c r="AK5384">
        <v>15.353306613801999</v>
      </c>
      <c r="AL5384">
        <v>88.163563360351006</v>
      </c>
      <c r="AM5384">
        <v>89.678462130436799</v>
      </c>
      <c r="AN5384">
        <v>1.00000005565994</v>
      </c>
    </row>
    <row r="5385" spans="1:40" x14ac:dyDescent="0.25">
      <c r="A5385" t="str">
        <f>"20190312160441658"</f>
        <v>20190312160441658</v>
      </c>
      <c r="B5385" t="str">
        <f>"1552377881650465"</f>
        <v>1552377881650465</v>
      </c>
      <c r="C5385" t="s">
        <v>40</v>
      </c>
      <c r="D5385">
        <v>5.1494330000000001</v>
      </c>
      <c r="E5385">
        <v>0.46352789999999999</v>
      </c>
      <c r="F5385" t="s">
        <v>41</v>
      </c>
      <c r="G5385">
        <v>-395.6893</v>
      </c>
      <c r="H5385" s="1">
        <v>-2.1200270000000001E-6</v>
      </c>
      <c r="I5385">
        <v>140.7003</v>
      </c>
      <c r="J5385">
        <v>-380.05239999999998</v>
      </c>
      <c r="K5385">
        <v>1.1102270000000001</v>
      </c>
      <c r="L5385">
        <v>142.22460000000001</v>
      </c>
      <c r="M5385">
        <v>-0.99987619999999999</v>
      </c>
      <c r="N5385">
        <v>0</v>
      </c>
      <c r="O5385">
        <v>-6.6116319999999897E-3</v>
      </c>
      <c r="P5385">
        <v>-0.99984209999999996</v>
      </c>
      <c r="Q5385">
        <v>1.7688579999999999E-2</v>
      </c>
      <c r="R5385">
        <v>-1.756065E-3</v>
      </c>
      <c r="S5385">
        <v>-3.0039669999999998</v>
      </c>
      <c r="T5385">
        <v>-0.21069109999999999</v>
      </c>
      <c r="U5385">
        <v>-0.28952030000000001</v>
      </c>
      <c r="V5385">
        <v>4.8455019999999998E-3</v>
      </c>
      <c r="W5385">
        <v>3.1966309999999998E-2</v>
      </c>
      <c r="X5385">
        <v>0.99947719999999995</v>
      </c>
      <c r="Y5385">
        <v>-8.9149999999999993E-2</v>
      </c>
      <c r="Z5385">
        <v>-2.653262E-3</v>
      </c>
      <c r="AA5385">
        <v>0.99601470000000003</v>
      </c>
      <c r="AB5385">
        <v>30</v>
      </c>
      <c r="AC5385">
        <v>-15.636900000000001</v>
      </c>
      <c r="AD5385">
        <v>-1.110229120027</v>
      </c>
      <c r="AE5385">
        <v>-1.52430000000001</v>
      </c>
      <c r="AF5385">
        <v>-1.4138106582646599</v>
      </c>
      <c r="AG5385">
        <v>-1.110229120027</v>
      </c>
      <c r="AH5385">
        <v>15.5688919811767</v>
      </c>
      <c r="AI5385">
        <v>94.062240586117795</v>
      </c>
      <c r="AJ5385">
        <v>95.1887963610626</v>
      </c>
      <c r="AK5385">
        <v>15.6723280592874</v>
      </c>
      <c r="AL5385">
        <v>88.168153280214298</v>
      </c>
      <c r="AM5385">
        <v>89.722230142729103</v>
      </c>
      <c r="AN5385">
        <v>0.99999999859224398</v>
      </c>
    </row>
    <row r="5386" spans="1:40" x14ac:dyDescent="0.25">
      <c r="A5386" t="str">
        <f>"20190312160441669"</f>
        <v>20190312160441669</v>
      </c>
      <c r="B5386" t="str">
        <f>"1552377881660225"</f>
        <v>1552377881660225</v>
      </c>
      <c r="C5386" t="s">
        <v>40</v>
      </c>
      <c r="D5386">
        <v>5.2051429999999996</v>
      </c>
      <c r="E5386">
        <v>0.46358250000000001</v>
      </c>
      <c r="F5386" t="s">
        <v>41</v>
      </c>
      <c r="G5386">
        <v>-395.92849999999999</v>
      </c>
      <c r="H5386" s="1">
        <v>-2.013046E-6</v>
      </c>
      <c r="I5386">
        <v>140.68379999999999</v>
      </c>
      <c r="J5386">
        <v>-380.22199999999998</v>
      </c>
      <c r="K5386">
        <v>1.1102289999999999</v>
      </c>
      <c r="L5386">
        <v>142.2234</v>
      </c>
      <c r="M5386">
        <v>-0.99987570000000003</v>
      </c>
      <c r="N5386">
        <v>0</v>
      </c>
      <c r="O5386">
        <v>-6.7067439999999997E-3</v>
      </c>
      <c r="P5386">
        <v>-0.99983149999999998</v>
      </c>
      <c r="Q5386">
        <v>1.8173459999999999E-2</v>
      </c>
      <c r="R5386">
        <v>-2.6968199999999999E-3</v>
      </c>
      <c r="S5386">
        <v>-3.0036930000000002</v>
      </c>
      <c r="T5386">
        <v>-0.21005109999999999</v>
      </c>
      <c r="U5386">
        <v>-0.29150389999999998</v>
      </c>
      <c r="V5386">
        <v>3.9997469999999997E-3</v>
      </c>
      <c r="W5386">
        <v>3.2449569999999997E-2</v>
      </c>
      <c r="X5386">
        <v>0.9994653</v>
      </c>
      <c r="Y5386">
        <v>-8.9715669999999997E-2</v>
      </c>
      <c r="Z5386">
        <v>-2.6584590000000002E-3</v>
      </c>
      <c r="AA5386">
        <v>0.99596390000000001</v>
      </c>
      <c r="AB5386">
        <v>30</v>
      </c>
      <c r="AC5386">
        <v>-15.7065</v>
      </c>
      <c r="AD5386">
        <v>-1.110231013046</v>
      </c>
      <c r="AE5386">
        <v>-1.5396000000000001</v>
      </c>
      <c r="AF5386">
        <v>-1.4271522323588599</v>
      </c>
      <c r="AG5386">
        <v>-1.110231013046</v>
      </c>
      <c r="AH5386">
        <v>15.6390761104992</v>
      </c>
      <c r="AI5386">
        <v>94.043915656891997</v>
      </c>
      <c r="AJ5386">
        <v>95.214115282243</v>
      </c>
      <c r="AK5386">
        <v>15.7432549997338</v>
      </c>
      <c r="AL5386">
        <v>88.140450019812405</v>
      </c>
      <c r="AM5386">
        <v>89.770709999790995</v>
      </c>
      <c r="AN5386">
        <v>0.99999992923666603</v>
      </c>
    </row>
    <row r="5387" spans="1:40" x14ac:dyDescent="0.25">
      <c r="A5387" t="str">
        <f>"20190312160441689"</f>
        <v>20190312160441689</v>
      </c>
      <c r="B5387" t="str">
        <f>"1552377881680721"</f>
        <v>1552377881680721</v>
      </c>
      <c r="C5387" t="s">
        <v>40</v>
      </c>
      <c r="D5387">
        <v>5.3421609999999999</v>
      </c>
      <c r="E5387">
        <v>0.46363949999999998</v>
      </c>
      <c r="F5387" t="s">
        <v>41</v>
      </c>
      <c r="G5387">
        <v>-396.23649999999998</v>
      </c>
      <c r="H5387" s="1">
        <v>-1.8736590000000001E-6</v>
      </c>
      <c r="I5387">
        <v>140.6566</v>
      </c>
      <c r="J5387">
        <v>-380.47230000000002</v>
      </c>
      <c r="K5387">
        <v>1.1102350000000001</v>
      </c>
      <c r="L5387">
        <v>142.2216</v>
      </c>
      <c r="M5387">
        <v>-0.99987470000000001</v>
      </c>
      <c r="N5387">
        <v>0</v>
      </c>
      <c r="O5387">
        <v>-6.84667E-3</v>
      </c>
      <c r="P5387">
        <v>-0.99981200000000003</v>
      </c>
      <c r="Q5387">
        <v>1.8925350000000001E-2</v>
      </c>
      <c r="R5387">
        <v>-4.234219E-3</v>
      </c>
      <c r="S5387">
        <v>-3.0035400000000001</v>
      </c>
      <c r="T5387">
        <v>-0.2082254</v>
      </c>
      <c r="U5387">
        <v>-0.2938385</v>
      </c>
      <c r="V5387">
        <v>2.602006E-3</v>
      </c>
      <c r="W5387">
        <v>3.3198760000000001E-2</v>
      </c>
      <c r="X5387">
        <v>0.99944540000000004</v>
      </c>
      <c r="Y5387">
        <v>-9.0350299999999995E-2</v>
      </c>
      <c r="Z5387">
        <v>-2.6476970000000001E-3</v>
      </c>
      <c r="AA5387">
        <v>0.99590650000000003</v>
      </c>
      <c r="AB5387">
        <v>30</v>
      </c>
      <c r="AC5387">
        <v>-15.764199999999899</v>
      </c>
      <c r="AD5387">
        <v>-1.110236873659</v>
      </c>
      <c r="AE5387">
        <v>-1.56499999999999</v>
      </c>
      <c r="AF5387">
        <v>-1.4498986343774001</v>
      </c>
      <c r="AG5387">
        <v>-1.110236873659</v>
      </c>
      <c r="AH5387">
        <v>15.6974460741401</v>
      </c>
      <c r="AI5387">
        <v>94.028543726465998</v>
      </c>
      <c r="AJ5387">
        <v>95.277166264807207</v>
      </c>
      <c r="AK5387">
        <v>15.803311210507101</v>
      </c>
      <c r="AL5387">
        <v>88.097501616155895</v>
      </c>
      <c r="AM5387">
        <v>89.850833647099506</v>
      </c>
      <c r="AN5387">
        <v>1.00000001784096</v>
      </c>
    </row>
    <row r="5388" spans="1:40" x14ac:dyDescent="0.25">
      <c r="A5388" t="str">
        <f>"20190312160441705"</f>
        <v>20190312160441705</v>
      </c>
      <c r="B5388" t="str">
        <f>"1552377881700783"</f>
        <v>1552377881700783</v>
      </c>
      <c r="C5388" t="s">
        <v>40</v>
      </c>
      <c r="D5388">
        <v>5.2096019999999896</v>
      </c>
      <c r="E5388">
        <v>0.4637754</v>
      </c>
      <c r="F5388" t="s">
        <v>41</v>
      </c>
      <c r="G5388">
        <v>-396.89729999999997</v>
      </c>
      <c r="H5388" s="1">
        <v>-1.5728739999999999E-6</v>
      </c>
      <c r="I5388">
        <v>140.59139999999999</v>
      </c>
      <c r="J5388">
        <v>-380.69690000000003</v>
      </c>
      <c r="K5388">
        <v>1.1102379999999901</v>
      </c>
      <c r="L5388">
        <v>142.2199</v>
      </c>
      <c r="M5388">
        <v>-0.99987389999999998</v>
      </c>
      <c r="N5388">
        <v>0</v>
      </c>
      <c r="O5388">
        <v>-6.9725309999999997E-3</v>
      </c>
      <c r="P5388">
        <v>-0.99979560000000001</v>
      </c>
      <c r="Q5388">
        <v>1.9574069999999999E-2</v>
      </c>
      <c r="R5388">
        <v>-5.066274E-3</v>
      </c>
      <c r="S5388">
        <v>-3.0031129999999999</v>
      </c>
      <c r="T5388">
        <v>-0.20299449999999999</v>
      </c>
      <c r="U5388">
        <v>-0.29803469999999999</v>
      </c>
      <c r="V5388">
        <v>1.895241E-3</v>
      </c>
      <c r="W5388">
        <v>3.3845460000000001E-2</v>
      </c>
      <c r="X5388">
        <v>0.99942529999999996</v>
      </c>
      <c r="Y5388">
        <v>-9.1623979999999994E-2</v>
      </c>
      <c r="Z5388">
        <v>-2.6159410000000001E-3</v>
      </c>
      <c r="AA5388">
        <v>0.99579019999999996</v>
      </c>
      <c r="AB5388">
        <v>30</v>
      </c>
      <c r="AC5388">
        <v>-16.200399999999899</v>
      </c>
      <c r="AD5388">
        <v>-1.11023957287399</v>
      </c>
      <c r="AE5388">
        <v>-1.6285000000000001</v>
      </c>
      <c r="AF5388">
        <v>-1.50847730038285</v>
      </c>
      <c r="AG5388">
        <v>-1.11023957287399</v>
      </c>
      <c r="AH5388">
        <v>16.136334546097601</v>
      </c>
      <c r="AI5388">
        <v>93.918925607548303</v>
      </c>
      <c r="AJ5388">
        <v>95.340675246854303</v>
      </c>
      <c r="AK5388">
        <v>16.244673842787002</v>
      </c>
      <c r="AL5388">
        <v>88.060427600724196</v>
      </c>
      <c r="AM5388">
        <v>89.891348377617106</v>
      </c>
      <c r="AN5388">
        <v>1.00000001869057</v>
      </c>
    </row>
    <row r="5389" spans="1:40" x14ac:dyDescent="0.25">
      <c r="A5389" t="str">
        <f>"20190312160441722"</f>
        <v>20190312160441722</v>
      </c>
      <c r="B5389" t="str">
        <f>"1552377881710544"</f>
        <v>1552377881710544</v>
      </c>
      <c r="C5389" t="s">
        <v>40</v>
      </c>
      <c r="D5389">
        <v>5.2017089999999904</v>
      </c>
      <c r="E5389">
        <v>0.46386349999999998</v>
      </c>
      <c r="F5389" t="s">
        <v>41</v>
      </c>
      <c r="G5389">
        <v>-397.33609999999999</v>
      </c>
      <c r="H5389" s="1">
        <v>-1.37662E-6</v>
      </c>
      <c r="I5389">
        <v>140.56139999999999</v>
      </c>
      <c r="J5389">
        <v>-380.91919999999999</v>
      </c>
      <c r="K5389">
        <v>1.1102379999999901</v>
      </c>
      <c r="L5389">
        <v>142.2182</v>
      </c>
      <c r="M5389">
        <v>-0.99987309999999996</v>
      </c>
      <c r="N5389">
        <v>0</v>
      </c>
      <c r="O5389">
        <v>-7.0970809999999999E-3</v>
      </c>
      <c r="P5389">
        <v>-0.99977740000000004</v>
      </c>
      <c r="Q5389">
        <v>2.025983E-2</v>
      </c>
      <c r="R5389">
        <v>-5.9103350000000001E-3</v>
      </c>
      <c r="S5389">
        <v>-3.0030209999999999</v>
      </c>
      <c r="T5389">
        <v>-0.20037469999999999</v>
      </c>
      <c r="U5389">
        <v>-0.29930109999999999</v>
      </c>
      <c r="V5389">
        <v>1.175461E-3</v>
      </c>
      <c r="W5389">
        <v>3.4528839999999998E-2</v>
      </c>
      <c r="X5389">
        <v>0.99940300000000004</v>
      </c>
      <c r="Y5389">
        <v>-9.1923270000000001E-2</v>
      </c>
      <c r="Z5389">
        <v>-2.5839499999999998E-3</v>
      </c>
      <c r="AA5389">
        <v>0.99576279999999995</v>
      </c>
      <c r="AB5389">
        <v>30</v>
      </c>
      <c r="AC5389">
        <v>-16.416899999999998</v>
      </c>
      <c r="AD5389">
        <v>-1.1102393766199901</v>
      </c>
      <c r="AE5389">
        <v>-1.6568000000000001</v>
      </c>
      <c r="AF5389">
        <v>-1.5332924970394699</v>
      </c>
      <c r="AG5389">
        <v>-1.1102393766199901</v>
      </c>
      <c r="AH5389">
        <v>16.354203876087698</v>
      </c>
      <c r="AI5389">
        <v>93.866779471689497</v>
      </c>
      <c r="AJ5389">
        <v>95.356123308458905</v>
      </c>
      <c r="AK5389">
        <v>16.4634018895099</v>
      </c>
      <c r="AL5389">
        <v>88.021249851637407</v>
      </c>
      <c r="AM5389">
        <v>89.932610845448394</v>
      </c>
      <c r="AN5389">
        <v>0.99999998945465396</v>
      </c>
    </row>
    <row r="5390" spans="1:40" x14ac:dyDescent="0.25">
      <c r="A5390" t="str">
        <f>"20190312160441745"</f>
        <v>20190312160441745</v>
      </c>
      <c r="B5390" t="str">
        <f>"1552377881740800"</f>
        <v>1552377881740800</v>
      </c>
      <c r="C5390" t="s">
        <v>40</v>
      </c>
      <c r="D5390">
        <v>5.1910489999999996</v>
      </c>
      <c r="E5390">
        <v>0.46400750000000002</v>
      </c>
      <c r="F5390" t="s">
        <v>41</v>
      </c>
      <c r="G5390">
        <v>-397.74169999999998</v>
      </c>
      <c r="H5390" s="1">
        <v>-1.1944430000000001E-6</v>
      </c>
      <c r="I5390">
        <v>140.53059999999999</v>
      </c>
      <c r="J5390">
        <v>-381.23090000000002</v>
      </c>
      <c r="K5390">
        <v>1.1102449999999999</v>
      </c>
      <c r="L5390">
        <v>142.2158</v>
      </c>
      <c r="M5390">
        <v>-0.99987179999999998</v>
      </c>
      <c r="N5390">
        <v>0</v>
      </c>
      <c r="O5390">
        <v>-7.2714499999999996E-3</v>
      </c>
      <c r="P5390">
        <v>-0.99976069999999995</v>
      </c>
      <c r="Q5390">
        <v>2.0956700000000002E-2</v>
      </c>
      <c r="R5390">
        <v>-6.2801239999999998E-3</v>
      </c>
      <c r="S5390">
        <v>-3.0028990000000002</v>
      </c>
      <c r="T5390">
        <v>-0.19818340000000001</v>
      </c>
      <c r="U5390">
        <v>-0.30122379999999999</v>
      </c>
      <c r="V5390">
        <v>9.7981010000000005E-4</v>
      </c>
      <c r="W5390">
        <v>3.5222690000000001E-2</v>
      </c>
      <c r="X5390">
        <v>0.99937900000000002</v>
      </c>
      <c r="Y5390">
        <v>-9.2388280000000003E-2</v>
      </c>
      <c r="Z5390">
        <v>-2.5595990000000001E-3</v>
      </c>
      <c r="AA5390">
        <v>0.99571980000000004</v>
      </c>
      <c r="AB5390">
        <v>30</v>
      </c>
      <c r="AC5390">
        <v>-16.5107999999999</v>
      </c>
      <c r="AD5390">
        <v>-1.110246194443</v>
      </c>
      <c r="AE5390">
        <v>-1.6852</v>
      </c>
      <c r="AF5390">
        <v>-1.55811307256987</v>
      </c>
      <c r="AG5390">
        <v>-1.110246194443</v>
      </c>
      <c r="AH5390">
        <v>16.449007766965401</v>
      </c>
      <c r="AI5390">
        <v>93.8442370648565</v>
      </c>
      <c r="AJ5390">
        <v>95.411130441852507</v>
      </c>
      <c r="AK5390">
        <v>16.559897930750601</v>
      </c>
      <c r="AL5390">
        <v>87.981470979234103</v>
      </c>
      <c r="AM5390">
        <v>89.943826150572505</v>
      </c>
      <c r="AN5390">
        <v>0.99999999177983401</v>
      </c>
    </row>
    <row r="5391" spans="1:40" x14ac:dyDescent="0.25">
      <c r="A5391" t="str">
        <f>"20190312160441767"</f>
        <v>20190312160441767</v>
      </c>
      <c r="B5391" t="str">
        <f>"1552377881760323"</f>
        <v>1552377881760323</v>
      </c>
      <c r="C5391" t="s">
        <v>40</v>
      </c>
      <c r="D5391">
        <v>5.1976940000000003</v>
      </c>
      <c r="E5391">
        <v>0.46406389999999997</v>
      </c>
      <c r="F5391" t="s">
        <v>41</v>
      </c>
      <c r="G5391">
        <v>-398.49950000000001</v>
      </c>
      <c r="H5391" s="1">
        <v>-8.5680069999999999E-7</v>
      </c>
      <c r="I5391">
        <v>140.48339999999999</v>
      </c>
      <c r="J5391">
        <v>-381.5247</v>
      </c>
      <c r="K5391">
        <v>1.110252</v>
      </c>
      <c r="L5391">
        <v>142.21350000000001</v>
      </c>
      <c r="M5391">
        <v>-0.9998707</v>
      </c>
      <c r="N5391">
        <v>0</v>
      </c>
      <c r="O5391">
        <v>-7.4359250000000003E-3</v>
      </c>
      <c r="P5391">
        <v>-0.99973970000000001</v>
      </c>
      <c r="Q5391">
        <v>2.176113E-2</v>
      </c>
      <c r="R5391">
        <v>-6.8854229999999999E-3</v>
      </c>
      <c r="S5391">
        <v>-3.0028990000000002</v>
      </c>
      <c r="T5391">
        <v>-0.19306609999999999</v>
      </c>
      <c r="U5391">
        <v>-0.30123899999999998</v>
      </c>
      <c r="V5391">
        <v>5.3857860000000005E-4</v>
      </c>
      <c r="W5391">
        <v>3.602375E-2</v>
      </c>
      <c r="X5391">
        <v>0.99935079999999998</v>
      </c>
      <c r="Y5391">
        <v>-9.2239450000000001E-2</v>
      </c>
      <c r="Z5391">
        <v>-2.4783399999999999E-3</v>
      </c>
      <c r="AA5391">
        <v>0.9957338</v>
      </c>
      <c r="AB5391">
        <v>30</v>
      </c>
      <c r="AC5391">
        <v>-16.974799999999998</v>
      </c>
      <c r="AD5391">
        <v>-1.1102528568007</v>
      </c>
      <c r="AE5391">
        <v>-1.73010000000002</v>
      </c>
      <c r="AF5391">
        <v>-1.5970541308788599</v>
      </c>
      <c r="AG5391">
        <v>-1.1102528568007</v>
      </c>
      <c r="AH5391">
        <v>16.915577008127698</v>
      </c>
      <c r="AI5391">
        <v>93.738640303512398</v>
      </c>
      <c r="AJ5391">
        <v>95.3934914762673</v>
      </c>
      <c r="AK5391">
        <v>17.027036994759001</v>
      </c>
      <c r="AL5391">
        <v>87.935544510339597</v>
      </c>
      <c r="AM5391">
        <v>89.969121676063494</v>
      </c>
      <c r="AN5391">
        <v>1.0000000110458001</v>
      </c>
    </row>
    <row r="5392" spans="1:40" x14ac:dyDescent="0.25">
      <c r="A5392" t="str">
        <f>"20190312160441788"</f>
        <v>20190312160441788</v>
      </c>
      <c r="B5392" t="str">
        <f>"1552377881780815"</f>
        <v>1552377881780815</v>
      </c>
      <c r="C5392" t="s">
        <v>40</v>
      </c>
      <c r="D5392">
        <v>5.2553289999999997</v>
      </c>
      <c r="E5392">
        <v>0.46414699999999998</v>
      </c>
      <c r="F5392" t="s">
        <v>41</v>
      </c>
      <c r="G5392">
        <v>-399.23050000000001</v>
      </c>
      <c r="H5392" s="1">
        <v>-5.2919039999999996E-7</v>
      </c>
      <c r="I5392">
        <v>140.4308</v>
      </c>
      <c r="J5392">
        <v>-381.81439999999998</v>
      </c>
      <c r="K5392">
        <v>1.110258</v>
      </c>
      <c r="L5392">
        <v>142.21109999999999</v>
      </c>
      <c r="M5392">
        <v>-0.99986949999999997</v>
      </c>
      <c r="N5392">
        <v>0</v>
      </c>
      <c r="O5392">
        <v>-7.5978969999999897E-3</v>
      </c>
      <c r="P5392">
        <v>-0.99971840000000001</v>
      </c>
      <c r="Q5392">
        <v>2.2530629999999999E-2</v>
      </c>
      <c r="R5392">
        <v>-7.472378E-3</v>
      </c>
      <c r="S5392">
        <v>-3.002777</v>
      </c>
      <c r="T5392">
        <v>-0.18829209999999999</v>
      </c>
      <c r="U5392">
        <v>-0.30232239999999999</v>
      </c>
      <c r="V5392">
        <v>1.134332E-4</v>
      </c>
      <c r="W5392">
        <v>3.679048E-2</v>
      </c>
      <c r="X5392">
        <v>0.99932299999999996</v>
      </c>
      <c r="Y5392">
        <v>-9.2446219999999996E-2</v>
      </c>
      <c r="Z5392">
        <v>-2.4135739999999999E-3</v>
      </c>
      <c r="AA5392">
        <v>0.99571469999999995</v>
      </c>
      <c r="AB5392">
        <v>30</v>
      </c>
      <c r="AC5392">
        <v>-17.4161</v>
      </c>
      <c r="AD5392">
        <v>-1.1102585291903999</v>
      </c>
      <c r="AE5392">
        <v>-1.78029999999998</v>
      </c>
      <c r="AF5392">
        <v>-1.64130823084255</v>
      </c>
      <c r="AG5392">
        <v>-1.1102585291903999</v>
      </c>
      <c r="AH5392">
        <v>17.359307599280999</v>
      </c>
      <c r="AI5392">
        <v>93.643307976329197</v>
      </c>
      <c r="AJ5392">
        <v>95.401212139233195</v>
      </c>
      <c r="AK5392">
        <v>17.472038433929999</v>
      </c>
      <c r="AL5392">
        <v>87.891584961252605</v>
      </c>
      <c r="AM5392">
        <v>89.993496353442495</v>
      </c>
      <c r="AN5392">
        <v>1.0000000053073601</v>
      </c>
    </row>
    <row r="5393" spans="1:40" x14ac:dyDescent="0.25">
      <c r="A5393" t="str">
        <f>"20190312160441804"</f>
        <v>20190312160441804</v>
      </c>
      <c r="B5393" t="str">
        <f>"1552377881790576"</f>
        <v>1552377881790576</v>
      </c>
      <c r="C5393" t="s">
        <v>40</v>
      </c>
      <c r="D5393">
        <v>5.241409</v>
      </c>
      <c r="E5393">
        <v>0.46422819999999998</v>
      </c>
      <c r="F5393" t="s">
        <v>41</v>
      </c>
      <c r="G5393">
        <v>-399.81709999999998</v>
      </c>
      <c r="H5393" s="1">
        <v>-2.6719969999999998E-7</v>
      </c>
      <c r="I5393">
        <v>140.392</v>
      </c>
      <c r="J5393">
        <v>-382.01490000000001</v>
      </c>
      <c r="K5393">
        <v>1.11026</v>
      </c>
      <c r="L5393">
        <v>142.20949999999999</v>
      </c>
      <c r="M5393">
        <v>-0.99986870000000005</v>
      </c>
      <c r="N5393">
        <v>0</v>
      </c>
      <c r="O5393">
        <v>-7.7104069999999999E-3</v>
      </c>
      <c r="P5393">
        <v>-0.99971069999999995</v>
      </c>
      <c r="Q5393">
        <v>2.2696379999999999E-2</v>
      </c>
      <c r="R5393">
        <v>-7.986656E-3</v>
      </c>
      <c r="S5393">
        <v>-3.0027159999999999</v>
      </c>
      <c r="T5393">
        <v>-0.1851826</v>
      </c>
      <c r="U5393">
        <v>-0.3034058</v>
      </c>
      <c r="V5393">
        <v>-2.8859129999999998E-4</v>
      </c>
      <c r="W5393">
        <v>3.6953449999999999E-2</v>
      </c>
      <c r="X5393">
        <v>0.99931689999999995</v>
      </c>
      <c r="Y5393">
        <v>-9.269695E-2</v>
      </c>
      <c r="Z5393">
        <v>-2.3745870000000001E-3</v>
      </c>
      <c r="AA5393">
        <v>0.99569149999999995</v>
      </c>
      <c r="AB5393">
        <v>30</v>
      </c>
      <c r="AC5393">
        <v>-17.8021999999999</v>
      </c>
      <c r="AD5393">
        <v>-1.1102602671996999</v>
      </c>
      <c r="AE5393">
        <v>-1.8174999999999899</v>
      </c>
      <c r="AF5393">
        <v>-1.6737268802571299</v>
      </c>
      <c r="AG5393">
        <v>-1.1102602671996999</v>
      </c>
      <c r="AH5393">
        <v>17.7473681538203</v>
      </c>
      <c r="AI5393">
        <v>93.563937357708198</v>
      </c>
      <c r="AJ5393">
        <v>95.387541763557806</v>
      </c>
      <c r="AK5393">
        <v>17.860658328232301</v>
      </c>
      <c r="AL5393">
        <v>87.882241004903406</v>
      </c>
      <c r="AM5393">
        <v>90.016546365856996</v>
      </c>
      <c r="AN5393">
        <v>0.99999995368872396</v>
      </c>
    </row>
    <row r="5394" spans="1:40" x14ac:dyDescent="0.25">
      <c r="A5394" t="str">
        <f>"20190312160441822"</f>
        <v>20190312160441822</v>
      </c>
      <c r="B5394" t="str">
        <f>"1552377881810096"</f>
        <v>1552377881810096</v>
      </c>
      <c r="C5394" t="s">
        <v>40</v>
      </c>
      <c r="D5394">
        <v>5.2160190000000002</v>
      </c>
      <c r="E5394">
        <v>0.46436640000000001</v>
      </c>
      <c r="F5394" t="s">
        <v>60</v>
      </c>
      <c r="G5394">
        <v>-400.10039999999998</v>
      </c>
      <c r="H5394" s="1">
        <v>-5.7227469999999997E-6</v>
      </c>
      <c r="I5394">
        <v>140.376</v>
      </c>
      <c r="J5394">
        <v>-382.26569999999998</v>
      </c>
      <c r="K5394">
        <v>1.1102650000000001</v>
      </c>
      <c r="L5394">
        <v>142.20740000000001</v>
      </c>
      <c r="M5394">
        <v>-0.99986759999999997</v>
      </c>
      <c r="N5394">
        <v>0</v>
      </c>
      <c r="O5394">
        <v>-7.8510439999999997E-3</v>
      </c>
      <c r="P5394">
        <v>-0.99966679999999997</v>
      </c>
      <c r="Q5394">
        <v>2.3705690000000001E-2</v>
      </c>
      <c r="R5394">
        <v>-1.0222770000000001E-2</v>
      </c>
      <c r="S5394">
        <v>-3.0025940000000002</v>
      </c>
      <c r="T5394">
        <v>-0.18432899999999999</v>
      </c>
      <c r="U5394">
        <v>-0.30439759999999999</v>
      </c>
      <c r="V5394">
        <v>-2.3846729999999999E-3</v>
      </c>
      <c r="W5394">
        <v>3.7959819999999998E-2</v>
      </c>
      <c r="X5394">
        <v>0.99927639999999995</v>
      </c>
      <c r="Y5394">
        <v>-9.2887890000000001E-2</v>
      </c>
      <c r="Z5394">
        <v>-2.360956E-3</v>
      </c>
      <c r="AA5394">
        <v>0.99567380000000005</v>
      </c>
      <c r="AB5394">
        <v>30</v>
      </c>
      <c r="AC5394">
        <v>-17.834699999999899</v>
      </c>
      <c r="AD5394">
        <v>-1.1102707227469999</v>
      </c>
      <c r="AE5394">
        <v>-1.8313999999999999</v>
      </c>
      <c r="AF5394">
        <v>-1.6848468403189301</v>
      </c>
      <c r="AG5394">
        <v>-1.1102707227469999</v>
      </c>
      <c r="AH5394">
        <v>17.780341651455299</v>
      </c>
      <c r="AI5394">
        <v>93.5572286937455</v>
      </c>
      <c r="AJ5394">
        <v>95.413125640498095</v>
      </c>
      <c r="AK5394">
        <v>17.894467278899299</v>
      </c>
      <c r="AL5394">
        <v>87.824539809837702</v>
      </c>
      <c r="AM5394">
        <v>90.136730377152404</v>
      </c>
      <c r="AN5394">
        <v>0.99999997909835403</v>
      </c>
    </row>
    <row r="5395" spans="1:40" x14ac:dyDescent="0.25">
      <c r="A5395" t="str">
        <f>"20190312160441845"</f>
        <v>20190312160441845</v>
      </c>
      <c r="B5395" t="str">
        <f>"1552377881840355"</f>
        <v>1552377881840355</v>
      </c>
      <c r="C5395" t="s">
        <v>40</v>
      </c>
      <c r="D5395">
        <v>5.1841150000000003</v>
      </c>
      <c r="E5395">
        <v>0.46411730000000001</v>
      </c>
      <c r="F5395" t="s">
        <v>60</v>
      </c>
      <c r="G5395">
        <v>-400.65929999999997</v>
      </c>
      <c r="H5395" s="1">
        <v>-5.9425079999999997E-6</v>
      </c>
      <c r="I5395">
        <v>140.30760000000001</v>
      </c>
      <c r="J5395">
        <v>-382.56819999999999</v>
      </c>
      <c r="K5395">
        <v>1.110269</v>
      </c>
      <c r="L5395">
        <v>142.20480000000001</v>
      </c>
      <c r="M5395">
        <v>-0.99986620000000004</v>
      </c>
      <c r="N5395">
        <v>0</v>
      </c>
      <c r="O5395">
        <v>-8.0206429999999992E-3</v>
      </c>
      <c r="P5395">
        <v>-0.99960990000000005</v>
      </c>
      <c r="Q5395">
        <v>2.4637590000000001E-2</v>
      </c>
      <c r="R5395">
        <v>-1.3161580000000001E-2</v>
      </c>
      <c r="S5395">
        <v>-3.002167</v>
      </c>
      <c r="T5395">
        <v>-0.1812164</v>
      </c>
      <c r="U5395">
        <v>-0.31007390000000001</v>
      </c>
      <c r="V5395">
        <v>-5.154802E-3</v>
      </c>
      <c r="W5395">
        <v>3.8886579999999997E-2</v>
      </c>
      <c r="X5395">
        <v>0.99923030000000002</v>
      </c>
      <c r="Y5395">
        <v>-9.4598639999999998E-2</v>
      </c>
      <c r="Z5395">
        <v>-2.3625159999999998E-3</v>
      </c>
      <c r="AA5395">
        <v>0.99551270000000003</v>
      </c>
      <c r="AB5395">
        <v>30</v>
      </c>
      <c r="AC5395">
        <v>-18.091099999999901</v>
      </c>
      <c r="AD5395">
        <v>-1.1102749425080001</v>
      </c>
      <c r="AE5395">
        <v>-1.89719999999999</v>
      </c>
      <c r="AF5395">
        <v>-1.74551908131482</v>
      </c>
      <c r="AG5395">
        <v>-1.1102749425080001</v>
      </c>
      <c r="AH5395">
        <v>18.038534265515601</v>
      </c>
      <c r="AI5395">
        <v>93.505787809606204</v>
      </c>
      <c r="AJ5395">
        <v>95.527082209041197</v>
      </c>
      <c r="AK5395">
        <v>18.156769144299201</v>
      </c>
      <c r="AL5395">
        <v>87.771401099415598</v>
      </c>
      <c r="AM5395">
        <v>90.295573281592894</v>
      </c>
      <c r="AN5395">
        <v>0.99999996526292201</v>
      </c>
    </row>
    <row r="5396" spans="1:40" x14ac:dyDescent="0.25">
      <c r="A5396" t="str">
        <f>"20190312160441867"</f>
        <v>20190312160441867</v>
      </c>
      <c r="B5396" t="str">
        <f>"1552377881860847"</f>
        <v>1552377881860847</v>
      </c>
      <c r="C5396" t="s">
        <v>40</v>
      </c>
      <c r="D5396">
        <v>5.133381</v>
      </c>
      <c r="E5396">
        <v>0.43726290000000001</v>
      </c>
      <c r="F5396" t="s">
        <v>60</v>
      </c>
      <c r="G5396">
        <v>-401.31389999999999</v>
      </c>
      <c r="H5396" s="1">
        <v>-6.1888620000000004E-6</v>
      </c>
      <c r="I5396">
        <v>140.20079999999999</v>
      </c>
      <c r="J5396">
        <v>-382.8768</v>
      </c>
      <c r="K5396">
        <v>1.110269</v>
      </c>
      <c r="L5396">
        <v>142.2021</v>
      </c>
      <c r="M5396">
        <v>-0.99986489999999995</v>
      </c>
      <c r="N5396">
        <v>0</v>
      </c>
      <c r="O5396">
        <v>-8.1935789999999994E-3</v>
      </c>
      <c r="P5396">
        <v>-0.99955620000000001</v>
      </c>
      <c r="Q5396">
        <v>2.5076629999999999E-2</v>
      </c>
      <c r="R5396">
        <v>-1.608219E-2</v>
      </c>
      <c r="S5396">
        <v>-3.0013429999999999</v>
      </c>
      <c r="T5396">
        <v>-0.17776500000000001</v>
      </c>
      <c r="U5396">
        <v>-0.32086179999999997</v>
      </c>
      <c r="V5396">
        <v>-7.9029229999999992E-3</v>
      </c>
      <c r="W5396">
        <v>3.9321599999999998E-2</v>
      </c>
      <c r="X5396">
        <v>0.99919530000000001</v>
      </c>
      <c r="Y5396">
        <v>-9.7993280000000002E-2</v>
      </c>
      <c r="Z5396">
        <v>-2.4077539999999998E-3</v>
      </c>
      <c r="AA5396">
        <v>0.99518419999999996</v>
      </c>
      <c r="AB5396">
        <v>30</v>
      </c>
      <c r="AC5396">
        <v>-18.437099999999901</v>
      </c>
      <c r="AD5396">
        <v>-1.1102751888619999</v>
      </c>
      <c r="AE5396">
        <v>-2.0013000000000098</v>
      </c>
      <c r="AF5396">
        <v>-1.8435440531106899</v>
      </c>
      <c r="AG5396">
        <v>-1.1102751888619999</v>
      </c>
      <c r="AH5396">
        <v>18.3869783574977</v>
      </c>
      <c r="AI5396">
        <v>93.438342180736498</v>
      </c>
      <c r="AJ5396">
        <v>95.725544557444906</v>
      </c>
      <c r="AK5396">
        <v>18.512491425787399</v>
      </c>
      <c r="AL5396">
        <v>87.746457166350993</v>
      </c>
      <c r="AM5396">
        <v>90.453159349402497</v>
      </c>
      <c r="AN5396">
        <v>0.99999994598029496</v>
      </c>
    </row>
    <row r="5397" spans="1:40" x14ac:dyDescent="0.25">
      <c r="A5397" t="str">
        <f>"20190312160441889"</f>
        <v>20190312160441889</v>
      </c>
      <c r="B5397" t="str">
        <f>"1552377881880368"</f>
        <v>1552377881880368</v>
      </c>
      <c r="C5397" t="s">
        <v>40</v>
      </c>
      <c r="D5397">
        <v>5.114922</v>
      </c>
      <c r="E5397">
        <v>0.43759789999999998</v>
      </c>
      <c r="F5397" t="s">
        <v>60</v>
      </c>
      <c r="G5397">
        <v>-410.94720000000001</v>
      </c>
      <c r="H5397" s="1">
        <v>-9.489081E-6</v>
      </c>
      <c r="I5397">
        <v>137.09690000000001</v>
      </c>
      <c r="J5397">
        <v>-383.1601</v>
      </c>
      <c r="K5397">
        <v>1.1102620000000001</v>
      </c>
      <c r="L5397">
        <v>142.1996</v>
      </c>
      <c r="M5397">
        <v>-0.99986359999999996</v>
      </c>
      <c r="N5397">
        <v>0</v>
      </c>
      <c r="O5397">
        <v>-8.3524500000000008E-3</v>
      </c>
      <c r="P5397">
        <v>-0.99950130000000004</v>
      </c>
      <c r="Q5397">
        <v>2.5262059999999999E-2</v>
      </c>
      <c r="R5397">
        <v>-1.895347E-2</v>
      </c>
      <c r="S5397">
        <v>-2.9956049999999999</v>
      </c>
      <c r="T5397">
        <v>-0.11848599999999999</v>
      </c>
      <c r="U5397">
        <v>-0.5448151</v>
      </c>
      <c r="V5397">
        <v>-1.061527E-2</v>
      </c>
      <c r="W5397">
        <v>3.9503129999999997E-2</v>
      </c>
      <c r="X5397">
        <v>0.99916300000000002</v>
      </c>
      <c r="Y5397">
        <v>-0.17058870000000001</v>
      </c>
      <c r="Z5397">
        <v>-3.0174249999999998E-3</v>
      </c>
      <c r="AA5397">
        <v>0.98533769999999998</v>
      </c>
      <c r="AB5397">
        <v>30</v>
      </c>
      <c r="AC5397">
        <v>-27.787099999999999</v>
      </c>
      <c r="AD5397">
        <v>-1.1102714890809999</v>
      </c>
      <c r="AE5397">
        <v>-5.1026999999999898</v>
      </c>
      <c r="AF5397">
        <v>-4.8628976398292503</v>
      </c>
      <c r="AG5397">
        <v>-1.1102714890809999</v>
      </c>
      <c r="AH5397">
        <v>27.785841617908901</v>
      </c>
      <c r="AI5397">
        <v>92.253994290440005</v>
      </c>
      <c r="AJ5397">
        <v>99.926996509482507</v>
      </c>
      <c r="AK5397">
        <v>28.230010107161501</v>
      </c>
      <c r="AL5397">
        <v>87.736048163953797</v>
      </c>
      <c r="AM5397">
        <v>90.608696766668004</v>
      </c>
      <c r="AN5397">
        <v>0.99999994090298305</v>
      </c>
    </row>
    <row r="5398" spans="1:40" x14ac:dyDescent="0.25">
      <c r="A5398" t="str">
        <f>"20190312160441911"</f>
        <v>20190312160441911</v>
      </c>
      <c r="B5398" t="str">
        <f>"1552377881900863"</f>
        <v>1552377881900863</v>
      </c>
      <c r="C5398" t="s">
        <v>40</v>
      </c>
      <c r="D5398">
        <v>5.1167639999999999</v>
      </c>
      <c r="E5398">
        <v>0.43798569999999998</v>
      </c>
      <c r="F5398" t="s">
        <v>60</v>
      </c>
      <c r="G5398">
        <v>-409.72109999999998</v>
      </c>
      <c r="H5398" s="1">
        <v>-9.5248810000000006E-6</v>
      </c>
      <c r="I5398">
        <v>137.31700000000001</v>
      </c>
      <c r="J5398">
        <v>-383.4615</v>
      </c>
      <c r="K5398">
        <v>1.110269</v>
      </c>
      <c r="L5398">
        <v>142.1969</v>
      </c>
      <c r="M5398">
        <v>-0.99986229999999998</v>
      </c>
      <c r="N5398">
        <v>0</v>
      </c>
      <c r="O5398">
        <v>-8.5214509999999993E-3</v>
      </c>
      <c r="P5398">
        <v>-0.99943800000000005</v>
      </c>
      <c r="Q5398">
        <v>2.4881710000000001E-2</v>
      </c>
      <c r="R5398">
        <v>-2.2468519999999999E-2</v>
      </c>
      <c r="S5398">
        <v>-2.9942319999999998</v>
      </c>
      <c r="T5398">
        <v>-0.12516150000000001</v>
      </c>
      <c r="U5398">
        <v>-0.55041499999999999</v>
      </c>
      <c r="V5398">
        <v>-1.3961909999999999E-2</v>
      </c>
      <c r="W5398">
        <v>3.911767E-2</v>
      </c>
      <c r="X5398">
        <v>0.99913700000000005</v>
      </c>
      <c r="Y5398">
        <v>-0.17226910000000001</v>
      </c>
      <c r="Z5398">
        <v>-3.2160079999999998E-3</v>
      </c>
      <c r="AA5398">
        <v>0.9850447</v>
      </c>
      <c r="AB5398">
        <v>30</v>
      </c>
      <c r="AC5398">
        <v>-26.259599999999899</v>
      </c>
      <c r="AD5398">
        <v>-1.1102785248810001</v>
      </c>
      <c r="AE5398">
        <v>-4.8798999999999904</v>
      </c>
      <c r="AF5398">
        <v>-4.6478986448859798</v>
      </c>
      <c r="AG5398">
        <v>-1.1102785248810001</v>
      </c>
      <c r="AH5398">
        <v>26.2548660872604</v>
      </c>
      <c r="AI5398">
        <v>92.384476706678001</v>
      </c>
      <c r="AJ5398">
        <v>100.039060112773</v>
      </c>
      <c r="AK5398">
        <v>26.686207551391099</v>
      </c>
      <c r="AL5398">
        <v>87.758150469395801</v>
      </c>
      <c r="AM5398">
        <v>90.800597368784096</v>
      </c>
      <c r="AN5398">
        <v>0.99999993590303604</v>
      </c>
    </row>
    <row r="5399" spans="1:40" x14ac:dyDescent="0.25">
      <c r="A5399" t="str">
        <f>"20190312160441935"</f>
        <v>20190312160441935</v>
      </c>
      <c r="B5399" t="str">
        <f>"1552377881920383"</f>
        <v>1552377881920383</v>
      </c>
      <c r="C5399" t="s">
        <v>40</v>
      </c>
      <c r="D5399">
        <v>5.0869660000000003</v>
      </c>
      <c r="E5399">
        <v>0.43846069999999998</v>
      </c>
      <c r="F5399" t="s">
        <v>60</v>
      </c>
      <c r="G5399">
        <v>-410.29539999999997</v>
      </c>
      <c r="H5399" s="1">
        <v>-9.5882579999999994E-6</v>
      </c>
      <c r="I5399">
        <v>137.19280000000001</v>
      </c>
      <c r="J5399">
        <v>-383.76979999999998</v>
      </c>
      <c r="K5399">
        <v>1.110271</v>
      </c>
      <c r="L5399">
        <v>142.19399999999999</v>
      </c>
      <c r="M5399">
        <v>-0.99986070000000005</v>
      </c>
      <c r="N5399">
        <v>0</v>
      </c>
      <c r="O5399">
        <v>-8.6943839999999994E-3</v>
      </c>
      <c r="P5399">
        <v>-0.99930399999999997</v>
      </c>
      <c r="Q5399">
        <v>2.5312479999999998E-2</v>
      </c>
      <c r="R5399">
        <v>-2.7399440000000001E-2</v>
      </c>
      <c r="S5399">
        <v>-2.9922179999999998</v>
      </c>
      <c r="T5399">
        <v>-0.1238055</v>
      </c>
      <c r="U5399">
        <v>-0.55799869999999996</v>
      </c>
      <c r="V5399">
        <v>-1.8721390000000001E-2</v>
      </c>
      <c r="W5399">
        <v>3.9543160000000001E-2</v>
      </c>
      <c r="X5399">
        <v>0.99904250000000006</v>
      </c>
      <c r="Y5399">
        <v>-0.17463090000000001</v>
      </c>
      <c r="Z5399">
        <v>-3.2239069999999998E-3</v>
      </c>
      <c r="AA5399">
        <v>0.98462870000000002</v>
      </c>
      <c r="AB5399">
        <v>30</v>
      </c>
      <c r="AC5399">
        <v>-26.525600000000001</v>
      </c>
      <c r="AD5399">
        <v>-1.110280588258</v>
      </c>
      <c r="AE5399">
        <v>-5.0011999999999803</v>
      </c>
      <c r="AF5399">
        <v>-4.7623066074095304</v>
      </c>
      <c r="AG5399">
        <v>-1.110280588258</v>
      </c>
      <c r="AH5399">
        <v>26.523210388485602</v>
      </c>
      <c r="AI5399">
        <v>92.359356518426196</v>
      </c>
      <c r="AJ5399">
        <v>100.17913213571499</v>
      </c>
      <c r="AK5399">
        <v>26.9702238870854</v>
      </c>
      <c r="AL5399">
        <v>87.733753032253404</v>
      </c>
      <c r="AM5399">
        <v>91.073559033878297</v>
      </c>
      <c r="AN5399">
        <v>1.00000003437628</v>
      </c>
    </row>
    <row r="5400" spans="1:40" x14ac:dyDescent="0.25">
      <c r="A5400" t="str">
        <f>"20190312160441956"</f>
        <v>20190312160441956</v>
      </c>
      <c r="B5400" t="str">
        <f>"1552377881950639"</f>
        <v>1552377881950639</v>
      </c>
      <c r="C5400" t="s">
        <v>40</v>
      </c>
      <c r="D5400">
        <v>5.095332</v>
      </c>
      <c r="E5400">
        <v>0.43901079999999998</v>
      </c>
      <c r="F5400" t="s">
        <v>60</v>
      </c>
      <c r="G5400">
        <v>-411.65809999999999</v>
      </c>
      <c r="H5400" s="1">
        <v>-9.3330810000000002E-6</v>
      </c>
      <c r="I5400">
        <v>136.8828</v>
      </c>
      <c r="J5400">
        <v>-384.06110000000001</v>
      </c>
      <c r="K5400">
        <v>1.110266</v>
      </c>
      <c r="L5400">
        <v>142.19130000000001</v>
      </c>
      <c r="M5400">
        <v>-0.99985930000000001</v>
      </c>
      <c r="N5400">
        <v>0</v>
      </c>
      <c r="O5400">
        <v>-8.8595849999999997E-3</v>
      </c>
      <c r="P5400">
        <v>-0.99915370000000003</v>
      </c>
      <c r="Q5400">
        <v>2.593879E-2</v>
      </c>
      <c r="R5400">
        <v>-3.1926160000000002E-2</v>
      </c>
      <c r="S5400">
        <v>-2.9895019999999999</v>
      </c>
      <c r="T5400">
        <v>-0.1190171</v>
      </c>
      <c r="U5400">
        <v>-0.56933590000000001</v>
      </c>
      <c r="V5400">
        <v>-2.3083800000000002E-2</v>
      </c>
      <c r="W5400">
        <v>4.0163030000000002E-2</v>
      </c>
      <c r="X5400">
        <v>0.99892650000000005</v>
      </c>
      <c r="Y5400">
        <v>-0.17824179999999901</v>
      </c>
      <c r="Z5400">
        <v>-3.1657E-3</v>
      </c>
      <c r="AA5400">
        <v>0.98398160000000001</v>
      </c>
      <c r="AB5400">
        <v>30</v>
      </c>
      <c r="AC5400">
        <v>-27.596999999999898</v>
      </c>
      <c r="AD5400">
        <v>-1.110275333081</v>
      </c>
      <c r="AE5400">
        <v>-5.3085000000000004</v>
      </c>
      <c r="AF5400">
        <v>-5.0558774288253199</v>
      </c>
      <c r="AG5400">
        <v>-1.110275333081</v>
      </c>
      <c r="AH5400">
        <v>27.599873591164901</v>
      </c>
      <c r="AI5400">
        <v>92.265961758568494</v>
      </c>
      <c r="AJ5400">
        <v>100.380624216592</v>
      </c>
      <c r="AK5400">
        <v>28.081090259084299</v>
      </c>
      <c r="AL5400">
        <v>87.698208876624093</v>
      </c>
      <c r="AM5400">
        <v>91.323790052175895</v>
      </c>
      <c r="AN5400">
        <v>1.0000000416017301</v>
      </c>
    </row>
    <row r="5401" spans="1:40" x14ac:dyDescent="0.25">
      <c r="A5401" t="str">
        <f>"20190312160441977"</f>
        <v>20190312160441977</v>
      </c>
      <c r="B5401" t="str">
        <f>"1552377881970163"</f>
        <v>1552377881970163</v>
      </c>
      <c r="C5401" t="s">
        <v>40</v>
      </c>
      <c r="D5401">
        <v>5.1104079999999996</v>
      </c>
      <c r="E5401">
        <v>0.43949820000000001</v>
      </c>
      <c r="F5401" t="s">
        <v>60</v>
      </c>
      <c r="G5401">
        <v>-411.87090000000001</v>
      </c>
      <c r="H5401" s="1">
        <v>-9.2801449999999992E-6</v>
      </c>
      <c r="I5401">
        <v>136.80449999999999</v>
      </c>
      <c r="J5401">
        <v>-384.34989999999999</v>
      </c>
      <c r="K5401">
        <v>1.110271</v>
      </c>
      <c r="L5401">
        <v>142.1885</v>
      </c>
      <c r="M5401">
        <v>-0.99985789999999997</v>
      </c>
      <c r="N5401">
        <v>0</v>
      </c>
      <c r="O5401">
        <v>-9.0350020000000003E-3</v>
      </c>
      <c r="P5401">
        <v>-0.99901870000000004</v>
      </c>
      <c r="Q5401">
        <v>2.634819E-2</v>
      </c>
      <c r="R5401">
        <v>-3.5604499999999997E-2</v>
      </c>
      <c r="S5401">
        <v>-2.987152</v>
      </c>
      <c r="T5401">
        <v>-0.11925860000000001</v>
      </c>
      <c r="U5401">
        <v>-0.5786133</v>
      </c>
      <c r="V5401">
        <v>-2.6588489999999999E-2</v>
      </c>
      <c r="W5401">
        <v>4.0566579999999998E-2</v>
      </c>
      <c r="X5401">
        <v>0.99882300000000002</v>
      </c>
      <c r="Y5401">
        <v>-0.18115510000000001</v>
      </c>
      <c r="Z5401">
        <v>-3.2243100000000002E-3</v>
      </c>
      <c r="AA5401">
        <v>0.98344929999999997</v>
      </c>
      <c r="AB5401">
        <v>30</v>
      </c>
      <c r="AC5401">
        <v>-27.521000000000001</v>
      </c>
      <c r="AD5401">
        <v>-1.110280280145</v>
      </c>
      <c r="AE5401">
        <v>-5.3840000000000101</v>
      </c>
      <c r="AF5401">
        <v>-5.1270657128477399</v>
      </c>
      <c r="AG5401">
        <v>-1.110280280145</v>
      </c>
      <c r="AH5401">
        <v>27.525378010136301</v>
      </c>
      <c r="AI5401">
        <v>92.270848882192098</v>
      </c>
      <c r="AJ5401">
        <v>100.55138586334</v>
      </c>
      <c r="AK5401">
        <v>28.020812974024</v>
      </c>
      <c r="AL5401">
        <v>87.675068186848605</v>
      </c>
      <c r="AM5401">
        <v>91.524843317527896</v>
      </c>
      <c r="AN5401">
        <v>0.99999999027118802</v>
      </c>
    </row>
    <row r="5402" spans="1:40" x14ac:dyDescent="0.25">
      <c r="A5402" t="str">
        <f>"20190312160442000"</f>
        <v>20190312160442000</v>
      </c>
      <c r="B5402" t="str">
        <f>"1552377881990188"</f>
        <v>1552377881990188</v>
      </c>
      <c r="C5402" t="s">
        <v>40</v>
      </c>
      <c r="D5402">
        <v>5.0935540000000001</v>
      </c>
      <c r="E5402">
        <v>0.44019599999999998</v>
      </c>
      <c r="F5402" t="s">
        <v>60</v>
      </c>
      <c r="G5402">
        <v>-411.6848</v>
      </c>
      <c r="H5402" s="1">
        <v>-9.3051459999999992E-6</v>
      </c>
      <c r="I5402">
        <v>136.82429999999999</v>
      </c>
      <c r="J5402">
        <v>-384.64589999999998</v>
      </c>
      <c r="K5402">
        <v>1.110287</v>
      </c>
      <c r="L5402">
        <v>142.18559999999999</v>
      </c>
      <c r="M5402">
        <v>-0.99985610000000003</v>
      </c>
      <c r="N5402">
        <v>0</v>
      </c>
      <c r="O5402">
        <v>-9.2447220000000004E-3</v>
      </c>
      <c r="P5402">
        <v>-0.99890939999999995</v>
      </c>
      <c r="Q5402">
        <v>2.549821E-2</v>
      </c>
      <c r="R5402">
        <v>-3.911854E-2</v>
      </c>
      <c r="S5402">
        <v>-2.9852599999999998</v>
      </c>
      <c r="T5402">
        <v>-0.12125470000000001</v>
      </c>
      <c r="U5402">
        <v>-0.58583069999999904</v>
      </c>
      <c r="V5402">
        <v>-2.9895209999999998E-2</v>
      </c>
      <c r="W5402">
        <v>3.9709920000000003E-2</v>
      </c>
      <c r="X5402">
        <v>0.99876390000000004</v>
      </c>
      <c r="Y5402">
        <v>-0.18334919999999999</v>
      </c>
      <c r="Z5402">
        <v>-3.3152120000000001E-3</v>
      </c>
      <c r="AA5402">
        <v>0.98304219999999998</v>
      </c>
      <c r="AB5402">
        <v>30</v>
      </c>
      <c r="AC5402">
        <v>-27.038900000000002</v>
      </c>
      <c r="AD5402">
        <v>-1.110296305146</v>
      </c>
      <c r="AE5402">
        <v>-5.3613</v>
      </c>
      <c r="AF5402">
        <v>-5.10279976688639</v>
      </c>
      <c r="AG5402">
        <v>-1.110296305146</v>
      </c>
      <c r="AH5402">
        <v>27.043438330186898</v>
      </c>
      <c r="AI5402">
        <v>92.310294771630396</v>
      </c>
      <c r="AJ5402">
        <v>100.685452973615</v>
      </c>
      <c r="AK5402">
        <v>27.5430368707733</v>
      </c>
      <c r="AL5402">
        <v>87.724190719082401</v>
      </c>
      <c r="AM5402">
        <v>91.714477359834603</v>
      </c>
      <c r="AN5402">
        <v>0.99999996463527896</v>
      </c>
    </row>
    <row r="5403" spans="1:40" x14ac:dyDescent="0.25">
      <c r="A5403" t="str">
        <f>"20190312160442023"</f>
        <v>20190312160442023</v>
      </c>
      <c r="B5403" t="str">
        <f>"1552377882020444"</f>
        <v>1552377882020444</v>
      </c>
      <c r="C5403" t="s">
        <v>40</v>
      </c>
      <c r="D5403">
        <v>5.1222009999999996</v>
      </c>
      <c r="E5403">
        <v>0.44653029999999999</v>
      </c>
      <c r="F5403" t="s">
        <v>60</v>
      </c>
      <c r="G5403">
        <v>-410.70650000000001</v>
      </c>
      <c r="H5403" s="1">
        <v>-9.4795329999999999E-6</v>
      </c>
      <c r="I5403">
        <v>137.0266</v>
      </c>
      <c r="J5403">
        <v>-384.94779999999997</v>
      </c>
      <c r="K5403">
        <v>1.110322</v>
      </c>
      <c r="L5403">
        <v>142.18260000000001</v>
      </c>
      <c r="M5403">
        <v>-0.99985360000000001</v>
      </c>
      <c r="N5403">
        <v>0</v>
      </c>
      <c r="O5403">
        <v>-9.5141410000000003E-3</v>
      </c>
      <c r="P5403">
        <v>-0.99882760000000004</v>
      </c>
      <c r="Q5403">
        <v>2.5085719999999999E-2</v>
      </c>
      <c r="R5403">
        <v>-4.1405709999999998E-2</v>
      </c>
      <c r="S5403">
        <v>-2.983368</v>
      </c>
      <c r="T5403">
        <v>-0.127105</v>
      </c>
      <c r="U5403">
        <v>-0.59059139999999999</v>
      </c>
      <c r="V5403">
        <v>-3.1917340000000002E-2</v>
      </c>
      <c r="W5403">
        <v>3.929063E-2</v>
      </c>
      <c r="X5403">
        <v>0.99871799999999999</v>
      </c>
      <c r="Y5403">
        <v>-0.18469720000000001</v>
      </c>
      <c r="Z5403">
        <v>-3.4937280000000002E-3</v>
      </c>
      <c r="AA5403">
        <v>0.98278929999999998</v>
      </c>
      <c r="AB5403">
        <v>30</v>
      </c>
      <c r="AC5403">
        <v>-25.758700000000001</v>
      </c>
      <c r="AD5403">
        <v>-1.1103314795329999</v>
      </c>
      <c r="AE5403">
        <v>-5.1559999999999997</v>
      </c>
      <c r="AF5403">
        <v>-4.9019127635742397</v>
      </c>
      <c r="AG5403">
        <v>-1.1103314795329999</v>
      </c>
      <c r="AH5403">
        <v>25.760573218403199</v>
      </c>
      <c r="AI5403">
        <v>92.4245808921562</v>
      </c>
      <c r="AJ5403">
        <v>100.773859882943</v>
      </c>
      <c r="AK5403">
        <v>26.246308640965999</v>
      </c>
      <c r="AL5403">
        <v>87.748233238872501</v>
      </c>
      <c r="AM5403">
        <v>91.830453316919105</v>
      </c>
      <c r="AN5403">
        <v>1.0000000568612299</v>
      </c>
    </row>
    <row r="5404" spans="1:40" x14ac:dyDescent="0.25">
      <c r="A5404" t="str">
        <f>"20190312160442046"</f>
        <v>20190312160442046</v>
      </c>
      <c r="B5404" t="str">
        <f>"1552377882040939"</f>
        <v>1552377882040939</v>
      </c>
      <c r="C5404" t="s">
        <v>40</v>
      </c>
      <c r="D5404">
        <v>5.0596730000000001</v>
      </c>
      <c r="E5404">
        <v>0.44623570000000001</v>
      </c>
      <c r="F5404" t="s">
        <v>60</v>
      </c>
      <c r="G5404">
        <v>-402.98320000000001</v>
      </c>
      <c r="H5404" s="1">
        <v>-6.3472239999999998E-6</v>
      </c>
      <c r="I5404">
        <v>138.8845</v>
      </c>
      <c r="J5404">
        <v>-385.24770000000001</v>
      </c>
      <c r="K5404">
        <v>1.110382</v>
      </c>
      <c r="L5404">
        <v>142.17939999999999</v>
      </c>
      <c r="M5404">
        <v>-0.99985009999999996</v>
      </c>
      <c r="N5404">
        <v>0</v>
      </c>
      <c r="O5404">
        <v>-9.8709130000000003E-3</v>
      </c>
      <c r="P5404">
        <v>-0.99876310000000001</v>
      </c>
      <c r="Q5404">
        <v>2.5069979999999999E-2</v>
      </c>
      <c r="R5404">
        <v>-4.2942019999999997E-2</v>
      </c>
      <c r="S5404">
        <v>-2.9855040000000002</v>
      </c>
      <c r="T5404">
        <v>-0.18379980000000001</v>
      </c>
      <c r="U5404">
        <v>-0.54594419999999899</v>
      </c>
      <c r="V5404">
        <v>-3.3103630000000002E-2</v>
      </c>
      <c r="W5404">
        <v>3.9265849999999998E-2</v>
      </c>
      <c r="X5404">
        <v>0.99868029999999997</v>
      </c>
      <c r="Y5404">
        <v>-0.16986950000000001</v>
      </c>
      <c r="Z5404">
        <v>-4.5790869999999999E-3</v>
      </c>
      <c r="AA5404">
        <v>0.98545590000000005</v>
      </c>
      <c r="AB5404">
        <v>30</v>
      </c>
      <c r="AC5404">
        <v>-17.735499999999998</v>
      </c>
      <c r="AD5404">
        <v>-1.1103883472239999</v>
      </c>
      <c r="AE5404">
        <v>-3.2948999999999802</v>
      </c>
      <c r="AF5404">
        <v>-3.1078803434845299</v>
      </c>
      <c r="AG5404">
        <v>-1.1103883472239999</v>
      </c>
      <c r="AH5404">
        <v>17.700096783314201</v>
      </c>
      <c r="AI5404">
        <v>93.535709188741095</v>
      </c>
      <c r="AJ5404">
        <v>99.958792106668497</v>
      </c>
      <c r="AK5404">
        <v>18.0051467266934</v>
      </c>
      <c r="AL5404">
        <v>87.749653995430606</v>
      </c>
      <c r="AM5404">
        <v>91.898509541440205</v>
      </c>
      <c r="AN5404">
        <v>0.999999999451744</v>
      </c>
    </row>
    <row r="5405" spans="1:40" x14ac:dyDescent="0.25">
      <c r="A5405" t="str">
        <f>"20190312160442068"</f>
        <v>20190312160442068</v>
      </c>
      <c r="B5405" t="str">
        <f>"1552377882060463"</f>
        <v>1552377882060463</v>
      </c>
      <c r="C5405" t="s">
        <v>40</v>
      </c>
      <c r="D5405">
        <v>5.0231879999999904</v>
      </c>
      <c r="E5405">
        <v>0.44623570000000001</v>
      </c>
      <c r="F5405" t="s">
        <v>60</v>
      </c>
      <c r="G5405">
        <v>-404.18560000000002</v>
      </c>
      <c r="H5405" s="1">
        <v>-6.7803390000000001E-6</v>
      </c>
      <c r="I5405">
        <v>138.66999999999999</v>
      </c>
      <c r="J5405">
        <v>-385.53489999999999</v>
      </c>
      <c r="K5405">
        <v>1.110473</v>
      </c>
      <c r="L5405">
        <v>142.17599999999999</v>
      </c>
      <c r="M5405">
        <v>-0.9998454</v>
      </c>
      <c r="N5405">
        <v>0</v>
      </c>
      <c r="O5405">
        <v>-1.033892E-2</v>
      </c>
      <c r="P5405">
        <v>-0.99868129999999999</v>
      </c>
      <c r="Q5405">
        <v>2.5886240000000001E-2</v>
      </c>
      <c r="R5405">
        <v>-4.4336390000000003E-2</v>
      </c>
      <c r="S5405">
        <v>-2.9843139999999999</v>
      </c>
      <c r="T5405">
        <v>-0.17497889999999999</v>
      </c>
      <c r="U5405">
        <v>-0.55300899999999997</v>
      </c>
      <c r="V5405">
        <v>-3.4039699999999999E-2</v>
      </c>
      <c r="W5405">
        <v>4.0071080000000002E-2</v>
      </c>
      <c r="X5405">
        <v>0.99861690000000003</v>
      </c>
      <c r="Y5405">
        <v>-0.17175889999999999</v>
      </c>
      <c r="Z5405">
        <v>-4.3881909999999996E-3</v>
      </c>
      <c r="AA5405">
        <v>0.98512920000000004</v>
      </c>
      <c r="AB5405">
        <v>30</v>
      </c>
      <c r="AC5405">
        <v>-18.650700000000001</v>
      </c>
      <c r="AD5405">
        <v>-1.1104797803389901</v>
      </c>
      <c r="AE5405">
        <v>-3.5060000000000202</v>
      </c>
      <c r="AF5405">
        <v>-3.30165968803909</v>
      </c>
      <c r="AG5405">
        <v>-1.1104797803389901</v>
      </c>
      <c r="AH5405">
        <v>18.622190232255299</v>
      </c>
      <c r="AI5405">
        <v>93.360341426323203</v>
      </c>
      <c r="AJ5405">
        <v>100.05389683190199</v>
      </c>
      <c r="AK5405">
        <v>18.945186488511201</v>
      </c>
      <c r="AL5405">
        <v>87.703481493561497</v>
      </c>
      <c r="AM5405">
        <v>91.952276493950905</v>
      </c>
      <c r="AN5405">
        <v>1.0000000527970301</v>
      </c>
    </row>
    <row r="5406" spans="1:40" x14ac:dyDescent="0.25">
      <c r="A5406" t="str">
        <f>"20190312160442090"</f>
        <v>20190312160442090</v>
      </c>
      <c r="B5406" t="str">
        <f>"1552377882080955"</f>
        <v>1552377882080955</v>
      </c>
      <c r="C5406" t="s">
        <v>40</v>
      </c>
      <c r="D5406">
        <v>5.0438830000000001</v>
      </c>
      <c r="E5406">
        <v>0.44593830000000001</v>
      </c>
      <c r="F5406" t="s">
        <v>60</v>
      </c>
      <c r="G5406">
        <v>-404.72629999999998</v>
      </c>
      <c r="H5406" s="1">
        <v>-6.9835740000000001E-6</v>
      </c>
      <c r="I5406">
        <v>138.59180000000001</v>
      </c>
      <c r="J5406">
        <v>-385.82530000000003</v>
      </c>
      <c r="K5406">
        <v>1.1106020000000001</v>
      </c>
      <c r="L5406">
        <v>142.17240000000001</v>
      </c>
      <c r="M5406">
        <v>-0.99983869999999997</v>
      </c>
      <c r="N5406">
        <v>0</v>
      </c>
      <c r="O5406">
        <v>-1.097736E-2</v>
      </c>
      <c r="P5406">
        <v>-0.99857589999999996</v>
      </c>
      <c r="Q5406">
        <v>2.679258E-2</v>
      </c>
      <c r="R5406">
        <v>-4.6138129999999999E-2</v>
      </c>
      <c r="S5406">
        <v>-2.9837340000000001</v>
      </c>
      <c r="T5406">
        <v>-0.17264879999999999</v>
      </c>
      <c r="U5406">
        <v>-0.55725100000000005</v>
      </c>
      <c r="V5406">
        <v>-3.521647E-2</v>
      </c>
      <c r="W5406">
        <v>4.096346E-2</v>
      </c>
      <c r="X5406">
        <v>0.99853979999999998</v>
      </c>
      <c r="Y5406">
        <v>-0.1725246</v>
      </c>
      <c r="Z5406">
        <v>-4.3154880000000001E-3</v>
      </c>
      <c r="AA5406">
        <v>0.98499570000000003</v>
      </c>
      <c r="AB5406">
        <v>30</v>
      </c>
      <c r="AC5406">
        <v>-18.9009999999999</v>
      </c>
      <c r="AD5406">
        <v>-1.1106089835740001</v>
      </c>
      <c r="AE5406">
        <v>-3.5806</v>
      </c>
      <c r="AF5406">
        <v>-3.3616755746578399</v>
      </c>
      <c r="AG5406">
        <v>-1.1106089835740001</v>
      </c>
      <c r="AH5406">
        <v>18.876255161149501</v>
      </c>
      <c r="AI5406">
        <v>93.315147418830705</v>
      </c>
      <c r="AJ5406">
        <v>100.097947697907</v>
      </c>
      <c r="AK5406">
        <v>19.2053983008025</v>
      </c>
      <c r="AL5406">
        <v>87.652309668637898</v>
      </c>
      <c r="AM5406">
        <v>92.019868555033099</v>
      </c>
      <c r="AN5406">
        <v>0.999999968499235</v>
      </c>
    </row>
    <row r="5407" spans="1:40" x14ac:dyDescent="0.25">
      <c r="A5407" t="str">
        <f>"20190312160442112"</f>
        <v>20190312160442112</v>
      </c>
      <c r="B5407" t="str">
        <f>"1552377882100006"</f>
        <v>1552377882100006</v>
      </c>
      <c r="C5407" t="s">
        <v>40</v>
      </c>
      <c r="D5407">
        <v>5.0580049999999996</v>
      </c>
      <c r="E5407">
        <v>0.44583669999999997</v>
      </c>
      <c r="F5407" t="s">
        <v>60</v>
      </c>
      <c r="G5407">
        <v>-405.86970000000002</v>
      </c>
      <c r="H5407" s="1">
        <v>-7.5903159999999996E-6</v>
      </c>
      <c r="I5407">
        <v>138.37649999999999</v>
      </c>
      <c r="J5407">
        <v>-386.12810000000002</v>
      </c>
      <c r="K5407">
        <v>1.1107309999999999</v>
      </c>
      <c r="L5407">
        <v>142.16820000000001</v>
      </c>
      <c r="M5407">
        <v>-0.99982939999999998</v>
      </c>
      <c r="N5407">
        <v>0</v>
      </c>
      <c r="O5407">
        <v>-1.180033E-2</v>
      </c>
      <c r="P5407">
        <v>-0.99849180000000004</v>
      </c>
      <c r="Q5407">
        <v>2.6892880000000001E-2</v>
      </c>
      <c r="R5407">
        <v>-4.7865860000000003E-2</v>
      </c>
      <c r="S5407">
        <v>-2.9826350000000001</v>
      </c>
      <c r="T5407">
        <v>-0.165260299999999</v>
      </c>
      <c r="U5407">
        <v>-0.56483459999999996</v>
      </c>
      <c r="V5407">
        <v>-3.6135760000000003E-2</v>
      </c>
      <c r="W5407">
        <v>4.1049700000000001E-2</v>
      </c>
      <c r="X5407">
        <v>0.99850340000000004</v>
      </c>
      <c r="Y5407">
        <v>-0.1742186</v>
      </c>
      <c r="Z5407">
        <v>-4.1329619999999996E-3</v>
      </c>
      <c r="AA5407">
        <v>0.98469839999999997</v>
      </c>
      <c r="AB5407">
        <v>30</v>
      </c>
      <c r="AC5407">
        <v>-19.741599999999998</v>
      </c>
      <c r="AD5407">
        <v>-1.1107385903160001</v>
      </c>
      <c r="AE5407">
        <v>-3.7917000000000201</v>
      </c>
      <c r="AF5407">
        <v>-3.5476241368398602</v>
      </c>
      <c r="AG5407">
        <v>-1.1107385903160001</v>
      </c>
      <c r="AH5407">
        <v>19.724753382447101</v>
      </c>
      <c r="AI5407">
        <v>93.172237538429201</v>
      </c>
      <c r="AJ5407">
        <v>100.196006879941</v>
      </c>
      <c r="AK5407">
        <v>20.0720022227645</v>
      </c>
      <c r="AL5407">
        <v>87.647364290009804</v>
      </c>
      <c r="AM5407">
        <v>92.072625251664206</v>
      </c>
      <c r="AN5407">
        <v>0.99999995541621201</v>
      </c>
    </row>
    <row r="5408" spans="1:40" x14ac:dyDescent="0.25">
      <c r="A5408" t="str">
        <f>"20190312160442135"</f>
        <v>20190312160442135</v>
      </c>
      <c r="B5408" t="str">
        <f>"1552377882130261"</f>
        <v>1552377882130261</v>
      </c>
      <c r="C5408" t="s">
        <v>40</v>
      </c>
      <c r="D5408">
        <v>5.155519</v>
      </c>
      <c r="E5408">
        <v>0.44604909999999998</v>
      </c>
      <c r="F5408" t="s">
        <v>60</v>
      </c>
      <c r="G5408">
        <v>-406.46379999999999</v>
      </c>
      <c r="H5408" s="1">
        <v>-7.9167500000000001E-6</v>
      </c>
      <c r="I5408">
        <v>138.27709999999999</v>
      </c>
      <c r="J5408">
        <v>-386.42169999999999</v>
      </c>
      <c r="K5408">
        <v>1.1108579999999999</v>
      </c>
      <c r="L5408">
        <v>142.16370000000001</v>
      </c>
      <c r="M5408">
        <v>-0.99981730000000002</v>
      </c>
      <c r="N5408">
        <v>0</v>
      </c>
      <c r="O5408">
        <v>-1.2779199999999999E-2</v>
      </c>
      <c r="P5408">
        <v>-0.99843219999999999</v>
      </c>
      <c r="Q5408">
        <v>2.634359E-2</v>
      </c>
      <c r="R5408">
        <v>-4.939064E-2</v>
      </c>
      <c r="S5408">
        <v>-2.9815369999999999</v>
      </c>
      <c r="T5408">
        <v>-0.16285150000000001</v>
      </c>
      <c r="U5408">
        <v>-0.57049559999999999</v>
      </c>
      <c r="V5408">
        <v>-3.6695079999999998E-2</v>
      </c>
      <c r="W5408">
        <v>4.048653E-2</v>
      </c>
      <c r="X5408">
        <v>0.99850609999999995</v>
      </c>
      <c r="Y5408">
        <v>-0.17513199999999901</v>
      </c>
      <c r="Z5408">
        <v>-4.0453540000000001E-3</v>
      </c>
      <c r="AA5408">
        <v>0.98453659999999998</v>
      </c>
      <c r="AB5408">
        <v>29</v>
      </c>
      <c r="AC5408">
        <v>-20.042100000000001</v>
      </c>
      <c r="AD5408">
        <v>-1.1108659167499999</v>
      </c>
      <c r="AE5408">
        <v>-3.8866000000000098</v>
      </c>
      <c r="AF5408">
        <v>-3.61941842119335</v>
      </c>
      <c r="AG5408">
        <v>-1.1108659167499999</v>
      </c>
      <c r="AH5408">
        <v>20.030829088000001</v>
      </c>
      <c r="AI5408">
        <v>93.123764085443</v>
      </c>
      <c r="AJ5408">
        <v>100.24239520915199</v>
      </c>
      <c r="AK5408">
        <v>20.385493046412599</v>
      </c>
      <c r="AL5408">
        <v>87.679658646737394</v>
      </c>
      <c r="AM5408">
        <v>92.104671641940001</v>
      </c>
      <c r="AN5408">
        <v>1.0000000598724199</v>
      </c>
    </row>
    <row r="5409" spans="1:40" x14ac:dyDescent="0.25">
      <c r="A5409" t="str">
        <f>"20190312160442157"</f>
        <v>20190312160442157</v>
      </c>
      <c r="B5409" t="str">
        <f>"1552377882150758"</f>
        <v>1552377882150758</v>
      </c>
      <c r="C5409" t="s">
        <v>40</v>
      </c>
      <c r="D5409">
        <v>5.0631389999999996</v>
      </c>
      <c r="E5409">
        <v>0.44590220000000003</v>
      </c>
      <c r="F5409" t="s">
        <v>60</v>
      </c>
      <c r="G5409">
        <v>-407.75009999999997</v>
      </c>
      <c r="H5409" s="1">
        <v>-8.6225549999999996E-6</v>
      </c>
      <c r="I5409">
        <v>138.0598</v>
      </c>
      <c r="J5409">
        <v>-386.71609999999998</v>
      </c>
      <c r="K5409">
        <v>1.111002</v>
      </c>
      <c r="L5409">
        <v>142.15870000000001</v>
      </c>
      <c r="M5409">
        <v>-0.9998013</v>
      </c>
      <c r="N5409">
        <v>0</v>
      </c>
      <c r="O5409">
        <v>-1.39779E-2</v>
      </c>
      <c r="P5409">
        <v>-0.99835189999999996</v>
      </c>
      <c r="Q5409">
        <v>2.6226119999999999E-2</v>
      </c>
      <c r="R5409">
        <v>-5.1048580000000003E-2</v>
      </c>
      <c r="S5409">
        <v>-2.9804379999999999</v>
      </c>
      <c r="T5409">
        <v>-0.15523310000000001</v>
      </c>
      <c r="U5409">
        <v>-0.57347109999999901</v>
      </c>
      <c r="V5409">
        <v>-3.7170450000000001E-2</v>
      </c>
      <c r="W5409">
        <v>4.0354090000000002E-2</v>
      </c>
      <c r="X5409">
        <v>0.99849379999999999</v>
      </c>
      <c r="Y5409">
        <v>-0.1749896</v>
      </c>
      <c r="Z5409">
        <v>-3.791937E-3</v>
      </c>
      <c r="AA5409">
        <v>0.98456299999999997</v>
      </c>
      <c r="AB5409">
        <v>29</v>
      </c>
      <c r="AC5409">
        <v>-21.033999999999899</v>
      </c>
      <c r="AD5409">
        <v>-1.111010622555</v>
      </c>
      <c r="AE5409">
        <v>-4.0989000000000102</v>
      </c>
      <c r="AF5409">
        <v>-3.7942602033481601</v>
      </c>
      <c r="AG5409">
        <v>-1.111010622555</v>
      </c>
      <c r="AH5409">
        <v>21.032711550917199</v>
      </c>
      <c r="AI5409">
        <v>92.975778927645905</v>
      </c>
      <c r="AJ5409">
        <v>100.226063170144</v>
      </c>
      <c r="AK5409">
        <v>21.4010679705063</v>
      </c>
      <c r="AL5409">
        <v>87.687252925088799</v>
      </c>
      <c r="AM5409">
        <v>92.131938056088202</v>
      </c>
      <c r="AN5409">
        <v>0.99999998178568505</v>
      </c>
    </row>
    <row r="5410" spans="1:40" x14ac:dyDescent="0.25">
      <c r="A5410" t="str">
        <f>"20190312160442179"</f>
        <v>20190312160442179</v>
      </c>
      <c r="B5410" t="str">
        <f>"1552377882170279"</f>
        <v>1552377882170279</v>
      </c>
      <c r="C5410" t="s">
        <v>40</v>
      </c>
      <c r="D5410">
        <v>5.0357029999999998</v>
      </c>
      <c r="E5410">
        <v>0.44582189999999999</v>
      </c>
      <c r="F5410" t="s">
        <v>60</v>
      </c>
      <c r="G5410">
        <v>-408.0317</v>
      </c>
      <c r="H5410" s="1">
        <v>-8.7765770000000004E-6</v>
      </c>
      <c r="I5410">
        <v>138.0111</v>
      </c>
      <c r="J5410">
        <v>-387.00459999999998</v>
      </c>
      <c r="K5410">
        <v>1.111164</v>
      </c>
      <c r="L5410">
        <v>142.1532</v>
      </c>
      <c r="M5410">
        <v>-0.99978060000000002</v>
      </c>
      <c r="N5410">
        <v>0</v>
      </c>
      <c r="O5410">
        <v>-1.5385680000000001E-2</v>
      </c>
      <c r="P5410">
        <v>-0.99821599999999999</v>
      </c>
      <c r="Q5410">
        <v>2.6152870000000002E-2</v>
      </c>
      <c r="R5410">
        <v>-5.367533E-2</v>
      </c>
      <c r="S5410">
        <v>-2.9794010000000002</v>
      </c>
      <c r="T5410">
        <v>-0.15529219999999999</v>
      </c>
      <c r="U5410">
        <v>-0.5797272</v>
      </c>
      <c r="V5410">
        <v>-3.840847E-2</v>
      </c>
      <c r="W5410">
        <v>4.0262609999999997E-2</v>
      </c>
      <c r="X5410">
        <v>0.99845059999999997</v>
      </c>
      <c r="Y5410">
        <v>-0.17566039999999999</v>
      </c>
      <c r="Z5410">
        <v>-3.738641E-3</v>
      </c>
      <c r="AA5410">
        <v>0.98444370000000003</v>
      </c>
      <c r="AB5410">
        <v>29</v>
      </c>
      <c r="AC5410">
        <v>-21.027100000000001</v>
      </c>
      <c r="AD5410">
        <v>-1.1111727765770001</v>
      </c>
      <c r="AE5410">
        <v>-4.1420999999999903</v>
      </c>
      <c r="AF5410">
        <v>-3.8078242916586298</v>
      </c>
      <c r="AG5410">
        <v>-1.1111727765770001</v>
      </c>
      <c r="AH5410">
        <v>21.031807177255899</v>
      </c>
      <c r="AI5410">
        <v>92.976000869917598</v>
      </c>
      <c r="AJ5410">
        <v>100.262276729193</v>
      </c>
      <c r="AK5410">
        <v>21.402596662947801</v>
      </c>
      <c r="AL5410">
        <v>87.692498520207593</v>
      </c>
      <c r="AM5410">
        <v>92.202971977587794</v>
      </c>
      <c r="AN5410">
        <v>0.999999944486055</v>
      </c>
    </row>
    <row r="5411" spans="1:40" x14ac:dyDescent="0.25">
      <c r="A5411" t="str">
        <f>"20190312160442201"</f>
        <v>20190312160442201</v>
      </c>
      <c r="B5411" t="str">
        <f>"1552377882190774"</f>
        <v>1552377882190774</v>
      </c>
      <c r="C5411" t="s">
        <v>40</v>
      </c>
      <c r="D5411">
        <v>5.0360329999999998</v>
      </c>
      <c r="E5411">
        <v>0.44570789999999999</v>
      </c>
      <c r="F5411" t="s">
        <v>60</v>
      </c>
      <c r="G5411">
        <v>-408.12220000000002</v>
      </c>
      <c r="H5411" s="1">
        <v>-8.8210760000000003E-6</v>
      </c>
      <c r="I5411">
        <v>137.98410000000001</v>
      </c>
      <c r="J5411">
        <v>-387.29329999999999</v>
      </c>
      <c r="K5411">
        <v>1.1113489999999999</v>
      </c>
      <c r="L5411">
        <v>142.14699999999999</v>
      </c>
      <c r="M5411">
        <v>-0.99975369999999997</v>
      </c>
      <c r="N5411">
        <v>0</v>
      </c>
      <c r="O5411">
        <v>-1.7037409999999999E-2</v>
      </c>
      <c r="P5411">
        <v>-0.99799680000000002</v>
      </c>
      <c r="Q5411">
        <v>2.6206810000000001E-2</v>
      </c>
      <c r="R5411">
        <v>-5.758112E-2</v>
      </c>
      <c r="S5411">
        <v>-2.9779049999999998</v>
      </c>
      <c r="T5411">
        <v>-0.1566929</v>
      </c>
      <c r="U5411">
        <v>-0.58790589999999998</v>
      </c>
      <c r="V5411">
        <v>-4.0685499999999999E-2</v>
      </c>
      <c r="W5411">
        <v>4.0292149999999999E-2</v>
      </c>
      <c r="X5411">
        <v>0.99835929999999995</v>
      </c>
      <c r="Y5411">
        <v>-0.1767272</v>
      </c>
      <c r="Z5411">
        <v>-3.7150180000000001E-3</v>
      </c>
      <c r="AA5411">
        <v>0.98425289999999999</v>
      </c>
      <c r="AB5411">
        <v>29</v>
      </c>
      <c r="AC5411">
        <v>-20.828900000000001</v>
      </c>
      <c r="AD5411">
        <v>-1.111357821076</v>
      </c>
      <c r="AE5411">
        <v>-4.1628999999999996</v>
      </c>
      <c r="AF5411">
        <v>-3.7969947099092201</v>
      </c>
      <c r="AG5411">
        <v>-1.111357821076</v>
      </c>
      <c r="AH5411">
        <v>20.839758086995499</v>
      </c>
      <c r="AI5411">
        <v>93.003269922661204</v>
      </c>
      <c r="AJ5411">
        <v>100.325997047594</v>
      </c>
      <c r="AK5411">
        <v>21.211973084982901</v>
      </c>
      <c r="AL5411">
        <v>87.6908048248592</v>
      </c>
      <c r="AM5411">
        <v>92.333647070350494</v>
      </c>
      <c r="AN5411">
        <v>1.00000002957918</v>
      </c>
    </row>
    <row r="5412" spans="1:40" x14ac:dyDescent="0.25">
      <c r="A5412" t="str">
        <f>"20190312160442223"</f>
        <v>20190312160442223</v>
      </c>
      <c r="B5412" t="str">
        <f>"1552377882220057"</f>
        <v>1552377882220057</v>
      </c>
      <c r="C5412" t="s">
        <v>40</v>
      </c>
      <c r="D5412">
        <v>5.0334029999999998</v>
      </c>
      <c r="E5412">
        <v>0.44570399999999999</v>
      </c>
      <c r="F5412" t="s">
        <v>60</v>
      </c>
      <c r="G5412">
        <v>-408.13150000000002</v>
      </c>
      <c r="H5412" s="1">
        <v>-8.8097020000000002E-6</v>
      </c>
      <c r="I5412">
        <v>137.94470000000001</v>
      </c>
      <c r="J5412">
        <v>-387.58510000000001</v>
      </c>
      <c r="K5412">
        <v>1.111548</v>
      </c>
      <c r="L5412">
        <v>142.14009999999999</v>
      </c>
      <c r="M5412">
        <v>-0.99971900000000002</v>
      </c>
      <c r="N5412">
        <v>0</v>
      </c>
      <c r="O5412">
        <v>-1.896399E-2</v>
      </c>
      <c r="P5412">
        <v>-0.99774070000000004</v>
      </c>
      <c r="Q5412">
        <v>2.5475660000000001E-2</v>
      </c>
      <c r="R5412">
        <v>-6.2165089999999999E-2</v>
      </c>
      <c r="S5412">
        <v>-2.9755859999999998</v>
      </c>
      <c r="T5412">
        <v>-0.158695899999999</v>
      </c>
      <c r="U5412">
        <v>-0.60006709999999996</v>
      </c>
      <c r="V5412">
        <v>-4.3365899999999999E-2</v>
      </c>
      <c r="W5412">
        <v>3.9533619999999998E-2</v>
      </c>
      <c r="X5412">
        <v>0.99827679999999996</v>
      </c>
      <c r="Y5412">
        <v>-0.17883859999999999</v>
      </c>
      <c r="Z5412">
        <v>-3.7179740000000002E-3</v>
      </c>
      <c r="AA5412">
        <v>0.98387139999999995</v>
      </c>
      <c r="AB5412">
        <v>29</v>
      </c>
      <c r="AC5412">
        <v>-20.546399999999998</v>
      </c>
      <c r="AD5412">
        <v>-1.1115568097020001</v>
      </c>
      <c r="AE5412">
        <v>-4.19539999999997</v>
      </c>
      <c r="AF5412">
        <v>-3.7943035872229798</v>
      </c>
      <c r="AG5412">
        <v>-1.1115568097020001</v>
      </c>
      <c r="AH5412">
        <v>20.564494958405501</v>
      </c>
      <c r="AI5412">
        <v>93.042694978542301</v>
      </c>
      <c r="AJ5412">
        <v>100.45393146901201</v>
      </c>
      <c r="AK5412">
        <v>20.941125832855601</v>
      </c>
      <c r="AL5412">
        <v>87.734300071987306</v>
      </c>
      <c r="AM5412">
        <v>92.487408165875493</v>
      </c>
      <c r="AN5412">
        <v>1.00000003890567</v>
      </c>
    </row>
    <row r="5413" spans="1:40" x14ac:dyDescent="0.25">
      <c r="A5413" t="str">
        <f>"20190312160442246"</f>
        <v>20190312160442246</v>
      </c>
      <c r="B5413" t="str">
        <f>"1552377882240553"</f>
        <v>1552377882240553</v>
      </c>
      <c r="C5413" t="s">
        <v>40</v>
      </c>
      <c r="D5413">
        <v>5.0459509999999996</v>
      </c>
      <c r="E5413">
        <v>0.44559330000000003</v>
      </c>
      <c r="F5413" t="s">
        <v>60</v>
      </c>
      <c r="G5413">
        <v>-408.32900000000001</v>
      </c>
      <c r="H5413" s="1">
        <v>-8.8950769999999993E-6</v>
      </c>
      <c r="I5413">
        <v>137.8588</v>
      </c>
      <c r="J5413">
        <v>-387.88319999999999</v>
      </c>
      <c r="K5413">
        <v>1.111753</v>
      </c>
      <c r="L5413">
        <v>142.13210000000001</v>
      </c>
      <c r="M5413">
        <v>-0.99967399999999995</v>
      </c>
      <c r="N5413">
        <v>0</v>
      </c>
      <c r="O5413">
        <v>-2.1204629999999999E-2</v>
      </c>
      <c r="P5413">
        <v>-0.99744549999999998</v>
      </c>
      <c r="Q5413">
        <v>2.4612169999999999E-2</v>
      </c>
      <c r="R5413">
        <v>-6.7058160000000006E-2</v>
      </c>
      <c r="S5413">
        <v>-2.972626</v>
      </c>
      <c r="T5413">
        <v>-0.15928709999999999</v>
      </c>
      <c r="U5413">
        <v>-0.61351009999999995</v>
      </c>
      <c r="V5413">
        <v>-4.6042090000000001E-2</v>
      </c>
      <c r="W5413">
        <v>3.8639279999999998E-2</v>
      </c>
      <c r="X5413">
        <v>0.99819199999999997</v>
      </c>
      <c r="Y5413">
        <v>-0.18109239999999999</v>
      </c>
      <c r="Z5413">
        <v>-3.6748979999999998E-3</v>
      </c>
      <c r="AA5413">
        <v>0.98345919999999998</v>
      </c>
      <c r="AB5413">
        <v>29</v>
      </c>
      <c r="AC5413">
        <v>-20.445799999999998</v>
      </c>
      <c r="AD5413">
        <v>-1.1117618950770001</v>
      </c>
      <c r="AE5413">
        <v>-4.2732999999999999</v>
      </c>
      <c r="AF5413">
        <v>-3.82790505463247</v>
      </c>
      <c r="AG5413">
        <v>-1.1117618950770001</v>
      </c>
      <c r="AH5413">
        <v>20.4738225484368</v>
      </c>
      <c r="AI5413">
        <v>93.055361176155301</v>
      </c>
      <c r="AJ5413">
        <v>100.59008570619601</v>
      </c>
      <c r="AK5413">
        <v>20.858242528159099</v>
      </c>
      <c r="AL5413">
        <v>87.785581231920006</v>
      </c>
      <c r="AM5413">
        <v>92.640923764603599</v>
      </c>
      <c r="AN5413">
        <v>1.0000000684372401</v>
      </c>
    </row>
    <row r="5414" spans="1:40" x14ac:dyDescent="0.25">
      <c r="A5414" t="str">
        <f>"20190312160442268"</f>
        <v>20190312160442268</v>
      </c>
      <c r="B5414" t="str">
        <f>"1552377882260070"</f>
        <v>1552377882260070</v>
      </c>
      <c r="C5414" t="s">
        <v>40</v>
      </c>
      <c r="D5414">
        <v>5.0538629999999998</v>
      </c>
      <c r="E5414">
        <v>0.44562980000000002</v>
      </c>
      <c r="F5414" t="s">
        <v>60</v>
      </c>
      <c r="G5414">
        <v>-408.13080000000002</v>
      </c>
      <c r="H5414" s="1">
        <v>-8.7660879999999995E-6</v>
      </c>
      <c r="I5414">
        <v>137.846</v>
      </c>
      <c r="J5414">
        <v>-388.16849999999999</v>
      </c>
      <c r="K5414">
        <v>1.111944</v>
      </c>
      <c r="L5414">
        <v>142.12350000000001</v>
      </c>
      <c r="M5414">
        <v>-0.99961960000000005</v>
      </c>
      <c r="N5414">
        <v>0</v>
      </c>
      <c r="O5414">
        <v>-2.3624949999999999E-2</v>
      </c>
      <c r="P5414">
        <v>-0.99714080000000005</v>
      </c>
      <c r="Q5414">
        <v>2.33773E-2</v>
      </c>
      <c r="R5414">
        <v>-7.1862129999999996E-2</v>
      </c>
      <c r="S5414">
        <v>-2.9694210000000001</v>
      </c>
      <c r="T5414">
        <v>-0.1630462</v>
      </c>
      <c r="U5414">
        <v>-0.62858579999999997</v>
      </c>
      <c r="V5414">
        <v>-4.8446530000000002E-2</v>
      </c>
      <c r="W5414">
        <v>3.737468E-2</v>
      </c>
      <c r="X5414">
        <v>0.99812630000000002</v>
      </c>
      <c r="Y5414">
        <v>-0.18369360000000001</v>
      </c>
      <c r="Z5414">
        <v>-3.7029559999999999E-3</v>
      </c>
      <c r="AA5414">
        <v>0.98297659999999998</v>
      </c>
      <c r="AB5414">
        <v>29</v>
      </c>
      <c r="AC5414">
        <v>-19.962299999999999</v>
      </c>
      <c r="AD5414">
        <v>-1.111952766088</v>
      </c>
      <c r="AE5414">
        <v>-4.2774999999999999</v>
      </c>
      <c r="AF5414">
        <v>-3.7933963875157302</v>
      </c>
      <c r="AG5414">
        <v>-1.111952766088</v>
      </c>
      <c r="AH5414">
        <v>19.9984662929789</v>
      </c>
      <c r="AI5414">
        <v>93.126836070383803</v>
      </c>
      <c r="AJ5414">
        <v>100.74051165224201</v>
      </c>
      <c r="AK5414">
        <v>20.3854102038257</v>
      </c>
      <c r="AL5414">
        <v>87.858089764170501</v>
      </c>
      <c r="AM5414">
        <v>92.778811627624506</v>
      </c>
      <c r="AN5414">
        <v>1.0000000218629099</v>
      </c>
    </row>
    <row r="5415" spans="1:40" x14ac:dyDescent="0.25">
      <c r="A5415" t="str">
        <f>"20190312160442291"</f>
        <v>20190312160442291</v>
      </c>
      <c r="B5415" t="str">
        <f>"1552377882280566"</f>
        <v>1552377882280566</v>
      </c>
      <c r="C5415" t="s">
        <v>40</v>
      </c>
      <c r="D5415">
        <v>5.0246420000000001</v>
      </c>
      <c r="E5415">
        <v>0.44572689999999998</v>
      </c>
      <c r="F5415" t="s">
        <v>60</v>
      </c>
      <c r="G5415">
        <v>-407.77800000000002</v>
      </c>
      <c r="H5415" s="1">
        <v>-8.5612459999999994E-6</v>
      </c>
      <c r="I5415">
        <v>137.87989999999999</v>
      </c>
      <c r="J5415">
        <v>-388.45600000000002</v>
      </c>
      <c r="K5415">
        <v>1.112123</v>
      </c>
      <c r="L5415">
        <v>142.1139</v>
      </c>
      <c r="M5415">
        <v>-0.99955240000000001</v>
      </c>
      <c r="N5415">
        <v>0</v>
      </c>
      <c r="O5415">
        <v>-2.6314000000000001E-2</v>
      </c>
      <c r="P5415">
        <v>-0.99680170000000001</v>
      </c>
      <c r="Q5415">
        <v>2.2666430000000001E-2</v>
      </c>
      <c r="R5415">
        <v>-7.6636449999999995E-2</v>
      </c>
      <c r="S5415">
        <v>-2.966278</v>
      </c>
      <c r="T5415">
        <v>-0.1682022</v>
      </c>
      <c r="U5415">
        <v>-0.64192199999999999</v>
      </c>
      <c r="V5415">
        <v>-5.0555759999999998E-2</v>
      </c>
      <c r="W5415">
        <v>3.6635139999999997E-2</v>
      </c>
      <c r="X5415">
        <v>0.99804910000000002</v>
      </c>
      <c r="Y5415">
        <v>-0.1854721</v>
      </c>
      <c r="Z5415">
        <v>-3.7214800000000001E-3</v>
      </c>
      <c r="AA5415">
        <v>0.98264249999999997</v>
      </c>
      <c r="AB5415">
        <v>29</v>
      </c>
      <c r="AC5415">
        <v>-19.321999999999999</v>
      </c>
      <c r="AD5415">
        <v>-1.1121315612460001</v>
      </c>
      <c r="AE5415">
        <v>-4.234</v>
      </c>
      <c r="AF5415">
        <v>-3.7123079509512902</v>
      </c>
      <c r="AG5415">
        <v>-1.1121315612460001</v>
      </c>
      <c r="AH5415">
        <v>19.365516170476401</v>
      </c>
      <c r="AI5415">
        <v>93.228147012675294</v>
      </c>
      <c r="AJ5415">
        <v>100.85177129875299</v>
      </c>
      <c r="AK5415">
        <v>19.7494628656376</v>
      </c>
      <c r="AL5415">
        <v>87.900491306177898</v>
      </c>
      <c r="AM5415">
        <v>92.899815258628493</v>
      </c>
      <c r="AN5415">
        <v>1.0000000121814001</v>
      </c>
    </row>
    <row r="5416" spans="1:40" x14ac:dyDescent="0.25">
      <c r="A5416" t="str">
        <f>"20190312160442313"</f>
        <v>20190312160442313</v>
      </c>
      <c r="B5416" t="str">
        <f>"1552377882300087"</f>
        <v>1552377882300087</v>
      </c>
      <c r="C5416" t="s">
        <v>40</v>
      </c>
      <c r="D5416">
        <v>5.0491799999999998</v>
      </c>
      <c r="E5416">
        <v>0.44579550000000001</v>
      </c>
      <c r="F5416" t="s">
        <v>60</v>
      </c>
      <c r="G5416">
        <v>-407.42619999999999</v>
      </c>
      <c r="H5416" s="1">
        <v>-8.3615979999999992E-6</v>
      </c>
      <c r="I5416">
        <v>137.92420000000001</v>
      </c>
      <c r="J5416">
        <v>-388.75200000000001</v>
      </c>
      <c r="K5416">
        <v>1.11229</v>
      </c>
      <c r="L5416">
        <v>142.10290000000001</v>
      </c>
      <c r="M5416">
        <v>-0.99946979999999996</v>
      </c>
      <c r="N5416">
        <v>0</v>
      </c>
      <c r="O5416">
        <v>-2.9285269999999999E-2</v>
      </c>
      <c r="P5416">
        <v>-0.99640200000000001</v>
      </c>
      <c r="Q5416">
        <v>2.1591599999999999E-2</v>
      </c>
      <c r="R5416">
        <v>-8.1956769999999998E-2</v>
      </c>
      <c r="S5416">
        <v>-2.9632869999999998</v>
      </c>
      <c r="T5416">
        <v>-0.17372360000000001</v>
      </c>
      <c r="U5416">
        <v>-0.65446470000000001</v>
      </c>
      <c r="V5416">
        <v>-5.2925840000000002E-2</v>
      </c>
      <c r="W5416">
        <v>3.5531020000000003E-2</v>
      </c>
      <c r="X5416">
        <v>0.99796609999999997</v>
      </c>
      <c r="Y5416">
        <v>-0.18671160000000001</v>
      </c>
      <c r="Z5416">
        <v>-3.7097240000000002E-3</v>
      </c>
      <c r="AA5416">
        <v>0.98240769999999999</v>
      </c>
      <c r="AB5416">
        <v>29</v>
      </c>
      <c r="AC5416">
        <v>-18.674199999999999</v>
      </c>
      <c r="AD5416">
        <v>-1.112298361598</v>
      </c>
      <c r="AE5416">
        <v>-4.1786999999999903</v>
      </c>
      <c r="AF5416">
        <v>-3.6177500005009802</v>
      </c>
      <c r="AG5416">
        <v>-1.112298361598</v>
      </c>
      <c r="AH5416">
        <v>18.725309954259099</v>
      </c>
      <c r="AI5416">
        <v>93.337839534608094</v>
      </c>
      <c r="AJ5416">
        <v>100.93488038564399</v>
      </c>
      <c r="AK5416">
        <v>19.103993184526001</v>
      </c>
      <c r="AL5416">
        <v>87.963793856441796</v>
      </c>
      <c r="AM5416">
        <v>93.035763511372807</v>
      </c>
      <c r="AN5416">
        <v>0.99999996733557694</v>
      </c>
    </row>
    <row r="5417" spans="1:40" x14ac:dyDescent="0.25">
      <c r="A5417" t="str">
        <f>"20190312160442337"</f>
        <v>20190312160442337</v>
      </c>
      <c r="B5417" t="str">
        <f>"1552377882330345"</f>
        <v>1552377882330345</v>
      </c>
      <c r="C5417" t="s">
        <v>40</v>
      </c>
      <c r="D5417">
        <v>5.0223589999999998</v>
      </c>
      <c r="E5417">
        <v>0.445934</v>
      </c>
      <c r="F5417" t="s">
        <v>60</v>
      </c>
      <c r="G5417">
        <v>-407.45960000000002</v>
      </c>
      <c r="H5417" s="1">
        <v>-8.3590590000000005E-6</v>
      </c>
      <c r="I5417">
        <v>137.8707</v>
      </c>
      <c r="J5417">
        <v>-389.04770000000002</v>
      </c>
      <c r="K5417">
        <v>1.1124320000000001</v>
      </c>
      <c r="L5417">
        <v>142.0909</v>
      </c>
      <c r="M5417">
        <v>-0.99937189999999998</v>
      </c>
      <c r="N5417">
        <v>0</v>
      </c>
      <c r="O5417">
        <v>-3.24447E-2</v>
      </c>
      <c r="P5417">
        <v>-0.99606939999999999</v>
      </c>
      <c r="Q5417">
        <v>2.112779E-2</v>
      </c>
      <c r="R5417">
        <v>-8.6018230000000001E-2</v>
      </c>
      <c r="S5417">
        <v>-2.9595639999999999</v>
      </c>
      <c r="T5417">
        <v>-0.17596609999999999</v>
      </c>
      <c r="U5417">
        <v>-0.66954040000000004</v>
      </c>
      <c r="V5417">
        <v>-5.384945E-2</v>
      </c>
      <c r="W5417">
        <v>3.5046380000000002E-2</v>
      </c>
      <c r="X5417">
        <v>0.99793390000000004</v>
      </c>
      <c r="Y5417">
        <v>-0.18862699999999999</v>
      </c>
      <c r="Z5417">
        <v>-3.6313090000000001E-3</v>
      </c>
      <c r="AA5417">
        <v>0.98204210000000003</v>
      </c>
      <c r="AB5417">
        <v>29</v>
      </c>
      <c r="AC5417">
        <v>-18.411899999999999</v>
      </c>
      <c r="AD5417">
        <v>-1.112440359059</v>
      </c>
      <c r="AE5417">
        <v>-4.2202000000000002</v>
      </c>
      <c r="AF5417">
        <v>-3.6080346849654701</v>
      </c>
      <c r="AG5417">
        <v>-1.112440359059</v>
      </c>
      <c r="AH5417">
        <v>18.4750644204053</v>
      </c>
      <c r="AI5417">
        <v>93.382056319149896</v>
      </c>
      <c r="AJ5417">
        <v>101.050332800486</v>
      </c>
      <c r="AK5417">
        <v>18.8569202994154</v>
      </c>
      <c r="AL5417">
        <v>87.991579136692394</v>
      </c>
      <c r="AM5417">
        <v>93.088738458127395</v>
      </c>
      <c r="AN5417">
        <v>1.0000000403928</v>
      </c>
    </row>
    <row r="5418" spans="1:40" x14ac:dyDescent="0.25">
      <c r="A5418" t="str">
        <f>"20190312160442358"</f>
        <v>20190312160442358</v>
      </c>
      <c r="B5418" t="str">
        <f>"1552377882350838"</f>
        <v>1552377882350838</v>
      </c>
      <c r="C5418" t="s">
        <v>40</v>
      </c>
      <c r="D5418">
        <v>5.0117320000000003</v>
      </c>
      <c r="E5418">
        <v>0.44609330000000003</v>
      </c>
      <c r="F5418" t="s">
        <v>60</v>
      </c>
      <c r="G5418">
        <v>-407.34100000000001</v>
      </c>
      <c r="H5418" s="1">
        <v>-8.2900209999999993E-6</v>
      </c>
      <c r="I5418">
        <v>137.8817</v>
      </c>
      <c r="J5418">
        <v>-389.32639999999998</v>
      </c>
      <c r="K5418">
        <v>1.1125620000000001</v>
      </c>
      <c r="L5418">
        <v>142.07859999999999</v>
      </c>
      <c r="M5418">
        <v>-0.99926470000000001</v>
      </c>
      <c r="N5418">
        <v>0</v>
      </c>
      <c r="O5418">
        <v>-3.5594269999999997E-2</v>
      </c>
      <c r="P5418">
        <v>-0.99561060000000001</v>
      </c>
      <c r="Q5418">
        <v>2.0496739999999999E-2</v>
      </c>
      <c r="R5418">
        <v>-9.1320280000000004E-2</v>
      </c>
      <c r="S5418">
        <v>-2.956909</v>
      </c>
      <c r="T5418">
        <v>-0.17981359999999999</v>
      </c>
      <c r="U5418">
        <v>-0.68037409999999998</v>
      </c>
      <c r="V5418">
        <v>-5.6025239999999997E-2</v>
      </c>
      <c r="W5418">
        <v>3.4387790000000001E-2</v>
      </c>
      <c r="X5418">
        <v>0.99783699999999997</v>
      </c>
      <c r="Y5418">
        <v>-0.18913460000000001</v>
      </c>
      <c r="Z5418">
        <v>-3.539108E-3</v>
      </c>
      <c r="AA5418">
        <v>0.98194479999999995</v>
      </c>
      <c r="AB5418">
        <v>29</v>
      </c>
      <c r="AC5418">
        <v>-18.014600000000002</v>
      </c>
      <c r="AD5418">
        <v>-1.1125702900209999</v>
      </c>
      <c r="AE5418">
        <v>-4.1968999999999896</v>
      </c>
      <c r="AF5418">
        <v>-3.5401505604027599</v>
      </c>
      <c r="AG5418">
        <v>-1.1125702900209999</v>
      </c>
      <c r="AH5418">
        <v>18.087146310306402</v>
      </c>
      <c r="AI5418">
        <v>93.454538039247396</v>
      </c>
      <c r="AJ5418">
        <v>101.07435508963999</v>
      </c>
      <c r="AK5418">
        <v>18.463892880186101</v>
      </c>
      <c r="AL5418">
        <v>88.029336270238304</v>
      </c>
      <c r="AM5418">
        <v>93.213594035871495</v>
      </c>
      <c r="AN5418">
        <v>1.00000001309357</v>
      </c>
    </row>
    <row r="5419" spans="1:40" x14ac:dyDescent="0.25">
      <c r="A5419" t="str">
        <f>"20190312160442373"</f>
        <v>20190312160442373</v>
      </c>
      <c r="B5419" t="str">
        <f>"1552377882360599"</f>
        <v>1552377882360599</v>
      </c>
      <c r="C5419" t="s">
        <v>40</v>
      </c>
      <c r="D5419">
        <v>5.0318199999999997</v>
      </c>
      <c r="E5419">
        <v>0.44617129999999999</v>
      </c>
      <c r="F5419" t="s">
        <v>60</v>
      </c>
      <c r="G5419">
        <v>-407.12709999999998</v>
      </c>
      <c r="H5419" s="1">
        <v>-8.1626060000000002E-6</v>
      </c>
      <c r="I5419">
        <v>137.89490000000001</v>
      </c>
      <c r="J5419">
        <v>-389.51530000000002</v>
      </c>
      <c r="K5419">
        <v>1.1126469999999999</v>
      </c>
      <c r="L5419">
        <v>142.06960000000001</v>
      </c>
      <c r="M5419">
        <v>-0.99918300000000004</v>
      </c>
      <c r="N5419">
        <v>0</v>
      </c>
      <c r="O5419">
        <v>-3.7818539999999998E-2</v>
      </c>
      <c r="P5419">
        <v>-0.99531389999999997</v>
      </c>
      <c r="Q5419">
        <v>2.0347529999999999E-2</v>
      </c>
      <c r="R5419">
        <v>-9.4533160000000005E-2</v>
      </c>
      <c r="S5419">
        <v>-2.9533390000000002</v>
      </c>
      <c r="T5419">
        <v>-0.18458840000000001</v>
      </c>
      <c r="U5419">
        <v>-0.69412229999999997</v>
      </c>
      <c r="V5419">
        <v>-5.7030440000000002E-2</v>
      </c>
      <c r="W5419">
        <v>3.4222889999999999E-2</v>
      </c>
      <c r="X5419">
        <v>0.9977857</v>
      </c>
      <c r="Y5419">
        <v>-0.191529</v>
      </c>
      <c r="Z5419">
        <v>-3.5724189999999999E-3</v>
      </c>
      <c r="AA5419">
        <v>0.98148049999999998</v>
      </c>
      <c r="AB5419">
        <v>29</v>
      </c>
      <c r="AC5419">
        <v>-17.611799999999899</v>
      </c>
      <c r="AD5419">
        <v>-1.1126551626059999</v>
      </c>
      <c r="AE5419">
        <v>-4.1746999999999996</v>
      </c>
      <c r="AF5419">
        <v>-3.4923950747444401</v>
      </c>
      <c r="AG5419">
        <v>-1.1126551626059999</v>
      </c>
      <c r="AH5419">
        <v>17.690244702829201</v>
      </c>
      <c r="AI5419">
        <v>93.530991461213105</v>
      </c>
      <c r="AJ5419">
        <v>101.16768396913299</v>
      </c>
      <c r="AK5419">
        <v>18.065978592784599</v>
      </c>
      <c r="AL5419">
        <v>88.038789863685906</v>
      </c>
      <c r="AM5419">
        <v>93.271295768325004</v>
      </c>
      <c r="AN5419">
        <v>0.999999990205517</v>
      </c>
    </row>
    <row r="5420" spans="1:40" x14ac:dyDescent="0.25">
      <c r="A5420" t="str">
        <f>"20190312160442385"</f>
        <v>20190312160442385</v>
      </c>
      <c r="B5420" t="str">
        <f>"1552377882380117"</f>
        <v>1552377882380117</v>
      </c>
      <c r="C5420" t="s">
        <v>40</v>
      </c>
      <c r="D5420">
        <v>5.0792739999999998</v>
      </c>
      <c r="E5420">
        <v>0.44627289999999997</v>
      </c>
      <c r="F5420" t="s">
        <v>60</v>
      </c>
      <c r="G5420">
        <v>-407.38400000000001</v>
      </c>
      <c r="H5420" s="1">
        <v>-8.2870060000000002E-6</v>
      </c>
      <c r="I5420">
        <v>137.81360000000001</v>
      </c>
      <c r="J5420">
        <v>-389.68169999999998</v>
      </c>
      <c r="K5420">
        <v>1.112724</v>
      </c>
      <c r="L5420">
        <v>142.06139999999999</v>
      </c>
      <c r="M5420">
        <v>-0.99910469999999896</v>
      </c>
      <c r="N5420">
        <v>0</v>
      </c>
      <c r="O5420">
        <v>-3.9835330000000002E-2</v>
      </c>
      <c r="P5420">
        <v>-0.9950234</v>
      </c>
      <c r="Q5420">
        <v>2.0017210000000001E-2</v>
      </c>
      <c r="R5420">
        <v>-9.7612400000000002E-2</v>
      </c>
      <c r="S5420">
        <v>-2.951111</v>
      </c>
      <c r="T5420">
        <v>-0.18376049999999999</v>
      </c>
      <c r="U5420">
        <v>-0.70291139999999996</v>
      </c>
      <c r="V5420">
        <v>-5.8109210000000001E-2</v>
      </c>
      <c r="W5420">
        <v>3.3876919999999998E-2</v>
      </c>
      <c r="X5420">
        <v>0.99773529999999999</v>
      </c>
      <c r="Y5420">
        <v>-0.1924852</v>
      </c>
      <c r="Z5420">
        <v>-3.4638030000000001E-3</v>
      </c>
      <c r="AA5420">
        <v>0.98129370000000005</v>
      </c>
      <c r="AB5420">
        <v>29</v>
      </c>
      <c r="AC5420">
        <v>-17.702300000000001</v>
      </c>
      <c r="AD5420">
        <v>-1.1127322870059999</v>
      </c>
      <c r="AE5420">
        <v>-4.2477999999999803</v>
      </c>
      <c r="AF5420">
        <v>-3.52600590959839</v>
      </c>
      <c r="AG5420">
        <v>-1.1127322870059999</v>
      </c>
      <c r="AH5420">
        <v>17.791008259034001</v>
      </c>
      <c r="AI5420">
        <v>93.510771736059496</v>
      </c>
      <c r="AJ5420">
        <v>101.210199699602</v>
      </c>
      <c r="AK5420">
        <v>18.171154770407</v>
      </c>
      <c r="AL5420">
        <v>88.058624058249606</v>
      </c>
      <c r="AM5420">
        <v>93.333204349370106</v>
      </c>
      <c r="AN5420">
        <v>1.0000000274307901</v>
      </c>
    </row>
    <row r="5421" spans="1:40" x14ac:dyDescent="0.25">
      <c r="A5421" t="str">
        <f>"20190312160442403"</f>
        <v>20190312160442403</v>
      </c>
      <c r="B5421" t="str">
        <f>"1552377882390855"</f>
        <v>1552377882390855</v>
      </c>
      <c r="C5421" t="s">
        <v>40</v>
      </c>
      <c r="D5421">
        <v>4.9978899999999999</v>
      </c>
      <c r="E5421">
        <v>0.44637189999999999</v>
      </c>
      <c r="F5421" t="s">
        <v>60</v>
      </c>
      <c r="G5421">
        <v>-407.52820000000003</v>
      </c>
      <c r="H5421" s="1">
        <v>-8.3528689999999995E-6</v>
      </c>
      <c r="I5421">
        <v>137.75890000000001</v>
      </c>
      <c r="J5421">
        <v>-389.90469999999999</v>
      </c>
      <c r="K5421">
        <v>1.1128279999999999</v>
      </c>
      <c r="L5421">
        <v>142.0496</v>
      </c>
      <c r="M5421">
        <v>-0.99898849999999995</v>
      </c>
      <c r="N5421">
        <v>0</v>
      </c>
      <c r="O5421">
        <v>-4.2645620000000002E-2</v>
      </c>
      <c r="P5421">
        <v>-0.99450669999999997</v>
      </c>
      <c r="Q5421">
        <v>1.9379730000000001E-2</v>
      </c>
      <c r="R5421">
        <v>-0.1028631</v>
      </c>
      <c r="S5421">
        <v>-2.9489749999999999</v>
      </c>
      <c r="T5421">
        <v>-0.18386920000000001</v>
      </c>
      <c r="U5421">
        <v>-0.71095280000000005</v>
      </c>
      <c r="V5421">
        <v>-6.0573370000000001E-2</v>
      </c>
      <c r="W5421">
        <v>3.3210669999999998E-2</v>
      </c>
      <c r="X5421">
        <v>0.99761109999999997</v>
      </c>
      <c r="Y5421">
        <v>-0.19242039999999999</v>
      </c>
      <c r="Z5421">
        <v>-3.2931710000000001E-3</v>
      </c>
      <c r="AA5421">
        <v>0.98130709999999999</v>
      </c>
      <c r="AB5421">
        <v>29</v>
      </c>
      <c r="AC5421">
        <v>-17.6235</v>
      </c>
      <c r="AD5421">
        <v>-1.112836352869</v>
      </c>
      <c r="AE5421">
        <v>-4.2906999999999798</v>
      </c>
      <c r="AF5421">
        <v>-3.5218972596000602</v>
      </c>
      <c r="AG5421">
        <v>-1.112836352869</v>
      </c>
      <c r="AH5421">
        <v>17.723746888995201</v>
      </c>
      <c r="AI5421">
        <v>93.524041074280603</v>
      </c>
      <c r="AJ5421">
        <v>101.238881883723</v>
      </c>
      <c r="AK5421">
        <v>18.104512388921499</v>
      </c>
      <c r="AL5421">
        <v>88.096818802114697</v>
      </c>
      <c r="AM5421">
        <v>93.474643387983505</v>
      </c>
      <c r="AN5421">
        <v>0.99999999429910702</v>
      </c>
    </row>
    <row r="5422" spans="1:40" x14ac:dyDescent="0.25">
      <c r="A5422" t="str">
        <f>"20190312160442425"</f>
        <v>20190312160442425</v>
      </c>
      <c r="B5422" t="str">
        <f>"1552377882420134"</f>
        <v>1552377882420134</v>
      </c>
      <c r="C5422" t="s">
        <v>40</v>
      </c>
      <c r="D5422">
        <v>5.0416639999999999</v>
      </c>
      <c r="E5422">
        <v>0.44663920000000001</v>
      </c>
      <c r="F5422" t="s">
        <v>60</v>
      </c>
      <c r="G5422">
        <v>-407.45639999999997</v>
      </c>
      <c r="H5422" s="1">
        <v>-8.2937929999999993E-6</v>
      </c>
      <c r="I5422">
        <v>137.726</v>
      </c>
      <c r="J5422">
        <v>-390.19470000000001</v>
      </c>
      <c r="K5422">
        <v>1.1129800000000001</v>
      </c>
      <c r="L5422">
        <v>142.03319999999999</v>
      </c>
      <c r="M5422">
        <v>-0.99881889999999995</v>
      </c>
      <c r="N5422">
        <v>0</v>
      </c>
      <c r="O5422">
        <v>-4.6449560000000001E-2</v>
      </c>
      <c r="P5422">
        <v>-0.99383670000000002</v>
      </c>
      <c r="Q5422">
        <v>1.9695399999999998E-2</v>
      </c>
      <c r="R5422">
        <v>-0.10909190000000001</v>
      </c>
      <c r="S5422">
        <v>-2.9451900000000002</v>
      </c>
      <c r="T5422">
        <v>-0.18673490000000001</v>
      </c>
      <c r="U5422">
        <v>-0.72549439999999998</v>
      </c>
      <c r="V5422">
        <v>-6.3039570000000003E-2</v>
      </c>
      <c r="W5422">
        <v>3.3491369999999999E-2</v>
      </c>
      <c r="X5422">
        <v>0.99744889999999997</v>
      </c>
      <c r="Y5422">
        <v>-0.1935402</v>
      </c>
      <c r="Z5422">
        <v>-3.145049E-3</v>
      </c>
      <c r="AA5422">
        <v>0.9810873</v>
      </c>
      <c r="AB5422">
        <v>29</v>
      </c>
      <c r="AC5422">
        <v>-17.261699999999902</v>
      </c>
      <c r="AD5422">
        <v>-1.11298829379299</v>
      </c>
      <c r="AE5422">
        <v>-4.3071999999999901</v>
      </c>
      <c r="AF5422">
        <v>-3.4870231562766598</v>
      </c>
      <c r="AG5422">
        <v>-1.11298829379299</v>
      </c>
      <c r="AH5422">
        <v>17.375152110495598</v>
      </c>
      <c r="AI5422">
        <v>93.593686406457195</v>
      </c>
      <c r="AJ5422">
        <v>101.34795326776501</v>
      </c>
      <c r="AK5422">
        <v>17.756519487145901</v>
      </c>
      <c r="AL5422">
        <v>88.080726904361995</v>
      </c>
      <c r="AM5422">
        <v>93.616329358231496</v>
      </c>
      <c r="AN5422">
        <v>0.99999998368073495</v>
      </c>
    </row>
    <row r="5423" spans="1:40" x14ac:dyDescent="0.25">
      <c r="A5423" t="str">
        <f>"20190312160442449"</f>
        <v>20190312160442449</v>
      </c>
      <c r="B5423" t="str">
        <f>"1552377882440630"</f>
        <v>1552377882440630</v>
      </c>
      <c r="C5423" t="s">
        <v>40</v>
      </c>
      <c r="D5423">
        <v>5.0842080000000003</v>
      </c>
      <c r="E5423">
        <v>0.44688480000000003</v>
      </c>
      <c r="F5423" t="s">
        <v>60</v>
      </c>
      <c r="G5423">
        <v>-407.71409999999997</v>
      </c>
      <c r="H5423" s="1">
        <v>-8.4062030000000008E-6</v>
      </c>
      <c r="I5423">
        <v>137.61609999999999</v>
      </c>
      <c r="J5423">
        <v>-390.48239999999998</v>
      </c>
      <c r="K5423">
        <v>1.11313</v>
      </c>
      <c r="L5423">
        <v>142.01560000000001</v>
      </c>
      <c r="M5423">
        <v>-0.99862669999999998</v>
      </c>
      <c r="N5423">
        <v>0</v>
      </c>
      <c r="O5423">
        <v>-5.0412829999999999E-2</v>
      </c>
      <c r="P5423">
        <v>-0.99311749999999999</v>
      </c>
      <c r="Q5423">
        <v>2.0672980000000001E-2</v>
      </c>
      <c r="R5423">
        <v>-0.1152857</v>
      </c>
      <c r="S5423">
        <v>-2.9409179999999999</v>
      </c>
      <c r="T5423">
        <v>-0.1868329</v>
      </c>
      <c r="U5423">
        <v>-0.74148559999999997</v>
      </c>
      <c r="V5423">
        <v>-6.5320290000000003E-2</v>
      </c>
      <c r="W5423">
        <v>3.4434970000000002E-2</v>
      </c>
      <c r="X5423">
        <v>0.99726999999999999</v>
      </c>
      <c r="Y5423">
        <v>-0.19500429999999999</v>
      </c>
      <c r="Z5423">
        <v>-2.9481989999999999E-3</v>
      </c>
      <c r="AA5423">
        <v>0.9807979</v>
      </c>
      <c r="AB5423">
        <v>29</v>
      </c>
      <c r="AC5423">
        <v>-17.231699999999901</v>
      </c>
      <c r="AD5423">
        <v>-1.1131384062030001</v>
      </c>
      <c r="AE5423">
        <v>-4.3995000000000104</v>
      </c>
      <c r="AF5423">
        <v>-3.5113616722996999</v>
      </c>
      <c r="AG5423">
        <v>-1.1131384062030001</v>
      </c>
      <c r="AH5423">
        <v>17.363575580672499</v>
      </c>
      <c r="AI5423">
        <v>93.595493621733098</v>
      </c>
      <c r="AJ5423">
        <v>101.43249971767899</v>
      </c>
      <c r="AK5423">
        <v>17.7499998549517</v>
      </c>
      <c r="AL5423">
        <v>88.0266313884852</v>
      </c>
      <c r="AM5423">
        <v>93.747469208805896</v>
      </c>
      <c r="AN5423">
        <v>0.99999998017229197</v>
      </c>
    </row>
    <row r="5424" spans="1:40" x14ac:dyDescent="0.25">
      <c r="A5424" t="str">
        <f>"20190312160442469"</f>
        <v>20190312160442469</v>
      </c>
      <c r="B5424" t="str">
        <f>"1552377882460150"</f>
        <v>1552377882460150</v>
      </c>
      <c r="C5424" t="s">
        <v>40</v>
      </c>
      <c r="D5424">
        <v>5.0810930000000001</v>
      </c>
      <c r="E5424">
        <v>0.45208520000000002</v>
      </c>
      <c r="F5424" t="s">
        <v>60</v>
      </c>
      <c r="G5424">
        <v>-408.37790000000001</v>
      </c>
      <c r="H5424" s="1">
        <v>-8.7245269999999998E-6</v>
      </c>
      <c r="I5424">
        <v>137.3989</v>
      </c>
      <c r="J5424">
        <v>-390.76580000000001</v>
      </c>
      <c r="K5424">
        <v>1.11327</v>
      </c>
      <c r="L5424">
        <v>141.99690000000001</v>
      </c>
      <c r="M5424">
        <v>-0.99841120000000005</v>
      </c>
      <c r="N5424">
        <v>0</v>
      </c>
      <c r="O5424">
        <v>-5.4507960000000001E-2</v>
      </c>
      <c r="P5424">
        <v>-0.99232109999999996</v>
      </c>
      <c r="Q5424">
        <v>2.1869360000000001E-2</v>
      </c>
      <c r="R5424">
        <v>-0.1217403</v>
      </c>
      <c r="S5424">
        <v>-2.9366460000000001</v>
      </c>
      <c r="T5424">
        <v>-0.18266479999999999</v>
      </c>
      <c r="U5424">
        <v>-0.75759889999999996</v>
      </c>
      <c r="V5424">
        <v>-6.7737339999999993E-2</v>
      </c>
      <c r="W5424">
        <v>3.5595349999999998E-2</v>
      </c>
      <c r="X5424">
        <v>0.99706799999999995</v>
      </c>
      <c r="Y5424">
        <v>-0.19638920000000001</v>
      </c>
      <c r="Z5424">
        <v>-2.6778050000000001E-3</v>
      </c>
      <c r="AA5424">
        <v>0.98052229999999996</v>
      </c>
      <c r="AB5424">
        <v>29</v>
      </c>
      <c r="AC5424">
        <v>-17.612099999999899</v>
      </c>
      <c r="AD5424">
        <v>-1.1132787245269999</v>
      </c>
      <c r="AE5424">
        <v>-4.5980000000000096</v>
      </c>
      <c r="AF5424">
        <v>-3.6175333458505698</v>
      </c>
      <c r="AG5424">
        <v>-1.1132787245269999</v>
      </c>
      <c r="AH5424">
        <v>17.770092382502298</v>
      </c>
      <c r="AI5424">
        <v>93.512970673334806</v>
      </c>
      <c r="AJ5424">
        <v>101.50670972823799</v>
      </c>
      <c r="AK5424">
        <v>18.1687126761774</v>
      </c>
      <c r="AL5424">
        <v>87.960105724699602</v>
      </c>
      <c r="AM5424">
        <v>93.886504558081697</v>
      </c>
      <c r="AN5424">
        <v>0.99999998639794796</v>
      </c>
    </row>
    <row r="5425" spans="1:40" x14ac:dyDescent="0.25">
      <c r="A5425" t="str">
        <f>"20190312160442493"</f>
        <v>20190312160442493</v>
      </c>
      <c r="B5425" t="str">
        <f>"1552377882480646"</f>
        <v>1552377882480646</v>
      </c>
      <c r="C5425" t="s">
        <v>40</v>
      </c>
      <c r="D5425">
        <v>5.0584629999999997</v>
      </c>
      <c r="E5425">
        <v>0.4527388</v>
      </c>
      <c r="F5425" t="s">
        <v>60</v>
      </c>
      <c r="G5425">
        <v>-421.60649999999998</v>
      </c>
      <c r="H5425" s="1">
        <v>-7.8460609999999993E-6</v>
      </c>
      <c r="I5425">
        <v>134.2406</v>
      </c>
      <c r="J5425">
        <v>-391.05040000000002</v>
      </c>
      <c r="K5425">
        <v>1.1133919999999999</v>
      </c>
      <c r="L5425">
        <v>141.9768</v>
      </c>
      <c r="M5425">
        <v>-0.99816939999999998</v>
      </c>
      <c r="N5425">
        <v>0</v>
      </c>
      <c r="O5425">
        <v>-5.8768830000000001E-2</v>
      </c>
      <c r="P5425">
        <v>-0.99143630000000005</v>
      </c>
      <c r="Q5425">
        <v>2.3480190000000001E-2</v>
      </c>
      <c r="R5425">
        <v>-0.1284641</v>
      </c>
      <c r="S5425">
        <v>-2.9349370000000001</v>
      </c>
      <c r="T5425">
        <v>-0.1059445</v>
      </c>
      <c r="U5425">
        <v>-0.73812869999999997</v>
      </c>
      <c r="V5425">
        <v>-7.0266220000000004E-2</v>
      </c>
      <c r="W5425">
        <v>3.7170250000000002E-2</v>
      </c>
      <c r="X5425">
        <v>0.99683549999999999</v>
      </c>
      <c r="Y5425">
        <v>-0.1864027</v>
      </c>
      <c r="Z5425">
        <v>-1.2279739999999999E-3</v>
      </c>
      <c r="AA5425">
        <v>0.98247269999999998</v>
      </c>
      <c r="AB5425">
        <v>29</v>
      </c>
      <c r="AC5425">
        <v>-30.556099999999901</v>
      </c>
      <c r="AD5425">
        <v>-1.113399846061</v>
      </c>
      <c r="AE5425">
        <v>-7.7361999999999904</v>
      </c>
      <c r="AF5425">
        <v>-5.9195106506724002</v>
      </c>
      <c r="AG5425">
        <v>-1.113399846061</v>
      </c>
      <c r="AH5425">
        <v>30.9193910916715</v>
      </c>
      <c r="AI5425">
        <v>92.025560254322599</v>
      </c>
      <c r="AJ5425">
        <v>100.83811784173299</v>
      </c>
      <c r="AK5425">
        <v>31.500619216776801</v>
      </c>
      <c r="AL5425">
        <v>87.869810820199305</v>
      </c>
      <c r="AM5425">
        <v>94.032069161773094</v>
      </c>
      <c r="AN5425">
        <v>0.99999999160919995</v>
      </c>
    </row>
    <row r="5426" spans="1:40" x14ac:dyDescent="0.25">
      <c r="A5426" t="str">
        <f>"20190312160442516"</f>
        <v>20190312160442516</v>
      </c>
      <c r="B5426" t="str">
        <f>"1552377882510902"</f>
        <v>1552377882510902</v>
      </c>
      <c r="C5426" t="s">
        <v>40</v>
      </c>
      <c r="D5426">
        <v>5.1544939999999997</v>
      </c>
      <c r="E5426">
        <v>0.45312570000000002</v>
      </c>
      <c r="F5426" t="s">
        <v>60</v>
      </c>
      <c r="G5426">
        <v>-414.68009999999998</v>
      </c>
      <c r="H5426" s="1">
        <v>-8.6480999999999994E-6</v>
      </c>
      <c r="I5426">
        <v>135.92310000000001</v>
      </c>
      <c r="J5426">
        <v>-391.34320000000002</v>
      </c>
      <c r="K5426">
        <v>1.1135029999999999</v>
      </c>
      <c r="L5426">
        <v>141.9547</v>
      </c>
      <c r="M5426">
        <v>-0.99789170000000005</v>
      </c>
      <c r="N5426">
        <v>0</v>
      </c>
      <c r="O5426">
        <v>-6.3308000000000003E-2</v>
      </c>
      <c r="P5426">
        <v>-0.99051089999999997</v>
      </c>
      <c r="Q5426">
        <v>2.4245659999999999E-2</v>
      </c>
      <c r="R5426">
        <v>-0.1352786</v>
      </c>
      <c r="S5426">
        <v>-2.931854</v>
      </c>
      <c r="T5426">
        <v>-0.13814470000000001</v>
      </c>
      <c r="U5426">
        <v>-0.7511139</v>
      </c>
      <c r="V5426">
        <v>-7.2605499999999906E-2</v>
      </c>
      <c r="W5426">
        <v>3.7902159999999997E-2</v>
      </c>
      <c r="X5426">
        <v>0.99664030000000003</v>
      </c>
      <c r="Y5426">
        <v>-0.18621670000000001</v>
      </c>
      <c r="Z5426">
        <v>-1.3881080000000001E-3</v>
      </c>
      <c r="AA5426">
        <v>0.98250769999999998</v>
      </c>
      <c r="AB5426">
        <v>29</v>
      </c>
      <c r="AC5426">
        <v>-23.336899999999901</v>
      </c>
      <c r="AD5426">
        <v>-1.1135116481</v>
      </c>
      <c r="AE5426">
        <v>-6.0315999999999903</v>
      </c>
      <c r="AF5426">
        <v>-4.5322625671205303</v>
      </c>
      <c r="AG5426">
        <v>-1.1135116481</v>
      </c>
      <c r="AH5426">
        <v>23.621553624688499</v>
      </c>
      <c r="AI5426">
        <v>92.650626464851499</v>
      </c>
      <c r="AJ5426">
        <v>100.86133000731201</v>
      </c>
      <c r="AK5426">
        <v>24.078187386342201</v>
      </c>
      <c r="AL5426">
        <v>87.827845930816906</v>
      </c>
      <c r="AM5426">
        <v>94.166651522659393</v>
      </c>
      <c r="AN5426">
        <v>1.0000000099735</v>
      </c>
    </row>
    <row r="5427" spans="1:40" x14ac:dyDescent="0.25">
      <c r="A5427" t="str">
        <f>"20190312160442537"</f>
        <v>20190312160442537</v>
      </c>
      <c r="B5427" t="str">
        <f>"1552377882530422"</f>
        <v>1552377882530422</v>
      </c>
      <c r="C5427" t="s">
        <v>40</v>
      </c>
      <c r="D5427">
        <v>5.0954449999999998</v>
      </c>
      <c r="E5427">
        <v>0.45364389999999999</v>
      </c>
      <c r="F5427" t="s">
        <v>60</v>
      </c>
      <c r="G5427">
        <v>-415.25310000000002</v>
      </c>
      <c r="H5427" s="1">
        <v>-8.4926559999999903E-6</v>
      </c>
      <c r="I5427">
        <v>135.68260000000001</v>
      </c>
      <c r="J5427">
        <v>-391.6198</v>
      </c>
      <c r="K5427">
        <v>1.113599</v>
      </c>
      <c r="L5427">
        <v>141.9324</v>
      </c>
      <c r="M5427">
        <v>-0.9976005</v>
      </c>
      <c r="N5427">
        <v>0</v>
      </c>
      <c r="O5427">
        <v>-6.7740560000000005E-2</v>
      </c>
      <c r="P5427">
        <v>-0.98960950000000003</v>
      </c>
      <c r="Q5427">
        <v>2.5069330000000001E-2</v>
      </c>
      <c r="R5427">
        <v>-0.14157890000000001</v>
      </c>
      <c r="S5427">
        <v>-2.927216</v>
      </c>
      <c r="T5427">
        <v>-0.13632359999999999</v>
      </c>
      <c r="U5427">
        <v>-0.76786799999999999</v>
      </c>
      <c r="V5427">
        <v>-7.4538240000000006E-2</v>
      </c>
      <c r="W5427">
        <v>3.8695519999999997E-2</v>
      </c>
      <c r="X5427">
        <v>0.99646710000000005</v>
      </c>
      <c r="Y5427">
        <v>-0.18750120000000001</v>
      </c>
      <c r="Z5427">
        <v>-1.1987600000000001E-3</v>
      </c>
      <c r="AA5427">
        <v>0.98226360000000001</v>
      </c>
      <c r="AB5427">
        <v>29</v>
      </c>
      <c r="AC5427">
        <v>-23.633299999999998</v>
      </c>
      <c r="AD5427">
        <v>-1.113607492656</v>
      </c>
      <c r="AE5427">
        <v>-6.2497999999999898</v>
      </c>
      <c r="AF5427">
        <v>-4.6247471674898097</v>
      </c>
      <c r="AG5427">
        <v>-1.113607492656</v>
      </c>
      <c r="AH5427">
        <v>23.952704199043101</v>
      </c>
      <c r="AI5427">
        <v>92.613671450687207</v>
      </c>
      <c r="AJ5427">
        <v>100.928098350707</v>
      </c>
      <c r="AK5427">
        <v>24.4204923467518</v>
      </c>
      <c r="AL5427">
        <v>87.7823563250153</v>
      </c>
      <c r="AM5427">
        <v>94.277901100374095</v>
      </c>
      <c r="AN5427">
        <v>0.99999998693638803</v>
      </c>
    </row>
    <row r="5428" spans="1:40" x14ac:dyDescent="0.25">
      <c r="A5428" t="str">
        <f>"20190312160442559"</f>
        <v>20190312160442559</v>
      </c>
      <c r="B5428" t="str">
        <f>"1552377882550918"</f>
        <v>1552377882550918</v>
      </c>
      <c r="C5428" t="s">
        <v>40</v>
      </c>
      <c r="D5428">
        <v>5.0681900000000004</v>
      </c>
      <c r="E5428">
        <v>0.45430799999999999</v>
      </c>
      <c r="F5428" t="s">
        <v>60</v>
      </c>
      <c r="G5428">
        <v>-415.8</v>
      </c>
      <c r="H5428" s="1">
        <v>-8.3478679999999993E-6</v>
      </c>
      <c r="I5428">
        <v>135.46129999999999</v>
      </c>
      <c r="J5428">
        <v>-391.90359999999998</v>
      </c>
      <c r="K5428">
        <v>1.113704</v>
      </c>
      <c r="L5428">
        <v>141.90809999999999</v>
      </c>
      <c r="M5428">
        <v>-0.99727089999999996</v>
      </c>
      <c r="N5428">
        <v>0</v>
      </c>
      <c r="O5428">
        <v>-7.2431620000000002E-2</v>
      </c>
      <c r="P5428">
        <v>-0.98871229999999999</v>
      </c>
      <c r="Q5428">
        <v>2.5170700000000001E-2</v>
      </c>
      <c r="R5428">
        <v>-0.1476972</v>
      </c>
      <c r="S5428">
        <v>-2.9230040000000002</v>
      </c>
      <c r="T5428">
        <v>-0.13461770000000001</v>
      </c>
      <c r="U5428">
        <v>-0.78225710000000004</v>
      </c>
      <c r="V5428">
        <v>-7.60266E-2</v>
      </c>
      <c r="W5428">
        <v>3.8771279999999998E-2</v>
      </c>
      <c r="X5428">
        <v>0.99635169999999995</v>
      </c>
      <c r="Y5428">
        <v>-0.1877539</v>
      </c>
      <c r="Z5428">
        <v>-9.796729000000001E-4</v>
      </c>
      <c r="AA5428">
        <v>0.98221559999999997</v>
      </c>
      <c r="AB5428">
        <v>29</v>
      </c>
      <c r="AC5428">
        <v>-23.8964</v>
      </c>
      <c r="AD5428">
        <v>-1.113712347868</v>
      </c>
      <c r="AE5428">
        <v>-6.4467999999999899</v>
      </c>
      <c r="AF5428">
        <v>-4.6893366518776203</v>
      </c>
      <c r="AG5428">
        <v>-1.113712347868</v>
      </c>
      <c r="AH5428">
        <v>24.251517240922901</v>
      </c>
      <c r="AI5428">
        <v>92.581617356143994</v>
      </c>
      <c r="AJ5428">
        <v>100.943802348486</v>
      </c>
      <c r="AK5428">
        <v>24.7258229775111</v>
      </c>
      <c r="AL5428">
        <v>87.778012328306701</v>
      </c>
      <c r="AM5428">
        <v>94.363497867679996</v>
      </c>
      <c r="AN5428">
        <v>0.99999998307664395</v>
      </c>
    </row>
    <row r="5429" spans="1:40" x14ac:dyDescent="0.25">
      <c r="A5429" t="str">
        <f>"20190312160442582"</f>
        <v>20190312160442582</v>
      </c>
      <c r="B5429" t="str">
        <f>"1552377882570438"</f>
        <v>1552377882570438</v>
      </c>
      <c r="C5429" t="s">
        <v>40</v>
      </c>
      <c r="D5429">
        <v>5.1203570000000003</v>
      </c>
      <c r="E5429">
        <v>0.45477820000000002</v>
      </c>
      <c r="F5429" t="s">
        <v>60</v>
      </c>
      <c r="G5429">
        <v>-414.35270000000003</v>
      </c>
      <c r="H5429" s="1">
        <v>-8.6216900000000001E-6</v>
      </c>
      <c r="I5429">
        <v>135.79689999999999</v>
      </c>
      <c r="J5429">
        <v>-392.18150000000003</v>
      </c>
      <c r="K5429">
        <v>1.113812</v>
      </c>
      <c r="L5429">
        <v>141.88290000000001</v>
      </c>
      <c r="M5429">
        <v>-0.99691580000000002</v>
      </c>
      <c r="N5429">
        <v>0</v>
      </c>
      <c r="O5429">
        <v>-7.7163419999999996E-2</v>
      </c>
      <c r="P5429">
        <v>-0.9877591</v>
      </c>
      <c r="Q5429">
        <v>2.5527979999999999E-2</v>
      </c>
      <c r="R5429">
        <v>-0.1538851</v>
      </c>
      <c r="S5429">
        <v>-2.9192200000000001</v>
      </c>
      <c r="T5429">
        <v>-0.14482410000000001</v>
      </c>
      <c r="U5429">
        <v>-0.79469299999999998</v>
      </c>
      <c r="V5429">
        <v>-7.7550590000000003E-2</v>
      </c>
      <c r="W5429">
        <v>3.9101469999999999E-2</v>
      </c>
      <c r="X5429">
        <v>0.99622140000000003</v>
      </c>
      <c r="Y5429">
        <v>-0.1872984</v>
      </c>
      <c r="Z5429">
        <v>-8.1484440000000003E-4</v>
      </c>
      <c r="AA5429">
        <v>0.98230269999999997</v>
      </c>
      <c r="AB5429">
        <v>29</v>
      </c>
      <c r="AC5429">
        <v>-22.171199999999999</v>
      </c>
      <c r="AD5429">
        <v>-1.11382062169</v>
      </c>
      <c r="AE5429">
        <v>-6.0860000000000101</v>
      </c>
      <c r="AF5429">
        <v>-4.34666850424441</v>
      </c>
      <c r="AG5429">
        <v>-1.11382062169</v>
      </c>
      <c r="AH5429">
        <v>22.521889200606999</v>
      </c>
      <c r="AI5429">
        <v>92.780038147146897</v>
      </c>
      <c r="AJ5429">
        <v>100.923636192842</v>
      </c>
      <c r="AK5429">
        <v>22.964529532030699</v>
      </c>
      <c r="AL5429">
        <v>87.759079623967395</v>
      </c>
      <c r="AM5429">
        <v>94.451198077932702</v>
      </c>
      <c r="AN5429">
        <v>1.00000004839173</v>
      </c>
    </row>
    <row r="5430" spans="1:40" x14ac:dyDescent="0.25">
      <c r="A5430" t="str">
        <f>"20190312160442597"</f>
        <v>20190312160442597</v>
      </c>
      <c r="B5430" t="str">
        <f>"1552377882590934"</f>
        <v>1552377882590934</v>
      </c>
      <c r="C5430" t="s">
        <v>40</v>
      </c>
      <c r="D5430">
        <v>5.1231859999999996</v>
      </c>
      <c r="E5430">
        <v>0.45562789999999997</v>
      </c>
      <c r="F5430" t="s">
        <v>60</v>
      </c>
      <c r="G5430">
        <v>-415.79820000000001</v>
      </c>
      <c r="H5430" s="1">
        <v>-8.2923690000000006E-6</v>
      </c>
      <c r="I5430">
        <v>135.32499999999999</v>
      </c>
      <c r="J5430">
        <v>-392.38650000000001</v>
      </c>
      <c r="K5430">
        <v>1.1138889999999999</v>
      </c>
      <c r="L5430">
        <v>141.86330000000001</v>
      </c>
      <c r="M5430">
        <v>-0.99663219999999997</v>
      </c>
      <c r="N5430">
        <v>0</v>
      </c>
      <c r="O5430">
        <v>-8.0741889999999997E-2</v>
      </c>
      <c r="P5430">
        <v>-0.98708309999999999</v>
      </c>
      <c r="Q5430">
        <v>2.5936310000000001E-2</v>
      </c>
      <c r="R5430">
        <v>-0.15809589999999901</v>
      </c>
      <c r="S5430">
        <v>-2.9146420000000002</v>
      </c>
      <c r="T5430">
        <v>-0.13746149999999999</v>
      </c>
      <c r="U5430">
        <v>-0.80934139999999999</v>
      </c>
      <c r="V5430">
        <v>-7.8234810000000002E-2</v>
      </c>
      <c r="W5430">
        <v>3.9493609999999998E-2</v>
      </c>
      <c r="X5430">
        <v>0.99615240000000005</v>
      </c>
      <c r="Y5430">
        <v>-0.18876660000000001</v>
      </c>
      <c r="Z5430">
        <v>-6.4397209999999996E-4</v>
      </c>
      <c r="AA5430">
        <v>0.9820217</v>
      </c>
      <c r="AB5430">
        <v>29</v>
      </c>
      <c r="AC5430">
        <v>-23.4117</v>
      </c>
      <c r="AD5430">
        <v>-1.11389729236899</v>
      </c>
      <c r="AE5430">
        <v>-6.53830000000002</v>
      </c>
      <c r="AF5430">
        <v>-4.6167547246338501</v>
      </c>
      <c r="AG5430">
        <v>-1.11389729236899</v>
      </c>
      <c r="AH5430">
        <v>23.813208520388301</v>
      </c>
      <c r="AI5430">
        <v>92.629254375069806</v>
      </c>
      <c r="AJ5430">
        <v>100.97202730531799</v>
      </c>
      <c r="AK5430">
        <v>24.2821764140052</v>
      </c>
      <c r="AL5430">
        <v>87.736594218974105</v>
      </c>
      <c r="AM5430">
        <v>94.490620334920706</v>
      </c>
      <c r="AN5430">
        <v>1.0000000173761601</v>
      </c>
    </row>
    <row r="5431" spans="1:40" x14ac:dyDescent="0.25">
      <c r="A5431" t="str">
        <f>"20190312160442616"</f>
        <v>20190312160442616</v>
      </c>
      <c r="B5431" t="str">
        <f>"1552377882610458"</f>
        <v>1552377882610458</v>
      </c>
      <c r="C5431" t="s">
        <v>40</v>
      </c>
      <c r="D5431">
        <v>5.08047</v>
      </c>
      <c r="E5431">
        <v>0.45631359999999899</v>
      </c>
      <c r="F5431" t="s">
        <v>60</v>
      </c>
      <c r="G5431">
        <v>-415.93889999999999</v>
      </c>
      <c r="H5431" s="1">
        <v>-8.2628689999999902E-6</v>
      </c>
      <c r="I5431">
        <v>135.27260000000001</v>
      </c>
      <c r="J5431">
        <v>-392.6112</v>
      </c>
      <c r="K5431">
        <v>1.1139749999999999</v>
      </c>
      <c r="L5431">
        <v>141.8409</v>
      </c>
      <c r="M5431">
        <v>-0.99629959999999995</v>
      </c>
      <c r="N5431">
        <v>0</v>
      </c>
      <c r="O5431">
        <v>-8.4747100000000006E-2</v>
      </c>
      <c r="P5431">
        <v>-0.98628610000000005</v>
      </c>
      <c r="Q5431">
        <v>2.69124E-2</v>
      </c>
      <c r="R5431">
        <v>-0.1628367</v>
      </c>
      <c r="S5431">
        <v>-2.9123540000000001</v>
      </c>
      <c r="T5431">
        <v>-0.13773820000000001</v>
      </c>
      <c r="U5431">
        <v>-0.81497189999999997</v>
      </c>
      <c r="V5431">
        <v>-7.9036899999999993E-2</v>
      </c>
      <c r="W5431">
        <v>4.0450800000000002E-2</v>
      </c>
      <c r="X5431">
        <v>0.99605069999999996</v>
      </c>
      <c r="Y5431">
        <v>-0.18678529999999999</v>
      </c>
      <c r="Z5431">
        <v>-4.1547250000000002E-4</v>
      </c>
      <c r="AA5431">
        <v>0.98240070000000002</v>
      </c>
      <c r="AB5431">
        <v>29</v>
      </c>
      <c r="AC5431">
        <v>-23.3277</v>
      </c>
      <c r="AD5431">
        <v>-1.1139832628689901</v>
      </c>
      <c r="AE5431">
        <v>-6.56829999999999</v>
      </c>
      <c r="AF5431">
        <v>-4.5578776625649002</v>
      </c>
      <c r="AG5431">
        <v>-1.1139832628689901</v>
      </c>
      <c r="AH5431">
        <v>23.7502806287794</v>
      </c>
      <c r="AI5431">
        <v>92.637376523457604</v>
      </c>
      <c r="AJ5431">
        <v>100.86346194423101</v>
      </c>
      <c r="AK5431">
        <v>24.209317161841501</v>
      </c>
      <c r="AL5431">
        <v>87.6817074753979</v>
      </c>
      <c r="AM5431">
        <v>94.536929762507896</v>
      </c>
      <c r="AN5431">
        <v>1.00000004787636</v>
      </c>
    </row>
    <row r="5432" spans="1:40" x14ac:dyDescent="0.25">
      <c r="A5432" t="str">
        <f>"20190312160442638"</f>
        <v>20190312160442638</v>
      </c>
      <c r="B5432" t="str">
        <f>"1552377882630950"</f>
        <v>1552377882630950</v>
      </c>
      <c r="C5432" t="s">
        <v>40</v>
      </c>
      <c r="D5432">
        <v>5.0861039999999997</v>
      </c>
      <c r="E5432">
        <v>0.45695449999999999</v>
      </c>
      <c r="F5432" t="s">
        <v>60</v>
      </c>
      <c r="G5432">
        <v>-416.33109999999999</v>
      </c>
      <c r="H5432" s="1">
        <v>-8.1814930000000004E-6</v>
      </c>
      <c r="I5432">
        <v>135.12870000000001</v>
      </c>
      <c r="J5432">
        <v>-392.89109999999999</v>
      </c>
      <c r="K5432">
        <v>1.114079</v>
      </c>
      <c r="L5432">
        <v>141.8116</v>
      </c>
      <c r="M5432">
        <v>-0.99585129999999999</v>
      </c>
      <c r="N5432">
        <v>0</v>
      </c>
      <c r="O5432">
        <v>-8.9860140000000005E-2</v>
      </c>
      <c r="P5432">
        <v>-0.98524829999999997</v>
      </c>
      <c r="Q5432">
        <v>2.7866160000000001E-2</v>
      </c>
      <c r="R5432">
        <v>-0.16884769999999999</v>
      </c>
      <c r="S5432">
        <v>-2.9095149999999999</v>
      </c>
      <c r="T5432">
        <v>-0.13664279999999901</v>
      </c>
      <c r="U5432">
        <v>-0.82333369999999995</v>
      </c>
      <c r="V5432">
        <v>-8.001933E-2</v>
      </c>
      <c r="W5432">
        <v>4.1382240000000001E-2</v>
      </c>
      <c r="X5432">
        <v>0.99593390000000004</v>
      </c>
      <c r="Y5432">
        <v>-0.1846158</v>
      </c>
      <c r="Z5432">
        <v>-1.292671E-4</v>
      </c>
      <c r="AA5432">
        <v>0.98281079999999998</v>
      </c>
      <c r="AB5432">
        <v>29</v>
      </c>
      <c r="AC5432">
        <v>-23.44</v>
      </c>
      <c r="AD5432">
        <v>-1.114087181493</v>
      </c>
      <c r="AE5432">
        <v>-6.6828999999999796</v>
      </c>
      <c r="AF5432">
        <v>-4.5398354005036596</v>
      </c>
      <c r="AG5432">
        <v>-1.114087181493</v>
      </c>
      <c r="AH5432">
        <v>23.895816038954699</v>
      </c>
      <c r="AI5432">
        <v>92.622508501863393</v>
      </c>
      <c r="AJ5432">
        <v>100.75711165265101</v>
      </c>
      <c r="AK5432">
        <v>24.348743702277499</v>
      </c>
      <c r="AL5432">
        <v>87.628294952870206</v>
      </c>
      <c r="AM5432">
        <v>94.593620409758401</v>
      </c>
      <c r="AN5432">
        <v>0.99999995806513697</v>
      </c>
    </row>
    <row r="5433" spans="1:40" x14ac:dyDescent="0.25">
      <c r="A5433" t="str">
        <f>"20190312160442660"</f>
        <v>20190312160442660</v>
      </c>
      <c r="B5433" t="str">
        <f>"1552377882650470"</f>
        <v>1552377882650470</v>
      </c>
      <c r="C5433" t="s">
        <v>40</v>
      </c>
      <c r="D5433">
        <v>5.011711</v>
      </c>
      <c r="E5433">
        <v>0.45653159999999998</v>
      </c>
      <c r="F5433" t="s">
        <v>60</v>
      </c>
      <c r="G5433">
        <v>-416.87329999999997</v>
      </c>
      <c r="H5433" s="1">
        <v>-8.0615569999999999E-6</v>
      </c>
      <c r="I5433">
        <v>134.91149999999999</v>
      </c>
      <c r="J5433">
        <v>-393.16849999999999</v>
      </c>
      <c r="K5433">
        <v>1.1141730000000001</v>
      </c>
      <c r="L5433">
        <v>141.78100000000001</v>
      </c>
      <c r="M5433">
        <v>-0.99536899999999995</v>
      </c>
      <c r="N5433">
        <v>0</v>
      </c>
      <c r="O5433">
        <v>-9.5052120000000004E-2</v>
      </c>
      <c r="P5433">
        <v>-0.98412690000000003</v>
      </c>
      <c r="Q5433">
        <v>2.8468589999999998E-2</v>
      </c>
      <c r="R5433">
        <v>-0.175167299999999</v>
      </c>
      <c r="S5433">
        <v>-2.9054570000000002</v>
      </c>
      <c r="T5433">
        <v>-0.13497229999999999</v>
      </c>
      <c r="U5433">
        <v>-0.83595280000000005</v>
      </c>
      <c r="V5433">
        <v>-8.123495E-2</v>
      </c>
      <c r="W5433">
        <v>4.1960619999999997E-2</v>
      </c>
      <c r="X5433">
        <v>0.99581129999999995</v>
      </c>
      <c r="Y5433">
        <v>-0.1838052</v>
      </c>
      <c r="Z5433">
        <v>1.2447129999999999E-4</v>
      </c>
      <c r="AA5433">
        <v>0.98296269999999997</v>
      </c>
      <c r="AB5433">
        <v>29</v>
      </c>
      <c r="AC5433">
        <v>-23.704799999999899</v>
      </c>
      <c r="AD5433">
        <v>-1.11418106155699</v>
      </c>
      <c r="AE5433">
        <v>-6.8695000000000102</v>
      </c>
      <c r="AF5433">
        <v>-4.57564187585385</v>
      </c>
      <c r="AG5433">
        <v>-1.11418106155699</v>
      </c>
      <c r="AH5433">
        <v>24.201153803375298</v>
      </c>
      <c r="AI5433">
        <v>92.590118550624197</v>
      </c>
      <c r="AJ5433">
        <v>100.706369194264</v>
      </c>
      <c r="AK5433">
        <v>24.6550956888962</v>
      </c>
      <c r="AL5433">
        <v>87.595127455587104</v>
      </c>
      <c r="AM5433">
        <v>94.663670865561599</v>
      </c>
      <c r="AN5433">
        <v>0.99999997796998796</v>
      </c>
    </row>
    <row r="5434" spans="1:40" x14ac:dyDescent="0.25">
      <c r="A5434" t="str">
        <f>"20190312160442682"</f>
        <v>20190312160442682</v>
      </c>
      <c r="B5434" t="str">
        <f>"1552377882670966"</f>
        <v>1552377882670966</v>
      </c>
      <c r="C5434" t="s">
        <v>40</v>
      </c>
      <c r="D5434">
        <v>4.8648099999999896</v>
      </c>
      <c r="E5434">
        <v>0.40281420000000001</v>
      </c>
      <c r="F5434" t="s">
        <v>60</v>
      </c>
      <c r="G5434">
        <v>-417.95080000000002</v>
      </c>
      <c r="H5434" s="1">
        <v>-7.8088849999999997E-6</v>
      </c>
      <c r="I5434">
        <v>134.44470000000001</v>
      </c>
      <c r="J5434">
        <v>-393.45080000000002</v>
      </c>
      <c r="K5434">
        <v>1.11426</v>
      </c>
      <c r="L5434">
        <v>141.7482</v>
      </c>
      <c r="M5434">
        <v>-0.99483690000000002</v>
      </c>
      <c r="N5434">
        <v>0</v>
      </c>
      <c r="O5434">
        <v>-0.1004681</v>
      </c>
      <c r="P5434">
        <v>-0.98304219999999998</v>
      </c>
      <c r="Q5434">
        <v>2.836704E-2</v>
      </c>
      <c r="R5434">
        <v>-0.18117230000000001</v>
      </c>
      <c r="S5434">
        <v>-2.899384</v>
      </c>
      <c r="T5434">
        <v>-0.13035269999999999</v>
      </c>
      <c r="U5434">
        <v>-0.85830689999999998</v>
      </c>
      <c r="V5434">
        <v>-8.1902489999999994E-2</v>
      </c>
      <c r="W5434">
        <v>4.1841990000000003E-2</v>
      </c>
      <c r="X5434">
        <v>0.99576160000000002</v>
      </c>
      <c r="Y5434">
        <v>-0.1859932</v>
      </c>
      <c r="Z5434">
        <v>3.075814E-4</v>
      </c>
      <c r="AA5434">
        <v>0.98255099999999995</v>
      </c>
      <c r="AB5434">
        <v>29</v>
      </c>
      <c r="AC5434">
        <v>-24.5</v>
      </c>
      <c r="AD5434">
        <v>-1.114267808885</v>
      </c>
      <c r="AE5434">
        <v>-7.3034999999999801</v>
      </c>
      <c r="AF5434">
        <v>-4.7957069050478003</v>
      </c>
      <c r="AG5434">
        <v>-1.114267808885</v>
      </c>
      <c r="AH5434">
        <v>25.0622461067918</v>
      </c>
      <c r="AI5434">
        <v>92.500388835918898</v>
      </c>
      <c r="AJ5434">
        <v>100.832704547848</v>
      </c>
      <c r="AK5434">
        <v>25.5412720393178</v>
      </c>
      <c r="AL5434">
        <v>87.601930402457995</v>
      </c>
      <c r="AM5434">
        <v>94.702056608436905</v>
      </c>
      <c r="AN5434">
        <v>0.99999996701495897</v>
      </c>
    </row>
    <row r="5435" spans="1:40" x14ac:dyDescent="0.25">
      <c r="A5435" t="str">
        <f>"20190312160442705"</f>
        <v>20190312160442705</v>
      </c>
      <c r="B5435" t="str">
        <f>"1552377882700250"</f>
        <v>1552377882700250</v>
      </c>
      <c r="C5435" t="s">
        <v>40</v>
      </c>
      <c r="D5435">
        <v>5.0100160000000002</v>
      </c>
      <c r="E5435">
        <v>0.36666189999999999</v>
      </c>
      <c r="F5435" t="s">
        <v>60</v>
      </c>
      <c r="G5435">
        <v>-419.00299999999999</v>
      </c>
      <c r="H5435" s="1">
        <v>-5.92452999999999E-6</v>
      </c>
      <c r="I5435">
        <v>129.9682</v>
      </c>
      <c r="J5435">
        <v>-393.73050000000001</v>
      </c>
      <c r="K5435">
        <v>1.1143590000000001</v>
      </c>
      <c r="L5435">
        <v>141.7141</v>
      </c>
      <c r="M5435">
        <v>-0.99426570000000003</v>
      </c>
      <c r="N5435">
        <v>0</v>
      </c>
      <c r="O5435">
        <v>-0.1059712</v>
      </c>
      <c r="P5435">
        <v>-0.98183860000000001</v>
      </c>
      <c r="Q5435">
        <v>2.9417849999999999E-2</v>
      </c>
      <c r="R5435">
        <v>-0.18742349999999999</v>
      </c>
      <c r="S5435">
        <v>-2.8160400000000001</v>
      </c>
      <c r="T5435">
        <v>-0.1228004</v>
      </c>
      <c r="U5435">
        <v>-1.2982479999999901</v>
      </c>
      <c r="V5435">
        <v>-8.275209E-2</v>
      </c>
      <c r="W5435">
        <v>4.2872939999999998E-2</v>
      </c>
      <c r="X5435">
        <v>0.99564750000000002</v>
      </c>
      <c r="Y5435">
        <v>-0.31989899999999999</v>
      </c>
      <c r="Z5435">
        <v>-2.2706330000000002E-3</v>
      </c>
      <c r="AA5435">
        <v>0.94744890000000004</v>
      </c>
      <c r="AB5435">
        <v>28</v>
      </c>
      <c r="AC5435">
        <v>-25.272500000000001</v>
      </c>
      <c r="AD5435">
        <v>-1.11436492453</v>
      </c>
      <c r="AE5435">
        <v>-11.745900000000001</v>
      </c>
      <c r="AF5435">
        <v>-8.9869455044372906</v>
      </c>
      <c r="AG5435">
        <v>-1.11436492453</v>
      </c>
      <c r="AH5435">
        <v>26.332917785492199</v>
      </c>
      <c r="AI5435">
        <v>92.293479567133303</v>
      </c>
      <c r="AJ5435">
        <v>108.843838934405</v>
      </c>
      <c r="AK5435">
        <v>27.846535830911499</v>
      </c>
      <c r="AL5435">
        <v>87.542808262381698</v>
      </c>
      <c r="AM5435">
        <v>94.751152324545103</v>
      </c>
      <c r="AN5435">
        <v>0.99999997081992997</v>
      </c>
    </row>
    <row r="5436" spans="1:40" x14ac:dyDescent="0.25">
      <c r="A5436" t="str">
        <f>"20190312160442720"</f>
        <v>20190312160442720</v>
      </c>
      <c r="B5436" t="str">
        <f>"1552377882710982"</f>
        <v>1552377882710982</v>
      </c>
      <c r="C5436" t="s">
        <v>40</v>
      </c>
      <c r="D5436">
        <v>5.0051119999999996</v>
      </c>
      <c r="E5436">
        <v>0.36695260000000002</v>
      </c>
      <c r="F5436" t="s">
        <v>60</v>
      </c>
      <c r="G5436">
        <v>-422.51639999999998</v>
      </c>
      <c r="H5436" s="1">
        <v>-3.9330100000000001E-6</v>
      </c>
      <c r="I5436">
        <v>124.98439999999999</v>
      </c>
      <c r="J5436">
        <v>-393.9316</v>
      </c>
      <c r="K5436">
        <v>1.1144309999999999</v>
      </c>
      <c r="L5436">
        <v>141.6883</v>
      </c>
      <c r="M5436">
        <v>-0.99382510000000002</v>
      </c>
      <c r="N5436">
        <v>0</v>
      </c>
      <c r="O5436">
        <v>-0.1100262</v>
      </c>
      <c r="P5436">
        <v>-0.98102149999999999</v>
      </c>
      <c r="Q5436">
        <v>2.9888149999999999E-2</v>
      </c>
      <c r="R5436">
        <v>-0.19158269999999999</v>
      </c>
      <c r="S5436">
        <v>-2.7532350000000001</v>
      </c>
      <c r="T5436">
        <v>-0.1065836</v>
      </c>
      <c r="U5436">
        <v>-1.6001129999999999</v>
      </c>
      <c r="V5436">
        <v>-8.2923720000000006E-2</v>
      </c>
      <c r="W5436">
        <v>4.3333139999999999E-2</v>
      </c>
      <c r="X5436">
        <v>0.99561330000000003</v>
      </c>
      <c r="Y5436">
        <v>-0.40412759999999998</v>
      </c>
      <c r="Z5436">
        <v>-3.3376780000000002E-3</v>
      </c>
      <c r="AA5436">
        <v>0.91469659999999997</v>
      </c>
      <c r="AB5436">
        <v>28</v>
      </c>
      <c r="AC5436">
        <v>-28.584799999999898</v>
      </c>
      <c r="AD5436">
        <v>-1.1144349330100001</v>
      </c>
      <c r="AE5436">
        <v>-16.703900000000001</v>
      </c>
      <c r="AF5436">
        <v>-13.441833209621301</v>
      </c>
      <c r="AG5436">
        <v>-1.1144349330100001</v>
      </c>
      <c r="AH5436">
        <v>30.215037168410198</v>
      </c>
      <c r="AI5436">
        <v>91.930089972976504</v>
      </c>
      <c r="AJ5436">
        <v>113.98295664811</v>
      </c>
      <c r="AK5436">
        <v>33.088869976830601</v>
      </c>
      <c r="AL5436">
        <v>87.516416223002693</v>
      </c>
      <c r="AM5436">
        <v>94.761123879135795</v>
      </c>
      <c r="AN5436">
        <v>0.99999997374889305</v>
      </c>
    </row>
    <row r="5437" spans="1:40" x14ac:dyDescent="0.25">
      <c r="A5437" t="str">
        <f>"20190312160442739"</f>
        <v>20190312160442739</v>
      </c>
      <c r="B5437" t="str">
        <f>"1552377882730502"</f>
        <v>1552377882730502</v>
      </c>
      <c r="C5437" t="s">
        <v>40</v>
      </c>
      <c r="D5437">
        <v>5.0407549999999999</v>
      </c>
      <c r="E5437">
        <v>0.36567490000000002</v>
      </c>
      <c r="F5437" t="s">
        <v>60</v>
      </c>
      <c r="G5437">
        <v>-422.23570000000001</v>
      </c>
      <c r="H5437" s="1">
        <v>-3.9320940000000003E-6</v>
      </c>
      <c r="I5437">
        <v>125.1048</v>
      </c>
      <c r="J5437">
        <v>-394.15069999999997</v>
      </c>
      <c r="K5437">
        <v>1.114517</v>
      </c>
      <c r="L5437">
        <v>141.6593</v>
      </c>
      <c r="M5437">
        <v>-0.99331619999999998</v>
      </c>
      <c r="N5437">
        <v>0</v>
      </c>
      <c r="O5437">
        <v>-0.1145277</v>
      </c>
      <c r="P5437">
        <v>-0.98018249999999996</v>
      </c>
      <c r="Q5437">
        <v>3.1759280000000001E-2</v>
      </c>
      <c r="R5437">
        <v>-0.19553509999999999</v>
      </c>
      <c r="S5437">
        <v>-2.7470089999999998</v>
      </c>
      <c r="T5437">
        <v>-0.1081599</v>
      </c>
      <c r="U5437">
        <v>-1.609497</v>
      </c>
      <c r="V5437">
        <v>-8.2460649999999996E-2</v>
      </c>
      <c r="W5437">
        <v>4.5200030000000002E-2</v>
      </c>
      <c r="X5437">
        <v>0.99556880000000003</v>
      </c>
      <c r="Y5437">
        <v>-0.40321119999999999</v>
      </c>
      <c r="Z5437">
        <v>-3.2135029999999999E-3</v>
      </c>
      <c r="AA5437">
        <v>0.91510130000000001</v>
      </c>
      <c r="AB5437">
        <v>28</v>
      </c>
      <c r="AC5437">
        <v>-28.085000000000001</v>
      </c>
      <c r="AD5437">
        <v>-1.1145209320939999</v>
      </c>
      <c r="AE5437">
        <v>-16.554500000000001</v>
      </c>
      <c r="AF5437">
        <v>-13.2132645583265</v>
      </c>
      <c r="AG5437">
        <v>-1.1145209320939999</v>
      </c>
      <c r="AH5437">
        <v>29.761524988440399</v>
      </c>
      <c r="AI5437">
        <v>91.960284236796696</v>
      </c>
      <c r="AJ5437">
        <v>113.939850041415</v>
      </c>
      <c r="AK5437">
        <v>32.581910423331003</v>
      </c>
      <c r="AL5437">
        <v>87.409346447987005</v>
      </c>
      <c r="AM5437">
        <v>94.734868264959402</v>
      </c>
      <c r="AN5437">
        <v>1.00000001852193</v>
      </c>
    </row>
    <row r="5438" spans="1:40" x14ac:dyDescent="0.25">
      <c r="A5438" t="str">
        <f>"20190312160442760"</f>
        <v>20190312160442760</v>
      </c>
      <c r="B5438" t="str">
        <f>"1552377882750998"</f>
        <v>1552377882750998</v>
      </c>
      <c r="C5438" t="s">
        <v>40</v>
      </c>
      <c r="D5438">
        <v>5.0321949999999998</v>
      </c>
      <c r="E5438">
        <v>0.36520730000000001</v>
      </c>
      <c r="F5438" t="s">
        <v>60</v>
      </c>
      <c r="G5438">
        <v>-424.16180000000003</v>
      </c>
      <c r="H5438" s="1">
        <v>-3.65777E-6</v>
      </c>
      <c r="I5438">
        <v>123.7889</v>
      </c>
      <c r="J5438">
        <v>-394.43009999999998</v>
      </c>
      <c r="K5438">
        <v>1.114628</v>
      </c>
      <c r="L5438">
        <v>141.6208</v>
      </c>
      <c r="M5438">
        <v>-0.99262079999999997</v>
      </c>
      <c r="N5438">
        <v>0</v>
      </c>
      <c r="O5438">
        <v>-0.120404399999999</v>
      </c>
      <c r="P5438">
        <v>-0.97909369999999996</v>
      </c>
      <c r="Q5438">
        <v>3.252969E-2</v>
      </c>
      <c r="R5438">
        <v>-0.20079230000000001</v>
      </c>
      <c r="S5438">
        <v>-2.7386469999999998</v>
      </c>
      <c r="T5438">
        <v>-0.101705</v>
      </c>
      <c r="U5438">
        <v>-1.6307529999999999</v>
      </c>
      <c r="V5438">
        <v>-8.1934160000000006E-2</v>
      </c>
      <c r="W5438">
        <v>4.5964560000000002E-2</v>
      </c>
      <c r="X5438">
        <v>0.9955773</v>
      </c>
      <c r="Y5438">
        <v>-0.40429559999999998</v>
      </c>
      <c r="Z5438">
        <v>-2.8458300000000001E-3</v>
      </c>
      <c r="AA5438">
        <v>0.91462390000000005</v>
      </c>
      <c r="AB5438">
        <v>28</v>
      </c>
      <c r="AC5438">
        <v>-29.7317</v>
      </c>
      <c r="AD5438">
        <v>-1.11463165777</v>
      </c>
      <c r="AE5438">
        <v>-17.831900000000001</v>
      </c>
      <c r="AF5438">
        <v>-14.107364954261501</v>
      </c>
      <c r="AG5438">
        <v>-1.11463165777</v>
      </c>
      <c r="AH5438">
        <v>31.629921536961099</v>
      </c>
      <c r="AI5438">
        <v>91.843357155801002</v>
      </c>
      <c r="AJ5438">
        <v>114.0375059334</v>
      </c>
      <c r="AK5438">
        <v>34.651292704884</v>
      </c>
      <c r="AL5438">
        <v>87.365496620275906</v>
      </c>
      <c r="AM5438">
        <v>94.704733504557595</v>
      </c>
      <c r="AN5438">
        <v>1.00000005381309</v>
      </c>
    </row>
    <row r="5439" spans="1:40" x14ac:dyDescent="0.25">
      <c r="A5439" t="str">
        <f>"20190312160442783"</f>
        <v>20190312160442783</v>
      </c>
      <c r="B5439" t="str">
        <f>"1552377882780278"</f>
        <v>1552377882780278</v>
      </c>
      <c r="C5439" t="s">
        <v>40</v>
      </c>
      <c r="D5439">
        <v>5.0905630000000004</v>
      </c>
      <c r="E5439">
        <v>0.36512430000000001</v>
      </c>
      <c r="F5439" t="s">
        <v>60</v>
      </c>
      <c r="G5439">
        <v>-425.89109999999999</v>
      </c>
      <c r="H5439" s="1">
        <v>-3.3959E-6</v>
      </c>
      <c r="I5439">
        <v>122.60899999999999</v>
      </c>
      <c r="J5439">
        <v>-394.70139999999998</v>
      </c>
      <c r="K5439">
        <v>1.114738</v>
      </c>
      <c r="L5439">
        <v>141.58150000000001</v>
      </c>
      <c r="M5439">
        <v>-0.9918922</v>
      </c>
      <c r="N5439">
        <v>0</v>
      </c>
      <c r="O5439">
        <v>-0.1262653</v>
      </c>
      <c r="P5439">
        <v>-0.97787579999999996</v>
      </c>
      <c r="Q5439">
        <v>3.2449730000000003E-2</v>
      </c>
      <c r="R5439">
        <v>-0.20665439999999999</v>
      </c>
      <c r="S5439">
        <v>-2.7290649999999999</v>
      </c>
      <c r="T5439">
        <v>-9.6687670000000003E-2</v>
      </c>
      <c r="U5439">
        <v>-1.6491549999999999</v>
      </c>
      <c r="V5439">
        <v>-8.2029450000000004E-2</v>
      </c>
      <c r="W5439">
        <v>4.5871670000000003E-2</v>
      </c>
      <c r="X5439">
        <v>0.99557370000000001</v>
      </c>
      <c r="Y5439">
        <v>-0.40485110000000002</v>
      </c>
      <c r="Z5439">
        <v>-2.531621E-3</v>
      </c>
      <c r="AA5439">
        <v>0.9143791</v>
      </c>
      <c r="AB5439">
        <v>28</v>
      </c>
      <c r="AC5439">
        <v>-31.189699999999998</v>
      </c>
      <c r="AD5439">
        <v>-1.1147413959000001</v>
      </c>
      <c r="AE5439">
        <v>-18.9725</v>
      </c>
      <c r="AF5439">
        <v>-14.8681748758798</v>
      </c>
      <c r="AG5439">
        <v>-1.1147413959000001</v>
      </c>
      <c r="AH5439">
        <v>33.304784836879897</v>
      </c>
      <c r="AI5439">
        <v>91.750618336686003</v>
      </c>
      <c r="AJ5439">
        <v>114.057302628351</v>
      </c>
      <c r="AK5439">
        <v>36.489915943317001</v>
      </c>
      <c r="AL5439">
        <v>87.370824346408199</v>
      </c>
      <c r="AM5439">
        <v>94.710197493150403</v>
      </c>
      <c r="AN5439">
        <v>1.0000000164537901</v>
      </c>
    </row>
    <row r="5440" spans="1:40" x14ac:dyDescent="0.25">
      <c r="A5440" t="str">
        <f>"20190312160442806"</f>
        <v>20190312160442806</v>
      </c>
      <c r="B5440" t="str">
        <f>"1552377882800774"</f>
        <v>1552377882800774</v>
      </c>
      <c r="C5440" t="s">
        <v>40</v>
      </c>
      <c r="D5440">
        <v>5.0696669999999999</v>
      </c>
      <c r="E5440">
        <v>0.36513909999999999</v>
      </c>
      <c r="F5440" t="s">
        <v>60</v>
      </c>
      <c r="G5440">
        <v>-425.18090000000001</v>
      </c>
      <c r="H5440" s="1">
        <v>-3.3996149999999998E-6</v>
      </c>
      <c r="I5440">
        <v>122.9038</v>
      </c>
      <c r="J5440">
        <v>-394.98809999999997</v>
      </c>
      <c r="K5440">
        <v>1.114852</v>
      </c>
      <c r="L5440">
        <v>141.53819999999999</v>
      </c>
      <c r="M5440">
        <v>-0.99106090000000002</v>
      </c>
      <c r="N5440">
        <v>0</v>
      </c>
      <c r="O5440">
        <v>-0.13263050000000001</v>
      </c>
      <c r="P5440">
        <v>-0.97645159999999998</v>
      </c>
      <c r="Q5440">
        <v>3.1845249999999999E-2</v>
      </c>
      <c r="R5440">
        <v>-0.2133736</v>
      </c>
      <c r="S5440">
        <v>-2.719055</v>
      </c>
      <c r="T5440">
        <v>-9.9445220000000001E-2</v>
      </c>
      <c r="U5440">
        <v>-1.666229</v>
      </c>
      <c r="V5440">
        <v>-8.248801E-2</v>
      </c>
      <c r="W5440">
        <v>4.52491E-2</v>
      </c>
      <c r="X5440">
        <v>0.99556429999999996</v>
      </c>
      <c r="Y5440">
        <v>-0.4046515</v>
      </c>
      <c r="Z5440">
        <v>-2.3960489999999999E-3</v>
      </c>
      <c r="AA5440">
        <v>0.9144679</v>
      </c>
      <c r="AB5440">
        <v>28</v>
      </c>
      <c r="AC5440">
        <v>-30.192799999999998</v>
      </c>
      <c r="AD5440">
        <v>-1.1148553996149999</v>
      </c>
      <c r="AE5440">
        <v>-18.6343999999999</v>
      </c>
      <c r="AF5440">
        <v>-14.450571913678701</v>
      </c>
      <c r="AG5440">
        <v>-1.1148553996149999</v>
      </c>
      <c r="AH5440">
        <v>32.365797967700999</v>
      </c>
      <c r="AI5440">
        <v>91.801525011285804</v>
      </c>
      <c r="AJ5440">
        <v>114.059644655393</v>
      </c>
      <c r="AK5440">
        <v>35.462752421103602</v>
      </c>
      <c r="AL5440">
        <v>87.406532053217106</v>
      </c>
      <c r="AM5440">
        <v>94.736453434029002</v>
      </c>
      <c r="AN5440">
        <v>1.00000001413953</v>
      </c>
    </row>
    <row r="5441" spans="1:40" x14ac:dyDescent="0.25">
      <c r="A5441" t="str">
        <f>"20190312160442838"</f>
        <v>20190312160442838</v>
      </c>
      <c r="B5441" t="str">
        <f>"1552377882831030"</f>
        <v>1552377882831030</v>
      </c>
      <c r="C5441" t="s">
        <v>40</v>
      </c>
      <c r="D5441">
        <v>5.0632539999999997</v>
      </c>
      <c r="E5441">
        <v>0.36549229999999999</v>
      </c>
      <c r="F5441" t="s">
        <v>60</v>
      </c>
      <c r="G5441">
        <v>-423.80540000000002</v>
      </c>
      <c r="H5441" s="1">
        <v>-3.4801739999999999E-6</v>
      </c>
      <c r="I5441">
        <v>123.6087</v>
      </c>
      <c r="J5441">
        <v>-395.3931</v>
      </c>
      <c r="K5441">
        <v>1.11504</v>
      </c>
      <c r="L5441">
        <v>141.47299999999899</v>
      </c>
      <c r="M5441">
        <v>-0.989761</v>
      </c>
      <c r="N5441">
        <v>0</v>
      </c>
      <c r="O5441">
        <v>-0.14200479999999999</v>
      </c>
      <c r="P5441">
        <v>-0.97418629999999995</v>
      </c>
      <c r="Q5441">
        <v>3.057673E-2</v>
      </c>
      <c r="R5441">
        <v>-0.22366539999999999</v>
      </c>
      <c r="S5441">
        <v>-2.7076419999999999</v>
      </c>
      <c r="T5441">
        <v>-0.1047505</v>
      </c>
      <c r="U5441">
        <v>-1.684631</v>
      </c>
      <c r="V5441">
        <v>-8.3570909999999998E-2</v>
      </c>
      <c r="W5441">
        <v>4.3949580000000002E-2</v>
      </c>
      <c r="X5441">
        <v>0.99553219999999998</v>
      </c>
      <c r="Y5441">
        <v>-0.40219650000000001</v>
      </c>
      <c r="Z5441">
        <v>-2.16139E-3</v>
      </c>
      <c r="AA5441">
        <v>0.9155508</v>
      </c>
      <c r="AB5441">
        <v>28</v>
      </c>
      <c r="AC5441">
        <v>-28.412299999999998</v>
      </c>
      <c r="AD5441">
        <v>-1.1150434801739999</v>
      </c>
      <c r="AE5441">
        <v>-17.864299999999901</v>
      </c>
      <c r="AF5441">
        <v>-13.633074250481799</v>
      </c>
      <c r="AG5441">
        <v>-1.1150434801739999</v>
      </c>
      <c r="AH5441">
        <v>30.6275816782098</v>
      </c>
      <c r="AI5441">
        <v>91.904972454311206</v>
      </c>
      <c r="AJ5441">
        <v>113.99499809446699</v>
      </c>
      <c r="AK5441">
        <v>33.543297317605003</v>
      </c>
      <c r="AL5441">
        <v>87.481063225134804</v>
      </c>
      <c r="AM5441">
        <v>94.798498981146906</v>
      </c>
      <c r="AN5441">
        <v>1.0000000119086201</v>
      </c>
    </row>
    <row r="5442" spans="1:40" x14ac:dyDescent="0.25">
      <c r="A5442" t="str">
        <f>"20190312160442860"</f>
        <v>20190312160442860</v>
      </c>
      <c r="B5442" t="str">
        <f>"1552377882850551"</f>
        <v>1552377882850551</v>
      </c>
      <c r="C5442" t="s">
        <v>40</v>
      </c>
      <c r="D5442">
        <v>5.0385229999999996</v>
      </c>
      <c r="E5442">
        <v>0.36566549999999998</v>
      </c>
      <c r="F5442" t="s">
        <v>60</v>
      </c>
      <c r="G5442">
        <v>-422.61020000000002</v>
      </c>
      <c r="H5442" s="1">
        <v>-3.521682E-6</v>
      </c>
      <c r="I5442">
        <v>124.1691</v>
      </c>
      <c r="J5442">
        <v>-395.66230000000002</v>
      </c>
      <c r="K5442">
        <v>1.1151599999999999</v>
      </c>
      <c r="L5442">
        <v>141.42740000000001</v>
      </c>
      <c r="M5442">
        <v>-0.98881509999999995</v>
      </c>
      <c r="N5442">
        <v>0</v>
      </c>
      <c r="O5442">
        <v>-0.14844649999999901</v>
      </c>
      <c r="P5442">
        <v>-0.97252700000000003</v>
      </c>
      <c r="Q5442">
        <v>2.9973699999999999E-2</v>
      </c>
      <c r="R5442">
        <v>-0.23085259999999999</v>
      </c>
      <c r="S5442">
        <v>-2.6902469999999998</v>
      </c>
      <c r="T5442">
        <v>-0.11021540000000001</v>
      </c>
      <c r="U5442">
        <v>-1.710388</v>
      </c>
      <c r="V5442">
        <v>-8.4443320000000002E-2</v>
      </c>
      <c r="W5442">
        <v>4.3323609999999999E-2</v>
      </c>
      <c r="X5442">
        <v>0.99548599999999998</v>
      </c>
      <c r="Y5442">
        <v>-0.40514</v>
      </c>
      <c r="Z5442">
        <v>-2.1027060000000002E-3</v>
      </c>
      <c r="AA5442">
        <v>0.91425219999999896</v>
      </c>
      <c r="AB5442">
        <v>28</v>
      </c>
      <c r="AC5442">
        <v>-26.947900000000001</v>
      </c>
      <c r="AD5442">
        <v>-1.1151635216819999</v>
      </c>
      <c r="AE5442">
        <v>-17.258299999999998</v>
      </c>
      <c r="AF5442">
        <v>-13.050458908815999</v>
      </c>
      <c r="AG5442">
        <v>-1.1151635216819999</v>
      </c>
      <c r="AH5442">
        <v>29.176036391559499</v>
      </c>
      <c r="AI5442">
        <v>91.998269460352702</v>
      </c>
      <c r="AJ5442">
        <v>114.098997108521</v>
      </c>
      <c r="AK5442">
        <v>31.9812314792972</v>
      </c>
      <c r="AL5442">
        <v>87.516962812485403</v>
      </c>
      <c r="AM5442">
        <v>94.8485776534406</v>
      </c>
      <c r="AN5442">
        <v>0.99999999283602703</v>
      </c>
    </row>
    <row r="5443" spans="1:40" x14ac:dyDescent="0.25">
      <c r="A5443" t="str">
        <f>"20190312160442882"</f>
        <v>20190312160442882</v>
      </c>
      <c r="B5443" t="str">
        <f>"1552377882880807"</f>
        <v>1552377882880807</v>
      </c>
      <c r="C5443" t="s">
        <v>40</v>
      </c>
      <c r="D5443">
        <v>5.1233839999999997</v>
      </c>
      <c r="E5443">
        <v>0.3663246</v>
      </c>
      <c r="F5443" t="s">
        <v>60</v>
      </c>
      <c r="G5443">
        <v>-421.93680000000001</v>
      </c>
      <c r="H5443" s="1">
        <v>-3.5337359999999999E-6</v>
      </c>
      <c r="I5443">
        <v>124.46420000000001</v>
      </c>
      <c r="J5443">
        <v>-395.93650000000002</v>
      </c>
      <c r="K5443">
        <v>1.1152799999999901</v>
      </c>
      <c r="L5443">
        <v>141.37889999999999</v>
      </c>
      <c r="M5443">
        <v>-0.98777809999999999</v>
      </c>
      <c r="N5443">
        <v>0</v>
      </c>
      <c r="O5443">
        <v>-0.15519579999999999</v>
      </c>
      <c r="P5443">
        <v>-0.97087040000000002</v>
      </c>
      <c r="Q5443">
        <v>2.9769839999999999E-2</v>
      </c>
      <c r="R5443">
        <v>-0.23774919999999999</v>
      </c>
      <c r="S5443">
        <v>-2.6778559999999998</v>
      </c>
      <c r="T5443">
        <v>-0.1136556</v>
      </c>
      <c r="U5443">
        <v>-1.7288669999999999</v>
      </c>
      <c r="V5443">
        <v>-8.4720390000000007E-2</v>
      </c>
      <c r="W5443">
        <v>4.3104469999999999E-2</v>
      </c>
      <c r="X5443">
        <v>0.99547200000000002</v>
      </c>
      <c r="Y5443">
        <v>-0.40527049999999998</v>
      </c>
      <c r="Z5443">
        <v>-1.922799E-3</v>
      </c>
      <c r="AA5443">
        <v>0.91419479999999997</v>
      </c>
      <c r="AB5443">
        <v>28</v>
      </c>
      <c r="AC5443">
        <v>-26.0002999999999</v>
      </c>
      <c r="AD5443">
        <v>-1.1152835337360001</v>
      </c>
      <c r="AE5443">
        <v>-16.9146999999999</v>
      </c>
      <c r="AF5443">
        <v>-12.657791092224601</v>
      </c>
      <c r="AG5443">
        <v>-1.1152835337360001</v>
      </c>
      <c r="AH5443">
        <v>28.2740181455666</v>
      </c>
      <c r="AI5443">
        <v>92.061893679261004</v>
      </c>
      <c r="AJ5443">
        <v>114.117240623716</v>
      </c>
      <c r="AK5443">
        <v>30.998123084968402</v>
      </c>
      <c r="AL5443">
        <v>87.529530420213803</v>
      </c>
      <c r="AM5443">
        <v>94.8644783650318</v>
      </c>
      <c r="AN5443">
        <v>1.0000000212998601</v>
      </c>
    </row>
    <row r="5444" spans="1:40" x14ac:dyDescent="0.25">
      <c r="A5444" t="str">
        <f>"20190312160442905"</f>
        <v>20190312160442905</v>
      </c>
      <c r="B5444" t="str">
        <f>"1552377882900330"</f>
        <v>1552377882900330</v>
      </c>
      <c r="C5444" t="s">
        <v>40</v>
      </c>
      <c r="D5444">
        <v>5.0526090000000003</v>
      </c>
      <c r="E5444">
        <v>0.36680760000000001</v>
      </c>
      <c r="F5444" t="s">
        <v>60</v>
      </c>
      <c r="G5444">
        <v>-421.49869999999999</v>
      </c>
      <c r="H5444" s="1">
        <v>-3.548493E-6</v>
      </c>
      <c r="I5444">
        <v>124.6726</v>
      </c>
      <c r="J5444">
        <v>-396.2124</v>
      </c>
      <c r="K5444">
        <v>1.115418</v>
      </c>
      <c r="L5444">
        <v>141.328</v>
      </c>
      <c r="M5444">
        <v>-0.98665119999999895</v>
      </c>
      <c r="N5444">
        <v>0</v>
      </c>
      <c r="O5444">
        <v>-0.16220499999999999</v>
      </c>
      <c r="P5444">
        <v>-0.9692807</v>
      </c>
      <c r="Q5444">
        <v>2.952979E-2</v>
      </c>
      <c r="R5444">
        <v>-0.2441787</v>
      </c>
      <c r="S5444">
        <v>-2.6668090000000002</v>
      </c>
      <c r="T5444">
        <v>-0.1163532</v>
      </c>
      <c r="U5444">
        <v>-1.7429049999999999</v>
      </c>
      <c r="V5444">
        <v>-8.4260829999999995E-2</v>
      </c>
      <c r="W5444">
        <v>4.2858170000000001E-2</v>
      </c>
      <c r="X5444">
        <v>0.99552160000000001</v>
      </c>
      <c r="Y5444">
        <v>-0.40388109999999999</v>
      </c>
      <c r="Z5444">
        <v>-1.6761650000000001E-3</v>
      </c>
      <c r="AA5444">
        <v>0.91480989999999995</v>
      </c>
      <c r="AB5444">
        <v>28</v>
      </c>
      <c r="AC5444">
        <v>-25.286299999999901</v>
      </c>
      <c r="AD5444">
        <v>-1.1154215484929999</v>
      </c>
      <c r="AE5444">
        <v>-16.6554</v>
      </c>
      <c r="AF5444">
        <v>-12.3160807830638</v>
      </c>
      <c r="AG5444">
        <v>-1.1154215484929999</v>
      </c>
      <c r="AH5444">
        <v>27.6157599326792</v>
      </c>
      <c r="AI5444">
        <v>92.112596804169002</v>
      </c>
      <c r="AJ5444">
        <v>114.035922849114</v>
      </c>
      <c r="AK5444">
        <v>30.258225455984199</v>
      </c>
      <c r="AL5444">
        <v>87.543655329898698</v>
      </c>
      <c r="AM5444">
        <v>94.837977018635598</v>
      </c>
      <c r="AN5444">
        <v>0.99999998313729799</v>
      </c>
    </row>
    <row r="5445" spans="1:40" x14ac:dyDescent="0.25">
      <c r="A5445" t="str">
        <f>"20190312160442928"</f>
        <v>20190312160442928</v>
      </c>
      <c r="B5445" t="str">
        <f>"1552377882920823"</f>
        <v>1552377882920823</v>
      </c>
      <c r="C5445" t="s">
        <v>40</v>
      </c>
      <c r="D5445">
        <v>5.0588419999999896</v>
      </c>
      <c r="E5445">
        <v>0.36721160000000003</v>
      </c>
      <c r="F5445" t="s">
        <v>60</v>
      </c>
      <c r="G5445">
        <v>-421.87110000000001</v>
      </c>
      <c r="H5445" s="1">
        <v>-3.4574230000000001E-6</v>
      </c>
      <c r="I5445">
        <v>124.35129999999999</v>
      </c>
      <c r="J5445">
        <v>-396.48590000000002</v>
      </c>
      <c r="K5445">
        <v>1.1155649999999999</v>
      </c>
      <c r="L5445">
        <v>141.27520000000001</v>
      </c>
      <c r="M5445">
        <v>-0.98544160000000003</v>
      </c>
      <c r="N5445">
        <v>0</v>
      </c>
      <c r="O5445">
        <v>-0.16939660000000001</v>
      </c>
      <c r="P5445">
        <v>-0.96757760000000004</v>
      </c>
      <c r="Q5445">
        <v>2.7778669999999998E-2</v>
      </c>
      <c r="R5445">
        <v>-0.25104169999999998</v>
      </c>
      <c r="S5445">
        <v>-2.655945</v>
      </c>
      <c r="T5445">
        <v>-0.1154575</v>
      </c>
      <c r="U5445">
        <v>-1.757263</v>
      </c>
      <c r="V5445">
        <v>-8.4039669999999997E-2</v>
      </c>
      <c r="W5445">
        <v>4.1097340000000003E-2</v>
      </c>
      <c r="X5445">
        <v>0.99561449999999996</v>
      </c>
      <c r="Y5445">
        <v>-0.40237650000000003</v>
      </c>
      <c r="Z5445">
        <v>-1.363305E-3</v>
      </c>
      <c r="AA5445">
        <v>0.91547330000000005</v>
      </c>
      <c r="AB5445">
        <v>28</v>
      </c>
      <c r="AC5445">
        <v>-25.385200000000001</v>
      </c>
      <c r="AD5445">
        <v>-1.11556845742299</v>
      </c>
      <c r="AE5445">
        <v>-16.9239</v>
      </c>
      <c r="AF5445">
        <v>-12.3621182973788</v>
      </c>
      <c r="AG5445">
        <v>-1.11556845742299</v>
      </c>
      <c r="AH5445">
        <v>27.848174054565799</v>
      </c>
      <c r="AI5445">
        <v>92.096866238487095</v>
      </c>
      <c r="AJ5445">
        <v>113.936974209149</v>
      </c>
      <c r="AK5445">
        <v>30.489133473337301</v>
      </c>
      <c r="AL5445">
        <v>87.644632389163505</v>
      </c>
      <c r="AM5445">
        <v>94.824890659429897</v>
      </c>
      <c r="AN5445">
        <v>0.99999994504951495</v>
      </c>
    </row>
    <row r="5446" spans="1:40" x14ac:dyDescent="0.25">
      <c r="A5446" t="str">
        <f>"20190312160442951"</f>
        <v>20190312160442951</v>
      </c>
      <c r="B5446" t="str">
        <f>"1552377882940342"</f>
        <v>1552377882940342</v>
      </c>
      <c r="C5446" t="s">
        <v>40</v>
      </c>
      <c r="D5446">
        <v>5.0582669999999998</v>
      </c>
      <c r="E5446">
        <v>0.36760969999999998</v>
      </c>
      <c r="F5446" t="s">
        <v>49</v>
      </c>
      <c r="G5446">
        <v>-397.3922</v>
      </c>
      <c r="H5446">
        <v>1.0744320000000001</v>
      </c>
      <c r="I5446">
        <v>140.6677</v>
      </c>
      <c r="J5446">
        <v>-396.75880000000001</v>
      </c>
      <c r="K5446">
        <v>1.1157239999999999</v>
      </c>
      <c r="L5446">
        <v>141.22</v>
      </c>
      <c r="M5446">
        <v>-0.98413499999999998</v>
      </c>
      <c r="N5446">
        <v>0</v>
      </c>
      <c r="O5446">
        <v>-0.17682790000000001</v>
      </c>
      <c r="P5446">
        <v>-0.96575489999999997</v>
      </c>
      <c r="Q5446">
        <v>2.5679799999999999E-2</v>
      </c>
      <c r="R5446">
        <v>-0.2581832</v>
      </c>
      <c r="S5446">
        <v>-2.6439819999999998</v>
      </c>
      <c r="T5446">
        <v>-0.1199865</v>
      </c>
      <c r="U5446">
        <v>-1.772964</v>
      </c>
      <c r="V5446">
        <v>-8.3860190000000001E-2</v>
      </c>
      <c r="W5446">
        <v>3.8989030000000001E-2</v>
      </c>
      <c r="X5446">
        <v>0.99571449999999995</v>
      </c>
      <c r="Y5446">
        <v>-0.40112589999999998</v>
      </c>
      <c r="Z5446">
        <v>-1.10049E-3</v>
      </c>
      <c r="AA5446">
        <v>0.91602220000000001</v>
      </c>
      <c r="AB5446">
        <v>28</v>
      </c>
      <c r="AC5446">
        <v>-0.63339999999999397</v>
      </c>
      <c r="AD5446">
        <v>-4.1291999999999801E-2</v>
      </c>
      <c r="AE5446">
        <v>-0.55230000000000201</v>
      </c>
      <c r="AF5446">
        <v>-0.430540888845859</v>
      </c>
      <c r="AG5446">
        <v>-4.1291999999999801E-2</v>
      </c>
      <c r="AH5446">
        <v>0.71935223920876301</v>
      </c>
      <c r="AI5446">
        <v>92.819756625198593</v>
      </c>
      <c r="AJ5446">
        <v>120.90102362023001</v>
      </c>
      <c r="AK5446">
        <v>0.83936769671392797</v>
      </c>
      <c r="AL5446">
        <v>87.765526815636306</v>
      </c>
      <c r="AM5446">
        <v>94.814153570279899</v>
      </c>
      <c r="AN5446">
        <v>1.0000000207187101</v>
      </c>
    </row>
    <row r="5447" spans="1:40" x14ac:dyDescent="0.25">
      <c r="A5447" t="str">
        <f>"20190312160442972"</f>
        <v>20190312160442972</v>
      </c>
      <c r="B5447" t="str">
        <f>"1552377882960838"</f>
        <v>1552377882960838</v>
      </c>
      <c r="C5447" t="s">
        <v>40</v>
      </c>
      <c r="D5447">
        <v>5.0564280000000004</v>
      </c>
      <c r="E5447">
        <v>0.36800110000000003</v>
      </c>
      <c r="F5447" t="s">
        <v>49</v>
      </c>
      <c r="G5447">
        <v>-397.66250000000002</v>
      </c>
      <c r="H5447">
        <v>1.072271</v>
      </c>
      <c r="I5447">
        <v>140.60550000000001</v>
      </c>
      <c r="J5447">
        <v>-397.02190000000002</v>
      </c>
      <c r="K5447">
        <v>1.1158669999999999</v>
      </c>
      <c r="L5447">
        <v>141.16460000000001</v>
      </c>
      <c r="M5447">
        <v>-0.98278270000000001</v>
      </c>
      <c r="N5447">
        <v>0</v>
      </c>
      <c r="O5447">
        <v>-0.18419360000000001</v>
      </c>
      <c r="P5447">
        <v>-0.96379999999999999</v>
      </c>
      <c r="Q5447">
        <v>2.5496640000000001E-2</v>
      </c>
      <c r="R5447">
        <v>-0.26540429999999998</v>
      </c>
      <c r="S5447">
        <v>-2.631256</v>
      </c>
      <c r="T5447">
        <v>-0.1265038</v>
      </c>
      <c r="U5447">
        <v>-1.78952</v>
      </c>
      <c r="V5447">
        <v>-8.386652E-2</v>
      </c>
      <c r="W5447">
        <v>3.8795570000000001E-2</v>
      </c>
      <c r="X5447">
        <v>0.99572150000000004</v>
      </c>
      <c r="Y5447">
        <v>-0.40025270000000002</v>
      </c>
      <c r="Z5447">
        <v>-8.3726459999999999E-4</v>
      </c>
      <c r="AA5447">
        <v>0.91640440000000001</v>
      </c>
      <c r="AB5447">
        <v>28</v>
      </c>
      <c r="AC5447">
        <v>-0.64060000000000605</v>
      </c>
      <c r="AD5447">
        <v>-4.3595999999999899E-2</v>
      </c>
      <c r="AE5447">
        <v>-0.55910000000000004</v>
      </c>
      <c r="AF5447">
        <v>-0.430393417962527</v>
      </c>
      <c r="AG5447">
        <v>-4.3595999999999899E-2</v>
      </c>
      <c r="AH5447">
        <v>0.73070951182354404</v>
      </c>
      <c r="AI5447">
        <v>92.942861869317596</v>
      </c>
      <c r="AJ5447">
        <v>120.498406198333</v>
      </c>
      <c r="AK5447">
        <v>0.84916164309916198</v>
      </c>
      <c r="AL5447">
        <v>87.776619598014406</v>
      </c>
      <c r="AM5447">
        <v>94.814481560563493</v>
      </c>
      <c r="AN5447">
        <v>0.99999999749539203</v>
      </c>
    </row>
    <row r="5448" spans="1:40" x14ac:dyDescent="0.25">
      <c r="A5448" t="str">
        <f>"20190312160442995"</f>
        <v>20190312160442995</v>
      </c>
      <c r="B5448" t="str">
        <f>"1552377882990118"</f>
        <v>1552377882990118</v>
      </c>
      <c r="C5448" t="s">
        <v>40</v>
      </c>
      <c r="D5448">
        <v>5.0159149999999997</v>
      </c>
      <c r="E5448">
        <v>0.36850050000000001</v>
      </c>
      <c r="F5448" t="s">
        <v>60</v>
      </c>
      <c r="G5448">
        <v>-420.35669999999999</v>
      </c>
      <c r="H5448" s="1">
        <v>-3.4962329999999902E-6</v>
      </c>
      <c r="I5448">
        <v>125.06699999999999</v>
      </c>
      <c r="J5448">
        <v>-397.29930000000002</v>
      </c>
      <c r="K5448">
        <v>1.1160270000000001</v>
      </c>
      <c r="L5448">
        <v>141.1037</v>
      </c>
      <c r="M5448">
        <v>-0.98125169999999995</v>
      </c>
      <c r="N5448">
        <v>0</v>
      </c>
      <c r="O5448">
        <v>-0.19218150000000001</v>
      </c>
      <c r="P5448">
        <v>-0.96155880000000005</v>
      </c>
      <c r="Q5448">
        <v>2.615404E-2</v>
      </c>
      <c r="R5448">
        <v>-0.27335110000000001</v>
      </c>
      <c r="S5448">
        <v>-2.6185610000000001</v>
      </c>
      <c r="T5448">
        <v>-0.1252199</v>
      </c>
      <c r="U5448">
        <v>-1.806427</v>
      </c>
      <c r="V5448">
        <v>-8.4014430000000001E-2</v>
      </c>
      <c r="W5448">
        <v>3.9440709999999997E-2</v>
      </c>
      <c r="X5448">
        <v>0.99568369999999995</v>
      </c>
      <c r="Y5448">
        <v>-0.39889239999999998</v>
      </c>
      <c r="Z5448">
        <v>-4.7219029999999998E-4</v>
      </c>
      <c r="AA5448">
        <v>0.91699770000000003</v>
      </c>
      <c r="AB5448">
        <v>28</v>
      </c>
      <c r="AC5448">
        <v>-23.057399999999902</v>
      </c>
      <c r="AD5448">
        <v>-1.1160304962330001</v>
      </c>
      <c r="AE5448">
        <v>-16.0366999999999</v>
      </c>
      <c r="AF5448">
        <v>-11.288204610387099</v>
      </c>
      <c r="AG5448">
        <v>-1.1160304962330001</v>
      </c>
      <c r="AH5448">
        <v>25.669256275444202</v>
      </c>
      <c r="AI5448">
        <v>92.279113454339097</v>
      </c>
      <c r="AJ5448">
        <v>113.737771754768</v>
      </c>
      <c r="AK5448">
        <v>28.063852285973098</v>
      </c>
      <c r="AL5448">
        <v>87.7396275174126</v>
      </c>
      <c r="AM5448">
        <v>94.823114768759694</v>
      </c>
      <c r="AN5448">
        <v>1.0000000122496</v>
      </c>
    </row>
    <row r="5449" spans="1:40" x14ac:dyDescent="0.25">
      <c r="A5449" t="str">
        <f>"20190312160443017"</f>
        <v>20190312160443017</v>
      </c>
      <c r="B5449" t="str">
        <f>"1552377883010618"</f>
        <v>1552377883010618</v>
      </c>
      <c r="C5449" t="s">
        <v>40</v>
      </c>
      <c r="D5449">
        <v>5.0449630000000001</v>
      </c>
      <c r="E5449">
        <v>0.36883680000000002</v>
      </c>
      <c r="F5449" t="s">
        <v>60</v>
      </c>
      <c r="G5449">
        <v>-420.86500000000001</v>
      </c>
      <c r="H5449" s="1">
        <v>-3.3684260000000001E-6</v>
      </c>
      <c r="I5449">
        <v>124.5964</v>
      </c>
      <c r="J5449">
        <v>-397.565</v>
      </c>
      <c r="K5449">
        <v>1.116177</v>
      </c>
      <c r="L5449">
        <v>141.04300000000001</v>
      </c>
      <c r="M5449">
        <v>-0.97967369999999998</v>
      </c>
      <c r="N5449">
        <v>0</v>
      </c>
      <c r="O5449">
        <v>-0.2000681</v>
      </c>
      <c r="P5449">
        <v>-0.95898629999999996</v>
      </c>
      <c r="Q5449">
        <v>2.696345E-2</v>
      </c>
      <c r="R5449">
        <v>-0.2821669</v>
      </c>
      <c r="S5449">
        <v>-2.6046450000000001</v>
      </c>
      <c r="T5449">
        <v>-0.12335119999999999</v>
      </c>
      <c r="U5449">
        <v>-1.8244929999999999</v>
      </c>
      <c r="V5449">
        <v>-8.5177299999999997E-2</v>
      </c>
      <c r="W5449">
        <v>4.0222109999999998E-2</v>
      </c>
      <c r="X5449">
        <v>0.99555360000000004</v>
      </c>
      <c r="Y5449">
        <v>-0.398094</v>
      </c>
      <c r="Z5449">
        <v>-1.2949810000000001E-4</v>
      </c>
      <c r="AA5449">
        <v>0.91734459999999995</v>
      </c>
      <c r="AB5449">
        <v>28</v>
      </c>
      <c r="AC5449">
        <v>-23.3</v>
      </c>
      <c r="AD5449">
        <v>-1.1161803684260001</v>
      </c>
      <c r="AE5449">
        <v>-16.4466</v>
      </c>
      <c r="AF5449">
        <v>-11.4344156975187</v>
      </c>
      <c r="AG5449">
        <v>-1.1161803684260001</v>
      </c>
      <c r="AH5449">
        <v>26.079662290338501</v>
      </c>
      <c r="AI5449">
        <v>92.244670125631799</v>
      </c>
      <c r="AJ5449">
        <v>113.67465704154</v>
      </c>
      <c r="AK5449">
        <v>28.4980789902868</v>
      </c>
      <c r="AL5449">
        <v>87.694820963750203</v>
      </c>
      <c r="AM5449">
        <v>94.890187425764495</v>
      </c>
      <c r="AN5449">
        <v>0.99999998052054995</v>
      </c>
    </row>
    <row r="5450" spans="1:40" x14ac:dyDescent="0.25">
      <c r="A5450" t="str">
        <f>"20190312160443038"</f>
        <v>20190312160443038</v>
      </c>
      <c r="B5450" t="str">
        <f>"1552377883030135"</f>
        <v>1552377883030135</v>
      </c>
      <c r="C5450" t="s">
        <v>40</v>
      </c>
      <c r="D5450">
        <v>5.0467060000000004</v>
      </c>
      <c r="E5450">
        <v>0.36925049999999998</v>
      </c>
      <c r="F5450" t="s">
        <v>60</v>
      </c>
      <c r="G5450">
        <v>-421.35379999999998</v>
      </c>
      <c r="H5450" s="1">
        <v>-3.193279E-6</v>
      </c>
      <c r="I5450">
        <v>124.078</v>
      </c>
      <c r="J5450">
        <v>-397.82459999999998</v>
      </c>
      <c r="K5450">
        <v>1.1163339999999999</v>
      </c>
      <c r="L5450">
        <v>140.9811</v>
      </c>
      <c r="M5450">
        <v>-0.97801740000000004</v>
      </c>
      <c r="N5450">
        <v>0</v>
      </c>
      <c r="O5450">
        <v>-0.20801249999999999</v>
      </c>
      <c r="P5450">
        <v>-0.95638869999999998</v>
      </c>
      <c r="Q5450">
        <v>2.737295E-2</v>
      </c>
      <c r="R5450">
        <v>-0.29081190000000001</v>
      </c>
      <c r="S5450">
        <v>-2.588562</v>
      </c>
      <c r="T5450">
        <v>-0.1214563</v>
      </c>
      <c r="U5450">
        <v>-1.8460240000000001</v>
      </c>
      <c r="V5450">
        <v>-8.6107779999999995E-2</v>
      </c>
      <c r="W5450">
        <v>4.0607560000000001E-2</v>
      </c>
      <c r="X5450">
        <v>0.99545790000000001</v>
      </c>
      <c r="Y5450">
        <v>-0.39840880000000001</v>
      </c>
      <c r="Z5450">
        <v>1.823246E-4</v>
      </c>
      <c r="AA5450">
        <v>0.91720800000000002</v>
      </c>
      <c r="AB5450">
        <v>28</v>
      </c>
      <c r="AC5450">
        <v>-23.529199999999999</v>
      </c>
      <c r="AD5450">
        <v>-1.1163371932789901</v>
      </c>
      <c r="AE5450">
        <v>-16.903099999999998</v>
      </c>
      <c r="AF5450">
        <v>-11.6211418751796</v>
      </c>
      <c r="AG5450">
        <v>-1.1163371932789901</v>
      </c>
      <c r="AH5450">
        <v>26.491512344000402</v>
      </c>
      <c r="AI5450">
        <v>92.209929782657895</v>
      </c>
      <c r="AJ5450">
        <v>113.68581967886</v>
      </c>
      <c r="AK5450">
        <v>28.9499114590093</v>
      </c>
      <c r="AL5450">
        <v>87.672718238999295</v>
      </c>
      <c r="AM5450">
        <v>94.943817607754198</v>
      </c>
      <c r="AN5450">
        <v>0.99999997718904499</v>
      </c>
    </row>
    <row r="5451" spans="1:40" x14ac:dyDescent="0.25">
      <c r="A5451" t="str">
        <f>"20190312160443061"</f>
        <v>20190312160443061</v>
      </c>
      <c r="B5451" t="str">
        <f>"1552377883050631"</f>
        <v>1552377883050631</v>
      </c>
      <c r="C5451" t="s">
        <v>40</v>
      </c>
      <c r="D5451">
        <v>5.0259010000000002</v>
      </c>
      <c r="E5451">
        <v>0.3694383</v>
      </c>
      <c r="F5451" t="s">
        <v>60</v>
      </c>
      <c r="G5451">
        <v>-421.27890000000002</v>
      </c>
      <c r="H5451" s="1">
        <v>-3.1191680000000001E-6</v>
      </c>
      <c r="I5451">
        <v>123.9729</v>
      </c>
      <c r="J5451">
        <v>-398.09280000000001</v>
      </c>
      <c r="K5451">
        <v>1.1165050000000001</v>
      </c>
      <c r="L5451">
        <v>140.91470000000001</v>
      </c>
      <c r="M5451">
        <v>-0.97618039999999995</v>
      </c>
      <c r="N5451">
        <v>0</v>
      </c>
      <c r="O5451">
        <v>-0.21646789999999999</v>
      </c>
      <c r="P5451">
        <v>-0.95359550000000004</v>
      </c>
      <c r="Q5451">
        <v>2.709978E-2</v>
      </c>
      <c r="R5451">
        <v>-0.29986879999999999</v>
      </c>
      <c r="S5451">
        <v>-2.5729679999999999</v>
      </c>
      <c r="T5451">
        <v>-0.1224639</v>
      </c>
      <c r="U5451">
        <v>-1.865829</v>
      </c>
      <c r="V5451">
        <v>-8.6946109999999993E-2</v>
      </c>
      <c r="W5451">
        <v>4.0311689999999997E-2</v>
      </c>
      <c r="X5451">
        <v>0.99539710000000003</v>
      </c>
      <c r="Y5451">
        <v>-0.3977426</v>
      </c>
      <c r="Z5451">
        <v>5.3856200000000003E-4</v>
      </c>
      <c r="AA5451">
        <v>0.91749689999999995</v>
      </c>
      <c r="AB5451">
        <v>28</v>
      </c>
      <c r="AC5451">
        <v>-23.1861</v>
      </c>
      <c r="AD5451">
        <v>-1.116508119168</v>
      </c>
      <c r="AE5451">
        <v>-16.941800000000001</v>
      </c>
      <c r="AF5451">
        <v>-11.503047120256699</v>
      </c>
      <c r="AG5451">
        <v>-1.116508119168</v>
      </c>
      <c r="AH5451">
        <v>26.264275903482002</v>
      </c>
      <c r="AI5451">
        <v>92.229945792520894</v>
      </c>
      <c r="AJ5451">
        <v>113.65212700884901</v>
      </c>
      <c r="AK5451">
        <v>28.6945791425008</v>
      </c>
      <c r="AL5451">
        <v>87.689684338764394</v>
      </c>
      <c r="AM5451">
        <v>94.992011071118398</v>
      </c>
      <c r="AN5451">
        <v>1.0000000225415899</v>
      </c>
    </row>
    <row r="5452" spans="1:40" x14ac:dyDescent="0.25">
      <c r="A5452" t="str">
        <f>"20190312160443084"</f>
        <v>20190312160443084</v>
      </c>
      <c r="B5452" t="str">
        <f>"1552377883080888"</f>
        <v>1552377883080888</v>
      </c>
      <c r="C5452" t="s">
        <v>40</v>
      </c>
      <c r="D5452">
        <v>5.0211129999999997</v>
      </c>
      <c r="E5452">
        <v>0.37708229999999998</v>
      </c>
      <c r="F5452" t="s">
        <v>60</v>
      </c>
      <c r="G5452">
        <v>-421.31529999999998</v>
      </c>
      <c r="H5452" s="1">
        <v>-2.9886029999999999E-6</v>
      </c>
      <c r="I5452">
        <v>123.7499</v>
      </c>
      <c r="J5452">
        <v>-398.35890000000001</v>
      </c>
      <c r="K5452">
        <v>1.1166860000000001</v>
      </c>
      <c r="L5452">
        <v>140.84610000000001</v>
      </c>
      <c r="M5452">
        <v>-0.97422030000000004</v>
      </c>
      <c r="N5452">
        <v>0</v>
      </c>
      <c r="O5452">
        <v>-0.22512280000000001</v>
      </c>
      <c r="P5452">
        <v>-0.95071740000000005</v>
      </c>
      <c r="Q5452">
        <v>2.73837E-2</v>
      </c>
      <c r="R5452">
        <v>-0.30884699999999998</v>
      </c>
      <c r="S5452">
        <v>-2.5555110000000001</v>
      </c>
      <c r="T5452">
        <v>-0.1228654</v>
      </c>
      <c r="U5452">
        <v>-1.8889009999999999</v>
      </c>
      <c r="V5452">
        <v>-8.7521870000000002E-2</v>
      </c>
      <c r="W5452">
        <v>4.0576109999999999E-2</v>
      </c>
      <c r="X5452">
        <v>0.99533590000000005</v>
      </c>
      <c r="Y5452">
        <v>-0.39795609999999998</v>
      </c>
      <c r="Z5452">
        <v>8.8609099999999998E-4</v>
      </c>
      <c r="AA5452">
        <v>0.917404</v>
      </c>
      <c r="AB5452">
        <v>28</v>
      </c>
      <c r="AC5452">
        <v>-22.956399999999899</v>
      </c>
      <c r="AD5452">
        <v>-1.116688988603</v>
      </c>
      <c r="AE5452">
        <v>-17.0962</v>
      </c>
      <c r="AF5452">
        <v>-11.4712284692257</v>
      </c>
      <c r="AG5452">
        <v>-1.116688988603</v>
      </c>
      <c r="AH5452">
        <v>26.176305444215402</v>
      </c>
      <c r="AI5452">
        <v>92.237583812859498</v>
      </c>
      <c r="AJ5452">
        <v>113.66444920306</v>
      </c>
      <c r="AK5452">
        <v>28.601311920946898</v>
      </c>
      <c r="AL5452">
        <v>87.674521791552493</v>
      </c>
      <c r="AM5452">
        <v>95.025207022242199</v>
      </c>
      <c r="AN5452">
        <v>1.00000002612991</v>
      </c>
    </row>
    <row r="5453" spans="1:40" x14ac:dyDescent="0.25">
      <c r="A5453" t="str">
        <f>"20190312160443106"</f>
        <v>20190312160443106</v>
      </c>
      <c r="B5453" t="str">
        <f>"1552377883100410"</f>
        <v>1552377883100410</v>
      </c>
      <c r="C5453" t="s">
        <v>40</v>
      </c>
      <c r="D5453">
        <v>5.0306300000000004</v>
      </c>
      <c r="E5453">
        <v>0.37782379999999999</v>
      </c>
      <c r="F5453" t="s">
        <v>60</v>
      </c>
      <c r="G5453">
        <v>-416.76819999999998</v>
      </c>
      <c r="H5453" s="1">
        <v>-4.8307070000000002E-6</v>
      </c>
      <c r="I5453">
        <v>127.49630000000001</v>
      </c>
      <c r="J5453">
        <v>-398.62279999999998</v>
      </c>
      <c r="K5453">
        <v>1.116873</v>
      </c>
      <c r="L5453">
        <v>140.77529999999999</v>
      </c>
      <c r="M5453">
        <v>-0.97213479999999997</v>
      </c>
      <c r="N5453">
        <v>0</v>
      </c>
      <c r="O5453">
        <v>-0.23396339999999999</v>
      </c>
      <c r="P5453">
        <v>-0.94774749999999996</v>
      </c>
      <c r="Q5453">
        <v>2.7807149999999999E-2</v>
      </c>
      <c r="R5453">
        <v>-0.31780839999999999</v>
      </c>
      <c r="S5453">
        <v>-2.5574949999999999</v>
      </c>
      <c r="T5453">
        <v>-0.15513540000000001</v>
      </c>
      <c r="U5453">
        <v>-1.854614</v>
      </c>
      <c r="V5453">
        <v>-8.7904830000000003E-2</v>
      </c>
      <c r="W5453">
        <v>4.0983470000000001E-2</v>
      </c>
      <c r="X5453">
        <v>0.99528550000000005</v>
      </c>
      <c r="Y5453">
        <v>-0.38116100000000003</v>
      </c>
      <c r="Z5453">
        <v>2.0332879999999998E-3</v>
      </c>
      <c r="AA5453">
        <v>0.92450639999999995</v>
      </c>
      <c r="AB5453">
        <v>28</v>
      </c>
      <c r="AC5453">
        <v>-18.145399999999899</v>
      </c>
      <c r="AD5453">
        <v>-1.116877830707</v>
      </c>
      <c r="AE5453">
        <v>-13.2789999999999</v>
      </c>
      <c r="AF5453">
        <v>-8.6432251783517007</v>
      </c>
      <c r="AG5453">
        <v>-1.116877830707</v>
      </c>
      <c r="AH5453">
        <v>20.6977392804605</v>
      </c>
      <c r="AI5453">
        <v>92.850636460230405</v>
      </c>
      <c r="AJ5453">
        <v>112.66505991574201</v>
      </c>
      <c r="AK5453">
        <v>22.457719583571599</v>
      </c>
      <c r="AL5453">
        <v>87.651162443796593</v>
      </c>
      <c r="AM5453">
        <v>95.047336211960697</v>
      </c>
      <c r="AN5453">
        <v>1.0000000652304</v>
      </c>
    </row>
    <row r="5454" spans="1:40" x14ac:dyDescent="0.25">
      <c r="A5454" t="str">
        <f>"20190312160443129"</f>
        <v>20190312160443129</v>
      </c>
      <c r="B5454" t="str">
        <f>"1552377883120903"</f>
        <v>1552377883120903</v>
      </c>
      <c r="C5454" t="s">
        <v>40</v>
      </c>
      <c r="D5454">
        <v>5.0732499999999998</v>
      </c>
      <c r="E5454">
        <v>0.37817529999999999</v>
      </c>
      <c r="F5454" t="s">
        <v>60</v>
      </c>
      <c r="G5454">
        <v>-417.21629999999999</v>
      </c>
      <c r="H5454" s="1">
        <v>-4.587052E-6</v>
      </c>
      <c r="I5454">
        <v>127.06910000000001</v>
      </c>
      <c r="J5454">
        <v>-398.89010000000002</v>
      </c>
      <c r="K5454">
        <v>1.1170599999999999</v>
      </c>
      <c r="L5454">
        <v>140.70050000000001</v>
      </c>
      <c r="M5454">
        <v>-0.96986110000000003</v>
      </c>
      <c r="N5454">
        <v>0</v>
      </c>
      <c r="O5454">
        <v>-0.24321509999999999</v>
      </c>
      <c r="P5454">
        <v>-0.9445559</v>
      </c>
      <c r="Q5454">
        <v>2.8273010000000001E-2</v>
      </c>
      <c r="R5454">
        <v>-0.32713189999999998</v>
      </c>
      <c r="S5454">
        <v>-2.5416259999999999</v>
      </c>
      <c r="T5454">
        <v>-0.15267120000000001</v>
      </c>
      <c r="U5454">
        <v>-1.8735660000000001</v>
      </c>
      <c r="V5454">
        <v>-8.8260069999999996E-2</v>
      </c>
      <c r="W5454">
        <v>4.1435130000000001E-2</v>
      </c>
      <c r="X5454">
        <v>0.99523530000000004</v>
      </c>
      <c r="Y5454">
        <v>-0.3795888</v>
      </c>
      <c r="Z5454">
        <v>2.5123260000000001E-3</v>
      </c>
      <c r="AA5454">
        <v>0.92515190000000003</v>
      </c>
      <c r="AB5454">
        <v>28</v>
      </c>
      <c r="AC5454">
        <v>-18.326199999999901</v>
      </c>
      <c r="AD5454">
        <v>-1.117064587052</v>
      </c>
      <c r="AE5454">
        <v>-13.631399999999999</v>
      </c>
      <c r="AF5454">
        <v>-8.7433876489016296</v>
      </c>
      <c r="AG5454">
        <v>-1.117064587052</v>
      </c>
      <c r="AH5454">
        <v>21.041176400028299</v>
      </c>
      <c r="AI5454">
        <v>92.806695039573199</v>
      </c>
      <c r="AJ5454">
        <v>112.564693197751</v>
      </c>
      <c r="AK5454">
        <v>22.812842110699901</v>
      </c>
      <c r="AL5454">
        <v>87.625262091837499</v>
      </c>
      <c r="AM5454">
        <v>95.067881733571497</v>
      </c>
      <c r="AN5454">
        <v>1.0000000061603</v>
      </c>
    </row>
    <row r="5455" spans="1:40" x14ac:dyDescent="0.25">
      <c r="A5455" t="str">
        <f>"20190312160443152"</f>
        <v>20190312160443152</v>
      </c>
      <c r="B5455" t="str">
        <f>"1552377883140423"</f>
        <v>1552377883140423</v>
      </c>
      <c r="C5455" t="s">
        <v>40</v>
      </c>
      <c r="D5455">
        <v>5.0313439999999998</v>
      </c>
      <c r="E5455">
        <v>0.37894879999999997</v>
      </c>
      <c r="F5455" t="s">
        <v>60</v>
      </c>
      <c r="G5455">
        <v>-417.45760000000001</v>
      </c>
      <c r="H5455" s="1">
        <v>-4.4116799999999999E-6</v>
      </c>
      <c r="I5455">
        <v>126.75239999999999</v>
      </c>
      <c r="J5455">
        <v>-399.14980000000003</v>
      </c>
      <c r="K5455">
        <v>1.1172329999999999</v>
      </c>
      <c r="L5455">
        <v>140.62479999999999</v>
      </c>
      <c r="M5455">
        <v>-0.96749030000000003</v>
      </c>
      <c r="N5455">
        <v>0</v>
      </c>
      <c r="O5455">
        <v>-0.25247930000000002</v>
      </c>
      <c r="P5455">
        <v>-0.94145469999999998</v>
      </c>
      <c r="Q5455">
        <v>2.8450300000000001E-2</v>
      </c>
      <c r="R5455">
        <v>-0.33593779999999901</v>
      </c>
      <c r="S5455">
        <v>-2.523987</v>
      </c>
      <c r="T5455">
        <v>-0.15184929999999999</v>
      </c>
      <c r="U5455">
        <v>-1.896042</v>
      </c>
      <c r="V5455">
        <v>-8.8058200000000003E-2</v>
      </c>
      <c r="W5455">
        <v>4.161045E-2</v>
      </c>
      <c r="X5455">
        <v>0.99524590000000002</v>
      </c>
      <c r="Y5455">
        <v>-0.37912259999999998</v>
      </c>
      <c r="Z5455">
        <v>2.9794520000000001E-3</v>
      </c>
      <c r="AA5455">
        <v>0.92534170000000004</v>
      </c>
      <c r="AB5455">
        <v>28</v>
      </c>
      <c r="AC5455">
        <v>-18.307799999999901</v>
      </c>
      <c r="AD5455">
        <v>-1.1172374116799999</v>
      </c>
      <c r="AE5455">
        <v>-13.872400000000001</v>
      </c>
      <c r="AF5455">
        <v>-8.7792559390552807</v>
      </c>
      <c r="AG5455">
        <v>-1.1172374116799999</v>
      </c>
      <c r="AH5455">
        <v>21.1673352121988</v>
      </c>
      <c r="AI5455">
        <v>92.791196137095</v>
      </c>
      <c r="AJ5455">
        <v>112.526468913611</v>
      </c>
      <c r="AK5455">
        <v>22.942964809786101</v>
      </c>
      <c r="AL5455">
        <v>87.615208402909801</v>
      </c>
      <c r="AM5455">
        <v>95.056296967623396</v>
      </c>
      <c r="AN5455">
        <v>1.0000000388016199</v>
      </c>
    </row>
    <row r="5456" spans="1:40" x14ac:dyDescent="0.25">
      <c r="A5456" t="str">
        <f>"20190312160443173"</f>
        <v>20190312160443173</v>
      </c>
      <c r="B5456" t="str">
        <f>"1552377883170679"</f>
        <v>1552377883170679</v>
      </c>
      <c r="C5456" t="s">
        <v>40</v>
      </c>
      <c r="D5456">
        <v>5.0846749999999998</v>
      </c>
      <c r="E5456">
        <v>0.38440200000000002</v>
      </c>
      <c r="F5456" t="s">
        <v>60</v>
      </c>
      <c r="G5456">
        <v>-417.13260000000002</v>
      </c>
      <c r="H5456" s="1">
        <v>-4.5087450000000003E-6</v>
      </c>
      <c r="I5456">
        <v>126.9059</v>
      </c>
      <c r="J5456">
        <v>-399.40370000000001</v>
      </c>
      <c r="K5456">
        <v>1.1173919999999999</v>
      </c>
      <c r="L5456">
        <v>140.548</v>
      </c>
      <c r="M5456">
        <v>-0.96502129999999997</v>
      </c>
      <c r="N5456">
        <v>0</v>
      </c>
      <c r="O5456">
        <v>-0.26175549999999997</v>
      </c>
      <c r="P5456">
        <v>-0.93835150000000001</v>
      </c>
      <c r="Q5456">
        <v>2.8375419999999998E-2</v>
      </c>
      <c r="R5456">
        <v>-0.34451659999999901</v>
      </c>
      <c r="S5456">
        <v>-2.5084230000000001</v>
      </c>
      <c r="T5456">
        <v>-0.15584400000000001</v>
      </c>
      <c r="U5456">
        <v>-1.913651</v>
      </c>
      <c r="V5456">
        <v>-8.760192E-2</v>
      </c>
      <c r="W5456">
        <v>4.1542790000000003E-2</v>
      </c>
      <c r="X5456">
        <v>0.99528899999999998</v>
      </c>
      <c r="Y5456">
        <v>-0.37711410000000001</v>
      </c>
      <c r="Z5456">
        <v>3.5950969999999998E-3</v>
      </c>
      <c r="AA5456">
        <v>0.92615979999999998</v>
      </c>
      <c r="AB5456">
        <v>28</v>
      </c>
      <c r="AC5456">
        <v>-17.728899999999999</v>
      </c>
      <c r="AD5456">
        <v>-1.117396508745</v>
      </c>
      <c r="AE5456">
        <v>-13.642099999999999</v>
      </c>
      <c r="AF5456">
        <v>-8.5039911883732504</v>
      </c>
      <c r="AG5456">
        <v>-1.117396508745</v>
      </c>
      <c r="AH5456">
        <v>20.630440769642401</v>
      </c>
      <c r="AI5456">
        <v>92.866697726957199</v>
      </c>
      <c r="AJ5456">
        <v>112.40174984546699</v>
      </c>
      <c r="AK5456">
        <v>22.342370676349699</v>
      </c>
      <c r="AL5456">
        <v>87.619088408863405</v>
      </c>
      <c r="AM5456">
        <v>95.030015450903605</v>
      </c>
      <c r="AN5456">
        <v>1.00000004665483</v>
      </c>
    </row>
    <row r="5457" spans="1:40" x14ac:dyDescent="0.25">
      <c r="A5457" t="str">
        <f>"20190312160443196"</f>
        <v>20190312160443196</v>
      </c>
      <c r="B5457" t="str">
        <f>"1552377883190202"</f>
        <v>1552377883190202</v>
      </c>
      <c r="C5457" t="s">
        <v>40</v>
      </c>
      <c r="D5457">
        <v>5.0501050000000003</v>
      </c>
      <c r="E5457">
        <v>0.38434689999999999</v>
      </c>
      <c r="F5457" t="s">
        <v>60</v>
      </c>
      <c r="G5457">
        <v>-415.36020000000002</v>
      </c>
      <c r="H5457" s="1">
        <v>-5.4140850000000002E-6</v>
      </c>
      <c r="I5457">
        <v>128.48079999999999</v>
      </c>
      <c r="J5457">
        <v>-399.66820000000001</v>
      </c>
      <c r="K5457">
        <v>1.1175389999999901</v>
      </c>
      <c r="L5457">
        <v>140.4648</v>
      </c>
      <c r="M5457">
        <v>-0.96228000000000002</v>
      </c>
      <c r="N5457">
        <v>0</v>
      </c>
      <c r="O5457">
        <v>-0.27165869999999998</v>
      </c>
      <c r="P5457">
        <v>-0.93508990000000003</v>
      </c>
      <c r="Q5457">
        <v>2.8167629999999999E-2</v>
      </c>
      <c r="R5457">
        <v>-0.3532904</v>
      </c>
      <c r="S5457">
        <v>-2.5064700000000002</v>
      </c>
      <c r="T5457">
        <v>-0.1755224</v>
      </c>
      <c r="U5457">
        <v>-1.8955230000000001</v>
      </c>
      <c r="V5457">
        <v>-8.6706039999999998E-2</v>
      </c>
      <c r="W5457">
        <v>4.1352689999999998E-2</v>
      </c>
      <c r="X5457">
        <v>0.99537529999999996</v>
      </c>
      <c r="Y5457">
        <v>-0.36365449999999999</v>
      </c>
      <c r="Z5457">
        <v>5.0506470000000001E-3</v>
      </c>
      <c r="AA5457">
        <v>0.93152020000000002</v>
      </c>
      <c r="AB5457">
        <v>28</v>
      </c>
      <c r="AC5457">
        <v>-15.692</v>
      </c>
      <c r="AD5457">
        <v>-1.1175444140849999</v>
      </c>
      <c r="AE5457">
        <v>-11.984</v>
      </c>
      <c r="AF5457">
        <v>-7.2466755842715402</v>
      </c>
      <c r="AG5457">
        <v>-1.1175444140849999</v>
      </c>
      <c r="AH5457">
        <v>18.299042421107298</v>
      </c>
      <c r="AI5457">
        <v>93.249815952049801</v>
      </c>
      <c r="AJ5457">
        <v>111.604255338718</v>
      </c>
      <c r="AK5457">
        <v>19.713400672400802</v>
      </c>
      <c r="AL5457">
        <v>87.629989557853904</v>
      </c>
      <c r="AM5457">
        <v>94.978405297885203</v>
      </c>
      <c r="AN5457">
        <v>0.99999998509640298</v>
      </c>
    </row>
    <row r="5458" spans="1:40" x14ac:dyDescent="0.25">
      <c r="A5458" t="str">
        <f>"20190312160443217"</f>
        <v>20190312160443217</v>
      </c>
      <c r="B5458" t="str">
        <f>"1552377883210696"</f>
        <v>1552377883210696</v>
      </c>
      <c r="C5458" t="s">
        <v>40</v>
      </c>
      <c r="D5458">
        <v>5.0945839999999896</v>
      </c>
      <c r="E5458">
        <v>0.3850576</v>
      </c>
      <c r="F5458" t="s">
        <v>60</v>
      </c>
      <c r="G5458">
        <v>-415.06479999999999</v>
      </c>
      <c r="H5458" s="1">
        <v>-5.4864249999999997E-6</v>
      </c>
      <c r="I5458">
        <v>128.5891</v>
      </c>
      <c r="J5458">
        <v>-399.9169</v>
      </c>
      <c r="K5458">
        <v>1.1176759999999999</v>
      </c>
      <c r="L5458">
        <v>140.3836</v>
      </c>
      <c r="M5458">
        <v>-0.95953809999999995</v>
      </c>
      <c r="N5458">
        <v>0</v>
      </c>
      <c r="O5458">
        <v>-0.2811882</v>
      </c>
      <c r="P5458">
        <v>-0.93173079999999997</v>
      </c>
      <c r="Q5458">
        <v>2.705662E-2</v>
      </c>
      <c r="R5458">
        <v>-0.36214099999999999</v>
      </c>
      <c r="S5458">
        <v>-2.4885250000000001</v>
      </c>
      <c r="T5458">
        <v>-0.18062690000000001</v>
      </c>
      <c r="U5458">
        <v>-1.9194340000000001</v>
      </c>
      <c r="V5458">
        <v>-8.6257139999999996E-2</v>
      </c>
      <c r="W5458">
        <v>4.0252120000000002E-2</v>
      </c>
      <c r="X5458">
        <v>0.99545939999999999</v>
      </c>
      <c r="Y5458">
        <v>-0.36328379999999999</v>
      </c>
      <c r="Z5458">
        <v>5.7851229999999997E-3</v>
      </c>
      <c r="AA5458">
        <v>0.93166059999999995</v>
      </c>
      <c r="AB5458">
        <v>28</v>
      </c>
      <c r="AC5458">
        <v>-15.1478999999999</v>
      </c>
      <c r="AD5458">
        <v>-1.117681486425</v>
      </c>
      <c r="AE5458">
        <v>-11.794499999999999</v>
      </c>
      <c r="AF5458">
        <v>-7.0347938605995601</v>
      </c>
      <c r="AG5458">
        <v>-1.117681486425</v>
      </c>
      <c r="AH5458">
        <v>17.7931166775249</v>
      </c>
      <c r="AI5458">
        <v>93.343162242304004</v>
      </c>
      <c r="AJ5458">
        <v>111.572158989453</v>
      </c>
      <c r="AK5458">
        <v>19.165921257957901</v>
      </c>
      <c r="AL5458">
        <v>87.693100104578207</v>
      </c>
      <c r="AM5458">
        <v>94.952342971098105</v>
      </c>
      <c r="AN5458">
        <v>0.99999997220691605</v>
      </c>
    </row>
    <row r="5459" spans="1:40" x14ac:dyDescent="0.25">
      <c r="A5459" t="str">
        <f>"20190312160443239"</f>
        <v>20190312160443239</v>
      </c>
      <c r="B5459" t="str">
        <f>"1552377883230215"</f>
        <v>1552377883230215</v>
      </c>
      <c r="C5459" t="s">
        <v>40</v>
      </c>
      <c r="D5459">
        <v>5.0654599999999999</v>
      </c>
      <c r="E5459">
        <v>0.38584299999999999</v>
      </c>
      <c r="F5459" t="s">
        <v>60</v>
      </c>
      <c r="G5459">
        <v>-414.68939999999998</v>
      </c>
      <c r="H5459" s="1">
        <v>-5.6174270000000003E-6</v>
      </c>
      <c r="I5459">
        <v>128.80350000000001</v>
      </c>
      <c r="J5459">
        <v>-400.17329999999998</v>
      </c>
      <c r="K5459">
        <v>1.1178090000000001</v>
      </c>
      <c r="L5459">
        <v>140.29689999999999</v>
      </c>
      <c r="M5459">
        <v>-0.95653319999999997</v>
      </c>
      <c r="N5459">
        <v>0</v>
      </c>
      <c r="O5459">
        <v>-0.29124450000000002</v>
      </c>
      <c r="P5459">
        <v>-0.92808769999999996</v>
      </c>
      <c r="Q5459">
        <v>2.61838E-2</v>
      </c>
      <c r="R5459">
        <v>-0.3714404</v>
      </c>
      <c r="S5459">
        <v>-2.4720460000000002</v>
      </c>
      <c r="T5459">
        <v>-0.18703410000000001</v>
      </c>
      <c r="U5459">
        <v>-1.9378359999999999</v>
      </c>
      <c r="V5459">
        <v>-8.5754059999999993E-2</v>
      </c>
      <c r="W5459">
        <v>3.9391170000000003E-2</v>
      </c>
      <c r="X5459">
        <v>0.99553729999999996</v>
      </c>
      <c r="Y5459">
        <v>-0.36082049999999999</v>
      </c>
      <c r="Z5459">
        <v>6.702955E-3</v>
      </c>
      <c r="AA5459">
        <v>0.93261119999999997</v>
      </c>
      <c r="AB5459">
        <v>27</v>
      </c>
      <c r="AC5459">
        <v>-14.5160999999999</v>
      </c>
      <c r="AD5459">
        <v>-1.1178146174270001</v>
      </c>
      <c r="AE5459">
        <v>-11.4933999999999</v>
      </c>
      <c r="AF5459">
        <v>-6.74225726682337</v>
      </c>
      <c r="AG5459">
        <v>-1.1178146174270001</v>
      </c>
      <c r="AH5459">
        <v>17.171835877214701</v>
      </c>
      <c r="AI5459">
        <v>93.467461576294298</v>
      </c>
      <c r="AJ5459">
        <v>111.43669055161899</v>
      </c>
      <c r="AK5459">
        <v>18.481869222699402</v>
      </c>
      <c r="AL5459">
        <v>87.742468060969102</v>
      </c>
      <c r="AM5459">
        <v>94.923218301982104</v>
      </c>
      <c r="AN5459">
        <v>0.99999996938586999</v>
      </c>
    </row>
    <row r="5460" spans="1:40" x14ac:dyDescent="0.25">
      <c r="A5460" t="str">
        <f>"20190312160443263"</f>
        <v>20190312160443263</v>
      </c>
      <c r="B5460" t="str">
        <f>"1552377883250711"</f>
        <v>1552377883250711</v>
      </c>
      <c r="C5460" t="s">
        <v>40</v>
      </c>
      <c r="D5460">
        <v>5.1016250000000003</v>
      </c>
      <c r="E5460">
        <v>0.38630940000000002</v>
      </c>
      <c r="F5460" t="s">
        <v>60</v>
      </c>
      <c r="G5460">
        <v>-414.47570000000002</v>
      </c>
      <c r="H5460" s="1">
        <v>-5.6767049999999997E-6</v>
      </c>
      <c r="I5460">
        <v>128.8955</v>
      </c>
      <c r="J5460">
        <v>-400.42919999999998</v>
      </c>
      <c r="K5460">
        <v>1.117953</v>
      </c>
      <c r="L5460">
        <v>140.2071</v>
      </c>
      <c r="M5460">
        <v>-0.9533471</v>
      </c>
      <c r="N5460">
        <v>0</v>
      </c>
      <c r="O5460">
        <v>-0.30150900000000003</v>
      </c>
      <c r="P5460">
        <v>-0.92417990000000005</v>
      </c>
      <c r="Q5460">
        <v>2.485861E-2</v>
      </c>
      <c r="R5460">
        <v>-0.38114819999999999</v>
      </c>
      <c r="S5460">
        <v>-2.4547119999999998</v>
      </c>
      <c r="T5460">
        <v>-0.1918502</v>
      </c>
      <c r="U5460">
        <v>-1.9568179999999999</v>
      </c>
      <c r="V5460">
        <v>-8.5467420000000002E-2</v>
      </c>
      <c r="W5460">
        <v>3.8075600000000001E-2</v>
      </c>
      <c r="X5460">
        <v>0.99561319999999998</v>
      </c>
      <c r="Y5460">
        <v>-0.35842449999999998</v>
      </c>
      <c r="Z5460">
        <v>7.6195630000000002E-3</v>
      </c>
      <c r="AA5460">
        <v>0.93352760000000001</v>
      </c>
      <c r="AB5460">
        <v>27</v>
      </c>
      <c r="AC5460">
        <v>-14.0465</v>
      </c>
      <c r="AD5460">
        <v>-1.117958676705</v>
      </c>
      <c r="AE5460">
        <v>-11.3116</v>
      </c>
      <c r="AF5460">
        <v>-6.5243900618870097</v>
      </c>
      <c r="AG5460">
        <v>-1.117958676705</v>
      </c>
      <c r="AH5460">
        <v>16.739279025140299</v>
      </c>
      <c r="AI5460">
        <v>93.560749521712793</v>
      </c>
      <c r="AJ5460">
        <v>111.294110537439</v>
      </c>
      <c r="AK5460">
        <v>18.000582200694801</v>
      </c>
      <c r="AL5460">
        <v>87.817901432869505</v>
      </c>
      <c r="AM5460">
        <v>94.906470274857497</v>
      </c>
      <c r="AN5460">
        <v>1.00000003760552</v>
      </c>
    </row>
    <row r="5461" spans="1:40" x14ac:dyDescent="0.25">
      <c r="A5461" t="str">
        <f>"20190312160443285"</f>
        <v>20190312160443285</v>
      </c>
      <c r="B5461" t="str">
        <f>"1552377883280967"</f>
        <v>1552377883280967</v>
      </c>
      <c r="C5461" t="s">
        <v>40</v>
      </c>
      <c r="D5461">
        <v>4.9810059999999998</v>
      </c>
      <c r="E5461">
        <v>0.38702540000000002</v>
      </c>
      <c r="F5461" t="s">
        <v>60</v>
      </c>
      <c r="G5461">
        <v>-414.19200000000001</v>
      </c>
      <c r="H5461" s="1">
        <v>-5.7572370000000001E-6</v>
      </c>
      <c r="I5461">
        <v>129.02119999999999</v>
      </c>
      <c r="J5461">
        <v>-400.68209999999999</v>
      </c>
      <c r="K5461">
        <v>1.1181099999999999</v>
      </c>
      <c r="L5461">
        <v>140.11500000000001</v>
      </c>
      <c r="M5461">
        <v>-0.95000260000000003</v>
      </c>
      <c r="N5461">
        <v>0</v>
      </c>
      <c r="O5461">
        <v>-0.31188510000000003</v>
      </c>
      <c r="P5461">
        <v>-0.9198442</v>
      </c>
      <c r="Q5461">
        <v>2.5266710000000001E-2</v>
      </c>
      <c r="R5461">
        <v>-0.39146969999999998</v>
      </c>
      <c r="S5461">
        <v>-2.435181</v>
      </c>
      <c r="T5461">
        <v>-0.19781199999999999</v>
      </c>
      <c r="U5461">
        <v>-1.979233</v>
      </c>
      <c r="V5461">
        <v>-8.5783670000000006E-2</v>
      </c>
      <c r="W5461">
        <v>3.848062E-2</v>
      </c>
      <c r="X5461">
        <v>0.99557039999999997</v>
      </c>
      <c r="Y5461">
        <v>-0.35709540000000001</v>
      </c>
      <c r="Z5461">
        <v>8.5952130000000009E-3</v>
      </c>
      <c r="AA5461">
        <v>0.93402839999999998</v>
      </c>
      <c r="AB5461">
        <v>27</v>
      </c>
      <c r="AC5461">
        <v>-13.509899999999901</v>
      </c>
      <c r="AD5461">
        <v>-1.118115757237</v>
      </c>
      <c r="AE5461">
        <v>-11.0938</v>
      </c>
      <c r="AF5461">
        <v>-6.3005311632913799</v>
      </c>
      <c r="AG5461">
        <v>-1.118115757237</v>
      </c>
      <c r="AH5461">
        <v>16.2298489896096</v>
      </c>
      <c r="AI5461">
        <v>93.674658969225902</v>
      </c>
      <c r="AJ5461">
        <v>111.21653063468401</v>
      </c>
      <c r="AK5461">
        <v>17.445769516181201</v>
      </c>
      <c r="AL5461">
        <v>87.794678413777007</v>
      </c>
      <c r="AM5461">
        <v>94.924746944954904</v>
      </c>
      <c r="AN5461">
        <v>1.0000000087551999</v>
      </c>
    </row>
    <row r="5462" spans="1:40" x14ac:dyDescent="0.25">
      <c r="A5462" t="str">
        <f>"20190312160443308"</f>
        <v>20190312160443308</v>
      </c>
      <c r="B5462" t="str">
        <f>"1552377883300490"</f>
        <v>1552377883300490</v>
      </c>
      <c r="C5462" t="s">
        <v>40</v>
      </c>
      <c r="D5462">
        <v>5.0812030000000004</v>
      </c>
      <c r="E5462">
        <v>0.3872642</v>
      </c>
      <c r="F5462" t="s">
        <v>60</v>
      </c>
      <c r="G5462">
        <v>-414.82330000000002</v>
      </c>
      <c r="H5462" s="1">
        <v>-5.4034669999999997E-6</v>
      </c>
      <c r="I5462">
        <v>128.39879999999999</v>
      </c>
      <c r="J5462">
        <v>-400.93549999999999</v>
      </c>
      <c r="K5462">
        <v>1.118266</v>
      </c>
      <c r="L5462">
        <v>140.01929999999999</v>
      </c>
      <c r="M5462">
        <v>-0.94644479999999997</v>
      </c>
      <c r="N5462">
        <v>0</v>
      </c>
      <c r="O5462">
        <v>-0.32251869999999999</v>
      </c>
      <c r="P5462">
        <v>-0.91497079999999997</v>
      </c>
      <c r="Q5462">
        <v>2.5760020000000002E-2</v>
      </c>
      <c r="R5462">
        <v>-0.40269749999999999</v>
      </c>
      <c r="S5462">
        <v>-2.4150700000000001</v>
      </c>
      <c r="T5462">
        <v>-0.1909555</v>
      </c>
      <c r="U5462">
        <v>-2.000931</v>
      </c>
      <c r="V5462">
        <v>-8.6833069999999998E-2</v>
      </c>
      <c r="W5462">
        <v>3.8955669999999998E-2</v>
      </c>
      <c r="X5462">
        <v>0.99546089999999998</v>
      </c>
      <c r="Y5462">
        <v>-0.35543930000000001</v>
      </c>
      <c r="Z5462">
        <v>9.0421080000000001E-3</v>
      </c>
      <c r="AA5462">
        <v>0.93465569999999998</v>
      </c>
      <c r="AB5462">
        <v>27</v>
      </c>
      <c r="AC5462">
        <v>-13.8878</v>
      </c>
      <c r="AD5462">
        <v>-1.118271403467</v>
      </c>
      <c r="AE5462">
        <v>-11.6204999999999</v>
      </c>
      <c r="AF5462">
        <v>-6.4950466241716001</v>
      </c>
      <c r="AG5462">
        <v>-1.118271403467</v>
      </c>
      <c r="AH5462">
        <v>16.829573717938899</v>
      </c>
      <c r="AI5462">
        <v>93.547253524044393</v>
      </c>
      <c r="AJ5462">
        <v>111.103124966365</v>
      </c>
      <c r="AK5462">
        <v>18.074034223424299</v>
      </c>
      <c r="AL5462">
        <v>87.767439531212503</v>
      </c>
      <c r="AM5462">
        <v>94.985235692729105</v>
      </c>
      <c r="AN5462">
        <v>0.99999996484979103</v>
      </c>
    </row>
    <row r="5463" spans="1:40" x14ac:dyDescent="0.25">
      <c r="A5463" t="str">
        <f>"20190312160443330"</f>
        <v>20190312160443330</v>
      </c>
      <c r="B5463" t="str">
        <f>"1552377883320983"</f>
        <v>1552377883320983</v>
      </c>
      <c r="C5463" t="s">
        <v>40</v>
      </c>
      <c r="D5463">
        <v>5.0747669999999996</v>
      </c>
      <c r="E5463">
        <v>0.38744149999999999</v>
      </c>
      <c r="F5463" t="s">
        <v>60</v>
      </c>
      <c r="G5463">
        <v>-415.1447</v>
      </c>
      <c r="H5463" s="1">
        <v>-5.1629299999999997E-6</v>
      </c>
      <c r="I5463">
        <v>127.96339999999999</v>
      </c>
      <c r="J5463">
        <v>-401.18520000000001</v>
      </c>
      <c r="K5463">
        <v>1.118414</v>
      </c>
      <c r="L5463">
        <v>139.9213</v>
      </c>
      <c r="M5463">
        <v>-0.94271769999999999</v>
      </c>
      <c r="N5463">
        <v>0</v>
      </c>
      <c r="O5463">
        <v>-0.33325389999999999</v>
      </c>
      <c r="P5463">
        <v>-0.90993109999999999</v>
      </c>
      <c r="Q5463">
        <v>2.4305730000000001E-2</v>
      </c>
      <c r="R5463">
        <v>-0.41404649999999998</v>
      </c>
      <c r="S5463">
        <v>-2.3911739999999999</v>
      </c>
      <c r="T5463">
        <v>-0.18818660000000001</v>
      </c>
      <c r="U5463">
        <v>-2.0288240000000002</v>
      </c>
      <c r="V5463">
        <v>-8.7874659999999993E-2</v>
      </c>
      <c r="W5463">
        <v>3.7484749999999997E-2</v>
      </c>
      <c r="X5463">
        <v>0.99542600000000003</v>
      </c>
      <c r="Y5463">
        <v>-0.35578080000000001</v>
      </c>
      <c r="Z5463">
        <v>9.5863360000000009E-3</v>
      </c>
      <c r="AA5463">
        <v>0.93452029999999997</v>
      </c>
      <c r="AB5463">
        <v>27</v>
      </c>
      <c r="AC5463">
        <v>-13.959499999999901</v>
      </c>
      <c r="AD5463">
        <v>-1.11841916293</v>
      </c>
      <c r="AE5463">
        <v>-11.9579</v>
      </c>
      <c r="AF5463">
        <v>-6.5971868425392897</v>
      </c>
      <c r="AG5463">
        <v>-1.11841916293</v>
      </c>
      <c r="AH5463">
        <v>17.083566389047402</v>
      </c>
      <c r="AI5463">
        <v>93.494824198239399</v>
      </c>
      <c r="AJ5463">
        <v>111.11514092899399</v>
      </c>
      <c r="AK5463">
        <v>18.347260728195199</v>
      </c>
      <c r="AL5463">
        <v>87.851778731156898</v>
      </c>
      <c r="AM5463">
        <v>95.044904358231307</v>
      </c>
      <c r="AN5463">
        <v>0.99999999191433897</v>
      </c>
    </row>
    <row r="5464" spans="1:40" x14ac:dyDescent="0.25">
      <c r="A5464" t="str">
        <f>"20190312160443353"</f>
        <v>20190312160443353</v>
      </c>
      <c r="B5464" t="str">
        <f>"1552377883340503"</f>
        <v>1552377883340503</v>
      </c>
      <c r="C5464" t="s">
        <v>40</v>
      </c>
      <c r="D5464">
        <v>5.0451160000000002</v>
      </c>
      <c r="E5464">
        <v>0.34642149999999999</v>
      </c>
      <c r="F5464" t="s">
        <v>60</v>
      </c>
      <c r="G5464">
        <v>-414.83449999999999</v>
      </c>
      <c r="H5464" s="1">
        <v>-5.2259670000000002E-6</v>
      </c>
      <c r="I5464">
        <v>128.05179999999999</v>
      </c>
      <c r="J5464">
        <v>-401.43119999999999</v>
      </c>
      <c r="K5464">
        <v>1.118544</v>
      </c>
      <c r="L5464">
        <v>139.82130000000001</v>
      </c>
      <c r="M5464">
        <v>-0.9388396</v>
      </c>
      <c r="N5464">
        <v>0</v>
      </c>
      <c r="O5464">
        <v>-0.3440261</v>
      </c>
      <c r="P5464">
        <v>-0.90463309999999997</v>
      </c>
      <c r="Q5464">
        <v>2.2247960000000001E-2</v>
      </c>
      <c r="R5464">
        <v>-0.42560989999999999</v>
      </c>
      <c r="S5464">
        <v>-2.3659059999999998</v>
      </c>
      <c r="T5464">
        <v>-0.1938617</v>
      </c>
      <c r="U5464">
        <v>-2.0574189999999999</v>
      </c>
      <c r="V5464">
        <v>-8.9116409999999993E-2</v>
      </c>
      <c r="W5464">
        <v>3.540807E-2</v>
      </c>
      <c r="X5464">
        <v>0.99539169999999999</v>
      </c>
      <c r="Y5464">
        <v>-0.35646470000000002</v>
      </c>
      <c r="Z5464">
        <v>1.0563990000000001E-2</v>
      </c>
      <c r="AA5464">
        <v>0.934249</v>
      </c>
      <c r="AB5464">
        <v>27</v>
      </c>
      <c r="AC5464">
        <v>-13.4033</v>
      </c>
      <c r="AD5464">
        <v>-1.118549225967</v>
      </c>
      <c r="AE5464">
        <v>-11.769500000000001</v>
      </c>
      <c r="AF5464">
        <v>-6.4140937029849603</v>
      </c>
      <c r="AG5464">
        <v>-1.118549225967</v>
      </c>
      <c r="AH5464">
        <v>16.5692897024656</v>
      </c>
      <c r="AI5464">
        <v>93.602301710354695</v>
      </c>
      <c r="AJ5464">
        <v>111.16178642244699</v>
      </c>
      <c r="AK5464">
        <v>17.802615303539401</v>
      </c>
      <c r="AL5464">
        <v>87.970842978492598</v>
      </c>
      <c r="AM5464">
        <v>95.115993183350596</v>
      </c>
      <c r="AN5464">
        <v>1.0000000511906499</v>
      </c>
    </row>
    <row r="5465" spans="1:40" x14ac:dyDescent="0.25">
      <c r="A5465" t="str">
        <f>"20190312160443374"</f>
        <v>20190312160443374</v>
      </c>
      <c r="B5465" t="str">
        <f>"1552377883370760"</f>
        <v>1552377883370760</v>
      </c>
      <c r="C5465" t="s">
        <v>40</v>
      </c>
      <c r="D5465">
        <v>4.9911699999999897</v>
      </c>
      <c r="E5465">
        <v>0.33737660000000003</v>
      </c>
      <c r="F5465" t="s">
        <v>41</v>
      </c>
      <c r="G5465">
        <v>-423.7817</v>
      </c>
      <c r="H5465" s="1">
        <v>-3.5708869999999998E-6</v>
      </c>
      <c r="I5465">
        <v>115.56740000000001</v>
      </c>
      <c r="J5465">
        <v>-401.67439999999999</v>
      </c>
      <c r="K5465">
        <v>1.1186529999999999</v>
      </c>
      <c r="L5465">
        <v>139.71899999999999</v>
      </c>
      <c r="M5465">
        <v>-0.93479730000000005</v>
      </c>
      <c r="N5465">
        <v>0</v>
      </c>
      <c r="O5465">
        <v>-0.3548617</v>
      </c>
      <c r="P5465">
        <v>-0.89896969999999998</v>
      </c>
      <c r="Q5465">
        <v>2.049494E-2</v>
      </c>
      <c r="R5465">
        <v>-0.43753130000000001</v>
      </c>
      <c r="S5465">
        <v>-2.197174</v>
      </c>
      <c r="T5465">
        <v>-0.1099594</v>
      </c>
      <c r="U5465">
        <v>-2.384293</v>
      </c>
      <c r="V5465">
        <v>-9.0721419999999997E-2</v>
      </c>
      <c r="W5465">
        <v>3.3627669999999998E-2</v>
      </c>
      <c r="X5465">
        <v>0.99530839999999998</v>
      </c>
      <c r="Y5465">
        <v>-0.44694440000000002</v>
      </c>
      <c r="Z5465">
        <v>4.5549659999999997E-3</v>
      </c>
      <c r="AA5465">
        <v>0.89455010000000001</v>
      </c>
      <c r="AB5465">
        <v>27</v>
      </c>
      <c r="AC5465">
        <v>-22.107299999999999</v>
      </c>
      <c r="AD5465">
        <v>-1.118656570887</v>
      </c>
      <c r="AE5465">
        <v>-24.151599999999899</v>
      </c>
      <c r="AF5465">
        <v>-14.716311621646399</v>
      </c>
      <c r="AG5465">
        <v>-1.118656570887</v>
      </c>
      <c r="AH5465">
        <v>29.205551844292899</v>
      </c>
      <c r="AI5465">
        <v>91.959082842749197</v>
      </c>
      <c r="AJ5465">
        <v>116.74296244252101</v>
      </c>
      <c r="AK5465">
        <v>32.722858658721698</v>
      </c>
      <c r="AL5465">
        <v>88.072913126661803</v>
      </c>
      <c r="AM5465">
        <v>95.208064840606298</v>
      </c>
      <c r="AN5465">
        <v>1.0000000036734999</v>
      </c>
    </row>
    <row r="5466" spans="1:40" x14ac:dyDescent="0.25">
      <c r="A5466" t="str">
        <f>"20190312160443396"</f>
        <v>20190312160443396</v>
      </c>
      <c r="B5466" t="str">
        <f>"1552377883390283"</f>
        <v>1552377883390283</v>
      </c>
      <c r="C5466" t="s">
        <v>40</v>
      </c>
      <c r="D5466">
        <v>5.0959289999999999</v>
      </c>
      <c r="E5466">
        <v>0.33707369999999998</v>
      </c>
      <c r="F5466" t="s">
        <v>41</v>
      </c>
      <c r="G5466">
        <v>-432.02350000000001</v>
      </c>
      <c r="H5466">
        <v>7.9985280000000006E-2</v>
      </c>
      <c r="I5466">
        <v>104.4521</v>
      </c>
      <c r="J5466">
        <v>-401.92129999999997</v>
      </c>
      <c r="K5466">
        <v>1.118754</v>
      </c>
      <c r="L5466">
        <v>139.61150000000001</v>
      </c>
      <c r="M5466">
        <v>-0.93046890000000004</v>
      </c>
      <c r="N5466">
        <v>0</v>
      </c>
      <c r="O5466">
        <v>-0.36605929999999998</v>
      </c>
      <c r="P5466">
        <v>-0.89287689999999997</v>
      </c>
      <c r="Q5466">
        <v>1.8951900000000001E-2</v>
      </c>
      <c r="R5466">
        <v>-0.4499013</v>
      </c>
      <c r="S5466">
        <v>-2.1326900000000002</v>
      </c>
      <c r="T5466">
        <v>-7.2989230000000002E-2</v>
      </c>
      <c r="U5466">
        <v>-2.4782709999999999</v>
      </c>
      <c r="V5466">
        <v>-9.2478749999999998E-2</v>
      </c>
      <c r="W5466">
        <v>3.2053529999999997E-2</v>
      </c>
      <c r="X5466">
        <v>0.99519860000000004</v>
      </c>
      <c r="Y5466">
        <v>-0.46652749999999998</v>
      </c>
      <c r="Z5466">
        <v>3.0295589999999998E-3</v>
      </c>
      <c r="AA5466">
        <v>0.88450149999999905</v>
      </c>
      <c r="AB5466">
        <v>27</v>
      </c>
      <c r="AC5466">
        <v>-30.1022</v>
      </c>
      <c r="AD5466">
        <v>-1.03876872</v>
      </c>
      <c r="AE5466">
        <v>-35.159399999999998</v>
      </c>
      <c r="AF5466">
        <v>-21.687090739013499</v>
      </c>
      <c r="AG5466">
        <v>-1.03876872</v>
      </c>
      <c r="AH5466">
        <v>40.863669646032498</v>
      </c>
      <c r="AI5466">
        <v>91.2863064527766</v>
      </c>
      <c r="AJ5466">
        <v>117.955703190964</v>
      </c>
      <c r="AK5466">
        <v>46.273625772311597</v>
      </c>
      <c r="AL5466">
        <v>88.163153384023403</v>
      </c>
      <c r="AM5466">
        <v>95.308959712219306</v>
      </c>
      <c r="AN5466">
        <v>1.00000000071449</v>
      </c>
    </row>
    <row r="5467" spans="1:40" x14ac:dyDescent="0.25">
      <c r="A5467" t="str">
        <f>"20190312160443419"</f>
        <v>20190312160443419</v>
      </c>
      <c r="B5467" t="str">
        <f>"1552377883410578"</f>
        <v>1552377883410578</v>
      </c>
      <c r="C5467" t="s">
        <v>40</v>
      </c>
      <c r="D5467">
        <v>5.0798030000000001</v>
      </c>
      <c r="E5467">
        <v>0.3378853</v>
      </c>
      <c r="F5467" t="s">
        <v>41</v>
      </c>
      <c r="G5467">
        <v>-429.95780000000002</v>
      </c>
      <c r="H5467">
        <v>1.3529040000000001E-2</v>
      </c>
      <c r="I5467">
        <v>106.0703</v>
      </c>
      <c r="J5467">
        <v>-402.16030000000001</v>
      </c>
      <c r="K5467">
        <v>1.118849</v>
      </c>
      <c r="L5467">
        <v>139.50399999999999</v>
      </c>
      <c r="M5467">
        <v>-0.92605700000000002</v>
      </c>
      <c r="N5467">
        <v>0</v>
      </c>
      <c r="O5467">
        <v>-0.37708029999999998</v>
      </c>
      <c r="P5467">
        <v>-0.88643309999999997</v>
      </c>
      <c r="Q5467">
        <v>1.7491610000000001E-2</v>
      </c>
      <c r="R5467">
        <v>-0.4625263</v>
      </c>
      <c r="S5467">
        <v>-2.0973510000000002</v>
      </c>
      <c r="T5467">
        <v>-8.2679749999999996E-2</v>
      </c>
      <c r="U5467">
        <v>-2.5091549999999998</v>
      </c>
      <c r="V5467">
        <v>-9.4752249999999996E-2</v>
      </c>
      <c r="W5467">
        <v>3.0550319999999999E-2</v>
      </c>
      <c r="X5467">
        <v>0.99503200000000003</v>
      </c>
      <c r="Y5467">
        <v>-0.4687133</v>
      </c>
      <c r="Z5467">
        <v>3.7064189999999999E-3</v>
      </c>
      <c r="AA5467">
        <v>0.88334259999999998</v>
      </c>
      <c r="AB5467">
        <v>27</v>
      </c>
      <c r="AC5467">
        <v>-27.797499999999999</v>
      </c>
      <c r="AD5467">
        <v>-1.1053199600000001</v>
      </c>
      <c r="AE5467">
        <v>-33.433699999999902</v>
      </c>
      <c r="AF5467">
        <v>-20.4687385807695</v>
      </c>
      <c r="AG5467">
        <v>-1.1053199600000001</v>
      </c>
      <c r="AH5467">
        <v>38.328878733859803</v>
      </c>
      <c r="AI5467">
        <v>91.457161531988902</v>
      </c>
      <c r="AJ5467">
        <v>118.10351662673</v>
      </c>
      <c r="AK5467">
        <v>43.466008975943303</v>
      </c>
      <c r="AL5467">
        <v>88.249323197924497</v>
      </c>
      <c r="AM5467">
        <v>95.439607178207396</v>
      </c>
      <c r="AN5467">
        <v>0.99999999597808198</v>
      </c>
    </row>
    <row r="5468" spans="1:40" x14ac:dyDescent="0.25">
      <c r="A5468" t="str">
        <f>"20190312160443441"</f>
        <v>20190312160443441</v>
      </c>
      <c r="B5468" t="str">
        <f>"1552377883430097"</f>
        <v>1552377883430097</v>
      </c>
      <c r="C5468" t="s">
        <v>40</v>
      </c>
      <c r="D5468">
        <v>5.063275</v>
      </c>
      <c r="E5468">
        <v>0.33881240000000001</v>
      </c>
      <c r="F5468" t="s">
        <v>41</v>
      </c>
      <c r="G5468">
        <v>-430.33730000000003</v>
      </c>
      <c r="H5468">
        <v>7.9986520000000005E-2</v>
      </c>
      <c r="I5468">
        <v>104.9221</v>
      </c>
      <c r="J5468">
        <v>-402.40219999999999</v>
      </c>
      <c r="K5468">
        <v>1.1189439999999999</v>
      </c>
      <c r="L5468">
        <v>139.3914</v>
      </c>
      <c r="M5468">
        <v>-0.92135599999999995</v>
      </c>
      <c r="N5468">
        <v>0</v>
      </c>
      <c r="O5468">
        <v>-0.38842399999999999</v>
      </c>
      <c r="P5468">
        <v>-0.87990179999999996</v>
      </c>
      <c r="Q5468">
        <v>1.5663320000000001E-2</v>
      </c>
      <c r="R5468">
        <v>-0.47489749999999997</v>
      </c>
      <c r="S5468">
        <v>-2.0640869999999998</v>
      </c>
      <c r="T5468">
        <v>-7.6101059999999998E-2</v>
      </c>
      <c r="U5468">
        <v>-2.533264</v>
      </c>
      <c r="V5468">
        <v>-9.6427100000000002E-2</v>
      </c>
      <c r="W5468">
        <v>2.869147E-2</v>
      </c>
      <c r="X5468">
        <v>0.99492650000000005</v>
      </c>
      <c r="Y5468">
        <v>-0.46895170000000003</v>
      </c>
      <c r="Z5468">
        <v>3.7026289999999998E-3</v>
      </c>
      <c r="AA5468">
        <v>0.88321609999999995</v>
      </c>
      <c r="AB5468">
        <v>27</v>
      </c>
      <c r="AC5468">
        <v>-27.935099999999998</v>
      </c>
      <c r="AD5468">
        <v>-1.0389574800000001</v>
      </c>
      <c r="AE5468">
        <v>-34.469299999999997</v>
      </c>
      <c r="AF5468">
        <v>-20.8987771508124</v>
      </c>
      <c r="AG5468">
        <v>-1.0389574800000001</v>
      </c>
      <c r="AH5468">
        <v>39.109928116023902</v>
      </c>
      <c r="AI5468">
        <v>91.342180908437498</v>
      </c>
      <c r="AJ5468">
        <v>118.11825978300401</v>
      </c>
      <c r="AK5468">
        <v>44.355662505311798</v>
      </c>
      <c r="AL5468">
        <v>88.355874338152603</v>
      </c>
      <c r="AM5468">
        <v>95.5357495031068</v>
      </c>
      <c r="AN5468">
        <v>1.0000000632337001</v>
      </c>
    </row>
    <row r="5469" spans="1:40" x14ac:dyDescent="0.25">
      <c r="A5469" t="str">
        <f>"20190312160443464"</f>
        <v>20190312160443464</v>
      </c>
      <c r="B5469" t="str">
        <f>"1552377883460354"</f>
        <v>1552377883460354</v>
      </c>
      <c r="C5469" t="s">
        <v>40</v>
      </c>
      <c r="D5469">
        <v>5.1175300000000004</v>
      </c>
      <c r="E5469">
        <v>0.3409876</v>
      </c>
      <c r="F5469" t="s">
        <v>41</v>
      </c>
      <c r="G5469">
        <v>-429.96260000000001</v>
      </c>
      <c r="H5469">
        <v>5.482683E-2</v>
      </c>
      <c r="I5469">
        <v>104.7285</v>
      </c>
      <c r="J5469">
        <v>-402.64400000000001</v>
      </c>
      <c r="K5469">
        <v>1.119043</v>
      </c>
      <c r="L5469">
        <v>139.27500000000001</v>
      </c>
      <c r="M5469">
        <v>-0.91641090000000003</v>
      </c>
      <c r="N5469">
        <v>0</v>
      </c>
      <c r="O5469">
        <v>-0.39994980000000002</v>
      </c>
      <c r="P5469">
        <v>-0.87300309999999903</v>
      </c>
      <c r="Q5469">
        <v>1.335919E-2</v>
      </c>
      <c r="R5469">
        <v>-0.48753220000000003</v>
      </c>
      <c r="S5469">
        <v>-2.0317379999999998</v>
      </c>
      <c r="T5469">
        <v>-7.8446150000000006E-2</v>
      </c>
      <c r="U5469">
        <v>-2.5553279999999998</v>
      </c>
      <c r="V5469">
        <v>-9.8232719999999996E-2</v>
      </c>
      <c r="W5469">
        <v>2.6353950000000001E-2</v>
      </c>
      <c r="X5469">
        <v>0.99481450000000005</v>
      </c>
      <c r="Y5469">
        <v>-0.46842990000000001</v>
      </c>
      <c r="Z5469">
        <v>4.1337409999999998E-3</v>
      </c>
      <c r="AA5469">
        <v>0.88349100000000003</v>
      </c>
      <c r="AB5469">
        <v>27</v>
      </c>
      <c r="AC5469">
        <v>-27.3186</v>
      </c>
      <c r="AD5469">
        <v>-1.0642161699999999</v>
      </c>
      <c r="AE5469">
        <v>-34.546500000000002</v>
      </c>
      <c r="AF5469">
        <v>-20.723018490732599</v>
      </c>
      <c r="AG5469">
        <v>-1.0642161699999999</v>
      </c>
      <c r="AH5469">
        <v>38.833747475050899</v>
      </c>
      <c r="AI5469">
        <v>91.384990023030596</v>
      </c>
      <c r="AJ5469">
        <v>118.085909279281</v>
      </c>
      <c r="AK5469">
        <v>44.029944292262698</v>
      </c>
      <c r="AL5469">
        <v>88.489855116075304</v>
      </c>
      <c r="AM5469">
        <v>95.639376502111503</v>
      </c>
      <c r="AN5469">
        <v>1.0000000436847201</v>
      </c>
    </row>
    <row r="5470" spans="1:40" x14ac:dyDescent="0.25">
      <c r="A5470" t="str">
        <f>"20190312160443486"</f>
        <v>20190312160443486</v>
      </c>
      <c r="B5470" t="str">
        <f>"1552377883480848"</f>
        <v>1552377883480848</v>
      </c>
      <c r="C5470" t="s">
        <v>40</v>
      </c>
      <c r="D5470">
        <v>5.1593470000000003</v>
      </c>
      <c r="E5470">
        <v>0.34267160000000002</v>
      </c>
      <c r="F5470" t="s">
        <v>41</v>
      </c>
      <c r="G5470">
        <v>-429.26429999999999</v>
      </c>
      <c r="H5470" s="1">
        <v>-4.6507729999999999E-6</v>
      </c>
      <c r="I5470">
        <v>105.1177</v>
      </c>
      <c r="J5470">
        <v>-402.87709999999998</v>
      </c>
      <c r="K5470">
        <v>1.11914</v>
      </c>
      <c r="L5470">
        <v>139.1591</v>
      </c>
      <c r="M5470">
        <v>-0.91139970000000003</v>
      </c>
      <c r="N5470">
        <v>0</v>
      </c>
      <c r="O5470">
        <v>-0.41123989999999999</v>
      </c>
      <c r="P5470">
        <v>-0.86619449999999998</v>
      </c>
      <c r="Q5470">
        <v>1.148919E-2</v>
      </c>
      <c r="R5470">
        <v>-0.49957479999999999</v>
      </c>
      <c r="S5470">
        <v>-2.0026549999999999</v>
      </c>
      <c r="T5470">
        <v>-8.4186430000000007E-2</v>
      </c>
      <c r="U5470">
        <v>-2.5696720000000002</v>
      </c>
      <c r="V5470">
        <v>-9.9675689999999997E-2</v>
      </c>
      <c r="W5470">
        <v>2.4456749999999999E-2</v>
      </c>
      <c r="X5470">
        <v>0.99471940000000003</v>
      </c>
      <c r="Y5470">
        <v>-0.46610819999999997</v>
      </c>
      <c r="Z5470">
        <v>4.8020090000000003E-3</v>
      </c>
      <c r="AA5470">
        <v>0.88471469999999897</v>
      </c>
      <c r="AB5470">
        <v>27</v>
      </c>
      <c r="AC5470">
        <v>-26.3872</v>
      </c>
      <c r="AD5470">
        <v>-1.1191446507730001</v>
      </c>
      <c r="AE5470">
        <v>-34.041400000000003</v>
      </c>
      <c r="AF5470">
        <v>-20.162583266287101</v>
      </c>
      <c r="AG5470">
        <v>-1.1191446507730001</v>
      </c>
      <c r="AH5470">
        <v>38.0272144512506</v>
      </c>
      <c r="AI5470">
        <v>91.489430777177702</v>
      </c>
      <c r="AJ5470">
        <v>117.933186893818</v>
      </c>
      <c r="AK5470">
        <v>43.056373368419202</v>
      </c>
      <c r="AL5470">
        <v>88.598591758466796</v>
      </c>
      <c r="AM5470">
        <v>95.722212691924</v>
      </c>
      <c r="AN5470">
        <v>1.0000000302669401</v>
      </c>
    </row>
    <row r="5471" spans="1:40" x14ac:dyDescent="0.25">
      <c r="A5471" t="str">
        <f>"20190312160443508"</f>
        <v>20190312160443508</v>
      </c>
      <c r="B5471" t="str">
        <f>"1552377883500931"</f>
        <v>1552377883500931</v>
      </c>
      <c r="C5471" t="s">
        <v>40</v>
      </c>
      <c r="D5471">
        <v>5.1032729999999997</v>
      </c>
      <c r="E5471">
        <v>0.3446747</v>
      </c>
      <c r="F5471" t="s">
        <v>41</v>
      </c>
      <c r="G5471">
        <v>-427.01029999999997</v>
      </c>
      <c r="H5471" s="1">
        <v>-5.1815530000000003E-6</v>
      </c>
      <c r="I5471">
        <v>107.541</v>
      </c>
      <c r="J5471">
        <v>-403.1078</v>
      </c>
      <c r="K5471">
        <v>1.119245</v>
      </c>
      <c r="L5471">
        <v>139.0403</v>
      </c>
      <c r="M5471">
        <v>-0.90618449999999995</v>
      </c>
      <c r="N5471">
        <v>0</v>
      </c>
      <c r="O5471">
        <v>-0.4226066</v>
      </c>
      <c r="P5471">
        <v>-0.85907520000000004</v>
      </c>
      <c r="Q5471">
        <v>1.036334E-2</v>
      </c>
      <c r="R5471">
        <v>-0.51174489999999995</v>
      </c>
      <c r="S5471">
        <v>-1.9734499999999999</v>
      </c>
      <c r="T5471">
        <v>-9.1516020000000003E-2</v>
      </c>
      <c r="U5471">
        <v>-2.5855100000000002</v>
      </c>
      <c r="V5471">
        <v>-0.10124320000000001</v>
      </c>
      <c r="W5471">
        <v>2.3300270000000001E-2</v>
      </c>
      <c r="X5471">
        <v>0.99458880000000005</v>
      </c>
      <c r="Y5471">
        <v>-0.46395530000000001</v>
      </c>
      <c r="Z5471">
        <v>5.6173480000000003E-3</v>
      </c>
      <c r="AA5471">
        <v>0.88584079999999998</v>
      </c>
      <c r="AB5471">
        <v>27</v>
      </c>
      <c r="AC5471">
        <v>-23.9024999999999</v>
      </c>
      <c r="AD5471">
        <v>-1.119250181553</v>
      </c>
      <c r="AE5471">
        <v>-31.499300000000002</v>
      </c>
      <c r="AF5471">
        <v>-18.430208545184801</v>
      </c>
      <c r="AG5471">
        <v>-1.119250181553</v>
      </c>
      <c r="AH5471">
        <v>34.947966831408998</v>
      </c>
      <c r="AI5471">
        <v>91.622660390327098</v>
      </c>
      <c r="AJ5471">
        <v>117.805433774047</v>
      </c>
      <c r="AK5471">
        <v>39.525759874253801</v>
      </c>
      <c r="AL5471">
        <v>88.664872020938404</v>
      </c>
      <c r="AM5471">
        <v>95.8123474550097</v>
      </c>
      <c r="AN5471">
        <v>0.999999984606876</v>
      </c>
    </row>
    <row r="5472" spans="1:40" x14ac:dyDescent="0.25">
      <c r="A5472" t="str">
        <f>"20190312160443531"</f>
        <v>20190312160443531</v>
      </c>
      <c r="B5472" t="str">
        <f>"1552377883520451"</f>
        <v>1552377883520451</v>
      </c>
      <c r="C5472" t="s">
        <v>40</v>
      </c>
      <c r="D5472">
        <v>5.1656279999999999</v>
      </c>
      <c r="E5472">
        <v>0.34561900000000001</v>
      </c>
      <c r="F5472" t="s">
        <v>41</v>
      </c>
      <c r="G5472">
        <v>-424.79570000000001</v>
      </c>
      <c r="H5472" s="1">
        <v>-1.475449E-6</v>
      </c>
      <c r="I5472">
        <v>110.054</v>
      </c>
      <c r="J5472">
        <v>-403.34379999999999</v>
      </c>
      <c r="K5472">
        <v>1.119351</v>
      </c>
      <c r="L5472">
        <v>138.91470000000001</v>
      </c>
      <c r="M5472">
        <v>-0.90057690000000001</v>
      </c>
      <c r="N5472">
        <v>0</v>
      </c>
      <c r="O5472">
        <v>-0.4344266</v>
      </c>
      <c r="P5472">
        <v>-0.85158029999999996</v>
      </c>
      <c r="Q5472">
        <v>9.3306529999999995E-3</v>
      </c>
      <c r="R5472">
        <v>-0.52414119999999997</v>
      </c>
      <c r="S5472">
        <v>-1.944885</v>
      </c>
      <c r="T5472">
        <v>-0.10036970000000001</v>
      </c>
      <c r="U5472">
        <v>-2.59938</v>
      </c>
      <c r="V5472">
        <v>-0.1026223</v>
      </c>
      <c r="W5472">
        <v>2.2241489999999999E-2</v>
      </c>
      <c r="X5472">
        <v>0.99447169999999896</v>
      </c>
      <c r="Y5472">
        <v>-0.46085470000000001</v>
      </c>
      <c r="Z5472">
        <v>6.6317959999999997E-3</v>
      </c>
      <c r="AA5472">
        <v>0.88745079999999998</v>
      </c>
      <c r="AB5472">
        <v>27</v>
      </c>
      <c r="AC5472">
        <v>-21.451899999999998</v>
      </c>
      <c r="AD5472">
        <v>-1.1193524754490001</v>
      </c>
      <c r="AE5472">
        <v>-28.860700000000001</v>
      </c>
      <c r="AF5472">
        <v>-16.657820893439201</v>
      </c>
      <c r="AG5472">
        <v>-1.1193524754490001</v>
      </c>
      <c r="AH5472">
        <v>31.8298406943236</v>
      </c>
      <c r="AI5472">
        <v>91.784635490613397</v>
      </c>
      <c r="AJ5472">
        <v>117.624850354036</v>
      </c>
      <c r="AK5472">
        <v>35.942658575962597</v>
      </c>
      <c r="AL5472">
        <v>88.725551392129901</v>
      </c>
      <c r="AM5472">
        <v>95.891656936959393</v>
      </c>
      <c r="AN5472">
        <v>0.99999999121779903</v>
      </c>
    </row>
    <row r="5473" spans="1:40" x14ac:dyDescent="0.25">
      <c r="A5473" t="str">
        <f>"20190312160443554"</f>
        <v>20190312160443554</v>
      </c>
      <c r="B5473" t="str">
        <f>"1552377883540947"</f>
        <v>1552377883540947</v>
      </c>
      <c r="C5473" t="s">
        <v>40</v>
      </c>
      <c r="D5473">
        <v>5.1449660000000002</v>
      </c>
      <c r="E5473">
        <v>0.36719069999999998</v>
      </c>
      <c r="F5473" t="s">
        <v>41</v>
      </c>
      <c r="G5473">
        <v>-423.93770000000001</v>
      </c>
      <c r="H5473" s="1">
        <v>-1.5110410000000001E-6</v>
      </c>
      <c r="I5473">
        <v>110.6691</v>
      </c>
      <c r="J5473">
        <v>-403.57619999999997</v>
      </c>
      <c r="K5473">
        <v>1.1194440000000001</v>
      </c>
      <c r="L5473">
        <v>138.7868</v>
      </c>
      <c r="M5473">
        <v>-0.89478269999999904</v>
      </c>
      <c r="N5473">
        <v>0</v>
      </c>
      <c r="O5473">
        <v>-0.44623829999999998</v>
      </c>
      <c r="P5473">
        <v>-0.84407790000000005</v>
      </c>
      <c r="Q5473">
        <v>8.0455969999999998E-3</v>
      </c>
      <c r="R5473">
        <v>-0.53616059999999999</v>
      </c>
      <c r="S5473">
        <v>-1.9108890000000001</v>
      </c>
      <c r="T5473">
        <v>-0.1038636</v>
      </c>
      <c r="U5473">
        <v>-2.6208800000000001</v>
      </c>
      <c r="V5473">
        <v>-0.1036058</v>
      </c>
      <c r="W5473">
        <v>2.0941939999999999E-2</v>
      </c>
      <c r="X5473">
        <v>0.99439789999999995</v>
      </c>
      <c r="Y5473">
        <v>-0.46015270000000003</v>
      </c>
      <c r="Z5473">
        <v>7.3040939999999997E-3</v>
      </c>
      <c r="AA5473">
        <v>0.88780979999999998</v>
      </c>
      <c r="AB5473">
        <v>27</v>
      </c>
      <c r="AC5473">
        <v>-20.361499999999999</v>
      </c>
      <c r="AD5473">
        <v>-1.119445511041</v>
      </c>
      <c r="AE5473">
        <v>-28.117699999999999</v>
      </c>
      <c r="AF5473">
        <v>-16.058344303925001</v>
      </c>
      <c r="AG5473">
        <v>-1.119445511041</v>
      </c>
      <c r="AH5473">
        <v>30.737971646291602</v>
      </c>
      <c r="AI5473">
        <v>91.848831664483995</v>
      </c>
      <c r="AJ5473">
        <v>117.583779033048</v>
      </c>
      <c r="AK5473">
        <v>34.6979319407342</v>
      </c>
      <c r="AL5473">
        <v>88.800027447417094</v>
      </c>
      <c r="AM5473">
        <v>95.948156121364093</v>
      </c>
      <c r="AN5473">
        <v>0.99999995508450501</v>
      </c>
    </row>
    <row r="5474" spans="1:40" x14ac:dyDescent="0.25">
      <c r="A5474" t="str">
        <f>"20190312160443576"</f>
        <v>20190312160443576</v>
      </c>
      <c r="B5474" t="str">
        <f>"1552377883570227"</f>
        <v>1552377883570227</v>
      </c>
      <c r="C5474" t="s">
        <v>40</v>
      </c>
      <c r="D5474">
        <v>5.0961270000000001</v>
      </c>
      <c r="E5474">
        <v>0.34201320000000002</v>
      </c>
      <c r="F5474" t="s">
        <v>49</v>
      </c>
      <c r="G5474">
        <v>-404.22449999999998</v>
      </c>
      <c r="H5474">
        <v>1.068859</v>
      </c>
      <c r="I5474">
        <v>137.96170000000001</v>
      </c>
      <c r="J5474">
        <v>-403.80619999999999</v>
      </c>
      <c r="K5474">
        <v>1.119526</v>
      </c>
      <c r="L5474">
        <v>138.65620000000001</v>
      </c>
      <c r="M5474">
        <v>-0.8887813</v>
      </c>
      <c r="N5474">
        <v>0</v>
      </c>
      <c r="O5474">
        <v>-0.45807360000000003</v>
      </c>
      <c r="P5474">
        <v>-0.83632240000000002</v>
      </c>
      <c r="Q5474">
        <v>7.4227449999999997E-3</v>
      </c>
      <c r="R5474">
        <v>-0.5481878</v>
      </c>
      <c r="S5474">
        <v>-1.9660029999999999</v>
      </c>
      <c r="T5474">
        <v>-0.15340519999999999</v>
      </c>
      <c r="U5474">
        <v>-2.5025789999999999</v>
      </c>
      <c r="V5474">
        <v>-0.1046308</v>
      </c>
      <c r="W5474">
        <v>2.0303580000000002E-2</v>
      </c>
      <c r="X5474">
        <v>0.99430390000000002</v>
      </c>
      <c r="Y5474">
        <v>-0.41598809999999897</v>
      </c>
      <c r="Z5474">
        <v>1.2739459999999999E-2</v>
      </c>
      <c r="AA5474">
        <v>0.9092808</v>
      </c>
      <c r="AB5474">
        <v>27</v>
      </c>
      <c r="AC5474">
        <v>-0.41829999999998702</v>
      </c>
      <c r="AD5474">
        <v>-5.0666999999999997E-2</v>
      </c>
      <c r="AE5474">
        <v>-0.694500000000005</v>
      </c>
      <c r="AF5474">
        <v>-0.42404062531258202</v>
      </c>
      <c r="AG5474">
        <v>-5.0666999999999997E-2</v>
      </c>
      <c r="AH5474">
        <v>0.68730656977412197</v>
      </c>
      <c r="AI5474">
        <v>93.589949382468305</v>
      </c>
      <c r="AJ5474">
        <v>121.672923690817</v>
      </c>
      <c r="AK5474">
        <v>0.80917730915983799</v>
      </c>
      <c r="AL5474">
        <v>88.836610665530202</v>
      </c>
      <c r="AM5474">
        <v>96.007138396338505</v>
      </c>
      <c r="AN5474">
        <v>1.0000000426123301</v>
      </c>
    </row>
    <row r="5475" spans="1:40" x14ac:dyDescent="0.25">
      <c r="A5475" t="str">
        <f>"20190312160443598"</f>
        <v>20190312160443598</v>
      </c>
      <c r="B5475" t="str">
        <f>"1552377883590723"</f>
        <v>1552377883590723</v>
      </c>
      <c r="C5475" t="s">
        <v>40</v>
      </c>
      <c r="D5475">
        <v>5.1777110000000004</v>
      </c>
      <c r="E5475">
        <v>0.30763950000000001</v>
      </c>
      <c r="F5475" t="s">
        <v>41</v>
      </c>
      <c r="G5475">
        <v>-429.95780000000002</v>
      </c>
      <c r="H5475">
        <v>4.8145479999999997E-2</v>
      </c>
      <c r="I5475">
        <v>99.861660000000001</v>
      </c>
      <c r="J5475">
        <v>-404.02480000000003</v>
      </c>
      <c r="K5475">
        <v>1.1196010000000001</v>
      </c>
      <c r="L5475">
        <v>138.5282</v>
      </c>
      <c r="M5475">
        <v>-0.88281189999999998</v>
      </c>
      <c r="N5475">
        <v>0</v>
      </c>
      <c r="O5475">
        <v>-0.4694738</v>
      </c>
      <c r="P5475">
        <v>-0.82863659999999995</v>
      </c>
      <c r="Q5475">
        <v>7.6939360000000002E-3</v>
      </c>
      <c r="R5475">
        <v>-0.55973399999999995</v>
      </c>
      <c r="S5475">
        <v>-1.8190310000000001</v>
      </c>
      <c r="T5475">
        <v>-7.4522140000000001E-2</v>
      </c>
      <c r="U5475">
        <v>-2.6984409999999999</v>
      </c>
      <c r="V5475">
        <v>-0.1056363</v>
      </c>
      <c r="W5475">
        <v>2.055864E-2</v>
      </c>
      <c r="X5475">
        <v>0.99419230000000003</v>
      </c>
      <c r="Y5475">
        <v>-0.46965129999999999</v>
      </c>
      <c r="Z5475">
        <v>5.7079469999999997E-3</v>
      </c>
      <c r="AA5475">
        <v>0.882833599999999</v>
      </c>
      <c r="AB5475">
        <v>27</v>
      </c>
      <c r="AC5475">
        <v>-25.933</v>
      </c>
      <c r="AD5475">
        <v>-1.07145552</v>
      </c>
      <c r="AE5475">
        <v>-38.666539999999998</v>
      </c>
      <c r="AF5475">
        <v>-21.951399944980199</v>
      </c>
      <c r="AG5475">
        <v>-1.07145552</v>
      </c>
      <c r="AH5475">
        <v>41.030033316061498</v>
      </c>
      <c r="AI5475">
        <v>91.319040832478393</v>
      </c>
      <c r="AJ5475">
        <v>118.147141791555</v>
      </c>
      <c r="AK5475">
        <v>46.545414493727797</v>
      </c>
      <c r="AL5475">
        <v>88.821993712095505</v>
      </c>
      <c r="AM5475">
        <v>96.065114385219402</v>
      </c>
      <c r="AN5475">
        <v>1.0000000074678099</v>
      </c>
    </row>
    <row r="5476" spans="1:40" x14ac:dyDescent="0.25">
      <c r="A5476" t="str">
        <f>"20190312160443620"</f>
        <v>20190312160443620</v>
      </c>
      <c r="B5476" t="str">
        <f>"1552377883610861"</f>
        <v>1552377883610861</v>
      </c>
      <c r="C5476" t="s">
        <v>40</v>
      </c>
      <c r="D5476">
        <v>5.1290879999999897</v>
      </c>
      <c r="E5476">
        <v>0.31716539999999999</v>
      </c>
      <c r="F5476" t="s">
        <v>99</v>
      </c>
      <c r="G5476">
        <v>-444.20909999999998</v>
      </c>
      <c r="H5476">
        <v>0.88492739999999903</v>
      </c>
      <c r="I5476">
        <v>65.675449999999998</v>
      </c>
      <c r="J5476">
        <v>-404.24959999999999</v>
      </c>
      <c r="K5476">
        <v>1.119675</v>
      </c>
      <c r="L5476">
        <v>138.39230000000001</v>
      </c>
      <c r="M5476">
        <v>-0.87639659999999997</v>
      </c>
      <c r="N5476">
        <v>0</v>
      </c>
      <c r="O5476">
        <v>-0.48134310000000002</v>
      </c>
      <c r="P5476">
        <v>-0.82063589999999997</v>
      </c>
      <c r="Q5476">
        <v>8.0794869999999998E-3</v>
      </c>
      <c r="R5476">
        <v>-0.57139490000000004</v>
      </c>
      <c r="S5476">
        <v>-1.6274409999999999</v>
      </c>
      <c r="T5476">
        <v>-9.5033649999999997E-3</v>
      </c>
      <c r="U5476">
        <v>-2.950485</v>
      </c>
      <c r="V5476">
        <v>-0.1062944</v>
      </c>
      <c r="W5476">
        <v>2.0938120000000001E-2</v>
      </c>
      <c r="X5476">
        <v>0.99411419999999995</v>
      </c>
      <c r="Y5476">
        <v>-0.53498129999999999</v>
      </c>
      <c r="Z5476">
        <v>6.4086579999999996E-4</v>
      </c>
      <c r="AA5476">
        <v>0.844863699999999</v>
      </c>
      <c r="AB5476">
        <v>27</v>
      </c>
      <c r="AC5476">
        <v>-39.959499999999899</v>
      </c>
      <c r="AD5476">
        <v>-0.2347476</v>
      </c>
      <c r="AE5476">
        <v>-72.716849999999994</v>
      </c>
      <c r="AF5476">
        <v>-44.499506089743498</v>
      </c>
      <c r="AG5476">
        <v>-0.2347476</v>
      </c>
      <c r="AH5476">
        <v>70.029891192213299</v>
      </c>
      <c r="AI5476">
        <v>90.162102550573394</v>
      </c>
      <c r="AJ5476">
        <v>122.433341775721</v>
      </c>
      <c r="AK5476">
        <v>82.972566605234405</v>
      </c>
      <c r="AL5476">
        <v>88.800246387392605</v>
      </c>
      <c r="AM5476">
        <v>96.103090805429204</v>
      </c>
      <c r="AN5476">
        <v>0.99999997349106595</v>
      </c>
    </row>
    <row r="5477" spans="1:40" x14ac:dyDescent="0.25">
      <c r="A5477" t="str">
        <f>"20190312160443643"</f>
        <v>20190312160443643</v>
      </c>
      <c r="B5477" t="str">
        <f>"1552377883630381"</f>
        <v>1552377883630381</v>
      </c>
      <c r="C5477" t="s">
        <v>40</v>
      </c>
      <c r="D5477">
        <v>5.1831469999999999</v>
      </c>
      <c r="E5477">
        <v>0.32367499999999999</v>
      </c>
      <c r="F5477" t="s">
        <v>99</v>
      </c>
      <c r="G5477">
        <v>-444.947</v>
      </c>
      <c r="H5477">
        <v>0.3466439</v>
      </c>
      <c r="I5477">
        <v>65.675449999999998</v>
      </c>
      <c r="J5477">
        <v>-404.46839999999997</v>
      </c>
      <c r="K5477">
        <v>1.1197469999999901</v>
      </c>
      <c r="L5477">
        <v>138.2559</v>
      </c>
      <c r="M5477">
        <v>-0.86987599999999998</v>
      </c>
      <c r="N5477">
        <v>0</v>
      </c>
      <c r="O5477">
        <v>-0.49302810000000002</v>
      </c>
      <c r="P5477">
        <v>-0.81278600000000001</v>
      </c>
      <c r="Q5477">
        <v>8.0561509999999992E-3</v>
      </c>
      <c r="R5477">
        <v>-0.582507199999999</v>
      </c>
      <c r="S5477">
        <v>-1.629181</v>
      </c>
      <c r="T5477">
        <v>-3.0944820000000001E-2</v>
      </c>
      <c r="U5477">
        <v>-2.910965</v>
      </c>
      <c r="V5477">
        <v>-0.10651960000000001</v>
      </c>
      <c r="W5477">
        <v>2.0920009999999999E-2</v>
      </c>
      <c r="X5477">
        <v>0.99409049999999999</v>
      </c>
      <c r="Y5477">
        <v>-0.51835100000000001</v>
      </c>
      <c r="Z5477">
        <v>2.3191079999999998E-3</v>
      </c>
      <c r="AA5477">
        <v>0.85516479999999995</v>
      </c>
      <c r="AB5477">
        <v>27</v>
      </c>
      <c r="AC5477">
        <v>-40.478599999999901</v>
      </c>
      <c r="AD5477">
        <v>-0.77310309999999904</v>
      </c>
      <c r="AE5477">
        <v>-72.580449999999999</v>
      </c>
      <c r="AF5477">
        <v>-43.180329025721598</v>
      </c>
      <c r="AG5477">
        <v>-0.77310309999999904</v>
      </c>
      <c r="AH5477">
        <v>70.997906615207697</v>
      </c>
      <c r="AI5477">
        <v>90.533037810867299</v>
      </c>
      <c r="AJ5477">
        <v>121.307614841518</v>
      </c>
      <c r="AK5477">
        <v>83.101391365695903</v>
      </c>
      <c r="AL5477">
        <v>88.801284269615607</v>
      </c>
      <c r="AM5477">
        <v>96.116067893460496</v>
      </c>
      <c r="AN5477">
        <v>0.99999999709640497</v>
      </c>
    </row>
    <row r="5478" spans="1:40" x14ac:dyDescent="0.25">
      <c r="A5478" t="str">
        <f>"20190312160443665"</f>
        <v>20190312160443665</v>
      </c>
      <c r="B5478" t="str">
        <f>"1552377883660642"</f>
        <v>1552377883660642</v>
      </c>
      <c r="C5478" t="s">
        <v>40</v>
      </c>
      <c r="D5478">
        <v>5.1971119999999997</v>
      </c>
      <c r="E5478">
        <v>0.33038200000000001</v>
      </c>
      <c r="F5478" t="s">
        <v>41</v>
      </c>
      <c r="G5478">
        <v>-434.44260000000003</v>
      </c>
      <c r="H5478">
        <v>7.9986970000000004E-2</v>
      </c>
      <c r="I5478">
        <v>84.755330000000001</v>
      </c>
      <c r="J5478">
        <v>-404.69069999999999</v>
      </c>
      <c r="K5478">
        <v>1.11981</v>
      </c>
      <c r="L5478">
        <v>138.1129</v>
      </c>
      <c r="M5478">
        <v>-0.86296240000000002</v>
      </c>
      <c r="N5478">
        <v>0</v>
      </c>
      <c r="O5478">
        <v>-0.50503050000000005</v>
      </c>
      <c r="P5478">
        <v>-0.80477580000000004</v>
      </c>
      <c r="Q5478">
        <v>7.64430199999999E-3</v>
      </c>
      <c r="R5478">
        <v>-0.59352950000000004</v>
      </c>
      <c r="S5478">
        <v>-1.6196900000000001</v>
      </c>
      <c r="T5478">
        <v>-5.6184530000000003E-2</v>
      </c>
      <c r="U5478">
        <v>-2.8909609999999999</v>
      </c>
      <c r="V5478">
        <v>-0.1062882</v>
      </c>
      <c r="W5478">
        <v>2.0525270000000002E-2</v>
      </c>
      <c r="X5478">
        <v>0.99412350000000005</v>
      </c>
      <c r="Y5478">
        <v>-0.50606490000000004</v>
      </c>
      <c r="Z5478">
        <v>4.5873279999999999E-3</v>
      </c>
      <c r="AA5478">
        <v>0.86248329999999995</v>
      </c>
      <c r="AB5478">
        <v>27</v>
      </c>
      <c r="AC5478">
        <v>-29.751899999999999</v>
      </c>
      <c r="AD5478">
        <v>-1.03982303</v>
      </c>
      <c r="AE5478">
        <v>-53.357570000000003</v>
      </c>
      <c r="AF5478">
        <v>-31.014699140853601</v>
      </c>
      <c r="AG5478">
        <v>-1.03982303</v>
      </c>
      <c r="AH5478">
        <v>52.613047265825202</v>
      </c>
      <c r="AI5478">
        <v>90.9754008086651</v>
      </c>
      <c r="AJ5478">
        <v>120.51879020285701</v>
      </c>
      <c r="AK5478">
        <v>61.082939822239602</v>
      </c>
      <c r="AL5478">
        <v>88.823906067819195</v>
      </c>
      <c r="AM5478">
        <v>96.102680847151404</v>
      </c>
      <c r="AN5478">
        <v>1.00000000071003</v>
      </c>
    </row>
    <row r="5479" spans="1:40" x14ac:dyDescent="0.25">
      <c r="A5479" t="str">
        <f>"20190312160443686"</f>
        <v>20190312160443686</v>
      </c>
      <c r="B5479" t="str">
        <f>"1552377883680156"</f>
        <v>1552377883680156</v>
      </c>
      <c r="C5479" t="s">
        <v>40</v>
      </c>
      <c r="D5479">
        <v>5.0527379999999997</v>
      </c>
      <c r="E5479">
        <v>0.33030290000000001</v>
      </c>
      <c r="F5479" t="s">
        <v>41</v>
      </c>
      <c r="G5479">
        <v>-425.03719999999998</v>
      </c>
      <c r="H5479" s="1">
        <v>-2.4308990000000001E-6</v>
      </c>
      <c r="I5479">
        <v>101.89879999999999</v>
      </c>
      <c r="J5479">
        <v>-404.90480000000002</v>
      </c>
      <c r="K5479">
        <v>1.1198589999999999</v>
      </c>
      <c r="L5479">
        <v>137.971</v>
      </c>
      <c r="M5479">
        <v>-0.85603430000000003</v>
      </c>
      <c r="N5479">
        <v>0</v>
      </c>
      <c r="O5479">
        <v>-0.51668599999999998</v>
      </c>
      <c r="P5479">
        <v>-0.79687600000000003</v>
      </c>
      <c r="Q5479">
        <v>7.5732530000000003E-3</v>
      </c>
      <c r="R5479">
        <v>-0.60409550000000001</v>
      </c>
      <c r="S5479">
        <v>-1.612274</v>
      </c>
      <c r="T5479">
        <v>-8.8735099999999997E-2</v>
      </c>
      <c r="U5479">
        <v>-2.8696440000000001</v>
      </c>
      <c r="V5479">
        <v>-0.1059247</v>
      </c>
      <c r="W5479">
        <v>2.0474740000000002E-2</v>
      </c>
      <c r="X5479">
        <v>0.99416329999999997</v>
      </c>
      <c r="Y5479">
        <v>-0.49327739999999998</v>
      </c>
      <c r="Z5479">
        <v>7.8403650000000002E-3</v>
      </c>
      <c r="AA5479">
        <v>0.86983670000000002</v>
      </c>
      <c r="AB5479">
        <v>27</v>
      </c>
      <c r="AC5479">
        <v>-20.132399999999901</v>
      </c>
      <c r="AD5479">
        <v>-1.119861430899</v>
      </c>
      <c r="AE5479">
        <v>-36.072200000000002</v>
      </c>
      <c r="AF5479">
        <v>-20.464338790087201</v>
      </c>
      <c r="AG5479">
        <v>-1.119861430899</v>
      </c>
      <c r="AH5479">
        <v>35.850000883608502</v>
      </c>
      <c r="AI5479">
        <v>91.553975340196899</v>
      </c>
      <c r="AJ5479">
        <v>119.719120803884</v>
      </c>
      <c r="AK5479">
        <v>41.294864270204499</v>
      </c>
      <c r="AL5479">
        <v>88.826801786739594</v>
      </c>
      <c r="AM5479">
        <v>96.081725036674897</v>
      </c>
      <c r="AN5479">
        <v>0.99999996205752295</v>
      </c>
    </row>
    <row r="5480" spans="1:40" x14ac:dyDescent="0.25">
      <c r="A5480" t="str">
        <f>"20190312160443703"</f>
        <v>20190312160443703</v>
      </c>
      <c r="B5480" t="str">
        <f>"1552377883700873"</f>
        <v>1552377883700873</v>
      </c>
      <c r="C5480" t="s">
        <v>40</v>
      </c>
      <c r="D5480">
        <v>5.0870509999999998</v>
      </c>
      <c r="E5480">
        <v>0.33073010000000003</v>
      </c>
      <c r="F5480" t="s">
        <v>41</v>
      </c>
      <c r="G5480">
        <v>-426.52120000000002</v>
      </c>
      <c r="H5480" s="1">
        <v>-4.9938460000000004E-6</v>
      </c>
      <c r="I5480">
        <v>98.262249999999995</v>
      </c>
      <c r="J5480">
        <v>-405.05950000000001</v>
      </c>
      <c r="K5480">
        <v>1.1198859999999999</v>
      </c>
      <c r="L5480">
        <v>137.86529999999999</v>
      </c>
      <c r="M5480">
        <v>-0.85084309999999996</v>
      </c>
      <c r="N5480">
        <v>0</v>
      </c>
      <c r="O5480">
        <v>-0.52519039999999995</v>
      </c>
      <c r="P5480">
        <v>-0.79089119999999902</v>
      </c>
      <c r="Q5480">
        <v>7.6723529999999998E-3</v>
      </c>
      <c r="R5480">
        <v>-0.61190889999999998</v>
      </c>
      <c r="S5480">
        <v>-1.5738219999999901</v>
      </c>
      <c r="T5480">
        <v>-8.1533670000000003E-2</v>
      </c>
      <c r="U5480">
        <v>-2.8910680000000002</v>
      </c>
      <c r="V5480">
        <v>-0.105807399999999</v>
      </c>
      <c r="W5480">
        <v>2.0585340000000001E-2</v>
      </c>
      <c r="X5480">
        <v>0.99417350000000004</v>
      </c>
      <c r="Y5480">
        <v>-0.49624069999999998</v>
      </c>
      <c r="Z5480">
        <v>7.4101159999999996E-3</v>
      </c>
      <c r="AA5480">
        <v>0.86815339999999996</v>
      </c>
      <c r="AB5480">
        <v>27</v>
      </c>
      <c r="AC5480">
        <v>-21.4617</v>
      </c>
      <c r="AD5480">
        <v>-1.119890993846</v>
      </c>
      <c r="AE5480">
        <v>-39.603050000000003</v>
      </c>
      <c r="AF5480">
        <v>-22.413352377781699</v>
      </c>
      <c r="AG5480">
        <v>-1.119890993846</v>
      </c>
      <c r="AH5480">
        <v>39.04025849584</v>
      </c>
      <c r="AI5480">
        <v>91.425067700623998</v>
      </c>
      <c r="AJ5480">
        <v>119.860508662638</v>
      </c>
      <c r="AK5480">
        <v>45.030592979337001</v>
      </c>
      <c r="AL5480">
        <v>88.820463529214095</v>
      </c>
      <c r="AM5480">
        <v>96.074978720762203</v>
      </c>
      <c r="AN5480">
        <v>0.99999995510996098</v>
      </c>
    </row>
    <row r="5481" spans="1:40" x14ac:dyDescent="0.25">
      <c r="A5481" t="str">
        <f>"20190312160443720"</f>
        <v>20190312160443720</v>
      </c>
      <c r="B5481" t="str">
        <f>"1552377883710634"</f>
        <v>1552377883710634</v>
      </c>
      <c r="C5481" t="s">
        <v>40</v>
      </c>
      <c r="D5481">
        <v>5.0744249999999997</v>
      </c>
      <c r="E5481">
        <v>0.33121070000000002</v>
      </c>
      <c r="F5481" t="s">
        <v>41</v>
      </c>
      <c r="G5481">
        <v>-427.42540000000002</v>
      </c>
      <c r="H5481" s="1">
        <v>-4.3462360000000001E-6</v>
      </c>
      <c r="I5481">
        <v>95.887919999999994</v>
      </c>
      <c r="J5481">
        <v>-405.22230000000002</v>
      </c>
      <c r="K5481">
        <v>1.119907</v>
      </c>
      <c r="L5481">
        <v>137.7517</v>
      </c>
      <c r="M5481">
        <v>-0.84523519999999897</v>
      </c>
      <c r="N5481">
        <v>0</v>
      </c>
      <c r="O5481">
        <v>-0.53416830000000004</v>
      </c>
      <c r="P5481">
        <v>-0.78501750000000003</v>
      </c>
      <c r="Q5481">
        <v>7.8075879999999999E-3</v>
      </c>
      <c r="R5481">
        <v>-0.61942450000000004</v>
      </c>
      <c r="S5481">
        <v>-1.5472109999999999</v>
      </c>
      <c r="T5481">
        <v>-7.7471139999999994E-2</v>
      </c>
      <c r="U5481">
        <v>-2.9038849999999998</v>
      </c>
      <c r="V5481">
        <v>-0.10477019999999999</v>
      </c>
      <c r="W5481">
        <v>2.075697E-2</v>
      </c>
      <c r="X5481">
        <v>0.99427980000000005</v>
      </c>
      <c r="Y5481">
        <v>-0.49483510000000003</v>
      </c>
      <c r="Z5481">
        <v>7.3075500000000003E-3</v>
      </c>
      <c r="AA5481">
        <v>0.86895610000000001</v>
      </c>
      <c r="AB5481">
        <v>27</v>
      </c>
      <c r="AC5481">
        <v>-22.203099999999999</v>
      </c>
      <c r="AD5481">
        <v>-1.119911346236</v>
      </c>
      <c r="AE5481">
        <v>-41.863779999999998</v>
      </c>
      <c r="AF5481">
        <v>-23.514258209642801</v>
      </c>
      <c r="AG5481">
        <v>-1.119911346236</v>
      </c>
      <c r="AH5481">
        <v>41.111155219141402</v>
      </c>
      <c r="AI5481">
        <v>91.354584567769706</v>
      </c>
      <c r="AJ5481">
        <v>119.768167620689</v>
      </c>
      <c r="AK5481">
        <v>47.3740606664187</v>
      </c>
      <c r="AL5481">
        <v>88.810627786450198</v>
      </c>
      <c r="AM5481">
        <v>96.015227820099298</v>
      </c>
      <c r="AN5481">
        <v>0.99999998364983</v>
      </c>
    </row>
    <row r="5482" spans="1:40" x14ac:dyDescent="0.25">
      <c r="A5482" t="str">
        <f>"20190312160443743"</f>
        <v>20190312160443743</v>
      </c>
      <c r="B5482" t="str">
        <f>"1552377883740890"</f>
        <v>1552377883740890</v>
      </c>
      <c r="C5482" t="s">
        <v>40</v>
      </c>
      <c r="D5482">
        <v>4.7837740000000002</v>
      </c>
      <c r="E5482">
        <v>0.33248339999999998</v>
      </c>
      <c r="F5482" t="s">
        <v>41</v>
      </c>
      <c r="G5482">
        <v>-427.4126</v>
      </c>
      <c r="H5482" s="1">
        <v>-4.1198890000000001E-6</v>
      </c>
      <c r="I5482">
        <v>95.229439999999997</v>
      </c>
      <c r="J5482">
        <v>-405.43770000000001</v>
      </c>
      <c r="K5482">
        <v>1.1199170000000001</v>
      </c>
      <c r="L5482">
        <v>137.5976</v>
      </c>
      <c r="M5482">
        <v>-0.83757839999999995</v>
      </c>
      <c r="N5482">
        <v>0</v>
      </c>
      <c r="O5482">
        <v>-0.54609540000000001</v>
      </c>
      <c r="P5482">
        <v>-0.77665150000000005</v>
      </c>
      <c r="Q5482">
        <v>7.7512259999999999E-3</v>
      </c>
      <c r="R5482">
        <v>-0.62988299999999997</v>
      </c>
      <c r="S5482">
        <v>-1.521606</v>
      </c>
      <c r="T5482">
        <v>-7.6793189999999997E-2</v>
      </c>
      <c r="U5482">
        <v>-2.9157869999999999</v>
      </c>
      <c r="V5482">
        <v>-0.10399220000000001</v>
      </c>
      <c r="W5482">
        <v>2.073361E-2</v>
      </c>
      <c r="X5482">
        <v>0.99436199999999997</v>
      </c>
      <c r="Y5482">
        <v>-0.48996149999999999</v>
      </c>
      <c r="Z5482">
        <v>7.6310680000000004E-3</v>
      </c>
      <c r="AA5482">
        <v>0.87171069999999995</v>
      </c>
      <c r="AB5482">
        <v>26</v>
      </c>
      <c r="AC5482">
        <v>-21.974899999999899</v>
      </c>
      <c r="AD5482">
        <v>-1.119921119889</v>
      </c>
      <c r="AE5482">
        <v>-42.368159999999897</v>
      </c>
      <c r="AF5482">
        <v>-23.476183226298101</v>
      </c>
      <c r="AG5482">
        <v>-1.119921119889</v>
      </c>
      <c r="AH5482">
        <v>41.524928133166704</v>
      </c>
      <c r="AI5482">
        <v>91.344920347253804</v>
      </c>
      <c r="AJ5482">
        <v>119.481715058934</v>
      </c>
      <c r="AK5482">
        <v>47.714830594419503</v>
      </c>
      <c r="AL5482">
        <v>88.811966551504</v>
      </c>
      <c r="AM5482">
        <v>95.970393951085796</v>
      </c>
      <c r="AN5482">
        <v>1.0000000236442299</v>
      </c>
    </row>
    <row r="5483" spans="1:40" x14ac:dyDescent="0.25">
      <c r="A5483" t="str">
        <f>"20190312160443767"</f>
        <v>20190312160443767</v>
      </c>
      <c r="B5483" t="str">
        <f>"1552377883760410"</f>
        <v>1552377883760410</v>
      </c>
      <c r="C5483" t="s">
        <v>40</v>
      </c>
      <c r="D5483">
        <v>5.0414399999999997</v>
      </c>
      <c r="E5483">
        <v>0.33322099999999999</v>
      </c>
      <c r="F5483" t="s">
        <v>41</v>
      </c>
      <c r="G5483">
        <v>-428.46910000000003</v>
      </c>
      <c r="H5483" s="1">
        <v>-3.315145E-6</v>
      </c>
      <c r="I5483">
        <v>92.313959999999994</v>
      </c>
      <c r="J5483">
        <v>-405.65010000000001</v>
      </c>
      <c r="K5483">
        <v>1.119909</v>
      </c>
      <c r="L5483">
        <v>137.44110000000001</v>
      </c>
      <c r="M5483">
        <v>-0.82976059999999996</v>
      </c>
      <c r="N5483">
        <v>0</v>
      </c>
      <c r="O5483">
        <v>-0.55790229999999996</v>
      </c>
      <c r="P5483">
        <v>-0.76828430000000003</v>
      </c>
      <c r="Q5483">
        <v>6.3958640000000002E-3</v>
      </c>
      <c r="R5483">
        <v>-0.64007700000000001</v>
      </c>
      <c r="S5483">
        <v>-1.489044</v>
      </c>
      <c r="T5483">
        <v>-7.240605E-2</v>
      </c>
      <c r="U5483">
        <v>-2.9277190000000002</v>
      </c>
      <c r="V5483">
        <v>-0.102993</v>
      </c>
      <c r="W5483">
        <v>1.9416840000000001E-2</v>
      </c>
      <c r="X5483">
        <v>0.9944925</v>
      </c>
      <c r="Y5483">
        <v>-0.48674119999999998</v>
      </c>
      <c r="Z5483">
        <v>7.5460800000000001E-3</v>
      </c>
      <c r="AA5483">
        <v>0.8735136</v>
      </c>
      <c r="AB5483">
        <v>26</v>
      </c>
      <c r="AC5483">
        <v>-22.818999999999999</v>
      </c>
      <c r="AD5483">
        <v>-1.1199123151449999</v>
      </c>
      <c r="AE5483">
        <v>-45.127139999999997</v>
      </c>
      <c r="AF5483">
        <v>-24.704828801049601</v>
      </c>
      <c r="AG5483">
        <v>-1.1199123151449999</v>
      </c>
      <c r="AH5483">
        <v>44.094561983661997</v>
      </c>
      <c r="AI5483">
        <v>91.269314175352207</v>
      </c>
      <c r="AJ5483">
        <v>119.26057057724</v>
      </c>
      <c r="AK5483">
        <v>50.556039858891197</v>
      </c>
      <c r="AL5483">
        <v>88.887427046596301</v>
      </c>
      <c r="AM5483">
        <v>95.912665921929701</v>
      </c>
      <c r="AN5483">
        <v>0.99999995214041604</v>
      </c>
    </row>
    <row r="5484" spans="1:40" x14ac:dyDescent="0.25">
      <c r="A5484" t="str">
        <f>"20190312160443788"</f>
        <v>20190312160443788</v>
      </c>
      <c r="B5484" t="str">
        <f>"1552377883780906"</f>
        <v>1552377883780906</v>
      </c>
      <c r="C5484" t="s">
        <v>40</v>
      </c>
      <c r="D5484">
        <v>5.0866199999999999</v>
      </c>
      <c r="E5484">
        <v>0.33405949999999901</v>
      </c>
      <c r="F5484" t="s">
        <v>41</v>
      </c>
      <c r="G5484">
        <v>-428.48070000000001</v>
      </c>
      <c r="H5484" s="1">
        <v>-2.9482890000000001E-6</v>
      </c>
      <c r="I5484">
        <v>91.229929999999996</v>
      </c>
      <c r="J5484">
        <v>-405.84879999999998</v>
      </c>
      <c r="K5484">
        <v>1.1198939999999999</v>
      </c>
      <c r="L5484">
        <v>137.2902</v>
      </c>
      <c r="M5484">
        <v>-0.82220130000000002</v>
      </c>
      <c r="N5484">
        <v>0</v>
      </c>
      <c r="O5484">
        <v>-0.56898380000000004</v>
      </c>
      <c r="P5484">
        <v>-0.76033339999999905</v>
      </c>
      <c r="Q5484">
        <v>5.2199280000000004E-3</v>
      </c>
      <c r="R5484">
        <v>-0.6495126</v>
      </c>
      <c r="S5484">
        <v>-1.4537960000000001</v>
      </c>
      <c r="T5484">
        <v>-7.1313500000000002E-2</v>
      </c>
      <c r="U5484">
        <v>-2.9426269999999999</v>
      </c>
      <c r="V5484">
        <v>-0.101894</v>
      </c>
      <c r="W5484">
        <v>1.8281220000000001E-2</v>
      </c>
      <c r="X5484">
        <v>0.99462729999999999</v>
      </c>
      <c r="Y5484">
        <v>-0.48518309999999998</v>
      </c>
      <c r="Z5484">
        <v>7.7382529999999996E-3</v>
      </c>
      <c r="AA5484">
        <v>0.87437830000000005</v>
      </c>
      <c r="AB5484">
        <v>26</v>
      </c>
      <c r="AC5484">
        <v>-22.631900000000002</v>
      </c>
      <c r="AD5484">
        <v>-1.119896948289</v>
      </c>
      <c r="AE5484">
        <v>-46.060269999999903</v>
      </c>
      <c r="AF5484">
        <v>-24.984762384615699</v>
      </c>
      <c r="AG5484">
        <v>-1.119896948289</v>
      </c>
      <c r="AH5484">
        <v>44.799625789214097</v>
      </c>
      <c r="AI5484">
        <v>91.250694031008706</v>
      </c>
      <c r="AJ5484">
        <v>119.14841883362701</v>
      </c>
      <c r="AK5484">
        <v>51.307884300993301</v>
      </c>
      <c r="AL5484">
        <v>88.952504927531905</v>
      </c>
      <c r="AM5484">
        <v>95.849226619615294</v>
      </c>
      <c r="AN5484">
        <v>1.0000000280729799</v>
      </c>
    </row>
    <row r="5485" spans="1:40" x14ac:dyDescent="0.25">
      <c r="A5485" t="str">
        <f>"20190312160443810"</f>
        <v>20190312160443810</v>
      </c>
      <c r="B5485" t="str">
        <f>"1552377883800426"</f>
        <v>1552377883800426</v>
      </c>
      <c r="C5485" t="s">
        <v>40</v>
      </c>
      <c r="D5485">
        <v>5.1154840000000004</v>
      </c>
      <c r="E5485">
        <v>0.33521430000000002</v>
      </c>
      <c r="F5485" t="s">
        <v>41</v>
      </c>
      <c r="G5485">
        <v>-428.19970000000001</v>
      </c>
      <c r="H5485" s="1">
        <v>-2.711023E-6</v>
      </c>
      <c r="I5485">
        <v>90.822869999999995</v>
      </c>
      <c r="J5485">
        <v>-406.04750000000001</v>
      </c>
      <c r="K5485">
        <v>1.1198729999999999</v>
      </c>
      <c r="L5485">
        <v>137.13489999999999</v>
      </c>
      <c r="M5485">
        <v>-0.81440040000000002</v>
      </c>
      <c r="N5485">
        <v>0</v>
      </c>
      <c r="O5485">
        <v>-0.58009379999999999</v>
      </c>
      <c r="P5485">
        <v>-0.75213430000000003</v>
      </c>
      <c r="Q5485">
        <v>5.1088440000000004E-3</v>
      </c>
      <c r="R5485">
        <v>-0.65898979999999996</v>
      </c>
      <c r="S5485">
        <v>-1.4215390000000001</v>
      </c>
      <c r="T5485">
        <v>-7.1226479999999995E-2</v>
      </c>
      <c r="U5485">
        <v>-2.955368</v>
      </c>
      <c r="V5485">
        <v>-0.1008516</v>
      </c>
      <c r="W5485">
        <v>1.82078E-2</v>
      </c>
      <c r="X5485">
        <v>0.99473480000000003</v>
      </c>
      <c r="Y5485">
        <v>-0.48252669999999998</v>
      </c>
      <c r="Z5485">
        <v>8.0488929999999997E-3</v>
      </c>
      <c r="AA5485">
        <v>0.87584430000000002</v>
      </c>
      <c r="AB5485">
        <v>26</v>
      </c>
      <c r="AC5485">
        <v>-22.152200000000001</v>
      </c>
      <c r="AD5485">
        <v>-1.119875711023</v>
      </c>
      <c r="AE5485">
        <v>-46.312029999999901</v>
      </c>
      <c r="AF5485">
        <v>-24.857377354113499</v>
      </c>
      <c r="AG5485">
        <v>-1.119875711023</v>
      </c>
      <c r="AH5485">
        <v>44.890181828731201</v>
      </c>
      <c r="AI5485">
        <v>91.250249345401699</v>
      </c>
      <c r="AJ5485">
        <v>118.974943711161</v>
      </c>
      <c r="AK5485">
        <v>51.325157137114402</v>
      </c>
      <c r="AL5485">
        <v>88.956712197961494</v>
      </c>
      <c r="AM5485">
        <v>95.789174787244505</v>
      </c>
      <c r="AN5485">
        <v>0.99999994576721796</v>
      </c>
    </row>
    <row r="5486" spans="1:40" x14ac:dyDescent="0.25">
      <c r="A5486" t="str">
        <f>"20190312160443832"</f>
        <v>20190312160443832</v>
      </c>
      <c r="B5486" t="str">
        <f>"1552377883820921"</f>
        <v>1552377883820921</v>
      </c>
      <c r="C5486" t="s">
        <v>40</v>
      </c>
      <c r="D5486">
        <v>5.1063559999999999</v>
      </c>
      <c r="E5486">
        <v>0.33644580000000002</v>
      </c>
      <c r="F5486" t="s">
        <v>41</v>
      </c>
      <c r="G5486">
        <v>-428.34910000000002</v>
      </c>
      <c r="H5486" s="1">
        <v>-5.7616610000000002E-6</v>
      </c>
      <c r="I5486">
        <v>89.565730000000002</v>
      </c>
      <c r="J5486">
        <v>-406.25040000000001</v>
      </c>
      <c r="K5486">
        <v>1.1198440000000001</v>
      </c>
      <c r="L5486">
        <v>136.9716</v>
      </c>
      <c r="M5486">
        <v>-0.80618540000000005</v>
      </c>
      <c r="N5486">
        <v>0</v>
      </c>
      <c r="O5486">
        <v>-0.59145760000000003</v>
      </c>
      <c r="P5486">
        <v>-0.74391039999999997</v>
      </c>
      <c r="Q5486">
        <v>4.8626720000000002E-3</v>
      </c>
      <c r="R5486">
        <v>-0.66826189999999996</v>
      </c>
      <c r="S5486">
        <v>-1.390503</v>
      </c>
      <c r="T5486">
        <v>-6.9824220000000006E-2</v>
      </c>
      <c r="U5486">
        <v>-2.9659270000000002</v>
      </c>
      <c r="V5486">
        <v>-9.9223489999999998E-2</v>
      </c>
      <c r="W5486">
        <v>1.801328E-2</v>
      </c>
      <c r="X5486">
        <v>0.99490210000000001</v>
      </c>
      <c r="Y5486">
        <v>-0.47894340000000002</v>
      </c>
      <c r="Z5486">
        <v>8.2242319999999997E-3</v>
      </c>
      <c r="AA5486">
        <v>0.87780729999999996</v>
      </c>
      <c r="AB5486">
        <v>26</v>
      </c>
      <c r="AC5486">
        <v>-22.098700000000001</v>
      </c>
      <c r="AD5486">
        <v>-1.1198497616609999</v>
      </c>
      <c r="AE5486">
        <v>-47.405869999999901</v>
      </c>
      <c r="AF5486">
        <v>-25.1390082592551</v>
      </c>
      <c r="AG5486">
        <v>-1.1198497616609999</v>
      </c>
      <c r="AH5486">
        <v>45.838770844016999</v>
      </c>
      <c r="AI5486">
        <v>91.227109296209306</v>
      </c>
      <c r="AJ5486">
        <v>118.741349898075</v>
      </c>
      <c r="AK5486">
        <v>52.291650502139397</v>
      </c>
      <c r="AL5486">
        <v>88.967859241193807</v>
      </c>
      <c r="AM5486">
        <v>95.695384580454601</v>
      </c>
      <c r="AN5486">
        <v>0.99999998390427403</v>
      </c>
    </row>
    <row r="5487" spans="1:40" x14ac:dyDescent="0.25">
      <c r="A5487" t="str">
        <f>"20190312160443865"</f>
        <v>20190312160443865</v>
      </c>
      <c r="B5487" t="str">
        <f>"1552377883860938"</f>
        <v>1552377883860938</v>
      </c>
      <c r="C5487" t="s">
        <v>40</v>
      </c>
      <c r="D5487">
        <v>5.127192</v>
      </c>
      <c r="E5487">
        <v>0.33836430000000001</v>
      </c>
      <c r="F5487" t="s">
        <v>41</v>
      </c>
      <c r="G5487">
        <v>-428.00229999999999</v>
      </c>
      <c r="H5487" s="1">
        <v>-5.6369199999999999E-6</v>
      </c>
      <c r="I5487">
        <v>89.379940000000005</v>
      </c>
      <c r="J5487">
        <v>-406.54390000000001</v>
      </c>
      <c r="K5487">
        <v>1.1197979999999901</v>
      </c>
      <c r="L5487">
        <v>136.72739999999999</v>
      </c>
      <c r="M5487">
        <v>-0.79385090000000003</v>
      </c>
      <c r="N5487">
        <v>0</v>
      </c>
      <c r="O5487">
        <v>-0.60791229999999996</v>
      </c>
      <c r="P5487">
        <v>-0.73104399999999903</v>
      </c>
      <c r="Q5487">
        <v>3.2889059999999999E-3</v>
      </c>
      <c r="R5487">
        <v>-0.6823226</v>
      </c>
      <c r="S5487">
        <v>-1.360077</v>
      </c>
      <c r="T5487">
        <v>-7.0020559999999996E-2</v>
      </c>
      <c r="U5487">
        <v>-2.9757539999999998</v>
      </c>
      <c r="V5487">
        <v>-9.7684590000000002E-2</v>
      </c>
      <c r="W5487">
        <v>1.649049E-2</v>
      </c>
      <c r="X5487">
        <v>0.99508079999999999</v>
      </c>
      <c r="Y5487">
        <v>-0.46937440000000002</v>
      </c>
      <c r="Z5487">
        <v>8.774713E-3</v>
      </c>
      <c r="AA5487">
        <v>0.88295569999999901</v>
      </c>
      <c r="AB5487">
        <v>26</v>
      </c>
      <c r="AC5487">
        <v>-21.458399999999902</v>
      </c>
      <c r="AD5487">
        <v>-1.11980363692</v>
      </c>
      <c r="AE5487">
        <v>-47.347459999999899</v>
      </c>
      <c r="AF5487">
        <v>-24.533600879356801</v>
      </c>
      <c r="AG5487">
        <v>-1.11980363692</v>
      </c>
      <c r="AH5487">
        <v>45.802195920410298</v>
      </c>
      <c r="AI5487">
        <v>91.234628824570095</v>
      </c>
      <c r="AJ5487">
        <v>118.17539237333</v>
      </c>
      <c r="AK5487">
        <v>51.971075449950803</v>
      </c>
      <c r="AL5487">
        <v>89.055121699725106</v>
      </c>
      <c r="AM5487">
        <v>95.606619167908704</v>
      </c>
      <c r="AN5487">
        <v>1.00000000695627</v>
      </c>
    </row>
    <row r="5488" spans="1:40" x14ac:dyDescent="0.25">
      <c r="A5488" t="str">
        <f>"20190312160443888"</f>
        <v>20190312160443888</v>
      </c>
      <c r="B5488" t="str">
        <f>"1552377883880458"</f>
        <v>1552377883880458</v>
      </c>
      <c r="C5488" t="s">
        <v>40</v>
      </c>
      <c r="D5488">
        <v>5.1167160000000003</v>
      </c>
      <c r="E5488">
        <v>0.36030060000000003</v>
      </c>
      <c r="F5488" t="s">
        <v>41</v>
      </c>
      <c r="G5488">
        <v>-426.53339999999997</v>
      </c>
      <c r="H5488" s="1">
        <v>-2.436458E-6</v>
      </c>
      <c r="I5488">
        <v>91.216359999999995</v>
      </c>
      <c r="J5488">
        <v>-406.7364</v>
      </c>
      <c r="K5488">
        <v>1.1197680000000001</v>
      </c>
      <c r="L5488">
        <v>136.56139999999999</v>
      </c>
      <c r="M5488">
        <v>-0.78545659999999995</v>
      </c>
      <c r="N5488">
        <v>0</v>
      </c>
      <c r="O5488">
        <v>-0.6187203</v>
      </c>
      <c r="P5488">
        <v>-0.72269079999999997</v>
      </c>
      <c r="Q5488">
        <v>2.7435839999999999E-3</v>
      </c>
      <c r="R5488">
        <v>-0.69116630000000001</v>
      </c>
      <c r="S5488">
        <v>-1.313293</v>
      </c>
      <c r="T5488">
        <v>-7.3569889999999999E-2</v>
      </c>
      <c r="U5488">
        <v>-2.9900359999999999</v>
      </c>
      <c r="V5488">
        <v>-9.6156920000000007E-2</v>
      </c>
      <c r="W5488">
        <v>1.599035E-2</v>
      </c>
      <c r="X5488">
        <v>0.99523779999999995</v>
      </c>
      <c r="Y5488">
        <v>-0.47040100000000001</v>
      </c>
      <c r="Z5488">
        <v>9.516208E-3</v>
      </c>
      <c r="AA5488">
        <v>0.88240149999999995</v>
      </c>
      <c r="AB5488">
        <v>26</v>
      </c>
      <c r="AC5488">
        <v>-19.796999999999901</v>
      </c>
      <c r="AD5488">
        <v>-1.1197704364579999</v>
      </c>
      <c r="AE5488">
        <v>-45.345039999999997</v>
      </c>
      <c r="AF5488">
        <v>-23.3586322414432</v>
      </c>
      <c r="AG5488">
        <v>-1.1197704364579999</v>
      </c>
      <c r="AH5488">
        <v>43.588557157964402</v>
      </c>
      <c r="AI5488">
        <v>91.297136782362401</v>
      </c>
      <c r="AJ5488">
        <v>118.186371705729</v>
      </c>
      <c r="AK5488">
        <v>49.465562779922799</v>
      </c>
      <c r="AL5488">
        <v>89.083781440780896</v>
      </c>
      <c r="AM5488">
        <v>95.518618737388493</v>
      </c>
      <c r="AN5488">
        <v>1.0000000615529201</v>
      </c>
    </row>
    <row r="5489" spans="1:40" x14ac:dyDescent="0.25">
      <c r="A5489" t="str">
        <f>"20190312160443910"</f>
        <v>20190312160443910</v>
      </c>
      <c r="B5489" t="str">
        <f>"1552377883900953"</f>
        <v>1552377883900953</v>
      </c>
      <c r="C5489" t="s">
        <v>40</v>
      </c>
      <c r="D5489">
        <v>5.1472300000000004</v>
      </c>
      <c r="E5489">
        <v>0.36162329999999998</v>
      </c>
      <c r="F5489" t="s">
        <v>49</v>
      </c>
      <c r="G5489">
        <v>-407.23309999999998</v>
      </c>
      <c r="H5489">
        <v>1.082362</v>
      </c>
      <c r="I5489">
        <v>135.53799999999899</v>
      </c>
      <c r="J5489">
        <v>-406.92720000000003</v>
      </c>
      <c r="K5489">
        <v>1.119756</v>
      </c>
      <c r="L5489">
        <v>136.3921</v>
      </c>
      <c r="M5489">
        <v>-0.77688239999999997</v>
      </c>
      <c r="N5489">
        <v>0</v>
      </c>
      <c r="O5489">
        <v>-0.62945240000000002</v>
      </c>
      <c r="P5489">
        <v>-0.71418009999999998</v>
      </c>
      <c r="Q5489">
        <v>2.756091E-3</v>
      </c>
      <c r="R5489">
        <v>-0.69995680000000005</v>
      </c>
      <c r="S5489">
        <v>-1.3973690000000001</v>
      </c>
      <c r="T5489">
        <v>-0.1052347</v>
      </c>
      <c r="U5489">
        <v>-2.8797609999999998</v>
      </c>
      <c r="V5489">
        <v>-9.4660419999999995E-2</v>
      </c>
      <c r="W5489">
        <v>1.604614E-2</v>
      </c>
      <c r="X5489">
        <v>0.9953803</v>
      </c>
      <c r="Y5489">
        <v>-0.42425069999999998</v>
      </c>
      <c r="Z5489">
        <v>1.5003870000000001E-2</v>
      </c>
      <c r="AA5489">
        <v>0.90542049999999996</v>
      </c>
      <c r="AB5489">
        <v>26</v>
      </c>
      <c r="AC5489">
        <v>-0.30589999999995099</v>
      </c>
      <c r="AD5489">
        <v>-3.73939999999999E-2</v>
      </c>
      <c r="AE5489">
        <v>-0.85410000000001596</v>
      </c>
      <c r="AF5489">
        <v>-0.47024419647111498</v>
      </c>
      <c r="AG5489">
        <v>-3.73939999999999E-2</v>
      </c>
      <c r="AH5489">
        <v>0.77404296000731099</v>
      </c>
      <c r="AI5489">
        <v>92.364280425211803</v>
      </c>
      <c r="AJ5489">
        <v>121.27938887916901</v>
      </c>
      <c r="AK5489">
        <v>0.90646037943621405</v>
      </c>
      <c r="AL5489">
        <v>89.080584449729898</v>
      </c>
      <c r="AM5489">
        <v>95.432476712611802</v>
      </c>
      <c r="AN5489">
        <v>1.00000000767578</v>
      </c>
    </row>
    <row r="5490" spans="1:40" x14ac:dyDescent="0.25">
      <c r="A5490" t="str">
        <f>"20190312160443933"</f>
        <v>20190312160443933</v>
      </c>
      <c r="B5490" t="str">
        <f>"1552377883920474"</f>
        <v>1552377883920474</v>
      </c>
      <c r="C5490" t="s">
        <v>40</v>
      </c>
      <c r="D5490">
        <v>5.1641159999999999</v>
      </c>
      <c r="E5490">
        <v>0.36330780000000001</v>
      </c>
      <c r="F5490" t="s">
        <v>41</v>
      </c>
      <c r="G5490">
        <v>-421.47539999999998</v>
      </c>
      <c r="H5490" s="1">
        <v>-3.280239E-6</v>
      </c>
      <c r="I5490">
        <v>105.7004</v>
      </c>
      <c r="J5490">
        <v>-407.11610000000002</v>
      </c>
      <c r="K5490">
        <v>1.1197280000000001</v>
      </c>
      <c r="L5490">
        <v>136.21960000000001</v>
      </c>
      <c r="M5490">
        <v>-0.76813669999999901</v>
      </c>
      <c r="N5490">
        <v>0</v>
      </c>
      <c r="O5490">
        <v>-0.64009589999999905</v>
      </c>
      <c r="P5490">
        <v>-0.70548769999999905</v>
      </c>
      <c r="Q5490">
        <v>3.4824999999999999E-3</v>
      </c>
      <c r="R5490">
        <v>-0.70871379999999995</v>
      </c>
      <c r="S5490">
        <v>-1.3694759999999999</v>
      </c>
      <c r="T5490">
        <v>-0.1054069</v>
      </c>
      <c r="U5490">
        <v>-2.8891140000000002</v>
      </c>
      <c r="V5490">
        <v>-9.3244259999999995E-2</v>
      </c>
      <c r="W5490">
        <v>1.6812790000000001E-2</v>
      </c>
      <c r="X5490">
        <v>0.99550130000000003</v>
      </c>
      <c r="Y5490">
        <v>-0.42003770000000001</v>
      </c>
      <c r="Z5490">
        <v>1.5522050000000001E-2</v>
      </c>
      <c r="AA5490">
        <v>0.90737389999999996</v>
      </c>
      <c r="AB5490">
        <v>26</v>
      </c>
      <c r="AC5490">
        <v>-14.3592999999999</v>
      </c>
      <c r="AD5490">
        <v>-1.119731280239</v>
      </c>
      <c r="AE5490">
        <v>-30.519200000000001</v>
      </c>
      <c r="AF5490">
        <v>-14.2376304204221</v>
      </c>
      <c r="AG5490">
        <v>-1.119731280239</v>
      </c>
      <c r="AH5490">
        <v>30.535184432603302</v>
      </c>
      <c r="AI5490">
        <v>91.903522875388802</v>
      </c>
      <c r="AJ5490">
        <v>114.99821223990099</v>
      </c>
      <c r="AK5490">
        <v>33.709960048353302</v>
      </c>
      <c r="AL5490">
        <v>89.036652702754793</v>
      </c>
      <c r="AM5490">
        <v>95.351033280598998</v>
      </c>
      <c r="AN5490">
        <v>1.00000000011611</v>
      </c>
    </row>
    <row r="5491" spans="1:40" x14ac:dyDescent="0.25">
      <c r="A5491" t="str">
        <f>"20190312160443956"</f>
        <v>20190312160443956</v>
      </c>
      <c r="B5491" t="str">
        <f>"1552377883950730"</f>
        <v>1552377883950730</v>
      </c>
      <c r="C5491" t="s">
        <v>40</v>
      </c>
      <c r="D5491">
        <v>5.1380499999999998</v>
      </c>
      <c r="E5491">
        <v>0.36554730000000002</v>
      </c>
      <c r="F5491" t="s">
        <v>41</v>
      </c>
      <c r="G5491">
        <v>-420.91660000000002</v>
      </c>
      <c r="H5491" s="1">
        <v>-3.491203E-6</v>
      </c>
      <c r="I5491">
        <v>106.46129999999999</v>
      </c>
      <c r="J5491">
        <v>-407.30860000000001</v>
      </c>
      <c r="K5491">
        <v>1.1196999999999999</v>
      </c>
      <c r="L5491">
        <v>136.03899999999999</v>
      </c>
      <c r="M5491">
        <v>-0.75896039999999998</v>
      </c>
      <c r="N5491">
        <v>0</v>
      </c>
      <c r="O5491">
        <v>-0.65095009999999998</v>
      </c>
      <c r="P5491">
        <v>-0.69625909999999902</v>
      </c>
      <c r="Q5491">
        <v>2.9007550000000001E-3</v>
      </c>
      <c r="R5491">
        <v>-0.71778509999999995</v>
      </c>
      <c r="S5491">
        <v>-1.3432309999999901</v>
      </c>
      <c r="T5491">
        <v>-0.1089855</v>
      </c>
      <c r="U5491">
        <v>-2.896439</v>
      </c>
      <c r="V5491">
        <v>-9.1960970000000003E-2</v>
      </c>
      <c r="W5491">
        <v>1.6266889999999999E-2</v>
      </c>
      <c r="X5491">
        <v>0.99562969999999895</v>
      </c>
      <c r="Y5491">
        <v>-0.4147708</v>
      </c>
      <c r="Z5491">
        <v>1.6589179999999999E-2</v>
      </c>
      <c r="AA5491">
        <v>0.90977470000000005</v>
      </c>
      <c r="AB5491">
        <v>26</v>
      </c>
      <c r="AC5491">
        <v>-13.608000000000001</v>
      </c>
      <c r="AD5491">
        <v>-1.1197034912029999</v>
      </c>
      <c r="AE5491">
        <v>-29.5777</v>
      </c>
      <c r="AF5491">
        <v>-13.5757693669989</v>
      </c>
      <c r="AG5491">
        <v>-1.1197034912029999</v>
      </c>
      <c r="AH5491">
        <v>29.550185399243599</v>
      </c>
      <c r="AI5491">
        <v>91.972017955241199</v>
      </c>
      <c r="AJ5491">
        <v>114.674713290329</v>
      </c>
      <c r="AK5491">
        <v>32.538726264926702</v>
      </c>
      <c r="AL5491">
        <v>89.067934716168196</v>
      </c>
      <c r="AM5491">
        <v>95.277130732973006</v>
      </c>
      <c r="AN5491">
        <v>0.99999996561784998</v>
      </c>
    </row>
    <row r="5492" spans="1:40" x14ac:dyDescent="0.25">
      <c r="A5492" t="str">
        <f>"20190312160443978"</f>
        <v>20190312160443978</v>
      </c>
      <c r="B5492" t="str">
        <f>"1552377883970250"</f>
        <v>1552377883970250</v>
      </c>
      <c r="C5492" t="s">
        <v>40</v>
      </c>
      <c r="D5492">
        <v>5.1979860000000002</v>
      </c>
      <c r="E5492">
        <v>0.37354589999999999</v>
      </c>
      <c r="F5492" t="s">
        <v>41</v>
      </c>
      <c r="G5492">
        <v>-420.08339999999998</v>
      </c>
      <c r="H5492" s="1">
        <v>-3.9605069999999996E-6</v>
      </c>
      <c r="I5492">
        <v>107.923</v>
      </c>
      <c r="J5492">
        <v>-407.4896</v>
      </c>
      <c r="K5492">
        <v>1.119661</v>
      </c>
      <c r="L5492">
        <v>135.86439999999999</v>
      </c>
      <c r="M5492">
        <v>-0.75007000000000001</v>
      </c>
      <c r="N5492">
        <v>0</v>
      </c>
      <c r="O5492">
        <v>-0.661174699999999</v>
      </c>
      <c r="P5492">
        <v>-0.68677630000000001</v>
      </c>
      <c r="Q5492">
        <v>1.672712E-3</v>
      </c>
      <c r="R5492">
        <v>-0.72686719999999905</v>
      </c>
      <c r="S5492">
        <v>-1.3182370000000001</v>
      </c>
      <c r="T5492">
        <v>-0.1155422</v>
      </c>
      <c r="U5492">
        <v>-2.9012910000000001</v>
      </c>
      <c r="V5492">
        <v>-9.1512650000000001E-2</v>
      </c>
      <c r="W5492">
        <v>1.505253E-2</v>
      </c>
      <c r="X5492">
        <v>0.99569019999999997</v>
      </c>
      <c r="Y5492">
        <v>-0.40950249999999999</v>
      </c>
      <c r="Z5492">
        <v>1.8142149999999999E-2</v>
      </c>
      <c r="AA5492">
        <v>0.91212859999999996</v>
      </c>
      <c r="AB5492">
        <v>26</v>
      </c>
      <c r="AC5492">
        <v>-12.5937999999999</v>
      </c>
      <c r="AD5492">
        <v>-1.1196649605069999</v>
      </c>
      <c r="AE5492">
        <v>-27.941400000000002</v>
      </c>
      <c r="AF5492">
        <v>-12.616001355254401</v>
      </c>
      <c r="AG5492">
        <v>-1.1196649605069999</v>
      </c>
      <c r="AH5492">
        <v>27.886553274013</v>
      </c>
      <c r="AI5492">
        <v>92.095020403230606</v>
      </c>
      <c r="AJ5492">
        <v>114.342208479443</v>
      </c>
      <c r="AK5492">
        <v>30.628042597004701</v>
      </c>
      <c r="AL5492">
        <v>89.137521038977894</v>
      </c>
      <c r="AM5492">
        <v>95.251231014206795</v>
      </c>
      <c r="AN5492">
        <v>1.00000005907273</v>
      </c>
    </row>
    <row r="5493" spans="1:40" x14ac:dyDescent="0.25">
      <c r="A5493" t="str">
        <f>"20190312160443999"</f>
        <v>20190312160443999</v>
      </c>
      <c r="B5493" t="str">
        <f>"1552377883990746"</f>
        <v>1552377883990746</v>
      </c>
      <c r="C5493" t="s">
        <v>40</v>
      </c>
      <c r="D5493">
        <v>5.1841780000000002</v>
      </c>
      <c r="E5493">
        <v>0.37568370000000001</v>
      </c>
      <c r="F5493" t="s">
        <v>41</v>
      </c>
      <c r="G5493">
        <v>-418.45670000000001</v>
      </c>
      <c r="H5493" s="1">
        <v>-1.329686E-6</v>
      </c>
      <c r="I5493">
        <v>112.0942</v>
      </c>
      <c r="J5493">
        <v>-407.66539999999998</v>
      </c>
      <c r="K5493">
        <v>1.119631</v>
      </c>
      <c r="L5493">
        <v>135.6901</v>
      </c>
      <c r="M5493">
        <v>-0.74119279999999998</v>
      </c>
      <c r="N5493">
        <v>0</v>
      </c>
      <c r="O5493">
        <v>-0.67111149999999997</v>
      </c>
      <c r="P5493">
        <v>-0.67723650000000002</v>
      </c>
      <c r="Q5493">
        <v>1.526E-3</v>
      </c>
      <c r="R5493">
        <v>-0.73576439999999999</v>
      </c>
      <c r="S5493">
        <v>-1.326233</v>
      </c>
      <c r="T5493">
        <v>-0.1353992</v>
      </c>
      <c r="U5493">
        <v>-2.8744960000000002</v>
      </c>
      <c r="V5493">
        <v>-9.1227970000000005E-2</v>
      </c>
      <c r="W5493">
        <v>1.4915690000000001E-2</v>
      </c>
      <c r="X5493">
        <v>0.99571829999999995</v>
      </c>
      <c r="Y5493">
        <v>-0.39202189999999998</v>
      </c>
      <c r="Z5493">
        <v>2.221861E-2</v>
      </c>
      <c r="AA5493">
        <v>0.91968749999999999</v>
      </c>
      <c r="AB5493">
        <v>26</v>
      </c>
      <c r="AC5493">
        <v>-10.7913</v>
      </c>
      <c r="AD5493">
        <v>-1.119632329686</v>
      </c>
      <c r="AE5493">
        <v>-23.5959</v>
      </c>
      <c r="AF5493">
        <v>-10.2291414565561</v>
      </c>
      <c r="AG5493">
        <v>-1.119632329686</v>
      </c>
      <c r="AH5493">
        <v>23.7925019665851</v>
      </c>
      <c r="AI5493">
        <v>92.475469487547898</v>
      </c>
      <c r="AJ5493">
        <v>113.26438305889199</v>
      </c>
      <c r="AK5493">
        <v>25.922423909076699</v>
      </c>
      <c r="AL5493">
        <v>89.145362202851501</v>
      </c>
      <c r="AM5493">
        <v>95.234839332237499</v>
      </c>
      <c r="AN5493">
        <v>0.99999997663669304</v>
      </c>
    </row>
    <row r="5494" spans="1:40" x14ac:dyDescent="0.25">
      <c r="A5494" t="str">
        <f>"20190312160444021"</f>
        <v>20190312160444021</v>
      </c>
      <c r="B5494" t="str">
        <f>"1552377884010266"</f>
        <v>1552377884010266</v>
      </c>
      <c r="C5494" t="s">
        <v>40</v>
      </c>
      <c r="D5494">
        <v>5.1715869999999997</v>
      </c>
      <c r="E5494">
        <v>0.3843821</v>
      </c>
      <c r="F5494" t="s">
        <v>41</v>
      </c>
      <c r="G5494">
        <v>-417.92</v>
      </c>
      <c r="H5494" s="1">
        <v>-1.808381E-6</v>
      </c>
      <c r="I5494">
        <v>112.9881</v>
      </c>
      <c r="J5494">
        <v>-407.84230000000002</v>
      </c>
      <c r="K5494">
        <v>1.1195980000000001</v>
      </c>
      <c r="L5494">
        <v>135.5102</v>
      </c>
      <c r="M5494">
        <v>-0.73201609999999995</v>
      </c>
      <c r="N5494">
        <v>0</v>
      </c>
      <c r="O5494">
        <v>-0.68110930000000003</v>
      </c>
      <c r="P5494">
        <v>-0.66721189999999997</v>
      </c>
      <c r="Q5494">
        <v>1.689751E-3</v>
      </c>
      <c r="R5494">
        <v>-0.74486629999999998</v>
      </c>
      <c r="S5494">
        <v>-1.3009949999999999</v>
      </c>
      <c r="T5494">
        <v>-0.1420469</v>
      </c>
      <c r="U5494">
        <v>-2.880188</v>
      </c>
      <c r="V5494">
        <v>-9.1197829999999994E-2</v>
      </c>
      <c r="W5494">
        <v>1.508352E-2</v>
      </c>
      <c r="X5494">
        <v>0.99571849999999995</v>
      </c>
      <c r="Y5494">
        <v>-0.38691219999999998</v>
      </c>
      <c r="Z5494">
        <v>2.397496E-2</v>
      </c>
      <c r="AA5494">
        <v>0.92180479999999998</v>
      </c>
      <c r="AB5494">
        <v>26</v>
      </c>
      <c r="AC5494">
        <v>-10.077699999999901</v>
      </c>
      <c r="AD5494">
        <v>-1.1195998083809999</v>
      </c>
      <c r="AE5494">
        <v>-22.522099999999899</v>
      </c>
      <c r="AF5494">
        <v>-9.60391774165881</v>
      </c>
      <c r="AG5494">
        <v>-1.1195998083809999</v>
      </c>
      <c r="AH5494">
        <v>22.673122938433099</v>
      </c>
      <c r="AI5494">
        <v>92.603398093930096</v>
      </c>
      <c r="AJ5494">
        <v>112.956621975006</v>
      </c>
      <c r="AK5494">
        <v>24.6487168733136</v>
      </c>
      <c r="AL5494">
        <v>89.135745141817395</v>
      </c>
      <c r="AM5494">
        <v>95.2331183987543</v>
      </c>
      <c r="AN5494">
        <v>0.99999994400727299</v>
      </c>
    </row>
    <row r="5495" spans="1:40" x14ac:dyDescent="0.25">
      <c r="A5495" t="str">
        <f>"20190312160444045"</f>
        <v>20190312160444045</v>
      </c>
      <c r="B5495" t="str">
        <f>"1552377884040526"</f>
        <v>1552377884040526</v>
      </c>
      <c r="C5495" t="s">
        <v>40</v>
      </c>
      <c r="D5495">
        <v>5.1943270000000004</v>
      </c>
      <c r="E5495">
        <v>0.38547740000000003</v>
      </c>
      <c r="F5495" t="s">
        <v>41</v>
      </c>
      <c r="G5495">
        <v>-415.83269999999999</v>
      </c>
      <c r="H5495" s="1">
        <v>-4.3929540000000001E-6</v>
      </c>
      <c r="I5495">
        <v>118.1497</v>
      </c>
      <c r="J5495">
        <v>-408.01870000000002</v>
      </c>
      <c r="K5495">
        <v>1.11955</v>
      </c>
      <c r="L5495">
        <v>135.32579999999999</v>
      </c>
      <c r="M5495">
        <v>-0.72261299999999995</v>
      </c>
      <c r="N5495">
        <v>0</v>
      </c>
      <c r="O5495">
        <v>-0.69107719999999995</v>
      </c>
      <c r="P5495">
        <v>-0.65647270000000002</v>
      </c>
      <c r="Q5495">
        <v>1.575566E-3</v>
      </c>
      <c r="R5495">
        <v>-0.75434799999999902</v>
      </c>
      <c r="S5495">
        <v>-1.3127439999999999</v>
      </c>
      <c r="T5495">
        <v>-0.18393899999999999</v>
      </c>
      <c r="U5495">
        <v>-2.8521420000000002</v>
      </c>
      <c r="V5495">
        <v>-9.1811889999999993E-2</v>
      </c>
      <c r="W5495">
        <v>1.49567E-2</v>
      </c>
      <c r="X5495">
        <v>0.99566410000000005</v>
      </c>
      <c r="Y5495">
        <v>-0.36777929999999998</v>
      </c>
      <c r="Z5495">
        <v>3.2380289999999999E-2</v>
      </c>
      <c r="AA5495">
        <v>0.92934919999999999</v>
      </c>
      <c r="AB5495">
        <v>26</v>
      </c>
      <c r="AC5495">
        <v>-7.8139999999999601</v>
      </c>
      <c r="AD5495">
        <v>-1.1195543929539999</v>
      </c>
      <c r="AE5495">
        <v>-17.176099999999899</v>
      </c>
      <c r="AF5495">
        <v>-6.9878496703288304</v>
      </c>
      <c r="AG5495">
        <v>-1.1195543929539999</v>
      </c>
      <c r="AH5495">
        <v>17.457185749977501</v>
      </c>
      <c r="AI5495">
        <v>93.407293361296396</v>
      </c>
      <c r="AJ5495">
        <v>111.815485287892</v>
      </c>
      <c r="AK5495">
        <v>18.837111757462001</v>
      </c>
      <c r="AL5495">
        <v>89.1430123147763</v>
      </c>
      <c r="AM5495">
        <v>95.268443034050094</v>
      </c>
      <c r="AN5495">
        <v>1.00000006302453</v>
      </c>
    </row>
    <row r="5496" spans="1:40" x14ac:dyDescent="0.25">
      <c r="A5496" t="str">
        <f>"20190312160444067"</f>
        <v>20190312160444067</v>
      </c>
      <c r="B5496" t="str">
        <f>"1552377884061018"</f>
        <v>1552377884061018</v>
      </c>
      <c r="C5496" t="s">
        <v>40</v>
      </c>
      <c r="D5496">
        <v>5.2164109999999999</v>
      </c>
      <c r="E5496">
        <v>0.38724180000000002</v>
      </c>
      <c r="F5496" t="s">
        <v>41</v>
      </c>
      <c r="G5496">
        <v>-415.33800000000002</v>
      </c>
      <c r="H5496" s="1">
        <v>-4.8110000000000002E-6</v>
      </c>
      <c r="I5496">
        <v>118.9196</v>
      </c>
      <c r="J5496">
        <v>-408.19400000000002</v>
      </c>
      <c r="K5496">
        <v>1.1194999999999999</v>
      </c>
      <c r="L5496">
        <v>135.13749999999999</v>
      </c>
      <c r="M5496">
        <v>-0.71302200000000004</v>
      </c>
      <c r="N5496">
        <v>0</v>
      </c>
      <c r="O5496">
        <v>-0.70096890000000001</v>
      </c>
      <c r="P5496">
        <v>-0.64582090000000003</v>
      </c>
      <c r="Q5496">
        <v>1.9292300000000001E-3</v>
      </c>
      <c r="R5496">
        <v>-0.76348649999999996</v>
      </c>
      <c r="S5496">
        <v>-1.278168</v>
      </c>
      <c r="T5496">
        <v>-0.19550999999999999</v>
      </c>
      <c r="U5496">
        <v>-2.8650359999999999</v>
      </c>
      <c r="V5496">
        <v>-9.2071570000000005E-2</v>
      </c>
      <c r="W5496">
        <v>1.530666E-2</v>
      </c>
      <c r="X5496">
        <v>0.99563469999999998</v>
      </c>
      <c r="Y5496">
        <v>-0.36591059999999997</v>
      </c>
      <c r="Z5496">
        <v>3.521407E-2</v>
      </c>
      <c r="AA5496">
        <v>0.92998360000000002</v>
      </c>
      <c r="AB5496">
        <v>26</v>
      </c>
      <c r="AC5496">
        <v>-7.1440000000000001</v>
      </c>
      <c r="AD5496">
        <v>-1.1195048110000001</v>
      </c>
      <c r="AE5496">
        <v>-16.217899999999901</v>
      </c>
      <c r="AF5496">
        <v>-6.5307299970737596</v>
      </c>
      <c r="AG5496">
        <v>-1.1195048110000001</v>
      </c>
      <c r="AH5496">
        <v>16.398625703457601</v>
      </c>
      <c r="AI5496">
        <v>93.629047903615202</v>
      </c>
      <c r="AJ5496">
        <v>111.71485133849001</v>
      </c>
      <c r="AK5496">
        <v>17.686680024205501</v>
      </c>
      <c r="AL5496">
        <v>89.122958700255893</v>
      </c>
      <c r="AM5496">
        <v>95.283415175238801</v>
      </c>
      <c r="AN5496">
        <v>0.99999996184335405</v>
      </c>
    </row>
    <row r="5497" spans="1:40" x14ac:dyDescent="0.25">
      <c r="A5497" t="str">
        <f>"20190312160444089"</f>
        <v>20190312160444089</v>
      </c>
      <c r="B5497" t="str">
        <f>"1552377884080539"</f>
        <v>1552377884080539</v>
      </c>
      <c r="C5497" t="s">
        <v>40</v>
      </c>
      <c r="D5497">
        <v>5.1991589999999999</v>
      </c>
      <c r="E5497">
        <v>0.38829069999999999</v>
      </c>
      <c r="F5497" t="s">
        <v>41</v>
      </c>
      <c r="G5497">
        <v>-415.42919999999998</v>
      </c>
      <c r="H5497" s="1">
        <v>-4.607173E-6</v>
      </c>
      <c r="I5497">
        <v>118.48220000000001</v>
      </c>
      <c r="J5497">
        <v>-408.35759999999999</v>
      </c>
      <c r="K5497">
        <v>1.119445</v>
      </c>
      <c r="L5497">
        <v>134.95660000000001</v>
      </c>
      <c r="M5497">
        <v>-0.70384630000000004</v>
      </c>
      <c r="N5497">
        <v>0</v>
      </c>
      <c r="O5497">
        <v>-0.71018210000000004</v>
      </c>
      <c r="P5497">
        <v>-0.63586019999999999</v>
      </c>
      <c r="Q5497">
        <v>2.2266080000000001E-3</v>
      </c>
      <c r="R5497">
        <v>-0.77180109999999902</v>
      </c>
      <c r="S5497">
        <v>-1.248413</v>
      </c>
      <c r="T5497">
        <v>-0.19316829999999999</v>
      </c>
      <c r="U5497">
        <v>-2.8738250000000001</v>
      </c>
      <c r="V5497">
        <v>-9.2046450000000002E-2</v>
      </c>
      <c r="W5497">
        <v>1.5607029999999999E-2</v>
      </c>
      <c r="X5497">
        <v>0.99563239999999997</v>
      </c>
      <c r="Y5497">
        <v>-0.36293920000000002</v>
      </c>
      <c r="Z5497">
        <v>3.5582629999999997E-2</v>
      </c>
      <c r="AA5497">
        <v>0.93113319999999999</v>
      </c>
      <c r="AB5497">
        <v>26</v>
      </c>
      <c r="AC5497">
        <v>-7.0715999999999797</v>
      </c>
      <c r="AD5497">
        <v>-1.119449607173</v>
      </c>
      <c r="AE5497">
        <v>-16.474399999999999</v>
      </c>
      <c r="AF5497">
        <v>-6.54858405572738</v>
      </c>
      <c r="AG5497">
        <v>-1.119449607173</v>
      </c>
      <c r="AH5497">
        <v>16.614381605528902</v>
      </c>
      <c r="AI5497">
        <v>93.586883922728703</v>
      </c>
      <c r="AJ5497">
        <v>111.511955601222</v>
      </c>
      <c r="AK5497">
        <v>17.893428869058699</v>
      </c>
      <c r="AL5497">
        <v>89.105746746061001</v>
      </c>
      <c r="AM5497">
        <v>95.281993981694598</v>
      </c>
      <c r="AN5497">
        <v>1.00000000213639</v>
      </c>
    </row>
    <row r="5498" spans="1:40" x14ac:dyDescent="0.25">
      <c r="A5498" t="str">
        <f>"20190312160444111"</f>
        <v>20190312160444111</v>
      </c>
      <c r="B5498" t="str">
        <f>"1552377884101034"</f>
        <v>1552377884101034</v>
      </c>
      <c r="C5498" t="s">
        <v>40</v>
      </c>
      <c r="D5498">
        <v>5.1932039999999997</v>
      </c>
      <c r="E5498">
        <v>0.39714959999999999</v>
      </c>
      <c r="F5498" t="s">
        <v>41</v>
      </c>
      <c r="G5498">
        <v>-415.38339999999999</v>
      </c>
      <c r="H5498" s="1">
        <v>-4.5400749999999999E-6</v>
      </c>
      <c r="I5498">
        <v>118.3069</v>
      </c>
      <c r="J5498">
        <v>-408.52620000000002</v>
      </c>
      <c r="K5498">
        <v>1.11937999999999</v>
      </c>
      <c r="L5498">
        <v>134.7653</v>
      </c>
      <c r="M5498">
        <v>-0.69416129999999998</v>
      </c>
      <c r="N5498">
        <v>0</v>
      </c>
      <c r="O5498">
        <v>-0.71965199999999996</v>
      </c>
      <c r="P5498">
        <v>-0.6256853</v>
      </c>
      <c r="Q5498">
        <v>2.3195550000000001E-3</v>
      </c>
      <c r="R5498">
        <v>-0.78007249999999995</v>
      </c>
      <c r="S5498">
        <v>-1.217285</v>
      </c>
      <c r="T5498">
        <v>-0.19395570000000001</v>
      </c>
      <c r="U5498">
        <v>-2.884735</v>
      </c>
      <c r="V5498">
        <v>-9.1612849999999996E-2</v>
      </c>
      <c r="W5498">
        <v>1.571144E-2</v>
      </c>
      <c r="X5498">
        <v>0.99567070000000002</v>
      </c>
      <c r="Y5498">
        <v>-0.36011140000000003</v>
      </c>
      <c r="Z5498">
        <v>3.6517769999999998E-2</v>
      </c>
      <c r="AA5498">
        <v>0.93219439999999998</v>
      </c>
      <c r="AB5498">
        <v>26</v>
      </c>
      <c r="AC5498">
        <v>-6.8571999999999704</v>
      </c>
      <c r="AD5498">
        <v>-1.11938454007499</v>
      </c>
      <c r="AE5498">
        <v>-16.458399999999902</v>
      </c>
      <c r="AF5498">
        <v>-6.4652858189162696</v>
      </c>
      <c r="AG5498">
        <v>-1.11938454007499</v>
      </c>
      <c r="AH5498">
        <v>16.541127448596001</v>
      </c>
      <c r="AI5498">
        <v>93.606541245053705</v>
      </c>
      <c r="AJ5498">
        <v>111.348602673317</v>
      </c>
      <c r="AK5498">
        <v>17.7949947945914</v>
      </c>
      <c r="AL5498">
        <v>89.099763716111994</v>
      </c>
      <c r="AM5498">
        <v>95.257050930314605</v>
      </c>
      <c r="AN5498">
        <v>0.99999995323524205</v>
      </c>
    </row>
    <row r="5499" spans="1:40" x14ac:dyDescent="0.25">
      <c r="A5499" t="str">
        <f>"20190312160444134"</f>
        <v>20190312160444134</v>
      </c>
      <c r="B5499" t="str">
        <f>"1552377884130315"</f>
        <v>1552377884130315</v>
      </c>
      <c r="C5499" t="s">
        <v>40</v>
      </c>
      <c r="D5499">
        <v>5.1483949999999998</v>
      </c>
      <c r="E5499">
        <v>0.37476029999999999</v>
      </c>
      <c r="F5499" t="s">
        <v>60</v>
      </c>
      <c r="G5499">
        <v>-414.7355</v>
      </c>
      <c r="H5499" s="1">
        <v>-1.6861799999999999E-6</v>
      </c>
      <c r="I5499">
        <v>120.393</v>
      </c>
      <c r="J5499">
        <v>-408.68869999999998</v>
      </c>
      <c r="K5499">
        <v>1.1193109999999999</v>
      </c>
      <c r="L5499">
        <v>134.57599999999999</v>
      </c>
      <c r="M5499">
        <v>-0.68460679999999996</v>
      </c>
      <c r="N5499">
        <v>0</v>
      </c>
      <c r="O5499">
        <v>-0.72874749999999999</v>
      </c>
      <c r="P5499">
        <v>-0.61538999999999999</v>
      </c>
      <c r="Q5499">
        <v>2.1975470000000002E-3</v>
      </c>
      <c r="R5499">
        <v>-0.78822019999999904</v>
      </c>
      <c r="S5499">
        <v>-1.2341310000000001</v>
      </c>
      <c r="T5499">
        <v>-0.22248290000000001</v>
      </c>
      <c r="U5499">
        <v>-2.8565670000000001</v>
      </c>
      <c r="V5499">
        <v>-9.1543700000000006E-2</v>
      </c>
      <c r="W5499">
        <v>1.559225E-2</v>
      </c>
      <c r="X5499">
        <v>0.99567899999999998</v>
      </c>
      <c r="Y5499">
        <v>-0.3399258</v>
      </c>
      <c r="Z5499">
        <v>4.3446529999999997E-2</v>
      </c>
      <c r="AA5499">
        <v>0.93944819999999996</v>
      </c>
      <c r="AB5499">
        <v>26</v>
      </c>
      <c r="AC5499">
        <v>-6.0468000000000099</v>
      </c>
      <c r="AD5499">
        <v>-1.11931268618</v>
      </c>
      <c r="AE5499">
        <v>-14.183</v>
      </c>
      <c r="AF5499">
        <v>-5.27601980589096</v>
      </c>
      <c r="AG5499">
        <v>-1.11931268618</v>
      </c>
      <c r="AH5499">
        <v>14.4013486526724</v>
      </c>
      <c r="AI5499">
        <v>94.174011444325899</v>
      </c>
      <c r="AJ5499">
        <v>110.120609062341</v>
      </c>
      <c r="AK5499">
        <v>15.3781692310049</v>
      </c>
      <c r="AL5499">
        <v>89.106593695943005</v>
      </c>
      <c r="AM5499">
        <v>95.253061535464994</v>
      </c>
      <c r="AN5499">
        <v>1.00000001915537</v>
      </c>
    </row>
    <row r="5500" spans="1:40" x14ac:dyDescent="0.25">
      <c r="A5500" t="str">
        <f>"20190312160444156"</f>
        <v>20190312160444156</v>
      </c>
      <c r="B5500" t="str">
        <f>"1552377884150810"</f>
        <v>1552377884150810</v>
      </c>
      <c r="C5500" t="s">
        <v>40</v>
      </c>
      <c r="D5500">
        <v>5.1741570000000001</v>
      </c>
      <c r="E5500">
        <v>0.370116</v>
      </c>
      <c r="F5500" t="s">
        <v>41</v>
      </c>
      <c r="G5500">
        <v>-416.37889999999999</v>
      </c>
      <c r="H5500" s="1">
        <v>-2.0580559999999999E-6</v>
      </c>
      <c r="I5500">
        <v>112.86450000000001</v>
      </c>
      <c r="J5500">
        <v>-408.85340000000002</v>
      </c>
      <c r="K5500">
        <v>1.119224</v>
      </c>
      <c r="L5500">
        <v>134.37889999999999</v>
      </c>
      <c r="M5500">
        <v>-0.67470569999999996</v>
      </c>
      <c r="N5500">
        <v>0</v>
      </c>
      <c r="O5500">
        <v>-0.73792400000000002</v>
      </c>
      <c r="P5500">
        <v>-0.60541690000000004</v>
      </c>
      <c r="Q5500">
        <v>2.4008639999999999E-3</v>
      </c>
      <c r="R5500">
        <v>-0.79590490000000003</v>
      </c>
      <c r="S5500">
        <v>-1.0561830000000001</v>
      </c>
      <c r="T5500">
        <v>-0.15372769999999999</v>
      </c>
      <c r="U5500">
        <v>-2.9818730000000002</v>
      </c>
      <c r="V5500">
        <v>-9.0637930000000005E-2</v>
      </c>
      <c r="W5500">
        <v>1.581728E-2</v>
      </c>
      <c r="X5500">
        <v>0.99575829999999999</v>
      </c>
      <c r="Y5500">
        <v>-0.3898124</v>
      </c>
      <c r="Z5500">
        <v>2.918221E-2</v>
      </c>
      <c r="AA5500">
        <v>0.92043180000000002</v>
      </c>
      <c r="AB5500">
        <v>26</v>
      </c>
      <c r="AC5500">
        <v>-7.5254999999999601</v>
      </c>
      <c r="AD5500">
        <v>-1.1192260580560001</v>
      </c>
      <c r="AE5500">
        <v>-21.514399999999899</v>
      </c>
      <c r="AF5500">
        <v>-8.9421566448158298</v>
      </c>
      <c r="AG5500">
        <v>-1.1192260580560001</v>
      </c>
      <c r="AH5500">
        <v>20.905599507408599</v>
      </c>
      <c r="AI5500">
        <v>92.818007597345897</v>
      </c>
      <c r="AJ5500">
        <v>113.158322656632</v>
      </c>
      <c r="AK5500">
        <v>22.7653008588426</v>
      </c>
      <c r="AL5500">
        <v>89.093698825011799</v>
      </c>
      <c r="AM5500">
        <v>95.200960192689905</v>
      </c>
      <c r="AN5500">
        <v>1.00000000636008</v>
      </c>
    </row>
    <row r="5501" spans="1:40" x14ac:dyDescent="0.25">
      <c r="A5501" t="str">
        <f>"20190312160444179"</f>
        <v>20190312160444179</v>
      </c>
      <c r="B5501" t="str">
        <f>"1552377884170330"</f>
        <v>1552377884170330</v>
      </c>
      <c r="C5501" t="s">
        <v>40</v>
      </c>
      <c r="D5501">
        <v>5.1498419999999996</v>
      </c>
      <c r="E5501">
        <v>0.3696836</v>
      </c>
      <c r="F5501" t="s">
        <v>41</v>
      </c>
      <c r="G5501">
        <v>-416.96910000000003</v>
      </c>
      <c r="H5501" s="1">
        <v>-8.0344530000000001E-7</v>
      </c>
      <c r="I5501">
        <v>109.63930000000001</v>
      </c>
      <c r="J5501">
        <v>-409.01319999999998</v>
      </c>
      <c r="K5501">
        <v>1.119146</v>
      </c>
      <c r="L5501">
        <v>134.18270000000001</v>
      </c>
      <c r="M5501">
        <v>-0.66490130000000003</v>
      </c>
      <c r="N5501">
        <v>0</v>
      </c>
      <c r="O5501">
        <v>-0.74677069999999901</v>
      </c>
      <c r="P5501">
        <v>-0.59559669999999998</v>
      </c>
      <c r="Q5501">
        <v>2.4224649999999999E-3</v>
      </c>
      <c r="R5501">
        <v>-0.8032802</v>
      </c>
      <c r="S5501">
        <v>-0.98968509999999998</v>
      </c>
      <c r="T5501">
        <v>-0.13648489999999999</v>
      </c>
      <c r="U5501">
        <v>-3.0168910000000002</v>
      </c>
      <c r="V5501">
        <v>-8.9712899999999901E-2</v>
      </c>
      <c r="W5501">
        <v>1.586067E-2</v>
      </c>
      <c r="X5501">
        <v>0.99584139999999999</v>
      </c>
      <c r="Y5501">
        <v>-0.3991614</v>
      </c>
      <c r="Z5501">
        <v>2.6132880000000001E-2</v>
      </c>
      <c r="AA5501">
        <v>0.91650810000000005</v>
      </c>
      <c r="AB5501">
        <v>26</v>
      </c>
      <c r="AC5501">
        <v>-7.9559000000000397</v>
      </c>
      <c r="AD5501">
        <v>-1.1191468034453</v>
      </c>
      <c r="AE5501">
        <v>-24.543399999999998</v>
      </c>
      <c r="AF5501">
        <v>-10.359458307089399</v>
      </c>
      <c r="AG5501">
        <v>-1.1191468034453</v>
      </c>
      <c r="AH5501">
        <v>23.576652114487199</v>
      </c>
      <c r="AI5501">
        <v>92.4884092844962</v>
      </c>
      <c r="AJ5501">
        <v>113.7204368339</v>
      </c>
      <c r="AK5501">
        <v>25.7765279064411</v>
      </c>
      <c r="AL5501">
        <v>89.091212470389394</v>
      </c>
      <c r="AM5501">
        <v>95.147739779371705</v>
      </c>
      <c r="AN5501">
        <v>1.0000000296166001</v>
      </c>
    </row>
    <row r="5502" spans="1:40" x14ac:dyDescent="0.25">
      <c r="A5502" t="str">
        <f>"20190312160444201"</f>
        <v>20190312160444201</v>
      </c>
      <c r="B5502" t="str">
        <f>"1552377884190826"</f>
        <v>1552377884190826</v>
      </c>
      <c r="C5502" t="s">
        <v>40</v>
      </c>
      <c r="D5502">
        <v>5.1308379999999998</v>
      </c>
      <c r="E5502">
        <v>0.3700061</v>
      </c>
      <c r="F5502" t="s">
        <v>41</v>
      </c>
      <c r="G5502">
        <v>-416.93329999999997</v>
      </c>
      <c r="H5502" s="1">
        <v>-4.923718E-6</v>
      </c>
      <c r="I5502">
        <v>108.8965</v>
      </c>
      <c r="J5502">
        <v>-409.16370000000001</v>
      </c>
      <c r="K5502">
        <v>1.1190580000000001</v>
      </c>
      <c r="L5502">
        <v>133.99289999999999</v>
      </c>
      <c r="M5502">
        <v>-0.65547749999999905</v>
      </c>
      <c r="N5502">
        <v>0</v>
      </c>
      <c r="O5502">
        <v>-0.75505639999999996</v>
      </c>
      <c r="P5502">
        <v>-0.58615890000000004</v>
      </c>
      <c r="Q5502">
        <v>2.1244879999999999E-3</v>
      </c>
      <c r="R5502">
        <v>-0.81019350000000001</v>
      </c>
      <c r="S5502">
        <v>-0.94943239999999995</v>
      </c>
      <c r="T5502">
        <v>-0.1341579</v>
      </c>
      <c r="U5502">
        <v>-3.031174</v>
      </c>
      <c r="V5502">
        <v>-8.8855210000000004E-2</v>
      </c>
      <c r="W5502">
        <v>1.5581279999999999E-2</v>
      </c>
      <c r="X5502">
        <v>0.99592270000000005</v>
      </c>
      <c r="Y5502">
        <v>-0.39997440000000001</v>
      </c>
      <c r="Z5502">
        <v>2.6096999999999999E-2</v>
      </c>
      <c r="AA5502">
        <v>0.91615469999999999</v>
      </c>
      <c r="AB5502">
        <v>26</v>
      </c>
      <c r="AC5502">
        <v>-7.7695999999999596</v>
      </c>
      <c r="AD5502">
        <v>-1.1190629237180001</v>
      </c>
      <c r="AE5502">
        <v>-25.0963999999999</v>
      </c>
      <c r="AF5502">
        <v>-10.565734094920201</v>
      </c>
      <c r="AG5502">
        <v>-1.1190629237180001</v>
      </c>
      <c r="AH5502">
        <v>24.001321560125302</v>
      </c>
      <c r="AI5502">
        <v>92.443513790380905</v>
      </c>
      <c r="AJ5502">
        <v>113.759798862685</v>
      </c>
      <c r="AK5502">
        <v>26.2478661118259</v>
      </c>
      <c r="AL5502">
        <v>89.107222311771096</v>
      </c>
      <c r="AM5502">
        <v>95.098372022775393</v>
      </c>
      <c r="AN5502">
        <v>1.0000000245029299</v>
      </c>
    </row>
    <row r="5503" spans="1:40" x14ac:dyDescent="0.25">
      <c r="A5503" t="str">
        <f>"20190312160444223"</f>
        <v>20190312160444223</v>
      </c>
      <c r="B5503" t="str">
        <f>"1552377884221083"</f>
        <v>1552377884221083</v>
      </c>
      <c r="C5503" t="s">
        <v>40</v>
      </c>
      <c r="D5503">
        <v>5.1706709999999996</v>
      </c>
      <c r="E5503">
        <v>0.37110609999999999</v>
      </c>
      <c r="F5503" t="s">
        <v>41</v>
      </c>
      <c r="G5503">
        <v>-416.83879999999999</v>
      </c>
      <c r="H5503" s="1">
        <v>-4.7692469999999901E-6</v>
      </c>
      <c r="I5503">
        <v>108.5342</v>
      </c>
      <c r="J5503">
        <v>-409.31689999999998</v>
      </c>
      <c r="K5503">
        <v>1.118965</v>
      </c>
      <c r="L5503">
        <v>133.79499999999999</v>
      </c>
      <c r="M5503">
        <v>-0.64571089999999998</v>
      </c>
      <c r="N5503">
        <v>0</v>
      </c>
      <c r="O5503">
        <v>-0.76342589999999999</v>
      </c>
      <c r="P5503">
        <v>-0.57652230000000004</v>
      </c>
      <c r="Q5503">
        <v>1.5022130000000001E-3</v>
      </c>
      <c r="R5503">
        <v>-0.81708049999999999</v>
      </c>
      <c r="S5503">
        <v>-0.91650390000000004</v>
      </c>
      <c r="T5503">
        <v>-0.13363059999999999</v>
      </c>
      <c r="U5503">
        <v>-3.0400999999999998</v>
      </c>
      <c r="V5503">
        <v>-8.7822590000000006E-2</v>
      </c>
      <c r="W5503">
        <v>1.4980540000000001E-2</v>
      </c>
      <c r="X5503">
        <v>0.99602349999999995</v>
      </c>
      <c r="Y5503">
        <v>-0.39802290000000001</v>
      </c>
      <c r="Z5503">
        <v>2.6471649999999999E-2</v>
      </c>
      <c r="AA5503">
        <v>0.91699350000000002</v>
      </c>
      <c r="AB5503">
        <v>26</v>
      </c>
      <c r="AC5503">
        <v>-7.5219000000000102</v>
      </c>
      <c r="AD5503">
        <v>-1.118969769247</v>
      </c>
      <c r="AE5503">
        <v>-25.2607999999999</v>
      </c>
      <c r="AF5503">
        <v>-10.5510033019379</v>
      </c>
      <c r="AG5503">
        <v>-1.118969769247</v>
      </c>
      <c r="AH5503">
        <v>24.101159576093099</v>
      </c>
      <c r="AI5503">
        <v>92.435380386715707</v>
      </c>
      <c r="AJ5503">
        <v>113.64283713069599</v>
      </c>
      <c r="AK5503">
        <v>26.333280405872301</v>
      </c>
      <c r="AL5503">
        <v>89.141646191969301</v>
      </c>
      <c r="AM5503">
        <v>95.038921416190306</v>
      </c>
      <c r="AN5503">
        <v>1.0000000182226201</v>
      </c>
    </row>
    <row r="5504" spans="1:40" x14ac:dyDescent="0.25">
      <c r="A5504" t="str">
        <f>"20190312160444246"</f>
        <v>20190312160444246</v>
      </c>
      <c r="B5504" t="str">
        <f>"1552377884240602"</f>
        <v>1552377884240602</v>
      </c>
      <c r="C5504" t="s">
        <v>40</v>
      </c>
      <c r="D5504">
        <v>5.1497570000000001</v>
      </c>
      <c r="E5504">
        <v>0.37220049999999999</v>
      </c>
      <c r="F5504" t="s">
        <v>41</v>
      </c>
      <c r="G5504">
        <v>-416.64010000000002</v>
      </c>
      <c r="H5504" s="1">
        <v>-4.8501359999999997E-6</v>
      </c>
      <c r="I5504">
        <v>108.63079999999999</v>
      </c>
      <c r="J5504">
        <v>-409.46780000000001</v>
      </c>
      <c r="K5504">
        <v>1.11886</v>
      </c>
      <c r="L5504">
        <v>133.5949</v>
      </c>
      <c r="M5504">
        <v>-0.63590190000000002</v>
      </c>
      <c r="N5504">
        <v>0</v>
      </c>
      <c r="O5504">
        <v>-0.77161599999999997</v>
      </c>
      <c r="P5504">
        <v>-0.56678709999999999</v>
      </c>
      <c r="Q5504">
        <v>1.65614E-3</v>
      </c>
      <c r="R5504">
        <v>-0.82386289999999995</v>
      </c>
      <c r="S5504">
        <v>-0.88653559999999998</v>
      </c>
      <c r="T5504">
        <v>-0.13545979999999999</v>
      </c>
      <c r="U5504">
        <v>-3.0463260000000001</v>
      </c>
      <c r="V5504">
        <v>-8.6909500000000001E-2</v>
      </c>
      <c r="W5504">
        <v>1.5151700000000001E-2</v>
      </c>
      <c r="X5504">
        <v>0.99610100000000001</v>
      </c>
      <c r="Y5504">
        <v>-0.39511560000000001</v>
      </c>
      <c r="Z5504">
        <v>2.73359E-2</v>
      </c>
      <c r="AA5504">
        <v>0.91822459999999995</v>
      </c>
      <c r="AB5504">
        <v>26</v>
      </c>
      <c r="AC5504">
        <v>-7.1722999999999999</v>
      </c>
      <c r="AD5504">
        <v>-1.1188648501359999</v>
      </c>
      <c r="AE5504">
        <v>-24.964099999999998</v>
      </c>
      <c r="AF5504">
        <v>-10.322531243115099</v>
      </c>
      <c r="AG5504">
        <v>-1.1188648501359999</v>
      </c>
      <c r="AH5504">
        <v>23.782278260721</v>
      </c>
      <c r="AI5504">
        <v>92.4711397322328</v>
      </c>
      <c r="AJ5504">
        <v>113.462916373879</v>
      </c>
      <c r="AK5504">
        <v>25.950014818653202</v>
      </c>
      <c r="AL5504">
        <v>89.131838333734805</v>
      </c>
      <c r="AM5504">
        <v>94.986411353868903</v>
      </c>
      <c r="AN5504">
        <v>1.0000000187020699</v>
      </c>
    </row>
    <row r="5505" spans="1:40" x14ac:dyDescent="0.25">
      <c r="A5505" t="str">
        <f>"20190312160444268"</f>
        <v>20190312160444268</v>
      </c>
      <c r="B5505" t="str">
        <f>"1552377884260126"</f>
        <v>1552377884260126</v>
      </c>
      <c r="C5505" t="s">
        <v>40</v>
      </c>
      <c r="D5505">
        <v>5.1659249999999997</v>
      </c>
      <c r="E5505">
        <v>0.37350129999999998</v>
      </c>
      <c r="F5505" t="s">
        <v>41</v>
      </c>
      <c r="G5505">
        <v>-416.40320000000003</v>
      </c>
      <c r="H5505" s="1">
        <v>-5.0295699999999997E-6</v>
      </c>
      <c r="I5505">
        <v>108.92149999999999</v>
      </c>
      <c r="J5505">
        <v>-409.61849999999998</v>
      </c>
      <c r="K5505">
        <v>1.11876</v>
      </c>
      <c r="L5505">
        <v>133.3897</v>
      </c>
      <c r="M5505">
        <v>-0.62592729999999996</v>
      </c>
      <c r="N5505">
        <v>0</v>
      </c>
      <c r="O5505">
        <v>-0.77972980000000003</v>
      </c>
      <c r="P5505">
        <v>-0.55669709999999994</v>
      </c>
      <c r="Q5505">
        <v>1.6413139999999901E-3</v>
      </c>
      <c r="R5505">
        <v>-0.83071410000000001</v>
      </c>
      <c r="S5505">
        <v>-0.85775759999999901</v>
      </c>
      <c r="T5505">
        <v>-0.1383791</v>
      </c>
      <c r="U5505">
        <v>-3.0515590000000001</v>
      </c>
      <c r="V5505">
        <v>-8.6244979999999999E-2</v>
      </c>
      <c r="W5505">
        <v>1.5147880000000001E-2</v>
      </c>
      <c r="X5505">
        <v>0.99615880000000001</v>
      </c>
      <c r="Y5505">
        <v>-0.39173649999999999</v>
      </c>
      <c r="Z5505">
        <v>2.8445140000000001E-2</v>
      </c>
      <c r="AA5505">
        <v>0.91963760000000006</v>
      </c>
      <c r="AB5505">
        <v>26</v>
      </c>
      <c r="AC5505">
        <v>-6.7847000000000399</v>
      </c>
      <c r="AD5505">
        <v>-1.11876502957</v>
      </c>
      <c r="AE5505">
        <v>-24.4682</v>
      </c>
      <c r="AF5505">
        <v>-10.006840279655499</v>
      </c>
      <c r="AG5505">
        <v>-1.11876502957</v>
      </c>
      <c r="AH5505">
        <v>23.282871672499201</v>
      </c>
      <c r="AI5505">
        <v>92.527753249982496</v>
      </c>
      <c r="AJ5505">
        <v>113.257746543593</v>
      </c>
      <c r="AK5505">
        <v>25.3669194206153</v>
      </c>
      <c r="AL5505">
        <v>89.132057216689205</v>
      </c>
      <c r="AM5505">
        <v>94.948189021313596</v>
      </c>
      <c r="AN5505">
        <v>1.00000000483056</v>
      </c>
    </row>
    <row r="5506" spans="1:40" x14ac:dyDescent="0.25">
      <c r="A5506" t="str">
        <f>"20190312160444290"</f>
        <v>20190312160444290</v>
      </c>
      <c r="B5506" t="str">
        <f>"1552377884280618"</f>
        <v>1552377884280618</v>
      </c>
      <c r="C5506" t="s">
        <v>40</v>
      </c>
      <c r="D5506">
        <v>5.1839959999999996</v>
      </c>
      <c r="E5506">
        <v>0.37478420000000001</v>
      </c>
      <c r="F5506" t="s">
        <v>41</v>
      </c>
      <c r="G5506">
        <v>-416.23899999999998</v>
      </c>
      <c r="H5506" s="1">
        <v>-5.0850699999999901E-6</v>
      </c>
      <c r="I5506">
        <v>108.9773</v>
      </c>
      <c r="J5506">
        <v>-409.75900000000001</v>
      </c>
      <c r="K5506">
        <v>1.118665</v>
      </c>
      <c r="L5506">
        <v>133.19329999999999</v>
      </c>
      <c r="M5506">
        <v>-0.61645819999999996</v>
      </c>
      <c r="N5506">
        <v>0</v>
      </c>
      <c r="O5506">
        <v>-0.78723779999999999</v>
      </c>
      <c r="P5506">
        <v>-0.54722059999999995</v>
      </c>
      <c r="Q5506">
        <v>1.483423E-3</v>
      </c>
      <c r="R5506">
        <v>-0.8369875</v>
      </c>
      <c r="S5506">
        <v>-0.82882690000000003</v>
      </c>
      <c r="T5506">
        <v>-0.14005919999999999</v>
      </c>
      <c r="U5506">
        <v>-3.0562130000000001</v>
      </c>
      <c r="V5506">
        <v>-8.5518869999999997E-2</v>
      </c>
      <c r="W5506">
        <v>1.5001509999999999E-2</v>
      </c>
      <c r="X5506">
        <v>0.99622359999999999</v>
      </c>
      <c r="Y5506">
        <v>-0.38907560000000002</v>
      </c>
      <c r="Z5506">
        <v>2.9277170000000002E-2</v>
      </c>
      <c r="AA5506">
        <v>0.92074049999999996</v>
      </c>
      <c r="AB5506">
        <v>25</v>
      </c>
      <c r="AC5506">
        <v>-6.4800000000000102</v>
      </c>
      <c r="AD5506">
        <v>-1.11867008507</v>
      </c>
      <c r="AE5506">
        <v>-24.215999999999902</v>
      </c>
      <c r="AF5506">
        <v>-9.8084774098309992</v>
      </c>
      <c r="AG5506">
        <v>-1.11867008507</v>
      </c>
      <c r="AH5506">
        <v>23.015287048637699</v>
      </c>
      <c r="AI5506">
        <v>92.560233877161394</v>
      </c>
      <c r="AJ5506">
        <v>113.08235890124401</v>
      </c>
      <c r="AK5506">
        <v>25.043184497774799</v>
      </c>
      <c r="AL5506">
        <v>89.140444541763301</v>
      </c>
      <c r="AM5506">
        <v>94.906416084154301</v>
      </c>
      <c r="AN5506">
        <v>0.99999999181265797</v>
      </c>
    </row>
    <row r="5507" spans="1:40" x14ac:dyDescent="0.25">
      <c r="A5507" t="str">
        <f>"20190312160444312"</f>
        <v>20190312160444312</v>
      </c>
      <c r="B5507" t="str">
        <f>"1552377884300139"</f>
        <v>1552377884300139</v>
      </c>
      <c r="C5507" t="s">
        <v>40</v>
      </c>
      <c r="D5507">
        <v>5.2072839999999996</v>
      </c>
      <c r="E5507">
        <v>0.37613819999999998</v>
      </c>
      <c r="F5507" t="s">
        <v>41</v>
      </c>
      <c r="G5507">
        <v>-416.09829999999999</v>
      </c>
      <c r="H5507" s="1">
        <v>-5.1305629999999899E-6</v>
      </c>
      <c r="I5507">
        <v>109.02070000000001</v>
      </c>
      <c r="J5507">
        <v>-409.9006</v>
      </c>
      <c r="K5507">
        <v>1.118571</v>
      </c>
      <c r="L5507">
        <v>132.99019999999999</v>
      </c>
      <c r="M5507">
        <v>-0.60673199999999905</v>
      </c>
      <c r="N5507">
        <v>0</v>
      </c>
      <c r="O5507">
        <v>-0.79475850000000003</v>
      </c>
      <c r="P5507">
        <v>-0.53720610000000002</v>
      </c>
      <c r="Q5507">
        <v>1.1942669999999999E-3</v>
      </c>
      <c r="R5507">
        <v>-0.84345020000000004</v>
      </c>
      <c r="S5507">
        <v>-0.8024597</v>
      </c>
      <c r="T5507">
        <v>-0.14160699999999901</v>
      </c>
      <c r="U5507">
        <v>-3.0598909999999999</v>
      </c>
      <c r="V5507">
        <v>-8.5133490000000006E-2</v>
      </c>
      <c r="W5507">
        <v>1.471401E-2</v>
      </c>
      <c r="X5507">
        <v>0.9962609</v>
      </c>
      <c r="Y5507">
        <v>-0.38543889999999997</v>
      </c>
      <c r="Z5507">
        <v>3.011049E-2</v>
      </c>
      <c r="AA5507">
        <v>0.92224189999999995</v>
      </c>
      <c r="AB5507">
        <v>25</v>
      </c>
      <c r="AC5507">
        <v>-6.1976999999999904</v>
      </c>
      <c r="AD5507">
        <v>-1.118576130563</v>
      </c>
      <c r="AE5507">
        <v>-23.969499999999901</v>
      </c>
      <c r="AF5507">
        <v>-9.5989248555574598</v>
      </c>
      <c r="AG5507">
        <v>-1.118576130563</v>
      </c>
      <c r="AH5507">
        <v>22.7665164999481</v>
      </c>
      <c r="AI5507">
        <v>92.592181375428396</v>
      </c>
      <c r="AJ5507">
        <v>112.861487958532</v>
      </c>
      <c r="AK5507">
        <v>24.732667556996599</v>
      </c>
      <c r="AL5507">
        <v>89.156918901454105</v>
      </c>
      <c r="AM5507">
        <v>94.884231158190005</v>
      </c>
      <c r="AN5507">
        <v>0.99999999703933495</v>
      </c>
    </row>
    <row r="5508" spans="1:40" x14ac:dyDescent="0.25">
      <c r="A5508" t="str">
        <f>"20190312160444335"</f>
        <v>20190312160444335</v>
      </c>
      <c r="B5508" t="str">
        <f>"1552377884330394"</f>
        <v>1552377884330394</v>
      </c>
      <c r="C5508" t="s">
        <v>40</v>
      </c>
      <c r="D5508">
        <v>5.2099349999999998</v>
      </c>
      <c r="E5508">
        <v>0.39203769999999999</v>
      </c>
      <c r="F5508" t="s">
        <v>41</v>
      </c>
      <c r="G5508">
        <v>-415.92750000000001</v>
      </c>
      <c r="H5508" s="1">
        <v>-5.2280060000000003E-6</v>
      </c>
      <c r="I5508">
        <v>109.1628</v>
      </c>
      <c r="J5508">
        <v>-410.0437</v>
      </c>
      <c r="K5508">
        <v>1.118476</v>
      </c>
      <c r="L5508">
        <v>132.77969999999999</v>
      </c>
      <c r="M5508">
        <v>-0.59672019999999903</v>
      </c>
      <c r="N5508">
        <v>0</v>
      </c>
      <c r="O5508">
        <v>-0.8023034</v>
      </c>
      <c r="P5508">
        <v>-0.52650529999999995</v>
      </c>
      <c r="Q5508">
        <v>8.75887E-4</v>
      </c>
      <c r="R5508">
        <v>-0.85017160000000003</v>
      </c>
      <c r="S5508">
        <v>-0.7748718</v>
      </c>
      <c r="T5508">
        <v>-0.14381459999999999</v>
      </c>
      <c r="U5508">
        <v>-3.0634769999999998</v>
      </c>
      <c r="V5508">
        <v>-8.5220840000000006E-2</v>
      </c>
      <c r="W5508">
        <v>1.4386940000000001E-2</v>
      </c>
      <c r="X5508">
        <v>0.99625819999999998</v>
      </c>
      <c r="Y5508">
        <v>-0.3819283</v>
      </c>
      <c r="Z5508">
        <v>3.109984E-2</v>
      </c>
      <c r="AA5508">
        <v>0.92366859999999995</v>
      </c>
      <c r="AB5508">
        <v>25</v>
      </c>
      <c r="AC5508">
        <v>-5.8837999999999999</v>
      </c>
      <c r="AD5508">
        <v>-1.1184812280059999</v>
      </c>
      <c r="AE5508">
        <v>-23.616899999999902</v>
      </c>
      <c r="AF5508">
        <v>-9.3534336081839697</v>
      </c>
      <c r="AG5508">
        <v>-1.1184812280059999</v>
      </c>
      <c r="AH5508">
        <v>22.4141975256229</v>
      </c>
      <c r="AI5508">
        <v>92.636705789446196</v>
      </c>
      <c r="AJ5508">
        <v>112.650753383446</v>
      </c>
      <c r="AK5508">
        <v>24.313246826323802</v>
      </c>
      <c r="AL5508">
        <v>89.175660609095402</v>
      </c>
      <c r="AM5508">
        <v>94.889231460024803</v>
      </c>
      <c r="AN5508">
        <v>0.99999998834005399</v>
      </c>
    </row>
    <row r="5509" spans="1:40" x14ac:dyDescent="0.25">
      <c r="A5509" t="str">
        <f>"20190312160444357"</f>
        <v>20190312160444357</v>
      </c>
      <c r="B5509" t="str">
        <f>"1552377884350890"</f>
        <v>1552377884350890</v>
      </c>
      <c r="C5509" t="s">
        <v>40</v>
      </c>
      <c r="D5509">
        <v>5.2409549999999996</v>
      </c>
      <c r="E5509">
        <v>0.39387159999999999</v>
      </c>
      <c r="F5509" t="s">
        <v>41</v>
      </c>
      <c r="G5509">
        <v>-415.29379999999998</v>
      </c>
      <c r="H5509" s="1">
        <v>-2.7551519999999998E-6</v>
      </c>
      <c r="I5509">
        <v>114.0645</v>
      </c>
      <c r="J5509">
        <v>-410.18079999999998</v>
      </c>
      <c r="K5509">
        <v>1.1183809999999901</v>
      </c>
      <c r="L5509">
        <v>132.5728</v>
      </c>
      <c r="M5509">
        <v>-0.58695330000000001</v>
      </c>
      <c r="N5509">
        <v>0</v>
      </c>
      <c r="O5509">
        <v>-0.80947669999999905</v>
      </c>
      <c r="P5509">
        <v>-0.51593120000000003</v>
      </c>
      <c r="Q5509">
        <v>2.759355E-4</v>
      </c>
      <c r="R5509">
        <v>-0.85663029999999996</v>
      </c>
      <c r="S5509">
        <v>-0.84341429999999995</v>
      </c>
      <c r="T5509">
        <v>-0.17968210000000001</v>
      </c>
      <c r="U5509">
        <v>-3.006561</v>
      </c>
      <c r="V5509">
        <v>-8.5475259999999997E-2</v>
      </c>
      <c r="W5509">
        <v>1.3774740000000001E-2</v>
      </c>
      <c r="X5509">
        <v>0.99624509999999999</v>
      </c>
      <c r="Y5509">
        <v>-0.34677770000000002</v>
      </c>
      <c r="Z5509">
        <v>4.048268E-2</v>
      </c>
      <c r="AA5509">
        <v>0.9370733</v>
      </c>
      <c r="AB5509">
        <v>25</v>
      </c>
      <c r="AC5509">
        <v>-5.1130000000000004</v>
      </c>
      <c r="AD5509">
        <v>-1.1183837551519999</v>
      </c>
      <c r="AE5509">
        <v>-18.508299999999998</v>
      </c>
      <c r="AF5509">
        <v>-6.7026996281683804</v>
      </c>
      <c r="AG5509">
        <v>-1.1183837551519999</v>
      </c>
      <c r="AH5509">
        <v>17.924420863978501</v>
      </c>
      <c r="AI5509">
        <v>93.344675997359005</v>
      </c>
      <c r="AJ5509">
        <v>110.502897756755</v>
      </c>
      <c r="AK5509">
        <v>19.169293879490301</v>
      </c>
      <c r="AL5509">
        <v>89.210740598086105</v>
      </c>
      <c r="AM5509">
        <v>94.903820965817204</v>
      </c>
      <c r="AN5509">
        <v>1.00000003140407</v>
      </c>
    </row>
    <row r="5510" spans="1:40" x14ac:dyDescent="0.25">
      <c r="A5510" t="str">
        <f>"20190312160444380"</f>
        <v>20190312160444380</v>
      </c>
      <c r="B5510" t="str">
        <f>"1552377884370411"</f>
        <v>1552377884370411</v>
      </c>
      <c r="C5510" t="s">
        <v>40</v>
      </c>
      <c r="D5510">
        <v>5.2494420000000002</v>
      </c>
      <c r="E5510">
        <v>0.39544770000000001</v>
      </c>
      <c r="F5510" t="s">
        <v>41</v>
      </c>
      <c r="G5510">
        <v>-415.11919999999998</v>
      </c>
      <c r="H5510" s="1">
        <v>-2.9191780000000002E-6</v>
      </c>
      <c r="I5510">
        <v>114.4101</v>
      </c>
      <c r="J5510">
        <v>-410.31470000000002</v>
      </c>
      <c r="K5510">
        <v>1.1182810000000001</v>
      </c>
      <c r="L5510">
        <v>132.3656</v>
      </c>
      <c r="M5510">
        <v>-0.57725550000000003</v>
      </c>
      <c r="N5510">
        <v>0</v>
      </c>
      <c r="O5510">
        <v>-0.81642099999999995</v>
      </c>
      <c r="P5510">
        <v>-0.50569739999999996</v>
      </c>
      <c r="Q5510" s="1">
        <v>9.3198850000000003E-5</v>
      </c>
      <c r="R5510">
        <v>-0.86271109999999895</v>
      </c>
      <c r="S5510">
        <v>-0.81823729999999995</v>
      </c>
      <c r="T5510">
        <v>-0.18530450000000001</v>
      </c>
      <c r="U5510">
        <v>-3.009369</v>
      </c>
      <c r="V5510">
        <v>-8.5442219999999999E-2</v>
      </c>
      <c r="W5510">
        <v>1.358593E-2</v>
      </c>
      <c r="X5510">
        <v>0.99625050000000004</v>
      </c>
      <c r="Y5510">
        <v>-0.34311930000000002</v>
      </c>
      <c r="Z5510">
        <v>4.2382450000000002E-2</v>
      </c>
      <c r="AA5510">
        <v>0.93833520000000004</v>
      </c>
      <c r="AB5510">
        <v>25</v>
      </c>
      <c r="AC5510">
        <v>-4.80449999999996</v>
      </c>
      <c r="AD5510">
        <v>-1.1182839191780001</v>
      </c>
      <c r="AE5510">
        <v>-17.955500000000001</v>
      </c>
      <c r="AF5510">
        <v>-6.4199281254464404</v>
      </c>
      <c r="AG5510">
        <v>-1.1182839191780001</v>
      </c>
      <c r="AH5510">
        <v>17.371819719289402</v>
      </c>
      <c r="AI5510">
        <v>93.455440826115293</v>
      </c>
      <c r="AJ5510">
        <v>110.282291519835</v>
      </c>
      <c r="AK5510">
        <v>18.553871736629102</v>
      </c>
      <c r="AL5510">
        <v>89.221559605473104</v>
      </c>
      <c r="AM5510">
        <v>94.901908217755903</v>
      </c>
      <c r="AN5510">
        <v>1.00000000460137</v>
      </c>
    </row>
    <row r="5511" spans="1:40" x14ac:dyDescent="0.25">
      <c r="A5511" t="str">
        <f>"20190312160444402"</f>
        <v>20190312160444402</v>
      </c>
      <c r="B5511" t="str">
        <f>"1552377884390906"</f>
        <v>1552377884390906</v>
      </c>
      <c r="C5511" t="s">
        <v>40</v>
      </c>
      <c r="D5511">
        <v>5.2581689999999996</v>
      </c>
      <c r="E5511">
        <v>0.39701199999999998</v>
      </c>
      <c r="F5511" t="s">
        <v>41</v>
      </c>
      <c r="G5511">
        <v>-415.01350000000002</v>
      </c>
      <c r="H5511" s="1">
        <v>-2.9835610000000001E-6</v>
      </c>
      <c r="I5511">
        <v>114.5166</v>
      </c>
      <c r="J5511">
        <v>-410.44580000000002</v>
      </c>
      <c r="K5511">
        <v>1.1181719999999999</v>
      </c>
      <c r="L5511">
        <v>132.1576</v>
      </c>
      <c r="M5511">
        <v>-0.56761130000000004</v>
      </c>
      <c r="N5511">
        <v>0</v>
      </c>
      <c r="O5511">
        <v>-0.82315579999999999</v>
      </c>
      <c r="P5511">
        <v>-0.4953167</v>
      </c>
      <c r="Q5511">
        <v>1.3769739999999999E-4</v>
      </c>
      <c r="R5511">
        <v>-0.8687127</v>
      </c>
      <c r="S5511">
        <v>-0.79306030000000005</v>
      </c>
      <c r="T5511">
        <v>-0.18874479999999999</v>
      </c>
      <c r="U5511">
        <v>-3.0125730000000002</v>
      </c>
      <c r="V5511">
        <v>-8.5664489999999996E-2</v>
      </c>
      <c r="W5511">
        <v>1.361978E-2</v>
      </c>
      <c r="X5511">
        <v>0.99623099999999998</v>
      </c>
      <c r="Y5511">
        <v>-0.33965339999999999</v>
      </c>
      <c r="Z5511">
        <v>4.3789469999999997E-2</v>
      </c>
      <c r="AA5511">
        <v>0.9395308</v>
      </c>
      <c r="AB5511">
        <v>25</v>
      </c>
      <c r="AC5511">
        <v>-4.5677000000000003</v>
      </c>
      <c r="AD5511">
        <v>-1.118174983561</v>
      </c>
      <c r="AE5511">
        <v>-17.640999999999998</v>
      </c>
      <c r="AF5511">
        <v>-6.23056799859022</v>
      </c>
      <c r="AG5511">
        <v>-1.118174983561</v>
      </c>
      <c r="AH5511">
        <v>17.051750898982501</v>
      </c>
      <c r="AI5511">
        <v>93.5245384638323</v>
      </c>
      <c r="AJ5511">
        <v>110.071883230456</v>
      </c>
      <c r="AK5511">
        <v>18.1888015438035</v>
      </c>
      <c r="AL5511">
        <v>89.219620002675896</v>
      </c>
      <c r="AM5511">
        <v>94.914693427222005</v>
      </c>
      <c r="AN5511">
        <v>1.0000000543076</v>
      </c>
    </row>
    <row r="5512" spans="1:40" x14ac:dyDescent="0.25">
      <c r="A5512" t="str">
        <f>"20190312160444425"</f>
        <v>20190312160444425</v>
      </c>
      <c r="B5512" t="str">
        <f>"1552377884420187"</f>
        <v>1552377884420187</v>
      </c>
      <c r="C5512" t="s">
        <v>40</v>
      </c>
      <c r="D5512">
        <v>5.2662279999999999</v>
      </c>
      <c r="E5512">
        <v>0.40602129999999997</v>
      </c>
      <c r="F5512" t="s">
        <v>41</v>
      </c>
      <c r="G5512">
        <v>-414.94450000000001</v>
      </c>
      <c r="H5512" s="1">
        <v>-2.9914939999999999E-6</v>
      </c>
      <c r="I5512">
        <v>114.486</v>
      </c>
      <c r="J5512">
        <v>-410.57819999999998</v>
      </c>
      <c r="K5512">
        <v>1.11805</v>
      </c>
      <c r="L5512">
        <v>131.94210000000001</v>
      </c>
      <c r="M5512">
        <v>-0.55772759999999999</v>
      </c>
      <c r="N5512">
        <v>0</v>
      </c>
      <c r="O5512">
        <v>-0.82988479999999998</v>
      </c>
      <c r="P5512">
        <v>-0.48525669999999999</v>
      </c>
      <c r="Q5512">
        <v>-1.2925919999999999E-4</v>
      </c>
      <c r="R5512">
        <v>-0.87437180000000003</v>
      </c>
      <c r="S5512">
        <v>-0.76773069999999999</v>
      </c>
      <c r="T5512">
        <v>-0.1908203</v>
      </c>
      <c r="U5512">
        <v>-3.015717</v>
      </c>
      <c r="V5512">
        <v>-8.5240579999999996E-2</v>
      </c>
      <c r="W5512">
        <v>1.3356109999999999E-2</v>
      </c>
      <c r="X5512">
        <v>0.99627089999999996</v>
      </c>
      <c r="Y5512">
        <v>-0.33605259999999998</v>
      </c>
      <c r="Z5512">
        <v>4.4901049999999998E-2</v>
      </c>
      <c r="AA5512">
        <v>0.94077239999999995</v>
      </c>
      <c r="AB5512">
        <v>25</v>
      </c>
      <c r="AC5512">
        <v>-4.3663000000000203</v>
      </c>
      <c r="AD5512">
        <v>-1.1180529914940001</v>
      </c>
      <c r="AE5512">
        <v>-17.456099999999999</v>
      </c>
      <c r="AF5512">
        <v>-6.0894193848809497</v>
      </c>
      <c r="AG5512">
        <v>-1.1180529914940001</v>
      </c>
      <c r="AH5512">
        <v>16.858626685054801</v>
      </c>
      <c r="AI5512">
        <v>93.569202705784093</v>
      </c>
      <c r="AJ5512">
        <v>109.85997049440699</v>
      </c>
      <c r="AK5512">
        <v>17.959520167387399</v>
      </c>
      <c r="AL5512">
        <v>89.234728531390004</v>
      </c>
      <c r="AM5512">
        <v>94.890296440369397</v>
      </c>
      <c r="AN5512">
        <v>1.0000000241699301</v>
      </c>
    </row>
    <row r="5513" spans="1:40" x14ac:dyDescent="0.25">
      <c r="A5513" t="str">
        <f>"20190312160444447"</f>
        <v>20190312160444447</v>
      </c>
      <c r="B5513" t="str">
        <f>"1552377884440682"</f>
        <v>1552377884440682</v>
      </c>
      <c r="C5513" t="s">
        <v>40</v>
      </c>
      <c r="D5513">
        <v>5.3192079999999997</v>
      </c>
      <c r="E5513">
        <v>0.40795890000000001</v>
      </c>
      <c r="F5513" t="s">
        <v>41</v>
      </c>
      <c r="G5513">
        <v>-414.62990000000002</v>
      </c>
      <c r="H5513" s="1">
        <v>-3.9874680000000003E-6</v>
      </c>
      <c r="I5513">
        <v>116.7072</v>
      </c>
      <c r="J5513">
        <v>-410.70420000000001</v>
      </c>
      <c r="K5513">
        <v>1.1179239999999999</v>
      </c>
      <c r="L5513">
        <v>131.7321</v>
      </c>
      <c r="M5513">
        <v>-0.54821759999999997</v>
      </c>
      <c r="N5513">
        <v>0</v>
      </c>
      <c r="O5513">
        <v>-0.83619840000000001</v>
      </c>
      <c r="P5513">
        <v>-0.47526889999999999</v>
      </c>
      <c r="Q5513">
        <v>-1.3511489999999999E-4</v>
      </c>
      <c r="R5513">
        <v>-0.87984089999999904</v>
      </c>
      <c r="S5513">
        <v>-0.79510499999999995</v>
      </c>
      <c r="T5513">
        <v>-0.21941160000000001</v>
      </c>
      <c r="U5513">
        <v>-2.9897610000000001</v>
      </c>
      <c r="V5513">
        <v>-8.5206390000000007E-2</v>
      </c>
      <c r="W5513">
        <v>1.334658E-2</v>
      </c>
      <c r="X5513">
        <v>0.99627390000000005</v>
      </c>
      <c r="Y5513">
        <v>-0.31531749999999997</v>
      </c>
      <c r="Z5513">
        <v>5.2904399999999997E-2</v>
      </c>
      <c r="AA5513">
        <v>0.94751039999999997</v>
      </c>
      <c r="AB5513">
        <v>25</v>
      </c>
      <c r="AC5513">
        <v>-3.9257</v>
      </c>
      <c r="AD5513">
        <v>-1.1179279874679999</v>
      </c>
      <c r="AE5513">
        <v>-15.024900000000001</v>
      </c>
      <c r="AF5513">
        <v>-4.9292745472918398</v>
      </c>
      <c r="AG5513">
        <v>-1.1179279874679999</v>
      </c>
      <c r="AH5513">
        <v>14.6417472867325</v>
      </c>
      <c r="AI5513">
        <v>94.138791051216302</v>
      </c>
      <c r="AJ5513">
        <v>108.60626427766201</v>
      </c>
      <c r="AK5513">
        <v>15.489618270192601</v>
      </c>
      <c r="AL5513">
        <v>89.235274568899001</v>
      </c>
      <c r="AM5513">
        <v>94.888329800406495</v>
      </c>
      <c r="AN5513">
        <v>0.99999997195786805</v>
      </c>
    </row>
    <row r="5514" spans="1:40" x14ac:dyDescent="0.25">
      <c r="A5514" t="str">
        <f>"20190312160444469"</f>
        <v>20190312160444469</v>
      </c>
      <c r="B5514" t="str">
        <f>"1552377884460203"</f>
        <v>1552377884460203</v>
      </c>
      <c r="C5514" t="s">
        <v>40</v>
      </c>
      <c r="D5514">
        <v>5.2856560000000004</v>
      </c>
      <c r="E5514">
        <v>0.4096765</v>
      </c>
      <c r="F5514" t="s">
        <v>41</v>
      </c>
      <c r="G5514">
        <v>-414.68049999999999</v>
      </c>
      <c r="H5514" s="1">
        <v>-3.839099E-6</v>
      </c>
      <c r="I5514">
        <v>116.3823</v>
      </c>
      <c r="J5514">
        <v>-410.82749999999999</v>
      </c>
      <c r="K5514">
        <v>1.11778</v>
      </c>
      <c r="L5514">
        <v>131.52080000000001</v>
      </c>
      <c r="M5514">
        <v>-0.53881080000000003</v>
      </c>
      <c r="N5514">
        <v>0</v>
      </c>
      <c r="O5514">
        <v>-0.84229120000000002</v>
      </c>
      <c r="P5514">
        <v>-0.46536519999999998</v>
      </c>
      <c r="Q5514">
        <v>2.398016E-4</v>
      </c>
      <c r="R5514">
        <v>-0.885119199999999</v>
      </c>
      <c r="S5514">
        <v>-0.77484129999999996</v>
      </c>
      <c r="T5514">
        <v>-0.2178416</v>
      </c>
      <c r="U5514">
        <v>-2.9910890000000001</v>
      </c>
      <c r="V5514">
        <v>-8.5221630000000007E-2</v>
      </c>
      <c r="W5514">
        <v>1.371705E-2</v>
      </c>
      <c r="X5514">
        <v>0.99626760000000003</v>
      </c>
      <c r="Y5514">
        <v>-0.31078979999999901</v>
      </c>
      <c r="Z5514">
        <v>5.32206E-2</v>
      </c>
      <c r="AA5514">
        <v>0.94898749999999998</v>
      </c>
      <c r="AB5514">
        <v>25</v>
      </c>
      <c r="AC5514">
        <v>-3.8530000000000002</v>
      </c>
      <c r="AD5514">
        <v>-1.117783839099</v>
      </c>
      <c r="AE5514">
        <v>-15.138500000000001</v>
      </c>
      <c r="AF5514">
        <v>-4.8869779066609196</v>
      </c>
      <c r="AG5514">
        <v>-1.117783839099</v>
      </c>
      <c r="AH5514">
        <v>14.753217238860699</v>
      </c>
      <c r="AI5514">
        <v>94.1137584280265</v>
      </c>
      <c r="AJ5514">
        <v>108.32736362375999</v>
      </c>
      <c r="AK5514">
        <v>15.5817012122605</v>
      </c>
      <c r="AL5514">
        <v>89.214046284834595</v>
      </c>
      <c r="AM5514">
        <v>94.889230655896199</v>
      </c>
      <c r="AN5514">
        <v>1.00000000724515</v>
      </c>
    </row>
    <row r="5515" spans="1:40" x14ac:dyDescent="0.25">
      <c r="A5515" t="str">
        <f>"20190312160444491"</f>
        <v>20190312160444491</v>
      </c>
      <c r="B5515" t="str">
        <f>"1552377884480699"</f>
        <v>1552377884480699</v>
      </c>
      <c r="C5515" t="s">
        <v>40</v>
      </c>
      <c r="D5515">
        <v>5.3116329999999996</v>
      </c>
      <c r="E5515">
        <v>0.41041509999999998</v>
      </c>
      <c r="F5515" t="s">
        <v>41</v>
      </c>
      <c r="G5515">
        <v>-414.69009999999997</v>
      </c>
      <c r="H5515" s="1">
        <v>-3.7487819999999999E-6</v>
      </c>
      <c r="I5515">
        <v>116.17570000000001</v>
      </c>
      <c r="J5515">
        <v>-410.94749999999999</v>
      </c>
      <c r="K5515">
        <v>1.1176299999999999</v>
      </c>
      <c r="L5515">
        <v>131.31049999999999</v>
      </c>
      <c r="M5515">
        <v>-0.52959279999999997</v>
      </c>
      <c r="N5515">
        <v>0</v>
      </c>
      <c r="O5515">
        <v>-0.84811800000000004</v>
      </c>
      <c r="P5515">
        <v>-0.45584479999999999</v>
      </c>
      <c r="Q5515">
        <v>4.5213289999999998E-4</v>
      </c>
      <c r="R5515">
        <v>-0.890059499999999</v>
      </c>
      <c r="S5515">
        <v>-0.75344849999999997</v>
      </c>
      <c r="T5515">
        <v>-0.21804119999999999</v>
      </c>
      <c r="U5515">
        <v>-2.9933010000000002</v>
      </c>
      <c r="V5515">
        <v>-8.5039909999999996E-2</v>
      </c>
      <c r="W5515">
        <v>1.392827E-2</v>
      </c>
      <c r="X5515">
        <v>0.99628019999999995</v>
      </c>
      <c r="Y5515">
        <v>-0.30696659999999998</v>
      </c>
      <c r="Z5515">
        <v>5.3913820000000001E-2</v>
      </c>
      <c r="AA5515">
        <v>0.95019200000000004</v>
      </c>
      <c r="AB5515">
        <v>25</v>
      </c>
      <c r="AC5515">
        <v>-3.7425999999999799</v>
      </c>
      <c r="AD5515">
        <v>-1.1176337487819901</v>
      </c>
      <c r="AE5515">
        <v>-15.134799999999901</v>
      </c>
      <c r="AF5515">
        <v>-4.8169114659228098</v>
      </c>
      <c r="AG5515">
        <v>-1.1176337487819901</v>
      </c>
      <c r="AH5515">
        <v>14.7440667816838</v>
      </c>
      <c r="AI5515">
        <v>94.121291337611694</v>
      </c>
      <c r="AJ5515">
        <v>108.09230230776799</v>
      </c>
      <c r="AK5515">
        <v>15.5511815155539</v>
      </c>
      <c r="AL5515">
        <v>89.201943116206806</v>
      </c>
      <c r="AM5515">
        <v>94.8787942099802</v>
      </c>
      <c r="AN5515">
        <v>1.0000000099550199</v>
      </c>
    </row>
    <row r="5516" spans="1:40" x14ac:dyDescent="0.25">
      <c r="A5516" t="str">
        <f>"20190312160444514"</f>
        <v>20190312160444514</v>
      </c>
      <c r="B5516" t="str">
        <f>"1552377884510954"</f>
        <v>1552377884510954</v>
      </c>
      <c r="C5516" t="s">
        <v>40</v>
      </c>
      <c r="D5516">
        <v>5.3369039999999996</v>
      </c>
      <c r="E5516">
        <v>0.4202496</v>
      </c>
      <c r="F5516" t="s">
        <v>41</v>
      </c>
      <c r="G5516">
        <v>-414.67570000000001</v>
      </c>
      <c r="H5516" s="1">
        <v>-3.641384E-6</v>
      </c>
      <c r="I5516">
        <v>115.9194</v>
      </c>
      <c r="J5516">
        <v>-411.0686</v>
      </c>
      <c r="K5516">
        <v>1.1174809999999999</v>
      </c>
      <c r="L5516">
        <v>131.09309999999999</v>
      </c>
      <c r="M5516">
        <v>-0.52020869999999997</v>
      </c>
      <c r="N5516">
        <v>0</v>
      </c>
      <c r="O5516">
        <v>-0.85390669999999902</v>
      </c>
      <c r="P5516">
        <v>-0.4463915</v>
      </c>
      <c r="Q5516">
        <v>8.6780919999999897E-4</v>
      </c>
      <c r="R5516">
        <v>-0.89483760000000001</v>
      </c>
      <c r="S5516">
        <v>-0.72634889999999996</v>
      </c>
      <c r="T5516">
        <v>-0.21774869999999999</v>
      </c>
      <c r="U5516">
        <v>-2.9986419999999998</v>
      </c>
      <c r="V5516">
        <v>-8.4608039999999995E-2</v>
      </c>
      <c r="W5516">
        <v>1.434641E-2</v>
      </c>
      <c r="X5516">
        <v>0.99631099999999995</v>
      </c>
      <c r="Y5516">
        <v>-0.30497069999999998</v>
      </c>
      <c r="Z5516">
        <v>5.441493E-2</v>
      </c>
      <c r="AA5516">
        <v>0.95080589999999998</v>
      </c>
      <c r="AB5516">
        <v>25</v>
      </c>
      <c r="AC5516">
        <v>-3.6071</v>
      </c>
      <c r="AD5516">
        <v>-1.1174846413840001</v>
      </c>
      <c r="AE5516">
        <v>-15.173699999999901</v>
      </c>
      <c r="AF5516">
        <v>-4.7893218197473697</v>
      </c>
      <c r="AG5516">
        <v>-1.1174846413840001</v>
      </c>
      <c r="AH5516">
        <v>14.759278309714199</v>
      </c>
      <c r="AI5516">
        <v>94.1191760372282</v>
      </c>
      <c r="AJ5516">
        <v>107.97802201121</v>
      </c>
      <c r="AK5516">
        <v>15.557077863160499</v>
      </c>
      <c r="AL5516">
        <v>89.177983035227697</v>
      </c>
      <c r="AM5516">
        <v>94.853986894505297</v>
      </c>
      <c r="AN5516">
        <v>0.99999997431676402</v>
      </c>
    </row>
    <row r="5517" spans="1:40" x14ac:dyDescent="0.25">
      <c r="A5517" t="str">
        <f>"20190312160444536"</f>
        <v>20190312160444536</v>
      </c>
      <c r="B5517" t="str">
        <f>"1552377884530474"</f>
        <v>1552377884530474</v>
      </c>
      <c r="C5517" t="s">
        <v>40</v>
      </c>
      <c r="D5517">
        <v>5.216189</v>
      </c>
      <c r="E5517">
        <v>0.4205161</v>
      </c>
      <c r="F5517" t="s">
        <v>41</v>
      </c>
      <c r="G5517">
        <v>-414.61090000000002</v>
      </c>
      <c r="H5517" s="1">
        <v>-4.2540479999999999E-6</v>
      </c>
      <c r="I5517">
        <v>117.3207</v>
      </c>
      <c r="J5517">
        <v>-411.18610000000001</v>
      </c>
      <c r="K5517">
        <v>1.1173420000000001</v>
      </c>
      <c r="L5517">
        <v>130.87690000000001</v>
      </c>
      <c r="M5517">
        <v>-0.51102479999999995</v>
      </c>
      <c r="N5517">
        <v>0</v>
      </c>
      <c r="O5517">
        <v>-0.8594347</v>
      </c>
      <c r="P5517">
        <v>-0.43720560000000003</v>
      </c>
      <c r="Q5517">
        <v>1.1408449999999999E-3</v>
      </c>
      <c r="R5517">
        <v>-0.89936099999999997</v>
      </c>
      <c r="S5517">
        <v>-0.76428219999999902</v>
      </c>
      <c r="T5517">
        <v>-0.2411103</v>
      </c>
      <c r="U5517">
        <v>-2.9715419999999999</v>
      </c>
      <c r="V5517">
        <v>-8.4127399999999894E-2</v>
      </c>
      <c r="W5517">
        <v>1.462199E-2</v>
      </c>
      <c r="X5517">
        <v>0.99634769999999995</v>
      </c>
      <c r="Y5517">
        <v>-0.28138380000000002</v>
      </c>
      <c r="Z5517">
        <v>6.160703E-2</v>
      </c>
      <c r="AA5517">
        <v>0.95761569999999996</v>
      </c>
      <c r="AB5517">
        <v>25</v>
      </c>
      <c r="AC5517">
        <v>-3.4247999999999998</v>
      </c>
      <c r="AD5517">
        <v>-1.1173462540479999</v>
      </c>
      <c r="AE5517">
        <v>-13.5562</v>
      </c>
      <c r="AF5517">
        <v>-3.9593277388515</v>
      </c>
      <c r="AG5517">
        <v>-1.1173462540479999</v>
      </c>
      <c r="AH5517">
        <v>13.317294321893501</v>
      </c>
      <c r="AI5517">
        <v>94.597991081535497</v>
      </c>
      <c r="AJ5517">
        <v>106.55759367907901</v>
      </c>
      <c r="AK5517">
        <v>13.938259104027701</v>
      </c>
      <c r="AL5517">
        <v>89.162191812643698</v>
      </c>
      <c r="AM5517">
        <v>94.826366133653707</v>
      </c>
      <c r="AN5517">
        <v>0.99999998065880402</v>
      </c>
    </row>
    <row r="5518" spans="1:40" x14ac:dyDescent="0.25">
      <c r="A5518" t="str">
        <f>"20190312160444558"</f>
        <v>20190312160444558</v>
      </c>
      <c r="B5518" t="str">
        <f>"1552377884550974"</f>
        <v>1552377884550974</v>
      </c>
      <c r="C5518" t="s">
        <v>40</v>
      </c>
      <c r="D5518">
        <v>5.3512879999999896</v>
      </c>
      <c r="E5518">
        <v>0.41704940000000001</v>
      </c>
      <c r="F5518" t="s">
        <v>41</v>
      </c>
      <c r="G5518">
        <v>-414.64890000000003</v>
      </c>
      <c r="H5518" s="1">
        <v>-4.049401E-6</v>
      </c>
      <c r="I5518">
        <v>116.85939999999999</v>
      </c>
      <c r="J5518">
        <v>-411.30270000000002</v>
      </c>
      <c r="K5518">
        <v>1.117194</v>
      </c>
      <c r="L5518">
        <v>130.6574</v>
      </c>
      <c r="M5518">
        <v>-0.50186299999999995</v>
      </c>
      <c r="N5518">
        <v>0</v>
      </c>
      <c r="O5518">
        <v>-0.86481759999999996</v>
      </c>
      <c r="P5518">
        <v>-0.42813030000000002</v>
      </c>
      <c r="Q5518">
        <v>9.6788630000000004E-4</v>
      </c>
      <c r="R5518">
        <v>-0.90371679999999999</v>
      </c>
      <c r="S5518">
        <v>-0.73574830000000002</v>
      </c>
      <c r="T5518">
        <v>-0.23740629999999999</v>
      </c>
      <c r="U5518">
        <v>-2.978348</v>
      </c>
      <c r="V5518">
        <v>-8.3560330000000002E-2</v>
      </c>
      <c r="W5518">
        <v>1.4451779999999999E-2</v>
      </c>
      <c r="X5518">
        <v>0.99639789999999995</v>
      </c>
      <c r="Y5518">
        <v>-0.28033130000000001</v>
      </c>
      <c r="Z5518">
        <v>6.121095E-2</v>
      </c>
      <c r="AA5518">
        <v>0.95794970000000002</v>
      </c>
      <c r="AB5518">
        <v>25</v>
      </c>
      <c r="AC5518">
        <v>-3.3462000000000098</v>
      </c>
      <c r="AD5518">
        <v>-1.1171980494010001</v>
      </c>
      <c r="AE5518">
        <v>-13.798</v>
      </c>
      <c r="AF5518">
        <v>-4.0064976751797303</v>
      </c>
      <c r="AG5518">
        <v>-1.1171980494010001</v>
      </c>
      <c r="AH5518">
        <v>13.5298398379551</v>
      </c>
      <c r="AI5518">
        <v>94.526919652777394</v>
      </c>
      <c r="AJ5518">
        <v>106.495236702074</v>
      </c>
      <c r="AK5518">
        <v>14.154742002012</v>
      </c>
      <c r="AL5518">
        <v>89.171945156624503</v>
      </c>
      <c r="AM5518">
        <v>94.793745213732805</v>
      </c>
      <c r="AN5518">
        <v>0.99999997890964298</v>
      </c>
    </row>
    <row r="5519" spans="1:40" x14ac:dyDescent="0.25">
      <c r="A5519" t="str">
        <f>"20190312160444582"</f>
        <v>20190312160444582</v>
      </c>
      <c r="B5519" t="str">
        <f>"1552377884570491"</f>
        <v>1552377884570491</v>
      </c>
      <c r="C5519" t="s">
        <v>40</v>
      </c>
      <c r="D5519">
        <v>5.4283510000000001</v>
      </c>
      <c r="E5519">
        <v>0.41631279999999998</v>
      </c>
      <c r="F5519" t="s">
        <v>41</v>
      </c>
      <c r="G5519">
        <v>-416.95409999999998</v>
      </c>
      <c r="H5519" s="1">
        <v>-3.49626E-6</v>
      </c>
      <c r="I5519">
        <v>105.8845</v>
      </c>
      <c r="J5519">
        <v>-411.4169</v>
      </c>
      <c r="K5519">
        <v>1.11704</v>
      </c>
      <c r="L5519">
        <v>130.43729999999999</v>
      </c>
      <c r="M5519">
        <v>-0.49285099999999998</v>
      </c>
      <c r="N5519">
        <v>0</v>
      </c>
      <c r="O5519">
        <v>-0.86998549999999997</v>
      </c>
      <c r="P5519">
        <v>-0.41946369999999999</v>
      </c>
      <c r="Q5519">
        <v>1.110406E-3</v>
      </c>
      <c r="R5519">
        <v>-0.90777189999999996</v>
      </c>
      <c r="S5519">
        <v>-0.68347170000000002</v>
      </c>
      <c r="T5519">
        <v>-0.1351118</v>
      </c>
      <c r="U5519">
        <v>-2.995987</v>
      </c>
      <c r="V5519">
        <v>-8.2737679999999994E-2</v>
      </c>
      <c r="W5519">
        <v>1.4601970000000001E-2</v>
      </c>
      <c r="X5519">
        <v>0.99646440000000003</v>
      </c>
      <c r="Y5519">
        <v>-0.2871861</v>
      </c>
      <c r="Z5519">
        <v>3.5046260000000003E-2</v>
      </c>
      <c r="AA5519">
        <v>0.95723340000000001</v>
      </c>
      <c r="AB5519">
        <v>25</v>
      </c>
      <c r="AC5519">
        <v>-5.5371999999999799</v>
      </c>
      <c r="AD5519">
        <v>-1.11704349626</v>
      </c>
      <c r="AE5519">
        <v>-24.552799999999898</v>
      </c>
      <c r="AF5519">
        <v>-7.2700813702381897</v>
      </c>
      <c r="AG5519">
        <v>-1.11704349626</v>
      </c>
      <c r="AH5519">
        <v>24.044921918456001</v>
      </c>
      <c r="AI5519">
        <v>92.546172175808195</v>
      </c>
      <c r="AJ5519">
        <v>106.82290843888801</v>
      </c>
      <c r="AK5519">
        <v>25.1447835418615</v>
      </c>
      <c r="AL5519">
        <v>89.163339030269299</v>
      </c>
      <c r="AM5519">
        <v>94.746452258549695</v>
      </c>
      <c r="AN5519">
        <v>1.00000002084351</v>
      </c>
    </row>
    <row r="5520" spans="1:40" x14ac:dyDescent="0.25">
      <c r="A5520" t="str">
        <f>"20190312160444603"</f>
        <v>20190312160444603</v>
      </c>
      <c r="B5520" t="str">
        <f>"1552377884600747"</f>
        <v>1552377884600747</v>
      </c>
      <c r="C5520" t="s">
        <v>40</v>
      </c>
      <c r="D5520">
        <v>5.3556339999999896</v>
      </c>
      <c r="E5520">
        <v>0.3764284</v>
      </c>
      <c r="F5520" t="s">
        <v>41</v>
      </c>
      <c r="G5520">
        <v>-415.93650000000002</v>
      </c>
      <c r="H5520" s="1">
        <v>-5.3902549999999899E-6</v>
      </c>
      <c r="I5520">
        <v>109.5094</v>
      </c>
      <c r="J5520">
        <v>-411.52440000000001</v>
      </c>
      <c r="K5520">
        <v>1.116892</v>
      </c>
      <c r="L5520">
        <v>130.2252</v>
      </c>
      <c r="M5520">
        <v>-0.48434270000000001</v>
      </c>
      <c r="N5520">
        <v>0</v>
      </c>
      <c r="O5520">
        <v>-0.87475159999999996</v>
      </c>
      <c r="P5520">
        <v>-0.4109025</v>
      </c>
      <c r="Q5520">
        <v>1.3409100000000001E-3</v>
      </c>
      <c r="R5520">
        <v>-0.91167860000000001</v>
      </c>
      <c r="S5520">
        <v>-0.64898679999999997</v>
      </c>
      <c r="T5520">
        <v>-0.1604013</v>
      </c>
      <c r="U5520">
        <v>-3.0051269999999999</v>
      </c>
      <c r="V5520">
        <v>-8.2393859999999999E-2</v>
      </c>
      <c r="W5520">
        <v>1.4831779999999999E-2</v>
      </c>
      <c r="X5520">
        <v>0.99648950000000003</v>
      </c>
      <c r="Y5520">
        <v>-0.28900209999999998</v>
      </c>
      <c r="Z5520">
        <v>4.1860359999999999E-2</v>
      </c>
      <c r="AA5520">
        <v>0.95641290000000001</v>
      </c>
      <c r="AB5520">
        <v>25</v>
      </c>
      <c r="AC5520">
        <v>-4.4120999999999997</v>
      </c>
      <c r="AD5520">
        <v>-1.1168973902549999</v>
      </c>
      <c r="AE5520">
        <v>-20.715800000000002</v>
      </c>
      <c r="AF5520">
        <v>-6.15761716291036</v>
      </c>
      <c r="AG5520">
        <v>-1.1168973902549999</v>
      </c>
      <c r="AH5520">
        <v>20.204212318444899</v>
      </c>
      <c r="AI5520">
        <v>93.026931708931698</v>
      </c>
      <c r="AJ5520">
        <v>106.94959511818</v>
      </c>
      <c r="AK5520">
        <v>21.1512151971022</v>
      </c>
      <c r="AL5520">
        <v>89.150170466289893</v>
      </c>
      <c r="AM5520">
        <v>94.726699207956301</v>
      </c>
      <c r="AN5520">
        <v>1.00000002673695</v>
      </c>
    </row>
    <row r="5521" spans="1:40" x14ac:dyDescent="0.25">
      <c r="A5521" t="str">
        <f>"20190312160444626"</f>
        <v>20190312160444626</v>
      </c>
      <c r="B5521" t="str">
        <f>"1552377884620266"</f>
        <v>1552377884620266</v>
      </c>
      <c r="C5521" t="s">
        <v>40</v>
      </c>
      <c r="D5521">
        <v>5.3096059999999996</v>
      </c>
      <c r="E5521">
        <v>0.37683549999999999</v>
      </c>
      <c r="F5521" t="s">
        <v>41</v>
      </c>
      <c r="G5521">
        <v>-418.23610000000002</v>
      </c>
      <c r="H5521" s="1">
        <v>-3.4390579999999999E-6</v>
      </c>
      <c r="I5521">
        <v>66.919969999999907</v>
      </c>
      <c r="J5521">
        <v>-411.63510000000002</v>
      </c>
      <c r="K5521">
        <v>1.1167149999999999</v>
      </c>
      <c r="L5521">
        <v>130.00210000000001</v>
      </c>
      <c r="M5521">
        <v>-0.47557080000000002</v>
      </c>
      <c r="N5521">
        <v>0</v>
      </c>
      <c r="O5521">
        <v>-0.87955190000000005</v>
      </c>
      <c r="P5521">
        <v>-0.40212530000000002</v>
      </c>
      <c r="Q5521">
        <v>1.352788E-3</v>
      </c>
      <c r="R5521">
        <v>-0.9155837</v>
      </c>
      <c r="S5521">
        <v>-0.33297729999999998</v>
      </c>
      <c r="T5521">
        <v>-5.5410620000000001E-2</v>
      </c>
      <c r="U5521">
        <v>-3.1406559999999999</v>
      </c>
      <c r="V5521">
        <v>-8.1994700000000004E-2</v>
      </c>
      <c r="W5521">
        <v>1.4844649999999999E-2</v>
      </c>
      <c r="X5521">
        <v>0.99652220000000002</v>
      </c>
      <c r="Y5521">
        <v>-0.38023889999999999</v>
      </c>
      <c r="Z5521">
        <v>1.3782829999999999E-2</v>
      </c>
      <c r="AA5521">
        <v>0.92478559999999999</v>
      </c>
      <c r="AB5521">
        <v>25</v>
      </c>
      <c r="AC5521">
        <v>-6.6009999999999902</v>
      </c>
      <c r="AD5521">
        <v>-1.1167184390579901</v>
      </c>
      <c r="AE5521">
        <v>-63.082129999999999</v>
      </c>
      <c r="AF5521">
        <v>-24.1892708612476</v>
      </c>
      <c r="AG5521">
        <v>-1.1167184390579901</v>
      </c>
      <c r="AH5521">
        <v>58.611556374457201</v>
      </c>
      <c r="AI5521">
        <v>91.008985395574697</v>
      </c>
      <c r="AJ5521">
        <v>112.42617480152801</v>
      </c>
      <c r="AK5521">
        <v>63.416736162523499</v>
      </c>
      <c r="AL5521">
        <v>89.149432961250795</v>
      </c>
      <c r="AM5521">
        <v>94.7037498866232</v>
      </c>
      <c r="AN5521">
        <v>0.99999999477727597</v>
      </c>
    </row>
    <row r="5522" spans="1:40" x14ac:dyDescent="0.25">
      <c r="A5522" t="str">
        <f>"20190312160444648"</f>
        <v>20190312160444648</v>
      </c>
      <c r="B5522" t="str">
        <f>"1552377884640762"</f>
        <v>1552377884640762</v>
      </c>
      <c r="C5522" t="s">
        <v>40</v>
      </c>
      <c r="D5522">
        <v>5.3519699999999997</v>
      </c>
      <c r="E5522">
        <v>0.37801220000000002</v>
      </c>
      <c r="F5522" t="s">
        <v>41</v>
      </c>
      <c r="G5522">
        <v>-418.24759999999998</v>
      </c>
      <c r="H5522" s="1">
        <v>-1.3203899999999901E-6</v>
      </c>
      <c r="I5522">
        <v>61.986049999999999</v>
      </c>
      <c r="J5522">
        <v>-411.74</v>
      </c>
      <c r="K5522">
        <v>1.116549</v>
      </c>
      <c r="L5522">
        <v>129.78569999999999</v>
      </c>
      <c r="M5522">
        <v>-0.46725349999999999</v>
      </c>
      <c r="N5522">
        <v>0</v>
      </c>
      <c r="O5522">
        <v>-0.88399930000000004</v>
      </c>
      <c r="P5522">
        <v>-0.39378259999999998</v>
      </c>
      <c r="Q5522">
        <v>6.2636289999999997E-4</v>
      </c>
      <c r="R5522">
        <v>-0.91920329999999995</v>
      </c>
      <c r="S5522">
        <v>-0.30551149999999999</v>
      </c>
      <c r="T5522">
        <v>-5.1594139999999997E-2</v>
      </c>
      <c r="U5522">
        <v>-3.1424560000000001</v>
      </c>
      <c r="V5522">
        <v>-8.1638710000000003E-2</v>
      </c>
      <c r="W5522">
        <v>1.4118500000000001E-2</v>
      </c>
      <c r="X5522">
        <v>0.99656199999999995</v>
      </c>
      <c r="Y5522">
        <v>-0.3795695</v>
      </c>
      <c r="Z5522">
        <v>1.2940139999999999E-2</v>
      </c>
      <c r="AA5522">
        <v>0.92507269999999997</v>
      </c>
      <c r="AB5522">
        <v>25</v>
      </c>
      <c r="AC5522">
        <v>-6.5075999999999601</v>
      </c>
      <c r="AD5522">
        <v>-1.11655032038999</v>
      </c>
      <c r="AE5522">
        <v>-67.7996499999999</v>
      </c>
      <c r="AF5522">
        <v>-25.9227883464991</v>
      </c>
      <c r="AG5522">
        <v>-1.11655032038999</v>
      </c>
      <c r="AH5522">
        <v>62.965530869678297</v>
      </c>
      <c r="AI5522">
        <v>90.939420216010404</v>
      </c>
      <c r="AJ5522">
        <v>112.376871142006</v>
      </c>
      <c r="AK5522">
        <v>68.102097750185095</v>
      </c>
      <c r="AL5522">
        <v>89.191042672721807</v>
      </c>
      <c r="AM5522">
        <v>94.683232813689401</v>
      </c>
      <c r="AN5522">
        <v>1.0000000154283499</v>
      </c>
    </row>
    <row r="5523" spans="1:40" x14ac:dyDescent="0.25">
      <c r="A5523" t="str">
        <f>"20190312160444670"</f>
        <v>20190312160444670</v>
      </c>
      <c r="B5523" t="str">
        <f>"1552377884660283"</f>
        <v>1552377884660283</v>
      </c>
      <c r="C5523" t="s">
        <v>40</v>
      </c>
      <c r="D5523">
        <v>5.3592750000000002</v>
      </c>
      <c r="E5523">
        <v>0.37939089999999998</v>
      </c>
      <c r="F5523" t="s">
        <v>41</v>
      </c>
      <c r="G5523">
        <v>-417.7903</v>
      </c>
      <c r="H5523" s="1">
        <v>-1.9525080000000002E-6</v>
      </c>
      <c r="I5523">
        <v>63.270420000000001</v>
      </c>
      <c r="J5523">
        <v>-411.84379999999999</v>
      </c>
      <c r="K5523">
        <v>1.116379</v>
      </c>
      <c r="L5523">
        <v>129.56659999999999</v>
      </c>
      <c r="M5523">
        <v>-0.4590282</v>
      </c>
      <c r="N5523">
        <v>0</v>
      </c>
      <c r="O5523">
        <v>-0.888298699999999</v>
      </c>
      <c r="P5523">
        <v>-0.385739</v>
      </c>
      <c r="Q5523">
        <v>5.583866E-4</v>
      </c>
      <c r="R5523">
        <v>-0.92260799999999998</v>
      </c>
      <c r="S5523">
        <v>-0.28573609999999999</v>
      </c>
      <c r="T5523">
        <v>-5.2731279999999998E-2</v>
      </c>
      <c r="U5523">
        <v>-3.1413120000000001</v>
      </c>
      <c r="V5523">
        <v>-8.1085160000000003E-2</v>
      </c>
      <c r="W5523">
        <v>1.4053660000000001E-2</v>
      </c>
      <c r="X5523">
        <v>0.9966081</v>
      </c>
      <c r="Y5523">
        <v>-0.37672050000000001</v>
      </c>
      <c r="Z5523">
        <v>1.334904E-2</v>
      </c>
      <c r="AA5523">
        <v>0.92623080000000002</v>
      </c>
      <c r="AB5523">
        <v>25</v>
      </c>
      <c r="AC5523">
        <v>-5.9465000000000101</v>
      </c>
      <c r="AD5523">
        <v>-1.116380952508</v>
      </c>
      <c r="AE5523">
        <v>-66.296179999999893</v>
      </c>
      <c r="AF5523">
        <v>-25.145223064494001</v>
      </c>
      <c r="AG5523">
        <v>-1.116380952508</v>
      </c>
      <c r="AH5523">
        <v>61.609825031206199</v>
      </c>
      <c r="AI5523">
        <v>90.961142797374393</v>
      </c>
      <c r="AJ5523">
        <v>112.20216773472799</v>
      </c>
      <c r="AK5523">
        <v>66.552979570941304</v>
      </c>
      <c r="AL5523">
        <v>89.194758092648499</v>
      </c>
      <c r="AM5523">
        <v>94.651403823203495</v>
      </c>
      <c r="AN5523">
        <v>1.0000000067586099</v>
      </c>
    </row>
    <row r="5524" spans="1:40" x14ac:dyDescent="0.25">
      <c r="A5524" t="str">
        <f>"20190312160444692"</f>
        <v>20190312160444692</v>
      </c>
      <c r="B5524" t="str">
        <f>"1552377884690540"</f>
        <v>1552377884690540</v>
      </c>
      <c r="C5524" t="s">
        <v>40</v>
      </c>
      <c r="D5524">
        <v>5.3628790000000004</v>
      </c>
      <c r="E5524">
        <v>0.38161050000000002</v>
      </c>
      <c r="F5524" t="s">
        <v>41</v>
      </c>
      <c r="G5524">
        <v>-417.40480000000002</v>
      </c>
      <c r="H5524" s="1">
        <v>-2.5438160000000001E-6</v>
      </c>
      <c r="I5524">
        <v>64.489400000000003</v>
      </c>
      <c r="J5524">
        <v>-411.94670000000002</v>
      </c>
      <c r="K5524">
        <v>1.1162339999999999</v>
      </c>
      <c r="L5524">
        <v>129.34450000000001</v>
      </c>
      <c r="M5524">
        <v>-0.45084239999999998</v>
      </c>
      <c r="N5524">
        <v>0</v>
      </c>
      <c r="O5524">
        <v>-0.89248189999999905</v>
      </c>
      <c r="P5524">
        <v>-0.3779517</v>
      </c>
      <c r="Q5524">
        <v>3.3225490000000002E-4</v>
      </c>
      <c r="R5524">
        <v>-0.92582560000000003</v>
      </c>
      <c r="S5524">
        <v>-0.26828000000000002</v>
      </c>
      <c r="T5524">
        <v>-5.3857450000000001E-2</v>
      </c>
      <c r="U5524">
        <v>-3.1395110000000002</v>
      </c>
      <c r="V5524">
        <v>-8.0310779999999998E-2</v>
      </c>
      <c r="W5524">
        <v>1.383148E-2</v>
      </c>
      <c r="X5524">
        <v>0.9966739</v>
      </c>
      <c r="Y5524">
        <v>-0.37326419999999999</v>
      </c>
      <c r="Z5524">
        <v>1.376221E-2</v>
      </c>
      <c r="AA5524">
        <v>0.92762299999999998</v>
      </c>
      <c r="AB5524">
        <v>25</v>
      </c>
      <c r="AC5524">
        <v>-5.4581</v>
      </c>
      <c r="AD5524">
        <v>-1.116236543816</v>
      </c>
      <c r="AE5524">
        <v>-64.855099999999993</v>
      </c>
      <c r="AF5524">
        <v>-24.363653745108699</v>
      </c>
      <c r="AG5524">
        <v>-1.116236543816</v>
      </c>
      <c r="AH5524">
        <v>60.331553592028399</v>
      </c>
      <c r="AI5524">
        <v>90.9828501475927</v>
      </c>
      <c r="AJ5524">
        <v>111.990303494195</v>
      </c>
      <c r="AK5524">
        <v>65.074802855338007</v>
      </c>
      <c r="AL5524">
        <v>89.207489298715601</v>
      </c>
      <c r="AM5524">
        <v>94.606871253791098</v>
      </c>
      <c r="AN5524">
        <v>0.999999997082204</v>
      </c>
    </row>
    <row r="5525" spans="1:40" x14ac:dyDescent="0.25">
      <c r="A5525" t="str">
        <f>"20190312160444715"</f>
        <v>20190312160444715</v>
      </c>
      <c r="B5525" t="str">
        <f>"1552377884711037"</f>
        <v>1552377884711037</v>
      </c>
      <c r="C5525" t="s">
        <v>40</v>
      </c>
      <c r="D5525">
        <v>5.3370819999999997</v>
      </c>
      <c r="E5525">
        <v>0.38288179999999999</v>
      </c>
      <c r="F5525" t="s">
        <v>41</v>
      </c>
      <c r="G5525">
        <v>-416.93389999999999</v>
      </c>
      <c r="H5525" s="1">
        <v>-4.4613930000000002E-6</v>
      </c>
      <c r="I5525">
        <v>68.764600000000002</v>
      </c>
      <c r="J5525">
        <v>-412.048</v>
      </c>
      <c r="K5525">
        <v>1.116104</v>
      </c>
      <c r="L5525">
        <v>129.12119999999999</v>
      </c>
      <c r="M5525">
        <v>-0.44276199999999999</v>
      </c>
      <c r="N5525">
        <v>0</v>
      </c>
      <c r="O5525">
        <v>-0.8965185</v>
      </c>
      <c r="P5525">
        <v>-0.37043160000000003</v>
      </c>
      <c r="Q5525">
        <v>1.0074249999999999E-3</v>
      </c>
      <c r="R5525">
        <v>-0.92885930000000005</v>
      </c>
      <c r="S5525">
        <v>-0.25808720000000002</v>
      </c>
      <c r="T5525">
        <v>-5.7765360000000002E-2</v>
      </c>
      <c r="U5525">
        <v>-3.1350099999999999</v>
      </c>
      <c r="V5525">
        <v>-7.939417E-2</v>
      </c>
      <c r="W5525">
        <v>1.451043E-2</v>
      </c>
      <c r="X5525">
        <v>0.99673769999999995</v>
      </c>
      <c r="Y5525">
        <v>-0.36776009999999998</v>
      </c>
      <c r="Z5525">
        <v>1.4913360000000001E-2</v>
      </c>
      <c r="AA5525">
        <v>0.92980110000000005</v>
      </c>
      <c r="AB5525">
        <v>25</v>
      </c>
      <c r="AC5525">
        <v>-4.8858999999999897</v>
      </c>
      <c r="AD5525">
        <v>-1.1161084613929999</v>
      </c>
      <c r="AE5525">
        <v>-60.356599999999901</v>
      </c>
      <c r="AF5525">
        <v>-22.338138213981001</v>
      </c>
      <c r="AG5525">
        <v>-1.1161084613929999</v>
      </c>
      <c r="AH5525">
        <v>56.2610756768374</v>
      </c>
      <c r="AI5525">
        <v>91.056292637921601</v>
      </c>
      <c r="AJ5525">
        <v>111.65526917115101</v>
      </c>
      <c r="AK5525">
        <v>60.543758995286503</v>
      </c>
      <c r="AL5525">
        <v>89.168584436450502</v>
      </c>
      <c r="AM5525">
        <v>94.554223890073899</v>
      </c>
      <c r="AN5525">
        <v>1.0000000147050301</v>
      </c>
    </row>
    <row r="5526" spans="1:40" x14ac:dyDescent="0.25">
      <c r="A5526" t="str">
        <f>"20190312160444738"</f>
        <v>20190312160444738</v>
      </c>
      <c r="B5526" t="str">
        <f>"1552377884730554"</f>
        <v>1552377884730554</v>
      </c>
      <c r="C5526" t="s">
        <v>40</v>
      </c>
      <c r="D5526">
        <v>5.3523319999999996</v>
      </c>
      <c r="E5526">
        <v>0.3951074</v>
      </c>
      <c r="F5526" t="s">
        <v>41</v>
      </c>
      <c r="G5526">
        <v>-416.62400000000002</v>
      </c>
      <c r="H5526" s="1">
        <v>-9.8847720000000003E-7</v>
      </c>
      <c r="I5526">
        <v>69.913150000000002</v>
      </c>
      <c r="J5526">
        <v>-412.1481</v>
      </c>
      <c r="K5526">
        <v>1.115985</v>
      </c>
      <c r="L5526">
        <v>128.8955</v>
      </c>
      <c r="M5526">
        <v>-0.43475170000000002</v>
      </c>
      <c r="N5526">
        <v>0</v>
      </c>
      <c r="O5526">
        <v>-0.90043079999999998</v>
      </c>
      <c r="P5526">
        <v>-0.36283929999999998</v>
      </c>
      <c r="Q5526">
        <v>7.4851539999999997E-4</v>
      </c>
      <c r="R5526">
        <v>-0.93185150000000005</v>
      </c>
      <c r="S5526">
        <v>-0.24215700000000001</v>
      </c>
      <c r="T5526">
        <v>-5.9063669999999999E-2</v>
      </c>
      <c r="U5526">
        <v>-3.1332550000000001</v>
      </c>
      <c r="V5526">
        <v>-7.8633499999999995E-2</v>
      </c>
      <c r="W5526">
        <v>1.425296E-2</v>
      </c>
      <c r="X5526">
        <v>0.99680170000000001</v>
      </c>
      <c r="Y5526">
        <v>-0.36412169999999999</v>
      </c>
      <c r="Z5526">
        <v>1.53817999999999E-2</v>
      </c>
      <c r="AA5526">
        <v>0.9312243</v>
      </c>
      <c r="AB5526">
        <v>25</v>
      </c>
      <c r="AC5526">
        <v>-4.4759000000000198</v>
      </c>
      <c r="AD5526">
        <v>-1.1159859884771901</v>
      </c>
      <c r="AE5526">
        <v>-58.982349999999997</v>
      </c>
      <c r="AF5526">
        <v>-21.607075162716299</v>
      </c>
      <c r="AG5526">
        <v>-1.1159859884771901</v>
      </c>
      <c r="AH5526">
        <v>55.0417666418818</v>
      </c>
      <c r="AI5526">
        <v>91.081223373455202</v>
      </c>
      <c r="AJ5526">
        <v>111.432877167581</v>
      </c>
      <c r="AK5526">
        <v>59.141416933255201</v>
      </c>
      <c r="AL5526">
        <v>89.183337895801202</v>
      </c>
      <c r="AM5526">
        <v>94.510482706642506</v>
      </c>
      <c r="AN5526">
        <v>1.0000000016569499</v>
      </c>
    </row>
    <row r="5527" spans="1:40" x14ac:dyDescent="0.25">
      <c r="A5527" t="str">
        <f>"20190312160444753"</f>
        <v>20190312160444753</v>
      </c>
      <c r="B5527" t="str">
        <f>"1552377884740315"</f>
        <v>1552377884740315</v>
      </c>
      <c r="C5527" t="s">
        <v>40</v>
      </c>
      <c r="D5527">
        <v>5.3663319999999999</v>
      </c>
      <c r="E5527">
        <v>0.39569969999999999</v>
      </c>
      <c r="F5527" t="s">
        <v>41</v>
      </c>
      <c r="G5527">
        <v>-416.5693</v>
      </c>
      <c r="H5527" s="1">
        <v>-2.6068289999999999E-6</v>
      </c>
      <c r="I5527">
        <v>84.290800000000004</v>
      </c>
      <c r="J5527">
        <v>-412.21190000000001</v>
      </c>
      <c r="K5527">
        <v>1.115907</v>
      </c>
      <c r="L5527">
        <v>128.7492</v>
      </c>
      <c r="M5527">
        <v>-0.42963449999999997</v>
      </c>
      <c r="N5527">
        <v>0</v>
      </c>
      <c r="O5527">
        <v>-0.90288389999999996</v>
      </c>
      <c r="P5527">
        <v>-0.35799930000000002</v>
      </c>
      <c r="Q5527">
        <v>6.8988209999999999E-4</v>
      </c>
      <c r="R5527">
        <v>-0.93372169999999999</v>
      </c>
      <c r="S5527">
        <v>-0.307251</v>
      </c>
      <c r="T5527">
        <v>-7.7556009999999995E-2</v>
      </c>
      <c r="U5527">
        <v>-3.0998230000000002</v>
      </c>
      <c r="V5527">
        <v>-7.8144469999999994E-2</v>
      </c>
      <c r="W5527">
        <v>1.4194790000000001E-2</v>
      </c>
      <c r="X5527">
        <v>0.99684099999999998</v>
      </c>
      <c r="Y5527">
        <v>-0.33853840000000002</v>
      </c>
      <c r="Z5527">
        <v>2.0610059999999999E-2</v>
      </c>
      <c r="AA5527">
        <v>0.94072679999999997</v>
      </c>
      <c r="AB5527">
        <v>25</v>
      </c>
      <c r="AC5527">
        <v>-4.3573999999999797</v>
      </c>
      <c r="AD5527">
        <v>-1.115909606829</v>
      </c>
      <c r="AE5527">
        <v>-44.458399999999997</v>
      </c>
      <c r="AF5527">
        <v>-15.158806363562601</v>
      </c>
      <c r="AG5527">
        <v>-1.115909606829</v>
      </c>
      <c r="AH5527">
        <v>41.9911737833418</v>
      </c>
      <c r="AI5527">
        <v>91.431865865229398</v>
      </c>
      <c r="AJ5527">
        <v>109.849573466435</v>
      </c>
      <c r="AK5527">
        <v>44.657511577800797</v>
      </c>
      <c r="AL5527">
        <v>89.186671139159202</v>
      </c>
      <c r="AM5527">
        <v>94.4823702165707</v>
      </c>
      <c r="AN5527">
        <v>1.00000001476786</v>
      </c>
    </row>
    <row r="5528" spans="1:40" x14ac:dyDescent="0.25">
      <c r="A5528" t="str">
        <f>"20190312160444772"</f>
        <v>20190312160444772</v>
      </c>
      <c r="B5528" t="str">
        <f>"1552377884760811"</f>
        <v>1552377884760811</v>
      </c>
      <c r="C5528" t="s">
        <v>40</v>
      </c>
      <c r="D5528">
        <v>5.3704650000000003</v>
      </c>
      <c r="E5528">
        <v>0.39610489999999998</v>
      </c>
      <c r="F5528" t="s">
        <v>41</v>
      </c>
      <c r="G5528">
        <v>-416.29640000000001</v>
      </c>
      <c r="H5528" s="1">
        <v>-3.3611209999999998E-6</v>
      </c>
      <c r="I5528">
        <v>85.936239999999998</v>
      </c>
      <c r="J5528">
        <v>-412.29329999999999</v>
      </c>
      <c r="K5528">
        <v>1.115804</v>
      </c>
      <c r="L5528">
        <v>128.559</v>
      </c>
      <c r="M5528">
        <v>-0.42308010000000001</v>
      </c>
      <c r="N5528">
        <v>0</v>
      </c>
      <c r="O5528">
        <v>-0.90597439999999996</v>
      </c>
      <c r="P5528">
        <v>-0.35144579999999997</v>
      </c>
      <c r="Q5528">
        <v>3.4074860000000003E-4</v>
      </c>
      <c r="R5528">
        <v>-0.9362085</v>
      </c>
      <c r="S5528">
        <v>-0.29571530000000001</v>
      </c>
      <c r="T5528">
        <v>-8.0790280000000006E-2</v>
      </c>
      <c r="U5528">
        <v>-3.0995940000000002</v>
      </c>
      <c r="V5528">
        <v>-7.7898149999999999E-2</v>
      </c>
      <c r="W5528">
        <v>1.384054E-2</v>
      </c>
      <c r="X5528">
        <v>0.99686529999999995</v>
      </c>
      <c r="Y5528">
        <v>-0.33518009999999998</v>
      </c>
      <c r="Z5528">
        <v>2.1608240000000001E-2</v>
      </c>
      <c r="AA5528">
        <v>0.94190629999999997</v>
      </c>
      <c r="AB5528">
        <v>25</v>
      </c>
      <c r="AC5528">
        <v>-4.0031000000000097</v>
      </c>
      <c r="AD5528">
        <v>-1.115807361121</v>
      </c>
      <c r="AE5528">
        <v>-42.62276</v>
      </c>
      <c r="AF5528">
        <v>-14.397893444583501</v>
      </c>
      <c r="AG5528">
        <v>-1.115807361121</v>
      </c>
      <c r="AH5528">
        <v>40.285700030021196</v>
      </c>
      <c r="AI5528">
        <v>91.4940314711192</v>
      </c>
      <c r="AJ5528">
        <v>109.666617455016</v>
      </c>
      <c r="AK5528">
        <v>42.795817419668097</v>
      </c>
      <c r="AL5528">
        <v>89.206970194661693</v>
      </c>
      <c r="AM5528">
        <v>94.468190117940907</v>
      </c>
      <c r="AN5528">
        <v>1.0000000543325001</v>
      </c>
    </row>
    <row r="5529" spans="1:40" x14ac:dyDescent="0.25">
      <c r="A5529" t="str">
        <f>"20190312160444793"</f>
        <v>20190312160444793</v>
      </c>
      <c r="B5529" t="str">
        <f>"1552377884791067"</f>
        <v>1552377884791067</v>
      </c>
      <c r="C5529" t="s">
        <v>40</v>
      </c>
      <c r="D5529">
        <v>5.3512029999999999</v>
      </c>
      <c r="E5529">
        <v>0.39771250000000002</v>
      </c>
      <c r="F5529" t="s">
        <v>41</v>
      </c>
      <c r="G5529">
        <v>-416.23739999999998</v>
      </c>
      <c r="H5529" s="1">
        <v>-2.7339650000000001E-6</v>
      </c>
      <c r="I5529">
        <v>84.449929999999995</v>
      </c>
      <c r="J5529">
        <v>-412.38780000000003</v>
      </c>
      <c r="K5529">
        <v>1.1156779999999999</v>
      </c>
      <c r="L5529">
        <v>128.334</v>
      </c>
      <c r="M5529">
        <v>-0.41546899999999998</v>
      </c>
      <c r="N5529">
        <v>0</v>
      </c>
      <c r="O5529">
        <v>-0.90949029999999997</v>
      </c>
      <c r="P5529">
        <v>-0.34345940000000003</v>
      </c>
      <c r="Q5529">
        <v>3.1265520000000002E-4</v>
      </c>
      <c r="R5529">
        <v>-0.93916770000000005</v>
      </c>
      <c r="S5529">
        <v>-0.27722170000000002</v>
      </c>
      <c r="T5529">
        <v>-7.8428390000000001E-2</v>
      </c>
      <c r="U5529">
        <v>-3.1003569999999998</v>
      </c>
      <c r="V5529">
        <v>-7.8024640000000006E-2</v>
      </c>
      <c r="W5529">
        <v>1.3801920000000001E-2</v>
      </c>
      <c r="X5529">
        <v>0.99685590000000002</v>
      </c>
      <c r="Y5529">
        <v>-0.33287139999999998</v>
      </c>
      <c r="Z5529">
        <v>2.1118080000000001E-2</v>
      </c>
      <c r="AA5529">
        <v>0.94273569999999995</v>
      </c>
      <c r="AB5529">
        <v>25</v>
      </c>
      <c r="AC5529">
        <v>-3.84959999999995</v>
      </c>
      <c r="AD5529">
        <v>-1.1156807339649999</v>
      </c>
      <c r="AE5529">
        <v>-43.884070000000001</v>
      </c>
      <c r="AF5529">
        <v>-14.723421472969999</v>
      </c>
      <c r="AG5529">
        <v>-1.1156807339649999</v>
      </c>
      <c r="AH5529">
        <v>41.489333402531202</v>
      </c>
      <c r="AI5529">
        <v>91.451699096638194</v>
      </c>
      <c r="AJ5529">
        <v>109.53837200832101</v>
      </c>
      <c r="AK5529">
        <v>44.038490772927801</v>
      </c>
      <c r="AL5529">
        <v>89.209183134973898</v>
      </c>
      <c r="AM5529">
        <v>94.475458085174097</v>
      </c>
      <c r="AN5529">
        <v>1.0000000114038099</v>
      </c>
    </row>
    <row r="5530" spans="1:40" x14ac:dyDescent="0.25">
      <c r="A5530" t="str">
        <f>"20190312160444816"</f>
        <v>20190312160444816</v>
      </c>
      <c r="B5530" t="str">
        <f>"1552377884810590"</f>
        <v>1552377884810590</v>
      </c>
      <c r="C5530" t="s">
        <v>40</v>
      </c>
      <c r="D5530">
        <v>5.3927550000000002</v>
      </c>
      <c r="E5530">
        <v>0.39861530000000001</v>
      </c>
      <c r="F5530" t="s">
        <v>41</v>
      </c>
      <c r="G5530">
        <v>-416.12310000000002</v>
      </c>
      <c r="H5530" s="1">
        <v>-2.6785330000000001E-6</v>
      </c>
      <c r="I5530">
        <v>84.273449999999997</v>
      </c>
      <c r="J5530">
        <v>-412.47789999999998</v>
      </c>
      <c r="K5530">
        <v>1.1155520000000001</v>
      </c>
      <c r="L5530">
        <v>128.11449999999999</v>
      </c>
      <c r="M5530">
        <v>-0.40816970000000002</v>
      </c>
      <c r="N5530">
        <v>0</v>
      </c>
      <c r="O5530">
        <v>-0.9127902</v>
      </c>
      <c r="P5530">
        <v>-0.33556140000000001</v>
      </c>
      <c r="Q5530">
        <v>7.0075710000000002E-4</v>
      </c>
      <c r="R5530">
        <v>-0.94201820000000003</v>
      </c>
      <c r="S5530">
        <v>-0.26266479999999998</v>
      </c>
      <c r="T5530">
        <v>-7.8453540000000002E-2</v>
      </c>
      <c r="U5530">
        <v>-3.0982970000000001</v>
      </c>
      <c r="V5530">
        <v>-7.8409240000000005E-2</v>
      </c>
      <c r="W5530">
        <v>1.4176670000000001E-2</v>
      </c>
      <c r="X5530">
        <v>0.99682040000000005</v>
      </c>
      <c r="Y5530">
        <v>-0.32965559999999899</v>
      </c>
      <c r="Z5530">
        <v>2.1280179999999999E-2</v>
      </c>
      <c r="AA5530">
        <v>0.94386139999999996</v>
      </c>
      <c r="AB5530">
        <v>25</v>
      </c>
      <c r="AC5530">
        <v>-3.64520000000004</v>
      </c>
      <c r="AD5530">
        <v>-1.1155546785329999</v>
      </c>
      <c r="AE5530">
        <v>-43.841050000000003</v>
      </c>
      <c r="AF5530">
        <v>-14.5594643668827</v>
      </c>
      <c r="AG5530">
        <v>-1.1155546785329999</v>
      </c>
      <c r="AH5530">
        <v>41.483257099875502</v>
      </c>
      <c r="AI5530">
        <v>91.453525032704405</v>
      </c>
      <c r="AJ5530">
        <v>109.339648247247</v>
      </c>
      <c r="AK5530">
        <v>43.978211474612003</v>
      </c>
      <c r="AL5530">
        <v>89.1877093892098</v>
      </c>
      <c r="AM5530">
        <v>94.497587793864099</v>
      </c>
      <c r="AN5530">
        <v>0.99999994837291195</v>
      </c>
    </row>
    <row r="5531" spans="1:40" x14ac:dyDescent="0.25">
      <c r="A5531" t="str">
        <f>"20190312160444837"</f>
        <v>20190312160444837</v>
      </c>
      <c r="B5531" t="str">
        <f>"1552377884831083"</f>
        <v>1552377884831083</v>
      </c>
      <c r="C5531" t="s">
        <v>40</v>
      </c>
      <c r="D5531">
        <v>5.3896169999999897</v>
      </c>
      <c r="E5531">
        <v>0.40599239999999998</v>
      </c>
      <c r="F5531" t="s">
        <v>41</v>
      </c>
      <c r="G5531">
        <v>-415.86579999999998</v>
      </c>
      <c r="H5531" s="1">
        <v>-3.0317699999999999E-6</v>
      </c>
      <c r="I5531">
        <v>84.990449999999996</v>
      </c>
      <c r="J5531">
        <v>-412.56670000000003</v>
      </c>
      <c r="K5531">
        <v>1.1154250000000001</v>
      </c>
      <c r="L5531">
        <v>127.8939</v>
      </c>
      <c r="M5531">
        <v>-0.40096959999999998</v>
      </c>
      <c r="N5531">
        <v>0</v>
      </c>
      <c r="O5531">
        <v>-0.91597640000000002</v>
      </c>
      <c r="P5531">
        <v>-0.32791300000000001</v>
      </c>
      <c r="Q5531">
        <v>1.009994E-3</v>
      </c>
      <c r="R5531">
        <v>-0.94470770000000004</v>
      </c>
      <c r="S5531">
        <v>-0.2433777</v>
      </c>
      <c r="T5531">
        <v>-8.0139989999999994E-2</v>
      </c>
      <c r="U5531">
        <v>-3.0979770000000002</v>
      </c>
      <c r="V5531">
        <v>-7.8640390000000004E-2</v>
      </c>
      <c r="W5531">
        <v>1.4476569999999999E-2</v>
      </c>
      <c r="X5531">
        <v>0.99679790000000001</v>
      </c>
      <c r="Y5531">
        <v>-0.32805079999999998</v>
      </c>
      <c r="Z5531">
        <v>2.1873190000000001E-2</v>
      </c>
      <c r="AA5531">
        <v>0.94440679999999999</v>
      </c>
      <c r="AB5531">
        <v>25</v>
      </c>
      <c r="AC5531">
        <v>-3.29909999999995</v>
      </c>
      <c r="AD5531">
        <v>-1.1154280317700001</v>
      </c>
      <c r="AE5531">
        <v>-42.903449999999999</v>
      </c>
      <c r="AF5531">
        <v>-14.173051440110701</v>
      </c>
      <c r="AG5531">
        <v>-1.1154280317700001</v>
      </c>
      <c r="AH5531">
        <v>40.5983847220838</v>
      </c>
      <c r="AI5531">
        <v>91.485888130784303</v>
      </c>
      <c r="AJ5531">
        <v>109.24429002945401</v>
      </c>
      <c r="AK5531">
        <v>43.015676315273801</v>
      </c>
      <c r="AL5531">
        <v>89.170524636345604</v>
      </c>
      <c r="AM5531">
        <v>94.510893417140693</v>
      </c>
      <c r="AN5531">
        <v>0.99999996773136302</v>
      </c>
    </row>
    <row r="5532" spans="1:40" x14ac:dyDescent="0.25">
      <c r="A5532" t="str">
        <f>"20190312160444860"</f>
        <v>20190312160444860</v>
      </c>
      <c r="B5532" t="str">
        <f>"1552377884850603"</f>
        <v>1552377884850603</v>
      </c>
      <c r="C5532" t="s">
        <v>40</v>
      </c>
      <c r="D5532">
        <v>5.388579</v>
      </c>
      <c r="E5532">
        <v>0.40698590000000001</v>
      </c>
      <c r="F5532" t="s">
        <v>41</v>
      </c>
      <c r="G5532">
        <v>-415.9</v>
      </c>
      <c r="H5532" s="1">
        <v>-1.3348539999999999E-6</v>
      </c>
      <c r="I5532">
        <v>90.364879999999999</v>
      </c>
      <c r="J5532">
        <v>-412.65640000000002</v>
      </c>
      <c r="K5532">
        <v>1.115299</v>
      </c>
      <c r="L5532">
        <v>127.6664</v>
      </c>
      <c r="M5532">
        <v>-0.39369710000000002</v>
      </c>
      <c r="N5532">
        <v>0</v>
      </c>
      <c r="O5532">
        <v>-0.919126</v>
      </c>
      <c r="P5532">
        <v>-0.32076320000000003</v>
      </c>
      <c r="Q5532">
        <v>1.3292499999999999E-3</v>
      </c>
      <c r="R5532">
        <v>-0.94715870000000002</v>
      </c>
      <c r="S5532">
        <v>-0.27362059999999999</v>
      </c>
      <c r="T5532">
        <v>-9.1563699999999998E-2</v>
      </c>
      <c r="U5532">
        <v>-3.0807039999999999</v>
      </c>
      <c r="V5532">
        <v>-7.827307E-2</v>
      </c>
      <c r="W5532">
        <v>1.479507E-2</v>
      </c>
      <c r="X5532">
        <v>0.99682219999999999</v>
      </c>
      <c r="Y5532">
        <v>-0.3108979</v>
      </c>
      <c r="Z5532">
        <v>2.534513E-2</v>
      </c>
      <c r="AA5532">
        <v>0.95010530000000004</v>
      </c>
      <c r="AB5532">
        <v>25</v>
      </c>
      <c r="AC5532">
        <v>-3.2435999999999501</v>
      </c>
      <c r="AD5532">
        <v>-1.115300334854</v>
      </c>
      <c r="AE5532">
        <v>-37.301519999999996</v>
      </c>
      <c r="AF5532">
        <v>-11.6950754637021</v>
      </c>
      <c r="AG5532">
        <v>-1.115300334854</v>
      </c>
      <c r="AH5532">
        <v>35.533998686032298</v>
      </c>
      <c r="AI5532">
        <v>91.707688765573494</v>
      </c>
      <c r="AJ5532">
        <v>108.21759234245999</v>
      </c>
      <c r="AK5532">
        <v>37.425709713478497</v>
      </c>
      <c r="AL5532">
        <v>89.1522740304205</v>
      </c>
      <c r="AM5532">
        <v>94.489800913250306</v>
      </c>
      <c r="AN5532">
        <v>1.00000003299818</v>
      </c>
    </row>
    <row r="5533" spans="1:40" x14ac:dyDescent="0.25">
      <c r="A5533" t="str">
        <f>"20190312160444894"</f>
        <v>20190312160444894</v>
      </c>
      <c r="B5533" t="str">
        <f>"1552377884890619"</f>
        <v>1552377884890619</v>
      </c>
      <c r="C5533" t="s">
        <v>40</v>
      </c>
      <c r="D5533">
        <v>5.4169010000000002</v>
      </c>
      <c r="E5533">
        <v>0.40834900000000002</v>
      </c>
      <c r="F5533" t="s">
        <v>41</v>
      </c>
      <c r="G5533">
        <v>-415.74310000000003</v>
      </c>
      <c r="H5533" s="1">
        <v>-1.510262E-6</v>
      </c>
      <c r="I5533">
        <v>90.757649999999998</v>
      </c>
      <c r="J5533">
        <v>-412.78660000000002</v>
      </c>
      <c r="K5533">
        <v>1.1151059999999999</v>
      </c>
      <c r="L5533">
        <v>127.32729999999999</v>
      </c>
      <c r="M5533">
        <v>-0.38317279999999998</v>
      </c>
      <c r="N5533">
        <v>0</v>
      </c>
      <c r="O5533">
        <v>-0.92356369999999999</v>
      </c>
      <c r="P5533">
        <v>-0.31016579999999999</v>
      </c>
      <c r="Q5533">
        <v>1.914895E-3</v>
      </c>
      <c r="R5533">
        <v>-0.95068090000000005</v>
      </c>
      <c r="S5533">
        <v>-0.25759890000000002</v>
      </c>
      <c r="T5533">
        <v>-9.3078259999999996E-2</v>
      </c>
      <c r="U5533">
        <v>-3.0802459999999998</v>
      </c>
      <c r="V5533">
        <v>-7.8017619999999996E-2</v>
      </c>
      <c r="W5533">
        <v>1.537674E-2</v>
      </c>
      <c r="X5533">
        <v>0.99683339999999998</v>
      </c>
      <c r="Y5533">
        <v>-0.30492950000000002</v>
      </c>
      <c r="Z5533">
        <v>2.6000390000000002E-2</v>
      </c>
      <c r="AA5533">
        <v>0.95201999999999998</v>
      </c>
      <c r="AB5533">
        <v>25</v>
      </c>
      <c r="AC5533">
        <v>-2.9565000000000001</v>
      </c>
      <c r="AD5533">
        <v>-1.1151075102619901</v>
      </c>
      <c r="AE5533">
        <v>-36.569650000000003</v>
      </c>
      <c r="AF5533">
        <v>-11.272743159902999</v>
      </c>
      <c r="AG5533">
        <v>-1.1151075102619901</v>
      </c>
      <c r="AH5533">
        <v>34.878674964523803</v>
      </c>
      <c r="AI5533">
        <v>91.742492773123502</v>
      </c>
      <c r="AJ5533">
        <v>107.910766256419</v>
      </c>
      <c r="AK5533">
        <v>36.6720625325258</v>
      </c>
      <c r="AL5533">
        <v>89.118942981916106</v>
      </c>
      <c r="AM5533">
        <v>94.475157655142297</v>
      </c>
      <c r="AN5533">
        <v>1.0000000102595199</v>
      </c>
    </row>
    <row r="5534" spans="1:40" x14ac:dyDescent="0.25">
      <c r="A5534" t="str">
        <f>"20190312160444916"</f>
        <v>20190312160444916</v>
      </c>
      <c r="B5534" t="str">
        <f>"1552377884911115"</f>
        <v>1552377884911115</v>
      </c>
      <c r="C5534" t="s">
        <v>40</v>
      </c>
      <c r="D5534">
        <v>5.3434839999999904</v>
      </c>
      <c r="E5534">
        <v>0.41501840000000001</v>
      </c>
      <c r="F5534" t="s">
        <v>41</v>
      </c>
      <c r="G5534">
        <v>-415.6345</v>
      </c>
      <c r="H5534" s="1">
        <v>-1.213287E-6</v>
      </c>
      <c r="I5534">
        <v>89.800069999999906</v>
      </c>
      <c r="J5534">
        <v>-412.87209999999999</v>
      </c>
      <c r="K5534">
        <v>1.1149709999999999</v>
      </c>
      <c r="L5534">
        <v>127.099</v>
      </c>
      <c r="M5534">
        <v>-0.37629099999999999</v>
      </c>
      <c r="N5534">
        <v>0</v>
      </c>
      <c r="O5534">
        <v>-0.92638949999999998</v>
      </c>
      <c r="P5534">
        <v>-0.30286089999999999</v>
      </c>
      <c r="Q5534">
        <v>2.209941E-3</v>
      </c>
      <c r="R5534">
        <v>-0.95303260000000001</v>
      </c>
      <c r="S5534">
        <v>-0.23370360000000001</v>
      </c>
      <c r="T5534">
        <v>-9.1509220000000002E-2</v>
      </c>
      <c r="U5534">
        <v>-3.0796049999999999</v>
      </c>
      <c r="V5534">
        <v>-7.8249219999999994E-2</v>
      </c>
      <c r="W5534">
        <v>1.5663759999999999E-2</v>
      </c>
      <c r="X5534">
        <v>0.9968108</v>
      </c>
      <c r="Y5534">
        <v>-0.30516680000000002</v>
      </c>
      <c r="Z5534">
        <v>2.5697520000000001E-2</v>
      </c>
      <c r="AA5534">
        <v>0.95195220000000003</v>
      </c>
      <c r="AB5534">
        <v>24</v>
      </c>
      <c r="AC5534">
        <v>-2.7624000000000102</v>
      </c>
      <c r="AD5534">
        <v>-1.1149722132869999</v>
      </c>
      <c r="AE5534">
        <v>-37.298929999999999</v>
      </c>
      <c r="AF5534">
        <v>-11.4671935980735</v>
      </c>
      <c r="AG5534">
        <v>-1.1149722132869999</v>
      </c>
      <c r="AH5534">
        <v>35.564891231732901</v>
      </c>
      <c r="AI5534">
        <v>91.709068431413598</v>
      </c>
      <c r="AJ5534">
        <v>107.87088677362399</v>
      </c>
      <c r="AK5534">
        <v>37.384504549038603</v>
      </c>
      <c r="AL5534">
        <v>89.102495986284694</v>
      </c>
      <c r="AM5534">
        <v>94.488489572847499</v>
      </c>
      <c r="AN5534">
        <v>1.00000003240229</v>
      </c>
    </row>
    <row r="5535" spans="1:40" x14ac:dyDescent="0.25">
      <c r="A5535" t="str">
        <f>"20190312160444938"</f>
        <v>20190312160444938</v>
      </c>
      <c r="B5535" t="str">
        <f>"1552377884930635"</f>
        <v>1552377884930635</v>
      </c>
      <c r="C5535" t="s">
        <v>40</v>
      </c>
      <c r="D5535">
        <v>5.4324209999999997</v>
      </c>
      <c r="E5535">
        <v>0.41574309999999998</v>
      </c>
      <c r="F5535" t="s">
        <v>41</v>
      </c>
      <c r="G5535">
        <v>-416.04360000000003</v>
      </c>
      <c r="H5535" s="1">
        <v>-1.111228E-6</v>
      </c>
      <c r="I5535">
        <v>89.820080000000004</v>
      </c>
      <c r="J5535">
        <v>-412.95280000000002</v>
      </c>
      <c r="K5535">
        <v>1.114859</v>
      </c>
      <c r="L5535">
        <v>126.8792</v>
      </c>
      <c r="M5535">
        <v>-0.36980400000000002</v>
      </c>
      <c r="N5535">
        <v>0</v>
      </c>
      <c r="O5535">
        <v>-0.9289982</v>
      </c>
      <c r="P5535">
        <v>-0.29644769999999998</v>
      </c>
      <c r="Q5535">
        <v>2.2633699999999998E-3</v>
      </c>
      <c r="R5535">
        <v>-0.95504639999999996</v>
      </c>
      <c r="S5535">
        <v>-0.26077270000000002</v>
      </c>
      <c r="T5535">
        <v>-9.1676350000000004E-2</v>
      </c>
      <c r="U5535">
        <v>-3.0651860000000002</v>
      </c>
      <c r="V5535">
        <v>-7.7974890000000005E-2</v>
      </c>
      <c r="W5535">
        <v>1.5715730000000001E-2</v>
      </c>
      <c r="X5535">
        <v>0.99683140000000003</v>
      </c>
      <c r="Y5535">
        <v>-0.28977950000000002</v>
      </c>
      <c r="Z5535">
        <v>2.6045200000000001E-2</v>
      </c>
      <c r="AA5535">
        <v>0.95673900000000001</v>
      </c>
      <c r="AB5535">
        <v>24</v>
      </c>
      <c r="AC5535">
        <v>-3.0908000000000002</v>
      </c>
      <c r="AD5535">
        <v>-1.1148601112279899</v>
      </c>
      <c r="AE5535">
        <v>-37.059119999999901</v>
      </c>
      <c r="AF5535">
        <v>-10.8246577791795</v>
      </c>
      <c r="AG5535">
        <v>-1.1148601112279899</v>
      </c>
      <c r="AH5535">
        <v>35.5425902945343</v>
      </c>
      <c r="AI5535">
        <v>91.718709765605496</v>
      </c>
      <c r="AJ5535">
        <v>106.938353011568</v>
      </c>
      <c r="AK5535">
        <v>37.171115855581803</v>
      </c>
      <c r="AL5535">
        <v>89.099517887393105</v>
      </c>
      <c r="AM5535">
        <v>94.472725511297</v>
      </c>
      <c r="AN5535">
        <v>0.99999995383295104</v>
      </c>
    </row>
    <row r="5536" spans="1:40" x14ac:dyDescent="0.25">
      <c r="A5536" t="str">
        <f>"20190312160444960"</f>
        <v>20190312160444960</v>
      </c>
      <c r="B5536" t="str">
        <f>"1552377884951131"</f>
        <v>1552377884951131</v>
      </c>
      <c r="C5536" t="s">
        <v>40</v>
      </c>
      <c r="D5536">
        <v>5.4240019999999998</v>
      </c>
      <c r="E5536">
        <v>0.41646640000000001</v>
      </c>
      <c r="F5536" t="s">
        <v>41</v>
      </c>
      <c r="G5536">
        <v>-415.82010000000002</v>
      </c>
      <c r="H5536" s="1">
        <v>-1.607581E-6</v>
      </c>
      <c r="I5536">
        <v>91.103849999999994</v>
      </c>
      <c r="J5536">
        <v>-413.03379999999999</v>
      </c>
      <c r="K5536">
        <v>1.1147290000000001</v>
      </c>
      <c r="L5536">
        <v>126.6538</v>
      </c>
      <c r="M5536">
        <v>-0.36332110000000001</v>
      </c>
      <c r="N5536">
        <v>0</v>
      </c>
      <c r="O5536">
        <v>-0.93155330000000003</v>
      </c>
      <c r="P5536">
        <v>-0.29066389999999998</v>
      </c>
      <c r="Q5536">
        <v>2.7102620000000002E-3</v>
      </c>
      <c r="R5536">
        <v>-0.95682140000000004</v>
      </c>
      <c r="S5536">
        <v>-0.24566650000000001</v>
      </c>
      <c r="T5536">
        <v>-9.5518950000000005E-2</v>
      </c>
      <c r="U5536">
        <v>-3.0651549999999999</v>
      </c>
      <c r="V5536">
        <v>-7.7058349999999998E-2</v>
      </c>
      <c r="W5536">
        <v>1.6171049999999999E-2</v>
      </c>
      <c r="X5536">
        <v>0.99689539999999999</v>
      </c>
      <c r="Y5536">
        <v>-0.28779379999999999</v>
      </c>
      <c r="Z5536">
        <v>2.7268190000000001E-2</v>
      </c>
      <c r="AA5536">
        <v>0.95730409999999999</v>
      </c>
      <c r="AB5536">
        <v>24</v>
      </c>
      <c r="AC5536">
        <v>-2.7863000000000402</v>
      </c>
      <c r="AD5536">
        <v>-1.114730607581</v>
      </c>
      <c r="AE5536">
        <v>-35.549950000000003</v>
      </c>
      <c r="AF5536">
        <v>-10.3114475446959</v>
      </c>
      <c r="AG5536">
        <v>-1.114730607581</v>
      </c>
      <c r="AH5536">
        <v>34.099191366715999</v>
      </c>
      <c r="AI5536">
        <v>91.792281550438503</v>
      </c>
      <c r="AJ5536">
        <v>106.825088869569</v>
      </c>
      <c r="AK5536">
        <v>35.641596858984997</v>
      </c>
      <c r="AL5536">
        <v>89.073426666011201</v>
      </c>
      <c r="AM5536">
        <v>94.420078707776895</v>
      </c>
      <c r="AN5536">
        <v>0.99999996535199098</v>
      </c>
    </row>
    <row r="5537" spans="1:40" x14ac:dyDescent="0.25">
      <c r="A5537" t="str">
        <f>"20190312160444984"</f>
        <v>20190312160444984</v>
      </c>
      <c r="B5537" t="str">
        <f>"1552377884970650"</f>
        <v>1552377884970650</v>
      </c>
      <c r="C5537" t="s">
        <v>40</v>
      </c>
      <c r="D5537">
        <v>5.4447159999999997</v>
      </c>
      <c r="E5537">
        <v>0.41761320000000002</v>
      </c>
      <c r="F5537" t="s">
        <v>41</v>
      </c>
      <c r="G5537">
        <v>-416.00760000000002</v>
      </c>
      <c r="H5537" s="1">
        <v>-4.1017860000000003E-6</v>
      </c>
      <c r="I5537">
        <v>87.543329999999997</v>
      </c>
      <c r="J5537">
        <v>-413.1173</v>
      </c>
      <c r="K5537">
        <v>1.1145940000000001</v>
      </c>
      <c r="L5537">
        <v>126.4175</v>
      </c>
      <c r="M5537">
        <v>-0.35671520000000001</v>
      </c>
      <c r="N5537">
        <v>0</v>
      </c>
      <c r="O5537">
        <v>-0.93410329999999997</v>
      </c>
      <c r="P5537">
        <v>-0.28471210000000002</v>
      </c>
      <c r="Q5537">
        <v>2.877101E-3</v>
      </c>
      <c r="R5537">
        <v>-0.95860919999999905</v>
      </c>
      <c r="S5537">
        <v>-0.23303219999999999</v>
      </c>
      <c r="T5537">
        <v>-8.7353940000000005E-2</v>
      </c>
      <c r="U5537">
        <v>-3.064819</v>
      </c>
      <c r="V5537">
        <v>-7.6189640000000003E-2</v>
      </c>
      <c r="W5537">
        <v>1.63465E-2</v>
      </c>
      <c r="X5537">
        <v>0.99695929999999999</v>
      </c>
      <c r="Y5537">
        <v>-0.28492050000000002</v>
      </c>
      <c r="Z5537">
        <v>2.506539E-2</v>
      </c>
      <c r="AA5537">
        <v>0.95822339999999995</v>
      </c>
      <c r="AB5537">
        <v>24</v>
      </c>
      <c r="AC5537">
        <v>-2.8903000000000199</v>
      </c>
      <c r="AD5537">
        <v>-1.1145981017860001</v>
      </c>
      <c r="AE5537">
        <v>-38.8741699999999</v>
      </c>
      <c r="AF5537">
        <v>-11.159191674102001</v>
      </c>
      <c r="AG5537">
        <v>-1.1145981017860001</v>
      </c>
      <c r="AH5537">
        <v>37.316829371258898</v>
      </c>
      <c r="AI5537">
        <v>91.639151673711098</v>
      </c>
      <c r="AJ5537">
        <v>106.648722090359</v>
      </c>
      <c r="AK5537">
        <v>38.965569956969802</v>
      </c>
      <c r="AL5537">
        <v>89.063372784907898</v>
      </c>
      <c r="AM5537">
        <v>94.3701644863946</v>
      </c>
      <c r="AN5537">
        <v>0.99999995758103299</v>
      </c>
    </row>
    <row r="5538" spans="1:40" x14ac:dyDescent="0.25">
      <c r="A5538" t="str">
        <f>"20190312160445006"</f>
        <v>20190312160445006</v>
      </c>
      <c r="B5538" t="str">
        <f>"1552377885000907"</f>
        <v>1552377885000907</v>
      </c>
      <c r="C5538" t="s">
        <v>40</v>
      </c>
      <c r="D5538">
        <v>5.4206120000000002</v>
      </c>
      <c r="E5538">
        <v>0.41769260000000002</v>
      </c>
      <c r="F5538" t="s">
        <v>41</v>
      </c>
      <c r="G5538">
        <v>-415.97629999999998</v>
      </c>
      <c r="H5538" s="1">
        <v>-3.9574329999999999E-6</v>
      </c>
      <c r="I5538">
        <v>87.193889999999996</v>
      </c>
      <c r="J5538">
        <v>-413.19569999999999</v>
      </c>
      <c r="K5538">
        <v>1.11443799999999</v>
      </c>
      <c r="L5538">
        <v>126.1909</v>
      </c>
      <c r="M5538">
        <v>-0.35057860000000002</v>
      </c>
      <c r="N5538">
        <v>0</v>
      </c>
      <c r="O5538">
        <v>-0.93642429999999999</v>
      </c>
      <c r="P5538">
        <v>-0.27894560000000002</v>
      </c>
      <c r="Q5538">
        <v>3.3363099999999999E-3</v>
      </c>
      <c r="R5538">
        <v>-0.96030130000000002</v>
      </c>
      <c r="S5538">
        <v>-0.2232971</v>
      </c>
      <c r="T5538">
        <v>-8.7053779999999997E-2</v>
      </c>
      <c r="U5538">
        <v>-3.0634920000000001</v>
      </c>
      <c r="V5538">
        <v>-7.5637599999999999E-2</v>
      </c>
      <c r="W5538">
        <v>1.6811360000000001E-2</v>
      </c>
      <c r="X5538">
        <v>0.99699369999999998</v>
      </c>
      <c r="Y5538">
        <v>-0.28162619999999999</v>
      </c>
      <c r="Z5538">
        <v>2.5104410000000001E-2</v>
      </c>
      <c r="AA5538">
        <v>0.95919569999999998</v>
      </c>
      <c r="AB5538">
        <v>24</v>
      </c>
      <c r="AC5538">
        <v>-2.78059999999999</v>
      </c>
      <c r="AD5538">
        <v>-1.11444195743299</v>
      </c>
      <c r="AE5538">
        <v>-38.997009999999896</v>
      </c>
      <c r="AF5538">
        <v>-11.0598391431674</v>
      </c>
      <c r="AG5538">
        <v>-1.11444195743299</v>
      </c>
      <c r="AH5538">
        <v>37.465951821766502</v>
      </c>
      <c r="AI5538">
        <v>91.634114708294007</v>
      </c>
      <c r="AJ5538">
        <v>106.44644590802</v>
      </c>
      <c r="AK5538">
        <v>39.080168483006197</v>
      </c>
      <c r="AL5538">
        <v>89.036734698342499</v>
      </c>
      <c r="AM5538">
        <v>94.338472218463906</v>
      </c>
      <c r="AN5538">
        <v>1.0000000530992399</v>
      </c>
    </row>
    <row r="5539" spans="1:40" x14ac:dyDescent="0.25">
      <c r="A5539" t="str">
        <f>"20190312160445028"</f>
        <v>20190312160445028</v>
      </c>
      <c r="B5539" t="str">
        <f>"1552377885020427"</f>
        <v>1552377885020427</v>
      </c>
      <c r="C5539" t="s">
        <v>40</v>
      </c>
      <c r="D5539">
        <v>5.4428109999999998</v>
      </c>
      <c r="E5539">
        <v>0.4182382</v>
      </c>
      <c r="F5539" t="s">
        <v>41</v>
      </c>
      <c r="G5539">
        <v>-415.90440000000001</v>
      </c>
      <c r="H5539" s="1">
        <v>-3.3631719999999999E-6</v>
      </c>
      <c r="I5539">
        <v>85.778940000000006</v>
      </c>
      <c r="J5539">
        <v>-413.27140000000003</v>
      </c>
      <c r="K5539">
        <v>1.1142829999999999</v>
      </c>
      <c r="L5539">
        <v>125.9683</v>
      </c>
      <c r="M5539">
        <v>-0.34474769999999999</v>
      </c>
      <c r="N5539">
        <v>0</v>
      </c>
      <c r="O5539">
        <v>-0.9385867</v>
      </c>
      <c r="P5539">
        <v>-0.27372859999999899</v>
      </c>
      <c r="Q5539">
        <v>3.702323E-3</v>
      </c>
      <c r="R5539">
        <v>-0.96179979999999998</v>
      </c>
      <c r="S5539">
        <v>-0.20541380000000001</v>
      </c>
      <c r="T5539">
        <v>-8.4513899999999906E-2</v>
      </c>
      <c r="U5539">
        <v>-3.064651</v>
      </c>
      <c r="V5539">
        <v>-7.4845540000000002E-2</v>
      </c>
      <c r="W5539">
        <v>1.718658E-2</v>
      </c>
      <c r="X5539">
        <v>0.99704700000000002</v>
      </c>
      <c r="Y5539">
        <v>-0.28125349999999999</v>
      </c>
      <c r="Z5539">
        <v>2.4457619999999999E-2</v>
      </c>
      <c r="AA5539">
        <v>0.9593218</v>
      </c>
      <c r="AB5539">
        <v>24</v>
      </c>
      <c r="AC5539">
        <v>-2.63299999999998</v>
      </c>
      <c r="AD5539">
        <v>-1.1142863631719999</v>
      </c>
      <c r="AE5539">
        <v>-40.189359999999901</v>
      </c>
      <c r="AF5539">
        <v>-11.376344235181501</v>
      </c>
      <c r="AG5539">
        <v>-1.1142863631719999</v>
      </c>
      <c r="AH5539">
        <v>38.603312268993498</v>
      </c>
      <c r="AI5539">
        <v>91.585987176202593</v>
      </c>
      <c r="AJ5539">
        <v>106.42017443598699</v>
      </c>
      <c r="AK5539">
        <v>40.260136119913</v>
      </c>
      <c r="AL5539">
        <v>89.015232994991095</v>
      </c>
      <c r="AM5539">
        <v>94.292982817446401</v>
      </c>
      <c r="AN5539">
        <v>0.99999997679949304</v>
      </c>
    </row>
    <row r="5540" spans="1:40" x14ac:dyDescent="0.25">
      <c r="A5540" t="str">
        <f>"20190312160445050"</f>
        <v>20190312160445050</v>
      </c>
      <c r="B5540" t="str">
        <f>"1552377885040932"</f>
        <v>1552377885040932</v>
      </c>
      <c r="C5540" t="s">
        <v>40</v>
      </c>
      <c r="D5540">
        <v>5.4439780000000004</v>
      </c>
      <c r="E5540">
        <v>0.4187398</v>
      </c>
      <c r="F5540" t="s">
        <v>41</v>
      </c>
      <c r="G5540">
        <v>-415.88810000000001</v>
      </c>
      <c r="H5540" s="1">
        <v>-2.7988479999999998E-6</v>
      </c>
      <c r="I5540">
        <v>84.45675</v>
      </c>
      <c r="J5540">
        <v>-413.34739999999999</v>
      </c>
      <c r="K5540">
        <v>1.114139</v>
      </c>
      <c r="L5540">
        <v>125.7405</v>
      </c>
      <c r="M5540">
        <v>-0.33899059999999998</v>
      </c>
      <c r="N5540">
        <v>0</v>
      </c>
      <c r="O5540">
        <v>-0.94068180000000001</v>
      </c>
      <c r="P5540">
        <v>-0.2689647</v>
      </c>
      <c r="Q5540">
        <v>4.0311990000000001E-3</v>
      </c>
      <c r="R5540">
        <v>-0.96314180000000005</v>
      </c>
      <c r="S5540">
        <v>-0.1931763</v>
      </c>
      <c r="T5540">
        <v>-8.2259769999999996E-2</v>
      </c>
      <c r="U5540">
        <v>-3.0644990000000001</v>
      </c>
      <c r="V5540">
        <v>-7.3666949999999995E-2</v>
      </c>
      <c r="W5540">
        <v>1.7529369999999999E-2</v>
      </c>
      <c r="X5540">
        <v>0.99712880000000004</v>
      </c>
      <c r="Y5540">
        <v>-0.27918379999999998</v>
      </c>
      <c r="Z5540">
        <v>2.3901289999999999E-2</v>
      </c>
      <c r="AA5540">
        <v>0.95994009999999996</v>
      </c>
      <c r="AB5540">
        <v>24</v>
      </c>
      <c r="AC5540">
        <v>-2.54070000000001</v>
      </c>
      <c r="AD5540">
        <v>-1.114141798848</v>
      </c>
      <c r="AE5540">
        <v>-41.283749999999998</v>
      </c>
      <c r="AF5540">
        <v>-11.5975768383211</v>
      </c>
      <c r="AG5540">
        <v>-1.114141798848</v>
      </c>
      <c r="AH5540">
        <v>39.671393440489901</v>
      </c>
      <c r="AI5540">
        <v>91.544091094316002</v>
      </c>
      <c r="AJ5540">
        <v>106.29580827912299</v>
      </c>
      <c r="AK5540">
        <v>41.346880873638398</v>
      </c>
      <c r="AL5540">
        <v>88.9955896089253</v>
      </c>
      <c r="AM5540">
        <v>94.225282790617797</v>
      </c>
      <c r="AN5540">
        <v>0.99999997106216898</v>
      </c>
    </row>
    <row r="5541" spans="1:40" x14ac:dyDescent="0.25">
      <c r="A5541" t="str">
        <f>"20190312160445072"</f>
        <v>20190312160445072</v>
      </c>
      <c r="B5541" t="str">
        <f>"1552377885060443"</f>
        <v>1552377885060443</v>
      </c>
      <c r="C5541" t="s">
        <v>40</v>
      </c>
      <c r="D5541">
        <v>5.4884570000000004</v>
      </c>
      <c r="E5541">
        <v>0.41951889999999997</v>
      </c>
      <c r="F5541" t="s">
        <v>41</v>
      </c>
      <c r="G5541">
        <v>-416.05500000000001</v>
      </c>
      <c r="H5541" s="1">
        <v>-1.190504E-6</v>
      </c>
      <c r="I5541">
        <v>80.061940000000007</v>
      </c>
      <c r="J5541">
        <v>-413.42070000000001</v>
      </c>
      <c r="K5541">
        <v>1.1140110000000001</v>
      </c>
      <c r="L5541">
        <v>125.51730000000001</v>
      </c>
      <c r="M5541">
        <v>-0.33351380000000003</v>
      </c>
      <c r="N5541">
        <v>0</v>
      </c>
      <c r="O5541">
        <v>-0.94263790000000003</v>
      </c>
      <c r="P5541">
        <v>-0.26418039999999998</v>
      </c>
      <c r="Q5541">
        <v>5.4092389999999997E-3</v>
      </c>
      <c r="R5541">
        <v>-0.96445820000000004</v>
      </c>
      <c r="S5541">
        <v>-0.18164060000000001</v>
      </c>
      <c r="T5541">
        <v>-7.4743270000000001E-2</v>
      </c>
      <c r="U5541">
        <v>-3.0643919999999998</v>
      </c>
      <c r="V5541">
        <v>-7.2821109999999994E-2</v>
      </c>
      <c r="W5541">
        <v>1.8914830000000001E-2</v>
      </c>
      <c r="X5541">
        <v>0.99716559999999999</v>
      </c>
      <c r="Y5541">
        <v>-0.27719379999999999</v>
      </c>
      <c r="Z5541">
        <v>2.1799519999999999E-2</v>
      </c>
      <c r="AA5541">
        <v>0.9605667</v>
      </c>
      <c r="AB5541">
        <v>24</v>
      </c>
      <c r="AC5541">
        <v>-2.6342999999999899</v>
      </c>
      <c r="AD5541">
        <v>-1.1140121905039999</v>
      </c>
      <c r="AE5541">
        <v>-45.455359999999999</v>
      </c>
      <c r="AF5541">
        <v>-12.670496644287001</v>
      </c>
      <c r="AG5541">
        <v>-1.1140121905039999</v>
      </c>
      <c r="AH5541">
        <v>43.704782171102401</v>
      </c>
      <c r="AI5541">
        <v>91.402402063514799</v>
      </c>
      <c r="AJ5541">
        <v>106.167454607997</v>
      </c>
      <c r="AK5541">
        <v>45.518023825699998</v>
      </c>
      <c r="AL5541">
        <v>88.9161953945639</v>
      </c>
      <c r="AM5541">
        <v>94.176787414888196</v>
      </c>
      <c r="AN5541">
        <v>0.99999995933945895</v>
      </c>
    </row>
    <row r="5542" spans="1:40" x14ac:dyDescent="0.25">
      <c r="A5542" t="str">
        <f>"20190312160445095"</f>
        <v>20190312160445095</v>
      </c>
      <c r="B5542" t="str">
        <f>"1552377885090703"</f>
        <v>1552377885090703</v>
      </c>
      <c r="C5542" t="s">
        <v>40</v>
      </c>
      <c r="D5542">
        <v>5.4978600000000002</v>
      </c>
      <c r="E5542">
        <v>0.42019640000000003</v>
      </c>
      <c r="F5542" t="s">
        <v>41</v>
      </c>
      <c r="G5542">
        <v>-416.27289999999999</v>
      </c>
      <c r="H5542" s="1">
        <v>-2.8868329999999999E-6</v>
      </c>
      <c r="I5542">
        <v>74.820930000000004</v>
      </c>
      <c r="J5542">
        <v>-413.49549999999999</v>
      </c>
      <c r="K5542">
        <v>1.1138859999999999</v>
      </c>
      <c r="L5542">
        <v>125.2854</v>
      </c>
      <c r="M5542">
        <v>-0.32799980000000001</v>
      </c>
      <c r="N5542">
        <v>0</v>
      </c>
      <c r="O5542">
        <v>-0.9445713</v>
      </c>
      <c r="P5542">
        <v>-0.25863609999999998</v>
      </c>
      <c r="Q5542">
        <v>6.1964960000000001E-3</v>
      </c>
      <c r="R5542">
        <v>-0.96595509999999996</v>
      </c>
      <c r="S5542">
        <v>-0.172363299999999</v>
      </c>
      <c r="T5542">
        <v>-6.7322969999999996E-2</v>
      </c>
      <c r="U5542">
        <v>-3.0637210000000001</v>
      </c>
      <c r="V5542">
        <v>-7.2721099999999997E-2</v>
      </c>
      <c r="W5542">
        <v>1.970098E-2</v>
      </c>
      <c r="X5542">
        <v>0.99715770000000004</v>
      </c>
      <c r="Y5542">
        <v>-0.2744624</v>
      </c>
      <c r="Z5542">
        <v>1.9714010000000001E-2</v>
      </c>
      <c r="AA5542">
        <v>0.96139569999999996</v>
      </c>
      <c r="AB5542">
        <v>24</v>
      </c>
      <c r="AC5542">
        <v>-2.7774000000000001</v>
      </c>
      <c r="AD5542">
        <v>-1.1138888868329999</v>
      </c>
      <c r="AE5542">
        <v>-50.464469999999899</v>
      </c>
      <c r="AF5542">
        <v>-13.9235219962502</v>
      </c>
      <c r="AG5542">
        <v>-1.1138888868329999</v>
      </c>
      <c r="AH5542">
        <v>48.559577101829497</v>
      </c>
      <c r="AI5542">
        <v>91.263172210201205</v>
      </c>
      <c r="AJ5542">
        <v>105.999222997429</v>
      </c>
      <c r="AK5542">
        <v>50.528583411182197</v>
      </c>
      <c r="AL5542">
        <v>88.871143942760895</v>
      </c>
      <c r="AM5542">
        <v>94.171104347185704</v>
      </c>
      <c r="AN5542">
        <v>0.99999998283373004</v>
      </c>
    </row>
    <row r="5543" spans="1:40" x14ac:dyDescent="0.25">
      <c r="A5543" t="str">
        <f>"20190312160445118"</f>
        <v>20190312160445118</v>
      </c>
      <c r="B5543" t="str">
        <f>"1552377885110309"</f>
        <v>1552377885110309</v>
      </c>
      <c r="C5543" t="s">
        <v>40</v>
      </c>
      <c r="D5543">
        <v>5.5035259999999999</v>
      </c>
      <c r="E5543">
        <v>0.42914540000000001</v>
      </c>
      <c r="F5543" t="s">
        <v>41</v>
      </c>
      <c r="G5543">
        <v>-416.23050000000001</v>
      </c>
      <c r="H5543" s="1">
        <v>-2.1208040000000002E-6</v>
      </c>
      <c r="I5543">
        <v>72.932879999999997</v>
      </c>
      <c r="J5543">
        <v>-413.5684</v>
      </c>
      <c r="K5543">
        <v>1.113764</v>
      </c>
      <c r="L5543">
        <v>125.05549999999999</v>
      </c>
      <c r="M5543">
        <v>-0.322716</v>
      </c>
      <c r="N5543">
        <v>0</v>
      </c>
      <c r="O5543">
        <v>-0.94638990000000001</v>
      </c>
      <c r="P5543">
        <v>-0.25301899999999999</v>
      </c>
      <c r="Q5543">
        <v>6.5501429999999996E-3</v>
      </c>
      <c r="R5543">
        <v>-0.96743920000000005</v>
      </c>
      <c r="S5543">
        <v>-0.16003419999999999</v>
      </c>
      <c r="T5543">
        <v>-6.5177079999999998E-2</v>
      </c>
      <c r="U5543">
        <v>-3.0633089999999998</v>
      </c>
      <c r="V5543">
        <v>-7.293885E-2</v>
      </c>
      <c r="W5543">
        <v>2.004949E-2</v>
      </c>
      <c r="X5543">
        <v>0.99713490000000005</v>
      </c>
      <c r="Y5543">
        <v>-0.27293830000000002</v>
      </c>
      <c r="Z5543">
        <v>1.9152490000000001E-2</v>
      </c>
      <c r="AA5543">
        <v>0.9618409</v>
      </c>
      <c r="AB5543">
        <v>24</v>
      </c>
      <c r="AC5543">
        <v>-2.6621000000000001</v>
      </c>
      <c r="AD5543">
        <v>-1.1137661208039999</v>
      </c>
      <c r="AE5543">
        <v>-52.122619999999898</v>
      </c>
      <c r="AF5543">
        <v>-14.2963423850076</v>
      </c>
      <c r="AG5543">
        <v>-1.1137661208039999</v>
      </c>
      <c r="AH5543">
        <v>50.16960863205</v>
      </c>
      <c r="AI5543">
        <v>91.223084500574004</v>
      </c>
      <c r="AJ5543">
        <v>105.905443558342</v>
      </c>
      <c r="AK5543">
        <v>52.178688282231498</v>
      </c>
      <c r="AL5543">
        <v>88.851171903104998</v>
      </c>
      <c r="AM5543">
        <v>94.183644995099996</v>
      </c>
      <c r="AN5543">
        <v>1.0000000333432899</v>
      </c>
    </row>
    <row r="5544" spans="1:40" x14ac:dyDescent="0.25">
      <c r="A5544" t="str">
        <f>"20190312160445139"</f>
        <v>20190312160445139</v>
      </c>
      <c r="B5544" t="str">
        <f>"1552377885130802"</f>
        <v>1552377885130802</v>
      </c>
      <c r="C5544" t="s">
        <v>40</v>
      </c>
      <c r="D5544">
        <v>5.5165850000000001</v>
      </c>
      <c r="E5544">
        <v>0.43003540000000001</v>
      </c>
      <c r="F5544" t="s">
        <v>41</v>
      </c>
      <c r="G5544">
        <v>-416.10739999999998</v>
      </c>
      <c r="H5544" s="1">
        <v>-4.496737E-6</v>
      </c>
      <c r="I5544">
        <v>88.505229999999997</v>
      </c>
      <c r="J5544">
        <v>-413.63780000000003</v>
      </c>
      <c r="K5544">
        <v>1.1136280000000001</v>
      </c>
      <c r="L5544">
        <v>124.8334</v>
      </c>
      <c r="M5544">
        <v>-0.3177933</v>
      </c>
      <c r="N5544">
        <v>0</v>
      </c>
      <c r="O5544">
        <v>-0.94805459999999997</v>
      </c>
      <c r="P5544">
        <v>-0.24821180000000001</v>
      </c>
      <c r="Q5544">
        <v>6.1296079999999999E-3</v>
      </c>
      <c r="R5544">
        <v>-0.96868679999999996</v>
      </c>
      <c r="S5544">
        <v>-0.21160889999999999</v>
      </c>
      <c r="T5544">
        <v>-9.2826599999999995E-2</v>
      </c>
      <c r="U5544">
        <v>-3.046265</v>
      </c>
      <c r="V5544">
        <v>-7.2698860000000004E-2</v>
      </c>
      <c r="W5544">
        <v>1.9630430000000001E-2</v>
      </c>
      <c r="X5544">
        <v>0.99716070000000001</v>
      </c>
      <c r="Y5544">
        <v>-0.25138149999999998</v>
      </c>
      <c r="Z5544">
        <v>2.7576300000000002E-2</v>
      </c>
      <c r="AA5544">
        <v>0.96749510000000005</v>
      </c>
      <c r="AB5544">
        <v>24</v>
      </c>
      <c r="AC5544">
        <v>-2.4695999999999501</v>
      </c>
      <c r="AD5544">
        <v>-1.1136324967369999</v>
      </c>
      <c r="AE5544">
        <v>-36.328169999999901</v>
      </c>
      <c r="AF5544">
        <v>-9.19585165003976</v>
      </c>
      <c r="AG5544">
        <v>-1.1136324967369999</v>
      </c>
      <c r="AH5544">
        <v>35.196509674823801</v>
      </c>
      <c r="AI5544">
        <v>91.753437325046406</v>
      </c>
      <c r="AJ5544">
        <v>104.642444013</v>
      </c>
      <c r="AK5544">
        <v>36.395029306174401</v>
      </c>
      <c r="AL5544">
        <v>88.875186927312797</v>
      </c>
      <c r="AM5544">
        <v>94.169820714542396</v>
      </c>
      <c r="AN5544">
        <v>0.99999996982588601</v>
      </c>
    </row>
    <row r="5545" spans="1:40" x14ac:dyDescent="0.25">
      <c r="A5545" t="str">
        <f>"20190312160445162"</f>
        <v>20190312160445162</v>
      </c>
      <c r="B5545" t="str">
        <f>"1552377885150321"</f>
        <v>1552377885150321</v>
      </c>
      <c r="C5545" t="s">
        <v>40</v>
      </c>
      <c r="D5545">
        <v>5.4819639999999996</v>
      </c>
      <c r="E5545">
        <v>0.43025340000000001</v>
      </c>
      <c r="F5545" t="s">
        <v>41</v>
      </c>
      <c r="G5545">
        <v>-415.76119999999997</v>
      </c>
      <c r="H5545" s="1">
        <v>-2.2486310000000002E-6</v>
      </c>
      <c r="I5545">
        <v>92.941569999999999</v>
      </c>
      <c r="J5545">
        <v>-413.70740000000001</v>
      </c>
      <c r="K5545">
        <v>1.1134839999999999</v>
      </c>
      <c r="L5545">
        <v>124.60680000000001</v>
      </c>
      <c r="M5545">
        <v>-0.31295620000000002</v>
      </c>
      <c r="N5545">
        <v>0</v>
      </c>
      <c r="O5545">
        <v>-0.94966260000000002</v>
      </c>
      <c r="P5545">
        <v>-0.24392169999999999</v>
      </c>
      <c r="Q5545">
        <v>5.9752379999999999E-3</v>
      </c>
      <c r="R5545">
        <v>-0.96977639999999998</v>
      </c>
      <c r="S5545">
        <v>-0.20278930000000001</v>
      </c>
      <c r="T5545">
        <v>-0.10635169999999999</v>
      </c>
      <c r="U5545">
        <v>-3.0456699999999999</v>
      </c>
      <c r="V5545">
        <v>-7.2021009999999996E-2</v>
      </c>
      <c r="W5545">
        <v>1.9483589999999999E-2</v>
      </c>
      <c r="X5545">
        <v>0.99721280000000001</v>
      </c>
      <c r="Y5545">
        <v>-0.24923010000000001</v>
      </c>
      <c r="Z5545">
        <v>3.1691959999999998E-2</v>
      </c>
      <c r="AA5545">
        <v>0.96792560000000005</v>
      </c>
      <c r="AB5545">
        <v>24</v>
      </c>
      <c r="AC5545">
        <v>-2.0537999999999599</v>
      </c>
      <c r="AD5545">
        <v>-1.113486248631</v>
      </c>
      <c r="AE5545">
        <v>-31.665230000000001</v>
      </c>
      <c r="AF5545">
        <v>-7.9504167899457103</v>
      </c>
      <c r="AG5545">
        <v>-1.113486248631</v>
      </c>
      <c r="AH5545">
        <v>30.679319216217301</v>
      </c>
      <c r="AI5545">
        <v>92.012190553233594</v>
      </c>
      <c r="AJ5545">
        <v>104.528363724755</v>
      </c>
      <c r="AK5545">
        <v>31.712294245770099</v>
      </c>
      <c r="AL5545">
        <v>88.883601885530894</v>
      </c>
      <c r="AM5545">
        <v>94.130861123442202</v>
      </c>
      <c r="AN5545">
        <v>1.0000000023222699</v>
      </c>
    </row>
    <row r="5546" spans="1:40" x14ac:dyDescent="0.25">
      <c r="A5546" t="str">
        <f>"20190312160445185"</f>
        <v>20190312160445185</v>
      </c>
      <c r="B5546" t="str">
        <f>"1552377885180578"</f>
        <v>1552377885180578</v>
      </c>
      <c r="C5546" t="s">
        <v>40</v>
      </c>
      <c r="D5546">
        <v>5.5248549999999996</v>
      </c>
      <c r="E5546">
        <v>0.43066080000000001</v>
      </c>
      <c r="F5546" t="s">
        <v>41</v>
      </c>
      <c r="G5546">
        <v>-415.80079999999998</v>
      </c>
      <c r="H5546" s="1">
        <v>-1.6660839999999901E-6</v>
      </c>
      <c r="I5546">
        <v>91.260670000000005</v>
      </c>
      <c r="J5546">
        <v>-413.77879999999999</v>
      </c>
      <c r="K5546">
        <v>1.113321</v>
      </c>
      <c r="L5546">
        <v>124.37090000000001</v>
      </c>
      <c r="M5546">
        <v>-0.30811899999999998</v>
      </c>
      <c r="N5546">
        <v>0</v>
      </c>
      <c r="O5546">
        <v>-0.95124330000000001</v>
      </c>
      <c r="P5546">
        <v>-0.23982899999999999</v>
      </c>
      <c r="Q5546">
        <v>5.6197230000000001E-3</v>
      </c>
      <c r="R5546">
        <v>-0.97079870000000001</v>
      </c>
      <c r="S5546">
        <v>-0.19122310000000001</v>
      </c>
      <c r="T5546">
        <v>-0.10171139999999999</v>
      </c>
      <c r="U5546">
        <v>-3.0460050000000001</v>
      </c>
      <c r="V5546">
        <v>-7.1141759999999998E-2</v>
      </c>
      <c r="W5546">
        <v>1.91389E-2</v>
      </c>
      <c r="X5546">
        <v>0.99728260000000002</v>
      </c>
      <c r="Y5546">
        <v>-0.24796589999999999</v>
      </c>
      <c r="Z5546">
        <v>3.0394620000000001E-2</v>
      </c>
      <c r="AA5546">
        <v>0.96829180000000004</v>
      </c>
      <c r="AB5546">
        <v>24</v>
      </c>
      <c r="AC5546">
        <v>-2.02199999999999</v>
      </c>
      <c r="AD5546">
        <v>-1.1133226660840001</v>
      </c>
      <c r="AE5546">
        <v>-33.110230000000001</v>
      </c>
      <c r="AF5546">
        <v>-8.2699847899985492</v>
      </c>
      <c r="AG5546">
        <v>-1.1133226660840001</v>
      </c>
      <c r="AH5546">
        <v>32.085952904401204</v>
      </c>
      <c r="AI5546">
        <v>91.924415005808996</v>
      </c>
      <c r="AJ5546">
        <v>104.45311360768</v>
      </c>
      <c r="AK5546">
        <v>33.153288065726997</v>
      </c>
      <c r="AL5546">
        <v>88.903354866222401</v>
      </c>
      <c r="AM5546">
        <v>94.0803173351255</v>
      </c>
      <c r="AN5546">
        <v>1.0000000158859299</v>
      </c>
    </row>
    <row r="5547" spans="1:40" x14ac:dyDescent="0.25">
      <c r="A5547" t="str">
        <f>"20190312160445208"</f>
        <v>20190312160445208</v>
      </c>
      <c r="B5547" t="str">
        <f>"1552377885201074"</f>
        <v>1552377885201074</v>
      </c>
      <c r="C5547" t="s">
        <v>40</v>
      </c>
      <c r="D5547">
        <v>5.5401930000000004</v>
      </c>
      <c r="E5547">
        <v>0.43077569999999998</v>
      </c>
      <c r="F5547" t="s">
        <v>41</v>
      </c>
      <c r="G5547">
        <v>-415.87119999999999</v>
      </c>
      <c r="H5547" s="1">
        <v>-4.8726130000000003E-6</v>
      </c>
      <c r="I5547">
        <v>89.283760000000001</v>
      </c>
      <c r="J5547">
        <v>-413.84840000000003</v>
      </c>
      <c r="K5547">
        <v>1.113151</v>
      </c>
      <c r="L5547">
        <v>124.13800000000001</v>
      </c>
      <c r="M5547">
        <v>-0.30356090000000002</v>
      </c>
      <c r="N5547">
        <v>0</v>
      </c>
      <c r="O5547">
        <v>-0.95270809999999995</v>
      </c>
      <c r="P5547">
        <v>-0.23574639999999999</v>
      </c>
      <c r="Q5547">
        <v>5.6438069999999998E-3</v>
      </c>
      <c r="R5547">
        <v>-0.97179839999999995</v>
      </c>
      <c r="S5547">
        <v>-0.18164060000000001</v>
      </c>
      <c r="T5547">
        <v>-9.6648810000000002E-2</v>
      </c>
      <c r="U5547">
        <v>-3.045944</v>
      </c>
      <c r="V5547">
        <v>-7.0550600000000005E-2</v>
      </c>
      <c r="W5547">
        <v>1.9173229999999999E-2</v>
      </c>
      <c r="X5547">
        <v>0.99732390000000004</v>
      </c>
      <c r="Y5547">
        <v>-0.2463581</v>
      </c>
      <c r="Z5547">
        <v>2.8962000000000002E-2</v>
      </c>
      <c r="AA5547">
        <v>0.96874610000000005</v>
      </c>
      <c r="AB5547">
        <v>24</v>
      </c>
      <c r="AC5547">
        <v>-2.0227999999999602</v>
      </c>
      <c r="AD5547">
        <v>-1.113155872613</v>
      </c>
      <c r="AE5547">
        <v>-34.854239999999898</v>
      </c>
      <c r="AF5547">
        <v>-8.6453149294493006</v>
      </c>
      <c r="AG5547">
        <v>-1.113155872613</v>
      </c>
      <c r="AH5547">
        <v>33.788960289578199</v>
      </c>
      <c r="AI5547">
        <v>91.828044260575197</v>
      </c>
      <c r="AJ5547">
        <v>104.351922112243</v>
      </c>
      <c r="AK5547">
        <v>34.8951919850971</v>
      </c>
      <c r="AL5547">
        <v>88.901387502500697</v>
      </c>
      <c r="AM5547">
        <v>94.0463575954238</v>
      </c>
      <c r="AN5547">
        <v>0.99999998071010099</v>
      </c>
    </row>
    <row r="5548" spans="1:40" x14ac:dyDescent="0.25">
      <c r="A5548" t="str">
        <f>"20190312160445228"</f>
        <v>20190312160445228</v>
      </c>
      <c r="B5548" t="str">
        <f>"1552377885220597"</f>
        <v>1552377885220597</v>
      </c>
      <c r="C5548" t="s">
        <v>40</v>
      </c>
      <c r="D5548">
        <v>5.551145</v>
      </c>
      <c r="E5548">
        <v>0.43136590000000002</v>
      </c>
      <c r="F5548" t="s">
        <v>41</v>
      </c>
      <c r="G5548">
        <v>-415.7371</v>
      </c>
      <c r="H5548" s="1">
        <v>-1.329133E-6</v>
      </c>
      <c r="I5548">
        <v>90.220759999999999</v>
      </c>
      <c r="J5548">
        <v>-413.91160000000002</v>
      </c>
      <c r="K5548">
        <v>1.113005</v>
      </c>
      <c r="L5548">
        <v>123.92319999999999</v>
      </c>
      <c r="M5548">
        <v>-0.2995678</v>
      </c>
      <c r="N5548">
        <v>0</v>
      </c>
      <c r="O5548">
        <v>-0.95397169999999998</v>
      </c>
      <c r="P5548">
        <v>-0.23265730000000001</v>
      </c>
      <c r="Q5548">
        <v>5.6289570000000004E-3</v>
      </c>
      <c r="R5548">
        <v>-0.97254300000000005</v>
      </c>
      <c r="S5548">
        <v>-0.1696472</v>
      </c>
      <c r="T5548">
        <v>-9.9983929999999999E-2</v>
      </c>
      <c r="U5548">
        <v>-3.0464630000000001</v>
      </c>
      <c r="V5548">
        <v>-6.9534789999999999E-2</v>
      </c>
      <c r="W5548">
        <v>1.9171319999999999E-2</v>
      </c>
      <c r="X5548">
        <v>0.99739529999999998</v>
      </c>
      <c r="Y5548">
        <v>-0.2461112</v>
      </c>
      <c r="Z5548">
        <v>3.002107E-2</v>
      </c>
      <c r="AA5548">
        <v>0.96877659999999999</v>
      </c>
      <c r="AB5548">
        <v>24</v>
      </c>
      <c r="AC5548">
        <v>-1.8254999999999699</v>
      </c>
      <c r="AD5548">
        <v>-1.1130063291329999</v>
      </c>
      <c r="AE5548">
        <v>-33.702440000000003</v>
      </c>
      <c r="AF5548">
        <v>-8.3464379184324908</v>
      </c>
      <c r="AG5548">
        <v>-1.1130063291329999</v>
      </c>
      <c r="AH5548">
        <v>32.665736720738401</v>
      </c>
      <c r="AI5548">
        <v>91.890762981143993</v>
      </c>
      <c r="AJ5548">
        <v>104.333010834625</v>
      </c>
      <c r="AK5548">
        <v>33.733546574938302</v>
      </c>
      <c r="AL5548">
        <v>88.901496984791393</v>
      </c>
      <c r="AM5548">
        <v>93.988001645096702</v>
      </c>
      <c r="AN5548">
        <v>1.0000000054964799</v>
      </c>
    </row>
    <row r="5549" spans="1:40" x14ac:dyDescent="0.25">
      <c r="A5549" t="str">
        <f>"20190312160445251"</f>
        <v>20190312160445251</v>
      </c>
      <c r="B5549" t="str">
        <f>"1552377885241090"</f>
        <v>1552377885241090</v>
      </c>
      <c r="C5549" t="s">
        <v>40</v>
      </c>
      <c r="D5549">
        <v>5.5431229999999996</v>
      </c>
      <c r="E5549">
        <v>0.43243890000000001</v>
      </c>
      <c r="F5549" t="s">
        <v>41</v>
      </c>
      <c r="G5549">
        <v>-415.6857</v>
      </c>
      <c r="H5549" s="1">
        <v>-1.62835E-6</v>
      </c>
      <c r="I5549">
        <v>91.059790000000007</v>
      </c>
      <c r="J5549">
        <v>-413.97840000000002</v>
      </c>
      <c r="K5549">
        <v>1.11287</v>
      </c>
      <c r="L5549">
        <v>123.6938</v>
      </c>
      <c r="M5549">
        <v>-0.29548340000000001</v>
      </c>
      <c r="N5549">
        <v>0</v>
      </c>
      <c r="O5549">
        <v>-0.95524480000000001</v>
      </c>
      <c r="P5549">
        <v>-0.22920080000000001</v>
      </c>
      <c r="Q5549">
        <v>6.31184E-3</v>
      </c>
      <c r="R5549">
        <v>-0.97335859999999996</v>
      </c>
      <c r="S5549">
        <v>-0.16442870000000001</v>
      </c>
      <c r="T5549">
        <v>-0.1031595</v>
      </c>
      <c r="U5549">
        <v>-3.0459589999999999</v>
      </c>
      <c r="V5549">
        <v>-6.8806640000000002E-2</v>
      </c>
      <c r="W5549">
        <v>1.9862129999999999E-2</v>
      </c>
      <c r="X5549">
        <v>0.99743230000000005</v>
      </c>
      <c r="Y5549">
        <v>-0.24361079999999999</v>
      </c>
      <c r="Z5549">
        <v>3.105488E-2</v>
      </c>
      <c r="AA5549">
        <v>0.96937580000000001</v>
      </c>
      <c r="AB5549">
        <v>24</v>
      </c>
      <c r="AC5549">
        <v>-1.7072999999999701</v>
      </c>
      <c r="AD5549">
        <v>-1.11287162835</v>
      </c>
      <c r="AE5549">
        <v>-32.634009999999897</v>
      </c>
      <c r="AF5549">
        <v>-8.0034258764606694</v>
      </c>
      <c r="AG5549">
        <v>-1.11287162835</v>
      </c>
      <c r="AH5549">
        <v>31.644367460981002</v>
      </c>
      <c r="AI5549">
        <v>91.952715253356402</v>
      </c>
      <c r="AJ5549">
        <v>104.193482304497</v>
      </c>
      <c r="AK5549">
        <v>32.659750474043499</v>
      </c>
      <c r="AL5549">
        <v>88.861908969233298</v>
      </c>
      <c r="AM5549">
        <v>93.946227061836794</v>
      </c>
      <c r="AN5549">
        <v>1.0000000254997501</v>
      </c>
    </row>
    <row r="5550" spans="1:40" x14ac:dyDescent="0.25">
      <c r="A5550" t="str">
        <f>"20190312160445274"</f>
        <v>20190312160445274</v>
      </c>
      <c r="B5550" t="str">
        <f>"1552377885270370"</f>
        <v>1552377885270370</v>
      </c>
      <c r="C5550" t="s">
        <v>40</v>
      </c>
      <c r="D5550">
        <v>5.559164</v>
      </c>
      <c r="E5550">
        <v>0.43380590000000002</v>
      </c>
      <c r="F5550" t="s">
        <v>41</v>
      </c>
      <c r="G5550">
        <v>-415.73219999999998</v>
      </c>
      <c r="H5550" s="1">
        <v>-1.508083E-6</v>
      </c>
      <c r="I5550">
        <v>90.742760000000004</v>
      </c>
      <c r="J5550">
        <v>-414.04590000000002</v>
      </c>
      <c r="K5550">
        <v>1.1127549999999999</v>
      </c>
      <c r="L5550">
        <v>123.4586</v>
      </c>
      <c r="M5550">
        <v>-0.29147319999999999</v>
      </c>
      <c r="N5550">
        <v>0</v>
      </c>
      <c r="O5550">
        <v>-0.95647629999999995</v>
      </c>
      <c r="P5550">
        <v>-0.22563639999999999</v>
      </c>
      <c r="Q5550">
        <v>6.5501830000000002E-3</v>
      </c>
      <c r="R5550">
        <v>-0.97418950000000004</v>
      </c>
      <c r="S5550">
        <v>-0.16204830000000001</v>
      </c>
      <c r="T5550">
        <v>-0.10282669999999999</v>
      </c>
      <c r="U5550">
        <v>-3.0446010000000001</v>
      </c>
      <c r="V5550">
        <v>-6.8268399999999896E-2</v>
      </c>
      <c r="W5550">
        <v>2.010431E-2</v>
      </c>
      <c r="X5550">
        <v>0.99746440000000003</v>
      </c>
      <c r="Y5550">
        <v>-0.24027270000000001</v>
      </c>
      <c r="Z5550">
        <v>3.104521E-2</v>
      </c>
      <c r="AA5550">
        <v>0.97020890000000004</v>
      </c>
      <c r="AB5550">
        <v>24</v>
      </c>
      <c r="AC5550">
        <v>-1.6862999999999599</v>
      </c>
      <c r="AD5550">
        <v>-1.112756508083</v>
      </c>
      <c r="AE5550">
        <v>-32.71584</v>
      </c>
      <c r="AF5550">
        <v>-7.9145311616618699</v>
      </c>
      <c r="AG5550">
        <v>-1.112756508083</v>
      </c>
      <c r="AH5550">
        <v>31.749926242780901</v>
      </c>
      <c r="AI5550">
        <v>91.9476998228958</v>
      </c>
      <c r="AJ5550">
        <v>103.997256898754</v>
      </c>
      <c r="AK5550">
        <v>32.740431380438899</v>
      </c>
      <c r="AL5550">
        <v>88.848030269441793</v>
      </c>
      <c r="AM5550">
        <v>93.915328477602401</v>
      </c>
      <c r="AN5550">
        <v>0.99999999349324797</v>
      </c>
    </row>
    <row r="5551" spans="1:40" x14ac:dyDescent="0.25">
      <c r="A5551" t="str">
        <f>"20190312160445296"</f>
        <v>20190312160445296</v>
      </c>
      <c r="B5551" t="str">
        <f>"1552377885290866"</f>
        <v>1552377885290866</v>
      </c>
      <c r="C5551" t="s">
        <v>40</v>
      </c>
      <c r="D5551">
        <v>5.5735400000000004</v>
      </c>
      <c r="E5551">
        <v>0.4345174</v>
      </c>
      <c r="F5551" t="s">
        <v>41</v>
      </c>
      <c r="G5551">
        <v>-415.76909999999998</v>
      </c>
      <c r="H5551" s="1">
        <v>-1.6001149999999999E-6</v>
      </c>
      <c r="I5551">
        <v>91.042050000000003</v>
      </c>
      <c r="J5551">
        <v>-414.1096</v>
      </c>
      <c r="K5551">
        <v>1.112657</v>
      </c>
      <c r="L5551">
        <v>123.23399999999999</v>
      </c>
      <c r="M5551">
        <v>-0.28780719999999999</v>
      </c>
      <c r="N5551">
        <v>0</v>
      </c>
      <c r="O5551">
        <v>-0.9575861</v>
      </c>
      <c r="P5551">
        <v>-0.22234619999999999</v>
      </c>
      <c r="Q5551">
        <v>7.1373749999999996E-3</v>
      </c>
      <c r="R5551">
        <v>-0.97494190000000003</v>
      </c>
      <c r="S5551">
        <v>-0.1617432</v>
      </c>
      <c r="T5551">
        <v>-0.1044471</v>
      </c>
      <c r="U5551">
        <v>-3.0427249999999999</v>
      </c>
      <c r="V5551">
        <v>-6.7811910000000003E-2</v>
      </c>
      <c r="W5551">
        <v>2.069356E-2</v>
      </c>
      <c r="X5551">
        <v>0.99748349999999997</v>
      </c>
      <c r="Y5551">
        <v>-0.23661889999999999</v>
      </c>
      <c r="Z5551">
        <v>3.1625569999999999E-2</v>
      </c>
      <c r="AA5551">
        <v>0.9710877</v>
      </c>
      <c r="AB5551">
        <v>24</v>
      </c>
      <c r="AC5551">
        <v>-1.65949999999998</v>
      </c>
      <c r="AD5551">
        <v>-1.1126586001150001</v>
      </c>
      <c r="AE5551">
        <v>-32.191949999999899</v>
      </c>
      <c r="AF5551">
        <v>-7.6675771868571996</v>
      </c>
      <c r="AG5551">
        <v>-1.1126586001150001</v>
      </c>
      <c r="AH5551">
        <v>31.269989524833299</v>
      </c>
      <c r="AI5551">
        <v>91.979271276978096</v>
      </c>
      <c r="AJ5551">
        <v>103.777414226372</v>
      </c>
      <c r="AK5551">
        <v>32.2155551552353</v>
      </c>
      <c r="AL5551">
        <v>88.814261718532094</v>
      </c>
      <c r="AM5551">
        <v>93.889154241484206</v>
      </c>
      <c r="AN5551">
        <v>1.00000000566778</v>
      </c>
    </row>
    <row r="5552" spans="1:40" x14ac:dyDescent="0.25">
      <c r="A5552" t="str">
        <f>"20190312160445318"</f>
        <v>20190312160445318</v>
      </c>
      <c r="B5552" t="str">
        <f>"1552377885310389"</f>
        <v>1552377885310389</v>
      </c>
      <c r="C5552" t="s">
        <v>40</v>
      </c>
      <c r="D5552">
        <v>5.5487120000000001</v>
      </c>
      <c r="E5552">
        <v>0.43490469999999998</v>
      </c>
      <c r="F5552" t="s">
        <v>41</v>
      </c>
      <c r="G5552">
        <v>-415.78269999999998</v>
      </c>
      <c r="H5552" s="1">
        <v>-1.5341149999999901E-6</v>
      </c>
      <c r="I5552">
        <v>90.858689999999996</v>
      </c>
      <c r="J5552">
        <v>-414.173</v>
      </c>
      <c r="K5552">
        <v>1.1125620000000001</v>
      </c>
      <c r="L5552">
        <v>123.008</v>
      </c>
      <c r="M5552">
        <v>-0.28426600000000002</v>
      </c>
      <c r="N5552">
        <v>0</v>
      </c>
      <c r="O5552">
        <v>-0.95864369999999999</v>
      </c>
      <c r="P5552">
        <v>-0.21958179999999999</v>
      </c>
      <c r="Q5552">
        <v>8.1379829999999997E-3</v>
      </c>
      <c r="R5552">
        <v>-0.97556050000000005</v>
      </c>
      <c r="S5552">
        <v>-0.157196</v>
      </c>
      <c r="T5552">
        <v>-0.10454670000000001</v>
      </c>
      <c r="U5552">
        <v>-3.0420229999999999</v>
      </c>
      <c r="V5552">
        <v>-6.6950510000000005E-2</v>
      </c>
      <c r="W5552">
        <v>2.1698990000000001E-2</v>
      </c>
      <c r="X5552">
        <v>0.99752030000000003</v>
      </c>
      <c r="Y5552">
        <v>-0.23446310000000001</v>
      </c>
      <c r="Z5552">
        <v>3.1727230000000002E-2</v>
      </c>
      <c r="AA5552">
        <v>0.97160709999999995</v>
      </c>
      <c r="AB5552">
        <v>24</v>
      </c>
      <c r="AC5552">
        <v>-1.6096999999999699</v>
      </c>
      <c r="AD5552">
        <v>-1.112563534115</v>
      </c>
      <c r="AE5552">
        <v>-32.14931</v>
      </c>
      <c r="AF5552">
        <v>-7.5875041073823901</v>
      </c>
      <c r="AG5552">
        <v>-1.112563534115</v>
      </c>
      <c r="AH5552">
        <v>31.243045348992698</v>
      </c>
      <c r="AI5552">
        <v>91.981879913902404</v>
      </c>
      <c r="AJ5552">
        <v>103.650258740862</v>
      </c>
      <c r="AK5552">
        <v>32.170419625429197</v>
      </c>
      <c r="AL5552">
        <v>88.756641847326193</v>
      </c>
      <c r="AM5552">
        <v>93.839758665729306</v>
      </c>
      <c r="AN5552">
        <v>0.99999998293418502</v>
      </c>
    </row>
    <row r="5553" spans="1:40" x14ac:dyDescent="0.25">
      <c r="A5553" t="str">
        <f>"20190312160445340"</f>
        <v>20190312160445340</v>
      </c>
      <c r="B5553" t="str">
        <f>"1552377885330882"</f>
        <v>1552377885330882</v>
      </c>
      <c r="C5553" t="s">
        <v>40</v>
      </c>
      <c r="D5553">
        <v>5.5983159999999996</v>
      </c>
      <c r="E5553">
        <v>0.44520379999999998</v>
      </c>
      <c r="F5553" t="s">
        <v>41</v>
      </c>
      <c r="G5553">
        <v>-415.78149999999999</v>
      </c>
      <c r="H5553" s="1">
        <v>-1.4566829999999999E-6</v>
      </c>
      <c r="I5553">
        <v>90.630269999999996</v>
      </c>
      <c r="J5553">
        <v>-414.23579999999998</v>
      </c>
      <c r="K5553">
        <v>1.1124670000000001</v>
      </c>
      <c r="L5553">
        <v>122.7812</v>
      </c>
      <c r="M5553">
        <v>-0.28084490000000001</v>
      </c>
      <c r="N5553">
        <v>0</v>
      </c>
      <c r="O5553">
        <v>-0.95965160000000005</v>
      </c>
      <c r="P5553">
        <v>-0.2163071</v>
      </c>
      <c r="Q5553">
        <v>9.3128559999999996E-3</v>
      </c>
      <c r="R5553">
        <v>-0.97628090000000001</v>
      </c>
      <c r="S5553">
        <v>-0.15112300000000001</v>
      </c>
      <c r="T5553">
        <v>-0.1045301</v>
      </c>
      <c r="U5553">
        <v>-3.0420229999999999</v>
      </c>
      <c r="V5553">
        <v>-6.6737560000000001E-2</v>
      </c>
      <c r="W5553">
        <v>2.287409E-2</v>
      </c>
      <c r="X5553">
        <v>0.99750830000000001</v>
      </c>
      <c r="Y5553">
        <v>-0.2329302</v>
      </c>
      <c r="Z5553">
        <v>3.1781610000000002E-2</v>
      </c>
      <c r="AA5553">
        <v>0.971974</v>
      </c>
      <c r="AB5553">
        <v>24</v>
      </c>
      <c r="AC5553">
        <v>-1.5457000000000101</v>
      </c>
      <c r="AD5553">
        <v>-1.1124684566830001</v>
      </c>
      <c r="AE5553">
        <v>-32.150929999999903</v>
      </c>
      <c r="AF5553">
        <v>-7.5378229808656796</v>
      </c>
      <c r="AG5553">
        <v>-1.1124684566830001</v>
      </c>
      <c r="AH5553">
        <v>31.253511302923499</v>
      </c>
      <c r="AI5553">
        <v>91.981803935798993</v>
      </c>
      <c r="AJ5553">
        <v>103.559818172004</v>
      </c>
      <c r="AK5553">
        <v>32.168903153821503</v>
      </c>
      <c r="AL5553">
        <v>88.689296824346002</v>
      </c>
      <c r="AM5553">
        <v>93.827627786247604</v>
      </c>
      <c r="AN5553">
        <v>0.99999996723848505</v>
      </c>
    </row>
    <row r="5554" spans="1:40" x14ac:dyDescent="0.25">
      <c r="A5554" t="str">
        <f>"20190312160445364"</f>
        <v>20190312160445364</v>
      </c>
      <c r="B5554" t="str">
        <f>"1552377885350405"</f>
        <v>1552377885350405</v>
      </c>
      <c r="C5554" t="s">
        <v>40</v>
      </c>
      <c r="D5554">
        <v>5.6343079999999999</v>
      </c>
      <c r="E5554">
        <v>0.44448189999999999</v>
      </c>
      <c r="F5554" t="s">
        <v>41</v>
      </c>
      <c r="G5554">
        <v>-416.7337</v>
      </c>
      <c r="H5554" s="1">
        <v>-4.4644979999999997E-6</v>
      </c>
      <c r="I5554">
        <v>88.689070000000001</v>
      </c>
      <c r="J5554">
        <v>-414.29880000000003</v>
      </c>
      <c r="K5554">
        <v>1.1123749999999999</v>
      </c>
      <c r="L5554">
        <v>122.5515</v>
      </c>
      <c r="M5554">
        <v>-0.2774952</v>
      </c>
      <c r="N5554">
        <v>0</v>
      </c>
      <c r="O5554">
        <v>-0.96062590000000003</v>
      </c>
      <c r="P5554">
        <v>-0.21327570000000001</v>
      </c>
      <c r="Q5554">
        <v>9.0419620000000006E-3</v>
      </c>
      <c r="R5554">
        <v>-0.97695030000000005</v>
      </c>
      <c r="S5554">
        <v>-0.2216187</v>
      </c>
      <c r="T5554">
        <v>-9.8700640000000006E-2</v>
      </c>
      <c r="U5554">
        <v>-3.0247190000000002</v>
      </c>
      <c r="V5554">
        <v>-6.6347459999999997E-2</v>
      </c>
      <c r="W5554">
        <v>2.260523E-2</v>
      </c>
      <c r="X5554">
        <v>0.99754050000000005</v>
      </c>
      <c r="Y5554">
        <v>-0.20661060000000001</v>
      </c>
      <c r="Z5554">
        <v>3.0306909999999999E-2</v>
      </c>
      <c r="AA5554">
        <v>0.97795370000000004</v>
      </c>
      <c r="AB5554">
        <v>24</v>
      </c>
      <c r="AC5554">
        <v>-2.4348999999999701</v>
      </c>
      <c r="AD5554">
        <v>-1.1123794644979901</v>
      </c>
      <c r="AE5554">
        <v>-33.862429999999897</v>
      </c>
      <c r="AF5554">
        <v>-7.0507500430460102</v>
      </c>
      <c r="AG5554">
        <v>-1.1123794644979901</v>
      </c>
      <c r="AH5554">
        <v>33.172413701251401</v>
      </c>
      <c r="AI5554">
        <v>91.878658938719795</v>
      </c>
      <c r="AJ5554">
        <v>101.99956346923901</v>
      </c>
      <c r="AK5554">
        <v>33.931688655437199</v>
      </c>
      <c r="AL5554">
        <v>88.704705415038106</v>
      </c>
      <c r="AM5554">
        <v>93.805197669319199</v>
      </c>
      <c r="AN5554">
        <v>1.00000001550602</v>
      </c>
    </row>
    <row r="5555" spans="1:40" x14ac:dyDescent="0.25">
      <c r="A5555" t="str">
        <f>"20190312160445386"</f>
        <v>20190312160445386</v>
      </c>
      <c r="B5555" t="str">
        <f>"1552377885380658"</f>
        <v>1552377885380658</v>
      </c>
      <c r="C5555" t="s">
        <v>40</v>
      </c>
      <c r="D5555">
        <v>5.6518519999999999</v>
      </c>
      <c r="E5555">
        <v>0.45957690000000001</v>
      </c>
      <c r="F5555" t="s">
        <v>41</v>
      </c>
      <c r="G5555">
        <v>-416.49270000000001</v>
      </c>
      <c r="H5555" s="1">
        <v>-1.194794E-6</v>
      </c>
      <c r="I5555">
        <v>90.416730000000001</v>
      </c>
      <c r="J5555">
        <v>-414.36189999999999</v>
      </c>
      <c r="K5555">
        <v>1.1122879999999999</v>
      </c>
      <c r="L5555">
        <v>122.3185</v>
      </c>
      <c r="M5555">
        <v>-0.27420620000000001</v>
      </c>
      <c r="N5555">
        <v>0</v>
      </c>
      <c r="O5555">
        <v>-0.96157009999999998</v>
      </c>
      <c r="P5555">
        <v>-0.2101807</v>
      </c>
      <c r="Q5555">
        <v>8.3845469999999991E-3</v>
      </c>
      <c r="R5555">
        <v>-0.97762689999999997</v>
      </c>
      <c r="S5555">
        <v>-0.2066345</v>
      </c>
      <c r="T5555">
        <v>-0.10477019999999999</v>
      </c>
      <c r="U5555">
        <v>-3.0266419999999998</v>
      </c>
      <c r="V5555">
        <v>-6.6086339999999993E-2</v>
      </c>
      <c r="W5555">
        <v>2.1949260000000002E-2</v>
      </c>
      <c r="X5555">
        <v>0.99757249999999997</v>
      </c>
      <c r="Y5555">
        <v>-0.2081287</v>
      </c>
      <c r="Z5555">
        <v>3.2196410000000002E-2</v>
      </c>
      <c r="AA5555">
        <v>0.97757139999999998</v>
      </c>
      <c r="AB5555">
        <v>24</v>
      </c>
      <c r="AC5555">
        <v>-2.1308000000000198</v>
      </c>
      <c r="AD5555">
        <v>-1.1122891947939999</v>
      </c>
      <c r="AE5555">
        <v>-31.901769999999999</v>
      </c>
      <c r="AF5555">
        <v>-6.6913010007357201</v>
      </c>
      <c r="AG5555">
        <v>-1.1122891947939999</v>
      </c>
      <c r="AH5555">
        <v>31.225307666060399</v>
      </c>
      <c r="AI5555">
        <v>91.994843043730498</v>
      </c>
      <c r="AJ5555">
        <v>102.095044166308</v>
      </c>
      <c r="AK5555">
        <v>31.9535684263187</v>
      </c>
      <c r="AL5555">
        <v>88.742299079880596</v>
      </c>
      <c r="AM5555">
        <v>93.790144274703295</v>
      </c>
      <c r="AN5555">
        <v>1.00000003355269</v>
      </c>
    </row>
    <row r="5556" spans="1:40" x14ac:dyDescent="0.25">
      <c r="A5556" t="str">
        <f>"20190312160445408"</f>
        <v>20190312160445408</v>
      </c>
      <c r="B5556" t="str">
        <f>"1552377885401154"</f>
        <v>1552377885401154</v>
      </c>
      <c r="C5556" t="s">
        <v>40</v>
      </c>
      <c r="D5556">
        <v>5.6692629999999999</v>
      </c>
      <c r="E5556">
        <v>0.46083580000000002</v>
      </c>
      <c r="F5556" t="s">
        <v>41</v>
      </c>
      <c r="G5556">
        <v>-416.97</v>
      </c>
      <c r="H5556" s="1">
        <v>-3.875233E-6</v>
      </c>
      <c r="I5556">
        <v>97.413160000000005</v>
      </c>
      <c r="J5556">
        <v>-414.42250000000001</v>
      </c>
      <c r="K5556">
        <v>1.1122110000000001</v>
      </c>
      <c r="L5556">
        <v>122.0924</v>
      </c>
      <c r="M5556">
        <v>-0.2711131</v>
      </c>
      <c r="N5556">
        <v>0</v>
      </c>
      <c r="O5556">
        <v>-0.96244669999999999</v>
      </c>
      <c r="P5556">
        <v>-0.2078161</v>
      </c>
      <c r="Q5556">
        <v>8.7080479999999995E-3</v>
      </c>
      <c r="R5556">
        <v>-0.97812880000000002</v>
      </c>
      <c r="S5556">
        <v>-0.31439210000000001</v>
      </c>
      <c r="T5556">
        <v>-0.13408100000000001</v>
      </c>
      <c r="U5556">
        <v>-3.0022129999999998</v>
      </c>
      <c r="V5556">
        <v>-6.528813E-2</v>
      </c>
      <c r="W5556">
        <v>2.2275340000000001E-2</v>
      </c>
      <c r="X5556">
        <v>0.9976178</v>
      </c>
      <c r="Y5556">
        <v>-0.16950770000000001</v>
      </c>
      <c r="Z5556">
        <v>4.1685769999999997E-2</v>
      </c>
      <c r="AA5556">
        <v>0.98464689999999999</v>
      </c>
      <c r="AB5556">
        <v>24</v>
      </c>
      <c r="AC5556">
        <v>-2.5475000000000101</v>
      </c>
      <c r="AD5556">
        <v>-1.1122148752330001</v>
      </c>
      <c r="AE5556">
        <v>-24.67924</v>
      </c>
      <c r="AF5556">
        <v>-4.2309410954747202</v>
      </c>
      <c r="AG5556">
        <v>-1.1122148752330001</v>
      </c>
      <c r="AH5556">
        <v>24.3964582401176</v>
      </c>
      <c r="AI5556">
        <v>92.571923667900606</v>
      </c>
      <c r="AJ5556">
        <v>99.838629346533693</v>
      </c>
      <c r="AK5556">
        <v>24.785581678545899</v>
      </c>
      <c r="AL5556">
        <v>88.7236114641223</v>
      </c>
      <c r="AM5556">
        <v>93.744327296140895</v>
      </c>
      <c r="AN5556">
        <v>1.00000000278392</v>
      </c>
    </row>
    <row r="5557" spans="1:40" x14ac:dyDescent="0.25">
      <c r="A5557" t="str">
        <f>"20190312160445431"</f>
        <v>20190312160445431</v>
      </c>
      <c r="B5557" t="str">
        <f>"1552377885420674"</f>
        <v>1552377885420674</v>
      </c>
      <c r="C5557" t="s">
        <v>40</v>
      </c>
      <c r="D5557">
        <v>5.6907670000000001</v>
      </c>
      <c r="E5557">
        <v>0.46118979999999998</v>
      </c>
      <c r="F5557" t="s">
        <v>41</v>
      </c>
      <c r="G5557">
        <v>-416.82870000000003</v>
      </c>
      <c r="H5557" s="1">
        <v>-4.7059540000000003E-6</v>
      </c>
      <c r="I5557">
        <v>99.29119</v>
      </c>
      <c r="J5557">
        <v>-414.48320000000001</v>
      </c>
      <c r="K5557">
        <v>1.1121589999999999</v>
      </c>
      <c r="L5557">
        <v>121.863</v>
      </c>
      <c r="M5557">
        <v>-0.26805990000000002</v>
      </c>
      <c r="N5557">
        <v>0</v>
      </c>
      <c r="O5557">
        <v>-0.96330210000000005</v>
      </c>
      <c r="P5557">
        <v>-0.2046047</v>
      </c>
      <c r="Q5557">
        <v>9.1949360000000008E-3</v>
      </c>
      <c r="R5557">
        <v>-0.9788017</v>
      </c>
      <c r="S5557">
        <v>-0.31671139999999998</v>
      </c>
      <c r="T5557">
        <v>-0.14638950000000001</v>
      </c>
      <c r="U5557">
        <v>-3.0010829999999999</v>
      </c>
      <c r="V5557">
        <v>-6.5396819999999994E-2</v>
      </c>
      <c r="W5557">
        <v>2.2758730000000001E-2</v>
      </c>
      <c r="X5557">
        <v>0.99759980000000004</v>
      </c>
      <c r="Y5557">
        <v>-0.16560849999999999</v>
      </c>
      <c r="Z5557">
        <v>4.5597239999999997E-2</v>
      </c>
      <c r="AA5557">
        <v>0.98513689999999998</v>
      </c>
      <c r="AB5557">
        <v>24</v>
      </c>
      <c r="AC5557">
        <v>-2.3455000000000101</v>
      </c>
      <c r="AD5557">
        <v>-1.1121637059539999</v>
      </c>
      <c r="AE5557">
        <v>-22.571809999999999</v>
      </c>
      <c r="AF5557">
        <v>-3.7824531007939899</v>
      </c>
      <c r="AG5557">
        <v>-1.1121637059539999</v>
      </c>
      <c r="AH5557">
        <v>22.3207547650658</v>
      </c>
      <c r="AI5557">
        <v>92.8124554097394</v>
      </c>
      <c r="AJ5557">
        <v>99.617917057106496</v>
      </c>
      <c r="AK5557">
        <v>22.666273466336602</v>
      </c>
      <c r="AL5557">
        <v>88.695908271817402</v>
      </c>
      <c r="AM5557">
        <v>93.7506104583629</v>
      </c>
      <c r="AN5557">
        <v>1.00000003240868</v>
      </c>
    </row>
    <row r="5558" spans="1:40" x14ac:dyDescent="0.25">
      <c r="A5558" t="str">
        <f>"20190312160445452"</f>
        <v>20190312160445452</v>
      </c>
      <c r="B5558" t="str">
        <f>"1552377885441169"</f>
        <v>1552377885441169</v>
      </c>
      <c r="C5558" t="s">
        <v>40</v>
      </c>
      <c r="D5558">
        <v>5.6623140000000003</v>
      </c>
      <c r="E5558">
        <v>0.46180979999999999</v>
      </c>
      <c r="F5558" t="s">
        <v>41</v>
      </c>
      <c r="G5558">
        <v>-416.87270000000001</v>
      </c>
      <c r="H5558" s="1">
        <v>-4.4486169999999999E-6</v>
      </c>
      <c r="I5558">
        <v>98.709530000000001</v>
      </c>
      <c r="J5558">
        <v>-414.54109999999997</v>
      </c>
      <c r="K5558">
        <v>1.1121270000000001</v>
      </c>
      <c r="L5558">
        <v>121.6417</v>
      </c>
      <c r="M5558">
        <v>-0.26516279999999998</v>
      </c>
      <c r="N5558">
        <v>0</v>
      </c>
      <c r="O5558">
        <v>-0.9641035</v>
      </c>
      <c r="P5558">
        <v>-0.2011587</v>
      </c>
      <c r="Q5558">
        <v>9.5873910000000007E-3</v>
      </c>
      <c r="R5558">
        <v>-0.97951169999999999</v>
      </c>
      <c r="S5558">
        <v>-0.3097839</v>
      </c>
      <c r="T5558">
        <v>-0.14417920000000001</v>
      </c>
      <c r="U5558">
        <v>-3.0015869999999998</v>
      </c>
      <c r="V5558">
        <v>-6.5907599999999997E-2</v>
      </c>
      <c r="W5558">
        <v>2.314343E-2</v>
      </c>
      <c r="X5558">
        <v>0.99755729999999998</v>
      </c>
      <c r="Y5558">
        <v>-0.1649071</v>
      </c>
      <c r="Z5558">
        <v>4.4967859999999998E-2</v>
      </c>
      <c r="AA5558">
        <v>0.98528349999999998</v>
      </c>
      <c r="AB5558">
        <v>24</v>
      </c>
      <c r="AC5558">
        <v>-2.3316000000000301</v>
      </c>
      <c r="AD5558">
        <v>-1.112131448617</v>
      </c>
      <c r="AE5558">
        <v>-22.932169999999999</v>
      </c>
      <c r="AF5558">
        <v>-3.8243224032733401</v>
      </c>
      <c r="AG5558">
        <v>-1.112131448617</v>
      </c>
      <c r="AH5558">
        <v>22.676646041530599</v>
      </c>
      <c r="AI5558">
        <v>92.768674705075696</v>
      </c>
      <c r="AJ5558">
        <v>99.572621073991399</v>
      </c>
      <c r="AK5558">
        <v>23.023738920862598</v>
      </c>
      <c r="AL5558">
        <v>88.673860733411203</v>
      </c>
      <c r="AM5558">
        <v>93.779980471536007</v>
      </c>
      <c r="AN5558">
        <v>0.99999999843660703</v>
      </c>
    </row>
    <row r="5559" spans="1:40" x14ac:dyDescent="0.25">
      <c r="A5559" t="str">
        <f>"20190312160445475"</f>
        <v>20190312160445475</v>
      </c>
      <c r="B5559" t="str">
        <f>"1552377885470450"</f>
        <v>1552377885470450</v>
      </c>
      <c r="C5559" t="s">
        <v>40</v>
      </c>
      <c r="D5559">
        <v>5.6950459999999996</v>
      </c>
      <c r="E5559">
        <v>0.46259420000000001</v>
      </c>
      <c r="F5559" t="s">
        <v>41</v>
      </c>
      <c r="G5559">
        <v>-416.88099999999997</v>
      </c>
      <c r="H5559" s="1">
        <v>-4.3809949999999997E-6</v>
      </c>
      <c r="I5559">
        <v>98.555310000000006</v>
      </c>
      <c r="J5559">
        <v>-414.6003</v>
      </c>
      <c r="K5559">
        <v>1.1121030000000001</v>
      </c>
      <c r="L5559">
        <v>121.4126</v>
      </c>
      <c r="M5559">
        <v>-0.26220260000000001</v>
      </c>
      <c r="N5559">
        <v>0</v>
      </c>
      <c r="O5559">
        <v>-0.96491300000000002</v>
      </c>
      <c r="P5559">
        <v>-0.1974822</v>
      </c>
      <c r="Q5559">
        <v>9.0097800000000002E-3</v>
      </c>
      <c r="R5559">
        <v>-0.98026539999999995</v>
      </c>
      <c r="S5559">
        <v>-0.30422969999999999</v>
      </c>
      <c r="T5559">
        <v>-0.1445989</v>
      </c>
      <c r="U5559">
        <v>-3.0016780000000001</v>
      </c>
      <c r="V5559">
        <v>-6.6586320000000004E-2</v>
      </c>
      <c r="W5559">
        <v>2.2556119999999999E-2</v>
      </c>
      <c r="X5559">
        <v>0.99752569999999996</v>
      </c>
      <c r="Y5559">
        <v>-0.163688</v>
      </c>
      <c r="Z5559">
        <v>4.5163830000000002E-2</v>
      </c>
      <c r="AA5559">
        <v>0.98547779999999996</v>
      </c>
      <c r="AB5559">
        <v>24</v>
      </c>
      <c r="AC5559">
        <v>-2.28069999999996</v>
      </c>
      <c r="AD5559">
        <v>-1.112107380995</v>
      </c>
      <c r="AE5559">
        <v>-22.857289999999999</v>
      </c>
      <c r="AF5559">
        <v>-3.7840597452588001</v>
      </c>
      <c r="AG5559">
        <v>-1.112107380995</v>
      </c>
      <c r="AH5559">
        <v>22.602506375601799</v>
      </c>
      <c r="AI5559">
        <v>92.778238828881996</v>
      </c>
      <c r="AJ5559">
        <v>99.504185421474304</v>
      </c>
      <c r="AK5559">
        <v>22.9440446617782</v>
      </c>
      <c r="AL5559">
        <v>88.707519933342596</v>
      </c>
      <c r="AM5559">
        <v>93.818912933358504</v>
      </c>
      <c r="AN5559">
        <v>1.0000000193605401</v>
      </c>
    </row>
    <row r="5560" spans="1:40" x14ac:dyDescent="0.25">
      <c r="A5560" t="str">
        <f>"20190312160445497"</f>
        <v>20190312160445497</v>
      </c>
      <c r="B5560" t="str">
        <f>"1552377885490961"</f>
        <v>1552377885490961</v>
      </c>
      <c r="C5560" t="s">
        <v>40</v>
      </c>
      <c r="D5560">
        <v>5.6603779999999997</v>
      </c>
      <c r="E5560">
        <v>0.46318150000000002</v>
      </c>
      <c r="F5560" t="s">
        <v>41</v>
      </c>
      <c r="G5560">
        <v>-416.75689999999997</v>
      </c>
      <c r="H5560" s="1">
        <v>-9.0642820000000003E-7</v>
      </c>
      <c r="I5560">
        <v>99.757769999999994</v>
      </c>
      <c r="J5560">
        <v>-414.65839999999997</v>
      </c>
      <c r="K5560">
        <v>1.112085</v>
      </c>
      <c r="L5560">
        <v>121.1854</v>
      </c>
      <c r="M5560">
        <v>-0.25929089999999999</v>
      </c>
      <c r="N5560">
        <v>0</v>
      </c>
      <c r="O5560">
        <v>-0.96569989999999994</v>
      </c>
      <c r="P5560">
        <v>-0.1943561</v>
      </c>
      <c r="Q5560">
        <v>8.5196750000000009E-3</v>
      </c>
      <c r="R5560">
        <v>-0.98089459999999995</v>
      </c>
      <c r="S5560">
        <v>-0.29891970000000001</v>
      </c>
      <c r="T5560">
        <v>-0.15414929999999999</v>
      </c>
      <c r="U5560">
        <v>-3.0015869999999998</v>
      </c>
      <c r="V5560">
        <v>-6.6755439999999999E-2</v>
      </c>
      <c r="W5560">
        <v>2.205938E-2</v>
      </c>
      <c r="X5560">
        <v>0.99752549999999995</v>
      </c>
      <c r="Y5560">
        <v>-0.16244919999999999</v>
      </c>
      <c r="Z5560">
        <v>4.8210059999999999E-2</v>
      </c>
      <c r="AA5560">
        <v>0.98553840000000004</v>
      </c>
      <c r="AB5560">
        <v>24</v>
      </c>
      <c r="AC5560">
        <v>-2.0985</v>
      </c>
      <c r="AD5560">
        <v>-1.1120859064282</v>
      </c>
      <c r="AE5560">
        <v>-21.427630000000001</v>
      </c>
      <c r="AF5560">
        <v>-3.5204145834648402</v>
      </c>
      <c r="AG5560">
        <v>-1.1120859064282</v>
      </c>
      <c r="AH5560">
        <v>21.182306398622</v>
      </c>
      <c r="AI5560">
        <v>92.964717875463606</v>
      </c>
      <c r="AJ5560">
        <v>99.436081808809902</v>
      </c>
      <c r="AK5560">
        <v>21.501631525720299</v>
      </c>
      <c r="AL5560">
        <v>88.735988116203103</v>
      </c>
      <c r="AM5560">
        <v>93.828584396171607</v>
      </c>
      <c r="AN5560">
        <v>1.0000000140829099</v>
      </c>
    </row>
    <row r="5561" spans="1:40" x14ac:dyDescent="0.25">
      <c r="A5561" t="str">
        <f>"20190312160445511"</f>
        <v>20190312160445511</v>
      </c>
      <c r="B5561" t="str">
        <f>"1552377885500706"</f>
        <v>1552377885500706</v>
      </c>
      <c r="C5561" t="s">
        <v>40</v>
      </c>
      <c r="D5561">
        <v>5.6558640000000002</v>
      </c>
      <c r="E5561">
        <v>0.46337</v>
      </c>
      <c r="F5561" t="s">
        <v>41</v>
      </c>
      <c r="G5561">
        <v>-416.74950000000001</v>
      </c>
      <c r="H5561" s="1">
        <v>-9.303495E-7</v>
      </c>
      <c r="I5561">
        <v>99.814930000000004</v>
      </c>
      <c r="J5561">
        <v>-414.69400000000002</v>
      </c>
      <c r="K5561">
        <v>1.1120749999999999</v>
      </c>
      <c r="L5561">
        <v>121.04510000000001</v>
      </c>
      <c r="M5561">
        <v>-0.25749889999999998</v>
      </c>
      <c r="N5561">
        <v>0</v>
      </c>
      <c r="O5561">
        <v>-0.96617900000000001</v>
      </c>
      <c r="P5561">
        <v>-0.19265209999999999</v>
      </c>
      <c r="Q5561">
        <v>8.4546989999999995E-3</v>
      </c>
      <c r="R5561">
        <v>-0.98123079999999996</v>
      </c>
      <c r="S5561">
        <v>-0.2937012</v>
      </c>
      <c r="T5561">
        <v>-0.15619849999999999</v>
      </c>
      <c r="U5561">
        <v>-3.0016020000000001</v>
      </c>
      <c r="V5561">
        <v>-6.6637100000000005E-2</v>
      </c>
      <c r="W5561">
        <v>2.1991210000000001E-2</v>
      </c>
      <c r="X5561">
        <v>0.9975349</v>
      </c>
      <c r="Y5561">
        <v>-0.1623194</v>
      </c>
      <c r="Z5561">
        <v>4.889056E-2</v>
      </c>
      <c r="AA5561">
        <v>0.98552629999999997</v>
      </c>
      <c r="AB5561">
        <v>24</v>
      </c>
      <c r="AC5561">
        <v>-2.0554999999999901</v>
      </c>
      <c r="AD5561">
        <v>-1.1120759303495</v>
      </c>
      <c r="AE5561">
        <v>-21.230170000000001</v>
      </c>
      <c r="AF5561">
        <v>-3.47166219443494</v>
      </c>
      <c r="AG5561">
        <v>-1.1120759303495</v>
      </c>
      <c r="AH5561">
        <v>20.986409494327798</v>
      </c>
      <c r="AI5561">
        <v>92.992687055692997</v>
      </c>
      <c r="AJ5561">
        <v>99.393050017601396</v>
      </c>
      <c r="AK5561">
        <v>21.3006698188283</v>
      </c>
      <c r="AL5561">
        <v>88.739894895097393</v>
      </c>
      <c r="AM5561">
        <v>93.821781538403499</v>
      </c>
      <c r="AN5561">
        <v>0.99999999656584104</v>
      </c>
    </row>
    <row r="5562" spans="1:40" x14ac:dyDescent="0.25">
      <c r="A5562" t="str">
        <f>"20190312160445530"</f>
        <v>20190312160445530</v>
      </c>
      <c r="B5562" t="str">
        <f>"1552377885521202"</f>
        <v>1552377885521202</v>
      </c>
      <c r="C5562" t="s">
        <v>40</v>
      </c>
      <c r="D5562">
        <v>5.6784919999999897</v>
      </c>
      <c r="E5562">
        <v>0.46356449999999999</v>
      </c>
      <c r="F5562" t="s">
        <v>41</v>
      </c>
      <c r="G5562">
        <v>-416.7294</v>
      </c>
      <c r="H5562" s="1">
        <v>-9.9537490000000004E-7</v>
      </c>
      <c r="I5562">
        <v>99.970349999999996</v>
      </c>
      <c r="J5562">
        <v>-414.74369999999999</v>
      </c>
      <c r="K5562">
        <v>1.1120680000000001</v>
      </c>
      <c r="L5562">
        <v>120.84690000000001</v>
      </c>
      <c r="M5562">
        <v>-0.2549747</v>
      </c>
      <c r="N5562">
        <v>0</v>
      </c>
      <c r="O5562">
        <v>-0.96684840000000005</v>
      </c>
      <c r="P5562">
        <v>-0.18994820000000001</v>
      </c>
      <c r="Q5562">
        <v>8.4465119999999998E-3</v>
      </c>
      <c r="R5562">
        <v>-0.98175809999999997</v>
      </c>
      <c r="S5562">
        <v>-0.28991699999999998</v>
      </c>
      <c r="T5562">
        <v>-0.15840070000000001</v>
      </c>
      <c r="U5562">
        <v>-3.0018159999999998</v>
      </c>
      <c r="V5562">
        <v>-6.6778850000000001E-2</v>
      </c>
      <c r="W5562">
        <v>2.1976909999999999E-2</v>
      </c>
      <c r="X5562">
        <v>0.99752580000000002</v>
      </c>
      <c r="Y5562">
        <v>-0.16098309999999999</v>
      </c>
      <c r="Z5562">
        <v>4.9635539999999999E-2</v>
      </c>
      <c r="AA5562">
        <v>0.98570820000000003</v>
      </c>
      <c r="AB5562">
        <v>24</v>
      </c>
      <c r="AC5562">
        <v>-1.9857</v>
      </c>
      <c r="AD5562">
        <v>-1.1120689953748999</v>
      </c>
      <c r="AE5562">
        <v>-20.876550000000002</v>
      </c>
      <c r="AF5562">
        <v>-3.3939039966673601</v>
      </c>
      <c r="AG5562">
        <v>-1.1120689953748999</v>
      </c>
      <c r="AH5562">
        <v>20.634722179196501</v>
      </c>
      <c r="AI5562">
        <v>93.044041727742695</v>
      </c>
      <c r="AJ5562">
        <v>99.340121383641602</v>
      </c>
      <c r="AK5562">
        <v>20.9415147781075</v>
      </c>
      <c r="AL5562">
        <v>88.740714503362994</v>
      </c>
      <c r="AM5562">
        <v>93.829921872205205</v>
      </c>
      <c r="AN5562">
        <v>1.0000000605230499</v>
      </c>
    </row>
    <row r="5563" spans="1:40" x14ac:dyDescent="0.25">
      <c r="A5563" t="str">
        <f>"20190312160445544"</f>
        <v>20190312160445544</v>
      </c>
      <c r="B5563" t="str">
        <f>"1552377885540723"</f>
        <v>1552377885540723</v>
      </c>
      <c r="C5563" t="s">
        <v>40</v>
      </c>
      <c r="D5563">
        <v>5.6544540000000003</v>
      </c>
      <c r="E5563">
        <v>0.463916</v>
      </c>
      <c r="F5563" t="s">
        <v>41</v>
      </c>
      <c r="G5563">
        <v>-416.73669999999998</v>
      </c>
      <c r="H5563" s="1">
        <v>-9.0398330000000003E-7</v>
      </c>
      <c r="I5563">
        <v>99.737390000000005</v>
      </c>
      <c r="J5563">
        <v>-414.77980000000002</v>
      </c>
      <c r="K5563">
        <v>1.1120620000000001</v>
      </c>
      <c r="L5563">
        <v>120.7015</v>
      </c>
      <c r="M5563">
        <v>-0.25312230000000002</v>
      </c>
      <c r="N5563">
        <v>0</v>
      </c>
      <c r="O5563">
        <v>-0.9673349</v>
      </c>
      <c r="P5563">
        <v>-0.18842120000000001</v>
      </c>
      <c r="Q5563">
        <v>8.5039499999999997E-3</v>
      </c>
      <c r="R5563">
        <v>-0.98205160000000002</v>
      </c>
      <c r="S5563">
        <v>-0.28344730000000001</v>
      </c>
      <c r="T5563">
        <v>-0.15816240000000001</v>
      </c>
      <c r="U5563">
        <v>-3.0022739999999999</v>
      </c>
      <c r="V5563">
        <v>-6.6419660000000005E-2</v>
      </c>
      <c r="W5563">
        <v>2.2032690000000001E-2</v>
      </c>
      <c r="X5563">
        <v>0.99754849999999995</v>
      </c>
      <c r="Y5563">
        <v>-0.16121179999999999</v>
      </c>
      <c r="Z5563">
        <v>4.9595430000000003E-2</v>
      </c>
      <c r="AA5563">
        <v>0.98567289999999996</v>
      </c>
      <c r="AB5563">
        <v>24</v>
      </c>
      <c r="AC5563">
        <v>-1.9568999999999599</v>
      </c>
      <c r="AD5563">
        <v>-1.1120629039833001</v>
      </c>
      <c r="AE5563">
        <v>-20.964109999999899</v>
      </c>
      <c r="AF5563">
        <v>-3.40433766177595</v>
      </c>
      <c r="AG5563">
        <v>-1.1120629039833001</v>
      </c>
      <c r="AH5563">
        <v>20.718851176887899</v>
      </c>
      <c r="AI5563">
        <v>93.031767479339194</v>
      </c>
      <c r="AJ5563">
        <v>99.330957075485998</v>
      </c>
      <c r="AK5563">
        <v>21.026102656170799</v>
      </c>
      <c r="AL5563">
        <v>88.737517707464903</v>
      </c>
      <c r="AM5563">
        <v>93.809295880515407</v>
      </c>
      <c r="AN5563">
        <v>1.0000000102577</v>
      </c>
    </row>
    <row r="5564" spans="1:40" x14ac:dyDescent="0.25">
      <c r="A5564" t="str">
        <f>"20190312160445564"</f>
        <v>20190312160445564</v>
      </c>
      <c r="B5564" t="str">
        <f>"1552377885561218"</f>
        <v>1552377885561218</v>
      </c>
      <c r="C5564" t="s">
        <v>40</v>
      </c>
      <c r="D5564">
        <v>5.6980680000000001</v>
      </c>
      <c r="E5564">
        <v>0.46413860000000001</v>
      </c>
      <c r="F5564" t="s">
        <v>41</v>
      </c>
      <c r="G5564">
        <v>-416.74900000000002</v>
      </c>
      <c r="H5564" s="1">
        <v>-8.9148989999999995E-7</v>
      </c>
      <c r="I5564">
        <v>99.713430000000002</v>
      </c>
      <c r="J5564">
        <v>-414.82729999999998</v>
      </c>
      <c r="K5564">
        <v>1.1120559999999999</v>
      </c>
      <c r="L5564">
        <v>120.5085</v>
      </c>
      <c r="M5564">
        <v>-0.2506661</v>
      </c>
      <c r="N5564">
        <v>0</v>
      </c>
      <c r="O5564">
        <v>-0.96797440000000001</v>
      </c>
      <c r="P5564">
        <v>-0.18652750000000001</v>
      </c>
      <c r="Q5564">
        <v>7.9670190000000005E-3</v>
      </c>
      <c r="R5564">
        <v>-0.98241769999999995</v>
      </c>
      <c r="S5564">
        <v>-0.28167720000000002</v>
      </c>
      <c r="T5564">
        <v>-0.1590723</v>
      </c>
      <c r="U5564">
        <v>-3.0021819999999999</v>
      </c>
      <c r="V5564">
        <v>-6.5808710000000006E-2</v>
      </c>
      <c r="W5564">
        <v>2.1494949999999999E-2</v>
      </c>
      <c r="X5564">
        <v>0.99760070000000001</v>
      </c>
      <c r="Y5564">
        <v>-0.15928120000000001</v>
      </c>
      <c r="Z5564">
        <v>4.9941399999999997E-2</v>
      </c>
      <c r="AA5564">
        <v>0.98596919999999999</v>
      </c>
      <c r="AB5564">
        <v>24</v>
      </c>
      <c r="AC5564">
        <v>-1.9217000000000399</v>
      </c>
      <c r="AD5564">
        <v>-1.1120568914898901</v>
      </c>
      <c r="AE5564">
        <v>-20.795069999999999</v>
      </c>
      <c r="AF5564">
        <v>-3.3433045175370601</v>
      </c>
      <c r="AG5564">
        <v>-1.1120568914898901</v>
      </c>
      <c r="AH5564">
        <v>20.554496379084199</v>
      </c>
      <c r="AI5564">
        <v>93.056751513806205</v>
      </c>
      <c r="AJ5564">
        <v>99.238573456968794</v>
      </c>
      <c r="AK5564">
        <v>20.8542963684868</v>
      </c>
      <c r="AL5564">
        <v>88.768335211911804</v>
      </c>
      <c r="AM5564">
        <v>93.774161541197998</v>
      </c>
      <c r="AN5564">
        <v>0.99999998791392797</v>
      </c>
    </row>
    <row r="5565" spans="1:40" x14ac:dyDescent="0.25">
      <c r="A5565" t="str">
        <f>"20190312160445587"</f>
        <v>20190312160445587</v>
      </c>
      <c r="B5565" t="str">
        <f>"1552377885580739"</f>
        <v>1552377885580739</v>
      </c>
      <c r="C5565" t="s">
        <v>40</v>
      </c>
      <c r="D5565">
        <v>5.6899600000000001</v>
      </c>
      <c r="E5565">
        <v>0.4645088</v>
      </c>
      <c r="F5565" t="s">
        <v>41</v>
      </c>
      <c r="G5565">
        <v>-416.75259999999997</v>
      </c>
      <c r="H5565" s="1">
        <v>-8.8326520000000005E-7</v>
      </c>
      <c r="I5565">
        <v>99.694479999999999</v>
      </c>
      <c r="J5565">
        <v>-414.8843</v>
      </c>
      <c r="K5565">
        <v>1.112052</v>
      </c>
      <c r="L5565">
        <v>120.2744</v>
      </c>
      <c r="M5565">
        <v>-0.2476855</v>
      </c>
      <c r="N5565">
        <v>0</v>
      </c>
      <c r="O5565">
        <v>-0.96874159999999998</v>
      </c>
      <c r="P5565">
        <v>-0.18379319999999999</v>
      </c>
      <c r="Q5565">
        <v>7.47357199999999E-3</v>
      </c>
      <c r="R5565">
        <v>-0.98293660000000005</v>
      </c>
      <c r="S5565">
        <v>-0.27771000000000001</v>
      </c>
      <c r="T5565">
        <v>-0.16040599999999999</v>
      </c>
      <c r="U5565">
        <v>-3.0022739999999999</v>
      </c>
      <c r="V5565">
        <v>-6.5512580000000001E-2</v>
      </c>
      <c r="W5565">
        <v>2.0997720000000001E-2</v>
      </c>
      <c r="X5565">
        <v>0.99763080000000004</v>
      </c>
      <c r="Y5565">
        <v>-0.15753889999999901</v>
      </c>
      <c r="Z5565">
        <v>5.042866E-2</v>
      </c>
      <c r="AA5565">
        <v>0.9862244</v>
      </c>
      <c r="AB5565">
        <v>23</v>
      </c>
      <c r="AC5565">
        <v>-1.8682999999999701</v>
      </c>
      <c r="AD5565">
        <v>-1.1120528832651999</v>
      </c>
      <c r="AE5565">
        <v>-20.579920000000001</v>
      </c>
      <c r="AF5565">
        <v>-3.2782689602246902</v>
      </c>
      <c r="AG5565">
        <v>-1.1120528832651999</v>
      </c>
      <c r="AH5565">
        <v>20.342418348841299</v>
      </c>
      <c r="AI5565">
        <v>93.089277121324699</v>
      </c>
      <c r="AJ5565">
        <v>99.154753084364302</v>
      </c>
      <c r="AK5565">
        <v>20.634865962007702</v>
      </c>
      <c r="AL5565">
        <v>88.796830849144598</v>
      </c>
      <c r="AM5565">
        <v>93.7571140603076</v>
      </c>
      <c r="AN5565">
        <v>1.00000000774604</v>
      </c>
    </row>
    <row r="5566" spans="1:40" x14ac:dyDescent="0.25">
      <c r="A5566" t="str">
        <f>"20190312160445610"</f>
        <v>20190312160445610</v>
      </c>
      <c r="B5566" t="str">
        <f>"1552377885600258"</f>
        <v>1552377885600258</v>
      </c>
      <c r="C5566" t="s">
        <v>40</v>
      </c>
      <c r="D5566">
        <v>5.6850149999999999</v>
      </c>
      <c r="E5566">
        <v>0.46490680000000001</v>
      </c>
      <c r="F5566" t="s">
        <v>41</v>
      </c>
      <c r="G5566">
        <v>-416.76369999999997</v>
      </c>
      <c r="H5566" s="1">
        <v>-4.8238670000000002E-6</v>
      </c>
      <c r="I5566">
        <v>99.539150000000006</v>
      </c>
      <c r="J5566">
        <v>-414.93810000000002</v>
      </c>
      <c r="K5566">
        <v>1.1120490000000001</v>
      </c>
      <c r="L5566">
        <v>120.0498</v>
      </c>
      <c r="M5566">
        <v>-0.2448292</v>
      </c>
      <c r="N5566">
        <v>0</v>
      </c>
      <c r="O5566">
        <v>-0.96946739999999998</v>
      </c>
      <c r="P5566">
        <v>-0.1807793</v>
      </c>
      <c r="Q5566">
        <v>7.3014129999999997E-3</v>
      </c>
      <c r="R5566">
        <v>-0.9834965</v>
      </c>
      <c r="S5566">
        <v>-0.27212520000000001</v>
      </c>
      <c r="T5566">
        <v>-0.16102239999999901</v>
      </c>
      <c r="U5566">
        <v>-3.0023960000000001</v>
      </c>
      <c r="V5566">
        <v>-6.562983E-2</v>
      </c>
      <c r="W5566">
        <v>2.0820370000000001E-2</v>
      </c>
      <c r="X5566">
        <v>0.99762680000000004</v>
      </c>
      <c r="Y5566">
        <v>-0.15645220000000001</v>
      </c>
      <c r="Z5566">
        <v>5.06864E-2</v>
      </c>
      <c r="AA5566">
        <v>0.98638409999999999</v>
      </c>
      <c r="AB5566">
        <v>23</v>
      </c>
      <c r="AC5566">
        <v>-1.8255999999999499</v>
      </c>
      <c r="AD5566">
        <v>-1.1120538238669999</v>
      </c>
      <c r="AE5566">
        <v>-20.510649999999998</v>
      </c>
      <c r="AF5566">
        <v>-3.2426008188928099</v>
      </c>
      <c r="AG5566">
        <v>-1.1120538238669999</v>
      </c>
      <c r="AH5566">
        <v>20.2741848086524</v>
      </c>
      <c r="AI5566">
        <v>93.100245848143004</v>
      </c>
      <c r="AJ5566">
        <v>99.086780838244195</v>
      </c>
      <c r="AK5566">
        <v>20.561947705245601</v>
      </c>
      <c r="AL5566">
        <v>88.806994464986701</v>
      </c>
      <c r="AM5566">
        <v>93.763834026637298</v>
      </c>
      <c r="AN5566">
        <v>0.99999999723550204</v>
      </c>
    </row>
    <row r="5567" spans="1:40" x14ac:dyDescent="0.25">
      <c r="A5567" t="str">
        <f>"20190312160445631"</f>
        <v>20190312160445631</v>
      </c>
      <c r="B5567" t="str">
        <f>"1552377885620754"</f>
        <v>1552377885620754</v>
      </c>
      <c r="C5567" t="s">
        <v>40</v>
      </c>
      <c r="D5567">
        <v>5.6301860000000001</v>
      </c>
      <c r="E5567">
        <v>0.4652269</v>
      </c>
      <c r="F5567" t="s">
        <v>41</v>
      </c>
      <c r="G5567">
        <v>-416.77659999999997</v>
      </c>
      <c r="H5567" s="1">
        <v>-4.7254249999999997E-6</v>
      </c>
      <c r="I5567">
        <v>99.315039999999996</v>
      </c>
      <c r="J5567">
        <v>-414.9898</v>
      </c>
      <c r="K5567">
        <v>1.1120490000000001</v>
      </c>
      <c r="L5567">
        <v>119.83159999999999</v>
      </c>
      <c r="M5567">
        <v>-0.24205699999999999</v>
      </c>
      <c r="N5567">
        <v>0</v>
      </c>
      <c r="O5567">
        <v>-0.97016340000000001</v>
      </c>
      <c r="P5567">
        <v>-0.1773622</v>
      </c>
      <c r="Q5567">
        <v>7.3223189999999999E-3</v>
      </c>
      <c r="R5567">
        <v>-0.98411850000000001</v>
      </c>
      <c r="S5567">
        <v>-0.26623540000000001</v>
      </c>
      <c r="T5567">
        <v>-0.16103609999999999</v>
      </c>
      <c r="U5567">
        <v>-3.0025940000000002</v>
      </c>
      <c r="V5567">
        <v>-6.6243449999999995E-2</v>
      </c>
      <c r="W5567">
        <v>2.083372E-2</v>
      </c>
      <c r="X5567">
        <v>0.99758599999999997</v>
      </c>
      <c r="Y5567">
        <v>-0.15555439999999901</v>
      </c>
      <c r="Z5567">
        <v>5.0750839999999998E-2</v>
      </c>
      <c r="AA5567">
        <v>0.98652280000000003</v>
      </c>
      <c r="AB5567">
        <v>23</v>
      </c>
      <c r="AC5567">
        <v>-1.78679999999997</v>
      </c>
      <c r="AD5567">
        <v>-1.112053725425</v>
      </c>
      <c r="AE5567">
        <v>-20.516559999999998</v>
      </c>
      <c r="AF5567">
        <v>-3.2235989536352001</v>
      </c>
      <c r="AG5567">
        <v>-1.112053725425</v>
      </c>
      <c r="AH5567">
        <v>20.279737351539399</v>
      </c>
      <c r="AI5567">
        <v>93.099870177516493</v>
      </c>
      <c r="AJ5567">
        <v>99.031979620575498</v>
      </c>
      <c r="AK5567">
        <v>20.5644353374833</v>
      </c>
      <c r="AL5567">
        <v>88.806229443053397</v>
      </c>
      <c r="AM5567">
        <v>93.799077135439504</v>
      </c>
      <c r="AN5567">
        <v>1.00000003297647</v>
      </c>
    </row>
    <row r="5568" spans="1:40" x14ac:dyDescent="0.25">
      <c r="A5568" t="str">
        <f>"20190312160445646"</f>
        <v>20190312160445646</v>
      </c>
      <c r="B5568" t="str">
        <f>"1552377885640274"</f>
        <v>1552377885640274</v>
      </c>
      <c r="C5568" t="s">
        <v>40</v>
      </c>
      <c r="D5568">
        <v>5.7322790000000001</v>
      </c>
      <c r="E5568">
        <v>0.46545069999999999</v>
      </c>
      <c r="F5568" t="s">
        <v>41</v>
      </c>
      <c r="G5568">
        <v>-416.77019999999999</v>
      </c>
      <c r="H5568" s="1">
        <v>-4.6472909999999999E-6</v>
      </c>
      <c r="I5568">
        <v>99.130229999999997</v>
      </c>
      <c r="J5568">
        <v>-415.0256</v>
      </c>
      <c r="K5568">
        <v>1.1120509999999999</v>
      </c>
      <c r="L5568">
        <v>119.6789</v>
      </c>
      <c r="M5568">
        <v>-0.2401172</v>
      </c>
      <c r="N5568">
        <v>0</v>
      </c>
      <c r="O5568">
        <v>-0.97064519999999999</v>
      </c>
      <c r="P5568">
        <v>-0.17488399999999901</v>
      </c>
      <c r="Q5568">
        <v>7.4749589999999998E-3</v>
      </c>
      <c r="R5568">
        <v>-0.98456080000000001</v>
      </c>
      <c r="S5568">
        <v>-0.25827030000000001</v>
      </c>
      <c r="T5568">
        <v>-0.16132099999999999</v>
      </c>
      <c r="U5568">
        <v>-3.0030670000000002</v>
      </c>
      <c r="V5568">
        <v>-6.6760810000000004E-2</v>
      </c>
      <c r="W5568">
        <v>2.0981030000000001E-2</v>
      </c>
      <c r="X5568">
        <v>0.9975484</v>
      </c>
      <c r="Y5568">
        <v>-0.15619060000000001</v>
      </c>
      <c r="Z5568">
        <v>5.087378E-2</v>
      </c>
      <c r="AA5568">
        <v>0.98641590000000001</v>
      </c>
      <c r="AB5568">
        <v>23</v>
      </c>
      <c r="AC5568">
        <v>-1.7445999999999899</v>
      </c>
      <c r="AD5568">
        <v>-1.1120556472909999</v>
      </c>
      <c r="AE5568">
        <v>-20.548669999999898</v>
      </c>
      <c r="AF5568">
        <v>-3.2316151039804102</v>
      </c>
      <c r="AG5568">
        <v>-1.1120556472909999</v>
      </c>
      <c r="AH5568">
        <v>20.307278068269898</v>
      </c>
      <c r="AI5568">
        <v>93.095593789170294</v>
      </c>
      <c r="AJ5568">
        <v>99.0419918017475</v>
      </c>
      <c r="AK5568">
        <v>20.592851829821502</v>
      </c>
      <c r="AL5568">
        <v>88.797787328948701</v>
      </c>
      <c r="AM5568">
        <v>93.828803826804801</v>
      </c>
      <c r="AN5568">
        <v>1.00000000985713</v>
      </c>
    </row>
    <row r="5569" spans="1:40" x14ac:dyDescent="0.25">
      <c r="A5569" t="str">
        <f>"20190312160445658"</f>
        <v>20190312160445658</v>
      </c>
      <c r="B5569" t="str">
        <f>"1552377885651010"</f>
        <v>1552377885651010</v>
      </c>
      <c r="C5569" t="s">
        <v>40</v>
      </c>
      <c r="D5569">
        <v>5.694293</v>
      </c>
      <c r="E5569">
        <v>0.471694</v>
      </c>
      <c r="F5569" t="s">
        <v>41</v>
      </c>
      <c r="G5569">
        <v>-416.75479999999999</v>
      </c>
      <c r="H5569" s="1">
        <v>-4.6418890000000003E-6</v>
      </c>
      <c r="I5569">
        <v>99.111279999999994</v>
      </c>
      <c r="J5569">
        <v>-415.05509999999998</v>
      </c>
      <c r="K5569">
        <v>1.1120490000000001</v>
      </c>
      <c r="L5569">
        <v>119.5518</v>
      </c>
      <c r="M5569">
        <v>-0.2385071</v>
      </c>
      <c r="N5569">
        <v>0</v>
      </c>
      <c r="O5569">
        <v>-0.97104230000000002</v>
      </c>
      <c r="P5569">
        <v>-0.17291319999999999</v>
      </c>
      <c r="Q5569">
        <v>7.6609950000000003E-3</v>
      </c>
      <c r="R5569">
        <v>-0.98490759999999999</v>
      </c>
      <c r="S5569">
        <v>-0.25250240000000002</v>
      </c>
      <c r="T5569">
        <v>-0.1623896</v>
      </c>
      <c r="U5569">
        <v>-3.0034179999999999</v>
      </c>
      <c r="V5569">
        <v>-6.7103019999999999E-2</v>
      </c>
      <c r="W5569">
        <v>2.116314E-2</v>
      </c>
      <c r="X5569">
        <v>0.99752160000000001</v>
      </c>
      <c r="Y5569">
        <v>-0.15644459999999999</v>
      </c>
      <c r="Z5569">
        <v>5.123867E-2</v>
      </c>
      <c r="AA5569">
        <v>0.98635680000000003</v>
      </c>
      <c r="AB5569">
        <v>23</v>
      </c>
      <c r="AC5569">
        <v>-1.6997</v>
      </c>
      <c r="AD5569">
        <v>-1.1120536418889999</v>
      </c>
      <c r="AE5569">
        <v>-20.4405199999999</v>
      </c>
      <c r="AF5569">
        <v>-3.2155846581037899</v>
      </c>
      <c r="AG5569">
        <v>-1.1120536418889999</v>
      </c>
      <c r="AH5569">
        <v>20.196568758821702</v>
      </c>
      <c r="AI5569">
        <v>93.112485787240203</v>
      </c>
      <c r="AJ5569">
        <v>99.046383743512095</v>
      </c>
      <c r="AK5569">
        <v>20.481162994949401</v>
      </c>
      <c r="AL5569">
        <v>88.787350887339599</v>
      </c>
      <c r="AM5569">
        <v>93.848474193833596</v>
      </c>
      <c r="AN5569">
        <v>1.00000001812716</v>
      </c>
    </row>
    <row r="5570" spans="1:40" x14ac:dyDescent="0.25">
      <c r="A5570" t="str">
        <f>"20190312160445676"</f>
        <v>20190312160445676</v>
      </c>
      <c r="B5570" t="str">
        <f>"1552377885670534"</f>
        <v>1552377885670534</v>
      </c>
      <c r="C5570" t="s">
        <v>40</v>
      </c>
      <c r="D5570">
        <v>5.7167180000000002</v>
      </c>
      <c r="E5570">
        <v>0.47077839999999999</v>
      </c>
      <c r="F5570" t="s">
        <v>41</v>
      </c>
      <c r="G5570">
        <v>-417.0609</v>
      </c>
      <c r="H5570" s="1">
        <v>-4.6259750000000002E-6</v>
      </c>
      <c r="I5570">
        <v>99.200770000000006</v>
      </c>
      <c r="J5570">
        <v>-415.09629999999999</v>
      </c>
      <c r="K5570">
        <v>1.112047</v>
      </c>
      <c r="L5570">
        <v>119.3734</v>
      </c>
      <c r="M5570">
        <v>-0.23625280000000001</v>
      </c>
      <c r="N5570">
        <v>0</v>
      </c>
      <c r="O5570">
        <v>-0.97159309999999999</v>
      </c>
      <c r="P5570">
        <v>-0.16979330000000001</v>
      </c>
      <c r="Q5570">
        <v>7.6140890000000001E-3</v>
      </c>
      <c r="R5570">
        <v>-0.9854501</v>
      </c>
      <c r="S5570">
        <v>-0.29522710000000002</v>
      </c>
      <c r="T5570">
        <v>-0.16367950000000001</v>
      </c>
      <c r="U5570">
        <v>-2.9954070000000002</v>
      </c>
      <c r="V5570">
        <v>-6.7946870000000006E-2</v>
      </c>
      <c r="W5570">
        <v>2.1109269999999999E-2</v>
      </c>
      <c r="X5570">
        <v>0.99746559999999995</v>
      </c>
      <c r="Y5570">
        <v>-0.1399627</v>
      </c>
      <c r="Z5570">
        <v>5.1861600000000001E-2</v>
      </c>
      <c r="AA5570">
        <v>0.9887977</v>
      </c>
      <c r="AB5570">
        <v>23</v>
      </c>
      <c r="AC5570">
        <v>-1.9646000000000099</v>
      </c>
      <c r="AD5570">
        <v>-1.112051625975</v>
      </c>
      <c r="AE5570">
        <v>-20.172630000000002</v>
      </c>
      <c r="AF5570">
        <v>-2.8487461812700401</v>
      </c>
      <c r="AG5570">
        <v>-1.112051625975</v>
      </c>
      <c r="AH5570">
        <v>20.005426906453</v>
      </c>
      <c r="AI5570">
        <v>93.149943576594296</v>
      </c>
      <c r="AJ5570">
        <v>98.104357506487901</v>
      </c>
      <c r="AK5570">
        <v>20.237814094747701</v>
      </c>
      <c r="AL5570">
        <v>88.790438079635294</v>
      </c>
      <c r="AM5570">
        <v>93.896940370051198</v>
      </c>
      <c r="AN5570">
        <v>1.0000000008030401</v>
      </c>
    </row>
    <row r="5571" spans="1:40" x14ac:dyDescent="0.25">
      <c r="A5571" t="str">
        <f>"20190312160445692"</f>
        <v>20190312160445692</v>
      </c>
      <c r="B5571" t="str">
        <f>"1552377885680290"</f>
        <v>1552377885680290</v>
      </c>
      <c r="C5571" t="s">
        <v>40</v>
      </c>
      <c r="D5571">
        <v>5.6941470000000001</v>
      </c>
      <c r="E5571">
        <v>0.47110920000000001</v>
      </c>
      <c r="F5571" t="s">
        <v>41</v>
      </c>
      <c r="G5571">
        <v>-417.03129999999999</v>
      </c>
      <c r="H5571" s="1">
        <v>-4.3499030000000004E-6</v>
      </c>
      <c r="I5571">
        <v>98.544960000000003</v>
      </c>
      <c r="J5571">
        <v>-415.13139999999999</v>
      </c>
      <c r="K5571">
        <v>1.1120380000000001</v>
      </c>
      <c r="L5571">
        <v>119.2192</v>
      </c>
      <c r="M5571">
        <v>-0.23431350000000001</v>
      </c>
      <c r="N5571">
        <v>0</v>
      </c>
      <c r="O5571">
        <v>-0.97206289999999995</v>
      </c>
      <c r="P5571">
        <v>-0.16744319999999999</v>
      </c>
      <c r="Q5571">
        <v>7.9990870000000002E-3</v>
      </c>
      <c r="R5571">
        <v>-0.98584959999999999</v>
      </c>
      <c r="S5571">
        <v>-0.27847290000000002</v>
      </c>
      <c r="T5571">
        <v>-0.16004090000000001</v>
      </c>
      <c r="U5571">
        <v>-2.997528</v>
      </c>
      <c r="V5571">
        <v>-6.8335389999999996E-2</v>
      </c>
      <c r="W5571">
        <v>2.149065E-2</v>
      </c>
      <c r="X5571">
        <v>0.99743090000000001</v>
      </c>
      <c r="Y5571">
        <v>-0.14352490000000001</v>
      </c>
      <c r="Z5571">
        <v>5.0712920000000002E-2</v>
      </c>
      <c r="AA5571">
        <v>0.98834650000000002</v>
      </c>
      <c r="AB5571">
        <v>23</v>
      </c>
      <c r="AC5571">
        <v>-1.8998999999999999</v>
      </c>
      <c r="AD5571">
        <v>-1.1120423499030001</v>
      </c>
      <c r="AE5571">
        <v>-20.674240000000001</v>
      </c>
      <c r="AF5571">
        <v>-2.9891415175604998</v>
      </c>
      <c r="AG5571">
        <v>-1.1120423499030001</v>
      </c>
      <c r="AH5571">
        <v>20.485023294900401</v>
      </c>
      <c r="AI5571">
        <v>93.074788857525107</v>
      </c>
      <c r="AJ5571">
        <v>98.3019165382171</v>
      </c>
      <c r="AK5571">
        <v>20.7318061102402</v>
      </c>
      <c r="AL5571">
        <v>88.768581639466007</v>
      </c>
      <c r="AM5571">
        <v>93.919289739945896</v>
      </c>
      <c r="AN5571">
        <v>0.999999986919342</v>
      </c>
    </row>
    <row r="5572" spans="1:40" x14ac:dyDescent="0.25">
      <c r="A5572" t="str">
        <f>"20190312160445709"</f>
        <v>20190312160445709</v>
      </c>
      <c r="B5572" t="str">
        <f>"1552377885700786"</f>
        <v>1552377885700786</v>
      </c>
      <c r="C5572" t="s">
        <v>40</v>
      </c>
      <c r="D5572">
        <v>5.7111010000000002</v>
      </c>
      <c r="E5572">
        <v>0.47140460000000001</v>
      </c>
      <c r="F5572" t="s">
        <v>41</v>
      </c>
      <c r="G5572">
        <v>-417.06729999999999</v>
      </c>
      <c r="H5572" s="1">
        <v>-4.1414860000000001E-6</v>
      </c>
      <c r="I5572">
        <v>98.07405</v>
      </c>
      <c r="J5572">
        <v>-415.17160000000001</v>
      </c>
      <c r="K5572">
        <v>1.1120270000000001</v>
      </c>
      <c r="L5572">
        <v>119.0416</v>
      </c>
      <c r="M5572">
        <v>-0.23209160000000001</v>
      </c>
      <c r="N5572">
        <v>0</v>
      </c>
      <c r="O5572">
        <v>-0.97259600000000002</v>
      </c>
      <c r="P5572">
        <v>-0.1643994</v>
      </c>
      <c r="Q5572">
        <v>8.1606639999999998E-3</v>
      </c>
      <c r="R5572">
        <v>-0.98636060000000003</v>
      </c>
      <c r="S5572">
        <v>-0.27444459999999998</v>
      </c>
      <c r="T5572">
        <v>-0.1576523</v>
      </c>
      <c r="U5572">
        <v>-2.9977109999999998</v>
      </c>
      <c r="V5572">
        <v>-6.9134639999999997E-2</v>
      </c>
      <c r="W5572">
        <v>2.1646539999999999E-2</v>
      </c>
      <c r="X5572">
        <v>0.99737240000000005</v>
      </c>
      <c r="Y5572">
        <v>-0.1425825</v>
      </c>
      <c r="Z5572">
        <v>5.0003209999999999E-2</v>
      </c>
      <c r="AA5572">
        <v>0.98851909999999998</v>
      </c>
      <c r="AB5572">
        <v>23</v>
      </c>
      <c r="AC5572">
        <v>-1.89569999999997</v>
      </c>
      <c r="AD5572">
        <v>-1.112031141486</v>
      </c>
      <c r="AE5572">
        <v>-20.967549999999999</v>
      </c>
      <c r="AF5572">
        <v>-3.0145194681083001</v>
      </c>
      <c r="AG5572">
        <v>-1.112031141486</v>
      </c>
      <c r="AH5572">
        <v>20.776948510386699</v>
      </c>
      <c r="AI5572">
        <v>93.031994750046195</v>
      </c>
      <c r="AJ5572">
        <v>98.255416016253406</v>
      </c>
      <c r="AK5572">
        <v>21.023927565669101</v>
      </c>
      <c r="AL5572">
        <v>88.759647660937503</v>
      </c>
      <c r="AM5572">
        <v>93.965216163848993</v>
      </c>
      <c r="AN5572">
        <v>0.99999993771182805</v>
      </c>
    </row>
    <row r="5573" spans="1:40" x14ac:dyDescent="0.25">
      <c r="A5573" t="str">
        <f>"20190312160445724"</f>
        <v>20190312160445724</v>
      </c>
      <c r="B5573" t="str">
        <f>"1552377885720306"</f>
        <v>1552377885720306</v>
      </c>
      <c r="C5573" t="s">
        <v>40</v>
      </c>
      <c r="D5573">
        <v>5.7075459999999998</v>
      </c>
      <c r="E5573">
        <v>0.47195740000000003</v>
      </c>
      <c r="F5573" t="s">
        <v>41</v>
      </c>
      <c r="G5573">
        <v>-417.1191</v>
      </c>
      <c r="H5573" s="1">
        <v>-3.7603299999999998E-6</v>
      </c>
      <c r="I5573">
        <v>97.207009999999997</v>
      </c>
      <c r="J5573">
        <v>-415.20650000000001</v>
      </c>
      <c r="K5573">
        <v>1.1120129999999999</v>
      </c>
      <c r="L5573">
        <v>118.8854</v>
      </c>
      <c r="M5573">
        <v>-0.2301503</v>
      </c>
      <c r="N5573">
        <v>0</v>
      </c>
      <c r="O5573">
        <v>-0.97305719999999996</v>
      </c>
      <c r="P5573">
        <v>-0.162105</v>
      </c>
      <c r="Q5573">
        <v>8.0519330000000007E-3</v>
      </c>
      <c r="R5573">
        <v>-0.98674110000000004</v>
      </c>
      <c r="S5573">
        <v>-0.26742549999999998</v>
      </c>
      <c r="T5573">
        <v>-0.15269679999999999</v>
      </c>
      <c r="U5573">
        <v>-2.9981840000000002</v>
      </c>
      <c r="V5573">
        <v>-6.9462949999999996E-2</v>
      </c>
      <c r="W5573">
        <v>2.153594E-2</v>
      </c>
      <c r="X5573">
        <v>0.99735209999999996</v>
      </c>
      <c r="Y5573">
        <v>-0.14291010000000001</v>
      </c>
      <c r="Z5573">
        <v>4.8466540000000002E-2</v>
      </c>
      <c r="AA5573">
        <v>0.98854830000000005</v>
      </c>
      <c r="AB5573">
        <v>23</v>
      </c>
      <c r="AC5573">
        <v>-1.9125999999999901</v>
      </c>
      <c r="AD5573">
        <v>-1.11201676033</v>
      </c>
      <c r="AE5573">
        <v>-21.67839</v>
      </c>
      <c r="AF5573">
        <v>-3.12036962660477</v>
      </c>
      <c r="AG5573">
        <v>-1.11201676033</v>
      </c>
      <c r="AH5573">
        <v>21.480465893457499</v>
      </c>
      <c r="AI5573">
        <v>92.932757629961202</v>
      </c>
      <c r="AJ5573">
        <v>98.265282859007897</v>
      </c>
      <c r="AK5573">
        <v>21.734389866796</v>
      </c>
      <c r="AL5573">
        <v>88.765986196597296</v>
      </c>
      <c r="AM5573">
        <v>93.984066713140706</v>
      </c>
      <c r="AN5573">
        <v>1.0000000547543899</v>
      </c>
    </row>
    <row r="5574" spans="1:40" x14ac:dyDescent="0.25">
      <c r="A5574" t="str">
        <f>"20190312160445743"</f>
        <v>20190312160445743</v>
      </c>
      <c r="B5574" t="str">
        <f>"1552377885731043"</f>
        <v>1552377885731043</v>
      </c>
      <c r="C5574" t="s">
        <v>40</v>
      </c>
      <c r="D5574">
        <v>5.6728209999999999</v>
      </c>
      <c r="E5574">
        <v>0.47195740000000003</v>
      </c>
      <c r="F5574" t="s">
        <v>41</v>
      </c>
      <c r="G5574">
        <v>-417.1395</v>
      </c>
      <c r="H5574" s="1">
        <v>-3.672576E-6</v>
      </c>
      <c r="I5574">
        <v>97.010850000000005</v>
      </c>
      <c r="J5574">
        <v>-415.24680000000001</v>
      </c>
      <c r="K5574">
        <v>1.111993</v>
      </c>
      <c r="L5574">
        <v>118.7037</v>
      </c>
      <c r="M5574">
        <v>-0.2279091</v>
      </c>
      <c r="N5574">
        <v>0</v>
      </c>
      <c r="O5574">
        <v>-0.97358460000000002</v>
      </c>
      <c r="P5574">
        <v>-0.15903139999999999</v>
      </c>
      <c r="Q5574">
        <v>7.9546970000000002E-3</v>
      </c>
      <c r="R5574">
        <v>-0.9872417</v>
      </c>
      <c r="S5574">
        <v>-0.26492310000000002</v>
      </c>
      <c r="T5574">
        <v>-0.15240819999999999</v>
      </c>
      <c r="U5574">
        <v>-2.9980319999999998</v>
      </c>
      <c r="V5574">
        <v>-7.0271089999999994E-2</v>
      </c>
      <c r="W5574">
        <v>2.143345E-2</v>
      </c>
      <c r="X5574">
        <v>0.99729760000000001</v>
      </c>
      <c r="Y5574">
        <v>-0.14144499999999999</v>
      </c>
      <c r="Z5574">
        <v>4.8424519999999999E-2</v>
      </c>
      <c r="AA5574">
        <v>0.988761</v>
      </c>
      <c r="AB5574">
        <v>23</v>
      </c>
      <c r="AC5574">
        <v>-1.8926999999999901</v>
      </c>
      <c r="AD5574">
        <v>-1.111996672576</v>
      </c>
      <c r="AE5574">
        <v>-21.69285</v>
      </c>
      <c r="AF5574">
        <v>-3.0935223424543699</v>
      </c>
      <c r="AG5574">
        <v>-1.111996672576</v>
      </c>
      <c r="AH5574">
        <v>21.497179844178401</v>
      </c>
      <c r="AI5574">
        <v>92.9309928056866</v>
      </c>
      <c r="AJ5574">
        <v>98.188854171187302</v>
      </c>
      <c r="AK5574">
        <v>21.747072408396299</v>
      </c>
      <c r="AL5574">
        <v>88.771859681217805</v>
      </c>
      <c r="AM5574">
        <v>94.030485456044701</v>
      </c>
      <c r="AN5574">
        <v>0.99999996091722398</v>
      </c>
    </row>
    <row r="5575" spans="1:40" x14ac:dyDescent="0.25">
      <c r="A5575" t="str">
        <f>"20190312160445758"</f>
        <v>20190312160445758</v>
      </c>
      <c r="B5575" t="str">
        <f>"1552377885750563"</f>
        <v>1552377885750563</v>
      </c>
      <c r="C5575" t="s">
        <v>40</v>
      </c>
      <c r="D5575">
        <v>5.7548360000000001</v>
      </c>
      <c r="E5575">
        <v>0.47249770000000002</v>
      </c>
      <c r="F5575" t="s">
        <v>41</v>
      </c>
      <c r="G5575">
        <v>-417.1071</v>
      </c>
      <c r="H5575" s="1">
        <v>-3.6236759999999999E-6</v>
      </c>
      <c r="I5575">
        <v>96.883499999999998</v>
      </c>
      <c r="J5575">
        <v>-415.28059999999999</v>
      </c>
      <c r="K5575">
        <v>1.111974</v>
      </c>
      <c r="L5575">
        <v>118.54940000000001</v>
      </c>
      <c r="M5575">
        <v>-0.22602330000000001</v>
      </c>
      <c r="N5575">
        <v>0</v>
      </c>
      <c r="O5575">
        <v>-0.974024</v>
      </c>
      <c r="P5575">
        <v>-0.157201799999999</v>
      </c>
      <c r="Q5575">
        <v>7.8620689999999993E-3</v>
      </c>
      <c r="R5575">
        <v>-0.98753550000000001</v>
      </c>
      <c r="S5575">
        <v>-0.25567630000000002</v>
      </c>
      <c r="T5575">
        <v>-0.1528245</v>
      </c>
      <c r="U5575">
        <v>-2.9988100000000002</v>
      </c>
      <c r="V5575">
        <v>-7.0186100000000001E-2</v>
      </c>
      <c r="W5575">
        <v>2.134144E-2</v>
      </c>
      <c r="X5575">
        <v>0.99730560000000001</v>
      </c>
      <c r="Y5575">
        <v>-0.14257700000000001</v>
      </c>
      <c r="Z5575">
        <v>4.8579320000000002E-2</v>
      </c>
      <c r="AA5575">
        <v>0.98859079999999999</v>
      </c>
      <c r="AB5575">
        <v>23</v>
      </c>
      <c r="AC5575">
        <v>-1.82650000000001</v>
      </c>
      <c r="AD5575">
        <v>-1.1119776236759999</v>
      </c>
      <c r="AE5575">
        <v>-21.665900000000001</v>
      </c>
      <c r="AF5575">
        <v>-3.1101061039089601</v>
      </c>
      <c r="AG5575">
        <v>-1.1119776236759999</v>
      </c>
      <c r="AH5575">
        <v>21.4618555866662</v>
      </c>
      <c r="AI5575">
        <v>92.935339821501501</v>
      </c>
      <c r="AJ5575">
        <v>98.245516129692305</v>
      </c>
      <c r="AK5575">
        <v>21.714522777073501</v>
      </c>
      <c r="AL5575">
        <v>88.777132723384895</v>
      </c>
      <c r="AM5575">
        <v>94.025594599987102</v>
      </c>
      <c r="AN5575">
        <v>1.0000000027429199</v>
      </c>
    </row>
    <row r="5576" spans="1:40" x14ac:dyDescent="0.25">
      <c r="A5576" t="str">
        <f>"20190312160445772"</f>
        <v>20190312160445772</v>
      </c>
      <c r="B5576" t="str">
        <f>"1552377885760322"</f>
        <v>1552377885760322</v>
      </c>
      <c r="C5576" t="s">
        <v>40</v>
      </c>
      <c r="D5576">
        <v>5.7009999999999996</v>
      </c>
      <c r="E5576">
        <v>0.4726726</v>
      </c>
      <c r="F5576" t="s">
        <v>41</v>
      </c>
      <c r="G5576">
        <v>-417.15620000000001</v>
      </c>
      <c r="H5576" s="1">
        <v>-3.4346530000000001E-6</v>
      </c>
      <c r="I5576">
        <v>96.463170000000005</v>
      </c>
      <c r="J5576">
        <v>-415.30990000000003</v>
      </c>
      <c r="K5576">
        <v>1.1119559999999999</v>
      </c>
      <c r="L5576">
        <v>118.4151</v>
      </c>
      <c r="M5576">
        <v>-0.22439539999999999</v>
      </c>
      <c r="N5576">
        <v>0</v>
      </c>
      <c r="O5576">
        <v>-0.97440059999999995</v>
      </c>
      <c r="P5576">
        <v>-0.1556196</v>
      </c>
      <c r="Q5576">
        <v>7.6397469999999997E-3</v>
      </c>
      <c r="R5576">
        <v>-0.98778770000000005</v>
      </c>
      <c r="S5576">
        <v>-0.2546387</v>
      </c>
      <c r="T5576">
        <v>-0.15096679999999901</v>
      </c>
      <c r="U5576">
        <v>-2.9985200000000001</v>
      </c>
      <c r="V5576">
        <v>-7.0116040000000004E-2</v>
      </c>
      <c r="W5576">
        <v>2.112023E-2</v>
      </c>
      <c r="X5576">
        <v>0.99731519999999996</v>
      </c>
      <c r="Y5576">
        <v>-0.14125209999999999</v>
      </c>
      <c r="Z5576">
        <v>4.802849E-2</v>
      </c>
      <c r="AA5576">
        <v>0.98880789999999996</v>
      </c>
      <c r="AB5576">
        <v>23</v>
      </c>
      <c r="AC5576">
        <v>-1.8462999999999801</v>
      </c>
      <c r="AD5576">
        <v>-1.111959434653</v>
      </c>
      <c r="AE5576">
        <v>-21.951930000000001</v>
      </c>
      <c r="AF5576">
        <v>-3.1192263838707199</v>
      </c>
      <c r="AG5576">
        <v>-1.111959434653</v>
      </c>
      <c r="AH5576">
        <v>21.7509308409036</v>
      </c>
      <c r="AI5576">
        <v>92.896963286779794</v>
      </c>
      <c r="AJ5576">
        <v>98.1609502316538</v>
      </c>
      <c r="AK5576">
        <v>22.0015685682617</v>
      </c>
      <c r="AL5576">
        <v>88.789809935333395</v>
      </c>
      <c r="AM5576">
        <v>94.021550845356899</v>
      </c>
      <c r="AN5576">
        <v>0.99999996566578597</v>
      </c>
    </row>
    <row r="5577" spans="1:40" x14ac:dyDescent="0.25">
      <c r="A5577" t="str">
        <f>"20190312160445785"</f>
        <v>20190312160445785</v>
      </c>
      <c r="B5577" t="str">
        <f>"1552377885780819"</f>
        <v>1552377885780819</v>
      </c>
      <c r="C5577" t="s">
        <v>40</v>
      </c>
      <c r="D5577">
        <v>5.797015</v>
      </c>
      <c r="E5577">
        <v>0.47302480000000002</v>
      </c>
      <c r="F5577" t="s">
        <v>41</v>
      </c>
      <c r="G5577">
        <v>-417.16629999999998</v>
      </c>
      <c r="H5577" s="1">
        <v>-3.3418209999999999E-6</v>
      </c>
      <c r="I5577">
        <v>96.250929999999997</v>
      </c>
      <c r="J5577">
        <v>-415.34300000000002</v>
      </c>
      <c r="K5577">
        <v>1.1119289999999999</v>
      </c>
      <c r="L5577">
        <v>118.2616</v>
      </c>
      <c r="M5577">
        <v>-0.222553</v>
      </c>
      <c r="N5577">
        <v>0</v>
      </c>
      <c r="O5577">
        <v>-0.97482279999999999</v>
      </c>
      <c r="P5577">
        <v>-0.1540918</v>
      </c>
      <c r="Q5577">
        <v>7.3840390000000002E-3</v>
      </c>
      <c r="R5577">
        <v>-0.98802900000000005</v>
      </c>
      <c r="S5577">
        <v>-0.25115969999999999</v>
      </c>
      <c r="T5577">
        <v>-0.1504422</v>
      </c>
      <c r="U5577">
        <v>-2.998688</v>
      </c>
      <c r="V5577">
        <v>-6.9771630000000001E-2</v>
      </c>
      <c r="W5577">
        <v>2.0867090000000001E-2</v>
      </c>
      <c r="X5577">
        <v>0.99734469999999997</v>
      </c>
      <c r="Y5577">
        <v>-0.14052390000000001</v>
      </c>
      <c r="Z5577">
        <v>4.7895699999999999E-2</v>
      </c>
      <c r="AA5577">
        <v>0.98891810000000002</v>
      </c>
      <c r="AB5577">
        <v>23</v>
      </c>
      <c r="AC5577">
        <v>-1.82329999999996</v>
      </c>
      <c r="AD5577">
        <v>-1.1119323418209901</v>
      </c>
      <c r="AE5577">
        <v>-22.010669999999902</v>
      </c>
      <c r="AF5577">
        <v>-3.1135520218752699</v>
      </c>
      <c r="AG5577">
        <v>-1.1119323418209901</v>
      </c>
      <c r="AH5577">
        <v>21.809089695154999</v>
      </c>
      <c r="AI5577">
        <v>92.889440606208396</v>
      </c>
      <c r="AJ5577">
        <v>98.124870114633893</v>
      </c>
      <c r="AK5577">
        <v>22.058263600225398</v>
      </c>
      <c r="AL5577">
        <v>88.804317007700305</v>
      </c>
      <c r="AM5577">
        <v>94.001743342257598</v>
      </c>
      <c r="AN5577">
        <v>0.99999998320800698</v>
      </c>
    </row>
    <row r="5578" spans="1:40" x14ac:dyDescent="0.25">
      <c r="A5578" t="str">
        <f>"20190312160445800"</f>
        <v>20190312160445800</v>
      </c>
      <c r="B5578" t="str">
        <f>"1552377885790579"</f>
        <v>1552377885790579</v>
      </c>
      <c r="C5578" t="s">
        <v>40</v>
      </c>
      <c r="D5578">
        <v>5.7826740000000001</v>
      </c>
      <c r="E5578">
        <v>0.47817850000000001</v>
      </c>
      <c r="F5578" t="s">
        <v>41</v>
      </c>
      <c r="G5578">
        <v>-417.14909999999998</v>
      </c>
      <c r="H5578" s="1">
        <v>-3.4645379999999998E-6</v>
      </c>
      <c r="I5578">
        <v>96.529889999999995</v>
      </c>
      <c r="J5578">
        <v>-415.3716</v>
      </c>
      <c r="K5578">
        <v>1.1119139999999901</v>
      </c>
      <c r="L5578">
        <v>118.1283</v>
      </c>
      <c r="M5578">
        <v>-0.2209738</v>
      </c>
      <c r="N5578">
        <v>0</v>
      </c>
      <c r="O5578">
        <v>-0.97518190000000005</v>
      </c>
      <c r="P5578">
        <v>-0.15383169999999999</v>
      </c>
      <c r="Q5578">
        <v>7.1142449999999999E-3</v>
      </c>
      <c r="R5578">
        <v>-0.98807160000000005</v>
      </c>
      <c r="S5578">
        <v>-0.2492065</v>
      </c>
      <c r="T5578">
        <v>-0.15342900000000001</v>
      </c>
      <c r="U5578">
        <v>-2.9986269999999999</v>
      </c>
      <c r="V5578">
        <v>-6.8416560000000001E-2</v>
      </c>
      <c r="W5578">
        <v>2.060441E-2</v>
      </c>
      <c r="X5578">
        <v>0.997444</v>
      </c>
      <c r="Y5578">
        <v>-0.13956209999999999</v>
      </c>
      <c r="Z5578">
        <v>4.8877280000000002E-2</v>
      </c>
      <c r="AA5578">
        <v>0.9890063</v>
      </c>
      <c r="AB5578">
        <v>23</v>
      </c>
      <c r="AC5578">
        <v>-1.7774999999999701</v>
      </c>
      <c r="AD5578">
        <v>-1.1119174645380001</v>
      </c>
      <c r="AE5578">
        <v>-21.598409999999902</v>
      </c>
      <c r="AF5578">
        <v>-3.0316062246246802</v>
      </c>
      <c r="AG5578">
        <v>-1.1119174645380001</v>
      </c>
      <c r="AH5578">
        <v>21.400868992039999</v>
      </c>
      <c r="AI5578">
        <v>92.9448742743743</v>
      </c>
      <c r="AJ5578">
        <v>98.062764423586401</v>
      </c>
      <c r="AK5578">
        <v>21.6431095354523</v>
      </c>
      <c r="AL5578">
        <v>88.819370661135807</v>
      </c>
      <c r="AM5578">
        <v>93.923879233778095</v>
      </c>
      <c r="AN5578">
        <v>0.99999995026483901</v>
      </c>
    </row>
    <row r="5579" spans="1:40" x14ac:dyDescent="0.25">
      <c r="A5579" t="str">
        <f>"20190312160445821"</f>
        <v>20190312160445821</v>
      </c>
      <c r="B5579" t="str">
        <f>"1552377885811074"</f>
        <v>1552377885811074</v>
      </c>
      <c r="C5579" t="s">
        <v>40</v>
      </c>
      <c r="D5579">
        <v>5.68621</v>
      </c>
      <c r="E5579">
        <v>0.47837879999999999</v>
      </c>
      <c r="F5579" t="s">
        <v>41</v>
      </c>
      <c r="G5579">
        <v>-416.92919999999998</v>
      </c>
      <c r="H5579" s="1">
        <v>-1.7188200000000001E-6</v>
      </c>
      <c r="I5579">
        <v>101.9927</v>
      </c>
      <c r="J5579">
        <v>-415.41800000000001</v>
      </c>
      <c r="K5579">
        <v>1.1118859999999999</v>
      </c>
      <c r="L5579">
        <v>117.9096</v>
      </c>
      <c r="M5579">
        <v>-0.2184045</v>
      </c>
      <c r="N5579">
        <v>0</v>
      </c>
      <c r="O5579">
        <v>-0.97576079999999998</v>
      </c>
      <c r="P5579">
        <v>-0.1528052</v>
      </c>
      <c r="Q5579">
        <v>7.9608119999999994E-3</v>
      </c>
      <c r="R5579">
        <v>-0.98822430000000006</v>
      </c>
      <c r="S5579">
        <v>-0.2889099</v>
      </c>
      <c r="T5579">
        <v>-0.20623079999999999</v>
      </c>
      <c r="U5579">
        <v>-2.9927220000000001</v>
      </c>
      <c r="V5579">
        <v>-6.6825289999999996E-2</v>
      </c>
      <c r="W5579">
        <v>2.145919E-2</v>
      </c>
      <c r="X5579">
        <v>0.99753389999999997</v>
      </c>
      <c r="Y5579">
        <v>-0.1238558</v>
      </c>
      <c r="Z5579">
        <v>6.5852250000000001E-2</v>
      </c>
      <c r="AA5579">
        <v>0.99011269999999996</v>
      </c>
      <c r="AB5579">
        <v>23</v>
      </c>
      <c r="AC5579">
        <v>-1.5111999999999699</v>
      </c>
      <c r="AD5579">
        <v>-1.11188771882</v>
      </c>
      <c r="AE5579">
        <v>-15.916899999999901</v>
      </c>
      <c r="AF5579">
        <v>-1.99230811953624</v>
      </c>
      <c r="AG5579">
        <v>-1.11188771882</v>
      </c>
      <c r="AH5579">
        <v>15.786303331627099</v>
      </c>
      <c r="AI5579">
        <v>93.997296053617802</v>
      </c>
      <c r="AJ5579">
        <v>97.192977285530105</v>
      </c>
      <c r="AK5579">
        <v>15.9503278593443</v>
      </c>
      <c r="AL5579">
        <v>88.770384595270002</v>
      </c>
      <c r="AM5579">
        <v>93.832546350948604</v>
      </c>
      <c r="AN5579">
        <v>0.99999999893412495</v>
      </c>
    </row>
    <row r="5580" spans="1:40" x14ac:dyDescent="0.25">
      <c r="A5580" t="str">
        <f>"20190312160445844"</f>
        <v>20190312160445844</v>
      </c>
      <c r="B5580" t="str">
        <f>"1552377885840355"</f>
        <v>1552377885840355</v>
      </c>
      <c r="C5580" t="s">
        <v>40</v>
      </c>
      <c r="D5580">
        <v>5.8025599999999997</v>
      </c>
      <c r="E5580">
        <v>0.4769272</v>
      </c>
      <c r="F5580" t="s">
        <v>41</v>
      </c>
      <c r="G5580">
        <v>-417.01280000000003</v>
      </c>
      <c r="H5580" s="1">
        <v>-1.437815E-6</v>
      </c>
      <c r="I5580">
        <v>101.3188</v>
      </c>
      <c r="J5580">
        <v>-415.46460000000002</v>
      </c>
      <c r="K5580">
        <v>1.1118619999999999</v>
      </c>
      <c r="L5580">
        <v>117.68689999999999</v>
      </c>
      <c r="M5580">
        <v>-0.21582219999999999</v>
      </c>
      <c r="N5580">
        <v>0</v>
      </c>
      <c r="O5580">
        <v>-0.97633530000000002</v>
      </c>
      <c r="P5580">
        <v>-0.150858299999999</v>
      </c>
      <c r="Q5580">
        <v>9.1146730000000002E-3</v>
      </c>
      <c r="R5580">
        <v>-0.98851389999999995</v>
      </c>
      <c r="S5580">
        <v>-0.28768919999999998</v>
      </c>
      <c r="T5580">
        <v>-0.20057810000000001</v>
      </c>
      <c r="U5580">
        <v>-2.992874</v>
      </c>
      <c r="V5580">
        <v>-6.6151950000000001E-2</v>
      </c>
      <c r="W5580">
        <v>2.2616190000000001E-2</v>
      </c>
      <c r="X5580">
        <v>0.99755320000000003</v>
      </c>
      <c r="Y5580">
        <v>-0.121624</v>
      </c>
      <c r="Z5580">
        <v>6.4119570000000001E-2</v>
      </c>
      <c r="AA5580">
        <v>0.99050309999999997</v>
      </c>
      <c r="AB5580">
        <v>23</v>
      </c>
      <c r="AC5580">
        <v>-1.5482</v>
      </c>
      <c r="AD5580">
        <v>-1.1118634378150001</v>
      </c>
      <c r="AE5580">
        <v>-16.368099999999998</v>
      </c>
      <c r="AF5580">
        <v>-2.0120274429313798</v>
      </c>
      <c r="AG5580">
        <v>-1.1118634378150001</v>
      </c>
      <c r="AH5580">
        <v>16.242159474494699</v>
      </c>
      <c r="AI5580">
        <v>93.886481368091296</v>
      </c>
      <c r="AJ5580">
        <v>97.061645504976596</v>
      </c>
      <c r="AK5580">
        <v>16.404031185363401</v>
      </c>
      <c r="AL5580">
        <v>88.704077246292201</v>
      </c>
      <c r="AM5580">
        <v>93.793969303817505</v>
      </c>
      <c r="AN5580">
        <v>0.99999997968457899</v>
      </c>
    </row>
    <row r="5581" spans="1:40" x14ac:dyDescent="0.25">
      <c r="A5581" t="str">
        <f>"20190312160445867"</f>
        <v>20190312160445867</v>
      </c>
      <c r="B5581" t="str">
        <f>"1552377885860850"</f>
        <v>1552377885860850</v>
      </c>
      <c r="C5581" t="s">
        <v>40</v>
      </c>
      <c r="D5581">
        <v>5.8895749999999998</v>
      </c>
      <c r="E5581">
        <v>0.4754429</v>
      </c>
      <c r="F5581" t="s">
        <v>41</v>
      </c>
      <c r="G5581">
        <v>-419.47050000000002</v>
      </c>
      <c r="H5581" s="1">
        <v>-1.7086470000000001E-6</v>
      </c>
      <c r="I5581">
        <v>73.396709999999999</v>
      </c>
      <c r="J5581">
        <v>-415.51260000000002</v>
      </c>
      <c r="K5581">
        <v>1.1118410000000001</v>
      </c>
      <c r="L5581">
        <v>117.455</v>
      </c>
      <c r="M5581">
        <v>-0.21316350000000001</v>
      </c>
      <c r="N5581">
        <v>0</v>
      </c>
      <c r="O5581">
        <v>-0.97691930000000005</v>
      </c>
      <c r="P5581">
        <v>-0.14819679999999999</v>
      </c>
      <c r="Q5581">
        <v>1.100454E-2</v>
      </c>
      <c r="R5581">
        <v>-0.98889689999999997</v>
      </c>
      <c r="S5581">
        <v>-0.27081300000000003</v>
      </c>
      <c r="T5581">
        <v>-7.5167059999999994E-2</v>
      </c>
      <c r="U5581">
        <v>-2.9942169999999999</v>
      </c>
      <c r="V5581">
        <v>-6.6123790000000002E-2</v>
      </c>
      <c r="W5581">
        <v>2.4505369999999999E-2</v>
      </c>
      <c r="X5581">
        <v>0.99751049999999997</v>
      </c>
      <c r="Y5581">
        <v>-0.12433660000000001</v>
      </c>
      <c r="Z5581">
        <v>2.4087230000000001E-2</v>
      </c>
      <c r="AA5581">
        <v>0.99194769999999999</v>
      </c>
      <c r="AB5581">
        <v>23</v>
      </c>
      <c r="AC5581">
        <v>-3.9578999999999902</v>
      </c>
      <c r="AD5581">
        <v>-1.111842708647</v>
      </c>
      <c r="AE5581">
        <v>-44.05829</v>
      </c>
      <c r="AF5581">
        <v>-5.5221068145713303</v>
      </c>
      <c r="AG5581">
        <v>-1.111842708647</v>
      </c>
      <c r="AH5581">
        <v>43.861534160877497</v>
      </c>
      <c r="AI5581">
        <v>91.440707212603598</v>
      </c>
      <c r="AJ5581">
        <v>97.175706000809399</v>
      </c>
      <c r="AK5581">
        <v>44.2217597662749</v>
      </c>
      <c r="AL5581">
        <v>88.595805206703801</v>
      </c>
      <c r="AM5581">
        <v>93.792520839837096</v>
      </c>
      <c r="AN5581">
        <v>1.00000003318652</v>
      </c>
    </row>
    <row r="5582" spans="1:40" x14ac:dyDescent="0.25">
      <c r="A5582" t="str">
        <f>"20190312160445888"</f>
        <v>20190312160445888</v>
      </c>
      <c r="B5582" t="str">
        <f>"1552377885880370"</f>
        <v>1552377885880370</v>
      </c>
      <c r="C5582" t="s">
        <v>40</v>
      </c>
      <c r="D5582">
        <v>5.7008390000000002</v>
      </c>
      <c r="E5582">
        <v>0.4754544</v>
      </c>
      <c r="F5582" t="s">
        <v>41</v>
      </c>
      <c r="G5582">
        <v>-421.03300000000002</v>
      </c>
      <c r="H5582" s="1">
        <v>-1.1197240000000001E-6</v>
      </c>
      <c r="I5582">
        <v>51.558489999999999</v>
      </c>
      <c r="J5582">
        <v>-415.55610000000001</v>
      </c>
      <c r="K5582">
        <v>1.1118399999999999</v>
      </c>
      <c r="L5582">
        <v>117.2424</v>
      </c>
      <c r="M5582">
        <v>-0.21074670000000001</v>
      </c>
      <c r="N5582">
        <v>0</v>
      </c>
      <c r="O5582">
        <v>-0.97744379999999997</v>
      </c>
      <c r="P5582">
        <v>-0.145333399999999</v>
      </c>
      <c r="Q5582">
        <v>1.2128679999999999E-2</v>
      </c>
      <c r="R5582">
        <v>-0.98930890000000005</v>
      </c>
      <c r="S5582">
        <v>-0.25103760000000003</v>
      </c>
      <c r="T5582">
        <v>-5.0560470000000003E-2</v>
      </c>
      <c r="U5582">
        <v>-2.996613</v>
      </c>
      <c r="V5582">
        <v>-6.6545240000000005E-2</v>
      </c>
      <c r="W5582">
        <v>2.562654E-2</v>
      </c>
      <c r="X5582">
        <v>0.99745430000000002</v>
      </c>
      <c r="Y5582">
        <v>-0.12843599999999999</v>
      </c>
      <c r="Z5582">
        <v>1.620518E-2</v>
      </c>
      <c r="AA5582">
        <v>0.99158539999999995</v>
      </c>
      <c r="AB5582">
        <v>23</v>
      </c>
      <c r="AC5582">
        <v>-5.4768999999999997</v>
      </c>
      <c r="AD5582">
        <v>-1.1118411197239999</v>
      </c>
      <c r="AE5582">
        <v>-65.683909999999997</v>
      </c>
      <c r="AF5582">
        <v>-8.48769440286374</v>
      </c>
      <c r="AG5582">
        <v>-1.1118411197239999</v>
      </c>
      <c r="AH5582">
        <v>65.344167174616103</v>
      </c>
      <c r="AI5582">
        <v>90.966683236647697</v>
      </c>
      <c r="AJ5582">
        <v>97.400835423651699</v>
      </c>
      <c r="AK5582">
        <v>65.902483494145301</v>
      </c>
      <c r="AL5582">
        <v>88.531546708308198</v>
      </c>
      <c r="AM5582">
        <v>93.816836235653298</v>
      </c>
      <c r="AN5582">
        <v>1.0000000345537501</v>
      </c>
    </row>
    <row r="5583" spans="1:40" x14ac:dyDescent="0.25">
      <c r="A5583" t="str">
        <f>"20190312160445910"</f>
        <v>20190312160445910</v>
      </c>
      <c r="B5583" t="str">
        <f>"1552377885900867"</f>
        <v>1552377885900867</v>
      </c>
      <c r="C5583" t="s">
        <v>40</v>
      </c>
      <c r="D5583">
        <v>5.7511400000000004</v>
      </c>
      <c r="E5583">
        <v>0.45591609999999999</v>
      </c>
      <c r="F5583" t="s">
        <v>81</v>
      </c>
      <c r="G5583">
        <v>-421.9864</v>
      </c>
      <c r="H5583" s="1">
        <v>-1.4791569999999901E-6</v>
      </c>
      <c r="I5583">
        <v>37.73113</v>
      </c>
      <c r="J5583">
        <v>-415.60079999999999</v>
      </c>
      <c r="K5583">
        <v>1.111839</v>
      </c>
      <c r="L5583">
        <v>117.0206</v>
      </c>
      <c r="M5583">
        <v>-0.2082446</v>
      </c>
      <c r="N5583">
        <v>0</v>
      </c>
      <c r="O5583">
        <v>-0.9779795</v>
      </c>
      <c r="P5583">
        <v>-0.14286949999999901</v>
      </c>
      <c r="Q5583">
        <v>1.3050930000000001E-2</v>
      </c>
      <c r="R5583">
        <v>-0.98965559999999997</v>
      </c>
      <c r="S5583">
        <v>-0.24240110000000001</v>
      </c>
      <c r="T5583">
        <v>-4.1913029999999997E-2</v>
      </c>
      <c r="U5583">
        <v>-2.9973299999999998</v>
      </c>
      <c r="V5583">
        <v>-6.6476099999999996E-2</v>
      </c>
      <c r="W5583">
        <v>2.6547000000000001E-2</v>
      </c>
      <c r="X5583">
        <v>0.99743479999999995</v>
      </c>
      <c r="Y5583">
        <v>-0.12875239999999999</v>
      </c>
      <c r="Z5583">
        <v>1.344339E-2</v>
      </c>
      <c r="AA5583">
        <v>0.99158559999999996</v>
      </c>
      <c r="AB5583">
        <v>23</v>
      </c>
      <c r="AC5583">
        <v>-6.3856000000000099</v>
      </c>
      <c r="AD5583">
        <v>-1.111840479157</v>
      </c>
      <c r="AE5583">
        <v>-79.289469999999994</v>
      </c>
      <c r="AF5583">
        <v>-10.265589461530499</v>
      </c>
      <c r="AG5583">
        <v>-1.111840479157</v>
      </c>
      <c r="AH5583">
        <v>78.865340670542906</v>
      </c>
      <c r="AI5583">
        <v>90.800944256579299</v>
      </c>
      <c r="AJ5583">
        <v>97.416267483327999</v>
      </c>
      <c r="AK5583">
        <v>79.538421378127495</v>
      </c>
      <c r="AL5583">
        <v>88.478790224980898</v>
      </c>
      <c r="AM5583">
        <v>93.812956598047705</v>
      </c>
      <c r="AN5583">
        <v>0.99999999766562497</v>
      </c>
    </row>
    <row r="5584" spans="1:40" x14ac:dyDescent="0.25">
      <c r="A5584" t="str">
        <f>"20190312160445933"</f>
        <v>20190312160445933</v>
      </c>
      <c r="B5584" t="str">
        <f>"1552377885920390"</f>
        <v>1552377885920390</v>
      </c>
      <c r="C5584" t="s">
        <v>40</v>
      </c>
      <c r="D5584">
        <v>5.8048650000000004</v>
      </c>
      <c r="E5584">
        <v>0.44997039999999999</v>
      </c>
      <c r="F5584" t="s">
        <v>41</v>
      </c>
      <c r="G5584">
        <v>-416.19560000000001</v>
      </c>
      <c r="H5584" s="1">
        <v>-2.8650640000000002E-6</v>
      </c>
      <c r="I5584">
        <v>94.738249999999994</v>
      </c>
      <c r="J5584">
        <v>-415.6456</v>
      </c>
      <c r="K5584">
        <v>1.1118330000000001</v>
      </c>
      <c r="L5584">
        <v>116.7959</v>
      </c>
      <c r="M5584">
        <v>-0.20572180000000001</v>
      </c>
      <c r="N5584">
        <v>0</v>
      </c>
      <c r="O5584">
        <v>-0.97851350000000004</v>
      </c>
      <c r="P5584">
        <v>-0.13979029999999901</v>
      </c>
      <c r="Q5584">
        <v>1.464763E-2</v>
      </c>
      <c r="R5584">
        <v>-0.99007299999999998</v>
      </c>
      <c r="S5584">
        <v>-8.0657960000000001E-2</v>
      </c>
      <c r="T5584">
        <v>-0.15077560000000001</v>
      </c>
      <c r="U5584">
        <v>-3.0216829999999999</v>
      </c>
      <c r="V5584">
        <v>-6.700776E-2</v>
      </c>
      <c r="W5584">
        <v>2.8139040000000001E-2</v>
      </c>
      <c r="X5584">
        <v>0.99735560000000001</v>
      </c>
      <c r="Y5584">
        <v>-0.17958450000000001</v>
      </c>
      <c r="Z5584">
        <v>4.782525E-2</v>
      </c>
      <c r="AA5584">
        <v>0.98257939999999999</v>
      </c>
      <c r="AB5584">
        <v>23</v>
      </c>
      <c r="AC5584">
        <v>-0.55000000000001104</v>
      </c>
      <c r="AD5584">
        <v>-1.1118358650639999</v>
      </c>
      <c r="AE5584">
        <v>-22.057649999999999</v>
      </c>
      <c r="AF5584">
        <v>-3.98980596865816</v>
      </c>
      <c r="AG5584">
        <v>-1.1118358650639999</v>
      </c>
      <c r="AH5584">
        <v>21.643957556892602</v>
      </c>
      <c r="AI5584">
        <v>92.892020798317603</v>
      </c>
      <c r="AJ5584">
        <v>100.444544617452</v>
      </c>
      <c r="AK5584">
        <v>22.036688258060799</v>
      </c>
      <c r="AL5584">
        <v>88.387538958987406</v>
      </c>
      <c r="AM5584">
        <v>93.843664967609598</v>
      </c>
      <c r="AN5584">
        <v>1.0000000191618399</v>
      </c>
    </row>
    <row r="5585" spans="1:40" x14ac:dyDescent="0.25">
      <c r="A5585" t="str">
        <f>"20190312160445955"</f>
        <v>20190312160445955</v>
      </c>
      <c r="B5585" t="str">
        <f>"1552377885950648"</f>
        <v>1552377885950648</v>
      </c>
      <c r="C5585" t="s">
        <v>40</v>
      </c>
      <c r="D5585">
        <v>5.8313360000000003</v>
      </c>
      <c r="E5585">
        <v>0.44616610000000001</v>
      </c>
      <c r="F5585" t="s">
        <v>41</v>
      </c>
      <c r="G5585">
        <v>-415.87130000000002</v>
      </c>
      <c r="H5585" s="1">
        <v>-4.736651E-6</v>
      </c>
      <c r="I5585">
        <v>88.96687</v>
      </c>
      <c r="J5585">
        <v>-415.68959999999998</v>
      </c>
      <c r="K5585">
        <v>1.1118239999999999</v>
      </c>
      <c r="L5585">
        <v>116.5716</v>
      </c>
      <c r="M5585">
        <v>-0.20321020000000001</v>
      </c>
      <c r="N5585">
        <v>0</v>
      </c>
      <c r="O5585">
        <v>-0.97903839999999998</v>
      </c>
      <c r="P5585">
        <v>-0.1371626</v>
      </c>
      <c r="Q5585">
        <v>1.6566109999999998E-2</v>
      </c>
      <c r="R5585">
        <v>-0.99041020000000002</v>
      </c>
      <c r="S5585">
        <v>-2.4566649999999999E-2</v>
      </c>
      <c r="T5585">
        <v>-0.12099169999999999</v>
      </c>
      <c r="U5585">
        <v>-3.028397</v>
      </c>
      <c r="V5585">
        <v>-6.7095329999999995E-2</v>
      </c>
      <c r="W5585">
        <v>3.005416E-2</v>
      </c>
      <c r="X5585">
        <v>0.99729380000000001</v>
      </c>
      <c r="Y5585">
        <v>-0.19528480000000001</v>
      </c>
      <c r="Z5585">
        <v>3.828666E-2</v>
      </c>
      <c r="AA5585">
        <v>0.97999899999999995</v>
      </c>
      <c r="AB5585">
        <v>23</v>
      </c>
      <c r="AC5585">
        <v>-0.181700000000034</v>
      </c>
      <c r="AD5585">
        <v>-1.111828736651</v>
      </c>
      <c r="AE5585">
        <v>-27.60473</v>
      </c>
      <c r="AF5585">
        <v>-5.4233884214295998</v>
      </c>
      <c r="AG5585">
        <v>-1.111828736651</v>
      </c>
      <c r="AH5585">
        <v>27.0217443504438</v>
      </c>
      <c r="AI5585">
        <v>92.310128339230701</v>
      </c>
      <c r="AJ5585">
        <v>101.348745161292</v>
      </c>
      <c r="AK5585">
        <v>27.583037774148099</v>
      </c>
      <c r="AL5585">
        <v>88.277764104815006</v>
      </c>
      <c r="AM5585">
        <v>93.848910803433398</v>
      </c>
      <c r="AN5585">
        <v>0.99999997967977705</v>
      </c>
    </row>
    <row r="5586" spans="1:40" x14ac:dyDescent="0.25">
      <c r="A5586" t="str">
        <f>"20190312160445977"</f>
        <v>20190312160445977</v>
      </c>
      <c r="B5586" t="str">
        <f>"1552377885971149"</f>
        <v>1552377885971149</v>
      </c>
      <c r="C5586" t="s">
        <v>40</v>
      </c>
      <c r="D5586">
        <v>5.7602570000000002</v>
      </c>
      <c r="E5586">
        <v>0.44493899999999997</v>
      </c>
      <c r="F5586" t="s">
        <v>41</v>
      </c>
      <c r="G5586">
        <v>-415.4479</v>
      </c>
      <c r="H5586" s="1">
        <v>-2.0083579999999998E-6</v>
      </c>
      <c r="I5586">
        <v>61.99053</v>
      </c>
      <c r="J5586">
        <v>-415.73320000000001</v>
      </c>
      <c r="K5586">
        <v>1.111826</v>
      </c>
      <c r="L5586">
        <v>116.34690000000001</v>
      </c>
      <c r="M5586">
        <v>-0.20070250000000001</v>
      </c>
      <c r="N5586">
        <v>0</v>
      </c>
      <c r="O5586">
        <v>-0.97955570000000003</v>
      </c>
      <c r="P5586">
        <v>-0.1345171</v>
      </c>
      <c r="Q5586">
        <v>1.9473279999999999E-2</v>
      </c>
      <c r="R5586">
        <v>-0.9907205</v>
      </c>
      <c r="S5586">
        <v>1.3427730000000001E-2</v>
      </c>
      <c r="T5586">
        <v>-6.176102E-2</v>
      </c>
      <c r="U5586">
        <v>-3.0319370000000001</v>
      </c>
      <c r="V5586">
        <v>-6.7204260000000002E-2</v>
      </c>
      <c r="W5586">
        <v>3.2958090000000002E-2</v>
      </c>
      <c r="X5586">
        <v>0.99719480000000005</v>
      </c>
      <c r="Y5586">
        <v>-0.20505680000000001</v>
      </c>
      <c r="Z5586">
        <v>1.9527679999999999E-2</v>
      </c>
      <c r="AA5586">
        <v>0.97855530000000002</v>
      </c>
      <c r="AB5586">
        <v>23</v>
      </c>
      <c r="AC5586">
        <v>0.28530000000000599</v>
      </c>
      <c r="AD5586">
        <v>-1.1118280083580001</v>
      </c>
      <c r="AE5586">
        <v>-54.356369999999998</v>
      </c>
      <c r="AF5586">
        <v>-11.1853052459079</v>
      </c>
      <c r="AG5586">
        <v>-1.1118280083580001</v>
      </c>
      <c r="AH5586">
        <v>53.170617166275299</v>
      </c>
      <c r="AI5586">
        <v>91.172262487547599</v>
      </c>
      <c r="AJ5586">
        <v>101.879877849463</v>
      </c>
      <c r="AK5586">
        <v>54.345761056469797</v>
      </c>
      <c r="AL5586">
        <v>88.111298618643204</v>
      </c>
      <c r="AM5586">
        <v>93.855522302864003</v>
      </c>
      <c r="AN5586">
        <v>1.0000000587028099</v>
      </c>
    </row>
    <row r="5587" spans="1:40" x14ac:dyDescent="0.25">
      <c r="A5587" t="str">
        <f>"20190312160446002"</f>
        <v>20190312160446002</v>
      </c>
      <c r="B5587" t="str">
        <f>"1552377885990659"</f>
        <v>1552377885990659</v>
      </c>
      <c r="C5587" t="s">
        <v>40</v>
      </c>
      <c r="D5587">
        <v>5.7250209999999999</v>
      </c>
      <c r="E5587">
        <v>0.44436769999999998</v>
      </c>
      <c r="F5587" t="s">
        <v>81</v>
      </c>
      <c r="G5587">
        <v>-414.78410000000002</v>
      </c>
      <c r="H5587" s="1">
        <v>-8.4952739999999902E-6</v>
      </c>
      <c r="I5587">
        <v>24.141200000000001</v>
      </c>
      <c r="J5587">
        <v>-415.77690000000001</v>
      </c>
      <c r="K5587">
        <v>1.1118209999999999</v>
      </c>
      <c r="L5587">
        <v>116.1185</v>
      </c>
      <c r="M5587">
        <v>-0.19816500000000001</v>
      </c>
      <c r="N5587">
        <v>0</v>
      </c>
      <c r="O5587">
        <v>-0.9800721</v>
      </c>
      <c r="P5587">
        <v>-0.13236729999999899</v>
      </c>
      <c r="Q5587">
        <v>2.3065769999999999E-2</v>
      </c>
      <c r="R5587">
        <v>-0.9909327</v>
      </c>
      <c r="S5587">
        <v>3.1219480000000001E-2</v>
      </c>
      <c r="T5587">
        <v>-3.6572929999999997E-2</v>
      </c>
      <c r="U5587">
        <v>-3.0330349999999999</v>
      </c>
      <c r="V5587">
        <v>-6.67827E-2</v>
      </c>
      <c r="W5587">
        <v>3.654984E-2</v>
      </c>
      <c r="X5587">
        <v>0.99709780000000003</v>
      </c>
      <c r="Y5587">
        <v>-0.2082608</v>
      </c>
      <c r="Z5587">
        <v>1.156597E-2</v>
      </c>
      <c r="AA5587">
        <v>0.97800489999999995</v>
      </c>
      <c r="AB5587">
        <v>23</v>
      </c>
      <c r="AC5587">
        <v>0.99279999999998803</v>
      </c>
      <c r="AD5587">
        <v>-1.111829495274</v>
      </c>
      <c r="AE5587">
        <v>-91.9773</v>
      </c>
      <c r="AF5587">
        <v>-19.198709832349799</v>
      </c>
      <c r="AG5587">
        <v>-1.111829495274</v>
      </c>
      <c r="AH5587">
        <v>89.943021519033906</v>
      </c>
      <c r="AI5587">
        <v>90.692623401248895</v>
      </c>
      <c r="AJ5587">
        <v>102.049195100191</v>
      </c>
      <c r="AK5587">
        <v>91.975941115200001</v>
      </c>
      <c r="AL5587">
        <v>87.905381721035397</v>
      </c>
      <c r="AM5587">
        <v>93.8317811969209</v>
      </c>
      <c r="AN5587">
        <v>0.999999921294074</v>
      </c>
    </row>
    <row r="5588" spans="1:40" x14ac:dyDescent="0.25">
      <c r="A5588" t="str">
        <f>"20190312160446022"</f>
        <v>20190312160446022</v>
      </c>
      <c r="B5588" t="str">
        <f>"1552377886011154"</f>
        <v>1552377886011154</v>
      </c>
      <c r="C5588" t="s">
        <v>40</v>
      </c>
      <c r="D5588">
        <v>5.8217919999999896</v>
      </c>
      <c r="E5588">
        <v>0.44463540000000001</v>
      </c>
      <c r="F5588" t="s">
        <v>100</v>
      </c>
      <c r="G5588">
        <v>-414.16640000000001</v>
      </c>
      <c r="H5588">
        <v>0.49765110000000001</v>
      </c>
      <c r="I5588">
        <v>0.53671650000000004</v>
      </c>
      <c r="J5588">
        <v>-415.8186</v>
      </c>
      <c r="K5588">
        <v>1.11182</v>
      </c>
      <c r="L5588">
        <v>115.8976</v>
      </c>
      <c r="M5588">
        <v>-0.19572790000000001</v>
      </c>
      <c r="N5588">
        <v>0</v>
      </c>
      <c r="O5588">
        <v>-0.98056169999999998</v>
      </c>
      <c r="P5588">
        <v>-0.13059189999999901</v>
      </c>
      <c r="Q5588">
        <v>2.631704E-2</v>
      </c>
      <c r="R5588">
        <v>-0.99108719999999995</v>
      </c>
      <c r="S5588">
        <v>4.2266850000000002E-2</v>
      </c>
      <c r="T5588">
        <v>-1.6119600000000001E-2</v>
      </c>
      <c r="U5588">
        <v>-3.0334629999999998</v>
      </c>
      <c r="V5588">
        <v>-6.6084589999999999E-2</v>
      </c>
      <c r="W5588">
        <v>3.9801870000000003E-2</v>
      </c>
      <c r="X5588">
        <v>0.99701989999999996</v>
      </c>
      <c r="Y5588">
        <v>-0.20938979999999999</v>
      </c>
      <c r="Z5588">
        <v>5.1004379999999997E-3</v>
      </c>
      <c r="AA5588">
        <v>0.97781899999999999</v>
      </c>
      <c r="AB5588">
        <v>23</v>
      </c>
      <c r="AC5588">
        <v>1.6521999999999899</v>
      </c>
      <c r="AD5588">
        <v>-0.61416890000000002</v>
      </c>
      <c r="AE5588">
        <v>-115.3608835</v>
      </c>
      <c r="AF5588">
        <v>-24.201033006318202</v>
      </c>
      <c r="AG5588">
        <v>-0.61416890000000002</v>
      </c>
      <c r="AH5588">
        <v>112.802565721523</v>
      </c>
      <c r="AI5588">
        <v>90.305011031967595</v>
      </c>
      <c r="AJ5588">
        <v>102.108866147358</v>
      </c>
      <c r="AK5588">
        <v>115.371079718312</v>
      </c>
      <c r="AL5588">
        <v>87.718918333285103</v>
      </c>
      <c r="AM5588">
        <v>93.792138713315694</v>
      </c>
      <c r="AN5588">
        <v>1.0000000214434801</v>
      </c>
    </row>
    <row r="5589" spans="1:40" x14ac:dyDescent="0.25">
      <c r="A5589" t="str">
        <f>"20190312160446045"</f>
        <v>20190312160446045</v>
      </c>
      <c r="B5589" t="str">
        <f>"1552377886040435"</f>
        <v>1552377886040435</v>
      </c>
      <c r="C5589" t="s">
        <v>40</v>
      </c>
      <c r="D5589">
        <v>5.8541280000000002</v>
      </c>
      <c r="E5589">
        <v>0.4451736</v>
      </c>
      <c r="F5589" t="s">
        <v>100</v>
      </c>
      <c r="G5589">
        <v>-414.09969999999998</v>
      </c>
      <c r="H5589">
        <v>0.53048249999999997</v>
      </c>
      <c r="I5589">
        <v>0.53739359999999903</v>
      </c>
      <c r="J5589">
        <v>-415.85969999999998</v>
      </c>
      <c r="K5589">
        <v>1.1118140000000001</v>
      </c>
      <c r="L5589">
        <v>115.67700000000001</v>
      </c>
      <c r="M5589">
        <v>-0.1933105</v>
      </c>
      <c r="N5589">
        <v>0</v>
      </c>
      <c r="O5589">
        <v>-0.9810411</v>
      </c>
      <c r="P5589">
        <v>-0.12832199999999999</v>
      </c>
      <c r="Q5589">
        <v>2.9313280000000001E-2</v>
      </c>
      <c r="R5589">
        <v>-0.99129940000000005</v>
      </c>
      <c r="S5589">
        <v>4.5196529999999999E-2</v>
      </c>
      <c r="T5589">
        <v>-1.5286920000000001E-2</v>
      </c>
      <c r="U5589">
        <v>-3.0333559999999999</v>
      </c>
      <c r="V5589">
        <v>-6.5903370000000003E-2</v>
      </c>
      <c r="W5589">
        <v>4.2796239999999999E-2</v>
      </c>
      <c r="X5589">
        <v>0.99690780000000001</v>
      </c>
      <c r="Y5589">
        <v>-0.2079242</v>
      </c>
      <c r="Z5589">
        <v>4.8415230000000004E-3</v>
      </c>
      <c r="AA5589">
        <v>0.97813300000000003</v>
      </c>
      <c r="AB5589">
        <v>23</v>
      </c>
      <c r="AC5589">
        <v>1.75999999999999</v>
      </c>
      <c r="AD5589">
        <v>-0.581331499999999</v>
      </c>
      <c r="AE5589">
        <v>-115.13960640000001</v>
      </c>
      <c r="AF5589">
        <v>-23.9859876858552</v>
      </c>
      <c r="AG5589">
        <v>-0.581331499999999</v>
      </c>
      <c r="AH5589">
        <v>112.62425622348201</v>
      </c>
      <c r="AI5589">
        <v>90.289253348390901</v>
      </c>
      <c r="AJ5589">
        <v>102.022856970745</v>
      </c>
      <c r="AK5589">
        <v>115.15158983475401</v>
      </c>
      <c r="AL5589">
        <v>87.547206876623804</v>
      </c>
      <c r="AM5589">
        <v>93.782193982430698</v>
      </c>
      <c r="AN5589">
        <v>0.99999996701816596</v>
      </c>
    </row>
    <row r="5590" spans="1:40" x14ac:dyDescent="0.25">
      <c r="A5590" t="str">
        <f>"20190312160446067"</f>
        <v>20190312160446067</v>
      </c>
      <c r="B5590" t="str">
        <f>"1552377886060930"</f>
        <v>1552377886060930</v>
      </c>
      <c r="C5590" t="s">
        <v>40</v>
      </c>
      <c r="D5590">
        <v>5.7819200000000004</v>
      </c>
      <c r="E5590">
        <v>0.44559599999999999</v>
      </c>
      <c r="F5590" t="s">
        <v>100</v>
      </c>
      <c r="G5590">
        <v>-414.04759999999999</v>
      </c>
      <c r="H5590">
        <v>0.81996499999999894</v>
      </c>
      <c r="I5590">
        <v>0.53792379999999995</v>
      </c>
      <c r="J5590">
        <v>-415.90109999999999</v>
      </c>
      <c r="K5590">
        <v>1.111812</v>
      </c>
      <c r="L5590">
        <v>115.4522</v>
      </c>
      <c r="M5590">
        <v>-0.19086839999999999</v>
      </c>
      <c r="N5590">
        <v>0</v>
      </c>
      <c r="O5590">
        <v>-0.98151949999999999</v>
      </c>
      <c r="P5590">
        <v>-0.1261718</v>
      </c>
      <c r="Q5590">
        <v>3.2312149999999998E-2</v>
      </c>
      <c r="R5590">
        <v>-0.99148239999999999</v>
      </c>
      <c r="S5590">
        <v>4.7729489999999999E-2</v>
      </c>
      <c r="T5590">
        <v>-7.6878069999999996E-3</v>
      </c>
      <c r="U5590">
        <v>-3.0327449999999998</v>
      </c>
      <c r="V5590">
        <v>-6.5575670000000003E-2</v>
      </c>
      <c r="W5590">
        <v>4.5794509999999997E-2</v>
      </c>
      <c r="X5590">
        <v>0.99679620000000002</v>
      </c>
      <c r="Y5590">
        <v>-0.20630950000000001</v>
      </c>
      <c r="Z5590">
        <v>2.4375540000000002E-3</v>
      </c>
      <c r="AA5590">
        <v>0.97848369999999996</v>
      </c>
      <c r="AB5590">
        <v>23</v>
      </c>
      <c r="AC5590">
        <v>1.8534999999999899</v>
      </c>
      <c r="AD5590">
        <v>-0.29184700000000002</v>
      </c>
      <c r="AE5590">
        <v>-114.9142762</v>
      </c>
      <c r="AF5590">
        <v>-23.754838935089101</v>
      </c>
      <c r="AG5590">
        <v>-0.29184700000000002</v>
      </c>
      <c r="AH5590">
        <v>112.446714564244</v>
      </c>
      <c r="AI5590">
        <v>90.145495399581193</v>
      </c>
      <c r="AJ5590">
        <v>101.92858603249501</v>
      </c>
      <c r="AK5590">
        <v>114.928852616721</v>
      </c>
      <c r="AL5590">
        <v>87.375249856840398</v>
      </c>
      <c r="AM5590">
        <v>93.763861601861507</v>
      </c>
      <c r="AN5590">
        <v>0.99999998498826403</v>
      </c>
    </row>
    <row r="5591" spans="1:40" x14ac:dyDescent="0.25">
      <c r="A5591" t="str">
        <f>"20190312160446089"</f>
        <v>20190312160446089</v>
      </c>
      <c r="B5591" t="str">
        <f>"1552377886080451"</f>
        <v>1552377886080451</v>
      </c>
      <c r="C5591" t="s">
        <v>40</v>
      </c>
      <c r="D5591">
        <v>5.7530979999999996</v>
      </c>
      <c r="E5591">
        <v>0.44602269999999999</v>
      </c>
      <c r="F5591" t="s">
        <v>100</v>
      </c>
      <c r="G5591">
        <v>-413.98719999999997</v>
      </c>
      <c r="H5591">
        <v>0.66172189999999997</v>
      </c>
      <c r="I5591">
        <v>0.53853989999999996</v>
      </c>
      <c r="J5591">
        <v>-415.93979999999999</v>
      </c>
      <c r="K5591">
        <v>1.1118209999999999</v>
      </c>
      <c r="L5591">
        <v>115.2388</v>
      </c>
      <c r="M5591">
        <v>-0.18857550000000001</v>
      </c>
      <c r="N5591">
        <v>0</v>
      </c>
      <c r="O5591">
        <v>-0.98196249999999996</v>
      </c>
      <c r="P5591">
        <v>-0.1247278</v>
      </c>
      <c r="Q5591">
        <v>3.6034150000000001E-2</v>
      </c>
      <c r="R5591">
        <v>-0.9915368</v>
      </c>
      <c r="S5591">
        <v>5.0506589999999997E-2</v>
      </c>
      <c r="T5591">
        <v>-1.1878730000000001E-2</v>
      </c>
      <c r="U5591">
        <v>-3.0325929999999999</v>
      </c>
      <c r="V5591">
        <v>-6.4685759999999995E-2</v>
      </c>
      <c r="W5591">
        <v>4.951771E-2</v>
      </c>
      <c r="X5591">
        <v>0.99667629999999996</v>
      </c>
      <c r="Y5591">
        <v>-0.20492050000000001</v>
      </c>
      <c r="Z5591">
        <v>3.7696779999999998E-3</v>
      </c>
      <c r="AA5591">
        <v>0.97877130000000001</v>
      </c>
      <c r="AB5591">
        <v>23</v>
      </c>
      <c r="AC5591">
        <v>1.9526000000000101</v>
      </c>
      <c r="AD5591">
        <v>-0.45009909999999997</v>
      </c>
      <c r="AE5591">
        <v>-114.70026009999999</v>
      </c>
      <c r="AF5591">
        <v>-23.548901034845301</v>
      </c>
      <c r="AG5591">
        <v>-0.45009909999999997</v>
      </c>
      <c r="AH5591">
        <v>112.272019687788</v>
      </c>
      <c r="AI5591">
        <v>90.224806006699595</v>
      </c>
      <c r="AJ5591">
        <v>101.845983677672</v>
      </c>
      <c r="AK5591">
        <v>114.715995981048</v>
      </c>
      <c r="AL5591">
        <v>87.161683327244603</v>
      </c>
      <c r="AM5591">
        <v>93.713372508080397</v>
      </c>
      <c r="AN5591">
        <v>0.99999994906605405</v>
      </c>
    </row>
    <row r="5592" spans="1:40" x14ac:dyDescent="0.25">
      <c r="A5592" t="str">
        <f>"20190312160446111"</f>
        <v>20190312160446111</v>
      </c>
      <c r="B5592" t="str">
        <f>"1552377886100946"</f>
        <v>1552377886100946</v>
      </c>
      <c r="C5592" t="s">
        <v>40</v>
      </c>
      <c r="D5592">
        <v>5.7863449999999998</v>
      </c>
      <c r="E5592">
        <v>0.44638620000000001</v>
      </c>
      <c r="F5592" t="s">
        <v>100</v>
      </c>
      <c r="G5592">
        <v>-413.9923</v>
      </c>
      <c r="H5592">
        <v>0.898115</v>
      </c>
      <c r="I5592">
        <v>0.53849029999999998</v>
      </c>
      <c r="J5592">
        <v>-415.97989999999999</v>
      </c>
      <c r="K5592">
        <v>1.11182</v>
      </c>
      <c r="L5592">
        <v>115.015</v>
      </c>
      <c r="M5592">
        <v>-0.18619150000000001</v>
      </c>
      <c r="N5592">
        <v>0</v>
      </c>
      <c r="O5592">
        <v>-0.98241719999999999</v>
      </c>
      <c r="P5592">
        <v>-0.12333470000000001</v>
      </c>
      <c r="Q5592">
        <v>3.9462730000000001E-2</v>
      </c>
      <c r="R5592">
        <v>-0.99158029999999997</v>
      </c>
      <c r="S5592">
        <v>5.1483149999999998E-2</v>
      </c>
      <c r="T5592">
        <v>-5.6502820000000004E-3</v>
      </c>
      <c r="U5592">
        <v>-3.0322879999999999</v>
      </c>
      <c r="V5592">
        <v>-6.3651769999999996E-2</v>
      </c>
      <c r="W5592">
        <v>5.294832E-2</v>
      </c>
      <c r="X5592">
        <v>0.99656659999999997</v>
      </c>
      <c r="Y5592">
        <v>-0.20286119999999999</v>
      </c>
      <c r="Z5592">
        <v>1.794957E-3</v>
      </c>
      <c r="AA5592">
        <v>0.97920580000000002</v>
      </c>
      <c r="AB5592">
        <v>23</v>
      </c>
      <c r="AC5592">
        <v>1.98759999999998</v>
      </c>
      <c r="AD5592">
        <v>-0.21370500000000001</v>
      </c>
      <c r="AE5592">
        <v>-114.47650969999999</v>
      </c>
      <c r="AF5592">
        <v>-23.269325460925</v>
      </c>
      <c r="AG5592">
        <v>-0.21370500000000001</v>
      </c>
      <c r="AH5592">
        <v>112.10383124706701</v>
      </c>
      <c r="AI5592">
        <v>90.106944017300606</v>
      </c>
      <c r="AJ5592">
        <v>101.726333336935</v>
      </c>
      <c r="AK5592">
        <v>114.493563825677</v>
      </c>
      <c r="AL5592">
        <v>86.964865516618303</v>
      </c>
      <c r="AM5592">
        <v>93.654578214356803</v>
      </c>
      <c r="AN5592">
        <v>1.0000000303252501</v>
      </c>
    </row>
    <row r="5593" spans="1:40" x14ac:dyDescent="0.25">
      <c r="A5593" t="str">
        <f>"20190312160446134"</f>
        <v>20190312160446134</v>
      </c>
      <c r="B5593" t="str">
        <f>"1552377886131202"</f>
        <v>1552377886131202</v>
      </c>
      <c r="C5593" t="s">
        <v>40</v>
      </c>
      <c r="D5593">
        <v>5.9161619999999999</v>
      </c>
      <c r="E5593">
        <v>0.44705879999999998</v>
      </c>
      <c r="F5593" t="s">
        <v>100</v>
      </c>
      <c r="G5593">
        <v>-413.98540000000003</v>
      </c>
      <c r="H5593">
        <v>1.1109849999999999</v>
      </c>
      <c r="I5593">
        <v>0.53855900000000001</v>
      </c>
      <c r="J5593">
        <v>-416.01940000000002</v>
      </c>
      <c r="K5593">
        <v>1.1118239999999999</v>
      </c>
      <c r="L5593">
        <v>114.7911</v>
      </c>
      <c r="M5593">
        <v>-0.18382850000000001</v>
      </c>
      <c r="N5593">
        <v>0</v>
      </c>
      <c r="O5593">
        <v>-0.98286240000000002</v>
      </c>
      <c r="P5593">
        <v>-0.1222519</v>
      </c>
      <c r="Q5593">
        <v>4.3511519999999998E-2</v>
      </c>
      <c r="R5593">
        <v>-0.99154509999999996</v>
      </c>
      <c r="S5593">
        <v>5.282593E-2</v>
      </c>
      <c r="T5593" s="1">
        <v>-2.2649769999999999E-5</v>
      </c>
      <c r="U5593">
        <v>-3.0320429999999998</v>
      </c>
      <c r="V5593">
        <v>-6.2323400000000001E-2</v>
      </c>
      <c r="W5593">
        <v>5.699912E-2</v>
      </c>
      <c r="X5593">
        <v>0.99642710000000001</v>
      </c>
      <c r="Y5593">
        <v>-0.20094100000000001</v>
      </c>
      <c r="Z5593" s="1">
        <v>7.2023090000000001E-6</v>
      </c>
      <c r="AA5593">
        <v>0.97960340000000001</v>
      </c>
      <c r="AB5593">
        <v>23</v>
      </c>
      <c r="AC5593">
        <v>2.03399999999999</v>
      </c>
      <c r="AD5593">
        <v>-8.3899999999981201E-4</v>
      </c>
      <c r="AE5593">
        <v>-114.25254099999999</v>
      </c>
      <c r="AF5593">
        <v>-23.0041845808503</v>
      </c>
      <c r="AG5593">
        <v>-8.3899999999981201E-4</v>
      </c>
      <c r="AH5593">
        <v>111.93117426043101</v>
      </c>
      <c r="AI5593">
        <v>90.0004206781108</v>
      </c>
      <c r="AJ5593">
        <v>101.613759544245</v>
      </c>
      <c r="AK5593">
        <v>114.270644875456</v>
      </c>
      <c r="AL5593">
        <v>86.732420133586302</v>
      </c>
      <c r="AM5593">
        <v>93.579009583743996</v>
      </c>
      <c r="AN5593">
        <v>1.0000000357413701</v>
      </c>
    </row>
    <row r="5594" spans="1:40" x14ac:dyDescent="0.25">
      <c r="A5594" t="str">
        <f>"20190312160446157"</f>
        <v>20190312160446157</v>
      </c>
      <c r="B5594" t="str">
        <f>"1552377886150722"</f>
        <v>1552377886150722</v>
      </c>
      <c r="C5594" t="s">
        <v>40</v>
      </c>
      <c r="D5594">
        <v>5.779382</v>
      </c>
      <c r="E5594">
        <v>0.44751210000000002</v>
      </c>
      <c r="F5594" t="s">
        <v>100</v>
      </c>
      <c r="G5594">
        <v>-414.12599999999998</v>
      </c>
      <c r="H5594">
        <v>1.5895060000000001</v>
      </c>
      <c r="I5594">
        <v>0.53713040000000001</v>
      </c>
      <c r="J5594">
        <v>-416.0598</v>
      </c>
      <c r="K5594">
        <v>1.1118159999999999</v>
      </c>
      <c r="L5594">
        <v>114.5592</v>
      </c>
      <c r="M5594">
        <v>-0.18140829999999999</v>
      </c>
      <c r="N5594">
        <v>0</v>
      </c>
      <c r="O5594">
        <v>-0.98331199999999996</v>
      </c>
      <c r="P5594">
        <v>-0.1214875</v>
      </c>
      <c r="Q5594">
        <v>4.7676059999999999E-2</v>
      </c>
      <c r="R5594">
        <v>-0.99144759999999998</v>
      </c>
      <c r="S5594">
        <v>5.0231930000000001E-2</v>
      </c>
      <c r="T5594">
        <v>1.2672539999999999E-2</v>
      </c>
      <c r="U5594">
        <v>-3.0312190000000001</v>
      </c>
      <c r="V5594">
        <v>-6.0614479999999998E-2</v>
      </c>
      <c r="W5594">
        <v>6.1167010000000001E-2</v>
      </c>
      <c r="X5594">
        <v>0.99628530000000004</v>
      </c>
      <c r="Y5594">
        <v>-0.1976947</v>
      </c>
      <c r="Z5594">
        <v>-4.034986E-3</v>
      </c>
      <c r="AA5594">
        <v>0.9802554</v>
      </c>
      <c r="AB5594">
        <v>23</v>
      </c>
      <c r="AC5594">
        <v>1.93380000000001</v>
      </c>
      <c r="AD5594">
        <v>0.47769</v>
      </c>
      <c r="AE5594">
        <v>-114.02206959999999</v>
      </c>
      <c r="AF5594">
        <v>-22.587811701414399</v>
      </c>
      <c r="AG5594">
        <v>0.47769</v>
      </c>
      <c r="AH5594">
        <v>111.77703850696599</v>
      </c>
      <c r="AI5594">
        <v>89.759993782736601</v>
      </c>
      <c r="AJ5594">
        <v>101.42443263585101</v>
      </c>
      <c r="AK5594">
        <v>114.037466486162</v>
      </c>
      <c r="AL5594">
        <v>86.493199288070201</v>
      </c>
      <c r="AM5594">
        <v>93.481611394181201</v>
      </c>
      <c r="AN5594">
        <v>0.99999995864704905</v>
      </c>
    </row>
    <row r="5595" spans="1:40" x14ac:dyDescent="0.25">
      <c r="A5595" t="str">
        <f>"20190312160446178"</f>
        <v>20190312160446178</v>
      </c>
      <c r="B5595" t="str">
        <f>"1552377886170247"</f>
        <v>1552377886170247</v>
      </c>
      <c r="C5595" t="s">
        <v>40</v>
      </c>
      <c r="D5595">
        <v>5.8121910000000003</v>
      </c>
      <c r="E5595">
        <v>0.4481116</v>
      </c>
      <c r="F5595" t="s">
        <v>100</v>
      </c>
      <c r="G5595">
        <v>-414.22289999999998</v>
      </c>
      <c r="H5595">
        <v>1.8636809999999999</v>
      </c>
      <c r="I5595">
        <v>0.53614619999999902</v>
      </c>
      <c r="J5595">
        <v>-416.0958</v>
      </c>
      <c r="K5595">
        <v>1.1118110000000001</v>
      </c>
      <c r="L5595">
        <v>114.3503</v>
      </c>
      <c r="M5595">
        <v>-0.17925350000000001</v>
      </c>
      <c r="N5595">
        <v>0</v>
      </c>
      <c r="O5595">
        <v>-0.9837072</v>
      </c>
      <c r="P5595">
        <v>-0.1213003</v>
      </c>
      <c r="Q5595">
        <v>5.0724459999999999E-2</v>
      </c>
      <c r="R5595">
        <v>-0.99131910000000001</v>
      </c>
      <c r="S5595">
        <v>4.8828129999999997E-2</v>
      </c>
      <c r="T5595">
        <v>1.998496E-2</v>
      </c>
      <c r="U5595">
        <v>-3.0309140000000001</v>
      </c>
      <c r="V5595">
        <v>-5.8598780000000003E-2</v>
      </c>
      <c r="W5595">
        <v>6.4221329999999993E-2</v>
      </c>
      <c r="X5595">
        <v>0.99621369999999998</v>
      </c>
      <c r="Y5595">
        <v>-0.19509370000000001</v>
      </c>
      <c r="Z5595">
        <v>-6.3694989999999998E-3</v>
      </c>
      <c r="AA5595">
        <v>0.98076390000000002</v>
      </c>
      <c r="AB5595">
        <v>23</v>
      </c>
      <c r="AC5595">
        <v>1.87290000000001</v>
      </c>
      <c r="AD5595">
        <v>0.75186999999999904</v>
      </c>
      <c r="AE5595">
        <v>-113.8141538</v>
      </c>
      <c r="AF5595">
        <v>-22.245094972092801</v>
      </c>
      <c r="AG5595">
        <v>0.75186999999999904</v>
      </c>
      <c r="AH5595">
        <v>111.629720801836</v>
      </c>
      <c r="AI5595">
        <v>89.621537414136</v>
      </c>
      <c r="AJ5595">
        <v>101.270025799255</v>
      </c>
      <c r="AK5595">
        <v>113.827079928769</v>
      </c>
      <c r="AL5595">
        <v>86.3178546535583</v>
      </c>
      <c r="AM5595">
        <v>93.366344549522196</v>
      </c>
      <c r="AN5595">
        <v>0.99999996615607301</v>
      </c>
    </row>
    <row r="5596" spans="1:40" x14ac:dyDescent="0.25">
      <c r="A5596" t="str">
        <f>"20190312160446201"</f>
        <v>20190312160446201</v>
      </c>
      <c r="B5596" t="str">
        <f>"1552377886190739"</f>
        <v>1552377886190739</v>
      </c>
      <c r="C5596" t="s">
        <v>40</v>
      </c>
      <c r="D5596">
        <v>5.8603839999999998</v>
      </c>
      <c r="E5596">
        <v>0.44865830000000001</v>
      </c>
      <c r="F5596" t="s">
        <v>100</v>
      </c>
      <c r="G5596">
        <v>-414.42599999999999</v>
      </c>
      <c r="H5596">
        <v>1.8456680000000001</v>
      </c>
      <c r="I5596">
        <v>0.53408049999999996</v>
      </c>
      <c r="J5596">
        <v>-416.13380000000001</v>
      </c>
      <c r="K5596">
        <v>1.1117969999999999</v>
      </c>
      <c r="L5596">
        <v>114.12649999999999</v>
      </c>
      <c r="M5596">
        <v>-0.1769772</v>
      </c>
      <c r="N5596">
        <v>0</v>
      </c>
      <c r="O5596">
        <v>-0.98411910000000002</v>
      </c>
      <c r="P5596">
        <v>-0.12099600000000001</v>
      </c>
      <c r="Q5596">
        <v>5.253273E-2</v>
      </c>
      <c r="R5596">
        <v>-0.99126190000000003</v>
      </c>
      <c r="S5596">
        <v>4.4464110000000001E-2</v>
      </c>
      <c r="T5596">
        <v>1.954067E-2</v>
      </c>
      <c r="U5596">
        <v>-3.030716</v>
      </c>
      <c r="V5596">
        <v>-5.6583509999999997E-2</v>
      </c>
      <c r="W5596">
        <v>6.6036129999999998E-2</v>
      </c>
      <c r="X5596">
        <v>0.99621159999999997</v>
      </c>
      <c r="Y5596">
        <v>-0.19141250000000001</v>
      </c>
      <c r="Z5596">
        <v>-6.2347119999999999E-3</v>
      </c>
      <c r="AA5596">
        <v>0.98148990000000003</v>
      </c>
      <c r="AB5596">
        <v>23</v>
      </c>
      <c r="AC5596">
        <v>1.70780000000002</v>
      </c>
      <c r="AD5596">
        <v>0.73387100000000005</v>
      </c>
      <c r="AE5596">
        <v>-113.59241950000001</v>
      </c>
      <c r="AF5596">
        <v>-21.785093117850298</v>
      </c>
      <c r="AG5596">
        <v>0.73387100000000005</v>
      </c>
      <c r="AH5596">
        <v>111.492093893153</v>
      </c>
      <c r="AI5596">
        <v>89.629868529647794</v>
      </c>
      <c r="AJ5596">
        <v>101.05605740534</v>
      </c>
      <c r="AK5596">
        <v>113.60288662475899</v>
      </c>
      <c r="AL5596">
        <v>86.213653180033305</v>
      </c>
      <c r="AM5596">
        <v>93.2508321736818</v>
      </c>
      <c r="AN5596">
        <v>1.00000000802192</v>
      </c>
    </row>
    <row r="5597" spans="1:40" x14ac:dyDescent="0.25">
      <c r="A5597" t="str">
        <f>"20190312160446223"</f>
        <v>20190312160446223</v>
      </c>
      <c r="B5597" t="str">
        <f>"1552377886220995"</f>
        <v>1552377886220995</v>
      </c>
      <c r="C5597" t="s">
        <v>40</v>
      </c>
      <c r="D5597">
        <v>5.929748</v>
      </c>
      <c r="E5597">
        <v>0.47161130000000001</v>
      </c>
      <c r="F5597" t="s">
        <v>100</v>
      </c>
      <c r="G5597">
        <v>-414.60300000000001</v>
      </c>
      <c r="H5597">
        <v>2.0629789999999999</v>
      </c>
      <c r="I5597">
        <v>0.53227999999999998</v>
      </c>
      <c r="J5597">
        <v>-416.17129999999997</v>
      </c>
      <c r="K5597">
        <v>1.111777</v>
      </c>
      <c r="L5597">
        <v>113.90260000000001</v>
      </c>
      <c r="M5597">
        <v>-0.17473649999999999</v>
      </c>
      <c r="N5597">
        <v>0</v>
      </c>
      <c r="O5597">
        <v>-0.98451960000000005</v>
      </c>
      <c r="P5597">
        <v>-0.1200596</v>
      </c>
      <c r="Q5597">
        <v>5.2484540000000003E-2</v>
      </c>
      <c r="R5597">
        <v>-0.99137869999999995</v>
      </c>
      <c r="S5597">
        <v>4.0832519999999997E-2</v>
      </c>
      <c r="T5597">
        <v>2.5371669999999999E-2</v>
      </c>
      <c r="U5597">
        <v>-3.03009</v>
      </c>
      <c r="V5597">
        <v>-5.5250680000000003E-2</v>
      </c>
      <c r="W5597">
        <v>6.5993789999999997E-2</v>
      </c>
      <c r="X5597">
        <v>0.99628919999999999</v>
      </c>
      <c r="Y5597">
        <v>-0.1880037</v>
      </c>
      <c r="Z5597">
        <v>-8.1045930000000002E-3</v>
      </c>
      <c r="AA5597">
        <v>0.98213490000000003</v>
      </c>
      <c r="AB5597">
        <v>23</v>
      </c>
      <c r="AC5597">
        <v>1.5682999999999601</v>
      </c>
      <c r="AD5597">
        <v>0.95120199999999999</v>
      </c>
      <c r="AE5597">
        <v>-113.370319999999</v>
      </c>
      <c r="AF5597">
        <v>-21.354462927785701</v>
      </c>
      <c r="AG5597">
        <v>0.95120199999999999</v>
      </c>
      <c r="AH5597">
        <v>111.34391117341499</v>
      </c>
      <c r="AI5597">
        <v>89.519299205267004</v>
      </c>
      <c r="AJ5597">
        <v>100.856828341713</v>
      </c>
      <c r="AK5597">
        <v>113.37717771920499</v>
      </c>
      <c r="AL5597">
        <v>86.2160843335284</v>
      </c>
      <c r="AM5597">
        <v>93.174170250754401</v>
      </c>
      <c r="AN5597">
        <v>0.99999999399783301</v>
      </c>
    </row>
    <row r="5598" spans="1:40" x14ac:dyDescent="0.25">
      <c r="A5598" t="str">
        <f>"20190312160446246"</f>
        <v>20190312160446246</v>
      </c>
      <c r="B5598" t="str">
        <f>"1552377886240518"</f>
        <v>1552377886240518</v>
      </c>
      <c r="C5598" t="s">
        <v>40</v>
      </c>
      <c r="D5598">
        <v>5.5567349999999998</v>
      </c>
      <c r="E5598">
        <v>0.47206179999999998</v>
      </c>
      <c r="F5598" t="s">
        <v>100</v>
      </c>
      <c r="G5598">
        <v>-421.30259999999998</v>
      </c>
      <c r="H5598">
        <v>6.8931369999999896</v>
      </c>
      <c r="I5598">
        <v>0.46416089999999999</v>
      </c>
      <c r="J5598">
        <v>-416.20780000000002</v>
      </c>
      <c r="K5598">
        <v>1.111748</v>
      </c>
      <c r="L5598">
        <v>113.68259999999999</v>
      </c>
      <c r="M5598">
        <v>-0.17257790000000001</v>
      </c>
      <c r="N5598">
        <v>0</v>
      </c>
      <c r="O5598">
        <v>-0.9849002</v>
      </c>
      <c r="P5598">
        <v>-0.11855789999999999</v>
      </c>
      <c r="Q5598">
        <v>5.2998759999999999E-2</v>
      </c>
      <c r="R5598">
        <v>-0.99153179999999996</v>
      </c>
      <c r="S5598">
        <v>-0.1357727</v>
      </c>
      <c r="T5598">
        <v>0.1529721</v>
      </c>
      <c r="U5598">
        <v>-3.001541</v>
      </c>
      <c r="V5598">
        <v>-5.4567070000000002E-2</v>
      </c>
      <c r="W5598">
        <v>6.6510970000000003E-2</v>
      </c>
      <c r="X5598">
        <v>0.99629250000000003</v>
      </c>
      <c r="Y5598">
        <v>-0.1279632</v>
      </c>
      <c r="Z5598">
        <v>-4.9520359999999999E-2</v>
      </c>
      <c r="AA5598">
        <v>0.99054180000000003</v>
      </c>
      <c r="AB5598">
        <v>23</v>
      </c>
      <c r="AC5598">
        <v>-5.0947999999999602</v>
      </c>
      <c r="AD5598">
        <v>5.7813889999999901</v>
      </c>
      <c r="AE5598">
        <v>-113.218439099999</v>
      </c>
      <c r="AF5598">
        <v>-14.484806171017899</v>
      </c>
      <c r="AG5598">
        <v>5.7813889999999901</v>
      </c>
      <c r="AH5598">
        <v>112.10697323264201</v>
      </c>
      <c r="AI5598">
        <v>87.0721500347004</v>
      </c>
      <c r="AJ5598">
        <v>97.362126857751406</v>
      </c>
      <c r="AK5598">
        <v>113.186604843354</v>
      </c>
      <c r="AL5598">
        <v>86.186386914118401</v>
      </c>
      <c r="AM5598">
        <v>93.134965089028697</v>
      </c>
      <c r="AN5598">
        <v>1.0000000099074799</v>
      </c>
    </row>
    <row r="5599" spans="1:40" x14ac:dyDescent="0.25">
      <c r="A5599" t="str">
        <f>"20190312160446268"</f>
        <v>20190312160446268</v>
      </c>
      <c r="B5599" t="str">
        <f>"1552377886261014"</f>
        <v>1552377886261014</v>
      </c>
      <c r="C5599" t="s">
        <v>40</v>
      </c>
      <c r="D5599">
        <v>6.0986159999999998</v>
      </c>
      <c r="E5599">
        <v>0.47254499999999999</v>
      </c>
      <c r="F5599" t="s">
        <v>100</v>
      </c>
      <c r="G5599">
        <v>-421.2688</v>
      </c>
      <c r="H5599">
        <v>7.0957729999999897</v>
      </c>
      <c r="I5599">
        <v>0.46450609999999998</v>
      </c>
      <c r="J5599">
        <v>-416.24340000000001</v>
      </c>
      <c r="K5599">
        <v>1.1117189999999999</v>
      </c>
      <c r="L5599">
        <v>113.4653</v>
      </c>
      <c r="M5599">
        <v>-0.17049739999999999</v>
      </c>
      <c r="N5599">
        <v>0</v>
      </c>
      <c r="O5599">
        <v>-0.98526259999999999</v>
      </c>
      <c r="P5599">
        <v>-0.11708830000000001</v>
      </c>
      <c r="Q5599">
        <v>5.2450869999999997E-2</v>
      </c>
      <c r="R5599">
        <v>-0.99173560000000005</v>
      </c>
      <c r="S5599">
        <v>-0.13415529999999901</v>
      </c>
      <c r="T5599">
        <v>0.15862019999999999</v>
      </c>
      <c r="U5599">
        <v>-3.0011139999999998</v>
      </c>
      <c r="V5599">
        <v>-5.3935740000000003E-2</v>
      </c>
      <c r="W5599">
        <v>6.5967150000000002E-2</v>
      </c>
      <c r="X5599">
        <v>0.996363</v>
      </c>
      <c r="Y5599">
        <v>-0.12639900000000001</v>
      </c>
      <c r="Z5599">
        <v>-5.1385599999999997E-2</v>
      </c>
      <c r="AA5599">
        <v>0.99064770000000002</v>
      </c>
      <c r="AB5599">
        <v>23</v>
      </c>
      <c r="AC5599">
        <v>-5.0253999999999897</v>
      </c>
      <c r="AD5599">
        <v>5.9840540000000004</v>
      </c>
      <c r="AE5599">
        <v>-113.00079390000001</v>
      </c>
      <c r="AF5599">
        <v>-14.276393853686599</v>
      </c>
      <c r="AG5599">
        <v>5.9840540000000004</v>
      </c>
      <c r="AH5599">
        <v>111.889679540239</v>
      </c>
      <c r="AI5599">
        <v>86.963212136009602</v>
      </c>
      <c r="AJ5599">
        <v>97.271278852336593</v>
      </c>
      <c r="AK5599">
        <v>112.955410279269</v>
      </c>
      <c r="AL5599">
        <v>86.2176139671583</v>
      </c>
      <c r="AM5599">
        <v>93.098546442112394</v>
      </c>
      <c r="AN5599">
        <v>0.999999978348734</v>
      </c>
    </row>
    <row r="5600" spans="1:40" x14ac:dyDescent="0.25">
      <c r="A5600" t="str">
        <f>"20190312160446290"</f>
        <v>20190312160446290</v>
      </c>
      <c r="B5600" t="str">
        <f>"1552377886280531"</f>
        <v>1552377886280531</v>
      </c>
      <c r="C5600" t="s">
        <v>40</v>
      </c>
      <c r="D5600">
        <v>5.8468179999999998</v>
      </c>
      <c r="E5600">
        <v>0.47288429999999998</v>
      </c>
      <c r="F5600" t="s">
        <v>100</v>
      </c>
      <c r="G5600">
        <v>-421.28160000000003</v>
      </c>
      <c r="H5600">
        <v>7.1906020000000002</v>
      </c>
      <c r="I5600">
        <v>0.46437640000000002</v>
      </c>
      <c r="J5600">
        <v>-416.27870000000001</v>
      </c>
      <c r="K5600">
        <v>1.111685</v>
      </c>
      <c r="L5600">
        <v>113.2465</v>
      </c>
      <c r="M5600">
        <v>-0.1684591</v>
      </c>
      <c r="N5600">
        <v>0</v>
      </c>
      <c r="O5600">
        <v>-0.98561319999999997</v>
      </c>
      <c r="P5600">
        <v>-0.11547979999999999</v>
      </c>
      <c r="Q5600">
        <v>5.1479030000000002E-2</v>
      </c>
      <c r="R5600">
        <v>-0.9919751</v>
      </c>
      <c r="S5600">
        <v>-0.13378909999999999</v>
      </c>
      <c r="T5600">
        <v>0.16142049999999999</v>
      </c>
      <c r="U5600">
        <v>-3.0006710000000001</v>
      </c>
      <c r="V5600">
        <v>-5.3489700000000001E-2</v>
      </c>
      <c r="W5600">
        <v>6.4998860000000006E-2</v>
      </c>
      <c r="X5600">
        <v>0.99645070000000002</v>
      </c>
      <c r="Y5600">
        <v>-0.1244633</v>
      </c>
      <c r="Z5600">
        <v>-5.2332730000000001E-2</v>
      </c>
      <c r="AA5600">
        <v>0.99084320000000004</v>
      </c>
      <c r="AB5600">
        <v>22</v>
      </c>
      <c r="AC5600">
        <v>-5.0029000000000101</v>
      </c>
      <c r="AD5600">
        <v>6.0789169999999997</v>
      </c>
      <c r="AE5600">
        <v>-112.78212360000001</v>
      </c>
      <c r="AF5600">
        <v>-14.0288981019738</v>
      </c>
      <c r="AG5600">
        <v>6.0789169999999997</v>
      </c>
      <c r="AH5600">
        <v>111.68903331238801</v>
      </c>
      <c r="AI5600">
        <v>86.908868590956899</v>
      </c>
      <c r="AJ5600">
        <v>97.159243985639407</v>
      </c>
      <c r="AK5600">
        <v>112.73066741621</v>
      </c>
      <c r="AL5600">
        <v>86.273212308157795</v>
      </c>
      <c r="AM5600">
        <v>93.072701330059701</v>
      </c>
      <c r="AN5600">
        <v>0.99999999866893896</v>
      </c>
    </row>
    <row r="5601" spans="1:40" x14ac:dyDescent="0.25">
      <c r="A5601" t="str">
        <f>"20190312160446312"</f>
        <v>20190312160446312</v>
      </c>
      <c r="B5601" t="str">
        <f>"1552377886301031"</f>
        <v>1552377886301031</v>
      </c>
      <c r="C5601" t="s">
        <v>40</v>
      </c>
      <c r="D5601">
        <v>6.1145339999999999</v>
      </c>
      <c r="E5601">
        <v>0.47307729999999998</v>
      </c>
      <c r="F5601" t="s">
        <v>100</v>
      </c>
      <c r="G5601">
        <v>-421.2133</v>
      </c>
      <c r="H5601">
        <v>7.2052379999999996</v>
      </c>
      <c r="I5601">
        <v>0.4650688</v>
      </c>
      <c r="J5601">
        <v>-416.31380000000001</v>
      </c>
      <c r="K5601">
        <v>1.1116490000000001</v>
      </c>
      <c r="L5601">
        <v>113.027</v>
      </c>
      <c r="M5601">
        <v>-0.16645860000000001</v>
      </c>
      <c r="N5601">
        <v>0</v>
      </c>
      <c r="O5601">
        <v>-0.98595299999999997</v>
      </c>
      <c r="P5601">
        <v>-0.1137785</v>
      </c>
      <c r="Q5601">
        <v>5.1091400000000002E-2</v>
      </c>
      <c r="R5601">
        <v>-0.9921915</v>
      </c>
      <c r="S5601">
        <v>-0.1312866</v>
      </c>
      <c r="T5601">
        <v>0.16211889999999901</v>
      </c>
      <c r="U5601">
        <v>-3.0005649999999999</v>
      </c>
      <c r="V5601">
        <v>-5.317268E-2</v>
      </c>
      <c r="W5601">
        <v>6.4612950000000002E-2</v>
      </c>
      <c r="X5601">
        <v>0.99649270000000001</v>
      </c>
      <c r="Y5601">
        <v>-0.12327340000000001</v>
      </c>
      <c r="Z5601">
        <v>-5.2592750000000001E-2</v>
      </c>
      <c r="AA5601">
        <v>0.99097809999999997</v>
      </c>
      <c r="AB5601">
        <v>22</v>
      </c>
      <c r="AC5601">
        <v>-4.8994999999999802</v>
      </c>
      <c r="AD5601">
        <v>6.0935889999999997</v>
      </c>
      <c r="AE5601">
        <v>-112.56193119999899</v>
      </c>
      <c r="AF5601">
        <v>-13.866971307798901</v>
      </c>
      <c r="AG5601">
        <v>6.0935889999999997</v>
      </c>
      <c r="AH5601">
        <v>111.48076733568401</v>
      </c>
      <c r="AI5601">
        <v>86.895180583238101</v>
      </c>
      <c r="AJ5601">
        <v>97.0905396293157</v>
      </c>
      <c r="AK5601">
        <v>112.505049690692</v>
      </c>
      <c r="AL5601">
        <v>86.295369661099002</v>
      </c>
      <c r="AM5601">
        <v>93.054396292546201</v>
      </c>
      <c r="AN5601">
        <v>0.99999993417968502</v>
      </c>
    </row>
    <row r="5602" spans="1:40" x14ac:dyDescent="0.25">
      <c r="A5602" t="str">
        <f>"20190312160446335"</f>
        <v>20190312160446335</v>
      </c>
      <c r="B5602" t="str">
        <f>"1552377886330307"</f>
        <v>1552377886330307</v>
      </c>
      <c r="C5602" t="s">
        <v>40</v>
      </c>
      <c r="D5602">
        <v>6.2686070000000003</v>
      </c>
      <c r="E5602">
        <v>0.473161</v>
      </c>
      <c r="F5602" t="s">
        <v>100</v>
      </c>
      <c r="G5602">
        <v>-421.1121</v>
      </c>
      <c r="H5602">
        <v>7.378457</v>
      </c>
      <c r="I5602">
        <v>0.46609879999999998</v>
      </c>
      <c r="J5602">
        <v>-416.34879999999998</v>
      </c>
      <c r="K5602">
        <v>1.111618</v>
      </c>
      <c r="L5602">
        <v>112.80549999999999</v>
      </c>
      <c r="M5602">
        <v>-0.16448570000000001</v>
      </c>
      <c r="N5602">
        <v>0</v>
      </c>
      <c r="O5602">
        <v>-0.9862843</v>
      </c>
      <c r="P5602">
        <v>-0.1109749</v>
      </c>
      <c r="Q5602">
        <v>5.0695169999999998E-2</v>
      </c>
      <c r="R5602">
        <v>-0.99252960000000001</v>
      </c>
      <c r="S5602">
        <v>-0.12789919999999999</v>
      </c>
      <c r="T5602">
        <v>0.16704150000000001</v>
      </c>
      <c r="U5602">
        <v>-3.0003199999999999</v>
      </c>
      <c r="V5602">
        <v>-5.3992279999999997E-2</v>
      </c>
      <c r="W5602">
        <v>6.4214190000000004E-2</v>
      </c>
      <c r="X5602">
        <v>0.99647439999999998</v>
      </c>
      <c r="Y5602">
        <v>-0.12240479999999999</v>
      </c>
      <c r="Z5602">
        <v>-5.4221070000000003E-2</v>
      </c>
      <c r="AA5602">
        <v>0.99099800000000005</v>
      </c>
      <c r="AB5602">
        <v>22</v>
      </c>
      <c r="AC5602">
        <v>-4.7633000000000099</v>
      </c>
      <c r="AD5602">
        <v>6.266839</v>
      </c>
      <c r="AE5602">
        <v>-112.3394012</v>
      </c>
      <c r="AF5602">
        <v>-13.738872749910501</v>
      </c>
      <c r="AG5602">
        <v>6.266839</v>
      </c>
      <c r="AH5602">
        <v>111.24698379687401</v>
      </c>
      <c r="AI5602">
        <v>86.800043113002999</v>
      </c>
      <c r="AJ5602">
        <v>97.040313505176499</v>
      </c>
      <c r="AK5602">
        <v>112.267187100204</v>
      </c>
      <c r="AL5602">
        <v>86.318264455249107</v>
      </c>
      <c r="AM5602">
        <v>93.101442176221795</v>
      </c>
      <c r="AN5602">
        <v>0.99999992917615399</v>
      </c>
    </row>
    <row r="5603" spans="1:40" x14ac:dyDescent="0.25">
      <c r="A5603" t="str">
        <f>"20190312160446357"</f>
        <v>20190312160446357</v>
      </c>
      <c r="B5603" t="str">
        <f>"1552377886350803"</f>
        <v>1552377886350803</v>
      </c>
      <c r="C5603" t="s">
        <v>40</v>
      </c>
      <c r="D5603">
        <v>5.880871</v>
      </c>
      <c r="E5603">
        <v>0.47317520000000002</v>
      </c>
      <c r="F5603" t="s">
        <v>100</v>
      </c>
      <c r="G5603">
        <v>-420.78649999999999</v>
      </c>
      <c r="H5603">
        <v>7.659656</v>
      </c>
      <c r="I5603">
        <v>1.7664390000000001</v>
      </c>
      <c r="J5603">
        <v>-416.38290000000001</v>
      </c>
      <c r="K5603">
        <v>1.1115870000000001</v>
      </c>
      <c r="L5603">
        <v>112.58629999999999</v>
      </c>
      <c r="M5603">
        <v>-0.16257869999999999</v>
      </c>
      <c r="N5603">
        <v>0</v>
      </c>
      <c r="O5603">
        <v>-0.98660049999999999</v>
      </c>
      <c r="P5603">
        <v>-0.10875460000000001</v>
      </c>
      <c r="Q5603">
        <v>5.0536690000000002E-2</v>
      </c>
      <c r="R5603">
        <v>-0.99278339999999998</v>
      </c>
      <c r="S5603">
        <v>-0.1199036</v>
      </c>
      <c r="T5603">
        <v>0.1769191</v>
      </c>
      <c r="U5603">
        <v>-3.0001370000000001</v>
      </c>
      <c r="V5603">
        <v>-5.4291239999999998E-2</v>
      </c>
      <c r="W5603">
        <v>6.405479E-2</v>
      </c>
      <c r="X5603">
        <v>0.99646849999999998</v>
      </c>
      <c r="Y5603">
        <v>-0.1231273</v>
      </c>
      <c r="Z5603">
        <v>-5.7448340000000001E-2</v>
      </c>
      <c r="AA5603">
        <v>0.99072660000000001</v>
      </c>
      <c r="AB5603">
        <v>22</v>
      </c>
      <c r="AC5603">
        <v>-4.4035999999999804</v>
      </c>
      <c r="AD5603">
        <v>6.5480689999999999</v>
      </c>
      <c r="AE5603">
        <v>-110.819861</v>
      </c>
      <c r="AF5603">
        <v>-13.626139363496399</v>
      </c>
      <c r="AG5603">
        <v>6.5480689999999999</v>
      </c>
      <c r="AH5603">
        <v>109.678865369286</v>
      </c>
      <c r="AI5603">
        <v>86.609376715490598</v>
      </c>
      <c r="AJ5603">
        <v>97.081950793218994</v>
      </c>
      <c r="AK5603">
        <v>110.715863318117</v>
      </c>
      <c r="AL5603">
        <v>86.3274165532018</v>
      </c>
      <c r="AM5603">
        <v>93.118599758256295</v>
      </c>
      <c r="AN5603">
        <v>1.00000001317746</v>
      </c>
    </row>
    <row r="5604" spans="1:40" x14ac:dyDescent="0.25">
      <c r="A5604" t="str">
        <f>"20190312160446370"</f>
        <v>20190312160446370</v>
      </c>
      <c r="B5604" t="str">
        <f>"1552377886360563"</f>
        <v>1552377886360563</v>
      </c>
      <c r="C5604" t="s">
        <v>40</v>
      </c>
      <c r="D5604">
        <v>6.0006659999999998</v>
      </c>
      <c r="E5604">
        <v>0.47332730000000001</v>
      </c>
      <c r="F5604" t="s">
        <v>100</v>
      </c>
      <c r="G5604">
        <v>-420.55029999999999</v>
      </c>
      <c r="H5604">
        <v>7.8280130000000003</v>
      </c>
      <c r="I5604">
        <v>1.7688390000000001</v>
      </c>
      <c r="J5604">
        <v>-416.40309999999999</v>
      </c>
      <c r="K5604">
        <v>1.1115729999999999</v>
      </c>
      <c r="L5604">
        <v>112.4558</v>
      </c>
      <c r="M5604">
        <v>-0.16146189999999999</v>
      </c>
      <c r="N5604">
        <v>0</v>
      </c>
      <c r="O5604">
        <v>-0.98678390000000005</v>
      </c>
      <c r="P5604">
        <v>-0.1078587</v>
      </c>
      <c r="Q5604">
        <v>5.0878380000000001E-2</v>
      </c>
      <c r="R5604">
        <v>-0.99286370000000002</v>
      </c>
      <c r="S5604">
        <v>-0.11282349999999999</v>
      </c>
      <c r="T5604">
        <v>0.18183530000000001</v>
      </c>
      <c r="U5604">
        <v>-3.0001980000000001</v>
      </c>
      <c r="V5604">
        <v>-5.40577E-2</v>
      </c>
      <c r="W5604">
        <v>6.4396449999999994E-2</v>
      </c>
      <c r="X5604">
        <v>0.99645919999999999</v>
      </c>
      <c r="Y5604">
        <v>-0.1243426</v>
      </c>
      <c r="Z5604">
        <v>-5.905241E-2</v>
      </c>
      <c r="AA5604">
        <v>0.99048049999999999</v>
      </c>
      <c r="AB5604">
        <v>22</v>
      </c>
      <c r="AC5604">
        <v>-4.14719999999999</v>
      </c>
      <c r="AD5604">
        <v>6.7164399999999898</v>
      </c>
      <c r="AE5604">
        <v>-110.686961</v>
      </c>
      <c r="AF5604">
        <v>-13.730145741756001</v>
      </c>
      <c r="AG5604">
        <v>6.7164399999999898</v>
      </c>
      <c r="AH5604">
        <v>109.50141430552399</v>
      </c>
      <c r="AI5604">
        <v>86.517274476801802</v>
      </c>
      <c r="AJ5604">
        <v>97.146894989295703</v>
      </c>
      <c r="AK5604">
        <v>110.56304628253299</v>
      </c>
      <c r="AL5604">
        <v>86.307800467716604</v>
      </c>
      <c r="AM5604">
        <v>93.105239977530303</v>
      </c>
      <c r="AN5604">
        <v>1.0000000374832601</v>
      </c>
    </row>
    <row r="5605" spans="1:40" x14ac:dyDescent="0.25">
      <c r="A5605" t="str">
        <f>"20190312160446383"</f>
        <v>20190312160446383</v>
      </c>
      <c r="B5605" t="str">
        <f>"1552377886370323"</f>
        <v>1552377886370323</v>
      </c>
      <c r="C5605" t="s">
        <v>40</v>
      </c>
      <c r="D5605">
        <v>5.8779250000000003</v>
      </c>
      <c r="E5605">
        <v>0.47332730000000001</v>
      </c>
      <c r="F5605" t="s">
        <v>100</v>
      </c>
      <c r="G5605">
        <v>-420.5301</v>
      </c>
      <c r="H5605">
        <v>8.04210099999999</v>
      </c>
      <c r="I5605">
        <v>1.7690490000000001</v>
      </c>
      <c r="J5605">
        <v>-416.42180000000002</v>
      </c>
      <c r="K5605">
        <v>1.111567</v>
      </c>
      <c r="L5605">
        <v>112.3342</v>
      </c>
      <c r="M5605">
        <v>-0.1604362</v>
      </c>
      <c r="N5605">
        <v>0</v>
      </c>
      <c r="O5605">
        <v>-0.98695120000000003</v>
      </c>
      <c r="P5605">
        <v>-0.10700519999999999</v>
      </c>
      <c r="Q5605">
        <v>5.1226550000000003E-2</v>
      </c>
      <c r="R5605">
        <v>-0.99293819999999999</v>
      </c>
      <c r="S5605">
        <v>-0.1118469</v>
      </c>
      <c r="T5605">
        <v>0.18782760000000001</v>
      </c>
      <c r="U5605">
        <v>-2.9997859999999998</v>
      </c>
      <c r="V5605">
        <v>-5.3874020000000002E-2</v>
      </c>
      <c r="W5605">
        <v>6.4745230000000001E-2</v>
      </c>
      <c r="X5605">
        <v>0.99644650000000001</v>
      </c>
      <c r="Y5605">
        <v>-0.1236327</v>
      </c>
      <c r="Z5605">
        <v>-6.101815E-2</v>
      </c>
      <c r="AA5605">
        <v>0.99045030000000001</v>
      </c>
      <c r="AB5605">
        <v>22</v>
      </c>
      <c r="AC5605">
        <v>-4.1082999999999803</v>
      </c>
      <c r="AD5605">
        <v>6.93053399999999</v>
      </c>
      <c r="AE5605">
        <v>-110.565151</v>
      </c>
      <c r="AF5605">
        <v>-13.631757331876999</v>
      </c>
      <c r="AG5605">
        <v>6.93053399999999</v>
      </c>
      <c r="AH5605">
        <v>109.362716615427</v>
      </c>
      <c r="AI5605">
        <v>86.4016725862176</v>
      </c>
      <c r="AJ5605">
        <v>97.105112993623294</v>
      </c>
      <c r="AK5605">
        <v>110.426721833923</v>
      </c>
      <c r="AL5605">
        <v>86.287774883447099</v>
      </c>
      <c r="AM5605">
        <v>93.094748745721503</v>
      </c>
      <c r="AN5605">
        <v>0.99999999110048099</v>
      </c>
    </row>
    <row r="5606" spans="1:40" x14ac:dyDescent="0.25">
      <c r="A5606" t="str">
        <f>"20190312160446395"</f>
        <v>20190312160446395</v>
      </c>
      <c r="B5606" t="str">
        <f>"1552377886390819"</f>
        <v>1552377886390819</v>
      </c>
      <c r="C5606" t="s">
        <v>40</v>
      </c>
      <c r="D5606">
        <v>5.8837400000000004</v>
      </c>
      <c r="E5606">
        <v>0.47377370000000002</v>
      </c>
      <c r="F5606" t="s">
        <v>100</v>
      </c>
      <c r="G5606">
        <v>-420.4237</v>
      </c>
      <c r="H5606">
        <v>8.0755610000000004</v>
      </c>
      <c r="I5606">
        <v>1.77013</v>
      </c>
      <c r="J5606">
        <v>-416.43979999999999</v>
      </c>
      <c r="K5606">
        <v>1.1115549999999901</v>
      </c>
      <c r="L5606">
        <v>112.21680000000001</v>
      </c>
      <c r="M5606">
        <v>-0.1594563</v>
      </c>
      <c r="N5606">
        <v>0</v>
      </c>
      <c r="O5606">
        <v>-0.98710989999999998</v>
      </c>
      <c r="P5606">
        <v>-0.1057872</v>
      </c>
      <c r="Q5606">
        <v>5.1694080000000003E-2</v>
      </c>
      <c r="R5606">
        <v>-0.99304429999999999</v>
      </c>
      <c r="S5606">
        <v>-0.1085815</v>
      </c>
      <c r="T5606">
        <v>0.1889497</v>
      </c>
      <c r="U5606">
        <v>-2.9998779999999998</v>
      </c>
      <c r="V5606">
        <v>-5.4102339999999999E-2</v>
      </c>
      <c r="W5606">
        <v>6.5211539999999998E-2</v>
      </c>
      <c r="X5606">
        <v>0.99640379999999995</v>
      </c>
      <c r="Y5606">
        <v>-0.12372610000000001</v>
      </c>
      <c r="Z5606">
        <v>-6.1395140000000001E-2</v>
      </c>
      <c r="AA5606">
        <v>0.9904153</v>
      </c>
      <c r="AB5606">
        <v>22</v>
      </c>
      <c r="AC5606">
        <v>-3.9839000000000002</v>
      </c>
      <c r="AD5606">
        <v>6.9640059999999897</v>
      </c>
      <c r="AE5606">
        <v>-110.44667</v>
      </c>
      <c r="AF5606">
        <v>-13.6260517603537</v>
      </c>
      <c r="AG5606">
        <v>6.9640059999999897</v>
      </c>
      <c r="AH5606">
        <v>109.234834027999</v>
      </c>
      <c r="AI5606">
        <v>86.380159825261799</v>
      </c>
      <c r="AJ5606">
        <v>97.110399066735496</v>
      </c>
      <c r="AK5606">
        <v>110.30147610648</v>
      </c>
      <c r="AL5606">
        <v>86.261001002305093</v>
      </c>
      <c r="AM5606">
        <v>93.107971666134105</v>
      </c>
      <c r="AN5606">
        <v>1.0000000703985401</v>
      </c>
    </row>
    <row r="5607" spans="1:40" x14ac:dyDescent="0.25">
      <c r="A5607" t="str">
        <f>"20190312160446414"</f>
        <v>20190312160446414</v>
      </c>
      <c r="B5607" t="str">
        <f>"1552377886400579"</f>
        <v>1552377886400579</v>
      </c>
      <c r="C5607" t="s">
        <v>40</v>
      </c>
      <c r="D5607">
        <v>5.8981059999999896</v>
      </c>
      <c r="E5607">
        <v>0.47377370000000002</v>
      </c>
      <c r="F5607" t="s">
        <v>100</v>
      </c>
      <c r="G5607">
        <v>-420.49270000000001</v>
      </c>
      <c r="H5607">
        <v>8.7459429999999898</v>
      </c>
      <c r="I5607">
        <v>0.47240260000000001</v>
      </c>
      <c r="J5607">
        <v>-416.4674</v>
      </c>
      <c r="K5607">
        <v>1.1115360000000001</v>
      </c>
      <c r="L5607">
        <v>112.0346</v>
      </c>
      <c r="M5607">
        <v>-0.15794929999999999</v>
      </c>
      <c r="N5607">
        <v>0</v>
      </c>
      <c r="O5607">
        <v>-0.98735229999999996</v>
      </c>
      <c r="P5607">
        <v>-0.1040577</v>
      </c>
      <c r="Q5607">
        <v>5.2064819999999998E-2</v>
      </c>
      <c r="R5607">
        <v>-0.99320790000000003</v>
      </c>
      <c r="S5607">
        <v>-0.1087646</v>
      </c>
      <c r="T5607">
        <v>0.2048759</v>
      </c>
      <c r="U5607">
        <v>-2.9987789999999999</v>
      </c>
      <c r="V5607">
        <v>-5.4311030000000003E-2</v>
      </c>
      <c r="W5607">
        <v>6.558079E-2</v>
      </c>
      <c r="X5607">
        <v>0.99636820000000004</v>
      </c>
      <c r="Y5607">
        <v>-0.1221497</v>
      </c>
      <c r="Z5607">
        <v>-6.6602679999999997E-2</v>
      </c>
      <c r="AA5607">
        <v>0.99027449999999995</v>
      </c>
      <c r="AB5607">
        <v>22</v>
      </c>
      <c r="AC5607">
        <v>-4.0253000000000103</v>
      </c>
      <c r="AD5607">
        <v>7.6344069999999897</v>
      </c>
      <c r="AE5607">
        <v>-111.5621974</v>
      </c>
      <c r="AF5607">
        <v>-13.5845285115248</v>
      </c>
      <c r="AG5607">
        <v>7.6344069999999897</v>
      </c>
      <c r="AH5607">
        <v>110.28160254104201</v>
      </c>
      <c r="AI5607">
        <v>86.069545587092094</v>
      </c>
      <c r="AJ5607">
        <v>97.022340252494899</v>
      </c>
      <c r="AK5607">
        <v>111.37708671060901</v>
      </c>
      <c r="AL5607">
        <v>86.239799108998795</v>
      </c>
      <c r="AM5607">
        <v>93.120047720649296</v>
      </c>
      <c r="AN5607">
        <v>1.0000000589839599</v>
      </c>
    </row>
    <row r="5608" spans="1:40" x14ac:dyDescent="0.25">
      <c r="A5608" t="str">
        <f>"20190312160446436"</f>
        <v>20190312160446436</v>
      </c>
      <c r="B5608" t="str">
        <f>"1552377886430644"</f>
        <v>1552377886430644</v>
      </c>
      <c r="C5608" t="s">
        <v>40</v>
      </c>
      <c r="D5608">
        <v>6.0361440000000002</v>
      </c>
      <c r="E5608">
        <v>0.4747499</v>
      </c>
      <c r="F5608" t="s">
        <v>100</v>
      </c>
      <c r="G5608">
        <v>-420.30459999999999</v>
      </c>
      <c r="H5608">
        <v>8.7802769999999999</v>
      </c>
      <c r="I5608">
        <v>0.47431760000000001</v>
      </c>
      <c r="J5608">
        <v>-416.50049999999999</v>
      </c>
      <c r="K5608">
        <v>1.1115170000000001</v>
      </c>
      <c r="L5608">
        <v>111.8137</v>
      </c>
      <c r="M5608">
        <v>-0.15614059999999999</v>
      </c>
      <c r="N5608">
        <v>0</v>
      </c>
      <c r="O5608">
        <v>-0.98763990000000002</v>
      </c>
      <c r="P5608">
        <v>-0.1022049</v>
      </c>
      <c r="Q5608">
        <v>5.3226330000000002E-2</v>
      </c>
      <c r="R5608">
        <v>-0.99333859999999996</v>
      </c>
      <c r="S5608">
        <v>-0.1031494</v>
      </c>
      <c r="T5608">
        <v>0.2061471</v>
      </c>
      <c r="U5608">
        <v>-2.9989170000000001</v>
      </c>
      <c r="V5608">
        <v>-5.4335359999999999E-2</v>
      </c>
      <c r="W5608">
        <v>6.6739820000000005E-2</v>
      </c>
      <c r="X5608">
        <v>0.9962898</v>
      </c>
      <c r="Y5608">
        <v>-0.1221863</v>
      </c>
      <c r="Z5608">
        <v>-6.7042420000000005E-2</v>
      </c>
      <c r="AA5608">
        <v>0.99024029999999996</v>
      </c>
      <c r="AB5608">
        <v>22</v>
      </c>
      <c r="AC5608">
        <v>-3.8041</v>
      </c>
      <c r="AD5608">
        <v>7.6687599999999998</v>
      </c>
      <c r="AE5608">
        <v>-111.33938240000001</v>
      </c>
      <c r="AF5608">
        <v>-13.5645188380596</v>
      </c>
      <c r="AG5608">
        <v>7.6687599999999998</v>
      </c>
      <c r="AH5608">
        <v>110.04609983813</v>
      </c>
      <c r="AI5608">
        <v>86.043532199536799</v>
      </c>
      <c r="AJ5608">
        <v>97.026955854994597</v>
      </c>
      <c r="AK5608">
        <v>111.14382637299001</v>
      </c>
      <c r="AL5608">
        <v>86.173245347184206</v>
      </c>
      <c r="AM5608">
        <v>93.1216878082775</v>
      </c>
      <c r="AN5608">
        <v>0.99999995025199895</v>
      </c>
    </row>
    <row r="5609" spans="1:40" x14ac:dyDescent="0.25">
      <c r="A5609" t="str">
        <f>"20190312160446457"</f>
        <v>20190312160446457</v>
      </c>
      <c r="B5609" t="str">
        <f>"1552377886451140"</f>
        <v>1552377886451140</v>
      </c>
      <c r="C5609" t="s">
        <v>40</v>
      </c>
      <c r="D5609">
        <v>6.0249160000000002</v>
      </c>
      <c r="E5609">
        <v>0.47518090000000002</v>
      </c>
      <c r="F5609" t="s">
        <v>100</v>
      </c>
      <c r="G5609">
        <v>-420.40910000000002</v>
      </c>
      <c r="H5609">
        <v>8.7194160000000007</v>
      </c>
      <c r="I5609">
        <v>0.47325519999999999</v>
      </c>
      <c r="J5609">
        <v>-416.53230000000002</v>
      </c>
      <c r="K5609">
        <v>1.111513</v>
      </c>
      <c r="L5609">
        <v>111.59950000000001</v>
      </c>
      <c r="M5609">
        <v>-0.1543995</v>
      </c>
      <c r="N5609">
        <v>0</v>
      </c>
      <c r="O5609">
        <v>-0.98791359999999995</v>
      </c>
      <c r="P5609">
        <v>-9.9406519999999998E-2</v>
      </c>
      <c r="Q5609">
        <v>5.3126380000000001E-2</v>
      </c>
      <c r="R5609">
        <v>-0.9936277</v>
      </c>
      <c r="S5609">
        <v>-0.1052551</v>
      </c>
      <c r="T5609">
        <v>0.20487259999999999</v>
      </c>
      <c r="U5609">
        <v>-2.998291</v>
      </c>
      <c r="V5609">
        <v>-5.5385139999999999E-2</v>
      </c>
      <c r="W5609">
        <v>6.6634659999999998E-2</v>
      </c>
      <c r="X5609">
        <v>0.99623910000000004</v>
      </c>
      <c r="Y5609">
        <v>-0.11973399999999999</v>
      </c>
      <c r="Z5609">
        <v>-6.6681009999999999E-2</v>
      </c>
      <c r="AA5609">
        <v>0.99056420000000001</v>
      </c>
      <c r="AB5609">
        <v>22</v>
      </c>
      <c r="AC5609">
        <v>-3.8767999999999998</v>
      </c>
      <c r="AD5609">
        <v>7.6079030000000003</v>
      </c>
      <c r="AE5609">
        <v>-111.126244799999</v>
      </c>
      <c r="AF5609">
        <v>-13.2670356926137</v>
      </c>
      <c r="AG5609">
        <v>7.6079030000000003</v>
      </c>
      <c r="AH5609">
        <v>109.877682321794</v>
      </c>
      <c r="AI5609">
        <v>86.067646852851595</v>
      </c>
      <c r="AJ5609">
        <v>96.884774554770502</v>
      </c>
      <c r="AK5609">
        <v>110.93691674341601</v>
      </c>
      <c r="AL5609">
        <v>86.179284273426106</v>
      </c>
      <c r="AM5609">
        <v>93.1820388549353</v>
      </c>
      <c r="AN5609">
        <v>1.00000001800747</v>
      </c>
    </row>
    <row r="5610" spans="1:40" x14ac:dyDescent="0.25">
      <c r="A5610" t="str">
        <f>"20190312160446480"</f>
        <v>20190312160446480</v>
      </c>
      <c r="B5610" t="str">
        <f>"1552377886470670"</f>
        <v>1552377886470670</v>
      </c>
      <c r="C5610" t="s">
        <v>40</v>
      </c>
      <c r="D5610">
        <v>6.1081659999999998</v>
      </c>
      <c r="E5610">
        <v>0.47535260000000001</v>
      </c>
      <c r="F5610" t="s">
        <v>100</v>
      </c>
      <c r="G5610">
        <v>-420.2604</v>
      </c>
      <c r="H5610">
        <v>8.7290639999999993</v>
      </c>
      <c r="I5610">
        <v>0.47476770000000001</v>
      </c>
      <c r="J5610">
        <v>-416.5641</v>
      </c>
      <c r="K5610">
        <v>1.111504</v>
      </c>
      <c r="L5610">
        <v>111.38209999999999</v>
      </c>
      <c r="M5610">
        <v>-0.1526382</v>
      </c>
      <c r="N5610">
        <v>0</v>
      </c>
      <c r="O5610">
        <v>-0.98818740000000005</v>
      </c>
      <c r="P5610">
        <v>-9.6333669999999996E-2</v>
      </c>
      <c r="Q5610">
        <v>5.3488210000000001E-2</v>
      </c>
      <c r="R5610">
        <v>-0.99391099999999999</v>
      </c>
      <c r="S5610">
        <v>-0.10058590000000001</v>
      </c>
      <c r="T5610">
        <v>0.20552339999999999</v>
      </c>
      <c r="U5610">
        <v>-2.9981840000000002</v>
      </c>
      <c r="V5610">
        <v>-5.6688210000000003E-2</v>
      </c>
      <c r="W5610">
        <v>6.6989590000000002E-2</v>
      </c>
      <c r="X5610">
        <v>0.99614199999999997</v>
      </c>
      <c r="Y5610">
        <v>-0.119504399999999</v>
      </c>
      <c r="Z5610">
        <v>-6.6924890000000001E-2</v>
      </c>
      <c r="AA5610">
        <v>0.99057550000000005</v>
      </c>
      <c r="AB5610">
        <v>22</v>
      </c>
      <c r="AC5610">
        <v>-3.6962999999999999</v>
      </c>
      <c r="AD5610">
        <v>7.6175599999999903</v>
      </c>
      <c r="AE5610">
        <v>-110.907332299999</v>
      </c>
      <c r="AF5610">
        <v>-13.215028942064601</v>
      </c>
      <c r="AG5610">
        <v>7.6175599999999903</v>
      </c>
      <c r="AH5610">
        <v>109.655017007399</v>
      </c>
      <c r="AI5610">
        <v>86.054594017936694</v>
      </c>
      <c r="AJ5610">
        <v>96.871836691714705</v>
      </c>
      <c r="AK5610">
        <v>110.71082587166499</v>
      </c>
      <c r="AL5610">
        <v>86.158902754076394</v>
      </c>
      <c r="AM5610">
        <v>93.257061518261196</v>
      </c>
      <c r="AN5610">
        <v>1.0000000212426801</v>
      </c>
    </row>
    <row r="5611" spans="1:40" x14ac:dyDescent="0.25">
      <c r="A5611" t="str">
        <f>"20190312160446495"</f>
        <v>20190312160446495</v>
      </c>
      <c r="B5611" t="str">
        <f>"1552377886491156"</f>
        <v>1552377886491156</v>
      </c>
      <c r="C5611" t="s">
        <v>40</v>
      </c>
      <c r="D5611">
        <v>6.0779050000000003</v>
      </c>
      <c r="E5611">
        <v>0.4756145</v>
      </c>
      <c r="F5611" t="s">
        <v>100</v>
      </c>
      <c r="G5611">
        <v>-419.97140000000002</v>
      </c>
      <c r="H5611">
        <v>9.1321759999999994</v>
      </c>
      <c r="I5611">
        <v>0.47770689999999999</v>
      </c>
      <c r="J5611">
        <v>-416.58409999999998</v>
      </c>
      <c r="K5611">
        <v>1.111507</v>
      </c>
      <c r="L5611">
        <v>111.244</v>
      </c>
      <c r="M5611">
        <v>-0.15152019999999999</v>
      </c>
      <c r="N5611">
        <v>0</v>
      </c>
      <c r="O5611">
        <v>-0.98835949999999995</v>
      </c>
      <c r="P5611">
        <v>-9.4924369999999994E-2</v>
      </c>
      <c r="Q5611">
        <v>5.1986400000000002E-2</v>
      </c>
      <c r="R5611">
        <v>-0.99412630000000002</v>
      </c>
      <c r="S5611">
        <v>-9.2102050000000005E-2</v>
      </c>
      <c r="T5611">
        <v>0.21680240000000001</v>
      </c>
      <c r="U5611">
        <v>-2.9978030000000002</v>
      </c>
      <c r="V5611">
        <v>-5.698222E-2</v>
      </c>
      <c r="W5611">
        <v>6.5486100000000005E-2</v>
      </c>
      <c r="X5611">
        <v>0.99622520000000003</v>
      </c>
      <c r="Y5611">
        <v>-0.1211849</v>
      </c>
      <c r="Z5611">
        <v>-7.0602449999999997E-2</v>
      </c>
      <c r="AA5611">
        <v>0.99011590000000005</v>
      </c>
      <c r="AB5611">
        <v>22</v>
      </c>
      <c r="AC5611">
        <v>-3.38730000000003</v>
      </c>
      <c r="AD5611">
        <v>8.0206689999999998</v>
      </c>
      <c r="AE5611">
        <v>-110.766293099999</v>
      </c>
      <c r="AF5611">
        <v>-13.366697675172199</v>
      </c>
      <c r="AG5611">
        <v>8.0206689999999998</v>
      </c>
      <c r="AH5611">
        <v>109.42722962617</v>
      </c>
      <c r="AI5611">
        <v>85.8387179383827</v>
      </c>
      <c r="AJ5611">
        <v>96.964262939725202</v>
      </c>
      <c r="AK5611">
        <v>110.531978728355</v>
      </c>
      <c r="AL5611">
        <v>86.245236009222296</v>
      </c>
      <c r="AM5611">
        <v>93.273644593484903</v>
      </c>
      <c r="AN5611">
        <v>1.00000002590218</v>
      </c>
    </row>
    <row r="5612" spans="1:40" x14ac:dyDescent="0.25">
      <c r="A5612" t="str">
        <f>"20190312160446507"</f>
        <v>20190312160446507</v>
      </c>
      <c r="B5612" t="str">
        <f>"1552377886500916"</f>
        <v>1552377886500916</v>
      </c>
      <c r="C5612" t="s">
        <v>40</v>
      </c>
      <c r="D5612">
        <v>5.9343110000000001</v>
      </c>
      <c r="E5612">
        <v>0.4757053</v>
      </c>
      <c r="F5612" t="s">
        <v>100</v>
      </c>
      <c r="G5612">
        <v>-419.90730000000002</v>
      </c>
      <c r="H5612">
        <v>9.2878349999999994</v>
      </c>
      <c r="I5612">
        <v>0.47835919999999998</v>
      </c>
      <c r="J5612">
        <v>-416.60230000000001</v>
      </c>
      <c r="K5612">
        <v>1.1115120000000001</v>
      </c>
      <c r="L5612">
        <v>111.11799999999999</v>
      </c>
      <c r="M5612">
        <v>-0.15049939999999901</v>
      </c>
      <c r="N5612">
        <v>0</v>
      </c>
      <c r="O5612">
        <v>-0.98851560000000005</v>
      </c>
      <c r="P5612">
        <v>-9.3687060000000003E-2</v>
      </c>
      <c r="Q5612">
        <v>5.0913239999999998E-2</v>
      </c>
      <c r="R5612">
        <v>-0.9942995</v>
      </c>
      <c r="S5612">
        <v>-8.9935299999999996E-2</v>
      </c>
      <c r="T5612">
        <v>0.22127060000000001</v>
      </c>
      <c r="U5612">
        <v>-2.9975890000000001</v>
      </c>
      <c r="V5612">
        <v>-5.719904E-2</v>
      </c>
      <c r="W5612">
        <v>6.4410720000000005E-2</v>
      </c>
      <c r="X5612">
        <v>0.99628289999999997</v>
      </c>
      <c r="Y5612">
        <v>-0.12087580000000001</v>
      </c>
      <c r="Z5612">
        <v>-7.207421E-2</v>
      </c>
      <c r="AA5612">
        <v>0.99004760000000003</v>
      </c>
      <c r="AB5612">
        <v>22</v>
      </c>
      <c r="AC5612">
        <v>-3.3050000000000002</v>
      </c>
      <c r="AD5612">
        <v>8.176323</v>
      </c>
      <c r="AE5612">
        <v>-110.6396408</v>
      </c>
      <c r="AF5612">
        <v>-13.312766070762001</v>
      </c>
      <c r="AG5612">
        <v>8.176323</v>
      </c>
      <c r="AH5612">
        <v>109.280397594181</v>
      </c>
      <c r="AI5612">
        <v>85.752407486862097</v>
      </c>
      <c r="AJ5612">
        <v>96.945667012875901</v>
      </c>
      <c r="AK5612">
        <v>110.39151822761301</v>
      </c>
      <c r="AL5612">
        <v>86.306981179870107</v>
      </c>
      <c r="AM5612">
        <v>93.2858838207259</v>
      </c>
      <c r="AN5612">
        <v>1.00000004393012</v>
      </c>
    </row>
    <row r="5613" spans="1:40" x14ac:dyDescent="0.25">
      <c r="A5613" t="str">
        <f>"20190312160446519"</f>
        <v>20190312160446519</v>
      </c>
      <c r="B5613" t="str">
        <f>"1552377886510677"</f>
        <v>1552377886510677</v>
      </c>
      <c r="C5613" t="s">
        <v>40</v>
      </c>
      <c r="D5613">
        <v>5.9892849999999997</v>
      </c>
      <c r="E5613">
        <v>0.47579110000000002</v>
      </c>
      <c r="F5613" t="s">
        <v>100</v>
      </c>
      <c r="G5613">
        <v>-419.81020000000001</v>
      </c>
      <c r="H5613">
        <v>9.32423</v>
      </c>
      <c r="I5613">
        <v>0.47934909999999997</v>
      </c>
      <c r="J5613">
        <v>-416.62009999999998</v>
      </c>
      <c r="K5613">
        <v>1.1115120000000001</v>
      </c>
      <c r="L5613">
        <v>110.99250000000001</v>
      </c>
      <c r="M5613">
        <v>-0.1494799</v>
      </c>
      <c r="N5613">
        <v>0</v>
      </c>
      <c r="O5613">
        <v>-0.9886701</v>
      </c>
      <c r="P5613">
        <v>-9.2558539999999995E-2</v>
      </c>
      <c r="Q5613">
        <v>5.0983140000000003E-2</v>
      </c>
      <c r="R5613">
        <v>-0.99440139999999999</v>
      </c>
      <c r="S5613">
        <v>-8.6914060000000001E-2</v>
      </c>
      <c r="T5613">
        <v>0.22251270000000001</v>
      </c>
      <c r="U5613">
        <v>-2.99762</v>
      </c>
      <c r="V5613">
        <v>-5.7302359999999997E-2</v>
      </c>
      <c r="W5613">
        <v>6.4478750000000001E-2</v>
      </c>
      <c r="X5613">
        <v>0.99627250000000001</v>
      </c>
      <c r="Y5613">
        <v>-0.1208502</v>
      </c>
      <c r="Z5613">
        <v>-7.249419E-2</v>
      </c>
      <c r="AA5613">
        <v>0.99002009999999996</v>
      </c>
      <c r="AB5613">
        <v>22</v>
      </c>
      <c r="AC5613">
        <v>-3.1901000000000201</v>
      </c>
      <c r="AD5613">
        <v>8.21271799999999</v>
      </c>
      <c r="AE5613">
        <v>-110.5131509</v>
      </c>
      <c r="AF5613">
        <v>-13.293435805130899</v>
      </c>
      <c r="AG5613">
        <v>8.21271799999999</v>
      </c>
      <c r="AH5613">
        <v>109.145905761951</v>
      </c>
      <c r="AI5613">
        <v>85.728318452100694</v>
      </c>
      <c r="AJ5613">
        <v>96.944143032071807</v>
      </c>
      <c r="AK5613">
        <v>110.258754378277</v>
      </c>
      <c r="AL5613">
        <v>86.303074999354195</v>
      </c>
      <c r="AM5613">
        <v>93.291840438151596</v>
      </c>
      <c r="AN5613">
        <v>0.99999998195969098</v>
      </c>
    </row>
    <row r="5614" spans="1:40" x14ac:dyDescent="0.25">
      <c r="A5614" t="str">
        <f>"20190312160446536"</f>
        <v>20190312160446536</v>
      </c>
      <c r="B5614" t="str">
        <f>"1552377886531172"</f>
        <v>1552377886531172</v>
      </c>
      <c r="C5614" t="s">
        <v>40</v>
      </c>
      <c r="D5614">
        <v>6.0510000000000002</v>
      </c>
      <c r="E5614">
        <v>0.47607359999999999</v>
      </c>
      <c r="F5614" t="s">
        <v>100</v>
      </c>
      <c r="G5614">
        <v>-419.721</v>
      </c>
      <c r="H5614">
        <v>9.4803300000000004</v>
      </c>
      <c r="I5614">
        <v>0.48025319999999999</v>
      </c>
      <c r="J5614">
        <v>-416.6422</v>
      </c>
      <c r="K5614">
        <v>1.1115189999999999</v>
      </c>
      <c r="L5614">
        <v>110.83669999999999</v>
      </c>
      <c r="M5614">
        <v>-0.14821129999999999</v>
      </c>
      <c r="N5614">
        <v>0</v>
      </c>
      <c r="O5614">
        <v>-0.98886110000000005</v>
      </c>
      <c r="P5614">
        <v>-9.2189839999999995E-2</v>
      </c>
      <c r="Q5614">
        <v>5.0844519999999997E-2</v>
      </c>
      <c r="R5614">
        <v>-0.99444279999999996</v>
      </c>
      <c r="S5614">
        <v>-8.4106449999999999E-2</v>
      </c>
      <c r="T5614">
        <v>0.22698769999999999</v>
      </c>
      <c r="U5614">
        <v>-2.9974370000000001</v>
      </c>
      <c r="V5614">
        <v>-5.6394050000000001E-2</v>
      </c>
      <c r="W5614">
        <v>6.4340759999999997E-2</v>
      </c>
      <c r="X5614">
        <v>0.99633320000000003</v>
      </c>
      <c r="Y5614">
        <v>-0.120504399999999</v>
      </c>
      <c r="Z5614">
        <v>-7.3972560000000007E-2</v>
      </c>
      <c r="AA5614">
        <v>0.98995290000000002</v>
      </c>
      <c r="AB5614">
        <v>22</v>
      </c>
      <c r="AC5614">
        <v>-3.0788000000000002</v>
      </c>
      <c r="AD5614">
        <v>8.3688110000000009</v>
      </c>
      <c r="AE5614">
        <v>-110.3564468</v>
      </c>
      <c r="AF5614">
        <v>-13.2367492295696</v>
      </c>
      <c r="AG5614">
        <v>8.3688110000000009</v>
      </c>
      <c r="AH5614">
        <v>108.96759622466</v>
      </c>
      <c r="AI5614">
        <v>85.6401769475072</v>
      </c>
      <c r="AJ5614">
        <v>96.926024020981004</v>
      </c>
      <c r="AK5614">
        <v>110.087172525689</v>
      </c>
      <c r="AL5614">
        <v>86.310997517581001</v>
      </c>
      <c r="AM5614">
        <v>93.239575970108106</v>
      </c>
      <c r="AN5614">
        <v>0.99999993384750696</v>
      </c>
    </row>
    <row r="5615" spans="1:40" x14ac:dyDescent="0.25">
      <c r="A5615" t="str">
        <f>"20190312160446550"</f>
        <v>20190312160446550</v>
      </c>
      <c r="B5615" t="str">
        <f>"1552377886540933"</f>
        <v>1552377886540933</v>
      </c>
      <c r="C5615" t="s">
        <v>40</v>
      </c>
      <c r="D5615">
        <v>6.0943930000000002</v>
      </c>
      <c r="E5615">
        <v>0.47612749999999998</v>
      </c>
      <c r="F5615" t="s">
        <v>100</v>
      </c>
      <c r="G5615">
        <v>-419.76740000000001</v>
      </c>
      <c r="H5615">
        <v>9.7578329999999998</v>
      </c>
      <c r="I5615">
        <v>0.47978589999999999</v>
      </c>
      <c r="J5615">
        <v>-416.66120000000001</v>
      </c>
      <c r="K5615">
        <v>1.1115280000000001</v>
      </c>
      <c r="L5615">
        <v>110.7016</v>
      </c>
      <c r="M5615">
        <v>-0.14710809999999999</v>
      </c>
      <c r="N5615">
        <v>0</v>
      </c>
      <c r="O5615">
        <v>-0.98902579999999995</v>
      </c>
      <c r="P5615">
        <v>-9.2324859999999995E-2</v>
      </c>
      <c r="Q5615">
        <v>5.0183520000000002E-2</v>
      </c>
      <c r="R5615">
        <v>-0.9944636</v>
      </c>
      <c r="S5615">
        <v>-8.4869379999999994E-2</v>
      </c>
      <c r="T5615">
        <v>0.23480110000000001</v>
      </c>
      <c r="U5615">
        <v>-2.9968870000000001</v>
      </c>
      <c r="V5615">
        <v>-5.5149719999999999E-2</v>
      </c>
      <c r="W5615">
        <v>6.3682649999999993E-2</v>
      </c>
      <c r="X5615">
        <v>0.99644520000000003</v>
      </c>
      <c r="Y5615">
        <v>-0.1191454</v>
      </c>
      <c r="Z5615">
        <v>-7.6543E-2</v>
      </c>
      <c r="AA5615">
        <v>0.98992199999999997</v>
      </c>
      <c r="AB5615">
        <v>22</v>
      </c>
      <c r="AC5615">
        <v>-3.1061999999999999</v>
      </c>
      <c r="AD5615">
        <v>8.6463049999999999</v>
      </c>
      <c r="AE5615">
        <v>-110.22181409999899</v>
      </c>
      <c r="AF5615">
        <v>-13.0633178047777</v>
      </c>
      <c r="AG5615">
        <v>8.6463049999999999</v>
      </c>
      <c r="AH5615">
        <v>108.810372245869</v>
      </c>
      <c r="AI5615">
        <v>85.488959464052897</v>
      </c>
      <c r="AJ5615">
        <v>96.845925898747694</v>
      </c>
      <c r="AK5615">
        <v>109.93227901988701</v>
      </c>
      <c r="AL5615">
        <v>86.348782193218099</v>
      </c>
      <c r="AM5615">
        <v>93.167886872102699</v>
      </c>
      <c r="AN5615">
        <v>1.0000000040650701</v>
      </c>
    </row>
    <row r="5616" spans="1:40" x14ac:dyDescent="0.25">
      <c r="A5616" t="str">
        <f>"20190312160446569"</f>
        <v>20190312160446569</v>
      </c>
      <c r="B5616" t="str">
        <f>"1552377886560452"</f>
        <v>1552377886560452</v>
      </c>
      <c r="C5616" t="s">
        <v>40</v>
      </c>
      <c r="D5616">
        <v>6.077083</v>
      </c>
      <c r="E5616">
        <v>0.47629070000000001</v>
      </c>
      <c r="F5616" t="s">
        <v>100</v>
      </c>
      <c r="G5616">
        <v>-419.80399999999997</v>
      </c>
      <c r="H5616">
        <v>9.8352640000000005</v>
      </c>
      <c r="I5616">
        <v>0.47941210000000001</v>
      </c>
      <c r="J5616">
        <v>-416.68680000000001</v>
      </c>
      <c r="K5616">
        <v>1.1115280000000001</v>
      </c>
      <c r="L5616">
        <v>110.5177</v>
      </c>
      <c r="M5616">
        <v>-0.1456006</v>
      </c>
      <c r="N5616">
        <v>0</v>
      </c>
      <c r="O5616">
        <v>-0.98924909999999999</v>
      </c>
      <c r="P5616">
        <v>-9.1166469999999999E-2</v>
      </c>
      <c r="Q5616">
        <v>4.9989939999999997E-2</v>
      </c>
      <c r="R5616">
        <v>-0.99458049999999998</v>
      </c>
      <c r="S5616">
        <v>-8.5449220000000006E-2</v>
      </c>
      <c r="T5616">
        <v>0.23718610000000001</v>
      </c>
      <c r="U5616">
        <v>-2.9967959999999998</v>
      </c>
      <c r="V5616">
        <v>-5.4792609999999999E-2</v>
      </c>
      <c r="W5616">
        <v>6.3487550000000004E-2</v>
      </c>
      <c r="X5616">
        <v>0.99647739999999996</v>
      </c>
      <c r="Y5616">
        <v>-0.11744159999999999</v>
      </c>
      <c r="Z5616">
        <v>-7.7352210000000005E-2</v>
      </c>
      <c r="AA5616">
        <v>0.99006269999999996</v>
      </c>
      <c r="AB5616">
        <v>22</v>
      </c>
      <c r="AC5616">
        <v>-3.11720000000002</v>
      </c>
      <c r="AD5616">
        <v>8.7237360000000006</v>
      </c>
      <c r="AE5616">
        <v>-110.0382879</v>
      </c>
      <c r="AF5616">
        <v>-12.8584087199644</v>
      </c>
      <c r="AG5616">
        <v>8.7237360000000006</v>
      </c>
      <c r="AH5616">
        <v>108.637092353214</v>
      </c>
      <c r="AI5616">
        <v>85.440597198921594</v>
      </c>
      <c r="AJ5616">
        <v>96.750188028040697</v>
      </c>
      <c r="AK5616">
        <v>109.742699436309</v>
      </c>
      <c r="AL5616">
        <v>86.359983447731906</v>
      </c>
      <c r="AM5616">
        <v>93.147313785856994</v>
      </c>
      <c r="AN5616">
        <v>1.0000000539131799</v>
      </c>
    </row>
    <row r="5617" spans="1:40" x14ac:dyDescent="0.25">
      <c r="A5617" t="str">
        <f>"20190312160446582"</f>
        <v>20190312160446582</v>
      </c>
      <c r="B5617" t="str">
        <f>"1552377886571188"</f>
        <v>1552377886571188</v>
      </c>
      <c r="C5617" t="s">
        <v>40</v>
      </c>
      <c r="D5617">
        <v>5.9850459999999996</v>
      </c>
      <c r="E5617">
        <v>0.4763753</v>
      </c>
      <c r="F5617" t="s">
        <v>100</v>
      </c>
      <c r="G5617">
        <v>-419.74849999999998</v>
      </c>
      <c r="H5617">
        <v>10.09614</v>
      </c>
      <c r="I5617">
        <v>0.47997669999999998</v>
      </c>
      <c r="J5617">
        <v>-416.70499999999998</v>
      </c>
      <c r="K5617">
        <v>1.111532</v>
      </c>
      <c r="L5617">
        <v>110.3857</v>
      </c>
      <c r="M5617">
        <v>-0.1445149</v>
      </c>
      <c r="N5617">
        <v>0</v>
      </c>
      <c r="O5617">
        <v>-0.98940830000000002</v>
      </c>
      <c r="P5617">
        <v>-8.9784050000000004E-2</v>
      </c>
      <c r="Q5617">
        <v>5.0627190000000002E-2</v>
      </c>
      <c r="R5617">
        <v>-0.9946739</v>
      </c>
      <c r="S5617">
        <v>-8.3374019999999993E-2</v>
      </c>
      <c r="T5617">
        <v>0.24465700000000001</v>
      </c>
      <c r="U5617">
        <v>-2.9964140000000001</v>
      </c>
      <c r="V5617">
        <v>-5.5081159999999997E-2</v>
      </c>
      <c r="W5617">
        <v>6.4121880000000006E-2</v>
      </c>
      <c r="X5617">
        <v>0.9964208</v>
      </c>
      <c r="Y5617">
        <v>-0.1170387</v>
      </c>
      <c r="Z5617">
        <v>-7.9805029999999999E-2</v>
      </c>
      <c r="AA5617">
        <v>0.98991569999999995</v>
      </c>
      <c r="AB5617">
        <v>22</v>
      </c>
      <c r="AC5617">
        <v>-3.0434999999999901</v>
      </c>
      <c r="AD5617">
        <v>8.9846079999999997</v>
      </c>
      <c r="AE5617">
        <v>-109.90572330000001</v>
      </c>
      <c r="AF5617">
        <v>-12.7875608669376</v>
      </c>
      <c r="AG5617">
        <v>8.9846079999999997</v>
      </c>
      <c r="AH5617">
        <v>108.46734845168599</v>
      </c>
      <c r="AI5617">
        <v>85.2972850721778</v>
      </c>
      <c r="AJ5617">
        <v>96.723745720933294</v>
      </c>
      <c r="AK5617">
        <v>109.58745628026401</v>
      </c>
      <c r="AL5617">
        <v>86.323564539307597</v>
      </c>
      <c r="AM5617">
        <v>93.164034004232093</v>
      </c>
      <c r="AN5617">
        <v>0.99999998017715896</v>
      </c>
    </row>
    <row r="5618" spans="1:40" x14ac:dyDescent="0.25">
      <c r="A5618" t="str">
        <f>"20190312160446595"</f>
        <v>20190312160446595</v>
      </c>
      <c r="B5618" t="str">
        <f>"1552377886590709"</f>
        <v>1552377886590709</v>
      </c>
      <c r="C5618" t="s">
        <v>40</v>
      </c>
      <c r="D5618">
        <v>6.1248680000000002</v>
      </c>
      <c r="E5618">
        <v>0.47656510000000002</v>
      </c>
      <c r="F5618" t="s">
        <v>100</v>
      </c>
      <c r="G5618">
        <v>-419.62110000000001</v>
      </c>
      <c r="H5618">
        <v>10.308260000000001</v>
      </c>
      <c r="I5618">
        <v>0.48127559999999903</v>
      </c>
      <c r="J5618">
        <v>-416.72109999999998</v>
      </c>
      <c r="K5618">
        <v>1.111532</v>
      </c>
      <c r="L5618">
        <v>110.26739999999999</v>
      </c>
      <c r="M5618">
        <v>-0.14354120000000001</v>
      </c>
      <c r="N5618">
        <v>0</v>
      </c>
      <c r="O5618">
        <v>-0.98954980000000003</v>
      </c>
      <c r="P5618">
        <v>-8.8315149999999995E-2</v>
      </c>
      <c r="Q5618">
        <v>5.0616019999999998E-2</v>
      </c>
      <c r="R5618">
        <v>-0.99480579999999996</v>
      </c>
      <c r="S5618">
        <v>-7.9498289999999999E-2</v>
      </c>
      <c r="T5618">
        <v>0.25071539999999998</v>
      </c>
      <c r="U5618">
        <v>-2.9961549999999999</v>
      </c>
      <c r="V5618">
        <v>-5.5572499999999997E-2</v>
      </c>
      <c r="W5618">
        <v>6.4108070000000003E-2</v>
      </c>
      <c r="X5618">
        <v>0.99639449999999996</v>
      </c>
      <c r="Y5618">
        <v>-0.1173428</v>
      </c>
      <c r="Z5618">
        <v>-8.1792320000000002E-2</v>
      </c>
      <c r="AA5618">
        <v>0.98971750000000003</v>
      </c>
      <c r="AB5618">
        <v>22</v>
      </c>
      <c r="AC5618">
        <v>-2.9000000000000301</v>
      </c>
      <c r="AD5618">
        <v>9.1967280000000002</v>
      </c>
      <c r="AE5618">
        <v>-109.78612440000001</v>
      </c>
      <c r="AF5618">
        <v>-12.800580439884101</v>
      </c>
      <c r="AG5618">
        <v>9.1967280000000002</v>
      </c>
      <c r="AH5618">
        <v>108.305823844184</v>
      </c>
      <c r="AI5618">
        <v>85.179793889937102</v>
      </c>
      <c r="AJ5618">
        <v>96.7404741392494</v>
      </c>
      <c r="AK5618">
        <v>109.446727425132</v>
      </c>
      <c r="AL5618">
        <v>86.324357768926802</v>
      </c>
      <c r="AM5618">
        <v>93.192284080648804</v>
      </c>
      <c r="AN5618">
        <v>1.0000000735128001</v>
      </c>
    </row>
    <row r="5619" spans="1:40" x14ac:dyDescent="0.25">
      <c r="A5619" t="str">
        <f>"20190312160446615"</f>
        <v>20190312160446615</v>
      </c>
      <c r="B5619" t="str">
        <f>"1552377886611204"</f>
        <v>1552377886611204</v>
      </c>
      <c r="C5619" t="s">
        <v>40</v>
      </c>
      <c r="D5619">
        <v>5.9983829999999996</v>
      </c>
      <c r="E5619">
        <v>0.47675640000000002</v>
      </c>
      <c r="F5619" t="s">
        <v>100</v>
      </c>
      <c r="G5619">
        <v>-419.5136</v>
      </c>
      <c r="H5619">
        <v>10.563280000000001</v>
      </c>
      <c r="I5619">
        <v>0.48237039999999998</v>
      </c>
      <c r="J5619">
        <v>-416.7466</v>
      </c>
      <c r="K5619">
        <v>1.1115280000000001</v>
      </c>
      <c r="L5619">
        <v>110.0788</v>
      </c>
      <c r="M5619">
        <v>-0.14198649999999999</v>
      </c>
      <c r="N5619">
        <v>0</v>
      </c>
      <c r="O5619">
        <v>-0.98977420000000005</v>
      </c>
      <c r="P5619">
        <v>-8.6720690000000003E-2</v>
      </c>
      <c r="Q5619">
        <v>5.1820770000000002E-2</v>
      </c>
      <c r="R5619">
        <v>-0.99488430000000005</v>
      </c>
      <c r="S5619">
        <v>-7.6202389999999995E-2</v>
      </c>
      <c r="T5619">
        <v>0.25791510000000001</v>
      </c>
      <c r="U5619">
        <v>-2.9957729999999998</v>
      </c>
      <c r="V5619">
        <v>-5.5598559999999998E-2</v>
      </c>
      <c r="W5619">
        <v>6.5309080000000005E-2</v>
      </c>
      <c r="X5619">
        <v>0.9963149</v>
      </c>
      <c r="Y5619">
        <v>-0.1168725</v>
      </c>
      <c r="Z5619">
        <v>-8.4167160000000005E-2</v>
      </c>
      <c r="AA5619">
        <v>0.98957399999999995</v>
      </c>
      <c r="AB5619">
        <v>22</v>
      </c>
      <c r="AC5619">
        <v>-2.7669999999999901</v>
      </c>
      <c r="AD5619">
        <v>9.4517520000000008</v>
      </c>
      <c r="AE5619">
        <v>-109.596429599999</v>
      </c>
      <c r="AF5619">
        <v>-12.729093081176099</v>
      </c>
      <c r="AG5619">
        <v>9.4517520000000008</v>
      </c>
      <c r="AH5619">
        <v>108.075460307551</v>
      </c>
      <c r="AI5619">
        <v>85.036045818961895</v>
      </c>
      <c r="AJ5619">
        <v>96.717331564457893</v>
      </c>
      <c r="AK5619">
        <v>109.23218640688199</v>
      </c>
      <c r="AL5619">
        <v>86.255399899061402</v>
      </c>
      <c r="AM5619">
        <v>93.194032599168395</v>
      </c>
      <c r="AN5619">
        <v>0.99999992788326197</v>
      </c>
    </row>
    <row r="5620" spans="1:40" x14ac:dyDescent="0.25">
      <c r="A5620" t="str">
        <f>"20190312160446638"</f>
        <v>20190312160446638</v>
      </c>
      <c r="B5620" t="str">
        <f>"1552377886630725"</f>
        <v>1552377886630725</v>
      </c>
      <c r="C5620" t="s">
        <v>40</v>
      </c>
      <c r="D5620">
        <v>6.039231</v>
      </c>
      <c r="E5620">
        <v>0.47691230000000001</v>
      </c>
      <c r="F5620" t="s">
        <v>100</v>
      </c>
      <c r="G5620">
        <v>-419.41879999999998</v>
      </c>
      <c r="H5620">
        <v>10.942159999999999</v>
      </c>
      <c r="I5620">
        <v>0.48333169999999998</v>
      </c>
      <c r="J5620">
        <v>-416.77679999999998</v>
      </c>
      <c r="K5620">
        <v>1.1115189999999999</v>
      </c>
      <c r="L5620">
        <v>109.8528</v>
      </c>
      <c r="M5620">
        <v>-0.1401231</v>
      </c>
      <c r="N5620">
        <v>0</v>
      </c>
      <c r="O5620">
        <v>-0.99003980000000003</v>
      </c>
      <c r="P5620">
        <v>-8.5838940000000002E-2</v>
      </c>
      <c r="Q5620">
        <v>5.0813539999999997E-2</v>
      </c>
      <c r="R5620">
        <v>-0.99501260000000002</v>
      </c>
      <c r="S5620">
        <v>-7.3028560000000006E-2</v>
      </c>
      <c r="T5620">
        <v>0.26865509999999998</v>
      </c>
      <c r="U5620">
        <v>-2.9950709999999998</v>
      </c>
      <c r="V5620">
        <v>-5.4609659999999997E-2</v>
      </c>
      <c r="W5620">
        <v>6.4304139999999996E-2</v>
      </c>
      <c r="X5620">
        <v>0.99643499999999996</v>
      </c>
      <c r="Y5620">
        <v>-0.1160524</v>
      </c>
      <c r="Z5620">
        <v>-8.7706019999999996E-2</v>
      </c>
      <c r="AA5620">
        <v>0.9893632</v>
      </c>
      <c r="AB5620">
        <v>22</v>
      </c>
      <c r="AC5620">
        <v>-2.6419999999999901</v>
      </c>
      <c r="AD5620">
        <v>9.830641</v>
      </c>
      <c r="AE5620">
        <v>-109.36946829999999</v>
      </c>
      <c r="AF5620">
        <v>-12.6088794838351</v>
      </c>
      <c r="AG5620">
        <v>9.830641</v>
      </c>
      <c r="AH5620">
        <v>107.790120005166</v>
      </c>
      <c r="AI5620">
        <v>84.824042776738906</v>
      </c>
      <c r="AJ5620">
        <v>96.671921669529098</v>
      </c>
      <c r="AK5620">
        <v>108.969423762066</v>
      </c>
      <c r="AL5620">
        <v>86.313100188825203</v>
      </c>
      <c r="AM5620">
        <v>93.136959282121396</v>
      </c>
      <c r="AN5620">
        <v>0.99999997330572699</v>
      </c>
    </row>
    <row r="5621" spans="1:40" x14ac:dyDescent="0.25">
      <c r="A5621" t="str">
        <f>"20190312160446659"</f>
        <v>20190312160446659</v>
      </c>
      <c r="B5621" t="str">
        <f>"1552377886650249"</f>
        <v>1552377886650249</v>
      </c>
      <c r="C5621" t="s">
        <v>40</v>
      </c>
      <c r="D5621">
        <v>6.1769910000000001</v>
      </c>
      <c r="E5621">
        <v>0.47702670000000003</v>
      </c>
      <c r="F5621" t="s">
        <v>100</v>
      </c>
      <c r="G5621">
        <v>-419.36880000000002</v>
      </c>
      <c r="H5621">
        <v>11.038019999999999</v>
      </c>
      <c r="I5621">
        <v>0.48384090000000002</v>
      </c>
      <c r="J5621">
        <v>-416.80329999999998</v>
      </c>
      <c r="K5621">
        <v>1.111521</v>
      </c>
      <c r="L5621">
        <v>109.651</v>
      </c>
      <c r="M5621">
        <v>-0.138458</v>
      </c>
      <c r="N5621">
        <v>0</v>
      </c>
      <c r="O5621">
        <v>-0.99027410000000005</v>
      </c>
      <c r="P5621">
        <v>-8.6451340000000002E-2</v>
      </c>
      <c r="Q5621">
        <v>4.858167E-2</v>
      </c>
      <c r="R5621">
        <v>-0.99507100000000004</v>
      </c>
      <c r="S5621">
        <v>-7.0983889999999994E-2</v>
      </c>
      <c r="T5621">
        <v>0.27183259999999998</v>
      </c>
      <c r="U5621">
        <v>-2.9950260000000002</v>
      </c>
      <c r="V5621">
        <v>-5.2328649999999997E-2</v>
      </c>
      <c r="W5621">
        <v>6.2078889999999998E-2</v>
      </c>
      <c r="X5621">
        <v>0.99669850000000004</v>
      </c>
      <c r="Y5621">
        <v>-0.11505890000000001</v>
      </c>
      <c r="Z5621">
        <v>-8.8773939999999996E-2</v>
      </c>
      <c r="AA5621">
        <v>0.98938389999999998</v>
      </c>
      <c r="AB5621">
        <v>22</v>
      </c>
      <c r="AC5621">
        <v>-2.5655000000000401</v>
      </c>
      <c r="AD5621">
        <v>9.9264989999999997</v>
      </c>
      <c r="AE5621">
        <v>-109.16715910000001</v>
      </c>
      <c r="AF5621">
        <v>-12.4726230513785</v>
      </c>
      <c r="AG5621">
        <v>9.9264989999999997</v>
      </c>
      <c r="AH5621">
        <v>107.581733822432</v>
      </c>
      <c r="AI5621">
        <v>84.763161380277595</v>
      </c>
      <c r="AJ5621">
        <v>96.613133901041607</v>
      </c>
      <c r="AK5621">
        <v>108.75629250953401</v>
      </c>
      <c r="AL5621">
        <v>86.440853029158902</v>
      </c>
      <c r="AM5621">
        <v>93.005382796585494</v>
      </c>
      <c r="AN5621">
        <v>0.999999988048352</v>
      </c>
    </row>
    <row r="5622" spans="1:40" x14ac:dyDescent="0.25">
      <c r="A5622" t="str">
        <f>"20190312160446672"</f>
        <v>20190312160446672</v>
      </c>
      <c r="B5622" t="str">
        <f>"1552377886660981"</f>
        <v>1552377886660981</v>
      </c>
      <c r="C5622" t="s">
        <v>40</v>
      </c>
      <c r="D5622">
        <v>6.1774170000000002</v>
      </c>
      <c r="E5622">
        <v>0.47708279999999997</v>
      </c>
      <c r="F5622" t="s">
        <v>100</v>
      </c>
      <c r="G5622">
        <v>-419.4973</v>
      </c>
      <c r="H5622">
        <v>10.993539999999999</v>
      </c>
      <c r="I5622">
        <v>0.48253439999999997</v>
      </c>
      <c r="J5622">
        <v>-416.82100000000003</v>
      </c>
      <c r="K5622">
        <v>1.1115299999999999</v>
      </c>
      <c r="L5622">
        <v>109.5153</v>
      </c>
      <c r="M5622">
        <v>-0.13733909999999999</v>
      </c>
      <c r="N5622">
        <v>0</v>
      </c>
      <c r="O5622">
        <v>-0.99042980000000003</v>
      </c>
      <c r="P5622">
        <v>-8.7079489999999996E-2</v>
      </c>
      <c r="Q5622">
        <v>4.8240180000000001E-2</v>
      </c>
      <c r="R5622">
        <v>-0.99503299999999995</v>
      </c>
      <c r="S5622">
        <v>-7.3913569999999998E-2</v>
      </c>
      <c r="T5622">
        <v>0.27112809999999998</v>
      </c>
      <c r="U5622">
        <v>-2.995209</v>
      </c>
      <c r="V5622">
        <v>-5.0573529999999998E-2</v>
      </c>
      <c r="W5622">
        <v>6.1742419999999999E-2</v>
      </c>
      <c r="X5622">
        <v>0.99680999999999997</v>
      </c>
      <c r="Y5622">
        <v>-0.1129703</v>
      </c>
      <c r="Z5622">
        <v>-8.8571179999999999E-2</v>
      </c>
      <c r="AA5622">
        <v>0.98964280000000004</v>
      </c>
      <c r="AB5622">
        <v>22</v>
      </c>
      <c r="AC5622">
        <v>-2.6763000000000199</v>
      </c>
      <c r="AD5622">
        <v>9.8820099999999993</v>
      </c>
      <c r="AE5622">
        <v>-109.0327656</v>
      </c>
      <c r="AF5622">
        <v>-12.2245685337667</v>
      </c>
      <c r="AG5622">
        <v>9.8820099999999993</v>
      </c>
      <c r="AH5622">
        <v>107.484590725761</v>
      </c>
      <c r="AI5622">
        <v>84.780520645819195</v>
      </c>
      <c r="AJ5622">
        <v>96.488552309598603</v>
      </c>
      <c r="AK5622">
        <v>108.62794963066</v>
      </c>
      <c r="AL5622">
        <v>86.460168407994303</v>
      </c>
      <c r="AM5622">
        <v>92.904432537484297</v>
      </c>
      <c r="AN5622">
        <v>0.99999999223205804</v>
      </c>
    </row>
    <row r="5623" spans="1:40" x14ac:dyDescent="0.25">
      <c r="A5623" t="str">
        <f>"20190312160446685"</f>
        <v>20190312160446685</v>
      </c>
      <c r="B5623" t="str">
        <f>"1552377886680500"</f>
        <v>1552377886680500</v>
      </c>
      <c r="C5623" t="s">
        <v>40</v>
      </c>
      <c r="D5623">
        <v>6.1249479999999998</v>
      </c>
      <c r="E5623">
        <v>0.47719590000000001</v>
      </c>
      <c r="F5623" t="s">
        <v>100</v>
      </c>
      <c r="G5623">
        <v>-419.60289999999998</v>
      </c>
      <c r="H5623">
        <v>11.05411</v>
      </c>
      <c r="I5623">
        <v>0.48146060000000002</v>
      </c>
      <c r="J5623">
        <v>-416.8365</v>
      </c>
      <c r="K5623">
        <v>1.1115409999999999</v>
      </c>
      <c r="L5623">
        <v>109.39570000000001</v>
      </c>
      <c r="M5623">
        <v>-0.13635329999999901</v>
      </c>
      <c r="N5623">
        <v>0</v>
      </c>
      <c r="O5623">
        <v>-0.9905661</v>
      </c>
      <c r="P5623">
        <v>-8.7174169999999995E-2</v>
      </c>
      <c r="Q5623">
        <v>4.8878230000000002E-2</v>
      </c>
      <c r="R5623">
        <v>-0.99499320000000002</v>
      </c>
      <c r="S5623">
        <v>-7.6416020000000001E-2</v>
      </c>
      <c r="T5623">
        <v>0.2731112</v>
      </c>
      <c r="U5623">
        <v>-2.9950410000000001</v>
      </c>
      <c r="V5623">
        <v>-4.9483050000000001E-2</v>
      </c>
      <c r="W5623">
        <v>6.2382060000000003E-2</v>
      </c>
      <c r="X5623">
        <v>0.99682490000000001</v>
      </c>
      <c r="Y5623">
        <v>-0.111155</v>
      </c>
      <c r="Z5623">
        <v>-8.9245619999999998E-2</v>
      </c>
      <c r="AA5623">
        <v>0.9897878</v>
      </c>
      <c r="AB5623">
        <v>22</v>
      </c>
      <c r="AC5623">
        <v>-2.7663999999999702</v>
      </c>
      <c r="AD5623">
        <v>9.9425690000000007</v>
      </c>
      <c r="AE5623">
        <v>-108.9142394</v>
      </c>
      <c r="AF5623">
        <v>-12.0116095254707</v>
      </c>
      <c r="AG5623">
        <v>9.9425690000000007</v>
      </c>
      <c r="AH5623">
        <v>107.37978895443401</v>
      </c>
      <c r="AI5623">
        <v>84.742526286092399</v>
      </c>
      <c r="AJ5623">
        <v>96.382629192975003</v>
      </c>
      <c r="AK5623">
        <v>108.506002219283</v>
      </c>
      <c r="AL5623">
        <v>86.423448932761403</v>
      </c>
      <c r="AM5623">
        <v>92.841867769569205</v>
      </c>
      <c r="AN5623">
        <v>0.99999998745357799</v>
      </c>
    </row>
    <row r="5624" spans="1:40" x14ac:dyDescent="0.25">
      <c r="A5624" t="str">
        <f>"20190312160446697"</f>
        <v>20190312160446697</v>
      </c>
      <c r="B5624" t="str">
        <f>"1552377886691237"</f>
        <v>1552377886691237</v>
      </c>
      <c r="C5624" t="s">
        <v>40</v>
      </c>
      <c r="D5624">
        <v>6.1909700000000001</v>
      </c>
      <c r="E5624">
        <v>0.47725070000000003</v>
      </c>
      <c r="F5624" t="s">
        <v>100</v>
      </c>
      <c r="G5624">
        <v>-419.64800000000002</v>
      </c>
      <c r="H5624">
        <v>11.320320000000001</v>
      </c>
      <c r="I5624">
        <v>0.48100090000000001</v>
      </c>
      <c r="J5624">
        <v>-416.85109999999997</v>
      </c>
      <c r="K5624">
        <v>1.1115459999999999</v>
      </c>
      <c r="L5624">
        <v>109.28100000000001</v>
      </c>
      <c r="M5624">
        <v>-0.13540849999999999</v>
      </c>
      <c r="N5624">
        <v>0</v>
      </c>
      <c r="O5624">
        <v>-0.99069589999999996</v>
      </c>
      <c r="P5624">
        <v>-8.7363189999999993E-2</v>
      </c>
      <c r="Q5624">
        <v>4.9399150000000003E-2</v>
      </c>
      <c r="R5624">
        <v>-0.99495140000000004</v>
      </c>
      <c r="S5624">
        <v>-7.7301030000000007E-2</v>
      </c>
      <c r="T5624">
        <v>0.28068280000000001</v>
      </c>
      <c r="U5624">
        <v>-2.9945369999999998</v>
      </c>
      <c r="V5624">
        <v>-4.8339229999999997E-2</v>
      </c>
      <c r="W5624">
        <v>6.2905069999999993E-2</v>
      </c>
      <c r="X5624">
        <v>0.99684819999999996</v>
      </c>
      <c r="Y5624">
        <v>-0.1099164</v>
      </c>
      <c r="Z5624">
        <v>-9.1738139999999996E-2</v>
      </c>
      <c r="AA5624">
        <v>0.98969819999999997</v>
      </c>
      <c r="AB5624">
        <v>22</v>
      </c>
      <c r="AC5624">
        <v>-2.7969000000000501</v>
      </c>
      <c r="AD5624">
        <v>10.208773999999901</v>
      </c>
      <c r="AE5624">
        <v>-108.79999909999999</v>
      </c>
      <c r="AF5624">
        <v>-11.8583467374566</v>
      </c>
      <c r="AG5624">
        <v>10.208773999999901</v>
      </c>
      <c r="AH5624">
        <v>107.23303077373301</v>
      </c>
      <c r="AI5624">
        <v>84.594485366546706</v>
      </c>
      <c r="AJ5624">
        <v>96.310404206053903</v>
      </c>
      <c r="AK5624">
        <v>108.36864095691701</v>
      </c>
      <c r="AL5624">
        <v>86.393423854485803</v>
      </c>
      <c r="AM5624">
        <v>92.776216086128798</v>
      </c>
      <c r="AN5624">
        <v>1.0000000314159601</v>
      </c>
    </row>
    <row r="5625" spans="1:40" x14ac:dyDescent="0.25">
      <c r="A5625" t="str">
        <f>"20190312160446714"</f>
        <v>20190312160446714</v>
      </c>
      <c r="B5625" t="str">
        <f>"1552377886710757"</f>
        <v>1552377886710757</v>
      </c>
      <c r="C5625" t="s">
        <v>40</v>
      </c>
      <c r="D5625">
        <v>6.1772830000000001</v>
      </c>
      <c r="E5625">
        <v>0.4664162</v>
      </c>
      <c r="F5625" t="s">
        <v>100</v>
      </c>
      <c r="G5625">
        <v>-419.7011</v>
      </c>
      <c r="H5625">
        <v>11.46627</v>
      </c>
      <c r="I5625">
        <v>0.48046489999999997</v>
      </c>
      <c r="J5625">
        <v>-416.87259999999998</v>
      </c>
      <c r="K5625">
        <v>1.111542</v>
      </c>
      <c r="L5625">
        <v>109.11199999999999</v>
      </c>
      <c r="M5625">
        <v>-0.134016</v>
      </c>
      <c r="N5625">
        <v>0</v>
      </c>
      <c r="O5625">
        <v>-0.99088509999999996</v>
      </c>
      <c r="P5625">
        <v>-8.7097289999999994E-2</v>
      </c>
      <c r="Q5625">
        <v>4.7655790000000003E-2</v>
      </c>
      <c r="R5625">
        <v>-0.99505960000000004</v>
      </c>
      <c r="S5625">
        <v>-7.8430180000000002E-2</v>
      </c>
      <c r="T5625">
        <v>0.28496059999999901</v>
      </c>
      <c r="U5625">
        <v>-2.994186</v>
      </c>
      <c r="V5625">
        <v>-4.7210639999999998E-2</v>
      </c>
      <c r="W5625">
        <v>6.1165110000000002E-2</v>
      </c>
      <c r="X5625">
        <v>0.99701050000000002</v>
      </c>
      <c r="Y5625">
        <v>-0.1081468</v>
      </c>
      <c r="Z5625">
        <v>-9.3170320000000001E-2</v>
      </c>
      <c r="AA5625">
        <v>0.98975930000000001</v>
      </c>
      <c r="AB5625">
        <v>22</v>
      </c>
      <c r="AC5625">
        <v>-2.82850000000002</v>
      </c>
      <c r="AD5625">
        <v>10.354728</v>
      </c>
      <c r="AE5625">
        <v>-108.63153509999999</v>
      </c>
      <c r="AF5625">
        <v>-11.650954158703501</v>
      </c>
      <c r="AG5625">
        <v>10.354728</v>
      </c>
      <c r="AH5625">
        <v>107.058446366718</v>
      </c>
      <c r="AI5625">
        <v>84.507745594747803</v>
      </c>
      <c r="AJ5625">
        <v>96.210940930337202</v>
      </c>
      <c r="AK5625">
        <v>108.187226894942</v>
      </c>
      <c r="AL5625">
        <v>86.493308415761703</v>
      </c>
      <c r="AM5625">
        <v>92.711056115268505</v>
      </c>
      <c r="AN5625">
        <v>0.99999997616038505</v>
      </c>
    </row>
    <row r="5626" spans="1:40" x14ac:dyDescent="0.25">
      <c r="A5626" t="str">
        <f>"20190312160446728"</f>
        <v>20190312160446728</v>
      </c>
      <c r="B5626" t="str">
        <f>"1552377886720517"</f>
        <v>1552377886720517</v>
      </c>
      <c r="C5626" t="s">
        <v>40</v>
      </c>
      <c r="D5626">
        <v>6.139678</v>
      </c>
      <c r="E5626">
        <v>0.46480840000000001</v>
      </c>
      <c r="F5626" t="s">
        <v>100</v>
      </c>
      <c r="G5626">
        <v>-416.43979999999999</v>
      </c>
      <c r="H5626">
        <v>16.220979999999901</v>
      </c>
      <c r="I5626">
        <v>1.2757069999999999</v>
      </c>
      <c r="J5626">
        <v>-416.8897</v>
      </c>
      <c r="K5626">
        <v>1.111537</v>
      </c>
      <c r="L5626">
        <v>108.97580000000001</v>
      </c>
      <c r="M5626">
        <v>-0.13289409999999999</v>
      </c>
      <c r="N5626">
        <v>0</v>
      </c>
      <c r="O5626">
        <v>-0.99103620000000003</v>
      </c>
      <c r="P5626">
        <v>-8.6060349999999994E-2</v>
      </c>
      <c r="Q5626">
        <v>4.6227560000000001E-2</v>
      </c>
      <c r="R5626">
        <v>-0.99521700000000002</v>
      </c>
      <c r="S5626">
        <v>1.202393E-2</v>
      </c>
      <c r="T5626">
        <v>0.4197612</v>
      </c>
      <c r="U5626">
        <v>-2.9958499999999999</v>
      </c>
      <c r="V5626">
        <v>-4.7125819999999999E-2</v>
      </c>
      <c r="W5626">
        <v>5.9737220000000001E-2</v>
      </c>
      <c r="X5626">
        <v>0.99710109999999996</v>
      </c>
      <c r="Y5626">
        <v>-0.1368394</v>
      </c>
      <c r="Z5626">
        <v>-0.13626479999999999</v>
      </c>
      <c r="AA5626">
        <v>0.9811763</v>
      </c>
      <c r="AB5626">
        <v>22</v>
      </c>
      <c r="AC5626">
        <v>0.44990000000001301</v>
      </c>
      <c r="AD5626">
        <v>15.109442999999899</v>
      </c>
      <c r="AE5626">
        <v>-107.700093</v>
      </c>
      <c r="AF5626">
        <v>-14.4750596522984</v>
      </c>
      <c r="AG5626">
        <v>15.109442999999899</v>
      </c>
      <c r="AH5626">
        <v>104.625660690899</v>
      </c>
      <c r="AI5626">
        <v>81.858972029834902</v>
      </c>
      <c r="AJ5626">
        <v>97.8769222166828</v>
      </c>
      <c r="AK5626">
        <v>106.697476515216</v>
      </c>
      <c r="AL5626">
        <v>86.575270441905005</v>
      </c>
      <c r="AM5626">
        <v>92.705947072391297</v>
      </c>
      <c r="AN5626">
        <v>0.99999999099260495</v>
      </c>
    </row>
    <row r="5627" spans="1:40" x14ac:dyDescent="0.25">
      <c r="A5627" t="str">
        <f>"20190312160446748"</f>
        <v>20190312160446748</v>
      </c>
      <c r="B5627" t="str">
        <f>"1552377886741016"</f>
        <v>1552377886741016</v>
      </c>
      <c r="C5627" t="s">
        <v>40</v>
      </c>
      <c r="D5627">
        <v>6.1932960000000001</v>
      </c>
      <c r="E5627">
        <v>0.46363300000000002</v>
      </c>
      <c r="F5627" t="s">
        <v>100</v>
      </c>
      <c r="G5627">
        <v>-415.87970000000001</v>
      </c>
      <c r="H5627">
        <v>16.375209999999999</v>
      </c>
      <c r="I5627">
        <v>1.2779199999999999</v>
      </c>
      <c r="J5627">
        <v>-416.91329999999999</v>
      </c>
      <c r="K5627">
        <v>1.111537</v>
      </c>
      <c r="L5627">
        <v>108.7865</v>
      </c>
      <c r="M5627">
        <v>-0.1313356</v>
      </c>
      <c r="N5627">
        <v>0</v>
      </c>
      <c r="O5627">
        <v>-0.99124380000000001</v>
      </c>
      <c r="P5627">
        <v>-8.3720340000000004E-2</v>
      </c>
      <c r="Q5627">
        <v>4.5074679999999999E-2</v>
      </c>
      <c r="R5627">
        <v>-0.99546959999999995</v>
      </c>
      <c r="S5627">
        <v>2.810669E-2</v>
      </c>
      <c r="T5627">
        <v>0.4247687</v>
      </c>
      <c r="U5627">
        <v>-2.9971009999999998</v>
      </c>
      <c r="V5627">
        <v>-4.7906459999999998E-2</v>
      </c>
      <c r="W5627">
        <v>5.8580519999999997E-2</v>
      </c>
      <c r="X5627">
        <v>0.99713249999999998</v>
      </c>
      <c r="Y5627">
        <v>-0.14054159999999999</v>
      </c>
      <c r="Z5627">
        <v>-0.1378065</v>
      </c>
      <c r="AA5627">
        <v>0.98043729999999996</v>
      </c>
      <c r="AB5627">
        <v>22</v>
      </c>
      <c r="AC5627">
        <v>1.0335999999999701</v>
      </c>
      <c r="AD5627">
        <v>15.263673000000001</v>
      </c>
      <c r="AE5627">
        <v>-107.50857999999999</v>
      </c>
      <c r="AF5627">
        <v>-14.846431318839199</v>
      </c>
      <c r="AG5627">
        <v>15.263673000000001</v>
      </c>
      <c r="AH5627">
        <v>104.338417132006</v>
      </c>
      <c r="AI5627">
        <v>81.759084114829903</v>
      </c>
      <c r="AJ5627">
        <v>98.098318316873304</v>
      </c>
      <c r="AK5627">
        <v>106.48897372953</v>
      </c>
      <c r="AL5627">
        <v>86.641660662281893</v>
      </c>
      <c r="AM5627">
        <v>92.750616359909301</v>
      </c>
      <c r="AN5627">
        <v>0.99999996439472505</v>
      </c>
    </row>
    <row r="5628" spans="1:40" x14ac:dyDescent="0.25">
      <c r="A5628" t="str">
        <f>"20190312160446770"</f>
        <v>20190312160446770</v>
      </c>
      <c r="B5628" t="str">
        <f>"1552377886760533"</f>
        <v>1552377886760533</v>
      </c>
      <c r="C5628" t="s">
        <v>40</v>
      </c>
      <c r="D5628">
        <v>6.1885859999999999</v>
      </c>
      <c r="E5628">
        <v>0.46319389999999999</v>
      </c>
      <c r="F5628" t="s">
        <v>100</v>
      </c>
      <c r="G5628">
        <v>-415.28829999999999</v>
      </c>
      <c r="H5628">
        <v>16.321639999999999</v>
      </c>
      <c r="I5628">
        <v>1.2802559999999901</v>
      </c>
      <c r="J5628">
        <v>-416.93900000000002</v>
      </c>
      <c r="K5628">
        <v>1.111529</v>
      </c>
      <c r="L5628">
        <v>108.5765</v>
      </c>
      <c r="M5628">
        <v>-0.12960659999999999</v>
      </c>
      <c r="N5628">
        <v>0</v>
      </c>
      <c r="O5628">
        <v>-0.99147149999999995</v>
      </c>
      <c r="P5628">
        <v>-8.1043229999999994E-2</v>
      </c>
      <c r="Q5628">
        <v>4.5327480000000003E-2</v>
      </c>
      <c r="R5628">
        <v>-0.9956796</v>
      </c>
      <c r="S5628">
        <v>4.5318600000000001E-2</v>
      </c>
      <c r="T5628">
        <v>0.42419859999999998</v>
      </c>
      <c r="U5628">
        <v>-2.9982760000000002</v>
      </c>
      <c r="V5628">
        <v>-4.8847639999999998E-2</v>
      </c>
      <c r="W5628">
        <v>5.8828529999999997E-2</v>
      </c>
      <c r="X5628">
        <v>0.99707230000000002</v>
      </c>
      <c r="Y5628">
        <v>-0.14443789999999901</v>
      </c>
      <c r="Z5628">
        <v>-0.13757549999999999</v>
      </c>
      <c r="AA5628">
        <v>0.97990339999999998</v>
      </c>
      <c r="AB5628">
        <v>22</v>
      </c>
      <c r="AC5628">
        <v>1.65070000000002</v>
      </c>
      <c r="AD5628">
        <v>15.2101109999999</v>
      </c>
      <c r="AE5628">
        <v>-107.296244</v>
      </c>
      <c r="AF5628">
        <v>-15.238226984965401</v>
      </c>
      <c r="AG5628">
        <v>15.2101109999999</v>
      </c>
      <c r="AH5628">
        <v>104.08597237062099</v>
      </c>
      <c r="AI5628">
        <v>81.772678376231596</v>
      </c>
      <c r="AJ5628">
        <v>98.3289557777087</v>
      </c>
      <c r="AK5628">
        <v>106.289419429289</v>
      </c>
      <c r="AL5628">
        <v>86.627426407053306</v>
      </c>
      <c r="AM5628">
        <v>92.804739137387003</v>
      </c>
      <c r="AN5628">
        <v>1.00000002965141</v>
      </c>
    </row>
    <row r="5629" spans="1:40" x14ac:dyDescent="0.25">
      <c r="A5629" t="str">
        <f>"20190312160446783"</f>
        <v>20190312160446783</v>
      </c>
      <c r="B5629" t="str">
        <f>"1552377886781029"</f>
        <v>1552377886781029</v>
      </c>
      <c r="C5629" t="s">
        <v>40</v>
      </c>
      <c r="D5629">
        <v>5.9800500000000003</v>
      </c>
      <c r="E5629">
        <v>0.4627155</v>
      </c>
      <c r="F5629" t="s">
        <v>100</v>
      </c>
      <c r="G5629">
        <v>-414.92320000000001</v>
      </c>
      <c r="H5629">
        <v>16.371929999999999</v>
      </c>
      <c r="I5629">
        <v>0.52906989999999998</v>
      </c>
      <c r="J5629">
        <v>-416.95479999999998</v>
      </c>
      <c r="K5629">
        <v>1.111521</v>
      </c>
      <c r="L5629">
        <v>108.44629999999999</v>
      </c>
      <c r="M5629">
        <v>-0.12853519999999999</v>
      </c>
      <c r="N5629">
        <v>0</v>
      </c>
      <c r="O5629">
        <v>-0.99161080000000001</v>
      </c>
      <c r="P5629">
        <v>-8.0044340000000005E-2</v>
      </c>
      <c r="Q5629">
        <v>4.5604619999999998E-2</v>
      </c>
      <c r="R5629">
        <v>-0.99574739999999995</v>
      </c>
      <c r="S5629">
        <v>5.5938719999999997E-2</v>
      </c>
      <c r="T5629">
        <v>0.42347180000000001</v>
      </c>
      <c r="U5629">
        <v>-2.998291</v>
      </c>
      <c r="V5629">
        <v>-4.8769340000000001E-2</v>
      </c>
      <c r="W5629">
        <v>5.9104139999999999E-2</v>
      </c>
      <c r="X5629">
        <v>0.99705980000000005</v>
      </c>
      <c r="Y5629">
        <v>-0.14683850000000001</v>
      </c>
      <c r="Z5629">
        <v>-0.13734389999999999</v>
      </c>
      <c r="AA5629">
        <v>0.97957899999999998</v>
      </c>
      <c r="AB5629">
        <v>22</v>
      </c>
      <c r="AC5629">
        <v>2.0315999999999601</v>
      </c>
      <c r="AD5629">
        <v>15.260408999999999</v>
      </c>
      <c r="AE5629">
        <v>-107.9172301</v>
      </c>
      <c r="AF5629">
        <v>-15.5758526970086</v>
      </c>
      <c r="AG5629">
        <v>15.260408999999999</v>
      </c>
      <c r="AH5629">
        <v>104.668480350038</v>
      </c>
      <c r="AI5629">
        <v>81.793974205785304</v>
      </c>
      <c r="AJ5629">
        <v>98.4641452633265</v>
      </c>
      <c r="AK5629">
        <v>106.915752108248</v>
      </c>
      <c r="AL5629">
        <v>86.611607479468802</v>
      </c>
      <c r="AM5629">
        <v>92.800285511459407</v>
      </c>
      <c r="AN5629">
        <v>0.99999999633260706</v>
      </c>
    </row>
    <row r="5630" spans="1:40" x14ac:dyDescent="0.25">
      <c r="A5630" t="str">
        <f>"20190312160446796"</f>
        <v>20190312160446796</v>
      </c>
      <c r="B5630" t="str">
        <f>"1552377886790789"</f>
        <v>1552377886790789</v>
      </c>
      <c r="C5630" t="s">
        <v>40</v>
      </c>
      <c r="D5630">
        <v>6.1712280000000002</v>
      </c>
      <c r="E5630">
        <v>0.46301209999999998</v>
      </c>
      <c r="F5630" t="s">
        <v>100</v>
      </c>
      <c r="G5630">
        <v>-414.68239999999997</v>
      </c>
      <c r="H5630">
        <v>16.250339999999898</v>
      </c>
      <c r="I5630">
        <v>0.53151890000000002</v>
      </c>
      <c r="J5630">
        <v>-416.96890000000002</v>
      </c>
      <c r="K5630">
        <v>1.1115120000000001</v>
      </c>
      <c r="L5630">
        <v>108.32859999999999</v>
      </c>
      <c r="M5630">
        <v>-0.1275656</v>
      </c>
      <c r="N5630">
        <v>0</v>
      </c>
      <c r="O5630">
        <v>-0.99173639999999996</v>
      </c>
      <c r="P5630">
        <v>-7.8793070000000007E-2</v>
      </c>
      <c r="Q5630">
        <v>4.5340480000000002E-2</v>
      </c>
      <c r="R5630">
        <v>-0.99585979999999996</v>
      </c>
      <c r="S5630">
        <v>6.3140870000000002E-2</v>
      </c>
      <c r="T5630">
        <v>0.42065930000000001</v>
      </c>
      <c r="U5630">
        <v>-2.9986109999999999</v>
      </c>
      <c r="V5630">
        <v>-4.9048250000000002E-2</v>
      </c>
      <c r="W5630">
        <v>5.8838519999999998E-2</v>
      </c>
      <c r="X5630">
        <v>0.9970618</v>
      </c>
      <c r="Y5630">
        <v>-0.14822379999999999</v>
      </c>
      <c r="Z5630">
        <v>-0.13644329999999999</v>
      </c>
      <c r="AA5630">
        <v>0.97949620000000004</v>
      </c>
      <c r="AB5630">
        <v>22</v>
      </c>
      <c r="AC5630">
        <v>2.2865000000000402</v>
      </c>
      <c r="AD5630">
        <v>15.138827999999901</v>
      </c>
      <c r="AE5630">
        <v>-107.7970811</v>
      </c>
      <c r="AF5630">
        <v>-15.7105754358962</v>
      </c>
      <c r="AG5630">
        <v>15.138827999999901</v>
      </c>
      <c r="AH5630">
        <v>104.56316312316299</v>
      </c>
      <c r="AI5630">
        <v>81.852073460005101</v>
      </c>
      <c r="AJ5630">
        <v>98.544752504349006</v>
      </c>
      <c r="AK5630">
        <v>106.815080283927</v>
      </c>
      <c r="AL5630">
        <v>86.626852819621703</v>
      </c>
      <c r="AM5630">
        <v>92.816268888438998</v>
      </c>
      <c r="AN5630">
        <v>0.99999996764154597</v>
      </c>
    </row>
    <row r="5631" spans="1:40" x14ac:dyDescent="0.25">
      <c r="A5631" t="str">
        <f>"20190312160446816"</f>
        <v>20190312160446816</v>
      </c>
      <c r="B5631" t="str">
        <f>"1552377886811284"</f>
        <v>1552377886811284</v>
      </c>
      <c r="C5631" t="s">
        <v>40</v>
      </c>
      <c r="D5631">
        <v>6.2978709999999998</v>
      </c>
      <c r="E5631">
        <v>0.46353739999999999</v>
      </c>
      <c r="F5631" t="s">
        <v>100</v>
      </c>
      <c r="G5631">
        <v>-414.66149999999999</v>
      </c>
      <c r="H5631">
        <v>16.30275</v>
      </c>
      <c r="I5631">
        <v>0.5317307</v>
      </c>
      <c r="J5631">
        <v>-416.99169999999998</v>
      </c>
      <c r="K5631">
        <v>1.111494</v>
      </c>
      <c r="L5631">
        <v>108.13679999999999</v>
      </c>
      <c r="M5631">
        <v>-0.1259865</v>
      </c>
      <c r="N5631">
        <v>0</v>
      </c>
      <c r="O5631">
        <v>-0.99193810000000004</v>
      </c>
      <c r="P5631">
        <v>-7.5691980000000006E-2</v>
      </c>
      <c r="Q5631">
        <v>4.4597890000000001E-2</v>
      </c>
      <c r="R5631">
        <v>-0.99613359999999995</v>
      </c>
      <c r="S5631">
        <v>6.4178470000000001E-2</v>
      </c>
      <c r="T5631">
        <v>0.422539</v>
      </c>
      <c r="U5631">
        <v>-2.9983369999999998</v>
      </c>
      <c r="V5631">
        <v>-5.0568479999999999E-2</v>
      </c>
      <c r="W5631">
        <v>5.8089740000000001E-2</v>
      </c>
      <c r="X5631">
        <v>0.99702979999999997</v>
      </c>
      <c r="Y5631">
        <v>-0.14698820000000001</v>
      </c>
      <c r="Z5631">
        <v>-0.13710799999999901</v>
      </c>
      <c r="AA5631">
        <v>0.97958959999999995</v>
      </c>
      <c r="AB5631">
        <v>22</v>
      </c>
      <c r="AC5631">
        <v>2.3301999999999898</v>
      </c>
      <c r="AD5631">
        <v>15.191255999999999</v>
      </c>
      <c r="AE5631">
        <v>-107.6050693</v>
      </c>
      <c r="AF5631">
        <v>-15.5597077751501</v>
      </c>
      <c r="AG5631">
        <v>15.191255999999999</v>
      </c>
      <c r="AH5631">
        <v>104.374624819693</v>
      </c>
      <c r="AI5631">
        <v>81.808280015992494</v>
      </c>
      <c r="AJ5631">
        <v>98.478958753987598</v>
      </c>
      <c r="AK5631">
        <v>106.615857503268</v>
      </c>
      <c r="AL5631">
        <v>86.669828391358493</v>
      </c>
      <c r="AM5631">
        <v>92.903503876416394</v>
      </c>
      <c r="AN5631">
        <v>1.0000000055753999</v>
      </c>
    </row>
    <row r="5632" spans="1:40" x14ac:dyDescent="0.25">
      <c r="A5632" t="str">
        <f>"20190312160446951"</f>
        <v>20190312160446951</v>
      </c>
      <c r="B5632" t="str">
        <f>"1552377886941093"</f>
        <v>1552377886941093</v>
      </c>
      <c r="C5632" t="s">
        <v>40</v>
      </c>
      <c r="D5632">
        <v>6.3567210000000003</v>
      </c>
      <c r="E5632">
        <v>0.46328780000000003</v>
      </c>
      <c r="F5632" t="s">
        <v>100</v>
      </c>
      <c r="G5632">
        <v>-414.46449999999999</v>
      </c>
      <c r="H5632">
        <v>16.55181</v>
      </c>
      <c r="I5632">
        <v>0.53373530000000002</v>
      </c>
      <c r="J5632">
        <v>-417.137</v>
      </c>
      <c r="K5632">
        <v>1.1114809999999999</v>
      </c>
      <c r="L5632">
        <v>106.8473</v>
      </c>
      <c r="M5632">
        <v>-0.1154396</v>
      </c>
      <c r="N5632">
        <v>0</v>
      </c>
      <c r="O5632">
        <v>-0.99322109999999997</v>
      </c>
      <c r="P5632">
        <v>-6.5729360000000001E-2</v>
      </c>
      <c r="Q5632">
        <v>4.2862480000000001E-2</v>
      </c>
      <c r="R5632">
        <v>-0.99691689999999999</v>
      </c>
      <c r="S5632">
        <v>7.0404049999999996E-2</v>
      </c>
      <c r="T5632">
        <v>0.43015720000000002</v>
      </c>
      <c r="U5632">
        <v>-2.997757</v>
      </c>
      <c r="V5632">
        <v>-4.9940199999999997E-2</v>
      </c>
      <c r="W5632">
        <v>5.6347849999999998E-2</v>
      </c>
      <c r="X5632">
        <v>0.99716139999999998</v>
      </c>
      <c r="Y5632">
        <v>-0.1385024</v>
      </c>
      <c r="Z5632">
        <v>-0.13991339999999999</v>
      </c>
      <c r="AA5632">
        <v>0.9804292</v>
      </c>
      <c r="AB5632">
        <v>22</v>
      </c>
      <c r="AC5632">
        <v>2.6724999999999501</v>
      </c>
      <c r="AD5632">
        <v>15.440329</v>
      </c>
      <c r="AE5632">
        <v>-106.3135647</v>
      </c>
      <c r="AF5632">
        <v>-14.6203728804396</v>
      </c>
      <c r="AG5632">
        <v>15.440329</v>
      </c>
      <c r="AH5632">
        <v>103.120400309096</v>
      </c>
      <c r="AI5632">
        <v>81.567405453968405</v>
      </c>
      <c r="AJ5632">
        <v>98.069591418028693</v>
      </c>
      <c r="AK5632">
        <v>105.28996164259701</v>
      </c>
      <c r="AL5632">
        <v>86.769795047799803</v>
      </c>
      <c r="AM5632">
        <v>92.867112536442704</v>
      </c>
      <c r="AN5632">
        <v>0.99999998071281104</v>
      </c>
    </row>
    <row r="5633" spans="1:40" x14ac:dyDescent="0.25">
      <c r="A5633" t="str">
        <f>"20190312160446963"</f>
        <v>20190312160446963</v>
      </c>
      <c r="B5633" t="str">
        <f>"1552377886950853"</f>
        <v>1552377886950853</v>
      </c>
      <c r="C5633" t="s">
        <v>40</v>
      </c>
      <c r="D5633">
        <v>6.4544240000000004</v>
      </c>
      <c r="E5633">
        <v>0.46305030000000003</v>
      </c>
      <c r="F5633" t="s">
        <v>100</v>
      </c>
      <c r="G5633">
        <v>-413.46850000000001</v>
      </c>
      <c r="H5633">
        <v>16.192540000000001</v>
      </c>
      <c r="I5633">
        <v>0.54386519999999905</v>
      </c>
      <c r="J5633">
        <v>-417.14949999999999</v>
      </c>
      <c r="K5633">
        <v>1.1114599999999999</v>
      </c>
      <c r="L5633">
        <v>106.7306</v>
      </c>
      <c r="M5633">
        <v>-0.1145123</v>
      </c>
      <c r="N5633">
        <v>0</v>
      </c>
      <c r="O5633">
        <v>-0.9933284</v>
      </c>
      <c r="P5633">
        <v>-6.3144930000000002E-2</v>
      </c>
      <c r="Q5633">
        <v>4.1321959999999998E-2</v>
      </c>
      <c r="R5633">
        <v>-0.99714879999999995</v>
      </c>
      <c r="S5633">
        <v>0.10345459999999999</v>
      </c>
      <c r="T5633">
        <v>0.42529610000000001</v>
      </c>
      <c r="U5633">
        <v>-2.997833</v>
      </c>
      <c r="V5633">
        <v>-5.159735E-2</v>
      </c>
      <c r="W5633">
        <v>5.4802910000000003E-2</v>
      </c>
      <c r="X5633">
        <v>0.99716320000000003</v>
      </c>
      <c r="Y5633">
        <v>-0.14837739999999999</v>
      </c>
      <c r="Z5633">
        <v>-0.13825970000000001</v>
      </c>
      <c r="AA5633">
        <v>0.97921820000000004</v>
      </c>
      <c r="AB5633">
        <v>21</v>
      </c>
      <c r="AC5633">
        <v>3.6809999999999801</v>
      </c>
      <c r="AD5633">
        <v>15.081079999999901</v>
      </c>
      <c r="AE5633">
        <v>-106.1867348</v>
      </c>
      <c r="AF5633">
        <v>-15.5052190164607</v>
      </c>
      <c r="AG5633">
        <v>15.081079999999901</v>
      </c>
      <c r="AH5633">
        <v>102.99159608032799</v>
      </c>
      <c r="AI5633">
        <v>81.760921681364294</v>
      </c>
      <c r="AJ5633">
        <v>98.561492187877604</v>
      </c>
      <c r="AK5633">
        <v>105.23839439049</v>
      </c>
      <c r="AL5633">
        <v>86.858450824449605</v>
      </c>
      <c r="AM5633">
        <v>92.9620789817874</v>
      </c>
      <c r="AN5633">
        <v>1.00000004645286</v>
      </c>
    </row>
    <row r="5634" spans="1:40" x14ac:dyDescent="0.25">
      <c r="A5634" t="str">
        <f>"20190312160446976"</f>
        <v>20190312160446976</v>
      </c>
      <c r="B5634" t="str">
        <f>"1552377886970373"</f>
        <v>1552377886970373</v>
      </c>
      <c r="C5634" t="s">
        <v>40</v>
      </c>
      <c r="D5634">
        <v>6.2470499999999998</v>
      </c>
      <c r="E5634">
        <v>0.46328269999999999</v>
      </c>
      <c r="F5634" t="s">
        <v>100</v>
      </c>
      <c r="G5634">
        <v>-413.13650000000001</v>
      </c>
      <c r="H5634">
        <v>16.07385</v>
      </c>
      <c r="I5634">
        <v>0.54724119999999998</v>
      </c>
      <c r="J5634">
        <v>-417.16230000000002</v>
      </c>
      <c r="K5634">
        <v>1.111448</v>
      </c>
      <c r="L5634">
        <v>106.61</v>
      </c>
      <c r="M5634">
        <v>-0.1135631</v>
      </c>
      <c r="N5634">
        <v>0</v>
      </c>
      <c r="O5634">
        <v>-0.99343720000000002</v>
      </c>
      <c r="P5634">
        <v>-6.1528569999999998E-2</v>
      </c>
      <c r="Q5634">
        <v>4.0327080000000001E-2</v>
      </c>
      <c r="R5634">
        <v>-0.99729049999999997</v>
      </c>
      <c r="S5634">
        <v>0.1133118</v>
      </c>
      <c r="T5634">
        <v>0.42248649999999999</v>
      </c>
      <c r="U5634">
        <v>-2.9982600000000001</v>
      </c>
      <c r="V5634">
        <v>-5.226157E-2</v>
      </c>
      <c r="W5634">
        <v>5.3806840000000002E-2</v>
      </c>
      <c r="X5634">
        <v>0.99718280000000004</v>
      </c>
      <c r="Y5634">
        <v>-0.15064720000000001</v>
      </c>
      <c r="Z5634">
        <v>-0.1373356</v>
      </c>
      <c r="AA5634">
        <v>0.97900169999999997</v>
      </c>
      <c r="AB5634">
        <v>21</v>
      </c>
      <c r="AC5634">
        <v>4.0258000000000003</v>
      </c>
      <c r="AD5634">
        <v>14.9624019999999</v>
      </c>
      <c r="AE5634">
        <v>-106.0627588</v>
      </c>
      <c r="AF5634">
        <v>-15.733033081719899</v>
      </c>
      <c r="AG5634">
        <v>14.9624019999999</v>
      </c>
      <c r="AH5634">
        <v>102.874886521096</v>
      </c>
      <c r="AI5634">
        <v>81.818584828840699</v>
      </c>
      <c r="AJ5634">
        <v>98.695082147513602</v>
      </c>
      <c r="AK5634">
        <v>105.141067524961</v>
      </c>
      <c r="AL5634">
        <v>86.915605601440205</v>
      </c>
      <c r="AM5634">
        <v>93.000082163581396</v>
      </c>
      <c r="AN5634">
        <v>0.99999999217274504</v>
      </c>
    </row>
    <row r="5635" spans="1:40" x14ac:dyDescent="0.25">
      <c r="A5635" t="str">
        <f>"20190312160446994"</f>
        <v>20190312160446994</v>
      </c>
      <c r="B5635" t="str">
        <f>"1552377886990869"</f>
        <v>1552377886990869</v>
      </c>
      <c r="C5635" t="s">
        <v>40</v>
      </c>
      <c r="D5635">
        <v>9.0581910000000008</v>
      </c>
      <c r="E5635">
        <v>0.46354089999999998</v>
      </c>
      <c r="F5635" t="s">
        <v>100</v>
      </c>
      <c r="G5635">
        <v>-413.03519999999997</v>
      </c>
      <c r="H5635">
        <v>16.012509999999999</v>
      </c>
      <c r="I5635">
        <v>0.54826929999999996</v>
      </c>
      <c r="J5635">
        <v>-417.18060000000003</v>
      </c>
      <c r="K5635">
        <v>1.11141</v>
      </c>
      <c r="L5635">
        <v>106.4361</v>
      </c>
      <c r="M5635">
        <v>-0.1122118</v>
      </c>
      <c r="N5635">
        <v>0</v>
      </c>
      <c r="O5635">
        <v>-0.9935908</v>
      </c>
      <c r="P5635">
        <v>-5.8605560000000001E-2</v>
      </c>
      <c r="Q5635">
        <v>3.8742190000000003E-2</v>
      </c>
      <c r="R5635">
        <v>-0.99752929999999995</v>
      </c>
      <c r="S5635">
        <v>0.1166687</v>
      </c>
      <c r="T5635">
        <v>0.4212439</v>
      </c>
      <c r="U5635">
        <v>-2.9983059999999999</v>
      </c>
      <c r="V5635">
        <v>-5.3829479999999999E-2</v>
      </c>
      <c r="W5635">
        <v>5.221787E-2</v>
      </c>
      <c r="X5635">
        <v>0.99718390000000001</v>
      </c>
      <c r="Y5635">
        <v>-0.150398799999999</v>
      </c>
      <c r="Z5635">
        <v>-0.13696910000000001</v>
      </c>
      <c r="AA5635">
        <v>0.97909120000000005</v>
      </c>
      <c r="AB5635">
        <v>21</v>
      </c>
      <c r="AC5635">
        <v>4.1454000000000502</v>
      </c>
      <c r="AD5635">
        <v>14.9011</v>
      </c>
      <c r="AE5635">
        <v>-105.88783069999999</v>
      </c>
      <c r="AF5635">
        <v>-15.691901444263801</v>
      </c>
      <c r="AG5635">
        <v>14.9011</v>
      </c>
      <c r="AH5635">
        <v>102.722579728216</v>
      </c>
      <c r="AI5635">
        <v>81.839525845005895</v>
      </c>
      <c r="AJ5635">
        <v>98.685359309604394</v>
      </c>
      <c r="AK5635">
        <v>104.97717341482399</v>
      </c>
      <c r="AL5635">
        <v>87.006775181265596</v>
      </c>
      <c r="AM5635">
        <v>93.089912957896601</v>
      </c>
      <c r="AN5635">
        <v>1.0000000246417999</v>
      </c>
    </row>
    <row r="5636" spans="1:40" x14ac:dyDescent="0.25">
      <c r="A5636" t="str">
        <f>"20190312160447017"</f>
        <v>20190312160447017</v>
      </c>
      <c r="B5636" t="str">
        <f>"1552377887010392"</f>
        <v>1552377887010392</v>
      </c>
      <c r="C5636" t="s">
        <v>40</v>
      </c>
      <c r="D5636">
        <v>6.1759060000000003</v>
      </c>
      <c r="E5636">
        <v>0.46396989999999999</v>
      </c>
      <c r="F5636" t="s">
        <v>100</v>
      </c>
      <c r="G5636">
        <v>-412.87090000000001</v>
      </c>
      <c r="H5636">
        <v>15.80803</v>
      </c>
      <c r="I5636">
        <v>0.54994009999999904</v>
      </c>
      <c r="J5636">
        <v>-417.20249999999999</v>
      </c>
      <c r="K5636">
        <v>1.111375</v>
      </c>
      <c r="L5636">
        <v>106.2243</v>
      </c>
      <c r="M5636">
        <v>-0.1105981</v>
      </c>
      <c r="N5636">
        <v>0</v>
      </c>
      <c r="O5636">
        <v>-0.99377190000000004</v>
      </c>
      <c r="P5636">
        <v>-5.5840319999999999E-2</v>
      </c>
      <c r="Q5636">
        <v>3.7015340000000001E-2</v>
      </c>
      <c r="R5636">
        <v>-0.99775349999999996</v>
      </c>
      <c r="S5636">
        <v>0.1220398</v>
      </c>
      <c r="T5636">
        <v>0.4161723</v>
      </c>
      <c r="U5636">
        <v>-2.9984440000000001</v>
      </c>
      <c r="V5636">
        <v>-5.4975049999999998E-2</v>
      </c>
      <c r="W5636">
        <v>5.0489239999999998E-2</v>
      </c>
      <c r="X5636">
        <v>0.99721040000000005</v>
      </c>
      <c r="Y5636">
        <v>-0.15055199999999999</v>
      </c>
      <c r="Z5636">
        <v>-0.135376</v>
      </c>
      <c r="AA5636">
        <v>0.97928919999999997</v>
      </c>
      <c r="AB5636">
        <v>21</v>
      </c>
      <c r="AC5636">
        <v>4.3315999999999697</v>
      </c>
      <c r="AD5636">
        <v>14.6966549999999</v>
      </c>
      <c r="AE5636">
        <v>-105.6743599</v>
      </c>
      <c r="AF5636">
        <v>-15.690514675557599</v>
      </c>
      <c r="AG5636">
        <v>14.6966549999999</v>
      </c>
      <c r="AH5636">
        <v>102.566344302602</v>
      </c>
      <c r="AI5636">
        <v>81.938170315691096</v>
      </c>
      <c r="AJ5636">
        <v>98.697630226839607</v>
      </c>
      <c r="AK5636">
        <v>104.795223662974</v>
      </c>
      <c r="AL5636">
        <v>87.105949181839804</v>
      </c>
      <c r="AM5636">
        <v>93.1554556243495</v>
      </c>
      <c r="AN5636">
        <v>1.0000000006732199</v>
      </c>
    </row>
    <row r="5637" spans="1:40" x14ac:dyDescent="0.25">
      <c r="A5637" t="str">
        <f>"20190312160447039"</f>
        <v>20190312160447039</v>
      </c>
      <c r="B5637" t="str">
        <f>"1552377887030885"</f>
        <v>1552377887030885</v>
      </c>
      <c r="C5637" t="s">
        <v>40</v>
      </c>
      <c r="D5637">
        <v>6.7842840000000004</v>
      </c>
      <c r="E5637">
        <v>0.46401300000000001</v>
      </c>
      <c r="F5637" t="s">
        <v>100</v>
      </c>
      <c r="G5637">
        <v>-412.74560000000002</v>
      </c>
      <c r="H5637">
        <v>15.66208</v>
      </c>
      <c r="I5637">
        <v>0.55121419999999999</v>
      </c>
      <c r="J5637">
        <v>-417.2244</v>
      </c>
      <c r="K5637">
        <v>1.111345</v>
      </c>
      <c r="L5637">
        <v>106.0103</v>
      </c>
      <c r="M5637">
        <v>-0.10900219999999999</v>
      </c>
      <c r="N5637">
        <v>0</v>
      </c>
      <c r="O5637">
        <v>-0.99394830000000001</v>
      </c>
      <c r="P5637">
        <v>-5.4137530000000003E-2</v>
      </c>
      <c r="Q5637">
        <v>3.6955920000000003E-2</v>
      </c>
      <c r="R5637">
        <v>-0.99784969999999995</v>
      </c>
      <c r="S5637">
        <v>0.12646479999999999</v>
      </c>
      <c r="T5637">
        <v>0.4128792</v>
      </c>
      <c r="U5637">
        <v>-2.9985050000000002</v>
      </c>
      <c r="V5637">
        <v>-5.5072690000000001E-2</v>
      </c>
      <c r="W5637">
        <v>5.0430179999999998E-2</v>
      </c>
      <c r="X5637">
        <v>0.99720799999999998</v>
      </c>
      <c r="Y5637">
        <v>-0.15041260000000001</v>
      </c>
      <c r="Z5637">
        <v>-0.13435549999999999</v>
      </c>
      <c r="AA5637">
        <v>0.97945119999999997</v>
      </c>
      <c r="AB5637">
        <v>21</v>
      </c>
      <c r="AC5637">
        <v>4.4787999999999704</v>
      </c>
      <c r="AD5637">
        <v>14.550735</v>
      </c>
      <c r="AE5637">
        <v>-105.4590858</v>
      </c>
      <c r="AF5637">
        <v>-15.651031137418901</v>
      </c>
      <c r="AG5637">
        <v>14.550735</v>
      </c>
      <c r="AH5637">
        <v>102.396519667089</v>
      </c>
      <c r="AI5637">
        <v>82.003953658218194</v>
      </c>
      <c r="AJ5637">
        <v>98.690246784948101</v>
      </c>
      <c r="AK5637">
        <v>104.602705054111</v>
      </c>
      <c r="AL5637">
        <v>87.109337384151999</v>
      </c>
      <c r="AM5637">
        <v>93.1610561979397</v>
      </c>
      <c r="AN5637">
        <v>0.99999999975133402</v>
      </c>
    </row>
    <row r="5638" spans="1:40" x14ac:dyDescent="0.25">
      <c r="A5638" t="str">
        <f>"20190312160447061"</f>
        <v>20190312160447061</v>
      </c>
      <c r="B5638" t="str">
        <f>"1552377887050405"</f>
        <v>1552377887050405</v>
      </c>
      <c r="C5638" t="s">
        <v>40</v>
      </c>
      <c r="D5638">
        <v>6.2055790000000002</v>
      </c>
      <c r="E5638">
        <v>0.46446029999999999</v>
      </c>
      <c r="F5638" t="s">
        <v>100</v>
      </c>
      <c r="G5638">
        <v>-412.58960000000002</v>
      </c>
      <c r="H5638">
        <v>15.57695</v>
      </c>
      <c r="I5638">
        <v>0.55280299999999905</v>
      </c>
      <c r="J5638">
        <v>-417.24509999999998</v>
      </c>
      <c r="K5638">
        <v>1.1113200000000001</v>
      </c>
      <c r="L5638">
        <v>105.80540000000001</v>
      </c>
      <c r="M5638">
        <v>-0.1075069</v>
      </c>
      <c r="N5638">
        <v>0</v>
      </c>
      <c r="O5638">
        <v>-0.99411130000000003</v>
      </c>
      <c r="P5638">
        <v>-5.2027089999999998E-2</v>
      </c>
      <c r="Q5638">
        <v>3.543615E-2</v>
      </c>
      <c r="R5638">
        <v>-0.9980173</v>
      </c>
      <c r="S5638">
        <v>0.1317749</v>
      </c>
      <c r="T5638">
        <v>0.41128530000000002</v>
      </c>
      <c r="U5638">
        <v>-2.998367</v>
      </c>
      <c r="V5638">
        <v>-5.5681750000000002E-2</v>
      </c>
      <c r="W5638">
        <v>4.8909050000000003E-2</v>
      </c>
      <c r="X5638">
        <v>0.99724999999999997</v>
      </c>
      <c r="Y5638">
        <v>-0.15066189999999999</v>
      </c>
      <c r="Z5638">
        <v>-0.13387779999999999</v>
      </c>
      <c r="AA5638">
        <v>0.97947830000000002</v>
      </c>
      <c r="AB5638">
        <v>21</v>
      </c>
      <c r="AC5638">
        <v>4.65549999999996</v>
      </c>
      <c r="AD5638">
        <v>14.4656299999999</v>
      </c>
      <c r="AE5638">
        <v>-105.25259699999999</v>
      </c>
      <c r="AF5638">
        <v>-15.6499065361379</v>
      </c>
      <c r="AG5638">
        <v>14.4656299999999</v>
      </c>
      <c r="AH5638">
        <v>102.21496184938</v>
      </c>
      <c r="AI5638">
        <v>82.036487904779193</v>
      </c>
      <c r="AJ5638">
        <v>98.704830497670798</v>
      </c>
      <c r="AK5638">
        <v>104.412989861209</v>
      </c>
      <c r="AL5638">
        <v>87.196599590995604</v>
      </c>
      <c r="AM5638">
        <v>93.195808562899003</v>
      </c>
      <c r="AN5638">
        <v>1.0000000574774801</v>
      </c>
    </row>
    <row r="5639" spans="1:40" x14ac:dyDescent="0.25">
      <c r="A5639" t="str">
        <f>"20190312160447083"</f>
        <v>20190312160447083</v>
      </c>
      <c r="B5639" t="str">
        <f>"1552377887070901"</f>
        <v>1552377887070901</v>
      </c>
      <c r="C5639" t="s">
        <v>40</v>
      </c>
      <c r="D5639">
        <v>6.261825</v>
      </c>
      <c r="E5639">
        <v>0.46492230000000001</v>
      </c>
      <c r="F5639" t="s">
        <v>100</v>
      </c>
      <c r="G5639">
        <v>-412.54469999999998</v>
      </c>
      <c r="H5639">
        <v>15.27946</v>
      </c>
      <c r="I5639">
        <v>0.553257</v>
      </c>
      <c r="J5639">
        <v>-417.26580000000001</v>
      </c>
      <c r="K5639">
        <v>1.1112899999999999</v>
      </c>
      <c r="L5639">
        <v>105.59650000000001</v>
      </c>
      <c r="M5639">
        <v>-0.10601430000000001</v>
      </c>
      <c r="N5639">
        <v>0</v>
      </c>
      <c r="O5639">
        <v>-0.99427149999999997</v>
      </c>
      <c r="P5639">
        <v>-5.014747E-2</v>
      </c>
      <c r="Q5639">
        <v>3.5178389999999997E-2</v>
      </c>
      <c r="R5639">
        <v>-0.99812219999999996</v>
      </c>
      <c r="S5639">
        <v>0.13391110000000001</v>
      </c>
      <c r="T5639">
        <v>0.40364860000000002</v>
      </c>
      <c r="U5639">
        <v>-2.9986269999999999</v>
      </c>
      <c r="V5639">
        <v>-5.6060489999999998E-2</v>
      </c>
      <c r="W5639">
        <v>4.8650430000000001E-2</v>
      </c>
      <c r="X5639">
        <v>0.99724139999999994</v>
      </c>
      <c r="Y5639">
        <v>-0.1498854</v>
      </c>
      <c r="Z5639">
        <v>-0.1314632</v>
      </c>
      <c r="AA5639">
        <v>0.97992440000000003</v>
      </c>
      <c r="AB5639">
        <v>21</v>
      </c>
      <c r="AC5639">
        <v>4.7211000000000301</v>
      </c>
      <c r="AD5639">
        <v>14.16817</v>
      </c>
      <c r="AE5639">
        <v>-105.04324299999899</v>
      </c>
      <c r="AF5639">
        <v>-15.549297150446399</v>
      </c>
      <c r="AG5639">
        <v>14.16817</v>
      </c>
      <c r="AH5639">
        <v>102.09697240395199</v>
      </c>
      <c r="AI5639">
        <v>82.188370214024602</v>
      </c>
      <c r="AJ5639">
        <v>98.659563053402096</v>
      </c>
      <c r="AK5639">
        <v>104.24159178118499</v>
      </c>
      <c r="AL5639">
        <v>87.211434998651796</v>
      </c>
      <c r="AM5639">
        <v>93.217528207858606</v>
      </c>
      <c r="AN5639">
        <v>1.00000002637609</v>
      </c>
    </row>
    <row r="5640" spans="1:40" x14ac:dyDescent="0.25">
      <c r="A5640" t="str">
        <f>"20190312160447097"</f>
        <v>20190312160447097</v>
      </c>
      <c r="B5640" t="str">
        <f>"1552377887091397"</f>
        <v>1552377887091397</v>
      </c>
      <c r="C5640" t="s">
        <v>40</v>
      </c>
      <c r="D5640">
        <v>6.3124739999999999</v>
      </c>
      <c r="E5640">
        <v>0.46545540000000002</v>
      </c>
      <c r="F5640" t="s">
        <v>100</v>
      </c>
      <c r="G5640">
        <v>-412.49869999999999</v>
      </c>
      <c r="H5640">
        <v>15.082269999999999</v>
      </c>
      <c r="I5640">
        <v>0.55372619999999995</v>
      </c>
      <c r="J5640">
        <v>-417.27850000000001</v>
      </c>
      <c r="K5640">
        <v>1.1112799999999901</v>
      </c>
      <c r="L5640">
        <v>105.4676</v>
      </c>
      <c r="M5640">
        <v>-0.1051096</v>
      </c>
      <c r="N5640">
        <v>0</v>
      </c>
      <c r="O5640">
        <v>-0.99436740000000001</v>
      </c>
      <c r="P5640">
        <v>-4.8481919999999998E-2</v>
      </c>
      <c r="Q5640">
        <v>3.4496230000000003E-2</v>
      </c>
      <c r="R5640">
        <v>-0.99822840000000002</v>
      </c>
      <c r="S5640">
        <v>0.1360779</v>
      </c>
      <c r="T5640">
        <v>0.39880080000000001</v>
      </c>
      <c r="U5640">
        <v>-2.9984440000000001</v>
      </c>
      <c r="V5640">
        <v>-5.6817010000000001E-2</v>
      </c>
      <c r="W5640">
        <v>4.7966490000000001E-2</v>
      </c>
      <c r="X5640">
        <v>0.99723170000000005</v>
      </c>
      <c r="Y5640">
        <v>-0.14970449999999999</v>
      </c>
      <c r="Z5640">
        <v>-0.12993830000000001</v>
      </c>
      <c r="AA5640">
        <v>0.98015540000000001</v>
      </c>
      <c r="AB5640">
        <v>21</v>
      </c>
      <c r="AC5640">
        <v>4.7798000000000203</v>
      </c>
      <c r="AD5640">
        <v>13.970989999999899</v>
      </c>
      <c r="AE5640">
        <v>-104.913873799999</v>
      </c>
      <c r="AF5640">
        <v>-15.507369448926299</v>
      </c>
      <c r="AG5640">
        <v>13.970989999999899</v>
      </c>
      <c r="AH5640">
        <v>102.024678588844</v>
      </c>
      <c r="AI5640">
        <v>82.290034037088702</v>
      </c>
      <c r="AJ5640">
        <v>98.642593064521506</v>
      </c>
      <c r="AK5640">
        <v>104.137899488911</v>
      </c>
      <c r="AL5640">
        <v>87.250667634681406</v>
      </c>
      <c r="AM5640">
        <v>93.260886387974196</v>
      </c>
      <c r="AN5640">
        <v>1.00000001013657</v>
      </c>
    </row>
    <row r="5641" spans="1:40" x14ac:dyDescent="0.25">
      <c r="A5641" t="str">
        <f>"20190312160447109"</f>
        <v>20190312160447109</v>
      </c>
      <c r="B5641" t="str">
        <f>"1552377887101157"</f>
        <v>1552377887101157</v>
      </c>
      <c r="C5641" t="s">
        <v>40</v>
      </c>
      <c r="D5641">
        <v>6.0115170000000004</v>
      </c>
      <c r="E5641">
        <v>0.46570719999999999</v>
      </c>
      <c r="F5641" t="s">
        <v>100</v>
      </c>
      <c r="G5641">
        <v>-412.48399999999998</v>
      </c>
      <c r="H5641">
        <v>14.863799999999999</v>
      </c>
      <c r="I5641">
        <v>0.55387310000000001</v>
      </c>
      <c r="J5641">
        <v>-417.29059999999998</v>
      </c>
      <c r="K5641">
        <v>1.1112759999999999</v>
      </c>
      <c r="L5641">
        <v>105.34350000000001</v>
      </c>
      <c r="M5641">
        <v>-0.1042459</v>
      </c>
      <c r="N5641">
        <v>0</v>
      </c>
      <c r="O5641">
        <v>-0.99445830000000002</v>
      </c>
      <c r="P5641">
        <v>-4.740084E-2</v>
      </c>
      <c r="Q5641">
        <v>3.553452E-2</v>
      </c>
      <c r="R5641">
        <v>-0.99824369999999996</v>
      </c>
      <c r="S5641">
        <v>0.1370239</v>
      </c>
      <c r="T5641">
        <v>0.39303949999999999</v>
      </c>
      <c r="U5641">
        <v>-2.998383</v>
      </c>
      <c r="V5641">
        <v>-5.7028589999999997E-2</v>
      </c>
      <c r="W5641">
        <v>4.9003819999999997E-2</v>
      </c>
      <c r="X5641">
        <v>0.99716919999999998</v>
      </c>
      <c r="Y5641">
        <v>-0.14916650000000001</v>
      </c>
      <c r="Z5641">
        <v>-0.1281176</v>
      </c>
      <c r="AA5641">
        <v>0.98047700000000004</v>
      </c>
      <c r="AB5641">
        <v>21</v>
      </c>
      <c r="AC5641">
        <v>4.80659999999994</v>
      </c>
      <c r="AD5641">
        <v>13.752523999999999</v>
      </c>
      <c r="AE5641">
        <v>-104.7896269</v>
      </c>
      <c r="AF5641">
        <v>-15.4399332957349</v>
      </c>
      <c r="AG5641">
        <v>13.752523999999999</v>
      </c>
      <c r="AH5641">
        <v>101.96493185485301</v>
      </c>
      <c r="AI5641">
        <v>82.404145838864693</v>
      </c>
      <c r="AJ5641">
        <v>98.610540224926694</v>
      </c>
      <c r="AK5641">
        <v>104.040236373781</v>
      </c>
      <c r="AL5641">
        <v>87.191163057251998</v>
      </c>
      <c r="AM5641">
        <v>93.273207899366696</v>
      </c>
      <c r="AN5641">
        <v>1.00000002394031</v>
      </c>
    </row>
    <row r="5642" spans="1:40" x14ac:dyDescent="0.25">
      <c r="A5642" t="str">
        <f>"20190312160447122"</f>
        <v>20190312160447122</v>
      </c>
      <c r="B5642" t="str">
        <f>"1552377887110918"</f>
        <v>1552377887110918</v>
      </c>
      <c r="C5642" t="s">
        <v>40</v>
      </c>
      <c r="D5642">
        <v>5.9902699999999998</v>
      </c>
      <c r="E5642">
        <v>0.46599370000000001</v>
      </c>
      <c r="F5642" t="s">
        <v>100</v>
      </c>
      <c r="G5642">
        <v>-412.4667</v>
      </c>
      <c r="H5642">
        <v>14.907859999999999</v>
      </c>
      <c r="I5642">
        <v>0.55404849999999894</v>
      </c>
      <c r="J5642">
        <v>-417.30220000000003</v>
      </c>
      <c r="K5642">
        <v>1.11127</v>
      </c>
      <c r="L5642">
        <v>105.2234</v>
      </c>
      <c r="M5642">
        <v>-0.1034207</v>
      </c>
      <c r="N5642">
        <v>0</v>
      </c>
      <c r="O5642">
        <v>-0.9945446</v>
      </c>
      <c r="P5642">
        <v>-4.6576270000000003E-2</v>
      </c>
      <c r="Q5642">
        <v>3.6776910000000003E-2</v>
      </c>
      <c r="R5642">
        <v>-0.99823759999999995</v>
      </c>
      <c r="S5642">
        <v>0.1380005</v>
      </c>
      <c r="T5642">
        <v>0.39468609999999998</v>
      </c>
      <c r="U5642">
        <v>-2.9977719999999999</v>
      </c>
      <c r="V5642">
        <v>-5.7021259999999997E-2</v>
      </c>
      <c r="W5642">
        <v>5.024493E-2</v>
      </c>
      <c r="X5642">
        <v>0.99710779999999999</v>
      </c>
      <c r="Y5642">
        <v>-0.14867049999999901</v>
      </c>
      <c r="Z5642">
        <v>-0.12869169999999999</v>
      </c>
      <c r="AA5642">
        <v>0.98047720000000005</v>
      </c>
      <c r="AB5642">
        <v>21</v>
      </c>
      <c r="AC5642">
        <v>4.8355000000000201</v>
      </c>
      <c r="AD5642">
        <v>13.79659</v>
      </c>
      <c r="AE5642">
        <v>-104.6693515</v>
      </c>
      <c r="AF5642">
        <v>-15.3690891916059</v>
      </c>
      <c r="AG5642">
        <v>13.79659</v>
      </c>
      <c r="AH5642">
        <v>101.84218525955799</v>
      </c>
      <c r="AI5642">
        <v>82.370445003445397</v>
      </c>
      <c r="AJ5642">
        <v>98.581797396475096</v>
      </c>
      <c r="AK5642">
        <v>103.91528038094199</v>
      </c>
      <c r="AL5642">
        <v>87.119964817220307</v>
      </c>
      <c r="AM5642">
        <v>93.272989195864099</v>
      </c>
      <c r="AN5642">
        <v>0.99999997095176496</v>
      </c>
    </row>
    <row r="5643" spans="1:40" x14ac:dyDescent="0.25">
      <c r="A5643" t="str">
        <f>"20190312160447139"</f>
        <v>20190312160447139</v>
      </c>
      <c r="B5643" t="str">
        <f>"1552377887130437"</f>
        <v>1552377887130437</v>
      </c>
      <c r="C5643" t="s">
        <v>40</v>
      </c>
      <c r="D5643">
        <v>9.2491249999999994</v>
      </c>
      <c r="E5643">
        <v>0.4661672</v>
      </c>
      <c r="F5643" t="s">
        <v>100</v>
      </c>
      <c r="G5643">
        <v>-412.4796</v>
      </c>
      <c r="H5643">
        <v>14.96875</v>
      </c>
      <c r="I5643">
        <v>0.55391689999999905</v>
      </c>
      <c r="J5643">
        <v>-417.31700000000001</v>
      </c>
      <c r="K5643">
        <v>1.1112679999999999</v>
      </c>
      <c r="L5643">
        <v>105.0699</v>
      </c>
      <c r="M5643">
        <v>-0.1023766</v>
      </c>
      <c r="N5643">
        <v>0</v>
      </c>
      <c r="O5643">
        <v>-0.99465289999999995</v>
      </c>
      <c r="P5643">
        <v>-4.6431149999999997E-2</v>
      </c>
      <c r="Q5643">
        <v>3.9424210000000001E-2</v>
      </c>
      <c r="R5643">
        <v>-0.99814389999999997</v>
      </c>
      <c r="S5643">
        <v>0.13809199999999999</v>
      </c>
      <c r="T5643">
        <v>0.39679779999999998</v>
      </c>
      <c r="U5643">
        <v>-2.997131</v>
      </c>
      <c r="V5643">
        <v>-5.6111620000000001E-2</v>
      </c>
      <c r="W5643">
        <v>5.2893099999999998E-2</v>
      </c>
      <c r="X5643">
        <v>0.99702239999999998</v>
      </c>
      <c r="Y5643">
        <v>-0.14766750000000001</v>
      </c>
      <c r="Z5643">
        <v>-0.12942670000000001</v>
      </c>
      <c r="AA5643">
        <v>0.98053210000000002</v>
      </c>
      <c r="AB5643">
        <v>21</v>
      </c>
      <c r="AC5643">
        <v>4.8373999999999402</v>
      </c>
      <c r="AD5643">
        <v>13.857481999999999</v>
      </c>
      <c r="AE5643">
        <v>-104.515983099999</v>
      </c>
      <c r="AF5643">
        <v>-15.245523406175399</v>
      </c>
      <c r="AG5643">
        <v>13.857481999999999</v>
      </c>
      <c r="AH5643">
        <v>101.68765862656799</v>
      </c>
      <c r="AI5643">
        <v>82.324565243441398</v>
      </c>
      <c r="AJ5643">
        <v>98.526563593185202</v>
      </c>
      <c r="AK5643">
        <v>103.753726237962</v>
      </c>
      <c r="AL5643">
        <v>86.9680335247443</v>
      </c>
      <c r="AM5643">
        <v>93.221162479032699</v>
      </c>
      <c r="AN5643">
        <v>0.99999993001419396</v>
      </c>
    </row>
    <row r="5644" spans="1:40" x14ac:dyDescent="0.25">
      <c r="A5644" t="str">
        <f>"20190312160447152"</f>
        <v>20190312160447152</v>
      </c>
      <c r="B5644" t="str">
        <f>"1552377887141173"</f>
        <v>1552377887141173</v>
      </c>
      <c r="C5644" t="s">
        <v>40</v>
      </c>
      <c r="D5644">
        <v>4.329008</v>
      </c>
      <c r="E5644">
        <v>0.4661672</v>
      </c>
      <c r="F5644" t="s">
        <v>100</v>
      </c>
      <c r="G5644">
        <v>-412.54320000000001</v>
      </c>
      <c r="H5644">
        <v>15.16553</v>
      </c>
      <c r="I5644">
        <v>0.55327219999999999</v>
      </c>
      <c r="J5644">
        <v>-417.32889999999998</v>
      </c>
      <c r="K5644">
        <v>1.1112569999999999</v>
      </c>
      <c r="L5644">
        <v>104.94450000000001</v>
      </c>
      <c r="M5644">
        <v>-0.101531</v>
      </c>
      <c r="N5644">
        <v>0</v>
      </c>
      <c r="O5644">
        <v>-0.9947395</v>
      </c>
      <c r="P5644">
        <v>-4.5415120000000003E-2</v>
      </c>
      <c r="Q5644">
        <v>4.0022639999999998E-2</v>
      </c>
      <c r="R5644">
        <v>-0.99816669999999996</v>
      </c>
      <c r="S5644">
        <v>0.13684079999999901</v>
      </c>
      <c r="T5644">
        <v>0.40287299999999998</v>
      </c>
      <c r="U5644">
        <v>-2.9960330000000002</v>
      </c>
      <c r="V5644">
        <v>-5.6276699999999902E-2</v>
      </c>
      <c r="W5644">
        <v>5.3490200000000002E-2</v>
      </c>
      <c r="X5644">
        <v>0.99698129999999996</v>
      </c>
      <c r="Y5644">
        <v>-0.14642239999999901</v>
      </c>
      <c r="Z5644">
        <v>-0.1314516</v>
      </c>
      <c r="AA5644">
        <v>0.98044940000000003</v>
      </c>
      <c r="AB5644">
        <v>21</v>
      </c>
      <c r="AC5644">
        <v>4.7856999999999603</v>
      </c>
      <c r="AD5644">
        <v>14.054272999999901</v>
      </c>
      <c r="AE5644">
        <v>-104.3912278</v>
      </c>
      <c r="AF5644">
        <v>-15.087986879614199</v>
      </c>
      <c r="AG5644">
        <v>14.054272999999901</v>
      </c>
      <c r="AH5644">
        <v>101.529326341493</v>
      </c>
      <c r="AI5644">
        <v>82.203422601495504</v>
      </c>
      <c r="AJ5644">
        <v>98.452703052832305</v>
      </c>
      <c r="AK5644">
        <v>103.601998267385</v>
      </c>
      <c r="AL5644">
        <v>86.933773896674893</v>
      </c>
      <c r="AM5644">
        <v>93.230751971548599</v>
      </c>
      <c r="AN5644">
        <v>0.99999999050430999</v>
      </c>
    </row>
    <row r="5645" spans="1:40" x14ac:dyDescent="0.25">
      <c r="A5645" t="str">
        <f>"20190312160447172"</f>
        <v>20190312160447172</v>
      </c>
      <c r="B5645" t="str">
        <f>"1552377887160693"</f>
        <v>1552377887160693</v>
      </c>
      <c r="C5645" t="s">
        <v>40</v>
      </c>
      <c r="D5645">
        <v>6.2069570000000001</v>
      </c>
      <c r="E5645">
        <v>0.43771850000000001</v>
      </c>
      <c r="F5645" t="s">
        <v>100</v>
      </c>
      <c r="G5645">
        <v>-412.45710000000003</v>
      </c>
      <c r="H5645">
        <v>15.224679999999999</v>
      </c>
      <c r="I5645">
        <v>0.55414960000000002</v>
      </c>
      <c r="J5645">
        <v>-417.34679999999997</v>
      </c>
      <c r="K5645">
        <v>1.1112379999999999</v>
      </c>
      <c r="L5645">
        <v>104.7547</v>
      </c>
      <c r="M5645">
        <v>-0.10026500000000001</v>
      </c>
      <c r="N5645">
        <v>0</v>
      </c>
      <c r="O5645">
        <v>-0.99486799999999997</v>
      </c>
      <c r="P5645">
        <v>-4.4515069999999997E-2</v>
      </c>
      <c r="Q5645">
        <v>3.9551360000000001E-2</v>
      </c>
      <c r="R5645">
        <v>-0.99822580000000005</v>
      </c>
      <c r="S5645">
        <v>0.13980100000000001</v>
      </c>
      <c r="T5645">
        <v>0.40500069999999999</v>
      </c>
      <c r="U5645">
        <v>-2.9956049999999999</v>
      </c>
      <c r="V5645">
        <v>-5.5905860000000002E-2</v>
      </c>
      <c r="W5645">
        <v>5.301927E-2</v>
      </c>
      <c r="X5645">
        <v>0.99702729999999995</v>
      </c>
      <c r="Y5645">
        <v>-0.14613229999999999</v>
      </c>
      <c r="Z5645">
        <v>-0.1321775</v>
      </c>
      <c r="AA5645">
        <v>0.98039509999999996</v>
      </c>
      <c r="AB5645">
        <v>21</v>
      </c>
      <c r="AC5645">
        <v>4.88969999999994</v>
      </c>
      <c r="AD5645">
        <v>14.113441999999999</v>
      </c>
      <c r="AE5645">
        <v>-104.2005504</v>
      </c>
      <c r="AF5645">
        <v>-15.0384090909386</v>
      </c>
      <c r="AG5645">
        <v>14.113441999999999</v>
      </c>
      <c r="AH5645">
        <v>101.330198533238</v>
      </c>
      <c r="AI5645">
        <v>82.155589213092497</v>
      </c>
      <c r="AJ5645">
        <v>98.441646118860405</v>
      </c>
      <c r="AK5645">
        <v>103.407698590865</v>
      </c>
      <c r="AL5645">
        <v>86.960794487423897</v>
      </c>
      <c r="AM5645">
        <v>93.2093595486851</v>
      </c>
      <c r="AN5645">
        <v>0.99999997255948003</v>
      </c>
    </row>
    <row r="5646" spans="1:40" x14ac:dyDescent="0.25">
      <c r="A5646" t="str">
        <f>"20190312160447188"</f>
        <v>20190312160447188</v>
      </c>
      <c r="B5646" t="str">
        <f>"1552377887181189"</f>
        <v>1552377887181189</v>
      </c>
      <c r="C5646" t="s">
        <v>40</v>
      </c>
      <c r="D5646">
        <v>6.2750110000000001</v>
      </c>
      <c r="E5646">
        <v>0.43373440000000002</v>
      </c>
      <c r="F5646" t="s">
        <v>100</v>
      </c>
      <c r="G5646">
        <v>-404.57279999999997</v>
      </c>
      <c r="H5646">
        <v>15.03476</v>
      </c>
      <c r="I5646">
        <v>0.63433070000000003</v>
      </c>
      <c r="J5646">
        <v>-417.3603</v>
      </c>
      <c r="K5646">
        <v>1.1112299999999999</v>
      </c>
      <c r="L5646">
        <v>104.6095</v>
      </c>
      <c r="M5646">
        <v>-9.9305580000000004E-2</v>
      </c>
      <c r="N5646">
        <v>0</v>
      </c>
      <c r="O5646">
        <v>-0.99496410000000002</v>
      </c>
      <c r="P5646">
        <v>-4.3851250000000001E-2</v>
      </c>
      <c r="Q5646">
        <v>3.9035630000000002E-2</v>
      </c>
      <c r="R5646">
        <v>-0.99827560000000004</v>
      </c>
      <c r="S5646">
        <v>0.3687744</v>
      </c>
      <c r="T5646">
        <v>0.40195829999999999</v>
      </c>
      <c r="U5646">
        <v>-3.0058590000000001</v>
      </c>
      <c r="V5646">
        <v>-5.5607379999999998E-2</v>
      </c>
      <c r="W5646">
        <v>5.2504049999999997E-2</v>
      </c>
      <c r="X5646">
        <v>0.99707129999999999</v>
      </c>
      <c r="Y5646">
        <v>-0.21870510000000001</v>
      </c>
      <c r="Z5646">
        <v>-0.12947819999999999</v>
      </c>
      <c r="AA5646">
        <v>0.96716259999999998</v>
      </c>
      <c r="AB5646">
        <v>21</v>
      </c>
      <c r="AC5646">
        <v>12.7875</v>
      </c>
      <c r="AD5646">
        <v>13.92353</v>
      </c>
      <c r="AE5646">
        <v>-103.9751693</v>
      </c>
      <c r="AF5646">
        <v>-22.650423094804601</v>
      </c>
      <c r="AG5646">
        <v>13.92353</v>
      </c>
      <c r="AH5646">
        <v>100.417240498583</v>
      </c>
      <c r="AI5646">
        <v>82.297003204709796</v>
      </c>
      <c r="AJ5646">
        <v>102.711087890971</v>
      </c>
      <c r="AK5646">
        <v>103.877468891886</v>
      </c>
      <c r="AL5646">
        <v>86.990355727520395</v>
      </c>
      <c r="AM5646">
        <v>93.192119809544096</v>
      </c>
      <c r="AN5646">
        <v>1.00000001663027</v>
      </c>
    </row>
    <row r="5647" spans="1:40" x14ac:dyDescent="0.25">
      <c r="A5647" t="str">
        <f>"20190312160447205"</f>
        <v>20190312160447205</v>
      </c>
      <c r="B5647" t="str">
        <f>"1552377887200709"</f>
        <v>1552377887200709</v>
      </c>
      <c r="C5647" t="s">
        <v>40</v>
      </c>
      <c r="D5647">
        <v>6.0199959999999999</v>
      </c>
      <c r="E5647">
        <v>0.43427549999999998</v>
      </c>
      <c r="F5647" t="s">
        <v>100</v>
      </c>
      <c r="G5647">
        <v>-403.43939999999998</v>
      </c>
      <c r="H5647">
        <v>15.501810000000001</v>
      </c>
      <c r="I5647">
        <v>0.64585879999999996</v>
      </c>
      <c r="J5647">
        <v>-417.37619999999998</v>
      </c>
      <c r="K5647">
        <v>1.1112299999999999</v>
      </c>
      <c r="L5647">
        <v>104.4366</v>
      </c>
      <c r="M5647">
        <v>-9.8173070000000001E-2</v>
      </c>
      <c r="N5647">
        <v>0</v>
      </c>
      <c r="O5647">
        <v>-0.99507659999999998</v>
      </c>
      <c r="P5647">
        <v>-4.3481350000000002E-2</v>
      </c>
      <c r="Q5647">
        <v>3.959609E-2</v>
      </c>
      <c r="R5647">
        <v>-0.99826950000000003</v>
      </c>
      <c r="S5647">
        <v>0.4025879</v>
      </c>
      <c r="T5647">
        <v>0.41616940000000002</v>
      </c>
      <c r="U5647">
        <v>-3.0065919999999999</v>
      </c>
      <c r="V5647">
        <v>-5.4838850000000001E-2</v>
      </c>
      <c r="W5647">
        <v>5.3065460000000002E-2</v>
      </c>
      <c r="X5647">
        <v>0.99708410000000003</v>
      </c>
      <c r="Y5647">
        <v>-0.22817979999999999</v>
      </c>
      <c r="Z5647">
        <v>-0.1337207</v>
      </c>
      <c r="AA5647">
        <v>0.96439240000000004</v>
      </c>
      <c r="AB5647">
        <v>21</v>
      </c>
      <c r="AC5647">
        <v>13.9368</v>
      </c>
      <c r="AD5647">
        <v>14.3905799999999</v>
      </c>
      <c r="AE5647">
        <v>-103.7907412</v>
      </c>
      <c r="AF5647">
        <v>-23.6139501988477</v>
      </c>
      <c r="AG5647">
        <v>14.3905799999999</v>
      </c>
      <c r="AH5647">
        <v>100.03199060076599</v>
      </c>
      <c r="AI5647">
        <v>82.029742866787799</v>
      </c>
      <c r="AJ5647">
        <v>103.282308839576</v>
      </c>
      <c r="AK5647">
        <v>103.783941822817</v>
      </c>
      <c r="AL5647">
        <v>86.958144264277294</v>
      </c>
      <c r="AM5647">
        <v>93.1480516711391</v>
      </c>
      <c r="AN5647">
        <v>0.99999997249357098</v>
      </c>
    </row>
    <row r="5648" spans="1:40" x14ac:dyDescent="0.25">
      <c r="A5648" t="str">
        <f>"20190312160447221"</f>
        <v>20190312160447221</v>
      </c>
      <c r="B5648" t="str">
        <f>"1552377887210471"</f>
        <v>1552377887210471</v>
      </c>
      <c r="C5648" t="s">
        <v>40</v>
      </c>
      <c r="D5648">
        <v>6.0035669999999897</v>
      </c>
      <c r="E5648">
        <v>0.4340637</v>
      </c>
      <c r="F5648" t="s">
        <v>100</v>
      </c>
      <c r="G5648">
        <v>-403.5754</v>
      </c>
      <c r="H5648">
        <v>15.40264</v>
      </c>
      <c r="I5648">
        <v>0.64447589999999999</v>
      </c>
      <c r="J5648">
        <v>-417.3886</v>
      </c>
      <c r="K5648">
        <v>1.111227</v>
      </c>
      <c r="L5648">
        <v>104.3005</v>
      </c>
      <c r="M5648">
        <v>-9.7291539999999996E-2</v>
      </c>
      <c r="N5648">
        <v>0</v>
      </c>
      <c r="O5648">
        <v>-0.99516329999999997</v>
      </c>
      <c r="P5648">
        <v>-4.3209980000000002E-2</v>
      </c>
      <c r="Q5648">
        <v>3.9895390000000003E-2</v>
      </c>
      <c r="R5648">
        <v>-0.99826950000000003</v>
      </c>
      <c r="S5648">
        <v>0.3997192</v>
      </c>
      <c r="T5648">
        <v>0.41393010000000002</v>
      </c>
      <c r="U5648">
        <v>-3.006195</v>
      </c>
      <c r="V5648">
        <v>-5.4224639999999998E-2</v>
      </c>
      <c r="W5648">
        <v>5.3365450000000002E-2</v>
      </c>
      <c r="X5648">
        <v>0.99710169999999998</v>
      </c>
      <c r="Y5648">
        <v>-0.22644159999999999</v>
      </c>
      <c r="Z5648">
        <v>-0.13308499999999901</v>
      </c>
      <c r="AA5648">
        <v>0.96488989999999997</v>
      </c>
      <c r="AB5648">
        <v>21</v>
      </c>
      <c r="AC5648">
        <v>13.813199999999901</v>
      </c>
      <c r="AD5648">
        <v>14.291413</v>
      </c>
      <c r="AE5648">
        <v>-103.6560241</v>
      </c>
      <c r="AF5648">
        <v>-23.396455837156701</v>
      </c>
      <c r="AG5648">
        <v>14.291413</v>
      </c>
      <c r="AH5648">
        <v>99.953281545150205</v>
      </c>
      <c r="AI5648">
        <v>82.074345562296401</v>
      </c>
      <c r="AJ5648">
        <v>103.174256945797</v>
      </c>
      <c r="AK5648">
        <v>103.645053538124</v>
      </c>
      <c r="AL5648">
        <v>86.940931771749902</v>
      </c>
      <c r="AM5648">
        <v>93.112807534286205</v>
      </c>
      <c r="AN5648">
        <v>0.99999999148986096</v>
      </c>
    </row>
    <row r="5649" spans="1:40" x14ac:dyDescent="0.25">
      <c r="A5649" t="str">
        <f>"20190312160447240"</f>
        <v>20190312160447240</v>
      </c>
      <c r="B5649" t="str">
        <f>"1552377887230965"</f>
        <v>1552377887230965</v>
      </c>
      <c r="C5649" t="s">
        <v>40</v>
      </c>
      <c r="D5649">
        <v>5.9269160000000003</v>
      </c>
      <c r="E5649">
        <v>0.43346760000000001</v>
      </c>
      <c r="F5649" t="s">
        <v>100</v>
      </c>
      <c r="G5649">
        <v>-403.54599999999999</v>
      </c>
      <c r="H5649">
        <v>15.25525</v>
      </c>
      <c r="I5649">
        <v>0.6447773</v>
      </c>
      <c r="J5649">
        <v>-417.40499999999997</v>
      </c>
      <c r="K5649">
        <v>1.1112219999999999</v>
      </c>
      <c r="L5649">
        <v>104.1185</v>
      </c>
      <c r="M5649">
        <v>-9.6124280000000006E-2</v>
      </c>
      <c r="N5649">
        <v>0</v>
      </c>
      <c r="O5649">
        <v>-0.99527670000000001</v>
      </c>
      <c r="P5649">
        <v>-4.4333629999999999E-2</v>
      </c>
      <c r="Q5649">
        <v>3.9659340000000001E-2</v>
      </c>
      <c r="R5649">
        <v>-0.9982297</v>
      </c>
      <c r="S5649">
        <v>0.4014587</v>
      </c>
      <c r="T5649">
        <v>0.41020000000000001</v>
      </c>
      <c r="U5649">
        <v>-3.006195</v>
      </c>
      <c r="V5649">
        <v>-5.1930589999999999E-2</v>
      </c>
      <c r="W5649">
        <v>5.3134029999999999E-2</v>
      </c>
      <c r="X5649">
        <v>0.99723620000000002</v>
      </c>
      <c r="Y5649">
        <v>-0.22586909999999999</v>
      </c>
      <c r="Z5649">
        <v>-0.13193450000000001</v>
      </c>
      <c r="AA5649">
        <v>0.96518210000000004</v>
      </c>
      <c r="AB5649">
        <v>21</v>
      </c>
      <c r="AC5649">
        <v>13.858999999999901</v>
      </c>
      <c r="AD5649">
        <v>14.144028</v>
      </c>
      <c r="AE5649">
        <v>-103.4737227</v>
      </c>
      <c r="AF5649">
        <v>-23.3141256933154</v>
      </c>
      <c r="AG5649">
        <v>14.144028</v>
      </c>
      <c r="AH5649">
        <v>99.829756574308306</v>
      </c>
      <c r="AI5649">
        <v>82.144552601749197</v>
      </c>
      <c r="AJ5649">
        <v>103.145188577526</v>
      </c>
      <c r="AK5649">
        <v>103.487111673841</v>
      </c>
      <c r="AL5649">
        <v>86.954210102018394</v>
      </c>
      <c r="AM5649">
        <v>92.980957249952695</v>
      </c>
      <c r="AN5649">
        <v>1.0000000249561101</v>
      </c>
    </row>
    <row r="5650" spans="1:40" x14ac:dyDescent="0.25">
      <c r="A5650" t="str">
        <f>"20190312160447263"</f>
        <v>20190312160447263</v>
      </c>
      <c r="B5650" t="str">
        <f>"1552377887250486"</f>
        <v>1552377887250486</v>
      </c>
      <c r="C5650" t="s">
        <v>40</v>
      </c>
      <c r="D5650">
        <v>6.0037659999999997</v>
      </c>
      <c r="E5650">
        <v>0.43309130000000001</v>
      </c>
      <c r="F5650" t="s">
        <v>100</v>
      </c>
      <c r="G5650">
        <v>-403.55610000000001</v>
      </c>
      <c r="H5650">
        <v>15.08426</v>
      </c>
      <c r="I5650">
        <v>0.64467240000000003</v>
      </c>
      <c r="J5650">
        <v>-417.42349999999999</v>
      </c>
      <c r="K5650">
        <v>1.111199</v>
      </c>
      <c r="L5650">
        <v>103.9109</v>
      </c>
      <c r="M5650">
        <v>-9.4815869999999997E-2</v>
      </c>
      <c r="N5650">
        <v>0</v>
      </c>
      <c r="O5650">
        <v>-0.99540220000000001</v>
      </c>
      <c r="P5650">
        <v>-4.4456629999999997E-2</v>
      </c>
      <c r="Q5650">
        <v>3.9622289999999998E-2</v>
      </c>
      <c r="R5650">
        <v>-0.99822569999999999</v>
      </c>
      <c r="S5650">
        <v>0.40246579999999998</v>
      </c>
      <c r="T5650">
        <v>0.40607330000000003</v>
      </c>
      <c r="U5650">
        <v>-3.0070800000000002</v>
      </c>
      <c r="V5650">
        <v>-5.0494089999999998E-2</v>
      </c>
      <c r="W5650">
        <v>5.3099260000000002E-2</v>
      </c>
      <c r="X5650">
        <v>0.99731179999999997</v>
      </c>
      <c r="Y5650">
        <v>-0.2248926</v>
      </c>
      <c r="Z5650">
        <v>-0.13063089999999999</v>
      </c>
      <c r="AA5650">
        <v>0.96558730000000004</v>
      </c>
      <c r="AB5650">
        <v>21</v>
      </c>
      <c r="AC5650">
        <v>13.8673999999999</v>
      </c>
      <c r="AD5650">
        <v>13.9730609999999</v>
      </c>
      <c r="AE5650">
        <v>-103.26622759999999</v>
      </c>
      <c r="AF5650">
        <v>-23.180203279181399</v>
      </c>
      <c r="AG5650">
        <v>13.9730609999999</v>
      </c>
      <c r="AH5650">
        <v>99.692984607441204</v>
      </c>
      <c r="AI5650">
        <v>82.226087170353907</v>
      </c>
      <c r="AJ5650">
        <v>103.089596654998</v>
      </c>
      <c r="AK5650">
        <v>103.301788163194</v>
      </c>
      <c r="AL5650">
        <v>86.956205033179202</v>
      </c>
      <c r="AM5650">
        <v>92.898421507292497</v>
      </c>
      <c r="AN5650">
        <v>1.00000000547835</v>
      </c>
    </row>
    <row r="5651" spans="1:40" x14ac:dyDescent="0.25">
      <c r="A5651" t="str">
        <f>"20190312160447284"</f>
        <v>20190312160447284</v>
      </c>
      <c r="B5651" t="str">
        <f>"1552377887270981"</f>
        <v>1552377887270981</v>
      </c>
      <c r="C5651" t="s">
        <v>40</v>
      </c>
      <c r="D5651">
        <v>6.0115160000000003</v>
      </c>
      <c r="E5651">
        <v>0.43264520000000001</v>
      </c>
      <c r="F5651" t="s">
        <v>100</v>
      </c>
      <c r="G5651">
        <v>-403.49860000000001</v>
      </c>
      <c r="H5651">
        <v>15.023099999999999</v>
      </c>
      <c r="I5651">
        <v>0.64525600000000005</v>
      </c>
      <c r="J5651">
        <v>-417.44130000000001</v>
      </c>
      <c r="K5651">
        <v>1.111165</v>
      </c>
      <c r="L5651">
        <v>103.7077</v>
      </c>
      <c r="M5651">
        <v>-9.3562629999999994E-2</v>
      </c>
      <c r="N5651">
        <v>0</v>
      </c>
      <c r="O5651">
        <v>-0.99552059999999998</v>
      </c>
      <c r="P5651">
        <v>-4.4247170000000002E-2</v>
      </c>
      <c r="Q5651">
        <v>3.7717460000000001E-2</v>
      </c>
      <c r="R5651">
        <v>-0.99830850000000004</v>
      </c>
      <c r="S5651">
        <v>0.40551759999999998</v>
      </c>
      <c r="T5651">
        <v>0.40514050000000001</v>
      </c>
      <c r="U5651">
        <v>-3.0072939999999999</v>
      </c>
      <c r="V5651">
        <v>-4.9448010000000001E-2</v>
      </c>
      <c r="W5651">
        <v>5.1197850000000003E-2</v>
      </c>
      <c r="X5651">
        <v>0.99746360000000001</v>
      </c>
      <c r="Y5651">
        <v>-0.22462509999999999</v>
      </c>
      <c r="Z5651">
        <v>-0.1303462</v>
      </c>
      <c r="AA5651">
        <v>0.96568799999999999</v>
      </c>
      <c r="AB5651">
        <v>21</v>
      </c>
      <c r="AC5651">
        <v>13.9427</v>
      </c>
      <c r="AD5651">
        <v>13.911935</v>
      </c>
      <c r="AE5651">
        <v>-103.062444</v>
      </c>
      <c r="AF5651">
        <v>-23.111661047943102</v>
      </c>
      <c r="AG5651">
        <v>13.911935</v>
      </c>
      <c r="AH5651">
        <v>99.524773492368297</v>
      </c>
      <c r="AI5651">
        <v>82.246258887652999</v>
      </c>
      <c r="AJ5651">
        <v>103.07352168491801</v>
      </c>
      <c r="AK5651">
        <v>103.115815229994</v>
      </c>
      <c r="AL5651">
        <v>87.065296177021594</v>
      </c>
      <c r="AM5651">
        <v>92.838043221848096</v>
      </c>
      <c r="AN5651">
        <v>0.99999997943127095</v>
      </c>
    </row>
    <row r="5652" spans="1:40" x14ac:dyDescent="0.25">
      <c r="A5652" t="str">
        <f>"20190312160447431"</f>
        <v>20190312160447431</v>
      </c>
      <c r="B5652" t="str">
        <f>"1552377887421285"</f>
        <v>1552377887421285</v>
      </c>
      <c r="C5652" t="s">
        <v>40</v>
      </c>
      <c r="D5652">
        <v>6.0689789999999997</v>
      </c>
      <c r="E5652">
        <v>0.4398049</v>
      </c>
      <c r="F5652" t="s">
        <v>100</v>
      </c>
      <c r="G5652">
        <v>-403.38830000000002</v>
      </c>
      <c r="H5652">
        <v>14.95476</v>
      </c>
      <c r="I5652">
        <v>0.6463776</v>
      </c>
      <c r="J5652">
        <v>-417.55610000000001</v>
      </c>
      <c r="K5652">
        <v>1.110852</v>
      </c>
      <c r="L5652">
        <v>102.3488</v>
      </c>
      <c r="M5652">
        <v>-8.6598990000000001E-2</v>
      </c>
      <c r="N5652">
        <v>0</v>
      </c>
      <c r="O5652">
        <v>-0.99615089999999995</v>
      </c>
      <c r="P5652">
        <v>-4.6559759999999999E-2</v>
      </c>
      <c r="Q5652">
        <v>3.1551620000000002E-2</v>
      </c>
      <c r="R5652">
        <v>-0.99841729999999995</v>
      </c>
      <c r="S5652">
        <v>0.41015629999999997</v>
      </c>
      <c r="T5652">
        <v>0.40404459999999998</v>
      </c>
      <c r="U5652">
        <v>-3.0079959999999999</v>
      </c>
      <c r="V5652">
        <v>-4.0131269999999997E-2</v>
      </c>
      <c r="W5652">
        <v>4.5064269999999997E-2</v>
      </c>
      <c r="X5652">
        <v>0.99817769999999995</v>
      </c>
      <c r="Y5652">
        <v>-0.21924730000000001</v>
      </c>
      <c r="Z5652">
        <v>-0.13016369999999999</v>
      </c>
      <c r="AA5652">
        <v>0.96694780000000002</v>
      </c>
      <c r="AB5652">
        <v>21</v>
      </c>
      <c r="AC5652">
        <v>14.1678</v>
      </c>
      <c r="AD5652">
        <v>13.8439079999999</v>
      </c>
      <c r="AE5652">
        <v>-101.7024224</v>
      </c>
      <c r="AF5652">
        <v>-22.5134889196373</v>
      </c>
      <c r="AG5652">
        <v>13.8439079999999</v>
      </c>
      <c r="AH5652">
        <v>98.306396504853296</v>
      </c>
      <c r="AI5652">
        <v>82.183837102936494</v>
      </c>
      <c r="AJ5652">
        <v>102.899068804751</v>
      </c>
      <c r="AK5652">
        <v>101.797144192833</v>
      </c>
      <c r="AL5652">
        <v>87.417132845392601</v>
      </c>
      <c r="AM5652">
        <v>92.302310202923294</v>
      </c>
      <c r="AN5652">
        <v>1.0000000140198599</v>
      </c>
    </row>
    <row r="5653" spans="1:40" x14ac:dyDescent="0.25">
      <c r="A5653" t="str">
        <f>"20190312160447453"</f>
        <v>20190312160447453</v>
      </c>
      <c r="B5653" t="str">
        <f>"1552377887440806"</f>
        <v>1552377887440806</v>
      </c>
      <c r="C5653" t="s">
        <v>40</v>
      </c>
      <c r="D5653">
        <v>5.9182160000000001</v>
      </c>
      <c r="E5653">
        <v>0.44601069999999998</v>
      </c>
      <c r="F5653" t="s">
        <v>100</v>
      </c>
      <c r="G5653">
        <v>-405.8931</v>
      </c>
      <c r="H5653">
        <v>14.163349999999999</v>
      </c>
      <c r="I5653">
        <v>0.62090109999999998</v>
      </c>
      <c r="J5653">
        <v>-417.5729</v>
      </c>
      <c r="K5653">
        <v>1.1107990000000001</v>
      </c>
      <c r="L5653">
        <v>102.14530000000001</v>
      </c>
      <c r="M5653">
        <v>-8.5874420000000007E-2</v>
      </c>
      <c r="N5653">
        <v>0</v>
      </c>
      <c r="O5653">
        <v>-0.99621369999999998</v>
      </c>
      <c r="P5653">
        <v>-4.8269670000000001E-2</v>
      </c>
      <c r="Q5653">
        <v>3.2804199999999999E-2</v>
      </c>
      <c r="R5653">
        <v>-0.99829590000000001</v>
      </c>
      <c r="S5653">
        <v>0.34494019999999997</v>
      </c>
      <c r="T5653">
        <v>0.38603520000000002</v>
      </c>
      <c r="U5653">
        <v>-3.008667</v>
      </c>
      <c r="V5653">
        <v>-3.7684879999999997E-2</v>
      </c>
      <c r="W5653">
        <v>4.6321800000000003E-2</v>
      </c>
      <c r="X5653">
        <v>0.99821550000000003</v>
      </c>
      <c r="Y5653">
        <v>-0.1979032</v>
      </c>
      <c r="Z5653">
        <v>-0.1248963</v>
      </c>
      <c r="AA5653">
        <v>0.97223210000000004</v>
      </c>
      <c r="AB5653">
        <v>21</v>
      </c>
      <c r="AC5653">
        <v>11.6798</v>
      </c>
      <c r="AD5653">
        <v>13.052550999999999</v>
      </c>
      <c r="AE5653">
        <v>-101.52439889999999</v>
      </c>
      <c r="AF5653">
        <v>-20.029058486814399</v>
      </c>
      <c r="AG5653">
        <v>13.052550999999999</v>
      </c>
      <c r="AH5653">
        <v>98.538723443054806</v>
      </c>
      <c r="AI5653">
        <v>82.603974190498107</v>
      </c>
      <c r="AJ5653">
        <v>101.489462902048</v>
      </c>
      <c r="AK5653">
        <v>101.39729922075099</v>
      </c>
      <c r="AL5653">
        <v>87.345006366788894</v>
      </c>
      <c r="AM5653">
        <v>92.162017792637201</v>
      </c>
      <c r="AN5653">
        <v>1.00000002188805</v>
      </c>
    </row>
    <row r="5654" spans="1:40" x14ac:dyDescent="0.25">
      <c r="A5654" t="str">
        <f>"20190312160447474"</f>
        <v>20190312160447474</v>
      </c>
      <c r="B5654" t="str">
        <f>"1552377887471062"</f>
        <v>1552377887471062</v>
      </c>
      <c r="C5654" t="s">
        <v>40</v>
      </c>
      <c r="D5654">
        <v>5.915673</v>
      </c>
      <c r="E5654">
        <v>0.45094699999999999</v>
      </c>
      <c r="F5654" t="s">
        <v>100</v>
      </c>
      <c r="G5654">
        <v>-407.7604</v>
      </c>
      <c r="H5654">
        <v>14.135759999999999</v>
      </c>
      <c r="I5654">
        <v>0.60190769999999905</v>
      </c>
      <c r="J5654">
        <v>-417.58969999999999</v>
      </c>
      <c r="K5654">
        <v>1.1107370000000001</v>
      </c>
      <c r="L5654">
        <v>101.9409</v>
      </c>
      <c r="M5654">
        <v>-8.5246730000000007E-2</v>
      </c>
      <c r="N5654">
        <v>0</v>
      </c>
      <c r="O5654">
        <v>-0.99626780000000004</v>
      </c>
      <c r="P5654">
        <v>-4.910047E-2</v>
      </c>
      <c r="Q5654">
        <v>3.4304660000000001E-2</v>
      </c>
      <c r="R5654">
        <v>-0.99820489999999995</v>
      </c>
      <c r="S5654">
        <v>0.29052729999999999</v>
      </c>
      <c r="T5654">
        <v>0.3856425</v>
      </c>
      <c r="U5654">
        <v>-3.0065</v>
      </c>
      <c r="V5654">
        <v>-3.621386E-2</v>
      </c>
      <c r="W5654">
        <v>4.7826460000000001E-2</v>
      </c>
      <c r="X5654">
        <v>0.99819899999999995</v>
      </c>
      <c r="Y5654">
        <v>-0.179928799999999</v>
      </c>
      <c r="Z5654">
        <v>-0.12520609999999999</v>
      </c>
      <c r="AA5654">
        <v>0.97567879999999996</v>
      </c>
      <c r="AB5654">
        <v>21</v>
      </c>
      <c r="AC5654">
        <v>9.8292999999999893</v>
      </c>
      <c r="AD5654">
        <v>13.025022999999999</v>
      </c>
      <c r="AE5654">
        <v>-101.3389923</v>
      </c>
      <c r="AF5654">
        <v>-18.136308668593401</v>
      </c>
      <c r="AG5654">
        <v>13.025022999999999</v>
      </c>
      <c r="AH5654">
        <v>98.519691839379007</v>
      </c>
      <c r="AI5654">
        <v>82.591818456221205</v>
      </c>
      <c r="AJ5654">
        <v>100.430694161261</v>
      </c>
      <c r="AK5654">
        <v>101.01834782057701</v>
      </c>
      <c r="AL5654">
        <v>87.258700032403397</v>
      </c>
      <c r="AM5654">
        <v>92.077733739817603</v>
      </c>
      <c r="AN5654">
        <v>1.00000002876661</v>
      </c>
    </row>
    <row r="5655" spans="1:40" x14ac:dyDescent="0.25">
      <c r="A5655" t="str">
        <f>"20190312160447497"</f>
        <v>20190312160447497</v>
      </c>
      <c r="B5655" t="str">
        <f>"1552377887490585"</f>
        <v>1552377887490585</v>
      </c>
      <c r="C5655" t="s">
        <v>40</v>
      </c>
      <c r="D5655">
        <v>6.0172589999999904</v>
      </c>
      <c r="E5655">
        <v>0.4547214</v>
      </c>
      <c r="F5655" t="s">
        <v>100</v>
      </c>
      <c r="G5655">
        <v>-409.2106</v>
      </c>
      <c r="H5655">
        <v>14.38167</v>
      </c>
      <c r="I5655">
        <v>0.58716199999999996</v>
      </c>
      <c r="J5655">
        <v>-417.60649999999998</v>
      </c>
      <c r="K5655">
        <v>1.1106640000000001</v>
      </c>
      <c r="L5655">
        <v>101.7363</v>
      </c>
      <c r="M5655">
        <v>-8.4729269999999995E-2</v>
      </c>
      <c r="N5655">
        <v>0</v>
      </c>
      <c r="O5655">
        <v>-0.99631179999999997</v>
      </c>
      <c r="P5655">
        <v>-4.9645719999999997E-2</v>
      </c>
      <c r="Q5655">
        <v>3.389292E-2</v>
      </c>
      <c r="R5655">
        <v>-0.99819199999999997</v>
      </c>
      <c r="S5655">
        <v>0.24835209999999999</v>
      </c>
      <c r="T5655">
        <v>0.393345</v>
      </c>
      <c r="U5655">
        <v>-3.004089</v>
      </c>
      <c r="V5655">
        <v>-3.5142619999999999E-2</v>
      </c>
      <c r="W5655">
        <v>4.741923E-2</v>
      </c>
      <c r="X5655">
        <v>0.9982567</v>
      </c>
      <c r="Y5655">
        <v>-0.16585759999999999</v>
      </c>
      <c r="Z5655">
        <v>-0.1280134</v>
      </c>
      <c r="AA5655">
        <v>0.97780560000000005</v>
      </c>
      <c r="AB5655">
        <v>21</v>
      </c>
      <c r="AC5655">
        <v>8.3958999999999797</v>
      </c>
      <c r="AD5655">
        <v>13.271006</v>
      </c>
      <c r="AE5655">
        <v>-101.14913799999999</v>
      </c>
      <c r="AF5655">
        <v>-16.6520942962301</v>
      </c>
      <c r="AG5655">
        <v>13.271006</v>
      </c>
      <c r="AH5655">
        <v>98.391763778983801</v>
      </c>
      <c r="AI5655">
        <v>82.424793157867995</v>
      </c>
      <c r="AJ5655">
        <v>99.605872404702197</v>
      </c>
      <c r="AK5655">
        <v>100.669513877051</v>
      </c>
      <c r="AL5655">
        <v>87.282059053042303</v>
      </c>
      <c r="AM5655">
        <v>92.016207478730493</v>
      </c>
      <c r="AN5655">
        <v>1.0000000131045701</v>
      </c>
    </row>
    <row r="5656" spans="1:40" x14ac:dyDescent="0.25">
      <c r="A5656" t="str">
        <f>"20190312160447511"</f>
        <v>20190312160447511</v>
      </c>
      <c r="B5656" t="str">
        <f>"1552377887501317"</f>
        <v>1552377887501317</v>
      </c>
      <c r="C5656" t="s">
        <v>40</v>
      </c>
      <c r="D5656">
        <v>5.9544430000000004</v>
      </c>
      <c r="E5656">
        <v>0.4562253</v>
      </c>
      <c r="F5656" t="s">
        <v>100</v>
      </c>
      <c r="G5656">
        <v>-410.29939999999999</v>
      </c>
      <c r="H5656">
        <v>14.18695</v>
      </c>
      <c r="I5656">
        <v>0.57608990000000004</v>
      </c>
      <c r="J5656">
        <v>-417.61700000000002</v>
      </c>
      <c r="K5656">
        <v>1.110611</v>
      </c>
      <c r="L5656">
        <v>101.60850000000001</v>
      </c>
      <c r="M5656">
        <v>-8.4462899999999994E-2</v>
      </c>
      <c r="N5656">
        <v>0</v>
      </c>
      <c r="O5656">
        <v>-0.99633430000000001</v>
      </c>
      <c r="P5656">
        <v>-4.9591209999999997E-2</v>
      </c>
      <c r="Q5656">
        <v>3.3328360000000001E-2</v>
      </c>
      <c r="R5656">
        <v>-0.99821340000000003</v>
      </c>
      <c r="S5656">
        <v>0.2169189</v>
      </c>
      <c r="T5656">
        <v>0.388183</v>
      </c>
      <c r="U5656">
        <v>-3.0030519999999998</v>
      </c>
      <c r="V5656">
        <v>-3.492601E-2</v>
      </c>
      <c r="W5656">
        <v>4.6856710000000003E-2</v>
      </c>
      <c r="X5656">
        <v>0.99829080000000003</v>
      </c>
      <c r="Y5656">
        <v>-0.15545309999999901</v>
      </c>
      <c r="Z5656">
        <v>-0.12656719999999999</v>
      </c>
      <c r="AA5656">
        <v>0.9797015</v>
      </c>
      <c r="AB5656">
        <v>21</v>
      </c>
      <c r="AC5656">
        <v>7.3175999999999704</v>
      </c>
      <c r="AD5656">
        <v>13.076339000000001</v>
      </c>
      <c r="AE5656">
        <v>-101.032410099999</v>
      </c>
      <c r="AF5656">
        <v>-15.5663252416552</v>
      </c>
      <c r="AG5656">
        <v>13.076339000000001</v>
      </c>
      <c r="AH5656">
        <v>98.413238426811105</v>
      </c>
      <c r="AI5656">
        <v>82.523223981570396</v>
      </c>
      <c r="AJ5656">
        <v>98.988186031454703</v>
      </c>
      <c r="AK5656">
        <v>100.491127075102</v>
      </c>
      <c r="AL5656">
        <v>87.314324770887097</v>
      </c>
      <c r="AM5656">
        <v>92.003721870149704</v>
      </c>
      <c r="AN5656">
        <v>0.99999994940559001</v>
      </c>
    </row>
    <row r="5657" spans="1:40" x14ac:dyDescent="0.25">
      <c r="A5657" t="str">
        <f>"20190312160447523"</f>
        <v>20190312160447523</v>
      </c>
      <c r="B5657" t="str">
        <f>"1552377887520838"</f>
        <v>1552377887520838</v>
      </c>
      <c r="C5657" t="s">
        <v>40</v>
      </c>
      <c r="D5657">
        <v>6.0544180000000001</v>
      </c>
      <c r="E5657">
        <v>0.4589473</v>
      </c>
      <c r="F5657" t="s">
        <v>100</v>
      </c>
      <c r="G5657">
        <v>-410.72160000000002</v>
      </c>
      <c r="H5657">
        <v>14.00145</v>
      </c>
      <c r="I5657">
        <v>0.57179449999999998</v>
      </c>
      <c r="J5657">
        <v>-417.62700000000001</v>
      </c>
      <c r="K5657">
        <v>1.1105590000000001</v>
      </c>
      <c r="L5657">
        <v>101.4866</v>
      </c>
      <c r="M5657">
        <v>-8.4260899999999903E-2</v>
      </c>
      <c r="N5657">
        <v>0</v>
      </c>
      <c r="O5657">
        <v>-0.9963514</v>
      </c>
      <c r="P5657">
        <v>-4.9396910000000002E-2</v>
      </c>
      <c r="Q5657">
        <v>3.2807940000000001E-2</v>
      </c>
      <c r="R5657">
        <v>-0.99824020000000002</v>
      </c>
      <c r="S5657">
        <v>0.20492550000000001</v>
      </c>
      <c r="T5657">
        <v>0.38310680000000003</v>
      </c>
      <c r="U5657">
        <v>-3.0027469999999998</v>
      </c>
      <c r="V5657">
        <v>-3.4913520000000003E-2</v>
      </c>
      <c r="W5657">
        <v>4.633847E-2</v>
      </c>
      <c r="X5657">
        <v>0.99831550000000002</v>
      </c>
      <c r="Y5657">
        <v>-0.1513786</v>
      </c>
      <c r="Z5657">
        <v>-0.1250117</v>
      </c>
      <c r="AA5657">
        <v>0.98053889999999999</v>
      </c>
      <c r="AB5657">
        <v>21</v>
      </c>
      <c r="AC5657">
        <v>6.9053999999999203</v>
      </c>
      <c r="AD5657">
        <v>12.890891</v>
      </c>
      <c r="AE5657">
        <v>-100.9148055</v>
      </c>
      <c r="AF5657">
        <v>-15.1389133463093</v>
      </c>
      <c r="AG5657">
        <v>12.890891</v>
      </c>
      <c r="AH5657">
        <v>98.376169117863796</v>
      </c>
      <c r="AI5657">
        <v>82.620575372897605</v>
      </c>
      <c r="AJ5657">
        <v>98.748505235155207</v>
      </c>
      <c r="AK5657">
        <v>100.365494162025</v>
      </c>
      <c r="AL5657">
        <v>87.344050221358003</v>
      </c>
      <c r="AM5657">
        <v>92.002956379307903</v>
      </c>
      <c r="AN5657">
        <v>1.0000000226104899</v>
      </c>
    </row>
    <row r="5658" spans="1:40" x14ac:dyDescent="0.25">
      <c r="A5658" t="str">
        <f>"20190312160447536"</f>
        <v>20190312160447536</v>
      </c>
      <c r="B5658" t="str">
        <f>"1552377887530597"</f>
        <v>1552377887530597</v>
      </c>
      <c r="C5658" t="s">
        <v>40</v>
      </c>
      <c r="D5658">
        <v>6.011622</v>
      </c>
      <c r="E5658">
        <v>0.46016580000000001</v>
      </c>
      <c r="F5658" t="s">
        <v>100</v>
      </c>
      <c r="G5658">
        <v>-411.4425</v>
      </c>
      <c r="H5658">
        <v>13.828670000000001</v>
      </c>
      <c r="I5658">
        <v>0.56446269999999998</v>
      </c>
      <c r="J5658">
        <v>-417.63670000000002</v>
      </c>
      <c r="K5658">
        <v>1.1105069999999999</v>
      </c>
      <c r="L5658">
        <v>101.3694</v>
      </c>
      <c r="M5658">
        <v>-8.4122199999999994E-2</v>
      </c>
      <c r="N5658">
        <v>0</v>
      </c>
      <c r="O5658">
        <v>-0.9963632</v>
      </c>
      <c r="P5658">
        <v>-4.9734960000000002E-2</v>
      </c>
      <c r="Q5658">
        <v>3.1986649999999998E-2</v>
      </c>
      <c r="R5658">
        <v>-0.99825030000000003</v>
      </c>
      <c r="S5658">
        <v>0.18396000000000001</v>
      </c>
      <c r="T5658">
        <v>0.37830229999999998</v>
      </c>
      <c r="U5658">
        <v>-3.0019529999999999</v>
      </c>
      <c r="V5658">
        <v>-3.4433079999999998E-2</v>
      </c>
      <c r="W5658">
        <v>4.5520610000000003E-2</v>
      </c>
      <c r="X5658">
        <v>0.99836979999999997</v>
      </c>
      <c r="Y5658">
        <v>-0.14444679999999999</v>
      </c>
      <c r="Z5658">
        <v>-0.1235952</v>
      </c>
      <c r="AA5658">
        <v>0.98176339999999995</v>
      </c>
      <c r="AB5658">
        <v>21</v>
      </c>
      <c r="AC5658">
        <v>6.1942000000000199</v>
      </c>
      <c r="AD5658">
        <v>12.718163000000001</v>
      </c>
      <c r="AE5658">
        <v>-100.80493730000001</v>
      </c>
      <c r="AF5658">
        <v>-14.424213710139201</v>
      </c>
      <c r="AG5658">
        <v>12.718163000000001</v>
      </c>
      <c r="AH5658">
        <v>98.366548425819403</v>
      </c>
      <c r="AI5658">
        <v>82.710001648490703</v>
      </c>
      <c r="AJ5658">
        <v>98.342249349001193</v>
      </c>
      <c r="AK5658">
        <v>100.22867583910001</v>
      </c>
      <c r="AL5658">
        <v>87.390959619929802</v>
      </c>
      <c r="AM5658">
        <v>91.975308614573805</v>
      </c>
      <c r="AN5658">
        <v>1.0000000102425399</v>
      </c>
    </row>
    <row r="5659" spans="1:40" x14ac:dyDescent="0.25">
      <c r="A5659" t="str">
        <f>"20190312160447552"</f>
        <v>20190312160447552</v>
      </c>
      <c r="B5659" t="str">
        <f>"1552377887540357"</f>
        <v>1552377887540357</v>
      </c>
      <c r="C5659" t="s">
        <v>40</v>
      </c>
      <c r="D5659">
        <v>6.0447240000000004</v>
      </c>
      <c r="E5659">
        <v>0.46127760000000001</v>
      </c>
      <c r="F5659" t="s">
        <v>100</v>
      </c>
      <c r="G5659">
        <v>-411.81880000000001</v>
      </c>
      <c r="H5659">
        <v>13.62006</v>
      </c>
      <c r="I5659">
        <v>0.56063269999999998</v>
      </c>
      <c r="J5659">
        <v>-417.64850000000001</v>
      </c>
      <c r="K5659">
        <v>1.1104400000000001</v>
      </c>
      <c r="L5659">
        <v>101.227</v>
      </c>
      <c r="M5659">
        <v>-8.4004739999999994E-2</v>
      </c>
      <c r="N5659">
        <v>0</v>
      </c>
      <c r="O5659">
        <v>-0.99637310000000001</v>
      </c>
      <c r="P5659">
        <v>-4.9455529999999998E-2</v>
      </c>
      <c r="Q5659">
        <v>3.0516479999999999E-2</v>
      </c>
      <c r="R5659">
        <v>-0.99831009999999998</v>
      </c>
      <c r="S5659">
        <v>0.17324829999999999</v>
      </c>
      <c r="T5659">
        <v>0.37251719999999999</v>
      </c>
      <c r="U5659">
        <v>-3.0019529999999999</v>
      </c>
      <c r="V5659">
        <v>-3.4591959999999998E-2</v>
      </c>
      <c r="W5659">
        <v>4.4054379999999997E-2</v>
      </c>
      <c r="X5659">
        <v>0.99843009999999999</v>
      </c>
      <c r="Y5659">
        <v>-0.14085159999999999</v>
      </c>
      <c r="Z5659">
        <v>-0.121780399999999</v>
      </c>
      <c r="AA5659">
        <v>0.98251219999999995</v>
      </c>
      <c r="AB5659">
        <v>21</v>
      </c>
      <c r="AC5659">
        <v>5.8296999999999999</v>
      </c>
      <c r="AD5659">
        <v>12.50962</v>
      </c>
      <c r="AE5659">
        <v>-100.666367299999</v>
      </c>
      <c r="AF5659">
        <v>-14.0500757657116</v>
      </c>
      <c r="AG5659">
        <v>12.50962</v>
      </c>
      <c r="AH5659">
        <v>98.307666188838596</v>
      </c>
      <c r="AI5659">
        <v>82.820287106420807</v>
      </c>
      <c r="AJ5659">
        <v>98.133599823564097</v>
      </c>
      <c r="AK5659">
        <v>100.09142047679499</v>
      </c>
      <c r="AL5659">
        <v>87.475052847597198</v>
      </c>
      <c r="AM5659">
        <v>91.984295996497806</v>
      </c>
      <c r="AN5659">
        <v>1.00000002833991</v>
      </c>
    </row>
    <row r="5660" spans="1:40" x14ac:dyDescent="0.25">
      <c r="A5660" t="str">
        <f>"20190312160447566"</f>
        <v>20190312160447566</v>
      </c>
      <c r="B5660" t="str">
        <f>"1552377887560854"</f>
        <v>1552377887560854</v>
      </c>
      <c r="C5660" t="s">
        <v>40</v>
      </c>
      <c r="D5660">
        <v>5.9800940000000002</v>
      </c>
      <c r="E5660">
        <v>0.46323510000000001</v>
      </c>
      <c r="F5660" t="s">
        <v>100</v>
      </c>
      <c r="G5660">
        <v>-412.11110000000002</v>
      </c>
      <c r="H5660">
        <v>13.38688</v>
      </c>
      <c r="I5660">
        <v>0.55766110000000002</v>
      </c>
      <c r="J5660">
        <v>-417.65980000000002</v>
      </c>
      <c r="K5660">
        <v>1.110387</v>
      </c>
      <c r="L5660">
        <v>101.0917</v>
      </c>
      <c r="M5660">
        <v>-8.3949869999999996E-2</v>
      </c>
      <c r="N5660">
        <v>0</v>
      </c>
      <c r="O5660">
        <v>-0.99637779999999998</v>
      </c>
      <c r="P5660">
        <v>-4.8874430000000003E-2</v>
      </c>
      <c r="Q5660">
        <v>3.0178770000000001E-2</v>
      </c>
      <c r="R5660">
        <v>-0.99834869999999998</v>
      </c>
      <c r="S5660">
        <v>0.16513059999999999</v>
      </c>
      <c r="T5660">
        <v>0.3660967</v>
      </c>
      <c r="U5660">
        <v>-3.002075</v>
      </c>
      <c r="V5660">
        <v>-3.5112369999999997E-2</v>
      </c>
      <c r="W5660">
        <v>4.371949E-2</v>
      </c>
      <c r="X5660">
        <v>0.99842660000000005</v>
      </c>
      <c r="Y5660">
        <v>-0.1381599</v>
      </c>
      <c r="Z5660">
        <v>-0.1197405</v>
      </c>
      <c r="AA5660">
        <v>0.98314500000000005</v>
      </c>
      <c r="AB5660">
        <v>21</v>
      </c>
      <c r="AC5660">
        <v>5.5486999999999904</v>
      </c>
      <c r="AD5660">
        <v>12.276492999999901</v>
      </c>
      <c r="AE5660">
        <v>-100.5340389</v>
      </c>
      <c r="AF5660">
        <v>-13.765069195929399</v>
      </c>
      <c r="AG5660">
        <v>12.276492999999901</v>
      </c>
      <c r="AH5660">
        <v>98.252583363566103</v>
      </c>
      <c r="AI5660">
        <v>82.946085934039601</v>
      </c>
      <c r="AJ5660">
        <v>97.975162419837403</v>
      </c>
      <c r="AK5660">
        <v>99.968792870386693</v>
      </c>
      <c r="AL5660">
        <v>87.494258999571599</v>
      </c>
      <c r="AM5660">
        <v>92.014130885841894</v>
      </c>
      <c r="AN5660">
        <v>0.999999973960218</v>
      </c>
    </row>
    <row r="5661" spans="1:40" x14ac:dyDescent="0.25">
      <c r="A5661" t="str">
        <f>"20190312160447587"</f>
        <v>20190312160447587</v>
      </c>
      <c r="B5661" t="str">
        <f>"1552377887580373"</f>
        <v>1552377887580373</v>
      </c>
      <c r="C5661" t="s">
        <v>40</v>
      </c>
      <c r="D5661">
        <v>5.9859400000000003</v>
      </c>
      <c r="E5661">
        <v>0.46505930000000001</v>
      </c>
      <c r="F5661" t="s">
        <v>100</v>
      </c>
      <c r="G5661">
        <v>-412.59350000000001</v>
      </c>
      <c r="H5661">
        <v>13.1733799999999</v>
      </c>
      <c r="I5661">
        <v>0.55275149999999995</v>
      </c>
      <c r="J5661">
        <v>-417.67500000000001</v>
      </c>
      <c r="K5661">
        <v>1.1103080000000001</v>
      </c>
      <c r="L5661">
        <v>100.9098</v>
      </c>
      <c r="M5661">
        <v>-8.3984199999999995E-2</v>
      </c>
      <c r="N5661">
        <v>0</v>
      </c>
      <c r="O5661">
        <v>-0.99637509999999996</v>
      </c>
      <c r="P5661">
        <v>-4.8740239999999997E-2</v>
      </c>
      <c r="Q5661">
        <v>3.1184920000000001E-2</v>
      </c>
      <c r="R5661">
        <v>-0.99832500000000002</v>
      </c>
      <c r="S5661">
        <v>0.15124509999999999</v>
      </c>
      <c r="T5661">
        <v>0.36012470000000002</v>
      </c>
      <c r="U5661">
        <v>-3.001465</v>
      </c>
      <c r="V5661">
        <v>-3.5269809999999999E-2</v>
      </c>
      <c r="W5661">
        <v>4.4729869999999998E-2</v>
      </c>
      <c r="X5661">
        <v>0.99837629999999999</v>
      </c>
      <c r="Y5661">
        <v>-0.1336793</v>
      </c>
      <c r="Z5661">
        <v>-0.11788899999999999</v>
      </c>
      <c r="AA5661">
        <v>0.98398779999999997</v>
      </c>
      <c r="AB5661">
        <v>21</v>
      </c>
      <c r="AC5661">
        <v>5.0815000000000001</v>
      </c>
      <c r="AD5661">
        <v>12.063071999999901</v>
      </c>
      <c r="AE5661">
        <v>-100.3570485</v>
      </c>
      <c r="AF5661">
        <v>-13.301035886917701</v>
      </c>
      <c r="AG5661">
        <v>12.063071999999901</v>
      </c>
      <c r="AH5661">
        <v>98.160982458190404</v>
      </c>
      <c r="AI5661">
        <v>83.056832560522196</v>
      </c>
      <c r="AJ5661">
        <v>97.716708710870407</v>
      </c>
      <c r="AK5661">
        <v>99.789847874918706</v>
      </c>
      <c r="AL5661">
        <v>87.436311802781603</v>
      </c>
      <c r="AM5661">
        <v>92.023256384012001</v>
      </c>
      <c r="AN5661">
        <v>0.99999997858467105</v>
      </c>
    </row>
    <row r="5662" spans="1:40" x14ac:dyDescent="0.25">
      <c r="A5662" t="str">
        <f>"20190312160447608"</f>
        <v>20190312160447608</v>
      </c>
      <c r="B5662" t="str">
        <f>"1552377887600869"</f>
        <v>1552377887600869</v>
      </c>
      <c r="C5662" t="s">
        <v>40</v>
      </c>
      <c r="D5662">
        <v>5.334409</v>
      </c>
      <c r="E5662">
        <v>0.46598790000000001</v>
      </c>
      <c r="F5662" t="s">
        <v>100</v>
      </c>
      <c r="G5662">
        <v>-413.07960000000003</v>
      </c>
      <c r="H5662">
        <v>13.087149999999999</v>
      </c>
      <c r="I5662">
        <v>0.54780960000000001</v>
      </c>
      <c r="J5662">
        <v>-417.69200000000001</v>
      </c>
      <c r="K5662">
        <v>1.1102080000000001</v>
      </c>
      <c r="L5662">
        <v>100.7099</v>
      </c>
      <c r="M5662">
        <v>-8.4168580000000007E-2</v>
      </c>
      <c r="N5662">
        <v>0</v>
      </c>
      <c r="O5662">
        <v>-0.99635960000000001</v>
      </c>
      <c r="P5662">
        <v>-4.8605910000000002E-2</v>
      </c>
      <c r="Q5662">
        <v>3.2592110000000001E-2</v>
      </c>
      <c r="R5662">
        <v>-0.99828669999999997</v>
      </c>
      <c r="S5662">
        <v>0.13739009999999999</v>
      </c>
      <c r="T5662">
        <v>0.3580739</v>
      </c>
      <c r="U5662">
        <v>-3.0005489999999999</v>
      </c>
      <c r="V5662">
        <v>-3.5574580000000001E-2</v>
      </c>
      <c r="W5662">
        <v>4.6141750000000002E-2</v>
      </c>
      <c r="X5662">
        <v>0.99830129999999995</v>
      </c>
      <c r="Y5662">
        <v>-0.12934680000000001</v>
      </c>
      <c r="Z5662">
        <v>-0.11730649999999999</v>
      </c>
      <c r="AA5662">
        <v>0.98463619999999996</v>
      </c>
      <c r="AB5662">
        <v>21</v>
      </c>
      <c r="AC5662">
        <v>4.6123999999999201</v>
      </c>
      <c r="AD5662">
        <v>11.976941999999999</v>
      </c>
      <c r="AE5662">
        <v>-100.1620904</v>
      </c>
      <c r="AF5662">
        <v>-12.8440435916679</v>
      </c>
      <c r="AG5662">
        <v>11.976941999999999</v>
      </c>
      <c r="AH5662">
        <v>98.019795093526099</v>
      </c>
      <c r="AI5662">
        <v>83.092092912223606</v>
      </c>
      <c r="AJ5662">
        <v>97.465231336421795</v>
      </c>
      <c r="AK5662">
        <v>99.580604665933194</v>
      </c>
      <c r="AL5662">
        <v>87.355333585066703</v>
      </c>
      <c r="AM5662">
        <v>92.040878013404793</v>
      </c>
      <c r="AN5662">
        <v>1.0000000487084599</v>
      </c>
    </row>
    <row r="5663" spans="1:40" x14ac:dyDescent="0.25">
      <c r="A5663" t="str">
        <f>"20190312160447623"</f>
        <v>20190312160447623</v>
      </c>
      <c r="B5663" t="str">
        <f>"1552377887610629"</f>
        <v>1552377887610629</v>
      </c>
      <c r="C5663" t="s">
        <v>40</v>
      </c>
      <c r="D5663">
        <v>6.0970740000000001</v>
      </c>
      <c r="E5663">
        <v>0.46678589999999998</v>
      </c>
      <c r="F5663" t="s">
        <v>100</v>
      </c>
      <c r="G5663">
        <v>-413.34879999999998</v>
      </c>
      <c r="H5663">
        <v>13.20692</v>
      </c>
      <c r="I5663">
        <v>0.54507260000000002</v>
      </c>
      <c r="J5663">
        <v>-417.70319999999998</v>
      </c>
      <c r="K5663">
        <v>1.1101479999999999</v>
      </c>
      <c r="L5663">
        <v>100.5791</v>
      </c>
      <c r="M5663">
        <v>-8.4382589999999993E-2</v>
      </c>
      <c r="N5663">
        <v>0</v>
      </c>
      <c r="O5663">
        <v>-0.99634149999999999</v>
      </c>
      <c r="P5663">
        <v>-4.884981E-2</v>
      </c>
      <c r="Q5663">
        <v>3.3230309999999999E-2</v>
      </c>
      <c r="R5663">
        <v>-0.99825330000000001</v>
      </c>
      <c r="S5663">
        <v>0.13006589999999901</v>
      </c>
      <c r="T5663">
        <v>0.3622628</v>
      </c>
      <c r="U5663">
        <v>-2.9996640000000001</v>
      </c>
      <c r="V5663">
        <v>-3.5535909999999997E-2</v>
      </c>
      <c r="W5663">
        <v>4.678384E-2</v>
      </c>
      <c r="X5663">
        <v>0.99827270000000001</v>
      </c>
      <c r="Y5663">
        <v>-0.1271661</v>
      </c>
      <c r="Z5663">
        <v>-0.11871379999999999</v>
      </c>
      <c r="AA5663">
        <v>0.98475159999999995</v>
      </c>
      <c r="AB5663">
        <v>21</v>
      </c>
      <c r="AC5663">
        <v>4.3543999999999903</v>
      </c>
      <c r="AD5663">
        <v>12.096772</v>
      </c>
      <c r="AE5663">
        <v>-100.0340274</v>
      </c>
      <c r="AF5663">
        <v>-12.596911252237501</v>
      </c>
      <c r="AG5663">
        <v>12.096772</v>
      </c>
      <c r="AH5663">
        <v>97.881083044724406</v>
      </c>
      <c r="AI5663">
        <v>83.011801106054307</v>
      </c>
      <c r="AJ5663">
        <v>97.333432153999297</v>
      </c>
      <c r="AK5663">
        <v>99.426960548560302</v>
      </c>
      <c r="AL5663">
        <v>87.318504516233304</v>
      </c>
      <c r="AM5663">
        <v>92.038719784534806</v>
      </c>
      <c r="AN5663">
        <v>0.99999995607498005</v>
      </c>
    </row>
    <row r="5664" spans="1:40" x14ac:dyDescent="0.25">
      <c r="A5664" t="str">
        <f>"20190312160447637"</f>
        <v>20190312160447637</v>
      </c>
      <c r="B5664" t="str">
        <f>"1552377887631125"</f>
        <v>1552377887631125</v>
      </c>
      <c r="C5664" t="s">
        <v>40</v>
      </c>
      <c r="D5664">
        <v>6.0742750000000001</v>
      </c>
      <c r="E5664">
        <v>0.46831820000000002</v>
      </c>
      <c r="F5664" t="s">
        <v>100</v>
      </c>
      <c r="G5664">
        <v>-413.601</v>
      </c>
      <c r="H5664">
        <v>13.21327</v>
      </c>
      <c r="I5664">
        <v>0.54250719999999997</v>
      </c>
      <c r="J5664">
        <v>-417.71480000000003</v>
      </c>
      <c r="K5664">
        <v>1.1100890000000001</v>
      </c>
      <c r="L5664">
        <v>100.4451</v>
      </c>
      <c r="M5664">
        <v>-8.4658319999999995E-2</v>
      </c>
      <c r="N5664">
        <v>0</v>
      </c>
      <c r="O5664">
        <v>-0.99631820000000004</v>
      </c>
      <c r="P5664">
        <v>-4.9600289999999998E-2</v>
      </c>
      <c r="Q5664">
        <v>3.349883E-2</v>
      </c>
      <c r="R5664">
        <v>-0.99820750000000003</v>
      </c>
      <c r="S5664">
        <v>0.12298580000000001</v>
      </c>
      <c r="T5664">
        <v>0.36286020000000002</v>
      </c>
      <c r="U5664">
        <v>-2.9991759999999998</v>
      </c>
      <c r="V5664">
        <v>-3.5053250000000001E-2</v>
      </c>
      <c r="W5664">
        <v>4.7055810000000003E-2</v>
      </c>
      <c r="X5664">
        <v>0.99827699999999997</v>
      </c>
      <c r="Y5664">
        <v>-0.1251256</v>
      </c>
      <c r="Z5664">
        <v>-0.1189431</v>
      </c>
      <c r="AA5664">
        <v>0.98498540000000001</v>
      </c>
      <c r="AB5664">
        <v>21</v>
      </c>
      <c r="AC5664">
        <v>4.1138000000000199</v>
      </c>
      <c r="AD5664">
        <v>12.103180999999999</v>
      </c>
      <c r="AE5664">
        <v>-99.902592799999994</v>
      </c>
      <c r="AF5664">
        <v>-12.3760493790891</v>
      </c>
      <c r="AG5664">
        <v>12.103180999999999</v>
      </c>
      <c r="AH5664">
        <v>97.763113990789407</v>
      </c>
      <c r="AI5664">
        <v>82.9979504020245</v>
      </c>
      <c r="AJ5664">
        <v>97.214822515512296</v>
      </c>
      <c r="AK5664">
        <v>99.283835772639705</v>
      </c>
      <c r="AL5664">
        <v>87.302904650323896</v>
      </c>
      <c r="AM5664">
        <v>92.011043483895506</v>
      </c>
      <c r="AN5664">
        <v>0.99999997415965802</v>
      </c>
    </row>
    <row r="5665" spans="1:40" x14ac:dyDescent="0.25">
      <c r="A5665" t="str">
        <f>"20190312160447676"</f>
        <v>20190312160447676</v>
      </c>
      <c r="B5665" t="str">
        <f>"1552377887671142"</f>
        <v>1552377887671142</v>
      </c>
      <c r="C5665" t="s">
        <v>40</v>
      </c>
      <c r="D5665">
        <v>4.8531060000000004</v>
      </c>
      <c r="E5665">
        <v>0.46891309999999897</v>
      </c>
      <c r="F5665" t="s">
        <v>100</v>
      </c>
      <c r="G5665">
        <v>-414.09309999999999</v>
      </c>
      <c r="H5665">
        <v>13.15361</v>
      </c>
      <c r="I5665">
        <v>0.53750229999999999</v>
      </c>
      <c r="J5665">
        <v>-417.74579999999997</v>
      </c>
      <c r="K5665">
        <v>1.1099509999999999</v>
      </c>
      <c r="L5665">
        <v>100.0937</v>
      </c>
      <c r="M5665">
        <v>-8.5659940000000004E-2</v>
      </c>
      <c r="N5665">
        <v>0</v>
      </c>
      <c r="O5665">
        <v>-0.99623260000000002</v>
      </c>
      <c r="P5665">
        <v>-5.3162210000000001E-2</v>
      </c>
      <c r="Q5665">
        <v>3.4594670000000001E-2</v>
      </c>
      <c r="R5665">
        <v>-0.99798690000000001</v>
      </c>
      <c r="S5665">
        <v>0.1087036</v>
      </c>
      <c r="T5665">
        <v>0.36147699999999999</v>
      </c>
      <c r="U5665">
        <v>-2.9986570000000001</v>
      </c>
      <c r="V5665">
        <v>-3.247191E-2</v>
      </c>
      <c r="W5665">
        <v>4.8159390000000003E-2</v>
      </c>
      <c r="X5665">
        <v>0.99831170000000002</v>
      </c>
      <c r="Y5665">
        <v>-0.1214467</v>
      </c>
      <c r="Z5665">
        <v>-0.1185392</v>
      </c>
      <c r="AA5665">
        <v>0.98549439999999999</v>
      </c>
      <c r="AB5665">
        <v>21</v>
      </c>
      <c r="AC5665">
        <v>3.6526999999999799</v>
      </c>
      <c r="AD5665">
        <v>12.043659</v>
      </c>
      <c r="AE5665">
        <v>-99.556197699999998</v>
      </c>
      <c r="AF5665">
        <v>-11.992757018488501</v>
      </c>
      <c r="AG5665">
        <v>12.043659</v>
      </c>
      <c r="AH5665">
        <v>97.453019524795707</v>
      </c>
      <c r="AI5665">
        <v>83.007089704099599</v>
      </c>
      <c r="AJ5665">
        <v>97.015655725198798</v>
      </c>
      <c r="AK5665">
        <v>98.924046406892401</v>
      </c>
      <c r="AL5665">
        <v>87.2396024659771</v>
      </c>
      <c r="AM5665">
        <v>91.862992968930101</v>
      </c>
      <c r="AN5665">
        <v>1.0000000010705501</v>
      </c>
    </row>
    <row r="5666" spans="1:40" x14ac:dyDescent="0.25">
      <c r="A5666" t="str">
        <f>"20190312160447766"</f>
        <v>20190312160447766</v>
      </c>
      <c r="B5666" t="str">
        <f>"1552377887760934"</f>
        <v>1552377887760934</v>
      </c>
      <c r="C5666" t="s">
        <v>40</v>
      </c>
      <c r="D5666">
        <v>6.0666949999999904</v>
      </c>
      <c r="E5666">
        <v>0.46966629999999998</v>
      </c>
      <c r="F5666" t="s">
        <v>100</v>
      </c>
      <c r="G5666">
        <v>-414.68740000000003</v>
      </c>
      <c r="H5666">
        <v>13.2797</v>
      </c>
      <c r="I5666">
        <v>0.53145980000000004</v>
      </c>
      <c r="J5666">
        <v>-417.82260000000002</v>
      </c>
      <c r="K5666">
        <v>1.109629</v>
      </c>
      <c r="L5666">
        <v>99.264799999999994</v>
      </c>
      <c r="M5666">
        <v>-8.9598179999999999E-2</v>
      </c>
      <c r="N5666">
        <v>0</v>
      </c>
      <c r="O5666">
        <v>-0.99588600000000005</v>
      </c>
      <c r="P5666">
        <v>-5.824315E-2</v>
      </c>
      <c r="Q5666">
        <v>2.9717779999999999E-2</v>
      </c>
      <c r="R5666">
        <v>-0.99785999999999997</v>
      </c>
      <c r="S5666">
        <v>9.2102050000000005E-2</v>
      </c>
      <c r="T5666">
        <v>0.36648399999999998</v>
      </c>
      <c r="U5666">
        <v>-2.9982600000000001</v>
      </c>
      <c r="V5666">
        <v>-3.1323520000000001E-2</v>
      </c>
      <c r="W5666">
        <v>4.3303130000000002E-2</v>
      </c>
      <c r="X5666">
        <v>0.99857079999999998</v>
      </c>
      <c r="Y5666">
        <v>-0.119919</v>
      </c>
      <c r="Z5666">
        <v>-0.1201323</v>
      </c>
      <c r="AA5666">
        <v>0.98548849999999999</v>
      </c>
      <c r="AB5666">
        <v>20</v>
      </c>
      <c r="AC5666">
        <v>3.13519999999999</v>
      </c>
      <c r="AD5666">
        <v>12.170071</v>
      </c>
      <c r="AE5666">
        <v>-98.733340200000001</v>
      </c>
      <c r="AF5666">
        <v>-11.790763286595199</v>
      </c>
      <c r="AG5666">
        <v>12.170071</v>
      </c>
      <c r="AH5666">
        <v>96.589175458167901</v>
      </c>
      <c r="AI5666">
        <v>82.871041528766597</v>
      </c>
      <c r="AJ5666">
        <v>96.959734942227499</v>
      </c>
      <c r="AK5666">
        <v>98.064272508974</v>
      </c>
      <c r="AL5666">
        <v>87.518137308603499</v>
      </c>
      <c r="AM5666">
        <v>91.796685017464199</v>
      </c>
      <c r="AN5666">
        <v>0.99999998329281303</v>
      </c>
    </row>
    <row r="5667" spans="1:40" x14ac:dyDescent="0.25">
      <c r="A5667" t="str">
        <f>"20190312160447779"</f>
        <v>20190312160447779</v>
      </c>
      <c r="B5667" t="str">
        <f>"1552377887770693"</f>
        <v>1552377887770693</v>
      </c>
      <c r="C5667" t="s">
        <v>40</v>
      </c>
      <c r="D5667">
        <v>6.2908289999999996</v>
      </c>
      <c r="E5667">
        <v>0.47025210000000001</v>
      </c>
      <c r="F5667" t="s">
        <v>100</v>
      </c>
      <c r="G5667">
        <v>-415.50920000000002</v>
      </c>
      <c r="H5667">
        <v>12.588369999999999</v>
      </c>
      <c r="I5667">
        <v>1.279379</v>
      </c>
      <c r="J5667">
        <v>-417.83300000000003</v>
      </c>
      <c r="K5667">
        <v>1.1095919999999999</v>
      </c>
      <c r="L5667">
        <v>99.156739999999999</v>
      </c>
      <c r="M5667">
        <v>-9.0268730000000005E-2</v>
      </c>
      <c r="N5667">
        <v>0</v>
      </c>
      <c r="O5667">
        <v>-0.99582550000000003</v>
      </c>
      <c r="P5667">
        <v>-5.8568780000000001E-2</v>
      </c>
      <c r="Q5667">
        <v>2.8886189999999999E-2</v>
      </c>
      <c r="R5667">
        <v>-0.99786540000000001</v>
      </c>
      <c r="S5667">
        <v>7.08313E-2</v>
      </c>
      <c r="T5667">
        <v>0.35145219999999999</v>
      </c>
      <c r="U5667">
        <v>-3.000092</v>
      </c>
      <c r="V5667">
        <v>-3.1671289999999998E-2</v>
      </c>
      <c r="W5667">
        <v>4.2474669999999999E-2</v>
      </c>
      <c r="X5667">
        <v>0.99859540000000002</v>
      </c>
      <c r="Y5667">
        <v>-0.1135987</v>
      </c>
      <c r="Z5667">
        <v>-0.1152474</v>
      </c>
      <c r="AA5667">
        <v>0.98681980000000002</v>
      </c>
      <c r="AB5667">
        <v>20</v>
      </c>
      <c r="AC5667">
        <v>2.3237999999999999</v>
      </c>
      <c r="AD5667">
        <v>11.478778</v>
      </c>
      <c r="AE5667">
        <v>-97.877360999999993</v>
      </c>
      <c r="AF5667">
        <v>-10.999188558345599</v>
      </c>
      <c r="AG5667">
        <v>11.478778</v>
      </c>
      <c r="AH5667">
        <v>95.948980119220295</v>
      </c>
      <c r="AI5667">
        <v>83.221864207270301</v>
      </c>
      <c r="AJ5667">
        <v>96.539601065885606</v>
      </c>
      <c r="AK5667">
        <v>97.257139991025099</v>
      </c>
      <c r="AL5667">
        <v>87.565648258559605</v>
      </c>
      <c r="AM5667">
        <v>91.816574734099206</v>
      </c>
      <c r="AN5667">
        <v>0.99999997055151602</v>
      </c>
    </row>
    <row r="5668" spans="1:40" x14ac:dyDescent="0.25">
      <c r="A5668" t="str">
        <f>"20190312160447798"</f>
        <v>20190312160447798</v>
      </c>
      <c r="B5668" t="str">
        <f>"1552377887791189"</f>
        <v>1552377887791189</v>
      </c>
      <c r="C5668" t="s">
        <v>40</v>
      </c>
      <c r="D5668">
        <v>6.0946959999999999</v>
      </c>
      <c r="E5668">
        <v>0.47179349999999998</v>
      </c>
      <c r="F5668" t="s">
        <v>100</v>
      </c>
      <c r="G5668">
        <v>-415.71030000000002</v>
      </c>
      <c r="H5668">
        <v>12.504350000000001</v>
      </c>
      <c r="I5668">
        <v>1.2785839999999999</v>
      </c>
      <c r="J5668">
        <v>-417.85090000000002</v>
      </c>
      <c r="K5668">
        <v>1.109529</v>
      </c>
      <c r="L5668">
        <v>98.974850000000004</v>
      </c>
      <c r="M5668">
        <v>-9.1449470000000005E-2</v>
      </c>
      <c r="N5668">
        <v>0</v>
      </c>
      <c r="O5668">
        <v>-0.99571779999999999</v>
      </c>
      <c r="P5668">
        <v>-5.9567120000000001E-2</v>
      </c>
      <c r="Q5668">
        <v>2.7181629999999998E-2</v>
      </c>
      <c r="R5668">
        <v>-0.99785420000000002</v>
      </c>
      <c r="S5668">
        <v>6.5063480000000007E-2</v>
      </c>
      <c r="T5668">
        <v>0.34926659999999998</v>
      </c>
      <c r="U5668">
        <v>-3.0001220000000002</v>
      </c>
      <c r="V5668">
        <v>-3.1858780000000003E-2</v>
      </c>
      <c r="W5668">
        <v>4.0774310000000001E-2</v>
      </c>
      <c r="X5668">
        <v>0.99866029999999995</v>
      </c>
      <c r="Y5668">
        <v>-0.1128821</v>
      </c>
      <c r="Z5668">
        <v>-0.1145277</v>
      </c>
      <c r="AA5668">
        <v>0.98698589999999997</v>
      </c>
      <c r="AB5668">
        <v>20</v>
      </c>
      <c r="AC5668">
        <v>2.1406000000000001</v>
      </c>
      <c r="AD5668">
        <v>11.394821</v>
      </c>
      <c r="AE5668">
        <v>-97.696265999999994</v>
      </c>
      <c r="AF5668">
        <v>-10.9182600772182</v>
      </c>
      <c r="AG5668">
        <v>11.394821</v>
      </c>
      <c r="AH5668">
        <v>95.788581374447702</v>
      </c>
      <c r="AI5668">
        <v>83.259327738195495</v>
      </c>
      <c r="AJ5668">
        <v>96.5026747500753</v>
      </c>
      <c r="AK5668">
        <v>97.079877783529398</v>
      </c>
      <c r="AL5668">
        <v>87.663156209109204</v>
      </c>
      <c r="AM5668">
        <v>91.8272026839457</v>
      </c>
      <c r="AN5668">
        <v>0.999999960507576</v>
      </c>
    </row>
    <row r="5669" spans="1:40" x14ac:dyDescent="0.25">
      <c r="A5669" t="str">
        <f>"20190312160447812"</f>
        <v>20190312160447812</v>
      </c>
      <c r="B5669" t="str">
        <f>"1552377887800950"</f>
        <v>1552377887800950</v>
      </c>
      <c r="C5669" t="s">
        <v>40</v>
      </c>
      <c r="D5669">
        <v>6.0813759999999997</v>
      </c>
      <c r="E5669">
        <v>0.47253000000000001</v>
      </c>
      <c r="F5669" t="s">
        <v>100</v>
      </c>
      <c r="G5669">
        <v>-416.25479999999999</v>
      </c>
      <c r="H5669">
        <v>12.331110000000001</v>
      </c>
      <c r="I5669">
        <v>1.2764359999999999</v>
      </c>
      <c r="J5669">
        <v>-417.86279999999999</v>
      </c>
      <c r="K5669">
        <v>1.10949599999999</v>
      </c>
      <c r="L5669">
        <v>98.854920000000007</v>
      </c>
      <c r="M5669">
        <v>-9.2271220000000001E-2</v>
      </c>
      <c r="N5669">
        <v>0</v>
      </c>
      <c r="O5669">
        <v>-0.99564189999999997</v>
      </c>
      <c r="P5669">
        <v>-6.0180030000000002E-2</v>
      </c>
      <c r="Q5669">
        <v>2.6071609999999999E-2</v>
      </c>
      <c r="R5669">
        <v>-0.99784700000000004</v>
      </c>
      <c r="S5669">
        <v>4.9011230000000003E-2</v>
      </c>
      <c r="T5669">
        <v>0.34457739999999998</v>
      </c>
      <c r="U5669">
        <v>-3</v>
      </c>
      <c r="V5669">
        <v>-3.2072110000000001E-2</v>
      </c>
      <c r="W5669">
        <v>3.9667510000000003E-2</v>
      </c>
      <c r="X5669">
        <v>0.99869810000000003</v>
      </c>
      <c r="Y5669">
        <v>-0.1084256</v>
      </c>
      <c r="Z5669">
        <v>-0.11303589999999999</v>
      </c>
      <c r="AA5669">
        <v>0.98765720000000001</v>
      </c>
      <c r="AB5669">
        <v>20</v>
      </c>
      <c r="AC5669">
        <v>1.6080000000000001</v>
      </c>
      <c r="AD5669">
        <v>11.221614000000001</v>
      </c>
      <c r="AE5669">
        <v>-97.578484000000003</v>
      </c>
      <c r="AF5669">
        <v>-10.467255562793399</v>
      </c>
      <c r="AG5669">
        <v>11.221614000000001</v>
      </c>
      <c r="AH5669">
        <v>95.747802508371507</v>
      </c>
      <c r="AI5669">
        <v>83.354680468501996</v>
      </c>
      <c r="AJ5669">
        <v>96.238862872620402</v>
      </c>
      <c r="AK5669">
        <v>96.969736232310893</v>
      </c>
      <c r="AL5669">
        <v>87.726622659850094</v>
      </c>
      <c r="AM5669">
        <v>91.839359889554402</v>
      </c>
      <c r="AN5669">
        <v>1.0000000132665301</v>
      </c>
    </row>
    <row r="5670" spans="1:40" x14ac:dyDescent="0.25">
      <c r="A5670" t="str">
        <f>"20190312160447825"</f>
        <v>20190312160447825</v>
      </c>
      <c r="B5670" t="str">
        <f>"1552377887820470"</f>
        <v>1552377887820470</v>
      </c>
      <c r="C5670" t="s">
        <v>40</v>
      </c>
      <c r="D5670">
        <v>6.0531389999999998</v>
      </c>
      <c r="E5670">
        <v>0.4737324</v>
      </c>
      <c r="F5670" t="s">
        <v>100</v>
      </c>
      <c r="G5670">
        <v>-416.52069999999998</v>
      </c>
      <c r="H5670">
        <v>12.24884</v>
      </c>
      <c r="I5670">
        <v>1.2753829999999999</v>
      </c>
      <c r="J5670">
        <v>-417.87479999999999</v>
      </c>
      <c r="K5670">
        <v>1.1094619999999999</v>
      </c>
      <c r="L5670">
        <v>98.73563</v>
      </c>
      <c r="M5670">
        <v>-9.3120679999999997E-2</v>
      </c>
      <c r="N5670">
        <v>0</v>
      </c>
      <c r="O5670">
        <v>-0.99556270000000002</v>
      </c>
      <c r="P5670">
        <v>-6.0448300000000003E-2</v>
      </c>
      <c r="Q5670">
        <v>2.4864109999999998E-2</v>
      </c>
      <c r="R5670">
        <v>-0.99786149999999996</v>
      </c>
      <c r="S5670">
        <v>4.1259770000000001E-2</v>
      </c>
      <c r="T5670">
        <v>0.34246870000000001</v>
      </c>
      <c r="U5670">
        <v>-3</v>
      </c>
      <c r="V5670">
        <v>-3.2658920000000001E-2</v>
      </c>
      <c r="W5670">
        <v>3.846347E-2</v>
      </c>
      <c r="X5670">
        <v>0.99872620000000001</v>
      </c>
      <c r="Y5670">
        <v>-0.1067234</v>
      </c>
      <c r="Z5670">
        <v>-0.1123523</v>
      </c>
      <c r="AA5670">
        <v>0.98792060000000004</v>
      </c>
      <c r="AB5670">
        <v>20</v>
      </c>
      <c r="AC5670">
        <v>1.3541000000000101</v>
      </c>
      <c r="AD5670">
        <v>11.139378000000001</v>
      </c>
      <c r="AE5670">
        <v>-97.460246999999995</v>
      </c>
      <c r="AF5670">
        <v>-10.2902096892209</v>
      </c>
      <c r="AG5670">
        <v>11.139378000000001</v>
      </c>
      <c r="AH5670">
        <v>95.661132364942901</v>
      </c>
      <c r="AI5670">
        <v>83.395795740760803</v>
      </c>
      <c r="AJ5670">
        <v>96.1396636655533</v>
      </c>
      <c r="AK5670">
        <v>96.855698867016301</v>
      </c>
      <c r="AL5670">
        <v>87.795661818015901</v>
      </c>
      <c r="AM5670">
        <v>91.872937473069001</v>
      </c>
      <c r="AN5670">
        <v>1.0000000330732199</v>
      </c>
    </row>
    <row r="5671" spans="1:40" x14ac:dyDescent="0.25">
      <c r="A5671" t="str">
        <f>"20190312160447843"</f>
        <v>20190312160447843</v>
      </c>
      <c r="B5671" t="str">
        <f>"1552377887831205"</f>
        <v>1552377887831205</v>
      </c>
      <c r="C5671" t="s">
        <v>40</v>
      </c>
      <c r="D5671">
        <v>6.0933590000000004</v>
      </c>
      <c r="E5671">
        <v>0.47418189999999999</v>
      </c>
      <c r="F5671" t="s">
        <v>100</v>
      </c>
      <c r="G5671">
        <v>-416.86849999999998</v>
      </c>
      <c r="H5671">
        <v>12.185079999999999</v>
      </c>
      <c r="I5671">
        <v>0.70332340000000004</v>
      </c>
      <c r="J5671">
        <v>-417.8913</v>
      </c>
      <c r="K5671">
        <v>1.1094200000000001</v>
      </c>
      <c r="L5671">
        <v>98.574250000000006</v>
      </c>
      <c r="M5671">
        <v>-9.4324050000000006E-2</v>
      </c>
      <c r="N5671">
        <v>0</v>
      </c>
      <c r="O5671">
        <v>-0.99544949999999999</v>
      </c>
      <c r="P5671">
        <v>-6.1009580000000001E-2</v>
      </c>
      <c r="Q5671">
        <v>2.379618E-2</v>
      </c>
      <c r="R5671">
        <v>-0.99785360000000001</v>
      </c>
      <c r="S5671">
        <v>3.0792239999999999E-2</v>
      </c>
      <c r="T5671">
        <v>0.33891959999999999</v>
      </c>
      <c r="U5671">
        <v>-2.9998469999999999</v>
      </c>
      <c r="V5671">
        <v>-3.3306509999999998E-2</v>
      </c>
      <c r="W5671">
        <v>3.7399460000000002E-2</v>
      </c>
      <c r="X5671">
        <v>0.9987452</v>
      </c>
      <c r="Y5671">
        <v>-0.1044804</v>
      </c>
      <c r="Z5671">
        <v>-0.111205</v>
      </c>
      <c r="AA5671">
        <v>0.98829009999999995</v>
      </c>
      <c r="AB5671">
        <v>20</v>
      </c>
      <c r="AC5671">
        <v>1.0228000000000099</v>
      </c>
      <c r="AD5671">
        <v>11.075659999999999</v>
      </c>
      <c r="AE5671">
        <v>-97.870926599999905</v>
      </c>
      <c r="AF5671">
        <v>-10.121065584856</v>
      </c>
      <c r="AG5671">
        <v>11.075659999999999</v>
      </c>
      <c r="AH5671">
        <v>96.107341947654902</v>
      </c>
      <c r="AI5671">
        <v>83.461924138079695</v>
      </c>
      <c r="AJ5671">
        <v>96.011661215413397</v>
      </c>
      <c r="AK5671">
        <v>97.271410955388205</v>
      </c>
      <c r="AL5671">
        <v>87.856668953596497</v>
      </c>
      <c r="AM5671">
        <v>91.910012184980403</v>
      </c>
      <c r="AN5671">
        <v>1.00000000886985</v>
      </c>
    </row>
    <row r="5672" spans="1:40" x14ac:dyDescent="0.25">
      <c r="A5672" t="str">
        <f>"20190312160447866"</f>
        <v>20190312160447866</v>
      </c>
      <c r="B5672" t="str">
        <f>"1552377887860485"</f>
        <v>1552377887860485</v>
      </c>
      <c r="C5672" t="s">
        <v>40</v>
      </c>
      <c r="D5672">
        <v>6.1117889999999999</v>
      </c>
      <c r="E5672">
        <v>0.47554960000000002</v>
      </c>
      <c r="F5672" t="s">
        <v>100</v>
      </c>
      <c r="G5672">
        <v>-417.05829999999997</v>
      </c>
      <c r="H5672">
        <v>12.121560000000001</v>
      </c>
      <c r="I5672">
        <v>0.50734330000000005</v>
      </c>
      <c r="J5672">
        <v>-417.91250000000002</v>
      </c>
      <c r="K5672">
        <v>1.10938</v>
      </c>
      <c r="L5672">
        <v>98.369900000000001</v>
      </c>
      <c r="M5672">
        <v>-9.5913419999999999E-2</v>
      </c>
      <c r="N5672">
        <v>0</v>
      </c>
      <c r="O5672">
        <v>-0.99529769999999895</v>
      </c>
      <c r="P5672">
        <v>-6.2402729999999997E-2</v>
      </c>
      <c r="Q5672">
        <v>2.4137740000000001E-2</v>
      </c>
      <c r="R5672">
        <v>-0.99775919999999896</v>
      </c>
      <c r="S5672">
        <v>2.548218E-2</v>
      </c>
      <c r="T5672">
        <v>0.3368719</v>
      </c>
      <c r="U5672">
        <v>-2.9999690000000001</v>
      </c>
      <c r="V5672">
        <v>-3.3501799999999998E-2</v>
      </c>
      <c r="W5672">
        <v>3.7744439999999997E-2</v>
      </c>
      <c r="X5672">
        <v>0.99872570000000005</v>
      </c>
      <c r="Y5672">
        <v>-0.1043195</v>
      </c>
      <c r="Z5672">
        <v>-0.1105136</v>
      </c>
      <c r="AA5672">
        <v>0.9883847</v>
      </c>
      <c r="AB5672">
        <v>20</v>
      </c>
      <c r="AC5672">
        <v>0.85420000000004803</v>
      </c>
      <c r="AD5672">
        <v>11.012180000000001</v>
      </c>
      <c r="AE5672">
        <v>-97.862556699999999</v>
      </c>
      <c r="AF5672">
        <v>-10.109453656770199</v>
      </c>
      <c r="AG5672">
        <v>11.012180000000001</v>
      </c>
      <c r="AH5672">
        <v>96.112445083060706</v>
      </c>
      <c r="AI5672">
        <v>83.499332748679294</v>
      </c>
      <c r="AJ5672">
        <v>96.004497942718203</v>
      </c>
      <c r="AK5672">
        <v>97.2680382316573</v>
      </c>
      <c r="AL5672">
        <v>87.836889110641494</v>
      </c>
      <c r="AM5672">
        <v>91.921240500290494</v>
      </c>
      <c r="AN5672">
        <v>1.0000000185973199</v>
      </c>
    </row>
    <row r="5673" spans="1:40" x14ac:dyDescent="0.25">
      <c r="A5673" t="str">
        <f>"20190312160447880"</f>
        <v>20190312160447880</v>
      </c>
      <c r="B5673" t="str">
        <f>"1552377887871221"</f>
        <v>1552377887871221</v>
      </c>
      <c r="C5673" t="s">
        <v>40</v>
      </c>
      <c r="D5673">
        <v>7.1394759999999904</v>
      </c>
      <c r="E5673">
        <v>0.47606470000000001</v>
      </c>
      <c r="F5673" t="s">
        <v>100</v>
      </c>
      <c r="G5673">
        <v>-417.57190000000003</v>
      </c>
      <c r="H5673">
        <v>12.027240000000001</v>
      </c>
      <c r="I5673">
        <v>0.50211909999999904</v>
      </c>
      <c r="J5673">
        <v>-417.92579999999998</v>
      </c>
      <c r="K5673">
        <v>1.109361</v>
      </c>
      <c r="L5673">
        <v>98.244110000000006</v>
      </c>
      <c r="M5673">
        <v>-9.6933900000000003E-2</v>
      </c>
      <c r="N5673">
        <v>0</v>
      </c>
      <c r="O5673">
        <v>-0.9951989</v>
      </c>
      <c r="P5673">
        <v>-6.3774780000000003E-2</v>
      </c>
      <c r="Q5673">
        <v>2.4179429999999998E-2</v>
      </c>
      <c r="R5673">
        <v>-0.99767139999999999</v>
      </c>
      <c r="S5673">
        <v>1.043701E-2</v>
      </c>
      <c r="T5673">
        <v>0.33459229999999901</v>
      </c>
      <c r="U5673">
        <v>-2.999298</v>
      </c>
      <c r="V5673">
        <v>-3.3150760000000001E-2</v>
      </c>
      <c r="W5673">
        <v>3.7786849999999997E-2</v>
      </c>
      <c r="X5673">
        <v>0.99873579999999995</v>
      </c>
      <c r="Y5673">
        <v>-0.1003829</v>
      </c>
      <c r="Z5673">
        <v>-0.109807</v>
      </c>
      <c r="AA5673">
        <v>0.9888709</v>
      </c>
      <c r="AB5673">
        <v>20</v>
      </c>
      <c r="AC5673">
        <v>0.35389999999995297</v>
      </c>
      <c r="AD5673">
        <v>10.917878999999999</v>
      </c>
      <c r="AE5673">
        <v>-97.741990900000005</v>
      </c>
      <c r="AF5673">
        <v>-9.70650478254489</v>
      </c>
      <c r="AG5673">
        <v>10.917878999999999</v>
      </c>
      <c r="AH5673">
        <v>96.048916222490206</v>
      </c>
      <c r="AI5673">
        <v>83.547609658056402</v>
      </c>
      <c r="AJ5673">
        <v>95.770601683168593</v>
      </c>
      <c r="AK5673">
        <v>97.153541492151206</v>
      </c>
      <c r="AL5673">
        <v>87.834457440253402</v>
      </c>
      <c r="AM5673">
        <v>91.901104914785293</v>
      </c>
      <c r="AN5673">
        <v>1.0000000085615699</v>
      </c>
    </row>
    <row r="5674" spans="1:40" x14ac:dyDescent="0.25">
      <c r="A5674" t="str">
        <f>"20190312160447898"</f>
        <v>20190312160447898</v>
      </c>
      <c r="B5674" t="str">
        <f>"1552377887890741"</f>
        <v>1552377887890741</v>
      </c>
      <c r="C5674" t="s">
        <v>40</v>
      </c>
      <c r="D5674">
        <v>5.7066280000000003</v>
      </c>
      <c r="E5674">
        <v>0.4769274</v>
      </c>
      <c r="F5674" t="s">
        <v>100</v>
      </c>
      <c r="G5674">
        <v>-417.85610000000003</v>
      </c>
      <c r="H5674">
        <v>11.975669999999999</v>
      </c>
      <c r="I5674">
        <v>0.49922939999999999</v>
      </c>
      <c r="J5674">
        <v>-417.94369999999998</v>
      </c>
      <c r="K5674">
        <v>1.1093420000000001</v>
      </c>
      <c r="L5674">
        <v>98.077179999999998</v>
      </c>
      <c r="M5674">
        <v>-9.8318630000000004E-2</v>
      </c>
      <c r="N5674">
        <v>0</v>
      </c>
      <c r="O5674">
        <v>-0.99506280000000003</v>
      </c>
      <c r="P5674">
        <v>-6.6171160000000007E-2</v>
      </c>
      <c r="Q5674">
        <v>2.3244819999999999E-2</v>
      </c>
      <c r="R5674">
        <v>-0.99753740000000002</v>
      </c>
      <c r="S5674">
        <v>2.1362299999999998E-3</v>
      </c>
      <c r="T5674">
        <v>0.33340409999999998</v>
      </c>
      <c r="U5674">
        <v>-2.9990540000000001</v>
      </c>
      <c r="V5674">
        <v>-3.2143199999999997E-2</v>
      </c>
      <c r="W5674">
        <v>3.6851950000000001E-2</v>
      </c>
      <c r="X5674">
        <v>0.99880369999999996</v>
      </c>
      <c r="Y5674">
        <v>-9.9030699999999999E-2</v>
      </c>
      <c r="Z5674">
        <v>-0.109416</v>
      </c>
      <c r="AA5674">
        <v>0.9890506</v>
      </c>
      <c r="AB5674">
        <v>20</v>
      </c>
      <c r="AC5674">
        <v>8.7599999999952105E-2</v>
      </c>
      <c r="AD5674">
        <v>10.866327999999999</v>
      </c>
      <c r="AE5674">
        <v>-97.577950599999994</v>
      </c>
      <c r="AF5674">
        <v>-9.5631915743888793</v>
      </c>
      <c r="AG5674">
        <v>10.866327999999999</v>
      </c>
      <c r="AH5674">
        <v>95.907125197027497</v>
      </c>
      <c r="AI5674">
        <v>83.567553125832504</v>
      </c>
      <c r="AJ5674">
        <v>95.694314199838701</v>
      </c>
      <c r="AK5674">
        <v>96.993341940827804</v>
      </c>
      <c r="AL5674">
        <v>87.888060675836599</v>
      </c>
      <c r="AM5674">
        <v>91.843239379809006</v>
      </c>
      <c r="AN5674">
        <v>1.0000000413293599</v>
      </c>
    </row>
    <row r="5675" spans="1:40" x14ac:dyDescent="0.25">
      <c r="A5675" t="str">
        <f>"20190312160447913"</f>
        <v>20190312160447913</v>
      </c>
      <c r="B5675" t="str">
        <f>"1552377887911238"</f>
        <v>1552377887911238</v>
      </c>
      <c r="C5675" t="s">
        <v>40</v>
      </c>
      <c r="D5675">
        <v>6.1517989999999996</v>
      </c>
      <c r="E5675">
        <v>0.47768909999999998</v>
      </c>
      <c r="F5675" t="s">
        <v>100</v>
      </c>
      <c r="G5675">
        <v>-418.34780000000001</v>
      </c>
      <c r="H5675">
        <v>11.764250000000001</v>
      </c>
      <c r="I5675">
        <v>0.49422650000000001</v>
      </c>
      <c r="J5675">
        <v>-417.95819999999998</v>
      </c>
      <c r="K5675">
        <v>1.1093329999999999</v>
      </c>
      <c r="L5675">
        <v>97.943479999999994</v>
      </c>
      <c r="M5675">
        <v>-9.9452529999999997E-2</v>
      </c>
      <c r="N5675">
        <v>0</v>
      </c>
      <c r="O5675">
        <v>-0.99495049999999996</v>
      </c>
      <c r="P5675">
        <v>-6.7829050000000002E-2</v>
      </c>
      <c r="Q5675">
        <v>2.3288449999999999E-2</v>
      </c>
      <c r="R5675">
        <v>-0.99742520000000001</v>
      </c>
      <c r="S5675">
        <v>-1.242065E-2</v>
      </c>
      <c r="T5675">
        <v>0.32744719999999999</v>
      </c>
      <c r="U5675">
        <v>-2.9989319999999999</v>
      </c>
      <c r="V5675">
        <v>-3.1619729999999999E-2</v>
      </c>
      <c r="W5675">
        <v>3.6895299999999999E-2</v>
      </c>
      <c r="X5675">
        <v>0.99881880000000001</v>
      </c>
      <c r="Y5675">
        <v>-9.5362420000000003E-2</v>
      </c>
      <c r="Z5675">
        <v>-0.1074894</v>
      </c>
      <c r="AA5675">
        <v>0.98962220000000001</v>
      </c>
      <c r="AB5675">
        <v>20</v>
      </c>
      <c r="AC5675">
        <v>-0.38960000000002898</v>
      </c>
      <c r="AD5675">
        <v>10.654916999999999</v>
      </c>
      <c r="AE5675">
        <v>-97.449253499999998</v>
      </c>
      <c r="AF5675">
        <v>-9.1948708235153997</v>
      </c>
      <c r="AG5675">
        <v>10.654916999999999</v>
      </c>
      <c r="AH5675">
        <v>95.858834861713007</v>
      </c>
      <c r="AI5675">
        <v>83.686228582383393</v>
      </c>
      <c r="AJ5675">
        <v>95.479102727730194</v>
      </c>
      <c r="AK5675">
        <v>96.8864754585654</v>
      </c>
      <c r="AL5675">
        <v>87.885575195710402</v>
      </c>
      <c r="AM5675">
        <v>91.813214005481996</v>
      </c>
      <c r="AN5675">
        <v>1.0000000328604</v>
      </c>
    </row>
    <row r="5676" spans="1:40" x14ac:dyDescent="0.25">
      <c r="A5676" t="str">
        <f>"20190312160447927"</f>
        <v>20190312160447927</v>
      </c>
      <c r="B5676" t="str">
        <f>"1552377887920998"</f>
        <v>1552377887920998</v>
      </c>
      <c r="C5676" t="s">
        <v>40</v>
      </c>
      <c r="D5676">
        <v>6.205546</v>
      </c>
      <c r="E5676">
        <v>0.47805750000000002</v>
      </c>
      <c r="F5676" t="s">
        <v>100</v>
      </c>
      <c r="G5676">
        <v>-418.709</v>
      </c>
      <c r="H5676">
        <v>11.65456</v>
      </c>
      <c r="I5676">
        <v>0.49055480000000001</v>
      </c>
      <c r="J5676">
        <v>-417.97239999999999</v>
      </c>
      <c r="K5676">
        <v>1.109316</v>
      </c>
      <c r="L5676">
        <v>97.814179999999993</v>
      </c>
      <c r="M5676">
        <v>-0.1005656</v>
      </c>
      <c r="N5676">
        <v>0</v>
      </c>
      <c r="O5676">
        <v>-0.99483849999999996</v>
      </c>
      <c r="P5676">
        <v>-6.9678190000000001E-2</v>
      </c>
      <c r="Q5676">
        <v>2.3487939999999999E-2</v>
      </c>
      <c r="R5676">
        <v>-0.9972934</v>
      </c>
      <c r="S5676">
        <v>-2.310181E-2</v>
      </c>
      <c r="T5676">
        <v>0.3244725</v>
      </c>
      <c r="U5676">
        <v>-2.998596</v>
      </c>
      <c r="V5676">
        <v>-3.088318E-2</v>
      </c>
      <c r="W5676">
        <v>3.7093059999999997E-2</v>
      </c>
      <c r="X5676">
        <v>0.99883449999999996</v>
      </c>
      <c r="Y5676">
        <v>-9.2949699999999996E-2</v>
      </c>
      <c r="Z5676">
        <v>-0.10652929999999999</v>
      </c>
      <c r="AA5676">
        <v>0.98995549999999999</v>
      </c>
      <c r="AB5676">
        <v>20</v>
      </c>
      <c r="AC5676">
        <v>-0.73660000000000903</v>
      </c>
      <c r="AD5676">
        <v>10.545244</v>
      </c>
      <c r="AE5676">
        <v>-97.323625199999995</v>
      </c>
      <c r="AF5676">
        <v>-8.9503656096531099</v>
      </c>
      <c r="AG5676">
        <v>10.545244</v>
      </c>
      <c r="AH5676">
        <v>95.779816211992099</v>
      </c>
      <c r="AI5676">
        <v>83.744145174107501</v>
      </c>
      <c r="AJ5676">
        <v>95.338632463075299</v>
      </c>
      <c r="AK5676">
        <v>96.773366218030205</v>
      </c>
      <c r="AL5676">
        <v>87.874236577190501</v>
      </c>
      <c r="AM5676">
        <v>91.770976396385706</v>
      </c>
      <c r="AN5676">
        <v>1.0000000121486601</v>
      </c>
    </row>
    <row r="5677" spans="1:40" x14ac:dyDescent="0.25">
      <c r="A5677" t="str">
        <f>"20190312160447939"</f>
        <v>20190312160447939</v>
      </c>
      <c r="B5677" t="str">
        <f>"1552377887930758"</f>
        <v>1552377887930758</v>
      </c>
      <c r="C5677" t="s">
        <v>40</v>
      </c>
      <c r="D5677">
        <v>6.1035539999999999</v>
      </c>
      <c r="E5677">
        <v>0.47834389999999999</v>
      </c>
      <c r="F5677" t="s">
        <v>100</v>
      </c>
      <c r="G5677">
        <v>-419.00850000000003</v>
      </c>
      <c r="H5677">
        <v>11.620660000000001</v>
      </c>
      <c r="I5677">
        <v>0.48750880000000002</v>
      </c>
      <c r="J5677">
        <v>-417.98509999999999</v>
      </c>
      <c r="K5677">
        <v>1.1093139999999999</v>
      </c>
      <c r="L5677">
        <v>97.699889999999996</v>
      </c>
      <c r="M5677">
        <v>-0.1015673</v>
      </c>
      <c r="N5677">
        <v>0</v>
      </c>
      <c r="O5677">
        <v>-0.99473659999999997</v>
      </c>
      <c r="P5677">
        <v>-7.0937539999999993E-2</v>
      </c>
      <c r="Q5677">
        <v>2.3924930000000001E-2</v>
      </c>
      <c r="R5677">
        <v>-0.99719409999999997</v>
      </c>
      <c r="S5677">
        <v>-3.1921390000000001E-2</v>
      </c>
      <c r="T5677">
        <v>0.3238164</v>
      </c>
      <c r="U5677">
        <v>-2.998291</v>
      </c>
      <c r="V5677">
        <v>-3.0625010000000001E-2</v>
      </c>
      <c r="W5677">
        <v>3.7529069999999998E-2</v>
      </c>
      <c r="X5677">
        <v>0.99882610000000005</v>
      </c>
      <c r="Y5677">
        <v>-9.1039400000000006E-2</v>
      </c>
      <c r="Z5677">
        <v>-0.10631889999999899</v>
      </c>
      <c r="AA5677">
        <v>0.99015560000000002</v>
      </c>
      <c r="AB5677">
        <v>20</v>
      </c>
      <c r="AC5677">
        <v>-1.0234000000000301</v>
      </c>
      <c r="AD5677">
        <v>10.511346</v>
      </c>
      <c r="AE5677">
        <v>-97.212381199999996</v>
      </c>
      <c r="AF5677">
        <v>-8.7540593311330692</v>
      </c>
      <c r="AG5677">
        <v>10.511346</v>
      </c>
      <c r="AH5677">
        <v>95.694824617194797</v>
      </c>
      <c r="AI5677">
        <v>83.757483849821298</v>
      </c>
      <c r="AJ5677">
        <v>95.226808504068302</v>
      </c>
      <c r="AK5677">
        <v>96.667581991174202</v>
      </c>
      <c r="AL5677">
        <v>87.849237504375594</v>
      </c>
      <c r="AM5677">
        <v>91.756195871097802</v>
      </c>
      <c r="AN5677">
        <v>0.99999995018688603</v>
      </c>
    </row>
    <row r="5678" spans="1:40" x14ac:dyDescent="0.25">
      <c r="A5678" t="str">
        <f>"20190312160447955"</f>
        <v>20190312160447955</v>
      </c>
      <c r="B5678" t="str">
        <f>"1552377887951254"</f>
        <v>1552377887951254</v>
      </c>
      <c r="C5678" t="s">
        <v>40</v>
      </c>
      <c r="D5678">
        <v>6.1503589999999999</v>
      </c>
      <c r="E5678">
        <v>0.47887770000000002</v>
      </c>
      <c r="F5678" t="s">
        <v>100</v>
      </c>
      <c r="G5678">
        <v>-419.20229999999998</v>
      </c>
      <c r="H5678">
        <v>11.60355</v>
      </c>
      <c r="I5678">
        <v>0.48553469999999999</v>
      </c>
      <c r="J5678">
        <v>-417.99939999999998</v>
      </c>
      <c r="K5678">
        <v>1.1093090000000001</v>
      </c>
      <c r="L5678">
        <v>97.572999999999993</v>
      </c>
      <c r="M5678">
        <v>-0.1026874</v>
      </c>
      <c r="N5678">
        <v>0</v>
      </c>
      <c r="O5678">
        <v>-0.99462159999999999</v>
      </c>
      <c r="P5678">
        <v>-7.2111060000000005E-2</v>
      </c>
      <c r="Q5678">
        <v>2.4015330000000001E-2</v>
      </c>
      <c r="R5678">
        <v>-0.99710750000000004</v>
      </c>
      <c r="S5678">
        <v>-3.753662E-2</v>
      </c>
      <c r="T5678">
        <v>0.32363340000000002</v>
      </c>
      <c r="U5678">
        <v>-2.9980159999999998</v>
      </c>
      <c r="V5678">
        <v>-3.057346E-2</v>
      </c>
      <c r="W5678">
        <v>3.7619119999999999E-2</v>
      </c>
      <c r="X5678">
        <v>0.99882439999999995</v>
      </c>
      <c r="Y5678">
        <v>-9.0305479999999994E-2</v>
      </c>
      <c r="Z5678">
        <v>-0.1062531</v>
      </c>
      <c r="AA5678">
        <v>0.99022980000000005</v>
      </c>
      <c r="AB5678">
        <v>20</v>
      </c>
      <c r="AC5678">
        <v>-1.2028999999999901</v>
      </c>
      <c r="AD5678">
        <v>10.494241000000001</v>
      </c>
      <c r="AE5678">
        <v>-97.087465300000005</v>
      </c>
      <c r="AF5678">
        <v>-8.67271985300167</v>
      </c>
      <c r="AG5678">
        <v>10.494241000000001</v>
      </c>
      <c r="AH5678">
        <v>95.581111585299297</v>
      </c>
      <c r="AI5678">
        <v>83.759790776492196</v>
      </c>
      <c r="AJ5678">
        <v>95.184635540174995</v>
      </c>
      <c r="AK5678">
        <v>96.545813247888503</v>
      </c>
      <c r="AL5678">
        <v>87.844074606478699</v>
      </c>
      <c r="AM5678">
        <v>91.753244557170007</v>
      </c>
      <c r="AN5678">
        <v>1.0000000583406501</v>
      </c>
    </row>
    <row r="5679" spans="1:40" x14ac:dyDescent="0.25">
      <c r="A5679" t="str">
        <f>"20190312160447968"</f>
        <v>20190312160447968</v>
      </c>
      <c r="B5679" t="str">
        <f>"1552377887961014"</f>
        <v>1552377887961014</v>
      </c>
      <c r="C5679" t="s">
        <v>40</v>
      </c>
      <c r="D5679">
        <v>6.1954200000000004</v>
      </c>
      <c r="E5679">
        <v>0.47915809999999998</v>
      </c>
      <c r="F5679" t="s">
        <v>100</v>
      </c>
      <c r="G5679">
        <v>-419.46710000000002</v>
      </c>
      <c r="H5679">
        <v>11.52355</v>
      </c>
      <c r="I5679">
        <v>0.48284339999999998</v>
      </c>
      <c r="J5679">
        <v>-418.0136</v>
      </c>
      <c r="K5679">
        <v>1.109305</v>
      </c>
      <c r="L5679">
        <v>97.447270000000003</v>
      </c>
      <c r="M5679">
        <v>-0.10380549999999999</v>
      </c>
      <c r="N5679">
        <v>0</v>
      </c>
      <c r="O5679">
        <v>-0.99450550000000004</v>
      </c>
      <c r="P5679">
        <v>-7.3531810000000003E-2</v>
      </c>
      <c r="Q5679">
        <v>2.378123E-2</v>
      </c>
      <c r="R5679">
        <v>-0.99700940000000005</v>
      </c>
      <c r="S5679">
        <v>-4.5318600000000001E-2</v>
      </c>
      <c r="T5679">
        <v>0.32154120000000003</v>
      </c>
      <c r="U5679">
        <v>-2.997681</v>
      </c>
      <c r="V5679">
        <v>-3.027415E-2</v>
      </c>
      <c r="W5679">
        <v>3.7384210000000001E-2</v>
      </c>
      <c r="X5679">
        <v>0.99884229999999996</v>
      </c>
      <c r="Y5679">
        <v>-8.8852379999999995E-2</v>
      </c>
      <c r="Z5679">
        <v>-0.1055724</v>
      </c>
      <c r="AA5679">
        <v>0.99043409999999998</v>
      </c>
      <c r="AB5679">
        <v>20</v>
      </c>
      <c r="AC5679">
        <v>-1.45350000000001</v>
      </c>
      <c r="AD5679">
        <v>10.414244999999999</v>
      </c>
      <c r="AE5679">
        <v>-96.964426599999996</v>
      </c>
      <c r="AF5679">
        <v>-8.5224297478508504</v>
      </c>
      <c r="AG5679">
        <v>10.414244999999999</v>
      </c>
      <c r="AH5679">
        <v>95.490122046391207</v>
      </c>
      <c r="AI5679">
        <v>83.800315956890799</v>
      </c>
      <c r="AJ5679">
        <v>95.100097265654298</v>
      </c>
      <c r="AK5679">
        <v>96.433664848753807</v>
      </c>
      <c r="AL5679">
        <v>87.857543353390398</v>
      </c>
      <c r="AM5679">
        <v>91.736059994977694</v>
      </c>
      <c r="AN5679">
        <v>1.0000000217924101</v>
      </c>
    </row>
    <row r="5680" spans="1:40" x14ac:dyDescent="0.25">
      <c r="A5680" t="str">
        <f>"20190312160447981"</f>
        <v>20190312160447981</v>
      </c>
      <c r="B5680" t="str">
        <f>"1552377887970774"</f>
        <v>1552377887970774</v>
      </c>
      <c r="C5680" t="s">
        <v>40</v>
      </c>
      <c r="D5680">
        <v>6.1487350000000003</v>
      </c>
      <c r="E5680">
        <v>0.47941980000000001</v>
      </c>
      <c r="F5680" t="s">
        <v>100</v>
      </c>
      <c r="G5680">
        <v>-419.70670000000001</v>
      </c>
      <c r="H5680">
        <v>11.46659</v>
      </c>
      <c r="I5680">
        <v>0.48040959999999999</v>
      </c>
      <c r="J5680">
        <v>-418.02659999999997</v>
      </c>
      <c r="K5680">
        <v>1.109307</v>
      </c>
      <c r="L5680">
        <v>97.334869999999995</v>
      </c>
      <c r="M5680">
        <v>-0.1048153</v>
      </c>
      <c r="N5680">
        <v>0</v>
      </c>
      <c r="O5680">
        <v>-0.9943997</v>
      </c>
      <c r="P5680">
        <v>-7.4586079999999999E-2</v>
      </c>
      <c r="Q5680">
        <v>2.3890910000000001E-2</v>
      </c>
      <c r="R5680">
        <v>-0.9969287</v>
      </c>
      <c r="S5680">
        <v>-5.2337649999999999E-2</v>
      </c>
      <c r="T5680">
        <v>0.3201698</v>
      </c>
      <c r="U5680">
        <v>-2.9974980000000002</v>
      </c>
      <c r="V5680">
        <v>-3.023116E-2</v>
      </c>
      <c r="W5680">
        <v>3.7492850000000001E-2</v>
      </c>
      <c r="X5680">
        <v>0.99883949999999999</v>
      </c>
      <c r="Y5680">
        <v>-8.7543380000000004E-2</v>
      </c>
      <c r="Z5680">
        <v>-0.1051209</v>
      </c>
      <c r="AA5680">
        <v>0.99059870000000005</v>
      </c>
      <c r="AB5680">
        <v>20</v>
      </c>
      <c r="AC5680">
        <v>-1.6801000000000299</v>
      </c>
      <c r="AD5680">
        <v>10.357283000000001</v>
      </c>
      <c r="AE5680">
        <v>-96.854460399999994</v>
      </c>
      <c r="AF5680">
        <v>-8.3860453015475294</v>
      </c>
      <c r="AG5680">
        <v>10.357283000000001</v>
      </c>
      <c r="AH5680">
        <v>95.406292303920495</v>
      </c>
      <c r="AI5680">
        <v>83.827860728702305</v>
      </c>
      <c r="AJ5680">
        <v>95.023287989035097</v>
      </c>
      <c r="AK5680">
        <v>96.332547345758499</v>
      </c>
      <c r="AL5680">
        <v>87.851314308622705</v>
      </c>
      <c r="AM5680">
        <v>91.733601111374</v>
      </c>
      <c r="AN5680">
        <v>0.99999999179815902</v>
      </c>
    </row>
    <row r="5681" spans="1:40" x14ac:dyDescent="0.25">
      <c r="A5681" t="str">
        <f>"20190312160447999"</f>
        <v>20190312160447999</v>
      </c>
      <c r="B5681" t="str">
        <f>"1552377887991269"</f>
        <v>1552377887991269</v>
      </c>
      <c r="C5681" t="s">
        <v>40</v>
      </c>
      <c r="D5681">
        <v>6.1547199999999904</v>
      </c>
      <c r="E5681">
        <v>0.47990880000000002</v>
      </c>
      <c r="F5681" t="s">
        <v>100</v>
      </c>
      <c r="G5681">
        <v>-419.8845</v>
      </c>
      <c r="H5681">
        <v>11.436489999999999</v>
      </c>
      <c r="I5681">
        <v>0.47859760000000001</v>
      </c>
      <c r="J5681">
        <v>-418.04520000000002</v>
      </c>
      <c r="K5681">
        <v>1.1093059999999999</v>
      </c>
      <c r="L5681">
        <v>97.17398</v>
      </c>
      <c r="M5681">
        <v>-0.1062678</v>
      </c>
      <c r="N5681">
        <v>0</v>
      </c>
      <c r="O5681">
        <v>-0.9942455</v>
      </c>
      <c r="P5681">
        <v>-7.6204899999999895E-2</v>
      </c>
      <c r="Q5681">
        <v>2.4166650000000001E-2</v>
      </c>
      <c r="R5681">
        <v>-0.9967992</v>
      </c>
      <c r="S5681">
        <v>-5.7495119999999997E-2</v>
      </c>
      <c r="T5681">
        <v>0.3195808</v>
      </c>
      <c r="U5681">
        <v>-2.9972840000000001</v>
      </c>
      <c r="V5681">
        <v>-3.0067010000000002E-2</v>
      </c>
      <c r="W5681">
        <v>3.7766830000000001E-2</v>
      </c>
      <c r="X5681">
        <v>0.99883409999999995</v>
      </c>
      <c r="Y5681">
        <v>-8.7293010000000004E-2</v>
      </c>
      <c r="Z5681">
        <v>-0.1049122</v>
      </c>
      <c r="AA5681">
        <v>0.99064289999999999</v>
      </c>
      <c r="AB5681">
        <v>20</v>
      </c>
      <c r="AC5681">
        <v>-1.83929999999998</v>
      </c>
      <c r="AD5681">
        <v>10.327184000000001</v>
      </c>
      <c r="AE5681">
        <v>-96.6953824</v>
      </c>
      <c r="AF5681">
        <v>-8.3524255042575195</v>
      </c>
      <c r="AG5681">
        <v>10.327184000000001</v>
      </c>
      <c r="AH5681">
        <v>95.257068300138002</v>
      </c>
      <c r="AI5681">
        <v>83.8359780017758</v>
      </c>
      <c r="AJ5681">
        <v>95.011049883682503</v>
      </c>
      <c r="AK5681">
        <v>96.1785984630218</v>
      </c>
      <c r="AL5681">
        <v>87.835605213634395</v>
      </c>
      <c r="AM5681">
        <v>91.724202968726999</v>
      </c>
      <c r="AN5681">
        <v>0.99999995893069804</v>
      </c>
    </row>
    <row r="5682" spans="1:40" x14ac:dyDescent="0.25">
      <c r="A5682" t="str">
        <f>"20190312160448014"</f>
        <v>20190312160448014</v>
      </c>
      <c r="B5682" t="str">
        <f>"1552377888010790"</f>
        <v>1552377888010790</v>
      </c>
      <c r="C5682" t="s">
        <v>40</v>
      </c>
      <c r="D5682">
        <v>6.172606</v>
      </c>
      <c r="E5682">
        <v>0.4802767</v>
      </c>
      <c r="F5682" t="s">
        <v>100</v>
      </c>
      <c r="G5682">
        <v>-420.1721</v>
      </c>
      <c r="H5682">
        <v>11.381180000000001</v>
      </c>
      <c r="I5682">
        <v>0.47567369999999998</v>
      </c>
      <c r="J5682">
        <v>-418.0607</v>
      </c>
      <c r="K5682">
        <v>1.10931</v>
      </c>
      <c r="L5682">
        <v>97.042180000000002</v>
      </c>
      <c r="M5682">
        <v>-0.1074648</v>
      </c>
      <c r="N5682">
        <v>0</v>
      </c>
      <c r="O5682">
        <v>-0.99411680000000002</v>
      </c>
      <c r="P5682">
        <v>-7.7166380000000007E-2</v>
      </c>
      <c r="Q5682">
        <v>2.4111319999999999E-2</v>
      </c>
      <c r="R5682">
        <v>-0.99672680000000002</v>
      </c>
      <c r="S5682">
        <v>-6.5917970000000006E-2</v>
      </c>
      <c r="T5682">
        <v>0.3183433</v>
      </c>
      <c r="U5682">
        <v>-2.9968569999999999</v>
      </c>
      <c r="V5682">
        <v>-3.0306639999999999E-2</v>
      </c>
      <c r="W5682">
        <v>3.7711080000000001E-2</v>
      </c>
      <c r="X5682">
        <v>0.99882899999999997</v>
      </c>
      <c r="Y5682">
        <v>-8.5705649999999994E-2</v>
      </c>
      <c r="Z5682">
        <v>-0.1045093</v>
      </c>
      <c r="AA5682">
        <v>0.99082409999999999</v>
      </c>
      <c r="AB5682">
        <v>20</v>
      </c>
      <c r="AC5682">
        <v>-2.1114000000000002</v>
      </c>
      <c r="AD5682">
        <v>10.27187</v>
      </c>
      <c r="AE5682">
        <v>-96.5665063</v>
      </c>
      <c r="AF5682">
        <v>-8.1866937471896701</v>
      </c>
      <c r="AG5682">
        <v>10.27187</v>
      </c>
      <c r="AH5682">
        <v>95.157922107657399</v>
      </c>
      <c r="AI5682">
        <v>83.861535245983205</v>
      </c>
      <c r="AJ5682">
        <v>94.917203166070394</v>
      </c>
      <c r="AK5682">
        <v>96.060207201807401</v>
      </c>
      <c r="AL5682">
        <v>87.838801807721495</v>
      </c>
      <c r="AM5682">
        <v>91.737945107376703</v>
      </c>
      <c r="AN5682">
        <v>0.99999999461192701</v>
      </c>
    </row>
    <row r="5683" spans="1:40" x14ac:dyDescent="0.25">
      <c r="A5683" t="str">
        <f>"20190312160448033"</f>
        <v>20190312160448033</v>
      </c>
      <c r="B5683" t="str">
        <f>"1552377888020550"</f>
        <v>1552377888020550</v>
      </c>
      <c r="C5683" t="s">
        <v>40</v>
      </c>
      <c r="D5683">
        <v>6.1496269999999997</v>
      </c>
      <c r="E5683">
        <v>0.48047230000000002</v>
      </c>
      <c r="F5683" t="s">
        <v>100</v>
      </c>
      <c r="G5683">
        <v>-420.37860000000001</v>
      </c>
      <c r="H5683">
        <v>11.3111</v>
      </c>
      <c r="I5683">
        <v>0.47357369999999999</v>
      </c>
      <c r="J5683">
        <v>-418.08069999999998</v>
      </c>
      <c r="K5683">
        <v>1.109313</v>
      </c>
      <c r="L5683">
        <v>96.873660000000001</v>
      </c>
      <c r="M5683">
        <v>-0.10900319999999999</v>
      </c>
      <c r="N5683">
        <v>0</v>
      </c>
      <c r="O5683">
        <v>-0.99394939999999998</v>
      </c>
      <c r="P5683">
        <v>-7.8413440000000001E-2</v>
      </c>
      <c r="Q5683">
        <v>2.3925189999999999E-2</v>
      </c>
      <c r="R5683">
        <v>-0.99663409999999997</v>
      </c>
      <c r="S5683">
        <v>-7.1929930000000003E-2</v>
      </c>
      <c r="T5683">
        <v>0.316573299999999</v>
      </c>
      <c r="U5683">
        <v>-2.9966430000000002</v>
      </c>
      <c r="V5683">
        <v>-3.0604530000000001E-2</v>
      </c>
      <c r="W5683">
        <v>3.7524299999999997E-2</v>
      </c>
      <c r="X5683">
        <v>0.99882700000000002</v>
      </c>
      <c r="Y5683">
        <v>-8.5257780000000005E-2</v>
      </c>
      <c r="Z5683">
        <v>-0.1039153</v>
      </c>
      <c r="AA5683">
        <v>0.99092519999999995</v>
      </c>
      <c r="AB5683">
        <v>20</v>
      </c>
      <c r="AC5683">
        <v>-2.2979000000000198</v>
      </c>
      <c r="AD5683">
        <v>10.201786999999999</v>
      </c>
      <c r="AE5683">
        <v>-96.400086299999998</v>
      </c>
      <c r="AF5683">
        <v>-8.1336330229179996</v>
      </c>
      <c r="AG5683">
        <v>10.201786999999999</v>
      </c>
      <c r="AH5683">
        <v>95.012585813724399</v>
      </c>
      <c r="AI5683">
        <v>83.893624185287507</v>
      </c>
      <c r="AJ5683">
        <v>94.892924713456196</v>
      </c>
      <c r="AK5683">
        <v>95.904243426217604</v>
      </c>
      <c r="AL5683">
        <v>87.849511197883501</v>
      </c>
      <c r="AM5683">
        <v>91.755020596702295</v>
      </c>
      <c r="AN5683">
        <v>1.0000000431380001</v>
      </c>
    </row>
    <row r="5684" spans="1:40" x14ac:dyDescent="0.25">
      <c r="A5684" t="str">
        <f>"20190312160448056"</f>
        <v>20190312160448056</v>
      </c>
      <c r="B5684" t="str">
        <f>"1552377888050806"</f>
        <v>1552377888050806</v>
      </c>
      <c r="C5684" t="s">
        <v>40</v>
      </c>
      <c r="D5684">
        <v>6.6057139999999999</v>
      </c>
      <c r="E5684">
        <v>0.50460839999999996</v>
      </c>
      <c r="F5684" t="s">
        <v>100</v>
      </c>
      <c r="G5684">
        <v>-420.54989999999998</v>
      </c>
      <c r="H5684">
        <v>11.255599999999999</v>
      </c>
      <c r="I5684">
        <v>0.47183039999999998</v>
      </c>
      <c r="J5684">
        <v>-418.10539999999997</v>
      </c>
      <c r="K5684">
        <v>1.1093090000000001</v>
      </c>
      <c r="L5684">
        <v>96.669340000000005</v>
      </c>
      <c r="M5684">
        <v>-0.1108785</v>
      </c>
      <c r="N5684">
        <v>0</v>
      </c>
      <c r="O5684">
        <v>-0.99374180000000001</v>
      </c>
      <c r="P5684">
        <v>-8.0110360000000005E-2</v>
      </c>
      <c r="Q5684">
        <v>2.313639E-2</v>
      </c>
      <c r="R5684">
        <v>-0.99651769999999995</v>
      </c>
      <c r="S5684">
        <v>-7.6751710000000001E-2</v>
      </c>
      <c r="T5684">
        <v>0.31538300000000002</v>
      </c>
      <c r="U5684">
        <v>-2.996521</v>
      </c>
      <c r="V5684">
        <v>-3.0792610000000002E-2</v>
      </c>
      <c r="W5684">
        <v>3.6734250000000003E-2</v>
      </c>
      <c r="X5684">
        <v>0.99885049999999997</v>
      </c>
      <c r="Y5684">
        <v>-8.5542240000000005E-2</v>
      </c>
      <c r="Z5684">
        <v>-0.1034973</v>
      </c>
      <c r="AA5684">
        <v>0.99094439999999995</v>
      </c>
      <c r="AB5684">
        <v>20</v>
      </c>
      <c r="AC5684">
        <v>-2.4445000000000001</v>
      </c>
      <c r="AD5684">
        <v>10.146291</v>
      </c>
      <c r="AE5684">
        <v>-96.197509599999904</v>
      </c>
      <c r="AF5684">
        <v>-8.1472118062223604</v>
      </c>
      <c r="AG5684">
        <v>10.146291</v>
      </c>
      <c r="AH5684">
        <v>94.821138338289003</v>
      </c>
      <c r="AI5684">
        <v>83.914584901642797</v>
      </c>
      <c r="AJ5684">
        <v>94.910900573935805</v>
      </c>
      <c r="AK5684">
        <v>95.709835215828704</v>
      </c>
      <c r="AL5684">
        <v>87.894808777591905</v>
      </c>
      <c r="AM5684">
        <v>91.765757742751006</v>
      </c>
      <c r="AN5684">
        <v>0.99999995565196098</v>
      </c>
    </row>
    <row r="5685" spans="1:40" x14ac:dyDescent="0.25">
      <c r="A5685" t="str">
        <f>"20190312160448078"</f>
        <v>20190312160448078</v>
      </c>
      <c r="B5685" t="str">
        <f>"1552377888071301"</f>
        <v>1552377888071301</v>
      </c>
      <c r="C5685" t="s">
        <v>40</v>
      </c>
      <c r="D5685">
        <v>6.1233690000000003</v>
      </c>
      <c r="E5685">
        <v>0.49742249999999999</v>
      </c>
      <c r="F5685" t="s">
        <v>100</v>
      </c>
      <c r="G5685">
        <v>-426.96510000000001</v>
      </c>
      <c r="H5685">
        <v>3.0879880000000002</v>
      </c>
      <c r="I5685">
        <v>1.1619679999999999</v>
      </c>
      <c r="J5685">
        <v>-418.13</v>
      </c>
      <c r="K5685">
        <v>1.1093120000000001</v>
      </c>
      <c r="L5685">
        <v>96.46875</v>
      </c>
      <c r="M5685">
        <v>-0.11272699999999999</v>
      </c>
      <c r="N5685">
        <v>0</v>
      </c>
      <c r="O5685">
        <v>-0.99353400000000003</v>
      </c>
      <c r="P5685">
        <v>-8.1069420000000003E-2</v>
      </c>
      <c r="Q5685">
        <v>2.257408E-2</v>
      </c>
      <c r="R5685">
        <v>-0.99645320000000004</v>
      </c>
      <c r="S5685">
        <v>-0.27706910000000001</v>
      </c>
      <c r="T5685">
        <v>6.1878089999999997E-2</v>
      </c>
      <c r="U5685">
        <v>-2.9867859999999999</v>
      </c>
      <c r="V5685">
        <v>-3.1692959999999999E-2</v>
      </c>
      <c r="W5685">
        <v>3.6172429999999998E-2</v>
      </c>
      <c r="X5685">
        <v>0.99884289999999998</v>
      </c>
      <c r="Y5685">
        <v>-2.0495280000000001E-2</v>
      </c>
      <c r="Z5685">
        <v>-2.0469040000000001E-2</v>
      </c>
      <c r="AA5685">
        <v>0.99958040000000004</v>
      </c>
      <c r="AB5685">
        <v>20</v>
      </c>
      <c r="AC5685">
        <v>-8.8351000000000095</v>
      </c>
      <c r="AD5685">
        <v>1.9786759999999901</v>
      </c>
      <c r="AE5685">
        <v>-95.306781999999998</v>
      </c>
      <c r="AF5685">
        <v>-1.96501531969253</v>
      </c>
      <c r="AG5685">
        <v>1.9786759999999901</v>
      </c>
      <c r="AH5685">
        <v>95.654352233261605</v>
      </c>
      <c r="AI5685">
        <v>88.815216335392293</v>
      </c>
      <c r="AJ5685">
        <v>91.176854458417907</v>
      </c>
      <c r="AK5685">
        <v>95.694992267539703</v>
      </c>
      <c r="AL5685">
        <v>87.927020223620204</v>
      </c>
      <c r="AM5685">
        <v>91.817366701008595</v>
      </c>
      <c r="AN5685">
        <v>1.00000001364303</v>
      </c>
    </row>
    <row r="5686" spans="1:40" x14ac:dyDescent="0.25">
      <c r="A5686" t="str">
        <f>"20190312160448092"</f>
        <v>20190312160448092</v>
      </c>
      <c r="B5686" t="str">
        <f>"1552377888081062"</f>
        <v>1552377888081062</v>
      </c>
      <c r="C5686" t="s">
        <v>40</v>
      </c>
      <c r="D5686">
        <v>6.1718760000000001</v>
      </c>
      <c r="E5686">
        <v>0.4956894</v>
      </c>
      <c r="F5686" t="s">
        <v>100</v>
      </c>
      <c r="G5686">
        <v>-425.25279999999998</v>
      </c>
      <c r="H5686">
        <v>6.7024439999999998</v>
      </c>
      <c r="I5686">
        <v>0.42398639999999999</v>
      </c>
      <c r="J5686">
        <v>-418.1456</v>
      </c>
      <c r="K5686">
        <v>1.109316</v>
      </c>
      <c r="L5686">
        <v>96.342770000000002</v>
      </c>
      <c r="M5686">
        <v>-0.11389059999999999</v>
      </c>
      <c r="N5686">
        <v>0</v>
      </c>
      <c r="O5686">
        <v>-0.99340139999999999</v>
      </c>
      <c r="P5686">
        <v>-8.1762189999999998E-2</v>
      </c>
      <c r="Q5686">
        <v>2.3147170000000002E-2</v>
      </c>
      <c r="R5686">
        <v>-0.99638309999999997</v>
      </c>
      <c r="S5686">
        <v>-0.22164919999999999</v>
      </c>
      <c r="T5686">
        <v>0.17404559999999999</v>
      </c>
      <c r="U5686">
        <v>-2.9887079999999999</v>
      </c>
      <c r="V5686">
        <v>-3.216571E-2</v>
      </c>
      <c r="W5686">
        <v>3.674521E-2</v>
      </c>
      <c r="X5686">
        <v>0.99880690000000005</v>
      </c>
      <c r="Y5686">
        <v>-4.0234270000000003E-2</v>
      </c>
      <c r="Z5686">
        <v>-5.7467509999999999E-2</v>
      </c>
      <c r="AA5686">
        <v>0.99753630000000004</v>
      </c>
      <c r="AB5686">
        <v>20</v>
      </c>
      <c r="AC5686">
        <v>-7.1071999999999704</v>
      </c>
      <c r="AD5686">
        <v>5.5931280000000001</v>
      </c>
      <c r="AE5686">
        <v>-95.918783599999898</v>
      </c>
      <c r="AF5686">
        <v>-3.8512746585033701</v>
      </c>
      <c r="AG5686">
        <v>5.5931280000000001</v>
      </c>
      <c r="AH5686">
        <v>95.780179568800605</v>
      </c>
      <c r="AI5686">
        <v>86.660674048455604</v>
      </c>
      <c r="AJ5686">
        <v>92.302595145793106</v>
      </c>
      <c r="AK5686">
        <v>96.020613388747407</v>
      </c>
      <c r="AL5686">
        <v>87.894180555422096</v>
      </c>
      <c r="AM5686">
        <v>91.844523410220106</v>
      </c>
      <c r="AN5686">
        <v>1.00000003342267</v>
      </c>
    </row>
    <row r="5687" spans="1:40" x14ac:dyDescent="0.25">
      <c r="A5687" t="str">
        <f>"20190312160448105"</f>
        <v>20190312160448105</v>
      </c>
      <c r="B5687" t="str">
        <f>"1552377888100584"</f>
        <v>1552377888100584</v>
      </c>
      <c r="C5687" t="s">
        <v>40</v>
      </c>
      <c r="D5687">
        <v>6.1660589999999997</v>
      </c>
      <c r="E5687">
        <v>0.49424839999999998</v>
      </c>
      <c r="F5687" t="s">
        <v>100</v>
      </c>
      <c r="G5687">
        <v>-424.87689999999998</v>
      </c>
      <c r="H5687">
        <v>7.3718859999999999</v>
      </c>
      <c r="I5687">
        <v>0.42780879999999999</v>
      </c>
      <c r="J5687">
        <v>-418.16039999999998</v>
      </c>
      <c r="K5687">
        <v>1.1093170000000001</v>
      </c>
      <c r="L5687">
        <v>96.224670000000003</v>
      </c>
      <c r="M5687">
        <v>-0.1149831</v>
      </c>
      <c r="N5687">
        <v>0</v>
      </c>
      <c r="O5687">
        <v>-0.99327549999999998</v>
      </c>
      <c r="P5687">
        <v>-8.2054360000000007E-2</v>
      </c>
      <c r="Q5687">
        <v>2.3321390000000001E-2</v>
      </c>
      <c r="R5687">
        <v>-0.99635510000000005</v>
      </c>
      <c r="S5687">
        <v>-0.20977779999999999</v>
      </c>
      <c r="T5687">
        <v>0.19516849999999999</v>
      </c>
      <c r="U5687">
        <v>-2.9891359999999998</v>
      </c>
      <c r="V5687">
        <v>-3.2970859999999998E-2</v>
      </c>
      <c r="W5687">
        <v>3.691962E-2</v>
      </c>
      <c r="X5687">
        <v>0.99877419999999995</v>
      </c>
      <c r="Y5687">
        <v>-4.5314090000000001E-2</v>
      </c>
      <c r="Z5687">
        <v>-6.4394850000000003E-2</v>
      </c>
      <c r="AA5687">
        <v>0.99689510000000003</v>
      </c>
      <c r="AB5687">
        <v>20</v>
      </c>
      <c r="AC5687">
        <v>-6.7164999999999901</v>
      </c>
      <c r="AD5687">
        <v>6.2625690000000001</v>
      </c>
      <c r="AE5687">
        <v>-95.796861199999995</v>
      </c>
      <c r="AF5687">
        <v>-4.3256857676075997</v>
      </c>
      <c r="AG5687">
        <v>6.2625690000000001</v>
      </c>
      <c r="AH5687">
        <v>95.527464357018999</v>
      </c>
      <c r="AI5687">
        <v>86.253011514066898</v>
      </c>
      <c r="AJ5687">
        <v>92.592703042714405</v>
      </c>
      <c r="AK5687">
        <v>95.830202829386707</v>
      </c>
      <c r="AL5687">
        <v>87.884180783615307</v>
      </c>
      <c r="AM5687">
        <v>91.890723010674293</v>
      </c>
      <c r="AN5687">
        <v>1.00000001926786</v>
      </c>
    </row>
    <row r="5688" spans="1:40" x14ac:dyDescent="0.25">
      <c r="A5688" t="str">
        <f>"20190312160448122"</f>
        <v>20190312160448122</v>
      </c>
      <c r="B5688" t="str">
        <f>"1552377888111318"</f>
        <v>1552377888111318</v>
      </c>
      <c r="C5688" t="s">
        <v>40</v>
      </c>
      <c r="D5688">
        <v>6.1189019999999896</v>
      </c>
      <c r="E5688">
        <v>0.49377199999999999</v>
      </c>
      <c r="F5688" t="s">
        <v>100</v>
      </c>
      <c r="G5688">
        <v>-424.4402</v>
      </c>
      <c r="H5688">
        <v>8.0698070000000008</v>
      </c>
      <c r="I5688">
        <v>1.7292879999999999</v>
      </c>
      <c r="J5688">
        <v>-418.17809999999997</v>
      </c>
      <c r="K5688">
        <v>1.1093189999999999</v>
      </c>
      <c r="L5688">
        <v>96.085049999999995</v>
      </c>
      <c r="M5688">
        <v>-0.1162759</v>
      </c>
      <c r="N5688">
        <v>0</v>
      </c>
      <c r="O5688">
        <v>-0.99312480000000003</v>
      </c>
      <c r="P5688">
        <v>-8.170761E-2</v>
      </c>
      <c r="Q5688">
        <v>2.3265930000000001E-2</v>
      </c>
      <c r="R5688">
        <v>-0.99638439999999995</v>
      </c>
      <c r="S5688">
        <v>-0.1986694</v>
      </c>
      <c r="T5688">
        <v>0.22020229999999999</v>
      </c>
      <c r="U5688">
        <v>-2.989471</v>
      </c>
      <c r="V5688">
        <v>-3.4620140000000001E-2</v>
      </c>
      <c r="W5688">
        <v>3.6865759999999997E-2</v>
      </c>
      <c r="X5688">
        <v>0.99872030000000001</v>
      </c>
      <c r="Y5688">
        <v>-5.0346299999999997E-2</v>
      </c>
      <c r="Z5688">
        <v>-7.25885E-2</v>
      </c>
      <c r="AA5688">
        <v>0.99609040000000004</v>
      </c>
      <c r="AB5688">
        <v>20</v>
      </c>
      <c r="AC5688">
        <v>-6.2621000000000304</v>
      </c>
      <c r="AD5688">
        <v>6.9604879999999998</v>
      </c>
      <c r="AE5688">
        <v>-94.355761999999999</v>
      </c>
      <c r="AF5688">
        <v>-4.7270783321315202</v>
      </c>
      <c r="AG5688">
        <v>6.9604879999999998</v>
      </c>
      <c r="AH5688">
        <v>93.934889596729604</v>
      </c>
      <c r="AI5688">
        <v>85.767517108192905</v>
      </c>
      <c r="AJ5688">
        <v>92.880860983813605</v>
      </c>
      <c r="AK5688">
        <v>94.310959841929503</v>
      </c>
      <c r="AL5688">
        <v>87.887268664695497</v>
      </c>
      <c r="AM5688">
        <v>91.985334601867905</v>
      </c>
      <c r="AN5688">
        <v>0.99999993799304099</v>
      </c>
    </row>
    <row r="5689" spans="1:40" x14ac:dyDescent="0.25">
      <c r="A5689" t="str">
        <f>"20190312160448137"</f>
        <v>20190312160448137</v>
      </c>
      <c r="B5689" t="str">
        <f>"1552377888130936"</f>
        <v>1552377888130936</v>
      </c>
      <c r="C5689" t="s">
        <v>40</v>
      </c>
      <c r="D5689">
        <v>6.0661430000000003</v>
      </c>
      <c r="E5689">
        <v>0.49308419999999997</v>
      </c>
      <c r="F5689" t="s">
        <v>100</v>
      </c>
      <c r="G5689">
        <v>-424.28719999999998</v>
      </c>
      <c r="H5689">
        <v>8.28911499999999</v>
      </c>
      <c r="I5689">
        <v>1.730839</v>
      </c>
      <c r="J5689">
        <v>-418.19589999999999</v>
      </c>
      <c r="K5689">
        <v>1.109326</v>
      </c>
      <c r="L5689">
        <v>95.945980000000006</v>
      </c>
      <c r="M5689">
        <v>-0.11756460000000001</v>
      </c>
      <c r="N5689">
        <v>0</v>
      </c>
      <c r="O5689">
        <v>-0.99297329999999995</v>
      </c>
      <c r="P5689">
        <v>-8.1345420000000002E-2</v>
      </c>
      <c r="Q5689">
        <v>2.3681629999999999E-2</v>
      </c>
      <c r="R5689">
        <v>-0.99640490000000004</v>
      </c>
      <c r="S5689">
        <v>-0.193573</v>
      </c>
      <c r="T5689">
        <v>0.2274988</v>
      </c>
      <c r="U5689">
        <v>-2.989716</v>
      </c>
      <c r="V5689">
        <v>-3.6277759999999999E-2</v>
      </c>
      <c r="W5689">
        <v>3.7282709999999997E-2</v>
      </c>
      <c r="X5689">
        <v>0.99864600000000003</v>
      </c>
      <c r="Y5689">
        <v>-5.3349550000000003E-2</v>
      </c>
      <c r="Z5689">
        <v>-7.4955149999999998E-2</v>
      </c>
      <c r="AA5689">
        <v>0.99575880000000005</v>
      </c>
      <c r="AB5689">
        <v>20</v>
      </c>
      <c r="AC5689">
        <v>-6.0912999999999897</v>
      </c>
      <c r="AD5689">
        <v>7.1797889999999898</v>
      </c>
      <c r="AE5689">
        <v>-94.215141000000003</v>
      </c>
      <c r="AF5689">
        <v>-4.9994134339192602</v>
      </c>
      <c r="AG5689">
        <v>7.1797889999999898</v>
      </c>
      <c r="AH5689">
        <v>93.735752906723206</v>
      </c>
      <c r="AI5689">
        <v>85.626114274485502</v>
      </c>
      <c r="AJ5689">
        <v>93.052988130718603</v>
      </c>
      <c r="AK5689">
        <v>94.143161609104894</v>
      </c>
      <c r="AL5689">
        <v>87.863362788778105</v>
      </c>
      <c r="AM5689">
        <v>92.080465889293293</v>
      </c>
      <c r="AN5689">
        <v>0.99999995482577897</v>
      </c>
    </row>
    <row r="5690" spans="1:40" x14ac:dyDescent="0.25">
      <c r="A5690" t="str">
        <f>"20190312160448149"</f>
        <v>20190312160448149</v>
      </c>
      <c r="B5690" t="str">
        <f>"1552377888140696"</f>
        <v>1552377888140696</v>
      </c>
      <c r="C5690" t="s">
        <v>40</v>
      </c>
      <c r="D5690">
        <v>6.0652949999999999</v>
      </c>
      <c r="E5690">
        <v>0.49299850000000001</v>
      </c>
      <c r="F5690" t="s">
        <v>100</v>
      </c>
      <c r="G5690">
        <v>-424.15620000000001</v>
      </c>
      <c r="H5690">
        <v>8.7067370000000004</v>
      </c>
      <c r="I5690">
        <v>0.43514629999999999</v>
      </c>
      <c r="J5690">
        <v>-418.20979999999997</v>
      </c>
      <c r="K5690">
        <v>1.1093360000000001</v>
      </c>
      <c r="L5690">
        <v>95.838200000000001</v>
      </c>
      <c r="M5690">
        <v>-0.1185631</v>
      </c>
      <c r="N5690">
        <v>0</v>
      </c>
      <c r="O5690">
        <v>-0.99285460000000003</v>
      </c>
      <c r="P5690">
        <v>-8.1646469999999999E-2</v>
      </c>
      <c r="Q5690">
        <v>2.3879290000000001E-2</v>
      </c>
      <c r="R5690">
        <v>-0.99637560000000003</v>
      </c>
      <c r="S5690">
        <v>-0.18658449999999999</v>
      </c>
      <c r="T5690">
        <v>0.23783299999999999</v>
      </c>
      <c r="U5690">
        <v>-2.9899290000000001</v>
      </c>
      <c r="V5690">
        <v>-3.698034E-2</v>
      </c>
      <c r="W5690">
        <v>3.7479980000000003E-2</v>
      </c>
      <c r="X5690">
        <v>0.99861290000000003</v>
      </c>
      <c r="Y5690">
        <v>-5.6692319999999997E-2</v>
      </c>
      <c r="Z5690">
        <v>-7.8318040000000005E-2</v>
      </c>
      <c r="AA5690">
        <v>0.99531510000000001</v>
      </c>
      <c r="AB5690">
        <v>20</v>
      </c>
      <c r="AC5690">
        <v>-5.9464000000000397</v>
      </c>
      <c r="AD5690">
        <v>7.5974009999999996</v>
      </c>
      <c r="AE5690">
        <v>-95.403053700000001</v>
      </c>
      <c r="AF5690">
        <v>-5.3739169142197198</v>
      </c>
      <c r="AG5690">
        <v>7.5974009999999996</v>
      </c>
      <c r="AH5690">
        <v>94.836001012938894</v>
      </c>
      <c r="AI5690">
        <v>85.4270676246948</v>
      </c>
      <c r="AJ5690">
        <v>93.243218123161796</v>
      </c>
      <c r="AK5690">
        <v>95.291482164366997</v>
      </c>
      <c r="AL5690">
        <v>87.852052261460699</v>
      </c>
      <c r="AM5690">
        <v>92.120791408024701</v>
      </c>
      <c r="AN5690">
        <v>1.0000000092468599</v>
      </c>
    </row>
    <row r="5691" spans="1:40" x14ac:dyDescent="0.25">
      <c r="A5691" t="str">
        <f>"20190312160448163"</f>
        <v>20190312160448163</v>
      </c>
      <c r="B5691" t="str">
        <f>"1552377888150457"</f>
        <v>1552377888150457</v>
      </c>
      <c r="C5691" t="s">
        <v>40</v>
      </c>
      <c r="D5691">
        <v>6.0659879999999999</v>
      </c>
      <c r="E5691">
        <v>0.49268970000000001</v>
      </c>
      <c r="F5691" t="s">
        <v>100</v>
      </c>
      <c r="G5691">
        <v>-424.17129999999997</v>
      </c>
      <c r="H5691">
        <v>8.8039100000000001</v>
      </c>
      <c r="I5691">
        <v>0.43499179999999998</v>
      </c>
      <c r="J5691">
        <v>-418.22519999999997</v>
      </c>
      <c r="K5691">
        <v>1.1093409999999999</v>
      </c>
      <c r="L5691">
        <v>95.720280000000002</v>
      </c>
      <c r="M5691">
        <v>-0.1196556</v>
      </c>
      <c r="N5691">
        <v>0</v>
      </c>
      <c r="O5691">
        <v>-0.99272340000000003</v>
      </c>
      <c r="P5691">
        <v>-8.2031350000000003E-2</v>
      </c>
      <c r="Q5691">
        <v>2.420918E-2</v>
      </c>
      <c r="R5691">
        <v>-0.99633570000000005</v>
      </c>
      <c r="S5691">
        <v>-0.18682860000000001</v>
      </c>
      <c r="T5691">
        <v>0.24113889999999999</v>
      </c>
      <c r="U5691">
        <v>-2.9898380000000002</v>
      </c>
      <c r="V5691">
        <v>-3.7692679999999999E-2</v>
      </c>
      <c r="W5691">
        <v>3.7809719999999998E-2</v>
      </c>
      <c r="X5691">
        <v>0.99857379999999996</v>
      </c>
      <c r="Y5691">
        <v>-5.771341E-2</v>
      </c>
      <c r="Z5691">
        <v>-7.9383839999999997E-2</v>
      </c>
      <c r="AA5691">
        <v>0.99517199999999995</v>
      </c>
      <c r="AB5691">
        <v>20</v>
      </c>
      <c r="AC5691">
        <v>-5.9461000000000004</v>
      </c>
      <c r="AD5691">
        <v>7.6945690000000004</v>
      </c>
      <c r="AE5691">
        <v>-95.285288199999997</v>
      </c>
      <c r="AF5691">
        <v>-5.4635981892008001</v>
      </c>
      <c r="AG5691">
        <v>7.6945690000000004</v>
      </c>
      <c r="AH5691">
        <v>94.6970032250739</v>
      </c>
      <c r="AI5691">
        <v>85.362337350537004</v>
      </c>
      <c r="AJ5691">
        <v>93.302052339150293</v>
      </c>
      <c r="AK5691">
        <v>95.166063894008204</v>
      </c>
      <c r="AL5691">
        <v>87.833146072821606</v>
      </c>
      <c r="AM5691">
        <v>92.161689679807495</v>
      </c>
      <c r="AN5691">
        <v>0.99999997354924997</v>
      </c>
    </row>
    <row r="5692" spans="1:40" x14ac:dyDescent="0.25">
      <c r="A5692" t="str">
        <f>"20190312160448177"</f>
        <v>20190312160448177</v>
      </c>
      <c r="B5692" t="str">
        <f>"1552377888170956"</f>
        <v>1552377888170956</v>
      </c>
      <c r="C5692" t="s">
        <v>40</v>
      </c>
      <c r="D5692">
        <v>5.9512850000000004</v>
      </c>
      <c r="E5692">
        <v>0.49227850000000001</v>
      </c>
      <c r="F5692" t="s">
        <v>100</v>
      </c>
      <c r="G5692">
        <v>-424.13260000000002</v>
      </c>
      <c r="H5692">
        <v>8.89620899999999</v>
      </c>
      <c r="I5692">
        <v>0.43538670000000002</v>
      </c>
      <c r="J5692">
        <v>-418.24239999999998</v>
      </c>
      <c r="K5692">
        <v>1.1093459999999999</v>
      </c>
      <c r="L5692">
        <v>95.589079999999996</v>
      </c>
      <c r="M5692">
        <v>-0.12086959999999999</v>
      </c>
      <c r="N5692">
        <v>0</v>
      </c>
      <c r="O5692">
        <v>-0.99257629999999997</v>
      </c>
      <c r="P5692">
        <v>-8.1439239999999996E-2</v>
      </c>
      <c r="Q5692">
        <v>2.444499E-2</v>
      </c>
      <c r="R5692">
        <v>-0.99637849999999994</v>
      </c>
      <c r="S5692">
        <v>-0.1853638</v>
      </c>
      <c r="T5692">
        <v>0.24433460000000001</v>
      </c>
      <c r="U5692">
        <v>-2.9898380000000002</v>
      </c>
      <c r="V5692">
        <v>-3.9506899999999998E-2</v>
      </c>
      <c r="W5692">
        <v>3.8047020000000001E-2</v>
      </c>
      <c r="X5692">
        <v>0.99849469999999996</v>
      </c>
      <c r="Y5692">
        <v>-5.942513E-2</v>
      </c>
      <c r="Z5692">
        <v>-8.0408199999999999E-2</v>
      </c>
      <c r="AA5692">
        <v>0.99498900000000001</v>
      </c>
      <c r="AB5692">
        <v>20</v>
      </c>
      <c r="AC5692">
        <v>-5.8902000000000498</v>
      </c>
      <c r="AD5692">
        <v>7.7868629999999897</v>
      </c>
      <c r="AE5692">
        <v>-95.1536933</v>
      </c>
      <c r="AF5692">
        <v>-5.6177549883282003</v>
      </c>
      <c r="AG5692">
        <v>7.7868629999999897</v>
      </c>
      <c r="AH5692">
        <v>94.537257266316104</v>
      </c>
      <c r="AI5692">
        <v>85.299534334221704</v>
      </c>
      <c r="AJ5692">
        <v>93.400728948360197</v>
      </c>
      <c r="AK5692">
        <v>95.0236150539817</v>
      </c>
      <c r="AL5692">
        <v>87.819540091689504</v>
      </c>
      <c r="AM5692">
        <v>92.265809248249994</v>
      </c>
      <c r="AN5692">
        <v>1.00000001840329</v>
      </c>
    </row>
    <row r="5693" spans="1:40" x14ac:dyDescent="0.25">
      <c r="A5693" t="str">
        <f>"20190312160448193"</f>
        <v>20190312160448193</v>
      </c>
      <c r="B5693" t="str">
        <f>"1552377888180712"</f>
        <v>1552377888180712</v>
      </c>
      <c r="C5693" t="s">
        <v>40</v>
      </c>
      <c r="D5693">
        <v>6.0719609999999999</v>
      </c>
      <c r="E5693">
        <v>0.49218719999999999</v>
      </c>
      <c r="F5693" t="s">
        <v>100</v>
      </c>
      <c r="G5693">
        <v>-423.97800000000001</v>
      </c>
      <c r="H5693">
        <v>9.022805</v>
      </c>
      <c r="I5693">
        <v>0.43696020000000002</v>
      </c>
      <c r="J5693">
        <v>-418.25940000000003</v>
      </c>
      <c r="K5693">
        <v>1.109354</v>
      </c>
      <c r="L5693">
        <v>95.460819999999998</v>
      </c>
      <c r="M5693">
        <v>-0.12205580000000001</v>
      </c>
      <c r="N5693">
        <v>0</v>
      </c>
      <c r="O5693">
        <v>-0.99243130000000002</v>
      </c>
      <c r="P5693">
        <v>-8.1566169999999993E-2</v>
      </c>
      <c r="Q5693">
        <v>2.4657200000000001E-2</v>
      </c>
      <c r="R5693">
        <v>-0.99636329999999995</v>
      </c>
      <c r="S5693">
        <v>-0.1802368</v>
      </c>
      <c r="T5693">
        <v>0.24867339999999999</v>
      </c>
      <c r="U5693">
        <v>-2.9900820000000001</v>
      </c>
      <c r="V5693">
        <v>-4.0573060000000001E-2</v>
      </c>
      <c r="W5693">
        <v>3.8259050000000003E-2</v>
      </c>
      <c r="X5693">
        <v>0.99844379999999999</v>
      </c>
      <c r="Y5693">
        <v>-6.232944E-2</v>
      </c>
      <c r="Z5693">
        <v>-8.1798709999999997E-2</v>
      </c>
      <c r="AA5693">
        <v>0.99469790000000002</v>
      </c>
      <c r="AB5693">
        <v>20</v>
      </c>
      <c r="AC5693">
        <v>-5.7185999999999799</v>
      </c>
      <c r="AD5693">
        <v>7.9134509999999896</v>
      </c>
      <c r="AE5693">
        <v>-95.023859799999997</v>
      </c>
      <c r="AF5693">
        <v>-5.88278435990427</v>
      </c>
      <c r="AG5693">
        <v>7.9134509999999896</v>
      </c>
      <c r="AH5693">
        <v>94.359260895201004</v>
      </c>
      <c r="AI5693">
        <v>85.215346809184197</v>
      </c>
      <c r="AJ5693">
        <v>93.567461530750506</v>
      </c>
      <c r="AK5693">
        <v>94.8730729724886</v>
      </c>
      <c r="AL5693">
        <v>87.807382720780595</v>
      </c>
      <c r="AM5693">
        <v>92.327008076268598</v>
      </c>
      <c r="AN5693">
        <v>0.99999997493155202</v>
      </c>
    </row>
    <row r="5694" spans="1:40" x14ac:dyDescent="0.25">
      <c r="A5694" t="str">
        <f>"20190312160448204"</f>
        <v>20190312160448204</v>
      </c>
      <c r="B5694" t="str">
        <f>"1552377888201209"</f>
        <v>1552377888201209</v>
      </c>
      <c r="C5694" t="s">
        <v>40</v>
      </c>
      <c r="D5694">
        <v>6.1131520000000004</v>
      </c>
      <c r="E5694">
        <v>0.49194680000000002</v>
      </c>
      <c r="F5694" t="s">
        <v>100</v>
      </c>
      <c r="G5694">
        <v>-424.00599999999997</v>
      </c>
      <c r="H5694">
        <v>9.0632529999999996</v>
      </c>
      <c r="I5694">
        <v>0.43667220000000001</v>
      </c>
      <c r="J5694">
        <v>-418.27319999999997</v>
      </c>
      <c r="K5694">
        <v>1.1093599999999999</v>
      </c>
      <c r="L5694">
        <v>95.357510000000005</v>
      </c>
      <c r="M5694">
        <v>-0.1230096</v>
      </c>
      <c r="N5694">
        <v>0</v>
      </c>
      <c r="O5694">
        <v>-0.99231349999999996</v>
      </c>
      <c r="P5694">
        <v>-8.1364530000000004E-2</v>
      </c>
      <c r="Q5694">
        <v>2.5179489999999999E-2</v>
      </c>
      <c r="R5694">
        <v>-0.99636639999999999</v>
      </c>
      <c r="S5694">
        <v>-0.1808167</v>
      </c>
      <c r="T5694">
        <v>0.25026809999999999</v>
      </c>
      <c r="U5694">
        <v>-2.9899290000000001</v>
      </c>
      <c r="V5694">
        <v>-4.1732440000000003E-2</v>
      </c>
      <c r="W5694">
        <v>3.8781749999999997E-2</v>
      </c>
      <c r="X5694">
        <v>0.99837589999999998</v>
      </c>
      <c r="Y5694">
        <v>-6.3096050000000001E-2</v>
      </c>
      <c r="Z5694">
        <v>-8.2306649999999995E-2</v>
      </c>
      <c r="AA5694">
        <v>0.99460769999999998</v>
      </c>
      <c r="AB5694">
        <v>20</v>
      </c>
      <c r="AC5694">
        <v>-5.7327999999999903</v>
      </c>
      <c r="AD5694">
        <v>7.9538929999999901</v>
      </c>
      <c r="AE5694">
        <v>-94.920837800000001</v>
      </c>
      <c r="AF5694">
        <v>-5.9463846384321997</v>
      </c>
      <c r="AG5694">
        <v>7.9538929999999901</v>
      </c>
      <c r="AH5694">
        <v>94.245730182812295</v>
      </c>
      <c r="AI5694">
        <v>85.185467741384798</v>
      </c>
      <c r="AJ5694">
        <v>93.610261352863702</v>
      </c>
      <c r="AK5694">
        <v>94.767513219536795</v>
      </c>
      <c r="AL5694">
        <v>87.777412092520393</v>
      </c>
      <c r="AM5694">
        <v>92.393588940627893</v>
      </c>
      <c r="AN5694">
        <v>1.00000002919111</v>
      </c>
    </row>
    <row r="5695" spans="1:40" x14ac:dyDescent="0.25">
      <c r="A5695" t="str">
        <f>"20190312160448222"</f>
        <v>20190312160448222</v>
      </c>
      <c r="B5695" t="str">
        <f>"1552377888210968"</f>
        <v>1552377888210968</v>
      </c>
      <c r="C5695" t="s">
        <v>40</v>
      </c>
      <c r="D5695">
        <v>6.0087330000000003</v>
      </c>
      <c r="E5695">
        <v>0.49190869999999998</v>
      </c>
      <c r="F5695" t="s">
        <v>100</v>
      </c>
      <c r="G5695">
        <v>-423.9008</v>
      </c>
      <c r="H5695">
        <v>9.1546079999999996</v>
      </c>
      <c r="I5695">
        <v>0.43774600000000002</v>
      </c>
      <c r="J5695">
        <v>-418.29480000000001</v>
      </c>
      <c r="K5695">
        <v>1.109367</v>
      </c>
      <c r="L5695">
        <v>95.197599999999994</v>
      </c>
      <c r="M5695">
        <v>-0.12448480000000001</v>
      </c>
      <c r="N5695">
        <v>0</v>
      </c>
      <c r="O5695">
        <v>-0.9921295</v>
      </c>
      <c r="P5695">
        <v>-8.0647060000000007E-2</v>
      </c>
      <c r="Q5695">
        <v>2.586747E-2</v>
      </c>
      <c r="R5695">
        <v>-0.9964073</v>
      </c>
      <c r="S5695">
        <v>-0.17727660000000001</v>
      </c>
      <c r="T5695">
        <v>0.25343359999999998</v>
      </c>
      <c r="U5695">
        <v>-2.9900820000000001</v>
      </c>
      <c r="V5695">
        <v>-4.3933409999999999E-2</v>
      </c>
      <c r="W5695">
        <v>3.947121E-2</v>
      </c>
      <c r="X5695">
        <v>0.99825439999999999</v>
      </c>
      <c r="Y5695">
        <v>-6.5760929999999995E-2</v>
      </c>
      <c r="Z5695">
        <v>-8.3308590000000002E-2</v>
      </c>
      <c r="AA5695">
        <v>0.9943516</v>
      </c>
      <c r="AB5695">
        <v>20</v>
      </c>
      <c r="AC5695">
        <v>-5.6059999999999901</v>
      </c>
      <c r="AD5695">
        <v>8.0452409999999901</v>
      </c>
      <c r="AE5695">
        <v>-94.759854000000004</v>
      </c>
      <c r="AF5695">
        <v>-6.19038655672529</v>
      </c>
      <c r="AG5695">
        <v>8.0452409999999901</v>
      </c>
      <c r="AH5695">
        <v>94.045021310959598</v>
      </c>
      <c r="AI5695">
        <v>85.120947049100593</v>
      </c>
      <c r="AJ5695">
        <v>93.765984574068099</v>
      </c>
      <c r="AK5695">
        <v>94.591293583757604</v>
      </c>
      <c r="AL5695">
        <v>87.737878570443897</v>
      </c>
      <c r="AM5695">
        <v>92.519974538091802</v>
      </c>
      <c r="AN5695">
        <v>0.99999998402622503</v>
      </c>
    </row>
    <row r="5696" spans="1:40" x14ac:dyDescent="0.25">
      <c r="A5696" t="str">
        <f>"20190312160448238"</f>
        <v>20190312160448238</v>
      </c>
      <c r="B5696" t="str">
        <f>"1552377888231138"</f>
        <v>1552377888231138</v>
      </c>
      <c r="C5696" t="s">
        <v>40</v>
      </c>
      <c r="D5696">
        <v>6.0602739999999997</v>
      </c>
      <c r="E5696">
        <v>0.4917918</v>
      </c>
      <c r="F5696" t="s">
        <v>100</v>
      </c>
      <c r="G5696">
        <v>-423.85120000000001</v>
      </c>
      <c r="H5696">
        <v>9.2274290000000008</v>
      </c>
      <c r="I5696">
        <v>0.43824770000000002</v>
      </c>
      <c r="J5696">
        <v>-418.31380000000001</v>
      </c>
      <c r="K5696">
        <v>1.1093729999999999</v>
      </c>
      <c r="L5696">
        <v>95.05847</v>
      </c>
      <c r="M5696">
        <v>-0.1257663</v>
      </c>
      <c r="N5696">
        <v>0</v>
      </c>
      <c r="O5696">
        <v>-0.99196799999999996</v>
      </c>
      <c r="P5696">
        <v>-8.0664109999999997E-2</v>
      </c>
      <c r="Q5696">
        <v>2.6246439999999999E-2</v>
      </c>
      <c r="R5696">
        <v>-0.99639580000000005</v>
      </c>
      <c r="S5696">
        <v>-0.17532349999999999</v>
      </c>
      <c r="T5696">
        <v>0.25614949999999997</v>
      </c>
      <c r="U5696">
        <v>-2.98996</v>
      </c>
      <c r="V5696">
        <v>-4.5204109999999999E-2</v>
      </c>
      <c r="W5696">
        <v>3.9850469999999999E-2</v>
      </c>
      <c r="X5696">
        <v>0.99818260000000003</v>
      </c>
      <c r="Y5696">
        <v>-6.7699019999999999E-2</v>
      </c>
      <c r="Z5696">
        <v>-8.4173780000000004E-2</v>
      </c>
      <c r="AA5696">
        <v>0.9941487</v>
      </c>
      <c r="AB5696">
        <v>20</v>
      </c>
      <c r="AC5696">
        <v>-5.5373999999999901</v>
      </c>
      <c r="AD5696">
        <v>8.1180559999999993</v>
      </c>
      <c r="AE5696">
        <v>-94.620222299999995</v>
      </c>
      <c r="AF5696">
        <v>-6.3610321584520397</v>
      </c>
      <c r="AG5696">
        <v>8.1180559999999993</v>
      </c>
      <c r="AH5696">
        <v>93.876606115609306</v>
      </c>
      <c r="AI5696">
        <v>85.068847602325206</v>
      </c>
      <c r="AJ5696">
        <v>93.876408131651004</v>
      </c>
      <c r="AK5696">
        <v>94.4414249104981</v>
      </c>
      <c r="AL5696">
        <v>87.716131469312302</v>
      </c>
      <c r="AM5696">
        <v>92.592948741847096</v>
      </c>
      <c r="AN5696">
        <v>0.99999998723143602</v>
      </c>
    </row>
    <row r="5697" spans="1:40" x14ac:dyDescent="0.25">
      <c r="A5697" t="str">
        <f>"20190312160448257"</f>
        <v>20190312160448257</v>
      </c>
      <c r="B5697" t="str">
        <f>"1552377888250658"</f>
        <v>1552377888250658</v>
      </c>
      <c r="C5697" t="s">
        <v>40</v>
      </c>
      <c r="D5697">
        <v>6.0686609999999996</v>
      </c>
      <c r="E5697">
        <v>0.49190050000000002</v>
      </c>
      <c r="F5697" t="s">
        <v>100</v>
      </c>
      <c r="G5697">
        <v>-423.8175</v>
      </c>
      <c r="H5697">
        <v>9.245749</v>
      </c>
      <c r="I5697">
        <v>0.43859100000000001</v>
      </c>
      <c r="J5697">
        <v>-418.33629999999999</v>
      </c>
      <c r="K5697">
        <v>1.109391</v>
      </c>
      <c r="L5697">
        <v>94.895259999999993</v>
      </c>
      <c r="M5697">
        <v>-0.1272692</v>
      </c>
      <c r="N5697">
        <v>0</v>
      </c>
      <c r="O5697">
        <v>-0.99177630000000006</v>
      </c>
      <c r="P5697">
        <v>-8.0611749999999996E-2</v>
      </c>
      <c r="Q5697">
        <v>2.6711499999999999E-2</v>
      </c>
      <c r="R5697">
        <v>-0.99638780000000005</v>
      </c>
      <c r="S5697">
        <v>-0.17391970000000001</v>
      </c>
      <c r="T5697">
        <v>0.25710870000000002</v>
      </c>
      <c r="U5697">
        <v>-2.9899900000000001</v>
      </c>
      <c r="V5697">
        <v>-4.6767690000000001E-2</v>
      </c>
      <c r="W5697">
        <v>4.031597E-2</v>
      </c>
      <c r="X5697">
        <v>0.99809190000000003</v>
      </c>
      <c r="Y5697">
        <v>-6.967777E-2</v>
      </c>
      <c r="Z5697">
        <v>-8.4456610000000001E-2</v>
      </c>
      <c r="AA5697">
        <v>0.99398799999999998</v>
      </c>
      <c r="AB5697">
        <v>20</v>
      </c>
      <c r="AC5697">
        <v>-5.4812000000000003</v>
      </c>
      <c r="AD5697">
        <v>8.1363579999999995</v>
      </c>
      <c r="AE5697">
        <v>-94.456669000000005</v>
      </c>
      <c r="AF5697">
        <v>-6.5375559853943797</v>
      </c>
      <c r="AG5697">
        <v>8.1363579999999995</v>
      </c>
      <c r="AH5697">
        <v>93.693222197343303</v>
      </c>
      <c r="AI5697">
        <v>85.0488402254243</v>
      </c>
      <c r="AJ5697">
        <v>93.991411847904104</v>
      </c>
      <c r="AK5697">
        <v>94.2727948322689</v>
      </c>
      <c r="AL5697">
        <v>87.689438901791803</v>
      </c>
      <c r="AM5697">
        <v>92.682751700024795</v>
      </c>
      <c r="AN5697">
        <v>1.0000000175552901</v>
      </c>
    </row>
    <row r="5698" spans="1:40" x14ac:dyDescent="0.25">
      <c r="A5698" t="str">
        <f>"20190312160448278"</f>
        <v>20190312160448278</v>
      </c>
      <c r="B5698" t="str">
        <f>"1552377888271154"</f>
        <v>1552377888271154</v>
      </c>
      <c r="C5698" t="s">
        <v>40</v>
      </c>
      <c r="D5698">
        <v>6.116498</v>
      </c>
      <c r="E5698">
        <v>0.49200349999999998</v>
      </c>
      <c r="F5698" t="s">
        <v>100</v>
      </c>
      <c r="G5698">
        <v>-423.85019999999997</v>
      </c>
      <c r="H5698">
        <v>9.3100529999999999</v>
      </c>
      <c r="I5698">
        <v>0.43825720000000001</v>
      </c>
      <c r="J5698">
        <v>-418.3623</v>
      </c>
      <c r="K5698">
        <v>1.109397</v>
      </c>
      <c r="L5698">
        <v>94.708529999999996</v>
      </c>
      <c r="M5698">
        <v>-0.1289883</v>
      </c>
      <c r="N5698">
        <v>0</v>
      </c>
      <c r="O5698">
        <v>-0.99155439999999995</v>
      </c>
      <c r="P5698">
        <v>-7.9815499999999998E-2</v>
      </c>
      <c r="Q5698">
        <v>2.7106499999999999E-2</v>
      </c>
      <c r="R5698">
        <v>-0.99644149999999998</v>
      </c>
      <c r="S5698">
        <v>-0.17452999999999999</v>
      </c>
      <c r="T5698">
        <v>0.2595712</v>
      </c>
      <c r="U5698">
        <v>-2.9898069999999999</v>
      </c>
      <c r="V5698">
        <v>-4.929439E-2</v>
      </c>
      <c r="W5698">
        <v>4.0712850000000002E-2</v>
      </c>
      <c r="X5698">
        <v>0.99795420000000001</v>
      </c>
      <c r="Y5698">
        <v>-7.1205099999999993E-2</v>
      </c>
      <c r="Z5698">
        <v>-8.5230840000000002E-2</v>
      </c>
      <c r="AA5698">
        <v>0.99381359999999996</v>
      </c>
      <c r="AB5698">
        <v>20</v>
      </c>
      <c r="AC5698">
        <v>-5.4878999999999598</v>
      </c>
      <c r="AD5698">
        <v>8.2006560000000004</v>
      </c>
      <c r="AE5698">
        <v>-94.270272800000001</v>
      </c>
      <c r="AF5698">
        <v>-6.6685288114755101</v>
      </c>
      <c r="AG5698">
        <v>8.2006560000000004</v>
      </c>
      <c r="AH5698">
        <v>93.485490934268796</v>
      </c>
      <c r="AI5698">
        <v>84.999421589872199</v>
      </c>
      <c r="AJ5698">
        <v>94.080124970167802</v>
      </c>
      <c r="AK5698">
        <v>94.081119522256202</v>
      </c>
      <c r="AL5698">
        <v>87.666680694630102</v>
      </c>
      <c r="AM5698">
        <v>92.827852015620195</v>
      </c>
      <c r="AN5698">
        <v>1.00000002916911</v>
      </c>
    </row>
    <row r="5699" spans="1:40" x14ac:dyDescent="0.25">
      <c r="A5699" t="str">
        <f>"20190312160448293"</f>
        <v>20190312160448293</v>
      </c>
      <c r="B5699" t="str">
        <f>"1552377888290673"</f>
        <v>1552377888290673</v>
      </c>
      <c r="C5699" t="s">
        <v>40</v>
      </c>
      <c r="D5699">
        <v>6.0697950000000001</v>
      </c>
      <c r="E5699">
        <v>0.49219629999999998</v>
      </c>
      <c r="F5699" t="s">
        <v>100</v>
      </c>
      <c r="G5699">
        <v>-423.82409999999999</v>
      </c>
      <c r="H5699">
        <v>9.3590330000000002</v>
      </c>
      <c r="I5699">
        <v>0.43852419999999998</v>
      </c>
      <c r="J5699">
        <v>-418.38069999999999</v>
      </c>
      <c r="K5699">
        <v>1.1093999999999999</v>
      </c>
      <c r="L5699">
        <v>94.578130000000002</v>
      </c>
      <c r="M5699">
        <v>-0.13018830000000001</v>
      </c>
      <c r="N5699">
        <v>0</v>
      </c>
      <c r="O5699">
        <v>-0.99139730000000004</v>
      </c>
      <c r="P5699">
        <v>-7.9827170000000003E-2</v>
      </c>
      <c r="Q5699">
        <v>2.756198E-2</v>
      </c>
      <c r="R5699">
        <v>-0.99642799999999998</v>
      </c>
      <c r="S5699">
        <v>-0.17321779999999901</v>
      </c>
      <c r="T5699">
        <v>0.26163130000000001</v>
      </c>
      <c r="U5699">
        <v>-2.989716</v>
      </c>
      <c r="V5699">
        <v>-5.0488779999999997E-2</v>
      </c>
      <c r="W5699">
        <v>4.1168320000000001E-2</v>
      </c>
      <c r="X5699">
        <v>0.99787579999999998</v>
      </c>
      <c r="Y5699">
        <v>-7.2848529999999995E-2</v>
      </c>
      <c r="Z5699">
        <v>-8.5880289999999998E-2</v>
      </c>
      <c r="AA5699">
        <v>0.99363860000000004</v>
      </c>
      <c r="AB5699">
        <v>20</v>
      </c>
      <c r="AC5699">
        <v>-5.4433999999999898</v>
      </c>
      <c r="AD5699">
        <v>8.2496329999999993</v>
      </c>
      <c r="AE5699">
        <v>-94.139605799999998</v>
      </c>
      <c r="AF5699">
        <v>-6.8078233818054903</v>
      </c>
      <c r="AG5699">
        <v>8.2496329999999993</v>
      </c>
      <c r="AH5699">
        <v>93.332649714280393</v>
      </c>
      <c r="AI5699">
        <v>84.962092909005307</v>
      </c>
      <c r="AJ5699">
        <v>94.171851789126293</v>
      </c>
      <c r="AK5699">
        <v>93.943527752161302</v>
      </c>
      <c r="AL5699">
        <v>87.640562289960201</v>
      </c>
      <c r="AM5699">
        <v>92.896481999091094</v>
      </c>
      <c r="AN5699">
        <v>1.0000000298515701</v>
      </c>
    </row>
    <row r="5700" spans="1:40" x14ac:dyDescent="0.25">
      <c r="A5700" t="str">
        <f>"20190312160448307"</f>
        <v>20190312160448307</v>
      </c>
      <c r="B5700" t="str">
        <f>"1552377888301410"</f>
        <v>1552377888301410</v>
      </c>
      <c r="C5700" t="s">
        <v>40</v>
      </c>
      <c r="D5700">
        <v>6.0133080000000003</v>
      </c>
      <c r="E5700">
        <v>0.4922627</v>
      </c>
      <c r="F5700" t="s">
        <v>100</v>
      </c>
      <c r="G5700">
        <v>-423.88049999999998</v>
      </c>
      <c r="H5700">
        <v>9.3735730000000004</v>
      </c>
      <c r="I5700">
        <v>0.43795200000000001</v>
      </c>
      <c r="J5700">
        <v>-418.39760000000001</v>
      </c>
      <c r="K5700">
        <v>1.109405</v>
      </c>
      <c r="L5700">
        <v>94.458470000000005</v>
      </c>
      <c r="M5700">
        <v>-0.13128870000000001</v>
      </c>
      <c r="N5700">
        <v>0</v>
      </c>
      <c r="O5700">
        <v>-0.99125240000000003</v>
      </c>
      <c r="P5700">
        <v>-7.9553239999999997E-2</v>
      </c>
      <c r="Q5700">
        <v>2.7861029999999998E-2</v>
      </c>
      <c r="R5700">
        <v>-0.99644169999999999</v>
      </c>
      <c r="S5700">
        <v>-0.1746521</v>
      </c>
      <c r="T5700">
        <v>0.26243499999999997</v>
      </c>
      <c r="U5700">
        <v>-2.9895019999999999</v>
      </c>
      <c r="V5700">
        <v>-5.1869890000000002E-2</v>
      </c>
      <c r="W5700">
        <v>4.1467999999999998E-2</v>
      </c>
      <c r="X5700">
        <v>0.99779249999999997</v>
      </c>
      <c r="Y5700">
        <v>-7.3477619999999993E-2</v>
      </c>
      <c r="Z5700">
        <v>-8.6126049999999996E-2</v>
      </c>
      <c r="AA5700">
        <v>0.99357099999999998</v>
      </c>
      <c r="AB5700">
        <v>20</v>
      </c>
      <c r="AC5700">
        <v>-5.4828999999999697</v>
      </c>
      <c r="AD5700">
        <v>8.2641679999999997</v>
      </c>
      <c r="AE5700">
        <v>-94.020517999999996</v>
      </c>
      <c r="AF5700">
        <v>-6.8567271219124004</v>
      </c>
      <c r="AG5700">
        <v>8.2641679999999997</v>
      </c>
      <c r="AH5700">
        <v>93.208765186828998</v>
      </c>
      <c r="AI5700">
        <v>84.946817174342996</v>
      </c>
      <c r="AJ5700">
        <v>94.207277671659995</v>
      </c>
      <c r="AK5700">
        <v>93.825290232484903</v>
      </c>
      <c r="AL5700">
        <v>87.623377089649097</v>
      </c>
      <c r="AM5700">
        <v>92.975822126433897</v>
      </c>
      <c r="AN5700">
        <v>0.99999997678442998</v>
      </c>
    </row>
    <row r="5701" spans="1:40" x14ac:dyDescent="0.25">
      <c r="A5701" t="str">
        <f>"20190312160448322"</f>
        <v>20190312160448322</v>
      </c>
      <c r="B5701" t="str">
        <f>"1552377888311170"</f>
        <v>1552377888311170</v>
      </c>
      <c r="C5701" t="s">
        <v>40</v>
      </c>
      <c r="D5701">
        <v>6.0687810000000004</v>
      </c>
      <c r="E5701">
        <v>0.49234810000000001</v>
      </c>
      <c r="F5701" t="s">
        <v>100</v>
      </c>
      <c r="G5701">
        <v>-423.87419999999997</v>
      </c>
      <c r="H5701">
        <v>9.3860130000000002</v>
      </c>
      <c r="I5701">
        <v>0.43801689999999999</v>
      </c>
      <c r="J5701">
        <v>-418.41739999999999</v>
      </c>
      <c r="K5701">
        <v>1.1094120000000001</v>
      </c>
      <c r="L5701">
        <v>94.320650000000001</v>
      </c>
      <c r="M5701">
        <v>-0.132551799999999</v>
      </c>
      <c r="N5701">
        <v>0</v>
      </c>
      <c r="O5701">
        <v>-0.99108399999999996</v>
      </c>
      <c r="P5701">
        <v>-7.8407149999999995E-2</v>
      </c>
      <c r="Q5701">
        <v>2.871746E-2</v>
      </c>
      <c r="R5701">
        <v>-0.99650799999999995</v>
      </c>
      <c r="S5701">
        <v>-0.17413329999999999</v>
      </c>
      <c r="T5701">
        <v>0.2631618</v>
      </c>
      <c r="U5701">
        <v>-2.989471</v>
      </c>
      <c r="V5701">
        <v>-5.4285710000000001E-2</v>
      </c>
      <c r="W5701">
        <v>4.2326019999999999E-2</v>
      </c>
      <c r="X5701">
        <v>0.99762799999999996</v>
      </c>
      <c r="Y5701">
        <v>-7.4920849999999997E-2</v>
      </c>
      <c r="Z5701">
        <v>-8.6337339999999999E-2</v>
      </c>
      <c r="AA5701">
        <v>0.99344489999999996</v>
      </c>
      <c r="AB5701">
        <v>20</v>
      </c>
      <c r="AC5701">
        <v>-5.4567999999999799</v>
      </c>
      <c r="AD5701">
        <v>8.2766009999999994</v>
      </c>
      <c r="AE5701">
        <v>-93.882633099999893</v>
      </c>
      <c r="AF5701">
        <v>-6.9827199970145699</v>
      </c>
      <c r="AG5701">
        <v>8.2766009999999994</v>
      </c>
      <c r="AH5701">
        <v>93.056640684113106</v>
      </c>
      <c r="AI5701">
        <v>84.931573648201805</v>
      </c>
      <c r="AJ5701">
        <v>94.291279072598201</v>
      </c>
      <c r="AK5701">
        <v>93.684571184811702</v>
      </c>
      <c r="AL5701">
        <v>87.574173082931694</v>
      </c>
      <c r="AM5701">
        <v>93.1146656251575</v>
      </c>
      <c r="AN5701">
        <v>1.0000000283316199</v>
      </c>
    </row>
    <row r="5702" spans="1:40" x14ac:dyDescent="0.25">
      <c r="A5702" t="str">
        <f>"20190312160448338"</f>
        <v>20190312160448338</v>
      </c>
      <c r="B5702" t="str">
        <f>"1552377888331250"</f>
        <v>1552377888331250</v>
      </c>
      <c r="C5702" t="s">
        <v>40</v>
      </c>
      <c r="D5702">
        <v>6.0099929999999997</v>
      </c>
      <c r="E5702">
        <v>0.49242219999999998</v>
      </c>
      <c r="F5702" t="s">
        <v>100</v>
      </c>
      <c r="G5702">
        <v>-423.79590000000002</v>
      </c>
      <c r="H5702">
        <v>9.4420389999999994</v>
      </c>
      <c r="I5702">
        <v>0.43881229999999899</v>
      </c>
      <c r="J5702">
        <v>-418.4359</v>
      </c>
      <c r="K5702">
        <v>1.109421</v>
      </c>
      <c r="L5702">
        <v>94.192570000000003</v>
      </c>
      <c r="M5702">
        <v>-0.13371810000000001</v>
      </c>
      <c r="N5702">
        <v>0</v>
      </c>
      <c r="O5702">
        <v>-0.99092749999999996</v>
      </c>
      <c r="P5702">
        <v>-7.805724E-2</v>
      </c>
      <c r="Q5702">
        <v>2.8983689999999999E-2</v>
      </c>
      <c r="R5702">
        <v>-0.99652759999999996</v>
      </c>
      <c r="S5702">
        <v>-0.17126459999999999</v>
      </c>
      <c r="T5702">
        <v>0.26532889999999998</v>
      </c>
      <c r="U5702">
        <v>-2.9894099999999999</v>
      </c>
      <c r="V5702">
        <v>-5.580918E-2</v>
      </c>
      <c r="W5702">
        <v>4.2591860000000002E-2</v>
      </c>
      <c r="X5702">
        <v>0.99753259999999999</v>
      </c>
      <c r="Y5702">
        <v>-7.7046660000000003E-2</v>
      </c>
      <c r="Z5702">
        <v>-8.7019100000000002E-2</v>
      </c>
      <c r="AA5702">
        <v>0.99322279999999996</v>
      </c>
      <c r="AB5702">
        <v>20</v>
      </c>
      <c r="AC5702">
        <v>-5.3600000000000101</v>
      </c>
      <c r="AD5702">
        <v>8.3326180000000001</v>
      </c>
      <c r="AE5702">
        <v>-93.753757699999994</v>
      </c>
      <c r="AF5702">
        <v>-7.1694126639663001</v>
      </c>
      <c r="AG5702">
        <v>8.3326180000000001</v>
      </c>
      <c r="AH5702">
        <v>92.897008257735095</v>
      </c>
      <c r="AI5702">
        <v>84.889551401528607</v>
      </c>
      <c r="AJ5702">
        <v>94.413107060263002</v>
      </c>
      <c r="AK5702">
        <v>93.545107535979</v>
      </c>
      <c r="AL5702">
        <v>87.558927779526201</v>
      </c>
      <c r="AM5702">
        <v>93.202201543534301</v>
      </c>
      <c r="AN5702">
        <v>1.0000000095866399</v>
      </c>
    </row>
    <row r="5703" spans="1:40" x14ac:dyDescent="0.25">
      <c r="A5703" t="str">
        <f>"20190312160448356"</f>
        <v>20190312160448356</v>
      </c>
      <c r="B5703" t="str">
        <f>"1552377888350770"</f>
        <v>1552377888350770</v>
      </c>
      <c r="C5703" t="s">
        <v>40</v>
      </c>
      <c r="D5703">
        <v>6.2572229999999998</v>
      </c>
      <c r="E5703">
        <v>0.4924038</v>
      </c>
      <c r="F5703" t="s">
        <v>100</v>
      </c>
      <c r="G5703">
        <v>-423.79669999999999</v>
      </c>
      <c r="H5703">
        <v>9.4155350000000002</v>
      </c>
      <c r="I5703">
        <v>0.43880459999999899</v>
      </c>
      <c r="J5703">
        <v>-418.46010000000001</v>
      </c>
      <c r="K5703">
        <v>1.1094329999999999</v>
      </c>
      <c r="L5703">
        <v>94.02722</v>
      </c>
      <c r="M5703">
        <v>-0.13521089999999999</v>
      </c>
      <c r="N5703">
        <v>0</v>
      </c>
      <c r="O5703">
        <v>-0.99072510000000003</v>
      </c>
      <c r="P5703">
        <v>-7.6442819999999995E-2</v>
      </c>
      <c r="Q5703">
        <v>2.979132E-2</v>
      </c>
      <c r="R5703">
        <v>-0.99662930000000005</v>
      </c>
      <c r="S5703">
        <v>-0.170929</v>
      </c>
      <c r="T5703">
        <v>0.26484059999999998</v>
      </c>
      <c r="U5703">
        <v>-2.9893489999999998</v>
      </c>
      <c r="V5703">
        <v>-5.8925749999999999E-2</v>
      </c>
      <c r="W5703">
        <v>4.339983E-2</v>
      </c>
      <c r="X5703">
        <v>0.9973185</v>
      </c>
      <c r="Y5703">
        <v>-7.8657690000000002E-2</v>
      </c>
      <c r="Z5703">
        <v>-8.6829950000000003E-2</v>
      </c>
      <c r="AA5703">
        <v>0.99311300000000002</v>
      </c>
      <c r="AB5703">
        <v>20</v>
      </c>
      <c r="AC5703">
        <v>-5.3365999999999696</v>
      </c>
      <c r="AD5703">
        <v>8.3061019999999992</v>
      </c>
      <c r="AE5703">
        <v>-93.588415400000002</v>
      </c>
      <c r="AF5703">
        <v>-7.3103444566871101</v>
      </c>
      <c r="AG5703">
        <v>8.3061019999999992</v>
      </c>
      <c r="AH5703">
        <v>92.722463107867895</v>
      </c>
      <c r="AI5703">
        <v>84.896844488735098</v>
      </c>
      <c r="AJ5703">
        <v>94.507939520953897</v>
      </c>
      <c r="AK5703">
        <v>93.380338569207098</v>
      </c>
      <c r="AL5703">
        <v>87.512591609326194</v>
      </c>
      <c r="AM5703">
        <v>93.381343359255396</v>
      </c>
      <c r="AN5703">
        <v>0.99999998984966998</v>
      </c>
    </row>
    <row r="5704" spans="1:40" x14ac:dyDescent="0.25">
      <c r="A5704" t="str">
        <f>"20190312160448379"</f>
        <v>20190312160448379</v>
      </c>
      <c r="B5704" t="str">
        <f>"1552377888371267"</f>
        <v>1552377888371267</v>
      </c>
      <c r="C5704" t="s">
        <v>40</v>
      </c>
      <c r="D5704">
        <v>5.7479820000000004</v>
      </c>
      <c r="E5704">
        <v>0.45468789999999998</v>
      </c>
      <c r="F5704" t="s">
        <v>100</v>
      </c>
      <c r="G5704">
        <v>-423.65730000000002</v>
      </c>
      <c r="H5704">
        <v>9.4425869999999996</v>
      </c>
      <c r="I5704">
        <v>0.4402199</v>
      </c>
      <c r="J5704">
        <v>-418.48849999999999</v>
      </c>
      <c r="K5704">
        <v>1.109459</v>
      </c>
      <c r="L5704">
        <v>93.834630000000004</v>
      </c>
      <c r="M5704">
        <v>-0.1369253</v>
      </c>
      <c r="N5704">
        <v>0</v>
      </c>
      <c r="O5704">
        <v>-0.99048950000000002</v>
      </c>
      <c r="P5704">
        <v>-7.5224399999999997E-2</v>
      </c>
      <c r="Q5704">
        <v>3.0990779999999999E-2</v>
      </c>
      <c r="R5704">
        <v>-0.99668509999999999</v>
      </c>
      <c r="S5704">
        <v>-0.16601560000000001</v>
      </c>
      <c r="T5704">
        <v>0.26618429999999998</v>
      </c>
      <c r="U5704">
        <v>-2.9894409999999998</v>
      </c>
      <c r="V5704">
        <v>-6.1866890000000001E-2</v>
      </c>
      <c r="W5704">
        <v>4.4596959999999998E-2</v>
      </c>
      <c r="X5704">
        <v>0.99708750000000002</v>
      </c>
      <c r="Y5704">
        <v>-8.2013269999999999E-2</v>
      </c>
      <c r="Z5704">
        <v>-8.7225179999999999E-2</v>
      </c>
      <c r="AA5704">
        <v>0.99280690000000005</v>
      </c>
      <c r="AB5704">
        <v>20</v>
      </c>
      <c r="AC5704">
        <v>-5.1688000000000303</v>
      </c>
      <c r="AD5704">
        <v>8.3331280000000003</v>
      </c>
      <c r="AE5704">
        <v>-93.394410099999902</v>
      </c>
      <c r="AF5704">
        <v>-7.6087244388844804</v>
      </c>
      <c r="AG5704">
        <v>8.3331280000000003</v>
      </c>
      <c r="AH5704">
        <v>92.488343564289593</v>
      </c>
      <c r="AI5704">
        <v>84.868837195327799</v>
      </c>
      <c r="AJ5704">
        <v>94.702952624285899</v>
      </c>
      <c r="AK5704">
        <v>93.174177780742099</v>
      </c>
      <c r="AL5704">
        <v>87.4439344977323</v>
      </c>
      <c r="AM5704">
        <v>93.550514105344902</v>
      </c>
      <c r="AN5704">
        <v>0.99999994178787999</v>
      </c>
    </row>
    <row r="5705" spans="1:40" x14ac:dyDescent="0.25">
      <c r="A5705" t="str">
        <f>"20190312160448393"</f>
        <v>20190312160448393</v>
      </c>
      <c r="B5705" t="str">
        <f>"1552377888390786"</f>
        <v>1552377888390786</v>
      </c>
      <c r="C5705" t="s">
        <v>40</v>
      </c>
      <c r="D5705">
        <v>6.0097430000000003</v>
      </c>
      <c r="E5705">
        <v>0.44124459999999999</v>
      </c>
      <c r="F5705" t="s">
        <v>100</v>
      </c>
      <c r="G5705">
        <v>-414.18920000000003</v>
      </c>
      <c r="H5705">
        <v>10.86115</v>
      </c>
      <c r="I5705">
        <v>0.53652</v>
      </c>
      <c r="J5705">
        <v>-418.50700000000001</v>
      </c>
      <c r="K5705">
        <v>1.1094790000000001</v>
      </c>
      <c r="L5705">
        <v>93.70984</v>
      </c>
      <c r="M5705">
        <v>-0.1380178</v>
      </c>
      <c r="N5705">
        <v>0</v>
      </c>
      <c r="O5705">
        <v>-0.99033800000000005</v>
      </c>
      <c r="P5705">
        <v>-7.4750199999999906E-2</v>
      </c>
      <c r="Q5705">
        <v>3.1183280000000001E-2</v>
      </c>
      <c r="R5705">
        <v>-0.99671489999999996</v>
      </c>
      <c r="S5705">
        <v>0.13873289999999999</v>
      </c>
      <c r="T5705">
        <v>0.31468109999999999</v>
      </c>
      <c r="U5705">
        <v>-3.0106809999999999</v>
      </c>
      <c r="V5705">
        <v>-6.3442390000000001E-2</v>
      </c>
      <c r="W5705">
        <v>4.4787510000000003E-2</v>
      </c>
      <c r="X5705">
        <v>0.99697999999999998</v>
      </c>
      <c r="Y5705">
        <v>-0.18322830000000001</v>
      </c>
      <c r="Z5705">
        <v>-0.1015296</v>
      </c>
      <c r="AA5705">
        <v>0.97781340000000005</v>
      </c>
      <c r="AB5705">
        <v>20</v>
      </c>
      <c r="AC5705">
        <v>4.3177999999999201</v>
      </c>
      <c r="AD5705">
        <v>9.751671</v>
      </c>
      <c r="AE5705">
        <v>-93.173319999999904</v>
      </c>
      <c r="AF5705">
        <v>-16.951920971181998</v>
      </c>
      <c r="AG5705">
        <v>9.751671</v>
      </c>
      <c r="AH5705">
        <v>90.694137943381904</v>
      </c>
      <c r="AI5705">
        <v>83.966681760113204</v>
      </c>
      <c r="AJ5705">
        <v>100.587166060492</v>
      </c>
      <c r="AK5705">
        <v>92.778711831964003</v>
      </c>
      <c r="AL5705">
        <v>87.433005988096397</v>
      </c>
      <c r="AM5705">
        <v>93.641082698609594</v>
      </c>
      <c r="AN5705">
        <v>0.99999998915045596</v>
      </c>
    </row>
    <row r="5706" spans="1:40" x14ac:dyDescent="0.25">
      <c r="A5706" t="str">
        <f>"20190312160448405"</f>
        <v>20190312160448405</v>
      </c>
      <c r="B5706" t="str">
        <f>"1552377888400546"</f>
        <v>1552377888400546</v>
      </c>
      <c r="C5706" t="s">
        <v>40</v>
      </c>
      <c r="D5706">
        <v>5.9230589999999896</v>
      </c>
      <c r="E5706">
        <v>0.4381582</v>
      </c>
      <c r="F5706" t="s">
        <v>100</v>
      </c>
      <c r="G5706">
        <v>-410.88749999999999</v>
      </c>
      <c r="H5706">
        <v>11.067019999999999</v>
      </c>
      <c r="I5706">
        <v>0.57009509999999997</v>
      </c>
      <c r="J5706">
        <v>-418.52359999999999</v>
      </c>
      <c r="K5706">
        <v>1.1094949999999999</v>
      </c>
      <c r="L5706">
        <v>93.598849999999999</v>
      </c>
      <c r="M5706">
        <v>-0.13897760000000001</v>
      </c>
      <c r="N5706">
        <v>0</v>
      </c>
      <c r="O5706">
        <v>-0.99020379999999997</v>
      </c>
      <c r="P5706">
        <v>-7.452752E-2</v>
      </c>
      <c r="Q5706">
        <v>3.1133959999999999E-2</v>
      </c>
      <c r="R5706">
        <v>-0.99673299999999998</v>
      </c>
      <c r="S5706">
        <v>0.24691769999999999</v>
      </c>
      <c r="T5706">
        <v>0.32268570000000002</v>
      </c>
      <c r="U5706">
        <v>-3.0183110000000002</v>
      </c>
      <c r="V5706">
        <v>-6.4634300000000006E-2</v>
      </c>
      <c r="W5706">
        <v>4.47351E-2</v>
      </c>
      <c r="X5706">
        <v>0.99690579999999995</v>
      </c>
      <c r="Y5706">
        <v>-0.2188204</v>
      </c>
      <c r="Z5706">
        <v>-0.1032955</v>
      </c>
      <c r="AA5706">
        <v>0.97028230000000004</v>
      </c>
      <c r="AB5706">
        <v>20</v>
      </c>
      <c r="AC5706">
        <v>7.6360999999999901</v>
      </c>
      <c r="AD5706">
        <v>9.9575250000000004</v>
      </c>
      <c r="AE5706">
        <v>-93.028754899999996</v>
      </c>
      <c r="AF5706">
        <v>-20.2614887600418</v>
      </c>
      <c r="AG5706">
        <v>9.9575250000000004</v>
      </c>
      <c r="AH5706">
        <v>90.039775757723902</v>
      </c>
      <c r="AI5706">
        <v>83.842046378947302</v>
      </c>
      <c r="AJ5706">
        <v>102.68192142431199</v>
      </c>
      <c r="AK5706">
        <v>92.826943553044501</v>
      </c>
      <c r="AL5706">
        <v>87.436011895382606</v>
      </c>
      <c r="AM5706">
        <v>93.709574833003998</v>
      </c>
      <c r="AN5706">
        <v>0.99999999799106998</v>
      </c>
    </row>
    <row r="5707" spans="1:40" x14ac:dyDescent="0.25">
      <c r="A5707" t="str">
        <f>"20190312160448424"</f>
        <v>20190312160448424</v>
      </c>
      <c r="B5707" t="str">
        <f>"1552377888421042"</f>
        <v>1552377888421042</v>
      </c>
      <c r="C5707" t="s">
        <v>40</v>
      </c>
      <c r="D5707">
        <v>8.6398789999999899</v>
      </c>
      <c r="E5707">
        <v>0.43549789999999999</v>
      </c>
      <c r="F5707" t="s">
        <v>100</v>
      </c>
      <c r="G5707">
        <v>-410.13220000000001</v>
      </c>
      <c r="H5707">
        <v>11.176640000000001</v>
      </c>
      <c r="I5707">
        <v>0.57777789999999996</v>
      </c>
      <c r="J5707">
        <v>-418.54689999999999</v>
      </c>
      <c r="K5707">
        <v>1.1095189999999999</v>
      </c>
      <c r="L5707">
        <v>93.444059999999993</v>
      </c>
      <c r="M5707">
        <v>-0.1402795</v>
      </c>
      <c r="N5707">
        <v>0</v>
      </c>
      <c r="O5707">
        <v>-0.99002009999999996</v>
      </c>
      <c r="P5707">
        <v>-7.3040750000000002E-2</v>
      </c>
      <c r="Q5707">
        <v>3.0793899999999999E-2</v>
      </c>
      <c r="R5707">
        <v>-0.99685360000000001</v>
      </c>
      <c r="S5707">
        <v>0.27243040000000002</v>
      </c>
      <c r="T5707">
        <v>0.3268356</v>
      </c>
      <c r="U5707">
        <v>-3.0199889999999998</v>
      </c>
      <c r="V5707">
        <v>-6.7438769999999995E-2</v>
      </c>
      <c r="W5707">
        <v>4.4391649999999998E-2</v>
      </c>
      <c r="X5707">
        <v>0.99673540000000005</v>
      </c>
      <c r="Y5707">
        <v>-0.2281743</v>
      </c>
      <c r="Z5707">
        <v>-0.1043688</v>
      </c>
      <c r="AA5707">
        <v>0.96801009999999998</v>
      </c>
      <c r="AB5707">
        <v>20</v>
      </c>
      <c r="AC5707">
        <v>8.4146999999999803</v>
      </c>
      <c r="AD5707">
        <v>10.067120999999901</v>
      </c>
      <c r="AE5707">
        <v>-92.866282100000006</v>
      </c>
      <c r="AF5707">
        <v>-21.1138011982049</v>
      </c>
      <c r="AG5707">
        <v>10.067120999999901</v>
      </c>
      <c r="AH5707">
        <v>89.721550589394596</v>
      </c>
      <c r="AI5707">
        <v>83.766829284865395</v>
      </c>
      <c r="AJ5707">
        <v>103.24224328635501</v>
      </c>
      <c r="AK5707">
        <v>92.7205272117844</v>
      </c>
      <c r="AL5707">
        <v>87.455709786053802</v>
      </c>
      <c r="AM5707">
        <v>93.870713191790998</v>
      </c>
      <c r="AN5707">
        <v>1.0000000319509901</v>
      </c>
    </row>
    <row r="5708" spans="1:40" x14ac:dyDescent="0.25">
      <c r="A5708" t="str">
        <f>"20190312160448446"</f>
        <v>20190312160448446</v>
      </c>
      <c r="B5708" t="str">
        <f>"1552377888441070"</f>
        <v>1552377888441070</v>
      </c>
      <c r="C5708" t="s">
        <v>40</v>
      </c>
      <c r="D5708">
        <v>5.9815680000000002</v>
      </c>
      <c r="E5708">
        <v>0.43434139999999999</v>
      </c>
      <c r="F5708" t="s">
        <v>100</v>
      </c>
      <c r="G5708">
        <v>-409.39330000000001</v>
      </c>
      <c r="H5708">
        <v>10.76337</v>
      </c>
      <c r="I5708">
        <v>0.58529279999999995</v>
      </c>
      <c r="J5708">
        <v>-418.57690000000002</v>
      </c>
      <c r="K5708">
        <v>1.109578</v>
      </c>
      <c r="L5708">
        <v>93.246309999999994</v>
      </c>
      <c r="M5708">
        <v>-0.1418806</v>
      </c>
      <c r="N5708">
        <v>0</v>
      </c>
      <c r="O5708">
        <v>-0.98979189999999995</v>
      </c>
      <c r="P5708">
        <v>-7.1955930000000001E-2</v>
      </c>
      <c r="Q5708">
        <v>3.196715E-2</v>
      </c>
      <c r="R5708">
        <v>-0.99689570000000005</v>
      </c>
      <c r="S5708">
        <v>0.29785159999999899</v>
      </c>
      <c r="T5708">
        <v>0.31413039999999998</v>
      </c>
      <c r="U5708">
        <v>-3.021576</v>
      </c>
      <c r="V5708">
        <v>-7.0134420000000003E-2</v>
      </c>
      <c r="W5708">
        <v>4.5556340000000001E-2</v>
      </c>
      <c r="X5708">
        <v>0.99649670000000001</v>
      </c>
      <c r="Y5708">
        <v>-0.2378073</v>
      </c>
      <c r="Z5708">
        <v>-0.1001097</v>
      </c>
      <c r="AA5708">
        <v>0.96613959999999999</v>
      </c>
      <c r="AB5708">
        <v>20</v>
      </c>
      <c r="AC5708">
        <v>9.1836000000000109</v>
      </c>
      <c r="AD5708">
        <v>9.6537919999999993</v>
      </c>
      <c r="AE5708">
        <v>-92.661017200000003</v>
      </c>
      <c r="AF5708">
        <v>-22.002180991959499</v>
      </c>
      <c r="AG5708">
        <v>9.6537919999999993</v>
      </c>
      <c r="AH5708">
        <v>89.4588059024926</v>
      </c>
      <c r="AI5708">
        <v>84.017785474354497</v>
      </c>
      <c r="AJ5708">
        <v>103.81750995150399</v>
      </c>
      <c r="AK5708">
        <v>92.629205015923901</v>
      </c>
      <c r="AL5708">
        <v>87.388910145421306</v>
      </c>
      <c r="AM5708">
        <v>94.025894796349704</v>
      </c>
      <c r="AN5708">
        <v>0.99999994504690903</v>
      </c>
    </row>
    <row r="5709" spans="1:40" x14ac:dyDescent="0.25">
      <c r="A5709" t="str">
        <f>"20190312160448470"</f>
        <v>20190312160448470</v>
      </c>
      <c r="B5709" t="str">
        <f>"1552377888460590"</f>
        <v>1552377888460590</v>
      </c>
      <c r="C5709" t="s">
        <v>40</v>
      </c>
      <c r="D5709">
        <v>5.9803169999999897</v>
      </c>
      <c r="E5709">
        <v>0.4337898</v>
      </c>
      <c r="F5709" t="s">
        <v>100</v>
      </c>
      <c r="G5709">
        <v>-409.04259999999999</v>
      </c>
      <c r="H5709">
        <v>10.61368</v>
      </c>
      <c r="I5709">
        <v>0.58885769999999904</v>
      </c>
      <c r="J5709">
        <v>-418.6062</v>
      </c>
      <c r="K5709">
        <v>1.10964</v>
      </c>
      <c r="L5709">
        <v>93.054500000000004</v>
      </c>
      <c r="M5709">
        <v>-0.14333959999999901</v>
      </c>
      <c r="N5709">
        <v>0</v>
      </c>
      <c r="O5709">
        <v>-0.98958199999999996</v>
      </c>
      <c r="P5709">
        <v>-7.1442950000000005E-2</v>
      </c>
      <c r="Q5709">
        <v>3.3381609999999999E-2</v>
      </c>
      <c r="R5709">
        <v>-0.9968863</v>
      </c>
      <c r="S5709">
        <v>0.31094359999999999</v>
      </c>
      <c r="T5709">
        <v>0.3099577</v>
      </c>
      <c r="U5709">
        <v>-3.0218509999999998</v>
      </c>
      <c r="V5709">
        <v>-7.2113899999999995E-2</v>
      </c>
      <c r="W5709">
        <v>4.6958640000000003E-2</v>
      </c>
      <c r="X5709">
        <v>0.99629029999999996</v>
      </c>
      <c r="Y5709">
        <v>-0.24338470000000001</v>
      </c>
      <c r="Z5709">
        <v>-9.8661029999999997E-2</v>
      </c>
      <c r="AA5709">
        <v>0.9648989</v>
      </c>
      <c r="AB5709">
        <v>19</v>
      </c>
      <c r="AC5709">
        <v>9.5635999999999992</v>
      </c>
      <c r="AD5709">
        <v>9.5040399999999998</v>
      </c>
      <c r="AE5709">
        <v>-92.465642299999999</v>
      </c>
      <c r="AF5709">
        <v>-22.484981357961999</v>
      </c>
      <c r="AG5709">
        <v>9.5040399999999998</v>
      </c>
      <c r="AH5709">
        <v>89.207191747425497</v>
      </c>
      <c r="AI5709">
        <v>84.101819639904306</v>
      </c>
      <c r="AJ5709">
        <v>104.146923599049</v>
      </c>
      <c r="AK5709">
        <v>92.486886759428998</v>
      </c>
      <c r="AL5709">
        <v>87.308478164583207</v>
      </c>
      <c r="AM5709">
        <v>94.139986988764704</v>
      </c>
      <c r="AN5709">
        <v>0.99999994515897295</v>
      </c>
    </row>
    <row r="5710" spans="1:40" x14ac:dyDescent="0.25">
      <c r="A5710" t="str">
        <f>"20190312160448490"</f>
        <v>20190312160448490</v>
      </c>
      <c r="B5710" t="str">
        <f>"1552377888481087"</f>
        <v>1552377888481087</v>
      </c>
      <c r="C5710" t="s">
        <v>40</v>
      </c>
      <c r="D5710">
        <v>5.9287989999999997</v>
      </c>
      <c r="E5710">
        <v>0.43361430000000001</v>
      </c>
      <c r="F5710" t="s">
        <v>100</v>
      </c>
      <c r="G5710">
        <v>-408.93020000000001</v>
      </c>
      <c r="H5710">
        <v>10.410399999999999</v>
      </c>
      <c r="I5710">
        <v>0.59000019999999997</v>
      </c>
      <c r="J5710">
        <v>-418.63479999999998</v>
      </c>
      <c r="K5710">
        <v>1.109702</v>
      </c>
      <c r="L5710">
        <v>92.869020000000006</v>
      </c>
      <c r="M5710">
        <v>-0.14465749999999999</v>
      </c>
      <c r="N5710">
        <v>0</v>
      </c>
      <c r="O5710">
        <v>-0.98938990000000004</v>
      </c>
      <c r="P5710">
        <v>-6.9844249999999997E-2</v>
      </c>
      <c r="Q5710">
        <v>3.4195549999999998E-2</v>
      </c>
      <c r="R5710">
        <v>-0.99697179999999996</v>
      </c>
      <c r="S5710">
        <v>0.31622309999999998</v>
      </c>
      <c r="T5710">
        <v>0.30395909999999998</v>
      </c>
      <c r="U5710">
        <v>-3.0218509999999998</v>
      </c>
      <c r="V5710">
        <v>-7.5041430000000006E-2</v>
      </c>
      <c r="W5710">
        <v>4.7759309999999999E-2</v>
      </c>
      <c r="X5710">
        <v>0.99603609999999998</v>
      </c>
      <c r="Y5710">
        <v>-0.24636330000000001</v>
      </c>
      <c r="Z5710">
        <v>-9.6695779999999995E-2</v>
      </c>
      <c r="AA5710">
        <v>0.96434180000000003</v>
      </c>
      <c r="AB5710">
        <v>19</v>
      </c>
      <c r="AC5710">
        <v>9.7045999999999708</v>
      </c>
      <c r="AD5710">
        <v>9.3006980000000006</v>
      </c>
      <c r="AE5710">
        <v>-92.2790198</v>
      </c>
      <c r="AF5710">
        <v>-22.724255561119801</v>
      </c>
      <c r="AG5710">
        <v>9.3006980000000006</v>
      </c>
      <c r="AH5710">
        <v>89.0099537189746</v>
      </c>
      <c r="AI5710">
        <v>84.2188910453077</v>
      </c>
      <c r="AJ5710">
        <v>104.32169865235301</v>
      </c>
      <c r="AK5710">
        <v>92.334536524251206</v>
      </c>
      <c r="AL5710">
        <v>87.262551876818407</v>
      </c>
      <c r="AM5710">
        <v>94.308528453532304</v>
      </c>
      <c r="AN5710">
        <v>1.0000000402056599</v>
      </c>
    </row>
    <row r="5711" spans="1:40" x14ac:dyDescent="0.25">
      <c r="A5711" t="str">
        <f>"20190312160448513"</f>
        <v>20190312160448513</v>
      </c>
      <c r="B5711" t="str">
        <f>"1552377888511342"</f>
        <v>1552377888511342</v>
      </c>
      <c r="C5711" t="s">
        <v>40</v>
      </c>
      <c r="D5711">
        <v>5.9350880000000004</v>
      </c>
      <c r="E5711">
        <v>0.43474269999999998</v>
      </c>
      <c r="F5711" t="s">
        <v>100</v>
      </c>
      <c r="G5711">
        <v>-408.80220000000003</v>
      </c>
      <c r="H5711">
        <v>10.351599999999999</v>
      </c>
      <c r="I5711">
        <v>0.59130099999999997</v>
      </c>
      <c r="J5711">
        <v>-418.66460000000001</v>
      </c>
      <c r="K5711">
        <v>1.109766</v>
      </c>
      <c r="L5711">
        <v>92.676180000000002</v>
      </c>
      <c r="M5711">
        <v>-0.1459376</v>
      </c>
      <c r="N5711">
        <v>0</v>
      </c>
      <c r="O5711">
        <v>-0.98920209999999997</v>
      </c>
      <c r="P5711">
        <v>-6.8484459999999997E-2</v>
      </c>
      <c r="Q5711">
        <v>3.3876829999999997E-2</v>
      </c>
      <c r="R5711">
        <v>-0.99707690000000004</v>
      </c>
      <c r="S5711">
        <v>0.32192989999999999</v>
      </c>
      <c r="T5711">
        <v>0.30259180000000002</v>
      </c>
      <c r="U5711">
        <v>-3.0213009999999998</v>
      </c>
      <c r="V5711">
        <v>-7.769972E-2</v>
      </c>
      <c r="W5711">
        <v>4.7426379999999997E-2</v>
      </c>
      <c r="X5711">
        <v>0.99584810000000001</v>
      </c>
      <c r="Y5711">
        <v>-0.2494402</v>
      </c>
      <c r="Z5711">
        <v>-9.6205559999999996E-2</v>
      </c>
      <c r="AA5711">
        <v>0.9635996</v>
      </c>
      <c r="AB5711">
        <v>19</v>
      </c>
      <c r="AC5711">
        <v>9.8623999999999796</v>
      </c>
      <c r="AD5711">
        <v>9.2418340000000008</v>
      </c>
      <c r="AE5711">
        <v>-92.084879000000001</v>
      </c>
      <c r="AF5711">
        <v>-22.967935106050099</v>
      </c>
      <c r="AG5711">
        <v>9.2418340000000008</v>
      </c>
      <c r="AH5711">
        <v>88.775340286472897</v>
      </c>
      <c r="AI5711">
        <v>84.244868589757104</v>
      </c>
      <c r="AJ5711">
        <v>104.505487320283</v>
      </c>
      <c r="AK5711">
        <v>92.162891565414498</v>
      </c>
      <c r="AL5711">
        <v>87.281648818076405</v>
      </c>
      <c r="AM5711">
        <v>94.461388253816907</v>
      </c>
      <c r="AN5711">
        <v>0.99999997314079603</v>
      </c>
    </row>
    <row r="5712" spans="1:40" x14ac:dyDescent="0.25">
      <c r="A5712" t="str">
        <f>"20190312160448535"</f>
        <v>20190312160448535</v>
      </c>
      <c r="B5712" t="str">
        <f>"1552377888530862"</f>
        <v>1552377888530862</v>
      </c>
      <c r="C5712" t="s">
        <v>40</v>
      </c>
      <c r="D5712">
        <v>6.1252500000000003</v>
      </c>
      <c r="E5712">
        <v>0.4354557</v>
      </c>
      <c r="F5712" t="s">
        <v>100</v>
      </c>
      <c r="G5712">
        <v>-408.99650000000003</v>
      </c>
      <c r="H5712">
        <v>9.7013079999999992</v>
      </c>
      <c r="I5712">
        <v>0.58932299999999904</v>
      </c>
      <c r="J5712">
        <v>-418.69450000000001</v>
      </c>
      <c r="K5712">
        <v>1.109828</v>
      </c>
      <c r="L5712">
        <v>92.483429999999998</v>
      </c>
      <c r="M5712">
        <v>-0.1471189</v>
      </c>
      <c r="N5712">
        <v>0</v>
      </c>
      <c r="O5712">
        <v>-0.9890272</v>
      </c>
      <c r="P5712">
        <v>-6.6269010000000003E-2</v>
      </c>
      <c r="Q5712">
        <v>3.4747380000000001E-2</v>
      </c>
      <c r="R5712">
        <v>-0.997197</v>
      </c>
      <c r="S5712">
        <v>0.31716919999999998</v>
      </c>
      <c r="T5712">
        <v>0.28185260000000001</v>
      </c>
      <c r="U5712">
        <v>-3.0209959999999998</v>
      </c>
      <c r="V5712">
        <v>-8.1104449999999995E-2</v>
      </c>
      <c r="W5712">
        <v>4.8281789999999998E-2</v>
      </c>
      <c r="X5712">
        <v>0.99553550000000002</v>
      </c>
      <c r="Y5712">
        <v>-0.2491709</v>
      </c>
      <c r="Z5712">
        <v>-8.9665480000000006E-2</v>
      </c>
      <c r="AA5712">
        <v>0.96429969999999998</v>
      </c>
      <c r="AB5712">
        <v>19</v>
      </c>
      <c r="AC5712">
        <v>9.6979999999999809</v>
      </c>
      <c r="AD5712">
        <v>8.5914800000000007</v>
      </c>
      <c r="AE5712">
        <v>-91.894106999999906</v>
      </c>
      <c r="AF5712">
        <v>-22.9149471068867</v>
      </c>
      <c r="AG5712">
        <v>8.5914800000000007</v>
      </c>
      <c r="AH5712">
        <v>88.7003309359539</v>
      </c>
      <c r="AI5712">
        <v>84.642431912174203</v>
      </c>
      <c r="AJ5712">
        <v>104.485154376232</v>
      </c>
      <c r="AK5712">
        <v>92.014439288893897</v>
      </c>
      <c r="AL5712">
        <v>87.232581284770703</v>
      </c>
      <c r="AM5712">
        <v>94.657496141276297</v>
      </c>
      <c r="AN5712">
        <v>0.99999999740782797</v>
      </c>
    </row>
    <row r="5713" spans="1:40" x14ac:dyDescent="0.25">
      <c r="A5713" t="str">
        <f>"20190312160448550"</f>
        <v>20190312160448550</v>
      </c>
      <c r="B5713" t="str">
        <f>"1552377888540622"</f>
        <v>1552377888540622</v>
      </c>
      <c r="C5713" t="s">
        <v>40</v>
      </c>
      <c r="D5713">
        <v>5.8021659999999997</v>
      </c>
      <c r="E5713">
        <v>0.43420940000000002</v>
      </c>
      <c r="F5713" t="s">
        <v>100</v>
      </c>
      <c r="G5713">
        <v>-409.15609999999998</v>
      </c>
      <c r="H5713">
        <v>2.7122579999999998</v>
      </c>
      <c r="I5713">
        <v>0.587677</v>
      </c>
      <c r="J5713">
        <v>-418.71460000000002</v>
      </c>
      <c r="K5713">
        <v>1.1098749999999999</v>
      </c>
      <c r="L5713">
        <v>92.354680000000002</v>
      </c>
      <c r="M5713">
        <v>-0.14785009999999901</v>
      </c>
      <c r="N5713">
        <v>0</v>
      </c>
      <c r="O5713">
        <v>-0.98891799999999996</v>
      </c>
      <c r="P5713">
        <v>-6.6448839999999995E-2</v>
      </c>
      <c r="Q5713">
        <v>3.4542509999999998E-2</v>
      </c>
      <c r="R5713">
        <v>-0.99719190000000002</v>
      </c>
      <c r="S5713">
        <v>0.3142395</v>
      </c>
      <c r="T5713">
        <v>5.2790999999999998E-2</v>
      </c>
      <c r="U5713">
        <v>-3.0274960000000002</v>
      </c>
      <c r="V5713">
        <v>-8.1667359999999994E-2</v>
      </c>
      <c r="W5713">
        <v>4.8066520000000001E-2</v>
      </c>
      <c r="X5713">
        <v>0.99549989999999999</v>
      </c>
      <c r="Y5713">
        <v>-0.249164</v>
      </c>
      <c r="Z5713">
        <v>-1.6826210000000001E-2</v>
      </c>
      <c r="AA5713">
        <v>0.96831509999999998</v>
      </c>
      <c r="AB5713">
        <v>19</v>
      </c>
      <c r="AC5713">
        <v>9.5585000000000306</v>
      </c>
      <c r="AD5713">
        <v>1.6023829999999999</v>
      </c>
      <c r="AE5713">
        <v>-91.767003000000003</v>
      </c>
      <c r="AF5713">
        <v>-23.0154809447513</v>
      </c>
      <c r="AG5713">
        <v>1.6023829999999999</v>
      </c>
      <c r="AH5713">
        <v>89.317985079481701</v>
      </c>
      <c r="AI5713">
        <v>89.004717264927194</v>
      </c>
      <c r="AJ5713">
        <v>104.44965019575</v>
      </c>
      <c r="AK5713">
        <v>92.249566140201594</v>
      </c>
      <c r="AL5713">
        <v>87.2449296900528</v>
      </c>
      <c r="AM5713">
        <v>94.689845024826198</v>
      </c>
      <c r="AN5713">
        <v>0.99999999946714502</v>
      </c>
    </row>
    <row r="5714" spans="1:40" x14ac:dyDescent="0.25">
      <c r="A5714" t="str">
        <f>"20190312160448567"</f>
        <v>20190312160448567</v>
      </c>
      <c r="B5714" t="str">
        <f>"1552377888561122"</f>
        <v>1552377888561122</v>
      </c>
      <c r="C5714" t="s">
        <v>40</v>
      </c>
      <c r="D5714">
        <v>6.1605980000000002</v>
      </c>
      <c r="E5714">
        <v>0.43368119999999999</v>
      </c>
      <c r="F5714" t="s">
        <v>100</v>
      </c>
      <c r="G5714">
        <v>-408.87849999999997</v>
      </c>
      <c r="H5714">
        <v>4.493214</v>
      </c>
      <c r="I5714">
        <v>0.59050749999999996</v>
      </c>
      <c r="J5714">
        <v>-418.73820000000001</v>
      </c>
      <c r="K5714">
        <v>1.1099209999999999</v>
      </c>
      <c r="L5714">
        <v>92.203090000000003</v>
      </c>
      <c r="M5714">
        <v>-0.14863860000000001</v>
      </c>
      <c r="N5714">
        <v>0</v>
      </c>
      <c r="O5714">
        <v>-0.98879980000000001</v>
      </c>
      <c r="P5714">
        <v>-6.6402340000000004E-2</v>
      </c>
      <c r="Q5714">
        <v>3.4328949999999997E-2</v>
      </c>
      <c r="R5714">
        <v>-0.99720240000000004</v>
      </c>
      <c r="S5714">
        <v>0.32437129999999997</v>
      </c>
      <c r="T5714">
        <v>0.1115744</v>
      </c>
      <c r="U5714">
        <v>-3.0261840000000002</v>
      </c>
      <c r="V5714">
        <v>-8.2515539999999998E-2</v>
      </c>
      <c r="W5714">
        <v>4.7839319999999998E-2</v>
      </c>
      <c r="X5714">
        <v>0.99544089999999996</v>
      </c>
      <c r="Y5714">
        <v>-0.2531294</v>
      </c>
      <c r="Z5714">
        <v>-3.5527410000000002E-2</v>
      </c>
      <c r="AA5714">
        <v>0.96677990000000003</v>
      </c>
      <c r="AB5714">
        <v>19</v>
      </c>
      <c r="AC5714">
        <v>9.8597000000000303</v>
      </c>
      <c r="AD5714">
        <v>3.3832930000000001</v>
      </c>
      <c r="AE5714">
        <v>-91.612582500000002</v>
      </c>
      <c r="AF5714">
        <v>-23.3370924223148</v>
      </c>
      <c r="AG5714">
        <v>3.3832930000000001</v>
      </c>
      <c r="AH5714">
        <v>89.0090554166066</v>
      </c>
      <c r="AI5714">
        <v>87.894302762901006</v>
      </c>
      <c r="AJ5714">
        <v>104.691570405482</v>
      </c>
      <c r="AK5714">
        <v>92.079739901935298</v>
      </c>
      <c r="AL5714">
        <v>87.257962285764194</v>
      </c>
      <c r="AM5714">
        <v>94.738611684245498</v>
      </c>
      <c r="AN5714">
        <v>1.00000000013618</v>
      </c>
    </row>
    <row r="5715" spans="1:40" x14ac:dyDescent="0.25">
      <c r="A5715" t="str">
        <f>"20190312160448591"</f>
        <v>20190312160448591</v>
      </c>
      <c r="B5715" t="str">
        <f>"1552377888580639"</f>
        <v>1552377888580639</v>
      </c>
      <c r="C5715" t="s">
        <v>40</v>
      </c>
      <c r="D5715">
        <v>6.013363</v>
      </c>
      <c r="E5715">
        <v>0.43393579999999998</v>
      </c>
      <c r="F5715" t="s">
        <v>100</v>
      </c>
      <c r="G5715">
        <v>-408.76979999999998</v>
      </c>
      <c r="H5715">
        <v>5.7590370000000002</v>
      </c>
      <c r="I5715">
        <v>0.59161379999999997</v>
      </c>
      <c r="J5715">
        <v>-418.76819999999998</v>
      </c>
      <c r="K5715">
        <v>1.109999</v>
      </c>
      <c r="L5715">
        <v>92.011290000000002</v>
      </c>
      <c r="M5715">
        <v>-0.1495146</v>
      </c>
      <c r="N5715">
        <v>0</v>
      </c>
      <c r="O5715">
        <v>-0.98866810000000005</v>
      </c>
      <c r="P5715">
        <v>-6.6522399999999995E-2</v>
      </c>
      <c r="Q5715">
        <v>3.3582840000000003E-2</v>
      </c>
      <c r="R5715">
        <v>-0.99722010000000005</v>
      </c>
      <c r="S5715">
        <v>0.32916260000000003</v>
      </c>
      <c r="T5715">
        <v>0.15351509999999999</v>
      </c>
      <c r="U5715">
        <v>-3.025055</v>
      </c>
      <c r="V5715">
        <v>-8.3291309999999993E-2</v>
      </c>
      <c r="W5715">
        <v>4.7074860000000003E-2</v>
      </c>
      <c r="X5715">
        <v>0.99541270000000004</v>
      </c>
      <c r="Y5715">
        <v>-0.25547449999999999</v>
      </c>
      <c r="Z5715">
        <v>-4.8841019999999999E-2</v>
      </c>
      <c r="AA5715">
        <v>0.96558140000000003</v>
      </c>
      <c r="AB5715">
        <v>19</v>
      </c>
      <c r="AC5715">
        <v>9.9984000000000002</v>
      </c>
      <c r="AD5715">
        <v>4.649038</v>
      </c>
      <c r="AE5715">
        <v>-91.419676199999998</v>
      </c>
      <c r="AF5715">
        <v>-23.4957602823951</v>
      </c>
      <c r="AG5715">
        <v>4.649038</v>
      </c>
      <c r="AH5715">
        <v>88.670245738608898</v>
      </c>
      <c r="AI5715">
        <v>87.098643553386296</v>
      </c>
      <c r="AJ5715">
        <v>104.841107161271</v>
      </c>
      <c r="AK5715">
        <v>91.848118026002595</v>
      </c>
      <c r="AL5715">
        <v>87.301811927469302</v>
      </c>
      <c r="AM5715">
        <v>94.783090897968904</v>
      </c>
      <c r="AN5715">
        <v>0.99999996404341196</v>
      </c>
    </row>
    <row r="5716" spans="1:40" x14ac:dyDescent="0.25">
      <c r="A5716" t="str">
        <f>"20190312160448612"</f>
        <v>20190312160448612</v>
      </c>
      <c r="B5716" t="str">
        <f>"1552377888610894"</f>
        <v>1552377888610894</v>
      </c>
      <c r="C5716" t="s">
        <v>40</v>
      </c>
      <c r="D5716">
        <v>5.9256339999999996</v>
      </c>
      <c r="E5716">
        <v>0.44600840000000003</v>
      </c>
      <c r="F5716" t="s">
        <v>100</v>
      </c>
      <c r="G5716">
        <v>-408.89400000000001</v>
      </c>
      <c r="H5716">
        <v>6.2860750000000003</v>
      </c>
      <c r="I5716">
        <v>0.59035490000000002</v>
      </c>
      <c r="J5716">
        <v>-418.79790000000003</v>
      </c>
      <c r="K5716">
        <v>1.110085</v>
      </c>
      <c r="L5716">
        <v>91.821929999999995</v>
      </c>
      <c r="M5716">
        <v>-0.1502665</v>
      </c>
      <c r="N5716">
        <v>0</v>
      </c>
      <c r="O5716">
        <v>-0.98855400000000004</v>
      </c>
      <c r="P5716">
        <v>-6.6313869999999997E-2</v>
      </c>
      <c r="Q5716">
        <v>3.3782819999999998E-2</v>
      </c>
      <c r="R5716">
        <v>-0.99722679999999997</v>
      </c>
      <c r="S5716">
        <v>0.32666020000000001</v>
      </c>
      <c r="T5716">
        <v>0.17123389999999999</v>
      </c>
      <c r="U5716">
        <v>-3.024384</v>
      </c>
      <c r="V5716">
        <v>-8.4264530000000004E-2</v>
      </c>
      <c r="W5716">
        <v>4.725157E-2</v>
      </c>
      <c r="X5716">
        <v>0.9953225</v>
      </c>
      <c r="Y5716">
        <v>-0.25541069999999999</v>
      </c>
      <c r="Z5716">
        <v>-5.4466540000000001E-2</v>
      </c>
      <c r="AA5716">
        <v>0.96529719999999997</v>
      </c>
      <c r="AB5716">
        <v>19</v>
      </c>
      <c r="AC5716">
        <v>9.9039000000000197</v>
      </c>
      <c r="AD5716">
        <v>5.1759899999999996</v>
      </c>
      <c r="AE5716">
        <v>-91.231575100000001</v>
      </c>
      <c r="AF5716">
        <v>-23.427186517001498</v>
      </c>
      <c r="AG5716">
        <v>5.1759899999999996</v>
      </c>
      <c r="AH5716">
        <v>88.425829533532706</v>
      </c>
      <c r="AI5716">
        <v>86.761503623620399</v>
      </c>
      <c r="AJ5716">
        <v>104.838801258196</v>
      </c>
      <c r="AK5716">
        <v>91.622875251084906</v>
      </c>
      <c r="AL5716">
        <v>87.291676144674994</v>
      </c>
      <c r="AM5716">
        <v>94.839151666719303</v>
      </c>
      <c r="AN5716">
        <v>1.00000005044491</v>
      </c>
    </row>
    <row r="5717" spans="1:40" x14ac:dyDescent="0.25">
      <c r="A5717" t="str">
        <f>"20190312160448636"</f>
        <v>20190312160448636</v>
      </c>
      <c r="B5717" t="str">
        <f>"1552377888630414"</f>
        <v>1552377888630414</v>
      </c>
      <c r="C5717" t="s">
        <v>40</v>
      </c>
      <c r="D5717">
        <v>5.9924030000000004</v>
      </c>
      <c r="E5717">
        <v>0.4533219</v>
      </c>
      <c r="F5717" t="s">
        <v>100</v>
      </c>
      <c r="G5717">
        <v>-411.80290000000002</v>
      </c>
      <c r="H5717">
        <v>6.2194900000000004</v>
      </c>
      <c r="I5717">
        <v>0.56077189999999999</v>
      </c>
      <c r="J5717">
        <v>-418.82859999999999</v>
      </c>
      <c r="K5717">
        <v>1.110163</v>
      </c>
      <c r="L5717">
        <v>91.625919999999994</v>
      </c>
      <c r="M5717">
        <v>-0.1509286</v>
      </c>
      <c r="N5717">
        <v>0</v>
      </c>
      <c r="O5717">
        <v>-0.98845320000000003</v>
      </c>
      <c r="P5717">
        <v>-6.5943169999999995E-2</v>
      </c>
      <c r="Q5717">
        <v>3.5731319999999997E-2</v>
      </c>
      <c r="R5717">
        <v>-0.9971835</v>
      </c>
      <c r="S5717">
        <v>0.23132320000000001</v>
      </c>
      <c r="T5717">
        <v>0.16896549999999999</v>
      </c>
      <c r="U5717">
        <v>-3.0179749999999999</v>
      </c>
      <c r="V5717">
        <v>-8.5298819999999997E-2</v>
      </c>
      <c r="W5717">
        <v>4.9167179999999998E-2</v>
      </c>
      <c r="X5717">
        <v>0.99514159999999996</v>
      </c>
      <c r="Y5717">
        <v>-0.2259331</v>
      </c>
      <c r="Z5717">
        <v>-5.4134700000000001E-2</v>
      </c>
      <c r="AA5717">
        <v>0.97263750000000004</v>
      </c>
      <c r="AB5717">
        <v>19</v>
      </c>
      <c r="AC5717">
        <v>7.0256999999999703</v>
      </c>
      <c r="AD5717">
        <v>5.1093269999999897</v>
      </c>
      <c r="AE5717">
        <v>-91.065148100000002</v>
      </c>
      <c r="AF5717">
        <v>-20.626236336908899</v>
      </c>
      <c r="AG5717">
        <v>5.1093269999999897</v>
      </c>
      <c r="AH5717">
        <v>88.683784552513501</v>
      </c>
      <c r="AI5717">
        <v>86.788209940255697</v>
      </c>
      <c r="AJ5717">
        <v>103.09318043048501</v>
      </c>
      <c r="AK5717">
        <v>91.194081443784398</v>
      </c>
      <c r="AL5717">
        <v>87.181792002386601</v>
      </c>
      <c r="AM5717">
        <v>94.899147813050504</v>
      </c>
      <c r="AN5717">
        <v>1.00000005216655</v>
      </c>
    </row>
    <row r="5718" spans="1:40" x14ac:dyDescent="0.25">
      <c r="A5718" t="str">
        <f>"20190312160448658"</f>
        <v>20190312160448658</v>
      </c>
      <c r="B5718" t="str">
        <f>"1552377888650911"</f>
        <v>1552377888650911</v>
      </c>
      <c r="C5718" t="s">
        <v>40</v>
      </c>
      <c r="D5718">
        <v>5.9186040000000002</v>
      </c>
      <c r="E5718">
        <v>0.45837040000000001</v>
      </c>
      <c r="F5718" t="s">
        <v>100</v>
      </c>
      <c r="G5718">
        <v>-413.55279999999999</v>
      </c>
      <c r="H5718">
        <v>6.9083009999999998</v>
      </c>
      <c r="I5718">
        <v>0.54297830000000002</v>
      </c>
      <c r="J5718">
        <v>-418.85820000000001</v>
      </c>
      <c r="K5718">
        <v>1.110217</v>
      </c>
      <c r="L5718">
        <v>91.43683</v>
      </c>
      <c r="M5718">
        <v>-0.1514498</v>
      </c>
      <c r="N5718">
        <v>0</v>
      </c>
      <c r="O5718">
        <v>-0.98837390000000003</v>
      </c>
      <c r="P5718">
        <v>-6.597459E-2</v>
      </c>
      <c r="Q5718">
        <v>3.5092539999999998E-2</v>
      </c>
      <c r="R5718">
        <v>-0.99720419999999999</v>
      </c>
      <c r="S5718">
        <v>0.17452999999999999</v>
      </c>
      <c r="T5718">
        <v>0.1918097</v>
      </c>
      <c r="U5718">
        <v>-3.013153</v>
      </c>
      <c r="V5718">
        <v>-8.5804630000000007E-2</v>
      </c>
      <c r="W5718">
        <v>4.849374E-2</v>
      </c>
      <c r="X5718">
        <v>0.99513110000000005</v>
      </c>
      <c r="Y5718">
        <v>-0.20825389999999999</v>
      </c>
      <c r="Z5718">
        <v>-6.168038E-2</v>
      </c>
      <c r="AA5718">
        <v>0.976128</v>
      </c>
      <c r="AB5718">
        <v>19</v>
      </c>
      <c r="AC5718">
        <v>5.3054000000000201</v>
      </c>
      <c r="AD5718">
        <v>5.7980839999999896</v>
      </c>
      <c r="AE5718">
        <v>-90.893851699999999</v>
      </c>
      <c r="AF5718">
        <v>-18.934500504677398</v>
      </c>
      <c r="AG5718">
        <v>5.7980839999999896</v>
      </c>
      <c r="AH5718">
        <v>88.6819906782749</v>
      </c>
      <c r="AI5718">
        <v>86.341518058775804</v>
      </c>
      <c r="AJ5718">
        <v>102.052261786694</v>
      </c>
      <c r="AK5718">
        <v>90.865992307872403</v>
      </c>
      <c r="AL5718">
        <v>87.220423186898699</v>
      </c>
      <c r="AM5718">
        <v>94.928108164046293</v>
      </c>
      <c r="AN5718">
        <v>0.99999999176791698</v>
      </c>
    </row>
    <row r="5719" spans="1:40" x14ac:dyDescent="0.25">
      <c r="A5719" t="str">
        <f>"20190312160448680"</f>
        <v>20190312160448680</v>
      </c>
      <c r="B5719" t="str">
        <f>"1552377888670430"</f>
        <v>1552377888670430</v>
      </c>
      <c r="C5719" t="s">
        <v>40</v>
      </c>
      <c r="D5719">
        <v>5.9683339999999996</v>
      </c>
      <c r="E5719">
        <v>0.4620205</v>
      </c>
      <c r="F5719" t="s">
        <v>100</v>
      </c>
      <c r="G5719">
        <v>-414.8032</v>
      </c>
      <c r="H5719">
        <v>7.1344010000000004</v>
      </c>
      <c r="I5719">
        <v>0.53026200000000001</v>
      </c>
      <c r="J5719">
        <v>-418.88709999999998</v>
      </c>
      <c r="K5719">
        <v>1.1102700000000001</v>
      </c>
      <c r="L5719">
        <v>91.252200000000002</v>
      </c>
      <c r="M5719">
        <v>-0.15184259999999999</v>
      </c>
      <c r="N5719">
        <v>0</v>
      </c>
      <c r="O5719">
        <v>-0.98831389999999997</v>
      </c>
      <c r="P5719">
        <v>-6.7275589999999996E-2</v>
      </c>
      <c r="Q5719">
        <v>3.3117689999999998E-2</v>
      </c>
      <c r="R5719">
        <v>-0.99718479999999998</v>
      </c>
      <c r="S5719">
        <v>0.13427729999999999</v>
      </c>
      <c r="T5719">
        <v>0.1994823</v>
      </c>
      <c r="U5719">
        <v>-3.0102540000000002</v>
      </c>
      <c r="V5719">
        <v>-8.4919679999999997E-2</v>
      </c>
      <c r="W5719">
        <v>4.648327E-2</v>
      </c>
      <c r="X5719">
        <v>0.99530289999999999</v>
      </c>
      <c r="Y5719">
        <v>-0.19565440000000001</v>
      </c>
      <c r="Z5719">
        <v>-6.4300800000000005E-2</v>
      </c>
      <c r="AA5719">
        <v>0.97856259999999995</v>
      </c>
      <c r="AB5719">
        <v>19</v>
      </c>
      <c r="AC5719">
        <v>4.0838999999999697</v>
      </c>
      <c r="AD5719">
        <v>6.0241309999999997</v>
      </c>
      <c r="AE5719">
        <v>-90.721937999999994</v>
      </c>
      <c r="AF5719">
        <v>-17.735187893849702</v>
      </c>
      <c r="AG5719">
        <v>6.0241309999999997</v>
      </c>
      <c r="AH5719">
        <v>88.659502287125406</v>
      </c>
      <c r="AI5719">
        <v>86.188195785832505</v>
      </c>
      <c r="AJ5719">
        <v>101.31197523837</v>
      </c>
      <c r="AK5719">
        <v>90.616413467628007</v>
      </c>
      <c r="AL5719">
        <v>87.335744661738303</v>
      </c>
      <c r="AM5719">
        <v>94.876690508832297</v>
      </c>
      <c r="AN5719">
        <v>0.99999995459480095</v>
      </c>
    </row>
    <row r="5720" spans="1:40" x14ac:dyDescent="0.25">
      <c r="A5720" t="str">
        <f>"20190312160448702"</f>
        <v>20190312160448702</v>
      </c>
      <c r="B5720" t="str">
        <f>"1552377888690930"</f>
        <v>1552377888690930</v>
      </c>
      <c r="C5720" t="s">
        <v>40</v>
      </c>
      <c r="D5720">
        <v>5.9715850000000001</v>
      </c>
      <c r="E5720">
        <v>0.46478409999999898</v>
      </c>
      <c r="F5720" t="s">
        <v>100</v>
      </c>
      <c r="G5720">
        <v>-415.85629999999998</v>
      </c>
      <c r="H5720">
        <v>6.9970850000000002</v>
      </c>
      <c r="I5720">
        <v>1.278</v>
      </c>
      <c r="J5720">
        <v>-418.9169</v>
      </c>
      <c r="K5720">
        <v>1.11032</v>
      </c>
      <c r="L5720">
        <v>91.060850000000002</v>
      </c>
      <c r="M5720">
        <v>-0.15213090000000001</v>
      </c>
      <c r="N5720">
        <v>0</v>
      </c>
      <c r="O5720">
        <v>-0.98826990000000003</v>
      </c>
      <c r="P5720">
        <v>-6.8690109999999999E-2</v>
      </c>
      <c r="Q5720">
        <v>3.074431E-2</v>
      </c>
      <c r="R5720">
        <v>-0.99716439999999995</v>
      </c>
      <c r="S5720">
        <v>0.10134890000000001</v>
      </c>
      <c r="T5720">
        <v>0.19685549999999999</v>
      </c>
      <c r="U5720">
        <v>-3.008759</v>
      </c>
      <c r="V5720">
        <v>-8.3816360000000006E-2</v>
      </c>
      <c r="W5720">
        <v>4.4069619999999997E-2</v>
      </c>
      <c r="X5720">
        <v>0.99550620000000001</v>
      </c>
      <c r="Y5720">
        <v>-0.18526020000000001</v>
      </c>
      <c r="Z5720">
        <v>-6.356444E-2</v>
      </c>
      <c r="AA5720">
        <v>0.98063149999999999</v>
      </c>
      <c r="AB5720">
        <v>19</v>
      </c>
      <c r="AC5720">
        <v>3.06060000000002</v>
      </c>
      <c r="AD5720">
        <v>5.8867649999999996</v>
      </c>
      <c r="AE5720">
        <v>-89.782849999999996</v>
      </c>
      <c r="AF5720">
        <v>-16.6135974602559</v>
      </c>
      <c r="AG5720">
        <v>5.8867649999999996</v>
      </c>
      <c r="AH5720">
        <v>87.894548593349199</v>
      </c>
      <c r="AI5720">
        <v>86.234793272104596</v>
      </c>
      <c r="AJ5720">
        <v>100.70361905388999</v>
      </c>
      <c r="AK5720">
        <v>89.644393551215899</v>
      </c>
      <c r="AL5720">
        <v>87.474178622994799</v>
      </c>
      <c r="AM5720">
        <v>94.812651304749394</v>
      </c>
      <c r="AN5720">
        <v>0.99999995392451602</v>
      </c>
    </row>
    <row r="5721" spans="1:40" x14ac:dyDescent="0.25">
      <c r="A5721" t="str">
        <f>"20190312160448726"</f>
        <v>20190312160448726</v>
      </c>
      <c r="B5721" t="str">
        <f>"1552377888721182"</f>
        <v>1552377888721182</v>
      </c>
      <c r="C5721" t="s">
        <v>40</v>
      </c>
      <c r="D5721">
        <v>5.9126649999999996</v>
      </c>
      <c r="E5721">
        <v>0.46789380000000003</v>
      </c>
      <c r="F5721" t="s">
        <v>100</v>
      </c>
      <c r="G5721">
        <v>-416.67399999999998</v>
      </c>
      <c r="H5721">
        <v>6.8991699999999998</v>
      </c>
      <c r="I5721">
        <v>1.274769</v>
      </c>
      <c r="J5721">
        <v>-418.94670000000002</v>
      </c>
      <c r="K5721">
        <v>1.1103809999999901</v>
      </c>
      <c r="L5721">
        <v>90.869720000000001</v>
      </c>
      <c r="M5721">
        <v>-0.152305</v>
      </c>
      <c r="N5721">
        <v>0</v>
      </c>
      <c r="O5721">
        <v>-0.98824380000000001</v>
      </c>
      <c r="P5721">
        <v>-7.0348289999999994E-2</v>
      </c>
      <c r="Q5721">
        <v>3.1777619999999999E-2</v>
      </c>
      <c r="R5721">
        <v>-0.99701649999999997</v>
      </c>
      <c r="S5721">
        <v>7.5134279999999998E-2</v>
      </c>
      <c r="T5721">
        <v>0.19391829999999999</v>
      </c>
      <c r="U5721">
        <v>-3.0077210000000001</v>
      </c>
      <c r="V5721">
        <v>-8.2337759999999996E-2</v>
      </c>
      <c r="W5721">
        <v>4.5054730000000001E-2</v>
      </c>
      <c r="X5721">
        <v>0.99558559999999996</v>
      </c>
      <c r="Y5721">
        <v>-0.1769001</v>
      </c>
      <c r="Z5721">
        <v>-6.2696639999999998E-2</v>
      </c>
      <c r="AA5721">
        <v>0.98222980000000004</v>
      </c>
      <c r="AB5721">
        <v>19</v>
      </c>
      <c r="AC5721">
        <v>2.27269999999998</v>
      </c>
      <c r="AD5721">
        <v>5.7887890000000004</v>
      </c>
      <c r="AE5721">
        <v>-89.594950999999995</v>
      </c>
      <c r="AF5721">
        <v>-15.827121884595201</v>
      </c>
      <c r="AG5721">
        <v>5.7887890000000004</v>
      </c>
      <c r="AH5721">
        <v>87.836891698474403</v>
      </c>
      <c r="AI5721">
        <v>86.289031218317206</v>
      </c>
      <c r="AJ5721">
        <v>100.214386749062</v>
      </c>
      <c r="AK5721">
        <v>89.438959120094196</v>
      </c>
      <c r="AL5721">
        <v>87.417680124711794</v>
      </c>
      <c r="AM5721">
        <v>94.7277645468956</v>
      </c>
      <c r="AN5721">
        <v>1.0000000611722699</v>
      </c>
    </row>
    <row r="5722" spans="1:40" x14ac:dyDescent="0.25">
      <c r="A5722" t="str">
        <f>"20190312160448748"</f>
        <v>20190312160448748</v>
      </c>
      <c r="B5722" t="str">
        <f>"1552377888740703"</f>
        <v>1552377888740703</v>
      </c>
      <c r="C5722" t="s">
        <v>40</v>
      </c>
      <c r="D5722">
        <v>5.9152189999999996</v>
      </c>
      <c r="E5722">
        <v>0.46976259999999997</v>
      </c>
      <c r="F5722" t="s">
        <v>100</v>
      </c>
      <c r="G5722">
        <v>-417.58049999999997</v>
      </c>
      <c r="H5722">
        <v>7.1499879999999996</v>
      </c>
      <c r="I5722">
        <v>0.50201609999999997</v>
      </c>
      <c r="J5722">
        <v>-418.97629999999998</v>
      </c>
      <c r="K5722">
        <v>1.1104400000000001</v>
      </c>
      <c r="L5722">
        <v>90.67868</v>
      </c>
      <c r="M5722">
        <v>-0.15237110000000001</v>
      </c>
      <c r="N5722">
        <v>0</v>
      </c>
      <c r="O5722">
        <v>-0.98823399999999995</v>
      </c>
      <c r="P5722">
        <v>-7.1026649999999997E-2</v>
      </c>
      <c r="Q5722">
        <v>3.5094729999999998E-2</v>
      </c>
      <c r="R5722">
        <v>-0.99685710000000005</v>
      </c>
      <c r="S5722">
        <v>4.5440670000000002E-2</v>
      </c>
      <c r="T5722">
        <v>0.20088549999999999</v>
      </c>
      <c r="U5722">
        <v>-3.0057680000000002</v>
      </c>
      <c r="V5722">
        <v>-8.1716220000000006E-2</v>
      </c>
      <c r="W5722">
        <v>4.8310850000000002E-2</v>
      </c>
      <c r="X5722">
        <v>0.99548409999999998</v>
      </c>
      <c r="Y5722">
        <v>-0.1672719</v>
      </c>
      <c r="Z5722">
        <v>-6.504327E-2</v>
      </c>
      <c r="AA5722">
        <v>0.9837629</v>
      </c>
      <c r="AB5722">
        <v>19</v>
      </c>
      <c r="AC5722">
        <v>1.3957999999999999</v>
      </c>
      <c r="AD5722">
        <v>6.0395479999999999</v>
      </c>
      <c r="AE5722">
        <v>-90.176663899999994</v>
      </c>
      <c r="AF5722">
        <v>-15.053521900495401</v>
      </c>
      <c r="AG5722">
        <v>6.0395479999999999</v>
      </c>
      <c r="AH5722">
        <v>88.513874532224705</v>
      </c>
      <c r="AI5722">
        <v>86.151687065042395</v>
      </c>
      <c r="AJ5722">
        <v>99.651922724016202</v>
      </c>
      <c r="AK5722">
        <v>89.987724976017802</v>
      </c>
      <c r="AL5722">
        <v>87.230914431370906</v>
      </c>
      <c r="AM5722">
        <v>94.692712488613395</v>
      </c>
      <c r="AN5722">
        <v>1.0000000360957999</v>
      </c>
    </row>
    <row r="5723" spans="1:40" x14ac:dyDescent="0.25">
      <c r="A5723" t="str">
        <f>"20190312160448769"</f>
        <v>20190312160448769</v>
      </c>
      <c r="B5723" t="str">
        <f>"1552377888761198"</f>
        <v>1552377888761198</v>
      </c>
      <c r="C5723" t="s">
        <v>40</v>
      </c>
      <c r="D5723">
        <v>5.8754189999999999</v>
      </c>
      <c r="E5723">
        <v>0.47141319999999998</v>
      </c>
      <c r="F5723" t="s">
        <v>100</v>
      </c>
      <c r="G5723">
        <v>-418.12439999999998</v>
      </c>
      <c r="H5723">
        <v>7.1664979999999998</v>
      </c>
      <c r="I5723">
        <v>0.4964848</v>
      </c>
      <c r="J5723">
        <v>-419.00369999999998</v>
      </c>
      <c r="K5723">
        <v>1.1104810000000001</v>
      </c>
      <c r="L5723">
        <v>90.501649999999998</v>
      </c>
      <c r="M5723">
        <v>-0.15235570000000001</v>
      </c>
      <c r="N5723">
        <v>0</v>
      </c>
      <c r="O5723">
        <v>-0.98823729999999999</v>
      </c>
      <c r="P5723">
        <v>-7.1745809999999993E-2</v>
      </c>
      <c r="Q5723">
        <v>3.5727019999999998E-2</v>
      </c>
      <c r="R5723">
        <v>-0.99678279999999997</v>
      </c>
      <c r="S5723">
        <v>2.838135E-2</v>
      </c>
      <c r="T5723">
        <v>0.20175290000000001</v>
      </c>
      <c r="U5723">
        <v>-3.0043639999999998</v>
      </c>
      <c r="V5723">
        <v>-8.0983910000000006E-2</v>
      </c>
      <c r="W5723">
        <v>4.8876660000000002E-2</v>
      </c>
      <c r="X5723">
        <v>0.99551630000000002</v>
      </c>
      <c r="Y5723">
        <v>-0.1616755</v>
      </c>
      <c r="Z5723">
        <v>-6.5387210000000001E-2</v>
      </c>
      <c r="AA5723">
        <v>0.98467530000000003</v>
      </c>
      <c r="AB5723">
        <v>19</v>
      </c>
      <c r="AC5723">
        <v>0.87929999999999997</v>
      </c>
      <c r="AD5723">
        <v>6.0560169999999998</v>
      </c>
      <c r="AE5723">
        <v>-90.005165199999993</v>
      </c>
      <c r="AF5723">
        <v>-14.517313503384401</v>
      </c>
      <c r="AG5723">
        <v>6.0560169999999998</v>
      </c>
      <c r="AH5723">
        <v>88.419991743755205</v>
      </c>
      <c r="AI5723">
        <v>86.1334543191672</v>
      </c>
      <c r="AJ5723">
        <v>99.3239693865806</v>
      </c>
      <c r="AK5723">
        <v>89.808255039420402</v>
      </c>
      <c r="AL5723">
        <v>87.198457497425295</v>
      </c>
      <c r="AM5723">
        <v>94.650693709192794</v>
      </c>
      <c r="AN5723">
        <v>1.0000000125686599</v>
      </c>
    </row>
    <row r="5724" spans="1:40" x14ac:dyDescent="0.25">
      <c r="A5724" t="str">
        <f>"20190312160448792"</f>
        <v>20190312160448792</v>
      </c>
      <c r="B5724" t="str">
        <f>"1552377888780718"</f>
        <v>1552377888780718</v>
      </c>
      <c r="C5724" t="s">
        <v>40</v>
      </c>
      <c r="D5724">
        <v>5.8597599999999996</v>
      </c>
      <c r="E5724">
        <v>0.47268830000000001</v>
      </c>
      <c r="F5724" t="s">
        <v>100</v>
      </c>
      <c r="G5724">
        <v>-418.6241</v>
      </c>
      <c r="H5724">
        <v>6.9735670000000001</v>
      </c>
      <c r="I5724">
        <v>0.4914017</v>
      </c>
      <c r="J5724">
        <v>-419.03320000000002</v>
      </c>
      <c r="K5724">
        <v>1.11049</v>
      </c>
      <c r="L5724">
        <v>90.309539999999998</v>
      </c>
      <c r="M5724">
        <v>-0.15228520000000001</v>
      </c>
      <c r="N5724">
        <v>0</v>
      </c>
      <c r="O5724">
        <v>-0.98824909999999999</v>
      </c>
      <c r="P5724">
        <v>-7.0896139999999996E-2</v>
      </c>
      <c r="Q5724">
        <v>3.4764499999999997E-2</v>
      </c>
      <c r="R5724">
        <v>-0.99687809999999999</v>
      </c>
      <c r="S5724">
        <v>1.266479E-2</v>
      </c>
      <c r="T5724">
        <v>0.1956475</v>
      </c>
      <c r="U5724">
        <v>-3.0036010000000002</v>
      </c>
      <c r="V5724">
        <v>-8.1770289999999995E-2</v>
      </c>
      <c r="W5724">
        <v>4.7840279999999999E-2</v>
      </c>
      <c r="X5724">
        <v>0.99550240000000001</v>
      </c>
      <c r="Y5724">
        <v>-0.1564537</v>
      </c>
      <c r="Z5724">
        <v>-6.3462649999999995E-2</v>
      </c>
      <c r="AA5724">
        <v>0.98564430000000003</v>
      </c>
      <c r="AB5724">
        <v>19</v>
      </c>
      <c r="AC5724">
        <v>0.409100000000023</v>
      </c>
      <c r="AD5724">
        <v>5.8630769999999997</v>
      </c>
      <c r="AE5724">
        <v>-89.818138299999902</v>
      </c>
      <c r="AF5724">
        <v>-14.0237282148725</v>
      </c>
      <c r="AG5724">
        <v>5.8630769999999997</v>
      </c>
      <c r="AH5724">
        <v>88.331681615998903</v>
      </c>
      <c r="AI5724">
        <v>86.249360479052299</v>
      </c>
      <c r="AJ5724">
        <v>99.021110674528899</v>
      </c>
      <c r="AK5724">
        <v>89.629942553048295</v>
      </c>
      <c r="AL5724">
        <v>87.257907357141804</v>
      </c>
      <c r="AM5724">
        <v>94.695717746571802</v>
      </c>
      <c r="AN5724">
        <v>1.0000000505614599</v>
      </c>
    </row>
    <row r="5725" spans="1:40" x14ac:dyDescent="0.25">
      <c r="A5725" t="str">
        <f>"20190312160448814"</f>
        <v>20190312160448814</v>
      </c>
      <c r="B5725" t="str">
        <f>"1552377888810975"</f>
        <v>1552377888810975</v>
      </c>
      <c r="C5725" t="s">
        <v>40</v>
      </c>
      <c r="D5725">
        <v>5.8613589999999904</v>
      </c>
      <c r="E5725">
        <v>0.47404289999999999</v>
      </c>
      <c r="F5725" t="s">
        <v>100</v>
      </c>
      <c r="G5725">
        <v>-418.89269999999999</v>
      </c>
      <c r="H5725">
        <v>6.7161780000000002</v>
      </c>
      <c r="I5725">
        <v>0.4886684</v>
      </c>
      <c r="J5725">
        <v>-419.06259999999997</v>
      </c>
      <c r="K5725">
        <v>1.1104889999999901</v>
      </c>
      <c r="L5725">
        <v>90.117949999999993</v>
      </c>
      <c r="M5725">
        <v>-0.15216740000000001</v>
      </c>
      <c r="N5725">
        <v>0</v>
      </c>
      <c r="O5725">
        <v>-0.98826800000000004</v>
      </c>
      <c r="P5725">
        <v>-6.9099460000000001E-2</v>
      </c>
      <c r="Q5725">
        <v>3.3584080000000002E-2</v>
      </c>
      <c r="R5725">
        <v>-0.99704440000000005</v>
      </c>
      <c r="S5725">
        <v>4.699707E-3</v>
      </c>
      <c r="T5725">
        <v>0.18742800000000001</v>
      </c>
      <c r="U5725">
        <v>-3.0032040000000002</v>
      </c>
      <c r="V5725">
        <v>-8.345313E-2</v>
      </c>
      <c r="W5725">
        <v>4.6592359999999999E-2</v>
      </c>
      <c r="X5725">
        <v>0.99542189999999997</v>
      </c>
      <c r="Y5725">
        <v>-0.15372230000000001</v>
      </c>
      <c r="Z5725">
        <v>-6.083036E-2</v>
      </c>
      <c r="AA5725">
        <v>0.98623989999999995</v>
      </c>
      <c r="AB5725">
        <v>19</v>
      </c>
      <c r="AC5725">
        <v>0.16989999999998401</v>
      </c>
      <c r="AD5725">
        <v>5.6056889999999999</v>
      </c>
      <c r="AE5725">
        <v>-89.629281599999999</v>
      </c>
      <c r="AF5725">
        <v>-13.7539449464804</v>
      </c>
      <c r="AG5725">
        <v>5.6056889999999999</v>
      </c>
      <c r="AH5725">
        <v>88.214428103379504</v>
      </c>
      <c r="AI5725">
        <v>86.407252579193198</v>
      </c>
      <c r="AJ5725">
        <v>98.861916719102396</v>
      </c>
      <c r="AK5725">
        <v>89.456023141887101</v>
      </c>
      <c r="AL5725">
        <v>87.3294876493852</v>
      </c>
      <c r="AM5725">
        <v>94.792296256447798</v>
      </c>
      <c r="AN5725">
        <v>1.00000001595838</v>
      </c>
    </row>
    <row r="5726" spans="1:40" x14ac:dyDescent="0.25">
      <c r="A5726" t="str">
        <f>"20190312160448837"</f>
        <v>20190312160448837</v>
      </c>
      <c r="B5726" t="str">
        <f>"1552377888830494"</f>
        <v>1552377888830494</v>
      </c>
      <c r="C5726" t="s">
        <v>40</v>
      </c>
      <c r="D5726">
        <v>5.8613939999999998</v>
      </c>
      <c r="E5726">
        <v>0.47479769999999999</v>
      </c>
      <c r="F5726" t="s">
        <v>100</v>
      </c>
      <c r="G5726">
        <v>-419.05900000000003</v>
      </c>
      <c r="H5726">
        <v>6.7458179999999901</v>
      </c>
      <c r="I5726">
        <v>0.48697849999999998</v>
      </c>
      <c r="J5726">
        <v>-419.0917</v>
      </c>
      <c r="K5726">
        <v>1.110493</v>
      </c>
      <c r="L5726">
        <v>89.928219999999996</v>
      </c>
      <c r="M5726">
        <v>-0.15201189999999901</v>
      </c>
      <c r="N5726">
        <v>0</v>
      </c>
      <c r="O5726">
        <v>-0.98829290000000003</v>
      </c>
      <c r="P5726">
        <v>-6.7877679999999996E-2</v>
      </c>
      <c r="Q5726">
        <v>3.3538779999999997E-2</v>
      </c>
      <c r="R5726">
        <v>-0.99713019999999997</v>
      </c>
      <c r="S5726">
        <v>1.220703E-4</v>
      </c>
      <c r="T5726">
        <v>0.188776</v>
      </c>
      <c r="U5726">
        <v>-3.0025330000000001</v>
      </c>
      <c r="V5726">
        <v>-8.4517709999999996E-2</v>
      </c>
      <c r="W5726">
        <v>4.6479949999999999E-2</v>
      </c>
      <c r="X5726">
        <v>0.99533729999999998</v>
      </c>
      <c r="Y5726">
        <v>-0.15206320000000001</v>
      </c>
      <c r="Z5726">
        <v>-6.1290200000000003E-2</v>
      </c>
      <c r="AA5726">
        <v>0.98646860000000003</v>
      </c>
      <c r="AB5726">
        <v>19</v>
      </c>
      <c r="AC5726">
        <v>3.2699999999976997E-2</v>
      </c>
      <c r="AD5726">
        <v>5.6353249999999901</v>
      </c>
      <c r="AE5726">
        <v>-89.441241499999904</v>
      </c>
      <c r="AF5726">
        <v>-13.5757134975198</v>
      </c>
      <c r="AG5726">
        <v>5.6353249999999901</v>
      </c>
      <c r="AH5726">
        <v>88.047141837024398</v>
      </c>
      <c r="AI5726">
        <v>86.380520448631998</v>
      </c>
      <c r="AJ5726">
        <v>98.765231697896894</v>
      </c>
      <c r="AK5726">
        <v>89.265648882935096</v>
      </c>
      <c r="AL5726">
        <v>87.335935170388794</v>
      </c>
      <c r="AM5726">
        <v>94.8535501318282</v>
      </c>
      <c r="AN5726">
        <v>0.99999998491346798</v>
      </c>
    </row>
    <row r="5727" spans="1:40" x14ac:dyDescent="0.25">
      <c r="A5727" t="str">
        <f>"20190312160448860"</f>
        <v>20190312160448860</v>
      </c>
      <c r="B5727" t="str">
        <f>"1552377888850991"</f>
        <v>1552377888850991</v>
      </c>
      <c r="C5727" t="s">
        <v>40</v>
      </c>
      <c r="D5727">
        <v>5.906371</v>
      </c>
      <c r="E5727">
        <v>0.47567429999999999</v>
      </c>
      <c r="F5727" t="s">
        <v>100</v>
      </c>
      <c r="G5727">
        <v>-419.15890000000002</v>
      </c>
      <c r="H5727">
        <v>6.8084490000000004</v>
      </c>
      <c r="I5727">
        <v>0.4859638</v>
      </c>
      <c r="J5727">
        <v>-419.12090000000001</v>
      </c>
      <c r="K5727">
        <v>1.1104909999999999</v>
      </c>
      <c r="L5727">
        <v>89.736850000000004</v>
      </c>
      <c r="M5727">
        <v>-0.15182670000000001</v>
      </c>
      <c r="N5727">
        <v>0</v>
      </c>
      <c r="O5727">
        <v>-0.98832240000000005</v>
      </c>
      <c r="P5727">
        <v>-6.657188E-2</v>
      </c>
      <c r="Q5727">
        <v>3.290249E-2</v>
      </c>
      <c r="R5727">
        <v>-0.99723919999999999</v>
      </c>
      <c r="S5727">
        <v>-2.2583009999999999E-3</v>
      </c>
      <c r="T5727">
        <v>0.19124559999999999</v>
      </c>
      <c r="U5727">
        <v>-3.0020449999999999</v>
      </c>
      <c r="V5727">
        <v>-8.5639129999999994E-2</v>
      </c>
      <c r="W5727">
        <v>4.576736E-2</v>
      </c>
      <c r="X5727">
        <v>0.99527449999999995</v>
      </c>
      <c r="Y5727">
        <v>-0.1510956</v>
      </c>
      <c r="Z5727">
        <v>-6.2106300000000003E-2</v>
      </c>
      <c r="AA5727">
        <v>0.98656619999999995</v>
      </c>
      <c r="AB5727">
        <v>19</v>
      </c>
      <c r="AC5727">
        <v>-3.80000000000109E-2</v>
      </c>
      <c r="AD5727">
        <v>5.6979579999999999</v>
      </c>
      <c r="AE5727">
        <v>-89.250886199999997</v>
      </c>
      <c r="AF5727">
        <v>-13.4593852272187</v>
      </c>
      <c r="AG5727">
        <v>5.6979579999999999</v>
      </c>
      <c r="AH5727">
        <v>87.863692545234102</v>
      </c>
      <c r="AI5727">
        <v>86.332230747390298</v>
      </c>
      <c r="AJ5727">
        <v>98.709143885712706</v>
      </c>
      <c r="AK5727">
        <v>89.071040432611198</v>
      </c>
      <c r="AL5727">
        <v>87.376807164776906</v>
      </c>
      <c r="AM5727">
        <v>94.917944296597298</v>
      </c>
      <c r="AN5727">
        <v>1.00000002108938</v>
      </c>
    </row>
    <row r="5728" spans="1:40" x14ac:dyDescent="0.25">
      <c r="A5728" t="str">
        <f>"20190312160448882"</f>
        <v>20190312160448882</v>
      </c>
      <c r="B5728" t="str">
        <f>"1552377888870511"</f>
        <v>1552377888870511</v>
      </c>
      <c r="C5728" t="s">
        <v>40</v>
      </c>
      <c r="D5728">
        <v>5.6990639999999999</v>
      </c>
      <c r="E5728">
        <v>0.4763386</v>
      </c>
      <c r="F5728" t="s">
        <v>100</v>
      </c>
      <c r="G5728">
        <v>-419.26060000000001</v>
      </c>
      <c r="H5728">
        <v>6.527431</v>
      </c>
      <c r="I5728">
        <v>0.48492809999999997</v>
      </c>
      <c r="J5728">
        <v>-419.14890000000003</v>
      </c>
      <c r="K5728">
        <v>1.110476</v>
      </c>
      <c r="L5728">
        <v>89.55301</v>
      </c>
      <c r="M5728">
        <v>-0.15162390000000001</v>
      </c>
      <c r="N5728">
        <v>0</v>
      </c>
      <c r="O5728">
        <v>-0.98835459999999997</v>
      </c>
      <c r="P5728">
        <v>-6.5013630000000003E-2</v>
      </c>
      <c r="Q5728">
        <v>3.090965E-2</v>
      </c>
      <c r="R5728">
        <v>-0.99740580000000001</v>
      </c>
      <c r="S5728">
        <v>-4.699707E-3</v>
      </c>
      <c r="T5728">
        <v>0.18219759999999999</v>
      </c>
      <c r="U5728">
        <v>-3.0019840000000002</v>
      </c>
      <c r="V5728">
        <v>-8.7000670000000002E-2</v>
      </c>
      <c r="W5728">
        <v>4.3692809999999999E-2</v>
      </c>
      <c r="X5728">
        <v>0.99524959999999996</v>
      </c>
      <c r="Y5728">
        <v>-0.1500901</v>
      </c>
      <c r="Z5728">
        <v>-5.918764E-2</v>
      </c>
      <c r="AA5728">
        <v>0.98689910000000003</v>
      </c>
      <c r="AB5728">
        <v>19</v>
      </c>
      <c r="AC5728">
        <v>-0.11169999999998401</v>
      </c>
      <c r="AD5728">
        <v>5.4169549999999997</v>
      </c>
      <c r="AE5728">
        <v>-89.068081899999996</v>
      </c>
      <c r="AF5728">
        <v>-13.346193007216399</v>
      </c>
      <c r="AG5728">
        <v>5.4169549999999997</v>
      </c>
      <c r="AH5728">
        <v>87.730564974365905</v>
      </c>
      <c r="AI5728">
        <v>86.506825511007307</v>
      </c>
      <c r="AJ5728">
        <v>98.649918103099196</v>
      </c>
      <c r="AK5728">
        <v>88.905097154096495</v>
      </c>
      <c r="AL5728">
        <v>87.495789108887607</v>
      </c>
      <c r="AM5728">
        <v>94.995864341548597</v>
      </c>
      <c r="AN5728">
        <v>0.99999997226315196</v>
      </c>
    </row>
    <row r="5729" spans="1:40" x14ac:dyDescent="0.25">
      <c r="A5729" t="str">
        <f>"20190312160448903"</f>
        <v>20190312160448903</v>
      </c>
      <c r="B5729" t="str">
        <f>"1552377888900767"</f>
        <v>1552377888900767</v>
      </c>
      <c r="C5729" t="s">
        <v>40</v>
      </c>
      <c r="D5729">
        <v>5.8899010000000001</v>
      </c>
      <c r="E5729">
        <v>0.49382549999999997</v>
      </c>
      <c r="F5729" t="s">
        <v>100</v>
      </c>
      <c r="G5729">
        <v>-419.3218</v>
      </c>
      <c r="H5729">
        <v>6.3929809999999998</v>
      </c>
      <c r="I5729">
        <v>0.48430440000000002</v>
      </c>
      <c r="J5729">
        <v>-419.17689999999999</v>
      </c>
      <c r="K5729">
        <v>1.11046</v>
      </c>
      <c r="L5729">
        <v>89.368589999999998</v>
      </c>
      <c r="M5729">
        <v>-0.15139520000000001</v>
      </c>
      <c r="N5729">
        <v>0</v>
      </c>
      <c r="O5729">
        <v>-0.98839069999999996</v>
      </c>
      <c r="P5729">
        <v>-6.3338019999999995E-2</v>
      </c>
      <c r="Q5729">
        <v>2.890829E-2</v>
      </c>
      <c r="R5729">
        <v>-0.9975735</v>
      </c>
      <c r="S5729">
        <v>-5.8288569999999998E-3</v>
      </c>
      <c r="T5729">
        <v>0.1780378</v>
      </c>
      <c r="U5729">
        <v>-3.0019230000000001</v>
      </c>
      <c r="V5729">
        <v>-8.8451160000000001E-2</v>
      </c>
      <c r="W5729">
        <v>4.1602819999999999E-2</v>
      </c>
      <c r="X5729">
        <v>0.99521130000000002</v>
      </c>
      <c r="Y5729">
        <v>-0.1494897</v>
      </c>
      <c r="Z5729">
        <v>-5.7848049999999998E-2</v>
      </c>
      <c r="AA5729">
        <v>0.98706959999999999</v>
      </c>
      <c r="AB5729">
        <v>19</v>
      </c>
      <c r="AC5729">
        <v>-0.144900000000006</v>
      </c>
      <c r="AD5729">
        <v>5.282521</v>
      </c>
      <c r="AE5729">
        <v>-88.884285599999998</v>
      </c>
      <c r="AF5729">
        <v>-13.2676611474702</v>
      </c>
      <c r="AG5729">
        <v>5.282521</v>
      </c>
      <c r="AH5729">
        <v>87.572202419443002</v>
      </c>
      <c r="AI5729">
        <v>86.586849676879197</v>
      </c>
      <c r="AJ5729">
        <v>98.615101739756298</v>
      </c>
      <c r="AK5729">
        <v>88.728949599504602</v>
      </c>
      <c r="AL5729">
        <v>87.615645777257498</v>
      </c>
      <c r="AM5729">
        <v>95.078918609439796</v>
      </c>
      <c r="AN5729">
        <v>0.99999996699249305</v>
      </c>
    </row>
    <row r="5730" spans="1:40" x14ac:dyDescent="0.25">
      <c r="A5730" t="str">
        <f>"20190312160448926"</f>
        <v>20190312160448926</v>
      </c>
      <c r="B5730" t="str">
        <f>"1552377888921263"</f>
        <v>1552377888921263</v>
      </c>
      <c r="C5730" t="s">
        <v>40</v>
      </c>
      <c r="D5730">
        <v>5.9052100000000003</v>
      </c>
      <c r="E5730">
        <v>0.49367830000000001</v>
      </c>
      <c r="F5730" t="s">
        <v>41</v>
      </c>
      <c r="G5730">
        <v>-420.42500000000001</v>
      </c>
      <c r="H5730" s="1">
        <v>-1.6944250000000001E-6</v>
      </c>
      <c r="I5730">
        <v>63.275280000000002</v>
      </c>
      <c r="J5730">
        <v>-419.2056</v>
      </c>
      <c r="K5730">
        <v>1.110439</v>
      </c>
      <c r="L5730">
        <v>89.17886</v>
      </c>
      <c r="M5730">
        <v>-0.15113840000000001</v>
      </c>
      <c r="N5730">
        <v>0</v>
      </c>
      <c r="O5730">
        <v>-0.98843119999999995</v>
      </c>
      <c r="P5730">
        <v>-6.2170299999999998E-2</v>
      </c>
      <c r="Q5730">
        <v>2.847972E-2</v>
      </c>
      <c r="R5730">
        <v>-0.99765919999999997</v>
      </c>
      <c r="S5730">
        <v>-0.1435852</v>
      </c>
      <c r="T5730">
        <v>-0.12775249999999999</v>
      </c>
      <c r="U5730">
        <v>-3.0018919999999998</v>
      </c>
      <c r="V5730">
        <v>-8.9358999999999994E-2</v>
      </c>
      <c r="W5730">
        <v>4.1076380000000003E-2</v>
      </c>
      <c r="X5730">
        <v>0.99515209999999998</v>
      </c>
      <c r="Y5730">
        <v>-0.10379149999999999</v>
      </c>
      <c r="Z5730">
        <v>4.164868E-2</v>
      </c>
      <c r="AA5730">
        <v>0.99372669999999996</v>
      </c>
      <c r="AB5730">
        <v>19</v>
      </c>
      <c r="AC5730">
        <v>-1.2194</v>
      </c>
      <c r="AD5730">
        <v>-1.110440694425</v>
      </c>
      <c r="AE5730">
        <v>-25.903580000000002</v>
      </c>
      <c r="AF5730">
        <v>-2.7049907873489398</v>
      </c>
      <c r="AG5730">
        <v>-1.110440694425</v>
      </c>
      <c r="AH5730">
        <v>25.743077271368801</v>
      </c>
      <c r="AI5730">
        <v>92.456444402133698</v>
      </c>
      <c r="AJ5730">
        <v>95.998424565058698</v>
      </c>
      <c r="AK5730">
        <v>25.9086101729742</v>
      </c>
      <c r="AL5730">
        <v>87.645834455509601</v>
      </c>
      <c r="AM5730">
        <v>95.131074086393198</v>
      </c>
      <c r="AN5730">
        <v>1.0000000010046499</v>
      </c>
    </row>
    <row r="5731" spans="1:40" x14ac:dyDescent="0.25">
      <c r="A5731" t="str">
        <f>"20190312160448948"</f>
        <v>20190312160448948</v>
      </c>
      <c r="B5731" t="str">
        <f>"1552377888940782"</f>
        <v>1552377888940782</v>
      </c>
      <c r="C5731" t="s">
        <v>40</v>
      </c>
      <c r="D5731">
        <v>5.9169140000000002</v>
      </c>
      <c r="E5731">
        <v>0.49370439999999999</v>
      </c>
      <c r="F5731" t="s">
        <v>41</v>
      </c>
      <c r="G5731">
        <v>-421.15140000000002</v>
      </c>
      <c r="H5731" s="1">
        <v>-3.485778E-6</v>
      </c>
      <c r="I5731">
        <v>47.000419999999998</v>
      </c>
      <c r="J5731">
        <v>-419.23349999999999</v>
      </c>
      <c r="K5731">
        <v>1.1104039999999999</v>
      </c>
      <c r="L5731">
        <v>88.994079999999997</v>
      </c>
      <c r="M5731">
        <v>-0.15087739999999999</v>
      </c>
      <c r="N5731">
        <v>0</v>
      </c>
      <c r="O5731">
        <v>-0.98847249999999998</v>
      </c>
      <c r="P5731">
        <v>-6.1838200000000003E-2</v>
      </c>
      <c r="Q5731">
        <v>2.7722710000000001E-2</v>
      </c>
      <c r="R5731">
        <v>-0.99770130000000001</v>
      </c>
      <c r="S5731">
        <v>-0.13842769999999999</v>
      </c>
      <c r="T5731">
        <v>-7.8999399999999997E-2</v>
      </c>
      <c r="U5731">
        <v>-3.0006710000000001</v>
      </c>
      <c r="V5731">
        <v>-8.9429510000000004E-2</v>
      </c>
      <c r="W5731">
        <v>4.0216870000000002E-2</v>
      </c>
      <c r="X5731">
        <v>0.99518079999999998</v>
      </c>
      <c r="Y5731">
        <v>-0.1051888</v>
      </c>
      <c r="Z5731">
        <v>2.5780029999999999E-2</v>
      </c>
      <c r="AA5731">
        <v>0.99411799999999995</v>
      </c>
      <c r="AB5731">
        <v>19</v>
      </c>
      <c r="AC5731">
        <v>-1.9179000000000299</v>
      </c>
      <c r="AD5731">
        <v>-1.110407485778</v>
      </c>
      <c r="AE5731">
        <v>-41.993659999999998</v>
      </c>
      <c r="AF5731">
        <v>-4.4373578079023401</v>
      </c>
      <c r="AG5731">
        <v>-1.110407485778</v>
      </c>
      <c r="AH5731">
        <v>41.773104328804202</v>
      </c>
      <c r="AI5731">
        <v>91.514155990621006</v>
      </c>
      <c r="AJ5731">
        <v>96.0635193295508</v>
      </c>
      <c r="AK5731">
        <v>42.022796127399602</v>
      </c>
      <c r="AL5731">
        <v>87.695121318618902</v>
      </c>
      <c r="AM5731">
        <v>95.134953896720702</v>
      </c>
      <c r="AN5731">
        <v>0.99999992929003501</v>
      </c>
    </row>
    <row r="5732" spans="1:40" x14ac:dyDescent="0.25">
      <c r="A5732" t="str">
        <f>"20190312160448970"</f>
        <v>20190312160448970</v>
      </c>
      <c r="B5732" t="str">
        <f>"1552377888961278"</f>
        <v>1552377888961278</v>
      </c>
      <c r="C5732" t="s">
        <v>40</v>
      </c>
      <c r="D5732">
        <v>5.824929</v>
      </c>
      <c r="E5732">
        <v>0.48285159999999999</v>
      </c>
      <c r="F5732" t="s">
        <v>81</v>
      </c>
      <c r="G5732">
        <v>-421.86360000000002</v>
      </c>
      <c r="H5732" s="1">
        <v>-4.9598399999999998E-6</v>
      </c>
      <c r="I5732">
        <v>31.333590000000001</v>
      </c>
      <c r="J5732">
        <v>-419.26190000000003</v>
      </c>
      <c r="K5732">
        <v>1.110371</v>
      </c>
      <c r="L5732">
        <v>88.805909999999997</v>
      </c>
      <c r="M5732">
        <v>-0.15060709999999999</v>
      </c>
      <c r="N5732">
        <v>0</v>
      </c>
      <c r="O5732">
        <v>-0.98851500000000003</v>
      </c>
      <c r="P5732">
        <v>-6.0164189999999999E-2</v>
      </c>
      <c r="Q5732">
        <v>2.5824489999999999E-2</v>
      </c>
      <c r="R5732">
        <v>-0.99785449999999998</v>
      </c>
      <c r="S5732">
        <v>-0.13684079999999901</v>
      </c>
      <c r="T5732">
        <v>-5.7773709999999999E-2</v>
      </c>
      <c r="U5732">
        <v>-3.0000309999999999</v>
      </c>
      <c r="V5732">
        <v>-9.0832700000000002E-2</v>
      </c>
      <c r="W5732">
        <v>3.8207119999999997E-2</v>
      </c>
      <c r="X5732">
        <v>0.99513300000000005</v>
      </c>
      <c r="Y5732">
        <v>-0.1054245</v>
      </c>
      <c r="Z5732">
        <v>1.8861610000000001E-2</v>
      </c>
      <c r="AA5732">
        <v>0.99424840000000003</v>
      </c>
      <c r="AB5732">
        <v>19</v>
      </c>
      <c r="AC5732">
        <v>-2.6016999999999899</v>
      </c>
      <c r="AD5732">
        <v>-1.11037595984</v>
      </c>
      <c r="AE5732">
        <v>-57.472320000000003</v>
      </c>
      <c r="AF5732">
        <v>-6.0821277120132402</v>
      </c>
      <c r="AG5732">
        <v>-1.11037595984</v>
      </c>
      <c r="AH5732">
        <v>57.187233183347097</v>
      </c>
      <c r="AI5732">
        <v>91.106107172397998</v>
      </c>
      <c r="AJ5732">
        <v>96.070850996515404</v>
      </c>
      <c r="AK5732">
        <v>57.520473324234203</v>
      </c>
      <c r="AL5732">
        <v>87.810360378611094</v>
      </c>
      <c r="AM5732">
        <v>95.215331936103397</v>
      </c>
      <c r="AN5732">
        <v>1.00000002554849</v>
      </c>
    </row>
    <row r="5733" spans="1:40" x14ac:dyDescent="0.25">
      <c r="A5733" t="str">
        <f>"20190312160448993"</f>
        <v>20190312160448993</v>
      </c>
      <c r="B5733" t="str">
        <f>"1552377888980799"</f>
        <v>1552377888980799</v>
      </c>
      <c r="C5733" t="s">
        <v>40</v>
      </c>
      <c r="D5733">
        <v>6.051774</v>
      </c>
      <c r="E5733">
        <v>0.4784619</v>
      </c>
      <c r="F5733" t="s">
        <v>100</v>
      </c>
      <c r="G5733">
        <v>-420.47649999999999</v>
      </c>
      <c r="H5733">
        <v>7.785609</v>
      </c>
      <c r="I5733">
        <v>1.7695919999999901</v>
      </c>
      <c r="J5733">
        <v>-419.29059999999998</v>
      </c>
      <c r="K5733">
        <v>1.1103529999999999</v>
      </c>
      <c r="L5733">
        <v>88.615049999999997</v>
      </c>
      <c r="M5733">
        <v>-0.1503362</v>
      </c>
      <c r="N5733">
        <v>0</v>
      </c>
      <c r="O5733">
        <v>-0.98855789999999999</v>
      </c>
      <c r="P5733">
        <v>-5.787084E-2</v>
      </c>
      <c r="Q5733">
        <v>2.634862E-2</v>
      </c>
      <c r="R5733">
        <v>-0.9979768</v>
      </c>
      <c r="S5733">
        <v>-4.1839599999999998E-2</v>
      </c>
      <c r="T5733">
        <v>0.2299292</v>
      </c>
      <c r="U5733">
        <v>-2.997986</v>
      </c>
      <c r="V5733">
        <v>-9.2844410000000002E-2</v>
      </c>
      <c r="W5733">
        <v>3.8620229999999998E-2</v>
      </c>
      <c r="X5733">
        <v>0.99493129999999996</v>
      </c>
      <c r="Y5733">
        <v>-0.13657459999999999</v>
      </c>
      <c r="Z5733">
        <v>-7.4806109999999995E-2</v>
      </c>
      <c r="AA5733">
        <v>0.98780129999999999</v>
      </c>
      <c r="AB5733">
        <v>19</v>
      </c>
      <c r="AC5733">
        <v>-1.1859</v>
      </c>
      <c r="AD5733">
        <v>6.6752560000000001</v>
      </c>
      <c r="AE5733">
        <v>-86.845457999999994</v>
      </c>
      <c r="AF5733">
        <v>-11.8148013896558</v>
      </c>
      <c r="AG5733">
        <v>6.6752560000000001</v>
      </c>
      <c r="AH5733">
        <v>85.531372973853905</v>
      </c>
      <c r="AI5733">
        <v>85.579231815587093</v>
      </c>
      <c r="AJ5733">
        <v>97.864731987292203</v>
      </c>
      <c r="AK5733">
        <v>86.601179768725103</v>
      </c>
      <c r="AL5733">
        <v>87.786673267651594</v>
      </c>
      <c r="AM5733">
        <v>95.331254302701694</v>
      </c>
      <c r="AN5733">
        <v>0.99999994917659396</v>
      </c>
    </row>
    <row r="5734" spans="1:40" x14ac:dyDescent="0.25">
      <c r="A5734" t="str">
        <f>"20190312160449015"</f>
        <v>20190312160449015</v>
      </c>
      <c r="B5734" t="str">
        <f>"1552377889011058"</f>
        <v>1552377889011058</v>
      </c>
      <c r="C5734" t="s">
        <v>40</v>
      </c>
      <c r="D5734">
        <v>6.1692650000000002</v>
      </c>
      <c r="E5734">
        <v>0.47759299999999999</v>
      </c>
      <c r="F5734" t="s">
        <v>100</v>
      </c>
      <c r="G5734">
        <v>-419.33359999999999</v>
      </c>
      <c r="H5734">
        <v>4.688612</v>
      </c>
      <c r="I5734">
        <v>0.48417660000000001</v>
      </c>
      <c r="J5734">
        <v>-419.31950000000001</v>
      </c>
      <c r="K5734">
        <v>1.1103479999999999</v>
      </c>
      <c r="L5734">
        <v>88.423280000000005</v>
      </c>
      <c r="M5734">
        <v>-0.15007179999999901</v>
      </c>
      <c r="N5734">
        <v>0</v>
      </c>
      <c r="O5734">
        <v>-0.98859900000000001</v>
      </c>
      <c r="P5734">
        <v>-5.5466830000000002E-2</v>
      </c>
      <c r="Q5734">
        <v>2.8290389999999999E-2</v>
      </c>
      <c r="R5734">
        <v>-0.99805980000000005</v>
      </c>
      <c r="S5734">
        <v>-1.4648440000000001E-3</v>
      </c>
      <c r="T5734">
        <v>0.12191680000000001</v>
      </c>
      <c r="U5734">
        <v>-3.002777</v>
      </c>
      <c r="V5734">
        <v>-9.4966949999999994E-2</v>
      </c>
      <c r="W5734">
        <v>4.0457949999999999E-2</v>
      </c>
      <c r="X5734">
        <v>0.99465789999999998</v>
      </c>
      <c r="Y5734">
        <v>-0.1496005</v>
      </c>
      <c r="Z5734">
        <v>-3.9650610000000003E-2</v>
      </c>
      <c r="AA5734">
        <v>0.98795120000000003</v>
      </c>
      <c r="AB5734">
        <v>19</v>
      </c>
      <c r="AC5734">
        <v>-1.4099999999984901E-2</v>
      </c>
      <c r="AD5734">
        <v>3.5782639999999999</v>
      </c>
      <c r="AE5734">
        <v>-87.939103399999993</v>
      </c>
      <c r="AF5734">
        <v>-13.162439256147399</v>
      </c>
      <c r="AG5734">
        <v>3.5782639999999999</v>
      </c>
      <c r="AH5734">
        <v>86.801450507988505</v>
      </c>
      <c r="AI5734">
        <v>87.666052247585895</v>
      </c>
      <c r="AJ5734">
        <v>98.622555191569504</v>
      </c>
      <c r="AK5734">
        <v>87.866635253184995</v>
      </c>
      <c r="AL5734">
        <v>87.681297254089699</v>
      </c>
      <c r="AM5734">
        <v>95.453896786802801</v>
      </c>
      <c r="AN5734">
        <v>0.99999995267145603</v>
      </c>
    </row>
    <row r="5735" spans="1:40" x14ac:dyDescent="0.25">
      <c r="A5735" t="str">
        <f>"20190312160449037"</f>
        <v>20190312160449037</v>
      </c>
      <c r="B5735" t="str">
        <f>"1552377889030575"</f>
        <v>1552377889030575</v>
      </c>
      <c r="C5735" t="s">
        <v>40</v>
      </c>
      <c r="D5735">
        <v>5.9243940000000004</v>
      </c>
      <c r="E5735">
        <v>0.4778541</v>
      </c>
      <c r="F5735" t="s">
        <v>100</v>
      </c>
      <c r="G5735">
        <v>-418.9735</v>
      </c>
      <c r="H5735">
        <v>3.870638</v>
      </c>
      <c r="I5735">
        <v>1.7848660000000001</v>
      </c>
      <c r="J5735">
        <v>-419.34710000000001</v>
      </c>
      <c r="K5735">
        <v>1.110339</v>
      </c>
      <c r="L5735">
        <v>88.239440000000002</v>
      </c>
      <c r="M5735">
        <v>-0.14982799999999999</v>
      </c>
      <c r="N5735">
        <v>0</v>
      </c>
      <c r="O5735">
        <v>-0.98863749999999995</v>
      </c>
      <c r="P5735">
        <v>-5.3775509999999999E-2</v>
      </c>
      <c r="Q5735">
        <v>3.0633049999999998E-2</v>
      </c>
      <c r="R5735">
        <v>-0.99808319999999995</v>
      </c>
      <c r="S5735">
        <v>1.1993409999999999E-2</v>
      </c>
      <c r="T5735">
        <v>9.5699309999999996E-2</v>
      </c>
      <c r="U5735">
        <v>-3.003784</v>
      </c>
      <c r="V5735">
        <v>-9.6397300000000005E-2</v>
      </c>
      <c r="W5735">
        <v>4.2702860000000002E-2</v>
      </c>
      <c r="X5735">
        <v>0.99442649999999999</v>
      </c>
      <c r="Y5735">
        <v>-0.15378320000000001</v>
      </c>
      <c r="Z5735">
        <v>-3.111469E-2</v>
      </c>
      <c r="AA5735">
        <v>0.98761460000000001</v>
      </c>
      <c r="AB5735">
        <v>19</v>
      </c>
      <c r="AC5735">
        <v>0.37360000000000998</v>
      </c>
      <c r="AD5735">
        <v>2.7602989999999998</v>
      </c>
      <c r="AE5735">
        <v>-86.454573999999994</v>
      </c>
      <c r="AF5735">
        <v>-13.3100855113953</v>
      </c>
      <c r="AG5735">
        <v>2.7602989999999998</v>
      </c>
      <c r="AH5735">
        <v>85.335568983303403</v>
      </c>
      <c r="AI5735">
        <v>88.169450805705495</v>
      </c>
      <c r="AJ5735">
        <v>98.865192554937806</v>
      </c>
      <c r="AK5735">
        <v>86.411439986810805</v>
      </c>
      <c r="AL5735">
        <v>87.552562179099397</v>
      </c>
      <c r="AM5735">
        <v>95.536814593926294</v>
      </c>
      <c r="AN5735">
        <v>1.00000001880085</v>
      </c>
    </row>
    <row r="5736" spans="1:40" x14ac:dyDescent="0.25">
      <c r="A5736" t="str">
        <f>"20190312160449060"</f>
        <v>20190312160449060</v>
      </c>
      <c r="B5736" t="str">
        <f>"1552377889051071"</f>
        <v>1552377889051071</v>
      </c>
      <c r="C5736" t="s">
        <v>40</v>
      </c>
      <c r="D5736">
        <v>5.9059140000000001</v>
      </c>
      <c r="E5736">
        <v>0.47805360000000002</v>
      </c>
      <c r="F5736" t="s">
        <v>100</v>
      </c>
      <c r="G5736">
        <v>-418.91230000000002</v>
      </c>
      <c r="H5736">
        <v>3.5121470000000001</v>
      </c>
      <c r="I5736">
        <v>1.7854859999999999</v>
      </c>
      <c r="J5736">
        <v>-419.37580000000003</v>
      </c>
      <c r="K5736">
        <v>1.1103229999999999</v>
      </c>
      <c r="L5736">
        <v>88.047820000000002</v>
      </c>
      <c r="M5736">
        <v>-0.1495812</v>
      </c>
      <c r="N5736">
        <v>0</v>
      </c>
      <c r="O5736">
        <v>-0.988676</v>
      </c>
      <c r="P5736">
        <v>-5.0566930000000003E-2</v>
      </c>
      <c r="Q5736">
        <v>3.14872E-2</v>
      </c>
      <c r="R5736">
        <v>-0.99822429999999995</v>
      </c>
      <c r="S5736">
        <v>1.51062E-2</v>
      </c>
      <c r="T5736">
        <v>8.3454249999999994E-2</v>
      </c>
      <c r="U5736">
        <v>-3.0039980000000002</v>
      </c>
      <c r="V5736">
        <v>-9.9342120000000006E-2</v>
      </c>
      <c r="W5736">
        <v>4.3449370000000001E-2</v>
      </c>
      <c r="X5736">
        <v>0.99410430000000005</v>
      </c>
      <c r="Y5736">
        <v>-0.15456</v>
      </c>
      <c r="Z5736">
        <v>-2.713461E-2</v>
      </c>
      <c r="AA5736">
        <v>0.98761069999999995</v>
      </c>
      <c r="AB5736">
        <v>19</v>
      </c>
      <c r="AC5736">
        <v>0.46350000000001002</v>
      </c>
      <c r="AD5736">
        <v>2.401824</v>
      </c>
      <c r="AE5736">
        <v>-86.262333999999996</v>
      </c>
      <c r="AF5736">
        <v>-13.3520942518411</v>
      </c>
      <c r="AG5736">
        <v>2.401824</v>
      </c>
      <c r="AH5736">
        <v>85.156341888352401</v>
      </c>
      <c r="AI5736">
        <v>88.403898438283704</v>
      </c>
      <c r="AJ5736">
        <v>98.9111423182772</v>
      </c>
      <c r="AK5736">
        <v>86.230213633290901</v>
      </c>
      <c r="AL5736">
        <v>87.5097506012076</v>
      </c>
      <c r="AM5736">
        <v>95.706695005460105</v>
      </c>
      <c r="AN5736">
        <v>1.0000000319189899</v>
      </c>
    </row>
    <row r="5737" spans="1:40" x14ac:dyDescent="0.25">
      <c r="A5737" t="str">
        <f>"20190312160449082"</f>
        <v>20190312160449082</v>
      </c>
      <c r="B5737" t="str">
        <f>"1552377889070591"</f>
        <v>1552377889070591</v>
      </c>
      <c r="C5737" t="s">
        <v>40</v>
      </c>
      <c r="D5737">
        <v>5.9069399999999996</v>
      </c>
      <c r="E5737">
        <v>0.47792410000000002</v>
      </c>
      <c r="F5737" t="s">
        <v>100</v>
      </c>
      <c r="G5737">
        <v>-418.72300000000001</v>
      </c>
      <c r="H5737">
        <v>3.139958</v>
      </c>
      <c r="I5737">
        <v>1.7874110000000001</v>
      </c>
      <c r="J5737">
        <v>-419.40339999999998</v>
      </c>
      <c r="K5737">
        <v>1.1102989999999999</v>
      </c>
      <c r="L5737">
        <v>87.863309999999998</v>
      </c>
      <c r="M5737">
        <v>-0.14934700000000001</v>
      </c>
      <c r="N5737">
        <v>0</v>
      </c>
      <c r="O5737">
        <v>-0.98871279999999995</v>
      </c>
      <c r="P5737">
        <v>-4.6773700000000001E-2</v>
      </c>
      <c r="Q5737">
        <v>3.067137E-2</v>
      </c>
      <c r="R5737">
        <v>-0.99843479999999996</v>
      </c>
      <c r="S5737">
        <v>2.2735600000000002E-2</v>
      </c>
      <c r="T5737">
        <v>7.0687059999999996E-2</v>
      </c>
      <c r="U5737">
        <v>-3.0042719999999998</v>
      </c>
      <c r="V5737">
        <v>-0.10288750000000001</v>
      </c>
      <c r="W5737">
        <v>4.2524689999999997E-2</v>
      </c>
      <c r="X5737">
        <v>0.99378359999999999</v>
      </c>
      <c r="Y5737">
        <v>-0.15683369999999999</v>
      </c>
      <c r="Z5737">
        <v>-2.2980649999999998E-2</v>
      </c>
      <c r="AA5737">
        <v>0.98735759999999995</v>
      </c>
      <c r="AB5737">
        <v>19</v>
      </c>
      <c r="AC5737">
        <v>0.68039999999996303</v>
      </c>
      <c r="AD5737">
        <v>2.0296590000000001</v>
      </c>
      <c r="AE5737">
        <v>-86.075898999999893</v>
      </c>
      <c r="AF5737">
        <v>-13.521343718267</v>
      </c>
      <c r="AG5737">
        <v>2.0296590000000001</v>
      </c>
      <c r="AH5737">
        <v>84.961546781595004</v>
      </c>
      <c r="AI5737">
        <v>88.648514437646099</v>
      </c>
      <c r="AJ5737">
        <v>99.042596453685206</v>
      </c>
      <c r="AK5737">
        <v>86.054695880730094</v>
      </c>
      <c r="AL5737">
        <v>87.562779840873901</v>
      </c>
      <c r="AM5737">
        <v>95.910835772528202</v>
      </c>
      <c r="AN5737">
        <v>1.0000000152724</v>
      </c>
    </row>
    <row r="5738" spans="1:40" x14ac:dyDescent="0.25">
      <c r="A5738" t="str">
        <f>"20190312160449105"</f>
        <v>20190312160449105</v>
      </c>
      <c r="B5738" t="str">
        <f>"1552377889100848"</f>
        <v>1552377889100848</v>
      </c>
      <c r="C5738" t="s">
        <v>40</v>
      </c>
      <c r="D5738">
        <v>5.9731860000000001</v>
      </c>
      <c r="E5738">
        <v>0.47767120000000002</v>
      </c>
      <c r="F5738" t="s">
        <v>100</v>
      </c>
      <c r="G5738">
        <v>-418.38389999999998</v>
      </c>
      <c r="H5738">
        <v>3.2417349999999998</v>
      </c>
      <c r="I5738">
        <v>1.790859</v>
      </c>
      <c r="J5738">
        <v>-419.43209999999999</v>
      </c>
      <c r="K5738">
        <v>1.110268</v>
      </c>
      <c r="L5738">
        <v>87.670900000000003</v>
      </c>
      <c r="M5738">
        <v>-0.1491026</v>
      </c>
      <c r="N5738">
        <v>0</v>
      </c>
      <c r="O5738">
        <v>-0.98875080000000004</v>
      </c>
      <c r="P5738">
        <v>-4.2966450000000003E-2</v>
      </c>
      <c r="Q5738">
        <v>2.9509509999999999E-2</v>
      </c>
      <c r="R5738">
        <v>-0.99864070000000005</v>
      </c>
      <c r="S5738">
        <v>3.5583499999999997E-2</v>
      </c>
      <c r="T5738">
        <v>7.4390170000000005E-2</v>
      </c>
      <c r="U5738">
        <v>-3.004089</v>
      </c>
      <c r="V5738">
        <v>-0.10643619999999999</v>
      </c>
      <c r="W5738">
        <v>4.1250269999999999E-2</v>
      </c>
      <c r="X5738">
        <v>0.99346350000000005</v>
      </c>
      <c r="Y5738">
        <v>-0.1608106</v>
      </c>
      <c r="Z5738">
        <v>-2.417822E-2</v>
      </c>
      <c r="AA5738">
        <v>0.98668909999999999</v>
      </c>
      <c r="AB5738">
        <v>19</v>
      </c>
      <c r="AC5738">
        <v>1.0482</v>
      </c>
      <c r="AD5738">
        <v>2.1314669999999998</v>
      </c>
      <c r="AE5738">
        <v>-85.880041000000006</v>
      </c>
      <c r="AF5738">
        <v>-13.833796662848499</v>
      </c>
      <c r="AG5738">
        <v>2.1314669999999998</v>
      </c>
      <c r="AH5738">
        <v>84.711441491689001</v>
      </c>
      <c r="AI5738">
        <v>88.577491703023199</v>
      </c>
      <c r="AJ5738">
        <v>99.274813521332007</v>
      </c>
      <c r="AK5738">
        <v>85.8600337833673</v>
      </c>
      <c r="AL5738">
        <v>87.635862809160898</v>
      </c>
      <c r="AM5738">
        <v>96.115143333126696</v>
      </c>
      <c r="AN5738">
        <v>0.99999998763888098</v>
      </c>
    </row>
    <row r="5739" spans="1:40" x14ac:dyDescent="0.25">
      <c r="A5739" t="str">
        <f>"20190312160449120"</f>
        <v>20190312160449120</v>
      </c>
      <c r="B5739" t="str">
        <f>"1552377889110607"</f>
        <v>1552377889110607</v>
      </c>
      <c r="C5739" t="s">
        <v>40</v>
      </c>
      <c r="D5739">
        <v>5.9332320000000003</v>
      </c>
      <c r="E5739">
        <v>0.4778965</v>
      </c>
      <c r="F5739" t="s">
        <v>100</v>
      </c>
      <c r="G5739">
        <v>-418.02370000000002</v>
      </c>
      <c r="H5739">
        <v>3.9446409999999998</v>
      </c>
      <c r="I5739">
        <v>1.794527</v>
      </c>
      <c r="J5739">
        <v>-419.4513</v>
      </c>
      <c r="K5739">
        <v>1.110255</v>
      </c>
      <c r="L5739">
        <v>87.542599999999993</v>
      </c>
      <c r="M5739">
        <v>-0.14893919999999999</v>
      </c>
      <c r="N5739">
        <v>0</v>
      </c>
      <c r="O5739">
        <v>-0.9887764</v>
      </c>
      <c r="P5739">
        <v>-4.0898730000000001E-2</v>
      </c>
      <c r="Q5739">
        <v>2.9342710000000001E-2</v>
      </c>
      <c r="R5739">
        <v>-0.99873250000000002</v>
      </c>
      <c r="S5739">
        <v>4.925537E-2</v>
      </c>
      <c r="T5739">
        <v>9.9122639999999998E-2</v>
      </c>
      <c r="U5739">
        <v>-3.0032649999999999</v>
      </c>
      <c r="V5739">
        <v>-0.10833</v>
      </c>
      <c r="W5739">
        <v>4.1009200000000003E-2</v>
      </c>
      <c r="X5739">
        <v>0.99326879999999995</v>
      </c>
      <c r="Y5739">
        <v>-0.1651359</v>
      </c>
      <c r="Z5739">
        <v>-3.22063E-2</v>
      </c>
      <c r="AA5739">
        <v>0.98574479999999998</v>
      </c>
      <c r="AB5739">
        <v>19</v>
      </c>
      <c r="AC5739">
        <v>1.42759999999998</v>
      </c>
      <c r="AD5739">
        <v>2.8343859999999999</v>
      </c>
      <c r="AE5739">
        <v>-85.748072999999906</v>
      </c>
      <c r="AF5739">
        <v>-14.168331433503001</v>
      </c>
      <c r="AG5739">
        <v>2.8343859999999999</v>
      </c>
      <c r="AH5739">
        <v>84.486609881550095</v>
      </c>
      <c r="AI5739">
        <v>88.104984329601095</v>
      </c>
      <c r="AJ5739">
        <v>99.519869843285804</v>
      </c>
      <c r="AK5739">
        <v>85.713258069471493</v>
      </c>
      <c r="AL5739">
        <v>87.649686891321196</v>
      </c>
      <c r="AM5739">
        <v>96.224312917101898</v>
      </c>
      <c r="AN5739">
        <v>1.0000000262190301</v>
      </c>
    </row>
    <row r="5740" spans="1:40" x14ac:dyDescent="0.25">
      <c r="A5740" t="str">
        <f>"20190312160449137"</f>
        <v>20190312160449137</v>
      </c>
      <c r="B5740" t="str">
        <f>"1552377889131103"</f>
        <v>1552377889131103</v>
      </c>
      <c r="C5740" t="s">
        <v>40</v>
      </c>
      <c r="D5740">
        <v>6.0208170000000001</v>
      </c>
      <c r="E5740">
        <v>0.47775109999999898</v>
      </c>
      <c r="F5740" t="s">
        <v>100</v>
      </c>
      <c r="G5740">
        <v>-417.93259999999998</v>
      </c>
      <c r="H5740">
        <v>3.8037429999999999</v>
      </c>
      <c r="I5740">
        <v>1.795452</v>
      </c>
      <c r="J5740">
        <v>-419.4742</v>
      </c>
      <c r="K5740">
        <v>1.1102449999999999</v>
      </c>
      <c r="L5740">
        <v>87.388949999999994</v>
      </c>
      <c r="M5740">
        <v>-0.14874309999999999</v>
      </c>
      <c r="N5740">
        <v>0</v>
      </c>
      <c r="O5740">
        <v>-0.98880690000000004</v>
      </c>
      <c r="P5740">
        <v>-3.7290150000000001E-2</v>
      </c>
      <c r="Q5740">
        <v>3.0809940000000001E-2</v>
      </c>
      <c r="R5740">
        <v>-0.99882959999999998</v>
      </c>
      <c r="S5740">
        <v>5.3192139999999999E-2</v>
      </c>
      <c r="T5740">
        <v>9.4335680000000005E-2</v>
      </c>
      <c r="U5740">
        <v>-3.0032040000000002</v>
      </c>
      <c r="V5740">
        <v>-0.1117155</v>
      </c>
      <c r="W5740">
        <v>4.2384150000000002E-2</v>
      </c>
      <c r="X5740">
        <v>0.99283589999999999</v>
      </c>
      <c r="Y5740">
        <v>-0.16623299999999999</v>
      </c>
      <c r="Z5740">
        <v>-3.065126E-2</v>
      </c>
      <c r="AA5740">
        <v>0.98560999999999999</v>
      </c>
      <c r="AB5740">
        <v>19</v>
      </c>
      <c r="AC5740">
        <v>1.5416000000000101</v>
      </c>
      <c r="AD5740">
        <v>2.6934979999999999</v>
      </c>
      <c r="AE5740">
        <v>-85.593497999999997</v>
      </c>
      <c r="AF5740">
        <v>-14.2426598823637</v>
      </c>
      <c r="AG5740">
        <v>2.6934979999999999</v>
      </c>
      <c r="AH5740">
        <v>84.328415878023904</v>
      </c>
      <c r="AI5740">
        <v>88.196092476288996</v>
      </c>
      <c r="AJ5740">
        <v>99.586508567323506</v>
      </c>
      <c r="AK5740">
        <v>85.565121495254402</v>
      </c>
      <c r="AL5740">
        <v>87.5708392894973</v>
      </c>
      <c r="AM5740">
        <v>96.420009760162898</v>
      </c>
      <c r="AN5740">
        <v>0.99999994672013903</v>
      </c>
    </row>
    <row r="5741" spans="1:40" x14ac:dyDescent="0.25">
      <c r="A5741" t="str">
        <f>"20190312160449152"</f>
        <v>20190312160449152</v>
      </c>
      <c r="B5741" t="str">
        <f>"1552377889140862"</f>
        <v>1552377889140862</v>
      </c>
      <c r="C5741" t="s">
        <v>40</v>
      </c>
      <c r="D5741">
        <v>5.9705620000000001</v>
      </c>
      <c r="E5741">
        <v>0.47805789999999998</v>
      </c>
      <c r="F5741" t="s">
        <v>100</v>
      </c>
      <c r="G5741">
        <v>-417.56569999999999</v>
      </c>
      <c r="H5741">
        <v>4.4483389999999998</v>
      </c>
      <c r="I5741">
        <v>0.50215909999999997</v>
      </c>
      <c r="J5741">
        <v>-419.49239999999998</v>
      </c>
      <c r="K5741">
        <v>1.1102369999999999</v>
      </c>
      <c r="L5741">
        <v>87.266719999999907</v>
      </c>
      <c r="M5741">
        <v>-0.14858669999999999</v>
      </c>
      <c r="N5741">
        <v>0</v>
      </c>
      <c r="O5741">
        <v>-0.98883109999999996</v>
      </c>
      <c r="P5741">
        <v>-3.5326969999999999E-2</v>
      </c>
      <c r="Q5741">
        <v>3.1626799999999997E-2</v>
      </c>
      <c r="R5741">
        <v>-0.99887499999999996</v>
      </c>
      <c r="S5741">
        <v>6.5948489999999999E-2</v>
      </c>
      <c r="T5741">
        <v>0.1153494</v>
      </c>
      <c r="U5741">
        <v>-3.0024410000000001</v>
      </c>
      <c r="V5741">
        <v>-0.1135065</v>
      </c>
      <c r="W5741">
        <v>4.312829E-2</v>
      </c>
      <c r="X5741">
        <v>0.9926007</v>
      </c>
      <c r="Y5741">
        <v>-0.17026040000000001</v>
      </c>
      <c r="Z5741">
        <v>-3.746592E-2</v>
      </c>
      <c r="AA5741">
        <v>0.98468659999999997</v>
      </c>
      <c r="AB5741">
        <v>19</v>
      </c>
      <c r="AC5741">
        <v>1.9266999999999801</v>
      </c>
      <c r="AD5741">
        <v>3.3381020000000001</v>
      </c>
      <c r="AE5741">
        <v>-86.764560899999907</v>
      </c>
      <c r="AF5741">
        <v>-14.776379016212699</v>
      </c>
      <c r="AG5741">
        <v>3.3381020000000001</v>
      </c>
      <c r="AH5741">
        <v>85.388660448184893</v>
      </c>
      <c r="AI5741">
        <v>87.794027039295997</v>
      </c>
      <c r="AJ5741">
        <v>99.817719088159294</v>
      </c>
      <c r="AK5741">
        <v>86.722013554394593</v>
      </c>
      <c r="AL5741">
        <v>87.528164218468305</v>
      </c>
      <c r="AM5741">
        <v>96.523586246821694</v>
      </c>
      <c r="AN5741">
        <v>0.99999996229053101</v>
      </c>
    </row>
    <row r="5742" spans="1:40" x14ac:dyDescent="0.25">
      <c r="A5742" t="str">
        <f>"20190312160449166"</f>
        <v>20190312160449166</v>
      </c>
      <c r="B5742" t="str">
        <f>"1552377889161359"</f>
        <v>1552377889161359</v>
      </c>
      <c r="C5742" t="s">
        <v>40</v>
      </c>
      <c r="D5742">
        <v>6.1720660000000001</v>
      </c>
      <c r="E5742">
        <v>0.47848249999999998</v>
      </c>
      <c r="F5742" t="s">
        <v>100</v>
      </c>
      <c r="G5742">
        <v>-417.49299999999999</v>
      </c>
      <c r="H5742">
        <v>4.3811629999999999</v>
      </c>
      <c r="I5742">
        <v>0.50289340000000005</v>
      </c>
      <c r="J5742">
        <v>-419.50959999999998</v>
      </c>
      <c r="K5742">
        <v>1.110228</v>
      </c>
      <c r="L5742">
        <v>87.150850000000005</v>
      </c>
      <c r="M5742">
        <v>-0.1484384</v>
      </c>
      <c r="N5742">
        <v>0</v>
      </c>
      <c r="O5742">
        <v>-0.98885449999999997</v>
      </c>
      <c r="P5742">
        <v>-3.3264889999999998E-2</v>
      </c>
      <c r="Q5742">
        <v>3.234219E-2</v>
      </c>
      <c r="R5742">
        <v>-0.99892320000000001</v>
      </c>
      <c r="S5742">
        <v>6.9183350000000005E-2</v>
      </c>
      <c r="T5742">
        <v>0.11318060000000001</v>
      </c>
      <c r="U5742">
        <v>-3.0022280000000001</v>
      </c>
      <c r="V5742">
        <v>-0.1154043</v>
      </c>
      <c r="W5742">
        <v>4.377379E-2</v>
      </c>
      <c r="X5742">
        <v>0.99235359999999995</v>
      </c>
      <c r="Y5742">
        <v>-0.17117499999999999</v>
      </c>
      <c r="Z5742">
        <v>-3.6762919999999998E-2</v>
      </c>
      <c r="AA5742">
        <v>0.9845545</v>
      </c>
      <c r="AB5742">
        <v>19</v>
      </c>
      <c r="AC5742">
        <v>2.01659999999992</v>
      </c>
      <c r="AD5742">
        <v>3.2709350000000001</v>
      </c>
      <c r="AE5742">
        <v>-86.647956600000001</v>
      </c>
      <c r="AF5742">
        <v>-14.835864444864701</v>
      </c>
      <c r="AG5742">
        <v>3.2709350000000001</v>
      </c>
      <c r="AH5742">
        <v>85.267108437596406</v>
      </c>
      <c r="AI5742">
        <v>87.835636994637895</v>
      </c>
      <c r="AJ5742">
        <v>99.870243417012205</v>
      </c>
      <c r="AK5742">
        <v>86.609939792782797</v>
      </c>
      <c r="AL5742">
        <v>87.491144878276401</v>
      </c>
      <c r="AM5742">
        <v>96.633331891808595</v>
      </c>
      <c r="AN5742">
        <v>0.99999998229120601</v>
      </c>
    </row>
    <row r="5743" spans="1:40" x14ac:dyDescent="0.25">
      <c r="A5743" t="str">
        <f>"20190312160449178"</f>
        <v>20190312160449178</v>
      </c>
      <c r="B5743" t="str">
        <f>"1552377889171120"</f>
        <v>1552377889171120</v>
      </c>
      <c r="C5743" t="s">
        <v>40</v>
      </c>
      <c r="D5743">
        <v>6.0402009999999997</v>
      </c>
      <c r="E5743">
        <v>0.47873320000000003</v>
      </c>
      <c r="F5743" t="s">
        <v>100</v>
      </c>
      <c r="G5743">
        <v>-417.4255</v>
      </c>
      <c r="H5743">
        <v>4.4313849999999997</v>
      </c>
      <c r="I5743">
        <v>0.50358579999999997</v>
      </c>
      <c r="J5743">
        <v>-419.52550000000002</v>
      </c>
      <c r="K5743">
        <v>1.1102190000000001</v>
      </c>
      <c r="L5743">
        <v>87.043909999999997</v>
      </c>
      <c r="M5743">
        <v>-0.14830109999999999</v>
      </c>
      <c r="N5743">
        <v>0</v>
      </c>
      <c r="O5743">
        <v>-0.98887559999999997</v>
      </c>
      <c r="P5743">
        <v>-3.1614900000000001E-2</v>
      </c>
      <c r="Q5743">
        <v>3.2852630000000001E-2</v>
      </c>
      <c r="R5743">
        <v>-0.99895990000000001</v>
      </c>
      <c r="S5743">
        <v>7.2204589999999999E-2</v>
      </c>
      <c r="T5743">
        <v>0.11506180000000001</v>
      </c>
      <c r="U5743">
        <v>-3.0019230000000001</v>
      </c>
      <c r="V5743">
        <v>-0.1169033</v>
      </c>
      <c r="W5743">
        <v>4.4218729999999998E-2</v>
      </c>
      <c r="X5743">
        <v>0.9921584</v>
      </c>
      <c r="Y5743">
        <v>-0.17203009999999999</v>
      </c>
      <c r="Z5743">
        <v>-3.7374709999999998E-2</v>
      </c>
      <c r="AA5743">
        <v>0.98438250000000005</v>
      </c>
      <c r="AB5743">
        <v>19</v>
      </c>
      <c r="AC5743">
        <v>2.1000000000000201</v>
      </c>
      <c r="AD5743">
        <v>3.3211659999999998</v>
      </c>
      <c r="AE5743">
        <v>-86.540324200000001</v>
      </c>
      <c r="AF5743">
        <v>-14.8897302706107</v>
      </c>
      <c r="AG5743">
        <v>3.3211659999999998</v>
      </c>
      <c r="AH5743">
        <v>85.146473617174806</v>
      </c>
      <c r="AI5743">
        <v>87.799648433985197</v>
      </c>
      <c r="AJ5743">
        <v>99.919126894917994</v>
      </c>
      <c r="AK5743">
        <v>86.502347832711095</v>
      </c>
      <c r="AL5743">
        <v>87.465626989135103</v>
      </c>
      <c r="AM5743">
        <v>96.720020081167107</v>
      </c>
      <c r="AN5743">
        <v>0.99999998416213098</v>
      </c>
    </row>
    <row r="5744" spans="1:40" x14ac:dyDescent="0.25">
      <c r="A5744" t="str">
        <f>"20190312160449194"</f>
        <v>20190312160449194</v>
      </c>
      <c r="B5744" t="str">
        <f>"1552377889190639"</f>
        <v>1552377889190639</v>
      </c>
      <c r="C5744" t="s">
        <v>40</v>
      </c>
      <c r="D5744">
        <v>6.1685179999999997</v>
      </c>
      <c r="E5744">
        <v>0.47907929999999999</v>
      </c>
      <c r="F5744" t="s">
        <v>100</v>
      </c>
      <c r="G5744">
        <v>-417.3691</v>
      </c>
      <c r="H5744">
        <v>4.3908199999999997</v>
      </c>
      <c r="I5744">
        <v>0.5041561</v>
      </c>
      <c r="J5744">
        <v>-419.54419999999999</v>
      </c>
      <c r="K5744">
        <v>1.1102000000000001</v>
      </c>
      <c r="L5744">
        <v>86.917419999999893</v>
      </c>
      <c r="M5744">
        <v>-0.1481384</v>
      </c>
      <c r="N5744">
        <v>0</v>
      </c>
      <c r="O5744">
        <v>-0.98890109999999998</v>
      </c>
      <c r="P5744">
        <v>-2.9010959999999999E-2</v>
      </c>
      <c r="Q5744">
        <v>3.098797E-2</v>
      </c>
      <c r="R5744">
        <v>-0.99909899999999996</v>
      </c>
      <c r="S5744">
        <v>7.4798580000000003E-2</v>
      </c>
      <c r="T5744">
        <v>0.1137908</v>
      </c>
      <c r="U5744">
        <v>-3.0017399999999999</v>
      </c>
      <c r="V5744">
        <v>-0.11933530000000001</v>
      </c>
      <c r="W5744">
        <v>4.2277910000000002E-2</v>
      </c>
      <c r="X5744">
        <v>0.99195350000000004</v>
      </c>
      <c r="Y5744">
        <v>-0.17271979999999901</v>
      </c>
      <c r="Z5744">
        <v>-3.69634E-2</v>
      </c>
      <c r="AA5744">
        <v>0.98427719999999996</v>
      </c>
      <c r="AB5744">
        <v>19</v>
      </c>
      <c r="AC5744">
        <v>2.17509999999998</v>
      </c>
      <c r="AD5744">
        <v>3.2806199999999999</v>
      </c>
      <c r="AE5744">
        <v>-86.413263899999905</v>
      </c>
      <c r="AF5744">
        <v>-14.9315435988782</v>
      </c>
      <c r="AG5744">
        <v>3.2806199999999999</v>
      </c>
      <c r="AH5744">
        <v>85.015020586379094</v>
      </c>
      <c r="AI5744">
        <v>87.823409509680701</v>
      </c>
      <c r="AJ5744">
        <v>99.961497936390202</v>
      </c>
      <c r="AK5744">
        <v>86.378626911592406</v>
      </c>
      <c r="AL5744">
        <v>87.576932082744307</v>
      </c>
      <c r="AM5744">
        <v>96.859905086656994</v>
      </c>
      <c r="AN5744">
        <v>1.00000004083115</v>
      </c>
    </row>
    <row r="5745" spans="1:40" x14ac:dyDescent="0.25">
      <c r="A5745" t="str">
        <f>"20190312160449216"</f>
        <v>20190312160449216</v>
      </c>
      <c r="B5745" t="str">
        <f>"1552377889211135"</f>
        <v>1552377889211135</v>
      </c>
      <c r="C5745" t="s">
        <v>40</v>
      </c>
      <c r="D5745">
        <v>6.039587</v>
      </c>
      <c r="E5745">
        <v>0.47948619999999997</v>
      </c>
      <c r="F5745" t="s">
        <v>100</v>
      </c>
      <c r="G5745">
        <v>-417.2441</v>
      </c>
      <c r="H5745">
        <v>4.2435409999999996</v>
      </c>
      <c r="I5745">
        <v>0.50542829999999905</v>
      </c>
      <c r="J5745">
        <v>-419.57310000000001</v>
      </c>
      <c r="K5745">
        <v>1.1101859999999999</v>
      </c>
      <c r="L5745">
        <v>86.722229999999996</v>
      </c>
      <c r="M5745">
        <v>-0.147886299999999</v>
      </c>
      <c r="N5745">
        <v>0</v>
      </c>
      <c r="O5745">
        <v>-0.98893980000000004</v>
      </c>
      <c r="P5745">
        <v>-2.7110059999999998E-2</v>
      </c>
      <c r="Q5745">
        <v>2.828168E-2</v>
      </c>
      <c r="R5745">
        <v>-0.99923229999999996</v>
      </c>
      <c r="S5745">
        <v>7.9895019999999997E-2</v>
      </c>
      <c r="T5745">
        <v>0.1088403</v>
      </c>
      <c r="U5745">
        <v>-3.0016479999999999</v>
      </c>
      <c r="V5745">
        <v>-0.1209809</v>
      </c>
      <c r="W5745">
        <v>3.9462160000000003E-2</v>
      </c>
      <c r="X5745">
        <v>0.99187009999999998</v>
      </c>
      <c r="Y5745">
        <v>-0.17414089999999999</v>
      </c>
      <c r="Z5745">
        <v>-3.5355280000000003E-2</v>
      </c>
      <c r="AA5745">
        <v>0.98408589999999996</v>
      </c>
      <c r="AB5745">
        <v>19</v>
      </c>
      <c r="AC5745">
        <v>2.3290000000000002</v>
      </c>
      <c r="AD5745">
        <v>3.1333549999999999</v>
      </c>
      <c r="AE5745">
        <v>-86.216801700000005</v>
      </c>
      <c r="AF5745">
        <v>-15.034642762589501</v>
      </c>
      <c r="AG5745">
        <v>3.1333549999999999</v>
      </c>
      <c r="AH5745">
        <v>84.8122846759439</v>
      </c>
      <c r="AI5745">
        <v>87.916644971237503</v>
      </c>
      <c r="AJ5745">
        <v>100.052373060519</v>
      </c>
      <c r="AK5745">
        <v>86.191542673907804</v>
      </c>
      <c r="AL5745">
        <v>87.738397464745404</v>
      </c>
      <c r="AM5745">
        <v>96.954160258690905</v>
      </c>
      <c r="AN5745">
        <v>0.99999996775534195</v>
      </c>
    </row>
    <row r="5746" spans="1:40" x14ac:dyDescent="0.25">
      <c r="A5746" t="str">
        <f>"20190312160449232"</f>
        <v>20190312160449232</v>
      </c>
      <c r="B5746" t="str">
        <f>"1552377889220895"</f>
        <v>1552377889220895</v>
      </c>
      <c r="C5746" t="s">
        <v>40</v>
      </c>
      <c r="D5746">
        <v>6.0802909999999999</v>
      </c>
      <c r="E5746">
        <v>0.47966969999999998</v>
      </c>
      <c r="F5746" t="s">
        <v>100</v>
      </c>
      <c r="G5746">
        <v>-417.23340000000002</v>
      </c>
      <c r="H5746">
        <v>3.9320360000000001</v>
      </c>
      <c r="I5746">
        <v>1.802565</v>
      </c>
      <c r="J5746">
        <v>-419.59210000000002</v>
      </c>
      <c r="K5746">
        <v>1.110182</v>
      </c>
      <c r="L5746">
        <v>86.59393</v>
      </c>
      <c r="M5746">
        <v>-0.14771999999999999</v>
      </c>
      <c r="N5746">
        <v>0</v>
      </c>
      <c r="O5746">
        <v>-0.98896539999999999</v>
      </c>
      <c r="P5746">
        <v>-2.6124350000000001E-2</v>
      </c>
      <c r="Q5746">
        <v>2.915013E-2</v>
      </c>
      <c r="R5746">
        <v>-0.9992335</v>
      </c>
      <c r="S5746">
        <v>8.2702639999999994E-2</v>
      </c>
      <c r="T5746">
        <v>9.9744799999999995E-2</v>
      </c>
      <c r="U5746">
        <v>-3.001709</v>
      </c>
      <c r="V5746">
        <v>-0.12178949999999999</v>
      </c>
      <c r="W5746">
        <v>4.0260230000000001E-2</v>
      </c>
      <c r="X5746">
        <v>0.99173909999999998</v>
      </c>
      <c r="Y5746">
        <v>-0.17489730000000001</v>
      </c>
      <c r="Z5746">
        <v>-3.2402029999999998E-2</v>
      </c>
      <c r="AA5746">
        <v>0.98405339999999997</v>
      </c>
      <c r="AB5746">
        <v>19</v>
      </c>
      <c r="AC5746">
        <v>2.35869999999999</v>
      </c>
      <c r="AD5746">
        <v>2.8218540000000001</v>
      </c>
      <c r="AE5746">
        <v>-84.791364999999999</v>
      </c>
      <c r="AF5746">
        <v>-14.8425647843173</v>
      </c>
      <c r="AG5746">
        <v>2.8218540000000001</v>
      </c>
      <c r="AH5746">
        <v>83.420249300843395</v>
      </c>
      <c r="AI5746">
        <v>88.092531143313806</v>
      </c>
      <c r="AJ5746">
        <v>100.08878583480799</v>
      </c>
      <c r="AK5746">
        <v>84.7773706999034</v>
      </c>
      <c r="AL5746">
        <v>87.6926351355674</v>
      </c>
      <c r="AM5746">
        <v>97.001095615204704</v>
      </c>
      <c r="AN5746">
        <v>1.0000000054493501</v>
      </c>
    </row>
    <row r="5747" spans="1:40" x14ac:dyDescent="0.25">
      <c r="A5747" t="str">
        <f>"20190312160449251"</f>
        <v>20190312160449251</v>
      </c>
      <c r="B5747" t="str">
        <f>"1552377889241391"</f>
        <v>1552377889241391</v>
      </c>
      <c r="C5747" t="s">
        <v>40</v>
      </c>
      <c r="D5747">
        <v>6.0622939999999996</v>
      </c>
      <c r="E5747">
        <v>0.48004980000000003</v>
      </c>
      <c r="F5747" t="s">
        <v>100</v>
      </c>
      <c r="G5747">
        <v>-417.21100000000001</v>
      </c>
      <c r="H5747">
        <v>3.9244629999999998</v>
      </c>
      <c r="I5747">
        <v>1.802792</v>
      </c>
      <c r="J5747">
        <v>-419.6157</v>
      </c>
      <c r="K5747">
        <v>1.110187</v>
      </c>
      <c r="L5747">
        <v>86.434299999999993</v>
      </c>
      <c r="M5747">
        <v>-0.14751259999999999</v>
      </c>
      <c r="N5747">
        <v>0</v>
      </c>
      <c r="O5747">
        <v>-0.98899720000000002</v>
      </c>
      <c r="P5747">
        <v>-2.4729040000000001E-2</v>
      </c>
      <c r="Q5747">
        <v>3.2479189999999998E-2</v>
      </c>
      <c r="R5747">
        <v>-0.99916629999999995</v>
      </c>
      <c r="S5747">
        <v>8.4289550000000005E-2</v>
      </c>
      <c r="T5747">
        <v>9.9623920000000005E-2</v>
      </c>
      <c r="U5747">
        <v>-3.0015869999999998</v>
      </c>
      <c r="V5747">
        <v>-0.12295209999999999</v>
      </c>
      <c r="W5747">
        <v>4.3504639999999997E-2</v>
      </c>
      <c r="X5747">
        <v>0.99145859999999997</v>
      </c>
      <c r="Y5747">
        <v>-0.1752116</v>
      </c>
      <c r="Z5747">
        <v>-3.2364499999999997E-2</v>
      </c>
      <c r="AA5747">
        <v>0.9839987</v>
      </c>
      <c r="AB5747">
        <v>19</v>
      </c>
      <c r="AC5747">
        <v>2.4046999999999898</v>
      </c>
      <c r="AD5747">
        <v>2.814276</v>
      </c>
      <c r="AE5747">
        <v>-84.631507999999997</v>
      </c>
      <c r="AF5747">
        <v>-14.846976892960299</v>
      </c>
      <c r="AG5747">
        <v>2.814276</v>
      </c>
      <c r="AH5747">
        <v>83.258800861030707</v>
      </c>
      <c r="AI5747">
        <v>88.094094535679304</v>
      </c>
      <c r="AJ5747">
        <v>100.11088885165201</v>
      </c>
      <c r="AK5747">
        <v>84.619033279050399</v>
      </c>
      <c r="AL5747">
        <v>87.506580821791502</v>
      </c>
      <c r="AM5747">
        <v>97.069234468238903</v>
      </c>
      <c r="AN5747">
        <v>1.0000000140549401</v>
      </c>
    </row>
    <row r="5748" spans="1:40" x14ac:dyDescent="0.25">
      <c r="A5748" t="str">
        <f>"20190312160449272"</f>
        <v>20190312160449272</v>
      </c>
      <c r="B5748" t="str">
        <f>"1552377889260911"</f>
        <v>1552377889260911</v>
      </c>
      <c r="C5748" t="s">
        <v>40</v>
      </c>
      <c r="D5748">
        <v>6.0565619999999996</v>
      </c>
      <c r="E5748">
        <v>0.48045850000000001</v>
      </c>
      <c r="F5748" t="s">
        <v>100</v>
      </c>
      <c r="G5748">
        <v>-417.20049999999998</v>
      </c>
      <c r="H5748">
        <v>4.2539829999999998</v>
      </c>
      <c r="I5748">
        <v>0.50587079999999995</v>
      </c>
      <c r="J5748">
        <v>-419.64350000000002</v>
      </c>
      <c r="K5748">
        <v>1.1101760000000001</v>
      </c>
      <c r="L5748">
        <v>86.245999999999995</v>
      </c>
      <c r="M5748">
        <v>-0.14726829999999999</v>
      </c>
      <c r="N5748">
        <v>0</v>
      </c>
      <c r="O5748">
        <v>-0.989035</v>
      </c>
      <c r="P5748">
        <v>-2.3284550000000001E-2</v>
      </c>
      <c r="Q5748">
        <v>3.2110159999999999E-2</v>
      </c>
      <c r="R5748">
        <v>-0.99921360000000004</v>
      </c>
      <c r="S5748">
        <v>8.4350590000000003E-2</v>
      </c>
      <c r="T5748">
        <v>0.1097945</v>
      </c>
      <c r="U5748">
        <v>-3.001007</v>
      </c>
      <c r="V5748">
        <v>-0.12414310000000001</v>
      </c>
      <c r="W5748">
        <v>4.3038729999999997E-2</v>
      </c>
      <c r="X5748">
        <v>0.9913305</v>
      </c>
      <c r="Y5748">
        <v>-0.17499020000000001</v>
      </c>
      <c r="Z5748">
        <v>-3.5673969999999999E-2</v>
      </c>
      <c r="AA5748">
        <v>0.98392369999999996</v>
      </c>
      <c r="AB5748">
        <v>19</v>
      </c>
      <c r="AC5748">
        <v>2.44300000000004</v>
      </c>
      <c r="AD5748">
        <v>3.1438069999999998</v>
      </c>
      <c r="AE5748">
        <v>-85.740129199999998</v>
      </c>
      <c r="AF5748">
        <v>-15.023749661433</v>
      </c>
      <c r="AG5748">
        <v>3.1438069999999998</v>
      </c>
      <c r="AH5748">
        <v>84.332067835869594</v>
      </c>
      <c r="AI5748">
        <v>87.898127851424903</v>
      </c>
      <c r="AJ5748">
        <v>100.101264626801</v>
      </c>
      <c r="AK5748">
        <v>85.717525873162998</v>
      </c>
      <c r="AL5748">
        <v>87.533300493032399</v>
      </c>
      <c r="AM5748">
        <v>97.137921932838594</v>
      </c>
      <c r="AN5748">
        <v>1.00000000089393</v>
      </c>
    </row>
    <row r="5749" spans="1:40" x14ac:dyDescent="0.25">
      <c r="A5749" t="str">
        <f>"20190312160449295"</f>
        <v>20190312160449295</v>
      </c>
      <c r="B5749" t="str">
        <f>"1552377889291166"</f>
        <v>1552377889291166</v>
      </c>
      <c r="C5749" t="s">
        <v>40</v>
      </c>
      <c r="D5749">
        <v>6.0763540000000003</v>
      </c>
      <c r="E5749">
        <v>0.4810198</v>
      </c>
      <c r="F5749" t="s">
        <v>100</v>
      </c>
      <c r="G5749">
        <v>-417.22280000000001</v>
      </c>
      <c r="H5749">
        <v>3.9880399999999998</v>
      </c>
      <c r="I5749">
        <v>1.8026709999999999</v>
      </c>
      <c r="J5749">
        <v>-419.67140000000001</v>
      </c>
      <c r="K5749">
        <v>1.1101540000000001</v>
      </c>
      <c r="L5749">
        <v>86.055970000000002</v>
      </c>
      <c r="M5749">
        <v>-0.14702100000000001</v>
      </c>
      <c r="N5749">
        <v>0</v>
      </c>
      <c r="O5749">
        <v>-0.98907270000000003</v>
      </c>
      <c r="P5749">
        <v>-2.2204310000000001E-2</v>
      </c>
      <c r="Q5749">
        <v>2.9867999999999999E-2</v>
      </c>
      <c r="R5749">
        <v>-0.99930730000000001</v>
      </c>
      <c r="S5749">
        <v>8.6029049999999996E-2</v>
      </c>
      <c r="T5749">
        <v>0.1022767</v>
      </c>
      <c r="U5749">
        <v>-3.0010680000000001</v>
      </c>
      <c r="V5749">
        <v>-0.1249768</v>
      </c>
      <c r="W5749">
        <v>4.0700460000000001E-2</v>
      </c>
      <c r="X5749">
        <v>0.99132450000000005</v>
      </c>
      <c r="Y5749">
        <v>-0.1752957</v>
      </c>
      <c r="Z5749">
        <v>-3.3234260000000002E-2</v>
      </c>
      <c r="AA5749">
        <v>0.98395469999999896</v>
      </c>
      <c r="AB5749">
        <v>19</v>
      </c>
      <c r="AC5749">
        <v>2.4485999999999901</v>
      </c>
      <c r="AD5749">
        <v>2.8778860000000002</v>
      </c>
      <c r="AE5749">
        <v>-84.253298999999998</v>
      </c>
      <c r="AF5749">
        <v>-14.792492044425</v>
      </c>
      <c r="AG5749">
        <v>2.8778860000000002</v>
      </c>
      <c r="AH5749">
        <v>82.881003118629394</v>
      </c>
      <c r="AI5749">
        <v>88.042224490798901</v>
      </c>
      <c r="AJ5749">
        <v>100.11952169646899</v>
      </c>
      <c r="AK5749">
        <v>84.239899849558398</v>
      </c>
      <c r="AL5749">
        <v>87.667391101125105</v>
      </c>
      <c r="AM5749">
        <v>97.185401286194804</v>
      </c>
      <c r="AN5749">
        <v>0.99999999614135004</v>
      </c>
    </row>
    <row r="5750" spans="1:40" x14ac:dyDescent="0.25">
      <c r="A5750" t="str">
        <f>"20190312160449313"</f>
        <v>20190312160449313</v>
      </c>
      <c r="B5750" t="str">
        <f>"1552377889310686"</f>
        <v>1552377889310686</v>
      </c>
      <c r="C5750" t="s">
        <v>40</v>
      </c>
      <c r="D5750">
        <v>6.053801</v>
      </c>
      <c r="E5750">
        <v>0.4812978</v>
      </c>
      <c r="F5750" t="s">
        <v>100</v>
      </c>
      <c r="G5750">
        <v>-417.29149999999998</v>
      </c>
      <c r="H5750">
        <v>3.5351940000000002</v>
      </c>
      <c r="I5750">
        <v>1.801966</v>
      </c>
      <c r="J5750">
        <v>-419.69459999999998</v>
      </c>
      <c r="K5750">
        <v>1.1101369999999999</v>
      </c>
      <c r="L5750">
        <v>85.898380000000003</v>
      </c>
      <c r="M5750">
        <v>-0.1468158</v>
      </c>
      <c r="N5750">
        <v>0</v>
      </c>
      <c r="O5750">
        <v>-0.98910399999999998</v>
      </c>
      <c r="P5750">
        <v>-2.1179489999999999E-2</v>
      </c>
      <c r="Q5750">
        <v>2.840523E-2</v>
      </c>
      <c r="R5750">
        <v>-0.99937240000000005</v>
      </c>
      <c r="S5750">
        <v>8.4777829999999998E-2</v>
      </c>
      <c r="T5750">
        <v>8.6386080000000004E-2</v>
      </c>
      <c r="U5750">
        <v>-3.0013730000000001</v>
      </c>
      <c r="V5750">
        <v>-0.1257934</v>
      </c>
      <c r="W5750">
        <v>3.9158650000000003E-2</v>
      </c>
      <c r="X5750">
        <v>0.99128329999999998</v>
      </c>
      <c r="Y5750">
        <v>-0.17468339999999999</v>
      </c>
      <c r="Z5750">
        <v>-2.807554E-2</v>
      </c>
      <c r="AA5750">
        <v>0.98422430000000005</v>
      </c>
      <c r="AB5750">
        <v>19</v>
      </c>
      <c r="AC5750">
        <v>2.40309999999999</v>
      </c>
      <c r="AD5750">
        <v>2.4250569999999998</v>
      </c>
      <c r="AE5750">
        <v>-84.096413999999996</v>
      </c>
      <c r="AF5750">
        <v>-14.7122458183405</v>
      </c>
      <c r="AG5750">
        <v>2.4250569999999998</v>
      </c>
      <c r="AH5750">
        <v>82.763424288519502</v>
      </c>
      <c r="AI5750">
        <v>88.347543177756407</v>
      </c>
      <c r="AJ5750">
        <v>100.079757912117</v>
      </c>
      <c r="AK5750">
        <v>84.095870757332904</v>
      </c>
      <c r="AL5750">
        <v>87.755800787069504</v>
      </c>
      <c r="AM5750">
        <v>97.232152704453398</v>
      </c>
      <c r="AN5750">
        <v>0.999999980106136</v>
      </c>
    </row>
    <row r="5751" spans="1:40" x14ac:dyDescent="0.25">
      <c r="A5751" t="str">
        <f>"20190312160449329"</f>
        <v>20190312160449329</v>
      </c>
      <c r="B5751" t="str">
        <f>"1552377889321422"</f>
        <v>1552377889321422</v>
      </c>
      <c r="C5751" t="s">
        <v>40</v>
      </c>
      <c r="D5751">
        <v>6.4396069999999996</v>
      </c>
      <c r="E5751">
        <v>0.4812207</v>
      </c>
      <c r="F5751" t="s">
        <v>100</v>
      </c>
      <c r="G5751">
        <v>-417.3039</v>
      </c>
      <c r="H5751">
        <v>3.2456499999999999</v>
      </c>
      <c r="I5751">
        <v>1.8018419999999999</v>
      </c>
      <c r="J5751">
        <v>-419.71420000000001</v>
      </c>
      <c r="K5751">
        <v>1.1101179999999999</v>
      </c>
      <c r="L5751">
        <v>85.765109999999893</v>
      </c>
      <c r="M5751">
        <v>-0.14664260000000001</v>
      </c>
      <c r="N5751">
        <v>0</v>
      </c>
      <c r="O5751">
        <v>-0.98913059999999997</v>
      </c>
      <c r="P5751">
        <v>-1.9748640000000001E-2</v>
      </c>
      <c r="Q5751">
        <v>2.5444060000000001E-2</v>
      </c>
      <c r="R5751">
        <v>-0.99948139999999996</v>
      </c>
      <c r="S5751">
        <v>8.5327150000000004E-2</v>
      </c>
      <c r="T5751">
        <v>7.6218610000000006E-2</v>
      </c>
      <c r="U5751">
        <v>-3.0015260000000001</v>
      </c>
      <c r="V5751">
        <v>-0.12705</v>
      </c>
      <c r="W5751">
        <v>3.6129059999999998E-2</v>
      </c>
      <c r="X5751">
        <v>0.99123810000000001</v>
      </c>
      <c r="Y5751">
        <v>-0.17469199999999999</v>
      </c>
      <c r="Z5751">
        <v>-2.4772990000000002E-2</v>
      </c>
      <c r="AA5751">
        <v>0.98431150000000001</v>
      </c>
      <c r="AB5751">
        <v>19</v>
      </c>
      <c r="AC5751">
        <v>2.4102999999999999</v>
      </c>
      <c r="AD5751">
        <v>2.135532</v>
      </c>
      <c r="AE5751">
        <v>-83.963267999999999</v>
      </c>
      <c r="AF5751">
        <v>-14.6880565304897</v>
      </c>
      <c r="AG5751">
        <v>2.135532</v>
      </c>
      <c r="AH5751">
        <v>82.648585931160497</v>
      </c>
      <c r="AI5751">
        <v>88.542705025946802</v>
      </c>
      <c r="AJ5751">
        <v>100.07722083959401</v>
      </c>
      <c r="AK5751">
        <v>83.970758350668106</v>
      </c>
      <c r="AL5751">
        <v>87.929506720356002</v>
      </c>
      <c r="AM5751">
        <v>97.303950701073305</v>
      </c>
      <c r="AN5751">
        <v>0.99999999118404603</v>
      </c>
    </row>
    <row r="5752" spans="1:40" x14ac:dyDescent="0.25">
      <c r="A5752" t="str">
        <f>"20190312160449342"</f>
        <v>20190312160449342</v>
      </c>
      <c r="B5752" t="str">
        <f>"1552377889331183"</f>
        <v>1552377889331183</v>
      </c>
      <c r="C5752" t="s">
        <v>40</v>
      </c>
      <c r="D5752">
        <v>6.3391679999999999</v>
      </c>
      <c r="E5752">
        <v>0.4811414</v>
      </c>
      <c r="F5752" t="s">
        <v>100</v>
      </c>
      <c r="G5752">
        <v>-417.16640000000001</v>
      </c>
      <c r="H5752">
        <v>3.12595</v>
      </c>
      <c r="I5752">
        <v>1.2230190000000001</v>
      </c>
      <c r="J5752">
        <v>-419.73259999999999</v>
      </c>
      <c r="K5752">
        <v>1.110098</v>
      </c>
      <c r="L5752">
        <v>85.639560000000003</v>
      </c>
      <c r="M5752">
        <v>-0.14647939999999901</v>
      </c>
      <c r="N5752">
        <v>0</v>
      </c>
      <c r="O5752">
        <v>-0.98915569999999997</v>
      </c>
      <c r="P5752">
        <v>-1.893483E-2</v>
      </c>
      <c r="Q5752">
        <v>2.412477E-2</v>
      </c>
      <c r="R5752">
        <v>-0.99952980000000002</v>
      </c>
      <c r="S5752">
        <v>9.0454099999999996E-2</v>
      </c>
      <c r="T5752">
        <v>7.1567060000000002E-2</v>
      </c>
      <c r="U5752">
        <v>-3.0014949999999998</v>
      </c>
      <c r="V5752">
        <v>-0.1276986</v>
      </c>
      <c r="W5752">
        <v>3.474377E-2</v>
      </c>
      <c r="X5752">
        <v>0.99120430000000004</v>
      </c>
      <c r="Y5752">
        <v>-0.17621049999999999</v>
      </c>
      <c r="Z5752">
        <v>-2.3259289999999998E-2</v>
      </c>
      <c r="AA5752">
        <v>0.98407770000000006</v>
      </c>
      <c r="AB5752">
        <v>19</v>
      </c>
      <c r="AC5752">
        <v>2.5661999999999798</v>
      </c>
      <c r="AD5752">
        <v>2.0158520000000002</v>
      </c>
      <c r="AE5752">
        <v>-84.416540999999995</v>
      </c>
      <c r="AF5752">
        <v>-14.896024521652601</v>
      </c>
      <c r="AG5752">
        <v>2.0158520000000002</v>
      </c>
      <c r="AH5752">
        <v>83.082644709276906</v>
      </c>
      <c r="AI5752">
        <v>88.631899650658895</v>
      </c>
      <c r="AJ5752">
        <v>100.164657151654</v>
      </c>
      <c r="AK5752">
        <v>84.431516969219004</v>
      </c>
      <c r="AL5752">
        <v>88.008927923432594</v>
      </c>
      <c r="AM5752">
        <v>97.3410798230545</v>
      </c>
      <c r="AN5752">
        <v>1.0000000131671301</v>
      </c>
    </row>
    <row r="5753" spans="1:40" x14ac:dyDescent="0.25">
      <c r="A5753" t="str">
        <f>"20190312160449362"</f>
        <v>20190312160449362</v>
      </c>
      <c r="B5753" t="str">
        <f>"1552377889350702"</f>
        <v>1552377889350702</v>
      </c>
      <c r="C5753" t="s">
        <v>40</v>
      </c>
      <c r="D5753">
        <v>6.1022600000000002</v>
      </c>
      <c r="E5753">
        <v>0.48103380000000001</v>
      </c>
      <c r="F5753" t="s">
        <v>100</v>
      </c>
      <c r="G5753">
        <v>-417.09949999999998</v>
      </c>
      <c r="H5753">
        <v>3.125972</v>
      </c>
      <c r="I5753">
        <v>1.3152410000000001</v>
      </c>
      <c r="J5753">
        <v>-419.7559</v>
      </c>
      <c r="K5753">
        <v>1.110079</v>
      </c>
      <c r="L5753">
        <v>85.480559999999997</v>
      </c>
      <c r="M5753">
        <v>-0.14627319999999999</v>
      </c>
      <c r="N5753">
        <v>0</v>
      </c>
      <c r="O5753">
        <v>-0.98918700000000004</v>
      </c>
      <c r="P5753">
        <v>-1.7925110000000001E-2</v>
      </c>
      <c r="Q5753">
        <v>2.2036130000000001E-2</v>
      </c>
      <c r="R5753">
        <v>-0.99959679999999995</v>
      </c>
      <c r="S5753">
        <v>9.3719479999999994E-2</v>
      </c>
      <c r="T5753">
        <v>7.1751949999999995E-2</v>
      </c>
      <c r="U5753">
        <v>-3.0014340000000002</v>
      </c>
      <c r="V5753">
        <v>-0.12849959999999999</v>
      </c>
      <c r="W5753">
        <v>3.2571099999999999E-2</v>
      </c>
      <c r="X5753">
        <v>0.99117449999999996</v>
      </c>
      <c r="Y5753">
        <v>-0.17707529999999999</v>
      </c>
      <c r="Z5753">
        <v>-2.3318660000000001E-2</v>
      </c>
      <c r="AA5753">
        <v>0.98392109999999999</v>
      </c>
      <c r="AB5753">
        <v>19</v>
      </c>
      <c r="AC5753">
        <v>2.6564000000000099</v>
      </c>
      <c r="AD5753">
        <v>2.0158930000000002</v>
      </c>
      <c r="AE5753">
        <v>-84.165318999999997</v>
      </c>
      <c r="AF5753">
        <v>-14.931095593222601</v>
      </c>
      <c r="AG5753">
        <v>2.0158930000000002</v>
      </c>
      <c r="AH5753">
        <v>82.823904159574994</v>
      </c>
      <c r="AI5753">
        <v>88.627834424088405</v>
      </c>
      <c r="AJ5753">
        <v>100.21924574644299</v>
      </c>
      <c r="AK5753">
        <v>84.183136912542494</v>
      </c>
      <c r="AL5753">
        <v>88.133483231652306</v>
      </c>
      <c r="AM5753">
        <v>97.386840006256804</v>
      </c>
      <c r="AN5753">
        <v>0.99999995660280905</v>
      </c>
    </row>
    <row r="5754" spans="1:40" x14ac:dyDescent="0.25">
      <c r="A5754" t="str">
        <f>"20190312160449384"</f>
        <v>20190312160449384</v>
      </c>
      <c r="B5754" t="str">
        <f>"1552377889380959"</f>
        <v>1552377889380959</v>
      </c>
      <c r="C5754" t="s">
        <v>40</v>
      </c>
      <c r="D5754">
        <v>6.1088950000000004</v>
      </c>
      <c r="E5754">
        <v>0.4809409</v>
      </c>
      <c r="F5754" t="s">
        <v>100</v>
      </c>
      <c r="G5754">
        <v>-417.0367</v>
      </c>
      <c r="H5754">
        <v>3.157985</v>
      </c>
      <c r="I5754">
        <v>1.804562</v>
      </c>
      <c r="J5754">
        <v>-419.78410000000002</v>
      </c>
      <c r="K5754">
        <v>1.110052</v>
      </c>
      <c r="L5754">
        <v>85.287660000000002</v>
      </c>
      <c r="M5754">
        <v>-0.1460225</v>
      </c>
      <c r="N5754">
        <v>0</v>
      </c>
      <c r="O5754">
        <v>-0.98922500000000002</v>
      </c>
      <c r="P5754">
        <v>-1.7551549999999999E-2</v>
      </c>
      <c r="Q5754">
        <v>1.989223E-2</v>
      </c>
      <c r="R5754">
        <v>-0.99964819999999999</v>
      </c>
      <c r="S5754">
        <v>9.7534179999999998E-2</v>
      </c>
      <c r="T5754">
        <v>7.3454619999999998E-2</v>
      </c>
      <c r="U5754">
        <v>-3.0013429999999999</v>
      </c>
      <c r="V5754">
        <v>-0.12862489999999999</v>
      </c>
      <c r="W5754">
        <v>3.0330599999999999E-2</v>
      </c>
      <c r="X5754">
        <v>0.99122940000000004</v>
      </c>
      <c r="Y5754">
        <v>-0.17807539999999999</v>
      </c>
      <c r="Z5754">
        <v>-2.3871070000000001E-2</v>
      </c>
      <c r="AA5754">
        <v>0.98372729999999997</v>
      </c>
      <c r="AB5754">
        <v>19</v>
      </c>
      <c r="AC5754">
        <v>2.7474000000000198</v>
      </c>
      <c r="AD5754">
        <v>2.047933</v>
      </c>
      <c r="AE5754">
        <v>-83.483097999999998</v>
      </c>
      <c r="AF5754">
        <v>-14.900080568769001</v>
      </c>
      <c r="AG5754">
        <v>2.047933</v>
      </c>
      <c r="AH5754">
        <v>82.137585523792296</v>
      </c>
      <c r="AI5754">
        <v>88.594668925558594</v>
      </c>
      <c r="AJ5754">
        <v>100.281869264025</v>
      </c>
      <c r="AK5754">
        <v>83.503229795059994</v>
      </c>
      <c r="AL5754">
        <v>88.261918099584094</v>
      </c>
      <c r="AM5754">
        <v>97.393558261374196</v>
      </c>
      <c r="AN5754">
        <v>1.00000001681036</v>
      </c>
    </row>
    <row r="5755" spans="1:40" x14ac:dyDescent="0.25">
      <c r="A5755" t="str">
        <f>"20190312160449407"</f>
        <v>20190312160449407</v>
      </c>
      <c r="B5755" t="str">
        <f>"1552377889400482"</f>
        <v>1552377889400482</v>
      </c>
      <c r="C5755" t="s">
        <v>40</v>
      </c>
      <c r="D5755">
        <v>6.4686070000000004</v>
      </c>
      <c r="E5755">
        <v>0.48089890000000002</v>
      </c>
      <c r="F5755" t="s">
        <v>100</v>
      </c>
      <c r="G5755">
        <v>-417.01499999999999</v>
      </c>
      <c r="H5755">
        <v>3.2984789999999999</v>
      </c>
      <c r="I5755">
        <v>1.8047789999999999</v>
      </c>
      <c r="J5755">
        <v>-419.81270000000001</v>
      </c>
      <c r="K5755">
        <v>1.1100380000000001</v>
      </c>
      <c r="L5755">
        <v>85.092349999999996</v>
      </c>
      <c r="M5755">
        <v>-0.14576919999999999</v>
      </c>
      <c r="N5755">
        <v>0</v>
      </c>
      <c r="O5755">
        <v>-0.98926320000000001</v>
      </c>
      <c r="P5755">
        <v>-1.747814E-2</v>
      </c>
      <c r="Q5755">
        <v>1.8599640000000001E-2</v>
      </c>
      <c r="R5755">
        <v>-0.99967439999999996</v>
      </c>
      <c r="S5755">
        <v>9.9548339999999999E-2</v>
      </c>
      <c r="T5755">
        <v>7.8674079999999993E-2</v>
      </c>
      <c r="U5755">
        <v>-3.0012509999999999</v>
      </c>
      <c r="V5755">
        <v>-0.1284468</v>
      </c>
      <c r="W5755">
        <v>2.8941229999999998E-2</v>
      </c>
      <c r="X5755">
        <v>0.99129400000000001</v>
      </c>
      <c r="Y5755">
        <v>-0.17848229999999901</v>
      </c>
      <c r="Z5755">
        <v>-2.556715E-2</v>
      </c>
      <c r="AA5755">
        <v>0.98361089999999995</v>
      </c>
      <c r="AB5755">
        <v>19</v>
      </c>
      <c r="AC5755">
        <v>2.7977000000000198</v>
      </c>
      <c r="AD5755">
        <v>2.1884410000000001</v>
      </c>
      <c r="AE5755">
        <v>-83.287571</v>
      </c>
      <c r="AF5755">
        <v>-14.898966901536401</v>
      </c>
      <c r="AG5755">
        <v>2.1884410000000001</v>
      </c>
      <c r="AH5755">
        <v>81.933501970019606</v>
      </c>
      <c r="AI5755">
        <v>88.494669509135093</v>
      </c>
      <c r="AJ5755">
        <v>100.30617765298901</v>
      </c>
      <c r="AK5755">
        <v>83.305865542678106</v>
      </c>
      <c r="AL5755">
        <v>88.341558069899193</v>
      </c>
      <c r="AM5755">
        <v>97.382957986018397</v>
      </c>
      <c r="AN5755">
        <v>0.99999998483007602</v>
      </c>
    </row>
    <row r="5756" spans="1:40" x14ac:dyDescent="0.25">
      <c r="A5756" t="str">
        <f>"20190312160449429"</f>
        <v>20190312160449429</v>
      </c>
      <c r="B5756" t="str">
        <f>"1552377889420975"</f>
        <v>1552377889420975</v>
      </c>
      <c r="C5756" t="s">
        <v>40</v>
      </c>
      <c r="D5756">
        <v>6.3162500000000001</v>
      </c>
      <c r="E5756">
        <v>0.4810507</v>
      </c>
      <c r="F5756" t="s">
        <v>100</v>
      </c>
      <c r="G5756">
        <v>-417.03829999999999</v>
      </c>
      <c r="H5756">
        <v>3.188736</v>
      </c>
      <c r="I5756">
        <v>1.8045439999999999</v>
      </c>
      <c r="J5756">
        <v>-419.84070000000003</v>
      </c>
      <c r="K5756">
        <v>1.1100319999999999</v>
      </c>
      <c r="L5756">
        <v>84.900019999999998</v>
      </c>
      <c r="M5756">
        <v>-0.14552000000000001</v>
      </c>
      <c r="N5756">
        <v>0</v>
      </c>
      <c r="O5756">
        <v>-0.98930099999999999</v>
      </c>
      <c r="P5756">
        <v>-1.726983E-2</v>
      </c>
      <c r="Q5756">
        <v>1.906884E-2</v>
      </c>
      <c r="R5756">
        <v>-0.99966909999999998</v>
      </c>
      <c r="S5756">
        <v>9.9975590000000003E-2</v>
      </c>
      <c r="T5756">
        <v>7.4906589999999995E-2</v>
      </c>
      <c r="U5756">
        <v>-3.0013429999999999</v>
      </c>
      <c r="V5756">
        <v>-0.1284024</v>
      </c>
      <c r="W5756">
        <v>2.931253E-2</v>
      </c>
      <c r="X5756">
        <v>0.99128879999999997</v>
      </c>
      <c r="Y5756">
        <v>-0.17837420000000001</v>
      </c>
      <c r="Z5756">
        <v>-2.4344399999999999E-2</v>
      </c>
      <c r="AA5756">
        <v>0.98366149999999997</v>
      </c>
      <c r="AB5756">
        <v>20</v>
      </c>
      <c r="AC5756">
        <v>2.8024000000000302</v>
      </c>
      <c r="AD5756">
        <v>2.0787040000000001</v>
      </c>
      <c r="AE5756">
        <v>-83.095475999999906</v>
      </c>
      <c r="AF5756">
        <v>-14.8559833246723</v>
      </c>
      <c r="AG5756">
        <v>2.0787040000000001</v>
      </c>
      <c r="AH5756">
        <v>81.751926047349301</v>
      </c>
      <c r="AI5756">
        <v>88.566915258387695</v>
      </c>
      <c r="AJ5756">
        <v>100.29941680742</v>
      </c>
      <c r="AK5756">
        <v>83.116777267371404</v>
      </c>
      <c r="AL5756">
        <v>88.320275046144204</v>
      </c>
      <c r="AM5756">
        <v>97.380472361066197</v>
      </c>
      <c r="AN5756">
        <v>0.99999994287309801</v>
      </c>
    </row>
    <row r="5757" spans="1:40" x14ac:dyDescent="0.25">
      <c r="A5757" t="str">
        <f>"20190312160449452"</f>
        <v>20190312160449452</v>
      </c>
      <c r="B5757" t="str">
        <f>"1552377889440496"</f>
        <v>1552377889440496</v>
      </c>
      <c r="C5757" t="s">
        <v>40</v>
      </c>
      <c r="D5757">
        <v>4.9156190000000004</v>
      </c>
      <c r="E5757">
        <v>0.4470691</v>
      </c>
      <c r="F5757" t="s">
        <v>100</v>
      </c>
      <c r="G5757">
        <v>-417.08440000000002</v>
      </c>
      <c r="H5757">
        <v>3.3019560000000001</v>
      </c>
      <c r="I5757">
        <v>1.8040750000000001</v>
      </c>
      <c r="J5757">
        <v>-419.86930000000001</v>
      </c>
      <c r="K5757">
        <v>1.110031</v>
      </c>
      <c r="L5757">
        <v>84.703310000000002</v>
      </c>
      <c r="M5757">
        <v>-0.14526539999999999</v>
      </c>
      <c r="N5757">
        <v>0</v>
      </c>
      <c r="O5757">
        <v>-0.98933939999999998</v>
      </c>
      <c r="P5757">
        <v>-1.6014589999999999E-2</v>
      </c>
      <c r="Q5757">
        <v>2.1363920000000002E-2</v>
      </c>
      <c r="R5757">
        <v>-0.99964370000000002</v>
      </c>
      <c r="S5757">
        <v>9.9548339999999999E-2</v>
      </c>
      <c r="T5757">
        <v>7.9165940000000004E-2</v>
      </c>
      <c r="U5757">
        <v>-3.0012210000000001</v>
      </c>
      <c r="V5757">
        <v>-0.1293859</v>
      </c>
      <c r="W5757">
        <v>3.150211E-2</v>
      </c>
      <c r="X5757">
        <v>0.99109380000000002</v>
      </c>
      <c r="Y5757">
        <v>-0.1779811</v>
      </c>
      <c r="Z5757">
        <v>-2.5731270000000001E-2</v>
      </c>
      <c r="AA5757">
        <v>0.98369740000000006</v>
      </c>
      <c r="AB5757">
        <v>20</v>
      </c>
      <c r="AC5757">
        <v>2.7848999999999902</v>
      </c>
      <c r="AD5757">
        <v>2.1919249999999901</v>
      </c>
      <c r="AE5757">
        <v>-82.899235000000004</v>
      </c>
      <c r="AF5757">
        <v>-14.7880556366307</v>
      </c>
      <c r="AG5757">
        <v>2.1919249999999901</v>
      </c>
      <c r="AH5757">
        <v>81.558281172155802</v>
      </c>
      <c r="AI5757">
        <v>88.485201562632597</v>
      </c>
      <c r="AJ5757">
        <v>100.277151221631</v>
      </c>
      <c r="AK5757">
        <v>82.917093246652897</v>
      </c>
      <c r="AL5757">
        <v>88.194763399294004</v>
      </c>
      <c r="AM5757">
        <v>97.437819583986695</v>
      </c>
      <c r="AN5757">
        <v>1.0000000072258499</v>
      </c>
    </row>
    <row r="5758" spans="1:40" x14ac:dyDescent="0.25">
      <c r="A5758" t="str">
        <f>"20190312160449474"</f>
        <v>20190312160449474</v>
      </c>
      <c r="B5758" t="str">
        <f>"1552377889470751"</f>
        <v>1552377889470751</v>
      </c>
      <c r="C5758" t="s">
        <v>40</v>
      </c>
      <c r="D5758">
        <v>8.1035749999999993</v>
      </c>
      <c r="E5758">
        <v>0.37937009999999899</v>
      </c>
      <c r="F5758" t="s">
        <v>100</v>
      </c>
      <c r="G5758">
        <v>-409.19029999999998</v>
      </c>
      <c r="H5758">
        <v>14.673260000000001</v>
      </c>
      <c r="I5758">
        <v>0.5873699</v>
      </c>
      <c r="J5758">
        <v>-419.89710000000002</v>
      </c>
      <c r="K5758">
        <v>1.1100219999999901</v>
      </c>
      <c r="L5758">
        <v>84.511960000000002</v>
      </c>
      <c r="M5758">
        <v>-0.14501739999999999</v>
      </c>
      <c r="N5758">
        <v>0</v>
      </c>
      <c r="O5758">
        <v>-0.98937699999999995</v>
      </c>
      <c r="P5758">
        <v>-1.3972719999999999E-2</v>
      </c>
      <c r="Q5758">
        <v>2.211546E-2</v>
      </c>
      <c r="R5758">
        <v>-0.99965789999999999</v>
      </c>
      <c r="S5758">
        <v>0.38046259999999998</v>
      </c>
      <c r="T5758">
        <v>0.4832206</v>
      </c>
      <c r="U5758">
        <v>-2.996826</v>
      </c>
      <c r="V5758">
        <v>-0.13115940000000001</v>
      </c>
      <c r="W5758">
        <v>3.215552E-2</v>
      </c>
      <c r="X5758">
        <v>0.99083969999999999</v>
      </c>
      <c r="Y5758">
        <v>-0.2669473</v>
      </c>
      <c r="Z5758">
        <v>-0.1531699</v>
      </c>
      <c r="AA5758">
        <v>0.95146109999999995</v>
      </c>
      <c r="AB5758">
        <v>20</v>
      </c>
      <c r="AC5758">
        <v>10.706799999999999</v>
      </c>
      <c r="AD5758">
        <v>13.563238</v>
      </c>
      <c r="AE5758">
        <v>-83.924590099999904</v>
      </c>
      <c r="AF5758">
        <v>-22.194361289547199</v>
      </c>
      <c r="AG5758">
        <v>13.563238</v>
      </c>
      <c r="AH5758">
        <v>79.442888480628497</v>
      </c>
      <c r="AI5758">
        <v>80.662246877231595</v>
      </c>
      <c r="AJ5758">
        <v>105.609037487081</v>
      </c>
      <c r="AK5758">
        <v>83.592605105004196</v>
      </c>
      <c r="AL5758">
        <v>88.157306843083504</v>
      </c>
      <c r="AM5758">
        <v>97.540516465376001</v>
      </c>
      <c r="AN5758">
        <v>1.0000000383854499</v>
      </c>
    </row>
    <row r="5759" spans="1:40" x14ac:dyDescent="0.25">
      <c r="A5759" t="str">
        <f>"20190312160449507"</f>
        <v>20190312160449507</v>
      </c>
      <c r="B5759" t="str">
        <f>"1552377889501011"</f>
        <v>1552377889501011</v>
      </c>
      <c r="C5759" t="s">
        <v>40</v>
      </c>
      <c r="D5759">
        <v>5.8665919999999998</v>
      </c>
      <c r="E5759">
        <v>0.38602540000000002</v>
      </c>
      <c r="F5759" t="s">
        <v>100</v>
      </c>
      <c r="G5759">
        <v>-394.02510000000001</v>
      </c>
      <c r="H5759">
        <v>15.244059999999999</v>
      </c>
      <c r="I5759">
        <v>0.74160000000000004</v>
      </c>
      <c r="J5759">
        <v>-419.93970000000002</v>
      </c>
      <c r="K5759">
        <v>1.110001</v>
      </c>
      <c r="L5759">
        <v>84.217770000000002</v>
      </c>
      <c r="M5759">
        <v>-0.1446366</v>
      </c>
      <c r="N5759">
        <v>0</v>
      </c>
      <c r="O5759">
        <v>-0.98943389999999998</v>
      </c>
      <c r="P5759">
        <v>-1.34713E-2</v>
      </c>
      <c r="Q5759">
        <v>2.043567E-2</v>
      </c>
      <c r="R5759">
        <v>-0.99970049999999999</v>
      </c>
      <c r="S5759">
        <v>0.92739870000000002</v>
      </c>
      <c r="T5759">
        <v>0.50664350000000002</v>
      </c>
      <c r="U5759">
        <v>-3.0028079999999999</v>
      </c>
      <c r="V5759">
        <v>-0.131279799999999</v>
      </c>
      <c r="W5759">
        <v>3.0348710000000001E-2</v>
      </c>
      <c r="X5759">
        <v>0.99088069999999895</v>
      </c>
      <c r="Y5759">
        <v>-0.426624</v>
      </c>
      <c r="Z5759">
        <v>-0.15231169999999999</v>
      </c>
      <c r="AA5759">
        <v>0.89151170000000002</v>
      </c>
      <c r="AB5759">
        <v>20</v>
      </c>
      <c r="AC5759">
        <v>25.9146</v>
      </c>
      <c r="AD5759">
        <v>14.134058999999899</v>
      </c>
      <c r="AE5759">
        <v>-83.476169999999996</v>
      </c>
      <c r="AF5759">
        <v>-36.755292149533503</v>
      </c>
      <c r="AG5759">
        <v>14.134058999999899</v>
      </c>
      <c r="AH5759">
        <v>76.840646334384203</v>
      </c>
      <c r="AI5759">
        <v>80.578532180707896</v>
      </c>
      <c r="AJ5759">
        <v>115.563252826896</v>
      </c>
      <c r="AK5759">
        <v>86.343546683576506</v>
      </c>
      <c r="AL5759">
        <v>88.260879958692698</v>
      </c>
      <c r="AM5759">
        <v>97.547049961989202</v>
      </c>
      <c r="AN5759">
        <v>0.99999999585959598</v>
      </c>
    </row>
    <row r="5760" spans="1:40" x14ac:dyDescent="0.25">
      <c r="A5760" t="str">
        <f>"20190312160449529"</f>
        <v>20190312160449529</v>
      </c>
      <c r="B5760" t="str">
        <f>"1552377889520531"</f>
        <v>1552377889520531</v>
      </c>
      <c r="C5760" t="s">
        <v>40</v>
      </c>
      <c r="D5760">
        <v>5.9113769999999999</v>
      </c>
      <c r="E5760">
        <v>0.38970549999999998</v>
      </c>
      <c r="F5760" t="s">
        <v>100</v>
      </c>
      <c r="G5760">
        <v>-395.82859999999999</v>
      </c>
      <c r="H5760">
        <v>12.875170000000001</v>
      </c>
      <c r="I5760">
        <v>1.3233999999999999</v>
      </c>
      <c r="J5760">
        <v>-419.96699999999998</v>
      </c>
      <c r="K5760">
        <v>1.1100019999999999</v>
      </c>
      <c r="L5760">
        <v>84.029569999999893</v>
      </c>
      <c r="M5760">
        <v>-0.14439289999999999</v>
      </c>
      <c r="N5760">
        <v>0</v>
      </c>
      <c r="O5760">
        <v>-0.98947019999999997</v>
      </c>
      <c r="P5760">
        <v>-1.344152E-2</v>
      </c>
      <c r="Q5760">
        <v>2.0563100000000001E-2</v>
      </c>
      <c r="R5760">
        <v>-0.99969839999999999</v>
      </c>
      <c r="S5760">
        <v>0.87374879999999999</v>
      </c>
      <c r="T5760">
        <v>0.42635099999999998</v>
      </c>
      <c r="U5760">
        <v>-3.0039669999999998</v>
      </c>
      <c r="V5760">
        <v>-0.13106509999999999</v>
      </c>
      <c r="W5760">
        <v>3.0401620000000001E-2</v>
      </c>
      <c r="X5760">
        <v>0.99090750000000005</v>
      </c>
      <c r="Y5760">
        <v>-0.41258630000000002</v>
      </c>
      <c r="Z5760">
        <v>-0.12940119999999999</v>
      </c>
      <c r="AA5760">
        <v>0.90168060000000005</v>
      </c>
      <c r="AB5760">
        <v>20</v>
      </c>
      <c r="AC5760">
        <v>24.138399999999901</v>
      </c>
      <c r="AD5760">
        <v>11.765167999999999</v>
      </c>
      <c r="AE5760">
        <v>-82.706169999999901</v>
      </c>
      <c r="AF5760">
        <v>-35.172319690819002</v>
      </c>
      <c r="AG5760">
        <v>11.765167999999999</v>
      </c>
      <c r="AH5760">
        <v>76.919424198479007</v>
      </c>
      <c r="AI5760">
        <v>82.080863691446396</v>
      </c>
      <c r="AJ5760">
        <v>114.57281127082901</v>
      </c>
      <c r="AK5760">
        <v>85.393846789607494</v>
      </c>
      <c r="AL5760">
        <v>88.257847040174596</v>
      </c>
      <c r="AM5760">
        <v>97.534647711508995</v>
      </c>
      <c r="AN5760">
        <v>0.99999999624644198</v>
      </c>
    </row>
    <row r="5761" spans="1:40" x14ac:dyDescent="0.25">
      <c r="A5761" t="str">
        <f>"20190312160449551"</f>
        <v>20190312160449551</v>
      </c>
      <c r="B5761" t="str">
        <f>"1552377889541023"</f>
        <v>1552377889541023</v>
      </c>
      <c r="C5761" t="s">
        <v>40</v>
      </c>
      <c r="D5761">
        <v>5.8602489999999996</v>
      </c>
      <c r="E5761">
        <v>0.39172600000000002</v>
      </c>
      <c r="F5761" t="s">
        <v>100</v>
      </c>
      <c r="G5761">
        <v>-396.55070000000001</v>
      </c>
      <c r="H5761">
        <v>11.985469999999999</v>
      </c>
      <c r="I5761">
        <v>0.71590609999999999</v>
      </c>
      <c r="J5761">
        <v>-419.99529999999999</v>
      </c>
      <c r="K5761">
        <v>1.1099909999999999</v>
      </c>
      <c r="L5761">
        <v>83.833069999999907</v>
      </c>
      <c r="M5761">
        <v>-0.14413779999999901</v>
      </c>
      <c r="N5761">
        <v>0</v>
      </c>
      <c r="O5761">
        <v>-0.98950850000000001</v>
      </c>
      <c r="P5761">
        <v>-1.2341339999999999E-2</v>
      </c>
      <c r="Q5761">
        <v>2.2747409999999999E-2</v>
      </c>
      <c r="R5761">
        <v>-0.99966509999999997</v>
      </c>
      <c r="S5761">
        <v>0.84436039999999901</v>
      </c>
      <c r="T5761">
        <v>0.39215369999999999</v>
      </c>
      <c r="U5761">
        <v>-3.004181</v>
      </c>
      <c r="V5761">
        <v>-0.13189400000000001</v>
      </c>
      <c r="W5761">
        <v>3.250724E-2</v>
      </c>
      <c r="X5761">
        <v>0.99073060000000002</v>
      </c>
      <c r="Y5761">
        <v>-0.4045107</v>
      </c>
      <c r="Z5761">
        <v>-0.1195816</v>
      </c>
      <c r="AA5761">
        <v>0.90668150000000003</v>
      </c>
      <c r="AB5761">
        <v>20</v>
      </c>
      <c r="AC5761">
        <v>23.444599999999902</v>
      </c>
      <c r="AD5761">
        <v>10.875479</v>
      </c>
      <c r="AE5761">
        <v>-83.117163899999994</v>
      </c>
      <c r="AF5761">
        <v>-34.631456111053502</v>
      </c>
      <c r="AG5761">
        <v>10.875479</v>
      </c>
      <c r="AH5761">
        <v>77.638475067403206</v>
      </c>
      <c r="AI5761">
        <v>82.709835352889499</v>
      </c>
      <c r="AJ5761">
        <v>114.03976209283501</v>
      </c>
      <c r="AK5761">
        <v>85.704997559320105</v>
      </c>
      <c r="AL5761">
        <v>88.137144038283495</v>
      </c>
      <c r="AM5761">
        <v>97.583084769953103</v>
      </c>
      <c r="AN5761">
        <v>0.99999993483238603</v>
      </c>
    </row>
    <row r="5762" spans="1:40" x14ac:dyDescent="0.25">
      <c r="A5762" t="str">
        <f>"20190312160449574"</f>
        <v>20190312160449574</v>
      </c>
      <c r="B5762" t="str">
        <f>"1552377889571280"</f>
        <v>1552377889571280</v>
      </c>
      <c r="C5762" t="s">
        <v>40</v>
      </c>
      <c r="D5762">
        <v>4.940696</v>
      </c>
      <c r="E5762">
        <v>0.39347850000000001</v>
      </c>
      <c r="F5762" t="s">
        <v>100</v>
      </c>
      <c r="G5762">
        <v>-396.9957</v>
      </c>
      <c r="H5762">
        <v>11.386200000000001</v>
      </c>
      <c r="I5762">
        <v>0.71137620000000001</v>
      </c>
      <c r="J5762">
        <v>-420.02370000000002</v>
      </c>
      <c r="K5762">
        <v>1.109979</v>
      </c>
      <c r="L5762">
        <v>83.636290000000002</v>
      </c>
      <c r="M5762">
        <v>-0.14388280000000001</v>
      </c>
      <c r="N5762">
        <v>0</v>
      </c>
      <c r="O5762">
        <v>-0.98954589999999998</v>
      </c>
      <c r="P5762">
        <v>-1.159308E-2</v>
      </c>
      <c r="Q5762">
        <v>2.1499790000000001E-2</v>
      </c>
      <c r="R5762">
        <v>-0.99970150000000002</v>
      </c>
      <c r="S5762">
        <v>0.83087160000000004</v>
      </c>
      <c r="T5762">
        <v>0.3712317</v>
      </c>
      <c r="U5762">
        <v>-3.0028079999999999</v>
      </c>
      <c r="V5762">
        <v>-0.1323838</v>
      </c>
      <c r="W5762">
        <v>3.1183260000000001E-2</v>
      </c>
      <c r="X5762">
        <v>0.99070789999999997</v>
      </c>
      <c r="Y5762">
        <v>-0.40079809999999999</v>
      </c>
      <c r="Z5762">
        <v>-0.11351799999999999</v>
      </c>
      <c r="AA5762">
        <v>0.90910639999999998</v>
      </c>
      <c r="AB5762">
        <v>20</v>
      </c>
      <c r="AC5762">
        <v>23.027999999999999</v>
      </c>
      <c r="AD5762">
        <v>10.276221</v>
      </c>
      <c r="AE5762">
        <v>-82.924913799999999</v>
      </c>
      <c r="AF5762">
        <v>-34.232351941337299</v>
      </c>
      <c r="AG5762">
        <v>10.276221</v>
      </c>
      <c r="AH5762">
        <v>77.641529575930306</v>
      </c>
      <c r="AI5762">
        <v>83.094770149502907</v>
      </c>
      <c r="AJ5762">
        <v>113.792806930748</v>
      </c>
      <c r="AK5762">
        <v>85.473163930946697</v>
      </c>
      <c r="AL5762">
        <v>88.213041133860401</v>
      </c>
      <c r="AM5762">
        <v>97.611088068220695</v>
      </c>
      <c r="AN5762">
        <v>1.0000000046645301</v>
      </c>
    </row>
    <row r="5763" spans="1:40" x14ac:dyDescent="0.25">
      <c r="A5763" t="str">
        <f>"20190312160449596"</f>
        <v>20190312160449596</v>
      </c>
      <c r="B5763" t="str">
        <f>"1552377889590800"</f>
        <v>1552377889590800</v>
      </c>
      <c r="C5763" t="s">
        <v>40</v>
      </c>
      <c r="D5763">
        <v>5.9025840000000001</v>
      </c>
      <c r="E5763">
        <v>0.39426470000000002</v>
      </c>
      <c r="F5763" t="s">
        <v>100</v>
      </c>
      <c r="G5763">
        <v>-397.41849999999999</v>
      </c>
      <c r="H5763">
        <v>10.30941</v>
      </c>
      <c r="I5763">
        <v>0.70707509999999996</v>
      </c>
      <c r="J5763">
        <v>-420.05259999999998</v>
      </c>
      <c r="K5763">
        <v>1.1099509999999999</v>
      </c>
      <c r="L5763">
        <v>83.435789999999997</v>
      </c>
      <c r="M5763">
        <v>-0.1436229</v>
      </c>
      <c r="N5763">
        <v>0</v>
      </c>
      <c r="O5763">
        <v>-0.98958469999999998</v>
      </c>
      <c r="P5763">
        <v>-1.2080179999999999E-2</v>
      </c>
      <c r="Q5763">
        <v>1.924089E-2</v>
      </c>
      <c r="R5763">
        <v>-0.99974240000000003</v>
      </c>
      <c r="S5763">
        <v>0.81863399999999997</v>
      </c>
      <c r="T5763">
        <v>0.33315099999999997</v>
      </c>
      <c r="U5763">
        <v>-3.0032350000000001</v>
      </c>
      <c r="V5763">
        <v>-0.13164609999999999</v>
      </c>
      <c r="W5763">
        <v>2.8852099999999901E-2</v>
      </c>
      <c r="X5763">
        <v>0.9908768</v>
      </c>
      <c r="Y5763">
        <v>-0.39741300000000002</v>
      </c>
      <c r="Z5763">
        <v>-0.1021441</v>
      </c>
      <c r="AA5763">
        <v>0.9119372</v>
      </c>
      <c r="AB5763">
        <v>20</v>
      </c>
      <c r="AC5763">
        <v>22.634099999999901</v>
      </c>
      <c r="AD5763">
        <v>9.1994589999999992</v>
      </c>
      <c r="AE5763">
        <v>-82.7287149</v>
      </c>
      <c r="AF5763">
        <v>-33.891814520680398</v>
      </c>
      <c r="AG5763">
        <v>9.1994589999999992</v>
      </c>
      <c r="AH5763">
        <v>77.725827402228006</v>
      </c>
      <c r="AI5763">
        <v>83.808065331028999</v>
      </c>
      <c r="AJ5763">
        <v>113.559279001021</v>
      </c>
      <c r="AK5763">
        <v>85.291203431290796</v>
      </c>
      <c r="AL5763">
        <v>88.346666978280098</v>
      </c>
      <c r="AM5763">
        <v>97.567893625575095</v>
      </c>
      <c r="AN5763">
        <v>0.99999998604892903</v>
      </c>
    </row>
    <row r="5764" spans="1:40" x14ac:dyDescent="0.25">
      <c r="A5764" t="str">
        <f>"20190312160449618"</f>
        <v>20190312160449618</v>
      </c>
      <c r="B5764" t="str">
        <f>"1552377889611297"</f>
        <v>1552377889611297</v>
      </c>
      <c r="C5764" t="s">
        <v>40</v>
      </c>
      <c r="D5764">
        <v>5.8455320000000004</v>
      </c>
      <c r="E5764">
        <v>0.39484760000000002</v>
      </c>
      <c r="F5764" t="s">
        <v>100</v>
      </c>
      <c r="G5764">
        <v>-397.73219999999998</v>
      </c>
      <c r="H5764">
        <v>9.6850159999999992</v>
      </c>
      <c r="I5764">
        <v>0.70388409999999901</v>
      </c>
      <c r="J5764">
        <v>-420.0804</v>
      </c>
      <c r="K5764">
        <v>1.1099429999999999</v>
      </c>
      <c r="L5764">
        <v>83.242339999999999</v>
      </c>
      <c r="M5764">
        <v>-0.14337230000000001</v>
      </c>
      <c r="N5764">
        <v>0</v>
      </c>
      <c r="O5764">
        <v>-0.9896218</v>
      </c>
      <c r="P5764">
        <v>-1.220621E-2</v>
      </c>
      <c r="Q5764">
        <v>1.9772120000000001E-2</v>
      </c>
      <c r="R5764">
        <v>-0.99973029999999996</v>
      </c>
      <c r="S5764">
        <v>0.81060790000000005</v>
      </c>
      <c r="T5764">
        <v>0.31141999999999997</v>
      </c>
      <c r="U5764">
        <v>-3.004578</v>
      </c>
      <c r="V5764">
        <v>-0.1312692</v>
      </c>
      <c r="W5764">
        <v>2.931491E-2</v>
      </c>
      <c r="X5764">
        <v>0.99091320000000005</v>
      </c>
      <c r="Y5764">
        <v>-0.3949821</v>
      </c>
      <c r="Z5764">
        <v>-9.5603079999999993E-2</v>
      </c>
      <c r="AA5764">
        <v>0.91370079999999998</v>
      </c>
      <c r="AB5764">
        <v>20</v>
      </c>
      <c r="AC5764">
        <v>22.348199999999999</v>
      </c>
      <c r="AD5764">
        <v>8.5750729999999997</v>
      </c>
      <c r="AE5764">
        <v>-82.538455900000002</v>
      </c>
      <c r="AF5764">
        <v>-33.613547161431299</v>
      </c>
      <c r="AG5764">
        <v>8.5750729999999997</v>
      </c>
      <c r="AH5764">
        <v>77.700022098396104</v>
      </c>
      <c r="AI5764">
        <v>84.216268445863307</v>
      </c>
      <c r="AJ5764">
        <v>113.393630473557</v>
      </c>
      <c r="AK5764">
        <v>85.092278520558807</v>
      </c>
      <c r="AL5764">
        <v>88.320138666407999</v>
      </c>
      <c r="AM5764">
        <v>97.546202953357096</v>
      </c>
      <c r="AN5764">
        <v>0.99999996837559302</v>
      </c>
    </row>
    <row r="5765" spans="1:40" x14ac:dyDescent="0.25">
      <c r="A5765" t="str">
        <f>"20190312160449640"</f>
        <v>20190312160449640</v>
      </c>
      <c r="B5765" t="str">
        <f>"1552377889630816"</f>
        <v>1552377889630816</v>
      </c>
      <c r="C5765" t="s">
        <v>40</v>
      </c>
      <c r="D5765">
        <v>5.9102940000000004</v>
      </c>
      <c r="E5765">
        <v>0.39493699999999998</v>
      </c>
      <c r="F5765" t="s">
        <v>100</v>
      </c>
      <c r="G5765">
        <v>-397.9615</v>
      </c>
      <c r="H5765">
        <v>9.404522</v>
      </c>
      <c r="I5765">
        <v>0.70154949999999905</v>
      </c>
      <c r="J5765">
        <v>-420.10860000000002</v>
      </c>
      <c r="K5765">
        <v>1.1099399999999999</v>
      </c>
      <c r="L5765">
        <v>83.045230000000004</v>
      </c>
      <c r="M5765">
        <v>-0.14311689999999999</v>
      </c>
      <c r="N5765">
        <v>0</v>
      </c>
      <c r="O5765">
        <v>-0.98965930000000002</v>
      </c>
      <c r="P5765">
        <v>-1.342369E-2</v>
      </c>
      <c r="Q5765">
        <v>1.9630959999999999E-2</v>
      </c>
      <c r="R5765">
        <v>-0.99971739999999998</v>
      </c>
      <c r="S5765">
        <v>0.8051758</v>
      </c>
      <c r="T5765">
        <v>0.30194019999999999</v>
      </c>
      <c r="U5765">
        <v>-3.0046689999999998</v>
      </c>
      <c r="V5765">
        <v>-0.12980649999999999</v>
      </c>
      <c r="W5765">
        <v>2.910805E-2</v>
      </c>
      <c r="X5765">
        <v>0.99111199999999999</v>
      </c>
      <c r="Y5765">
        <v>-0.39326860000000002</v>
      </c>
      <c r="Z5765">
        <v>-9.2781710000000003E-2</v>
      </c>
      <c r="AA5765">
        <v>0.9147303</v>
      </c>
      <c r="AB5765">
        <v>20</v>
      </c>
      <c r="AC5765">
        <v>22.147099999999998</v>
      </c>
      <c r="AD5765">
        <v>8.2945820000000001</v>
      </c>
      <c r="AE5765">
        <v>-82.343680500000005</v>
      </c>
      <c r="AF5765">
        <v>-33.388475117162002</v>
      </c>
      <c r="AG5765">
        <v>8.2945820000000001</v>
      </c>
      <c r="AH5765">
        <v>77.591971057212305</v>
      </c>
      <c r="AI5765">
        <v>84.391834326481799</v>
      </c>
      <c r="AJ5765">
        <v>113.282614684975</v>
      </c>
      <c r="AK5765">
        <v>84.876995315263997</v>
      </c>
      <c r="AL5765">
        <v>88.331995986699994</v>
      </c>
      <c r="AM5765">
        <v>97.461590506181096</v>
      </c>
      <c r="AN5765">
        <v>1.0000000012805199</v>
      </c>
    </row>
    <row r="5766" spans="1:40" x14ac:dyDescent="0.25">
      <c r="A5766" t="str">
        <f>"20190312160449664"</f>
        <v>20190312160449664</v>
      </c>
      <c r="B5766" t="str">
        <f>"1552377889661071"</f>
        <v>1552377889661071</v>
      </c>
      <c r="C5766" t="s">
        <v>40</v>
      </c>
      <c r="D5766">
        <v>5.8608200000000004</v>
      </c>
      <c r="E5766">
        <v>0.39550160000000001</v>
      </c>
      <c r="F5766" t="s">
        <v>100</v>
      </c>
      <c r="G5766">
        <v>-398.1798</v>
      </c>
      <c r="H5766">
        <v>9.3600849999999998</v>
      </c>
      <c r="I5766">
        <v>0.69932939999999999</v>
      </c>
      <c r="J5766">
        <v>-420.13799999999998</v>
      </c>
      <c r="K5766">
        <v>1.1099239999999999</v>
      </c>
      <c r="L5766">
        <v>82.839749999999995</v>
      </c>
      <c r="M5766">
        <v>-0.1428509</v>
      </c>
      <c r="N5766">
        <v>0</v>
      </c>
      <c r="O5766">
        <v>-0.98969839999999998</v>
      </c>
      <c r="P5766">
        <v>-1.527481E-2</v>
      </c>
      <c r="Q5766">
        <v>1.8977890000000001E-2</v>
      </c>
      <c r="R5766">
        <v>-0.99970329999999996</v>
      </c>
      <c r="S5766">
        <v>0.80041499999999999</v>
      </c>
      <c r="T5766">
        <v>0.30113459999999997</v>
      </c>
      <c r="U5766">
        <v>-3.0056759999999998</v>
      </c>
      <c r="V5766">
        <v>-0.12770580000000001</v>
      </c>
      <c r="W5766">
        <v>2.838833E-2</v>
      </c>
      <c r="X5766">
        <v>0.99140569999999895</v>
      </c>
      <c r="Y5766">
        <v>-0.39159759999999999</v>
      </c>
      <c r="Z5766">
        <v>-9.2566040000000002E-2</v>
      </c>
      <c r="AA5766">
        <v>0.91546859999999997</v>
      </c>
      <c r="AB5766">
        <v>20</v>
      </c>
      <c r="AC5766">
        <v>21.958200000000001</v>
      </c>
      <c r="AD5766">
        <v>8.2501610000000003</v>
      </c>
      <c r="AE5766">
        <v>-82.140420599999899</v>
      </c>
      <c r="AF5766">
        <v>-33.155180347157199</v>
      </c>
      <c r="AG5766">
        <v>8.2501610000000003</v>
      </c>
      <c r="AH5766">
        <v>77.431993728964301</v>
      </c>
      <c r="AI5766">
        <v>84.405948906719601</v>
      </c>
      <c r="AJ5766">
        <v>113.179859109199</v>
      </c>
      <c r="AK5766">
        <v>84.634772955451396</v>
      </c>
      <c r="AL5766">
        <v>88.373249898314995</v>
      </c>
      <c r="AM5766">
        <v>97.340014090068095</v>
      </c>
      <c r="AN5766">
        <v>0.99999996531315805</v>
      </c>
    </row>
    <row r="5767" spans="1:40" x14ac:dyDescent="0.25">
      <c r="A5767" t="str">
        <f>"20190312160449686"</f>
        <v>20190312160449686</v>
      </c>
      <c r="B5767" t="str">
        <f>"1552377889680591"</f>
        <v>1552377889680591</v>
      </c>
      <c r="C5767" t="s">
        <v>40</v>
      </c>
      <c r="D5767">
        <v>6.190976</v>
      </c>
      <c r="E5767">
        <v>0.39569389999999999</v>
      </c>
      <c r="F5767" t="s">
        <v>100</v>
      </c>
      <c r="G5767">
        <v>-398.5677</v>
      </c>
      <c r="H5767">
        <v>9.0084490000000006</v>
      </c>
      <c r="I5767">
        <v>0.69538120000000003</v>
      </c>
      <c r="J5767">
        <v>-420.16629999999998</v>
      </c>
      <c r="K5767">
        <v>1.109915</v>
      </c>
      <c r="L5767">
        <v>82.642060000000001</v>
      </c>
      <c r="M5767">
        <v>-0.1425949</v>
      </c>
      <c r="N5767">
        <v>0</v>
      </c>
      <c r="O5767">
        <v>-0.98973619999999995</v>
      </c>
      <c r="P5767">
        <v>-1.6927910000000001E-2</v>
      </c>
      <c r="Q5767">
        <v>1.869231E-2</v>
      </c>
      <c r="R5767">
        <v>-0.99968210000000002</v>
      </c>
      <c r="S5767">
        <v>0.78973389999999999</v>
      </c>
      <c r="T5767">
        <v>0.28918050000000001</v>
      </c>
      <c r="U5767">
        <v>-3.0074770000000002</v>
      </c>
      <c r="V5767">
        <v>-0.1258097</v>
      </c>
      <c r="W5767">
        <v>2.803895E-2</v>
      </c>
      <c r="X5767">
        <v>0.99165809999999999</v>
      </c>
      <c r="Y5767">
        <v>-0.388268</v>
      </c>
      <c r="Z5767">
        <v>-8.8984980000000005E-2</v>
      </c>
      <c r="AA5767">
        <v>0.91724030000000001</v>
      </c>
      <c r="AB5767">
        <v>20</v>
      </c>
      <c r="AC5767">
        <v>21.598599999999902</v>
      </c>
      <c r="AD5767">
        <v>7.8985339999999997</v>
      </c>
      <c r="AE5767">
        <v>-81.946678800000001</v>
      </c>
      <c r="AF5767">
        <v>-32.778820633470801</v>
      </c>
      <c r="AG5767">
        <v>7.8985339999999997</v>
      </c>
      <c r="AH5767">
        <v>77.3572241856331</v>
      </c>
      <c r="AI5767">
        <v>84.629243169255702</v>
      </c>
      <c r="AJ5767">
        <v>112.963983921966</v>
      </c>
      <c r="AK5767">
        <v>84.3858877726407</v>
      </c>
      <c r="AL5767">
        <v>88.393275967006105</v>
      </c>
      <c r="AM5767">
        <v>97.230375078052703</v>
      </c>
      <c r="AN5767">
        <v>1.0000000253134</v>
      </c>
    </row>
    <row r="5768" spans="1:40" x14ac:dyDescent="0.25">
      <c r="A5768" t="str">
        <f>"20190312160449708"</f>
        <v>20190312160449708</v>
      </c>
      <c r="B5768" t="str">
        <f>"1552377889701087"</f>
        <v>1552377889701087</v>
      </c>
      <c r="C5768" t="s">
        <v>40</v>
      </c>
      <c r="D5768">
        <v>6.2448899999999998</v>
      </c>
      <c r="E5768">
        <v>0.3957466</v>
      </c>
      <c r="F5768" t="s">
        <v>100</v>
      </c>
      <c r="G5768">
        <v>-398.83409999999998</v>
      </c>
      <c r="H5768">
        <v>8.7372440000000005</v>
      </c>
      <c r="I5768">
        <v>0.69267080000000003</v>
      </c>
      <c r="J5768">
        <v>-420.19470000000001</v>
      </c>
      <c r="K5768">
        <v>1.1099129999999999</v>
      </c>
      <c r="L5768">
        <v>82.442779999999999</v>
      </c>
      <c r="M5768">
        <v>-0.1423374</v>
      </c>
      <c r="N5768">
        <v>0</v>
      </c>
      <c r="O5768">
        <v>-0.98977400000000004</v>
      </c>
      <c r="P5768">
        <v>-1.7770879999999999E-2</v>
      </c>
      <c r="Q5768">
        <v>1.9465219999999998E-2</v>
      </c>
      <c r="R5768">
        <v>-0.99965320000000002</v>
      </c>
      <c r="S5768">
        <v>0.78326419999999997</v>
      </c>
      <c r="T5768">
        <v>0.2800549</v>
      </c>
      <c r="U5768">
        <v>-3.008972</v>
      </c>
      <c r="V5768">
        <v>-0.1247134</v>
      </c>
      <c r="W5768">
        <v>2.874343E-2</v>
      </c>
      <c r="X5768">
        <v>0.9917764</v>
      </c>
      <c r="Y5768">
        <v>-0.38613249999999999</v>
      </c>
      <c r="Z5768">
        <v>-8.6228620000000006E-2</v>
      </c>
      <c r="AA5768">
        <v>0.9184042</v>
      </c>
      <c r="AB5768">
        <v>20</v>
      </c>
      <c r="AC5768">
        <v>21.360600000000002</v>
      </c>
      <c r="AD5768">
        <v>7.6273309999999999</v>
      </c>
      <c r="AE5768">
        <v>-81.750109199999997</v>
      </c>
      <c r="AF5768">
        <v>-32.514746930490503</v>
      </c>
      <c r="AG5768">
        <v>7.6273309999999999</v>
      </c>
      <c r="AH5768">
        <v>77.247662359340694</v>
      </c>
      <c r="AI5768">
        <v>84.800092297307202</v>
      </c>
      <c r="AJ5768">
        <v>112.826985329466</v>
      </c>
      <c r="AK5768">
        <v>84.158102914218006</v>
      </c>
      <c r="AL5768">
        <v>88.352895953767799</v>
      </c>
      <c r="AM5768">
        <v>97.167181993160298</v>
      </c>
      <c r="AN5768">
        <v>1.00000002225234</v>
      </c>
    </row>
    <row r="5769" spans="1:40" x14ac:dyDescent="0.25">
      <c r="A5769" t="str">
        <f>"20190312160449730"</f>
        <v>20190312160449730</v>
      </c>
      <c r="B5769" t="str">
        <f>"1552377889720607"</f>
        <v>1552377889720607</v>
      </c>
      <c r="C5769" t="s">
        <v>40</v>
      </c>
      <c r="D5769">
        <v>8.4297170000000001</v>
      </c>
      <c r="E5769">
        <v>0.39565040000000001</v>
      </c>
      <c r="F5769" t="s">
        <v>100</v>
      </c>
      <c r="G5769">
        <v>-399.33870000000002</v>
      </c>
      <c r="H5769">
        <v>8.5003700000000002</v>
      </c>
      <c r="I5769">
        <v>1.9845699999999999</v>
      </c>
      <c r="J5769">
        <v>-420.2226</v>
      </c>
      <c r="K5769">
        <v>1.1099019999999999</v>
      </c>
      <c r="L5769">
        <v>82.246579999999994</v>
      </c>
      <c r="M5769">
        <v>-0.1420835</v>
      </c>
      <c r="N5769">
        <v>0</v>
      </c>
      <c r="O5769">
        <v>-0.98981079999999999</v>
      </c>
      <c r="P5769">
        <v>-1.8629159999999999E-2</v>
      </c>
      <c r="Q5769">
        <v>1.9699129999999999E-2</v>
      </c>
      <c r="R5769">
        <v>-0.99963239999999998</v>
      </c>
      <c r="S5769">
        <v>0.78012079999999995</v>
      </c>
      <c r="T5769">
        <v>0.27644030000000003</v>
      </c>
      <c r="U5769">
        <v>-3.0095519999999998</v>
      </c>
      <c r="V5769">
        <v>-0.1236066</v>
      </c>
      <c r="W5769">
        <v>2.8910720000000001E-2</v>
      </c>
      <c r="X5769">
        <v>0.99191010000000002</v>
      </c>
      <c r="Y5769">
        <v>-0.38497819999999999</v>
      </c>
      <c r="Z5769">
        <v>-8.5146659999999999E-2</v>
      </c>
      <c r="AA5769">
        <v>0.91898950000000001</v>
      </c>
      <c r="AB5769">
        <v>20</v>
      </c>
      <c r="AC5769">
        <v>20.883899999999901</v>
      </c>
      <c r="AD5769">
        <v>7.3904679999999896</v>
      </c>
      <c r="AE5769">
        <v>-80.262010000000004</v>
      </c>
      <c r="AF5769">
        <v>-31.823699061151402</v>
      </c>
      <c r="AG5769">
        <v>7.3904679999999896</v>
      </c>
      <c r="AH5769">
        <v>75.877725419310806</v>
      </c>
      <c r="AI5769">
        <v>84.867479176256197</v>
      </c>
      <c r="AJ5769">
        <v>112.75354997447501</v>
      </c>
      <c r="AK5769">
        <v>82.612323862739004</v>
      </c>
      <c r="AL5769">
        <v>88.343306977240701</v>
      </c>
      <c r="AM5769">
        <v>97.103280050873593</v>
      </c>
      <c r="AN5769">
        <v>1.00000003388824</v>
      </c>
    </row>
    <row r="5770" spans="1:40" x14ac:dyDescent="0.25">
      <c r="A5770" t="str">
        <f>"20190312160449752"</f>
        <v>20190312160449752</v>
      </c>
      <c r="B5770" t="str">
        <f>"1552377889740862"</f>
        <v>1552377889740862</v>
      </c>
      <c r="C5770" t="s">
        <v>40</v>
      </c>
      <c r="D5770">
        <v>3.4860699999999998</v>
      </c>
      <c r="E5770">
        <v>0.39580880000000002</v>
      </c>
      <c r="F5770" t="s">
        <v>100</v>
      </c>
      <c r="G5770">
        <v>-399.46809999999999</v>
      </c>
      <c r="H5770">
        <v>8.4026499999999995</v>
      </c>
      <c r="I5770">
        <v>1.983252</v>
      </c>
      <c r="J5770">
        <v>-420.25119999999998</v>
      </c>
      <c r="K5770">
        <v>1.109891</v>
      </c>
      <c r="L5770">
        <v>82.045439999999999</v>
      </c>
      <c r="M5770">
        <v>-0.14182310000000001</v>
      </c>
      <c r="N5770">
        <v>0</v>
      </c>
      <c r="O5770">
        <v>-0.98984890000000003</v>
      </c>
      <c r="P5770">
        <v>-1.8831090000000002E-2</v>
      </c>
      <c r="Q5770">
        <v>2.0031139999999999E-2</v>
      </c>
      <c r="R5770">
        <v>-0.99962220000000002</v>
      </c>
      <c r="S5770">
        <v>0.77838130000000005</v>
      </c>
      <c r="T5770">
        <v>0.27350869999999999</v>
      </c>
      <c r="U5770">
        <v>-3.0102229999999999</v>
      </c>
      <c r="V5770">
        <v>-0.1231444</v>
      </c>
      <c r="W5770">
        <v>2.9179549999999999E-2</v>
      </c>
      <c r="X5770">
        <v>0.9919597</v>
      </c>
      <c r="Y5770">
        <v>-0.38420749999999998</v>
      </c>
      <c r="Z5770">
        <v>-8.4258180000000002E-2</v>
      </c>
      <c r="AA5770">
        <v>0.91939389999999999</v>
      </c>
      <c r="AB5770">
        <v>20</v>
      </c>
      <c r="AC5770">
        <v>20.783099999999902</v>
      </c>
      <c r="AD5770">
        <v>7.2927589999999904</v>
      </c>
      <c r="AE5770">
        <v>-80.062188000000006</v>
      </c>
      <c r="AF5770">
        <v>-31.681885140483001</v>
      </c>
      <c r="AG5770">
        <v>7.2927589999999904</v>
      </c>
      <c r="AH5770">
        <v>75.716630985625599</v>
      </c>
      <c r="AI5770">
        <v>84.922495706720298</v>
      </c>
      <c r="AJ5770">
        <v>112.705752345668</v>
      </c>
      <c r="AK5770">
        <v>82.401058170998297</v>
      </c>
      <c r="AL5770">
        <v>88.327897625402102</v>
      </c>
      <c r="AM5770">
        <v>97.076638429765893</v>
      </c>
      <c r="AN5770">
        <v>1.00000001790682</v>
      </c>
    </row>
    <row r="5771" spans="1:40" x14ac:dyDescent="0.25">
      <c r="A5771" t="str">
        <f>"20190312160449775"</f>
        <v>20190312160449775</v>
      </c>
      <c r="B5771" t="str">
        <f>"1552377889771118"</f>
        <v>1552377889771118</v>
      </c>
      <c r="C5771" t="s">
        <v>40</v>
      </c>
      <c r="D5771">
        <v>6.0738830000000004</v>
      </c>
      <c r="E5771">
        <v>0.438469</v>
      </c>
      <c r="F5771" t="s">
        <v>100</v>
      </c>
      <c r="G5771">
        <v>-399.6044</v>
      </c>
      <c r="H5771">
        <v>8.3172250000000005</v>
      </c>
      <c r="I5771">
        <v>1.981865</v>
      </c>
      <c r="J5771">
        <v>-420.28</v>
      </c>
      <c r="K5771">
        <v>1.109885</v>
      </c>
      <c r="L5771">
        <v>81.842320000000001</v>
      </c>
      <c r="M5771">
        <v>-0.14155980000000001</v>
      </c>
      <c r="N5771">
        <v>0</v>
      </c>
      <c r="O5771">
        <v>-0.98988699999999996</v>
      </c>
      <c r="P5771">
        <v>-1.9683429999999998E-2</v>
      </c>
      <c r="Q5771">
        <v>1.950197E-2</v>
      </c>
      <c r="R5771">
        <v>-0.99961599999999995</v>
      </c>
      <c r="S5771">
        <v>0.77630619999999995</v>
      </c>
      <c r="T5771">
        <v>0.27099060000000003</v>
      </c>
      <c r="U5771">
        <v>-3.010345</v>
      </c>
      <c r="V5771">
        <v>-0.1220353</v>
      </c>
      <c r="W5771">
        <v>2.8593759999999999E-2</v>
      </c>
      <c r="X5771">
        <v>0.99211380000000005</v>
      </c>
      <c r="Y5771">
        <v>-0.38337510000000002</v>
      </c>
      <c r="Z5771">
        <v>-8.3512680000000006E-2</v>
      </c>
      <c r="AA5771">
        <v>0.91980930000000005</v>
      </c>
      <c r="AB5771">
        <v>20</v>
      </c>
      <c r="AC5771">
        <v>20.6755999999999</v>
      </c>
      <c r="AD5771">
        <v>7.2073399999999896</v>
      </c>
      <c r="AE5771">
        <v>-79.860455000000002</v>
      </c>
      <c r="AF5771">
        <v>-31.532187092834999</v>
      </c>
      <c r="AG5771">
        <v>7.2073399999999896</v>
      </c>
      <c r="AH5771">
        <v>75.552497917891401</v>
      </c>
      <c r="AI5771">
        <v>84.9689069081996</v>
      </c>
      <c r="AJ5771">
        <v>112.653444634347</v>
      </c>
      <c r="AK5771">
        <v>82.185184275306796</v>
      </c>
      <c r="AL5771">
        <v>88.361474910597394</v>
      </c>
      <c r="AM5771">
        <v>97.012461770333402</v>
      </c>
      <c r="AN5771">
        <v>1.0000000048537301</v>
      </c>
    </row>
    <row r="5772" spans="1:40" x14ac:dyDescent="0.25">
      <c r="A5772" t="str">
        <f>"20190312160449797"</f>
        <v>20190312160449797</v>
      </c>
      <c r="B5772" t="str">
        <f>"1552377889790654"</f>
        <v>1552377889790654</v>
      </c>
      <c r="C5772" t="s">
        <v>40</v>
      </c>
      <c r="D5772">
        <v>6.1436089999999997</v>
      </c>
      <c r="E5772">
        <v>0.48253879999999999</v>
      </c>
      <c r="F5772" t="s">
        <v>100</v>
      </c>
      <c r="G5772">
        <v>-408.54360000000003</v>
      </c>
      <c r="H5772">
        <v>9.6103400000000008</v>
      </c>
      <c r="I5772">
        <v>0.59392739999999999</v>
      </c>
      <c r="J5772">
        <v>-420.30880000000002</v>
      </c>
      <c r="K5772">
        <v>1.1098730000000001</v>
      </c>
      <c r="L5772">
        <v>81.638980000000004</v>
      </c>
      <c r="M5772">
        <v>-0.1412948</v>
      </c>
      <c r="N5772">
        <v>0</v>
      </c>
      <c r="O5772">
        <v>-0.98992550000000001</v>
      </c>
      <c r="P5772">
        <v>-1.9310359999999999E-2</v>
      </c>
      <c r="Q5772">
        <v>1.944796E-2</v>
      </c>
      <c r="R5772">
        <v>-0.99962439999999997</v>
      </c>
      <c r="S5772">
        <v>0.43386839999999999</v>
      </c>
      <c r="T5772">
        <v>0.31424180000000002</v>
      </c>
      <c r="U5772">
        <v>-3.003571</v>
      </c>
      <c r="V5772">
        <v>-0.12214029999999999</v>
      </c>
      <c r="W5772">
        <v>2.848127E-2</v>
      </c>
      <c r="X5772">
        <v>0.99210410000000004</v>
      </c>
      <c r="Y5772">
        <v>-0.28064450000000002</v>
      </c>
      <c r="Z5772">
        <v>-9.9879809999999999E-2</v>
      </c>
      <c r="AA5772">
        <v>0.95460080000000003</v>
      </c>
      <c r="AB5772">
        <v>20</v>
      </c>
      <c r="AC5772">
        <v>11.765199999999901</v>
      </c>
      <c r="AD5772">
        <v>8.5004669999999898</v>
      </c>
      <c r="AE5772">
        <v>-81.045052599999906</v>
      </c>
      <c r="AF5772">
        <v>-22.852664200105401</v>
      </c>
      <c r="AG5772">
        <v>8.5004669999999898</v>
      </c>
      <c r="AH5772">
        <v>77.731993096457202</v>
      </c>
      <c r="AI5772">
        <v>84.010667413847003</v>
      </c>
      <c r="AJ5772">
        <v>106.382968569442</v>
      </c>
      <c r="AK5772">
        <v>81.466342442805995</v>
      </c>
      <c r="AL5772">
        <v>88.367922715318798</v>
      </c>
      <c r="AM5772">
        <v>97.018503126876595</v>
      </c>
      <c r="AN5772">
        <v>0.99999999043085597</v>
      </c>
    </row>
    <row r="5773" spans="1:40" x14ac:dyDescent="0.25">
      <c r="A5773" t="str">
        <f>"20190312160449819"</f>
        <v>20190312160449819</v>
      </c>
      <c r="B5773" t="str">
        <f>"1552377889811138"</f>
        <v>1552377889811138</v>
      </c>
      <c r="C5773" t="s">
        <v>40</v>
      </c>
      <c r="D5773">
        <v>6.0800190000000001</v>
      </c>
      <c r="E5773">
        <v>0.48700139999999997</v>
      </c>
      <c r="F5773" t="s">
        <v>100</v>
      </c>
      <c r="G5773">
        <v>-418.02499999999998</v>
      </c>
      <c r="H5773">
        <v>12.269539999999999</v>
      </c>
      <c r="I5773">
        <v>0.49751279999999998</v>
      </c>
      <c r="J5773">
        <v>-420.33710000000002</v>
      </c>
      <c r="K5773">
        <v>1.1098709999999901</v>
      </c>
      <c r="L5773">
        <v>81.438659999999999</v>
      </c>
      <c r="M5773">
        <v>-0.14102719999999999</v>
      </c>
      <c r="N5773">
        <v>0</v>
      </c>
      <c r="O5773">
        <v>-0.98996419999999996</v>
      </c>
      <c r="P5773">
        <v>-1.8906929999999999E-2</v>
      </c>
      <c r="Q5773">
        <v>1.944123E-2</v>
      </c>
      <c r="R5773">
        <v>-0.99963250000000003</v>
      </c>
      <c r="S5773">
        <v>8.4289550000000005E-2</v>
      </c>
      <c r="T5773">
        <v>0.4118772</v>
      </c>
      <c r="U5773">
        <v>-2.9947509999999999</v>
      </c>
      <c r="V5773">
        <v>-0.12227250000000001</v>
      </c>
      <c r="W5773">
        <v>2.84155E-2</v>
      </c>
      <c r="X5773">
        <v>0.99208969999999996</v>
      </c>
      <c r="Y5773">
        <v>-0.16856779999999999</v>
      </c>
      <c r="Z5773">
        <v>-0.13321069999999999</v>
      </c>
      <c r="AA5773">
        <v>0.97664720000000005</v>
      </c>
      <c r="AB5773">
        <v>20</v>
      </c>
      <c r="AC5773">
        <v>2.31210000000004</v>
      </c>
      <c r="AD5773">
        <v>11.159668999999999</v>
      </c>
      <c r="AE5773">
        <v>-80.941147200000003</v>
      </c>
      <c r="AF5773">
        <v>-13.4489181375209</v>
      </c>
      <c r="AG5773">
        <v>11.159668999999999</v>
      </c>
      <c r="AH5773">
        <v>78.318491282892694</v>
      </c>
      <c r="AI5773">
        <v>82.005928583896505</v>
      </c>
      <c r="AJ5773">
        <v>99.743846173824707</v>
      </c>
      <c r="AK5773">
        <v>80.244611582883493</v>
      </c>
      <c r="AL5773">
        <v>88.371692582040396</v>
      </c>
      <c r="AM5773">
        <v>97.026124762858103</v>
      </c>
      <c r="AN5773">
        <v>0.99999998887129404</v>
      </c>
    </row>
    <row r="5774" spans="1:40" x14ac:dyDescent="0.25">
      <c r="A5774" t="str">
        <f>"20190312160449841"</f>
        <v>20190312160449841</v>
      </c>
      <c r="B5774" t="str">
        <f>"1552377889830654"</f>
        <v>1552377889830654</v>
      </c>
      <c r="C5774" t="s">
        <v>40</v>
      </c>
      <c r="D5774">
        <v>6.134817</v>
      </c>
      <c r="E5774">
        <v>0.48847649999999998</v>
      </c>
      <c r="F5774" t="s">
        <v>100</v>
      </c>
      <c r="G5774">
        <v>-418.98250000000002</v>
      </c>
      <c r="H5774">
        <v>11.515890000000001</v>
      </c>
      <c r="I5774">
        <v>0.48777389999999998</v>
      </c>
      <c r="J5774">
        <v>-420.36579999999998</v>
      </c>
      <c r="K5774">
        <v>1.109874</v>
      </c>
      <c r="L5774">
        <v>81.23563</v>
      </c>
      <c r="M5774">
        <v>-0.14074310000000001</v>
      </c>
      <c r="N5774">
        <v>0</v>
      </c>
      <c r="O5774">
        <v>-0.99000509999999997</v>
      </c>
      <c r="P5774">
        <v>-1.9491629999999999E-2</v>
      </c>
      <c r="Q5774">
        <v>1.9633299999999999E-2</v>
      </c>
      <c r="R5774">
        <v>-0.99961750000000005</v>
      </c>
      <c r="S5774">
        <v>5.0109859999999999E-2</v>
      </c>
      <c r="T5774">
        <v>0.38494270000000003</v>
      </c>
      <c r="U5774">
        <v>-2.9945680000000001</v>
      </c>
      <c r="V5774">
        <v>-0.12140769999999999</v>
      </c>
      <c r="W5774">
        <v>2.8544659999999999E-2</v>
      </c>
      <c r="X5774">
        <v>0.99219219999999997</v>
      </c>
      <c r="Y5774">
        <v>-0.1571545</v>
      </c>
      <c r="Z5774">
        <v>-0.1247972</v>
      </c>
      <c r="AA5774">
        <v>0.97965720000000001</v>
      </c>
      <c r="AB5774">
        <v>20</v>
      </c>
      <c r="AC5774">
        <v>1.38329999999996</v>
      </c>
      <c r="AD5774">
        <v>10.406015999999999</v>
      </c>
      <c r="AE5774">
        <v>-80.747856099999893</v>
      </c>
      <c r="AF5774">
        <v>-12.526717474905199</v>
      </c>
      <c r="AG5774">
        <v>10.406015999999999</v>
      </c>
      <c r="AH5774">
        <v>78.446907635633096</v>
      </c>
      <c r="AI5774">
        <v>82.537265520761395</v>
      </c>
      <c r="AJ5774">
        <v>99.072623566487593</v>
      </c>
      <c r="AK5774">
        <v>80.119417978926293</v>
      </c>
      <c r="AL5774">
        <v>88.364289265176197</v>
      </c>
      <c r="AM5774">
        <v>96.976208744232693</v>
      </c>
      <c r="AN5774">
        <v>0.99999999448732202</v>
      </c>
    </row>
    <row r="5775" spans="1:40" x14ac:dyDescent="0.25">
      <c r="A5775" t="str">
        <f>"20190312160449865"</f>
        <v>20190312160449865</v>
      </c>
      <c r="B5775" t="str">
        <f>"1552377889860522"</f>
        <v>1552377889860522</v>
      </c>
      <c r="C5775" t="s">
        <v>40</v>
      </c>
      <c r="D5775">
        <v>6.133705</v>
      </c>
      <c r="E5775">
        <v>0.48985450000000003</v>
      </c>
      <c r="F5775" t="s">
        <v>100</v>
      </c>
      <c r="G5775">
        <v>-419.39870000000002</v>
      </c>
      <c r="H5775">
        <v>11.09076</v>
      </c>
      <c r="I5775">
        <v>0.48353580000000002</v>
      </c>
      <c r="J5775">
        <v>-420.39510000000001</v>
      </c>
      <c r="K5775">
        <v>1.109877</v>
      </c>
      <c r="L5775">
        <v>81.02664</v>
      </c>
      <c r="M5775">
        <v>-0.14042760000000001</v>
      </c>
      <c r="N5775">
        <v>0</v>
      </c>
      <c r="O5775">
        <v>-0.9900504</v>
      </c>
      <c r="P5775">
        <v>-2.0085120000000001E-2</v>
      </c>
      <c r="Q5775">
        <v>1.98868E-2</v>
      </c>
      <c r="R5775">
        <v>-0.99960039999999994</v>
      </c>
      <c r="S5775">
        <v>3.5858149999999998E-2</v>
      </c>
      <c r="T5775">
        <v>0.37012469999999997</v>
      </c>
      <c r="U5775">
        <v>-2.9945680000000001</v>
      </c>
      <c r="V5775">
        <v>-0.120502</v>
      </c>
      <c r="W5775">
        <v>2.8730559999999999E-2</v>
      </c>
      <c r="X5775">
        <v>0.99229719999999999</v>
      </c>
      <c r="Y5775">
        <v>-0.15218419999999999</v>
      </c>
      <c r="Z5775">
        <v>-0.120127</v>
      </c>
      <c r="AA5775">
        <v>0.98102469999999997</v>
      </c>
      <c r="AB5775">
        <v>21</v>
      </c>
      <c r="AC5775">
        <v>0.99639999999999396</v>
      </c>
      <c r="AD5775">
        <v>9.9808830000000004</v>
      </c>
      <c r="AE5775">
        <v>-80.543104200000002</v>
      </c>
      <c r="AF5775">
        <v>-12.111497730716399</v>
      </c>
      <c r="AG5775">
        <v>9.9808830000000004</v>
      </c>
      <c r="AH5775">
        <v>78.401252463384395</v>
      </c>
      <c r="AI5775">
        <v>82.829135935375803</v>
      </c>
      <c r="AJ5775">
        <v>98.781687465455605</v>
      </c>
      <c r="AK5775">
        <v>79.956630685442093</v>
      </c>
      <c r="AL5775">
        <v>88.353633544519198</v>
      </c>
      <c r="AM5775">
        <v>96.923947859465898</v>
      </c>
      <c r="AN5775">
        <v>0.99999995510487505</v>
      </c>
    </row>
    <row r="5776" spans="1:40" x14ac:dyDescent="0.25">
      <c r="A5776" t="str">
        <f>"20190312160449886"</f>
        <v>20190312160449886</v>
      </c>
      <c r="B5776" t="str">
        <f>"1552377889881018"</f>
        <v>1552377889881018</v>
      </c>
      <c r="C5776" t="s">
        <v>40</v>
      </c>
      <c r="D5776">
        <v>5.7256210000000003</v>
      </c>
      <c r="E5776">
        <v>0.48981209999999997</v>
      </c>
      <c r="F5776" t="s">
        <v>100</v>
      </c>
      <c r="G5776">
        <v>-419.7901</v>
      </c>
      <c r="H5776">
        <v>10.636430000000001</v>
      </c>
      <c r="I5776">
        <v>0.47955700000000001</v>
      </c>
      <c r="J5776">
        <v>-420.42360000000002</v>
      </c>
      <c r="K5776">
        <v>1.10988</v>
      </c>
      <c r="L5776">
        <v>80.823669999999893</v>
      </c>
      <c r="M5776">
        <v>-0.14008760000000001</v>
      </c>
      <c r="N5776">
        <v>0</v>
      </c>
      <c r="O5776">
        <v>-0.99009919999999996</v>
      </c>
      <c r="P5776">
        <v>-2.0164419999999999E-2</v>
      </c>
      <c r="Q5776">
        <v>1.7860629999999999E-2</v>
      </c>
      <c r="R5776">
        <v>-0.99963740000000001</v>
      </c>
      <c r="S5776">
        <v>2.2491460000000001E-2</v>
      </c>
      <c r="T5776">
        <v>0.35417910000000002</v>
      </c>
      <c r="U5776">
        <v>-2.9945979999999999</v>
      </c>
      <c r="V5776">
        <v>-0.12008870000000001</v>
      </c>
      <c r="W5776">
        <v>2.6636610000000002E-2</v>
      </c>
      <c r="X5776">
        <v>0.9924058</v>
      </c>
      <c r="Y5776">
        <v>-0.14746979999999901</v>
      </c>
      <c r="Z5776">
        <v>-0.1150764</v>
      </c>
      <c r="AA5776">
        <v>0.98234929999999998</v>
      </c>
      <c r="AB5776">
        <v>21</v>
      </c>
      <c r="AC5776">
        <v>0.63350000000002604</v>
      </c>
      <c r="AD5776">
        <v>9.5265500000000003</v>
      </c>
      <c r="AE5776">
        <v>-80.344112999999993</v>
      </c>
      <c r="AF5776">
        <v>-11.7181725549641</v>
      </c>
      <c r="AG5776">
        <v>9.5265500000000003</v>
      </c>
      <c r="AH5776">
        <v>78.361400258040504</v>
      </c>
      <c r="AI5776">
        <v>83.143951175737499</v>
      </c>
      <c r="AJ5776">
        <v>98.504994040999705</v>
      </c>
      <c r="AK5776">
        <v>79.803381966751601</v>
      </c>
      <c r="AL5776">
        <v>88.473654196055804</v>
      </c>
      <c r="AM5776">
        <v>96.899681491751593</v>
      </c>
      <c r="AN5776">
        <v>1.00000003836681</v>
      </c>
    </row>
    <row r="5777" spans="1:40" x14ac:dyDescent="0.25">
      <c r="A5777" t="str">
        <f>"20190312160449909"</f>
        <v>20190312160449909</v>
      </c>
      <c r="B5777" t="str">
        <f>"1552377889900542"</f>
        <v>1552377889900542</v>
      </c>
      <c r="C5777" t="s">
        <v>40</v>
      </c>
      <c r="D5777">
        <v>6.0774229999999996</v>
      </c>
      <c r="E5777">
        <v>0.49017880000000003</v>
      </c>
      <c r="F5777" t="s">
        <v>100</v>
      </c>
      <c r="G5777">
        <v>-419.81119999999999</v>
      </c>
      <c r="H5777">
        <v>10.23136</v>
      </c>
      <c r="I5777">
        <v>0.47933769999999998</v>
      </c>
      <c r="J5777">
        <v>-420.45150000000001</v>
      </c>
      <c r="K5777">
        <v>1.1098969999999999</v>
      </c>
      <c r="L5777">
        <v>80.622769999999903</v>
      </c>
      <c r="M5777">
        <v>-0.13970160000000001</v>
      </c>
      <c r="N5777">
        <v>0</v>
      </c>
      <c r="O5777">
        <v>-0.99015419999999998</v>
      </c>
      <c r="P5777">
        <v>-2.0245550000000001E-2</v>
      </c>
      <c r="Q5777">
        <v>1.554709E-2</v>
      </c>
      <c r="R5777">
        <v>-0.99967430000000002</v>
      </c>
      <c r="S5777">
        <v>2.2827150000000001E-2</v>
      </c>
      <c r="T5777">
        <v>0.34007549999999998</v>
      </c>
      <c r="U5777">
        <v>-2.9954830000000001</v>
      </c>
      <c r="V5777">
        <v>-0.1196275</v>
      </c>
      <c r="W5777">
        <v>2.4254629999999999E-2</v>
      </c>
      <c r="X5777">
        <v>0.99252249999999997</v>
      </c>
      <c r="Y5777">
        <v>-0.14719660000000001</v>
      </c>
      <c r="Z5777">
        <v>-0.1105324</v>
      </c>
      <c r="AA5777">
        <v>0.98291189999999995</v>
      </c>
      <c r="AB5777">
        <v>21</v>
      </c>
      <c r="AC5777">
        <v>0.64030000000002396</v>
      </c>
      <c r="AD5777">
        <v>9.1214630000000003</v>
      </c>
      <c r="AE5777">
        <v>-80.143432299999901</v>
      </c>
      <c r="AF5777">
        <v>-11.6793427888285</v>
      </c>
      <c r="AG5777">
        <v>9.1214630000000003</v>
      </c>
      <c r="AH5777">
        <v>78.254384094708001</v>
      </c>
      <c r="AI5777">
        <v>83.423701015725996</v>
      </c>
      <c r="AJ5777">
        <v>98.488645910998201</v>
      </c>
      <c r="AK5777">
        <v>79.645192982887707</v>
      </c>
      <c r="AL5777">
        <v>88.610175732846599</v>
      </c>
      <c r="AM5777">
        <v>96.872636840313604</v>
      </c>
      <c r="AN5777">
        <v>0.99999996941946701</v>
      </c>
    </row>
    <row r="5778" spans="1:40" x14ac:dyDescent="0.25">
      <c r="A5778" t="str">
        <f>"20190312160449930"</f>
        <v>20190312160449930</v>
      </c>
      <c r="B5778" t="str">
        <f>"1552377889921034"</f>
        <v>1552377889921034</v>
      </c>
      <c r="C5778" t="s">
        <v>40</v>
      </c>
      <c r="D5778">
        <v>6.0247089999999996</v>
      </c>
      <c r="E5778">
        <v>0.49042970000000002</v>
      </c>
      <c r="F5778" t="s">
        <v>100</v>
      </c>
      <c r="G5778">
        <v>-419.93889999999999</v>
      </c>
      <c r="H5778">
        <v>9.8688210000000005</v>
      </c>
      <c r="I5778">
        <v>0.47803879999999999</v>
      </c>
      <c r="J5778">
        <v>-420.48</v>
      </c>
      <c r="K5778">
        <v>1.1099380000000001</v>
      </c>
      <c r="L5778">
        <v>80.417789999999997</v>
      </c>
      <c r="M5778">
        <v>-0.13925100000000001</v>
      </c>
      <c r="N5778">
        <v>0</v>
      </c>
      <c r="O5778">
        <v>-0.9902183</v>
      </c>
      <c r="P5778">
        <v>-2.088512E-2</v>
      </c>
      <c r="Q5778">
        <v>1.7262400000000001E-2</v>
      </c>
      <c r="R5778">
        <v>-0.99963299999999999</v>
      </c>
      <c r="S5778">
        <v>1.9165040000000001E-2</v>
      </c>
      <c r="T5778">
        <v>0.32745859999999999</v>
      </c>
      <c r="U5778">
        <v>-2.9962770000000001</v>
      </c>
      <c r="V5778">
        <v>-0.1185397</v>
      </c>
      <c r="W5778">
        <v>2.5904449999999999E-2</v>
      </c>
      <c r="X5778">
        <v>0.99261129999999997</v>
      </c>
      <c r="Y5778">
        <v>-0.14554619999999999</v>
      </c>
      <c r="Z5778">
        <v>-0.106477</v>
      </c>
      <c r="AA5778">
        <v>0.98360510000000001</v>
      </c>
      <c r="AB5778">
        <v>21</v>
      </c>
      <c r="AC5778">
        <v>0.541100000000028</v>
      </c>
      <c r="AD5778">
        <v>8.7588830000000009</v>
      </c>
      <c r="AE5778">
        <v>-79.939751200000003</v>
      </c>
      <c r="AF5778">
        <v>-11.529537082378701</v>
      </c>
      <c r="AG5778">
        <v>8.7588830000000009</v>
      </c>
      <c r="AH5778">
        <v>78.147358802885904</v>
      </c>
      <c r="AI5778">
        <v>83.672812146525004</v>
      </c>
      <c r="AJ5778">
        <v>98.392637374224506</v>
      </c>
      <c r="AK5778">
        <v>79.477405245822098</v>
      </c>
      <c r="AL5778">
        <v>88.515618220668301</v>
      </c>
      <c r="AM5778">
        <v>96.810128511131097</v>
      </c>
      <c r="AN5778">
        <v>0.99999994694678895</v>
      </c>
    </row>
    <row r="5779" spans="1:40" x14ac:dyDescent="0.25">
      <c r="A5779" t="str">
        <f>"20190312160449953"</f>
        <v>20190312160449953</v>
      </c>
      <c r="B5779" t="str">
        <f>"1552377889950974"</f>
        <v>1552377889950974</v>
      </c>
      <c r="C5779" t="s">
        <v>40</v>
      </c>
      <c r="D5779">
        <v>6.0656189999999999</v>
      </c>
      <c r="E5779">
        <v>0.49105339999999997</v>
      </c>
      <c r="F5779" t="s">
        <v>100</v>
      </c>
      <c r="G5779">
        <v>-420.07279999999997</v>
      </c>
      <c r="H5779">
        <v>9.8946290000000001</v>
      </c>
      <c r="I5779">
        <v>0.47667880000000001</v>
      </c>
      <c r="J5779">
        <v>-420.50850000000003</v>
      </c>
      <c r="K5779">
        <v>1.109974</v>
      </c>
      <c r="L5779">
        <v>80.210999999999999</v>
      </c>
      <c r="M5779">
        <v>-0.13874510000000001</v>
      </c>
      <c r="N5779">
        <v>0</v>
      </c>
      <c r="O5779">
        <v>-0.99029</v>
      </c>
      <c r="P5779">
        <v>-2.1488509999999999E-2</v>
      </c>
      <c r="Q5779">
        <v>1.8765879999999999E-2</v>
      </c>
      <c r="R5779">
        <v>-0.99959350000000002</v>
      </c>
      <c r="S5779">
        <v>1.525879E-2</v>
      </c>
      <c r="T5779">
        <v>0.32919809999999999</v>
      </c>
      <c r="U5779">
        <v>-2.9957280000000002</v>
      </c>
      <c r="V5779">
        <v>-0.1174327</v>
      </c>
      <c r="W5779">
        <v>2.7346369999999998E-2</v>
      </c>
      <c r="X5779">
        <v>0.99270429999999998</v>
      </c>
      <c r="Y5779">
        <v>-0.14375879999999999</v>
      </c>
      <c r="Z5779">
        <v>-0.1070817</v>
      </c>
      <c r="AA5779">
        <v>0.98380230000000002</v>
      </c>
      <c r="AB5779">
        <v>21</v>
      </c>
      <c r="AC5779">
        <v>0.43570000000005299</v>
      </c>
      <c r="AD5779">
        <v>8.7846550000000008</v>
      </c>
      <c r="AE5779">
        <v>-79.734321199999997</v>
      </c>
      <c r="AF5779">
        <v>-11.3568012813463</v>
      </c>
      <c r="AG5779">
        <v>8.7846550000000008</v>
      </c>
      <c r="AH5779">
        <v>77.956396899743794</v>
      </c>
      <c r="AI5779">
        <v>83.637250394277302</v>
      </c>
      <c r="AJ5779">
        <v>98.288623979166005</v>
      </c>
      <c r="AK5779">
        <v>79.2675653492864</v>
      </c>
      <c r="AL5779">
        <v>88.432973133257804</v>
      </c>
      <c r="AM5779">
        <v>96.746493924325506</v>
      </c>
      <c r="AN5779">
        <v>1.00000004510997</v>
      </c>
    </row>
    <row r="5780" spans="1:40" x14ac:dyDescent="0.25">
      <c r="A5780" t="str">
        <f>"20190312160449976"</f>
        <v>20190312160449976</v>
      </c>
      <c r="B5780" t="str">
        <f>"1552377889970496"</f>
        <v>1552377889970496</v>
      </c>
      <c r="C5780" t="s">
        <v>40</v>
      </c>
      <c r="D5780">
        <v>6.1182639999999999</v>
      </c>
      <c r="E5780">
        <v>0.49126180000000003</v>
      </c>
      <c r="F5780" t="s">
        <v>100</v>
      </c>
      <c r="G5780">
        <v>-420.30610000000001</v>
      </c>
      <c r="H5780">
        <v>9.8805119999999995</v>
      </c>
      <c r="I5780">
        <v>0.47430610000000001</v>
      </c>
      <c r="J5780">
        <v>-420.53769999999997</v>
      </c>
      <c r="K5780">
        <v>1.1099939999999999</v>
      </c>
      <c r="L5780">
        <v>79.997100000000003</v>
      </c>
      <c r="M5780">
        <v>-0.1381655</v>
      </c>
      <c r="N5780">
        <v>0</v>
      </c>
      <c r="O5780">
        <v>-0.99037120000000001</v>
      </c>
      <c r="P5780">
        <v>-2.0975440000000001E-2</v>
      </c>
      <c r="Q5780">
        <v>1.802919E-2</v>
      </c>
      <c r="R5780">
        <v>-0.99961730000000004</v>
      </c>
      <c r="S5780">
        <v>7.59887699999999E-3</v>
      </c>
      <c r="T5780">
        <v>0.3294532</v>
      </c>
      <c r="U5780">
        <v>-2.995209</v>
      </c>
      <c r="V5780">
        <v>-0.1173647</v>
      </c>
      <c r="W5780">
        <v>2.6546050000000002E-2</v>
      </c>
      <c r="X5780">
        <v>0.99273400000000001</v>
      </c>
      <c r="Y5780">
        <v>-0.14066400000000001</v>
      </c>
      <c r="Z5780">
        <v>-0.1072203</v>
      </c>
      <c r="AA5780">
        <v>0.98423450000000001</v>
      </c>
      <c r="AB5780">
        <v>21</v>
      </c>
      <c r="AC5780">
        <v>0.23159999999995701</v>
      </c>
      <c r="AD5780">
        <v>8.7705179999999991</v>
      </c>
      <c r="AE5780">
        <v>-79.522793899999996</v>
      </c>
      <c r="AF5780">
        <v>-11.082297144965199</v>
      </c>
      <c r="AG5780">
        <v>8.7705179999999991</v>
      </c>
      <c r="AH5780">
        <v>77.781933755161603</v>
      </c>
      <c r="AI5780">
        <v>83.630419370194005</v>
      </c>
      <c r="AJ5780">
        <v>98.108872174806393</v>
      </c>
      <c r="AK5780">
        <v>79.055477449004002</v>
      </c>
      <c r="AL5780">
        <v>88.478844648535599</v>
      </c>
      <c r="AM5780">
        <v>96.742423446647194</v>
      </c>
      <c r="AN5780">
        <v>0.99999998016634595</v>
      </c>
    </row>
    <row r="5781" spans="1:40" x14ac:dyDescent="0.25">
      <c r="A5781" t="str">
        <f>"20190312160449997"</f>
        <v>20190312160449997</v>
      </c>
      <c r="B5781" t="str">
        <f>"1552377889990990"</f>
        <v>1552377889990990</v>
      </c>
      <c r="C5781" t="s">
        <v>40</v>
      </c>
      <c r="D5781">
        <v>5.9446849999999998</v>
      </c>
      <c r="E5781">
        <v>0.4914211</v>
      </c>
      <c r="F5781" t="s">
        <v>100</v>
      </c>
      <c r="G5781">
        <v>-420.3433</v>
      </c>
      <c r="H5781">
        <v>9.7268360000000005</v>
      </c>
      <c r="I5781">
        <v>0.47392649999999997</v>
      </c>
      <c r="J5781">
        <v>-420.56549999999999</v>
      </c>
      <c r="K5781">
        <v>1.110017</v>
      </c>
      <c r="L5781">
        <v>79.793549999999996</v>
      </c>
      <c r="M5781">
        <v>-0.13755800000000001</v>
      </c>
      <c r="N5781">
        <v>0</v>
      </c>
      <c r="O5781">
        <v>-0.99045620000000001</v>
      </c>
      <c r="P5781">
        <v>-1.9142619999999999E-2</v>
      </c>
      <c r="Q5781">
        <v>1.8433229999999998E-2</v>
      </c>
      <c r="R5781">
        <v>-0.99964699999999995</v>
      </c>
      <c r="S5781">
        <v>7.3242189999999999E-3</v>
      </c>
      <c r="T5781">
        <v>0.32457530000000001</v>
      </c>
      <c r="U5781">
        <v>-2.9954529999999999</v>
      </c>
      <c r="V5781">
        <v>-0.11857769999999999</v>
      </c>
      <c r="W5781">
        <v>2.6888769999999999E-2</v>
      </c>
      <c r="X5781">
        <v>0.99258069999999998</v>
      </c>
      <c r="Y5781">
        <v>-0.1399668</v>
      </c>
      <c r="Z5781">
        <v>-0.1056617</v>
      </c>
      <c r="AA5781">
        <v>0.9845024</v>
      </c>
      <c r="AB5781">
        <v>21</v>
      </c>
      <c r="AC5781">
        <v>0.22219999999998599</v>
      </c>
      <c r="AD5781">
        <v>8.6168189999999996</v>
      </c>
      <c r="AE5781">
        <v>-79.319623499999906</v>
      </c>
      <c r="AF5781">
        <v>-11.0017074818351</v>
      </c>
      <c r="AG5781">
        <v>8.6168189999999996</v>
      </c>
      <c r="AH5781">
        <v>77.618962228509204</v>
      </c>
      <c r="AI5781">
        <v>83.727472148726903</v>
      </c>
      <c r="AJ5781">
        <v>98.067362090790596</v>
      </c>
      <c r="AK5781">
        <v>78.866915970040097</v>
      </c>
      <c r="AL5781">
        <v>88.459201351582806</v>
      </c>
      <c r="AM5781">
        <v>96.812499145981505</v>
      </c>
      <c r="AN5781">
        <v>1.0000000614509399</v>
      </c>
    </row>
    <row r="5782" spans="1:40" x14ac:dyDescent="0.25">
      <c r="A5782" t="str">
        <f>"20190312160450020"</f>
        <v>20190312160450020</v>
      </c>
      <c r="B5782" t="str">
        <f>"1552377890010514"</f>
        <v>1552377890010514</v>
      </c>
      <c r="C5782" t="s">
        <v>40</v>
      </c>
      <c r="D5782">
        <v>6.0720749999999999</v>
      </c>
      <c r="E5782">
        <v>0.4916703</v>
      </c>
      <c r="F5782" t="s">
        <v>100</v>
      </c>
      <c r="G5782">
        <v>-420.2373</v>
      </c>
      <c r="H5782">
        <v>9.6870019999999997</v>
      </c>
      <c r="I5782">
        <v>0.47500229999999999</v>
      </c>
      <c r="J5782">
        <v>-420.5933</v>
      </c>
      <c r="K5782">
        <v>1.110042</v>
      </c>
      <c r="L5782">
        <v>79.587590000000006</v>
      </c>
      <c r="M5782">
        <v>-0.13688979999999901</v>
      </c>
      <c r="N5782">
        <v>0</v>
      </c>
      <c r="O5782">
        <v>-0.99054929999999997</v>
      </c>
      <c r="P5782">
        <v>-1.8348659999999999E-2</v>
      </c>
      <c r="Q5782">
        <v>1.8680430000000001E-2</v>
      </c>
      <c r="R5782">
        <v>-0.99965740000000003</v>
      </c>
      <c r="S5782">
        <v>1.2390139999999999E-2</v>
      </c>
      <c r="T5782">
        <v>0.32389430000000002</v>
      </c>
      <c r="U5782">
        <v>-2.9953310000000002</v>
      </c>
      <c r="V5782">
        <v>-0.11869830000000001</v>
      </c>
      <c r="W5782">
        <v>2.70823E-2</v>
      </c>
      <c r="X5782">
        <v>0.99256100000000003</v>
      </c>
      <c r="Y5782">
        <v>-0.1409639</v>
      </c>
      <c r="Z5782">
        <v>-0.1054537</v>
      </c>
      <c r="AA5782">
        <v>0.98438239999999999</v>
      </c>
      <c r="AB5782">
        <v>21</v>
      </c>
      <c r="AC5782">
        <v>0.35599999999999399</v>
      </c>
      <c r="AD5782">
        <v>8.5769599999999997</v>
      </c>
      <c r="AE5782">
        <v>-79.112587699999906</v>
      </c>
      <c r="AF5782">
        <v>-11.0528420742411</v>
      </c>
      <c r="AG5782">
        <v>8.5769599999999997</v>
      </c>
      <c r="AH5782">
        <v>77.409226280971296</v>
      </c>
      <c r="AI5782">
        <v>83.740379112443406</v>
      </c>
      <c r="AJ5782">
        <v>98.126026620940806</v>
      </c>
      <c r="AK5782">
        <v>78.663319750556695</v>
      </c>
      <c r="AL5782">
        <v>88.448108824109397</v>
      </c>
      <c r="AM5782">
        <v>96.819496687549503</v>
      </c>
      <c r="AN5782">
        <v>1.0000000380585801</v>
      </c>
    </row>
    <row r="5783" spans="1:40" x14ac:dyDescent="0.25">
      <c r="A5783" t="str">
        <f>"20190312160450035"</f>
        <v>20190312160450035</v>
      </c>
      <c r="B5783" t="str">
        <f>"1552377890031007"</f>
        <v>1552377890031007</v>
      </c>
      <c r="C5783" t="s">
        <v>40</v>
      </c>
      <c r="D5783">
        <v>6.3565430000000003</v>
      </c>
      <c r="E5783">
        <v>0.49172270000000001</v>
      </c>
      <c r="F5783" t="s">
        <v>100</v>
      </c>
      <c r="G5783">
        <v>-420.26119999999997</v>
      </c>
      <c r="H5783">
        <v>9.6273789999999995</v>
      </c>
      <c r="I5783">
        <v>0.47476010000000002</v>
      </c>
      <c r="J5783">
        <v>-420.6121</v>
      </c>
      <c r="K5783">
        <v>1.1100559999999999</v>
      </c>
      <c r="L5783">
        <v>79.448179999999994</v>
      </c>
      <c r="M5783">
        <v>-0.13640929999999901</v>
      </c>
      <c r="N5783">
        <v>0</v>
      </c>
      <c r="O5783">
        <v>-0.99061580000000005</v>
      </c>
      <c r="P5783">
        <v>-1.769223E-2</v>
      </c>
      <c r="Q5783">
        <v>1.846428E-2</v>
      </c>
      <c r="R5783">
        <v>-0.99967320000000004</v>
      </c>
      <c r="S5783">
        <v>1.2573239999999999E-2</v>
      </c>
      <c r="T5783">
        <v>0.32246829999999999</v>
      </c>
      <c r="U5783">
        <v>-2.9952390000000002</v>
      </c>
      <c r="V5783">
        <v>-0.1188704</v>
      </c>
      <c r="W5783">
        <v>2.6832519999999999E-2</v>
      </c>
      <c r="X5783">
        <v>0.99254719999999996</v>
      </c>
      <c r="Y5783">
        <v>-0.14054420000000001</v>
      </c>
      <c r="Z5783">
        <v>-0.1050117</v>
      </c>
      <c r="AA5783">
        <v>0.98448970000000002</v>
      </c>
      <c r="AB5783">
        <v>21</v>
      </c>
      <c r="AC5783">
        <v>0.35090000000002403</v>
      </c>
      <c r="AD5783">
        <v>8.5173229999999993</v>
      </c>
      <c r="AE5783">
        <v>-78.973419899999996</v>
      </c>
      <c r="AF5783">
        <v>-10.992857597244701</v>
      </c>
      <c r="AG5783">
        <v>8.5173229999999993</v>
      </c>
      <c r="AH5783">
        <v>77.288319943770901</v>
      </c>
      <c r="AI5783">
        <v>83.773436017666796</v>
      </c>
      <c r="AJ5783">
        <v>98.094986900258604</v>
      </c>
      <c r="AK5783">
        <v>78.529434666055707</v>
      </c>
      <c r="AL5783">
        <v>88.462425384920493</v>
      </c>
      <c r="AM5783">
        <v>96.829384975923006</v>
      </c>
      <c r="AN5783">
        <v>1.0000000501767701</v>
      </c>
    </row>
    <row r="5784" spans="1:40" x14ac:dyDescent="0.25">
      <c r="A5784" t="str">
        <f>"20190312160450048"</f>
        <v>20190312160450048</v>
      </c>
      <c r="B5784" t="str">
        <f>"1552377890041273"</f>
        <v>1552377890041273</v>
      </c>
      <c r="C5784" t="s">
        <v>40</v>
      </c>
      <c r="D5784">
        <v>5.9129160000000001</v>
      </c>
      <c r="E5784">
        <v>0.49185200000000001</v>
      </c>
      <c r="F5784" t="s">
        <v>100</v>
      </c>
      <c r="G5784">
        <v>-420.24040000000002</v>
      </c>
      <c r="H5784">
        <v>9.536467</v>
      </c>
      <c r="I5784">
        <v>0.4749718</v>
      </c>
      <c r="J5784">
        <v>-420.62799999999999</v>
      </c>
      <c r="K5784">
        <v>1.1100699999999999</v>
      </c>
      <c r="L5784">
        <v>79.329619999999906</v>
      </c>
      <c r="M5784">
        <v>-0.13598869999999999</v>
      </c>
      <c r="N5784">
        <v>0</v>
      </c>
      <c r="O5784">
        <v>-0.99067349999999998</v>
      </c>
      <c r="P5784">
        <v>-1.7750149999999999E-2</v>
      </c>
      <c r="Q5784">
        <v>1.7778579999999999E-2</v>
      </c>
      <c r="R5784">
        <v>-0.99968409999999996</v>
      </c>
      <c r="S5784">
        <v>1.409912E-2</v>
      </c>
      <c r="T5784">
        <v>0.31959959999999998</v>
      </c>
      <c r="U5784">
        <v>-2.9953310000000002</v>
      </c>
      <c r="V5784">
        <v>-0.1183932</v>
      </c>
      <c r="W5784">
        <v>2.6121800000000001E-2</v>
      </c>
      <c r="X5784">
        <v>0.99262320000000004</v>
      </c>
      <c r="Y5784">
        <v>-0.140625799999999</v>
      </c>
      <c r="Z5784">
        <v>-0.1040933</v>
      </c>
      <c r="AA5784">
        <v>0.98457550000000005</v>
      </c>
      <c r="AB5784">
        <v>21</v>
      </c>
      <c r="AC5784">
        <v>0.38760000000001998</v>
      </c>
      <c r="AD5784">
        <v>8.4263969999999997</v>
      </c>
      <c r="AE5784">
        <v>-78.8546481999999</v>
      </c>
      <c r="AF5784">
        <v>-10.982327580425199</v>
      </c>
      <c r="AG5784">
        <v>8.4263969999999997</v>
      </c>
      <c r="AH5784">
        <v>77.187963771382996</v>
      </c>
      <c r="AI5784">
        <v>83.831486714725102</v>
      </c>
      <c r="AJ5784">
        <v>98.097710776659298</v>
      </c>
      <c r="AK5784">
        <v>78.419369014661896</v>
      </c>
      <c r="AL5784">
        <v>88.503160932552703</v>
      </c>
      <c r="AM5784">
        <v>96.801710179595304</v>
      </c>
      <c r="AN5784">
        <v>1.00000005770985</v>
      </c>
    </row>
    <row r="5785" spans="1:40" x14ac:dyDescent="0.25">
      <c r="A5785" t="str">
        <f>"20190312160450065"</f>
        <v>20190312160450065</v>
      </c>
      <c r="B5785" t="str">
        <f>"1552377890060793"</f>
        <v>1552377890060793</v>
      </c>
      <c r="C5785" t="s">
        <v>40</v>
      </c>
      <c r="D5785">
        <v>5.9573049999999999</v>
      </c>
      <c r="E5785">
        <v>0.49194850000000001</v>
      </c>
      <c r="F5785" t="s">
        <v>100</v>
      </c>
      <c r="G5785">
        <v>-420.28570000000002</v>
      </c>
      <c r="H5785">
        <v>9.4507619999999992</v>
      </c>
      <c r="I5785">
        <v>0.47451399999999999</v>
      </c>
      <c r="J5785">
        <v>-420.65010000000001</v>
      </c>
      <c r="K5785">
        <v>1.1100859999999999</v>
      </c>
      <c r="L5785">
        <v>79.163179999999997</v>
      </c>
      <c r="M5785">
        <v>-0.13537149999999901</v>
      </c>
      <c r="N5785">
        <v>0</v>
      </c>
      <c r="O5785">
        <v>-0.99075840000000004</v>
      </c>
      <c r="P5785">
        <v>-1.7094350000000001E-2</v>
      </c>
      <c r="Q5785">
        <v>1.746321E-2</v>
      </c>
      <c r="R5785">
        <v>-0.99970159999999997</v>
      </c>
      <c r="S5785">
        <v>1.300049E-2</v>
      </c>
      <c r="T5785">
        <v>0.31684469999999998</v>
      </c>
      <c r="U5785">
        <v>-2.9955440000000002</v>
      </c>
      <c r="V5785">
        <v>-0.1184279</v>
      </c>
      <c r="W5785">
        <v>2.5772880000000001E-2</v>
      </c>
      <c r="X5785">
        <v>0.99262810000000001</v>
      </c>
      <c r="Y5785">
        <v>-0.13964799999999999</v>
      </c>
      <c r="Z5785">
        <v>-0.1032194</v>
      </c>
      <c r="AA5785">
        <v>0.98480670000000003</v>
      </c>
      <c r="AB5785">
        <v>21</v>
      </c>
      <c r="AC5785">
        <v>0.36439999999998901</v>
      </c>
      <c r="AD5785">
        <v>8.3406759999999895</v>
      </c>
      <c r="AE5785">
        <v>-78.688665999999998</v>
      </c>
      <c r="AF5785">
        <v>-10.8912713002409</v>
      </c>
      <c r="AG5785">
        <v>8.3406759999999895</v>
      </c>
      <c r="AH5785">
        <v>77.049305597215294</v>
      </c>
      <c r="AI5785">
        <v>83.882075065706999</v>
      </c>
      <c r="AJ5785">
        <v>98.045715284480593</v>
      </c>
      <c r="AK5785">
        <v>78.260987469399495</v>
      </c>
      <c r="AL5785">
        <v>88.523159188713294</v>
      </c>
      <c r="AM5785">
        <v>96.803651745228706</v>
      </c>
      <c r="AN5785">
        <v>0.99999997687575604</v>
      </c>
    </row>
    <row r="5786" spans="1:40" x14ac:dyDescent="0.25">
      <c r="A5786" t="str">
        <f>"20190312160450089"</f>
        <v>20190312160450089</v>
      </c>
      <c r="B5786" t="str">
        <f>"1552377890081289"</f>
        <v>1552377890081289</v>
      </c>
      <c r="C5786" t="s">
        <v>40</v>
      </c>
      <c r="D5786">
        <v>5.9340289999999998</v>
      </c>
      <c r="E5786">
        <v>0.49209209999999898</v>
      </c>
      <c r="F5786" t="s">
        <v>100</v>
      </c>
      <c r="G5786">
        <v>-420.27980000000002</v>
      </c>
      <c r="H5786">
        <v>9.3805689999999995</v>
      </c>
      <c r="I5786">
        <v>0.47457310000000003</v>
      </c>
      <c r="J5786">
        <v>-420.67829999999998</v>
      </c>
      <c r="K5786">
        <v>1.110112</v>
      </c>
      <c r="L5786">
        <v>78.950649999999996</v>
      </c>
      <c r="M5786">
        <v>-0.13455339999999999</v>
      </c>
      <c r="N5786">
        <v>0</v>
      </c>
      <c r="O5786">
        <v>-0.99087040000000004</v>
      </c>
      <c r="P5786">
        <v>-1.6312589999999998E-2</v>
      </c>
      <c r="Q5786">
        <v>1.7886699999999998E-2</v>
      </c>
      <c r="R5786">
        <v>-0.99970700000000001</v>
      </c>
      <c r="S5786">
        <v>1.409912E-2</v>
      </c>
      <c r="T5786">
        <v>0.31485200000000002</v>
      </c>
      <c r="U5786">
        <v>-2.9956360000000002</v>
      </c>
      <c r="V5786">
        <v>-0.1183855</v>
      </c>
      <c r="W5786">
        <v>2.6153269999999999E-2</v>
      </c>
      <c r="X5786">
        <v>0.99262320000000004</v>
      </c>
      <c r="Y5786">
        <v>-0.13919179999999901</v>
      </c>
      <c r="Z5786">
        <v>-0.1025949</v>
      </c>
      <c r="AA5786">
        <v>0.98493649999999999</v>
      </c>
      <c r="AB5786">
        <v>21</v>
      </c>
      <c r="AC5786">
        <v>0.398499999999955</v>
      </c>
      <c r="AD5786">
        <v>8.2704570000000004</v>
      </c>
      <c r="AE5786">
        <v>-78.476076899999995</v>
      </c>
      <c r="AF5786">
        <v>-10.834146637488599</v>
      </c>
      <c r="AG5786">
        <v>8.2704570000000004</v>
      </c>
      <c r="AH5786">
        <v>76.855185627229304</v>
      </c>
      <c r="AI5786">
        <v>83.917663839241001</v>
      </c>
      <c r="AJ5786">
        <v>98.024017449070399</v>
      </c>
      <c r="AK5786">
        <v>78.054460155377001</v>
      </c>
      <c r="AL5786">
        <v>88.501357084763598</v>
      </c>
      <c r="AM5786">
        <v>96.801271957202005</v>
      </c>
      <c r="AN5786">
        <v>0.999999968660091</v>
      </c>
    </row>
    <row r="5787" spans="1:40" x14ac:dyDescent="0.25">
      <c r="A5787" t="str">
        <f>"20190312160450109"</f>
        <v>20190312160450109</v>
      </c>
      <c r="B5787" t="str">
        <f>"1552377890100810"</f>
        <v>1552377890100810</v>
      </c>
      <c r="C5787" t="s">
        <v>40</v>
      </c>
      <c r="D5787">
        <v>5.9085760000000001</v>
      </c>
      <c r="E5787">
        <v>0.49211470000000002</v>
      </c>
      <c r="F5787" t="s">
        <v>100</v>
      </c>
      <c r="G5787">
        <v>-420.26170000000002</v>
      </c>
      <c r="H5787">
        <v>9.3447600000000008</v>
      </c>
      <c r="I5787">
        <v>0.47475620000000002</v>
      </c>
      <c r="J5787">
        <v>-420.70530000000002</v>
      </c>
      <c r="K5787">
        <v>1.1101289999999999</v>
      </c>
      <c r="L5787">
        <v>78.744509999999906</v>
      </c>
      <c r="M5787">
        <v>-0.13372819999999999</v>
      </c>
      <c r="N5787">
        <v>0</v>
      </c>
      <c r="O5787">
        <v>-0.99098209999999998</v>
      </c>
      <c r="P5787">
        <v>-1.550282E-2</v>
      </c>
      <c r="Q5787">
        <v>1.8217219999999999E-2</v>
      </c>
      <c r="R5787">
        <v>-0.99971370000000004</v>
      </c>
      <c r="S5787">
        <v>1.5899659999999999E-2</v>
      </c>
      <c r="T5787">
        <v>0.31432470000000001</v>
      </c>
      <c r="U5787">
        <v>-2.995514</v>
      </c>
      <c r="V5787">
        <v>-0.1183633</v>
      </c>
      <c r="W5787">
        <v>2.6441180000000002E-2</v>
      </c>
      <c r="X5787">
        <v>0.99261829999999995</v>
      </c>
      <c r="Y5787">
        <v>-0.13895940000000001</v>
      </c>
      <c r="Z5787">
        <v>-0.1024481</v>
      </c>
      <c r="AA5787">
        <v>0.98498459999999999</v>
      </c>
      <c r="AB5787">
        <v>21</v>
      </c>
      <c r="AC5787">
        <v>0.44360000000000299</v>
      </c>
      <c r="AD5787">
        <v>8.2346310000000003</v>
      </c>
      <c r="AE5787">
        <v>-78.269753799999904</v>
      </c>
      <c r="AF5787">
        <v>-10.7874611295608</v>
      </c>
      <c r="AG5787">
        <v>8.2346310000000003</v>
      </c>
      <c r="AH5787">
        <v>76.658870175837293</v>
      </c>
      <c r="AI5787">
        <v>83.928215135470595</v>
      </c>
      <c r="AJ5787">
        <v>98.010084597021603</v>
      </c>
      <c r="AK5787">
        <v>77.850888511074999</v>
      </c>
      <c r="AL5787">
        <v>88.484855469937202</v>
      </c>
      <c r="AM5787">
        <v>96.800041759845797</v>
      </c>
      <c r="AN5787">
        <v>1.00000004814078</v>
      </c>
    </row>
    <row r="5788" spans="1:40" x14ac:dyDescent="0.25">
      <c r="A5788" t="str">
        <f>"20190312160450125"</f>
        <v>20190312160450125</v>
      </c>
      <c r="B5788" t="str">
        <f>"1552377890121306"</f>
        <v>1552377890121306</v>
      </c>
      <c r="C5788" t="s">
        <v>40</v>
      </c>
      <c r="D5788">
        <v>5.7364790000000001</v>
      </c>
      <c r="E5788">
        <v>0.49001679999999997</v>
      </c>
      <c r="F5788" t="s">
        <v>100</v>
      </c>
      <c r="G5788">
        <v>-420.22050000000002</v>
      </c>
      <c r="H5788">
        <v>9.3019099999999995</v>
      </c>
      <c r="I5788">
        <v>0.47517399999999999</v>
      </c>
      <c r="J5788">
        <v>-420.7242</v>
      </c>
      <c r="K5788">
        <v>1.1101379999999901</v>
      </c>
      <c r="L5788">
        <v>78.599490000000003</v>
      </c>
      <c r="M5788">
        <v>-0.133134</v>
      </c>
      <c r="N5788">
        <v>0</v>
      </c>
      <c r="O5788">
        <v>-0.99106260000000002</v>
      </c>
      <c r="P5788">
        <v>-1.4375249999999999E-2</v>
      </c>
      <c r="Q5788">
        <v>1.8190089999999999E-2</v>
      </c>
      <c r="R5788">
        <v>-0.9997315</v>
      </c>
      <c r="S5788">
        <v>1.8554689999999999E-2</v>
      </c>
      <c r="T5788">
        <v>0.31350430000000001</v>
      </c>
      <c r="U5788">
        <v>-2.995422</v>
      </c>
      <c r="V5788">
        <v>-0.1188893</v>
      </c>
      <c r="W5788">
        <v>2.6385410000000002E-2</v>
      </c>
      <c r="X5788">
        <v>0.99255689999999996</v>
      </c>
      <c r="Y5788">
        <v>-0.1392389</v>
      </c>
      <c r="Z5788">
        <v>-0.1021968</v>
      </c>
      <c r="AA5788">
        <v>0.98497120000000005</v>
      </c>
      <c r="AB5788">
        <v>21</v>
      </c>
      <c r="AC5788">
        <v>0.50369999999998005</v>
      </c>
      <c r="AD5788">
        <v>8.1917720000000003</v>
      </c>
      <c r="AE5788">
        <v>-78.124315999999993</v>
      </c>
      <c r="AF5788">
        <v>-10.782043496026301</v>
      </c>
      <c r="AG5788">
        <v>8.1917720000000003</v>
      </c>
      <c r="AH5788">
        <v>76.520461642764005</v>
      </c>
      <c r="AI5788">
        <v>83.948890461411196</v>
      </c>
      <c r="AJ5788">
        <v>98.020406993989397</v>
      </c>
      <c r="AK5788">
        <v>77.709321451624504</v>
      </c>
      <c r="AL5788">
        <v>88.488051939616696</v>
      </c>
      <c r="AM5788">
        <v>96.830394445814903</v>
      </c>
      <c r="AN5788">
        <v>1.00000002762648</v>
      </c>
    </row>
    <row r="5789" spans="1:40" x14ac:dyDescent="0.25">
      <c r="A5789" t="str">
        <f>"20190312160450138"</f>
        <v>20190312160450138</v>
      </c>
      <c r="B5789" t="str">
        <f>"1552377890131066"</f>
        <v>1552377890131066</v>
      </c>
      <c r="C5789" t="s">
        <v>40</v>
      </c>
      <c r="D5789">
        <v>5.5399430000000001</v>
      </c>
      <c r="E5789">
        <v>0.49001679999999997</v>
      </c>
      <c r="F5789" t="s">
        <v>100</v>
      </c>
      <c r="G5789">
        <v>-419.71030000000002</v>
      </c>
      <c r="H5789">
        <v>9.3453660000000003</v>
      </c>
      <c r="I5789">
        <v>0.48036580000000001</v>
      </c>
      <c r="J5789">
        <v>-420.74040000000002</v>
      </c>
      <c r="K5789">
        <v>1.1101460000000001</v>
      </c>
      <c r="L5789">
        <v>78.475040000000007</v>
      </c>
      <c r="M5789">
        <v>-0.1326135</v>
      </c>
      <c r="N5789">
        <v>0</v>
      </c>
      <c r="O5789">
        <v>-0.99113240000000002</v>
      </c>
      <c r="P5789">
        <v>-1.2697750000000001E-2</v>
      </c>
      <c r="Q5789">
        <v>1.802045E-2</v>
      </c>
      <c r="R5789">
        <v>-0.99975720000000001</v>
      </c>
      <c r="S5789">
        <v>3.887939E-2</v>
      </c>
      <c r="T5789">
        <v>0.31579220000000002</v>
      </c>
      <c r="U5789">
        <v>-2.9956049999999999</v>
      </c>
      <c r="V5789">
        <v>-0.1200338</v>
      </c>
      <c r="W5789">
        <v>2.619235E-2</v>
      </c>
      <c r="X5789">
        <v>0.99242419999999998</v>
      </c>
      <c r="Y5789">
        <v>-0.14539669999999999</v>
      </c>
      <c r="Z5789">
        <v>-0.1028892</v>
      </c>
      <c r="AA5789">
        <v>0.98400900000000002</v>
      </c>
      <c r="AB5789">
        <v>21</v>
      </c>
      <c r="AC5789">
        <v>1.0301</v>
      </c>
      <c r="AD5789">
        <v>8.23522</v>
      </c>
      <c r="AE5789">
        <v>-77.994674200000006</v>
      </c>
      <c r="AF5789">
        <v>-11.239231363264899</v>
      </c>
      <c r="AG5789">
        <v>8.23522</v>
      </c>
      <c r="AH5789">
        <v>76.318457204204407</v>
      </c>
      <c r="AI5789">
        <v>83.906491237125707</v>
      </c>
      <c r="AJ5789">
        <v>98.377591136976505</v>
      </c>
      <c r="AK5789">
        <v>77.579933488727505</v>
      </c>
      <c r="AL5789">
        <v>88.499117204149002</v>
      </c>
      <c r="AM5789">
        <v>96.896430970614801</v>
      </c>
      <c r="AN5789">
        <v>0.99999997254329998</v>
      </c>
    </row>
    <row r="5790" spans="1:40" x14ac:dyDescent="0.25">
      <c r="A5790" t="str">
        <f>"20190312160450155"</f>
        <v>20190312160450155</v>
      </c>
      <c r="B5790" t="str">
        <f>"1552377890150585"</f>
        <v>1552377890150585</v>
      </c>
      <c r="C5790" t="s">
        <v>40</v>
      </c>
      <c r="D5790">
        <v>5.5731469999999996</v>
      </c>
      <c r="E5790">
        <v>0.39503569999999999</v>
      </c>
      <c r="F5790" t="s">
        <v>100</v>
      </c>
      <c r="G5790">
        <v>-419.60969999999998</v>
      </c>
      <c r="H5790">
        <v>9.3180569999999996</v>
      </c>
      <c r="I5790">
        <v>0.48138429999999999</v>
      </c>
      <c r="J5790">
        <v>-420.7604</v>
      </c>
      <c r="K5790">
        <v>1.110155</v>
      </c>
      <c r="L5790">
        <v>78.319640000000007</v>
      </c>
      <c r="M5790">
        <v>-0.1319524</v>
      </c>
      <c r="N5790">
        <v>0</v>
      </c>
      <c r="O5790">
        <v>-0.99122089999999996</v>
      </c>
      <c r="P5790">
        <v>-9.5514290000000002E-3</v>
      </c>
      <c r="Q5790">
        <v>1.9187590000000001E-2</v>
      </c>
      <c r="R5790">
        <v>-0.99977050000000001</v>
      </c>
      <c r="S5790">
        <v>4.3426510000000001E-2</v>
      </c>
      <c r="T5790">
        <v>0.315251</v>
      </c>
      <c r="U5790">
        <v>-2.9956049999999999</v>
      </c>
      <c r="V5790">
        <v>-0.1224943</v>
      </c>
      <c r="W5790">
        <v>2.7329679999999999E-2</v>
      </c>
      <c r="X5790">
        <v>0.9920928</v>
      </c>
      <c r="Y5790">
        <v>-0.14623029999999901</v>
      </c>
      <c r="Z5790">
        <v>-0.10272100000000001</v>
      </c>
      <c r="AA5790">
        <v>0.98390299999999997</v>
      </c>
      <c r="AB5790">
        <v>21</v>
      </c>
      <c r="AC5790">
        <v>1.15070000000002</v>
      </c>
      <c r="AD5790">
        <v>8.2079020000000007</v>
      </c>
      <c r="AE5790">
        <v>-77.838255700000005</v>
      </c>
      <c r="AF5790">
        <v>-11.286469784597699</v>
      </c>
      <c r="AG5790">
        <v>8.2079020000000007</v>
      </c>
      <c r="AH5790">
        <v>76.159099430739303</v>
      </c>
      <c r="AI5790">
        <v>83.914751116729704</v>
      </c>
      <c r="AJ5790">
        <v>98.429648800686493</v>
      </c>
      <c r="AK5790">
        <v>77.4271430542383</v>
      </c>
      <c r="AL5790">
        <v>88.433929599521605</v>
      </c>
      <c r="AM5790">
        <v>97.0387205134477</v>
      </c>
      <c r="AN5790">
        <v>0.99999994437661399</v>
      </c>
    </row>
    <row r="5791" spans="1:40" x14ac:dyDescent="0.25">
      <c r="A5791" t="str">
        <f>"20190312160450176"</f>
        <v>20190312160450176</v>
      </c>
      <c r="B5791" t="str">
        <f>"1552377890171085"</f>
        <v>1552377890171085</v>
      </c>
      <c r="C5791" t="s">
        <v>40</v>
      </c>
      <c r="D5791">
        <v>5.8163989999999997</v>
      </c>
      <c r="E5791">
        <v>0.39148630000000001</v>
      </c>
      <c r="F5791" t="s">
        <v>44</v>
      </c>
      <c r="G5791">
        <v>-408.43119999999999</v>
      </c>
      <c r="H5791">
        <v>6.3806459999999996</v>
      </c>
      <c r="I5791">
        <v>32.69576</v>
      </c>
      <c r="J5791">
        <v>-420.78800000000001</v>
      </c>
      <c r="K5791">
        <v>1.110168</v>
      </c>
      <c r="L5791">
        <v>78.104159999999993</v>
      </c>
      <c r="M5791">
        <v>-0.13100889999999901</v>
      </c>
      <c r="N5791">
        <v>0</v>
      </c>
      <c r="O5791">
        <v>-0.99134610000000001</v>
      </c>
      <c r="P5791">
        <v>-7.0156940000000003E-3</v>
      </c>
      <c r="Q5791">
        <v>1.9695500000000001E-2</v>
      </c>
      <c r="R5791">
        <v>-0.99978140000000004</v>
      </c>
      <c r="S5791">
        <v>0.81118769999999996</v>
      </c>
      <c r="T5791">
        <v>0.34676560000000001</v>
      </c>
      <c r="U5791">
        <v>-3.00177</v>
      </c>
      <c r="V5791">
        <v>-0.12406730000000001</v>
      </c>
      <c r="W5791">
        <v>2.7803000000000001E-2</v>
      </c>
      <c r="X5791">
        <v>0.99188419999999999</v>
      </c>
      <c r="Y5791">
        <v>-0.38356630000000003</v>
      </c>
      <c r="Z5791">
        <v>-0.1069789</v>
      </c>
      <c r="AA5791">
        <v>0.91729620000000001</v>
      </c>
      <c r="AB5791">
        <v>21</v>
      </c>
      <c r="AC5791">
        <v>12.3568</v>
      </c>
      <c r="AD5791">
        <v>5.2704779999999998</v>
      </c>
      <c r="AE5791">
        <v>-45.408399999999901</v>
      </c>
      <c r="AF5791">
        <v>-17.973955495530099</v>
      </c>
      <c r="AG5791">
        <v>5.2704779999999998</v>
      </c>
      <c r="AH5791">
        <v>42.860499189033597</v>
      </c>
      <c r="AI5791">
        <v>83.530274748503999</v>
      </c>
      <c r="AJ5791">
        <v>112.751201182209</v>
      </c>
      <c r="AK5791">
        <v>46.774602138734799</v>
      </c>
      <c r="AL5791">
        <v>88.406800112628204</v>
      </c>
      <c r="AM5791">
        <v>97.129667328372193</v>
      </c>
      <c r="AN5791">
        <v>0.99999998397396395</v>
      </c>
    </row>
    <row r="5792" spans="1:40" x14ac:dyDescent="0.25">
      <c r="A5792" t="str">
        <f>"20190312160450191"</f>
        <v>20190312160450191</v>
      </c>
      <c r="B5792" t="str">
        <f>"1552377890180841"</f>
        <v>1552377890180841</v>
      </c>
      <c r="C5792" t="s">
        <v>40</v>
      </c>
      <c r="D5792">
        <v>5.8879979999999996</v>
      </c>
      <c r="E5792">
        <v>0.39112190000000002</v>
      </c>
      <c r="F5792" t="s">
        <v>100</v>
      </c>
      <c r="G5792">
        <v>-398.93329999999997</v>
      </c>
      <c r="H5792">
        <v>9.5504169999999995</v>
      </c>
      <c r="I5792">
        <v>0.69166559999999999</v>
      </c>
      <c r="J5792">
        <v>-420.80540000000002</v>
      </c>
      <c r="K5792">
        <v>1.1101799999999999</v>
      </c>
      <c r="L5792">
        <v>77.967619999999997</v>
      </c>
      <c r="M5792">
        <v>-0.130395699999999</v>
      </c>
      <c r="N5792">
        <v>0</v>
      </c>
      <c r="O5792">
        <v>-0.99142719999999995</v>
      </c>
      <c r="P5792">
        <v>-5.904131E-3</v>
      </c>
      <c r="Q5792">
        <v>1.9908720000000001E-2</v>
      </c>
      <c r="R5792">
        <v>-0.99978449999999996</v>
      </c>
      <c r="S5792">
        <v>0.84698490000000004</v>
      </c>
      <c r="T5792">
        <v>0.32710430000000001</v>
      </c>
      <c r="U5792">
        <v>-3.0001530000000001</v>
      </c>
      <c r="V5792">
        <v>-0.1245571</v>
      </c>
      <c r="W5792">
        <v>2.799652E-2</v>
      </c>
      <c r="X5792">
        <v>0.99181739999999996</v>
      </c>
      <c r="Y5792">
        <v>-0.3934491</v>
      </c>
      <c r="Z5792">
        <v>-0.1006715</v>
      </c>
      <c r="AA5792">
        <v>0.91381780000000001</v>
      </c>
      <c r="AB5792">
        <v>22</v>
      </c>
      <c r="AC5792">
        <v>21.8721</v>
      </c>
      <c r="AD5792">
        <v>8.4402369999999998</v>
      </c>
      <c r="AE5792">
        <v>-77.275954400000003</v>
      </c>
      <c r="AF5792">
        <v>-31.4151741842729</v>
      </c>
      <c r="AG5792">
        <v>8.4402369999999998</v>
      </c>
      <c r="AH5792">
        <v>72.958204574553605</v>
      </c>
      <c r="AI5792">
        <v>83.934835452948903</v>
      </c>
      <c r="AJ5792">
        <v>113.296294950544</v>
      </c>
      <c r="AK5792">
        <v>79.881477104437707</v>
      </c>
      <c r="AL5792">
        <v>88.395707966055795</v>
      </c>
      <c r="AM5792">
        <v>97.157999949073997</v>
      </c>
      <c r="AN5792">
        <v>1.0000000156176401</v>
      </c>
    </row>
    <row r="5793" spans="1:40" x14ac:dyDescent="0.25">
      <c r="A5793" t="str">
        <f>"20190312160450204"</f>
        <v>20190312160450204</v>
      </c>
      <c r="B5793" t="str">
        <f>"1552377890201338"</f>
        <v>1552377890201338</v>
      </c>
      <c r="C5793" t="s">
        <v>40</v>
      </c>
      <c r="D5793">
        <v>5.8432599999999999</v>
      </c>
      <c r="E5793">
        <v>0.39089879999999999</v>
      </c>
      <c r="F5793" t="s">
        <v>100</v>
      </c>
      <c r="G5793">
        <v>-398.81200000000001</v>
      </c>
      <c r="H5793">
        <v>9.3510109999999997</v>
      </c>
      <c r="I5793">
        <v>0.69289969999999901</v>
      </c>
      <c r="J5793">
        <v>-420.82139999999998</v>
      </c>
      <c r="K5793">
        <v>1.110195</v>
      </c>
      <c r="L5793">
        <v>77.841430000000003</v>
      </c>
      <c r="M5793">
        <v>-0.12981690000000001</v>
      </c>
      <c r="N5793">
        <v>0</v>
      </c>
      <c r="O5793">
        <v>-0.99150320000000003</v>
      </c>
      <c r="P5793">
        <v>-5.0119279999999997E-3</v>
      </c>
      <c r="Q5793">
        <v>1.9783390000000001E-2</v>
      </c>
      <c r="R5793">
        <v>-0.99979169999999995</v>
      </c>
      <c r="S5793">
        <v>0.85363770000000005</v>
      </c>
      <c r="T5793">
        <v>0.31985380000000002</v>
      </c>
      <c r="U5793">
        <v>-2.999298</v>
      </c>
      <c r="V5793">
        <v>-0.1248645</v>
      </c>
      <c r="W5793">
        <v>2.7853050000000001E-2</v>
      </c>
      <c r="X5793">
        <v>0.99178279999999996</v>
      </c>
      <c r="Y5793">
        <v>-0.39491949999999998</v>
      </c>
      <c r="Z5793">
        <v>-9.8441470000000003E-2</v>
      </c>
      <c r="AA5793">
        <v>0.91342650000000003</v>
      </c>
      <c r="AB5793">
        <v>22</v>
      </c>
      <c r="AC5793">
        <v>22.009399999999999</v>
      </c>
      <c r="AD5793">
        <v>8.2408159999999899</v>
      </c>
      <c r="AE5793">
        <v>-77.148530299999905</v>
      </c>
      <c r="AF5793">
        <v>-31.506241725426101</v>
      </c>
      <c r="AG5793">
        <v>8.2408159999999899</v>
      </c>
      <c r="AH5793">
        <v>72.869498701065396</v>
      </c>
      <c r="AI5793">
        <v>84.073747980620993</v>
      </c>
      <c r="AJ5793">
        <v>113.381979906087</v>
      </c>
      <c r="AK5793">
        <v>79.815525788855297</v>
      </c>
      <c r="AL5793">
        <v>88.403931419805204</v>
      </c>
      <c r="AM5793">
        <v>97.175729304878999</v>
      </c>
      <c r="AN5793">
        <v>1.00000002906519</v>
      </c>
    </row>
    <row r="5794" spans="1:40" x14ac:dyDescent="0.25">
      <c r="A5794" t="str">
        <f>"20190312160450221"</f>
        <v>20190312160450221</v>
      </c>
      <c r="B5794" t="str">
        <f>"1552377890211097"</f>
        <v>1552377890211097</v>
      </c>
      <c r="C5794" t="s">
        <v>40</v>
      </c>
      <c r="D5794">
        <v>5.8033809999999999</v>
      </c>
      <c r="E5794">
        <v>0.39111770000000001</v>
      </c>
      <c r="F5794" t="s">
        <v>100</v>
      </c>
      <c r="G5794">
        <v>-398.75630000000001</v>
      </c>
      <c r="H5794">
        <v>9.0199420000000003</v>
      </c>
      <c r="I5794">
        <v>0.69346430000000003</v>
      </c>
      <c r="J5794">
        <v>-420.84160000000003</v>
      </c>
      <c r="K5794">
        <v>1.11022</v>
      </c>
      <c r="L5794">
        <v>77.680660000000003</v>
      </c>
      <c r="M5794">
        <v>-0.1290578</v>
      </c>
      <c r="N5794">
        <v>0</v>
      </c>
      <c r="O5794">
        <v>-0.99160250000000005</v>
      </c>
      <c r="P5794">
        <v>-4.4419450000000001E-3</v>
      </c>
      <c r="Q5794">
        <v>2.000006E-2</v>
      </c>
      <c r="R5794">
        <v>-0.99979050000000003</v>
      </c>
      <c r="S5794">
        <v>0.85769649999999997</v>
      </c>
      <c r="T5794">
        <v>0.30746099999999998</v>
      </c>
      <c r="U5794">
        <v>-2.99884</v>
      </c>
      <c r="V5794">
        <v>-0.1246714</v>
      </c>
      <c r="W5794">
        <v>2.8049419999999999E-2</v>
      </c>
      <c r="X5794">
        <v>0.99180159999999995</v>
      </c>
      <c r="Y5794">
        <v>-0.39550039999999997</v>
      </c>
      <c r="Z5794">
        <v>-9.4665620000000006E-2</v>
      </c>
      <c r="AA5794">
        <v>0.9135742</v>
      </c>
      <c r="AB5794">
        <v>22</v>
      </c>
      <c r="AC5794">
        <v>22.0853</v>
      </c>
      <c r="AD5794">
        <v>7.9097220000000004</v>
      </c>
      <c r="AE5794">
        <v>-76.987195700000001</v>
      </c>
      <c r="AF5794">
        <v>-31.529222459952901</v>
      </c>
      <c r="AG5794">
        <v>7.9097220000000004</v>
      </c>
      <c r="AH5794">
        <v>72.783078706608407</v>
      </c>
      <c r="AI5794">
        <v>84.305252988208693</v>
      </c>
      <c r="AJ5794">
        <v>113.42199086323301</v>
      </c>
      <c r="AK5794">
        <v>79.712182990173105</v>
      </c>
      <c r="AL5794">
        <v>88.392675917385802</v>
      </c>
      <c r="AM5794">
        <v>97.1646132205626</v>
      </c>
      <c r="AN5794">
        <v>1.0000000708514201</v>
      </c>
    </row>
    <row r="5795" spans="1:40" x14ac:dyDescent="0.25">
      <c r="A5795" t="str">
        <f>"20190312160450244"</f>
        <v>20190312160450244</v>
      </c>
      <c r="B5795" t="str">
        <f>"1552377890241354"</f>
        <v>1552377890241354</v>
      </c>
      <c r="C5795" t="s">
        <v>40</v>
      </c>
      <c r="D5795">
        <v>3.6492610000000001</v>
      </c>
      <c r="E5795">
        <v>0.39113569999999998</v>
      </c>
      <c r="F5795" t="s">
        <v>100</v>
      </c>
      <c r="G5795">
        <v>-398.81950000000001</v>
      </c>
      <c r="H5795">
        <v>8.90715099999999</v>
      </c>
      <c r="I5795">
        <v>0.69282149999999998</v>
      </c>
      <c r="J5795">
        <v>-420.8689</v>
      </c>
      <c r="K5795">
        <v>1.110252</v>
      </c>
      <c r="L5795">
        <v>77.461429999999993</v>
      </c>
      <c r="M5795">
        <v>-0.1279826</v>
      </c>
      <c r="N5795">
        <v>0</v>
      </c>
      <c r="O5795">
        <v>-0.99174189999999995</v>
      </c>
      <c r="P5795">
        <v>-3.5565290000000001E-3</v>
      </c>
      <c r="Q5795">
        <v>2.0066899999999999E-2</v>
      </c>
      <c r="R5795">
        <v>-0.99979260000000003</v>
      </c>
      <c r="S5795">
        <v>0.85766600000000004</v>
      </c>
      <c r="T5795">
        <v>0.3036566</v>
      </c>
      <c r="U5795">
        <v>-2.9983520000000001</v>
      </c>
      <c r="V5795">
        <v>-0.1244769</v>
      </c>
      <c r="W5795">
        <v>2.8089469999999998E-2</v>
      </c>
      <c r="X5795">
        <v>0.99182479999999995</v>
      </c>
      <c r="Y5795">
        <v>-0.39456570000000002</v>
      </c>
      <c r="Z5795">
        <v>-9.3561130000000006E-2</v>
      </c>
      <c r="AA5795">
        <v>0.91409209999999996</v>
      </c>
      <c r="AB5795">
        <v>22</v>
      </c>
      <c r="AC5795">
        <v>22.049399999999899</v>
      </c>
      <c r="AD5795">
        <v>7.79689899999999</v>
      </c>
      <c r="AE5795">
        <v>-76.768608499999999</v>
      </c>
      <c r="AF5795">
        <v>-31.3942863458199</v>
      </c>
      <c r="AG5795">
        <v>7.79689899999999</v>
      </c>
      <c r="AH5795">
        <v>72.623183982822198</v>
      </c>
      <c r="AI5795">
        <v>84.371835291806406</v>
      </c>
      <c r="AJ5795">
        <v>113.378352301102</v>
      </c>
      <c r="AK5795">
        <v>79.501696214498395</v>
      </c>
      <c r="AL5795">
        <v>88.3903801634182</v>
      </c>
      <c r="AM5795">
        <v>97.1533859882678</v>
      </c>
      <c r="AN5795">
        <v>0.999999975426765</v>
      </c>
    </row>
    <row r="5796" spans="1:40" x14ac:dyDescent="0.25">
      <c r="A5796" t="str">
        <f>"20190312160450266"</f>
        <v>20190312160450266</v>
      </c>
      <c r="B5796" t="str">
        <f>"1552377890260873"</f>
        <v>1552377890260873</v>
      </c>
      <c r="C5796" t="s">
        <v>40</v>
      </c>
      <c r="D5796">
        <v>4.1914619999999996</v>
      </c>
      <c r="E5796">
        <v>0.39123770000000002</v>
      </c>
      <c r="F5796" t="s">
        <v>100</v>
      </c>
      <c r="G5796">
        <v>-398.83010000000002</v>
      </c>
      <c r="H5796">
        <v>8.8159229999999997</v>
      </c>
      <c r="I5796">
        <v>0.69271470000000002</v>
      </c>
      <c r="J5796">
        <v>-420.89580000000001</v>
      </c>
      <c r="K5796">
        <v>1.1102879999999999</v>
      </c>
      <c r="L5796">
        <v>77.242549999999994</v>
      </c>
      <c r="M5796">
        <v>-0.126855</v>
      </c>
      <c r="N5796">
        <v>0</v>
      </c>
      <c r="O5796">
        <v>-0.99188719999999997</v>
      </c>
      <c r="P5796">
        <v>-1.9267609999999999E-3</v>
      </c>
      <c r="Q5796">
        <v>2.1014339999999999E-2</v>
      </c>
      <c r="R5796">
        <v>-0.99977780000000005</v>
      </c>
      <c r="S5796">
        <v>0.86056520000000003</v>
      </c>
      <c r="T5796">
        <v>0.3008885</v>
      </c>
      <c r="U5796">
        <v>-2.9976500000000001</v>
      </c>
      <c r="V5796">
        <v>-0.1249673</v>
      </c>
      <c r="W5796">
        <v>2.9008909999999999E-2</v>
      </c>
      <c r="X5796">
        <v>0.99173670000000003</v>
      </c>
      <c r="Y5796">
        <v>-0.39441700000000002</v>
      </c>
      <c r="Z5796">
        <v>-9.2749739999999997E-2</v>
      </c>
      <c r="AA5796">
        <v>0.91423889999999997</v>
      </c>
      <c r="AB5796">
        <v>22</v>
      </c>
      <c r="AC5796">
        <v>22.0657</v>
      </c>
      <c r="AD5796">
        <v>7.705635</v>
      </c>
      <c r="AE5796">
        <v>-76.549835299999998</v>
      </c>
      <c r="AF5796">
        <v>-31.3056051328793</v>
      </c>
      <c r="AG5796">
        <v>7.705635</v>
      </c>
      <c r="AH5796">
        <v>72.454287706096594</v>
      </c>
      <c r="AI5796">
        <v>84.423976469510293</v>
      </c>
      <c r="AJ5796">
        <v>113.367911600878</v>
      </c>
      <c r="AK5796">
        <v>79.303477417366807</v>
      </c>
      <c r="AL5796">
        <v>88.337678708708395</v>
      </c>
      <c r="AM5796">
        <v>97.181905715024101</v>
      </c>
      <c r="AN5796">
        <v>1.0000000125277799</v>
      </c>
    </row>
    <row r="5797" spans="1:40" x14ac:dyDescent="0.25">
      <c r="A5797" t="str">
        <f>"20190312160450290"</f>
        <v>20190312160450290</v>
      </c>
      <c r="B5797" t="str">
        <f>"1552377890281370"</f>
        <v>1552377890281370</v>
      </c>
      <c r="C5797" t="s">
        <v>40</v>
      </c>
      <c r="D5797">
        <v>6.467428</v>
      </c>
      <c r="E5797">
        <v>0.39089309999999999</v>
      </c>
      <c r="F5797" t="s">
        <v>100</v>
      </c>
      <c r="G5797">
        <v>-398.7894</v>
      </c>
      <c r="H5797">
        <v>8.8131450000000005</v>
      </c>
      <c r="I5797">
        <v>0.69312669999999998</v>
      </c>
      <c r="J5797">
        <v>-420.92230000000001</v>
      </c>
      <c r="K5797">
        <v>1.110328</v>
      </c>
      <c r="L5797">
        <v>77.024959999999993</v>
      </c>
      <c r="M5797">
        <v>-0.12567229999999999</v>
      </c>
      <c r="N5797">
        <v>0</v>
      </c>
      <c r="O5797">
        <v>-0.99203779999999997</v>
      </c>
      <c r="P5797">
        <v>-5.1236960000000003E-4</v>
      </c>
      <c r="Q5797">
        <v>2.2127770000000001E-2</v>
      </c>
      <c r="R5797">
        <v>-0.99975530000000001</v>
      </c>
      <c r="S5797">
        <v>0.86520390000000003</v>
      </c>
      <c r="T5797">
        <v>0.30147429999999997</v>
      </c>
      <c r="U5797">
        <v>-2.9960019999999998</v>
      </c>
      <c r="V5797">
        <v>-0.1251893</v>
      </c>
      <c r="W5797">
        <v>3.0097530000000001E-2</v>
      </c>
      <c r="X5797">
        <v>0.99167629999999996</v>
      </c>
      <c r="Y5797">
        <v>-0.39475680000000002</v>
      </c>
      <c r="Z5797">
        <v>-9.2973029999999998E-2</v>
      </c>
      <c r="AA5797">
        <v>0.91406949999999998</v>
      </c>
      <c r="AB5797">
        <v>22</v>
      </c>
      <c r="AC5797">
        <v>22.132899999999999</v>
      </c>
      <c r="AD5797">
        <v>7.7028169999999996</v>
      </c>
      <c r="AE5797">
        <v>-76.3318333</v>
      </c>
      <c r="AF5797">
        <v>-31.256922289654302</v>
      </c>
      <c r="AG5797">
        <v>7.7028169999999996</v>
      </c>
      <c r="AH5797">
        <v>72.266198302146506</v>
      </c>
      <c r="AI5797">
        <v>84.412498855225095</v>
      </c>
      <c r="AJ5797">
        <v>113.389678989948</v>
      </c>
      <c r="AK5797">
        <v>79.112148231495595</v>
      </c>
      <c r="AL5797">
        <v>88.275278188775303</v>
      </c>
      <c r="AM5797">
        <v>97.194964149931096</v>
      </c>
      <c r="AN5797">
        <v>1.00000005306413</v>
      </c>
    </row>
    <row r="5798" spans="1:40" x14ac:dyDescent="0.25">
      <c r="A5798" t="str">
        <f>"20190312160450311"</f>
        <v>20190312160450311</v>
      </c>
      <c r="B5798" t="str">
        <f>"1552377890300889"</f>
        <v>1552377890300889</v>
      </c>
      <c r="C5798" t="s">
        <v>40</v>
      </c>
      <c r="D5798">
        <v>7.1440039999999998</v>
      </c>
      <c r="E5798">
        <v>0.39105469999999998</v>
      </c>
      <c r="F5798" t="s">
        <v>100</v>
      </c>
      <c r="G5798">
        <v>-398.69400000000002</v>
      </c>
      <c r="H5798">
        <v>9.1124539999999996</v>
      </c>
      <c r="I5798">
        <v>0.69409750000000003</v>
      </c>
      <c r="J5798">
        <v>-420.9479</v>
      </c>
      <c r="K5798">
        <v>1.11036</v>
      </c>
      <c r="L5798">
        <v>76.812010000000001</v>
      </c>
      <c r="M5798">
        <v>-0.1244637</v>
      </c>
      <c r="N5798">
        <v>0</v>
      </c>
      <c r="O5798">
        <v>-0.99219000000000002</v>
      </c>
      <c r="P5798">
        <v>9.0950289999999995E-4</v>
      </c>
      <c r="Q5798">
        <v>2.2105489999999998E-2</v>
      </c>
      <c r="R5798">
        <v>-0.99975539999999996</v>
      </c>
      <c r="S5798">
        <v>0.87194819999999995</v>
      </c>
      <c r="T5798">
        <v>0.31389830000000002</v>
      </c>
      <c r="U5798">
        <v>-2.9942319999999998</v>
      </c>
      <c r="V5798">
        <v>-0.1253947</v>
      </c>
      <c r="W5798">
        <v>3.0053690000000001E-2</v>
      </c>
      <c r="X5798">
        <v>0.99165159999999997</v>
      </c>
      <c r="Y5798">
        <v>-0.39557690000000001</v>
      </c>
      <c r="Z5798">
        <v>-9.6795469999999995E-2</v>
      </c>
      <c r="AA5798">
        <v>0.91331790000000002</v>
      </c>
      <c r="AB5798">
        <v>22</v>
      </c>
      <c r="AC5798">
        <v>22.253899999999899</v>
      </c>
      <c r="AD5798">
        <v>8.0020939999999996</v>
      </c>
      <c r="AE5798">
        <v>-76.117912500000003</v>
      </c>
      <c r="AF5798">
        <v>-31.2370422448877</v>
      </c>
      <c r="AG5798">
        <v>8.0020939999999996</v>
      </c>
      <c r="AH5798">
        <v>72.022791574217393</v>
      </c>
      <c r="AI5798">
        <v>84.179884737466196</v>
      </c>
      <c r="AJ5798">
        <v>113.44688486324399</v>
      </c>
      <c r="AK5798">
        <v>78.911778732562496</v>
      </c>
      <c r="AL5798">
        <v>88.277791038674806</v>
      </c>
      <c r="AM5798">
        <v>97.206822640013797</v>
      </c>
      <c r="AN5798">
        <v>0.99999997542663199</v>
      </c>
    </row>
    <row r="5799" spans="1:40" x14ac:dyDescent="0.25">
      <c r="A5799" t="str">
        <f>"20190312160450325"</f>
        <v>20190312160450325</v>
      </c>
      <c r="B5799" t="str">
        <f>"1552377890321386"</f>
        <v>1552377890321386</v>
      </c>
      <c r="C5799" t="s">
        <v>40</v>
      </c>
      <c r="D5799">
        <v>7.1383910000000004</v>
      </c>
      <c r="E5799">
        <v>0.37497019999999998</v>
      </c>
      <c r="F5799" t="s">
        <v>100</v>
      </c>
      <c r="G5799">
        <v>-398.68700000000001</v>
      </c>
      <c r="H5799">
        <v>9.1349169999999997</v>
      </c>
      <c r="I5799">
        <v>0.69417189999999995</v>
      </c>
      <c r="J5799">
        <v>-420.96499999999997</v>
      </c>
      <c r="K5799">
        <v>1.1103809999999901</v>
      </c>
      <c r="L5799">
        <v>76.668059999999997</v>
      </c>
      <c r="M5799">
        <v>-0.1236251</v>
      </c>
      <c r="N5799">
        <v>0</v>
      </c>
      <c r="O5799">
        <v>-0.99229469999999997</v>
      </c>
      <c r="P5799">
        <v>2.0295130000000002E-3</v>
      </c>
      <c r="Q5799">
        <v>2.1943870000000001E-2</v>
      </c>
      <c r="R5799">
        <v>-0.99975720000000001</v>
      </c>
      <c r="S5799">
        <v>0.87530520000000001</v>
      </c>
      <c r="T5799">
        <v>0.31552740000000001</v>
      </c>
      <c r="U5799">
        <v>-2.9929809999999999</v>
      </c>
      <c r="V5799">
        <v>-0.12566959999999999</v>
      </c>
      <c r="W5799">
        <v>2.9878760000000001E-2</v>
      </c>
      <c r="X5799">
        <v>0.99162209999999995</v>
      </c>
      <c r="Y5799">
        <v>-0.39583299999999999</v>
      </c>
      <c r="Z5799">
        <v>-9.7326930000000006E-2</v>
      </c>
      <c r="AA5799">
        <v>0.91315040000000003</v>
      </c>
      <c r="AB5799">
        <v>22</v>
      </c>
      <c r="AC5799">
        <v>22.277999999999999</v>
      </c>
      <c r="AD5799">
        <v>8.0245359999999994</v>
      </c>
      <c r="AE5799">
        <v>-75.973888099999996</v>
      </c>
      <c r="AF5799">
        <v>-31.179394327131799</v>
      </c>
      <c r="AG5799">
        <v>8.0245359999999994</v>
      </c>
      <c r="AH5799">
        <v>71.898244909714506</v>
      </c>
      <c r="AI5799">
        <v>84.1535275495322</v>
      </c>
      <c r="AJ5799">
        <v>113.444449575539</v>
      </c>
      <c r="AK5799">
        <v>78.777569331119693</v>
      </c>
      <c r="AL5799">
        <v>88.287818315902598</v>
      </c>
      <c r="AM5799">
        <v>97.222667932288701</v>
      </c>
      <c r="AN5799">
        <v>0.99999998893585296</v>
      </c>
    </row>
    <row r="5800" spans="1:40" x14ac:dyDescent="0.25">
      <c r="A5800" t="str">
        <f>"20190312160450337"</f>
        <v>20190312160450337</v>
      </c>
      <c r="B5800" t="str">
        <f>"1552377890331145"</f>
        <v>1552377890331145</v>
      </c>
      <c r="C5800" t="s">
        <v>40</v>
      </c>
      <c r="D5800">
        <v>7.3345369999999903</v>
      </c>
      <c r="E5800">
        <v>0.37142890000000001</v>
      </c>
      <c r="F5800" t="s">
        <v>100</v>
      </c>
      <c r="G5800">
        <v>-395.33609999999999</v>
      </c>
      <c r="H5800">
        <v>21.970130000000001</v>
      </c>
      <c r="I5800">
        <v>1.343925</v>
      </c>
      <c r="J5800">
        <v>-420.97890000000001</v>
      </c>
      <c r="K5800">
        <v>1.1103940000000001</v>
      </c>
      <c r="L5800">
        <v>76.550780000000003</v>
      </c>
      <c r="M5800">
        <v>-0.1229271</v>
      </c>
      <c r="N5800">
        <v>0</v>
      </c>
      <c r="O5800">
        <v>-0.99238179999999998</v>
      </c>
      <c r="P5800">
        <v>2.6025449999999999E-3</v>
      </c>
      <c r="Q5800">
        <v>2.1602440000000001E-2</v>
      </c>
      <c r="R5800">
        <v>-0.99976370000000003</v>
      </c>
      <c r="S5800">
        <v>1.01413</v>
      </c>
      <c r="T5800">
        <v>0.82541469999999995</v>
      </c>
      <c r="U5800">
        <v>-2.9805600000000001</v>
      </c>
      <c r="V5800">
        <v>-0.1255414</v>
      </c>
      <c r="W5800">
        <v>2.9529880000000001E-2</v>
      </c>
      <c r="X5800">
        <v>0.9916488</v>
      </c>
      <c r="Y5800">
        <v>-0.4259889</v>
      </c>
      <c r="Z5800">
        <v>-0.24464830000000001</v>
      </c>
      <c r="AA5800">
        <v>0.87102279999999999</v>
      </c>
      <c r="AB5800">
        <v>22</v>
      </c>
      <c r="AC5800">
        <v>25.642800000000001</v>
      </c>
      <c r="AD5800">
        <v>20.859736000000002</v>
      </c>
      <c r="AE5800">
        <v>-75.206855000000004</v>
      </c>
      <c r="AF5800">
        <v>-32.456693476407601</v>
      </c>
      <c r="AG5800">
        <v>20.859736000000002</v>
      </c>
      <c r="AH5800">
        <v>66.875156240597093</v>
      </c>
      <c r="AI5800">
        <v>74.3249685606296</v>
      </c>
      <c r="AJ5800">
        <v>115.888810842651</v>
      </c>
      <c r="AK5800">
        <v>77.206554512006605</v>
      </c>
      <c r="AL5800">
        <v>88.307816510668999</v>
      </c>
      <c r="AM5800">
        <v>97.215185300076797</v>
      </c>
      <c r="AN5800">
        <v>0.99999999973410703</v>
      </c>
    </row>
    <row r="5801" spans="1:40" x14ac:dyDescent="0.25">
      <c r="A5801" t="str">
        <f>"20190312160450350"</f>
        <v>20190312160450350</v>
      </c>
      <c r="B5801" t="str">
        <f>"1552377890340905"</f>
        <v>1552377890340905</v>
      </c>
      <c r="C5801" t="s">
        <v>40</v>
      </c>
      <c r="D5801">
        <v>7.3681320000000001</v>
      </c>
      <c r="E5801">
        <v>0.37142890000000001</v>
      </c>
      <c r="F5801" t="s">
        <v>100</v>
      </c>
      <c r="G5801">
        <v>-394.65109999999999</v>
      </c>
      <c r="H5801">
        <v>21.38325</v>
      </c>
      <c r="I5801">
        <v>1.3722920000000001</v>
      </c>
      <c r="J5801">
        <v>-420.9939</v>
      </c>
      <c r="K5801">
        <v>1.1103989999999999</v>
      </c>
      <c r="L5801">
        <v>76.422579999999996</v>
      </c>
      <c r="M5801">
        <v>-0.1221573</v>
      </c>
      <c r="N5801">
        <v>0</v>
      </c>
      <c r="O5801">
        <v>-0.99247660000000004</v>
      </c>
      <c r="P5801">
        <v>3.2735289999999998E-3</v>
      </c>
      <c r="Q5801">
        <v>2.1174809999999999E-2</v>
      </c>
      <c r="R5801">
        <v>-0.99977020000000005</v>
      </c>
      <c r="S5801">
        <v>1.0438229999999999</v>
      </c>
      <c r="T5801">
        <v>0.80376179999999997</v>
      </c>
      <c r="U5801">
        <v>-2.9806210000000002</v>
      </c>
      <c r="V5801">
        <v>-0.12543889999999999</v>
      </c>
      <c r="W5801">
        <v>2.9094229999999999E-2</v>
      </c>
      <c r="X5801">
        <v>0.99167470000000002</v>
      </c>
      <c r="Y5801">
        <v>-0.43359219999999998</v>
      </c>
      <c r="Z5801">
        <v>-0.23786950000000001</v>
      </c>
      <c r="AA5801">
        <v>0.86914659999999999</v>
      </c>
      <c r="AB5801">
        <v>22</v>
      </c>
      <c r="AC5801">
        <v>26.3428</v>
      </c>
      <c r="AD5801">
        <v>20.272850999999999</v>
      </c>
      <c r="AE5801">
        <v>-75.050287999999995</v>
      </c>
      <c r="AF5801">
        <v>-33.159598964419096</v>
      </c>
      <c r="AG5801">
        <v>20.272850999999999</v>
      </c>
      <c r="AH5801">
        <v>66.922603678971001</v>
      </c>
      <c r="AI5801">
        <v>74.813747006486196</v>
      </c>
      <c r="AJ5801">
        <v>116.358036462135</v>
      </c>
      <c r="AK5801">
        <v>77.389807948604798</v>
      </c>
      <c r="AL5801">
        <v>88.332788233185397</v>
      </c>
      <c r="AM5801">
        <v>97.209170060983695</v>
      </c>
      <c r="AN5801">
        <v>1.0000000512362901</v>
      </c>
    </row>
    <row r="5802" spans="1:40" x14ac:dyDescent="0.25">
      <c r="A5802" t="str">
        <f>"20190312160450623"</f>
        <v>20190312160450623</v>
      </c>
      <c r="B5802" t="str">
        <f>"1552377890621018"</f>
        <v>1552377890621018</v>
      </c>
      <c r="C5802" t="s">
        <v>40</v>
      </c>
      <c r="D5802">
        <v>5.5773419999999998</v>
      </c>
      <c r="E5802">
        <v>0.38716440000000002</v>
      </c>
      <c r="F5802" t="s">
        <v>100</v>
      </c>
      <c r="G5802">
        <v>-394.65170000000001</v>
      </c>
      <c r="H5802">
        <v>21.319870000000002</v>
      </c>
      <c r="I5802">
        <v>1.3722650000000001</v>
      </c>
      <c r="J5802">
        <v>-421.28969999999998</v>
      </c>
      <c r="K5802">
        <v>1.11042</v>
      </c>
      <c r="L5802">
        <v>73.689119999999903</v>
      </c>
      <c r="M5802">
        <v>-0.10544000000000001</v>
      </c>
      <c r="N5802">
        <v>0</v>
      </c>
      <c r="O5802">
        <v>-0.99439270000000002</v>
      </c>
      <c r="P5802">
        <v>1.831841E-2</v>
      </c>
      <c r="Q5802">
        <v>2.261674E-2</v>
      </c>
      <c r="R5802">
        <v>-0.99957669999999998</v>
      </c>
      <c r="S5802">
        <v>1.0460510000000001</v>
      </c>
      <c r="T5802">
        <v>0.80251919999999899</v>
      </c>
      <c r="U5802">
        <v>-2.9802550000000001</v>
      </c>
      <c r="V5802">
        <v>-0.1236776</v>
      </c>
      <c r="W5802">
        <v>3.042164E-2</v>
      </c>
      <c r="X5802">
        <v>0.99185599999999996</v>
      </c>
      <c r="Y5802">
        <v>-0.41901640000000001</v>
      </c>
      <c r="Z5802">
        <v>-0.2391306</v>
      </c>
      <c r="AA5802">
        <v>0.87592340000000002</v>
      </c>
      <c r="AB5802">
        <v>23</v>
      </c>
      <c r="AC5802">
        <v>26.637999999999899</v>
      </c>
      <c r="AD5802">
        <v>20.20945</v>
      </c>
      <c r="AE5802">
        <v>-72.316854999999904</v>
      </c>
      <c r="AF5802">
        <v>-31.919844384378099</v>
      </c>
      <c r="AG5802">
        <v>20.20945</v>
      </c>
      <c r="AH5802">
        <v>64.658602271489301</v>
      </c>
      <c r="AI5802">
        <v>74.343668498094502</v>
      </c>
      <c r="AJ5802">
        <v>116.27405177982401</v>
      </c>
      <c r="AK5802">
        <v>74.886802458965093</v>
      </c>
      <c r="AL5802">
        <v>88.256699410507807</v>
      </c>
      <c r="AM5802">
        <v>97.107702179418595</v>
      </c>
      <c r="AN5802">
        <v>0.99999997482902403</v>
      </c>
    </row>
    <row r="5803" spans="1:40" x14ac:dyDescent="0.25">
      <c r="A5803" t="str">
        <f>"20190312160450646"</f>
        <v>20190312160450646</v>
      </c>
      <c r="B5803" t="str">
        <f>"1552377890640541"</f>
        <v>1552377890640541</v>
      </c>
      <c r="C5803" t="s">
        <v>40</v>
      </c>
      <c r="D5803">
        <v>5.7024549999999996</v>
      </c>
      <c r="E5803">
        <v>0.39386680000000002</v>
      </c>
      <c r="F5803" t="s">
        <v>100</v>
      </c>
      <c r="G5803">
        <v>-397.76760000000002</v>
      </c>
      <c r="H5803">
        <v>10.10998</v>
      </c>
      <c r="I5803">
        <v>0.70352360000000003</v>
      </c>
      <c r="J5803">
        <v>-421.31229999999999</v>
      </c>
      <c r="K5803">
        <v>1.1104229999999999</v>
      </c>
      <c r="L5803">
        <v>73.461730000000003</v>
      </c>
      <c r="M5803">
        <v>-0.1040642</v>
      </c>
      <c r="N5803">
        <v>0</v>
      </c>
      <c r="O5803">
        <v>-0.99453769999999997</v>
      </c>
      <c r="P5803">
        <v>1.844515E-2</v>
      </c>
      <c r="Q5803">
        <v>2.3146340000000001E-2</v>
      </c>
      <c r="R5803">
        <v>-0.99956199999999995</v>
      </c>
      <c r="S5803">
        <v>0.95892330000000003</v>
      </c>
      <c r="T5803">
        <v>0.36688359999999998</v>
      </c>
      <c r="U5803">
        <v>-2.975403</v>
      </c>
      <c r="V5803">
        <v>-0.12243080000000001</v>
      </c>
      <c r="W5803">
        <v>3.0940189999999999E-2</v>
      </c>
      <c r="X5803">
        <v>0.99199470000000001</v>
      </c>
      <c r="Y5803">
        <v>-0.40211380000000002</v>
      </c>
      <c r="Z5803">
        <v>-0.11337709999999999</v>
      </c>
      <c r="AA5803">
        <v>0.90854290000000004</v>
      </c>
      <c r="AB5803">
        <v>23</v>
      </c>
      <c r="AC5803">
        <v>23.544699999999899</v>
      </c>
      <c r="AD5803">
        <v>8.9995569999999994</v>
      </c>
      <c r="AE5803">
        <v>-72.758206400000006</v>
      </c>
      <c r="AF5803">
        <v>-30.565322465906998</v>
      </c>
      <c r="AG5803">
        <v>8.9995569999999994</v>
      </c>
      <c r="AH5803">
        <v>68.957889088590406</v>
      </c>
      <c r="AI5803">
        <v>83.196048534999306</v>
      </c>
      <c r="AJ5803">
        <v>113.905133682764</v>
      </c>
      <c r="AK5803">
        <v>75.963290023507199</v>
      </c>
      <c r="AL5803">
        <v>88.226974805899602</v>
      </c>
      <c r="AM5803">
        <v>97.0357970145553</v>
      </c>
      <c r="AN5803">
        <v>1.00000004048698</v>
      </c>
    </row>
    <row r="5804" spans="1:40" x14ac:dyDescent="0.25">
      <c r="A5804" t="str">
        <f>"20190312160450667"</f>
        <v>20190312160450667</v>
      </c>
      <c r="B5804" t="str">
        <f>"1552377890661037"</f>
        <v>1552377890661037</v>
      </c>
      <c r="C5804" t="s">
        <v>40</v>
      </c>
      <c r="D5804">
        <v>5.747312</v>
      </c>
      <c r="E5804">
        <v>0.39790059999999999</v>
      </c>
      <c r="F5804" t="s">
        <v>100</v>
      </c>
      <c r="G5804">
        <v>-399.17610000000002</v>
      </c>
      <c r="H5804">
        <v>9.9863420000000005</v>
      </c>
      <c r="I5804">
        <v>0.68919560000000002</v>
      </c>
      <c r="J5804">
        <v>-421.33429999999998</v>
      </c>
      <c r="K5804">
        <v>1.110428</v>
      </c>
      <c r="L5804">
        <v>73.236540000000005</v>
      </c>
      <c r="M5804">
        <v>-0.1027015</v>
      </c>
      <c r="N5804">
        <v>0</v>
      </c>
      <c r="O5804">
        <v>-0.99467939999999999</v>
      </c>
      <c r="P5804">
        <v>1.9260780000000002E-2</v>
      </c>
      <c r="Q5804">
        <v>2.4476500000000002E-2</v>
      </c>
      <c r="R5804">
        <v>-0.99951489999999998</v>
      </c>
      <c r="S5804">
        <v>0.905304</v>
      </c>
      <c r="T5804">
        <v>0.36299930000000002</v>
      </c>
      <c r="U5804">
        <v>-2.9761959999999998</v>
      </c>
      <c r="V5804">
        <v>-0.1218803</v>
      </c>
      <c r="W5804">
        <v>3.2257500000000001E-2</v>
      </c>
      <c r="X5804">
        <v>0.99202049999999997</v>
      </c>
      <c r="Y5804">
        <v>-0.38584000000000002</v>
      </c>
      <c r="Z5804">
        <v>-0.112896</v>
      </c>
      <c r="AA5804">
        <v>0.915632</v>
      </c>
      <c r="AB5804">
        <v>23</v>
      </c>
      <c r="AC5804">
        <v>22.158199999999901</v>
      </c>
      <c r="AD5804">
        <v>8.8759139999999999</v>
      </c>
      <c r="AE5804">
        <v>-72.5473444</v>
      </c>
      <c r="AF5804">
        <v>-29.093655500586799</v>
      </c>
      <c r="AG5804">
        <v>8.8759139999999999</v>
      </c>
      <c r="AH5804">
        <v>68.944008779564598</v>
      </c>
      <c r="AI5804">
        <v>83.235615242325395</v>
      </c>
      <c r="AJ5804">
        <v>112.879239572999</v>
      </c>
      <c r="AK5804">
        <v>75.355815875875805</v>
      </c>
      <c r="AL5804">
        <v>88.151460740279205</v>
      </c>
      <c r="AM5804">
        <v>97.004295737492001</v>
      </c>
      <c r="AN5804">
        <v>1.0000000131272899</v>
      </c>
    </row>
    <row r="5805" spans="1:40" x14ac:dyDescent="0.25">
      <c r="A5805" t="str">
        <f>"20190312160450691"</f>
        <v>20190312160450691</v>
      </c>
      <c r="B5805" t="str">
        <f>"1552377890680553"</f>
        <v>1552377890680553</v>
      </c>
      <c r="C5805" t="s">
        <v>40</v>
      </c>
      <c r="D5805">
        <v>6.1435810000000002</v>
      </c>
      <c r="E5805">
        <v>0.4001342</v>
      </c>
      <c r="F5805" t="s">
        <v>100</v>
      </c>
      <c r="G5805">
        <v>-399.9984</v>
      </c>
      <c r="H5805">
        <v>9.6633010000000006</v>
      </c>
      <c r="I5805">
        <v>0.68083380000000004</v>
      </c>
      <c r="J5805">
        <v>-421.3571</v>
      </c>
      <c r="K5805">
        <v>1.1104290000000001</v>
      </c>
      <c r="L5805">
        <v>73.00009</v>
      </c>
      <c r="M5805">
        <v>-0.1012696</v>
      </c>
      <c r="N5805">
        <v>0</v>
      </c>
      <c r="O5805">
        <v>-0.99482630000000005</v>
      </c>
      <c r="P5805">
        <v>2.026296E-2</v>
      </c>
      <c r="Q5805">
        <v>2.398084E-2</v>
      </c>
      <c r="R5805">
        <v>-0.99950709999999998</v>
      </c>
      <c r="S5805">
        <v>0.87512209999999901</v>
      </c>
      <c r="T5805">
        <v>0.3508078</v>
      </c>
      <c r="U5805">
        <v>-2.9759829999999998</v>
      </c>
      <c r="V5805">
        <v>-0.121448</v>
      </c>
      <c r="W5805">
        <v>3.1751370000000001E-2</v>
      </c>
      <c r="X5805">
        <v>0.99208980000000002</v>
      </c>
      <c r="Y5805">
        <v>-0.37609500000000001</v>
      </c>
      <c r="Z5805">
        <v>-0.109572</v>
      </c>
      <c r="AA5805">
        <v>0.9200796</v>
      </c>
      <c r="AB5805">
        <v>23</v>
      </c>
      <c r="AC5805">
        <v>21.358699999999999</v>
      </c>
      <c r="AD5805">
        <v>8.55287199999999</v>
      </c>
      <c r="AE5805">
        <v>-72.319256199999998</v>
      </c>
      <c r="AF5805">
        <v>-28.209958660661499</v>
      </c>
      <c r="AG5805">
        <v>8.55287199999999</v>
      </c>
      <c r="AH5805">
        <v>68.898036388787702</v>
      </c>
      <c r="AI5805">
        <v>83.446510976333201</v>
      </c>
      <c r="AJ5805">
        <v>112.266402414399</v>
      </c>
      <c r="AK5805">
        <v>74.939260773744806</v>
      </c>
      <c r="AL5805">
        <v>88.180474635369706</v>
      </c>
      <c r="AM5805">
        <v>96.979214785472607</v>
      </c>
      <c r="AN5805">
        <v>0.999999968732458</v>
      </c>
    </row>
    <row r="5806" spans="1:40" x14ac:dyDescent="0.25">
      <c r="A5806" t="str">
        <f>"20190312160450713"</f>
        <v>20190312160450713</v>
      </c>
      <c r="B5806" t="str">
        <f>"1552377890710810"</f>
        <v>1552377890710810</v>
      </c>
      <c r="C5806" t="s">
        <v>40</v>
      </c>
      <c r="D5806">
        <v>5.8891489999999997</v>
      </c>
      <c r="E5806">
        <v>0.4041978</v>
      </c>
      <c r="F5806" t="s">
        <v>100</v>
      </c>
      <c r="G5806">
        <v>-400.46170000000001</v>
      </c>
      <c r="H5806">
        <v>9.0458269999999992</v>
      </c>
      <c r="I5806">
        <v>0.67612079999999997</v>
      </c>
      <c r="J5806">
        <v>-421.37869999999998</v>
      </c>
      <c r="K5806">
        <v>1.1104290000000001</v>
      </c>
      <c r="L5806">
        <v>72.772400000000005</v>
      </c>
      <c r="M5806">
        <v>-9.9891649999999998E-2</v>
      </c>
      <c r="N5806">
        <v>0</v>
      </c>
      <c r="O5806">
        <v>-0.99496569999999995</v>
      </c>
      <c r="P5806">
        <v>2.0479310000000001E-2</v>
      </c>
      <c r="Q5806">
        <v>2.2917949999999999E-2</v>
      </c>
      <c r="R5806">
        <v>-0.99952759999999996</v>
      </c>
      <c r="S5806">
        <v>0.8598633</v>
      </c>
      <c r="T5806">
        <v>0.32654759999999999</v>
      </c>
      <c r="U5806">
        <v>-2.9761959999999998</v>
      </c>
      <c r="V5806">
        <v>-0.1202891</v>
      </c>
      <c r="W5806">
        <v>3.0681859999999998E-2</v>
      </c>
      <c r="X5806">
        <v>0.99226460000000005</v>
      </c>
      <c r="Y5806">
        <v>-0.37066060000000001</v>
      </c>
      <c r="Z5806">
        <v>-0.1022883</v>
      </c>
      <c r="AA5806">
        <v>0.92311849999999995</v>
      </c>
      <c r="AB5806">
        <v>23</v>
      </c>
      <c r="AC5806">
        <v>20.916999999999899</v>
      </c>
      <c r="AD5806">
        <v>7.9353980000000002</v>
      </c>
      <c r="AE5806">
        <v>-72.096279199999998</v>
      </c>
      <c r="AF5806">
        <v>-27.7048459959673</v>
      </c>
      <c r="AG5806">
        <v>7.9353980000000002</v>
      </c>
      <c r="AH5806">
        <v>68.876517713555799</v>
      </c>
      <c r="AI5806">
        <v>83.898883849485401</v>
      </c>
      <c r="AJ5806">
        <v>111.911932226278</v>
      </c>
      <c r="AK5806">
        <v>74.662599241015201</v>
      </c>
      <c r="AL5806">
        <v>88.241782878337801</v>
      </c>
      <c r="AM5806">
        <v>96.912058122728098</v>
      </c>
      <c r="AN5806">
        <v>0.99999994026251304</v>
      </c>
    </row>
    <row r="5807" spans="1:40" x14ac:dyDescent="0.25">
      <c r="A5807" t="str">
        <f>"20190312160450736"</f>
        <v>20190312160450736</v>
      </c>
      <c r="B5807" t="str">
        <f>"1552377890731305"</f>
        <v>1552377890731305</v>
      </c>
      <c r="C5807" t="s">
        <v>40</v>
      </c>
      <c r="D5807">
        <v>4.8059370000000001</v>
      </c>
      <c r="E5807">
        <v>0.40655740000000001</v>
      </c>
      <c r="F5807" t="s">
        <v>100</v>
      </c>
      <c r="G5807">
        <v>-401.70209999999997</v>
      </c>
      <c r="H5807">
        <v>7.978307</v>
      </c>
      <c r="I5807">
        <v>1.960531</v>
      </c>
      <c r="J5807">
        <v>-421.4008</v>
      </c>
      <c r="K5807">
        <v>1.1104270000000001</v>
      </c>
      <c r="L5807">
        <v>72.53613</v>
      </c>
      <c r="M5807">
        <v>-9.8461179999999995E-2</v>
      </c>
      <c r="N5807">
        <v>0</v>
      </c>
      <c r="O5807">
        <v>-0.9951082</v>
      </c>
      <c r="P5807">
        <v>2.0703289999999999E-2</v>
      </c>
      <c r="Q5807">
        <v>2.1360440000000001E-2</v>
      </c>
      <c r="R5807">
        <v>-0.99955760000000005</v>
      </c>
      <c r="S5807">
        <v>0.82745360000000001</v>
      </c>
      <c r="T5807">
        <v>0.28881299999999999</v>
      </c>
      <c r="U5807">
        <v>-2.9778440000000002</v>
      </c>
      <c r="V5807">
        <v>-0.1190848</v>
      </c>
      <c r="W5807">
        <v>2.9117589999999999E-2</v>
      </c>
      <c r="X5807">
        <v>0.99245700000000003</v>
      </c>
      <c r="Y5807">
        <v>-0.36016799999999999</v>
      </c>
      <c r="Z5807">
        <v>-9.0880329999999995E-2</v>
      </c>
      <c r="AA5807">
        <v>0.9284502</v>
      </c>
      <c r="AB5807">
        <v>23</v>
      </c>
      <c r="AC5807">
        <v>19.698699999999999</v>
      </c>
      <c r="AD5807">
        <v>6.8678800000000004</v>
      </c>
      <c r="AE5807">
        <v>-70.575598999999997</v>
      </c>
      <c r="AF5807">
        <v>-26.320921769964801</v>
      </c>
      <c r="AG5807">
        <v>6.8678800000000004</v>
      </c>
      <c r="AH5807">
        <v>67.698273425079094</v>
      </c>
      <c r="AI5807">
        <v>84.5985548428893</v>
      </c>
      <c r="AJ5807">
        <v>111.245958731036</v>
      </c>
      <c r="AK5807">
        <v>72.958994807026897</v>
      </c>
      <c r="AL5807">
        <v>88.331449084687605</v>
      </c>
      <c r="AM5807">
        <v>96.8422020183027</v>
      </c>
      <c r="AN5807">
        <v>0.99999996024372295</v>
      </c>
    </row>
    <row r="5808" spans="1:40" x14ac:dyDescent="0.25">
      <c r="A5808" t="str">
        <f>"20190312160450757"</f>
        <v>20190312160450757</v>
      </c>
      <c r="B5808" t="str">
        <f>"1552377890750825"</f>
        <v>1552377890750825</v>
      </c>
      <c r="C5808" t="s">
        <v>40</v>
      </c>
      <c r="D5808">
        <v>5.9034199999999997</v>
      </c>
      <c r="E5808">
        <v>0.4084624</v>
      </c>
      <c r="F5808" t="s">
        <v>100</v>
      </c>
      <c r="G5808">
        <v>-401.86540000000002</v>
      </c>
      <c r="H5808">
        <v>7.4895929999999904</v>
      </c>
      <c r="I5808">
        <v>0.6618385</v>
      </c>
      <c r="J5808">
        <v>-421.42169999999999</v>
      </c>
      <c r="K5808">
        <v>1.1104229999999999</v>
      </c>
      <c r="L5808">
        <v>72.308619999999905</v>
      </c>
      <c r="M5808">
        <v>-9.7083710000000004E-2</v>
      </c>
      <c r="N5808">
        <v>0</v>
      </c>
      <c r="O5808">
        <v>-0.99524380000000001</v>
      </c>
      <c r="P5808">
        <v>2.0749030000000002E-2</v>
      </c>
      <c r="Q5808">
        <v>2.0678470000000001E-2</v>
      </c>
      <c r="R5808">
        <v>-0.99957110000000005</v>
      </c>
      <c r="S5808">
        <v>0.80966190000000005</v>
      </c>
      <c r="T5808">
        <v>0.26439069999999998</v>
      </c>
      <c r="U5808">
        <v>-2.9789119999999998</v>
      </c>
      <c r="V5808">
        <v>-0.11775629999999999</v>
      </c>
      <c r="W5808">
        <v>2.8425499999999999E-2</v>
      </c>
      <c r="X5808">
        <v>0.99263559999999995</v>
      </c>
      <c r="Y5808">
        <v>-0.3538018</v>
      </c>
      <c r="Z5808">
        <v>-8.3415429999999999E-2</v>
      </c>
      <c r="AA5808">
        <v>0.93159340000000002</v>
      </c>
      <c r="AB5808">
        <v>23</v>
      </c>
      <c r="AC5808">
        <v>19.556299999999901</v>
      </c>
      <c r="AD5808">
        <v>6.3791699999999896</v>
      </c>
      <c r="AE5808">
        <v>-71.646781499999904</v>
      </c>
      <c r="AF5808">
        <v>-26.226381147462</v>
      </c>
      <c r="AG5808">
        <v>6.3791699999999896</v>
      </c>
      <c r="AH5808">
        <v>68.901316347347205</v>
      </c>
      <c r="AI5808">
        <v>85.054637829726005</v>
      </c>
      <c r="AJ5808">
        <v>110.83866976133299</v>
      </c>
      <c r="AK5808">
        <v>73.999380216175297</v>
      </c>
      <c r="AL5808">
        <v>88.371119402384394</v>
      </c>
      <c r="AM5808">
        <v>96.765376499239295</v>
      </c>
      <c r="AN5808">
        <v>0.99999999481364998</v>
      </c>
    </row>
    <row r="5809" spans="1:40" x14ac:dyDescent="0.25">
      <c r="A5809" t="str">
        <f>"20190312160450780"</f>
        <v>20190312160450780</v>
      </c>
      <c r="B5809" t="str">
        <f>"1552377890771322"</f>
        <v>1552377890771322</v>
      </c>
      <c r="C5809" t="s">
        <v>40</v>
      </c>
      <c r="D5809">
        <v>5.7445629999999896</v>
      </c>
      <c r="E5809">
        <v>0.40832940000000001</v>
      </c>
      <c r="F5809" t="s">
        <v>100</v>
      </c>
      <c r="G5809">
        <v>-402.34249999999997</v>
      </c>
      <c r="H5809">
        <v>7.0454149999999904</v>
      </c>
      <c r="I5809">
        <v>0.65698619999999996</v>
      </c>
      <c r="J5809">
        <v>-421.44290000000001</v>
      </c>
      <c r="K5809">
        <v>1.110422</v>
      </c>
      <c r="L5809">
        <v>72.075100000000006</v>
      </c>
      <c r="M5809">
        <v>-9.5670249999999998E-2</v>
      </c>
      <c r="N5809">
        <v>0</v>
      </c>
      <c r="O5809">
        <v>-0.99538090000000001</v>
      </c>
      <c r="P5809">
        <v>2.2012429999999999E-2</v>
      </c>
      <c r="Q5809">
        <v>2.1230659999999998E-2</v>
      </c>
      <c r="R5809">
        <v>-0.99953270000000005</v>
      </c>
      <c r="S5809">
        <v>0.79342650000000003</v>
      </c>
      <c r="T5809">
        <v>0.24681159999999999</v>
      </c>
      <c r="U5809">
        <v>-2.9797060000000002</v>
      </c>
      <c r="V5809">
        <v>-0.117602</v>
      </c>
      <c r="W5809">
        <v>2.89622E-2</v>
      </c>
      <c r="X5809">
        <v>0.99263829999999997</v>
      </c>
      <c r="Y5809">
        <v>-0.347784599999999</v>
      </c>
      <c r="Z5809">
        <v>-7.8049430000000003E-2</v>
      </c>
      <c r="AA5809">
        <v>0.93432020000000005</v>
      </c>
      <c r="AB5809">
        <v>23</v>
      </c>
      <c r="AC5809">
        <v>19.1004</v>
      </c>
      <c r="AD5809">
        <v>5.9349930000000004</v>
      </c>
      <c r="AE5809">
        <v>-71.418113799999901</v>
      </c>
      <c r="AF5809">
        <v>-25.6800828073047</v>
      </c>
      <c r="AG5809">
        <v>5.9349930000000004</v>
      </c>
      <c r="AH5809">
        <v>68.819565325866606</v>
      </c>
      <c r="AI5809">
        <v>85.380652917079402</v>
      </c>
      <c r="AJ5809">
        <v>110.46310501405</v>
      </c>
      <c r="AK5809">
        <v>73.6941202983067</v>
      </c>
      <c r="AL5809">
        <v>88.340355960965496</v>
      </c>
      <c r="AM5809">
        <v>96.756575402747899</v>
      </c>
      <c r="AN5809">
        <v>0.99999991702986102</v>
      </c>
    </row>
    <row r="5810" spans="1:40" x14ac:dyDescent="0.25">
      <c r="A5810" t="str">
        <f>"20190312160450802"</f>
        <v>20190312160450802</v>
      </c>
      <c r="B5810" t="str">
        <f>"1552377890790842"</f>
        <v>1552377890790842</v>
      </c>
      <c r="C5810" t="s">
        <v>40</v>
      </c>
      <c r="D5810">
        <v>6.1080909999999999</v>
      </c>
      <c r="E5810">
        <v>0.47669539999999999</v>
      </c>
      <c r="F5810" t="s">
        <v>100</v>
      </c>
      <c r="G5810">
        <v>-402.30180000000001</v>
      </c>
      <c r="H5810">
        <v>6.8977329999999997</v>
      </c>
      <c r="I5810">
        <v>0.65739820000000004</v>
      </c>
      <c r="J5810">
        <v>-421.46359999999999</v>
      </c>
      <c r="K5810">
        <v>1.110425</v>
      </c>
      <c r="L5810">
        <v>71.844210000000004</v>
      </c>
      <c r="M5810">
        <v>-9.4273899999999994E-2</v>
      </c>
      <c r="N5810">
        <v>0</v>
      </c>
      <c r="O5810">
        <v>-0.99551409999999996</v>
      </c>
      <c r="P5810">
        <v>2.3914350000000001E-2</v>
      </c>
      <c r="Q5810">
        <v>2.1644119999999999E-2</v>
      </c>
      <c r="R5810">
        <v>-0.99947980000000003</v>
      </c>
      <c r="S5810">
        <v>0.79833980000000004</v>
      </c>
      <c r="T5810">
        <v>0.2413768</v>
      </c>
      <c r="U5810">
        <v>-2.9786990000000002</v>
      </c>
      <c r="V5810">
        <v>-0.1180991</v>
      </c>
      <c r="W5810">
        <v>2.9359240000000002E-2</v>
      </c>
      <c r="X5810">
        <v>0.99256770000000005</v>
      </c>
      <c r="Y5810">
        <v>-0.34802139999999998</v>
      </c>
      <c r="Z5810">
        <v>-7.6363109999999998E-2</v>
      </c>
      <c r="AA5810">
        <v>0.93437130000000002</v>
      </c>
      <c r="AB5810">
        <v>23</v>
      </c>
      <c r="AC5810">
        <v>19.1617999999999</v>
      </c>
      <c r="AD5810">
        <v>5.7873080000000003</v>
      </c>
      <c r="AE5810">
        <v>-71.186811800000001</v>
      </c>
      <c r="AF5810">
        <v>-25.629777121649301</v>
      </c>
      <c r="AG5810">
        <v>5.7873080000000003</v>
      </c>
      <c r="AH5810">
        <v>68.640218436834303</v>
      </c>
      <c r="AI5810">
        <v>85.483755345238194</v>
      </c>
      <c r="AJ5810">
        <v>110.475279941415</v>
      </c>
      <c r="AK5810">
        <v>73.497333259436104</v>
      </c>
      <c r="AL5810">
        <v>88.317597705169305</v>
      </c>
      <c r="AM5810">
        <v>96.785347641628803</v>
      </c>
      <c r="AN5810">
        <v>1.00000000073873</v>
      </c>
    </row>
    <row r="5811" spans="1:40" x14ac:dyDescent="0.25">
      <c r="A5811" t="str">
        <f>"20190312160450825"</f>
        <v>20190312160450825</v>
      </c>
      <c r="B5811" t="str">
        <f>"1552377890821098"</f>
        <v>1552377890821098</v>
      </c>
      <c r="C5811" t="s">
        <v>40</v>
      </c>
      <c r="D5811">
        <v>5.8421560000000001</v>
      </c>
      <c r="E5811">
        <v>0.48006450000000001</v>
      </c>
      <c r="F5811" t="s">
        <v>100</v>
      </c>
      <c r="G5811">
        <v>-415.3614</v>
      </c>
      <c r="H5811">
        <v>6.0526119999999999</v>
      </c>
      <c r="I5811">
        <v>1.279955</v>
      </c>
      <c r="J5811">
        <v>-421.48450000000003</v>
      </c>
      <c r="K5811">
        <v>1.1104259999999999</v>
      </c>
      <c r="L5811">
        <v>71.605739999999997</v>
      </c>
      <c r="M5811">
        <v>-9.283139E-2</v>
      </c>
      <c r="N5811">
        <v>0</v>
      </c>
      <c r="O5811">
        <v>-0.99564989999999998</v>
      </c>
      <c r="P5811">
        <v>2.565974E-2</v>
      </c>
      <c r="Q5811">
        <v>2.2285969999999999E-2</v>
      </c>
      <c r="R5811">
        <v>-0.99942240000000004</v>
      </c>
      <c r="S5811">
        <v>0.25863649999999999</v>
      </c>
      <c r="T5811">
        <v>0.20947189999999999</v>
      </c>
      <c r="U5811">
        <v>-2.9908450000000002</v>
      </c>
      <c r="V5811">
        <v>-0.1183946</v>
      </c>
      <c r="W5811">
        <v>2.9983619999999999E-2</v>
      </c>
      <c r="X5811">
        <v>0.9925138</v>
      </c>
      <c r="Y5811">
        <v>-0.17806520000000001</v>
      </c>
      <c r="Z5811">
        <v>-6.872752E-2</v>
      </c>
      <c r="AA5811">
        <v>0.98161569999999998</v>
      </c>
      <c r="AB5811">
        <v>24</v>
      </c>
      <c r="AC5811">
        <v>6.1231000000000204</v>
      </c>
      <c r="AD5811">
        <v>4.9421860000000004</v>
      </c>
      <c r="AE5811">
        <v>-70.325784999999996</v>
      </c>
      <c r="AF5811">
        <v>-12.5637247159985</v>
      </c>
      <c r="AG5811">
        <v>4.9421860000000004</v>
      </c>
      <c r="AH5811">
        <v>69.114887205060995</v>
      </c>
      <c r="AI5811">
        <v>85.975650566498203</v>
      </c>
      <c r="AJ5811">
        <v>100.302745269228</v>
      </c>
      <c r="AK5811">
        <v>70.421161695660004</v>
      </c>
      <c r="AL5811">
        <v>88.281807556502102</v>
      </c>
      <c r="AM5811">
        <v>96.802532559503106</v>
      </c>
      <c r="AN5811">
        <v>0.99999997098395099</v>
      </c>
    </row>
    <row r="5812" spans="1:40" x14ac:dyDescent="0.25">
      <c r="A5812" t="str">
        <f>"20190312160450847"</f>
        <v>20190312160450847</v>
      </c>
      <c r="B5812" t="str">
        <f>"1552377890840661"</f>
        <v>1552377890840661</v>
      </c>
      <c r="C5812" t="s">
        <v>40</v>
      </c>
      <c r="D5812">
        <v>6.1173650000000004</v>
      </c>
      <c r="E5812">
        <v>0.4807863</v>
      </c>
      <c r="F5812" t="s">
        <v>100</v>
      </c>
      <c r="G5812">
        <v>-415.89870000000002</v>
      </c>
      <c r="H5812">
        <v>6.1312870000000004</v>
      </c>
      <c r="I5812">
        <v>1.2778320000000001</v>
      </c>
      <c r="J5812">
        <v>-421.50490000000002</v>
      </c>
      <c r="K5812">
        <v>1.110419</v>
      </c>
      <c r="L5812">
        <v>71.370760000000004</v>
      </c>
      <c r="M5812">
        <v>-9.1410500000000006E-2</v>
      </c>
      <c r="N5812">
        <v>0</v>
      </c>
      <c r="O5812">
        <v>-0.99578140000000004</v>
      </c>
      <c r="P5812">
        <v>2.7399099999999999E-2</v>
      </c>
      <c r="Q5812">
        <v>2.1102030000000001E-2</v>
      </c>
      <c r="R5812">
        <v>-0.99940169999999995</v>
      </c>
      <c r="S5812">
        <v>0.2375488</v>
      </c>
      <c r="T5812">
        <v>0.21352389999999999</v>
      </c>
      <c r="U5812">
        <v>-2.990875</v>
      </c>
      <c r="V5812">
        <v>-0.1187059</v>
      </c>
      <c r="W5812">
        <v>2.8779180000000001E-2</v>
      </c>
      <c r="X5812">
        <v>0.99251230000000001</v>
      </c>
      <c r="Y5812">
        <v>-0.1697727</v>
      </c>
      <c r="Z5812">
        <v>-7.013606E-2</v>
      </c>
      <c r="AA5812">
        <v>0.98298430000000003</v>
      </c>
      <c r="AB5812">
        <v>24</v>
      </c>
      <c r="AC5812">
        <v>5.6062000000000003</v>
      </c>
      <c r="AD5812">
        <v>5.0208680000000001</v>
      </c>
      <c r="AE5812">
        <v>-70.092928000000001</v>
      </c>
      <c r="AF5812">
        <v>-11.929338751660101</v>
      </c>
      <c r="AG5812">
        <v>5.0208680000000001</v>
      </c>
      <c r="AH5812">
        <v>68.935503618701603</v>
      </c>
      <c r="AI5812">
        <v>85.895056594628599</v>
      </c>
      <c r="AJ5812">
        <v>99.817843146770102</v>
      </c>
      <c r="AK5812">
        <v>70.140016379305905</v>
      </c>
      <c r="AL5812">
        <v>88.350846743239501</v>
      </c>
      <c r="AM5812">
        <v>96.820260697119394</v>
      </c>
      <c r="AN5812">
        <v>0.99999999877378598</v>
      </c>
    </row>
    <row r="5813" spans="1:40" x14ac:dyDescent="0.25">
      <c r="A5813" t="str">
        <f>"20190312160450869"</f>
        <v>20190312160450869</v>
      </c>
      <c r="B5813" t="str">
        <f>"1552377890861113"</f>
        <v>1552377890861113</v>
      </c>
      <c r="C5813" t="s">
        <v>40</v>
      </c>
      <c r="D5813">
        <v>5.8300460000000003</v>
      </c>
      <c r="E5813">
        <v>0.48070030000000002</v>
      </c>
      <c r="F5813" t="s">
        <v>100</v>
      </c>
      <c r="G5813">
        <v>-415.9649</v>
      </c>
      <c r="H5813">
        <v>5.9905609999999996</v>
      </c>
      <c r="I5813">
        <v>1.277569</v>
      </c>
      <c r="J5813">
        <v>-421.52499999999998</v>
      </c>
      <c r="K5813">
        <v>1.11042</v>
      </c>
      <c r="L5813">
        <v>71.13409</v>
      </c>
      <c r="M5813">
        <v>-8.9982210000000007E-2</v>
      </c>
      <c r="N5813">
        <v>0</v>
      </c>
      <c r="O5813">
        <v>-0.99591149999999995</v>
      </c>
      <c r="P5813">
        <v>2.8673339999999999E-2</v>
      </c>
      <c r="Q5813">
        <v>2.1344930000000002E-2</v>
      </c>
      <c r="R5813">
        <v>-0.9993609</v>
      </c>
      <c r="S5813">
        <v>0.23638919999999999</v>
      </c>
      <c r="T5813">
        <v>0.20823659999999999</v>
      </c>
      <c r="U5813">
        <v>-2.9909059999999998</v>
      </c>
      <c r="V5813">
        <v>-0.118548</v>
      </c>
      <c r="W5813">
        <v>2.9002719999999999E-2</v>
      </c>
      <c r="X5813">
        <v>0.99252470000000004</v>
      </c>
      <c r="Y5813">
        <v>-0.167989</v>
      </c>
      <c r="Z5813">
        <v>-6.8432290000000007E-2</v>
      </c>
      <c r="AA5813">
        <v>0.98341080000000003</v>
      </c>
      <c r="AB5813">
        <v>24</v>
      </c>
      <c r="AC5813">
        <v>5.5600999999999701</v>
      </c>
      <c r="AD5813">
        <v>4.8801410000000001</v>
      </c>
      <c r="AE5813">
        <v>-69.856521000000001</v>
      </c>
      <c r="AF5813">
        <v>-11.766523759150999</v>
      </c>
      <c r="AG5813">
        <v>4.8801410000000001</v>
      </c>
      <c r="AH5813">
        <v>68.739434608727606</v>
      </c>
      <c r="AI5813">
        <v>85.997139643949097</v>
      </c>
      <c r="AJ5813">
        <v>99.713505487749003</v>
      </c>
      <c r="AK5813">
        <v>69.909775624601195</v>
      </c>
      <c r="AL5813">
        <v>88.338033553052597</v>
      </c>
      <c r="AM5813">
        <v>96.811189526628993</v>
      </c>
      <c r="AN5813">
        <v>1.0000000330907399</v>
      </c>
    </row>
    <row r="5814" spans="1:40" x14ac:dyDescent="0.25">
      <c r="A5814" t="str">
        <f>"20190312160450892"</f>
        <v>20190312160450892</v>
      </c>
      <c r="B5814" t="str">
        <f>"1552377890880634"</f>
        <v>1552377890880634</v>
      </c>
      <c r="C5814" t="s">
        <v>40</v>
      </c>
      <c r="D5814">
        <v>5.8251419999999996</v>
      </c>
      <c r="E5814">
        <v>0.48095729999999998</v>
      </c>
      <c r="F5814" t="s">
        <v>100</v>
      </c>
      <c r="G5814">
        <v>-415.90339999999998</v>
      </c>
      <c r="H5814">
        <v>5.940137</v>
      </c>
      <c r="I5814">
        <v>1.2778130000000001</v>
      </c>
      <c r="J5814">
        <v>-421.54500000000002</v>
      </c>
      <c r="K5814">
        <v>1.1104320000000001</v>
      </c>
      <c r="L5814">
        <v>70.894040000000004</v>
      </c>
      <c r="M5814">
        <v>-8.8537130000000006E-2</v>
      </c>
      <c r="N5814">
        <v>0</v>
      </c>
      <c r="O5814">
        <v>-0.99604119999999996</v>
      </c>
      <c r="P5814">
        <v>2.9704399999999999E-2</v>
      </c>
      <c r="Q5814">
        <v>2.2045410000000001E-2</v>
      </c>
      <c r="R5814">
        <v>-0.99931590000000003</v>
      </c>
      <c r="S5814">
        <v>0.2406616</v>
      </c>
      <c r="T5814">
        <v>0.20676269999999999</v>
      </c>
      <c r="U5814">
        <v>-2.9906009999999998</v>
      </c>
      <c r="V5814">
        <v>-0.118132</v>
      </c>
      <c r="W5814">
        <v>2.9686690000000002E-2</v>
      </c>
      <c r="X5814">
        <v>0.99255409999999999</v>
      </c>
      <c r="Y5814">
        <v>-0.16796529999999901</v>
      </c>
      <c r="Z5814">
        <v>-6.7966799999999994E-2</v>
      </c>
      <c r="AA5814">
        <v>0.98344710000000002</v>
      </c>
      <c r="AB5814">
        <v>24</v>
      </c>
      <c r="AC5814">
        <v>5.6416000000000404</v>
      </c>
      <c r="AD5814">
        <v>4.8297049999999997</v>
      </c>
      <c r="AE5814">
        <v>-69.616226999999995</v>
      </c>
      <c r="AF5814">
        <v>-11.727183524386099</v>
      </c>
      <c r="AG5814">
        <v>4.8297049999999997</v>
      </c>
      <c r="AH5814">
        <v>68.515693590686396</v>
      </c>
      <c r="AI5814">
        <v>86.025471110317199</v>
      </c>
      <c r="AJ5814">
        <v>99.712659575477204</v>
      </c>
      <c r="AK5814">
        <v>69.679646612296196</v>
      </c>
      <c r="AL5814">
        <v>88.298828113121502</v>
      </c>
      <c r="AM5814">
        <v>96.787312400583602</v>
      </c>
      <c r="AN5814">
        <v>1.0000000552069801</v>
      </c>
    </row>
    <row r="5815" spans="1:40" x14ac:dyDescent="0.25">
      <c r="A5815" t="str">
        <f>"20190312160450914"</f>
        <v>20190312160450914</v>
      </c>
      <c r="B5815" t="str">
        <f>"1552377890910890"</f>
        <v>1552377890910890</v>
      </c>
      <c r="C5815" t="s">
        <v>40</v>
      </c>
      <c r="D5815">
        <v>5.8511939999999996</v>
      </c>
      <c r="E5815">
        <v>0.4807652</v>
      </c>
      <c r="F5815" t="s">
        <v>100</v>
      </c>
      <c r="G5815">
        <v>-415.91379999999998</v>
      </c>
      <c r="H5815">
        <v>5.9197439999999997</v>
      </c>
      <c r="I5815">
        <v>1.277771</v>
      </c>
      <c r="J5815">
        <v>-421.56479999999999</v>
      </c>
      <c r="K5815">
        <v>1.1104240000000001</v>
      </c>
      <c r="L5815">
        <v>70.653589999999994</v>
      </c>
      <c r="M5815">
        <v>-8.7093130000000005E-2</v>
      </c>
      <c r="N5815">
        <v>0</v>
      </c>
      <c r="O5815">
        <v>-0.99616859999999996</v>
      </c>
      <c r="P5815">
        <v>3.059284E-2</v>
      </c>
      <c r="Q5815">
        <v>2.1516319999999999E-2</v>
      </c>
      <c r="R5815">
        <v>-0.99930050000000004</v>
      </c>
      <c r="S5815">
        <v>0.24188229999999999</v>
      </c>
      <c r="T5815">
        <v>0.20657990000000001</v>
      </c>
      <c r="U5815">
        <v>-2.990326</v>
      </c>
      <c r="V5815">
        <v>-0.1175759</v>
      </c>
      <c r="W5815">
        <v>2.9144750000000001E-2</v>
      </c>
      <c r="X5815">
        <v>0.99263610000000002</v>
      </c>
      <c r="Y5815">
        <v>-0.16694249999999999</v>
      </c>
      <c r="Z5815">
        <v>-6.793122E-2</v>
      </c>
      <c r="AA5815">
        <v>0.98362369999999999</v>
      </c>
      <c r="AB5815">
        <v>24</v>
      </c>
      <c r="AC5815">
        <v>5.6510000000000096</v>
      </c>
      <c r="AD5815">
        <v>4.8093199999999996</v>
      </c>
      <c r="AE5815">
        <v>-69.375818999999893</v>
      </c>
      <c r="AF5815">
        <v>-11.6164167562017</v>
      </c>
      <c r="AG5815">
        <v>4.8093199999999996</v>
      </c>
      <c r="AH5815">
        <v>68.293974623859299</v>
      </c>
      <c r="AI5815">
        <v>86.028685312590795</v>
      </c>
      <c r="AJ5815">
        <v>99.653297238931501</v>
      </c>
      <c r="AK5815">
        <v>69.441613367205804</v>
      </c>
      <c r="AL5815">
        <v>88.329892283275498</v>
      </c>
      <c r="AM5815">
        <v>96.755104573836206</v>
      </c>
      <c r="AN5815">
        <v>0.99999996786829004</v>
      </c>
    </row>
    <row r="5816" spans="1:40" x14ac:dyDescent="0.25">
      <c r="A5816" t="str">
        <f>"20190312160450937"</f>
        <v>20190312160450937</v>
      </c>
      <c r="B5816" t="str">
        <f>"1552377890931386"</f>
        <v>1552377890931386</v>
      </c>
      <c r="C5816" t="s">
        <v>40</v>
      </c>
      <c r="D5816">
        <v>5.8046959999999999</v>
      </c>
      <c r="E5816">
        <v>0.48064770000000001</v>
      </c>
      <c r="F5816" t="s">
        <v>100</v>
      </c>
      <c r="G5816">
        <v>-415.85379999999998</v>
      </c>
      <c r="H5816">
        <v>5.7857690000000002</v>
      </c>
      <c r="I5816">
        <v>1.278008</v>
      </c>
      <c r="J5816">
        <v>-421.58409999999998</v>
      </c>
      <c r="K5816">
        <v>1.110419</v>
      </c>
      <c r="L5816">
        <v>70.414550000000006</v>
      </c>
      <c r="M5816">
        <v>-8.5661879999999996E-2</v>
      </c>
      <c r="N5816">
        <v>0</v>
      </c>
      <c r="O5816">
        <v>-0.99629270000000003</v>
      </c>
      <c r="P5816">
        <v>3.0723230000000001E-2</v>
      </c>
      <c r="Q5816">
        <v>1.9759079999999998E-2</v>
      </c>
      <c r="R5816">
        <v>-0.99933269999999996</v>
      </c>
      <c r="S5816">
        <v>0.24615480000000001</v>
      </c>
      <c r="T5816">
        <v>0.201516</v>
      </c>
      <c r="U5816">
        <v>-2.9902340000000001</v>
      </c>
      <c r="V5816">
        <v>-0.11627800000000001</v>
      </c>
      <c r="W5816">
        <v>2.7379250000000001E-2</v>
      </c>
      <c r="X5816">
        <v>0.99283929999999998</v>
      </c>
      <c r="Y5816">
        <v>-0.16693379999999999</v>
      </c>
      <c r="Z5816">
        <v>-6.6284360000000001E-2</v>
      </c>
      <c r="AA5816">
        <v>0.98373750000000004</v>
      </c>
      <c r="AB5816">
        <v>24</v>
      </c>
      <c r="AC5816">
        <v>5.7302999999999997</v>
      </c>
      <c r="AD5816">
        <v>4.6753499999999999</v>
      </c>
      <c r="AE5816">
        <v>-69.136542000000006</v>
      </c>
      <c r="AF5816">
        <v>-11.579196233082</v>
      </c>
      <c r="AG5816">
        <v>4.6753499999999999</v>
      </c>
      <c r="AH5816">
        <v>68.082290265897001</v>
      </c>
      <c r="AI5816">
        <v>86.126992409219497</v>
      </c>
      <c r="AJ5816">
        <v>99.652304123946806</v>
      </c>
      <c r="AK5816">
        <v>69.218024609754394</v>
      </c>
      <c r="AL5816">
        <v>88.431088528353001</v>
      </c>
      <c r="AM5816">
        <v>96.679858932590605</v>
      </c>
      <c r="AN5816">
        <v>1.00000003611952</v>
      </c>
    </row>
    <row r="5817" spans="1:40" x14ac:dyDescent="0.25">
      <c r="A5817" t="str">
        <f>"20190312160450958"</f>
        <v>20190312160450958</v>
      </c>
      <c r="B5817" t="str">
        <f>"1552377890950906"</f>
        <v>1552377890950906</v>
      </c>
      <c r="C5817" t="s">
        <v>40</v>
      </c>
      <c r="D5817">
        <v>5.8308400000000002</v>
      </c>
      <c r="E5817">
        <v>0.48057280000000002</v>
      </c>
      <c r="F5817" t="s">
        <v>100</v>
      </c>
      <c r="G5817">
        <v>-415.8716</v>
      </c>
      <c r="H5817">
        <v>5.5843210000000001</v>
      </c>
      <c r="I5817">
        <v>1.2779370000000001</v>
      </c>
      <c r="J5817">
        <v>-421.60239999999999</v>
      </c>
      <c r="K5817">
        <v>1.1104179999999999</v>
      </c>
      <c r="L5817">
        <v>70.182980000000001</v>
      </c>
      <c r="M5817">
        <v>-8.428186E-2</v>
      </c>
      <c r="N5817">
        <v>0</v>
      </c>
      <c r="O5817">
        <v>-0.99641049999999998</v>
      </c>
      <c r="P5817">
        <v>3.0435899999999998E-2</v>
      </c>
      <c r="Q5817">
        <v>1.8757590000000001E-2</v>
      </c>
      <c r="R5817">
        <v>-0.99936049999999998</v>
      </c>
      <c r="S5817">
        <v>0.24710080000000001</v>
      </c>
      <c r="T5817">
        <v>0.19352359999999999</v>
      </c>
      <c r="U5817">
        <v>-2.9906009999999998</v>
      </c>
      <c r="V5817">
        <v>-0.11461639999999999</v>
      </c>
      <c r="W5817">
        <v>2.636968E-2</v>
      </c>
      <c r="X5817">
        <v>0.99305980000000005</v>
      </c>
      <c r="Y5817">
        <v>-0.16588159999999999</v>
      </c>
      <c r="Z5817">
        <v>-6.367515E-2</v>
      </c>
      <c r="AA5817">
        <v>0.98408779999999996</v>
      </c>
      <c r="AB5817">
        <v>24</v>
      </c>
      <c r="AC5817">
        <v>5.7307999999999799</v>
      </c>
      <c r="AD5817">
        <v>4.473903</v>
      </c>
      <c r="AE5817">
        <v>-68.905043000000006</v>
      </c>
      <c r="AF5817">
        <v>-11.4700133666606</v>
      </c>
      <c r="AG5817">
        <v>4.473903</v>
      </c>
      <c r="AH5817">
        <v>67.892593148063298</v>
      </c>
      <c r="AI5817">
        <v>86.282373650102798</v>
      </c>
      <c r="AJ5817">
        <v>99.589203206416698</v>
      </c>
      <c r="AK5817">
        <v>68.999863906048603</v>
      </c>
      <c r="AL5817">
        <v>88.488953508571299</v>
      </c>
      <c r="AM5817">
        <v>96.583799517994393</v>
      </c>
      <c r="AN5817">
        <v>1.0000000227741499</v>
      </c>
    </row>
    <row r="5818" spans="1:40" x14ac:dyDescent="0.25">
      <c r="A5818" t="str">
        <f>"20190312160450981"</f>
        <v>20190312160450981</v>
      </c>
      <c r="B5818" t="str">
        <f>"1552377890971403"</f>
        <v>1552377890971403</v>
      </c>
      <c r="C5818" t="s">
        <v>40</v>
      </c>
      <c r="D5818">
        <v>5.7051939999999997</v>
      </c>
      <c r="E5818">
        <v>0.48049009999999998</v>
      </c>
      <c r="F5818" t="s">
        <v>100</v>
      </c>
      <c r="G5818">
        <v>-415.91019999999997</v>
      </c>
      <c r="H5818">
        <v>5.4748739999999998</v>
      </c>
      <c r="I5818">
        <v>1.2777860000000001</v>
      </c>
      <c r="J5818">
        <v>-421.62099999999998</v>
      </c>
      <c r="K5818">
        <v>1.1104240000000001</v>
      </c>
      <c r="L5818">
        <v>69.945070000000001</v>
      </c>
      <c r="M5818">
        <v>-8.2872699999999994E-2</v>
      </c>
      <c r="N5818">
        <v>0</v>
      </c>
      <c r="O5818">
        <v>-0.99652890000000005</v>
      </c>
      <c r="P5818">
        <v>3.048816E-2</v>
      </c>
      <c r="Q5818">
        <v>1.8887749999999998E-2</v>
      </c>
      <c r="R5818">
        <v>-0.99935660000000004</v>
      </c>
      <c r="S5818">
        <v>0.24707029999999999</v>
      </c>
      <c r="T5818">
        <v>0.18943889999999999</v>
      </c>
      <c r="U5818">
        <v>-2.9908450000000002</v>
      </c>
      <c r="V5818">
        <v>-0.113264</v>
      </c>
      <c r="W5818">
        <v>2.6488370000000001E-2</v>
      </c>
      <c r="X5818">
        <v>0.99321170000000003</v>
      </c>
      <c r="Y5818">
        <v>-0.16447729999999999</v>
      </c>
      <c r="Z5818">
        <v>-6.2350170000000003E-2</v>
      </c>
      <c r="AA5818">
        <v>0.98440830000000001</v>
      </c>
      <c r="AB5818">
        <v>24</v>
      </c>
      <c r="AC5818">
        <v>5.7107999999999999</v>
      </c>
      <c r="AD5818">
        <v>4.3644499999999997</v>
      </c>
      <c r="AE5818">
        <v>-68.667283999999995</v>
      </c>
      <c r="AF5818">
        <v>-11.336492318286</v>
      </c>
      <c r="AG5818">
        <v>4.3644499999999997</v>
      </c>
      <c r="AH5818">
        <v>67.686219217486993</v>
      </c>
      <c r="AI5818">
        <v>86.361184775400702</v>
      </c>
      <c r="AJ5818">
        <v>99.507990229677304</v>
      </c>
      <c r="AK5818">
        <v>68.767643218615206</v>
      </c>
      <c r="AL5818">
        <v>88.482150546765695</v>
      </c>
      <c r="AM5818">
        <v>96.505798435264794</v>
      </c>
      <c r="AN5818">
        <v>0.99999992422907003</v>
      </c>
    </row>
    <row r="5819" spans="1:40" x14ac:dyDescent="0.25">
      <c r="A5819" t="str">
        <f>"20190312160451003"</f>
        <v>20190312160451003</v>
      </c>
      <c r="B5819" t="str">
        <f>"1552377891000682"</f>
        <v>1552377891000682</v>
      </c>
      <c r="C5819" t="s">
        <v>40</v>
      </c>
      <c r="D5819">
        <v>5.8082089999999997</v>
      </c>
      <c r="E5819">
        <v>0.4804621</v>
      </c>
      <c r="F5819" t="s">
        <v>100</v>
      </c>
      <c r="G5819">
        <v>-415.9393</v>
      </c>
      <c r="H5819">
        <v>5.4430930000000002</v>
      </c>
      <c r="I5819">
        <v>1.2776719999999999</v>
      </c>
      <c r="J5819">
        <v>-421.6397</v>
      </c>
      <c r="K5819">
        <v>1.1104210000000001</v>
      </c>
      <c r="L5819">
        <v>69.701599999999999</v>
      </c>
      <c r="M5819">
        <v>-8.144274E-2</v>
      </c>
      <c r="N5819">
        <v>0</v>
      </c>
      <c r="O5819">
        <v>-0.9966469</v>
      </c>
      <c r="P5819">
        <v>3.2108009999999999E-2</v>
      </c>
      <c r="Q5819">
        <v>1.9336269999999999E-2</v>
      </c>
      <c r="R5819">
        <v>-0.9992974</v>
      </c>
      <c r="S5819">
        <v>0.24746699999999999</v>
      </c>
      <c r="T5819">
        <v>0.1887085</v>
      </c>
      <c r="U5819">
        <v>-2.9908139999999999</v>
      </c>
      <c r="V5819">
        <v>-0.11344890000000001</v>
      </c>
      <c r="W5819">
        <v>2.6915939999999999E-2</v>
      </c>
      <c r="X5819">
        <v>0.99317920000000004</v>
      </c>
      <c r="Y5819">
        <v>-0.16319359999999999</v>
      </c>
      <c r="Z5819">
        <v>-6.2128839999999998E-2</v>
      </c>
      <c r="AA5819">
        <v>0.98463590000000001</v>
      </c>
      <c r="AB5819">
        <v>24</v>
      </c>
      <c r="AC5819">
        <v>5.7004000000000001</v>
      </c>
      <c r="AD5819">
        <v>4.3326719999999996</v>
      </c>
      <c r="AE5819">
        <v>-68.423928000000004</v>
      </c>
      <c r="AF5819">
        <v>-11.2096314823479</v>
      </c>
      <c r="AG5819">
        <v>4.3326719999999996</v>
      </c>
      <c r="AH5819">
        <v>67.4637058952909</v>
      </c>
      <c r="AI5819">
        <v>86.3749468264554</v>
      </c>
      <c r="AJ5819">
        <v>99.433960658016105</v>
      </c>
      <c r="AK5819">
        <v>68.525757914494704</v>
      </c>
      <c r="AL5819">
        <v>88.457644000889601</v>
      </c>
      <c r="AM5819">
        <v>96.516539079330499</v>
      </c>
      <c r="AN5819">
        <v>1.0000000220249601</v>
      </c>
    </row>
    <row r="5820" spans="1:40" x14ac:dyDescent="0.25">
      <c r="A5820" t="str">
        <f>"20190312160451026"</f>
        <v>20190312160451026</v>
      </c>
      <c r="B5820" t="str">
        <f>"1552377891021182"</f>
        <v>1552377891021182</v>
      </c>
      <c r="C5820" t="s">
        <v>40</v>
      </c>
      <c r="D5820">
        <v>5.7659940000000001</v>
      </c>
      <c r="E5820">
        <v>0.4805413</v>
      </c>
      <c r="F5820" t="s">
        <v>100</v>
      </c>
      <c r="G5820">
        <v>-415.84519999999998</v>
      </c>
      <c r="H5820">
        <v>5.4199229999999998</v>
      </c>
      <c r="I5820">
        <v>1.2780400000000001</v>
      </c>
      <c r="J5820">
        <v>-421.65820000000002</v>
      </c>
      <c r="K5820">
        <v>1.1104130000000001</v>
      </c>
      <c r="L5820">
        <v>69.455600000000004</v>
      </c>
      <c r="M5820">
        <v>-8.0014989999999994E-2</v>
      </c>
      <c r="N5820">
        <v>0</v>
      </c>
      <c r="O5820">
        <v>-0.99676260000000005</v>
      </c>
      <c r="P5820">
        <v>3.3829579999999998E-2</v>
      </c>
      <c r="Q5820">
        <v>2.027437E-2</v>
      </c>
      <c r="R5820">
        <v>-0.9992221</v>
      </c>
      <c r="S5820">
        <v>0.25323489999999999</v>
      </c>
      <c r="T5820">
        <v>0.18833759999999999</v>
      </c>
      <c r="U5820">
        <v>-2.990326</v>
      </c>
      <c r="V5820">
        <v>-0.1137377</v>
      </c>
      <c r="W5820">
        <v>2.7830170000000001E-2</v>
      </c>
      <c r="X5820">
        <v>0.99312100000000003</v>
      </c>
      <c r="Y5820">
        <v>-0.1636802</v>
      </c>
      <c r="Z5820">
        <v>-6.2020640000000002E-2</v>
      </c>
      <c r="AA5820">
        <v>0.98456200000000005</v>
      </c>
      <c r="AB5820">
        <v>24</v>
      </c>
      <c r="AC5820">
        <v>5.8130000000000397</v>
      </c>
      <c r="AD5820">
        <v>4.3095100000000004</v>
      </c>
      <c r="AE5820">
        <v>-68.17756</v>
      </c>
      <c r="AF5820">
        <v>-11.2053082117525</v>
      </c>
      <c r="AG5820">
        <v>4.3095100000000004</v>
      </c>
      <c r="AH5820">
        <v>67.227135997890599</v>
      </c>
      <c r="AI5820">
        <v>86.381924037334599</v>
      </c>
      <c r="AJ5820">
        <v>99.462973610324298</v>
      </c>
      <c r="AK5820">
        <v>68.290692067362599</v>
      </c>
      <c r="AL5820">
        <v>88.405242891694002</v>
      </c>
      <c r="AM5820">
        <v>96.533364154147904</v>
      </c>
      <c r="AN5820">
        <v>1.00000005170225</v>
      </c>
    </row>
    <row r="5821" spans="1:40" x14ac:dyDescent="0.25">
      <c r="A5821" t="str">
        <f>"20190312160451048"</f>
        <v>20190312160451048</v>
      </c>
      <c r="B5821" t="str">
        <f>"1552377891040699"</f>
        <v>1552377891040699</v>
      </c>
      <c r="C5821" t="s">
        <v>40</v>
      </c>
      <c r="D5821">
        <v>5.6661700000000002</v>
      </c>
      <c r="E5821">
        <v>0.48064089999999998</v>
      </c>
      <c r="F5821" t="s">
        <v>100</v>
      </c>
      <c r="G5821">
        <v>-415.7876</v>
      </c>
      <c r="H5821">
        <v>5.405621</v>
      </c>
      <c r="I5821">
        <v>1.2782690000000001</v>
      </c>
      <c r="J5821">
        <v>-421.67590000000001</v>
      </c>
      <c r="K5821">
        <v>1.110401</v>
      </c>
      <c r="L5821">
        <v>69.215729999999994</v>
      </c>
      <c r="M5821">
        <v>-7.8646980000000005E-2</v>
      </c>
      <c r="N5821">
        <v>0</v>
      </c>
      <c r="O5821">
        <v>-0.99687190000000003</v>
      </c>
      <c r="P5821">
        <v>3.6203109999999997E-2</v>
      </c>
      <c r="Q5821">
        <v>2.0029640000000001E-2</v>
      </c>
      <c r="R5821">
        <v>-0.99914400000000003</v>
      </c>
      <c r="S5821">
        <v>0.25744630000000002</v>
      </c>
      <c r="T5821">
        <v>0.1883582</v>
      </c>
      <c r="U5821">
        <v>-2.9898069999999999</v>
      </c>
      <c r="V5821">
        <v>-0.114733</v>
      </c>
      <c r="W5821">
        <v>2.7557999999999999E-2</v>
      </c>
      <c r="X5821">
        <v>0.99301399999999995</v>
      </c>
      <c r="Y5821">
        <v>-0.16371740000000001</v>
      </c>
      <c r="Z5821">
        <v>-6.2044439999999999E-2</v>
      </c>
      <c r="AA5821">
        <v>0.98455429999999999</v>
      </c>
      <c r="AB5821">
        <v>24</v>
      </c>
      <c r="AC5821">
        <v>5.8883000000000099</v>
      </c>
      <c r="AD5821">
        <v>4.2952199999999996</v>
      </c>
      <c r="AE5821">
        <v>-67.937460999999999</v>
      </c>
      <c r="AF5821">
        <v>-11.1689879060221</v>
      </c>
      <c r="AG5821">
        <v>4.2952199999999996</v>
      </c>
      <c r="AH5821">
        <v>66.998096900507605</v>
      </c>
      <c r="AI5821">
        <v>86.381610675234697</v>
      </c>
      <c r="AJ5821">
        <v>99.464517551753204</v>
      </c>
      <c r="AK5821">
        <v>68.058358737065305</v>
      </c>
      <c r="AL5821">
        <v>88.420842913110604</v>
      </c>
      <c r="AM5821">
        <v>96.590739659272799</v>
      </c>
      <c r="AN5821">
        <v>0.99999995442449896</v>
      </c>
    </row>
    <row r="5822" spans="1:40" x14ac:dyDescent="0.25">
      <c r="A5822" t="str">
        <f>"20190312160451069"</f>
        <v>20190312160451069</v>
      </c>
      <c r="B5822" t="str">
        <f>"1552377891061195"</f>
        <v>1552377891061195</v>
      </c>
      <c r="C5822" t="s">
        <v>40</v>
      </c>
      <c r="D5822">
        <v>5.6620749999999997</v>
      </c>
      <c r="E5822">
        <v>0.48073290000000002</v>
      </c>
      <c r="F5822" t="s">
        <v>100</v>
      </c>
      <c r="G5822">
        <v>-415.6696</v>
      </c>
      <c r="H5822">
        <v>5.3153069999999998</v>
      </c>
      <c r="I5822">
        <v>1.278734</v>
      </c>
      <c r="J5822">
        <v>-421.69349999999997</v>
      </c>
      <c r="K5822">
        <v>1.1103809999999901</v>
      </c>
      <c r="L5822">
        <v>68.974299999999999</v>
      </c>
      <c r="M5822">
        <v>-7.7302010000000004E-2</v>
      </c>
      <c r="N5822">
        <v>0</v>
      </c>
      <c r="O5822">
        <v>-0.99697740000000001</v>
      </c>
      <c r="P5822">
        <v>3.7356159999999999E-2</v>
      </c>
      <c r="Q5822">
        <v>2.0006369999999999E-2</v>
      </c>
      <c r="R5822">
        <v>-0.99910189999999999</v>
      </c>
      <c r="S5822">
        <v>0.26428220000000002</v>
      </c>
      <c r="T5822">
        <v>0.1850184</v>
      </c>
      <c r="U5822">
        <v>-2.9892880000000002</v>
      </c>
      <c r="V5822">
        <v>-0.1145381</v>
      </c>
      <c r="W5822">
        <v>2.751033E-2</v>
      </c>
      <c r="X5822">
        <v>0.99303790000000003</v>
      </c>
      <c r="Y5822">
        <v>-0.1646415</v>
      </c>
      <c r="Z5822">
        <v>-6.0958020000000002E-2</v>
      </c>
      <c r="AA5822">
        <v>0.98446800000000001</v>
      </c>
      <c r="AB5822">
        <v>24</v>
      </c>
      <c r="AC5822">
        <v>6.0238999999999603</v>
      </c>
      <c r="AD5822">
        <v>4.2049260000000004</v>
      </c>
      <c r="AE5822">
        <v>-67.695565999999999</v>
      </c>
      <c r="AF5822">
        <v>-11.196176395657</v>
      </c>
      <c r="AG5822">
        <v>4.2049260000000004</v>
      </c>
      <c r="AH5822">
        <v>66.7717146504949</v>
      </c>
      <c r="AI5822">
        <v>86.446061468075101</v>
      </c>
      <c r="AJ5822">
        <v>99.518716051353493</v>
      </c>
      <c r="AK5822">
        <v>67.834339724915594</v>
      </c>
      <c r="AL5822">
        <v>88.423575362432501</v>
      </c>
      <c r="AM5822">
        <v>96.579485079651505</v>
      </c>
      <c r="AN5822">
        <v>1.0000000327223599</v>
      </c>
    </row>
    <row r="5823" spans="1:40" x14ac:dyDescent="0.25">
      <c r="A5823" t="str">
        <f>"20190312160451093"</f>
        <v>20190312160451093</v>
      </c>
      <c r="B5823" t="str">
        <f>"1552377891091451"</f>
        <v>1552377891091451</v>
      </c>
      <c r="C5823" t="s">
        <v>40</v>
      </c>
      <c r="D5823">
        <v>5.6016750000000002</v>
      </c>
      <c r="E5823">
        <v>0.48087419999999997</v>
      </c>
      <c r="F5823" t="s">
        <v>100</v>
      </c>
      <c r="G5823">
        <v>-415.64870000000002</v>
      </c>
      <c r="H5823">
        <v>5.2530049999999999</v>
      </c>
      <c r="I5823">
        <v>1.278818</v>
      </c>
      <c r="J5823">
        <v>-421.7115</v>
      </c>
      <c r="K5823">
        <v>1.11036</v>
      </c>
      <c r="L5823">
        <v>68.721890000000002</v>
      </c>
      <c r="M5823">
        <v>-7.5926320000000005E-2</v>
      </c>
      <c r="N5823">
        <v>0</v>
      </c>
      <c r="O5823">
        <v>-0.99708319999999995</v>
      </c>
      <c r="P5823">
        <v>3.8606330000000001E-2</v>
      </c>
      <c r="Q5823">
        <v>2.0689949999999999E-2</v>
      </c>
      <c r="R5823">
        <v>-0.9990405</v>
      </c>
      <c r="S5823">
        <v>0.2669067</v>
      </c>
      <c r="T5823">
        <v>0.1829151</v>
      </c>
      <c r="U5823">
        <v>-2.9890750000000001</v>
      </c>
      <c r="V5823">
        <v>-0.11441</v>
      </c>
      <c r="W5823">
        <v>2.817002E-2</v>
      </c>
      <c r="X5823">
        <v>0.99303410000000003</v>
      </c>
      <c r="Y5823">
        <v>-0.16414799999999999</v>
      </c>
      <c r="Z5823">
        <v>-6.0281759999999997E-2</v>
      </c>
      <c r="AA5823">
        <v>0.98459209999999997</v>
      </c>
      <c r="AB5823">
        <v>25</v>
      </c>
      <c r="AC5823">
        <v>6.0627999999999798</v>
      </c>
      <c r="AD5823">
        <v>4.1426449999999999</v>
      </c>
      <c r="AE5823">
        <v>-67.443072000000001</v>
      </c>
      <c r="AF5823">
        <v>-11.1245211101146</v>
      </c>
      <c r="AG5823">
        <v>4.1426449999999999</v>
      </c>
      <c r="AH5823">
        <v>66.539005505394201</v>
      </c>
      <c r="AI5823">
        <v>86.486073436343901</v>
      </c>
      <c r="AJ5823">
        <v>99.491380851212</v>
      </c>
      <c r="AK5823">
        <v>67.589612598181802</v>
      </c>
      <c r="AL5823">
        <v>88.385763137842005</v>
      </c>
      <c r="AM5823">
        <v>96.572215891913999</v>
      </c>
      <c r="AN5823">
        <v>0.99999996094480403</v>
      </c>
    </row>
    <row r="5824" spans="1:40" x14ac:dyDescent="0.25">
      <c r="A5824" t="str">
        <f>"20190312160451115"</f>
        <v>20190312160451115</v>
      </c>
      <c r="B5824" t="str">
        <f>"1552377891110970"</f>
        <v>1552377891110970</v>
      </c>
      <c r="C5824" t="s">
        <v>40</v>
      </c>
      <c r="D5824">
        <v>5.7318360000000004</v>
      </c>
      <c r="E5824">
        <v>0.48103119999999999</v>
      </c>
      <c r="F5824" t="s">
        <v>100</v>
      </c>
      <c r="G5824">
        <v>-415.64159999999998</v>
      </c>
      <c r="H5824">
        <v>5.2385539999999997</v>
      </c>
      <c r="I5824">
        <v>1.278845</v>
      </c>
      <c r="J5824">
        <v>-421.72879999999998</v>
      </c>
      <c r="K5824">
        <v>1.1103379999999901</v>
      </c>
      <c r="L5824">
        <v>68.476500000000001</v>
      </c>
      <c r="M5824">
        <v>-7.4622480000000005E-2</v>
      </c>
      <c r="N5824">
        <v>0</v>
      </c>
      <c r="O5824">
        <v>-0.99718200000000001</v>
      </c>
      <c r="P5824">
        <v>3.9769699999999901E-2</v>
      </c>
      <c r="Q5824">
        <v>2.0905739999999999E-2</v>
      </c>
      <c r="R5824">
        <v>-0.9989905</v>
      </c>
      <c r="S5824">
        <v>0.2689819</v>
      </c>
      <c r="T5824">
        <v>0.18293789999999999</v>
      </c>
      <c r="U5824">
        <v>-2.9887079999999999</v>
      </c>
      <c r="V5824">
        <v>-0.1142664</v>
      </c>
      <c r="W5824">
        <v>2.8365919999999999E-2</v>
      </c>
      <c r="X5824">
        <v>0.99304510000000001</v>
      </c>
      <c r="Y5824">
        <v>-0.1635469</v>
      </c>
      <c r="Z5824">
        <v>-6.0306760000000001E-2</v>
      </c>
      <c r="AA5824">
        <v>0.98469050000000002</v>
      </c>
      <c r="AB5824">
        <v>25</v>
      </c>
      <c r="AC5824">
        <v>6.0871999999999904</v>
      </c>
      <c r="AD5824">
        <v>4.1282160000000001</v>
      </c>
      <c r="AE5824">
        <v>-67.197654999999997</v>
      </c>
      <c r="AF5824">
        <v>-11.043491648517501</v>
      </c>
      <c r="AG5824">
        <v>4.1282160000000001</v>
      </c>
      <c r="AH5824">
        <v>66.307814286823202</v>
      </c>
      <c r="AI5824">
        <v>86.485739707003901</v>
      </c>
      <c r="AJ5824">
        <v>99.455755332841207</v>
      </c>
      <c r="AK5824">
        <v>67.347807021679401</v>
      </c>
      <c r="AL5824">
        <v>88.374534475522296</v>
      </c>
      <c r="AM5824">
        <v>96.5639668317706</v>
      </c>
      <c r="AN5824">
        <v>1.0000000031102001</v>
      </c>
    </row>
    <row r="5825" spans="1:40" x14ac:dyDescent="0.25">
      <c r="A5825" t="str">
        <f>"20190312160451137"</f>
        <v>20190312160451137</v>
      </c>
      <c r="B5825" t="str">
        <f>"1552377891131466"</f>
        <v>1552377891131466</v>
      </c>
      <c r="C5825" t="s">
        <v>40</v>
      </c>
      <c r="D5825">
        <v>5.9401820000000001</v>
      </c>
      <c r="E5825">
        <v>0.48122389999999998</v>
      </c>
      <c r="F5825" t="s">
        <v>100</v>
      </c>
      <c r="G5825">
        <v>-415.62889999999999</v>
      </c>
      <c r="H5825">
        <v>5.2137099999999998</v>
      </c>
      <c r="I5825">
        <v>1.27889599999999</v>
      </c>
      <c r="J5825">
        <v>-421.74529999999999</v>
      </c>
      <c r="K5825">
        <v>1.1103190000000001</v>
      </c>
      <c r="L5825">
        <v>68.236540000000005</v>
      </c>
      <c r="M5825">
        <v>-7.3383770000000001E-2</v>
      </c>
      <c r="N5825">
        <v>0</v>
      </c>
      <c r="O5825">
        <v>-0.9972742</v>
      </c>
      <c r="P5825">
        <v>4.0725629999999999E-2</v>
      </c>
      <c r="Q5825">
        <v>2.1153680000000001E-2</v>
      </c>
      <c r="R5825">
        <v>-0.99894669999999997</v>
      </c>
      <c r="S5825">
        <v>0.27127079999999998</v>
      </c>
      <c r="T5825">
        <v>0.18248339999999999</v>
      </c>
      <c r="U5825">
        <v>-2.9884029999999999</v>
      </c>
      <c r="V5825">
        <v>-0.1139815</v>
      </c>
      <c r="W5825">
        <v>2.8595189999999999E-2</v>
      </c>
      <c r="X5825">
        <v>0.99307129999999999</v>
      </c>
      <c r="Y5825">
        <v>-0.16307929999999901</v>
      </c>
      <c r="Z5825">
        <v>-6.0172299999999998E-2</v>
      </c>
      <c r="AA5825">
        <v>0.98477630000000005</v>
      </c>
      <c r="AB5825">
        <v>25</v>
      </c>
      <c r="AC5825">
        <v>6.1163999999999898</v>
      </c>
      <c r="AD5825">
        <v>4.1033910000000002</v>
      </c>
      <c r="AE5825">
        <v>-66.957643999999902</v>
      </c>
      <c r="AF5825">
        <v>-10.972788167037899</v>
      </c>
      <c r="AG5825">
        <v>4.1033910000000002</v>
      </c>
      <c r="AH5825">
        <v>66.082115088237003</v>
      </c>
      <c r="AI5825">
        <v>86.494635638812795</v>
      </c>
      <c r="AJ5825">
        <v>99.427817234929805</v>
      </c>
      <c r="AK5825">
        <v>67.112486411937994</v>
      </c>
      <c r="AL5825">
        <v>88.361392996901998</v>
      </c>
      <c r="AM5825">
        <v>96.5475719636799</v>
      </c>
      <c r="AN5825">
        <v>1.00000003705853</v>
      </c>
    </row>
    <row r="5826" spans="1:40" x14ac:dyDescent="0.25">
      <c r="A5826" t="str">
        <f>"20190312160451151"</f>
        <v>20190312160451151</v>
      </c>
      <c r="B5826" t="str">
        <f>"1552377891141227"</f>
        <v>1552377891141227</v>
      </c>
      <c r="C5826" t="s">
        <v>40</v>
      </c>
      <c r="D5826">
        <v>5.6893570000000002</v>
      </c>
      <c r="E5826">
        <v>0.4813326</v>
      </c>
      <c r="F5826" t="s">
        <v>100</v>
      </c>
      <c r="G5826">
        <v>-415.62849999999997</v>
      </c>
      <c r="H5826">
        <v>5.1886619999999999</v>
      </c>
      <c r="I5826">
        <v>1.27889599999999</v>
      </c>
      <c r="J5826">
        <v>-421.7559</v>
      </c>
      <c r="K5826">
        <v>1.110303</v>
      </c>
      <c r="L5826">
        <v>68.0809</v>
      </c>
      <c r="M5826">
        <v>-7.2597750000000003E-2</v>
      </c>
      <c r="N5826">
        <v>0</v>
      </c>
      <c r="O5826">
        <v>-0.99733159999999998</v>
      </c>
      <c r="P5826">
        <v>4.1484260000000002E-2</v>
      </c>
      <c r="Q5826">
        <v>2.125931E-2</v>
      </c>
      <c r="R5826">
        <v>-0.9989133</v>
      </c>
      <c r="S5826">
        <v>0.27297969999999999</v>
      </c>
      <c r="T5826">
        <v>0.18200730000000001</v>
      </c>
      <c r="U5826">
        <v>-2.9881899999999999</v>
      </c>
      <c r="V5826">
        <v>-0.11395280000000001</v>
      </c>
      <c r="W5826">
        <v>2.868718E-2</v>
      </c>
      <c r="X5826">
        <v>0.99307190000000001</v>
      </c>
      <c r="Y5826">
        <v>-0.1628675</v>
      </c>
      <c r="Z5826">
        <v>-6.0024880000000003E-2</v>
      </c>
      <c r="AA5826">
        <v>0.98482040000000004</v>
      </c>
      <c r="AB5826">
        <v>25</v>
      </c>
      <c r="AC5826">
        <v>6.1274000000000202</v>
      </c>
      <c r="AD5826">
        <v>4.0783589999999998</v>
      </c>
      <c r="AE5826">
        <v>-66.802003999999997</v>
      </c>
      <c r="AF5826">
        <v>-10.920684703963</v>
      </c>
      <c r="AG5826">
        <v>4.0783589999999998</v>
      </c>
      <c r="AH5826">
        <v>65.937158883607196</v>
      </c>
      <c r="AI5826">
        <v>86.508087270855299</v>
      </c>
      <c r="AJ5826">
        <v>99.404109388594506</v>
      </c>
      <c r="AK5826">
        <v>66.959713919477807</v>
      </c>
      <c r="AL5826">
        <v>88.356120128923095</v>
      </c>
      <c r="AM5826">
        <v>96.545933706050107</v>
      </c>
      <c r="AN5826">
        <v>0.99999999674690099</v>
      </c>
    </row>
    <row r="5827" spans="1:40" x14ac:dyDescent="0.25">
      <c r="A5827" t="str">
        <f>"20190312160451163"</f>
        <v>20190312160451163</v>
      </c>
      <c r="B5827" t="str">
        <f>"1552377891160745"</f>
        <v>1552377891160745</v>
      </c>
      <c r="C5827" t="s">
        <v>40</v>
      </c>
      <c r="D5827">
        <v>5.6075220000000003</v>
      </c>
      <c r="E5827">
        <v>0.48143029999999998</v>
      </c>
      <c r="F5827" t="s">
        <v>100</v>
      </c>
      <c r="G5827">
        <v>-415.62430000000001</v>
      </c>
      <c r="H5827">
        <v>5.1764409999999996</v>
      </c>
      <c r="I5827">
        <v>1.278915</v>
      </c>
      <c r="J5827">
        <v>-421.7654</v>
      </c>
      <c r="K5827">
        <v>1.110293</v>
      </c>
      <c r="L5827">
        <v>67.941280000000006</v>
      </c>
      <c r="M5827">
        <v>-7.1904490000000001E-2</v>
      </c>
      <c r="N5827">
        <v>0</v>
      </c>
      <c r="O5827">
        <v>-0.99738190000000004</v>
      </c>
      <c r="P5827">
        <v>4.1674780000000002E-2</v>
      </c>
      <c r="Q5827">
        <v>2.1670539999999999E-2</v>
      </c>
      <c r="R5827">
        <v>-0.99889649999999996</v>
      </c>
      <c r="S5827">
        <v>0.27426149999999999</v>
      </c>
      <c r="T5827">
        <v>0.18187429999999999</v>
      </c>
      <c r="U5827">
        <v>-2.9880070000000001</v>
      </c>
      <c r="V5827">
        <v>-0.113451</v>
      </c>
      <c r="W5827">
        <v>2.9086600000000001E-2</v>
      </c>
      <c r="X5827">
        <v>0.99311769999999999</v>
      </c>
      <c r="Y5827">
        <v>-0.16260629999999901</v>
      </c>
      <c r="Z5827">
        <v>-5.9989529999999999E-2</v>
      </c>
      <c r="AA5827">
        <v>0.98486569999999996</v>
      </c>
      <c r="AB5827">
        <v>25</v>
      </c>
      <c r="AC5827">
        <v>6.14109999999999</v>
      </c>
      <c r="AD5827">
        <v>4.0661480000000001</v>
      </c>
      <c r="AE5827">
        <v>-66.662364999999994</v>
      </c>
      <c r="AF5827">
        <v>-10.878534607573499</v>
      </c>
      <c r="AG5827">
        <v>4.0661480000000001</v>
      </c>
      <c r="AH5827">
        <v>65.805444107834504</v>
      </c>
      <c r="AI5827">
        <v>86.511392172759798</v>
      </c>
      <c r="AJ5827">
        <v>99.386875740386202</v>
      </c>
      <c r="AK5827">
        <v>66.822395564626504</v>
      </c>
      <c r="AL5827">
        <v>88.333225437738193</v>
      </c>
      <c r="AM5827">
        <v>96.517058746662499</v>
      </c>
      <c r="AN5827">
        <v>0.99999996287692405</v>
      </c>
    </row>
    <row r="5828" spans="1:40" x14ac:dyDescent="0.25">
      <c r="A5828" t="str">
        <f>"20190312160451176"</f>
        <v>20190312160451176</v>
      </c>
      <c r="B5828" t="str">
        <f>"1552377891171484"</f>
        <v>1552377891171484</v>
      </c>
      <c r="C5828" t="s">
        <v>40</v>
      </c>
      <c r="D5828">
        <v>5.6202519999999998</v>
      </c>
      <c r="E5828">
        <v>0.48155510000000001</v>
      </c>
      <c r="F5828" t="s">
        <v>100</v>
      </c>
      <c r="G5828">
        <v>-415.65109999999999</v>
      </c>
      <c r="H5828">
        <v>5.186083</v>
      </c>
      <c r="I5828">
        <v>1.2788090000000001</v>
      </c>
      <c r="J5828">
        <v>-421.77420000000001</v>
      </c>
      <c r="K5828">
        <v>1.110287</v>
      </c>
      <c r="L5828">
        <v>67.808899999999994</v>
      </c>
      <c r="M5828">
        <v>-7.1256349999999996E-2</v>
      </c>
      <c r="N5828">
        <v>0</v>
      </c>
      <c r="O5828">
        <v>-0.9974288</v>
      </c>
      <c r="P5828">
        <v>4.193421E-2</v>
      </c>
      <c r="Q5828">
        <v>2.172178E-2</v>
      </c>
      <c r="R5828">
        <v>-0.99888440000000001</v>
      </c>
      <c r="S5828">
        <v>0.27404790000000001</v>
      </c>
      <c r="T5828">
        <v>0.18268200000000001</v>
      </c>
      <c r="U5828">
        <v>-2.9879150000000001</v>
      </c>
      <c r="V5828">
        <v>-0.1130625</v>
      </c>
      <c r="W5828">
        <v>2.9126639999999999E-2</v>
      </c>
      <c r="X5828">
        <v>0.99316079999999995</v>
      </c>
      <c r="Y5828">
        <v>-0.1618965</v>
      </c>
      <c r="Z5828">
        <v>-6.0264819999999997E-2</v>
      </c>
      <c r="AA5828">
        <v>0.9849658</v>
      </c>
      <c r="AB5828">
        <v>25</v>
      </c>
      <c r="AC5828">
        <v>6.1231000000000204</v>
      </c>
      <c r="AD5828">
        <v>4.0757959999999898</v>
      </c>
      <c r="AE5828">
        <v>-66.530090999999999</v>
      </c>
      <c r="AF5828">
        <v>-10.8081409006016</v>
      </c>
      <c r="AG5828">
        <v>4.0757959999999898</v>
      </c>
      <c r="AH5828">
        <v>65.680208429531405</v>
      </c>
      <c r="AI5828">
        <v>86.496059437818801</v>
      </c>
      <c r="AJ5828">
        <v>99.344676434416797</v>
      </c>
      <c r="AK5828">
        <v>66.688213367187799</v>
      </c>
      <c r="AL5828">
        <v>88.330930291289107</v>
      </c>
      <c r="AM5828">
        <v>96.494653386262002</v>
      </c>
      <c r="AN5828">
        <v>0.99999993236028695</v>
      </c>
    </row>
    <row r="5829" spans="1:40" x14ac:dyDescent="0.25">
      <c r="A5829" t="str">
        <f>"20190312160451189"</f>
        <v>20190312160451189</v>
      </c>
      <c r="B5829" t="str">
        <f>"1552377891181244"</f>
        <v>1552377891181244</v>
      </c>
      <c r="C5829" t="s">
        <v>40</v>
      </c>
      <c r="D5829">
        <v>5.6772939999999998</v>
      </c>
      <c r="E5829">
        <v>0.4816513</v>
      </c>
      <c r="F5829" t="s">
        <v>100</v>
      </c>
      <c r="G5829">
        <v>-415.68439999999998</v>
      </c>
      <c r="H5829">
        <v>5.1715410000000004</v>
      </c>
      <c r="I5829">
        <v>1.2786770000000001</v>
      </c>
      <c r="J5829">
        <v>-421.78379999999999</v>
      </c>
      <c r="K5829">
        <v>1.110279</v>
      </c>
      <c r="L5829">
        <v>67.664699999999996</v>
      </c>
      <c r="M5829">
        <v>-7.0555389999999996E-2</v>
      </c>
      <c r="N5829">
        <v>0</v>
      </c>
      <c r="O5829">
        <v>-0.9974788</v>
      </c>
      <c r="P5829">
        <v>4.2177609999999997E-2</v>
      </c>
      <c r="Q5829">
        <v>2.1949710000000001E-2</v>
      </c>
      <c r="R5829">
        <v>-0.99886920000000001</v>
      </c>
      <c r="S5829">
        <v>0.27349849999999998</v>
      </c>
      <c r="T5829">
        <v>0.18239240000000001</v>
      </c>
      <c r="U5829">
        <v>-2.9879150000000001</v>
      </c>
      <c r="V5829">
        <v>-0.1126067</v>
      </c>
      <c r="W5829">
        <v>2.934208E-2</v>
      </c>
      <c r="X5829">
        <v>0.99320629999999999</v>
      </c>
      <c r="Y5829">
        <v>-0.1610239</v>
      </c>
      <c r="Z5829">
        <v>-6.0179000000000003E-2</v>
      </c>
      <c r="AA5829">
        <v>0.98511409999999999</v>
      </c>
      <c r="AB5829">
        <v>25</v>
      </c>
      <c r="AC5829">
        <v>6.0994000000000002</v>
      </c>
      <c r="AD5829">
        <v>4.0612620000000001</v>
      </c>
      <c r="AE5829">
        <v>-66.386022999999994</v>
      </c>
      <c r="AF5829">
        <v>-10.728410504146799</v>
      </c>
      <c r="AG5829">
        <v>4.0612620000000001</v>
      </c>
      <c r="AH5829">
        <v>65.546952431525895</v>
      </c>
      <c r="AI5829">
        <v>86.500950910868994</v>
      </c>
      <c r="AJ5829">
        <v>99.295475678893993</v>
      </c>
      <c r="AK5829">
        <v>66.543186082715096</v>
      </c>
      <c r="AL5829">
        <v>88.318581307209399</v>
      </c>
      <c r="AM5829">
        <v>96.468399388158403</v>
      </c>
      <c r="AN5829">
        <v>0.999999990451653</v>
      </c>
    </row>
    <row r="5830" spans="1:40" x14ac:dyDescent="0.25">
      <c r="A5830" t="str">
        <f>"20190312160451201"</f>
        <v>20190312160451201</v>
      </c>
      <c r="B5830" t="str">
        <f>"1552377891191004"</f>
        <v>1552377891191004</v>
      </c>
      <c r="C5830" t="s">
        <v>40</v>
      </c>
      <c r="D5830">
        <v>5.6071650000000002</v>
      </c>
      <c r="E5830">
        <v>0.48174660000000002</v>
      </c>
      <c r="F5830" t="s">
        <v>100</v>
      </c>
      <c r="G5830">
        <v>-415.6995</v>
      </c>
      <c r="H5830">
        <v>5.1716879999999996</v>
      </c>
      <c r="I5830">
        <v>1.278618</v>
      </c>
      <c r="J5830">
        <v>-421.79300000000001</v>
      </c>
      <c r="K5830">
        <v>1.110269</v>
      </c>
      <c r="L5830">
        <v>67.523859999999999</v>
      </c>
      <c r="M5830">
        <v>-6.9879549999999999E-2</v>
      </c>
      <c r="N5830">
        <v>0</v>
      </c>
      <c r="O5830">
        <v>-0.99752629999999998</v>
      </c>
      <c r="P5830">
        <v>4.2789969999999997E-2</v>
      </c>
      <c r="Q5830">
        <v>2.251908E-2</v>
      </c>
      <c r="R5830">
        <v>-0.99883069999999896</v>
      </c>
      <c r="S5830">
        <v>0.27383420000000003</v>
      </c>
      <c r="T5830">
        <v>0.1827897</v>
      </c>
      <c r="U5830">
        <v>-2.9878230000000001</v>
      </c>
      <c r="V5830">
        <v>-0.1125423</v>
      </c>
      <c r="W5830">
        <v>2.9896880000000001E-2</v>
      </c>
      <c r="X5830">
        <v>0.99319710000000005</v>
      </c>
      <c r="Y5830">
        <v>-0.1604669</v>
      </c>
      <c r="Z5830">
        <v>-6.0318249999999997E-2</v>
      </c>
      <c r="AA5830">
        <v>0.98519650000000003</v>
      </c>
      <c r="AB5830">
        <v>25</v>
      </c>
      <c r="AC5830">
        <v>6.0934999999999997</v>
      </c>
      <c r="AD5830">
        <v>4.0614189999999999</v>
      </c>
      <c r="AE5830">
        <v>-66.245242000000005</v>
      </c>
      <c r="AF5830">
        <v>-10.668162659022</v>
      </c>
      <c r="AG5830">
        <v>4.0614189999999999</v>
      </c>
      <c r="AH5830">
        <v>65.413656205386303</v>
      </c>
      <c r="AI5830">
        <v>86.493376309054</v>
      </c>
      <c r="AJ5830">
        <v>99.262689554332994</v>
      </c>
      <c r="AK5830">
        <v>66.402193013253594</v>
      </c>
      <c r="AL5830">
        <v>88.2867797331552</v>
      </c>
      <c r="AM5830">
        <v>96.464790799005996</v>
      </c>
      <c r="AN5830">
        <v>1.00000003608571</v>
      </c>
    </row>
    <row r="5831" spans="1:40" x14ac:dyDescent="0.25">
      <c r="A5831" t="str">
        <f>"20190312160451213"</f>
        <v>20190312160451213</v>
      </c>
      <c r="B5831" t="str">
        <f>"1552377891211498"</f>
        <v>1552377891211498</v>
      </c>
      <c r="C5831" t="s">
        <v>40</v>
      </c>
      <c r="D5831">
        <v>5.9613699999999996</v>
      </c>
      <c r="E5831">
        <v>0.48182510000000001</v>
      </c>
      <c r="F5831" t="s">
        <v>100</v>
      </c>
      <c r="G5831">
        <v>-415.70490000000001</v>
      </c>
      <c r="H5831">
        <v>5.1907899999999998</v>
      </c>
      <c r="I5831">
        <v>1.2785949999999999</v>
      </c>
      <c r="J5831">
        <v>-421.80160000000001</v>
      </c>
      <c r="K5831">
        <v>1.1102620000000001</v>
      </c>
      <c r="L5831">
        <v>67.39255</v>
      </c>
      <c r="M5831">
        <v>-6.9252999999999995E-2</v>
      </c>
      <c r="N5831">
        <v>0</v>
      </c>
      <c r="O5831">
        <v>-0.99757019999999996</v>
      </c>
      <c r="P5831">
        <v>4.3048959999999997E-2</v>
      </c>
      <c r="Q5831">
        <v>2.2793939999999999E-2</v>
      </c>
      <c r="R5831">
        <v>-0.9988129</v>
      </c>
      <c r="S5831">
        <v>0.2745667</v>
      </c>
      <c r="T5831">
        <v>0.1840271</v>
      </c>
      <c r="U5831">
        <v>-2.9876100000000001</v>
      </c>
      <c r="V5831">
        <v>-0.11217580000000001</v>
      </c>
      <c r="W5831">
        <v>3.0159020000000002E-2</v>
      </c>
      <c r="X5831">
        <v>0.99323059999999996</v>
      </c>
      <c r="Y5831">
        <v>-0.1600906</v>
      </c>
      <c r="Z5831">
        <v>-6.0734570000000002E-2</v>
      </c>
      <c r="AA5831">
        <v>0.98523210000000006</v>
      </c>
      <c r="AB5831">
        <v>25</v>
      </c>
      <c r="AC5831">
        <v>6.0966999999999896</v>
      </c>
      <c r="AD5831">
        <v>4.0805279999999904</v>
      </c>
      <c r="AE5831">
        <v>-66.113955000000004</v>
      </c>
      <c r="AF5831">
        <v>-10.6206673350425</v>
      </c>
      <c r="AG5831">
        <v>4.0805279999999904</v>
      </c>
      <c r="AH5831">
        <v>65.286388607781106</v>
      </c>
      <c r="AI5831">
        <v>86.469839797220502</v>
      </c>
      <c r="AJ5831">
        <v>99.239829251394994</v>
      </c>
      <c r="AK5831">
        <v>66.270369101481805</v>
      </c>
      <c r="AL5831">
        <v>88.271753380848494</v>
      </c>
      <c r="AM5831">
        <v>96.443699717169693</v>
      </c>
      <c r="AN5831">
        <v>1.0000000006846801</v>
      </c>
    </row>
    <row r="5832" spans="1:40" x14ac:dyDescent="0.25">
      <c r="A5832" t="str">
        <f>"20190312160451227"</f>
        <v>20190312160451227</v>
      </c>
      <c r="B5832" t="str">
        <f>"1552377891221258"</f>
        <v>1552377891221258</v>
      </c>
      <c r="C5832" t="s">
        <v>40</v>
      </c>
      <c r="D5832">
        <v>5.5436139999999998</v>
      </c>
      <c r="E5832">
        <v>0.48192279999999998</v>
      </c>
      <c r="F5832" t="s">
        <v>100</v>
      </c>
      <c r="G5832">
        <v>-415.71879999999999</v>
      </c>
      <c r="H5832">
        <v>5.1267750000000003</v>
      </c>
      <c r="I5832">
        <v>1.278543</v>
      </c>
      <c r="J5832">
        <v>-421.81130000000002</v>
      </c>
      <c r="K5832">
        <v>1.11026</v>
      </c>
      <c r="L5832">
        <v>67.242219999999904</v>
      </c>
      <c r="M5832">
        <v>-6.8539520000000007E-2</v>
      </c>
      <c r="N5832">
        <v>0</v>
      </c>
      <c r="O5832">
        <v>-0.9976197</v>
      </c>
      <c r="P5832">
        <v>4.367248E-2</v>
      </c>
      <c r="Q5832">
        <v>2.3611549999999999E-2</v>
      </c>
      <c r="R5832">
        <v>-0.99876739999999997</v>
      </c>
      <c r="S5832">
        <v>0.2748718</v>
      </c>
      <c r="T5832">
        <v>0.1814982</v>
      </c>
      <c r="U5832">
        <v>-2.9875790000000002</v>
      </c>
      <c r="V5832">
        <v>-0.1120855</v>
      </c>
      <c r="W5832">
        <v>3.0959259999999999E-2</v>
      </c>
      <c r="X5832">
        <v>0.99321619999999999</v>
      </c>
      <c r="Y5832">
        <v>-0.15948989999999999</v>
      </c>
      <c r="Z5832">
        <v>-5.9910789999999998E-2</v>
      </c>
      <c r="AA5832">
        <v>0.98537989999999998</v>
      </c>
      <c r="AB5832">
        <v>25</v>
      </c>
      <c r="AC5832">
        <v>6.0925000000000296</v>
      </c>
      <c r="AD5832">
        <v>4.0165150000000001</v>
      </c>
      <c r="AE5832">
        <v>-65.963676999999905</v>
      </c>
      <c r="AF5832">
        <v>-10.5605973475993</v>
      </c>
      <c r="AG5832">
        <v>4.0165150000000001</v>
      </c>
      <c r="AH5832">
        <v>65.151448853734607</v>
      </c>
      <c r="AI5832">
        <v>86.517581160659503</v>
      </c>
      <c r="AJ5832">
        <v>99.207168374794804</v>
      </c>
      <c r="AK5832">
        <v>66.1238980764454</v>
      </c>
      <c r="AL5832">
        <v>88.225881628725801</v>
      </c>
      <c r="AM5832">
        <v>96.438648765979394</v>
      </c>
      <c r="AN5832">
        <v>1.00000002751621</v>
      </c>
    </row>
    <row r="5833" spans="1:40" x14ac:dyDescent="0.25">
      <c r="A5833" t="str">
        <f>"20190312160451242"</f>
        <v>20190312160451242</v>
      </c>
      <c r="B5833" t="str">
        <f>"1552377891231018"</f>
        <v>1552377891231018</v>
      </c>
      <c r="C5833" t="s">
        <v>40</v>
      </c>
      <c r="D5833">
        <v>5.584327</v>
      </c>
      <c r="E5833">
        <v>0.48192279999999998</v>
      </c>
      <c r="F5833" t="s">
        <v>100</v>
      </c>
      <c r="G5833">
        <v>-415.72359999999998</v>
      </c>
      <c r="H5833">
        <v>5.1615690000000001</v>
      </c>
      <c r="I5833">
        <v>1.2785219999999999</v>
      </c>
      <c r="J5833">
        <v>-421.82229999999998</v>
      </c>
      <c r="K5833">
        <v>1.110258</v>
      </c>
      <c r="L5833">
        <v>67.067930000000004</v>
      </c>
      <c r="M5833">
        <v>-6.7717219999999995E-2</v>
      </c>
      <c r="N5833">
        <v>0</v>
      </c>
      <c r="O5833">
        <v>-0.99767600000000001</v>
      </c>
      <c r="P5833">
        <v>4.4436999999999997E-2</v>
      </c>
      <c r="Q5833">
        <v>2.405032E-2</v>
      </c>
      <c r="R5833">
        <v>-0.99872309999999997</v>
      </c>
      <c r="S5833">
        <v>0.27569579999999999</v>
      </c>
      <c r="T5833">
        <v>0.18347260000000001</v>
      </c>
      <c r="U5833">
        <v>-2.9873349999999999</v>
      </c>
      <c r="V5833">
        <v>-0.11202719999999999</v>
      </c>
      <c r="W5833">
        <v>3.1378669999999997E-2</v>
      </c>
      <c r="X5833">
        <v>0.99320960000000003</v>
      </c>
      <c r="Y5833">
        <v>-0.15894939999999999</v>
      </c>
      <c r="Z5833">
        <v>-6.057208E-2</v>
      </c>
      <c r="AA5833">
        <v>0.98542680000000005</v>
      </c>
      <c r="AB5833">
        <v>25</v>
      </c>
      <c r="AC5833">
        <v>6.0987</v>
      </c>
      <c r="AD5833">
        <v>4.0513110000000001</v>
      </c>
      <c r="AE5833">
        <v>-65.789407999999995</v>
      </c>
      <c r="AF5833">
        <v>-10.500423364314001</v>
      </c>
      <c r="AG5833">
        <v>4.0513110000000001</v>
      </c>
      <c r="AH5833">
        <v>64.981069704571297</v>
      </c>
      <c r="AI5833">
        <v>86.478023192318602</v>
      </c>
      <c r="AJ5833">
        <v>99.179194850725693</v>
      </c>
      <c r="AK5833">
        <v>65.948551398790499</v>
      </c>
      <c r="AL5833">
        <v>88.201839497075795</v>
      </c>
      <c r="AM5833">
        <v>96.435370282553606</v>
      </c>
      <c r="AN5833">
        <v>1.00000001200148</v>
      </c>
    </row>
    <row r="5834" spans="1:40" x14ac:dyDescent="0.25">
      <c r="A5834" t="str">
        <f>"20190312160451260"</f>
        <v>20190312160451260</v>
      </c>
      <c r="B5834" t="str">
        <f>"1552377891251514"</f>
        <v>1552377891251514</v>
      </c>
      <c r="C5834" t="s">
        <v>40</v>
      </c>
      <c r="D5834">
        <v>6.6859310000000001</v>
      </c>
      <c r="E5834">
        <v>0.49086980000000002</v>
      </c>
      <c r="F5834" t="s">
        <v>100</v>
      </c>
      <c r="G5834">
        <v>-415.69560000000001</v>
      </c>
      <c r="H5834">
        <v>5.1786190000000003</v>
      </c>
      <c r="I5834">
        <v>1.2786329999999999</v>
      </c>
      <c r="J5834">
        <v>-421.83510000000001</v>
      </c>
      <c r="K5834">
        <v>1.110258</v>
      </c>
      <c r="L5834">
        <v>66.865300000000005</v>
      </c>
      <c r="M5834">
        <v>-6.6764480000000001E-2</v>
      </c>
      <c r="N5834">
        <v>0</v>
      </c>
      <c r="O5834">
        <v>-0.99773999999999996</v>
      </c>
      <c r="P5834">
        <v>4.5238390000000003E-2</v>
      </c>
      <c r="Q5834">
        <v>2.4311679999999999E-2</v>
      </c>
      <c r="R5834">
        <v>-0.99868020000000002</v>
      </c>
      <c r="S5834">
        <v>0.27816770000000002</v>
      </c>
      <c r="T5834">
        <v>0.1847125</v>
      </c>
      <c r="U5834">
        <v>-2.9870000000000001</v>
      </c>
      <c r="V5834">
        <v>-0.11187569999999999</v>
      </c>
      <c r="W5834">
        <v>3.161887E-2</v>
      </c>
      <c r="X5834">
        <v>0.99321910000000002</v>
      </c>
      <c r="Y5834">
        <v>-0.15882299999999999</v>
      </c>
      <c r="Z5834">
        <v>-6.0990910000000002E-2</v>
      </c>
      <c r="AA5834">
        <v>0.9854214</v>
      </c>
      <c r="AB5834">
        <v>25</v>
      </c>
      <c r="AC5834">
        <v>6.1394999999999902</v>
      </c>
      <c r="AD5834">
        <v>4.0683610000000003</v>
      </c>
      <c r="AE5834">
        <v>-65.586667000000006</v>
      </c>
      <c r="AF5834">
        <v>-10.4648694015695</v>
      </c>
      <c r="AG5834">
        <v>4.0683610000000003</v>
      </c>
      <c r="AH5834">
        <v>64.7833016703227</v>
      </c>
      <c r="AI5834">
        <v>86.452438157541295</v>
      </c>
      <c r="AJ5834">
        <v>99.176095182201493</v>
      </c>
      <c r="AK5834">
        <v>65.749077773960195</v>
      </c>
      <c r="AL5834">
        <v>88.188070292649599</v>
      </c>
      <c r="AM5834">
        <v>96.426679314689494</v>
      </c>
      <c r="AN5834">
        <v>1.00000005289768</v>
      </c>
    </row>
    <row r="5835" spans="1:40" x14ac:dyDescent="0.25">
      <c r="A5835" t="str">
        <f>"20190312160451274"</f>
        <v>20190312160451274</v>
      </c>
      <c r="B5835" t="str">
        <f>"1552377891271034"</f>
        <v>1552377891271034</v>
      </c>
      <c r="C5835" t="s">
        <v>40</v>
      </c>
      <c r="D5835">
        <v>5.6219380000000001</v>
      </c>
      <c r="E5835">
        <v>0.49009419999999998</v>
      </c>
      <c r="F5835" t="s">
        <v>41</v>
      </c>
      <c r="G5835">
        <v>-420.66149999999999</v>
      </c>
      <c r="H5835" s="1">
        <v>-2.8055200000000001E-7</v>
      </c>
      <c r="I5835">
        <v>49.832799999999999</v>
      </c>
      <c r="J5835">
        <v>-421.8449</v>
      </c>
      <c r="K5835">
        <v>1.1102609999999999</v>
      </c>
      <c r="L5835">
        <v>66.705410000000001</v>
      </c>
      <c r="M5835">
        <v>-6.6014859999999995E-2</v>
      </c>
      <c r="N5835">
        <v>0</v>
      </c>
      <c r="O5835">
        <v>-0.99779010000000001</v>
      </c>
      <c r="P5835">
        <v>4.603119E-2</v>
      </c>
      <c r="Q5835">
        <v>2.4398980000000001E-2</v>
      </c>
      <c r="R5835">
        <v>-0.99864200000000003</v>
      </c>
      <c r="S5835">
        <v>0.20666499999999999</v>
      </c>
      <c r="T5835">
        <v>-0.1955124</v>
      </c>
      <c r="U5835">
        <v>-2.9993590000000001</v>
      </c>
      <c r="V5835">
        <v>-0.11191810000000001</v>
      </c>
      <c r="W5835">
        <v>3.1690839999999998E-2</v>
      </c>
      <c r="X5835">
        <v>0.99321199999999998</v>
      </c>
      <c r="Y5835">
        <v>-0.1343068</v>
      </c>
      <c r="Z5835">
        <v>6.4462900000000004E-2</v>
      </c>
      <c r="AA5835">
        <v>0.98884079999999996</v>
      </c>
      <c r="AB5835">
        <v>25</v>
      </c>
      <c r="AC5835">
        <v>1.1834</v>
      </c>
      <c r="AD5835">
        <v>-1.110261280552</v>
      </c>
      <c r="AE5835">
        <v>-16.872610000000002</v>
      </c>
      <c r="AF5835">
        <v>-2.2848482222520601</v>
      </c>
      <c r="AG5835">
        <v>-1.110261280552</v>
      </c>
      <c r="AH5835">
        <v>16.685783024945501</v>
      </c>
      <c r="AI5835">
        <v>93.771718501621194</v>
      </c>
      <c r="AJ5835">
        <v>97.7972370071612</v>
      </c>
      <c r="AK5835">
        <v>16.878049847816602</v>
      </c>
      <c r="AL5835">
        <v>88.1839445950379</v>
      </c>
      <c r="AM5835">
        <v>96.429140159316006</v>
      </c>
      <c r="AN5835">
        <v>1.00000002369575</v>
      </c>
    </row>
    <row r="5836" spans="1:40" x14ac:dyDescent="0.25">
      <c r="A5836" t="str">
        <f>"20190312160451288"</f>
        <v>20190312160451288</v>
      </c>
      <c r="B5836" t="str">
        <f>"1552377891280796"</f>
        <v>1552377891280796</v>
      </c>
      <c r="C5836" t="s">
        <v>40</v>
      </c>
      <c r="D5836">
        <v>5.8045150000000003</v>
      </c>
      <c r="E5836">
        <v>0.4857784</v>
      </c>
      <c r="F5836" t="s">
        <v>41</v>
      </c>
      <c r="G5836">
        <v>-420.46260000000001</v>
      </c>
      <c r="H5836" s="1">
        <v>-3.492468E-6</v>
      </c>
      <c r="I5836">
        <v>47.44323</v>
      </c>
      <c r="J5836">
        <v>-421.85390000000001</v>
      </c>
      <c r="K5836">
        <v>1.1102609999999999</v>
      </c>
      <c r="L5836">
        <v>66.558930000000004</v>
      </c>
      <c r="M5836">
        <v>-6.5329219999999993E-2</v>
      </c>
      <c r="N5836">
        <v>0</v>
      </c>
      <c r="O5836">
        <v>-0.99783560000000004</v>
      </c>
      <c r="P5836">
        <v>4.6912639999999999E-2</v>
      </c>
      <c r="Q5836">
        <v>2.4959309999999998E-2</v>
      </c>
      <c r="R5836">
        <v>-0.99858769999999997</v>
      </c>
      <c r="S5836">
        <v>0.21517939999999999</v>
      </c>
      <c r="T5836">
        <v>-0.17282549999999999</v>
      </c>
      <c r="U5836">
        <v>-2.998383</v>
      </c>
      <c r="V5836">
        <v>-0.11211260000000001</v>
      </c>
      <c r="W5836">
        <v>3.2237019999999998E-2</v>
      </c>
      <c r="X5836">
        <v>0.99317250000000001</v>
      </c>
      <c r="Y5836">
        <v>-0.1364744</v>
      </c>
      <c r="Z5836">
        <v>5.7017239999999997E-2</v>
      </c>
      <c r="AA5836">
        <v>0.98900140000000003</v>
      </c>
      <c r="AB5836">
        <v>25</v>
      </c>
      <c r="AC5836">
        <v>1.3913</v>
      </c>
      <c r="AD5836">
        <v>-1.1102644924680001</v>
      </c>
      <c r="AE5836">
        <v>-19.1157</v>
      </c>
      <c r="AF5836">
        <v>-2.6283566866521602</v>
      </c>
      <c r="AG5836">
        <v>-1.1102644924680001</v>
      </c>
      <c r="AH5836">
        <v>18.920476288090999</v>
      </c>
      <c r="AI5836">
        <v>93.326428352844104</v>
      </c>
      <c r="AJ5836">
        <v>97.908686065882506</v>
      </c>
      <c r="AK5836">
        <v>19.134402762660699</v>
      </c>
      <c r="AL5836">
        <v>88.152634813726607</v>
      </c>
      <c r="AM5836">
        <v>96.440473413265295</v>
      </c>
      <c r="AN5836">
        <v>1.0000000376467399</v>
      </c>
    </row>
    <row r="5837" spans="1:40" x14ac:dyDescent="0.25">
      <c r="A5837" t="str">
        <f>"20190312160451305"</f>
        <v>20190312160451305</v>
      </c>
      <c r="B5837" t="str">
        <f>"1552377891301293"</f>
        <v>1552377891301293</v>
      </c>
      <c r="C5837" t="s">
        <v>40</v>
      </c>
      <c r="D5837">
        <v>5.6904570000000003</v>
      </c>
      <c r="E5837">
        <v>0.4852515</v>
      </c>
      <c r="F5837" t="s">
        <v>100</v>
      </c>
      <c r="G5837">
        <v>-416.28969999999998</v>
      </c>
      <c r="H5837">
        <v>4.9212119999999997</v>
      </c>
      <c r="I5837">
        <v>1.2762830000000001</v>
      </c>
      <c r="J5837">
        <v>-421.86610000000002</v>
      </c>
      <c r="K5837">
        <v>1.1102559999999999</v>
      </c>
      <c r="L5837">
        <v>66.357119999999995</v>
      </c>
      <c r="M5837">
        <v>-6.4389249999999995E-2</v>
      </c>
      <c r="N5837">
        <v>0</v>
      </c>
      <c r="O5837">
        <v>-0.99789669999999997</v>
      </c>
      <c r="P5837">
        <v>4.8419360000000002E-2</v>
      </c>
      <c r="Q5837">
        <v>2.550519E-2</v>
      </c>
      <c r="R5837">
        <v>-0.99850170000000005</v>
      </c>
      <c r="S5837">
        <v>0.25466919999999998</v>
      </c>
      <c r="T5837">
        <v>0.17442179999999999</v>
      </c>
      <c r="U5837">
        <v>-2.9879150000000001</v>
      </c>
      <c r="V5837">
        <v>-0.1126761</v>
      </c>
      <c r="W5837">
        <v>3.2765059999999999E-2</v>
      </c>
      <c r="X5837">
        <v>0.99309139999999996</v>
      </c>
      <c r="Y5837">
        <v>-0.14876510000000001</v>
      </c>
      <c r="Z5837">
        <v>-5.7666519999999999E-2</v>
      </c>
      <c r="AA5837">
        <v>0.98718969999999995</v>
      </c>
      <c r="AB5837">
        <v>25</v>
      </c>
      <c r="AC5837">
        <v>5.5764000000000298</v>
      </c>
      <c r="AD5837">
        <v>3.810956</v>
      </c>
      <c r="AE5837">
        <v>-65.080836999999903</v>
      </c>
      <c r="AF5837">
        <v>-9.7223570383828495</v>
      </c>
      <c r="AG5837">
        <v>3.810956</v>
      </c>
      <c r="AH5837">
        <v>64.367602292100699</v>
      </c>
      <c r="AI5837">
        <v>86.649609523423507</v>
      </c>
      <c r="AJ5837">
        <v>98.589271886437203</v>
      </c>
      <c r="AK5837">
        <v>65.209169883152001</v>
      </c>
      <c r="AL5837">
        <v>88.122364271108793</v>
      </c>
      <c r="AM5837">
        <v>96.473094564835506</v>
      </c>
      <c r="AN5837">
        <v>0.999999990710986</v>
      </c>
    </row>
    <row r="5838" spans="1:40" x14ac:dyDescent="0.25">
      <c r="A5838" t="str">
        <f>"20190312160451455"</f>
        <v>20190312160451455</v>
      </c>
      <c r="B5838" t="str">
        <f>"1552377891450792"</f>
        <v>1552377891450792</v>
      </c>
      <c r="C5838" t="s">
        <v>40</v>
      </c>
      <c r="D5838">
        <v>5.5642050000000003</v>
      </c>
      <c r="E5838">
        <v>0.4859948</v>
      </c>
      <c r="F5838" t="s">
        <v>100</v>
      </c>
      <c r="G5838">
        <v>-416.12099999999998</v>
      </c>
      <c r="H5838">
        <v>5.2324719999999996</v>
      </c>
      <c r="I5838">
        <v>1.276953</v>
      </c>
      <c r="J5838">
        <v>-421.9633</v>
      </c>
      <c r="K5838">
        <v>1.110109</v>
      </c>
      <c r="L5838">
        <v>64.639859999999999</v>
      </c>
      <c r="M5838">
        <v>-5.7111620000000002E-2</v>
      </c>
      <c r="N5838">
        <v>0</v>
      </c>
      <c r="O5838">
        <v>-0.99834000000000001</v>
      </c>
      <c r="P5838">
        <v>5.2751350000000002E-2</v>
      </c>
      <c r="Q5838">
        <v>2.30303E-2</v>
      </c>
      <c r="R5838">
        <v>-0.99834210000000001</v>
      </c>
      <c r="S5838">
        <v>0.26367190000000001</v>
      </c>
      <c r="T5838">
        <v>0.1891893</v>
      </c>
      <c r="U5838">
        <v>-2.9868769999999998</v>
      </c>
      <c r="V5838">
        <v>-0.1097313</v>
      </c>
      <c r="W5838">
        <v>3.0262919999999999E-2</v>
      </c>
      <c r="X5838">
        <v>0.99350050000000001</v>
      </c>
      <c r="Y5838">
        <v>-0.1445099</v>
      </c>
      <c r="Z5838">
        <v>-6.2605519999999998E-2</v>
      </c>
      <c r="AA5838">
        <v>0.98752090000000003</v>
      </c>
      <c r="AB5838">
        <v>26</v>
      </c>
      <c r="AC5838">
        <v>5.8423000000000203</v>
      </c>
      <c r="AD5838">
        <v>4.122363</v>
      </c>
      <c r="AE5838">
        <v>-63.3629069999999</v>
      </c>
      <c r="AF5838">
        <v>-9.4121190921674298</v>
      </c>
      <c r="AG5838">
        <v>4.122363</v>
      </c>
      <c r="AH5838">
        <v>62.662807913694401</v>
      </c>
      <c r="AI5838">
        <v>86.277772976227595</v>
      </c>
      <c r="AJ5838">
        <v>98.542120125925294</v>
      </c>
      <c r="AK5838">
        <v>63.499679984528001</v>
      </c>
      <c r="AL5838">
        <v>88.265797669557898</v>
      </c>
      <c r="AM5838">
        <v>96.302724794552304</v>
      </c>
      <c r="AN5838">
        <v>1.0000000230134301</v>
      </c>
    </row>
    <row r="5839" spans="1:40" x14ac:dyDescent="0.25">
      <c r="A5839" t="str">
        <f>"20190312160451473"</f>
        <v>20190312160451473</v>
      </c>
      <c r="B5839" t="str">
        <f>"1552377891461528"</f>
        <v>1552377891461528</v>
      </c>
      <c r="C5839" t="s">
        <v>40</v>
      </c>
      <c r="D5839">
        <v>5.4242119999999998</v>
      </c>
      <c r="E5839">
        <v>0.48634230000000001</v>
      </c>
      <c r="F5839" t="s">
        <v>100</v>
      </c>
      <c r="G5839">
        <v>-416.22539999999998</v>
      </c>
      <c r="H5839">
        <v>4.5721210000000001</v>
      </c>
      <c r="I5839">
        <v>1.2765390000000001</v>
      </c>
      <c r="J5839">
        <v>-421.97399999999999</v>
      </c>
      <c r="K5839">
        <v>1.1100760000000001</v>
      </c>
      <c r="L5839">
        <v>64.440370000000001</v>
      </c>
      <c r="M5839">
        <v>-5.640825E-2</v>
      </c>
      <c r="N5839">
        <v>0</v>
      </c>
      <c r="O5839">
        <v>-0.99838009999999999</v>
      </c>
      <c r="P5839">
        <v>5.3875260000000001E-2</v>
      </c>
      <c r="Q5839">
        <v>2.3278480000000001E-2</v>
      </c>
      <c r="R5839">
        <v>-0.99827650000000001</v>
      </c>
      <c r="S5839">
        <v>0.27047729999999998</v>
      </c>
      <c r="T5839">
        <v>0.163195799999999</v>
      </c>
      <c r="U5839">
        <v>-2.9869080000000001</v>
      </c>
      <c r="V5839">
        <v>-0.1101483</v>
      </c>
      <c r="W5839">
        <v>3.0514099999999902E-2</v>
      </c>
      <c r="X5839">
        <v>0.99344659999999996</v>
      </c>
      <c r="Y5839">
        <v>-0.14608929999999901</v>
      </c>
      <c r="Z5839">
        <v>-5.4022390000000003E-2</v>
      </c>
      <c r="AA5839">
        <v>0.98779530000000004</v>
      </c>
      <c r="AB5839">
        <v>26</v>
      </c>
      <c r="AC5839">
        <v>5.7485999999999997</v>
      </c>
      <c r="AD5839">
        <v>3.4620449999999998</v>
      </c>
      <c r="AE5839">
        <v>-63.163831000000002</v>
      </c>
      <c r="AF5839">
        <v>-9.2748715131998498</v>
      </c>
      <c r="AG5839">
        <v>3.4620449999999998</v>
      </c>
      <c r="AH5839">
        <v>62.5526011217964</v>
      </c>
      <c r="AI5839">
        <v>86.866321912974698</v>
      </c>
      <c r="AJ5839">
        <v>98.433977429162695</v>
      </c>
      <c r="AK5839">
        <v>63.331168505491497</v>
      </c>
      <c r="AL5839">
        <v>88.251399343286394</v>
      </c>
      <c r="AM5839">
        <v>96.3268229786338</v>
      </c>
      <c r="AN5839">
        <v>0.999999952671628</v>
      </c>
    </row>
    <row r="5840" spans="1:40" x14ac:dyDescent="0.25">
      <c r="A5840" t="str">
        <f>"20190312160451489"</f>
        <v>20190312160451489</v>
      </c>
      <c r="B5840" t="str">
        <f>"1552377891481049"</f>
        <v>1552377891481049</v>
      </c>
      <c r="C5840" t="s">
        <v>40</v>
      </c>
      <c r="D5840">
        <v>5.6161180000000002</v>
      </c>
      <c r="E5840">
        <v>0.48442039999999997</v>
      </c>
      <c r="F5840" t="s">
        <v>100</v>
      </c>
      <c r="G5840">
        <v>-416.28919999999999</v>
      </c>
      <c r="H5840">
        <v>3.4849320000000001</v>
      </c>
      <c r="I5840">
        <v>1.81216</v>
      </c>
      <c r="J5840">
        <v>-421.98419999999999</v>
      </c>
      <c r="K5840">
        <v>1.110053</v>
      </c>
      <c r="L5840">
        <v>64.246340000000004</v>
      </c>
      <c r="M5840">
        <v>-5.5750109999999999E-2</v>
      </c>
      <c r="N5840">
        <v>0</v>
      </c>
      <c r="O5840">
        <v>-0.9984172</v>
      </c>
      <c r="P5840">
        <v>5.5336900000000001E-2</v>
      </c>
      <c r="Q5840">
        <v>2.3899960000000001E-2</v>
      </c>
      <c r="R5840">
        <v>-0.99818180000000001</v>
      </c>
      <c r="S5840">
        <v>0.2712097</v>
      </c>
      <c r="T5840">
        <v>0.1133002</v>
      </c>
      <c r="U5840">
        <v>-2.9879150000000001</v>
      </c>
      <c r="V5840">
        <v>-0.110946699999999</v>
      </c>
      <c r="W5840">
        <v>3.1137979999999999E-2</v>
      </c>
      <c r="X5840">
        <v>0.99333850000000001</v>
      </c>
      <c r="Y5840">
        <v>-0.14571609999999999</v>
      </c>
      <c r="Z5840">
        <v>-3.752453E-2</v>
      </c>
      <c r="AA5840">
        <v>0.98861460000000001</v>
      </c>
      <c r="AB5840">
        <v>26</v>
      </c>
      <c r="AC5840">
        <v>5.6949999999999896</v>
      </c>
      <c r="AD5840">
        <v>2.374879</v>
      </c>
      <c r="AE5840">
        <v>-62.434179999999998</v>
      </c>
      <c r="AF5840">
        <v>-9.1538151899153597</v>
      </c>
      <c r="AG5840">
        <v>2.374879</v>
      </c>
      <c r="AH5840">
        <v>61.930700444694402</v>
      </c>
      <c r="AI5840">
        <v>87.827513997695803</v>
      </c>
      <c r="AJ5840">
        <v>98.407863378799902</v>
      </c>
      <c r="AK5840">
        <v>62.648575724961503</v>
      </c>
      <c r="AL5840">
        <v>88.215636845633497</v>
      </c>
      <c r="AM5840">
        <v>96.372994249600097</v>
      </c>
      <c r="AN5840">
        <v>1.0000000598108001</v>
      </c>
    </row>
    <row r="5841" spans="1:40" x14ac:dyDescent="0.25">
      <c r="A5841" t="str">
        <f>"20190312160451506"</f>
        <v>20190312160451506</v>
      </c>
      <c r="B5841" t="str">
        <f>"1552377891501543"</f>
        <v>1552377891501543</v>
      </c>
      <c r="C5841" t="s">
        <v>40</v>
      </c>
      <c r="D5841">
        <v>5.4676679999999998</v>
      </c>
      <c r="E5841">
        <v>0.48479830000000002</v>
      </c>
      <c r="F5841" t="s">
        <v>100</v>
      </c>
      <c r="G5841">
        <v>-415.90989999999999</v>
      </c>
      <c r="H5841">
        <v>3.2413409999999998</v>
      </c>
      <c r="I5841">
        <v>1.8160229999999999</v>
      </c>
      <c r="J5841">
        <v>-421.99489999999997</v>
      </c>
      <c r="K5841">
        <v>1.1100380000000001</v>
      </c>
      <c r="L5841">
        <v>64.043269999999893</v>
      </c>
      <c r="M5841">
        <v>-5.5086759999999999E-2</v>
      </c>
      <c r="N5841">
        <v>0</v>
      </c>
      <c r="O5841">
        <v>-0.99845410000000001</v>
      </c>
      <c r="P5841">
        <v>5.7717369999999997E-2</v>
      </c>
      <c r="Q5841">
        <v>2.5404240000000002E-2</v>
      </c>
      <c r="R5841">
        <v>-0.99800990000000001</v>
      </c>
      <c r="S5841">
        <v>0.29061890000000001</v>
      </c>
      <c r="T5841">
        <v>0.1019678</v>
      </c>
      <c r="U5841">
        <v>-2.9869080000000001</v>
      </c>
      <c r="V5841">
        <v>-0.1126543</v>
      </c>
      <c r="W5841">
        <v>3.2642110000000002E-2</v>
      </c>
      <c r="X5841">
        <v>0.99309789999999998</v>
      </c>
      <c r="Y5841">
        <v>-0.15146709999999999</v>
      </c>
      <c r="Z5841">
        <v>-3.3764139999999998E-2</v>
      </c>
      <c r="AA5841">
        <v>0.98788549999999997</v>
      </c>
      <c r="AB5841">
        <v>26</v>
      </c>
      <c r="AC5841">
        <v>6.0849999999999804</v>
      </c>
      <c r="AD5841">
        <v>2.1313029999999999</v>
      </c>
      <c r="AE5841">
        <v>-62.227246999999899</v>
      </c>
      <c r="AF5841">
        <v>-9.4927210189740308</v>
      </c>
      <c r="AG5841">
        <v>2.1313029999999999</v>
      </c>
      <c r="AH5841">
        <v>61.7258183179989</v>
      </c>
      <c r="AI5841">
        <v>88.045406201153796</v>
      </c>
      <c r="AJ5841">
        <v>98.742935297705998</v>
      </c>
      <c r="AK5841">
        <v>62.487845632958802</v>
      </c>
      <c r="AL5841">
        <v>88.129412516470296</v>
      </c>
      <c r="AM5841">
        <v>96.471810809828398</v>
      </c>
      <c r="AN5841">
        <v>0.99999996881907505</v>
      </c>
    </row>
    <row r="5842" spans="1:40" x14ac:dyDescent="0.25">
      <c r="A5842" t="str">
        <f>"20190312160451529"</f>
        <v>20190312160451529</v>
      </c>
      <c r="B5842" t="str">
        <f>"1552377891521065"</f>
        <v>1552377891521065</v>
      </c>
      <c r="C5842" t="s">
        <v>40</v>
      </c>
      <c r="D5842">
        <v>5.8304239999999998</v>
      </c>
      <c r="E5842">
        <v>0.48440640000000001</v>
      </c>
      <c r="F5842" t="s">
        <v>100</v>
      </c>
      <c r="G5842">
        <v>-415.85239999999999</v>
      </c>
      <c r="H5842">
        <v>3.375299</v>
      </c>
      <c r="I5842">
        <v>1.8166070000000001</v>
      </c>
      <c r="J5842">
        <v>-422.00830000000002</v>
      </c>
      <c r="K5842">
        <v>1.110025</v>
      </c>
      <c r="L5842">
        <v>63.782040000000002</v>
      </c>
      <c r="M5842">
        <v>-5.4263190000000003E-2</v>
      </c>
      <c r="N5842">
        <v>0</v>
      </c>
      <c r="O5842">
        <v>-0.99849900000000003</v>
      </c>
      <c r="P5842">
        <v>6.0045340000000003E-2</v>
      </c>
      <c r="Q5842">
        <v>2.615574E-2</v>
      </c>
      <c r="R5842">
        <v>-0.99785299999999999</v>
      </c>
      <c r="S5842">
        <v>0.29476930000000001</v>
      </c>
      <c r="T5842">
        <v>0.1087056</v>
      </c>
      <c r="U5842">
        <v>-2.9861759999999999</v>
      </c>
      <c r="V5842">
        <v>-0.1141506</v>
      </c>
      <c r="W5842">
        <v>3.3389389999999998E-2</v>
      </c>
      <c r="X5842">
        <v>0.99290219999999996</v>
      </c>
      <c r="Y5842">
        <v>-0.15202739999999901</v>
      </c>
      <c r="Z5842">
        <v>-3.5999580000000003E-2</v>
      </c>
      <c r="AA5842">
        <v>0.98772040000000005</v>
      </c>
      <c r="AB5842">
        <v>26</v>
      </c>
      <c r="AC5842">
        <v>6.1559000000000301</v>
      </c>
      <c r="AD5842">
        <v>2.2652739999999998</v>
      </c>
      <c r="AE5842">
        <v>-61.965432999999997</v>
      </c>
      <c r="AF5842">
        <v>-9.4967971108492293</v>
      </c>
      <c r="AG5842">
        <v>2.2652739999999998</v>
      </c>
      <c r="AH5842">
        <v>61.458752347789201</v>
      </c>
      <c r="AI5842">
        <v>87.913858876582196</v>
      </c>
      <c r="AJ5842">
        <v>98.784047930650402</v>
      </c>
      <c r="AK5842">
        <v>62.229405121747703</v>
      </c>
      <c r="AL5842">
        <v>88.086573219097403</v>
      </c>
      <c r="AM5842">
        <v>96.558308258184098</v>
      </c>
      <c r="AN5842">
        <v>0.99999999480488599</v>
      </c>
    </row>
    <row r="5843" spans="1:40" x14ac:dyDescent="0.25">
      <c r="A5843" t="str">
        <f>"20190312160451543"</f>
        <v>20190312160451543</v>
      </c>
      <c r="B5843" t="str">
        <f>"1552377891530824"</f>
        <v>1552377891530824</v>
      </c>
      <c r="C5843" t="s">
        <v>40</v>
      </c>
      <c r="D5843">
        <v>5.7021519999999999</v>
      </c>
      <c r="E5843">
        <v>0.48428520000000003</v>
      </c>
      <c r="F5843" t="s">
        <v>100</v>
      </c>
      <c r="G5843">
        <v>-415.64109999999999</v>
      </c>
      <c r="H5843">
        <v>2.4629979999999998</v>
      </c>
      <c r="I5843">
        <v>1.278845</v>
      </c>
      <c r="J5843">
        <v>-422.0172</v>
      </c>
      <c r="K5843">
        <v>1.1100190000000001</v>
      </c>
      <c r="L5843">
        <v>63.608980000000003</v>
      </c>
      <c r="M5843">
        <v>-5.3730029999999998E-2</v>
      </c>
      <c r="N5843">
        <v>0</v>
      </c>
      <c r="O5843">
        <v>-0.99852799999999997</v>
      </c>
      <c r="P5843">
        <v>6.116717E-2</v>
      </c>
      <c r="Q5843">
        <v>2.6665749999999998E-2</v>
      </c>
      <c r="R5843">
        <v>-0.99777150000000003</v>
      </c>
      <c r="S5843">
        <v>0.30422969999999999</v>
      </c>
      <c r="T5843">
        <v>6.4644809999999997E-2</v>
      </c>
      <c r="U5843">
        <v>-2.98645</v>
      </c>
      <c r="V5843">
        <v>-0.1147362</v>
      </c>
      <c r="W5843">
        <v>3.3894069999999998E-2</v>
      </c>
      <c r="X5843">
        <v>0.99281759999999997</v>
      </c>
      <c r="Y5843">
        <v>-0.15463070000000001</v>
      </c>
      <c r="Z5843">
        <v>-2.140852E-2</v>
      </c>
      <c r="AA5843">
        <v>0.98774039999999996</v>
      </c>
      <c r="AB5843">
        <v>26</v>
      </c>
      <c r="AC5843">
        <v>6.3761000000000001</v>
      </c>
      <c r="AD5843">
        <v>1.3529789999999899</v>
      </c>
      <c r="AE5843">
        <v>-62.330134999999999</v>
      </c>
      <c r="AF5843">
        <v>-9.7114527489498101</v>
      </c>
      <c r="AG5843">
        <v>1.3529789999999899</v>
      </c>
      <c r="AH5843">
        <v>61.868647315500901</v>
      </c>
      <c r="AI5843">
        <v>88.762372290668097</v>
      </c>
      <c r="AJ5843">
        <v>98.920862332645797</v>
      </c>
      <c r="AK5843">
        <v>62.640820455349797</v>
      </c>
      <c r="AL5843">
        <v>88.057640808447204</v>
      </c>
      <c r="AM5843">
        <v>96.592214209871798</v>
      </c>
      <c r="AN5843">
        <v>0.99999999522068195</v>
      </c>
    </row>
    <row r="5844" spans="1:40" x14ac:dyDescent="0.25">
      <c r="A5844" t="str">
        <f>"20190312160451557"</f>
        <v>20190312160451557</v>
      </c>
      <c r="B5844" t="str">
        <f>"1552377891551313"</f>
        <v>1552377891551313</v>
      </c>
      <c r="C5844" t="s">
        <v>40</v>
      </c>
      <c r="D5844">
        <v>5.7126109999999999</v>
      </c>
      <c r="E5844">
        <v>0.48393140000000001</v>
      </c>
      <c r="F5844" t="s">
        <v>100</v>
      </c>
      <c r="G5844">
        <v>-415.58620000000002</v>
      </c>
      <c r="H5844">
        <v>2.1062919999999998</v>
      </c>
      <c r="I5844">
        <v>1.2790600000000001</v>
      </c>
      <c r="J5844">
        <v>-422.02480000000003</v>
      </c>
      <c r="K5844">
        <v>1.110017</v>
      </c>
      <c r="L5844">
        <v>63.456789999999998</v>
      </c>
      <c r="M5844">
        <v>-5.326616E-2</v>
      </c>
      <c r="N5844">
        <v>0</v>
      </c>
      <c r="O5844">
        <v>-0.99855300000000002</v>
      </c>
      <c r="P5844">
        <v>6.215333E-2</v>
      </c>
      <c r="Q5844">
        <v>2.634123E-2</v>
      </c>
      <c r="R5844">
        <v>-0.99771929999999998</v>
      </c>
      <c r="S5844">
        <v>0.30813600000000002</v>
      </c>
      <c r="T5844">
        <v>4.773521E-2</v>
      </c>
      <c r="U5844">
        <v>-2.986542</v>
      </c>
      <c r="V5844">
        <v>-0.115256399999999</v>
      </c>
      <c r="W5844">
        <v>3.3563820000000001E-2</v>
      </c>
      <c r="X5844">
        <v>0.9927686</v>
      </c>
      <c r="Y5844">
        <v>-0.15545780000000001</v>
      </c>
      <c r="Z5844">
        <v>-1.5808240000000001E-2</v>
      </c>
      <c r="AA5844">
        <v>0.98771600000000004</v>
      </c>
      <c r="AB5844">
        <v>26</v>
      </c>
      <c r="AC5844">
        <v>6.4386000000000001</v>
      </c>
      <c r="AD5844">
        <v>0.99627499999999902</v>
      </c>
      <c r="AE5844">
        <v>-62.177729999999997</v>
      </c>
      <c r="AF5844">
        <v>-9.7390444687758393</v>
      </c>
      <c r="AG5844">
        <v>0.99627499999999902</v>
      </c>
      <c r="AH5844">
        <v>61.730805268636601</v>
      </c>
      <c r="AI5844">
        <v>89.086676861530805</v>
      </c>
      <c r="AJ5844">
        <v>98.965449957771099</v>
      </c>
      <c r="AK5844">
        <v>62.502270919981299</v>
      </c>
      <c r="AL5844">
        <v>88.076573579976298</v>
      </c>
      <c r="AM5844">
        <v>96.622161592948004</v>
      </c>
      <c r="AN5844">
        <v>1.0000000304499499</v>
      </c>
    </row>
    <row r="5845" spans="1:40" x14ac:dyDescent="0.25">
      <c r="A5845" t="str">
        <f>"20190312160451569"</f>
        <v>20190312160451569</v>
      </c>
      <c r="B5845" t="str">
        <f>"1552377891561074"</f>
        <v>1552377891561074</v>
      </c>
      <c r="C5845" t="s">
        <v>40</v>
      </c>
      <c r="D5845">
        <v>5.7141140000000004</v>
      </c>
      <c r="E5845">
        <v>0.4836433</v>
      </c>
      <c r="F5845" t="s">
        <v>100</v>
      </c>
      <c r="G5845">
        <v>-415.48669999999998</v>
      </c>
      <c r="H5845">
        <v>2.2906390000000001</v>
      </c>
      <c r="I5845">
        <v>1.279453</v>
      </c>
      <c r="J5845">
        <v>-422.03250000000003</v>
      </c>
      <c r="K5845">
        <v>1.110015</v>
      </c>
      <c r="L5845">
        <v>63.30453</v>
      </c>
      <c r="M5845">
        <v>-5.2804219999999999E-2</v>
      </c>
      <c r="N5845">
        <v>0</v>
      </c>
      <c r="O5845">
        <v>-0.99857739999999995</v>
      </c>
      <c r="P5845">
        <v>6.3158850000000002E-2</v>
      </c>
      <c r="Q5845">
        <v>2.6477190000000001E-2</v>
      </c>
      <c r="R5845">
        <v>-0.99765210000000004</v>
      </c>
      <c r="S5845">
        <v>0.31396479999999999</v>
      </c>
      <c r="T5845">
        <v>5.6693199999999999E-2</v>
      </c>
      <c r="U5845">
        <v>-2.9858090000000002</v>
      </c>
      <c r="V5845">
        <v>-0.11579739999999999</v>
      </c>
      <c r="W5845">
        <v>3.369486E-2</v>
      </c>
      <c r="X5845">
        <v>0.99270119999999895</v>
      </c>
      <c r="Y5845">
        <v>-0.1569275</v>
      </c>
      <c r="Z5845">
        <v>-1.877502E-2</v>
      </c>
      <c r="AA5845">
        <v>0.98743159999999996</v>
      </c>
      <c r="AB5845">
        <v>26</v>
      </c>
      <c r="AC5845">
        <v>6.5458000000000398</v>
      </c>
      <c r="AD5845">
        <v>1.1806239999999999</v>
      </c>
      <c r="AE5845">
        <v>-62.025077000000003</v>
      </c>
      <c r="AF5845">
        <v>-9.8084284364936796</v>
      </c>
      <c r="AG5845">
        <v>1.1806239999999999</v>
      </c>
      <c r="AH5845">
        <v>61.570822291980903</v>
      </c>
      <c r="AI5845">
        <v>88.915160497480002</v>
      </c>
      <c r="AJ5845">
        <v>99.051345003492898</v>
      </c>
      <c r="AK5845">
        <v>62.358361902265301</v>
      </c>
      <c r="AL5845">
        <v>88.069061285362594</v>
      </c>
      <c r="AM5845">
        <v>96.653414892835102</v>
      </c>
      <c r="AN5845">
        <v>1.0000000269592999</v>
      </c>
    </row>
    <row r="5846" spans="1:40" x14ac:dyDescent="0.25">
      <c r="A5846" t="str">
        <f>"20190312160451584"</f>
        <v>20190312160451584</v>
      </c>
      <c r="B5846" t="str">
        <f>"1552377891581569"</f>
        <v>1552377891581569</v>
      </c>
      <c r="C5846" t="s">
        <v>40</v>
      </c>
      <c r="D5846">
        <v>5.657432</v>
      </c>
      <c r="E5846">
        <v>0.48339100000000002</v>
      </c>
      <c r="F5846" t="s">
        <v>100</v>
      </c>
      <c r="G5846">
        <v>-415.39479999999998</v>
      </c>
      <c r="H5846">
        <v>2.4344160000000001</v>
      </c>
      <c r="I5846">
        <v>1.2798179999999999</v>
      </c>
      <c r="J5846">
        <v>-422.04129999999998</v>
      </c>
      <c r="K5846">
        <v>1.1100179999999999</v>
      </c>
      <c r="L5846">
        <v>63.127229999999997</v>
      </c>
      <c r="M5846">
        <v>-5.2268589999999997E-2</v>
      </c>
      <c r="N5846">
        <v>0</v>
      </c>
      <c r="O5846">
        <v>-0.99860550000000003</v>
      </c>
      <c r="P5846">
        <v>6.4276260000000002E-2</v>
      </c>
      <c r="Q5846">
        <v>2.711742E-2</v>
      </c>
      <c r="R5846">
        <v>-0.9975638</v>
      </c>
      <c r="S5846">
        <v>0.31945800000000002</v>
      </c>
      <c r="T5846">
        <v>6.3739779999999996E-2</v>
      </c>
      <c r="U5846">
        <v>-2.9851380000000001</v>
      </c>
      <c r="V5846">
        <v>-0.1163771</v>
      </c>
      <c r="W5846">
        <v>3.4328690000000002E-2</v>
      </c>
      <c r="X5846">
        <v>0.99261160000000004</v>
      </c>
      <c r="Y5846">
        <v>-0.15821260000000001</v>
      </c>
      <c r="Z5846">
        <v>-2.1109019999999999E-2</v>
      </c>
      <c r="AA5846">
        <v>0.98717940000000004</v>
      </c>
      <c r="AB5846">
        <v>26</v>
      </c>
      <c r="AC5846">
        <v>6.6464999999999996</v>
      </c>
      <c r="AD5846">
        <v>1.324398</v>
      </c>
      <c r="AE5846">
        <v>-61.847411999999998</v>
      </c>
      <c r="AF5846">
        <v>-9.8657078108173302</v>
      </c>
      <c r="AG5846">
        <v>1.324398</v>
      </c>
      <c r="AH5846">
        <v>61.387624702347097</v>
      </c>
      <c r="AI5846">
        <v>88.779726101261602</v>
      </c>
      <c r="AJ5846">
        <v>99.130030502420695</v>
      </c>
      <c r="AK5846">
        <v>62.189441927605699</v>
      </c>
      <c r="AL5846">
        <v>88.032724304224004</v>
      </c>
      <c r="AM5846">
        <v>96.687020181647</v>
      </c>
      <c r="AN5846">
        <v>0.99999993840804102</v>
      </c>
    </row>
    <row r="5847" spans="1:40" x14ac:dyDescent="0.25">
      <c r="A5847" t="str">
        <f>"20190312160451600"</f>
        <v>20190312160451600</v>
      </c>
      <c r="B5847" t="str">
        <f>"1552377891591329"</f>
        <v>1552377891591329</v>
      </c>
      <c r="C5847" t="s">
        <v>40</v>
      </c>
      <c r="D5847">
        <v>5.727468</v>
      </c>
      <c r="E5847">
        <v>0.48319640000000003</v>
      </c>
      <c r="F5847" t="s">
        <v>100</v>
      </c>
      <c r="G5847">
        <v>-415.31299999999999</v>
      </c>
      <c r="H5847">
        <v>2.3595350000000002</v>
      </c>
      <c r="I5847">
        <v>1.2801400000000001</v>
      </c>
      <c r="J5847">
        <v>-422.05009999999999</v>
      </c>
      <c r="K5847">
        <v>1.1100190000000001</v>
      </c>
      <c r="L5847">
        <v>62.948549999999997</v>
      </c>
      <c r="M5847">
        <v>-5.172827E-2</v>
      </c>
      <c r="N5847">
        <v>0</v>
      </c>
      <c r="O5847">
        <v>-0.99863389999999996</v>
      </c>
      <c r="P5847">
        <v>6.4980720000000006E-2</v>
      </c>
      <c r="Q5847">
        <v>2.7965429999999999E-2</v>
      </c>
      <c r="R5847">
        <v>-0.99749489999999996</v>
      </c>
      <c r="S5847">
        <v>0.32470700000000002</v>
      </c>
      <c r="T5847">
        <v>6.0301069999999998E-2</v>
      </c>
      <c r="U5847">
        <v>-2.984772</v>
      </c>
      <c r="V5847">
        <v>-0.1165412</v>
      </c>
      <c r="W5847">
        <v>3.5172189999999999E-2</v>
      </c>
      <c r="X5847">
        <v>0.99256290000000003</v>
      </c>
      <c r="Y5847">
        <v>-0.15940960000000001</v>
      </c>
      <c r="Z5847">
        <v>-1.9970149999999999E-2</v>
      </c>
      <c r="AA5847">
        <v>0.98701050000000001</v>
      </c>
      <c r="AB5847">
        <v>26</v>
      </c>
      <c r="AC5847">
        <v>6.7370999999999404</v>
      </c>
      <c r="AD5847">
        <v>1.2495159999999901</v>
      </c>
      <c r="AE5847">
        <v>-61.668410000000002</v>
      </c>
      <c r="AF5847">
        <v>-9.9141448092913809</v>
      </c>
      <c r="AG5847">
        <v>1.2495159999999901</v>
      </c>
      <c r="AH5847">
        <v>61.212501662579498</v>
      </c>
      <c r="AI5847">
        <v>88.845635945215804</v>
      </c>
      <c r="AJ5847">
        <v>99.199893198803807</v>
      </c>
      <c r="AK5847">
        <v>62.022753222709703</v>
      </c>
      <c r="AL5847">
        <v>87.984366271718898</v>
      </c>
      <c r="AM5847">
        <v>96.696689357694893</v>
      </c>
      <c r="AN5847">
        <v>1.0000000223516201</v>
      </c>
    </row>
    <row r="5848" spans="1:40" x14ac:dyDescent="0.25">
      <c r="A5848" t="str">
        <f>"20190312160451612"</f>
        <v>20190312160451612</v>
      </c>
      <c r="B5848" t="str">
        <f>"1552377891601090"</f>
        <v>1552377891601090</v>
      </c>
      <c r="C5848" t="s">
        <v>40</v>
      </c>
      <c r="D5848">
        <v>5.7052230000000002</v>
      </c>
      <c r="E5848">
        <v>0.4830255</v>
      </c>
      <c r="F5848" t="s">
        <v>100</v>
      </c>
      <c r="G5848">
        <v>-415.2663</v>
      </c>
      <c r="H5848">
        <v>2.5276689999999999</v>
      </c>
      <c r="I5848">
        <v>1.2803249999999999</v>
      </c>
      <c r="J5848">
        <v>-422.05739999999997</v>
      </c>
      <c r="K5848">
        <v>1.110025</v>
      </c>
      <c r="L5848">
        <v>62.797580000000004</v>
      </c>
      <c r="M5848">
        <v>-5.1270900000000001E-2</v>
      </c>
      <c r="N5848">
        <v>0</v>
      </c>
      <c r="O5848">
        <v>-0.99865749999999998</v>
      </c>
      <c r="P5848">
        <v>6.5589090000000003E-2</v>
      </c>
      <c r="Q5848">
        <v>2.887087E-2</v>
      </c>
      <c r="R5848">
        <v>-0.99742909999999996</v>
      </c>
      <c r="S5848">
        <v>0.3282776</v>
      </c>
      <c r="T5848">
        <v>6.8601010000000004E-2</v>
      </c>
      <c r="U5848">
        <v>-2.9842219999999999</v>
      </c>
      <c r="V5848">
        <v>-0.1166917</v>
      </c>
      <c r="W5848">
        <v>3.6073309999999997E-2</v>
      </c>
      <c r="X5848">
        <v>0.99251279999999997</v>
      </c>
      <c r="Y5848">
        <v>-0.16013749999999999</v>
      </c>
      <c r="Z5848">
        <v>-2.2719659999999999E-2</v>
      </c>
      <c r="AA5848">
        <v>0.98683319999999997</v>
      </c>
      <c r="AB5848">
        <v>26</v>
      </c>
      <c r="AC5848">
        <v>6.7910999999999699</v>
      </c>
      <c r="AD5848">
        <v>1.4176439999999999</v>
      </c>
      <c r="AE5848">
        <v>-61.517254999999999</v>
      </c>
      <c r="AF5848">
        <v>-9.9310882408293004</v>
      </c>
      <c r="AG5848">
        <v>1.4176439999999999</v>
      </c>
      <c r="AH5848">
        <v>61.056112882570503</v>
      </c>
      <c r="AI5848">
        <v>88.687152333042206</v>
      </c>
      <c r="AJ5848">
        <v>99.238544068656694</v>
      </c>
      <c r="AK5848">
        <v>61.8747537246579</v>
      </c>
      <c r="AL5848">
        <v>87.932702952998497</v>
      </c>
      <c r="AM5848">
        <v>96.705594077997702</v>
      </c>
      <c r="AN5848">
        <v>0.99999994735354103</v>
      </c>
    </row>
    <row r="5849" spans="1:40" x14ac:dyDescent="0.25">
      <c r="A5849" t="str">
        <f>"20190312160451624"</f>
        <v>20190312160451624</v>
      </c>
      <c r="B5849" t="str">
        <f>"1552377891621585"</f>
        <v>1552377891621585</v>
      </c>
      <c r="C5849" t="s">
        <v>40</v>
      </c>
      <c r="D5849">
        <v>5.7091209999999997</v>
      </c>
      <c r="E5849">
        <v>0.48262119999999997</v>
      </c>
      <c r="F5849" t="s">
        <v>100</v>
      </c>
      <c r="G5849">
        <v>-415.13099999999997</v>
      </c>
      <c r="H5849">
        <v>2.7209989999999999</v>
      </c>
      <c r="I5849">
        <v>0.52691460000000001</v>
      </c>
      <c r="J5849">
        <v>-422.06459999999998</v>
      </c>
      <c r="K5849">
        <v>1.1100289999999999</v>
      </c>
      <c r="L5849">
        <v>62.649410000000003</v>
      </c>
      <c r="M5849">
        <v>-5.0821070000000003E-2</v>
      </c>
      <c r="N5849">
        <v>0</v>
      </c>
      <c r="O5849">
        <v>-0.99868060000000003</v>
      </c>
      <c r="P5849">
        <v>6.6085699999999997E-2</v>
      </c>
      <c r="Q5849">
        <v>2.9682500000000001E-2</v>
      </c>
      <c r="R5849">
        <v>-0.99737290000000001</v>
      </c>
      <c r="S5849">
        <v>0.33187870000000003</v>
      </c>
      <c r="T5849">
        <v>7.7187779999999998E-2</v>
      </c>
      <c r="U5849">
        <v>-2.983673</v>
      </c>
      <c r="V5849">
        <v>-0.11673890000000001</v>
      </c>
      <c r="W5849">
        <v>3.6881499999999998E-2</v>
      </c>
      <c r="X5849">
        <v>0.99247759999999996</v>
      </c>
      <c r="Y5849">
        <v>-0.16088160000000001</v>
      </c>
      <c r="Z5849">
        <v>-2.5564E-2</v>
      </c>
      <c r="AA5849">
        <v>0.98664260000000004</v>
      </c>
      <c r="AB5849">
        <v>27</v>
      </c>
      <c r="AC5849">
        <v>6.93360000000001</v>
      </c>
      <c r="AD5849">
        <v>1.61096999999999</v>
      </c>
      <c r="AE5849">
        <v>-62.122495399999998</v>
      </c>
      <c r="AF5849">
        <v>-10.075165161718401</v>
      </c>
      <c r="AG5849">
        <v>1.61096999999999</v>
      </c>
      <c r="AH5849">
        <v>61.648884893826803</v>
      </c>
      <c r="AI5849">
        <v>88.5227126782043</v>
      </c>
      <c r="AJ5849">
        <v>99.28169133115</v>
      </c>
      <c r="AK5849">
        <v>62.487512240679898</v>
      </c>
      <c r="AL5849">
        <v>87.886366348916596</v>
      </c>
      <c r="AM5849">
        <v>96.708517426296794</v>
      </c>
      <c r="AN5849">
        <v>1.0000000011586001</v>
      </c>
    </row>
    <row r="5850" spans="1:40" x14ac:dyDescent="0.25">
      <c r="A5850" t="str">
        <f>"20190312160451637"</f>
        <v>20190312160451637</v>
      </c>
      <c r="B5850" t="str">
        <f>"1552377891631346"</f>
        <v>1552377891631346</v>
      </c>
      <c r="C5850" t="s">
        <v>40</v>
      </c>
      <c r="D5850">
        <v>5.7081520000000001</v>
      </c>
      <c r="E5850">
        <v>0.48251440000000001</v>
      </c>
      <c r="F5850" t="s">
        <v>100</v>
      </c>
      <c r="G5850">
        <v>-415.04930000000002</v>
      </c>
      <c r="H5850">
        <v>2.9768530000000002</v>
      </c>
      <c r="I5850">
        <v>0.52774430000000006</v>
      </c>
      <c r="J5850">
        <v>-422.07139999999998</v>
      </c>
      <c r="K5850">
        <v>1.1100300000000001</v>
      </c>
      <c r="L5850">
        <v>62.505490000000002</v>
      </c>
      <c r="M5850">
        <v>-5.0382410000000002E-2</v>
      </c>
      <c r="N5850">
        <v>0</v>
      </c>
      <c r="O5850">
        <v>-0.99870250000000005</v>
      </c>
      <c r="P5850">
        <v>6.6587960000000002E-2</v>
      </c>
      <c r="Q5850">
        <v>3.017771E-2</v>
      </c>
      <c r="R5850">
        <v>-0.99732399999999999</v>
      </c>
      <c r="S5850">
        <v>0.33685300000000001</v>
      </c>
      <c r="T5850">
        <v>8.9638469999999998E-2</v>
      </c>
      <c r="U5850">
        <v>-2.98291</v>
      </c>
      <c r="V5850">
        <v>-0.11680310000000001</v>
      </c>
      <c r="W5850">
        <v>3.7373240000000002E-2</v>
      </c>
      <c r="X5850">
        <v>0.99245170000000005</v>
      </c>
      <c r="Y5850">
        <v>-0.1620878</v>
      </c>
      <c r="Z5850">
        <v>-2.968697E-2</v>
      </c>
      <c r="AA5850">
        <v>0.98632969999999998</v>
      </c>
      <c r="AB5850">
        <v>27</v>
      </c>
      <c r="AC5850">
        <v>7.02209999999996</v>
      </c>
      <c r="AD5850">
        <v>1.8668229999999999</v>
      </c>
      <c r="AE5850">
        <v>-61.9777457</v>
      </c>
      <c r="AF5850">
        <v>-10.1267841595073</v>
      </c>
      <c r="AG5850">
        <v>1.8668229999999999</v>
      </c>
      <c r="AH5850">
        <v>61.490148731104</v>
      </c>
      <c r="AI5850">
        <v>88.284150381681002</v>
      </c>
      <c r="AJ5850">
        <v>99.352067494568402</v>
      </c>
      <c r="AK5850">
        <v>62.346412699528003</v>
      </c>
      <c r="AL5850">
        <v>87.858172388142805</v>
      </c>
      <c r="AM5850">
        <v>96.712346659379406</v>
      </c>
      <c r="AN5850">
        <v>1.0000000500352899</v>
      </c>
    </row>
    <row r="5851" spans="1:40" x14ac:dyDescent="0.25">
      <c r="A5851" t="str">
        <f>"20190312160451648"</f>
        <v>20190312160451648</v>
      </c>
      <c r="B5851" t="str">
        <f>"1552377891641105"</f>
        <v>1552377891641105</v>
      </c>
      <c r="C5851" t="s">
        <v>40</v>
      </c>
      <c r="D5851">
        <v>5.7515749999999999</v>
      </c>
      <c r="E5851">
        <v>0.48245700000000002</v>
      </c>
      <c r="F5851" t="s">
        <v>100</v>
      </c>
      <c r="G5851">
        <v>-415.02769999999998</v>
      </c>
      <c r="H5851">
        <v>3.0998600000000001</v>
      </c>
      <c r="I5851">
        <v>0.52796359999999998</v>
      </c>
      <c r="J5851">
        <v>-422.07830000000001</v>
      </c>
      <c r="K5851">
        <v>1.110026</v>
      </c>
      <c r="L5851">
        <v>62.361109999999996</v>
      </c>
      <c r="M5851">
        <v>-4.99415E-2</v>
      </c>
      <c r="N5851">
        <v>0</v>
      </c>
      <c r="O5851">
        <v>-0.99872490000000003</v>
      </c>
      <c r="P5851">
        <v>6.6972610000000002E-2</v>
      </c>
      <c r="Q5851">
        <v>3.0190089999999999E-2</v>
      </c>
      <c r="R5851">
        <v>-0.99729820000000002</v>
      </c>
      <c r="S5851">
        <v>0.3389587</v>
      </c>
      <c r="T5851">
        <v>9.5754270000000002E-2</v>
      </c>
      <c r="U5851">
        <v>-2.982513</v>
      </c>
      <c r="V5851">
        <v>-0.11674809999999999</v>
      </c>
      <c r="W5851">
        <v>3.738325E-2</v>
      </c>
      <c r="X5851">
        <v>0.9924577</v>
      </c>
      <c r="Y5851">
        <v>-0.1623472</v>
      </c>
      <c r="Z5851">
        <v>-3.1713730000000002E-2</v>
      </c>
      <c r="AA5851">
        <v>0.98622390000000004</v>
      </c>
      <c r="AB5851">
        <v>27</v>
      </c>
      <c r="AC5851">
        <v>7.0506000000000304</v>
      </c>
      <c r="AD5851">
        <v>1.9898340000000001</v>
      </c>
      <c r="AE5851">
        <v>-61.833146399999997</v>
      </c>
      <c r="AF5851">
        <v>-10.1195802006746</v>
      </c>
      <c r="AG5851">
        <v>1.9898340000000001</v>
      </c>
      <c r="AH5851">
        <v>61.341146864808103</v>
      </c>
      <c r="AI5851">
        <v>88.166805647840107</v>
      </c>
      <c r="AJ5851">
        <v>99.367831073984703</v>
      </c>
      <c r="AK5851">
        <v>62.2021031917362</v>
      </c>
      <c r="AL5851">
        <v>87.857598255354603</v>
      </c>
      <c r="AM5851">
        <v>96.709174592491806</v>
      </c>
      <c r="AN5851">
        <v>0.99999995626172999</v>
      </c>
    </row>
    <row r="5852" spans="1:40" x14ac:dyDescent="0.25">
      <c r="A5852" t="str">
        <f>"20190312160451661"</f>
        <v>20190312160451661</v>
      </c>
      <c r="B5852" t="str">
        <f>"1552377891650865"</f>
        <v>1552377891650865</v>
      </c>
      <c r="C5852" t="s">
        <v>40</v>
      </c>
      <c r="D5852">
        <v>6.0225710000000001</v>
      </c>
      <c r="E5852">
        <v>0.48236689999999999</v>
      </c>
      <c r="F5852" t="s">
        <v>100</v>
      </c>
      <c r="G5852">
        <v>-415.15730000000002</v>
      </c>
      <c r="H5852">
        <v>3.1412409999999999</v>
      </c>
      <c r="I5852">
        <v>1.8236730000000001</v>
      </c>
      <c r="J5852">
        <v>-422.08550000000002</v>
      </c>
      <c r="K5852">
        <v>1.110026</v>
      </c>
      <c r="L5852">
        <v>62.206420000000001</v>
      </c>
      <c r="M5852">
        <v>-4.9467530000000003E-2</v>
      </c>
      <c r="N5852">
        <v>0</v>
      </c>
      <c r="O5852">
        <v>-0.99874830000000003</v>
      </c>
      <c r="P5852">
        <v>6.7229440000000001E-2</v>
      </c>
      <c r="Q5852">
        <v>2.961569E-2</v>
      </c>
      <c r="R5852">
        <v>-0.99729780000000001</v>
      </c>
      <c r="S5852">
        <v>0.34094239999999998</v>
      </c>
      <c r="T5852">
        <v>0.10006080000000001</v>
      </c>
      <c r="U5852">
        <v>-2.982208</v>
      </c>
      <c r="V5852">
        <v>-0.11653289999999999</v>
      </c>
      <c r="W5852">
        <v>3.6806680000000001E-2</v>
      </c>
      <c r="X5852">
        <v>0.99250459999999996</v>
      </c>
      <c r="Y5852">
        <v>-0.1625326</v>
      </c>
      <c r="Z5852">
        <v>-3.3141299999999999E-2</v>
      </c>
      <c r="AA5852">
        <v>0.98614650000000004</v>
      </c>
      <c r="AB5852">
        <v>27</v>
      </c>
      <c r="AC5852">
        <v>6.9282000000000004</v>
      </c>
      <c r="AD5852">
        <v>2.031215</v>
      </c>
      <c r="AE5852">
        <v>-60.382747000000002</v>
      </c>
      <c r="AF5852">
        <v>-9.8957324227960601</v>
      </c>
      <c r="AG5852">
        <v>2.031215</v>
      </c>
      <c r="AH5852">
        <v>59.899187850754402</v>
      </c>
      <c r="AI5852">
        <v>88.083766514576894</v>
      </c>
      <c r="AJ5852">
        <v>99.380900150070303</v>
      </c>
      <c r="AK5852">
        <v>60.745074366073297</v>
      </c>
      <c r="AL5852">
        <v>87.890656160464601</v>
      </c>
      <c r="AM5852">
        <v>96.696606519819397</v>
      </c>
      <c r="AN5852">
        <v>1.0000000147480901</v>
      </c>
    </row>
    <row r="5853" spans="1:40" x14ac:dyDescent="0.25">
      <c r="A5853" t="str">
        <f>"20190312160451685"</f>
        <v>20190312160451685</v>
      </c>
      <c r="B5853" t="str">
        <f>"1552377891681123"</f>
        <v>1552377891681123</v>
      </c>
      <c r="C5853" t="s">
        <v>40</v>
      </c>
      <c r="D5853">
        <v>6.371067</v>
      </c>
      <c r="E5853">
        <v>0.47301609999999999</v>
      </c>
      <c r="F5853" t="s">
        <v>100</v>
      </c>
      <c r="G5853">
        <v>-415.1533</v>
      </c>
      <c r="H5853">
        <v>3.187945</v>
      </c>
      <c r="I5853">
        <v>1.823715</v>
      </c>
      <c r="J5853">
        <v>-422.09820000000002</v>
      </c>
      <c r="K5853">
        <v>1.1100319999999999</v>
      </c>
      <c r="L5853">
        <v>61.932980000000001</v>
      </c>
      <c r="M5853">
        <v>-4.862735E-2</v>
      </c>
      <c r="N5853">
        <v>0</v>
      </c>
      <c r="O5853">
        <v>-0.99878979999999995</v>
      </c>
      <c r="P5853">
        <v>6.7703189999999996E-2</v>
      </c>
      <c r="Q5853">
        <v>3.0533279999999999E-2</v>
      </c>
      <c r="R5853">
        <v>-0.99723859999999998</v>
      </c>
      <c r="S5853">
        <v>0.34234619999999999</v>
      </c>
      <c r="T5853">
        <v>0.1026165</v>
      </c>
      <c r="U5853">
        <v>-2.981995</v>
      </c>
      <c r="V5853">
        <v>-0.1161693</v>
      </c>
      <c r="W5853">
        <v>3.7721570000000003E-2</v>
      </c>
      <c r="X5853">
        <v>0.99251290000000003</v>
      </c>
      <c r="Y5853">
        <v>-0.16216549999999999</v>
      </c>
      <c r="Z5853">
        <v>-3.3991470000000003E-2</v>
      </c>
      <c r="AA5853">
        <v>0.98617790000000005</v>
      </c>
      <c r="AB5853">
        <v>27</v>
      </c>
      <c r="AC5853">
        <v>6.9449000000000103</v>
      </c>
      <c r="AD5853">
        <v>2.0779130000000001</v>
      </c>
      <c r="AE5853">
        <v>-60.109265000000001</v>
      </c>
      <c r="AF5853">
        <v>-9.8481037622302203</v>
      </c>
      <c r="AG5853">
        <v>2.0779130000000001</v>
      </c>
      <c r="AH5853">
        <v>59.630110125268402</v>
      </c>
      <c r="AI5853">
        <v>88.030890502720297</v>
      </c>
      <c r="AJ5853">
        <v>99.377930201902402</v>
      </c>
      <c r="AK5853">
        <v>60.473571944270397</v>
      </c>
      <c r="AL5853">
        <v>87.838200444963803</v>
      </c>
      <c r="AM5853">
        <v>96.675845673850603</v>
      </c>
      <c r="AN5853">
        <v>1.00000003988608</v>
      </c>
    </row>
    <row r="5854" spans="1:40" x14ac:dyDescent="0.25">
      <c r="A5854" t="str">
        <f>"20190312160451920"</f>
        <v>20190312160451920</v>
      </c>
      <c r="B5854" t="str">
        <f>"1552377891910769"</f>
        <v>1552377891910769</v>
      </c>
      <c r="C5854" t="s">
        <v>40</v>
      </c>
      <c r="D5854">
        <v>6.1165200000000004</v>
      </c>
      <c r="E5854">
        <v>0.52200630000000003</v>
      </c>
      <c r="F5854" t="s">
        <v>100</v>
      </c>
      <c r="G5854">
        <v>-413.37189999999998</v>
      </c>
      <c r="H5854">
        <v>10.27023</v>
      </c>
      <c r="I5854">
        <v>0.54482649999999999</v>
      </c>
      <c r="J5854">
        <v>-422.21690000000001</v>
      </c>
      <c r="K5854">
        <v>1.110058</v>
      </c>
      <c r="L5854">
        <v>59.065219999999997</v>
      </c>
      <c r="M5854">
        <v>-3.9795810000000001E-2</v>
      </c>
      <c r="N5854">
        <v>0</v>
      </c>
      <c r="O5854">
        <v>-0.99917979999999995</v>
      </c>
      <c r="P5854">
        <v>7.9425350000000006E-2</v>
      </c>
      <c r="Q5854">
        <v>2.640551E-2</v>
      </c>
      <c r="R5854">
        <v>-0.99649140000000003</v>
      </c>
      <c r="S5854">
        <v>0.42163089999999998</v>
      </c>
      <c r="T5854">
        <v>0.44259690000000002</v>
      </c>
      <c r="U5854">
        <v>-2.9661249999999999</v>
      </c>
      <c r="V5854">
        <v>-0.1190696</v>
      </c>
      <c r="W5854">
        <v>3.3681999999999997E-2</v>
      </c>
      <c r="X5854">
        <v>0.99231449999999999</v>
      </c>
      <c r="Y5854">
        <v>-0.17852089999999901</v>
      </c>
      <c r="Z5854">
        <v>-0.1455052</v>
      </c>
      <c r="AA5854">
        <v>0.97311789999999998</v>
      </c>
      <c r="AB5854">
        <v>28</v>
      </c>
      <c r="AC5854">
        <v>8.8450000000000202</v>
      </c>
      <c r="AD5854">
        <v>9.1601719999999993</v>
      </c>
      <c r="AE5854">
        <v>-58.520393499999997</v>
      </c>
      <c r="AF5854">
        <v>-10.905686680247699</v>
      </c>
      <c r="AG5854">
        <v>9.1601719999999993</v>
      </c>
      <c r="AH5854">
        <v>56.76232829712</v>
      </c>
      <c r="AI5854">
        <v>80.994705949475602</v>
      </c>
      <c r="AJ5854">
        <v>100.875650923309</v>
      </c>
      <c r="AK5854">
        <v>58.521830685201103</v>
      </c>
      <c r="AL5854">
        <v>88.069798585233997</v>
      </c>
      <c r="AM5854">
        <v>96.842310084274203</v>
      </c>
      <c r="AN5854">
        <v>1.0000000568392</v>
      </c>
    </row>
    <row r="5855" spans="1:40" x14ac:dyDescent="0.25">
      <c r="A5855" t="str">
        <f>"20190312160451942"</f>
        <v>20190312160451942</v>
      </c>
      <c r="B5855" t="str">
        <f>"1552377891931265"</f>
        <v>1552377891931265</v>
      </c>
      <c r="C5855" t="s">
        <v>40</v>
      </c>
      <c r="D5855">
        <v>5.7901769999999999</v>
      </c>
      <c r="E5855">
        <v>0.52332469999999998</v>
      </c>
      <c r="F5855" t="s">
        <v>100</v>
      </c>
      <c r="G5855">
        <v>-420.86369999999999</v>
      </c>
      <c r="H5855">
        <v>8.7935529999999993</v>
      </c>
      <c r="I5855">
        <v>0.46862979999999999</v>
      </c>
      <c r="J5855">
        <v>-422.22660000000002</v>
      </c>
      <c r="K5855">
        <v>1.1100650000000001</v>
      </c>
      <c r="L5855">
        <v>58.797730000000001</v>
      </c>
      <c r="M5855">
        <v>-3.8974189999999999E-2</v>
      </c>
      <c r="N5855">
        <v>0</v>
      </c>
      <c r="O5855">
        <v>-0.99921210000000005</v>
      </c>
      <c r="P5855">
        <v>8.0446970000000007E-2</v>
      </c>
      <c r="Q5855">
        <v>2.651531E-2</v>
      </c>
      <c r="R5855">
        <v>-0.99640660000000003</v>
      </c>
      <c r="S5855">
        <v>6.9152829999999998E-2</v>
      </c>
      <c r="T5855">
        <v>0.39267429999999998</v>
      </c>
      <c r="U5855">
        <v>-2.994659</v>
      </c>
      <c r="V5855">
        <v>-0.11927160000000001</v>
      </c>
      <c r="W5855">
        <v>3.3812099999999998E-2</v>
      </c>
      <c r="X5855">
        <v>0.9922858</v>
      </c>
      <c r="Y5855">
        <v>-6.1837719999999999E-2</v>
      </c>
      <c r="Z5855">
        <v>-0.12972249999999999</v>
      </c>
      <c r="AA5855">
        <v>0.98962019999999995</v>
      </c>
      <c r="AB5855">
        <v>28</v>
      </c>
      <c r="AC5855">
        <v>1.36290000000002</v>
      </c>
      <c r="AD5855">
        <v>7.6834879999999997</v>
      </c>
      <c r="AE5855">
        <v>-58.329100199999999</v>
      </c>
      <c r="AF5855">
        <v>-3.57328834039326</v>
      </c>
      <c r="AG5855">
        <v>7.6834879999999997</v>
      </c>
      <c r="AH5855">
        <v>57.238999157541301</v>
      </c>
      <c r="AI5855">
        <v>82.369271787111501</v>
      </c>
      <c r="AJ5855">
        <v>93.572197293920496</v>
      </c>
      <c r="AK5855">
        <v>57.862832647276697</v>
      </c>
      <c r="AL5855">
        <v>88.062340125328205</v>
      </c>
      <c r="AM5855">
        <v>96.854003995181102</v>
      </c>
      <c r="AN5855">
        <v>1.0000000407773</v>
      </c>
    </row>
    <row r="5856" spans="1:40" x14ac:dyDescent="0.25">
      <c r="A5856" t="str">
        <f>"20190312160451958"</f>
        <v>20190312160451958</v>
      </c>
      <c r="B5856" t="str">
        <f>"1552377891950785"</f>
        <v>1552377891950785</v>
      </c>
      <c r="C5856" t="s">
        <v>40</v>
      </c>
      <c r="D5856">
        <v>6.0946860000000003</v>
      </c>
      <c r="E5856">
        <v>0.52293259999999997</v>
      </c>
      <c r="F5856" t="s">
        <v>100</v>
      </c>
      <c r="G5856">
        <v>-421.02289999999999</v>
      </c>
      <c r="H5856">
        <v>9.2165160000000004</v>
      </c>
      <c r="I5856">
        <v>0.46701619999999999</v>
      </c>
      <c r="J5856">
        <v>-422.23390000000001</v>
      </c>
      <c r="K5856">
        <v>1.1100669999999999</v>
      </c>
      <c r="L5856">
        <v>58.594209999999997</v>
      </c>
      <c r="M5856">
        <v>-3.8349309999999998E-2</v>
      </c>
      <c r="N5856">
        <v>0</v>
      </c>
      <c r="O5856">
        <v>-0.99923589999999995</v>
      </c>
      <c r="P5856">
        <v>8.1251619999999997E-2</v>
      </c>
      <c r="Q5856">
        <v>2.6504389999999999E-2</v>
      </c>
      <c r="R5856">
        <v>-0.99634129999999999</v>
      </c>
      <c r="S5856">
        <v>6.1798100000000002E-2</v>
      </c>
      <c r="T5856">
        <v>0.41619089999999997</v>
      </c>
      <c r="U5856">
        <v>-2.9947509999999999</v>
      </c>
      <c r="V5856">
        <v>-0.1194528</v>
      </c>
      <c r="W5856">
        <v>3.3815919999999999E-2</v>
      </c>
      <c r="X5856">
        <v>0.99226389999999998</v>
      </c>
      <c r="Y5856">
        <v>-5.8762099999999998E-2</v>
      </c>
      <c r="Z5856">
        <v>-0.1373656</v>
      </c>
      <c r="AA5856">
        <v>0.98877579999999998</v>
      </c>
      <c r="AB5856">
        <v>28</v>
      </c>
      <c r="AC5856">
        <v>1.2110000000000101</v>
      </c>
      <c r="AD5856">
        <v>8.1064489999999996</v>
      </c>
      <c r="AE5856">
        <v>-58.127193799999901</v>
      </c>
      <c r="AF5856">
        <v>-3.3737225141596099</v>
      </c>
      <c r="AG5856">
        <v>8.1064489999999996</v>
      </c>
      <c r="AH5856">
        <v>56.931202229318401</v>
      </c>
      <c r="AI5856">
        <v>81.910118287772804</v>
      </c>
      <c r="AJ5856">
        <v>93.391361123478106</v>
      </c>
      <c r="AK5856">
        <v>57.6043254128342</v>
      </c>
      <c r="AL5856">
        <v>88.0621211821435</v>
      </c>
      <c r="AM5856">
        <v>96.8644675237597</v>
      </c>
      <c r="AN5856">
        <v>1.0000000675582399</v>
      </c>
    </row>
    <row r="5857" spans="1:40" x14ac:dyDescent="0.25">
      <c r="A5857" t="str">
        <f>"20190312160451972"</f>
        <v>20190312160451972</v>
      </c>
      <c r="B5857" t="str">
        <f>"1552377891961521"</f>
        <v>1552377891961521</v>
      </c>
      <c r="C5857" t="s">
        <v>40</v>
      </c>
      <c r="D5857">
        <v>5.8942620000000003</v>
      </c>
      <c r="E5857">
        <v>0.52247399999999999</v>
      </c>
      <c r="F5857" t="s">
        <v>100</v>
      </c>
      <c r="G5857">
        <v>-420.91070000000002</v>
      </c>
      <c r="H5857">
        <v>9.8851759999999995</v>
      </c>
      <c r="I5857">
        <v>0.46815679999999998</v>
      </c>
      <c r="J5857">
        <v>-422.24009999999998</v>
      </c>
      <c r="K5857">
        <v>1.1100680000000001</v>
      </c>
      <c r="L5857">
        <v>58.418909999999997</v>
      </c>
      <c r="M5857">
        <v>-3.781114E-2</v>
      </c>
      <c r="N5857">
        <v>0</v>
      </c>
      <c r="O5857">
        <v>-0.99925620000000004</v>
      </c>
      <c r="P5857">
        <v>8.1828189999999995E-2</v>
      </c>
      <c r="Q5857">
        <v>2.6296630000000001E-2</v>
      </c>
      <c r="R5857">
        <v>-0.99629939999999995</v>
      </c>
      <c r="S5857">
        <v>6.8145750000000005E-2</v>
      </c>
      <c r="T5857">
        <v>0.45190859999999999</v>
      </c>
      <c r="U5857">
        <v>-2.993439</v>
      </c>
      <c r="V5857">
        <v>-0.1194928</v>
      </c>
      <c r="W5857">
        <v>3.3620999999999998E-2</v>
      </c>
      <c r="X5857">
        <v>0.99226559999999997</v>
      </c>
      <c r="Y5857">
        <v>-6.029081E-2</v>
      </c>
      <c r="Z5857">
        <v>-0.14896039999999999</v>
      </c>
      <c r="AA5857">
        <v>0.98700339999999998</v>
      </c>
      <c r="AB5857">
        <v>28</v>
      </c>
      <c r="AC5857">
        <v>1.3293999999999599</v>
      </c>
      <c r="AD5857">
        <v>8.7751079999999995</v>
      </c>
      <c r="AE5857">
        <v>-57.950753200000001</v>
      </c>
      <c r="AF5857">
        <v>-3.4408423115093001</v>
      </c>
      <c r="AG5857">
        <v>8.7751079999999995</v>
      </c>
      <c r="AH5857">
        <v>56.562791804557797</v>
      </c>
      <c r="AI5857">
        <v>81.197493555044204</v>
      </c>
      <c r="AJ5857">
        <v>93.481141775625503</v>
      </c>
      <c r="AK5857">
        <v>57.342753098801303</v>
      </c>
      <c r="AL5857">
        <v>88.0732954233209</v>
      </c>
      <c r="AM5857">
        <v>96.8667325652264</v>
      </c>
      <c r="AN5857">
        <v>0.99999996091809895</v>
      </c>
    </row>
    <row r="5858" spans="1:40" x14ac:dyDescent="0.25">
      <c r="A5858" t="str">
        <f>"20190312160451986"</f>
        <v>20190312160451986</v>
      </c>
      <c r="B5858" t="str">
        <f>"1552377891981041"</f>
        <v>1552377891981041</v>
      </c>
      <c r="C5858" t="s">
        <v>40</v>
      </c>
      <c r="D5858">
        <v>5.815531</v>
      </c>
      <c r="E5858">
        <v>0.52306779999999997</v>
      </c>
      <c r="F5858" t="s">
        <v>100</v>
      </c>
      <c r="G5858">
        <v>-420.80450000000002</v>
      </c>
      <c r="H5858">
        <v>10.521369999999999</v>
      </c>
      <c r="I5858">
        <v>0.4692402</v>
      </c>
      <c r="J5858">
        <v>-422.24630000000002</v>
      </c>
      <c r="K5858">
        <v>1.1100680000000001</v>
      </c>
      <c r="L5858">
        <v>58.240299999999998</v>
      </c>
      <c r="M5858">
        <v>-3.7263039999999997E-2</v>
      </c>
      <c r="N5858">
        <v>0</v>
      </c>
      <c r="O5858">
        <v>-0.99927670000000002</v>
      </c>
      <c r="P5858">
        <v>8.2484450000000001E-2</v>
      </c>
      <c r="Q5858">
        <v>2.5913769999999999E-2</v>
      </c>
      <c r="R5858">
        <v>-0.99625529999999995</v>
      </c>
      <c r="S5858">
        <v>7.4127199999999893E-2</v>
      </c>
      <c r="T5858">
        <v>0.48594860000000001</v>
      </c>
      <c r="U5858">
        <v>-2.9922179999999998</v>
      </c>
      <c r="V5858">
        <v>-0.11960220000000001</v>
      </c>
      <c r="W5858">
        <v>3.3249750000000002E-2</v>
      </c>
      <c r="X5858">
        <v>0.99226499999999995</v>
      </c>
      <c r="Y5858">
        <v>-6.168162E-2</v>
      </c>
      <c r="Z5858">
        <v>-0.15996060000000001</v>
      </c>
      <c r="AA5858">
        <v>0.98519440000000003</v>
      </c>
      <c r="AB5858">
        <v>28</v>
      </c>
      <c r="AC5858">
        <v>1.4418</v>
      </c>
      <c r="AD5858">
        <v>9.4113019999999992</v>
      </c>
      <c r="AE5858">
        <v>-57.771059800000003</v>
      </c>
      <c r="AF5858">
        <v>-3.5007388167836999</v>
      </c>
      <c r="AG5858">
        <v>9.4113019999999992</v>
      </c>
      <c r="AH5858">
        <v>56.187008703877098</v>
      </c>
      <c r="AI5858">
        <v>80.509317317216798</v>
      </c>
      <c r="AJ5858">
        <v>93.565212390275406</v>
      </c>
      <c r="AK5858">
        <v>57.077208452131799</v>
      </c>
      <c r="AL5858">
        <v>88.094578516028704</v>
      </c>
      <c r="AM5858">
        <v>96.872963316706802</v>
      </c>
      <c r="AN5858">
        <v>1.00000003117245</v>
      </c>
    </row>
    <row r="5859" spans="1:40" x14ac:dyDescent="0.25">
      <c r="A5859" t="str">
        <f>"20190312160452000"</f>
        <v>20190312160452000</v>
      </c>
      <c r="B5859" t="str">
        <f>"1552377891990801"</f>
        <v>1552377891990801</v>
      </c>
      <c r="C5859" t="s">
        <v>40</v>
      </c>
      <c r="D5859">
        <v>5.9096250000000001</v>
      </c>
      <c r="E5859">
        <v>0.52306779999999997</v>
      </c>
      <c r="F5859" t="s">
        <v>100</v>
      </c>
      <c r="G5859">
        <v>-420.86360000000002</v>
      </c>
      <c r="H5859">
        <v>10.703239999999999</v>
      </c>
      <c r="I5859">
        <v>0.46864129999999998</v>
      </c>
      <c r="J5859">
        <v>-422.25209999999998</v>
      </c>
      <c r="K5859">
        <v>1.1100699999999999</v>
      </c>
      <c r="L5859">
        <v>58.071660000000001</v>
      </c>
      <c r="M5859">
        <v>-3.674562E-2</v>
      </c>
      <c r="N5859">
        <v>0</v>
      </c>
      <c r="O5859">
        <v>-0.99929599999999996</v>
      </c>
      <c r="P5859">
        <v>8.2916740000000003E-2</v>
      </c>
      <c r="Q5859">
        <v>2.605992E-2</v>
      </c>
      <c r="R5859">
        <v>-0.99621570000000004</v>
      </c>
      <c r="S5859">
        <v>7.1624759999999996E-2</v>
      </c>
      <c r="T5859">
        <v>0.4969015</v>
      </c>
      <c r="U5859">
        <v>-2.992432</v>
      </c>
      <c r="V5859">
        <v>-0.11951920000000001</v>
      </c>
      <c r="W5859">
        <v>3.3407489999999998E-2</v>
      </c>
      <c r="X5859">
        <v>0.99226970000000003</v>
      </c>
      <c r="Y5859">
        <v>-6.0325869999999997E-2</v>
      </c>
      <c r="Z5859">
        <v>-0.16347210000000001</v>
      </c>
      <c r="AA5859">
        <v>0.98470179999999996</v>
      </c>
      <c r="AB5859">
        <v>28</v>
      </c>
      <c r="AC5859">
        <v>1.3884999999999601</v>
      </c>
      <c r="AD5859">
        <v>9.5931700000000006</v>
      </c>
      <c r="AE5859">
        <v>-57.6030186999999</v>
      </c>
      <c r="AF5859">
        <v>-3.4097653188561501</v>
      </c>
      <c r="AG5859">
        <v>9.5931700000000006</v>
      </c>
      <c r="AH5859">
        <v>55.961870350586601</v>
      </c>
      <c r="AI5859">
        <v>80.290376360381401</v>
      </c>
      <c r="AJ5859">
        <v>93.486730062163403</v>
      </c>
      <c r="AK5859">
        <v>56.880456602548797</v>
      </c>
      <c r="AL5859">
        <v>88.085535651227701</v>
      </c>
      <c r="AM5859">
        <v>96.868207060502399</v>
      </c>
      <c r="AN5859">
        <v>1.00000002854741</v>
      </c>
    </row>
    <row r="5860" spans="1:40" x14ac:dyDescent="0.25">
      <c r="A5860" t="str">
        <f>"20190312160452014"</f>
        <v>20190312160452014</v>
      </c>
      <c r="B5860" t="str">
        <f>"1552377892011297"</f>
        <v>1552377892011297</v>
      </c>
      <c r="C5860" t="s">
        <v>40</v>
      </c>
      <c r="D5860">
        <v>5.8193039999999998</v>
      </c>
      <c r="E5860">
        <v>0.52216949999999995</v>
      </c>
      <c r="F5860" t="s">
        <v>100</v>
      </c>
      <c r="G5860">
        <v>-420.85860000000002</v>
      </c>
      <c r="H5860">
        <v>10.68257</v>
      </c>
      <c r="I5860">
        <v>0.46868900000000002</v>
      </c>
      <c r="J5860">
        <v>-422.25790000000001</v>
      </c>
      <c r="K5860">
        <v>1.1100779999999999</v>
      </c>
      <c r="L5860">
        <v>57.900480000000002</v>
      </c>
      <c r="M5860">
        <v>-3.6220509999999997E-2</v>
      </c>
      <c r="N5860">
        <v>0</v>
      </c>
      <c r="O5860">
        <v>-0.99931499999999995</v>
      </c>
      <c r="P5860">
        <v>8.3139989999999997E-2</v>
      </c>
      <c r="Q5860">
        <v>2.658833E-2</v>
      </c>
      <c r="R5860">
        <v>-0.99618340000000005</v>
      </c>
      <c r="S5860">
        <v>7.2387699999999999E-2</v>
      </c>
      <c r="T5860">
        <v>0.49727270000000001</v>
      </c>
      <c r="U5860">
        <v>-2.9923709999999999</v>
      </c>
      <c r="V5860">
        <v>-0.1192204</v>
      </c>
      <c r="W5860">
        <v>3.3947449999999997E-2</v>
      </c>
      <c r="X5860">
        <v>0.99228729999999998</v>
      </c>
      <c r="Y5860">
        <v>-6.0052269999999998E-2</v>
      </c>
      <c r="Z5860">
        <v>-0.16359969999999999</v>
      </c>
      <c r="AA5860">
        <v>0.9846973</v>
      </c>
      <c r="AB5860">
        <v>28</v>
      </c>
      <c r="AC5860">
        <v>1.39929999999998</v>
      </c>
      <c r="AD5860">
        <v>9.5724920000000004</v>
      </c>
      <c r="AE5860">
        <v>-57.431790999999997</v>
      </c>
      <c r="AF5860">
        <v>-3.3846770642435402</v>
      </c>
      <c r="AG5860">
        <v>9.5724920000000004</v>
      </c>
      <c r="AH5860">
        <v>55.794325149962098</v>
      </c>
      <c r="AI5860">
        <v>80.282212757713793</v>
      </c>
      <c r="AJ5860">
        <v>93.471506213040698</v>
      </c>
      <c r="AK5860">
        <v>56.7106282883462</v>
      </c>
      <c r="AL5860">
        <v>88.054580626321098</v>
      </c>
      <c r="AM5860">
        <v>96.851079473827596</v>
      </c>
      <c r="AN5860">
        <v>1.0000000094394701</v>
      </c>
    </row>
    <row r="5861" spans="1:40" x14ac:dyDescent="0.25">
      <c r="A5861" t="str">
        <f>"20190312160452030"</f>
        <v>20190312160452030</v>
      </c>
      <c r="B5861" t="str">
        <f>"1552377892021057"</f>
        <v>1552377892021057</v>
      </c>
      <c r="C5861" t="s">
        <v>40</v>
      </c>
      <c r="D5861">
        <v>5.7959899999999998</v>
      </c>
      <c r="E5861">
        <v>0.52216949999999995</v>
      </c>
      <c r="F5861" t="s">
        <v>100</v>
      </c>
      <c r="G5861">
        <v>-420.71660000000003</v>
      </c>
      <c r="H5861">
        <v>10.568580000000001</v>
      </c>
      <c r="I5861">
        <v>0.47013280000000002</v>
      </c>
      <c r="J5861">
        <v>-422.26519999999999</v>
      </c>
      <c r="K5861">
        <v>1.1100829999999999</v>
      </c>
      <c r="L5861">
        <v>57.682099999999998</v>
      </c>
      <c r="M5861">
        <v>-3.5550709999999999E-2</v>
      </c>
      <c r="N5861">
        <v>0</v>
      </c>
      <c r="O5861">
        <v>-0.99933899999999998</v>
      </c>
      <c r="P5861">
        <v>8.3906270000000005E-2</v>
      </c>
      <c r="Q5861">
        <v>2.7261560000000001E-2</v>
      </c>
      <c r="R5861">
        <v>-0.99610109999999996</v>
      </c>
      <c r="S5861">
        <v>8.0291749999999995E-2</v>
      </c>
      <c r="T5861">
        <v>0.49271199999999998</v>
      </c>
      <c r="U5861">
        <v>-2.9916689999999999</v>
      </c>
      <c r="V5861">
        <v>-0.1193193</v>
      </c>
      <c r="W5861">
        <v>3.463273E-2</v>
      </c>
      <c r="X5861">
        <v>0.99225169999999996</v>
      </c>
      <c r="Y5861">
        <v>-6.199495E-2</v>
      </c>
      <c r="Z5861">
        <v>-0.162166899999999</v>
      </c>
      <c r="AA5861">
        <v>0.98481390000000002</v>
      </c>
      <c r="AB5861">
        <v>28</v>
      </c>
      <c r="AC5861">
        <v>1.54859999999996</v>
      </c>
      <c r="AD5861">
        <v>9.4584969999999995</v>
      </c>
      <c r="AE5861">
        <v>-57.211967199999997</v>
      </c>
      <c r="AF5861">
        <v>-3.4863858453888201</v>
      </c>
      <c r="AG5861">
        <v>9.4584969999999995</v>
      </c>
      <c r="AH5861">
        <v>55.602142565304298</v>
      </c>
      <c r="AI5861">
        <v>80.364379989445695</v>
      </c>
      <c r="AJ5861">
        <v>93.587883782020199</v>
      </c>
      <c r="AK5861">
        <v>56.508550765475903</v>
      </c>
      <c r="AL5861">
        <v>88.015293809515299</v>
      </c>
      <c r="AM5861">
        <v>96.856952405622295</v>
      </c>
      <c r="AN5861">
        <v>0.99999997874631597</v>
      </c>
    </row>
    <row r="5862" spans="1:40" x14ac:dyDescent="0.25">
      <c r="A5862" t="str">
        <f>"20190312160452046"</f>
        <v>20190312160452046</v>
      </c>
      <c r="B5862" t="str">
        <f>"1552377892041553"</f>
        <v>1552377892041553</v>
      </c>
      <c r="C5862" t="s">
        <v>40</v>
      </c>
      <c r="D5862">
        <v>6.0023470000000003</v>
      </c>
      <c r="E5862">
        <v>0.52314759999999905</v>
      </c>
      <c r="F5862" t="s">
        <v>100</v>
      </c>
      <c r="G5862">
        <v>-420.67750000000001</v>
      </c>
      <c r="H5862">
        <v>10.576919999999999</v>
      </c>
      <c r="I5862">
        <v>0.47053149999999999</v>
      </c>
      <c r="J5862">
        <v>-422.2713</v>
      </c>
      <c r="K5862">
        <v>1.110085</v>
      </c>
      <c r="L5862">
        <v>57.49194</v>
      </c>
      <c r="M5862">
        <v>-3.4967619999999998E-2</v>
      </c>
      <c r="N5862">
        <v>0</v>
      </c>
      <c r="O5862">
        <v>-0.99935949999999996</v>
      </c>
      <c r="P5862">
        <v>8.4332959999999998E-2</v>
      </c>
      <c r="Q5862">
        <v>2.7415950000000001E-2</v>
      </c>
      <c r="R5862">
        <v>-0.99606039999999996</v>
      </c>
      <c r="S5862">
        <v>8.3007810000000001E-2</v>
      </c>
      <c r="T5862">
        <v>0.4949559</v>
      </c>
      <c r="U5862">
        <v>-2.9912109999999998</v>
      </c>
      <c r="V5862">
        <v>-0.1191658</v>
      </c>
      <c r="W5862">
        <v>3.4798570000000001E-2</v>
      </c>
      <c r="X5862">
        <v>0.99226440000000005</v>
      </c>
      <c r="Y5862">
        <v>-6.2306819999999999E-2</v>
      </c>
      <c r="Z5862">
        <v>-0.16291149999999999</v>
      </c>
      <c r="AA5862">
        <v>0.98467139999999997</v>
      </c>
      <c r="AB5862">
        <v>28</v>
      </c>
      <c r="AC5862">
        <v>1.5937999999999799</v>
      </c>
      <c r="AD5862">
        <v>9.4668349999999997</v>
      </c>
      <c r="AE5862">
        <v>-57.0214085</v>
      </c>
      <c r="AF5862">
        <v>-3.49064668279359</v>
      </c>
      <c r="AG5862">
        <v>9.4668349999999997</v>
      </c>
      <c r="AH5862">
        <v>55.404844727105697</v>
      </c>
      <c r="AI5862">
        <v>80.322529757752505</v>
      </c>
      <c r="AJ5862">
        <v>93.605015618478305</v>
      </c>
      <c r="AK5862">
        <v>56.316093600462203</v>
      </c>
      <c r="AL5862">
        <v>88.005786256398594</v>
      </c>
      <c r="AM5862">
        <v>96.848128190836405</v>
      </c>
      <c r="AN5862">
        <v>1.0000000339355199</v>
      </c>
    </row>
    <row r="5863" spans="1:40" x14ac:dyDescent="0.25">
      <c r="A5863" t="str">
        <f>"20190312160452060"</f>
        <v>20190312160452060</v>
      </c>
      <c r="B5863" t="str">
        <f>"1552377892051312"</f>
        <v>1552377892051312</v>
      </c>
      <c r="C5863" t="s">
        <v>40</v>
      </c>
      <c r="D5863">
        <v>6.0546360000000004</v>
      </c>
      <c r="E5863">
        <v>0.52349239999999997</v>
      </c>
      <c r="F5863" t="s">
        <v>100</v>
      </c>
      <c r="G5863">
        <v>-420.8064</v>
      </c>
      <c r="H5863">
        <v>10.03675</v>
      </c>
      <c r="I5863">
        <v>0.4692192</v>
      </c>
      <c r="J5863">
        <v>-422.27659999999997</v>
      </c>
      <c r="K5863">
        <v>1.110087</v>
      </c>
      <c r="L5863">
        <v>57.324219999999997</v>
      </c>
      <c r="M5863">
        <v>-3.4453610000000003E-2</v>
      </c>
      <c r="N5863">
        <v>0</v>
      </c>
      <c r="O5863">
        <v>-0.99937719999999997</v>
      </c>
      <c r="P5863">
        <v>8.5287089999999996E-2</v>
      </c>
      <c r="Q5863">
        <v>2.771214E-2</v>
      </c>
      <c r="R5863">
        <v>-0.99597100000000005</v>
      </c>
      <c r="S5863">
        <v>7.6873780000000003E-2</v>
      </c>
      <c r="T5863">
        <v>0.46845579999999998</v>
      </c>
      <c r="U5863">
        <v>-2.9924620000000002</v>
      </c>
      <c r="V5863">
        <v>-0.119606</v>
      </c>
      <c r="W5863">
        <v>3.5103090000000003E-2</v>
      </c>
      <c r="X5863">
        <v>0.99220070000000005</v>
      </c>
      <c r="Y5863">
        <v>-5.9800319999999997E-2</v>
      </c>
      <c r="Z5863">
        <v>-0.15436079999999999</v>
      </c>
      <c r="AA5863">
        <v>0.9862031</v>
      </c>
      <c r="AB5863">
        <v>28</v>
      </c>
      <c r="AC5863">
        <v>1.47019999999997</v>
      </c>
      <c r="AD5863">
        <v>8.9266629999999996</v>
      </c>
      <c r="AE5863">
        <v>-56.8550007999999</v>
      </c>
      <c r="AF5863">
        <v>-3.3458201668066798</v>
      </c>
      <c r="AG5863">
        <v>8.9266629999999996</v>
      </c>
      <c r="AH5863">
        <v>55.405675991283204</v>
      </c>
      <c r="AI5863">
        <v>80.863828151271207</v>
      </c>
      <c r="AJ5863">
        <v>93.455762531168801</v>
      </c>
      <c r="AK5863">
        <v>56.219825301713897</v>
      </c>
      <c r="AL5863">
        <v>87.988327862925104</v>
      </c>
      <c r="AM5863">
        <v>96.873620753699598</v>
      </c>
      <c r="AN5863">
        <v>1.0000000256220101</v>
      </c>
    </row>
    <row r="5864" spans="1:40" x14ac:dyDescent="0.25">
      <c r="A5864" t="str">
        <f>"20190312160452072"</f>
        <v>20190312160452072</v>
      </c>
      <c r="B5864" t="str">
        <f>"1552377892061074"</f>
        <v>1552377892061074</v>
      </c>
      <c r="C5864" t="s">
        <v>40</v>
      </c>
      <c r="D5864">
        <v>6.2955050000000004</v>
      </c>
      <c r="E5864">
        <v>0.52385109999999901</v>
      </c>
      <c r="F5864" t="s">
        <v>100</v>
      </c>
      <c r="G5864">
        <v>-420.82429999999999</v>
      </c>
      <c r="H5864">
        <v>9.8017000000000003</v>
      </c>
      <c r="I5864">
        <v>0.46903610000000001</v>
      </c>
      <c r="J5864">
        <v>-422.28199999999998</v>
      </c>
      <c r="K5864">
        <v>1.1100909999999999</v>
      </c>
      <c r="L5864">
        <v>57.157350000000001</v>
      </c>
      <c r="M5864">
        <v>-3.3941789999999999E-2</v>
      </c>
      <c r="N5864">
        <v>0</v>
      </c>
      <c r="O5864">
        <v>-0.99939460000000002</v>
      </c>
      <c r="P5864">
        <v>8.5851940000000002E-2</v>
      </c>
      <c r="Q5864">
        <v>2.756714E-2</v>
      </c>
      <c r="R5864">
        <v>-0.99592639999999999</v>
      </c>
      <c r="S5864">
        <v>7.6446529999999999E-2</v>
      </c>
      <c r="T5864">
        <v>0.45752510000000002</v>
      </c>
      <c r="U5864">
        <v>-2.9928590000000002</v>
      </c>
      <c r="V5864">
        <v>-0.119661</v>
      </c>
      <c r="W5864">
        <v>3.4966320000000002E-2</v>
      </c>
      <c r="X5864">
        <v>0.99219889999999999</v>
      </c>
      <c r="Y5864">
        <v>-5.915902E-2</v>
      </c>
      <c r="Z5864">
        <v>-0.15082980000000001</v>
      </c>
      <c r="AA5864">
        <v>0.986788</v>
      </c>
      <c r="AB5864">
        <v>28</v>
      </c>
      <c r="AC5864">
        <v>1.45769999999998</v>
      </c>
      <c r="AD5864">
        <v>8.6916089999999997</v>
      </c>
      <c r="AE5864">
        <v>-56.688313899999997</v>
      </c>
      <c r="AF5864">
        <v>-3.3034141455027402</v>
      </c>
      <c r="AG5864">
        <v>8.6916089999999997</v>
      </c>
      <c r="AH5864">
        <v>55.306882553648897</v>
      </c>
      <c r="AI5864">
        <v>81.084509719453607</v>
      </c>
      <c r="AJ5864">
        <v>93.418147667094701</v>
      </c>
      <c r="AK5864">
        <v>56.083044405851403</v>
      </c>
      <c r="AL5864">
        <v>87.996169024592504</v>
      </c>
      <c r="AM5864">
        <v>96.876763636662503</v>
      </c>
      <c r="AN5864">
        <v>1.0000000278082699</v>
      </c>
    </row>
    <row r="5865" spans="1:40" x14ac:dyDescent="0.25">
      <c r="A5865" t="str">
        <f>"20190312160452085"</f>
        <v>20190312160452085</v>
      </c>
      <c r="B5865" t="str">
        <f>"1552377892081570"</f>
        <v>1552377892081570</v>
      </c>
      <c r="C5865" t="s">
        <v>40</v>
      </c>
      <c r="D5865">
        <v>5.9964529999999998</v>
      </c>
      <c r="E5865">
        <v>0.52454269999999903</v>
      </c>
      <c r="F5865" t="s">
        <v>100</v>
      </c>
      <c r="G5865">
        <v>-420.86709999999999</v>
      </c>
      <c r="H5865">
        <v>9.5845079999999996</v>
      </c>
      <c r="I5865">
        <v>0.4685993</v>
      </c>
      <c r="J5865">
        <v>-422.28699999999998</v>
      </c>
      <c r="K5865">
        <v>1.1100989999999999</v>
      </c>
      <c r="L5865">
        <v>56.995449999999998</v>
      </c>
      <c r="M5865">
        <v>-3.344486E-2</v>
      </c>
      <c r="N5865">
        <v>0</v>
      </c>
      <c r="O5865">
        <v>-0.99941159999999996</v>
      </c>
      <c r="P5865">
        <v>8.625207E-2</v>
      </c>
      <c r="Q5865">
        <v>2.747403E-2</v>
      </c>
      <c r="R5865">
        <v>-0.99589490000000003</v>
      </c>
      <c r="S5865">
        <v>7.4707029999999994E-2</v>
      </c>
      <c r="T5865">
        <v>0.44748830000000001</v>
      </c>
      <c r="U5865">
        <v>-2.993439</v>
      </c>
      <c r="V5865">
        <v>-0.1195662</v>
      </c>
      <c r="W5865">
        <v>3.4881490000000001E-2</v>
      </c>
      <c r="X5865">
        <v>0.99221329999999996</v>
      </c>
      <c r="Y5865">
        <v>-5.8096979999999999E-2</v>
      </c>
      <c r="Z5865">
        <v>-0.1475756</v>
      </c>
      <c r="AA5865">
        <v>0.98734299999999997</v>
      </c>
      <c r="AB5865">
        <v>28</v>
      </c>
      <c r="AC5865">
        <v>1.41989999999998</v>
      </c>
      <c r="AD5865">
        <v>8.4744089999999996</v>
      </c>
      <c r="AE5865">
        <v>-56.526850699999997</v>
      </c>
      <c r="AF5865">
        <v>-3.2369859622779402</v>
      </c>
      <c r="AG5865">
        <v>8.4744089999999996</v>
      </c>
      <c r="AH5865">
        <v>55.207698085135803</v>
      </c>
      <c r="AI5865">
        <v>81.287917870844794</v>
      </c>
      <c r="AJ5865">
        <v>93.355574414697898</v>
      </c>
      <c r="AK5865">
        <v>55.948043878930903</v>
      </c>
      <c r="AL5865">
        <v>88.001032363824194</v>
      </c>
      <c r="AM5865">
        <v>96.871268940561805</v>
      </c>
      <c r="AN5865">
        <v>1.00000001361197</v>
      </c>
    </row>
    <row r="5866" spans="1:40" x14ac:dyDescent="0.25">
      <c r="A5866" t="str">
        <f>"20190312160452099"</f>
        <v>20190312160452099</v>
      </c>
      <c r="B5866" t="str">
        <f>"1552377892091329"</f>
        <v>1552377892091329</v>
      </c>
      <c r="C5866" t="s">
        <v>40</v>
      </c>
      <c r="D5866">
        <v>5.8724220000000003</v>
      </c>
      <c r="E5866">
        <v>0.5247541</v>
      </c>
      <c r="F5866" t="s">
        <v>100</v>
      </c>
      <c r="G5866">
        <v>-420.95429999999999</v>
      </c>
      <c r="H5866">
        <v>9.2581229999999994</v>
      </c>
      <c r="I5866">
        <v>0.46771239999999997</v>
      </c>
      <c r="J5866">
        <v>-422.2919</v>
      </c>
      <c r="K5866">
        <v>1.1101030000000001</v>
      </c>
      <c r="L5866">
        <v>56.831209999999999</v>
      </c>
      <c r="M5866">
        <v>-3.2939410000000002E-2</v>
      </c>
      <c r="N5866">
        <v>0</v>
      </c>
      <c r="O5866">
        <v>-0.99942799999999998</v>
      </c>
      <c r="P5866">
        <v>8.6996939999999995E-2</v>
      </c>
      <c r="Q5866">
        <v>2.8238840000000001E-2</v>
      </c>
      <c r="R5866">
        <v>-0.99580840000000004</v>
      </c>
      <c r="S5866">
        <v>7.0587159999999996E-2</v>
      </c>
      <c r="T5866">
        <v>0.43161070000000001</v>
      </c>
      <c r="U5866">
        <v>-2.994354</v>
      </c>
      <c r="V5866">
        <v>-0.119808</v>
      </c>
      <c r="W5866">
        <v>3.5652540000000003E-2</v>
      </c>
      <c r="X5866">
        <v>0.9921567</v>
      </c>
      <c r="Y5866">
        <v>-5.6244679999999998E-2</v>
      </c>
      <c r="Z5866">
        <v>-0.14241870000000001</v>
      </c>
      <c r="AA5866">
        <v>0.98820719999999995</v>
      </c>
      <c r="AB5866">
        <v>28</v>
      </c>
      <c r="AC5866">
        <v>1.3375999999999999</v>
      </c>
      <c r="AD5866">
        <v>8.14801999999999</v>
      </c>
      <c r="AE5866">
        <v>-56.363497600000002</v>
      </c>
      <c r="AF5866">
        <v>-3.1281726358104098</v>
      </c>
      <c r="AG5866">
        <v>8.14801999999999</v>
      </c>
      <c r="AH5866">
        <v>55.137230378579403</v>
      </c>
      <c r="AI5866">
        <v>81.607138864295095</v>
      </c>
      <c r="AJ5866">
        <v>93.247155452050905</v>
      </c>
      <c r="AK5866">
        <v>55.823739285185603</v>
      </c>
      <c r="AL5866">
        <v>87.956826902982897</v>
      </c>
      <c r="AM5866">
        <v>96.885420531755202</v>
      </c>
      <c r="AN5866">
        <v>0.99999998891367003</v>
      </c>
    </row>
    <row r="5867" spans="1:40" x14ac:dyDescent="0.25">
      <c r="A5867" t="str">
        <f>"20190312160452116"</f>
        <v>20190312160452116</v>
      </c>
      <c r="B5867" t="str">
        <f>"1552377892110849"</f>
        <v>1552377892110849</v>
      </c>
      <c r="C5867" t="s">
        <v>40</v>
      </c>
      <c r="D5867">
        <v>5.8219580000000004</v>
      </c>
      <c r="E5867">
        <v>0.52500619999999998</v>
      </c>
      <c r="F5867" t="s">
        <v>100</v>
      </c>
      <c r="G5867">
        <v>-420.96550000000002</v>
      </c>
      <c r="H5867">
        <v>9.1650989999999997</v>
      </c>
      <c r="I5867">
        <v>0.46759800000000001</v>
      </c>
      <c r="J5867">
        <v>-422.29849999999999</v>
      </c>
      <c r="K5867">
        <v>1.110096</v>
      </c>
      <c r="L5867">
        <v>56.611179999999997</v>
      </c>
      <c r="M5867">
        <v>-3.226205E-2</v>
      </c>
      <c r="N5867">
        <v>0</v>
      </c>
      <c r="O5867">
        <v>-0.99944999999999995</v>
      </c>
      <c r="P5867">
        <v>8.8120450000000003E-2</v>
      </c>
      <c r="Q5867">
        <v>2.85294E-2</v>
      </c>
      <c r="R5867">
        <v>-0.99570119999999895</v>
      </c>
      <c r="S5867">
        <v>7.0465089999999994E-2</v>
      </c>
      <c r="T5867">
        <v>0.42792530000000001</v>
      </c>
      <c r="U5867">
        <v>-2.994354</v>
      </c>
      <c r="V5867">
        <v>-0.12025520000000001</v>
      </c>
      <c r="W5867">
        <v>3.5951799999999999E-2</v>
      </c>
      <c r="X5867">
        <v>0.99209179999999997</v>
      </c>
      <c r="Y5867">
        <v>-5.5531770000000001E-2</v>
      </c>
      <c r="Z5867">
        <v>-0.14123459999999999</v>
      </c>
      <c r="AA5867">
        <v>0.9884174</v>
      </c>
      <c r="AB5867">
        <v>28</v>
      </c>
      <c r="AC5867">
        <v>1.33299999999997</v>
      </c>
      <c r="AD5867">
        <v>8.0550029999999992</v>
      </c>
      <c r="AE5867">
        <v>-56.143581999999903</v>
      </c>
      <c r="AF5867">
        <v>-3.0802970971263299</v>
      </c>
      <c r="AG5867">
        <v>8.0550029999999992</v>
      </c>
      <c r="AH5867">
        <v>54.941074276544803</v>
      </c>
      <c r="AI5867">
        <v>81.672087403824307</v>
      </c>
      <c r="AJ5867">
        <v>93.208955288529594</v>
      </c>
      <c r="AK5867">
        <v>55.613783778820398</v>
      </c>
      <c r="AL5867">
        <v>87.939669575188802</v>
      </c>
      <c r="AM5867">
        <v>96.911320944602494</v>
      </c>
      <c r="AN5867">
        <v>0.99999999233875903</v>
      </c>
    </row>
    <row r="5868" spans="1:40" x14ac:dyDescent="0.25">
      <c r="A5868" t="str">
        <f>"20190312160452132"</f>
        <v>20190312160452132</v>
      </c>
      <c r="B5868" t="str">
        <f>"1552377892121585"</f>
        <v>1552377892121585</v>
      </c>
      <c r="C5868" t="s">
        <v>40</v>
      </c>
      <c r="D5868">
        <v>5.9904890000000002</v>
      </c>
      <c r="E5868">
        <v>0.52525189999999999</v>
      </c>
      <c r="F5868" t="s">
        <v>100</v>
      </c>
      <c r="G5868">
        <v>-420.94979999999998</v>
      </c>
      <c r="H5868">
        <v>9.0560379999999991</v>
      </c>
      <c r="I5868">
        <v>0.46775630000000001</v>
      </c>
      <c r="J5868">
        <v>-422.30450000000002</v>
      </c>
      <c r="K5868">
        <v>1.1100939999999999</v>
      </c>
      <c r="L5868">
        <v>56.407440000000001</v>
      </c>
      <c r="M5868">
        <v>-3.1634519999999999E-2</v>
      </c>
      <c r="N5868">
        <v>0</v>
      </c>
      <c r="O5868">
        <v>-0.99947019999999998</v>
      </c>
      <c r="P5868">
        <v>8.9274880000000001E-2</v>
      </c>
      <c r="Q5868">
        <v>2.8167870000000001E-2</v>
      </c>
      <c r="R5868">
        <v>-0.99560899999999997</v>
      </c>
      <c r="S5868">
        <v>7.1929930000000003E-2</v>
      </c>
      <c r="T5868">
        <v>0.42380050000000002</v>
      </c>
      <c r="U5868">
        <v>-2.9944459999999999</v>
      </c>
      <c r="V5868">
        <v>-0.1207828</v>
      </c>
      <c r="W5868">
        <v>3.5597259999999999E-2</v>
      </c>
      <c r="X5868">
        <v>0.99204049999999999</v>
      </c>
      <c r="Y5868">
        <v>-5.5391969999999999E-2</v>
      </c>
      <c r="Z5868">
        <v>-0.13989989999999999</v>
      </c>
      <c r="AA5868">
        <v>0.98861509999999997</v>
      </c>
      <c r="AB5868">
        <v>28</v>
      </c>
      <c r="AC5868">
        <v>1.35470000000003</v>
      </c>
      <c r="AD5868">
        <v>7.9459439999999999</v>
      </c>
      <c r="AE5868">
        <v>-55.939683700000003</v>
      </c>
      <c r="AF5868">
        <v>-3.0619547591828602</v>
      </c>
      <c r="AG5868">
        <v>7.9459439999999999</v>
      </c>
      <c r="AH5868">
        <v>54.7645063669178</v>
      </c>
      <c r="AI5868">
        <v>81.757093243244199</v>
      </c>
      <c r="AJ5868">
        <v>93.200149673017407</v>
      </c>
      <c r="AK5868">
        <v>55.422601442106597</v>
      </c>
      <c r="AL5868">
        <v>87.959996251524601</v>
      </c>
      <c r="AM5868">
        <v>96.941703488471504</v>
      </c>
      <c r="AN5868">
        <v>1.0000000016677899</v>
      </c>
    </row>
    <row r="5869" spans="1:40" x14ac:dyDescent="0.25">
      <c r="A5869" t="str">
        <f>"20190312160452154"</f>
        <v>20190312160452154</v>
      </c>
      <c r="B5869" t="str">
        <f>"1552377892150865"</f>
        <v>1552377892150865</v>
      </c>
      <c r="C5869" t="s">
        <v>40</v>
      </c>
      <c r="D5869">
        <v>6.0089990000000002</v>
      </c>
      <c r="E5869">
        <v>0.52611960000000002</v>
      </c>
      <c r="F5869" t="s">
        <v>100</v>
      </c>
      <c r="G5869">
        <v>-420.93119999999999</v>
      </c>
      <c r="H5869">
        <v>8.9109379999999998</v>
      </c>
      <c r="I5869">
        <v>0.4679451</v>
      </c>
      <c r="J5869">
        <v>-422.3125</v>
      </c>
      <c r="K5869">
        <v>1.1100939999999999</v>
      </c>
      <c r="L5869">
        <v>56.125149999999998</v>
      </c>
      <c r="M5869">
        <v>-3.0764320000000001E-2</v>
      </c>
      <c r="N5869">
        <v>0</v>
      </c>
      <c r="O5869">
        <v>-0.99949719999999997</v>
      </c>
      <c r="P5869">
        <v>9.1051590000000002E-2</v>
      </c>
      <c r="Q5869">
        <v>2.7626620000000001E-2</v>
      </c>
      <c r="R5869">
        <v>-0.99546299999999999</v>
      </c>
      <c r="S5869">
        <v>7.3516849999999995E-2</v>
      </c>
      <c r="T5869">
        <v>0.41763349999999999</v>
      </c>
      <c r="U5869">
        <v>-2.9948429999999999</v>
      </c>
      <c r="V5869">
        <v>-0.12169000000000001</v>
      </c>
      <c r="W5869">
        <v>3.5064970000000001E-2</v>
      </c>
      <c r="X5869">
        <v>0.99194859999999896</v>
      </c>
      <c r="Y5869">
        <v>-5.5050010000000003E-2</v>
      </c>
      <c r="Z5869">
        <v>-0.1378914</v>
      </c>
      <c r="AA5869">
        <v>0.98891629999999997</v>
      </c>
      <c r="AB5869">
        <v>28</v>
      </c>
      <c r="AC5869">
        <v>1.38130000000001</v>
      </c>
      <c r="AD5869">
        <v>7.8008439999999997</v>
      </c>
      <c r="AE5869">
        <v>-55.657204900000004</v>
      </c>
      <c r="AF5869">
        <v>-3.0333997768375598</v>
      </c>
      <c r="AG5869">
        <v>7.8008439999999997</v>
      </c>
      <c r="AH5869">
        <v>54.518043866453603</v>
      </c>
      <c r="AI5869">
        <v>81.869377640080302</v>
      </c>
      <c r="AJ5869">
        <v>93.184670091106497</v>
      </c>
      <c r="AK5869">
        <v>55.156792767011197</v>
      </c>
      <c r="AL5869">
        <v>87.990513305354597</v>
      </c>
      <c r="AM5869">
        <v>96.993969727908905</v>
      </c>
      <c r="AN5869">
        <v>1.0000000166315299</v>
      </c>
    </row>
    <row r="5870" spans="1:40" x14ac:dyDescent="0.25">
      <c r="A5870" t="str">
        <f>"20190312160452176"</f>
        <v>20190312160452176</v>
      </c>
      <c r="B5870" t="str">
        <f>"1552377892171365"</f>
        <v>1552377892171365</v>
      </c>
      <c r="C5870" t="s">
        <v>40</v>
      </c>
      <c r="D5870">
        <v>5.9101489999999997</v>
      </c>
      <c r="E5870">
        <v>0.52561069999999999</v>
      </c>
      <c r="F5870" t="s">
        <v>100</v>
      </c>
      <c r="G5870">
        <v>-421.0145</v>
      </c>
      <c r="H5870">
        <v>8.4098579999999998</v>
      </c>
      <c r="I5870">
        <v>1.764124</v>
      </c>
      <c r="J5870">
        <v>-422.32029999999997</v>
      </c>
      <c r="K5870">
        <v>1.110104</v>
      </c>
      <c r="L5870">
        <v>55.840449999999997</v>
      </c>
      <c r="M5870">
        <v>-2.9885729999999999E-2</v>
      </c>
      <c r="N5870">
        <v>0</v>
      </c>
      <c r="O5870">
        <v>-0.99952390000000002</v>
      </c>
      <c r="P5870">
        <v>9.3153650000000005E-2</v>
      </c>
      <c r="Q5870">
        <v>2.8204799999999999E-2</v>
      </c>
      <c r="R5870">
        <v>-0.99525280000000005</v>
      </c>
      <c r="S5870">
        <v>7.1533200000000005E-2</v>
      </c>
      <c r="T5870">
        <v>0.40230670000000002</v>
      </c>
      <c r="U5870">
        <v>-2.9959720000000001</v>
      </c>
      <c r="V5870">
        <v>-0.1229138</v>
      </c>
      <c r="W5870">
        <v>3.565111E-2</v>
      </c>
      <c r="X5870">
        <v>0.99177680000000001</v>
      </c>
      <c r="Y5870">
        <v>-5.3525120000000002E-2</v>
      </c>
      <c r="Z5870">
        <v>-0.1328849</v>
      </c>
      <c r="AA5870">
        <v>0.98968509999999998</v>
      </c>
      <c r="AB5870">
        <v>29</v>
      </c>
      <c r="AC5870">
        <v>1.3057999999999701</v>
      </c>
      <c r="AD5870">
        <v>7.2997539999999903</v>
      </c>
      <c r="AE5870">
        <v>-54.076326000000002</v>
      </c>
      <c r="AF5870">
        <v>-2.8691232752156002</v>
      </c>
      <c r="AG5870">
        <v>7.2997539999999903</v>
      </c>
      <c r="AH5870">
        <v>53.047070060815699</v>
      </c>
      <c r="AI5870">
        <v>82.176087995800202</v>
      </c>
      <c r="AJ5870">
        <v>93.095904031161496</v>
      </c>
      <c r="AK5870">
        <v>53.623781280939099</v>
      </c>
      <c r="AL5870">
        <v>87.956908936168801</v>
      </c>
      <c r="AM5870">
        <v>97.064810181507198</v>
      </c>
      <c r="AN5870">
        <v>1.0000000124464501</v>
      </c>
    </row>
    <row r="5871" spans="1:40" x14ac:dyDescent="0.25">
      <c r="A5871" t="str">
        <f>"20190312160452191"</f>
        <v>20190312160452191</v>
      </c>
      <c r="B5871" t="str">
        <f>"1552377892181121"</f>
        <v>1552377892181121</v>
      </c>
      <c r="C5871" t="s">
        <v>40</v>
      </c>
      <c r="D5871">
        <v>6.1021919999999996</v>
      </c>
      <c r="E5871">
        <v>0.52561069999999999</v>
      </c>
      <c r="F5871" t="s">
        <v>100</v>
      </c>
      <c r="G5871">
        <v>-420.84379999999999</v>
      </c>
      <c r="H5871">
        <v>8.2956409999999998</v>
      </c>
      <c r="I5871">
        <v>1.7658579999999999</v>
      </c>
      <c r="J5871">
        <v>-422.32560000000001</v>
      </c>
      <c r="K5871">
        <v>1.110107</v>
      </c>
      <c r="L5871">
        <v>55.642910000000001</v>
      </c>
      <c r="M5871">
        <v>-2.9275539999999999E-2</v>
      </c>
      <c r="N5871">
        <v>0</v>
      </c>
      <c r="O5871">
        <v>-0.99954180000000004</v>
      </c>
      <c r="P5871">
        <v>9.4421599999999994E-2</v>
      </c>
      <c r="Q5871">
        <v>2.8344620000000001E-2</v>
      </c>
      <c r="R5871">
        <v>-0.99512909999999999</v>
      </c>
      <c r="S5871">
        <v>8.1787109999999996E-2</v>
      </c>
      <c r="T5871">
        <v>0.39803179999999999</v>
      </c>
      <c r="U5871">
        <v>-2.9953919999999998</v>
      </c>
      <c r="V5871">
        <v>-0.1235724</v>
      </c>
      <c r="W5871">
        <v>3.579645E-2</v>
      </c>
      <c r="X5871">
        <v>0.99168970000000001</v>
      </c>
      <c r="Y5871">
        <v>-5.6310590000000001E-2</v>
      </c>
      <c r="Z5871">
        <v>-0.1315103</v>
      </c>
      <c r="AA5871">
        <v>0.98971419999999999</v>
      </c>
      <c r="AB5871">
        <v>29</v>
      </c>
      <c r="AC5871">
        <v>1.48180000000002</v>
      </c>
      <c r="AD5871">
        <v>7.1855339999999996</v>
      </c>
      <c r="AE5871">
        <v>-53.877051999999999</v>
      </c>
      <c r="AF5871">
        <v>-3.0050793630003998</v>
      </c>
      <c r="AG5871">
        <v>7.1855339999999996</v>
      </c>
      <c r="AH5871">
        <v>52.8708561979672</v>
      </c>
      <c r="AI5871">
        <v>82.272826270501696</v>
      </c>
      <c r="AJ5871">
        <v>93.253083533970496</v>
      </c>
      <c r="AK5871">
        <v>53.441461768454801</v>
      </c>
      <c r="AL5871">
        <v>87.948576207957004</v>
      </c>
      <c r="AM5871">
        <v>97.102896884762501</v>
      </c>
      <c r="AN5871">
        <v>0.99999999248022597</v>
      </c>
    </row>
    <row r="5872" spans="1:40" x14ac:dyDescent="0.25">
      <c r="A5872" t="str">
        <f>"20190312160452204"</f>
        <v>20190312160452204</v>
      </c>
      <c r="B5872" t="str">
        <f>"1552377892201617"</f>
        <v>1552377892201617</v>
      </c>
      <c r="C5872" t="s">
        <v>40</v>
      </c>
      <c r="D5872">
        <v>5.99986</v>
      </c>
      <c r="E5872">
        <v>0.4501983</v>
      </c>
      <c r="F5872" t="s">
        <v>100</v>
      </c>
      <c r="G5872">
        <v>-420.77429999999998</v>
      </c>
      <c r="H5872">
        <v>8.2791219999999992</v>
      </c>
      <c r="I5872">
        <v>1.7665649999999999</v>
      </c>
      <c r="J5872">
        <v>-422.33010000000002</v>
      </c>
      <c r="K5872">
        <v>1.1101080000000001</v>
      </c>
      <c r="L5872">
        <v>55.473939999999999</v>
      </c>
      <c r="M5872">
        <v>-2.8753440000000002E-2</v>
      </c>
      <c r="N5872">
        <v>0</v>
      </c>
      <c r="O5872">
        <v>-0.99955680000000002</v>
      </c>
      <c r="P5872">
        <v>9.6132460000000003E-2</v>
      </c>
      <c r="Q5872">
        <v>2.820454E-2</v>
      </c>
      <c r="R5872">
        <v>-0.99496899999999999</v>
      </c>
      <c r="S5872">
        <v>8.6242680000000002E-2</v>
      </c>
      <c r="T5872">
        <v>0.39854539999999999</v>
      </c>
      <c r="U5872">
        <v>-2.9951479999999999</v>
      </c>
      <c r="V5872">
        <v>-0.1247598</v>
      </c>
      <c r="W5872">
        <v>3.5659209999999997E-2</v>
      </c>
      <c r="X5872">
        <v>0.99154600000000004</v>
      </c>
      <c r="Y5872">
        <v>-5.7261739999999998E-2</v>
      </c>
      <c r="Z5872">
        <v>-0.131684299999999</v>
      </c>
      <c r="AA5872">
        <v>0.98963650000000003</v>
      </c>
      <c r="AB5872">
        <v>29</v>
      </c>
      <c r="AC5872">
        <v>1.55580000000003</v>
      </c>
      <c r="AD5872">
        <v>7.1690139999999998</v>
      </c>
      <c r="AE5872">
        <v>-53.707374999999999</v>
      </c>
      <c r="AF5872">
        <v>-3.0452604137574801</v>
      </c>
      <c r="AG5872">
        <v>7.1690139999999998</v>
      </c>
      <c r="AH5872">
        <v>52.702188516296196</v>
      </c>
      <c r="AI5872">
        <v>82.266414099637899</v>
      </c>
      <c r="AJ5872">
        <v>93.307012032198301</v>
      </c>
      <c r="AK5872">
        <v>53.2746567058579</v>
      </c>
      <c r="AL5872">
        <v>87.956444577970302</v>
      </c>
      <c r="AM5872">
        <v>97.171469486716305</v>
      </c>
      <c r="AN5872">
        <v>1.00000002853493</v>
      </c>
    </row>
    <row r="5873" spans="1:40" x14ac:dyDescent="0.25">
      <c r="A5873" t="str">
        <f>"20190312160452218"</f>
        <v>20190312160452218</v>
      </c>
      <c r="B5873" t="str">
        <f>"1552377892211378"</f>
        <v>1552377892211378</v>
      </c>
      <c r="C5873" t="s">
        <v>40</v>
      </c>
      <c r="D5873">
        <v>5.9246089999999896</v>
      </c>
      <c r="E5873">
        <v>0.4501983</v>
      </c>
      <c r="F5873" t="s">
        <v>100</v>
      </c>
      <c r="G5873">
        <v>-409.85969999999998</v>
      </c>
      <c r="H5873">
        <v>3.8551289999999998</v>
      </c>
      <c r="I5873">
        <v>1.8775539999999999</v>
      </c>
      <c r="J5873">
        <v>-422.33449999999999</v>
      </c>
      <c r="K5873">
        <v>1.1101110000000001</v>
      </c>
      <c r="L5873">
        <v>55.302889999999998</v>
      </c>
      <c r="M5873">
        <v>-2.8224820000000001E-2</v>
      </c>
      <c r="N5873">
        <v>0</v>
      </c>
      <c r="O5873">
        <v>-0.99957189999999996</v>
      </c>
      <c r="P5873">
        <v>9.7464229999999999E-2</v>
      </c>
      <c r="Q5873">
        <v>2.8041610000000002E-2</v>
      </c>
      <c r="R5873">
        <v>-0.99484410000000001</v>
      </c>
      <c r="S5873">
        <v>0.68515009999999998</v>
      </c>
      <c r="T5873">
        <v>0.15081600000000001</v>
      </c>
      <c r="U5873">
        <v>-2.9447019999999999</v>
      </c>
      <c r="V5873">
        <v>-0.1255628</v>
      </c>
      <c r="W5873">
        <v>3.5500049999999998E-2</v>
      </c>
      <c r="X5873">
        <v>0.99145030000000001</v>
      </c>
      <c r="Y5873">
        <v>-0.25374000000000002</v>
      </c>
      <c r="Z5873">
        <v>-4.9620310000000001E-2</v>
      </c>
      <c r="AA5873">
        <v>0.96599889999999999</v>
      </c>
      <c r="AB5873">
        <v>29</v>
      </c>
      <c r="AC5873">
        <v>12.4748</v>
      </c>
      <c r="AD5873">
        <v>2.745018</v>
      </c>
      <c r="AE5873">
        <v>-53.425336000000001</v>
      </c>
      <c r="AF5873">
        <v>-13.942889583023</v>
      </c>
      <c r="AG5873">
        <v>2.745018</v>
      </c>
      <c r="AH5873">
        <v>52.919459062415797</v>
      </c>
      <c r="AI5873">
        <v>87.128460677360195</v>
      </c>
      <c r="AJ5873">
        <v>104.760487868643</v>
      </c>
      <c r="AK5873">
        <v>54.794237299221599</v>
      </c>
      <c r="AL5873">
        <v>87.965569460530403</v>
      </c>
      <c r="AM5873">
        <v>97.2178318207296</v>
      </c>
      <c r="AN5873">
        <v>0.99999998383196598</v>
      </c>
    </row>
    <row r="5874" spans="1:40" x14ac:dyDescent="0.25">
      <c r="A5874" t="str">
        <f>"20190312160452230"</f>
        <v>20190312160452230</v>
      </c>
      <c r="B5874" t="str">
        <f>"1552377892221137"</f>
        <v>1552377892221137</v>
      </c>
      <c r="C5874" t="s">
        <v>40</v>
      </c>
      <c r="D5874">
        <v>5.773371</v>
      </c>
      <c r="E5874">
        <v>0.37855509999999998</v>
      </c>
      <c r="F5874" t="s">
        <v>100</v>
      </c>
      <c r="G5874">
        <v>-409.83260000000001</v>
      </c>
      <c r="H5874">
        <v>3.8372649999999999</v>
      </c>
      <c r="I5874">
        <v>1.877831</v>
      </c>
      <c r="J5874">
        <v>-422.33850000000001</v>
      </c>
      <c r="K5874">
        <v>1.1101110000000001</v>
      </c>
      <c r="L5874">
        <v>55.142490000000002</v>
      </c>
      <c r="M5874">
        <v>-2.7729050000000002E-2</v>
      </c>
      <c r="N5874">
        <v>0</v>
      </c>
      <c r="O5874">
        <v>-0.99958570000000002</v>
      </c>
      <c r="P5874">
        <v>9.8637240000000001E-2</v>
      </c>
      <c r="Q5874">
        <v>2.7929410000000002E-2</v>
      </c>
      <c r="R5874">
        <v>-0.99473180000000005</v>
      </c>
      <c r="S5874">
        <v>0.68887330000000002</v>
      </c>
      <c r="T5874">
        <v>0.1502696</v>
      </c>
      <c r="U5874">
        <v>-2.9438170000000001</v>
      </c>
      <c r="V5874">
        <v>-0.1262403</v>
      </c>
      <c r="W5874">
        <v>3.5391869999999999E-2</v>
      </c>
      <c r="X5874">
        <v>0.99136820000000003</v>
      </c>
      <c r="Y5874">
        <v>-0.25448500000000002</v>
      </c>
      <c r="Z5874">
        <v>-4.9444580000000002E-2</v>
      </c>
      <c r="AA5874">
        <v>0.96581189999999995</v>
      </c>
      <c r="AB5874">
        <v>29</v>
      </c>
      <c r="AC5874">
        <v>12.505899999999899</v>
      </c>
      <c r="AD5874">
        <v>2.7271540000000001</v>
      </c>
      <c r="AE5874">
        <v>-53.264658999999902</v>
      </c>
      <c r="AF5874">
        <v>-13.9434708599768</v>
      </c>
      <c r="AG5874">
        <v>2.7271540000000001</v>
      </c>
      <c r="AH5874">
        <v>52.766291956100503</v>
      </c>
      <c r="AI5874">
        <v>87.139396239337898</v>
      </c>
      <c r="AJ5874">
        <v>104.80204534104</v>
      </c>
      <c r="AK5874">
        <v>54.645579101690998</v>
      </c>
      <c r="AL5874">
        <v>87.971771755651105</v>
      </c>
      <c r="AM5874">
        <v>97.256957635387195</v>
      </c>
      <c r="AN5874">
        <v>1.0000000528887101</v>
      </c>
    </row>
    <row r="5875" spans="1:40" x14ac:dyDescent="0.25">
      <c r="A5875" t="str">
        <f>"20190312160452242"</f>
        <v>20190312160452242</v>
      </c>
      <c r="B5875" t="str">
        <f>"1552377892230898"</f>
        <v>1552377892230898</v>
      </c>
      <c r="C5875" t="s">
        <v>40</v>
      </c>
      <c r="D5875">
        <v>6.0362410000000004</v>
      </c>
      <c r="E5875">
        <v>0.37903619999999999</v>
      </c>
      <c r="F5875" t="s">
        <v>100</v>
      </c>
      <c r="G5875">
        <v>-399.13</v>
      </c>
      <c r="H5875">
        <v>3.1997270000000002</v>
      </c>
      <c r="I5875">
        <v>1.9866729999999999</v>
      </c>
      <c r="J5875">
        <v>-422.34249999999997</v>
      </c>
      <c r="K5875">
        <v>1.1101080000000001</v>
      </c>
      <c r="L5875">
        <v>54.984380000000002</v>
      </c>
      <c r="M5875">
        <v>-2.7240509999999999E-2</v>
      </c>
      <c r="N5875">
        <v>0</v>
      </c>
      <c r="O5875">
        <v>-0.99959900000000002</v>
      </c>
      <c r="P5875">
        <v>0.10008069999999999</v>
      </c>
      <c r="Q5875">
        <v>2.7473460000000002E-2</v>
      </c>
      <c r="R5875">
        <v>-0.99460000000000004</v>
      </c>
      <c r="S5875">
        <v>1.2608029999999999</v>
      </c>
      <c r="T5875">
        <v>0.1135172</v>
      </c>
      <c r="U5875">
        <v>-2.8876949999999999</v>
      </c>
      <c r="V5875">
        <v>-0.1271948</v>
      </c>
      <c r="W5875">
        <v>3.4938209999999997E-2</v>
      </c>
      <c r="X5875">
        <v>0.99126219999999998</v>
      </c>
      <c r="Y5875">
        <v>-0.42469590000000002</v>
      </c>
      <c r="Z5875">
        <v>-3.5771070000000002E-2</v>
      </c>
      <c r="AA5875">
        <v>0.90462909999999996</v>
      </c>
      <c r="AB5875">
        <v>29</v>
      </c>
      <c r="AC5875">
        <v>23.212499999999899</v>
      </c>
      <c r="AD5875">
        <v>2.0896189999999999</v>
      </c>
      <c r="AE5875">
        <v>-52.997706999999998</v>
      </c>
      <c r="AF5875">
        <v>-24.615505317786301</v>
      </c>
      <c r="AG5875">
        <v>2.0896189999999999</v>
      </c>
      <c r="AH5875">
        <v>52.277509919608796</v>
      </c>
      <c r="AI5875">
        <v>87.928898668382502</v>
      </c>
      <c r="AJ5875">
        <v>115.21397517355599</v>
      </c>
      <c r="AK5875">
        <v>57.820650748758602</v>
      </c>
      <c r="AL5875">
        <v>87.997780482635207</v>
      </c>
      <c r="AM5875">
        <v>97.3120091813702</v>
      </c>
      <c r="AN5875">
        <v>0.99999997240694105</v>
      </c>
    </row>
    <row r="5876" spans="1:40" x14ac:dyDescent="0.25">
      <c r="A5876" t="str">
        <f>"20190312160452266"</f>
        <v>20190312160452266</v>
      </c>
      <c r="B5876" t="str">
        <f>"1552377892261157"</f>
        <v>1552377892261157</v>
      </c>
      <c r="C5876" t="s">
        <v>40</v>
      </c>
      <c r="D5876">
        <v>4.9328989999999999</v>
      </c>
      <c r="E5876">
        <v>0.38244509999999998</v>
      </c>
      <c r="F5876" t="s">
        <v>100</v>
      </c>
      <c r="G5876">
        <v>-399.17750000000001</v>
      </c>
      <c r="H5876">
        <v>3.6296659999999998</v>
      </c>
      <c r="I5876">
        <v>1.986191</v>
      </c>
      <c r="J5876">
        <v>-422.34949999999998</v>
      </c>
      <c r="K5876">
        <v>1.1101110000000001</v>
      </c>
      <c r="L5876">
        <v>54.69</v>
      </c>
      <c r="M5876">
        <v>-2.6331449999999999E-2</v>
      </c>
      <c r="N5876">
        <v>0</v>
      </c>
      <c r="O5876">
        <v>-0.99962340000000005</v>
      </c>
      <c r="P5876">
        <v>0.1015948</v>
      </c>
      <c r="Q5876">
        <v>2.7803990000000001E-2</v>
      </c>
      <c r="R5876">
        <v>-0.99443740000000003</v>
      </c>
      <c r="S5876">
        <v>1.261261</v>
      </c>
      <c r="T5876">
        <v>0.13718079999999999</v>
      </c>
      <c r="U5876">
        <v>-2.8855900000000001</v>
      </c>
      <c r="V5876">
        <v>-0.127803</v>
      </c>
      <c r="W5876">
        <v>3.5277030000000001E-2</v>
      </c>
      <c r="X5876">
        <v>0.99117200000000005</v>
      </c>
      <c r="Y5876">
        <v>-0.4241164</v>
      </c>
      <c r="Z5876">
        <v>-4.3249120000000002E-2</v>
      </c>
      <c r="AA5876">
        <v>0.9045744</v>
      </c>
      <c r="AB5876">
        <v>29</v>
      </c>
      <c r="AC5876">
        <v>23.171999999999901</v>
      </c>
      <c r="AD5876">
        <v>2.519555</v>
      </c>
      <c r="AE5876">
        <v>-52.703809</v>
      </c>
      <c r="AF5876">
        <v>-24.504842707373399</v>
      </c>
      <c r="AG5876">
        <v>2.519555</v>
      </c>
      <c r="AH5876">
        <v>51.975819542319599</v>
      </c>
      <c r="AI5876">
        <v>87.489376300537302</v>
      </c>
      <c r="AJ5876">
        <v>115.242293691735</v>
      </c>
      <c r="AK5876">
        <v>57.518008402646501</v>
      </c>
      <c r="AL5876">
        <v>87.978355616398105</v>
      </c>
      <c r="AM5876">
        <v>97.347252781973395</v>
      </c>
      <c r="AN5876">
        <v>1.00000000461931</v>
      </c>
    </row>
    <row r="5877" spans="1:40" x14ac:dyDescent="0.25">
      <c r="A5877" t="str">
        <f>"20190312160452280"</f>
        <v>20190312160452280</v>
      </c>
      <c r="B5877" t="str">
        <f>"1552377892270914"</f>
        <v>1552377892270914</v>
      </c>
      <c r="C5877" t="s">
        <v>40</v>
      </c>
      <c r="D5877">
        <v>5.6858769999999996</v>
      </c>
      <c r="E5877">
        <v>0.38254589999999999</v>
      </c>
      <c r="F5877" t="s">
        <v>100</v>
      </c>
      <c r="G5877">
        <v>-399.7199</v>
      </c>
      <c r="H5877">
        <v>3.809485</v>
      </c>
      <c r="I5877">
        <v>1.9806790000000001</v>
      </c>
      <c r="J5877">
        <v>-422.35390000000001</v>
      </c>
      <c r="K5877">
        <v>1.1101160000000001</v>
      </c>
      <c r="L5877">
        <v>54.500239999999998</v>
      </c>
      <c r="M5877">
        <v>-2.5745799999999999E-2</v>
      </c>
      <c r="N5877">
        <v>0</v>
      </c>
      <c r="O5877">
        <v>-0.99963860000000004</v>
      </c>
      <c r="P5877">
        <v>0.102326399999999</v>
      </c>
      <c r="Q5877">
        <v>2.7803290000000001E-2</v>
      </c>
      <c r="R5877">
        <v>-0.99436250000000004</v>
      </c>
      <c r="S5877">
        <v>1.2390749999999999</v>
      </c>
      <c r="T5877">
        <v>0.14780160000000001</v>
      </c>
      <c r="U5877">
        <v>-2.8860779999999999</v>
      </c>
      <c r="V5877">
        <v>-0.1279518</v>
      </c>
      <c r="W5877">
        <v>3.5281310000000003E-2</v>
      </c>
      <c r="X5877">
        <v>0.99115260000000005</v>
      </c>
      <c r="Y5877">
        <v>-0.41760199999999997</v>
      </c>
      <c r="Z5877">
        <v>-4.6725750000000003E-2</v>
      </c>
      <c r="AA5877">
        <v>0.90742780000000001</v>
      </c>
      <c r="AB5877">
        <v>29</v>
      </c>
      <c r="AC5877">
        <v>22.634</v>
      </c>
      <c r="AD5877">
        <v>2.6993689999999999</v>
      </c>
      <c r="AE5877">
        <v>-52.519560999999896</v>
      </c>
      <c r="AF5877">
        <v>-23.925391923296601</v>
      </c>
      <c r="AG5877">
        <v>2.6993689999999999</v>
      </c>
      <c r="AH5877">
        <v>51.803988612930802</v>
      </c>
      <c r="AI5877">
        <v>87.291593378783602</v>
      </c>
      <c r="AJ5877">
        <v>114.78959861950899</v>
      </c>
      <c r="AK5877">
        <v>57.125862863419201</v>
      </c>
      <c r="AL5877">
        <v>87.9781101377977</v>
      </c>
      <c r="AM5877">
        <v>97.355855895752796</v>
      </c>
      <c r="AN5877">
        <v>0.99999995522265706</v>
      </c>
    </row>
    <row r="5878" spans="1:40" x14ac:dyDescent="0.25">
      <c r="A5878" t="str">
        <f>"20190312160452294"</f>
        <v>20190312160452294</v>
      </c>
      <c r="B5878" t="str">
        <f>"1552377892291409"</f>
        <v>1552377892291409</v>
      </c>
      <c r="C5878" t="s">
        <v>40</v>
      </c>
      <c r="D5878">
        <v>5.9192210000000003</v>
      </c>
      <c r="E5878">
        <v>0.38264559999999997</v>
      </c>
      <c r="F5878" t="s">
        <v>100</v>
      </c>
      <c r="G5878">
        <v>-399.77089999999998</v>
      </c>
      <c r="H5878">
        <v>3.8453499999999998</v>
      </c>
      <c r="I5878">
        <v>1.980156</v>
      </c>
      <c r="J5878">
        <v>-422.35789999999997</v>
      </c>
      <c r="K5878">
        <v>1.1101190000000001</v>
      </c>
      <c r="L5878">
        <v>54.325290000000003</v>
      </c>
      <c r="M5878">
        <v>-2.5206349999999999E-2</v>
      </c>
      <c r="N5878">
        <v>0</v>
      </c>
      <c r="O5878">
        <v>-0.9996524</v>
      </c>
      <c r="P5878">
        <v>0.1028299</v>
      </c>
      <c r="Q5878">
        <v>2.8187239999999999E-2</v>
      </c>
      <c r="R5878">
        <v>-0.99429979999999996</v>
      </c>
      <c r="S5878">
        <v>1.24057</v>
      </c>
      <c r="T5878">
        <v>0.15025559999999999</v>
      </c>
      <c r="U5878">
        <v>-2.885132</v>
      </c>
      <c r="V5878">
        <v>-0.127919899999999</v>
      </c>
      <c r="W5878">
        <v>3.5670640000000003E-2</v>
      </c>
      <c r="X5878">
        <v>0.99114279999999999</v>
      </c>
      <c r="Y5878">
        <v>-0.41760199999999997</v>
      </c>
      <c r="Z5878">
        <v>-4.751027E-2</v>
      </c>
      <c r="AA5878">
        <v>0.9073871</v>
      </c>
      <c r="AB5878">
        <v>29</v>
      </c>
      <c r="AC5878">
        <v>22.5869999999999</v>
      </c>
      <c r="AD5878">
        <v>2.7352310000000002</v>
      </c>
      <c r="AE5878">
        <v>-52.345134000000002</v>
      </c>
      <c r="AF5878">
        <v>-23.8444055565949</v>
      </c>
      <c r="AG5878">
        <v>2.7352310000000002</v>
      </c>
      <c r="AH5878">
        <v>51.640279578104398</v>
      </c>
      <c r="AI5878">
        <v>87.246870319467803</v>
      </c>
      <c r="AJ5878">
        <v>114.784680233071</v>
      </c>
      <c r="AK5878">
        <v>56.945198567355298</v>
      </c>
      <c r="AL5878">
        <v>87.955789156103506</v>
      </c>
      <c r="AM5878">
        <v>97.354113983387094</v>
      </c>
      <c r="AN5878">
        <v>0.99999997268292895</v>
      </c>
    </row>
    <row r="5879" spans="1:40" x14ac:dyDescent="0.25">
      <c r="A5879" t="str">
        <f>"20190312160452310"</f>
        <v>20190312160452310</v>
      </c>
      <c r="B5879" t="str">
        <f>"1552377892301170"</f>
        <v>1552377892301170</v>
      </c>
      <c r="C5879" t="s">
        <v>40</v>
      </c>
      <c r="D5879">
        <v>4.9293740000000001</v>
      </c>
      <c r="E5879">
        <v>0.38348389999999999</v>
      </c>
      <c r="F5879" t="s">
        <v>100</v>
      </c>
      <c r="G5879">
        <v>-399.82839999999999</v>
      </c>
      <c r="H5879">
        <v>3.962958</v>
      </c>
      <c r="I5879">
        <v>1.9795700000000001</v>
      </c>
      <c r="J5879">
        <v>-422.36259999999999</v>
      </c>
      <c r="K5879">
        <v>1.1101219999999901</v>
      </c>
      <c r="L5879">
        <v>54.114139999999999</v>
      </c>
      <c r="M5879">
        <v>-2.4555500000000001E-2</v>
      </c>
      <c r="N5879">
        <v>0</v>
      </c>
      <c r="O5879">
        <v>-0.99966820000000001</v>
      </c>
      <c r="P5879">
        <v>0.103996699999999</v>
      </c>
      <c r="Q5879">
        <v>2.862203E-2</v>
      </c>
      <c r="R5879">
        <v>-0.99416579999999999</v>
      </c>
      <c r="S5879">
        <v>1.241425</v>
      </c>
      <c r="T5879">
        <v>0.15719639999999999</v>
      </c>
      <c r="U5879">
        <v>-2.884369</v>
      </c>
      <c r="V5879">
        <v>-0.1284381</v>
      </c>
      <c r="W5879">
        <v>3.6110009999999998E-2</v>
      </c>
      <c r="X5879">
        <v>0.99105989999999999</v>
      </c>
      <c r="Y5879">
        <v>-0.41728199999999999</v>
      </c>
      <c r="Z5879">
        <v>-4.9713460000000001E-2</v>
      </c>
      <c r="AA5879">
        <v>0.90741629999999995</v>
      </c>
      <c r="AB5879">
        <v>29</v>
      </c>
      <c r="AC5879">
        <v>22.534199999999998</v>
      </c>
      <c r="AD5879">
        <v>2.8528359999999999</v>
      </c>
      <c r="AE5879">
        <v>-52.134569999999997</v>
      </c>
      <c r="AF5879">
        <v>-23.747718704378201</v>
      </c>
      <c r="AG5879">
        <v>2.8528359999999999</v>
      </c>
      <c r="AH5879">
        <v>51.4357216669435</v>
      </c>
      <c r="AI5879">
        <v>87.117242315562606</v>
      </c>
      <c r="AJ5879">
        <v>114.782628827647</v>
      </c>
      <c r="AK5879">
        <v>56.725005776151797</v>
      </c>
      <c r="AL5879">
        <v>87.930598939774598</v>
      </c>
      <c r="AM5879">
        <v>97.384188019046206</v>
      </c>
      <c r="AN5879">
        <v>1.0000000018709101</v>
      </c>
    </row>
    <row r="5880" spans="1:40" x14ac:dyDescent="0.25">
      <c r="A5880" t="str">
        <f>"20190312160452328"</f>
        <v>20190312160452328</v>
      </c>
      <c r="B5880" t="str">
        <f>"1552377892320689"</f>
        <v>1552377892320689</v>
      </c>
      <c r="C5880" t="s">
        <v>40</v>
      </c>
      <c r="D5880">
        <v>4.922949</v>
      </c>
      <c r="E5880">
        <v>0.38457400000000003</v>
      </c>
      <c r="F5880" t="s">
        <v>100</v>
      </c>
      <c r="G5880">
        <v>-399.98219999999998</v>
      </c>
      <c r="H5880">
        <v>3.930148</v>
      </c>
      <c r="I5880">
        <v>1.978008</v>
      </c>
      <c r="J5880">
        <v>-422.36759999999998</v>
      </c>
      <c r="K5880">
        <v>1.110125</v>
      </c>
      <c r="L5880">
        <v>53.880619999999901</v>
      </c>
      <c r="M5880">
        <v>-2.3835869999999999E-2</v>
      </c>
      <c r="N5880">
        <v>0</v>
      </c>
      <c r="O5880">
        <v>-0.99968590000000002</v>
      </c>
      <c r="P5880">
        <v>0.104614899999999</v>
      </c>
      <c r="Q5880">
        <v>2.866136E-2</v>
      </c>
      <c r="R5880">
        <v>-0.99410019999999999</v>
      </c>
      <c r="S5880">
        <v>1.237854</v>
      </c>
      <c r="T5880">
        <v>0.15597339999999901</v>
      </c>
      <c r="U5880">
        <v>-2.8836360000000001</v>
      </c>
      <c r="V5880">
        <v>-0.1283415</v>
      </c>
      <c r="W5880">
        <v>3.6156229999999998E-2</v>
      </c>
      <c r="X5880">
        <v>0.99107069999999997</v>
      </c>
      <c r="Y5880">
        <v>-0.41576960000000002</v>
      </c>
      <c r="Z5880">
        <v>-4.9370020000000001E-2</v>
      </c>
      <c r="AA5880">
        <v>0.90812899999999996</v>
      </c>
      <c r="AB5880">
        <v>29</v>
      </c>
      <c r="AC5880">
        <v>22.385400000000001</v>
      </c>
      <c r="AD5880">
        <v>2.8200229999999999</v>
      </c>
      <c r="AE5880">
        <v>-51.902611999999898</v>
      </c>
      <c r="AF5880">
        <v>-23.557584247018401</v>
      </c>
      <c r="AG5880">
        <v>2.8200229999999999</v>
      </c>
      <c r="AH5880">
        <v>51.226766608878101</v>
      </c>
      <c r="AI5880">
        <v>87.136754229044797</v>
      </c>
      <c r="AJ5880">
        <v>114.696218685663</v>
      </c>
      <c r="AK5880">
        <v>56.454352555638899</v>
      </c>
      <c r="AL5880">
        <v>87.927948938540396</v>
      </c>
      <c r="AM5880">
        <v>97.378615976359796</v>
      </c>
      <c r="AN5880">
        <v>0.99999997299427601</v>
      </c>
    </row>
    <row r="5881" spans="1:40" x14ac:dyDescent="0.25">
      <c r="A5881" t="str">
        <f>"20190312160452344"</f>
        <v>20190312160452344</v>
      </c>
      <c r="B5881" t="str">
        <f>"1552377892341186"</f>
        <v>1552377892341186</v>
      </c>
      <c r="C5881" t="s">
        <v>40</v>
      </c>
      <c r="D5881">
        <v>5.5298619999999996</v>
      </c>
      <c r="E5881">
        <v>0.38448739999999998</v>
      </c>
      <c r="F5881" t="s">
        <v>100</v>
      </c>
      <c r="G5881">
        <v>-400.21370000000002</v>
      </c>
      <c r="H5881">
        <v>3.8301249999999998</v>
      </c>
      <c r="I5881">
        <v>1.9756530000000001</v>
      </c>
      <c r="J5881">
        <v>-422.37189999999998</v>
      </c>
      <c r="K5881">
        <v>1.1101270000000001</v>
      </c>
      <c r="L5881">
        <v>53.6721199999999</v>
      </c>
      <c r="M5881">
        <v>-2.3193620000000002E-2</v>
      </c>
      <c r="N5881">
        <v>0</v>
      </c>
      <c r="O5881">
        <v>-0.9997009</v>
      </c>
      <c r="P5881">
        <v>0.10527300000000001</v>
      </c>
      <c r="Q5881">
        <v>2.895611E-2</v>
      </c>
      <c r="R5881">
        <v>-0.99402219999999997</v>
      </c>
      <c r="S5881">
        <v>1.230896</v>
      </c>
      <c r="T5881">
        <v>0.15112539999999999</v>
      </c>
      <c r="U5881">
        <v>-2.8839109999999999</v>
      </c>
      <c r="V5881">
        <v>-0.1283609</v>
      </c>
      <c r="W5881">
        <v>3.6456919999999997E-2</v>
      </c>
      <c r="X5881">
        <v>0.99105719999999997</v>
      </c>
      <c r="Y5881">
        <v>-0.41332930000000001</v>
      </c>
      <c r="Z5881">
        <v>-4.7885980000000002E-2</v>
      </c>
      <c r="AA5881">
        <v>0.90932159999999995</v>
      </c>
      <c r="AB5881">
        <v>29</v>
      </c>
      <c r="AC5881">
        <v>22.158199999999901</v>
      </c>
      <c r="AD5881">
        <v>2.7199979999999901</v>
      </c>
      <c r="AE5881">
        <v>-51.696466999999899</v>
      </c>
      <c r="AF5881">
        <v>-23.296819746788099</v>
      </c>
      <c r="AG5881">
        <v>2.7199979999999901</v>
      </c>
      <c r="AH5881">
        <v>51.049228051239702</v>
      </c>
      <c r="AI5881">
        <v>87.224883226758493</v>
      </c>
      <c r="AJ5881">
        <v>114.530053749236</v>
      </c>
      <c r="AK5881">
        <v>56.1797462085921</v>
      </c>
      <c r="AL5881">
        <v>87.910709361803299</v>
      </c>
      <c r="AM5881">
        <v>97.379818445594594</v>
      </c>
      <c r="AN5881">
        <v>1.0000000006682599</v>
      </c>
    </row>
    <row r="5882" spans="1:40" x14ac:dyDescent="0.25">
      <c r="A5882" t="str">
        <f>"20190312160452366"</f>
        <v>20190312160452366</v>
      </c>
      <c r="B5882" t="str">
        <f>"1552377892360706"</f>
        <v>1552377892360706</v>
      </c>
      <c r="C5882" t="s">
        <v>40</v>
      </c>
      <c r="D5882">
        <v>5.8590299999999997</v>
      </c>
      <c r="E5882">
        <v>0.38436369999999997</v>
      </c>
      <c r="F5882" t="s">
        <v>100</v>
      </c>
      <c r="G5882">
        <v>-400.2577</v>
      </c>
      <c r="H5882">
        <v>3.7988689999999998</v>
      </c>
      <c r="I5882">
        <v>1.975204</v>
      </c>
      <c r="J5882">
        <v>-422.3777</v>
      </c>
      <c r="K5882">
        <v>1.110128</v>
      </c>
      <c r="L5882">
        <v>53.38156</v>
      </c>
      <c r="M5882">
        <v>-2.2298729999999999E-2</v>
      </c>
      <c r="N5882">
        <v>0</v>
      </c>
      <c r="O5882">
        <v>-0.99972119999999998</v>
      </c>
      <c r="P5882">
        <v>0.1059155</v>
      </c>
      <c r="Q5882">
        <v>2.8756879999999999E-2</v>
      </c>
      <c r="R5882">
        <v>-0.99395929999999999</v>
      </c>
      <c r="S5882">
        <v>1.233276</v>
      </c>
      <c r="T5882">
        <v>0.14994549999999901</v>
      </c>
      <c r="U5882">
        <v>-2.883057</v>
      </c>
      <c r="V5882">
        <v>-0.1281146</v>
      </c>
      <c r="W5882">
        <v>3.6266310000000003E-2</v>
      </c>
      <c r="X5882">
        <v>0.99109610000000004</v>
      </c>
      <c r="Y5882">
        <v>-0.41325339999999999</v>
      </c>
      <c r="Z5882">
        <v>-4.7520970000000003E-2</v>
      </c>
      <c r="AA5882">
        <v>0.9093753</v>
      </c>
      <c r="AB5882">
        <v>29</v>
      </c>
      <c r="AC5882">
        <v>22.12</v>
      </c>
      <c r="AD5882">
        <v>2.6887409999999998</v>
      </c>
      <c r="AE5882">
        <v>-51.406356000000002</v>
      </c>
      <c r="AF5882">
        <v>-23.2072616755338</v>
      </c>
      <c r="AG5882">
        <v>2.6887409999999998</v>
      </c>
      <c r="AH5882">
        <v>50.783088668913699</v>
      </c>
      <c r="AI5882">
        <v>87.243023471513695</v>
      </c>
      <c r="AJ5882">
        <v>114.55983150523601</v>
      </c>
      <c r="AK5882">
        <v>55.899270276064698</v>
      </c>
      <c r="AL5882">
        <v>87.921637814313002</v>
      </c>
      <c r="AM5882">
        <v>97.365527709459897</v>
      </c>
      <c r="AN5882">
        <v>1.00000003770469</v>
      </c>
    </row>
    <row r="5883" spans="1:40" x14ac:dyDescent="0.25">
      <c r="A5883" t="str">
        <f>"20190312160452382"</f>
        <v>20190312160452382</v>
      </c>
      <c r="B5883" t="str">
        <f>"1552377892371441"</f>
        <v>1552377892371441</v>
      </c>
      <c r="C5883" t="s">
        <v>40</v>
      </c>
      <c r="D5883">
        <v>9.9085289999999997</v>
      </c>
      <c r="E5883">
        <v>0.38423119999999999</v>
      </c>
      <c r="F5883" t="s">
        <v>100</v>
      </c>
      <c r="G5883">
        <v>-400.32150000000001</v>
      </c>
      <c r="H5883">
        <v>3.8000259999999999</v>
      </c>
      <c r="I5883">
        <v>1.9745600000000001</v>
      </c>
      <c r="J5883">
        <v>-422.38170000000002</v>
      </c>
      <c r="K5883">
        <v>1.1101299999999901</v>
      </c>
      <c r="L5883">
        <v>53.175600000000003</v>
      </c>
      <c r="M5883">
        <v>-2.166475E-2</v>
      </c>
      <c r="N5883">
        <v>0</v>
      </c>
      <c r="O5883">
        <v>-0.99973500000000004</v>
      </c>
      <c r="P5883">
        <v>0.1066587</v>
      </c>
      <c r="Q5883">
        <v>2.9003910000000001E-2</v>
      </c>
      <c r="R5883">
        <v>-0.99387300000000001</v>
      </c>
      <c r="S5883">
        <v>1.236572</v>
      </c>
      <c r="T5883">
        <v>0.15080639999999901</v>
      </c>
      <c r="U5883">
        <v>-2.8821110000000001</v>
      </c>
      <c r="V5883">
        <v>-0.1282278</v>
      </c>
      <c r="W5883">
        <v>3.6522199999999998E-2</v>
      </c>
      <c r="X5883">
        <v>0.99107199999999995</v>
      </c>
      <c r="Y5883">
        <v>-0.41365740000000001</v>
      </c>
      <c r="Z5883">
        <v>-4.779369E-2</v>
      </c>
      <c r="AA5883">
        <v>0.90917720000000002</v>
      </c>
      <c r="AB5883">
        <v>29</v>
      </c>
      <c r="AC5883">
        <v>22.060199999999998</v>
      </c>
      <c r="AD5883">
        <v>2.6898960000000001</v>
      </c>
      <c r="AE5883">
        <v>-51.201039999999999</v>
      </c>
      <c r="AF5883">
        <v>-23.1105146005366</v>
      </c>
      <c r="AG5883">
        <v>2.6898960000000001</v>
      </c>
      <c r="AH5883">
        <v>50.593303205545602</v>
      </c>
      <c r="AI5883">
        <v>87.231303775397805</v>
      </c>
      <c r="AJ5883">
        <v>114.550446189442</v>
      </c>
      <c r="AK5883">
        <v>55.686746671364297</v>
      </c>
      <c r="AL5883">
        <v>87.906966545940605</v>
      </c>
      <c r="AM5883">
        <v>97.372141506610802</v>
      </c>
      <c r="AN5883">
        <v>0.99999997448483902</v>
      </c>
    </row>
    <row r="5884" spans="1:40" x14ac:dyDescent="0.25">
      <c r="A5884" t="str">
        <f>"20190312160452394"</f>
        <v>20190312160452394</v>
      </c>
      <c r="B5884" t="str">
        <f>"1552377892390961"</f>
        <v>1552377892390961</v>
      </c>
      <c r="C5884" t="s">
        <v>40</v>
      </c>
      <c r="D5884">
        <v>5.4935769999999904</v>
      </c>
      <c r="E5884">
        <v>0.38456669999999998</v>
      </c>
      <c r="F5884" t="s">
        <v>100</v>
      </c>
      <c r="G5884">
        <v>-400.35019999999997</v>
      </c>
      <c r="H5884">
        <v>3.8026140000000002</v>
      </c>
      <c r="I5884">
        <v>1.974262</v>
      </c>
      <c r="J5884">
        <v>-422.38490000000002</v>
      </c>
      <c r="K5884">
        <v>1.1101319999999999</v>
      </c>
      <c r="L5884">
        <v>53.00656</v>
      </c>
      <c r="M5884">
        <v>-2.1144530000000002E-2</v>
      </c>
      <c r="N5884">
        <v>0</v>
      </c>
      <c r="O5884">
        <v>-0.99974620000000003</v>
      </c>
      <c r="P5884">
        <v>0.107389</v>
      </c>
      <c r="Q5884">
        <v>2.8802169999999998E-2</v>
      </c>
      <c r="R5884">
        <v>-0.99380009999999996</v>
      </c>
      <c r="S5884">
        <v>1.2396849999999999</v>
      </c>
      <c r="T5884">
        <v>0.15150150000000001</v>
      </c>
      <c r="U5884">
        <v>-2.8810419999999999</v>
      </c>
      <c r="V5884">
        <v>-0.12844040000000001</v>
      </c>
      <c r="W5884">
        <v>3.6328720000000002E-2</v>
      </c>
      <c r="X5884">
        <v>0.99105160000000003</v>
      </c>
      <c r="Y5884">
        <v>-0.41413090000000002</v>
      </c>
      <c r="Z5884">
        <v>-4.8015389999999998E-2</v>
      </c>
      <c r="AA5884">
        <v>0.90895000000000004</v>
      </c>
      <c r="AB5884">
        <v>29</v>
      </c>
      <c r="AC5884">
        <v>22.034700000000001</v>
      </c>
      <c r="AD5884">
        <v>2.692482</v>
      </c>
      <c r="AE5884">
        <v>-51.032297999999997</v>
      </c>
      <c r="AF5884">
        <v>-23.0547680018127</v>
      </c>
      <c r="AG5884">
        <v>2.692482</v>
      </c>
      <c r="AH5884">
        <v>50.436624239625502</v>
      </c>
      <c r="AI5884">
        <v>87.220379709607997</v>
      </c>
      <c r="AJ5884">
        <v>114.56531598311901</v>
      </c>
      <c r="AK5884">
        <v>55.5213909374298</v>
      </c>
      <c r="AL5884">
        <v>87.9180595339257</v>
      </c>
      <c r="AM5884">
        <v>97.384379952376506</v>
      </c>
      <c r="AN5884">
        <v>0.99999999305577902</v>
      </c>
    </row>
    <row r="5885" spans="1:40" x14ac:dyDescent="0.25">
      <c r="A5885" t="str">
        <f>"20190312160452407"</f>
        <v>20190312160452407</v>
      </c>
      <c r="B5885" t="str">
        <f>"1552377892400721"</f>
        <v>1552377892400721</v>
      </c>
      <c r="C5885" t="s">
        <v>40</v>
      </c>
      <c r="D5885">
        <v>5.678903</v>
      </c>
      <c r="E5885">
        <v>0.38456669999999998</v>
      </c>
      <c r="F5885" t="s">
        <v>100</v>
      </c>
      <c r="G5885">
        <v>-400.43259999999998</v>
      </c>
      <c r="H5885">
        <v>3.7463549999999999</v>
      </c>
      <c r="I5885">
        <v>1.973425</v>
      </c>
      <c r="J5885">
        <v>-422.3879</v>
      </c>
      <c r="K5885">
        <v>1.1101319999999999</v>
      </c>
      <c r="L5885">
        <v>52.836550000000003</v>
      </c>
      <c r="M5885">
        <v>-2.062137E-2</v>
      </c>
      <c r="N5885">
        <v>0</v>
      </c>
      <c r="O5885">
        <v>-0.99975689999999995</v>
      </c>
      <c r="P5885">
        <v>0.1079751</v>
      </c>
      <c r="Q5885">
        <v>2.837303E-2</v>
      </c>
      <c r="R5885">
        <v>-0.99374870000000004</v>
      </c>
      <c r="S5885">
        <v>1.2390749999999999</v>
      </c>
      <c r="T5885">
        <v>0.14879800000000001</v>
      </c>
      <c r="U5885">
        <v>-2.8805239999999999</v>
      </c>
      <c r="V5885">
        <v>-0.12850619999999999</v>
      </c>
      <c r="W5885">
        <v>3.5908919999999997E-2</v>
      </c>
      <c r="X5885">
        <v>0.99105840000000001</v>
      </c>
      <c r="Y5885">
        <v>-0.41356730000000003</v>
      </c>
      <c r="Z5885">
        <v>-4.7177480000000001E-2</v>
      </c>
      <c r="AA5885">
        <v>0.90925040000000001</v>
      </c>
      <c r="AB5885">
        <v>29</v>
      </c>
      <c r="AC5885">
        <v>21.955300000000001</v>
      </c>
      <c r="AD5885">
        <v>2.63622299999999</v>
      </c>
      <c r="AE5885">
        <v>-50.863124999999997</v>
      </c>
      <c r="AF5885">
        <v>-22.947567724237299</v>
      </c>
      <c r="AG5885">
        <v>2.63622299999999</v>
      </c>
      <c r="AH5885">
        <v>50.285679308159402</v>
      </c>
      <c r="AI5885">
        <v>87.269431259872505</v>
      </c>
      <c r="AJ5885">
        <v>114.529300272651</v>
      </c>
      <c r="AK5885">
        <v>55.337058827220297</v>
      </c>
      <c r="AL5885">
        <v>87.942128068965502</v>
      </c>
      <c r="AM5885">
        <v>97.388071052212695</v>
      </c>
      <c r="AN5885">
        <v>1.0000000230922801</v>
      </c>
    </row>
    <row r="5886" spans="1:40" x14ac:dyDescent="0.25">
      <c r="A5886" t="str">
        <f>"20190312160452421"</f>
        <v>20190312160452421</v>
      </c>
      <c r="B5886" t="str">
        <f>"1552377892411458"</f>
        <v>1552377892411458</v>
      </c>
      <c r="C5886" t="s">
        <v>40</v>
      </c>
      <c r="D5886">
        <v>5.6085339999999997</v>
      </c>
      <c r="E5886">
        <v>0.44029069999999998</v>
      </c>
      <c r="F5886" t="s">
        <v>100</v>
      </c>
      <c r="G5886">
        <v>-400.47500000000002</v>
      </c>
      <c r="H5886">
        <v>3.716065</v>
      </c>
      <c r="I5886">
        <v>1.972998</v>
      </c>
      <c r="J5886">
        <v>-422.39109999999999</v>
      </c>
      <c r="K5886">
        <v>1.1101240000000001</v>
      </c>
      <c r="L5886">
        <v>52.653440000000003</v>
      </c>
      <c r="M5886">
        <v>-2.0058469999999998E-2</v>
      </c>
      <c r="N5886">
        <v>0</v>
      </c>
      <c r="O5886">
        <v>-0.9997684</v>
      </c>
      <c r="P5886">
        <v>0.1081073</v>
      </c>
      <c r="Q5886">
        <v>2.7854029999999998E-2</v>
      </c>
      <c r="R5886">
        <v>-0.99374910000000005</v>
      </c>
      <c r="S5886">
        <v>1.2406919999999999</v>
      </c>
      <c r="T5886">
        <v>0.14754410000000001</v>
      </c>
      <c r="U5886">
        <v>-2.8798520000000001</v>
      </c>
      <c r="V5886">
        <v>-0.12807939999999901</v>
      </c>
      <c r="W5886">
        <v>3.5401879999999997E-2</v>
      </c>
      <c r="X5886">
        <v>0.99113180000000001</v>
      </c>
      <c r="Y5886">
        <v>-0.41356989999999999</v>
      </c>
      <c r="Z5886">
        <v>-4.6786750000000002E-2</v>
      </c>
      <c r="AA5886">
        <v>0.90926949999999995</v>
      </c>
      <c r="AB5886">
        <v>29</v>
      </c>
      <c r="AC5886">
        <v>21.916099999999901</v>
      </c>
      <c r="AD5886">
        <v>2.6059410000000001</v>
      </c>
      <c r="AE5886">
        <v>-50.680441999999999</v>
      </c>
      <c r="AF5886">
        <v>-22.877336598328899</v>
      </c>
      <c r="AG5886">
        <v>2.6059410000000001</v>
      </c>
      <c r="AH5886">
        <v>50.118993380988599</v>
      </c>
      <c r="AI5886">
        <v>87.2919054251566</v>
      </c>
      <c r="AJ5886">
        <v>114.53482085631801</v>
      </c>
      <c r="AK5886">
        <v>55.155026569228497</v>
      </c>
      <c r="AL5886">
        <v>87.971197626812994</v>
      </c>
      <c r="AM5886">
        <v>97.363263894894899</v>
      </c>
      <c r="AN5886">
        <v>0.99999993539156495</v>
      </c>
    </row>
    <row r="5887" spans="1:40" x14ac:dyDescent="0.25">
      <c r="A5887" t="str">
        <f>"20190312160452434"</f>
        <v>20190312160452434</v>
      </c>
      <c r="B5887" t="str">
        <f>"1552377892430977"</f>
        <v>1552377892430977</v>
      </c>
      <c r="C5887" t="s">
        <v>40</v>
      </c>
      <c r="D5887">
        <v>5.7300129999999996</v>
      </c>
      <c r="E5887">
        <v>0.46255600000000002</v>
      </c>
      <c r="F5887" t="s">
        <v>100</v>
      </c>
      <c r="G5887">
        <v>-408.15440000000001</v>
      </c>
      <c r="H5887">
        <v>4.4461909999999998</v>
      </c>
      <c r="I5887">
        <v>0.59786989999999995</v>
      </c>
      <c r="J5887">
        <v>-422.39400000000001</v>
      </c>
      <c r="K5887">
        <v>1.110125</v>
      </c>
      <c r="L5887">
        <v>52.486939999999997</v>
      </c>
      <c r="M5887">
        <v>-1.9546419999999998E-2</v>
      </c>
      <c r="N5887">
        <v>0</v>
      </c>
      <c r="O5887">
        <v>-0.99977839999999996</v>
      </c>
      <c r="P5887">
        <v>0.10799930000000001</v>
      </c>
      <c r="Q5887">
        <v>2.6658109999999999E-2</v>
      </c>
      <c r="R5887">
        <v>-0.99379379999999995</v>
      </c>
      <c r="S5887">
        <v>0.80038450000000005</v>
      </c>
      <c r="T5887">
        <v>0.18755089999999999</v>
      </c>
      <c r="U5887">
        <v>-2.9265439999999998</v>
      </c>
      <c r="V5887">
        <v>-0.12746269999999901</v>
      </c>
      <c r="W5887">
        <v>3.4219090000000001E-2</v>
      </c>
      <c r="X5887">
        <v>0.99125289999999999</v>
      </c>
      <c r="Y5887">
        <v>-0.2821071</v>
      </c>
      <c r="Z5887">
        <v>-6.1512629999999999E-2</v>
      </c>
      <c r="AA5887">
        <v>0.95740890000000001</v>
      </c>
      <c r="AB5887">
        <v>29</v>
      </c>
      <c r="AC5887">
        <v>14.2395999999999</v>
      </c>
      <c r="AD5887">
        <v>3.3360660000000002</v>
      </c>
      <c r="AE5887">
        <v>-51.889070099999998</v>
      </c>
      <c r="AF5887">
        <v>-15.192754812921301</v>
      </c>
      <c r="AG5887">
        <v>3.3360660000000002</v>
      </c>
      <c r="AH5887">
        <v>51.403219954015597</v>
      </c>
      <c r="AI5887">
        <v>86.438595912145104</v>
      </c>
      <c r="AJ5887">
        <v>106.465591265982</v>
      </c>
      <c r="AK5887">
        <v>53.705122258522103</v>
      </c>
      <c r="AL5887">
        <v>88.039007732275195</v>
      </c>
      <c r="AM5887">
        <v>97.327310673680202</v>
      </c>
      <c r="AN5887">
        <v>0.99999999888506397</v>
      </c>
    </row>
    <row r="5888" spans="1:40" x14ac:dyDescent="0.25">
      <c r="A5888" t="str">
        <f>"20190312160452456"</f>
        <v>20190312160452456</v>
      </c>
      <c r="B5888" t="str">
        <f>"1552377892451474"</f>
        <v>1552377892451474</v>
      </c>
      <c r="C5888" t="s">
        <v>40</v>
      </c>
      <c r="D5888">
        <v>5.6981460000000004</v>
      </c>
      <c r="E5888">
        <v>0.47096709999999897</v>
      </c>
      <c r="F5888" t="s">
        <v>100</v>
      </c>
      <c r="G5888">
        <v>-411.4033</v>
      </c>
      <c r="H5888">
        <v>4.8659530000000002</v>
      </c>
      <c r="I5888">
        <v>0.56483079999999997</v>
      </c>
      <c r="J5888">
        <v>-422.39870000000002</v>
      </c>
      <c r="K5888">
        <v>1.1101319999999999</v>
      </c>
      <c r="L5888">
        <v>52.200099999999999</v>
      </c>
      <c r="M5888">
        <v>-1.8663510000000001E-2</v>
      </c>
      <c r="N5888">
        <v>0</v>
      </c>
      <c r="O5888">
        <v>-0.99979490000000004</v>
      </c>
      <c r="P5888">
        <v>0.10819239999999999</v>
      </c>
      <c r="Q5888">
        <v>2.6201289999999999E-2</v>
      </c>
      <c r="R5888">
        <v>-0.99378469999999997</v>
      </c>
      <c r="S5888">
        <v>0.62344359999999999</v>
      </c>
      <c r="T5888">
        <v>0.21304799999999999</v>
      </c>
      <c r="U5888">
        <v>-2.9452820000000002</v>
      </c>
      <c r="V5888">
        <v>-0.12677959999999999</v>
      </c>
      <c r="W5888">
        <v>3.3788749999999999E-2</v>
      </c>
      <c r="X5888">
        <v>0.99135519999999999</v>
      </c>
      <c r="Y5888">
        <v>-0.2247953</v>
      </c>
      <c r="Z5888">
        <v>-7.0428299999999999E-2</v>
      </c>
      <c r="AA5888">
        <v>0.97185750000000004</v>
      </c>
      <c r="AB5888">
        <v>29</v>
      </c>
      <c r="AC5888">
        <v>10.9954</v>
      </c>
      <c r="AD5888">
        <v>3.7558210000000001</v>
      </c>
      <c r="AE5888">
        <v>-51.635269200000003</v>
      </c>
      <c r="AF5888">
        <v>-11.896996280516699</v>
      </c>
      <c r="AG5888">
        <v>3.7558210000000001</v>
      </c>
      <c r="AH5888">
        <v>51.162111875546799</v>
      </c>
      <c r="AI5888">
        <v>85.910169681120706</v>
      </c>
      <c r="AJ5888">
        <v>103.09065079160101</v>
      </c>
      <c r="AK5888">
        <v>52.661241947457299</v>
      </c>
      <c r="AL5888">
        <v>88.063678550594602</v>
      </c>
      <c r="AM5888">
        <v>97.287721389495502</v>
      </c>
      <c r="AN5888">
        <v>0.99999993958487898</v>
      </c>
    </row>
    <row r="5889" spans="1:40" x14ac:dyDescent="0.25">
      <c r="A5889" t="str">
        <f>"20190312160452478"</f>
        <v>20190312160452478</v>
      </c>
      <c r="B5889" t="str">
        <f>"1552377892470993"</f>
        <v>1552377892470993</v>
      </c>
      <c r="C5889" t="s">
        <v>40</v>
      </c>
      <c r="D5889">
        <v>5.6411809999999996</v>
      </c>
      <c r="E5889">
        <v>0.47577979999999997</v>
      </c>
      <c r="F5889" t="s">
        <v>100</v>
      </c>
      <c r="G5889">
        <v>-412.64589999999998</v>
      </c>
      <c r="H5889">
        <v>5.0117839999999996</v>
      </c>
      <c r="I5889">
        <v>0.55219269999999998</v>
      </c>
      <c r="J5889">
        <v>-422.4033</v>
      </c>
      <c r="K5889">
        <v>1.110142</v>
      </c>
      <c r="L5889">
        <v>51.905760000000001</v>
      </c>
      <c r="M5889">
        <v>-1.7754269999999999E-2</v>
      </c>
      <c r="N5889">
        <v>0</v>
      </c>
      <c r="O5889">
        <v>-0.99981109999999895</v>
      </c>
      <c r="P5889">
        <v>0.10871649999999999</v>
      </c>
      <c r="Q5889">
        <v>2.5792160000000001E-2</v>
      </c>
      <c r="R5889">
        <v>-0.99373820000000002</v>
      </c>
      <c r="S5889">
        <v>0.55746459999999998</v>
      </c>
      <c r="T5889">
        <v>0.22301570000000001</v>
      </c>
      <c r="U5889">
        <v>-2.9521790000000001</v>
      </c>
      <c r="V5889">
        <v>-0.1264006</v>
      </c>
      <c r="W5889">
        <v>3.3413690000000003E-2</v>
      </c>
      <c r="X5889">
        <v>0.99141630000000003</v>
      </c>
      <c r="Y5889">
        <v>-0.202462</v>
      </c>
      <c r="Z5889">
        <v>-7.3880940000000006E-2</v>
      </c>
      <c r="AA5889">
        <v>0.97649929999999996</v>
      </c>
      <c r="AB5889">
        <v>30</v>
      </c>
      <c r="AC5889">
        <v>9.7574000000000094</v>
      </c>
      <c r="AD5889">
        <v>3.9016419999999998</v>
      </c>
      <c r="AE5889">
        <v>-51.353567299999902</v>
      </c>
      <c r="AF5889">
        <v>-10.608532965656</v>
      </c>
      <c r="AG5889">
        <v>3.9016419999999998</v>
      </c>
      <c r="AH5889">
        <v>50.888718685320796</v>
      </c>
      <c r="AI5889">
        <v>85.707626101121093</v>
      </c>
      <c r="AJ5889">
        <v>101.775536385097</v>
      </c>
      <c r="AK5889">
        <v>52.128931232217802</v>
      </c>
      <c r="AL5889">
        <v>88.085180036200697</v>
      </c>
      <c r="AM5889">
        <v>97.265725346699597</v>
      </c>
      <c r="AN5889">
        <v>0.99999993313272995</v>
      </c>
    </row>
    <row r="5890" spans="1:40" x14ac:dyDescent="0.25">
      <c r="A5890" t="str">
        <f>"20190312160452493"</f>
        <v>20190312160452493</v>
      </c>
      <c r="B5890" t="str">
        <f>"1552377892480754"</f>
        <v>1552377892480754</v>
      </c>
      <c r="C5890" t="s">
        <v>40</v>
      </c>
      <c r="D5890">
        <v>5.9147379999999998</v>
      </c>
      <c r="E5890">
        <v>0.47720040000000002</v>
      </c>
      <c r="F5890" t="s">
        <v>100</v>
      </c>
      <c r="G5890">
        <v>-413.34620000000001</v>
      </c>
      <c r="H5890">
        <v>5.0186549999999999</v>
      </c>
      <c r="I5890">
        <v>0.54507059999999996</v>
      </c>
      <c r="J5890">
        <v>-422.40609999999998</v>
      </c>
      <c r="K5890">
        <v>1.1101479999999999</v>
      </c>
      <c r="L5890">
        <v>51.713439999999999</v>
      </c>
      <c r="M5890">
        <v>-1.7155719999999999E-2</v>
      </c>
      <c r="N5890">
        <v>0</v>
      </c>
      <c r="O5890">
        <v>-0.99982159999999998</v>
      </c>
      <c r="P5890">
        <v>0.10933909999999999</v>
      </c>
      <c r="Q5890">
        <v>2.5822640000000001E-2</v>
      </c>
      <c r="R5890">
        <v>-0.99366960000000004</v>
      </c>
      <c r="S5890">
        <v>0.52127079999999903</v>
      </c>
      <c r="T5890">
        <v>0.2249497</v>
      </c>
      <c r="U5890">
        <v>-2.9560240000000002</v>
      </c>
      <c r="V5890">
        <v>-0.12642880000000001</v>
      </c>
      <c r="W5890">
        <v>3.3471830000000001E-2</v>
      </c>
      <c r="X5890">
        <v>0.99141080000000004</v>
      </c>
      <c r="Y5890">
        <v>-0.19004799999999999</v>
      </c>
      <c r="Z5890">
        <v>-7.4598769999999995E-2</v>
      </c>
      <c r="AA5890">
        <v>0.97893660000000005</v>
      </c>
      <c r="AB5890">
        <v>30</v>
      </c>
      <c r="AC5890">
        <v>9.0598999999999705</v>
      </c>
      <c r="AD5890">
        <v>3.9085070000000002</v>
      </c>
      <c r="AE5890">
        <v>-51.168369399999897</v>
      </c>
      <c r="AF5890">
        <v>-9.8805266880133402</v>
      </c>
      <c r="AG5890">
        <v>3.9085070000000002</v>
      </c>
      <c r="AH5890">
        <v>50.718472802248201</v>
      </c>
      <c r="AI5890">
        <v>85.674337638084907</v>
      </c>
      <c r="AJ5890">
        <v>101.02378760740299</v>
      </c>
      <c r="AK5890">
        <v>51.819539924568801</v>
      </c>
      <c r="AL5890">
        <v>88.081847103349702</v>
      </c>
      <c r="AM5890">
        <v>97.267368889157396</v>
      </c>
      <c r="AN5890">
        <v>0.99999998961481396</v>
      </c>
    </row>
    <row r="5891" spans="1:40" x14ac:dyDescent="0.25">
      <c r="A5891" t="str">
        <f>"20190312160452506"</f>
        <v>20190312160452506</v>
      </c>
      <c r="B5891" t="str">
        <f>"1552377892501250"</f>
        <v>1552377892501250</v>
      </c>
      <c r="C5891" t="s">
        <v>40</v>
      </c>
      <c r="D5891">
        <v>5.702534</v>
      </c>
      <c r="E5891">
        <v>0.47858630000000002</v>
      </c>
      <c r="F5891" t="s">
        <v>100</v>
      </c>
      <c r="G5891">
        <v>-413.5455</v>
      </c>
      <c r="H5891">
        <v>4.9822410000000001</v>
      </c>
      <c r="I5891">
        <v>0.543045</v>
      </c>
      <c r="J5891">
        <v>-422.40859999999998</v>
      </c>
      <c r="K5891">
        <v>1.1101589999999999</v>
      </c>
      <c r="L5891">
        <v>51.540309999999998</v>
      </c>
      <c r="M5891">
        <v>-1.6613320000000001E-2</v>
      </c>
      <c r="N5891">
        <v>0</v>
      </c>
      <c r="O5891">
        <v>-0.9998302</v>
      </c>
      <c r="P5891">
        <v>0.1098793</v>
      </c>
      <c r="Q5891">
        <v>2.5328239999999998E-2</v>
      </c>
      <c r="R5891">
        <v>-0.99362249999999996</v>
      </c>
      <c r="S5891">
        <v>0.51202389999999998</v>
      </c>
      <c r="T5891">
        <v>0.22375400000000001</v>
      </c>
      <c r="U5891">
        <v>-2.9569700000000001</v>
      </c>
      <c r="V5891">
        <v>-0.12642980000000001</v>
      </c>
      <c r="W5891">
        <v>3.3007170000000002E-2</v>
      </c>
      <c r="X5891">
        <v>0.99142629999999998</v>
      </c>
      <c r="Y5891">
        <v>-0.18649479999999999</v>
      </c>
      <c r="Z5891">
        <v>-7.4227500000000002E-2</v>
      </c>
      <c r="AA5891">
        <v>0.97964790000000002</v>
      </c>
      <c r="AB5891">
        <v>30</v>
      </c>
      <c r="AC5891">
        <v>8.8630999999999691</v>
      </c>
      <c r="AD5891">
        <v>3.8720819999999998</v>
      </c>
      <c r="AE5891">
        <v>-50.997264999999999</v>
      </c>
      <c r="AF5891">
        <v>-9.6551082924425007</v>
      </c>
      <c r="AG5891">
        <v>3.8720819999999998</v>
      </c>
      <c r="AH5891">
        <v>50.560046077017098</v>
      </c>
      <c r="AI5891">
        <v>85.698055467381494</v>
      </c>
      <c r="AJ5891">
        <v>100.811222225672</v>
      </c>
      <c r="AK5891">
        <v>51.619108811210602</v>
      </c>
      <c r="AL5891">
        <v>88.108484971897198</v>
      </c>
      <c r="AM5891">
        <v>97.2673133519814</v>
      </c>
      <c r="AN5891">
        <v>1.00000003796556</v>
      </c>
    </row>
    <row r="5892" spans="1:40" x14ac:dyDescent="0.25">
      <c r="A5892" t="str">
        <f>"20190312160452519"</f>
        <v>20190312160452519</v>
      </c>
      <c r="B5892" t="str">
        <f>"1552377892511010"</f>
        <v>1552377892511010</v>
      </c>
      <c r="C5892" t="s">
        <v>40</v>
      </c>
      <c r="D5892">
        <v>5.7052399999999999</v>
      </c>
      <c r="E5892">
        <v>0.4795507</v>
      </c>
      <c r="F5892" t="s">
        <v>100</v>
      </c>
      <c r="G5892">
        <v>-413.75049999999999</v>
      </c>
      <c r="H5892">
        <v>4.8958690000000002</v>
      </c>
      <c r="I5892">
        <v>0.54096029999999995</v>
      </c>
      <c r="J5892">
        <v>-422.41090000000003</v>
      </c>
      <c r="K5892">
        <v>1.110174</v>
      </c>
      <c r="L5892">
        <v>51.365169999999999</v>
      </c>
      <c r="M5892">
        <v>-1.605467E-2</v>
      </c>
      <c r="N5892">
        <v>0</v>
      </c>
      <c r="O5892">
        <v>-0.99983909999999998</v>
      </c>
      <c r="P5892">
        <v>0.1103536</v>
      </c>
      <c r="Q5892">
        <v>2.5228520000000001E-2</v>
      </c>
      <c r="R5892">
        <v>-0.99357229999999996</v>
      </c>
      <c r="S5892">
        <v>0.50219729999999996</v>
      </c>
      <c r="T5892">
        <v>0.21958179999999999</v>
      </c>
      <c r="U5892">
        <v>-2.9581300000000001</v>
      </c>
      <c r="V5892">
        <v>-0.12635009999999999</v>
      </c>
      <c r="W5892">
        <v>3.294474E-2</v>
      </c>
      <c r="X5892">
        <v>0.9914385</v>
      </c>
      <c r="Y5892">
        <v>-0.18273539999999999</v>
      </c>
      <c r="Z5892">
        <v>-7.287014E-2</v>
      </c>
      <c r="AA5892">
        <v>0.98045789999999999</v>
      </c>
      <c r="AB5892">
        <v>30</v>
      </c>
      <c r="AC5892">
        <v>8.6604000000000294</v>
      </c>
      <c r="AD5892">
        <v>3.785695</v>
      </c>
      <c r="AE5892">
        <v>-50.824209699999997</v>
      </c>
      <c r="AF5892">
        <v>-9.4244626292214999</v>
      </c>
      <c r="AG5892">
        <v>3.785695</v>
      </c>
      <c r="AH5892">
        <v>50.406839866061702</v>
      </c>
      <c r="AI5892">
        <v>85.777880429142996</v>
      </c>
      <c r="AJ5892">
        <v>100.59020256043399</v>
      </c>
      <c r="AK5892">
        <v>51.4198549955697</v>
      </c>
      <c r="AL5892">
        <v>88.112063824769606</v>
      </c>
      <c r="AM5892">
        <v>97.262692629959702</v>
      </c>
      <c r="AN5892">
        <v>1.00000000147296</v>
      </c>
    </row>
    <row r="5893" spans="1:40" x14ac:dyDescent="0.25">
      <c r="A5893" t="str">
        <f>"20190312160452535"</f>
        <v>20190312160452535</v>
      </c>
      <c r="B5893" t="str">
        <f>"1552377892531506"</f>
        <v>1552377892531506</v>
      </c>
      <c r="C5893" t="s">
        <v>40</v>
      </c>
      <c r="D5893">
        <v>5.5544279999999997</v>
      </c>
      <c r="E5893">
        <v>0.48017609999999999</v>
      </c>
      <c r="F5893" t="s">
        <v>100</v>
      </c>
      <c r="G5893">
        <v>-413.89019999999999</v>
      </c>
      <c r="H5893">
        <v>4.8471019999999996</v>
      </c>
      <c r="I5893">
        <v>0.53953930000000005</v>
      </c>
      <c r="J5893">
        <v>-422.41359999999997</v>
      </c>
      <c r="K5893">
        <v>1.1102019999999999</v>
      </c>
      <c r="L5893">
        <v>51.158909999999999</v>
      </c>
      <c r="M5893">
        <v>-1.5384510000000001E-2</v>
      </c>
      <c r="N5893">
        <v>0</v>
      </c>
      <c r="O5893">
        <v>-0.99984910000000005</v>
      </c>
      <c r="P5893">
        <v>0.11083610000000001</v>
      </c>
      <c r="Q5893">
        <v>2.4874770000000001E-2</v>
      </c>
      <c r="R5893">
        <v>-0.9935273</v>
      </c>
      <c r="S5893">
        <v>0.49603269999999999</v>
      </c>
      <c r="T5893">
        <v>0.2175426</v>
      </c>
      <c r="U5893">
        <v>-2.9588009999999998</v>
      </c>
      <c r="V5893">
        <v>-0.12616740000000001</v>
      </c>
      <c r="W5893">
        <v>3.2647830000000003E-2</v>
      </c>
      <c r="X5893">
        <v>0.99147160000000001</v>
      </c>
      <c r="Y5893">
        <v>-0.18006079999999999</v>
      </c>
      <c r="Z5893">
        <v>-7.2212440000000003E-2</v>
      </c>
      <c r="AA5893">
        <v>0.98100129999999996</v>
      </c>
      <c r="AB5893">
        <v>30</v>
      </c>
      <c r="AC5893">
        <v>8.5233999999999792</v>
      </c>
      <c r="AD5893">
        <v>3.7368999999999999</v>
      </c>
      <c r="AE5893">
        <v>-50.619370699999997</v>
      </c>
      <c r="AF5893">
        <v>-9.2521376449929509</v>
      </c>
      <c r="AG5893">
        <v>3.7368999999999999</v>
      </c>
      <c r="AH5893">
        <v>50.216118972494002</v>
      </c>
      <c r="AI5893">
        <v>85.814297861069306</v>
      </c>
      <c r="AJ5893">
        <v>100.43946163818801</v>
      </c>
      <c r="AK5893">
        <v>51.197901102208903</v>
      </c>
      <c r="AL5893">
        <v>88.129084693672596</v>
      </c>
      <c r="AM5893">
        <v>97.252063257513399</v>
      </c>
      <c r="AN5893">
        <v>1.0000000136165099</v>
      </c>
    </row>
    <row r="5894" spans="1:40" x14ac:dyDescent="0.25">
      <c r="A5894" t="str">
        <f>"20190312160452550"</f>
        <v>20190312160452550</v>
      </c>
      <c r="B5894" t="str">
        <f>"1552377892541266"</f>
        <v>1552377892541266</v>
      </c>
      <c r="C5894" t="s">
        <v>40</v>
      </c>
      <c r="D5894">
        <v>5.7175880000000001</v>
      </c>
      <c r="E5894">
        <v>0.48081930000000001</v>
      </c>
      <c r="F5894" t="s">
        <v>100</v>
      </c>
      <c r="G5894">
        <v>-413.98970000000003</v>
      </c>
      <c r="H5894">
        <v>4.758483</v>
      </c>
      <c r="I5894">
        <v>0.53852840000000002</v>
      </c>
      <c r="J5894">
        <v>-422.41609999999997</v>
      </c>
      <c r="K5894">
        <v>1.110233</v>
      </c>
      <c r="L5894">
        <v>50.95514</v>
      </c>
      <c r="M5894">
        <v>-1.470539E-2</v>
      </c>
      <c r="N5894">
        <v>0</v>
      </c>
      <c r="O5894">
        <v>-0.99985880000000005</v>
      </c>
      <c r="P5894">
        <v>0.1115078</v>
      </c>
      <c r="Q5894">
        <v>2.5024859999999999E-2</v>
      </c>
      <c r="R5894">
        <v>-0.99344829999999995</v>
      </c>
      <c r="S5894">
        <v>0.49246220000000002</v>
      </c>
      <c r="T5894">
        <v>0.2132764</v>
      </c>
      <c r="U5894">
        <v>-2.9592589999999999</v>
      </c>
      <c r="V5894">
        <v>-0.12616649999999999</v>
      </c>
      <c r="W5894">
        <v>3.2870870000000003E-2</v>
      </c>
      <c r="X5894">
        <v>0.99146429999999997</v>
      </c>
      <c r="Y5894">
        <v>-0.17823269999999999</v>
      </c>
      <c r="Z5894">
        <v>-7.0812760000000002E-2</v>
      </c>
      <c r="AA5894">
        <v>0.981437</v>
      </c>
      <c r="AB5894">
        <v>30</v>
      </c>
      <c r="AC5894">
        <v>8.4263999999999406</v>
      </c>
      <c r="AD5894">
        <v>3.64825</v>
      </c>
      <c r="AE5894">
        <v>-50.416611600000003</v>
      </c>
      <c r="AF5894">
        <v>-9.1204499290805394</v>
      </c>
      <c r="AG5894">
        <v>3.64825</v>
      </c>
      <c r="AH5894">
        <v>50.032378561914904</v>
      </c>
      <c r="AI5894">
        <v>85.896879535267104</v>
      </c>
      <c r="AJ5894">
        <v>100.331065225191</v>
      </c>
      <c r="AK5894">
        <v>50.9875596546268</v>
      </c>
      <c r="AL5894">
        <v>88.116298496364607</v>
      </c>
      <c r="AM5894">
        <v>97.252064903530098</v>
      </c>
      <c r="AN5894">
        <v>0.99999996899564803</v>
      </c>
    </row>
    <row r="5895" spans="1:40" x14ac:dyDescent="0.25">
      <c r="A5895" t="str">
        <f>"20190312160452568"</f>
        <v>20190312160452568</v>
      </c>
      <c r="B5895" t="str">
        <f>"1552377892560785"</f>
        <v>1552377892560785</v>
      </c>
      <c r="C5895" t="s">
        <v>40</v>
      </c>
      <c r="D5895">
        <v>5.437843</v>
      </c>
      <c r="E5895">
        <v>0.4820449</v>
      </c>
      <c r="F5895" t="s">
        <v>100</v>
      </c>
      <c r="G5895">
        <v>-414.08519999999999</v>
      </c>
      <c r="H5895">
        <v>4.6475109999999997</v>
      </c>
      <c r="I5895">
        <v>0.53755379999999997</v>
      </c>
      <c r="J5895">
        <v>-422.41879999999998</v>
      </c>
      <c r="K5895">
        <v>1.1102970000000001</v>
      </c>
      <c r="L5895">
        <v>50.71622</v>
      </c>
      <c r="M5895">
        <v>-1.387965E-2</v>
      </c>
      <c r="N5895">
        <v>0</v>
      </c>
      <c r="O5895">
        <v>-0.99986940000000002</v>
      </c>
      <c r="P5895">
        <v>0.1123845</v>
      </c>
      <c r="Q5895">
        <v>2.463651E-2</v>
      </c>
      <c r="R5895">
        <v>-0.99335929999999995</v>
      </c>
      <c r="S5895">
        <v>0.48904419999999998</v>
      </c>
      <c r="T5895">
        <v>0.20764669999999999</v>
      </c>
      <c r="U5895">
        <v>-2.9596559999999998</v>
      </c>
      <c r="V5895">
        <v>-0.1262249</v>
      </c>
      <c r="W5895">
        <v>3.259778E-2</v>
      </c>
      <c r="X5895">
        <v>0.99146590000000001</v>
      </c>
      <c r="Y5895">
        <v>-0.17631659999999999</v>
      </c>
      <c r="Z5895">
        <v>-6.8963319999999995E-2</v>
      </c>
      <c r="AA5895">
        <v>0.98191470000000003</v>
      </c>
      <c r="AB5895">
        <v>30</v>
      </c>
      <c r="AC5895">
        <v>8.3335999999999899</v>
      </c>
      <c r="AD5895">
        <v>3.5372140000000001</v>
      </c>
      <c r="AE5895">
        <v>-50.178666200000002</v>
      </c>
      <c r="AF5895">
        <v>-8.9858297526918403</v>
      </c>
      <c r="AG5895">
        <v>3.5372140000000001</v>
      </c>
      <c r="AH5895">
        <v>49.817254840642903</v>
      </c>
      <c r="AI5895">
        <v>86.002887780658298</v>
      </c>
      <c r="AJ5895">
        <v>100.224831221513</v>
      </c>
      <c r="AK5895">
        <v>50.744614483546101</v>
      </c>
      <c r="AL5895">
        <v>88.131953822493102</v>
      </c>
      <c r="AM5895">
        <v>97.255374396335398</v>
      </c>
      <c r="AN5895">
        <v>0.99999998575187399</v>
      </c>
    </row>
    <row r="5896" spans="1:40" x14ac:dyDescent="0.25">
      <c r="A5896" t="str">
        <f>"20190312160452589"</f>
        <v>20190312160452589</v>
      </c>
      <c r="B5896" t="str">
        <f>"1552377892581282"</f>
        <v>1552377892581282</v>
      </c>
      <c r="C5896" t="s">
        <v>40</v>
      </c>
      <c r="D5896">
        <v>5.5335779999999897</v>
      </c>
      <c r="E5896">
        <v>0.48293730000000001</v>
      </c>
      <c r="F5896" t="s">
        <v>100</v>
      </c>
      <c r="G5896">
        <v>-414.25380000000001</v>
      </c>
      <c r="H5896">
        <v>4.5211940000000004</v>
      </c>
      <c r="I5896">
        <v>0.53584100000000001</v>
      </c>
      <c r="J5896">
        <v>-422.42169999999999</v>
      </c>
      <c r="K5896">
        <v>1.110398</v>
      </c>
      <c r="L5896">
        <v>50.426360000000003</v>
      </c>
      <c r="M5896">
        <v>-1.282341E-2</v>
      </c>
      <c r="N5896">
        <v>0</v>
      </c>
      <c r="O5896">
        <v>-0.99988180000000004</v>
      </c>
      <c r="P5896">
        <v>0.11424189999999999</v>
      </c>
      <c r="Q5896">
        <v>2.4775309999999998E-2</v>
      </c>
      <c r="R5896">
        <v>-0.99314400000000003</v>
      </c>
      <c r="S5896">
        <v>0.48171999999999998</v>
      </c>
      <c r="T5896">
        <v>0.20123650000000001</v>
      </c>
      <c r="U5896">
        <v>-2.9605709999999998</v>
      </c>
      <c r="V5896">
        <v>-0.12703610000000001</v>
      </c>
      <c r="W5896">
        <v>3.2941890000000001E-2</v>
      </c>
      <c r="X5896">
        <v>0.99135090000000003</v>
      </c>
      <c r="Y5896">
        <v>-0.17288439999999999</v>
      </c>
      <c r="Z5896">
        <v>-6.6859070000000007E-2</v>
      </c>
      <c r="AA5896">
        <v>0.98267020000000005</v>
      </c>
      <c r="AB5896">
        <v>30</v>
      </c>
      <c r="AC5896">
        <v>8.1678999999999693</v>
      </c>
      <c r="AD5896">
        <v>3.4107959999999999</v>
      </c>
      <c r="AE5896">
        <v>-49.890518999999998</v>
      </c>
      <c r="AF5896">
        <v>-8.7671113488456296</v>
      </c>
      <c r="AG5896">
        <v>3.4107959999999999</v>
      </c>
      <c r="AH5896">
        <v>49.556100331376697</v>
      </c>
      <c r="AI5896">
        <v>86.122734939518907</v>
      </c>
      <c r="AJ5896">
        <v>100.032552831977</v>
      </c>
      <c r="AK5896">
        <v>50.441082966270102</v>
      </c>
      <c r="AL5896">
        <v>88.112227152415798</v>
      </c>
      <c r="AM5896">
        <v>97.302338220880898</v>
      </c>
      <c r="AN5896">
        <v>0.99999997287539499</v>
      </c>
    </row>
    <row r="5897" spans="1:40" x14ac:dyDescent="0.25">
      <c r="A5897" t="str">
        <f>"20190312160452604"</f>
        <v>20190312160452604</v>
      </c>
      <c r="B5897" t="str">
        <f>"1552377892600802"</f>
        <v>1552377892600802</v>
      </c>
      <c r="C5897" t="s">
        <v>40</v>
      </c>
      <c r="D5897">
        <v>5.4942380000000002</v>
      </c>
      <c r="E5897">
        <v>0.49638640000000001</v>
      </c>
      <c r="F5897" t="s">
        <v>100</v>
      </c>
      <c r="G5897">
        <v>-414.32690000000002</v>
      </c>
      <c r="H5897">
        <v>4.420655</v>
      </c>
      <c r="I5897">
        <v>0.53509519999999899</v>
      </c>
      <c r="J5897">
        <v>-422.42360000000002</v>
      </c>
      <c r="K5897">
        <v>1.110479</v>
      </c>
      <c r="L5897">
        <v>50.224640000000001</v>
      </c>
      <c r="M5897">
        <v>-1.205285E-2</v>
      </c>
      <c r="N5897">
        <v>0</v>
      </c>
      <c r="O5897">
        <v>-0.99988940000000004</v>
      </c>
      <c r="P5897">
        <v>0.1157021</v>
      </c>
      <c r="Q5897">
        <v>2.428431E-2</v>
      </c>
      <c r="R5897">
        <v>-0.99298710000000001</v>
      </c>
      <c r="S5897">
        <v>0.48034670000000002</v>
      </c>
      <c r="T5897">
        <v>0.19643060000000001</v>
      </c>
      <c r="U5897">
        <v>-2.9605709999999998</v>
      </c>
      <c r="V5897">
        <v>-0.1277327</v>
      </c>
      <c r="W5897">
        <v>3.2638779999999999E-2</v>
      </c>
      <c r="X5897">
        <v>0.99127140000000002</v>
      </c>
      <c r="Y5897">
        <v>-0.17169789999999999</v>
      </c>
      <c r="Z5897">
        <v>-6.5279499999999893E-2</v>
      </c>
      <c r="AA5897">
        <v>0.98298439999999998</v>
      </c>
      <c r="AB5897">
        <v>30</v>
      </c>
      <c r="AC5897">
        <v>8.0966999999999896</v>
      </c>
      <c r="AD5897">
        <v>3.3101759999999998</v>
      </c>
      <c r="AE5897">
        <v>-49.6895448</v>
      </c>
      <c r="AF5897">
        <v>-8.6576078140405599</v>
      </c>
      <c r="AG5897">
        <v>3.3101759999999998</v>
      </c>
      <c r="AH5897">
        <v>49.374892425780999</v>
      </c>
      <c r="AI5897">
        <v>86.222001835442001</v>
      </c>
      <c r="AJ5897">
        <v>99.945387236956407</v>
      </c>
      <c r="AK5897">
        <v>50.237351047503999</v>
      </c>
      <c r="AL5897">
        <v>88.129603397636998</v>
      </c>
      <c r="AM5897">
        <v>97.342527125455902</v>
      </c>
      <c r="AN5897">
        <v>0.99999996053356799</v>
      </c>
    </row>
    <row r="5898" spans="1:40" x14ac:dyDescent="0.25">
      <c r="A5898" t="str">
        <f>"20190312160452616"</f>
        <v>20190312160452616</v>
      </c>
      <c r="B5898" t="str">
        <f>"1552377892611537"</f>
        <v>1552377892611537</v>
      </c>
      <c r="C5898" t="s">
        <v>40</v>
      </c>
      <c r="D5898">
        <v>5.5232279999999996</v>
      </c>
      <c r="E5898">
        <v>0.49660159999999998</v>
      </c>
      <c r="F5898" t="s">
        <v>81</v>
      </c>
      <c r="G5898">
        <v>-419.005</v>
      </c>
      <c r="H5898" s="1">
        <v>-6.8566020000000002E-6</v>
      </c>
      <c r="I5898">
        <v>22.817250000000001</v>
      </c>
      <c r="J5898">
        <v>-422.4248</v>
      </c>
      <c r="K5898">
        <v>1.110554</v>
      </c>
      <c r="L5898">
        <v>50.062899999999999</v>
      </c>
      <c r="M5898">
        <v>-1.140993E-2</v>
      </c>
      <c r="N5898">
        <v>0</v>
      </c>
      <c r="O5898">
        <v>-0.99989530000000004</v>
      </c>
      <c r="P5898">
        <v>0.1172499</v>
      </c>
      <c r="Q5898">
        <v>2.3951500000000001E-2</v>
      </c>
      <c r="R5898">
        <v>-0.99281379999999997</v>
      </c>
      <c r="S5898">
        <v>0.37179570000000001</v>
      </c>
      <c r="T5898">
        <v>-0.12077549999999999</v>
      </c>
      <c r="U5898">
        <v>-2.980804</v>
      </c>
      <c r="V5898">
        <v>-0.1286436</v>
      </c>
      <c r="W5898">
        <v>3.2497230000000002E-2</v>
      </c>
      <c r="X5898">
        <v>0.99115830000000005</v>
      </c>
      <c r="Y5898">
        <v>-0.13498569999999999</v>
      </c>
      <c r="Z5898">
        <v>4.014003E-2</v>
      </c>
      <c r="AA5898">
        <v>0.99003419999999998</v>
      </c>
      <c r="AB5898">
        <v>30</v>
      </c>
      <c r="AC5898">
        <v>3.4198</v>
      </c>
      <c r="AD5898">
        <v>-1.110560856602</v>
      </c>
      <c r="AE5898">
        <v>-27.245650000000001</v>
      </c>
      <c r="AF5898">
        <v>-3.7243687192511499</v>
      </c>
      <c r="AG5898">
        <v>-1.110560856602</v>
      </c>
      <c r="AH5898">
        <v>27.160428967917799</v>
      </c>
      <c r="AI5898">
        <v>92.319774761950299</v>
      </c>
      <c r="AJ5898">
        <v>97.807977640868501</v>
      </c>
      <c r="AK5898">
        <v>27.437076547884299</v>
      </c>
      <c r="AL5898">
        <v>88.137718013623299</v>
      </c>
      <c r="AM5898">
        <v>97.395145846968504</v>
      </c>
      <c r="AN5898">
        <v>1.0000000107187601</v>
      </c>
    </row>
    <row r="5899" spans="1:40" x14ac:dyDescent="0.25">
      <c r="A5899" t="str">
        <f>"20190312160452629"</f>
        <v>20190312160452629</v>
      </c>
      <c r="B5899" t="str">
        <f>"1552377892621298"</f>
        <v>1552377892621298</v>
      </c>
      <c r="C5899" t="s">
        <v>40</v>
      </c>
      <c r="D5899">
        <v>5.5084309999999999</v>
      </c>
      <c r="E5899">
        <v>0.49667860000000003</v>
      </c>
      <c r="F5899" t="s">
        <v>81</v>
      </c>
      <c r="G5899">
        <v>-418.83909999999997</v>
      </c>
      <c r="H5899" s="1">
        <v>-6.7743950000000004E-6</v>
      </c>
      <c r="I5899">
        <v>21.568439999999999</v>
      </c>
      <c r="J5899">
        <v>-422.42610000000002</v>
      </c>
      <c r="K5899">
        <v>1.110636</v>
      </c>
      <c r="L5899">
        <v>49.893219999999999</v>
      </c>
      <c r="M5899">
        <v>-1.071772E-2</v>
      </c>
      <c r="N5899">
        <v>0</v>
      </c>
      <c r="O5899">
        <v>-0.99990100000000004</v>
      </c>
      <c r="P5899">
        <v>0.11893910000000001</v>
      </c>
      <c r="Q5899">
        <v>2.3703559999999999E-2</v>
      </c>
      <c r="R5899">
        <v>-0.99261869999999996</v>
      </c>
      <c r="S5899">
        <v>0.37503049999999999</v>
      </c>
      <c r="T5899">
        <v>-0.1161531</v>
      </c>
      <c r="U5899">
        <v>-2.9802249999999999</v>
      </c>
      <c r="V5899">
        <v>-0.12964700000000001</v>
      </c>
      <c r="W5899">
        <v>3.2469110000000002E-2</v>
      </c>
      <c r="X5899">
        <v>0.99102849999999998</v>
      </c>
      <c r="Y5899">
        <v>-0.13538900000000001</v>
      </c>
      <c r="Z5899">
        <v>3.8610369999999998E-2</v>
      </c>
      <c r="AA5899">
        <v>0.99003989999999997</v>
      </c>
      <c r="AB5899">
        <v>30</v>
      </c>
      <c r="AC5899">
        <v>3.5870000000000402</v>
      </c>
      <c r="AD5899">
        <v>-1.110642774395</v>
      </c>
      <c r="AE5899">
        <v>-28.324780000000001</v>
      </c>
      <c r="AF5899">
        <v>-3.8845054715990801</v>
      </c>
      <c r="AG5899">
        <v>-1.110642774395</v>
      </c>
      <c r="AH5899">
        <v>28.241970223661301</v>
      </c>
      <c r="AI5899">
        <v>92.231067857743895</v>
      </c>
      <c r="AJ5899">
        <v>97.831534641554001</v>
      </c>
      <c r="AK5899">
        <v>28.529489870051499</v>
      </c>
      <c r="AL5899">
        <v>88.139330071948194</v>
      </c>
      <c r="AM5899">
        <v>97.4531460454441</v>
      </c>
      <c r="AN5899">
        <v>1.0000000377627201</v>
      </c>
    </row>
    <row r="5900" spans="1:40" x14ac:dyDescent="0.25">
      <c r="A5900" t="str">
        <f>"20190312160452641"</f>
        <v>20190312160452641</v>
      </c>
      <c r="B5900" t="str">
        <f>"1552377892631057"</f>
        <v>1552377892631057</v>
      </c>
      <c r="C5900" t="s">
        <v>40</v>
      </c>
      <c r="D5900">
        <v>5.4836910000000003</v>
      </c>
      <c r="E5900">
        <v>0.4969345</v>
      </c>
      <c r="F5900" t="s">
        <v>81</v>
      </c>
      <c r="G5900">
        <v>-418.89519999999999</v>
      </c>
      <c r="H5900" s="1">
        <v>-6.821462E-6</v>
      </c>
      <c r="I5900">
        <v>22.161989999999999</v>
      </c>
      <c r="J5900">
        <v>-422.42720000000003</v>
      </c>
      <c r="K5900">
        <v>1.11073</v>
      </c>
      <c r="L5900">
        <v>49.72363</v>
      </c>
      <c r="M5900">
        <v>-9.9774789999999992E-3</v>
      </c>
      <c r="N5900">
        <v>0</v>
      </c>
      <c r="O5900">
        <v>-0.99990599999999996</v>
      </c>
      <c r="P5900">
        <v>0.1206855</v>
      </c>
      <c r="Q5900">
        <v>2.3620479999999999E-2</v>
      </c>
      <c r="R5900">
        <v>-0.99241009999999996</v>
      </c>
      <c r="S5900">
        <v>0.37939450000000002</v>
      </c>
      <c r="T5900">
        <v>-0.119338</v>
      </c>
      <c r="U5900">
        <v>-2.9797060000000002</v>
      </c>
      <c r="V5900">
        <v>-0.13066079999999999</v>
      </c>
      <c r="W5900">
        <v>3.2640679999999998E-2</v>
      </c>
      <c r="X5900">
        <v>0.99088969999999998</v>
      </c>
      <c r="Y5900">
        <v>-0.13609869999999999</v>
      </c>
      <c r="Z5900">
        <v>3.9669139999999999E-2</v>
      </c>
      <c r="AA5900">
        <v>0.98990080000000003</v>
      </c>
      <c r="AB5900">
        <v>30</v>
      </c>
      <c r="AC5900">
        <v>3.5320000000000298</v>
      </c>
      <c r="AD5900">
        <v>-1.1107368214619999</v>
      </c>
      <c r="AE5900">
        <v>-27.561640000000001</v>
      </c>
      <c r="AF5900">
        <v>-3.80075894843685</v>
      </c>
      <c r="AG5900">
        <v>-1.1107368214619999</v>
      </c>
      <c r="AH5900">
        <v>27.481115038562798</v>
      </c>
      <c r="AI5900">
        <v>92.292731352056293</v>
      </c>
      <c r="AJ5900">
        <v>97.874304754848694</v>
      </c>
      <c r="AK5900">
        <v>27.764927311869499</v>
      </c>
      <c r="AL5900">
        <v>88.129494604058095</v>
      </c>
      <c r="AM5900">
        <v>97.511804596165703</v>
      </c>
      <c r="AN5900">
        <v>1.00000002810679</v>
      </c>
    </row>
    <row r="5901" spans="1:40" x14ac:dyDescent="0.25">
      <c r="A5901" t="str">
        <f>"20190312160452655"</f>
        <v>20190312160452655</v>
      </c>
      <c r="B5901" t="str">
        <f>"1552377892651553"</f>
        <v>1552377892651553</v>
      </c>
      <c r="C5901" t="s">
        <v>40</v>
      </c>
      <c r="D5901">
        <v>5.4754699999999996</v>
      </c>
      <c r="E5901">
        <v>0.4971102</v>
      </c>
      <c r="F5901" t="s">
        <v>81</v>
      </c>
      <c r="G5901">
        <v>-419.08280000000002</v>
      </c>
      <c r="H5901" s="1">
        <v>-6.9286799999999997E-6</v>
      </c>
      <c r="I5901">
        <v>23.70073</v>
      </c>
      <c r="J5901">
        <v>-422.428</v>
      </c>
      <c r="K5901">
        <v>1.1108209999999901</v>
      </c>
      <c r="L5901">
        <v>49.55386</v>
      </c>
      <c r="M5901">
        <v>-9.1965039999999994E-3</v>
      </c>
      <c r="N5901">
        <v>0</v>
      </c>
      <c r="O5901">
        <v>-0.99991079999999999</v>
      </c>
      <c r="P5901">
        <v>0.1222488</v>
      </c>
      <c r="Q5901">
        <v>2.3615440000000001E-2</v>
      </c>
      <c r="R5901">
        <v>-0.99221870000000001</v>
      </c>
      <c r="S5901">
        <v>0.38290410000000002</v>
      </c>
      <c r="T5901">
        <v>-0.12717129999999999</v>
      </c>
      <c r="U5901">
        <v>-2.9794309999999999</v>
      </c>
      <c r="V5901">
        <v>-0.1314525</v>
      </c>
      <c r="W5901">
        <v>3.289661E-2</v>
      </c>
      <c r="X5901">
        <v>0.99077649999999995</v>
      </c>
      <c r="Y5901">
        <v>-0.13647000000000001</v>
      </c>
      <c r="Z5901">
        <v>4.226854E-2</v>
      </c>
      <c r="AA5901">
        <v>0.98974200000000001</v>
      </c>
      <c r="AB5901">
        <v>30</v>
      </c>
      <c r="AC5901">
        <v>3.3452000000000299</v>
      </c>
      <c r="AD5901">
        <v>-1.11082792867999</v>
      </c>
      <c r="AE5901">
        <v>-25.85313</v>
      </c>
      <c r="AF5901">
        <v>-3.5763343554640898</v>
      </c>
      <c r="AG5901">
        <v>-1.11082792867999</v>
      </c>
      <c r="AH5901">
        <v>25.774470981614201</v>
      </c>
      <c r="AI5901">
        <v>92.444415760300203</v>
      </c>
      <c r="AJ5901">
        <v>97.899631317330602</v>
      </c>
      <c r="AK5901">
        <v>26.045104347866999</v>
      </c>
      <c r="AL5901">
        <v>88.114822981935902</v>
      </c>
      <c r="AM5901">
        <v>97.5576490934166</v>
      </c>
      <c r="AN5901">
        <v>1.0000000098289901</v>
      </c>
    </row>
    <row r="5902" spans="1:40" x14ac:dyDescent="0.25">
      <c r="A5902" t="str">
        <f>"20190312160452668"</f>
        <v>20190312160452668</v>
      </c>
      <c r="B5902" t="str">
        <f>"1552377892661314"</f>
        <v>1552377892661314</v>
      </c>
      <c r="C5902" t="s">
        <v>40</v>
      </c>
      <c r="D5902">
        <v>5.5397699999999999</v>
      </c>
      <c r="E5902">
        <v>0.4971102</v>
      </c>
      <c r="F5902" t="s">
        <v>81</v>
      </c>
      <c r="G5902">
        <v>-419.19850000000002</v>
      </c>
      <c r="H5902" s="1">
        <v>-6.9932329999999997E-6</v>
      </c>
      <c r="I5902">
        <v>24.635899999999999</v>
      </c>
      <c r="J5902">
        <v>-422.4289</v>
      </c>
      <c r="K5902">
        <v>1.1109180000000001</v>
      </c>
      <c r="L5902">
        <v>49.380249999999997</v>
      </c>
      <c r="M5902">
        <v>-8.3671070000000004E-3</v>
      </c>
      <c r="N5902">
        <v>0</v>
      </c>
      <c r="O5902">
        <v>-0.9999152</v>
      </c>
      <c r="P5902">
        <v>0.1250645</v>
      </c>
      <c r="Q5902">
        <v>2.337407E-2</v>
      </c>
      <c r="R5902">
        <v>-0.99187329999999996</v>
      </c>
      <c r="S5902">
        <v>0.38610840000000002</v>
      </c>
      <c r="T5902">
        <v>-0.1328076</v>
      </c>
      <c r="U5902">
        <v>-2.9791259999999999</v>
      </c>
      <c r="V5902">
        <v>-0.13344729999999999</v>
      </c>
      <c r="W5902">
        <v>3.2918530000000001E-2</v>
      </c>
      <c r="X5902">
        <v>0.99050899999999997</v>
      </c>
      <c r="Y5902">
        <v>-0.13669790000000001</v>
      </c>
      <c r="Z5902">
        <v>4.4139560000000001E-2</v>
      </c>
      <c r="AA5902">
        <v>0.98962890000000003</v>
      </c>
      <c r="AB5902">
        <v>30</v>
      </c>
      <c r="AC5902">
        <v>3.2303999999999702</v>
      </c>
      <c r="AD5902">
        <v>-1.1109249932330001</v>
      </c>
      <c r="AE5902">
        <v>-24.744350000000001</v>
      </c>
      <c r="AF5902">
        <v>-3.4305369230689902</v>
      </c>
      <c r="AG5902">
        <v>-1.1109249932330001</v>
      </c>
      <c r="AH5902">
        <v>24.667565087045102</v>
      </c>
      <c r="AI5902">
        <v>92.554074804161004</v>
      </c>
      <c r="AJ5902">
        <v>97.917385459037902</v>
      </c>
      <c r="AK5902">
        <v>24.9297313512347</v>
      </c>
      <c r="AL5902">
        <v>88.113566256086997</v>
      </c>
      <c r="AM5902">
        <v>97.673028277975106</v>
      </c>
      <c r="AN5902">
        <v>0.99999994528782299</v>
      </c>
    </row>
    <row r="5903" spans="1:40" x14ac:dyDescent="0.25">
      <c r="A5903" t="str">
        <f>"20190312160452682"</f>
        <v>20190312160452682</v>
      </c>
      <c r="B5903" t="str">
        <f>"1552377892671073"</f>
        <v>1552377892671073</v>
      </c>
      <c r="C5903" t="s">
        <v>40</v>
      </c>
      <c r="D5903">
        <v>5.546087</v>
      </c>
      <c r="E5903">
        <v>0.4910002</v>
      </c>
      <c r="F5903" t="s">
        <v>81</v>
      </c>
      <c r="G5903">
        <v>-419.14400000000001</v>
      </c>
      <c r="H5903" s="1">
        <v>-7.0089559999999998E-6</v>
      </c>
      <c r="I5903">
        <v>24.605599999999999</v>
      </c>
      <c r="J5903">
        <v>-422.42950000000002</v>
      </c>
      <c r="K5903">
        <v>1.111029</v>
      </c>
      <c r="L5903">
        <v>49.184139999999999</v>
      </c>
      <c r="M5903">
        <v>-7.3574649999999997E-3</v>
      </c>
      <c r="N5903">
        <v>0</v>
      </c>
      <c r="O5903">
        <v>-0.99991980000000003</v>
      </c>
      <c r="P5903">
        <v>0.12709889999999999</v>
      </c>
      <c r="Q5903">
        <v>2.3225659999999999E-2</v>
      </c>
      <c r="R5903">
        <v>-0.99161820000000001</v>
      </c>
      <c r="S5903">
        <v>0.39483639999999998</v>
      </c>
      <c r="T5903">
        <v>-0.13353429999999999</v>
      </c>
      <c r="U5903">
        <v>-2.9779360000000001</v>
      </c>
      <c r="V5903">
        <v>-0.13448470000000001</v>
      </c>
      <c r="W5903">
        <v>3.3058169999999998E-2</v>
      </c>
      <c r="X5903">
        <v>0.99036409999999997</v>
      </c>
      <c r="Y5903">
        <v>-0.138598</v>
      </c>
      <c r="Z5903">
        <v>4.4384380000000001E-2</v>
      </c>
      <c r="AA5903">
        <v>0.9893537</v>
      </c>
      <c r="AB5903">
        <v>30</v>
      </c>
      <c r="AC5903">
        <v>3.2855000000000101</v>
      </c>
      <c r="AD5903">
        <v>-1.1110360089560001</v>
      </c>
      <c r="AE5903">
        <v>-24.57854</v>
      </c>
      <c r="AF5903">
        <v>-3.4593119020436101</v>
      </c>
      <c r="AG5903">
        <v>-1.1110360089560001</v>
      </c>
      <c r="AH5903">
        <v>24.504507997442399</v>
      </c>
      <c r="AI5903">
        <v>92.570563069913803</v>
      </c>
      <c r="AJ5903">
        <v>98.035371307056394</v>
      </c>
      <c r="AK5903">
        <v>24.772407070075602</v>
      </c>
      <c r="AL5903">
        <v>88.105561246024195</v>
      </c>
      <c r="AM5903">
        <v>97.733076047709403</v>
      </c>
      <c r="AN5903">
        <v>1.00000001385332</v>
      </c>
    </row>
    <row r="5904" spans="1:40" x14ac:dyDescent="0.25">
      <c r="A5904" t="str">
        <f>"20190312160452696"</f>
        <v>20190312160452696</v>
      </c>
      <c r="B5904" t="str">
        <f>"1552377892691569"</f>
        <v>1552377892691569</v>
      </c>
      <c r="C5904" t="s">
        <v>40</v>
      </c>
      <c r="D5904">
        <v>5.4718419999999997</v>
      </c>
      <c r="E5904">
        <v>0.4987009</v>
      </c>
      <c r="F5904" t="s">
        <v>100</v>
      </c>
      <c r="G5904">
        <v>-415.17840000000001</v>
      </c>
      <c r="H5904">
        <v>3.2949030000000001</v>
      </c>
      <c r="I5904">
        <v>1.8234600000000001</v>
      </c>
      <c r="J5904">
        <v>-422.4298</v>
      </c>
      <c r="K5904">
        <v>1.111116</v>
      </c>
      <c r="L5904">
        <v>49.014499999999998</v>
      </c>
      <c r="M5904">
        <v>-6.4439759999999997E-3</v>
      </c>
      <c r="N5904">
        <v>0</v>
      </c>
      <c r="O5904">
        <v>-0.99992349999999997</v>
      </c>
      <c r="P5904">
        <v>0.1288127</v>
      </c>
      <c r="Q5904">
        <v>2.3298470000000002E-2</v>
      </c>
      <c r="R5904">
        <v>-0.99139520000000003</v>
      </c>
      <c r="S5904">
        <v>0.45379639999999999</v>
      </c>
      <c r="T5904">
        <v>0.1366724</v>
      </c>
      <c r="U5904">
        <v>-2.9639890000000002</v>
      </c>
      <c r="V5904">
        <v>-0.1352969</v>
      </c>
      <c r="W5904">
        <v>3.3368420000000003E-2</v>
      </c>
      <c r="X5904">
        <v>0.99024299999999998</v>
      </c>
      <c r="Y5904">
        <v>-0.15754989999999999</v>
      </c>
      <c r="Z5904">
        <v>-4.5508350000000003E-2</v>
      </c>
      <c r="AA5904">
        <v>0.9864619</v>
      </c>
      <c r="AB5904">
        <v>30</v>
      </c>
      <c r="AC5904">
        <v>7.2513999999999896</v>
      </c>
      <c r="AD5904">
        <v>2.1837870000000001</v>
      </c>
      <c r="AE5904">
        <v>-47.191040000000001</v>
      </c>
      <c r="AF5904">
        <v>-7.5395913125700602</v>
      </c>
      <c r="AG5904">
        <v>2.1837870000000001</v>
      </c>
      <c r="AH5904">
        <v>47.044910634246797</v>
      </c>
      <c r="AI5904">
        <v>87.375723862687707</v>
      </c>
      <c r="AJ5904">
        <v>99.105007921825703</v>
      </c>
      <c r="AK5904">
        <v>47.695261603289502</v>
      </c>
      <c r="AL5904">
        <v>88.087775297353303</v>
      </c>
      <c r="AM5904">
        <v>97.780148326363999</v>
      </c>
      <c r="AN5904">
        <v>0.99999995082595206</v>
      </c>
    </row>
    <row r="5905" spans="1:40" x14ac:dyDescent="0.25">
      <c r="A5905" t="str">
        <f>"20190312160452709"</f>
        <v>20190312160452709</v>
      </c>
      <c r="B5905" t="str">
        <f>"1552377892701330"</f>
        <v>1552377892701330</v>
      </c>
      <c r="C5905" t="s">
        <v>40</v>
      </c>
      <c r="D5905">
        <v>5.4550099999999997</v>
      </c>
      <c r="E5905">
        <v>0.4987009</v>
      </c>
      <c r="F5905" t="s">
        <v>81</v>
      </c>
      <c r="G5905">
        <v>-420.00959999999998</v>
      </c>
      <c r="H5905" s="1">
        <v>-5.2149909999999996E-6</v>
      </c>
      <c r="I5905">
        <v>30.621649999999999</v>
      </c>
      <c r="J5905">
        <v>-422.43</v>
      </c>
      <c r="K5905">
        <v>1.111205</v>
      </c>
      <c r="L5905">
        <v>48.840850000000003</v>
      </c>
      <c r="M5905">
        <v>-5.4798390000000002E-3</v>
      </c>
      <c r="N5905">
        <v>0</v>
      </c>
      <c r="O5905">
        <v>-0.9999266</v>
      </c>
      <c r="P5905">
        <v>0.13040009999999999</v>
      </c>
      <c r="Q5905">
        <v>2.32722E-2</v>
      </c>
      <c r="R5905">
        <v>-0.99118850000000003</v>
      </c>
      <c r="S5905">
        <v>0.39202880000000001</v>
      </c>
      <c r="T5905">
        <v>-0.17998339999999999</v>
      </c>
      <c r="U5905">
        <v>-2.9793400000000001</v>
      </c>
      <c r="V5905">
        <v>-0.13593339999999901</v>
      </c>
      <c r="W5905">
        <v>3.357715E-2</v>
      </c>
      <c r="X5905">
        <v>0.99014880000000005</v>
      </c>
      <c r="Y5905">
        <v>-0.1356561</v>
      </c>
      <c r="Z5905">
        <v>5.9763860000000002E-2</v>
      </c>
      <c r="AA5905">
        <v>0.98895180000000005</v>
      </c>
      <c r="AB5905">
        <v>30</v>
      </c>
      <c r="AC5905">
        <v>2.4204000000000199</v>
      </c>
      <c r="AD5905">
        <v>-1.1112102149909999</v>
      </c>
      <c r="AE5905">
        <v>-18.219200000000001</v>
      </c>
      <c r="AF5905">
        <v>-2.5110289305637798</v>
      </c>
      <c r="AG5905">
        <v>-1.1112102149909999</v>
      </c>
      <c r="AH5905">
        <v>18.1393554872901</v>
      </c>
      <c r="AI5905">
        <v>93.472506081137894</v>
      </c>
      <c r="AJ5905">
        <v>97.881359928141293</v>
      </c>
      <c r="AK5905">
        <v>18.346015151152301</v>
      </c>
      <c r="AL5905">
        <v>88.075809299781596</v>
      </c>
      <c r="AM5905">
        <v>97.817032829069305</v>
      </c>
      <c r="AN5905">
        <v>0.99999998018956104</v>
      </c>
    </row>
    <row r="5906" spans="1:40" x14ac:dyDescent="0.25">
      <c r="A5906" t="str">
        <f>"20190312160452721"</f>
        <v>20190312160452721</v>
      </c>
      <c r="B5906" t="str">
        <f>"1552377892711090"</f>
        <v>1552377892711090</v>
      </c>
      <c r="C5906" t="s">
        <v>40</v>
      </c>
      <c r="D5906">
        <v>5.4714150000000004</v>
      </c>
      <c r="E5906">
        <v>0.4984401</v>
      </c>
      <c r="F5906" t="s">
        <v>81</v>
      </c>
      <c r="G5906">
        <v>-419.98</v>
      </c>
      <c r="H5906" s="1">
        <v>-5.2962100000000001E-6</v>
      </c>
      <c r="I5906">
        <v>30.458870000000001</v>
      </c>
      <c r="J5906">
        <v>-422.42989999999998</v>
      </c>
      <c r="K5906">
        <v>1.111294</v>
      </c>
      <c r="L5906">
        <v>48.660339999999998</v>
      </c>
      <c r="M5906">
        <v>-4.4163060000000001E-3</v>
      </c>
      <c r="N5906">
        <v>0</v>
      </c>
      <c r="O5906">
        <v>-0.99992899999999996</v>
      </c>
      <c r="P5906">
        <v>0.13221810000000001</v>
      </c>
      <c r="Q5906">
        <v>2.3294499999999999E-2</v>
      </c>
      <c r="R5906">
        <v>-0.99094720000000003</v>
      </c>
      <c r="S5906">
        <v>0.3970032</v>
      </c>
      <c r="T5906">
        <v>-0.18006359999999999</v>
      </c>
      <c r="U5906">
        <v>-2.9786679999999999</v>
      </c>
      <c r="V5906">
        <v>-0.1367023</v>
      </c>
      <c r="W5906">
        <v>3.38264E-2</v>
      </c>
      <c r="X5906">
        <v>0.99003450000000004</v>
      </c>
      <c r="Y5906">
        <v>-0.13625399999999999</v>
      </c>
      <c r="Z5906">
        <v>5.97952E-2</v>
      </c>
      <c r="AA5906">
        <v>0.98886779999999996</v>
      </c>
      <c r="AB5906">
        <v>30</v>
      </c>
      <c r="AC5906">
        <v>2.4498999999999498</v>
      </c>
      <c r="AD5906">
        <v>-1.1112992962099999</v>
      </c>
      <c r="AE5906">
        <v>-18.20147</v>
      </c>
      <c r="AF5906">
        <v>-2.5210336858386202</v>
      </c>
      <c r="AG5906">
        <v>-1.1112992962099999</v>
      </c>
      <c r="AH5906">
        <v>18.1241120229475</v>
      </c>
      <c r="AI5906">
        <v>93.475381928109698</v>
      </c>
      <c r="AJ5906">
        <v>97.918935265298998</v>
      </c>
      <c r="AK5906">
        <v>18.3323221003571</v>
      </c>
      <c r="AL5906">
        <v>88.061520301355799</v>
      </c>
      <c r="AM5906">
        <v>97.861594395594693</v>
      </c>
      <c r="AN5906">
        <v>1.00000002767624</v>
      </c>
    </row>
    <row r="5907" spans="1:40" x14ac:dyDescent="0.25">
      <c r="A5907" t="str">
        <f>"20190312160452736"</f>
        <v>20190312160452736</v>
      </c>
      <c r="B5907" t="str">
        <f>"1552377892731586"</f>
        <v>1552377892731586</v>
      </c>
      <c r="C5907" t="s">
        <v>40</v>
      </c>
      <c r="D5907">
        <v>5.6315299999999997</v>
      </c>
      <c r="E5907">
        <v>0.49080699999999999</v>
      </c>
      <c r="F5907" t="s">
        <v>81</v>
      </c>
      <c r="G5907">
        <v>-418.19959999999998</v>
      </c>
      <c r="H5907" s="1">
        <v>-1.2771059999999999E-5</v>
      </c>
      <c r="I5907">
        <v>17.636700000000001</v>
      </c>
      <c r="J5907">
        <v>-422.42959999999999</v>
      </c>
      <c r="K5907">
        <v>1.1113759999999999</v>
      </c>
      <c r="L5907">
        <v>48.477110000000003</v>
      </c>
      <c r="M5907">
        <v>-3.292246E-3</v>
      </c>
      <c r="N5907">
        <v>0</v>
      </c>
      <c r="O5907">
        <v>-0.9999306</v>
      </c>
      <c r="P5907">
        <v>0.1340374</v>
      </c>
      <c r="Q5907">
        <v>2.3428930000000001E-2</v>
      </c>
      <c r="R5907">
        <v>-0.99069940000000001</v>
      </c>
      <c r="S5907">
        <v>0.4057617</v>
      </c>
      <c r="T5907">
        <v>-0.10659589999999899</v>
      </c>
      <c r="U5907">
        <v>-2.9757690000000001</v>
      </c>
      <c r="V5907">
        <v>-0.13741439999999999</v>
      </c>
      <c r="W5907">
        <v>3.417953E-2</v>
      </c>
      <c r="X5907">
        <v>0.98992380000000002</v>
      </c>
      <c r="Y5907">
        <v>-0.1382816</v>
      </c>
      <c r="Z5907">
        <v>3.5462210000000001E-2</v>
      </c>
      <c r="AA5907">
        <v>0.98975780000000002</v>
      </c>
      <c r="AB5907">
        <v>30</v>
      </c>
      <c r="AC5907">
        <v>4.2300000000000102</v>
      </c>
      <c r="AD5907">
        <v>-1.1113887710599999</v>
      </c>
      <c r="AE5907">
        <v>-30.840409999999899</v>
      </c>
      <c r="AF5907">
        <v>-4.32600356132843</v>
      </c>
      <c r="AG5907">
        <v>-1.1113887710599999</v>
      </c>
      <c r="AH5907">
        <v>30.787072408681802</v>
      </c>
      <c r="AI5907">
        <v>92.047338961511102</v>
      </c>
      <c r="AJ5907">
        <v>97.998471945324098</v>
      </c>
      <c r="AK5907">
        <v>31.109376710414601</v>
      </c>
      <c r="AL5907">
        <v>88.041275767810106</v>
      </c>
      <c r="AM5907">
        <v>97.902902941333593</v>
      </c>
      <c r="AN5907">
        <v>1.0000000437023999</v>
      </c>
    </row>
    <row r="5908" spans="1:40" x14ac:dyDescent="0.25">
      <c r="A5908" t="str">
        <f>"20190312160452757"</f>
        <v>20190312160452757</v>
      </c>
      <c r="B5908" t="str">
        <f>"1552377892751105"</f>
        <v>1552377892751105</v>
      </c>
      <c r="C5908" t="s">
        <v>40</v>
      </c>
      <c r="D5908">
        <v>5.7112809999999996</v>
      </c>
      <c r="E5908">
        <v>0.49568129999999999</v>
      </c>
      <c r="F5908" t="s">
        <v>100</v>
      </c>
      <c r="G5908">
        <v>-414.75299999999999</v>
      </c>
      <c r="H5908">
        <v>2.0623969999999998</v>
      </c>
      <c r="I5908">
        <v>0.53075410000000001</v>
      </c>
      <c r="J5908">
        <v>-422.42849999999999</v>
      </c>
      <c r="K5908">
        <v>1.1114949999999999</v>
      </c>
      <c r="L5908">
        <v>48.192320000000002</v>
      </c>
      <c r="M5908">
        <v>-1.4522269999999999E-3</v>
      </c>
      <c r="N5908">
        <v>0</v>
      </c>
      <c r="O5908">
        <v>-0.99993089999999996</v>
      </c>
      <c r="P5908">
        <v>0.13647290000000001</v>
      </c>
      <c r="Q5908">
        <v>2.3164000000000001E-2</v>
      </c>
      <c r="R5908">
        <v>-0.99037330000000001</v>
      </c>
      <c r="S5908">
        <v>0.4743347</v>
      </c>
      <c r="T5908">
        <v>5.8762309999999998E-2</v>
      </c>
      <c r="U5908">
        <v>-2.9626160000000001</v>
      </c>
      <c r="V5908">
        <v>-0.13803480000000001</v>
      </c>
      <c r="W5908">
        <v>3.4230049999999998E-2</v>
      </c>
      <c r="X5908">
        <v>0.98983569999999999</v>
      </c>
      <c r="Y5908">
        <v>-0.1594969</v>
      </c>
      <c r="Z5908">
        <v>-1.957911E-2</v>
      </c>
      <c r="AA5908">
        <v>0.98700429999999995</v>
      </c>
      <c r="AB5908">
        <v>30</v>
      </c>
      <c r="AC5908">
        <v>7.67549999999994</v>
      </c>
      <c r="AD5908">
        <v>0.95090200000000003</v>
      </c>
      <c r="AE5908">
        <v>-47.661565899999999</v>
      </c>
      <c r="AF5908">
        <v>-7.7417083589414197</v>
      </c>
      <c r="AG5908">
        <v>0.95090200000000003</v>
      </c>
      <c r="AH5908">
        <v>47.631887834409198</v>
      </c>
      <c r="AI5908">
        <v>88.871133591298104</v>
      </c>
      <c r="AJ5908">
        <v>99.231675302379998</v>
      </c>
      <c r="AK5908">
        <v>48.266292602584002</v>
      </c>
      <c r="AL5908">
        <v>88.0383794196633</v>
      </c>
      <c r="AM5908">
        <v>97.938826736167002</v>
      </c>
      <c r="AN5908">
        <v>1.0000000076642599</v>
      </c>
    </row>
    <row r="5909" spans="1:40" x14ac:dyDescent="0.25">
      <c r="A5909" t="str">
        <f>"20190312160452779"</f>
        <v>20190312160452779</v>
      </c>
      <c r="B5909" t="str">
        <f>"1552377892771601"</f>
        <v>1552377892771601</v>
      </c>
      <c r="C5909" t="s">
        <v>40</v>
      </c>
      <c r="D5909">
        <v>5.5068519999999896</v>
      </c>
      <c r="E5909">
        <v>0.49432530000000002</v>
      </c>
      <c r="F5909" t="s">
        <v>100</v>
      </c>
      <c r="G5909">
        <v>-415.43110000000001</v>
      </c>
      <c r="H5909">
        <v>1.307215</v>
      </c>
      <c r="I5909">
        <v>1.2796749999999999</v>
      </c>
      <c r="J5909">
        <v>-422.42680000000001</v>
      </c>
      <c r="K5909">
        <v>1.1116109999999999</v>
      </c>
      <c r="L5909">
        <v>47.90598</v>
      </c>
      <c r="M5909">
        <v>5.1686599999999896E-4</v>
      </c>
      <c r="N5909">
        <v>0</v>
      </c>
      <c r="O5909">
        <v>-0.99992809999999999</v>
      </c>
      <c r="P5909">
        <v>0.1385219</v>
      </c>
      <c r="Q5909">
        <v>2.2560899999999998E-2</v>
      </c>
      <c r="R5909">
        <v>-0.99010260000000005</v>
      </c>
      <c r="S5909">
        <v>0.44268800000000003</v>
      </c>
      <c r="T5909">
        <v>1.2380479999999999E-2</v>
      </c>
      <c r="U5909">
        <v>-2.9678960000000001</v>
      </c>
      <c r="V5909">
        <v>-0.13814019999999999</v>
      </c>
      <c r="W5909">
        <v>3.3913140000000001E-2</v>
      </c>
      <c r="X5909">
        <v>0.98983189999999999</v>
      </c>
      <c r="Y5909">
        <v>-0.14701429999999999</v>
      </c>
      <c r="Z5909">
        <v>-4.1259460000000001E-3</v>
      </c>
      <c r="AA5909">
        <v>0.98912580000000005</v>
      </c>
      <c r="AB5909">
        <v>30</v>
      </c>
      <c r="AC5909">
        <v>6.9956999999999896</v>
      </c>
      <c r="AD5909">
        <v>0.195603999999999</v>
      </c>
      <c r="AE5909">
        <v>-46.626305000000002</v>
      </c>
      <c r="AF5909">
        <v>-6.9714777925689502</v>
      </c>
      <c r="AG5909">
        <v>0.195603999999999</v>
      </c>
      <c r="AH5909">
        <v>46.629112300757697</v>
      </c>
      <c r="AI5909">
        <v>89.762293919357504</v>
      </c>
      <c r="AJ5909">
        <v>98.503257469952601</v>
      </c>
      <c r="AK5909">
        <v>47.147787620351501</v>
      </c>
      <c r="AL5909">
        <v>88.056547564718201</v>
      </c>
      <c r="AM5909">
        <v>97.944841365177695</v>
      </c>
      <c r="AN5909">
        <v>1.00000000308915</v>
      </c>
    </row>
    <row r="5910" spans="1:40" x14ac:dyDescent="0.25">
      <c r="A5910" t="str">
        <f>"20190312160452801"</f>
        <v>20190312160452801</v>
      </c>
      <c r="B5910" t="str">
        <f>"1552377892791121"</f>
        <v>1552377892791121</v>
      </c>
      <c r="C5910" t="s">
        <v>40</v>
      </c>
      <c r="D5910">
        <v>5.443765</v>
      </c>
      <c r="E5910">
        <v>0.4945947</v>
      </c>
      <c r="F5910" t="s">
        <v>100</v>
      </c>
      <c r="G5910">
        <v>-415.08049999999997</v>
      </c>
      <c r="H5910">
        <v>1.6973689999999999</v>
      </c>
      <c r="I5910">
        <v>0.52742389999999995</v>
      </c>
      <c r="J5910">
        <v>-422.42439999999999</v>
      </c>
      <c r="K5910">
        <v>1.11172</v>
      </c>
      <c r="L5910">
        <v>47.613979999999998</v>
      </c>
      <c r="M5910">
        <v>2.6408730000000002E-3</v>
      </c>
      <c r="N5910">
        <v>0</v>
      </c>
      <c r="O5910">
        <v>-0.99992099999999995</v>
      </c>
      <c r="P5910">
        <v>0.140677</v>
      </c>
      <c r="Q5910">
        <v>2.2301990000000001E-2</v>
      </c>
      <c r="R5910">
        <v>-0.98980429999999997</v>
      </c>
      <c r="S5910">
        <v>0.45971679999999998</v>
      </c>
      <c r="T5910">
        <v>3.665388E-2</v>
      </c>
      <c r="U5910">
        <v>-2.9648439999999998</v>
      </c>
      <c r="V5910">
        <v>-0.13819960000000001</v>
      </c>
      <c r="W5910">
        <v>3.3913609999999997E-2</v>
      </c>
      <c r="X5910">
        <v>0.98982360000000003</v>
      </c>
      <c r="Y5910">
        <v>-0.15060309999999999</v>
      </c>
      <c r="Z5910">
        <v>-1.2218339999999999E-2</v>
      </c>
      <c r="AA5910">
        <v>0.98851880000000003</v>
      </c>
      <c r="AB5910">
        <v>30</v>
      </c>
      <c r="AC5910">
        <v>7.3439000000000103</v>
      </c>
      <c r="AD5910">
        <v>0.58564899999999898</v>
      </c>
      <c r="AE5910">
        <v>-47.086556100000003</v>
      </c>
      <c r="AF5910">
        <v>-7.2184252337346804</v>
      </c>
      <c r="AG5910">
        <v>0.58564899999999898</v>
      </c>
      <c r="AH5910">
        <v>47.098674668991201</v>
      </c>
      <c r="AI5910">
        <v>89.295813233029705</v>
      </c>
      <c r="AJ5910">
        <v>98.713449631009397</v>
      </c>
      <c r="AK5910">
        <v>47.652217190616497</v>
      </c>
      <c r="AL5910">
        <v>88.056520635097499</v>
      </c>
      <c r="AM5910">
        <v>97.948279776469803</v>
      </c>
      <c r="AN5910">
        <v>1.0000000107501701</v>
      </c>
    </row>
    <row r="5911" spans="1:40" x14ac:dyDescent="0.25">
      <c r="A5911" t="str">
        <f>"20190312160452816"</f>
        <v>20190312160452816</v>
      </c>
      <c r="B5911" t="str">
        <f>"1552377892811618"</f>
        <v>1552377892811618</v>
      </c>
      <c r="C5911" t="s">
        <v>40</v>
      </c>
      <c r="D5911">
        <v>5.4572440000000002</v>
      </c>
      <c r="E5911">
        <v>0.49539339999999998</v>
      </c>
      <c r="F5911" t="s">
        <v>100</v>
      </c>
      <c r="G5911">
        <v>-415.0505</v>
      </c>
      <c r="H5911">
        <v>1.516724</v>
      </c>
      <c r="I5911">
        <v>0.5277271</v>
      </c>
      <c r="J5911">
        <v>-422.42239999999998</v>
      </c>
      <c r="K5911">
        <v>1.111785</v>
      </c>
      <c r="L5911">
        <v>47.419800000000002</v>
      </c>
      <c r="M5911">
        <v>4.1208679999999998E-3</v>
      </c>
      <c r="N5911">
        <v>0</v>
      </c>
      <c r="O5911">
        <v>-0.99991410000000003</v>
      </c>
      <c r="P5911">
        <v>0.14235049999999999</v>
      </c>
      <c r="Q5911">
        <v>2.2906599999999999E-2</v>
      </c>
      <c r="R5911">
        <v>-0.98955150000000003</v>
      </c>
      <c r="S5911">
        <v>0.46423340000000002</v>
      </c>
      <c r="T5911">
        <v>2.549589E-2</v>
      </c>
      <c r="U5911">
        <v>-2.9643549999999999</v>
      </c>
      <c r="V5911">
        <v>-0.13841639999999999</v>
      </c>
      <c r="W5911">
        <v>3.4669899999999997E-2</v>
      </c>
      <c r="X5911">
        <v>0.98976710000000001</v>
      </c>
      <c r="Y5911">
        <v>-0.15064089999999999</v>
      </c>
      <c r="Z5911">
        <v>-8.4995260000000003E-3</v>
      </c>
      <c r="AA5911">
        <v>0.98855199999999999</v>
      </c>
      <c r="AB5911">
        <v>30</v>
      </c>
      <c r="AC5911">
        <v>7.3718999999999797</v>
      </c>
      <c r="AD5911">
        <v>0.40493899999999999</v>
      </c>
      <c r="AE5911">
        <v>-46.892072900000002</v>
      </c>
      <c r="AF5911">
        <v>-7.1780640172815398</v>
      </c>
      <c r="AG5911">
        <v>0.40493899999999999</v>
      </c>
      <c r="AH5911">
        <v>46.918641199861803</v>
      </c>
      <c r="AI5911">
        <v>89.511198718950993</v>
      </c>
      <c r="AJ5911">
        <v>98.698213749475599</v>
      </c>
      <c r="AK5911">
        <v>47.466277194143601</v>
      </c>
      <c r="AL5911">
        <v>88.013162901777804</v>
      </c>
      <c r="AM5911">
        <v>97.961037478167199</v>
      </c>
      <c r="AN5911">
        <v>1.0000000069986901</v>
      </c>
    </row>
    <row r="5912" spans="1:40" x14ac:dyDescent="0.25">
      <c r="A5912" t="str">
        <f>"20190312160452829"</f>
        <v>20190312160452829</v>
      </c>
      <c r="B5912" t="str">
        <f>"1552377892821378"</f>
        <v>1552377892821378</v>
      </c>
      <c r="C5912" t="s">
        <v>40</v>
      </c>
      <c r="D5912">
        <v>5.4853319999999997</v>
      </c>
      <c r="E5912">
        <v>0.4957511</v>
      </c>
      <c r="F5912" t="s">
        <v>100</v>
      </c>
      <c r="G5912">
        <v>-415.23989999999998</v>
      </c>
      <c r="H5912">
        <v>1.066349</v>
      </c>
      <c r="I5912">
        <v>1.2804279999999999</v>
      </c>
      <c r="J5912">
        <v>-422.4205</v>
      </c>
      <c r="K5912">
        <v>1.111839</v>
      </c>
      <c r="L5912">
        <v>47.25412</v>
      </c>
      <c r="M5912">
        <v>5.4137019999999899E-3</v>
      </c>
      <c r="N5912">
        <v>0</v>
      </c>
      <c r="O5912">
        <v>-0.99990590000000001</v>
      </c>
      <c r="P5912">
        <v>0.14392679999999999</v>
      </c>
      <c r="Q5912">
        <v>2.3715730000000001E-2</v>
      </c>
      <c r="R5912">
        <v>-0.98930419999999997</v>
      </c>
      <c r="S5912">
        <v>0.46160889999999999</v>
      </c>
      <c r="T5912">
        <v>-2.9217000000000002E-3</v>
      </c>
      <c r="U5912">
        <v>-2.9653320000000001</v>
      </c>
      <c r="V5912">
        <v>-0.13872100000000001</v>
      </c>
      <c r="W5912">
        <v>3.5600119999999999E-2</v>
      </c>
      <c r="X5912">
        <v>0.9896914</v>
      </c>
      <c r="Y5912">
        <v>-0.14846400000000001</v>
      </c>
      <c r="Z5912">
        <v>9.7393960000000004E-4</v>
      </c>
      <c r="AA5912">
        <v>0.98891739999999995</v>
      </c>
      <c r="AB5912">
        <v>30</v>
      </c>
      <c r="AC5912">
        <v>7.1806000000000196</v>
      </c>
      <c r="AD5912">
        <v>-4.5490000000000003E-2</v>
      </c>
      <c r="AE5912">
        <v>-45.973692</v>
      </c>
      <c r="AF5912">
        <v>-6.93158048980247</v>
      </c>
      <c r="AG5912">
        <v>-4.5490000000000003E-2</v>
      </c>
      <c r="AH5912">
        <v>46.011850926799099</v>
      </c>
      <c r="AI5912">
        <v>90.056013887726493</v>
      </c>
      <c r="AJ5912">
        <v>98.567057208415093</v>
      </c>
      <c r="AK5912">
        <v>46.531057404025297</v>
      </c>
      <c r="AL5912">
        <v>87.959832228888203</v>
      </c>
      <c r="AM5912">
        <v>97.978933633888602</v>
      </c>
      <c r="AN5912">
        <v>0.99999997580948696</v>
      </c>
    </row>
    <row r="5913" spans="1:40" x14ac:dyDescent="0.25">
      <c r="A5913" t="str">
        <f>"20190312160452847"</f>
        <v>20190312160452847</v>
      </c>
      <c r="B5913" t="str">
        <f>"1552377892840898"</f>
        <v>1552377892840898</v>
      </c>
      <c r="C5913" t="s">
        <v>40</v>
      </c>
      <c r="D5913">
        <v>5.508089</v>
      </c>
      <c r="E5913">
        <v>0.49533820000000001</v>
      </c>
      <c r="F5913" t="s">
        <v>100</v>
      </c>
      <c r="G5913">
        <v>-415.23140000000001</v>
      </c>
      <c r="H5913">
        <v>0.95014569999999998</v>
      </c>
      <c r="I5913">
        <v>1.280462</v>
      </c>
      <c r="J5913">
        <v>-422.4171</v>
      </c>
      <c r="K5913">
        <v>1.1119139999999901</v>
      </c>
      <c r="L5913">
        <v>47.013890000000004</v>
      </c>
      <c r="M5913">
        <v>7.3587009999999996E-3</v>
      </c>
      <c r="N5913">
        <v>0</v>
      </c>
      <c r="O5913">
        <v>-0.99989159999999999</v>
      </c>
      <c r="P5913">
        <v>0.146538</v>
      </c>
      <c r="Q5913">
        <v>2.4526240000000001E-2</v>
      </c>
      <c r="R5913">
        <v>-0.98890129999999998</v>
      </c>
      <c r="S5913">
        <v>0.46368409999999899</v>
      </c>
      <c r="T5913">
        <v>-1.043057E-2</v>
      </c>
      <c r="U5913">
        <v>-2.9652400000000001</v>
      </c>
      <c r="V5913">
        <v>-0.1394193</v>
      </c>
      <c r="W5913">
        <v>3.6564600000000003E-2</v>
      </c>
      <c r="X5913">
        <v>0.9895581</v>
      </c>
      <c r="Y5913">
        <v>-0.14721960000000001</v>
      </c>
      <c r="Z5913">
        <v>3.4771590000000001E-3</v>
      </c>
      <c r="AA5913">
        <v>0.98909769999999997</v>
      </c>
      <c r="AB5913">
        <v>29</v>
      </c>
      <c r="AC5913">
        <v>7.18569999999999</v>
      </c>
      <c r="AD5913">
        <v>-0.161768299999999</v>
      </c>
      <c r="AE5913">
        <v>-45.733428000000004</v>
      </c>
      <c r="AF5913">
        <v>-6.8488557916095703</v>
      </c>
      <c r="AG5913">
        <v>-0.161768299999999</v>
      </c>
      <c r="AH5913">
        <v>45.784512211660903</v>
      </c>
      <c r="AI5913">
        <v>90.200212040664198</v>
      </c>
      <c r="AJ5913">
        <v>98.507729427337694</v>
      </c>
      <c r="AK5913">
        <v>46.294217274913301</v>
      </c>
      <c r="AL5913">
        <v>87.904535576379402</v>
      </c>
      <c r="AM5913">
        <v>98.019643335240602</v>
      </c>
      <c r="AN5913">
        <v>0.99999997223062898</v>
      </c>
    </row>
    <row r="5914" spans="1:40" x14ac:dyDescent="0.25">
      <c r="A5914" t="str">
        <f>"20190312160452862"</f>
        <v>20190312160452862</v>
      </c>
      <c r="B5914" t="str">
        <f>"1552377892851634"</f>
        <v>1552377892851634</v>
      </c>
      <c r="C5914" t="s">
        <v>40</v>
      </c>
      <c r="D5914">
        <v>5.5021259999999996</v>
      </c>
      <c r="E5914">
        <v>0.49527339999999997</v>
      </c>
      <c r="F5914" t="s">
        <v>100</v>
      </c>
      <c r="G5914">
        <v>-414.9588</v>
      </c>
      <c r="H5914">
        <v>1.340487</v>
      </c>
      <c r="I5914">
        <v>0.52865790000000001</v>
      </c>
      <c r="J5914">
        <v>-422.41399999999999</v>
      </c>
      <c r="K5914">
        <v>1.1119730000000001</v>
      </c>
      <c r="L5914">
        <v>46.81671</v>
      </c>
      <c r="M5914">
        <v>9.0154950000000001E-3</v>
      </c>
      <c r="N5914">
        <v>0</v>
      </c>
      <c r="O5914">
        <v>-0.99987610000000005</v>
      </c>
      <c r="P5914">
        <v>0.1488236</v>
      </c>
      <c r="Q5914">
        <v>2.4792040000000001E-2</v>
      </c>
      <c r="R5914">
        <v>-0.98855340000000003</v>
      </c>
      <c r="S5914">
        <v>0.47537230000000003</v>
      </c>
      <c r="T5914">
        <v>1.4567139999999999E-2</v>
      </c>
      <c r="U5914">
        <v>-2.96286</v>
      </c>
      <c r="V5914">
        <v>-0.14007420000000001</v>
      </c>
      <c r="W5914">
        <v>3.6941050000000003E-2</v>
      </c>
      <c r="X5914">
        <v>0.98945159999999999</v>
      </c>
      <c r="Y5914">
        <v>-0.149507</v>
      </c>
      <c r="Z5914">
        <v>-4.857531E-3</v>
      </c>
      <c r="AA5914">
        <v>0.98874870000000004</v>
      </c>
      <c r="AB5914">
        <v>29</v>
      </c>
      <c r="AC5914">
        <v>7.4551999999999898</v>
      </c>
      <c r="AD5914">
        <v>0.22851399999999999</v>
      </c>
      <c r="AE5914">
        <v>-46.288052100000002</v>
      </c>
      <c r="AF5914">
        <v>-7.0373853412918503</v>
      </c>
      <c r="AG5914">
        <v>0.22851399999999999</v>
      </c>
      <c r="AH5914">
        <v>46.352287411037501</v>
      </c>
      <c r="AI5914">
        <v>89.720737707203995</v>
      </c>
      <c r="AJ5914">
        <v>98.632940739055499</v>
      </c>
      <c r="AK5914">
        <v>46.884022431159302</v>
      </c>
      <c r="AL5914">
        <v>87.8829519411333</v>
      </c>
      <c r="AM5914">
        <v>98.057676647932894</v>
      </c>
      <c r="AN5914">
        <v>0.99999994571164896</v>
      </c>
    </row>
    <row r="5915" spans="1:40" x14ac:dyDescent="0.25">
      <c r="A5915" t="str">
        <f>"20190312160452879"</f>
        <v>20190312160452879</v>
      </c>
      <c r="B5915" t="str">
        <f>"1552377892871154"</f>
        <v>1552377892871154</v>
      </c>
      <c r="C5915" t="s">
        <v>40</v>
      </c>
      <c r="D5915">
        <v>5.4936920000000002</v>
      </c>
      <c r="E5915">
        <v>0.49531140000000001</v>
      </c>
      <c r="F5915" t="s">
        <v>100</v>
      </c>
      <c r="G5915">
        <v>-414.86599999999999</v>
      </c>
      <c r="H5915">
        <v>1.5023979999999999</v>
      </c>
      <c r="I5915">
        <v>0.52960399999999996</v>
      </c>
      <c r="J5915">
        <v>-422.40980000000002</v>
      </c>
      <c r="K5915">
        <v>1.1120410000000001</v>
      </c>
      <c r="L5915">
        <v>46.586489999999998</v>
      </c>
      <c r="M5915">
        <v>1.099493E-2</v>
      </c>
      <c r="N5915">
        <v>0</v>
      </c>
      <c r="O5915">
        <v>-0.99985429999999997</v>
      </c>
      <c r="P5915">
        <v>0.15173130000000001</v>
      </c>
      <c r="Q5915">
        <v>2.5351039999999998E-2</v>
      </c>
      <c r="R5915">
        <v>-0.98809669999999905</v>
      </c>
      <c r="S5915">
        <v>0.48291020000000001</v>
      </c>
      <c r="T5915">
        <v>2.497721E-2</v>
      </c>
      <c r="U5915">
        <v>-2.961395</v>
      </c>
      <c r="V5915">
        <v>-0.14103489999999999</v>
      </c>
      <c r="W5915">
        <v>3.7615780000000001E-2</v>
      </c>
      <c r="X5915">
        <v>0.9892898</v>
      </c>
      <c r="Y5915">
        <v>-0.15007479999999901</v>
      </c>
      <c r="Z5915">
        <v>-8.3304350000000006E-3</v>
      </c>
      <c r="AA5915">
        <v>0.9886395</v>
      </c>
      <c r="AB5915">
        <v>29</v>
      </c>
      <c r="AC5915">
        <v>7.5438000000000303</v>
      </c>
      <c r="AD5915">
        <v>0.39035699999999901</v>
      </c>
      <c r="AE5915">
        <v>-46.056885999999999</v>
      </c>
      <c r="AF5915">
        <v>-7.0364162653956104</v>
      </c>
      <c r="AG5915">
        <v>0.39035699999999901</v>
      </c>
      <c r="AH5915">
        <v>46.133824764476898</v>
      </c>
      <c r="AI5915">
        <v>89.520750799999405</v>
      </c>
      <c r="AJ5915">
        <v>98.672024866511094</v>
      </c>
      <c r="AK5915">
        <v>46.668975988839101</v>
      </c>
      <c r="AL5915">
        <v>87.844266090100305</v>
      </c>
      <c r="AM5915">
        <v>98.113516243131002</v>
      </c>
      <c r="AN5915">
        <v>1.0000000491535199</v>
      </c>
    </row>
    <row r="5916" spans="1:40" x14ac:dyDescent="0.25">
      <c r="A5916" t="str">
        <f>"20190312160452896"</f>
        <v>20190312160452896</v>
      </c>
      <c r="B5916" t="str">
        <f>"1552377892891651"</f>
        <v>1552377892891651</v>
      </c>
      <c r="C5916" t="s">
        <v>40</v>
      </c>
      <c r="D5916">
        <v>5.508661</v>
      </c>
      <c r="E5916">
        <v>0.49591459999999998</v>
      </c>
      <c r="F5916" t="s">
        <v>100</v>
      </c>
      <c r="G5916">
        <v>-414.7715</v>
      </c>
      <c r="H5916">
        <v>1.482656</v>
      </c>
      <c r="I5916">
        <v>0.53056340000000002</v>
      </c>
      <c r="J5916">
        <v>-422.40570000000002</v>
      </c>
      <c r="K5916">
        <v>1.1120920000000001</v>
      </c>
      <c r="L5916">
        <v>46.382779999999997</v>
      </c>
      <c r="M5916">
        <v>1.2792889999999999E-2</v>
      </c>
      <c r="N5916">
        <v>0</v>
      </c>
      <c r="O5916">
        <v>-0.99983140000000004</v>
      </c>
      <c r="P5916">
        <v>0.15406239999999999</v>
      </c>
      <c r="Q5916">
        <v>2.5492239999999999E-2</v>
      </c>
      <c r="R5916">
        <v>-0.98773219999999995</v>
      </c>
      <c r="S5916">
        <v>0.49093629999999999</v>
      </c>
      <c r="T5916">
        <v>2.3818849999999999E-2</v>
      </c>
      <c r="U5916">
        <v>-2.9601440000000001</v>
      </c>
      <c r="V5916">
        <v>-0.14159639999999901</v>
      </c>
      <c r="W5916">
        <v>3.7849750000000001E-2</v>
      </c>
      <c r="X5916">
        <v>0.98920059999999999</v>
      </c>
      <c r="Y5916">
        <v>-0.15097369999999999</v>
      </c>
      <c r="Z5916">
        <v>-7.9448950000000004E-3</v>
      </c>
      <c r="AA5916">
        <v>0.98850579999999999</v>
      </c>
      <c r="AB5916">
        <v>29</v>
      </c>
      <c r="AC5916">
        <v>7.6342000000000203</v>
      </c>
      <c r="AD5916">
        <v>0.37056399999999901</v>
      </c>
      <c r="AE5916">
        <v>-45.852216599999998</v>
      </c>
      <c r="AF5916">
        <v>-7.0464940868685604</v>
      </c>
      <c r="AG5916">
        <v>0.37056399999999901</v>
      </c>
      <c r="AH5916">
        <v>45.9432159157275</v>
      </c>
      <c r="AI5916">
        <v>89.543220779015201</v>
      </c>
      <c r="AJ5916">
        <v>98.719732589632002</v>
      </c>
      <c r="AK5916">
        <v>46.481926436772397</v>
      </c>
      <c r="AL5916">
        <v>87.830850905859194</v>
      </c>
      <c r="AM5916">
        <v>98.146110465586304</v>
      </c>
      <c r="AN5916">
        <v>0.99999998555419101</v>
      </c>
    </row>
    <row r="5917" spans="1:40" x14ac:dyDescent="0.25">
      <c r="A5917" t="str">
        <f>"20190312160452909"</f>
        <v>20190312160452909</v>
      </c>
      <c r="B5917" t="str">
        <f>"1552377892901410"</f>
        <v>1552377892901410</v>
      </c>
      <c r="C5917" t="s">
        <v>40</v>
      </c>
      <c r="D5917">
        <v>5.4911810000000001</v>
      </c>
      <c r="E5917">
        <v>0.49622889999999997</v>
      </c>
      <c r="F5917" t="s">
        <v>100</v>
      </c>
      <c r="G5917">
        <v>-414.76499999999999</v>
      </c>
      <c r="H5917">
        <v>1.1718249999999999</v>
      </c>
      <c r="I5917">
        <v>0.53063009999999999</v>
      </c>
      <c r="J5917">
        <v>-422.40190000000001</v>
      </c>
      <c r="K5917">
        <v>1.1121350000000001</v>
      </c>
      <c r="L5917">
        <v>46.205750000000002</v>
      </c>
      <c r="M5917">
        <v>1.4385790000000001E-2</v>
      </c>
      <c r="N5917">
        <v>0</v>
      </c>
      <c r="O5917">
        <v>-0.99980869999999999</v>
      </c>
      <c r="P5917">
        <v>0.1560995</v>
      </c>
      <c r="Q5917">
        <v>2.572083E-2</v>
      </c>
      <c r="R5917">
        <v>-0.98740640000000002</v>
      </c>
      <c r="S5917">
        <v>0.49328610000000001</v>
      </c>
      <c r="T5917">
        <v>3.8548710000000002E-3</v>
      </c>
      <c r="U5917">
        <v>-2.9602360000000001</v>
      </c>
      <c r="V5917">
        <v>-0.14206640000000001</v>
      </c>
      <c r="W5917">
        <v>3.8152789999999999E-2</v>
      </c>
      <c r="X5917">
        <v>0.98912160000000005</v>
      </c>
      <c r="Y5917">
        <v>-0.1501624</v>
      </c>
      <c r="Z5917">
        <v>-1.2857669999999999E-3</v>
      </c>
      <c r="AA5917">
        <v>0.98866050000000005</v>
      </c>
      <c r="AB5917">
        <v>29</v>
      </c>
      <c r="AC5917">
        <v>7.6369000000000202</v>
      </c>
      <c r="AD5917">
        <v>5.9689999999999799E-2</v>
      </c>
      <c r="AE5917">
        <v>-45.675119899999999</v>
      </c>
      <c r="AF5917">
        <v>-6.9789676079250302</v>
      </c>
      <c r="AG5917">
        <v>5.9689999999999799E-2</v>
      </c>
      <c r="AH5917">
        <v>45.780188999636799</v>
      </c>
      <c r="AI5917">
        <v>89.926148769427897</v>
      </c>
      <c r="AJ5917">
        <v>98.667729971348095</v>
      </c>
      <c r="AK5917">
        <v>46.309127141536898</v>
      </c>
      <c r="AL5917">
        <v>87.813475514111801</v>
      </c>
      <c r="AM5917">
        <v>98.173429034153003</v>
      </c>
      <c r="AN5917">
        <v>1.0000000184901501</v>
      </c>
    </row>
    <row r="5918" spans="1:40" x14ac:dyDescent="0.25">
      <c r="A5918" t="str">
        <f>"20190312160452922"</f>
        <v>20190312160452922</v>
      </c>
      <c r="B5918" t="str">
        <f>"1552377892911170"</f>
        <v>1552377892911170</v>
      </c>
      <c r="C5918" t="s">
        <v>40</v>
      </c>
      <c r="D5918">
        <v>5.5088699999999999</v>
      </c>
      <c r="E5918">
        <v>0.49638389999999999</v>
      </c>
      <c r="F5918" t="s">
        <v>100</v>
      </c>
      <c r="G5918">
        <v>-414.7407</v>
      </c>
      <c r="H5918">
        <v>1.0718939999999999</v>
      </c>
      <c r="I5918">
        <v>0.53087810000000002</v>
      </c>
      <c r="J5918">
        <v>-422.39769999999999</v>
      </c>
      <c r="K5918">
        <v>1.1121799999999999</v>
      </c>
      <c r="L5918">
        <v>46.031590000000001</v>
      </c>
      <c r="M5918">
        <v>1.599267E-2</v>
      </c>
      <c r="N5918">
        <v>0</v>
      </c>
      <c r="O5918">
        <v>-0.99978310000000004</v>
      </c>
      <c r="P5918">
        <v>0.15843550000000001</v>
      </c>
      <c r="Q5918">
        <v>2.575798E-2</v>
      </c>
      <c r="R5918">
        <v>-0.98703339999999995</v>
      </c>
      <c r="S5918">
        <v>0.49646000000000001</v>
      </c>
      <c r="T5918">
        <v>-2.6091339999999999E-3</v>
      </c>
      <c r="U5918">
        <v>-2.9598390000000001</v>
      </c>
      <c r="V5918">
        <v>-0.1428219</v>
      </c>
      <c r="W5918">
        <v>3.8252380000000002E-2</v>
      </c>
      <c r="X5918">
        <v>0.98900889999999997</v>
      </c>
      <c r="Y5918">
        <v>-0.14962629999999999</v>
      </c>
      <c r="Z5918">
        <v>8.7030210000000002E-4</v>
      </c>
      <c r="AA5918">
        <v>0.98874220000000002</v>
      </c>
      <c r="AB5918">
        <v>29</v>
      </c>
      <c r="AC5918">
        <v>7.6569999999999796</v>
      </c>
      <c r="AD5918">
        <v>-4.0285999999999801E-2</v>
      </c>
      <c r="AE5918">
        <v>-45.500711899999999</v>
      </c>
      <c r="AF5918">
        <v>-6.9282726456119796</v>
      </c>
      <c r="AG5918">
        <v>-4.0285999999999801E-2</v>
      </c>
      <c r="AH5918">
        <v>45.617323733807297</v>
      </c>
      <c r="AI5918">
        <v>90.050025891690197</v>
      </c>
      <c r="AJ5918">
        <v>98.635976056467996</v>
      </c>
      <c r="AK5918">
        <v>46.140468240457999</v>
      </c>
      <c r="AL5918">
        <v>87.8077651571367</v>
      </c>
      <c r="AM5918">
        <v>98.217226383010598</v>
      </c>
      <c r="AN5918">
        <v>0.999999971987241</v>
      </c>
    </row>
    <row r="5919" spans="1:40" x14ac:dyDescent="0.25">
      <c r="A5919" t="str">
        <f>"20190312160452937"</f>
        <v>20190312160452937</v>
      </c>
      <c r="B5919" t="str">
        <f>"1552377892930690"</f>
        <v>1552377892930690</v>
      </c>
      <c r="C5919" t="s">
        <v>40</v>
      </c>
      <c r="D5919">
        <v>6.1457839999999999</v>
      </c>
      <c r="E5919">
        <v>0.4963399</v>
      </c>
      <c r="F5919" t="s">
        <v>100</v>
      </c>
      <c r="G5919">
        <v>-414.68180000000001</v>
      </c>
      <c r="H5919">
        <v>0.97946469999999997</v>
      </c>
      <c r="I5919">
        <v>0.53147699999999998</v>
      </c>
      <c r="J5919">
        <v>-422.39299999999997</v>
      </c>
      <c r="K5919">
        <v>1.1122179999999999</v>
      </c>
      <c r="L5919">
        <v>45.848179999999999</v>
      </c>
      <c r="M5919">
        <v>1.771416E-2</v>
      </c>
      <c r="N5919">
        <v>0</v>
      </c>
      <c r="O5919">
        <v>-0.999753</v>
      </c>
      <c r="P5919">
        <v>0.16142110000000001</v>
      </c>
      <c r="Q5919">
        <v>2.5699489999999998E-2</v>
      </c>
      <c r="R5919">
        <v>-0.98655090000000001</v>
      </c>
      <c r="S5919">
        <v>0.50180049999999998</v>
      </c>
      <c r="T5919">
        <v>-8.632898E-3</v>
      </c>
      <c r="U5919">
        <v>-2.959076</v>
      </c>
      <c r="V5919">
        <v>-0.14411489999999999</v>
      </c>
      <c r="W5919">
        <v>3.8249529999999997E-2</v>
      </c>
      <c r="X5919">
        <v>0.98882139999999996</v>
      </c>
      <c r="Y5919">
        <v>-0.14969979999999999</v>
      </c>
      <c r="Z5919">
        <v>2.8797380000000002E-3</v>
      </c>
      <c r="AA5919">
        <v>0.98872729999999998</v>
      </c>
      <c r="AB5919">
        <v>29</v>
      </c>
      <c r="AC5919">
        <v>7.7112000000000096</v>
      </c>
      <c r="AD5919">
        <v>-0.13275329999999999</v>
      </c>
      <c r="AE5919">
        <v>-45.316702999999997</v>
      </c>
      <c r="AF5919">
        <v>-6.9071125819756398</v>
      </c>
      <c r="AG5919">
        <v>-0.13275329999999999</v>
      </c>
      <c r="AH5919">
        <v>45.445821871474003</v>
      </c>
      <c r="AI5919">
        <v>90.165467926063897</v>
      </c>
      <c r="AJ5919">
        <v>98.641998710636301</v>
      </c>
      <c r="AK5919">
        <v>45.967907862251998</v>
      </c>
      <c r="AL5919">
        <v>87.807928512759901</v>
      </c>
      <c r="AM5919">
        <v>98.292139532707097</v>
      </c>
      <c r="AN5919">
        <v>0.99999994602259401</v>
      </c>
    </row>
    <row r="5920" spans="1:40" x14ac:dyDescent="0.25">
      <c r="A5920" t="str">
        <f>"20190312160452958"</f>
        <v>20190312160452958</v>
      </c>
      <c r="B5920" t="str">
        <f>"1552377892951186"</f>
        <v>1552377892951186</v>
      </c>
      <c r="C5920" t="s">
        <v>40</v>
      </c>
      <c r="D5920">
        <v>5.7720630000000002</v>
      </c>
      <c r="E5920">
        <v>0.49677179999999999</v>
      </c>
      <c r="F5920" t="s">
        <v>100</v>
      </c>
      <c r="G5920">
        <v>-414.56270000000001</v>
      </c>
      <c r="H5920">
        <v>0.86871480000000001</v>
      </c>
      <c r="I5920">
        <v>0.532686199999999</v>
      </c>
      <c r="J5920">
        <v>-422.38490000000002</v>
      </c>
      <c r="K5920">
        <v>1.1122829999999999</v>
      </c>
      <c r="L5920">
        <v>45.559939999999997</v>
      </c>
      <c r="M5920">
        <v>2.047846E-2</v>
      </c>
      <c r="N5920">
        <v>0</v>
      </c>
      <c r="O5920">
        <v>-0.9996988</v>
      </c>
      <c r="P5920">
        <v>0.16474900000000001</v>
      </c>
      <c r="Q5920">
        <v>2.5506270000000001E-2</v>
      </c>
      <c r="R5920">
        <v>-0.98600600000000005</v>
      </c>
      <c r="S5920">
        <v>0.51107789999999997</v>
      </c>
      <c r="T5920">
        <v>-1.5895010000000001E-2</v>
      </c>
      <c r="U5920">
        <v>-2.957703</v>
      </c>
      <c r="V5920">
        <v>-0.1447223</v>
      </c>
      <c r="W5920">
        <v>3.8142790000000003E-2</v>
      </c>
      <c r="X5920">
        <v>0.98873690000000003</v>
      </c>
      <c r="Y5920">
        <v>-0.15005289999999999</v>
      </c>
      <c r="Z5920">
        <v>5.3026289999999997E-3</v>
      </c>
      <c r="AA5920">
        <v>0.98866370000000003</v>
      </c>
      <c r="AB5920">
        <v>29</v>
      </c>
      <c r="AC5920">
        <v>7.8221999999999996</v>
      </c>
      <c r="AD5920">
        <v>-0.24356819999999901</v>
      </c>
      <c r="AE5920">
        <v>-45.027253799999997</v>
      </c>
      <c r="AF5920">
        <v>-6.8981902332021798</v>
      </c>
      <c r="AG5920">
        <v>-0.24356819999999901</v>
      </c>
      <c r="AH5920">
        <v>45.176727672941198</v>
      </c>
      <c r="AI5920">
        <v>90.305365244366996</v>
      </c>
      <c r="AJ5920">
        <v>98.681632882254505</v>
      </c>
      <c r="AK5920">
        <v>45.700996457370401</v>
      </c>
      <c r="AL5920">
        <v>87.814048929697506</v>
      </c>
      <c r="AM5920">
        <v>98.327300990547201</v>
      </c>
      <c r="AN5920">
        <v>1.0000000369839399</v>
      </c>
    </row>
    <row r="5921" spans="1:40" x14ac:dyDescent="0.25">
      <c r="A5921" t="str">
        <f>"20190312160452980"</f>
        <v>20190312160452980</v>
      </c>
      <c r="B5921" t="str">
        <f>"1552377892970706"</f>
        <v>1552377892970706</v>
      </c>
      <c r="C5921" t="s">
        <v>40</v>
      </c>
      <c r="D5921">
        <v>5.5672350000000002</v>
      </c>
      <c r="E5921">
        <v>0.4963825</v>
      </c>
      <c r="F5921" t="s">
        <v>100</v>
      </c>
      <c r="G5921">
        <v>-414.49709999999999</v>
      </c>
      <c r="H5921">
        <v>0.98177610000000004</v>
      </c>
      <c r="I5921">
        <v>0.53335189999999999</v>
      </c>
      <c r="J5921">
        <v>-422.37630000000001</v>
      </c>
      <c r="K5921">
        <v>1.112347</v>
      </c>
      <c r="L5921">
        <v>45.280149999999999</v>
      </c>
      <c r="M5921">
        <v>2.323325E-2</v>
      </c>
      <c r="N5921">
        <v>0</v>
      </c>
      <c r="O5921">
        <v>-0.99963709999999995</v>
      </c>
      <c r="P5921">
        <v>0.1676578</v>
      </c>
      <c r="Q5921">
        <v>2.6171010000000001E-2</v>
      </c>
      <c r="R5921">
        <v>-0.98549799999999999</v>
      </c>
      <c r="S5921">
        <v>0.51788329999999905</v>
      </c>
      <c r="T5921">
        <v>-8.5703129999999995E-3</v>
      </c>
      <c r="U5921">
        <v>-2.9562680000000001</v>
      </c>
      <c r="V5921">
        <v>-0.14492469999999999</v>
      </c>
      <c r="W5921">
        <v>3.8880390000000001E-2</v>
      </c>
      <c r="X5921">
        <v>0.98867850000000002</v>
      </c>
      <c r="Y5921">
        <v>-0.14961959999999999</v>
      </c>
      <c r="Z5921">
        <v>2.8597549999999998E-3</v>
      </c>
      <c r="AA5921">
        <v>0.98873949999999999</v>
      </c>
      <c r="AB5921">
        <v>29</v>
      </c>
      <c r="AC5921">
        <v>7.8792000000000204</v>
      </c>
      <c r="AD5921">
        <v>-0.13057089999999899</v>
      </c>
      <c r="AE5921">
        <v>-44.746798099999999</v>
      </c>
      <c r="AF5921">
        <v>-6.8373061336537999</v>
      </c>
      <c r="AG5921">
        <v>-0.13057089999999899</v>
      </c>
      <c r="AH5921">
        <v>44.9174229067007</v>
      </c>
      <c r="AI5921">
        <v>90.164656523606794</v>
      </c>
      <c r="AJ5921">
        <v>98.655092700426593</v>
      </c>
      <c r="AK5921">
        <v>45.435016061454498</v>
      </c>
      <c r="AL5921">
        <v>87.771756139331401</v>
      </c>
      <c r="AM5921">
        <v>98.339269044800204</v>
      </c>
      <c r="AN5921">
        <v>1.0000000148794399</v>
      </c>
    </row>
    <row r="5922" spans="1:40" x14ac:dyDescent="0.25">
      <c r="A5922" t="str">
        <f>"20190312160452999"</f>
        <v>20190312160452999</v>
      </c>
      <c r="B5922" t="str">
        <f>"1552377892991202"</f>
        <v>1552377892991202</v>
      </c>
      <c r="C5922" t="s">
        <v>40</v>
      </c>
      <c r="D5922">
        <v>5.5707000000000004</v>
      </c>
      <c r="E5922">
        <v>0.4968574</v>
      </c>
      <c r="F5922" t="s">
        <v>100</v>
      </c>
      <c r="G5922">
        <v>-414.35210000000001</v>
      </c>
      <c r="H5922">
        <v>1.164447</v>
      </c>
      <c r="I5922">
        <v>0.53483199999999997</v>
      </c>
      <c r="J5922">
        <v>-422.36840000000001</v>
      </c>
      <c r="K5922">
        <v>1.112398</v>
      </c>
      <c r="L5922">
        <v>45.047420000000002</v>
      </c>
      <c r="M5922">
        <v>2.557825E-2</v>
      </c>
      <c r="N5922">
        <v>0</v>
      </c>
      <c r="O5922">
        <v>-0.99957890000000005</v>
      </c>
      <c r="P5922">
        <v>0.17031209999999999</v>
      </c>
      <c r="Q5922">
        <v>2.6247429999999999E-2</v>
      </c>
      <c r="R5922">
        <v>-0.98504049999999999</v>
      </c>
      <c r="S5922">
        <v>0.52972410000000003</v>
      </c>
      <c r="T5922">
        <v>3.4377570000000001E-3</v>
      </c>
      <c r="U5922">
        <v>-2.9539179999999998</v>
      </c>
      <c r="V5922">
        <v>-0.1452743</v>
      </c>
      <c r="W5922">
        <v>3.9007130000000001E-2</v>
      </c>
      <c r="X5922">
        <v>0.98862220000000001</v>
      </c>
      <c r="Y5922">
        <v>-0.15127660000000001</v>
      </c>
      <c r="Z5922">
        <v>-1.1473760000000001E-3</v>
      </c>
      <c r="AA5922">
        <v>0.9884908</v>
      </c>
      <c r="AB5922">
        <v>29</v>
      </c>
      <c r="AC5922">
        <v>8.0162999999999993</v>
      </c>
      <c r="AD5922">
        <v>5.2048999999999998E-2</v>
      </c>
      <c r="AE5922">
        <v>-44.512588000000001</v>
      </c>
      <c r="AF5922">
        <v>-6.8750066383581796</v>
      </c>
      <c r="AG5922">
        <v>5.2048999999999998E-2</v>
      </c>
      <c r="AH5922">
        <v>44.703024748715102</v>
      </c>
      <c r="AI5922">
        <v>89.934064136434202</v>
      </c>
      <c r="AJ5922">
        <v>98.743180093429004</v>
      </c>
      <c r="AK5922">
        <v>45.228628622368198</v>
      </c>
      <c r="AL5922">
        <v>87.764488962846897</v>
      </c>
      <c r="AM5922">
        <v>98.359571154410403</v>
      </c>
      <c r="AN5922">
        <v>1.0000000163820799</v>
      </c>
    </row>
    <row r="5923" spans="1:40" x14ac:dyDescent="0.25">
      <c r="A5923" t="str">
        <f>"20190312160453014"</f>
        <v>20190312160453014</v>
      </c>
      <c r="B5923" t="str">
        <f>"1552377893010723"</f>
        <v>1552377893010723</v>
      </c>
      <c r="C5923" t="s">
        <v>40</v>
      </c>
      <c r="D5923">
        <v>5.5539269999999998</v>
      </c>
      <c r="E5923">
        <v>0.49718069999999998</v>
      </c>
      <c r="F5923" t="s">
        <v>100</v>
      </c>
      <c r="G5923">
        <v>-414.31549999999999</v>
      </c>
      <c r="H5923">
        <v>1.0251980000000001</v>
      </c>
      <c r="I5923">
        <v>0.53520009999999996</v>
      </c>
      <c r="J5923">
        <v>-422.36099999999999</v>
      </c>
      <c r="K5923">
        <v>1.1124419999999999</v>
      </c>
      <c r="L5923">
        <v>44.841639999999998</v>
      </c>
      <c r="M5923">
        <v>2.7690550000000001E-2</v>
      </c>
      <c r="N5923">
        <v>0</v>
      </c>
      <c r="O5923">
        <v>-0.99952189999999996</v>
      </c>
      <c r="P5923">
        <v>0.17299200000000001</v>
      </c>
      <c r="Q5923">
        <v>2.6940579999999999E-2</v>
      </c>
      <c r="R5923">
        <v>-0.98455499999999996</v>
      </c>
      <c r="S5923">
        <v>0.53430180000000005</v>
      </c>
      <c r="T5923">
        <v>-5.7874919999999896E-3</v>
      </c>
      <c r="U5923">
        <v>-2.9533390000000002</v>
      </c>
      <c r="V5923">
        <v>-0.14588329999999999</v>
      </c>
      <c r="W5923">
        <v>3.9736130000000001E-2</v>
      </c>
      <c r="X5923">
        <v>0.98850349999999998</v>
      </c>
      <c r="Y5923">
        <v>-0.15070520000000001</v>
      </c>
      <c r="Z5923">
        <v>1.9316450000000001E-3</v>
      </c>
      <c r="AA5923">
        <v>0.98857689999999998</v>
      </c>
      <c r="AB5923">
        <v>29</v>
      </c>
      <c r="AC5923">
        <v>8.0455000000000005</v>
      </c>
      <c r="AD5923">
        <v>-8.7243999999999794E-2</v>
      </c>
      <c r="AE5923">
        <v>-44.306439900000001</v>
      </c>
      <c r="AF5923">
        <v>-6.8154029613851703</v>
      </c>
      <c r="AG5923">
        <v>-8.7243999999999794E-2</v>
      </c>
      <c r="AH5923">
        <v>44.512085397012001</v>
      </c>
      <c r="AI5923">
        <v>90.111006325296998</v>
      </c>
      <c r="AJ5923">
        <v>98.705152600609395</v>
      </c>
      <c r="AK5923">
        <v>45.030912442815101</v>
      </c>
      <c r="AL5923">
        <v>87.722687967080105</v>
      </c>
      <c r="AM5923">
        <v>98.395110384409406</v>
      </c>
      <c r="AN5923">
        <v>1.00000003337925</v>
      </c>
    </row>
    <row r="5924" spans="1:40" x14ac:dyDescent="0.25">
      <c r="A5924" t="str">
        <f>"20190312160453028"</f>
        <v>20190312160453028</v>
      </c>
      <c r="B5924" t="str">
        <f>"1552377893021460"</f>
        <v>1552377893021460</v>
      </c>
      <c r="C5924" t="s">
        <v>40</v>
      </c>
      <c r="D5924">
        <v>5.6829720000000004</v>
      </c>
      <c r="E5924">
        <v>0.49703890000000001</v>
      </c>
      <c r="F5924" t="s">
        <v>100</v>
      </c>
      <c r="G5924">
        <v>-414.26979999999998</v>
      </c>
      <c r="H5924">
        <v>0.92979909999999999</v>
      </c>
      <c r="I5924">
        <v>0.53566359999999902</v>
      </c>
      <c r="J5924">
        <v>-422.35390000000001</v>
      </c>
      <c r="K5924">
        <v>1.1124849999999999</v>
      </c>
      <c r="L5924">
        <v>44.657350000000001</v>
      </c>
      <c r="M5924">
        <v>2.9609969999999999E-2</v>
      </c>
      <c r="N5924">
        <v>0</v>
      </c>
      <c r="O5924">
        <v>-0.99946619999999997</v>
      </c>
      <c r="P5924">
        <v>0.17502010000000001</v>
      </c>
      <c r="Q5924">
        <v>2.7275850000000001E-2</v>
      </c>
      <c r="R5924">
        <v>-0.98418709999999998</v>
      </c>
      <c r="S5924">
        <v>0.53921509999999995</v>
      </c>
      <c r="T5924">
        <v>-1.217353E-2</v>
      </c>
      <c r="U5924">
        <v>-2.9526669999999999</v>
      </c>
      <c r="V5924">
        <v>-0.14602780000000001</v>
      </c>
      <c r="W5924">
        <v>4.0102520000000003E-2</v>
      </c>
      <c r="X5924">
        <v>0.98846730000000005</v>
      </c>
      <c r="Y5924">
        <v>-0.150437299999999</v>
      </c>
      <c r="Z5924">
        <v>4.0630909999999996E-3</v>
      </c>
      <c r="AA5924">
        <v>0.98861120000000002</v>
      </c>
      <c r="AB5924">
        <v>29</v>
      </c>
      <c r="AC5924">
        <v>8.0841000000000296</v>
      </c>
      <c r="AD5924">
        <v>-0.18268590000000001</v>
      </c>
      <c r="AE5924">
        <v>-44.121686400000002</v>
      </c>
      <c r="AF5924">
        <v>-6.77387601143836</v>
      </c>
      <c r="AG5924">
        <v>-0.18268590000000001</v>
      </c>
      <c r="AH5924">
        <v>44.3409939080775</v>
      </c>
      <c r="AI5924">
        <v>90.233351332901805</v>
      </c>
      <c r="AJ5924">
        <v>98.685795837087298</v>
      </c>
      <c r="AK5924">
        <v>44.855796850714498</v>
      </c>
      <c r="AL5924">
        <v>87.701678467543005</v>
      </c>
      <c r="AM5924">
        <v>98.403610565671102</v>
      </c>
      <c r="AN5924">
        <v>0.99999996682623904</v>
      </c>
    </row>
    <row r="5925" spans="1:40" x14ac:dyDescent="0.25">
      <c r="A5925" t="str">
        <f>"20190312160453040"</f>
        <v>20190312160453040</v>
      </c>
      <c r="B5925" t="str">
        <f>"1552377893031219"</f>
        <v>1552377893031219</v>
      </c>
      <c r="C5925" t="s">
        <v>40</v>
      </c>
      <c r="D5925">
        <v>6.3373210000000002</v>
      </c>
      <c r="E5925">
        <v>0.49699310000000002</v>
      </c>
      <c r="F5925" t="s">
        <v>100</v>
      </c>
      <c r="G5925">
        <v>-414.17939999999999</v>
      </c>
      <c r="H5925">
        <v>1.0087159999999999</v>
      </c>
      <c r="I5925">
        <v>0.53658490000000003</v>
      </c>
      <c r="J5925">
        <v>-422.34699999999998</v>
      </c>
      <c r="K5925">
        <v>1.112522</v>
      </c>
      <c r="L5925">
        <v>44.489840000000001</v>
      </c>
      <c r="M5925">
        <v>3.1390800000000003E-2</v>
      </c>
      <c r="N5925">
        <v>0</v>
      </c>
      <c r="O5925">
        <v>-0.99941150000000001</v>
      </c>
      <c r="P5925">
        <v>0.17705019999999999</v>
      </c>
      <c r="Q5925">
        <v>2.791801E-2</v>
      </c>
      <c r="R5925">
        <v>-0.98380610000000002</v>
      </c>
      <c r="S5925">
        <v>0.54678340000000003</v>
      </c>
      <c r="T5925">
        <v>-6.94263E-3</v>
      </c>
      <c r="U5925">
        <v>-2.9511720000000001</v>
      </c>
      <c r="V5925">
        <v>-0.1463132</v>
      </c>
      <c r="W5925">
        <v>4.0767169999999998E-2</v>
      </c>
      <c r="X5925">
        <v>0.988398</v>
      </c>
      <c r="Y5925">
        <v>-0.15121760000000001</v>
      </c>
      <c r="Z5925">
        <v>2.3175079999999998E-3</v>
      </c>
      <c r="AA5925">
        <v>0.98849779999999998</v>
      </c>
      <c r="AB5925">
        <v>29</v>
      </c>
      <c r="AC5925">
        <v>8.1675999999999895</v>
      </c>
      <c r="AD5925">
        <v>-0.103806</v>
      </c>
      <c r="AE5925">
        <v>-43.9532551</v>
      </c>
      <c r="AF5925">
        <v>-6.7836777482847497</v>
      </c>
      <c r="AG5925">
        <v>-0.103806</v>
      </c>
      <c r="AH5925">
        <v>44.187764015122099</v>
      </c>
      <c r="AI5925">
        <v>90.133040506781995</v>
      </c>
      <c r="AJ5925">
        <v>98.727871008780397</v>
      </c>
      <c r="AK5925">
        <v>44.705565068952303</v>
      </c>
      <c r="AL5925">
        <v>87.663565875234198</v>
      </c>
      <c r="AM5925">
        <v>98.420381435188702</v>
      </c>
      <c r="AN5925">
        <v>1.00000006052402</v>
      </c>
    </row>
    <row r="5926" spans="1:40" x14ac:dyDescent="0.25">
      <c r="A5926" t="str">
        <f>"20190312160453054"</f>
        <v>20190312160453054</v>
      </c>
      <c r="B5926" t="str">
        <f>"1552377893050738"</f>
        <v>1552377893050738</v>
      </c>
      <c r="C5926" t="s">
        <v>40</v>
      </c>
      <c r="D5926">
        <v>5.8535820000000003</v>
      </c>
      <c r="E5926">
        <v>0.49671270000000001</v>
      </c>
      <c r="F5926" t="s">
        <v>100</v>
      </c>
      <c r="G5926">
        <v>-414.11239999999998</v>
      </c>
      <c r="H5926">
        <v>1.1082510000000001</v>
      </c>
      <c r="I5926">
        <v>0.53726390000000002</v>
      </c>
      <c r="J5926">
        <v>-422.33980000000003</v>
      </c>
      <c r="K5926">
        <v>1.1125609999999999</v>
      </c>
      <c r="L5926">
        <v>44.318420000000003</v>
      </c>
      <c r="M5926">
        <v>3.3233800000000001E-2</v>
      </c>
      <c r="N5926">
        <v>0</v>
      </c>
      <c r="O5926">
        <v>-0.99935130000000005</v>
      </c>
      <c r="P5926">
        <v>0.17870520000000001</v>
      </c>
      <c r="Q5926">
        <v>2.8260529999999999E-2</v>
      </c>
      <c r="R5926">
        <v>-0.9834967</v>
      </c>
      <c r="S5926">
        <v>0.55267330000000003</v>
      </c>
      <c r="T5926">
        <v>-2.8836729999999998E-4</v>
      </c>
      <c r="U5926">
        <v>-2.9499209999999998</v>
      </c>
      <c r="V5926">
        <v>-0.14615929999999999</v>
      </c>
      <c r="W5926">
        <v>4.1133549999999998E-2</v>
      </c>
      <c r="X5926">
        <v>0.98840550000000005</v>
      </c>
      <c r="Y5926">
        <v>-0.1513776</v>
      </c>
      <c r="Z5926" s="1">
        <v>9.627254E-5</v>
      </c>
      <c r="AA5926">
        <v>0.98847600000000002</v>
      </c>
      <c r="AB5926">
        <v>29</v>
      </c>
      <c r="AC5926">
        <v>8.2274000000000402</v>
      </c>
      <c r="AD5926">
        <v>-4.31000000000003E-3</v>
      </c>
      <c r="AE5926">
        <v>-43.781156099999997</v>
      </c>
      <c r="AF5926">
        <v>-6.76770003792672</v>
      </c>
      <c r="AG5926">
        <v>-4.31000000000003E-3</v>
      </c>
      <c r="AH5926">
        <v>44.030420611856599</v>
      </c>
      <c r="AI5926">
        <v>90.005543404506199</v>
      </c>
      <c r="AJ5926">
        <v>98.738266957280999</v>
      </c>
      <c r="AK5926">
        <v>44.547499611498601</v>
      </c>
      <c r="AL5926">
        <v>87.642556014659107</v>
      </c>
      <c r="AM5926">
        <v>98.411588300066896</v>
      </c>
      <c r="AN5926">
        <v>0.99999997117117101</v>
      </c>
    </row>
    <row r="5927" spans="1:40" x14ac:dyDescent="0.25">
      <c r="A5927" t="str">
        <f>"20190312160453070"</f>
        <v>20190312160453070</v>
      </c>
      <c r="B5927" t="str">
        <f>"1552377893061474"</f>
        <v>1552377893061474</v>
      </c>
      <c r="C5927" t="s">
        <v>40</v>
      </c>
      <c r="D5927">
        <v>5.5779800000000002</v>
      </c>
      <c r="E5927">
        <v>0.49690410000000002</v>
      </c>
      <c r="F5927" t="s">
        <v>100</v>
      </c>
      <c r="G5927">
        <v>-414.02019999999999</v>
      </c>
      <c r="H5927">
        <v>1.225352</v>
      </c>
      <c r="I5927">
        <v>0.53820419999999902</v>
      </c>
      <c r="J5927">
        <v>-422.33109999999999</v>
      </c>
      <c r="K5927">
        <v>1.1126069999999999</v>
      </c>
      <c r="L5927">
        <v>44.121429999999997</v>
      </c>
      <c r="M5927">
        <v>3.5380170000000002E-2</v>
      </c>
      <c r="N5927">
        <v>0</v>
      </c>
      <c r="O5927">
        <v>-0.99927719999999998</v>
      </c>
      <c r="P5927">
        <v>0.18059620000000001</v>
      </c>
      <c r="Q5927">
        <v>2.854874E-2</v>
      </c>
      <c r="R5927">
        <v>-0.98314299999999999</v>
      </c>
      <c r="S5927">
        <v>0.5602722</v>
      </c>
      <c r="T5927">
        <v>7.5939889999999998E-3</v>
      </c>
      <c r="U5927">
        <v>-2.948334</v>
      </c>
      <c r="V5927">
        <v>-0.14594289999999999</v>
      </c>
      <c r="W5927">
        <v>4.1447039999999997E-2</v>
      </c>
      <c r="X5927">
        <v>0.98842439999999998</v>
      </c>
      <c r="Y5927">
        <v>-0.15181020000000001</v>
      </c>
      <c r="Z5927">
        <v>-2.5356490000000001E-3</v>
      </c>
      <c r="AA5927">
        <v>0.98840640000000002</v>
      </c>
      <c r="AB5927">
        <v>29</v>
      </c>
      <c r="AC5927">
        <v>8.3109000000000002</v>
      </c>
      <c r="AD5927">
        <v>0.112745</v>
      </c>
      <c r="AE5927">
        <v>-43.583225800000001</v>
      </c>
      <c r="AF5927">
        <v>-6.7635210717338703</v>
      </c>
      <c r="AG5927">
        <v>0.112745</v>
      </c>
      <c r="AH5927">
        <v>43.849720523991699</v>
      </c>
      <c r="AI5927">
        <v>89.854404982549596</v>
      </c>
      <c r="AJ5927">
        <v>98.768383834341904</v>
      </c>
      <c r="AK5927">
        <v>44.368411271477797</v>
      </c>
      <c r="AL5927">
        <v>87.624579076005105</v>
      </c>
      <c r="AM5927">
        <v>98.399153776514098</v>
      </c>
      <c r="AN5927">
        <v>0.99999999085026503</v>
      </c>
    </row>
    <row r="5928" spans="1:40" x14ac:dyDescent="0.25">
      <c r="A5928" t="str">
        <f>"20190312160453084"</f>
        <v>20190312160453084</v>
      </c>
      <c r="B5928" t="str">
        <f>"1552377893080995"</f>
        <v>1552377893080995</v>
      </c>
      <c r="C5928" t="s">
        <v>40</v>
      </c>
      <c r="D5928">
        <v>5.580362</v>
      </c>
      <c r="E5928">
        <v>0.4971913</v>
      </c>
      <c r="F5928" t="s">
        <v>100</v>
      </c>
      <c r="G5928">
        <v>-413.98239999999998</v>
      </c>
      <c r="H5928">
        <v>1.1760219999999999</v>
      </c>
      <c r="I5928">
        <v>0.53858950000000005</v>
      </c>
      <c r="J5928">
        <v>-422.32190000000003</v>
      </c>
      <c r="K5928">
        <v>1.112654</v>
      </c>
      <c r="L5928">
        <v>43.925719999999998</v>
      </c>
      <c r="M5928">
        <v>3.7552420000000003E-2</v>
      </c>
      <c r="N5928">
        <v>0</v>
      </c>
      <c r="O5928">
        <v>-0.99919720000000001</v>
      </c>
      <c r="P5928">
        <v>0.18262110000000001</v>
      </c>
      <c r="Q5928">
        <v>2.851969E-2</v>
      </c>
      <c r="R5928">
        <v>-0.98276949999999996</v>
      </c>
      <c r="S5928">
        <v>0.56463619999999903</v>
      </c>
      <c r="T5928">
        <v>4.2872429999999996E-3</v>
      </c>
      <c r="U5928">
        <v>-2.9476010000000001</v>
      </c>
      <c r="V5928">
        <v>-0.14583370000000001</v>
      </c>
      <c r="W5928">
        <v>4.1438460000000003E-2</v>
      </c>
      <c r="X5928">
        <v>0.98844089999999996</v>
      </c>
      <c r="Y5928">
        <v>-0.1511188</v>
      </c>
      <c r="Z5928">
        <v>-1.43158E-3</v>
      </c>
      <c r="AA5928">
        <v>0.98851449999999996</v>
      </c>
      <c r="AB5928">
        <v>29</v>
      </c>
      <c r="AC5928">
        <v>8.3395000000000401</v>
      </c>
      <c r="AD5928">
        <v>6.3367999999999799E-2</v>
      </c>
      <c r="AE5928">
        <v>-43.387130499999998</v>
      </c>
      <c r="AF5928">
        <v>-6.7041524321970698</v>
      </c>
      <c r="AG5928">
        <v>6.3367999999999799E-2</v>
      </c>
      <c r="AH5928">
        <v>43.669630894453697</v>
      </c>
      <c r="AI5928">
        <v>89.917822221897694</v>
      </c>
      <c r="AJ5928">
        <v>98.727894279949496</v>
      </c>
      <c r="AK5928">
        <v>44.1812894537426</v>
      </c>
      <c r="AL5928">
        <v>87.625071150105697</v>
      </c>
      <c r="AM5928">
        <v>98.392820653751897</v>
      </c>
      <c r="AN5928">
        <v>1.00000001340783</v>
      </c>
    </row>
    <row r="5929" spans="1:40" x14ac:dyDescent="0.25">
      <c r="A5929" t="str">
        <f>"20190312160453097"</f>
        <v>20190312160453097</v>
      </c>
      <c r="B5929" t="str">
        <f>"1552377893090754"</f>
        <v>1552377893090754</v>
      </c>
      <c r="C5929" t="s">
        <v>40</v>
      </c>
      <c r="D5929">
        <v>5.7062109999999997</v>
      </c>
      <c r="E5929">
        <v>0.49701339999999999</v>
      </c>
      <c r="F5929" t="s">
        <v>100</v>
      </c>
      <c r="G5929">
        <v>-413.9554</v>
      </c>
      <c r="H5929">
        <v>1.0734490000000001</v>
      </c>
      <c r="I5929">
        <v>0.53886409999999996</v>
      </c>
      <c r="J5929">
        <v>-422.31380000000001</v>
      </c>
      <c r="K5929">
        <v>1.1126910000000001</v>
      </c>
      <c r="L5929">
        <v>43.761629999999997</v>
      </c>
      <c r="M5929">
        <v>3.9405900000000001E-2</v>
      </c>
      <c r="N5929">
        <v>0</v>
      </c>
      <c r="O5929">
        <v>-0.99912559999999995</v>
      </c>
      <c r="P5929">
        <v>0.18421499999999999</v>
      </c>
      <c r="Q5929">
        <v>2.9119869999999999E-2</v>
      </c>
      <c r="R5929">
        <v>-0.98245450000000001</v>
      </c>
      <c r="S5929">
        <v>0.56829830000000003</v>
      </c>
      <c r="T5929">
        <v>-2.6648039999999998E-3</v>
      </c>
      <c r="U5929">
        <v>-2.9470830000000001</v>
      </c>
      <c r="V5929">
        <v>-0.1456112</v>
      </c>
      <c r="W5929">
        <v>4.2054469999999997E-2</v>
      </c>
      <c r="X5929">
        <v>0.98844770000000004</v>
      </c>
      <c r="Y5929">
        <v>-0.15050189999999999</v>
      </c>
      <c r="Z5929">
        <v>8.8981889999999999E-4</v>
      </c>
      <c r="AA5929">
        <v>0.98860930000000002</v>
      </c>
      <c r="AB5929">
        <v>29</v>
      </c>
      <c r="AC5929">
        <v>8.3584000000000103</v>
      </c>
      <c r="AD5929">
        <v>-3.9241999999999999E-2</v>
      </c>
      <c r="AE5929">
        <v>-43.222765899999999</v>
      </c>
      <c r="AF5929">
        <v>-6.6485031024484904</v>
      </c>
      <c r="AG5929">
        <v>-3.9241999999999999E-2</v>
      </c>
      <c r="AH5929">
        <v>43.518555458993298</v>
      </c>
      <c r="AI5929">
        <v>90.051072748239903</v>
      </c>
      <c r="AJ5929">
        <v>98.686142180598296</v>
      </c>
      <c r="AK5929">
        <v>44.023502844222897</v>
      </c>
      <c r="AL5929">
        <v>87.589745616099705</v>
      </c>
      <c r="AM5929">
        <v>98.380140784504107</v>
      </c>
      <c r="AN5929">
        <v>1.0000000278238499</v>
      </c>
    </row>
    <row r="5930" spans="1:40" x14ac:dyDescent="0.25">
      <c r="A5930" t="str">
        <f>"20190312160453111"</f>
        <v>20190312160453111</v>
      </c>
      <c r="B5930" t="str">
        <f>"1552377893101490"</f>
        <v>1552377893101490</v>
      </c>
      <c r="C5930" t="s">
        <v>40</v>
      </c>
      <c r="D5930">
        <v>5.8142250000000004</v>
      </c>
      <c r="E5930">
        <v>0.49701339999999999</v>
      </c>
      <c r="F5930" t="s">
        <v>100</v>
      </c>
      <c r="G5930">
        <v>-413.88650000000001</v>
      </c>
      <c r="H5930">
        <v>1.063401</v>
      </c>
      <c r="I5930">
        <v>0.53956409999999999</v>
      </c>
      <c r="J5930">
        <v>-422.30470000000003</v>
      </c>
      <c r="K5930">
        <v>1.1127320000000001</v>
      </c>
      <c r="L5930">
        <v>43.583370000000002</v>
      </c>
      <c r="M5930">
        <v>4.144018E-2</v>
      </c>
      <c r="N5930">
        <v>0</v>
      </c>
      <c r="O5930">
        <v>-0.99904300000000001</v>
      </c>
      <c r="P5930">
        <v>0.18645439999999999</v>
      </c>
      <c r="Q5930">
        <v>2.9721839999999999E-2</v>
      </c>
      <c r="R5930">
        <v>-0.98201419999999995</v>
      </c>
      <c r="S5930">
        <v>0.57440190000000002</v>
      </c>
      <c r="T5930">
        <v>-3.3613440000000001E-3</v>
      </c>
      <c r="U5930">
        <v>-2.9459840000000002</v>
      </c>
      <c r="V5930">
        <v>-0.14585999999999999</v>
      </c>
      <c r="W5930">
        <v>4.2667610000000002E-2</v>
      </c>
      <c r="X5930">
        <v>0.9883847</v>
      </c>
      <c r="Y5930">
        <v>-0.15053139999999901</v>
      </c>
      <c r="Z5930">
        <v>1.1224539999999999E-3</v>
      </c>
      <c r="AA5930">
        <v>0.98860459999999994</v>
      </c>
      <c r="AB5930">
        <v>29</v>
      </c>
      <c r="AC5930">
        <v>8.4182000000000095</v>
      </c>
      <c r="AD5930">
        <v>-4.9331E-2</v>
      </c>
      <c r="AE5930">
        <v>-43.043805900000002</v>
      </c>
      <c r="AF5930">
        <v>-6.6270411399356304</v>
      </c>
      <c r="AG5930">
        <v>-4.9331E-2</v>
      </c>
      <c r="AH5930">
        <v>43.355654489819301</v>
      </c>
      <c r="AI5930">
        <v>90.064443860206893</v>
      </c>
      <c r="AJ5930">
        <v>98.690565221988294</v>
      </c>
      <c r="AK5930">
        <v>43.859239437757502</v>
      </c>
      <c r="AL5930">
        <v>87.554583626967599</v>
      </c>
      <c r="AM5930">
        <v>98.394783173799993</v>
      </c>
      <c r="AN5930">
        <v>0.99999998986860095</v>
      </c>
    </row>
    <row r="5931" spans="1:40" x14ac:dyDescent="0.25">
      <c r="A5931" t="str">
        <f>"20190312160453123"</f>
        <v>20190312160453123</v>
      </c>
      <c r="B5931" t="str">
        <f>"1552377893121011"</f>
        <v>1552377893121011</v>
      </c>
      <c r="C5931" t="s">
        <v>40</v>
      </c>
      <c r="D5931">
        <v>5.2604860000000002</v>
      </c>
      <c r="E5931">
        <v>0.4390925</v>
      </c>
      <c r="F5931" t="s">
        <v>100</v>
      </c>
      <c r="G5931">
        <v>-413.81450000000001</v>
      </c>
      <c r="H5931">
        <v>1.090149</v>
      </c>
      <c r="I5931">
        <v>0.54029659999999902</v>
      </c>
      <c r="J5931">
        <v>-422.29599999999999</v>
      </c>
      <c r="K5931">
        <v>1.112762</v>
      </c>
      <c r="L5931">
        <v>43.41818</v>
      </c>
      <c r="M5931">
        <v>4.3353030000000001E-2</v>
      </c>
      <c r="N5931">
        <v>0</v>
      </c>
      <c r="O5931">
        <v>-0.99896160000000001</v>
      </c>
      <c r="P5931">
        <v>0.1883136</v>
      </c>
      <c r="Q5931">
        <v>3.0418339999999999E-2</v>
      </c>
      <c r="R5931">
        <v>-0.98163800000000001</v>
      </c>
      <c r="S5931">
        <v>0.5808411</v>
      </c>
      <c r="T5931">
        <v>-1.546621E-3</v>
      </c>
      <c r="U5931">
        <v>-2.9447019999999999</v>
      </c>
      <c r="V5931">
        <v>-0.14584759999999999</v>
      </c>
      <c r="W5931">
        <v>4.3373630000000003E-2</v>
      </c>
      <c r="X5931">
        <v>0.98835580000000001</v>
      </c>
      <c r="Y5931">
        <v>-0.15080109999999999</v>
      </c>
      <c r="Z5931">
        <v>5.1650250000000002E-4</v>
      </c>
      <c r="AA5931">
        <v>0.988564</v>
      </c>
      <c r="AB5931">
        <v>29</v>
      </c>
      <c r="AC5931">
        <v>8.4814999999999792</v>
      </c>
      <c r="AD5931">
        <v>-2.2613000000000001E-2</v>
      </c>
      <c r="AE5931">
        <v>-42.877883399999902</v>
      </c>
      <c r="AF5931">
        <v>-6.6144539053172302</v>
      </c>
      <c r="AG5931">
        <v>-2.2613000000000001E-2</v>
      </c>
      <c r="AH5931">
        <v>43.205285602033698</v>
      </c>
      <c r="AI5931">
        <v>90.029642388802699</v>
      </c>
      <c r="AJ5931">
        <v>98.704037844546704</v>
      </c>
      <c r="AK5931">
        <v>43.708674376679902</v>
      </c>
      <c r="AL5931">
        <v>87.514094176013103</v>
      </c>
      <c r="AM5931">
        <v>98.394321626135493</v>
      </c>
      <c r="AN5931">
        <v>0.99999999079938795</v>
      </c>
    </row>
    <row r="5932" spans="1:40" x14ac:dyDescent="0.25">
      <c r="A5932" t="str">
        <f>"20190312160453137"</f>
        <v>20190312160453137</v>
      </c>
      <c r="B5932" t="str">
        <f>"1552377893130770"</f>
        <v>1552377893130770</v>
      </c>
      <c r="C5932" t="s">
        <v>40</v>
      </c>
      <c r="D5932">
        <v>5.6874180000000001</v>
      </c>
      <c r="E5932">
        <v>0.43198550000000002</v>
      </c>
      <c r="F5932" t="s">
        <v>100</v>
      </c>
      <c r="G5932">
        <v>-407.10059999999999</v>
      </c>
      <c r="H5932">
        <v>3.5630709999999999</v>
      </c>
      <c r="I5932">
        <v>1.9056109999999999</v>
      </c>
      <c r="J5932">
        <v>-422.28660000000002</v>
      </c>
      <c r="K5932">
        <v>1.1128009999999999</v>
      </c>
      <c r="L5932">
        <v>43.249389999999998</v>
      </c>
      <c r="M5932">
        <v>4.533678E-2</v>
      </c>
      <c r="N5932">
        <v>0</v>
      </c>
      <c r="O5932">
        <v>-0.99887320000000002</v>
      </c>
      <c r="P5932">
        <v>0.1907064</v>
      </c>
      <c r="Q5932">
        <v>3.158101E-2</v>
      </c>
      <c r="R5932">
        <v>-0.98113919999999999</v>
      </c>
      <c r="S5932">
        <v>1.043488</v>
      </c>
      <c r="T5932">
        <v>0.1682651</v>
      </c>
      <c r="U5932">
        <v>-2.8507389999999999</v>
      </c>
      <c r="V5932">
        <v>-0.1463071</v>
      </c>
      <c r="W5932">
        <v>4.4541230000000001E-2</v>
      </c>
      <c r="X5932">
        <v>0.988236</v>
      </c>
      <c r="Y5932">
        <v>-0.30027280000000001</v>
      </c>
      <c r="Z5932">
        <v>-5.5672649999999997E-2</v>
      </c>
      <c r="AA5932">
        <v>0.9522273</v>
      </c>
      <c r="AB5932">
        <v>29</v>
      </c>
      <c r="AC5932">
        <v>15.186</v>
      </c>
      <c r="AD5932">
        <v>2.4502700000000002</v>
      </c>
      <c r="AE5932">
        <v>-41.343778999999998</v>
      </c>
      <c r="AF5932">
        <v>-13.254781756753101</v>
      </c>
      <c r="AG5932">
        <v>2.4502700000000002</v>
      </c>
      <c r="AH5932">
        <v>41.860259036336799</v>
      </c>
      <c r="AI5932">
        <v>86.805990671004096</v>
      </c>
      <c r="AJ5932">
        <v>107.57005590488799</v>
      </c>
      <c r="AK5932">
        <v>43.976975215233601</v>
      </c>
      <c r="AL5932">
        <v>87.447131019200896</v>
      </c>
      <c r="AM5932">
        <v>98.421395901980105</v>
      </c>
      <c r="AN5932">
        <v>1.0000000401881599</v>
      </c>
    </row>
    <row r="5933" spans="1:40" x14ac:dyDescent="0.25">
      <c r="A5933" t="str">
        <f>"20190312160453160"</f>
        <v>20190312160453160</v>
      </c>
      <c r="B5933" t="str">
        <f>"1552377893151266"</f>
        <v>1552377893151266</v>
      </c>
      <c r="C5933" t="s">
        <v>40</v>
      </c>
      <c r="D5933">
        <v>5.7051449999999999</v>
      </c>
      <c r="E5933">
        <v>0.42493520000000001</v>
      </c>
      <c r="F5933" t="s">
        <v>100</v>
      </c>
      <c r="G5933">
        <v>-406.1703</v>
      </c>
      <c r="H5933">
        <v>3.7169629999999998</v>
      </c>
      <c r="I5933">
        <v>1.9150750000000001</v>
      </c>
      <c r="J5933">
        <v>-422.2697</v>
      </c>
      <c r="K5933">
        <v>1.1128629999999999</v>
      </c>
      <c r="L5933">
        <v>42.960079999999998</v>
      </c>
      <c r="M5933">
        <v>4.8785670000000003E-2</v>
      </c>
      <c r="N5933">
        <v>0</v>
      </c>
      <c r="O5933">
        <v>-0.99871019999999999</v>
      </c>
      <c r="P5933">
        <v>0.19432849999999999</v>
      </c>
      <c r="Q5933">
        <v>3.2633839999999997E-2</v>
      </c>
      <c r="R5933">
        <v>-0.98039350000000003</v>
      </c>
      <c r="S5933">
        <v>1.1061099999999999</v>
      </c>
      <c r="T5933">
        <v>0.17873059999999999</v>
      </c>
      <c r="U5933">
        <v>-2.8369140000000002</v>
      </c>
      <c r="V5933">
        <v>-0.146558299999999</v>
      </c>
      <c r="W5933">
        <v>4.5603970000000001E-2</v>
      </c>
      <c r="X5933">
        <v>0.98815030000000004</v>
      </c>
      <c r="Y5933">
        <v>-0.31674219999999997</v>
      </c>
      <c r="Z5933">
        <v>-5.8992559999999999E-2</v>
      </c>
      <c r="AA5933">
        <v>0.94667539999999994</v>
      </c>
      <c r="AB5933">
        <v>29</v>
      </c>
      <c r="AC5933">
        <v>16.099399999999999</v>
      </c>
      <c r="AD5933">
        <v>2.6040999999999999</v>
      </c>
      <c r="AE5933">
        <v>-41.045005000000003</v>
      </c>
      <c r="AF5933">
        <v>-14.0286801612736</v>
      </c>
      <c r="AG5933">
        <v>2.6040999999999999</v>
      </c>
      <c r="AH5933">
        <v>41.636368928783398</v>
      </c>
      <c r="AI5933">
        <v>86.608046721467701</v>
      </c>
      <c r="AJ5933">
        <v>108.620385721535</v>
      </c>
      <c r="AK5933">
        <v>44.013320954582298</v>
      </c>
      <c r="AL5933">
        <v>87.386178546957595</v>
      </c>
      <c r="AM5933">
        <v>98.436368110159904</v>
      </c>
      <c r="AN5933">
        <v>1.00000003638436</v>
      </c>
    </row>
    <row r="5934" spans="1:40" x14ac:dyDescent="0.25">
      <c r="A5934" t="str">
        <f>"20190312160453182"</f>
        <v>20190312160453182</v>
      </c>
      <c r="B5934" t="str">
        <f>"1552377893171323"</f>
        <v>1552377893171323</v>
      </c>
      <c r="C5934" t="s">
        <v>40</v>
      </c>
      <c r="D5934">
        <v>5.5833019999999998</v>
      </c>
      <c r="E5934">
        <v>0.42232429999999899</v>
      </c>
      <c r="F5934" t="s">
        <v>100</v>
      </c>
      <c r="G5934">
        <v>-405.23809999999997</v>
      </c>
      <c r="H5934">
        <v>3.647011</v>
      </c>
      <c r="I5934">
        <v>1.9245570000000001</v>
      </c>
      <c r="J5934">
        <v>-422.2527</v>
      </c>
      <c r="K5934">
        <v>1.112906</v>
      </c>
      <c r="L5934">
        <v>42.685699999999997</v>
      </c>
      <c r="M5934">
        <v>5.2113769999999997E-2</v>
      </c>
      <c r="N5934">
        <v>0</v>
      </c>
      <c r="O5934">
        <v>-0.99854180000000003</v>
      </c>
      <c r="P5934">
        <v>0.1979909</v>
      </c>
      <c r="Q5934">
        <v>3.3668080000000003E-2</v>
      </c>
      <c r="R5934">
        <v>-0.97962559999999999</v>
      </c>
      <c r="S5934">
        <v>1.171265</v>
      </c>
      <c r="T5934">
        <v>0.17427210000000001</v>
      </c>
      <c r="U5934">
        <v>-2.8220209999999999</v>
      </c>
      <c r="V5934">
        <v>-0.1469715</v>
      </c>
      <c r="W5934">
        <v>4.6644280000000003E-2</v>
      </c>
      <c r="X5934">
        <v>0.98804029999999998</v>
      </c>
      <c r="Y5934">
        <v>-0.33405000000000001</v>
      </c>
      <c r="Z5934">
        <v>-5.7377810000000001E-2</v>
      </c>
      <c r="AA5934">
        <v>0.94080730000000001</v>
      </c>
      <c r="AB5934">
        <v>29</v>
      </c>
      <c r="AC5934">
        <v>17.014600000000002</v>
      </c>
      <c r="AD5934">
        <v>2.5341049999999998</v>
      </c>
      <c r="AE5934">
        <v>-40.761142999999997</v>
      </c>
      <c r="AF5934">
        <v>-14.8182726319003</v>
      </c>
      <c r="AG5934">
        <v>2.5341049999999998</v>
      </c>
      <c r="AH5934">
        <v>41.4560724902244</v>
      </c>
      <c r="AI5934">
        <v>86.705644755491903</v>
      </c>
      <c r="AJ5934">
        <v>109.669184117567</v>
      </c>
      <c r="AK5934">
        <v>44.097719195657803</v>
      </c>
      <c r="AL5934">
        <v>87.326509498621206</v>
      </c>
      <c r="AM5934">
        <v>98.460737729998201</v>
      </c>
      <c r="AN5934">
        <v>0.99999997254652795</v>
      </c>
    </row>
    <row r="5935" spans="1:40" x14ac:dyDescent="0.25">
      <c r="A5935" t="str">
        <f>"20190312160453210"</f>
        <v>20190312160453210</v>
      </c>
      <c r="B5935" t="str">
        <f>"1552377893201580"</f>
        <v>1552377893201580</v>
      </c>
      <c r="C5935" t="s">
        <v>40</v>
      </c>
      <c r="D5935">
        <v>5.6338839999999903</v>
      </c>
      <c r="E5935">
        <v>0.39922259999999998</v>
      </c>
      <c r="F5935" t="s">
        <v>100</v>
      </c>
      <c r="G5935">
        <v>-404.82819999999998</v>
      </c>
      <c r="H5935">
        <v>3.838425</v>
      </c>
      <c r="I5935">
        <v>1.9287240000000001</v>
      </c>
      <c r="J5935">
        <v>-422.22879999999998</v>
      </c>
      <c r="K5935">
        <v>1.112968</v>
      </c>
      <c r="L5935">
        <v>42.322569999999999</v>
      </c>
      <c r="M5935">
        <v>5.658991E-2</v>
      </c>
      <c r="N5935">
        <v>0</v>
      </c>
      <c r="O5935">
        <v>-0.99829780000000001</v>
      </c>
      <c r="P5935">
        <v>0.2027108</v>
      </c>
      <c r="Q5935">
        <v>3.3873050000000002E-2</v>
      </c>
      <c r="R5935">
        <v>-0.97865279999999999</v>
      </c>
      <c r="S5935">
        <v>1.2025760000000001</v>
      </c>
      <c r="T5935">
        <v>0.1881034</v>
      </c>
      <c r="U5935">
        <v>-2.812897</v>
      </c>
      <c r="V5935">
        <v>-0.14731159999999999</v>
      </c>
      <c r="W5935">
        <v>4.685814E-2</v>
      </c>
      <c r="X5935">
        <v>0.98797959999999996</v>
      </c>
      <c r="Y5935">
        <v>-0.33968320000000002</v>
      </c>
      <c r="Z5935">
        <v>-6.1882769999999997E-2</v>
      </c>
      <c r="AA5935">
        <v>0.9385019</v>
      </c>
      <c r="AB5935">
        <v>29</v>
      </c>
      <c r="AC5935">
        <v>17.400599999999901</v>
      </c>
      <c r="AD5935">
        <v>2.725457</v>
      </c>
      <c r="AE5935">
        <v>-40.393846000000003</v>
      </c>
      <c r="AF5935">
        <v>-15.028888634783</v>
      </c>
      <c r="AG5935">
        <v>2.725457</v>
      </c>
      <c r="AH5935">
        <v>41.155863299065203</v>
      </c>
      <c r="AI5935">
        <v>86.440498664432099</v>
      </c>
      <c r="AJ5935">
        <v>110.060679362279</v>
      </c>
      <c r="AK5935">
        <v>43.898755031855998</v>
      </c>
      <c r="AL5935">
        <v>87.314242995072107</v>
      </c>
      <c r="AM5935">
        <v>98.480545413280893</v>
      </c>
      <c r="AN5935">
        <v>1.0000000413974801</v>
      </c>
    </row>
    <row r="5936" spans="1:40" x14ac:dyDescent="0.25">
      <c r="A5936" t="str">
        <f>"20190312160453298"</f>
        <v>20190312160453298</v>
      </c>
      <c r="B5936" t="str">
        <f>"1552377893290940"</f>
        <v>1552377893290940</v>
      </c>
      <c r="C5936" t="s">
        <v>40</v>
      </c>
      <c r="D5936">
        <v>5.9162730000000003</v>
      </c>
      <c r="E5936">
        <v>0.40350900000000001</v>
      </c>
      <c r="F5936" t="s">
        <v>100</v>
      </c>
      <c r="G5936">
        <v>-401.13920000000002</v>
      </c>
      <c r="H5936">
        <v>6.7320409999999997</v>
      </c>
      <c r="I5936">
        <v>0.66922380000000004</v>
      </c>
      <c r="J5936">
        <v>-422.14400000000001</v>
      </c>
      <c r="K5936">
        <v>1.1130709999999999</v>
      </c>
      <c r="L5936">
        <v>41.203060000000001</v>
      </c>
      <c r="M5936">
        <v>7.0739499999999997E-2</v>
      </c>
      <c r="N5936">
        <v>0</v>
      </c>
      <c r="O5936">
        <v>-0.99739409999999895</v>
      </c>
      <c r="P5936">
        <v>0.215166</v>
      </c>
      <c r="Q5936">
        <v>3.518102E-2</v>
      </c>
      <c r="R5936">
        <v>-0.97594400000000003</v>
      </c>
      <c r="S5936">
        <v>1.3988339999999999</v>
      </c>
      <c r="T5936">
        <v>0.37270029999999998</v>
      </c>
      <c r="U5936">
        <v>-2.7627869999999999</v>
      </c>
      <c r="V5936">
        <v>-0.14591279999999901</v>
      </c>
      <c r="W5936">
        <v>4.8207979999999998E-2</v>
      </c>
      <c r="X5936">
        <v>0.98812219999999995</v>
      </c>
      <c r="Y5936">
        <v>-0.38416210000000001</v>
      </c>
      <c r="Z5936">
        <v>-0.1208891</v>
      </c>
      <c r="AA5936">
        <v>0.91531709999999999</v>
      </c>
      <c r="AB5936">
        <v>29</v>
      </c>
      <c r="AC5936">
        <v>21.0047999999999</v>
      </c>
      <c r="AD5936">
        <v>5.61897</v>
      </c>
      <c r="AE5936">
        <v>-40.533836200000003</v>
      </c>
      <c r="AF5936">
        <v>-17.814668182886301</v>
      </c>
      <c r="AG5936">
        <v>5.61897</v>
      </c>
      <c r="AH5936">
        <v>41.292758069673098</v>
      </c>
      <c r="AI5936">
        <v>82.878111184530297</v>
      </c>
      <c r="AJ5936">
        <v>113.336504814013</v>
      </c>
      <c r="AK5936">
        <v>45.321375699859303</v>
      </c>
      <c r="AL5936">
        <v>87.236815274396804</v>
      </c>
      <c r="AM5936">
        <v>98.399977772007901</v>
      </c>
      <c r="AN5936">
        <v>1.0000000183361799</v>
      </c>
    </row>
    <row r="5937" spans="1:40" x14ac:dyDescent="0.25">
      <c r="A5937" t="str">
        <f>"20190312160453317"</f>
        <v>20190312160453317</v>
      </c>
      <c r="B5937" t="str">
        <f>"1552377893311439"</f>
        <v>1552377893311439</v>
      </c>
      <c r="C5937" t="s">
        <v>40</v>
      </c>
      <c r="D5937">
        <v>5.6275959999999996</v>
      </c>
      <c r="E5937">
        <v>0.43240519999999999</v>
      </c>
      <c r="F5937" t="s">
        <v>100</v>
      </c>
      <c r="G5937">
        <v>-401.5462</v>
      </c>
      <c r="H5937">
        <v>5.6265269999999896</v>
      </c>
      <c r="I5937">
        <v>0.66507910000000003</v>
      </c>
      <c r="J5937">
        <v>-422.12389999999999</v>
      </c>
      <c r="K5937">
        <v>1.113083</v>
      </c>
      <c r="L5937">
        <v>40.966000000000001</v>
      </c>
      <c r="M5937">
        <v>7.378498E-2</v>
      </c>
      <c r="N5937">
        <v>0</v>
      </c>
      <c r="O5937">
        <v>-0.99717339999999999</v>
      </c>
      <c r="P5937">
        <v>0.21733259999999999</v>
      </c>
      <c r="Q5937">
        <v>3.4901219999999997E-2</v>
      </c>
      <c r="R5937">
        <v>-0.97547360000000005</v>
      </c>
      <c r="S5937">
        <v>1.3995059999999999</v>
      </c>
      <c r="T5937">
        <v>0.30666270000000001</v>
      </c>
      <c r="U5937">
        <v>-2.7543329999999999</v>
      </c>
      <c r="V5937">
        <v>-0.14508769999999999</v>
      </c>
      <c r="W5937">
        <v>4.7939339999999997E-2</v>
      </c>
      <c r="X5937">
        <v>0.98825680000000005</v>
      </c>
      <c r="Y5937">
        <v>-0.38370480000000001</v>
      </c>
      <c r="Z5937">
        <v>-9.996476E-2</v>
      </c>
      <c r="AA5937">
        <v>0.91802919999999999</v>
      </c>
      <c r="AB5937">
        <v>29</v>
      </c>
      <c r="AC5937">
        <v>20.5777</v>
      </c>
      <c r="AD5937">
        <v>4.5134439999999998</v>
      </c>
      <c r="AE5937">
        <v>-40.300920899999902</v>
      </c>
      <c r="AF5937">
        <v>-17.374837551030001</v>
      </c>
      <c r="AG5937">
        <v>4.5134439999999998</v>
      </c>
      <c r="AH5937">
        <v>41.2986521343108</v>
      </c>
      <c r="AI5937">
        <v>84.247664166505899</v>
      </c>
      <c r="AJ5937">
        <v>112.817073238045</v>
      </c>
      <c r="AK5937">
        <v>45.031487037145901</v>
      </c>
      <c r="AL5937">
        <v>87.252225148968904</v>
      </c>
      <c r="AM5937">
        <v>98.352028445895002</v>
      </c>
      <c r="AN5937">
        <v>1.00000006187858</v>
      </c>
    </row>
    <row r="5938" spans="1:40" x14ac:dyDescent="0.25">
      <c r="A5938" t="str">
        <f>"20190312160453330"</f>
        <v>20190312160453330</v>
      </c>
      <c r="B5938" t="str">
        <f>"1552377893321196"</f>
        <v>1552377893321196</v>
      </c>
      <c r="C5938" t="s">
        <v>40</v>
      </c>
      <c r="D5938">
        <v>5.523104</v>
      </c>
      <c r="E5938">
        <v>0.43229659999999898</v>
      </c>
      <c r="F5938" t="s">
        <v>81</v>
      </c>
      <c r="G5938">
        <v>-415.18150000000003</v>
      </c>
      <c r="H5938" s="1">
        <v>-8.3670079999999999E-6</v>
      </c>
      <c r="I5938">
        <v>24.303629999999998</v>
      </c>
      <c r="J5938">
        <v>-422.108</v>
      </c>
      <c r="K5938">
        <v>1.1130960000000001</v>
      </c>
      <c r="L5938">
        <v>40.783290000000001</v>
      </c>
      <c r="M5938">
        <v>7.6145980000000002E-2</v>
      </c>
      <c r="N5938">
        <v>0</v>
      </c>
      <c r="O5938">
        <v>-0.99699570000000004</v>
      </c>
      <c r="P5938">
        <v>0.21914729999999999</v>
      </c>
      <c r="Q5938">
        <v>3.4682490000000003E-2</v>
      </c>
      <c r="R5938">
        <v>-0.97507520000000003</v>
      </c>
      <c r="S5938">
        <v>1.1751100000000001</v>
      </c>
      <c r="T5938">
        <v>-0.18840660000000001</v>
      </c>
      <c r="U5938">
        <v>-2.8203429999999998</v>
      </c>
      <c r="V5938">
        <v>-0.1445854</v>
      </c>
      <c r="W5938">
        <v>4.7726440000000002E-2</v>
      </c>
      <c r="X5938">
        <v>0.98834069999999996</v>
      </c>
      <c r="Y5938">
        <v>-0.3124519</v>
      </c>
      <c r="Z5938">
        <v>6.2120870000000002E-2</v>
      </c>
      <c r="AA5938">
        <v>0.94790019999999997</v>
      </c>
      <c r="AB5938">
        <v>29</v>
      </c>
      <c r="AC5938">
        <v>6.9264999999999697</v>
      </c>
      <c r="AD5938">
        <v>-1.1131043670080001</v>
      </c>
      <c r="AE5938">
        <v>-16.479659999999999</v>
      </c>
      <c r="AF5938">
        <v>-5.6295725403214396</v>
      </c>
      <c r="AG5938">
        <v>-1.1131043670080001</v>
      </c>
      <c r="AH5938">
        <v>16.8937812219459</v>
      </c>
      <c r="AI5938">
        <v>93.576854109269505</v>
      </c>
      <c r="AJ5938">
        <v>108.42979666088701</v>
      </c>
      <c r="AK5938">
        <v>17.8418309680807</v>
      </c>
      <c r="AL5938">
        <v>87.264437352545798</v>
      </c>
      <c r="AM5938">
        <v>98.322822466554499</v>
      </c>
      <c r="AN5938">
        <v>1.0000000451223601</v>
      </c>
    </row>
    <row r="5939" spans="1:40" x14ac:dyDescent="0.25">
      <c r="A5939" t="str">
        <f>"20190312160453350"</f>
        <v>20190312160453350</v>
      </c>
      <c r="B5939" t="str">
        <f>"1552377893341692"</f>
        <v>1552377893341692</v>
      </c>
      <c r="C5939" t="s">
        <v>40</v>
      </c>
      <c r="D5939">
        <v>5.7677589999999999</v>
      </c>
      <c r="E5939">
        <v>0.43211060000000001</v>
      </c>
      <c r="F5939" t="s">
        <v>81</v>
      </c>
      <c r="G5939">
        <v>-415.57580000000002</v>
      </c>
      <c r="H5939" s="1">
        <v>-8.3276999999999999E-6</v>
      </c>
      <c r="I5939">
        <v>25.19481</v>
      </c>
      <c r="J5939">
        <v>-422.08679999999998</v>
      </c>
      <c r="K5939">
        <v>1.1131089999999999</v>
      </c>
      <c r="L5939">
        <v>40.548279999999998</v>
      </c>
      <c r="M5939">
        <v>7.9205849999999994E-2</v>
      </c>
      <c r="N5939">
        <v>0</v>
      </c>
      <c r="O5939">
        <v>-0.99675729999999996</v>
      </c>
      <c r="P5939">
        <v>0.2213048</v>
      </c>
      <c r="Q5939">
        <v>3.462237E-2</v>
      </c>
      <c r="R5939">
        <v>-0.97459039999999997</v>
      </c>
      <c r="S5939">
        <v>1.18103</v>
      </c>
      <c r="T5939">
        <v>-0.20125100000000001</v>
      </c>
      <c r="U5939">
        <v>-2.8184200000000001</v>
      </c>
      <c r="V5939">
        <v>-0.1437397</v>
      </c>
      <c r="W5939">
        <v>4.767453E-2</v>
      </c>
      <c r="X5939">
        <v>0.98846650000000003</v>
      </c>
      <c r="Y5939">
        <v>-0.31135649999999998</v>
      </c>
      <c r="Z5939">
        <v>6.634089E-2</v>
      </c>
      <c r="AA5939">
        <v>0.94797469999999995</v>
      </c>
      <c r="AB5939">
        <v>29</v>
      </c>
      <c r="AC5939">
        <v>6.5109999999999602</v>
      </c>
      <c r="AD5939">
        <v>-1.1131173276999999</v>
      </c>
      <c r="AE5939">
        <v>-15.3534699999999</v>
      </c>
      <c r="AF5939">
        <v>-5.2509402126569098</v>
      </c>
      <c r="AG5939">
        <v>-1.1131173276999999</v>
      </c>
      <c r="AH5939">
        <v>15.7508155445719</v>
      </c>
      <c r="AI5939">
        <v>93.835542820825097</v>
      </c>
      <c r="AJ5939">
        <v>108.43713693679599</v>
      </c>
      <c r="AK5939">
        <v>16.640300286390602</v>
      </c>
      <c r="AL5939">
        <v>87.267414820230996</v>
      </c>
      <c r="AM5939">
        <v>98.273778638325993</v>
      </c>
      <c r="AN5939">
        <v>0.99999999189453004</v>
      </c>
    </row>
    <row r="5940" spans="1:40" x14ac:dyDescent="0.25">
      <c r="A5940" t="str">
        <f>"20190312160453372"</f>
        <v>20190312160453372</v>
      </c>
      <c r="B5940" t="str">
        <f>"1552377893361211"</f>
        <v>1552377893361211</v>
      </c>
      <c r="C5940" t="s">
        <v>40</v>
      </c>
      <c r="D5940">
        <v>5.5956169999999998</v>
      </c>
      <c r="E5940">
        <v>0.43255110000000002</v>
      </c>
      <c r="F5940" t="s">
        <v>81</v>
      </c>
      <c r="G5940">
        <v>-414.93740000000003</v>
      </c>
      <c r="H5940" s="1">
        <v>-8.3876530000000008E-6</v>
      </c>
      <c r="I5940">
        <v>23.62208</v>
      </c>
      <c r="J5940">
        <v>-422.06020000000001</v>
      </c>
      <c r="K5940">
        <v>1.1131409999999999</v>
      </c>
      <c r="L5940">
        <v>40.264769999999999</v>
      </c>
      <c r="M5940">
        <v>8.2940680000000003E-2</v>
      </c>
      <c r="N5940">
        <v>0</v>
      </c>
      <c r="O5940">
        <v>-0.99645329999999999</v>
      </c>
      <c r="P5940">
        <v>0.2241417</v>
      </c>
      <c r="Q5940">
        <v>3.468355E-2</v>
      </c>
      <c r="R5940">
        <v>-0.97393949999999996</v>
      </c>
      <c r="S5940">
        <v>1.1889339999999999</v>
      </c>
      <c r="T5940">
        <v>-0.18511089999999999</v>
      </c>
      <c r="U5940">
        <v>-2.814819</v>
      </c>
      <c r="V5940">
        <v>-0.14291719999999999</v>
      </c>
      <c r="W5940">
        <v>4.7740249999999998E-2</v>
      </c>
      <c r="X5940">
        <v>0.98858259999999998</v>
      </c>
      <c r="Y5940">
        <v>-0.31062040000000002</v>
      </c>
      <c r="Z5940">
        <v>6.1061339999999999E-2</v>
      </c>
      <c r="AA5940">
        <v>0.94857080000000005</v>
      </c>
      <c r="AB5940">
        <v>29</v>
      </c>
      <c r="AC5940">
        <v>7.1227999999999803</v>
      </c>
      <c r="AD5940">
        <v>-1.1131493876530001</v>
      </c>
      <c r="AE5940">
        <v>-16.642689999999899</v>
      </c>
      <c r="AF5940">
        <v>-5.6962203956538504</v>
      </c>
      <c r="AG5940">
        <v>-1.1131493876530001</v>
      </c>
      <c r="AH5940">
        <v>17.111465897467198</v>
      </c>
      <c r="AI5940">
        <v>93.531972950788401</v>
      </c>
      <c r="AJ5940">
        <v>108.412038084109</v>
      </c>
      <c r="AK5940">
        <v>18.068987063897001</v>
      </c>
      <c r="AL5940">
        <v>87.263645091252798</v>
      </c>
      <c r="AM5940">
        <v>98.226131773009797</v>
      </c>
      <c r="AN5940">
        <v>1.00000000727433</v>
      </c>
    </row>
    <row r="5941" spans="1:40" x14ac:dyDescent="0.25">
      <c r="A5941" t="str">
        <f>"20190312160453394"</f>
        <v>20190312160453394</v>
      </c>
      <c r="B5941" t="str">
        <f>"1552377893381708"</f>
        <v>1552377893381708</v>
      </c>
      <c r="C5941" t="s">
        <v>40</v>
      </c>
      <c r="D5941">
        <v>5.6007280000000002</v>
      </c>
      <c r="E5941">
        <v>0.43345070000000002</v>
      </c>
      <c r="F5941" t="s">
        <v>81</v>
      </c>
      <c r="G5941">
        <v>-413.91300000000001</v>
      </c>
      <c r="H5941" s="1">
        <v>-8.5060169999999994E-6</v>
      </c>
      <c r="I5941">
        <v>21.078430000000001</v>
      </c>
      <c r="J5941">
        <v>-422.03339999999997</v>
      </c>
      <c r="K5941">
        <v>1.1131759999999999</v>
      </c>
      <c r="L5941">
        <v>39.991030000000002</v>
      </c>
      <c r="M5941">
        <v>8.6595800000000001E-2</v>
      </c>
      <c r="N5941">
        <v>0</v>
      </c>
      <c r="O5941">
        <v>-0.99614210000000003</v>
      </c>
      <c r="P5941">
        <v>0.22685859999999999</v>
      </c>
      <c r="Q5941">
        <v>3.4455350000000003E-2</v>
      </c>
      <c r="R5941">
        <v>-0.97331809999999996</v>
      </c>
      <c r="S5941">
        <v>1.1937869999999999</v>
      </c>
      <c r="T5941">
        <v>-0.1631078</v>
      </c>
      <c r="U5941">
        <v>-2.81134</v>
      </c>
      <c r="V5941">
        <v>-0.14204990000000001</v>
      </c>
      <c r="W5941">
        <v>4.7514969999999997E-2</v>
      </c>
      <c r="X5941">
        <v>0.98871849999999994</v>
      </c>
      <c r="Y5941">
        <v>-0.30910379999999998</v>
      </c>
      <c r="Z5941">
        <v>5.3858870000000003E-2</v>
      </c>
      <c r="AA5941">
        <v>0.94950210000000002</v>
      </c>
      <c r="AB5941">
        <v>29</v>
      </c>
      <c r="AC5941">
        <v>8.1203999999999592</v>
      </c>
      <c r="AD5941">
        <v>-1.113184506017</v>
      </c>
      <c r="AE5941">
        <v>-18.912600000000001</v>
      </c>
      <c r="AF5941">
        <v>-6.43315449827743</v>
      </c>
      <c r="AG5941">
        <v>-1.113184506017</v>
      </c>
      <c r="AH5941">
        <v>19.4877995368653</v>
      </c>
      <c r="AI5941">
        <v>93.104852163053096</v>
      </c>
      <c r="AJ5941">
        <v>108.26867142408</v>
      </c>
      <c r="AK5941">
        <v>20.552347489573801</v>
      </c>
      <c r="AL5941">
        <v>87.276567491011306</v>
      </c>
      <c r="AM5941">
        <v>98.175779457394299</v>
      </c>
      <c r="AN5941">
        <v>1.0000000593531699</v>
      </c>
    </row>
    <row r="5942" spans="1:40" x14ac:dyDescent="0.25">
      <c r="A5942" t="str">
        <f>"20190312160453409"</f>
        <v>20190312160453409</v>
      </c>
      <c r="B5942" t="str">
        <f>"1552377893401228"</f>
        <v>1552377893401228</v>
      </c>
      <c r="C5942" t="s">
        <v>40</v>
      </c>
      <c r="D5942">
        <v>5.5704989999999999</v>
      </c>
      <c r="E5942">
        <v>0.43440659999999998</v>
      </c>
      <c r="F5942" t="s">
        <v>81</v>
      </c>
      <c r="G5942">
        <v>-413.03800000000001</v>
      </c>
      <c r="H5942" s="1">
        <v>-1.09146E-5</v>
      </c>
      <c r="I5942">
        <v>18.856290000000001</v>
      </c>
      <c r="J5942">
        <v>-422.01459999999997</v>
      </c>
      <c r="K5942">
        <v>1.1131979999999999</v>
      </c>
      <c r="L5942">
        <v>39.804259999999999</v>
      </c>
      <c r="M5942">
        <v>8.9118509999999998E-2</v>
      </c>
      <c r="N5942">
        <v>0</v>
      </c>
      <c r="O5942">
        <v>-0.99591969999999996</v>
      </c>
      <c r="P5942">
        <v>0.22910759999999999</v>
      </c>
      <c r="Q5942">
        <v>3.4412640000000001E-2</v>
      </c>
      <c r="R5942">
        <v>-0.97279309999999997</v>
      </c>
      <c r="S5942">
        <v>1.1954959999999999</v>
      </c>
      <c r="T5942">
        <v>-0.1479442</v>
      </c>
      <c r="U5942">
        <v>-2.8088380000000002</v>
      </c>
      <c r="V5942">
        <v>-0.141833399999999</v>
      </c>
      <c r="W5942">
        <v>4.7469240000000003E-2</v>
      </c>
      <c r="X5942">
        <v>0.98875170000000001</v>
      </c>
      <c r="Y5942">
        <v>-0.30758839999999998</v>
      </c>
      <c r="Z5942">
        <v>4.8895139999999997E-2</v>
      </c>
      <c r="AA5942">
        <v>0.95026239999999995</v>
      </c>
      <c r="AB5942">
        <v>28</v>
      </c>
      <c r="AC5942">
        <v>8.9765999999999604</v>
      </c>
      <c r="AD5942">
        <v>-1.1132089145999999</v>
      </c>
      <c r="AE5942">
        <v>-20.947970000000002</v>
      </c>
      <c r="AF5942">
        <v>-7.0569974788090404</v>
      </c>
      <c r="AG5942">
        <v>-1.1132089145999999</v>
      </c>
      <c r="AH5942">
        <v>21.613096841029002</v>
      </c>
      <c r="AI5942">
        <v>92.803095813574103</v>
      </c>
      <c r="AJ5942">
        <v>108.082630255086</v>
      </c>
      <c r="AK5942">
        <v>22.763268714382001</v>
      </c>
      <c r="AL5942">
        <v>87.279190379303003</v>
      </c>
      <c r="AM5942">
        <v>98.163216317025601</v>
      </c>
      <c r="AN5942">
        <v>0.99999998317731298</v>
      </c>
    </row>
    <row r="5943" spans="1:40" x14ac:dyDescent="0.25">
      <c r="A5943" t="str">
        <f>"20190312160453422"</f>
        <v>20190312160453422</v>
      </c>
      <c r="B5943" t="str">
        <f>"1552377893410987"</f>
        <v>1552377893410987</v>
      </c>
      <c r="C5943" t="s">
        <v>40</v>
      </c>
      <c r="D5943">
        <v>5.611866</v>
      </c>
      <c r="E5943">
        <v>0.43463889999999999</v>
      </c>
      <c r="F5943" t="s">
        <v>81</v>
      </c>
      <c r="G5943">
        <v>-412.22059999999999</v>
      </c>
      <c r="H5943" s="1">
        <v>-1.110256E-5</v>
      </c>
      <c r="I5943">
        <v>16.782339999999898</v>
      </c>
      <c r="J5943">
        <v>-421.99549999999999</v>
      </c>
      <c r="K5943">
        <v>1.113226</v>
      </c>
      <c r="L5943">
        <v>39.621339999999996</v>
      </c>
      <c r="M5943">
        <v>9.1628100000000004E-2</v>
      </c>
      <c r="N5943">
        <v>0</v>
      </c>
      <c r="O5943">
        <v>-0.99569189999999996</v>
      </c>
      <c r="P5943">
        <v>0.23133049999999999</v>
      </c>
      <c r="Q5943">
        <v>3.4550820000000003E-2</v>
      </c>
      <c r="R5943">
        <v>-0.97226140000000005</v>
      </c>
      <c r="S5943">
        <v>1.1943360000000001</v>
      </c>
      <c r="T5943">
        <v>-0.1357515</v>
      </c>
      <c r="U5943">
        <v>-2.8074340000000002</v>
      </c>
      <c r="V5943">
        <v>-0.14160610000000001</v>
      </c>
      <c r="W5943">
        <v>4.7603079999999999E-2</v>
      </c>
      <c r="X5943">
        <v>0.98877789999999999</v>
      </c>
      <c r="Y5943">
        <v>-0.30510179999999998</v>
      </c>
      <c r="Z5943">
        <v>4.4901339999999998E-2</v>
      </c>
      <c r="AA5943">
        <v>0.95126060000000001</v>
      </c>
      <c r="AB5943">
        <v>28</v>
      </c>
      <c r="AC5943">
        <v>9.7749000000000006</v>
      </c>
      <c r="AD5943">
        <v>-1.1132371025600001</v>
      </c>
      <c r="AE5943">
        <v>-22.838999999999999</v>
      </c>
      <c r="AF5943">
        <v>-7.6255536948356104</v>
      </c>
      <c r="AG5943">
        <v>-1.1132371025600001</v>
      </c>
      <c r="AH5943">
        <v>23.5912774958122</v>
      </c>
      <c r="AI5943">
        <v>92.570916635604206</v>
      </c>
      <c r="AJ5943">
        <v>107.912707866251</v>
      </c>
      <c r="AK5943">
        <v>24.8180728479016</v>
      </c>
      <c r="AL5943">
        <v>87.271513383281402</v>
      </c>
      <c r="AM5943">
        <v>98.150096917923506</v>
      </c>
      <c r="AN5943">
        <v>1.0000000381555501</v>
      </c>
    </row>
    <row r="5944" spans="1:40" x14ac:dyDescent="0.25">
      <c r="A5944" t="str">
        <f>"20190312160453439"</f>
        <v>20190312160453439</v>
      </c>
      <c r="B5944" t="str">
        <f>"1552377893431483"</f>
        <v>1552377893431483</v>
      </c>
      <c r="C5944" t="s">
        <v>40</v>
      </c>
      <c r="D5944">
        <v>5.625877</v>
      </c>
      <c r="E5944">
        <v>0.434614</v>
      </c>
      <c r="F5944" t="s">
        <v>81</v>
      </c>
      <c r="G5944">
        <v>-412.39190000000002</v>
      </c>
      <c r="H5944" s="1">
        <v>-1.1092740000000001E-5</v>
      </c>
      <c r="I5944">
        <v>17.146709999999999</v>
      </c>
      <c r="J5944">
        <v>-421.97449999999998</v>
      </c>
      <c r="K5944">
        <v>1.1132629999999999</v>
      </c>
      <c r="L5944">
        <v>39.424320000000002</v>
      </c>
      <c r="M5944">
        <v>9.4372590000000006E-2</v>
      </c>
      <c r="N5944">
        <v>0</v>
      </c>
      <c r="O5944">
        <v>-0.99543550000000003</v>
      </c>
      <c r="P5944">
        <v>0.23438999999999999</v>
      </c>
      <c r="Q5944">
        <v>3.4830670000000001E-2</v>
      </c>
      <c r="R5944">
        <v>-0.97151880000000002</v>
      </c>
      <c r="S5944">
        <v>1.1987300000000001</v>
      </c>
      <c r="T5944">
        <v>-0.138955</v>
      </c>
      <c r="U5944">
        <v>-2.8052980000000001</v>
      </c>
      <c r="V5944">
        <v>-0.1420004</v>
      </c>
      <c r="W5944">
        <v>4.7870759999999998E-2</v>
      </c>
      <c r="X5944">
        <v>0.98870840000000004</v>
      </c>
      <c r="Y5944">
        <v>-0.3039792</v>
      </c>
      <c r="Z5944">
        <v>4.5967710000000002E-2</v>
      </c>
      <c r="AA5944">
        <v>0.951569</v>
      </c>
      <c r="AB5944">
        <v>28</v>
      </c>
      <c r="AC5944">
        <v>9.5825999999999496</v>
      </c>
      <c r="AD5944">
        <v>-1.11327409274</v>
      </c>
      <c r="AE5944">
        <v>-22.277609999999999</v>
      </c>
      <c r="AF5944">
        <v>-7.4215756242188</v>
      </c>
      <c r="AG5944">
        <v>-1.11327409274</v>
      </c>
      <c r="AH5944">
        <v>23.0340487198273</v>
      </c>
      <c r="AI5944">
        <v>92.633908149838305</v>
      </c>
      <c r="AJ5944">
        <v>107.85895213889999</v>
      </c>
      <c r="AK5944">
        <v>24.225741771490501</v>
      </c>
      <c r="AL5944">
        <v>87.256158872115407</v>
      </c>
      <c r="AM5944">
        <v>98.173051309352701</v>
      </c>
      <c r="AN5944">
        <v>1.0000000117468399</v>
      </c>
    </row>
    <row r="5945" spans="1:40" x14ac:dyDescent="0.25">
      <c r="A5945" t="str">
        <f>"20190312160453460"</f>
        <v>20190312160453460</v>
      </c>
      <c r="B5945" t="str">
        <f>"1552377893451004"</f>
        <v>1552377893451004</v>
      </c>
      <c r="C5945" t="s">
        <v>40</v>
      </c>
      <c r="D5945">
        <v>5.6621259999999998</v>
      </c>
      <c r="E5945">
        <v>0.43509019999999998</v>
      </c>
      <c r="F5945" t="s">
        <v>81</v>
      </c>
      <c r="G5945">
        <v>-412.80829999999997</v>
      </c>
      <c r="H5945" s="1">
        <v>-1.09984E-5</v>
      </c>
      <c r="I5945">
        <v>18.15784</v>
      </c>
      <c r="J5945">
        <v>-421.94400000000002</v>
      </c>
      <c r="K5945">
        <v>1.113327</v>
      </c>
      <c r="L5945">
        <v>39.147129999999997</v>
      </c>
      <c r="M5945">
        <v>9.8313440000000002E-2</v>
      </c>
      <c r="N5945">
        <v>0</v>
      </c>
      <c r="O5945">
        <v>-0.99505390000000005</v>
      </c>
      <c r="P5945">
        <v>0.23875740000000001</v>
      </c>
      <c r="Q5945">
        <v>3.5210600000000002E-2</v>
      </c>
      <c r="R5945">
        <v>-0.970441</v>
      </c>
      <c r="S5945">
        <v>1.2076420000000001</v>
      </c>
      <c r="T5945">
        <v>-0.14667339999999901</v>
      </c>
      <c r="U5945">
        <v>-2.8018489999999998</v>
      </c>
      <c r="V5945">
        <v>-0.1425438</v>
      </c>
      <c r="W5945">
        <v>4.8230349999999998E-2</v>
      </c>
      <c r="X5945">
        <v>0.98861270000000001</v>
      </c>
      <c r="Y5945">
        <v>-0.30313790000000002</v>
      </c>
      <c r="Z5945">
        <v>4.851896E-2</v>
      </c>
      <c r="AA5945">
        <v>0.95171070000000002</v>
      </c>
      <c r="AB5945">
        <v>28</v>
      </c>
      <c r="AC5945">
        <v>9.1357000000000408</v>
      </c>
      <c r="AD5945">
        <v>-1.1133379984</v>
      </c>
      <c r="AE5945">
        <v>-20.98929</v>
      </c>
      <c r="AF5945">
        <v>-7.0111107419389596</v>
      </c>
      <c r="AG5945">
        <v>-1.1133379984</v>
      </c>
      <c r="AH5945">
        <v>21.734428006541101</v>
      </c>
      <c r="AI5945">
        <v>92.791012106938794</v>
      </c>
      <c r="AJ5945">
        <v>107.878708375337</v>
      </c>
      <c r="AK5945">
        <v>22.864394942922299</v>
      </c>
      <c r="AL5945">
        <v>87.235531985977502</v>
      </c>
      <c r="AM5945">
        <v>98.204685937273695</v>
      </c>
      <c r="AN5945">
        <v>0.99999998609042595</v>
      </c>
    </row>
    <row r="5946" spans="1:40" x14ac:dyDescent="0.25">
      <c r="A5946" t="str">
        <f>"20190312160453478"</f>
        <v>20190312160453478</v>
      </c>
      <c r="B5946" t="str">
        <f>"1552377893471500"</f>
        <v>1552377893471500</v>
      </c>
      <c r="C5946" t="s">
        <v>40</v>
      </c>
      <c r="D5946">
        <v>5.7368069999999998</v>
      </c>
      <c r="E5946">
        <v>0.4354729</v>
      </c>
      <c r="F5946" t="s">
        <v>81</v>
      </c>
      <c r="G5946">
        <v>-412.36529999999999</v>
      </c>
      <c r="H5946" s="1">
        <v>-1.10873E-5</v>
      </c>
      <c r="I5946">
        <v>17.12724</v>
      </c>
      <c r="J5946">
        <v>-421.9196</v>
      </c>
      <c r="K5946">
        <v>1.1133839999999999</v>
      </c>
      <c r="L5946">
        <v>38.933750000000003</v>
      </c>
      <c r="M5946">
        <v>0.101424</v>
      </c>
      <c r="N5946">
        <v>0</v>
      </c>
      <c r="O5946">
        <v>-0.9947414</v>
      </c>
      <c r="P5946">
        <v>0.24203669999999999</v>
      </c>
      <c r="Q5946">
        <v>3.514627E-2</v>
      </c>
      <c r="R5946">
        <v>-0.96963049999999995</v>
      </c>
      <c r="S5946">
        <v>1.216766</v>
      </c>
      <c r="T5946">
        <v>-0.14142550000000001</v>
      </c>
      <c r="U5946">
        <v>-2.7971499999999998</v>
      </c>
      <c r="V5946">
        <v>-0.14280079999999901</v>
      </c>
      <c r="W5946">
        <v>4.814939E-2</v>
      </c>
      <c r="X5946">
        <v>0.9885796</v>
      </c>
      <c r="Y5946">
        <v>-0.3033863</v>
      </c>
      <c r="Z5946">
        <v>4.6805769999999997E-2</v>
      </c>
      <c r="AA5946">
        <v>0.95171740000000005</v>
      </c>
      <c r="AB5946">
        <v>28</v>
      </c>
      <c r="AC5946">
        <v>9.5543000000000102</v>
      </c>
      <c r="AD5946">
        <v>-1.1133950873</v>
      </c>
      <c r="AE5946">
        <v>-21.806509999999999</v>
      </c>
      <c r="AF5946">
        <v>-7.2771778701827996</v>
      </c>
      <c r="AG5946">
        <v>-1.1133950873</v>
      </c>
      <c r="AH5946">
        <v>22.6137131362308</v>
      </c>
      <c r="AI5946">
        <v>92.683396477199395</v>
      </c>
      <c r="AJ5946">
        <v>107.838370415781</v>
      </c>
      <c r="AK5946">
        <v>23.781862588587099</v>
      </c>
      <c r="AL5946">
        <v>87.240176166057594</v>
      </c>
      <c r="AM5946">
        <v>98.219548121252302</v>
      </c>
      <c r="AN5946">
        <v>1.0000000288870801</v>
      </c>
    </row>
    <row r="5947" spans="1:40" x14ac:dyDescent="0.25">
      <c r="A5947" t="str">
        <f>"20190312160453492"</f>
        <v>20190312160453492</v>
      </c>
      <c r="B5947" t="str">
        <f>"1552377893481261"</f>
        <v>1552377893481261</v>
      </c>
      <c r="C5947" t="s">
        <v>40</v>
      </c>
      <c r="D5947">
        <v>5.747242</v>
      </c>
      <c r="E5947">
        <v>0.43570199999999998</v>
      </c>
      <c r="F5947" t="s">
        <v>81</v>
      </c>
      <c r="G5947">
        <v>-411.5188</v>
      </c>
      <c r="H5947" s="1">
        <v>-1.1159940000000001E-5</v>
      </c>
      <c r="I5947">
        <v>15.19753</v>
      </c>
      <c r="J5947">
        <v>-421.89800000000002</v>
      </c>
      <c r="K5947">
        <v>1.113437</v>
      </c>
      <c r="L5947">
        <v>38.749850000000002</v>
      </c>
      <c r="M5947">
        <v>0.104155</v>
      </c>
      <c r="N5947">
        <v>0</v>
      </c>
      <c r="O5947">
        <v>-0.99445919999999999</v>
      </c>
      <c r="P5947">
        <v>0.24454010000000001</v>
      </c>
      <c r="Q5947">
        <v>3.5235740000000002E-2</v>
      </c>
      <c r="R5947">
        <v>-0.96899869999999999</v>
      </c>
      <c r="S5947">
        <v>1.223938</v>
      </c>
      <c r="T5947">
        <v>-0.13102130000000001</v>
      </c>
      <c r="U5947">
        <v>-2.7932130000000002</v>
      </c>
      <c r="V5947">
        <v>-0.1426461</v>
      </c>
      <c r="W5947">
        <v>4.8226539999999998E-2</v>
      </c>
      <c r="X5947">
        <v>0.98859810000000004</v>
      </c>
      <c r="Y5947">
        <v>-0.303374599999999</v>
      </c>
      <c r="Z5947">
        <v>4.3385489999999999E-2</v>
      </c>
      <c r="AA5947">
        <v>0.95188309999999998</v>
      </c>
      <c r="AB5947">
        <v>28</v>
      </c>
      <c r="AC5947">
        <v>10.379200000000001</v>
      </c>
      <c r="AD5947">
        <v>-1.1134481599399999</v>
      </c>
      <c r="AE5947">
        <v>-23.552320000000002</v>
      </c>
      <c r="AF5947">
        <v>-7.8546961928836296</v>
      </c>
      <c r="AG5947">
        <v>-1.1134481599399999</v>
      </c>
      <c r="AH5947">
        <v>24.4595733309989</v>
      </c>
      <c r="AI5947">
        <v>92.481760151847894</v>
      </c>
      <c r="AJ5947">
        <v>107.803368603888</v>
      </c>
      <c r="AK5947">
        <v>25.713940705809499</v>
      </c>
      <c r="AL5947">
        <v>87.235750454434907</v>
      </c>
      <c r="AM5947">
        <v>98.210613578928005</v>
      </c>
      <c r="AN5947">
        <v>0.99999995616459403</v>
      </c>
    </row>
    <row r="5948" spans="1:40" x14ac:dyDescent="0.25">
      <c r="A5948" t="str">
        <f>"20190312160453505"</f>
        <v>20190312160453505</v>
      </c>
      <c r="B5948" t="str">
        <f>"1552377893500780"</f>
        <v>1552377893500780</v>
      </c>
      <c r="C5948" t="s">
        <v>40</v>
      </c>
      <c r="D5948">
        <v>5.7766919999999997</v>
      </c>
      <c r="E5948">
        <v>0.43611369999999999</v>
      </c>
      <c r="F5948" t="s">
        <v>81</v>
      </c>
      <c r="G5948">
        <v>-411.05970000000002</v>
      </c>
      <c r="H5948" s="1">
        <v>-1.1200040000000001E-5</v>
      </c>
      <c r="I5948">
        <v>14.14728</v>
      </c>
      <c r="J5948">
        <v>-421.87849999999997</v>
      </c>
      <c r="K5948">
        <v>1.11348799999999</v>
      </c>
      <c r="L5948">
        <v>38.58719</v>
      </c>
      <c r="M5948">
        <v>0.10660989999999999</v>
      </c>
      <c r="N5948">
        <v>0</v>
      </c>
      <c r="O5948">
        <v>-0.9941991</v>
      </c>
      <c r="P5948">
        <v>0.24684629999999999</v>
      </c>
      <c r="Q5948">
        <v>3.527537E-2</v>
      </c>
      <c r="R5948">
        <v>-0.96841259999999996</v>
      </c>
      <c r="S5948">
        <v>1.2292479999999999</v>
      </c>
      <c r="T5948">
        <v>-0.1262836</v>
      </c>
      <c r="U5948">
        <v>-2.7903440000000002</v>
      </c>
      <c r="V5948">
        <v>-0.14256489999999999</v>
      </c>
      <c r="W5948">
        <v>4.8254169999999999E-2</v>
      </c>
      <c r="X5948">
        <v>0.9886085</v>
      </c>
      <c r="Y5948">
        <v>-0.3029268</v>
      </c>
      <c r="Z5948">
        <v>4.1830079999999999E-2</v>
      </c>
      <c r="AA5948">
        <v>0.95209540000000004</v>
      </c>
      <c r="AB5948">
        <v>28</v>
      </c>
      <c r="AC5948">
        <v>10.8187999999999</v>
      </c>
      <c r="AD5948">
        <v>-1.1134992000399999</v>
      </c>
      <c r="AE5948">
        <v>-24.439910000000001</v>
      </c>
      <c r="AF5948">
        <v>-8.1372066928542193</v>
      </c>
      <c r="AG5948">
        <v>-1.1134992000399999</v>
      </c>
      <c r="AH5948">
        <v>25.410001607312001</v>
      </c>
      <c r="AI5948">
        <v>92.389772141635206</v>
      </c>
      <c r="AJ5948">
        <v>107.756955833232</v>
      </c>
      <c r="AK5948">
        <v>26.704347865363101</v>
      </c>
      <c r="AL5948">
        <v>87.234165623030094</v>
      </c>
      <c r="AM5948">
        <v>98.205918281795604</v>
      </c>
      <c r="AN5948">
        <v>0.99999999095332404</v>
      </c>
    </row>
    <row r="5949" spans="1:40" x14ac:dyDescent="0.25">
      <c r="A5949" t="str">
        <f>"20190312160453521"</f>
        <v>20190312160453521</v>
      </c>
      <c r="B5949" t="str">
        <f>"1552377893511516"</f>
        <v>1552377893511516</v>
      </c>
      <c r="C5949" t="s">
        <v>40</v>
      </c>
      <c r="D5949">
        <v>5.7778669999999996</v>
      </c>
      <c r="E5949">
        <v>0.43635990000000002</v>
      </c>
      <c r="F5949" t="s">
        <v>81</v>
      </c>
      <c r="G5949">
        <v>-411.04329999999999</v>
      </c>
      <c r="H5949" s="1">
        <v>-1.120677E-5</v>
      </c>
      <c r="I5949">
        <v>14.08135</v>
      </c>
      <c r="J5949">
        <v>-421.8544</v>
      </c>
      <c r="K5949">
        <v>1.1135469999999901</v>
      </c>
      <c r="L5949">
        <v>38.391970000000001</v>
      </c>
      <c r="M5949">
        <v>0.1096255</v>
      </c>
      <c r="N5949">
        <v>0</v>
      </c>
      <c r="O5949">
        <v>-0.9938709</v>
      </c>
      <c r="P5949">
        <v>0.24961269999999999</v>
      </c>
      <c r="Q5949">
        <v>3.5218670000000001E-2</v>
      </c>
      <c r="R5949">
        <v>-0.96770509999999998</v>
      </c>
      <c r="S5949">
        <v>1.2328190000000001</v>
      </c>
      <c r="T5949">
        <v>-0.12669230000000001</v>
      </c>
      <c r="U5949">
        <v>-2.7882389999999999</v>
      </c>
      <c r="V5949">
        <v>-0.1423971</v>
      </c>
      <c r="W5949">
        <v>4.818368E-2</v>
      </c>
      <c r="X5949">
        <v>0.98863610000000002</v>
      </c>
      <c r="Y5949">
        <v>-0.30131849999999999</v>
      </c>
      <c r="Z5949">
        <v>4.1973759999999999E-2</v>
      </c>
      <c r="AA5949">
        <v>0.95259930000000004</v>
      </c>
      <c r="AB5949">
        <v>28</v>
      </c>
      <c r="AC5949">
        <v>10.8111</v>
      </c>
      <c r="AD5949">
        <v>-1.1135582067699901</v>
      </c>
      <c r="AE5949">
        <v>-24.31062</v>
      </c>
      <c r="AF5949">
        <v>-8.0664634545209601</v>
      </c>
      <c r="AG5949">
        <v>-1.1135582067699901</v>
      </c>
      <c r="AH5949">
        <v>25.3050345348923</v>
      </c>
      <c r="AI5949">
        <v>92.400820361040005</v>
      </c>
      <c r="AJ5949">
        <v>107.680675149877</v>
      </c>
      <c r="AK5949">
        <v>26.582938463516001</v>
      </c>
      <c r="AL5949">
        <v>87.238209047141197</v>
      </c>
      <c r="AM5949">
        <v>98.196165447168497</v>
      </c>
      <c r="AN5949">
        <v>0.99999996966497995</v>
      </c>
    </row>
    <row r="5950" spans="1:40" x14ac:dyDescent="0.25">
      <c r="A5950" t="str">
        <f>"20190312160453548"</f>
        <v>20190312160453548</v>
      </c>
      <c r="B5950" t="str">
        <f>"1552377893540795"</f>
        <v>1552377893540795</v>
      </c>
      <c r="C5950" t="s">
        <v>40</v>
      </c>
      <c r="D5950">
        <v>5.7080820000000001</v>
      </c>
      <c r="E5950">
        <v>0.4368939</v>
      </c>
      <c r="F5950" t="s">
        <v>81</v>
      </c>
      <c r="G5950">
        <v>-410.67200000000003</v>
      </c>
      <c r="H5950" s="1">
        <v>-1.12334199999999E-5</v>
      </c>
      <c r="I5950">
        <v>13.2629</v>
      </c>
      <c r="J5950">
        <v>-421.83370000000002</v>
      </c>
      <c r="K5950">
        <v>1.1135980000000001</v>
      </c>
      <c r="L5950">
        <v>38.228610000000003</v>
      </c>
      <c r="M5950">
        <v>0.11219369999999999</v>
      </c>
      <c r="N5950">
        <v>0</v>
      </c>
      <c r="O5950">
        <v>-0.99358429999999998</v>
      </c>
      <c r="P5950">
        <v>0.25185269999999998</v>
      </c>
      <c r="Q5950">
        <v>3.5428540000000001E-2</v>
      </c>
      <c r="R5950">
        <v>-0.9671168</v>
      </c>
      <c r="S5950">
        <v>1.2392879999999999</v>
      </c>
      <c r="T5950">
        <v>-0.1234106</v>
      </c>
      <c r="U5950">
        <v>-2.7849430000000002</v>
      </c>
      <c r="V5950">
        <v>-0.14213919999999999</v>
      </c>
      <c r="W5950">
        <v>4.838228E-2</v>
      </c>
      <c r="X5950">
        <v>0.98866359999999998</v>
      </c>
      <c r="Y5950">
        <v>-0.30113830000000003</v>
      </c>
      <c r="Z5950">
        <v>4.0897530000000001E-2</v>
      </c>
      <c r="AA5950">
        <v>0.95270310000000002</v>
      </c>
      <c r="AB5950">
        <v>28</v>
      </c>
      <c r="AC5950">
        <v>11.1617</v>
      </c>
      <c r="AD5950">
        <v>-1.1136092334199901</v>
      </c>
      <c r="AE5950">
        <v>-24.965709999999898</v>
      </c>
      <c r="AF5950">
        <v>-8.27621150431807</v>
      </c>
      <c r="AG5950">
        <v>-1.1136092334199901</v>
      </c>
      <c r="AH5950">
        <v>26.0173105899277</v>
      </c>
      <c r="AI5950">
        <v>92.3357223471682</v>
      </c>
      <c r="AJ5950">
        <v>107.64607724318</v>
      </c>
      <c r="AK5950">
        <v>27.324645518683901</v>
      </c>
      <c r="AL5950">
        <v>87.226817056615502</v>
      </c>
      <c r="AM5950">
        <v>98.181297759345298</v>
      </c>
      <c r="AN5950">
        <v>1.0000000555797901</v>
      </c>
    </row>
    <row r="5951" spans="1:40" x14ac:dyDescent="0.25">
      <c r="A5951" t="str">
        <f>"20190312160453563"</f>
        <v>20190312160453563</v>
      </c>
      <c r="B5951" t="str">
        <f>"1552377893551533"</f>
        <v>1552377893551533</v>
      </c>
      <c r="C5951" t="s">
        <v>40</v>
      </c>
      <c r="D5951">
        <v>5.7154059999999998</v>
      </c>
      <c r="E5951">
        <v>0.43703920000000002</v>
      </c>
      <c r="F5951" t="s">
        <v>81</v>
      </c>
      <c r="G5951">
        <v>-411.49579999999997</v>
      </c>
      <c r="H5951" s="1">
        <v>-1.1180769999999999E-5</v>
      </c>
      <c r="I5951">
        <v>15.044479999999901</v>
      </c>
      <c r="J5951">
        <v>-421.78840000000002</v>
      </c>
      <c r="K5951">
        <v>1.113704</v>
      </c>
      <c r="L5951">
        <v>37.882809999999999</v>
      </c>
      <c r="M5951">
        <v>0.11777310000000001</v>
      </c>
      <c r="N5951">
        <v>0</v>
      </c>
      <c r="O5951">
        <v>-0.99293830000000005</v>
      </c>
      <c r="P5951">
        <v>0.25697130000000001</v>
      </c>
      <c r="Q5951">
        <v>3.5503560000000003E-2</v>
      </c>
      <c r="R5951">
        <v>-0.96576680000000004</v>
      </c>
      <c r="S5951">
        <v>1.241241</v>
      </c>
      <c r="T5951">
        <v>-0.13370839999999901</v>
      </c>
      <c r="U5951">
        <v>-2.7836609999999999</v>
      </c>
      <c r="V5951">
        <v>-0.1418353</v>
      </c>
      <c r="W5951">
        <v>4.8431340000000003E-2</v>
      </c>
      <c r="X5951">
        <v>0.98870480000000005</v>
      </c>
      <c r="Y5951">
        <v>-0.29644009999999998</v>
      </c>
      <c r="Z5951">
        <v>4.4305820000000003E-2</v>
      </c>
      <c r="AA5951">
        <v>0.95402319999999996</v>
      </c>
      <c r="AB5951">
        <v>28</v>
      </c>
      <c r="AC5951">
        <v>10.2926</v>
      </c>
      <c r="AD5951">
        <v>-1.1137151807700001</v>
      </c>
      <c r="AE5951">
        <v>-22.838329999999999</v>
      </c>
      <c r="AF5951">
        <v>-7.51608416987676</v>
      </c>
      <c r="AG5951">
        <v>-1.1137151807700001</v>
      </c>
      <c r="AH5951">
        <v>23.844538649410801</v>
      </c>
      <c r="AI5951">
        <v>92.550651562377794</v>
      </c>
      <c r="AJ5951">
        <v>107.495475701196</v>
      </c>
      <c r="AK5951">
        <v>25.0258647434168</v>
      </c>
      <c r="AL5951">
        <v>87.224002711983005</v>
      </c>
      <c r="AM5951">
        <v>98.163706211739907</v>
      </c>
      <c r="AN5951">
        <v>1.0000000142816601</v>
      </c>
    </row>
    <row r="5952" spans="1:40" x14ac:dyDescent="0.25">
      <c r="A5952" t="str">
        <f>"20190312160453576"</f>
        <v>20190312160453576</v>
      </c>
      <c r="B5952" t="str">
        <f>"1552377893571052"</f>
        <v>1552377893571052</v>
      </c>
      <c r="C5952" t="s">
        <v>40</v>
      </c>
      <c r="D5952">
        <v>5.84816</v>
      </c>
      <c r="E5952">
        <v>0.43747249999999999</v>
      </c>
      <c r="F5952" t="s">
        <v>81</v>
      </c>
      <c r="G5952">
        <v>-411.5016</v>
      </c>
      <c r="H5952" s="1">
        <v>-1.116942E-5</v>
      </c>
      <c r="I5952">
        <v>15.115679999999999</v>
      </c>
      <c r="J5952">
        <v>-421.76440000000002</v>
      </c>
      <c r="K5952">
        <v>1.113761</v>
      </c>
      <c r="L5952">
        <v>37.706600000000002</v>
      </c>
      <c r="M5952">
        <v>0.1206941</v>
      </c>
      <c r="N5952">
        <v>0</v>
      </c>
      <c r="O5952">
        <v>-0.99258749999999996</v>
      </c>
      <c r="P5952">
        <v>0.25899990000000001</v>
      </c>
      <c r="Q5952">
        <v>3.5547269999999999E-2</v>
      </c>
      <c r="R5952">
        <v>-0.96522330000000001</v>
      </c>
      <c r="S5952">
        <v>1.2549129999999999</v>
      </c>
      <c r="T5952">
        <v>-0.13586570000000001</v>
      </c>
      <c r="U5952">
        <v>-2.7774350000000001</v>
      </c>
      <c r="V5952">
        <v>-0.14100940000000001</v>
      </c>
      <c r="W5952">
        <v>4.846992E-2</v>
      </c>
      <c r="X5952">
        <v>0.98882099999999995</v>
      </c>
      <c r="Y5952">
        <v>-0.2983188</v>
      </c>
      <c r="Z5952">
        <v>4.503004E-2</v>
      </c>
      <c r="AA5952">
        <v>0.95340349999999996</v>
      </c>
      <c r="AB5952">
        <v>28</v>
      </c>
      <c r="AC5952">
        <v>10.2628</v>
      </c>
      <c r="AD5952">
        <v>-1.11377216942</v>
      </c>
      <c r="AE5952">
        <v>-22.590920000000001</v>
      </c>
      <c r="AF5952">
        <v>-7.4458912076487698</v>
      </c>
      <c r="AG5952">
        <v>-1.11377216942</v>
      </c>
      <c r="AH5952">
        <v>23.616941707133599</v>
      </c>
      <c r="AI5952">
        <v>92.575282556735004</v>
      </c>
      <c r="AJ5952">
        <v>107.49889244281501</v>
      </c>
      <c r="AK5952">
        <v>24.787934966827301</v>
      </c>
      <c r="AL5952">
        <v>87.221789538209407</v>
      </c>
      <c r="AM5952">
        <v>98.115863501159197</v>
      </c>
      <c r="AN5952">
        <v>0.99999997703708199</v>
      </c>
    </row>
    <row r="5953" spans="1:40" x14ac:dyDescent="0.25">
      <c r="A5953" t="str">
        <f>"20190312160453595"</f>
        <v>20190312160453595</v>
      </c>
      <c r="B5953" t="str">
        <f>"1552377893591548"</f>
        <v>1552377893591548</v>
      </c>
      <c r="C5953" t="s">
        <v>40</v>
      </c>
      <c r="D5953">
        <v>5.7304750000000002</v>
      </c>
      <c r="E5953">
        <v>0.43772240000000001</v>
      </c>
      <c r="F5953" t="s">
        <v>81</v>
      </c>
      <c r="G5953">
        <v>-411.45</v>
      </c>
      <c r="H5953" s="1">
        <v>-1.118463E-5</v>
      </c>
      <c r="I5953">
        <v>14.940469999999999</v>
      </c>
      <c r="J5953">
        <v>-421.73270000000002</v>
      </c>
      <c r="K5953">
        <v>1.1138239999999999</v>
      </c>
      <c r="L5953">
        <v>37.479520000000001</v>
      </c>
      <c r="M5953">
        <v>0.1245265</v>
      </c>
      <c r="N5953">
        <v>0</v>
      </c>
      <c r="O5953">
        <v>-0.99211380000000005</v>
      </c>
      <c r="P5953">
        <v>0.2621983</v>
      </c>
      <c r="Q5953">
        <v>3.5002850000000002E-2</v>
      </c>
      <c r="R5953">
        <v>-0.96437910000000004</v>
      </c>
      <c r="S5953">
        <v>1.2575379999999901</v>
      </c>
      <c r="T5953">
        <v>-0.135792</v>
      </c>
      <c r="U5953">
        <v>-2.775665</v>
      </c>
      <c r="V5953">
        <v>-0.1404696</v>
      </c>
      <c r="W5953">
        <v>4.7913629999999999E-2</v>
      </c>
      <c r="X5953">
        <v>0.98892500000000005</v>
      </c>
      <c r="Y5953">
        <v>-0.2956085</v>
      </c>
      <c r="Z5953">
        <v>4.5010410000000001E-2</v>
      </c>
      <c r="AA5953">
        <v>0.95424819999999999</v>
      </c>
      <c r="AB5953">
        <v>28</v>
      </c>
      <c r="AC5953">
        <v>10.2827</v>
      </c>
      <c r="AD5953">
        <v>-1.1138351846300001</v>
      </c>
      <c r="AE5953">
        <v>-22.53905</v>
      </c>
      <c r="AF5953">
        <v>-7.3807320604552702</v>
      </c>
      <c r="AG5953">
        <v>-1.1138351846300001</v>
      </c>
      <c r="AH5953">
        <v>23.596477153567001</v>
      </c>
      <c r="AI5953">
        <v>92.579489976739197</v>
      </c>
      <c r="AJ5953">
        <v>107.36913870998799</v>
      </c>
      <c r="AK5953">
        <v>24.748930656203299</v>
      </c>
      <c r="AL5953">
        <v>87.253699858067506</v>
      </c>
      <c r="AM5953">
        <v>98.084367594020193</v>
      </c>
      <c r="AN5953">
        <v>1.00000004004446</v>
      </c>
    </row>
    <row r="5954" spans="1:40" x14ac:dyDescent="0.25">
      <c r="A5954" t="str">
        <f>"20190312160453610"</f>
        <v>20190312160453610</v>
      </c>
      <c r="B5954" t="str">
        <f>"1552377893601308"</f>
        <v>1552377893601308</v>
      </c>
      <c r="C5954" t="s">
        <v>40</v>
      </c>
      <c r="D5954">
        <v>5.749066</v>
      </c>
      <c r="E5954">
        <v>0.43786789999999998</v>
      </c>
      <c r="F5954" t="s">
        <v>81</v>
      </c>
      <c r="G5954">
        <v>-411.83109999999999</v>
      </c>
      <c r="H5954" s="1">
        <v>-1.1157159999999999E-5</v>
      </c>
      <c r="I5954">
        <v>15.78131</v>
      </c>
      <c r="J5954">
        <v>-421.70600000000002</v>
      </c>
      <c r="K5954">
        <v>1.113872</v>
      </c>
      <c r="L5954">
        <v>37.29318</v>
      </c>
      <c r="M5954">
        <v>0.1277298</v>
      </c>
      <c r="N5954">
        <v>0</v>
      </c>
      <c r="O5954">
        <v>-0.99170630000000004</v>
      </c>
      <c r="P5954">
        <v>0.26517580000000002</v>
      </c>
      <c r="Q5954">
        <v>3.4695700000000003E-2</v>
      </c>
      <c r="R5954">
        <v>-0.96357550000000003</v>
      </c>
      <c r="S5954">
        <v>1.2649840000000001</v>
      </c>
      <c r="T5954">
        <v>-0.14229849999999999</v>
      </c>
      <c r="U5954">
        <v>-2.7720639999999999</v>
      </c>
      <c r="V5954">
        <v>-0.1403326</v>
      </c>
      <c r="W5954">
        <v>4.759356E-2</v>
      </c>
      <c r="X5954">
        <v>0.98895979999999994</v>
      </c>
      <c r="Y5954">
        <v>-0.2950718</v>
      </c>
      <c r="Z5954">
        <v>4.7167519999999998E-2</v>
      </c>
      <c r="AA5954">
        <v>0.9543102</v>
      </c>
      <c r="AB5954">
        <v>28</v>
      </c>
      <c r="AC5954">
        <v>9.8748999999999594</v>
      </c>
      <c r="AD5954">
        <v>-1.1138831571600001</v>
      </c>
      <c r="AE5954">
        <v>-21.511869999999998</v>
      </c>
      <c r="AF5954">
        <v>-7.0304423858699199</v>
      </c>
      <c r="AG5954">
        <v>-1.1138831571600001</v>
      </c>
      <c r="AH5954">
        <v>22.547146781856998</v>
      </c>
      <c r="AI5954">
        <v>92.7002311938042</v>
      </c>
      <c r="AJ5954">
        <v>107.318039068608</v>
      </c>
      <c r="AK5954">
        <v>23.6440623377508</v>
      </c>
      <c r="AL5954">
        <v>87.2720591785842</v>
      </c>
      <c r="AM5954">
        <v>98.076306541410602</v>
      </c>
      <c r="AN5954">
        <v>0.999999935796134</v>
      </c>
    </row>
    <row r="5955" spans="1:40" x14ac:dyDescent="0.25">
      <c r="A5955" t="str">
        <f>"20190312160453622"</f>
        <v>20190312160453622</v>
      </c>
      <c r="B5955" t="str">
        <f>"1552377893611068"</f>
        <v>1552377893611068</v>
      </c>
      <c r="C5955" t="s">
        <v>40</v>
      </c>
      <c r="D5955">
        <v>5.7169499999999998</v>
      </c>
      <c r="E5955">
        <v>0.43802150000000001</v>
      </c>
      <c r="F5955" t="s">
        <v>81</v>
      </c>
      <c r="G5955">
        <v>-412.01369999999997</v>
      </c>
      <c r="H5955" s="1">
        <v>-1.1141149999999999E-5</v>
      </c>
      <c r="I5955">
        <v>16.199300000000001</v>
      </c>
      <c r="J5955">
        <v>-421.6832</v>
      </c>
      <c r="K5955">
        <v>1.113915</v>
      </c>
      <c r="L5955">
        <v>37.138309999999997</v>
      </c>
      <c r="M5955">
        <v>0.13044149999999999</v>
      </c>
      <c r="N5955">
        <v>0</v>
      </c>
      <c r="O5955">
        <v>-0.99135320000000005</v>
      </c>
      <c r="P5955">
        <v>0.26763330000000002</v>
      </c>
      <c r="Q5955">
        <v>3.422675E-2</v>
      </c>
      <c r="R5955">
        <v>-0.96291269999999995</v>
      </c>
      <c r="S5955">
        <v>1.272125</v>
      </c>
      <c r="T5955">
        <v>-0.14619789999999999</v>
      </c>
      <c r="U5955">
        <v>-2.7685849999999999</v>
      </c>
      <c r="V5955">
        <v>-0.14014949999999901</v>
      </c>
      <c r="W5955">
        <v>4.7115339999999999E-2</v>
      </c>
      <c r="X5955">
        <v>0.98900869999999996</v>
      </c>
      <c r="Y5955">
        <v>-0.29492020000000002</v>
      </c>
      <c r="Z5955">
        <v>4.8462430000000001E-2</v>
      </c>
      <c r="AA5955">
        <v>0.95429209999999998</v>
      </c>
      <c r="AB5955">
        <v>28</v>
      </c>
      <c r="AC5955">
        <v>9.6695000000000206</v>
      </c>
      <c r="AD5955">
        <v>-1.1139261411500001</v>
      </c>
      <c r="AE5955">
        <v>-20.93901</v>
      </c>
      <c r="AF5955">
        <v>-6.8393189297842998</v>
      </c>
      <c r="AG5955">
        <v>-1.1139261411500001</v>
      </c>
      <c r="AH5955">
        <v>21.9702544374911</v>
      </c>
      <c r="AI5955">
        <v>92.771533307177705</v>
      </c>
      <c r="AJ5955">
        <v>107.291314721417</v>
      </c>
      <c r="AK5955">
        <v>23.0371264466587</v>
      </c>
      <c r="AL5955">
        <v>87.299490042459695</v>
      </c>
      <c r="AM5955">
        <v>98.065514123512301</v>
      </c>
      <c r="AN5955">
        <v>0.99999997314462696</v>
      </c>
    </row>
    <row r="5956" spans="1:40" x14ac:dyDescent="0.25">
      <c r="A5956" t="str">
        <f>"20190312160453636"</f>
        <v>20190312160453636</v>
      </c>
      <c r="B5956" t="str">
        <f>"1552377893631564"</f>
        <v>1552377893631564</v>
      </c>
      <c r="C5956" t="s">
        <v>40</v>
      </c>
      <c r="D5956">
        <v>5.7331960000000004</v>
      </c>
      <c r="E5956">
        <v>0.4382935</v>
      </c>
      <c r="F5956" t="s">
        <v>81</v>
      </c>
      <c r="G5956">
        <v>-412.1891</v>
      </c>
      <c r="H5956" s="1">
        <v>-1.1125069999999999E-5</v>
      </c>
      <c r="I5956">
        <v>16.604589999999899</v>
      </c>
      <c r="J5956">
        <v>-421.65789999999998</v>
      </c>
      <c r="K5956">
        <v>1.113964</v>
      </c>
      <c r="L5956">
        <v>36.969850000000001</v>
      </c>
      <c r="M5956">
        <v>0.13343379999999999</v>
      </c>
      <c r="N5956">
        <v>0</v>
      </c>
      <c r="O5956">
        <v>-0.99095489999999997</v>
      </c>
      <c r="P5956">
        <v>0.2703333</v>
      </c>
      <c r="Q5956">
        <v>3.3616890000000003E-2</v>
      </c>
      <c r="R5956">
        <v>-0.96217969999999997</v>
      </c>
      <c r="S5956">
        <v>1.2786869999999999</v>
      </c>
      <c r="T5956">
        <v>-0.15002480000000001</v>
      </c>
      <c r="U5956">
        <v>-2.7655029999999998</v>
      </c>
      <c r="V5956">
        <v>-0.1399357</v>
      </c>
      <c r="W5956">
        <v>4.6494710000000002E-2</v>
      </c>
      <c r="X5956">
        <v>0.98906839999999996</v>
      </c>
      <c r="Y5956">
        <v>-0.29427999999999999</v>
      </c>
      <c r="Z5956">
        <v>4.9729259999999997E-2</v>
      </c>
      <c r="AA5956">
        <v>0.95442459999999996</v>
      </c>
      <c r="AB5956">
        <v>28</v>
      </c>
      <c r="AC5956">
        <v>9.4687999999999803</v>
      </c>
      <c r="AD5956">
        <v>-1.1139751250699901</v>
      </c>
      <c r="AE5956">
        <v>-20.365259999999999</v>
      </c>
      <c r="AF5956">
        <v>-6.6500584776435403</v>
      </c>
      <c r="AG5956">
        <v>-1.1139751250699901</v>
      </c>
      <c r="AH5956">
        <v>21.394063625379498</v>
      </c>
      <c r="AI5956">
        <v>92.846553521014201</v>
      </c>
      <c r="AJ5956">
        <v>107.267158101831</v>
      </c>
      <c r="AK5956">
        <v>22.431455074117199</v>
      </c>
      <c r="AL5956">
        <v>87.335088687059098</v>
      </c>
      <c r="AM5956">
        <v>98.052891885030704</v>
      </c>
      <c r="AN5956">
        <v>1.00000002903551</v>
      </c>
    </row>
    <row r="5957" spans="1:40" x14ac:dyDescent="0.25">
      <c r="A5957" t="str">
        <f>"20190312160453650"</f>
        <v>20190312160453650</v>
      </c>
      <c r="B5957" t="str">
        <f>"1552377893641324"</f>
        <v>1552377893641324</v>
      </c>
      <c r="C5957" t="s">
        <v>40</v>
      </c>
      <c r="D5957">
        <v>5.7237150000000003</v>
      </c>
      <c r="E5957">
        <v>0.43837700000000002</v>
      </c>
      <c r="F5957" t="s">
        <v>81</v>
      </c>
      <c r="G5957">
        <v>-412.50459999999998</v>
      </c>
      <c r="H5957" s="1">
        <v>-1.110058E-5</v>
      </c>
      <c r="I5957">
        <v>17.273340000000001</v>
      </c>
      <c r="J5957">
        <v>-421.63130000000001</v>
      </c>
      <c r="K5957">
        <v>1.1140080000000001</v>
      </c>
      <c r="L5957">
        <v>36.795780000000001</v>
      </c>
      <c r="M5957">
        <v>0.136563299999999</v>
      </c>
      <c r="N5957">
        <v>0</v>
      </c>
      <c r="O5957">
        <v>-0.99052839999999998</v>
      </c>
      <c r="P5957">
        <v>0.27301340000000002</v>
      </c>
      <c r="Q5957">
        <v>3.2861179999999997E-2</v>
      </c>
      <c r="R5957">
        <v>-0.96144879999999999</v>
      </c>
      <c r="S5957">
        <v>1.2838750000000001</v>
      </c>
      <c r="T5957">
        <v>-0.15624959999999999</v>
      </c>
      <c r="U5957">
        <v>-2.7626949999999999</v>
      </c>
      <c r="V5957">
        <v>-0.1395624</v>
      </c>
      <c r="W5957">
        <v>4.5730199999999999E-2</v>
      </c>
      <c r="X5957">
        <v>0.98915679999999995</v>
      </c>
      <c r="Y5957">
        <v>-0.29306140000000003</v>
      </c>
      <c r="Z5957">
        <v>5.1791410000000003E-2</v>
      </c>
      <c r="AA5957">
        <v>0.95468980000000003</v>
      </c>
      <c r="AB5957">
        <v>28</v>
      </c>
      <c r="AC5957">
        <v>9.1267000000000191</v>
      </c>
      <c r="AD5957">
        <v>-1.11401910058</v>
      </c>
      <c r="AE5957">
        <v>-19.52244</v>
      </c>
      <c r="AF5957">
        <v>-6.3578672200794699</v>
      </c>
      <c r="AG5957">
        <v>-1.11401910058</v>
      </c>
      <c r="AH5957">
        <v>20.531139213314599</v>
      </c>
      <c r="AI5957">
        <v>92.967079959810107</v>
      </c>
      <c r="AJ5957">
        <v>107.206157543225</v>
      </c>
      <c r="AK5957">
        <v>21.5218770450238</v>
      </c>
      <c r="AL5957">
        <v>87.378938569749593</v>
      </c>
      <c r="AM5957">
        <v>98.030981823557298</v>
      </c>
      <c r="AN5957">
        <v>1.00000004483601</v>
      </c>
    </row>
    <row r="5958" spans="1:40" x14ac:dyDescent="0.25">
      <c r="A5958" t="str">
        <f>"20190312160453673"</f>
        <v>20190312160453673</v>
      </c>
      <c r="B5958" t="str">
        <f>"1552377893660844"</f>
        <v>1552377893660844</v>
      </c>
      <c r="C5958" t="s">
        <v>40</v>
      </c>
      <c r="D5958">
        <v>5.7697260000000004</v>
      </c>
      <c r="E5958">
        <v>0.43850990000000001</v>
      </c>
      <c r="F5958" t="s">
        <v>81</v>
      </c>
      <c r="G5958">
        <v>-412.66480000000001</v>
      </c>
      <c r="H5958" s="1">
        <v>-1.106985E-5</v>
      </c>
      <c r="I5958">
        <v>17.635079999999999</v>
      </c>
      <c r="J5958">
        <v>-421.58760000000001</v>
      </c>
      <c r="K5958">
        <v>1.1140950000000001</v>
      </c>
      <c r="L5958">
        <v>36.519680000000001</v>
      </c>
      <c r="M5958">
        <v>0.1416425</v>
      </c>
      <c r="N5958">
        <v>0</v>
      </c>
      <c r="O5958">
        <v>-0.98981490000000005</v>
      </c>
      <c r="P5958">
        <v>0.27844410000000003</v>
      </c>
      <c r="Q5958">
        <v>3.2993179999999997E-2</v>
      </c>
      <c r="R5958">
        <v>-0.95988600000000002</v>
      </c>
      <c r="S5958">
        <v>1.2911680000000001</v>
      </c>
      <c r="T5958">
        <v>-0.160417899999999</v>
      </c>
      <c r="U5958">
        <v>-2.759125</v>
      </c>
      <c r="V5958">
        <v>-0.14009189999999999</v>
      </c>
      <c r="W5958">
        <v>4.5834519999999997E-2</v>
      </c>
      <c r="X5958">
        <v>0.98907710000000004</v>
      </c>
      <c r="Y5958">
        <v>-0.2906704</v>
      </c>
      <c r="Z5958">
        <v>5.3165070000000002E-2</v>
      </c>
      <c r="AA5958">
        <v>0.955345</v>
      </c>
      <c r="AB5958">
        <v>28</v>
      </c>
      <c r="AC5958">
        <v>8.9227999999999899</v>
      </c>
      <c r="AD5958">
        <v>-1.11410606985</v>
      </c>
      <c r="AE5958">
        <v>-18.884599999999999</v>
      </c>
      <c r="AF5958">
        <v>-6.1402155801496399</v>
      </c>
      <c r="AG5958">
        <v>-1.11410606985</v>
      </c>
      <c r="AH5958">
        <v>19.901515515736801</v>
      </c>
      <c r="AI5958">
        <v>93.061994471369403</v>
      </c>
      <c r="AJ5958">
        <v>107.14656647098499</v>
      </c>
      <c r="AK5958">
        <v>20.856984430370101</v>
      </c>
      <c r="AL5958">
        <v>87.372955152703298</v>
      </c>
      <c r="AM5958">
        <v>98.061692654585102</v>
      </c>
      <c r="AN5958">
        <v>1.0000000267068201</v>
      </c>
    </row>
    <row r="5959" spans="1:40" x14ac:dyDescent="0.25">
      <c r="A5959" t="str">
        <f>"20190312160453686"</f>
        <v>20190312160453686</v>
      </c>
      <c r="B5959" t="str">
        <f>"1552377893681340"</f>
        <v>1552377893681340</v>
      </c>
      <c r="C5959" t="s">
        <v>40</v>
      </c>
      <c r="D5959">
        <v>5.8807580000000002</v>
      </c>
      <c r="E5959">
        <v>0.43860280000000001</v>
      </c>
      <c r="F5959" t="s">
        <v>81</v>
      </c>
      <c r="G5959">
        <v>-412.71010000000001</v>
      </c>
      <c r="H5959" s="1">
        <v>-1.104621E-5</v>
      </c>
      <c r="I5959">
        <v>17.805060000000001</v>
      </c>
      <c r="J5959">
        <v>-421.56040000000002</v>
      </c>
      <c r="K5959">
        <v>1.114147</v>
      </c>
      <c r="L5959">
        <v>36.351469999999999</v>
      </c>
      <c r="M5959">
        <v>0.14478629999999901</v>
      </c>
      <c r="N5959">
        <v>0</v>
      </c>
      <c r="O5959">
        <v>-0.98935989999999996</v>
      </c>
      <c r="P5959">
        <v>0.28167880000000001</v>
      </c>
      <c r="Q5959">
        <v>3.3338720000000002E-2</v>
      </c>
      <c r="R5959">
        <v>-0.95892949999999999</v>
      </c>
      <c r="S5959">
        <v>1.3055730000000001</v>
      </c>
      <c r="T5959">
        <v>-0.1638473</v>
      </c>
      <c r="U5959">
        <v>-2.7522890000000002</v>
      </c>
      <c r="V5959">
        <v>-0.140294899999999</v>
      </c>
      <c r="W5959">
        <v>4.6164139999999999E-2</v>
      </c>
      <c r="X5959">
        <v>0.98903300000000005</v>
      </c>
      <c r="Y5959">
        <v>-0.29260439999999999</v>
      </c>
      <c r="Z5959">
        <v>5.4308000000000002E-2</v>
      </c>
      <c r="AA5959">
        <v>0.95469020000000004</v>
      </c>
      <c r="AB5959">
        <v>28</v>
      </c>
      <c r="AC5959">
        <v>8.8503000000000007</v>
      </c>
      <c r="AD5959">
        <v>-1.11415804621</v>
      </c>
      <c r="AE5959">
        <v>-18.546410000000002</v>
      </c>
      <c r="AF5959">
        <v>-6.0536900037471897</v>
      </c>
      <c r="AG5959">
        <v>-1.11415804621</v>
      </c>
      <c r="AH5959">
        <v>19.574937525937798</v>
      </c>
      <c r="AI5959">
        <v>93.112487472804105</v>
      </c>
      <c r="AJ5959">
        <v>107.184599121462</v>
      </c>
      <c r="AK5959">
        <v>20.5199095991617</v>
      </c>
      <c r="AL5959">
        <v>87.354049317088993</v>
      </c>
      <c r="AM5959">
        <v>98.0735757731251</v>
      </c>
      <c r="AN5959">
        <v>1.00000003093847</v>
      </c>
    </row>
    <row r="5960" spans="1:40" x14ac:dyDescent="0.25">
      <c r="A5960" t="str">
        <f>"20190312160453698"</f>
        <v>20190312160453698</v>
      </c>
      <c r="B5960" t="str">
        <f>"1552377893691100"</f>
        <v>1552377893691100</v>
      </c>
      <c r="C5960" t="s">
        <v>40</v>
      </c>
      <c r="D5960">
        <v>5.7845139999999997</v>
      </c>
      <c r="E5960">
        <v>0.43868639999999998</v>
      </c>
      <c r="F5960" t="s">
        <v>81</v>
      </c>
      <c r="G5960">
        <v>-412.42259999999999</v>
      </c>
      <c r="H5960" s="1">
        <v>-1.1080899999999999E-5</v>
      </c>
      <c r="I5960">
        <v>17.248439999999999</v>
      </c>
      <c r="J5960">
        <v>-421.53530000000001</v>
      </c>
      <c r="K5960">
        <v>1.114195</v>
      </c>
      <c r="L5960">
        <v>36.201689999999999</v>
      </c>
      <c r="M5960">
        <v>0.147641299999999</v>
      </c>
      <c r="N5960">
        <v>0</v>
      </c>
      <c r="O5960">
        <v>-0.98893770000000003</v>
      </c>
      <c r="P5960">
        <v>0.28466140000000001</v>
      </c>
      <c r="Q5960">
        <v>3.3275249999999999E-2</v>
      </c>
      <c r="R5960">
        <v>-0.95805079999999998</v>
      </c>
      <c r="S5960">
        <v>1.3144530000000001</v>
      </c>
      <c r="T5960">
        <v>-0.16027069999999999</v>
      </c>
      <c r="U5960">
        <v>-2.7479550000000001</v>
      </c>
      <c r="V5960">
        <v>-0.1405227</v>
      </c>
      <c r="W5960">
        <v>4.6086019999999998E-2</v>
      </c>
      <c r="X5960">
        <v>0.98900429999999995</v>
      </c>
      <c r="Y5960">
        <v>-0.29296899999999998</v>
      </c>
      <c r="Z5960">
        <v>5.312919E-2</v>
      </c>
      <c r="AA5960">
        <v>0.95464470000000001</v>
      </c>
      <c r="AB5960">
        <v>28</v>
      </c>
      <c r="AC5960">
        <v>9.1127000000000091</v>
      </c>
      <c r="AD5960">
        <v>-1.1142060809000001</v>
      </c>
      <c r="AE5960">
        <v>-18.953250000000001</v>
      </c>
      <c r="AF5960">
        <v>-6.19685011722121</v>
      </c>
      <c r="AG5960">
        <v>-1.1142060809000001</v>
      </c>
      <c r="AH5960">
        <v>20.0348082221442</v>
      </c>
      <c r="AI5960">
        <v>93.0412709918741</v>
      </c>
      <c r="AJ5960">
        <v>107.18705734658499</v>
      </c>
      <c r="AK5960">
        <v>21.0008558650383</v>
      </c>
      <c r="AL5960">
        <v>87.358530024262095</v>
      </c>
      <c r="AM5960">
        <v>98.086743323648804</v>
      </c>
      <c r="AN5960">
        <v>1.0000000279365999</v>
      </c>
    </row>
    <row r="5961" spans="1:40" x14ac:dyDescent="0.25">
      <c r="A5961" t="str">
        <f>"20190312160453711"</f>
        <v>20190312160453711</v>
      </c>
      <c r="B5961" t="str">
        <f>"1552377893700860"</f>
        <v>1552377893700860</v>
      </c>
      <c r="C5961" t="s">
        <v>40</v>
      </c>
      <c r="D5961">
        <v>5.9215080000000002</v>
      </c>
      <c r="E5961">
        <v>0.4387702</v>
      </c>
      <c r="F5961" t="s">
        <v>81</v>
      </c>
      <c r="G5961">
        <v>-412.4504</v>
      </c>
      <c r="H5961" s="1">
        <v>-1.1067410000000001E-5</v>
      </c>
      <c r="I5961">
        <v>17.347989999999999</v>
      </c>
      <c r="J5961">
        <v>-421.50970000000001</v>
      </c>
      <c r="K5961">
        <v>1.114241</v>
      </c>
      <c r="L5961">
        <v>36.049709999999997</v>
      </c>
      <c r="M5961">
        <v>0.1505657</v>
      </c>
      <c r="N5961">
        <v>0</v>
      </c>
      <c r="O5961">
        <v>-0.98849659999999995</v>
      </c>
      <c r="P5961">
        <v>0.28798509999999899</v>
      </c>
      <c r="Q5961">
        <v>3.3450000000000001E-2</v>
      </c>
      <c r="R5961">
        <v>-0.95705039999999997</v>
      </c>
      <c r="S5961">
        <v>1.3222959999999999</v>
      </c>
      <c r="T5961">
        <v>-0.16217000000000001</v>
      </c>
      <c r="U5961">
        <v>-2.74411</v>
      </c>
      <c r="V5961">
        <v>-0.1410381</v>
      </c>
      <c r="W5961">
        <v>4.6242739999999997E-2</v>
      </c>
      <c r="X5961">
        <v>0.98892360000000001</v>
      </c>
      <c r="Y5961">
        <v>-0.29286410000000002</v>
      </c>
      <c r="Z5961">
        <v>5.375779E-2</v>
      </c>
      <c r="AA5961">
        <v>0.95464159999999998</v>
      </c>
      <c r="AB5961">
        <v>28</v>
      </c>
      <c r="AC5961">
        <v>9.0593000000000004</v>
      </c>
      <c r="AD5961">
        <v>-1.11425206741</v>
      </c>
      <c r="AE5961">
        <v>-18.701720000000002</v>
      </c>
      <c r="AF5961">
        <v>-6.12227494883982</v>
      </c>
      <c r="AG5961">
        <v>-1.11425206741</v>
      </c>
      <c r="AH5961">
        <v>19.795720487190099</v>
      </c>
      <c r="AI5961">
        <v>93.078086633160495</v>
      </c>
      <c r="AJ5961">
        <v>107.185408082477</v>
      </c>
      <c r="AK5961">
        <v>20.750767644255401</v>
      </c>
      <c r="AL5961">
        <v>87.349541003190893</v>
      </c>
      <c r="AM5961">
        <v>98.116662369589903</v>
      </c>
      <c r="AN5961">
        <v>1.00000001164563</v>
      </c>
    </row>
    <row r="5962" spans="1:40" x14ac:dyDescent="0.25">
      <c r="A5962" t="str">
        <f>"20190312160453724"</f>
        <v>20190312160453724</v>
      </c>
      <c r="B5962" t="str">
        <f>"1552377893711597"</f>
        <v>1552377893711597</v>
      </c>
      <c r="C5962" t="s">
        <v>40</v>
      </c>
      <c r="D5962">
        <v>5.9313859999999998</v>
      </c>
      <c r="E5962">
        <v>0.43882979999999999</v>
      </c>
      <c r="F5962" t="s">
        <v>81</v>
      </c>
      <c r="G5962">
        <v>-412.05540000000002</v>
      </c>
      <c r="H5962" s="1">
        <v>-1.1080800000000001E-5</v>
      </c>
      <c r="I5962">
        <v>16.597429999999999</v>
      </c>
      <c r="J5962">
        <v>-421.48250000000002</v>
      </c>
      <c r="K5962">
        <v>1.114295</v>
      </c>
      <c r="L5962">
        <v>35.89273</v>
      </c>
      <c r="M5962">
        <v>0.1536361</v>
      </c>
      <c r="N5962">
        <v>0</v>
      </c>
      <c r="O5962">
        <v>-0.98802400000000001</v>
      </c>
      <c r="P5962">
        <v>0.29097519999999999</v>
      </c>
      <c r="Q5962">
        <v>3.4106850000000001E-2</v>
      </c>
      <c r="R5962">
        <v>-0.95612249999999999</v>
      </c>
      <c r="S5962">
        <v>1.3314509999999999</v>
      </c>
      <c r="T5962">
        <v>-0.15692039999999999</v>
      </c>
      <c r="U5962">
        <v>-2.739471</v>
      </c>
      <c r="V5962">
        <v>-0.141073</v>
      </c>
      <c r="W5962">
        <v>4.6884820000000001E-2</v>
      </c>
      <c r="X5962">
        <v>0.9888884</v>
      </c>
      <c r="Y5962">
        <v>-0.29315039999999998</v>
      </c>
      <c r="Z5962">
        <v>5.2025969999999998E-2</v>
      </c>
      <c r="AA5962">
        <v>0.95464970000000005</v>
      </c>
      <c r="AB5962">
        <v>28</v>
      </c>
      <c r="AC5962">
        <v>9.4270999999999905</v>
      </c>
      <c r="AD5962">
        <v>-1.1143060808</v>
      </c>
      <c r="AE5962">
        <v>-19.295300000000001</v>
      </c>
      <c r="AF5962">
        <v>-6.3333439501506197</v>
      </c>
      <c r="AG5962">
        <v>-1.1143060808</v>
      </c>
      <c r="AH5962">
        <v>20.459574976673402</v>
      </c>
      <c r="AI5962">
        <v>92.978302276146493</v>
      </c>
      <c r="AJ5962">
        <v>107.200121492375</v>
      </c>
      <c r="AK5962">
        <v>21.446378059213998</v>
      </c>
      <c r="AL5962">
        <v>87.312712611415407</v>
      </c>
      <c r="AM5962">
        <v>98.118929206006996</v>
      </c>
      <c r="AN5962">
        <v>1.0000000226649901</v>
      </c>
    </row>
    <row r="5963" spans="1:40" x14ac:dyDescent="0.25">
      <c r="A5963" t="str">
        <f>"20190312160453739"</f>
        <v>20190312160453739</v>
      </c>
      <c r="B5963" t="str">
        <f>"1552377893731117"</f>
        <v>1552377893731117</v>
      </c>
      <c r="C5963" t="s">
        <v>40</v>
      </c>
      <c r="D5963">
        <v>5.8047339999999998</v>
      </c>
      <c r="E5963">
        <v>0.43895630000000002</v>
      </c>
      <c r="F5963" t="s">
        <v>81</v>
      </c>
      <c r="G5963">
        <v>-411.5829</v>
      </c>
      <c r="H5963" s="1">
        <v>-1.1091380000000001E-5</v>
      </c>
      <c r="I5963">
        <v>15.680389999999999</v>
      </c>
      <c r="J5963">
        <v>-421.44889999999998</v>
      </c>
      <c r="K5963">
        <v>1.1143689999999999</v>
      </c>
      <c r="L5963">
        <v>35.702509999999997</v>
      </c>
      <c r="M5963">
        <v>0.15743070000000001</v>
      </c>
      <c r="N5963">
        <v>0</v>
      </c>
      <c r="O5963">
        <v>-0.98742640000000004</v>
      </c>
      <c r="P5963">
        <v>0.29501559999999999</v>
      </c>
      <c r="Q5963">
        <v>3.491346E-2</v>
      </c>
      <c r="R5963">
        <v>-0.9548546</v>
      </c>
      <c r="S5963">
        <v>1.3397220000000001</v>
      </c>
      <c r="T5963">
        <v>-0.15079989999999999</v>
      </c>
      <c r="U5963">
        <v>-2.7353519999999998</v>
      </c>
      <c r="V5963">
        <v>-0.14147599999999999</v>
      </c>
      <c r="W5963">
        <v>4.7668339999999997E-2</v>
      </c>
      <c r="X5963">
        <v>0.98879329999999999</v>
      </c>
      <c r="Y5963">
        <v>-0.29241929999999999</v>
      </c>
      <c r="Z5963">
        <v>4.9998519999999998E-2</v>
      </c>
      <c r="AA5963">
        <v>0.95498229999999995</v>
      </c>
      <c r="AB5963">
        <v>28</v>
      </c>
      <c r="AC5963">
        <v>9.8659999999999801</v>
      </c>
      <c r="AD5963">
        <v>-1.1143800913799999</v>
      </c>
      <c r="AE5963">
        <v>-20.022120000000001</v>
      </c>
      <c r="AF5963">
        <v>-6.5741406720247699</v>
      </c>
      <c r="AG5963">
        <v>-1.1143800913799999</v>
      </c>
      <c r="AH5963">
        <v>21.2727405150229</v>
      </c>
      <c r="AI5963">
        <v>92.865252461801603</v>
      </c>
      <c r="AJ5963">
        <v>107.173272892002</v>
      </c>
      <c r="AK5963">
        <v>22.293287276288599</v>
      </c>
      <c r="AL5963">
        <v>87.267769796679701</v>
      </c>
      <c r="AM5963">
        <v>98.142584394551605</v>
      </c>
      <c r="AN5963">
        <v>0.99999995966962196</v>
      </c>
    </row>
    <row r="5964" spans="1:40" x14ac:dyDescent="0.25">
      <c r="A5964" t="str">
        <f>"20190312160453763"</f>
        <v>20190312160453763</v>
      </c>
      <c r="B5964" t="str">
        <f>"1552377893751611"</f>
        <v>1552377893751611</v>
      </c>
      <c r="C5964" t="s">
        <v>40</v>
      </c>
      <c r="D5964">
        <v>5.8104789999999999</v>
      </c>
      <c r="E5964">
        <v>0.43906000000000001</v>
      </c>
      <c r="F5964" t="s">
        <v>81</v>
      </c>
      <c r="G5964">
        <v>-411.49549999999999</v>
      </c>
      <c r="H5964" s="1">
        <v>-1.108026E-5</v>
      </c>
      <c r="I5964">
        <v>15.58053</v>
      </c>
      <c r="J5964">
        <v>-421.39839999999998</v>
      </c>
      <c r="K5964">
        <v>1.1144780000000001</v>
      </c>
      <c r="L5964">
        <v>35.424959999999999</v>
      </c>
      <c r="M5964">
        <v>0.16308819999999999</v>
      </c>
      <c r="N5964">
        <v>0</v>
      </c>
      <c r="O5964">
        <v>-0.98650769999999999</v>
      </c>
      <c r="P5964">
        <v>0.30051109999999998</v>
      </c>
      <c r="Q5964">
        <v>3.498354E-2</v>
      </c>
      <c r="R5964">
        <v>-0.9531366</v>
      </c>
      <c r="S5964">
        <v>1.3504640000000001</v>
      </c>
      <c r="T5964">
        <v>-0.1511981</v>
      </c>
      <c r="U5964">
        <v>-2.7301329999999999</v>
      </c>
      <c r="V5964">
        <v>-0.14151720000000001</v>
      </c>
      <c r="W5964">
        <v>4.7711200000000002E-2</v>
      </c>
      <c r="X5964">
        <v>0.98878540000000004</v>
      </c>
      <c r="Y5964">
        <v>-0.29067949999999998</v>
      </c>
      <c r="Z5964">
        <v>5.0118169999999997E-2</v>
      </c>
      <c r="AA5964">
        <v>0.955507</v>
      </c>
      <c r="AB5964">
        <v>28</v>
      </c>
      <c r="AC5964">
        <v>9.9028999999999794</v>
      </c>
      <c r="AD5964">
        <v>-1.11448908026</v>
      </c>
      <c r="AE5964">
        <v>-19.844429999999999</v>
      </c>
      <c r="AF5964">
        <v>-6.5171065487925999</v>
      </c>
      <c r="AG5964">
        <v>-1.11448908026</v>
      </c>
      <c r="AH5964">
        <v>21.140514633091701</v>
      </c>
      <c r="AI5964">
        <v>92.884045466262606</v>
      </c>
      <c r="AJ5964">
        <v>107.133258001475</v>
      </c>
      <c r="AK5964">
        <v>22.150307506450101</v>
      </c>
      <c r="AL5964">
        <v>87.265311472432202</v>
      </c>
      <c r="AM5964">
        <v>98.144988030179704</v>
      </c>
      <c r="AN5964">
        <v>1.00000002187721</v>
      </c>
    </row>
    <row r="5965" spans="1:40" x14ac:dyDescent="0.25">
      <c r="A5965" t="str">
        <f>"20190312160453785"</f>
        <v>20190312160453785</v>
      </c>
      <c r="B5965" t="str">
        <f>"1552377893780891"</f>
        <v>1552377893780891</v>
      </c>
      <c r="C5965" t="s">
        <v>40</v>
      </c>
      <c r="D5965">
        <v>5.9488310000000002</v>
      </c>
      <c r="E5965">
        <v>0.43932789999999999</v>
      </c>
      <c r="F5965" t="s">
        <v>81</v>
      </c>
      <c r="G5965">
        <v>-411.46510000000001</v>
      </c>
      <c r="H5965" s="1">
        <v>-1.106411E-5</v>
      </c>
      <c r="I5965">
        <v>15.611319999999999</v>
      </c>
      <c r="J5965">
        <v>-421.34649999999999</v>
      </c>
      <c r="K5965">
        <v>1.1145860000000001</v>
      </c>
      <c r="L5965">
        <v>35.149439999999998</v>
      </c>
      <c r="M5965">
        <v>0.16886129999999999</v>
      </c>
      <c r="N5965">
        <v>0</v>
      </c>
      <c r="O5965">
        <v>-0.98553570000000001</v>
      </c>
      <c r="P5965">
        <v>0.30598120000000001</v>
      </c>
      <c r="Q5965">
        <v>3.5408910000000002E-2</v>
      </c>
      <c r="R5965">
        <v>-0.95137879999999997</v>
      </c>
      <c r="S5965">
        <v>1.36502099999999</v>
      </c>
      <c r="T5965">
        <v>-0.153150799999999</v>
      </c>
      <c r="U5965">
        <v>-2.7227480000000002</v>
      </c>
      <c r="V5965">
        <v>-0.14142729999999901</v>
      </c>
      <c r="W5965">
        <v>4.811033E-2</v>
      </c>
      <c r="X5965">
        <v>0.98877890000000002</v>
      </c>
      <c r="Y5965">
        <v>-0.29018389999999999</v>
      </c>
      <c r="Z5965">
        <v>5.0757969999999999E-2</v>
      </c>
      <c r="AA5965">
        <v>0.95562389999999997</v>
      </c>
      <c r="AB5965">
        <v>28</v>
      </c>
      <c r="AC5965">
        <v>9.8813999999999798</v>
      </c>
      <c r="AD5965">
        <v>-1.11459706411</v>
      </c>
      <c r="AE5965">
        <v>-19.538119999999999</v>
      </c>
      <c r="AF5965">
        <v>-6.4232549998970301</v>
      </c>
      <c r="AG5965">
        <v>-1.11459706411</v>
      </c>
      <c r="AH5965">
        <v>20.872157683668501</v>
      </c>
      <c r="AI5965">
        <v>92.921782122737994</v>
      </c>
      <c r="AJ5965">
        <v>107.105368593829</v>
      </c>
      <c r="AK5965">
        <v>21.8665840446319</v>
      </c>
      <c r="AL5965">
        <v>87.2424166534568</v>
      </c>
      <c r="AM5965">
        <v>98.139936012263902</v>
      </c>
      <c r="AN5965">
        <v>0.99999999906160397</v>
      </c>
    </row>
    <row r="5966" spans="1:40" x14ac:dyDescent="0.25">
      <c r="A5966" t="str">
        <f>"20190312160453808"</f>
        <v>20190312160453808</v>
      </c>
      <c r="B5966" t="str">
        <f>"1552377893801391"</f>
        <v>1552377893801391</v>
      </c>
      <c r="C5966" t="s">
        <v>40</v>
      </c>
      <c r="D5966">
        <v>5.8585979999999998</v>
      </c>
      <c r="E5966">
        <v>0.4393647</v>
      </c>
      <c r="F5966" t="s">
        <v>81</v>
      </c>
      <c r="G5966">
        <v>-410.9316</v>
      </c>
      <c r="H5966" s="1">
        <v>-1.1063560000000001E-5</v>
      </c>
      <c r="I5966">
        <v>14.64245</v>
      </c>
      <c r="J5966">
        <v>-421.29399999999998</v>
      </c>
      <c r="K5966">
        <v>1.1147</v>
      </c>
      <c r="L5966">
        <v>34.880710000000001</v>
      </c>
      <c r="M5966">
        <v>0.1746597</v>
      </c>
      <c r="N5966">
        <v>0</v>
      </c>
      <c r="O5966">
        <v>-0.98452479999999998</v>
      </c>
      <c r="P5966">
        <v>0.31207699999999999</v>
      </c>
      <c r="Q5966">
        <v>3.6308239999999999E-2</v>
      </c>
      <c r="R5966">
        <v>-0.94936319999999996</v>
      </c>
      <c r="S5966">
        <v>1.3790279999999999</v>
      </c>
      <c r="T5966">
        <v>-0.1475822</v>
      </c>
      <c r="U5966">
        <v>-2.7153019999999999</v>
      </c>
      <c r="V5966">
        <v>-0.1419772</v>
      </c>
      <c r="W5966">
        <v>4.8974770000000001E-2</v>
      </c>
      <c r="X5966">
        <v>0.98865769999999997</v>
      </c>
      <c r="Y5966">
        <v>-0.28956979999999999</v>
      </c>
      <c r="Z5966">
        <v>4.8912070000000002E-2</v>
      </c>
      <c r="AA5966">
        <v>0.95590629999999999</v>
      </c>
      <c r="AB5966">
        <v>28</v>
      </c>
      <c r="AC5966">
        <v>10.362399999999999</v>
      </c>
      <c r="AD5966">
        <v>-1.1147110635599999</v>
      </c>
      <c r="AE5966">
        <v>-20.23826</v>
      </c>
      <c r="AF5966">
        <v>-6.6519259846278302</v>
      </c>
      <c r="AG5966">
        <v>-1.1147110635599999</v>
      </c>
      <c r="AH5966">
        <v>21.685067492286599</v>
      </c>
      <c r="AI5966">
        <v>92.813501132675398</v>
      </c>
      <c r="AJ5966">
        <v>107.053471234387</v>
      </c>
      <c r="AK5966">
        <v>22.709752358958401</v>
      </c>
      <c r="AL5966">
        <v>87.192829575377402</v>
      </c>
      <c r="AM5966">
        <v>98.172147433564703</v>
      </c>
      <c r="AN5966">
        <v>1.0000000505928399</v>
      </c>
    </row>
    <row r="5967" spans="1:40" x14ac:dyDescent="0.25">
      <c r="A5967" t="str">
        <f>"20190312160453829"</f>
        <v>20190312160453829</v>
      </c>
      <c r="B5967" t="str">
        <f>"1552377893820908"</f>
        <v>1552377893820908</v>
      </c>
      <c r="C5967" t="s">
        <v>40</v>
      </c>
      <c r="D5967">
        <v>6.0920969999999999</v>
      </c>
      <c r="E5967">
        <v>0.43937880000000001</v>
      </c>
      <c r="F5967" t="s">
        <v>81</v>
      </c>
      <c r="G5967">
        <v>-410.11709999999999</v>
      </c>
      <c r="H5967" s="1">
        <v>-1.1053659999999999E-5</v>
      </c>
      <c r="I5967">
        <v>13.21171</v>
      </c>
      <c r="J5967">
        <v>-421.24180000000001</v>
      </c>
      <c r="K5967">
        <v>1.1148049999999901</v>
      </c>
      <c r="L5967">
        <v>34.622100000000003</v>
      </c>
      <c r="M5967">
        <v>0.1804084</v>
      </c>
      <c r="N5967">
        <v>0</v>
      </c>
      <c r="O5967">
        <v>-0.98348720000000001</v>
      </c>
      <c r="P5967">
        <v>0.31807849999999999</v>
      </c>
      <c r="Q5967">
        <v>3.593942E-2</v>
      </c>
      <c r="R5967">
        <v>-0.94738299999999998</v>
      </c>
      <c r="S5967">
        <v>1.395996</v>
      </c>
      <c r="T5967">
        <v>-0.13922709999999999</v>
      </c>
      <c r="U5967">
        <v>-2.7064509999999999</v>
      </c>
      <c r="V5967">
        <v>-0.1424646</v>
      </c>
      <c r="W5967">
        <v>4.8572320000000002E-2</v>
      </c>
      <c r="X5967">
        <v>0.98860740000000003</v>
      </c>
      <c r="Y5967">
        <v>-0.29004600000000003</v>
      </c>
      <c r="Z5967">
        <v>4.6144659999999997E-2</v>
      </c>
      <c r="AA5967">
        <v>0.95589950000000001</v>
      </c>
      <c r="AB5967">
        <v>28</v>
      </c>
      <c r="AC5967">
        <v>11.124700000000001</v>
      </c>
      <c r="AD5967">
        <v>-1.11481605365999</v>
      </c>
      <c r="AE5967">
        <v>-21.41039</v>
      </c>
      <c r="AF5967">
        <v>-7.0640336640693704</v>
      </c>
      <c r="AG5967">
        <v>-1.11481605365999</v>
      </c>
      <c r="AH5967">
        <v>23.0170694426983</v>
      </c>
      <c r="AI5967">
        <v>92.651058670760307</v>
      </c>
      <c r="AJ5967">
        <v>107.061466225719</v>
      </c>
      <c r="AK5967">
        <v>24.102466101430402</v>
      </c>
      <c r="AL5967">
        <v>87.215915628809597</v>
      </c>
      <c r="AM5967">
        <v>98.200232638217599</v>
      </c>
      <c r="AN5967">
        <v>1.00000001192905</v>
      </c>
    </row>
    <row r="5968" spans="1:40" x14ac:dyDescent="0.25">
      <c r="A5968" t="str">
        <f>"20190312160453852"</f>
        <v>20190312160453852</v>
      </c>
      <c r="B5968" t="str">
        <f>"1552377893841404"</f>
        <v>1552377893841404</v>
      </c>
      <c r="C5968" t="s">
        <v>40</v>
      </c>
      <c r="D5968">
        <v>5.8961439999999996</v>
      </c>
      <c r="E5968">
        <v>0.43941960000000002</v>
      </c>
      <c r="F5968" t="s">
        <v>81</v>
      </c>
      <c r="G5968">
        <v>-409.46010000000001</v>
      </c>
      <c r="H5968" s="1">
        <v>-2.1642559999999998E-6</v>
      </c>
      <c r="I5968">
        <v>12.13167</v>
      </c>
      <c r="J5968">
        <v>-421.18549999999999</v>
      </c>
      <c r="K5968">
        <v>1.1149089999999999</v>
      </c>
      <c r="L5968">
        <v>34.352969999999999</v>
      </c>
      <c r="M5968">
        <v>0.18653610000000001</v>
      </c>
      <c r="N5968">
        <v>0</v>
      </c>
      <c r="O5968">
        <v>-0.98234350000000004</v>
      </c>
      <c r="P5968">
        <v>0.32410159999999999</v>
      </c>
      <c r="Q5968">
        <v>3.5571060000000002E-2</v>
      </c>
      <c r="R5968">
        <v>-0.94535349999999996</v>
      </c>
      <c r="S5968">
        <v>1.4129940000000001</v>
      </c>
      <c r="T5968">
        <v>-0.13369979999999901</v>
      </c>
      <c r="U5968">
        <v>-2.6972960000000001</v>
      </c>
      <c r="V5968">
        <v>-0.14259929999999901</v>
      </c>
      <c r="W5968">
        <v>4.8177480000000002E-2</v>
      </c>
      <c r="X5968">
        <v>0.98860729999999997</v>
      </c>
      <c r="Y5968">
        <v>-0.29017929999999997</v>
      </c>
      <c r="Z5968">
        <v>4.4310629999999997E-2</v>
      </c>
      <c r="AA5968">
        <v>0.95594590000000002</v>
      </c>
      <c r="AB5968">
        <v>28</v>
      </c>
      <c r="AC5968">
        <v>11.725399999999899</v>
      </c>
      <c r="AD5968">
        <v>-1.1149111642559999</v>
      </c>
      <c r="AE5968">
        <v>-22.221299999999999</v>
      </c>
      <c r="AF5968">
        <v>-7.3595620680027398</v>
      </c>
      <c r="AG5968">
        <v>-1.1149111642559999</v>
      </c>
      <c r="AH5968">
        <v>23.971426633733799</v>
      </c>
      <c r="AI5968">
        <v>92.545794270922897</v>
      </c>
      <c r="AJ5968">
        <v>107.067215965643</v>
      </c>
      <c r="AK5968">
        <v>25.100507476811099</v>
      </c>
      <c r="AL5968">
        <v>87.238564810396795</v>
      </c>
      <c r="AM5968">
        <v>98.207881169543896</v>
      </c>
      <c r="AN5968">
        <v>1.00000001177646</v>
      </c>
    </row>
    <row r="5969" spans="1:40" x14ac:dyDescent="0.25">
      <c r="A5969" t="str">
        <f>"20190312160453874"</f>
        <v>20190312160453874</v>
      </c>
      <c r="B5969" t="str">
        <f>"1552377893871660"</f>
        <v>1552377893871660</v>
      </c>
      <c r="C5969" t="s">
        <v>40</v>
      </c>
      <c r="D5969">
        <v>5.8267949999999997</v>
      </c>
      <c r="E5969">
        <v>0.4398184</v>
      </c>
      <c r="F5969" t="s">
        <v>81</v>
      </c>
      <c r="G5969">
        <v>-408.74099999999999</v>
      </c>
      <c r="H5969" s="1">
        <v>-2.3297860000000002E-6</v>
      </c>
      <c r="I5969">
        <v>10.961970000000001</v>
      </c>
      <c r="J5969">
        <v>-421.12810000000002</v>
      </c>
      <c r="K5969">
        <v>1.1150119999999999</v>
      </c>
      <c r="L5969">
        <v>34.087679999999999</v>
      </c>
      <c r="M5969">
        <v>0.1927257</v>
      </c>
      <c r="N5969">
        <v>0</v>
      </c>
      <c r="O5969">
        <v>-0.98114749999999995</v>
      </c>
      <c r="P5969">
        <v>0.32972269999999998</v>
      </c>
      <c r="Q5969">
        <v>3.5427380000000001E-2</v>
      </c>
      <c r="R5969">
        <v>-0.9434131</v>
      </c>
      <c r="S5969">
        <v>1.4300539999999999</v>
      </c>
      <c r="T5969">
        <v>-0.12811910000000001</v>
      </c>
      <c r="U5969">
        <v>-2.6879580000000001</v>
      </c>
      <c r="V5969">
        <v>-0.1422592</v>
      </c>
      <c r="W5969">
        <v>4.8015549999999997E-2</v>
      </c>
      <c r="X5969">
        <v>0.98866419999999999</v>
      </c>
      <c r="Y5969">
        <v>-0.29028969999999998</v>
      </c>
      <c r="Z5969">
        <v>4.2457269999999998E-2</v>
      </c>
      <c r="AA5969">
        <v>0.95599650000000003</v>
      </c>
      <c r="AB5969">
        <v>28</v>
      </c>
      <c r="AC5969">
        <v>12.3871</v>
      </c>
      <c r="AD5969">
        <v>-1.115014329786</v>
      </c>
      <c r="AE5969">
        <v>-23.125710000000002</v>
      </c>
      <c r="AF5969">
        <v>-7.6835680710511296</v>
      </c>
      <c r="AG5969">
        <v>-1.115014329786</v>
      </c>
      <c r="AH5969">
        <v>25.034410290423299</v>
      </c>
      <c r="AI5969">
        <v>92.438120139705106</v>
      </c>
      <c r="AJ5969">
        <v>107.062311610652</v>
      </c>
      <c r="AK5969">
        <v>26.210726312854401</v>
      </c>
      <c r="AL5969">
        <v>87.247853534330005</v>
      </c>
      <c r="AM5969">
        <v>98.1881062397958</v>
      </c>
      <c r="AN5969">
        <v>1.00000003669404</v>
      </c>
    </row>
    <row r="5970" spans="1:40" x14ac:dyDescent="0.25">
      <c r="A5970" t="str">
        <f>"20190312160453897"</f>
        <v>20190312160453897</v>
      </c>
      <c r="B5970" t="str">
        <f>"1552377893891180"</f>
        <v>1552377893891180</v>
      </c>
      <c r="C5970" t="s">
        <v>40</v>
      </c>
      <c r="D5970">
        <v>5.8288520000000004</v>
      </c>
      <c r="E5970">
        <v>0.44012649999999998</v>
      </c>
      <c r="F5970" t="s">
        <v>81</v>
      </c>
      <c r="G5970">
        <v>-409.06509999999997</v>
      </c>
      <c r="H5970" s="1">
        <v>-2.2976429999999999E-6</v>
      </c>
      <c r="I5970">
        <v>11.68024</v>
      </c>
      <c r="J5970">
        <v>-421.06630000000001</v>
      </c>
      <c r="K5970">
        <v>1.1151230000000001</v>
      </c>
      <c r="L5970">
        <v>33.811100000000003</v>
      </c>
      <c r="M5970">
        <v>0.19935700000000001</v>
      </c>
      <c r="N5970">
        <v>0</v>
      </c>
      <c r="O5970">
        <v>-0.97982150000000001</v>
      </c>
      <c r="P5970">
        <v>0.335868099999999</v>
      </c>
      <c r="Q5970">
        <v>3.5441849999999997E-2</v>
      </c>
      <c r="R5970">
        <v>-0.94124229999999998</v>
      </c>
      <c r="S5970">
        <v>1.443085</v>
      </c>
      <c r="T5970">
        <v>-0.1333877</v>
      </c>
      <c r="U5970">
        <v>-2.6805729999999999</v>
      </c>
      <c r="V5970">
        <v>-0.142033399999999</v>
      </c>
      <c r="W5970">
        <v>4.8006979999999998E-2</v>
      </c>
      <c r="X5970">
        <v>0.9886971</v>
      </c>
      <c r="Y5970">
        <v>-0.2884834</v>
      </c>
      <c r="Z5970">
        <v>4.4181980000000003E-2</v>
      </c>
      <c r="AA5970">
        <v>0.95646500000000001</v>
      </c>
      <c r="AB5970">
        <v>28</v>
      </c>
      <c r="AC5970">
        <v>12.001200000000001</v>
      </c>
      <c r="AD5970">
        <v>-1.1151252976429999</v>
      </c>
      <c r="AE5970">
        <v>-22.130859999999998</v>
      </c>
      <c r="AF5970">
        <v>-7.3334630152752602</v>
      </c>
      <c r="AG5970">
        <v>-1.1151252976429999</v>
      </c>
      <c r="AH5970">
        <v>24.032152986829001</v>
      </c>
      <c r="AI5970">
        <v>92.541178864135503</v>
      </c>
      <c r="AJ5970">
        <v>106.96968086810099</v>
      </c>
      <c r="AK5970">
        <v>25.150895837091099</v>
      </c>
      <c r="AL5970">
        <v>87.248345179753599</v>
      </c>
      <c r="AM5970">
        <v>98.175017175131003</v>
      </c>
      <c r="AN5970">
        <v>1.00000005619634</v>
      </c>
    </row>
    <row r="5971" spans="1:40" x14ac:dyDescent="0.25">
      <c r="A5971" t="str">
        <f>"20190312160453919"</f>
        <v>20190312160453919</v>
      </c>
      <c r="B5971" t="str">
        <f>"1552377893911675"</f>
        <v>1552377893911675</v>
      </c>
      <c r="C5971" t="s">
        <v>40</v>
      </c>
      <c r="D5971">
        <v>5.8367430000000002</v>
      </c>
      <c r="E5971">
        <v>0.44052400000000003</v>
      </c>
      <c r="F5971" t="s">
        <v>81</v>
      </c>
      <c r="G5971">
        <v>-409.21749999999997</v>
      </c>
      <c r="H5971" s="1">
        <v>-2.3011610000000001E-6</v>
      </c>
      <c r="I5971">
        <v>12.101660000000001</v>
      </c>
      <c r="J5971">
        <v>-421.00630000000001</v>
      </c>
      <c r="K5971">
        <v>1.1152439999999999</v>
      </c>
      <c r="L5971">
        <v>33.550960000000003</v>
      </c>
      <c r="M5971">
        <v>0.2057784</v>
      </c>
      <c r="N5971">
        <v>0</v>
      </c>
      <c r="O5971">
        <v>-0.9784929</v>
      </c>
      <c r="P5971">
        <v>0.34198430000000002</v>
      </c>
      <c r="Q5971">
        <v>3.5941870000000001E-2</v>
      </c>
      <c r="R5971">
        <v>-0.93901840000000003</v>
      </c>
      <c r="S5971">
        <v>1.4583740000000001</v>
      </c>
      <c r="T5971">
        <v>-0.13725109999999999</v>
      </c>
      <c r="U5971">
        <v>-2.6720280000000001</v>
      </c>
      <c r="V5971">
        <v>-0.1420051</v>
      </c>
      <c r="W5971">
        <v>4.8479920000000003E-2</v>
      </c>
      <c r="X5971">
        <v>0.98867799999999995</v>
      </c>
      <c r="Y5971">
        <v>-0.28767969999999998</v>
      </c>
      <c r="Z5971">
        <v>4.5441460000000003E-2</v>
      </c>
      <c r="AA5971">
        <v>0.9566481</v>
      </c>
      <c r="AB5971">
        <v>28</v>
      </c>
      <c r="AC5971">
        <v>11.7888</v>
      </c>
      <c r="AD5971">
        <v>-1.1152463011609901</v>
      </c>
      <c r="AE5971">
        <v>-21.449299999999901</v>
      </c>
      <c r="AF5971">
        <v>-7.10743445977457</v>
      </c>
      <c r="AG5971">
        <v>-1.1152463011609901</v>
      </c>
      <c r="AH5971">
        <v>23.367773288775101</v>
      </c>
      <c r="AI5971">
        <v>92.614338008192803</v>
      </c>
      <c r="AJ5971">
        <v>106.91742204611</v>
      </c>
      <c r="AK5971">
        <v>24.450198923277402</v>
      </c>
      <c r="AL5971">
        <v>87.221215884735599</v>
      </c>
      <c r="AM5971">
        <v>98.173566088707503</v>
      </c>
      <c r="AN5971">
        <v>0.99999996937660696</v>
      </c>
    </row>
    <row r="5972" spans="1:40" x14ac:dyDescent="0.25">
      <c r="A5972" t="str">
        <f>"20190312160453940"</f>
        <v>20190312160453940</v>
      </c>
      <c r="B5972" t="str">
        <f>"1552377893931197"</f>
        <v>1552377893931197</v>
      </c>
      <c r="C5972" t="s">
        <v>40</v>
      </c>
      <c r="D5972">
        <v>5.8418359999999998</v>
      </c>
      <c r="E5972">
        <v>0.44085560000000001</v>
      </c>
      <c r="F5972" t="s">
        <v>81</v>
      </c>
      <c r="G5972">
        <v>-409.3383</v>
      </c>
      <c r="H5972" s="1">
        <v>-2.3059659999999999E-6</v>
      </c>
      <c r="I5972">
        <v>12.444850000000001</v>
      </c>
      <c r="J5972">
        <v>-420.94420000000002</v>
      </c>
      <c r="K5972">
        <v>1.115383</v>
      </c>
      <c r="L5972">
        <v>33.291260000000001</v>
      </c>
      <c r="M5972">
        <v>0.2123863</v>
      </c>
      <c r="N5972">
        <v>0</v>
      </c>
      <c r="O5972">
        <v>-0.9770797</v>
      </c>
      <c r="P5972">
        <v>0.34882760000000002</v>
      </c>
      <c r="Q5972">
        <v>3.6584720000000001E-2</v>
      </c>
      <c r="R5972">
        <v>-0.93647270000000005</v>
      </c>
      <c r="S5972">
        <v>1.472656</v>
      </c>
      <c r="T5972">
        <v>-0.1407592</v>
      </c>
      <c r="U5972">
        <v>-2.6638790000000001</v>
      </c>
      <c r="V5972">
        <v>-0.142568</v>
      </c>
      <c r="W5972">
        <v>4.9082399999999998E-2</v>
      </c>
      <c r="X5972">
        <v>0.98856730000000004</v>
      </c>
      <c r="Y5972">
        <v>-0.28634880000000001</v>
      </c>
      <c r="Z5972">
        <v>4.6577349999999997E-2</v>
      </c>
      <c r="AA5972">
        <v>0.95699259999999997</v>
      </c>
      <c r="AB5972">
        <v>28</v>
      </c>
      <c r="AC5972">
        <v>11.6059</v>
      </c>
      <c r="AD5972">
        <v>-1.1153853059659999</v>
      </c>
      <c r="AE5972">
        <v>-20.846409999999999</v>
      </c>
      <c r="AF5972">
        <v>-6.8980390478902303</v>
      </c>
      <c r="AG5972">
        <v>-1.1153853059659999</v>
      </c>
      <c r="AH5972">
        <v>22.786108619275499</v>
      </c>
      <c r="AI5972">
        <v>92.682372751471505</v>
      </c>
      <c r="AJ5972">
        <v>106.84263935297901</v>
      </c>
      <c r="AK5972">
        <v>23.833459108916699</v>
      </c>
      <c r="AL5972">
        <v>87.186655296004204</v>
      </c>
      <c r="AM5972">
        <v>98.206431628112796</v>
      </c>
      <c r="AN5972">
        <v>1.00000001162152</v>
      </c>
    </row>
    <row r="5973" spans="1:40" x14ac:dyDescent="0.25">
      <c r="A5973" t="str">
        <f>"20190312160453964"</f>
        <v>20190312160453964</v>
      </c>
      <c r="B5973" t="str">
        <f>"1552377893961452"</f>
        <v>1552377893961452</v>
      </c>
      <c r="C5973" t="s">
        <v>40</v>
      </c>
      <c r="D5973">
        <v>5.8872410000000004</v>
      </c>
      <c r="E5973">
        <v>0.49883309999999997</v>
      </c>
      <c r="F5973" t="s">
        <v>81</v>
      </c>
      <c r="G5973">
        <v>-409.23070000000001</v>
      </c>
      <c r="H5973" s="1">
        <v>-2.365558E-6</v>
      </c>
      <c r="I5973">
        <v>12.426460000000001</v>
      </c>
      <c r="J5973">
        <v>-420.87700000000001</v>
      </c>
      <c r="K5973">
        <v>1.1155469999999901</v>
      </c>
      <c r="L5973">
        <v>33.018979999999999</v>
      </c>
      <c r="M5973">
        <v>0.21954679999999999</v>
      </c>
      <c r="N5973">
        <v>0</v>
      </c>
      <c r="O5973">
        <v>-0.97549540000000001</v>
      </c>
      <c r="P5973">
        <v>0.35578599999999999</v>
      </c>
      <c r="Q5973">
        <v>3.675001E-2</v>
      </c>
      <c r="R5973">
        <v>-0.93384489999999998</v>
      </c>
      <c r="S5973">
        <v>1.4899899999999999</v>
      </c>
      <c r="T5973">
        <v>-0.1418797</v>
      </c>
      <c r="U5973">
        <v>-2.6540530000000002</v>
      </c>
      <c r="V5973">
        <v>-0.14269589999999999</v>
      </c>
      <c r="W5973">
        <v>4.920861E-2</v>
      </c>
      <c r="X5973">
        <v>0.98854260000000005</v>
      </c>
      <c r="Y5973">
        <v>-0.28557850000000001</v>
      </c>
      <c r="Z5973">
        <v>4.692056E-2</v>
      </c>
      <c r="AA5973">
        <v>0.957206</v>
      </c>
      <c r="AB5973">
        <v>28</v>
      </c>
      <c r="AC5973">
        <v>11.646299999999901</v>
      </c>
      <c r="AD5973">
        <v>-1.11554936555799</v>
      </c>
      <c r="AE5973">
        <v>-20.59252</v>
      </c>
      <c r="AF5973">
        <v>-6.8254252830985997</v>
      </c>
      <c r="AG5973">
        <v>-1.11554936555799</v>
      </c>
      <c r="AH5973">
        <v>22.596927424491501</v>
      </c>
      <c r="AI5973">
        <v>92.705701766979203</v>
      </c>
      <c r="AJ5973">
        <v>106.806995725379</v>
      </c>
      <c r="AK5973">
        <v>23.631589233690899</v>
      </c>
      <c r="AL5973">
        <v>87.179415326055306</v>
      </c>
      <c r="AM5973">
        <v>98.213895768715403</v>
      </c>
      <c r="AN5973">
        <v>1.0000000395948501</v>
      </c>
    </row>
    <row r="5974" spans="1:40" x14ac:dyDescent="0.25">
      <c r="A5974" t="str">
        <f>"20190312160453987"</f>
        <v>20190312160453987</v>
      </c>
      <c r="B5974" t="str">
        <f>"1552377893980972"</f>
        <v>1552377893980972</v>
      </c>
      <c r="C5974" t="s">
        <v>40</v>
      </c>
      <c r="D5974">
        <v>5.9430040000000002</v>
      </c>
      <c r="E5974">
        <v>0.52586449999999996</v>
      </c>
      <c r="F5974" t="s">
        <v>81</v>
      </c>
      <c r="G5974">
        <v>-412.54450000000003</v>
      </c>
      <c r="H5974" s="1">
        <v>-1.223753E-5</v>
      </c>
      <c r="I5974">
        <v>11.31307</v>
      </c>
      <c r="J5974">
        <v>-420.80810000000002</v>
      </c>
      <c r="K5974">
        <v>1.1157220000000001</v>
      </c>
      <c r="L5974">
        <v>32.749450000000003</v>
      </c>
      <c r="M5974">
        <v>0.22689139999999999</v>
      </c>
      <c r="N5974">
        <v>0</v>
      </c>
      <c r="O5974">
        <v>-0.97381309999999999</v>
      </c>
      <c r="P5974">
        <v>0.36418210000000001</v>
      </c>
      <c r="Q5974">
        <v>3.6951680000000001E-2</v>
      </c>
      <c r="R5974">
        <v>-0.93059499999999995</v>
      </c>
      <c r="S5974">
        <v>1.0777890000000001</v>
      </c>
      <c r="T5974">
        <v>-0.1442938</v>
      </c>
      <c r="U5974">
        <v>-2.8075869999999998</v>
      </c>
      <c r="V5974">
        <v>-0.14417579999999999</v>
      </c>
      <c r="W5974">
        <v>4.9347679999999998E-2</v>
      </c>
      <c r="X5974">
        <v>0.98832089999999995</v>
      </c>
      <c r="Y5974">
        <v>-0.13678129999999999</v>
      </c>
      <c r="Z5974">
        <v>4.742416E-2</v>
      </c>
      <c r="AA5974">
        <v>0.98946540000000005</v>
      </c>
      <c r="AB5974">
        <v>27</v>
      </c>
      <c r="AC5974">
        <v>8.2635999999999896</v>
      </c>
      <c r="AD5974">
        <v>-1.1157342375299999</v>
      </c>
      <c r="AE5974">
        <v>-21.43638</v>
      </c>
      <c r="AF5974">
        <v>-3.1763118022233199</v>
      </c>
      <c r="AG5974">
        <v>-1.1157342375299999</v>
      </c>
      <c r="AH5974">
        <v>22.6988010844005</v>
      </c>
      <c r="AI5974">
        <v>92.786935100878907</v>
      </c>
      <c r="AJ5974">
        <v>97.965846500685004</v>
      </c>
      <c r="AK5974">
        <v>22.947099821609701</v>
      </c>
      <c r="AL5974">
        <v>87.171437477478406</v>
      </c>
      <c r="AM5974">
        <v>98.299737366532796</v>
      </c>
      <c r="AN5974">
        <v>1.0000000281019099</v>
      </c>
    </row>
    <row r="5975" spans="1:40" x14ac:dyDescent="0.25">
      <c r="A5975" t="str">
        <f>"20190312160454008"</f>
        <v>20190312160454008</v>
      </c>
      <c r="B5975" t="str">
        <f>"1552377894001471"</f>
        <v>1552377894001471</v>
      </c>
      <c r="C5975" t="s">
        <v>40</v>
      </c>
      <c r="D5975">
        <v>5.9349970000000001</v>
      </c>
      <c r="E5975">
        <v>0.53901580000000004</v>
      </c>
      <c r="F5975" t="s">
        <v>100</v>
      </c>
      <c r="G5975">
        <v>-410.71469999999999</v>
      </c>
      <c r="H5975">
        <v>0.30683159999999998</v>
      </c>
      <c r="I5975">
        <v>0.57181740000000003</v>
      </c>
      <c r="J5975">
        <v>-420.74259999999998</v>
      </c>
      <c r="K5975">
        <v>1.1158870000000001</v>
      </c>
      <c r="L5975">
        <v>32.50217</v>
      </c>
      <c r="M5975">
        <v>0.23389219999999999</v>
      </c>
      <c r="N5975">
        <v>0</v>
      </c>
      <c r="O5975">
        <v>-0.97215499999999999</v>
      </c>
      <c r="P5975">
        <v>0.37269360000000001</v>
      </c>
      <c r="Q5975">
        <v>3.7333239999999997E-2</v>
      </c>
      <c r="R5975">
        <v>-0.92720320000000001</v>
      </c>
      <c r="S5975">
        <v>0.90145869999999995</v>
      </c>
      <c r="T5975">
        <v>-7.2245719999999999E-2</v>
      </c>
      <c r="U5975">
        <v>-2.87384</v>
      </c>
      <c r="V5975">
        <v>-0.14615110000000001</v>
      </c>
      <c r="W5975">
        <v>4.9659630000000003E-2</v>
      </c>
      <c r="X5975">
        <v>0.98801510000000003</v>
      </c>
      <c r="Y5975">
        <v>-6.7715940000000002E-2</v>
      </c>
      <c r="Z5975">
        <v>2.3504879999999999E-2</v>
      </c>
      <c r="AA5975">
        <v>0.99742770000000003</v>
      </c>
      <c r="AB5975">
        <v>27</v>
      </c>
      <c r="AC5975">
        <v>10.027899999999899</v>
      </c>
      <c r="AD5975">
        <v>-0.80905539999999998</v>
      </c>
      <c r="AE5975">
        <v>-31.930352599999999</v>
      </c>
      <c r="AF5975">
        <v>-2.2793191620725302</v>
      </c>
      <c r="AG5975">
        <v>-0.80905539999999998</v>
      </c>
      <c r="AH5975">
        <v>33.370689311323702</v>
      </c>
      <c r="AI5975">
        <v>91.385607859649795</v>
      </c>
      <c r="AJ5975">
        <v>93.907406422074999</v>
      </c>
      <c r="AK5975">
        <v>33.458224274395597</v>
      </c>
      <c r="AL5975">
        <v>87.153542125170205</v>
      </c>
      <c r="AM5975">
        <v>98.414399097011994</v>
      </c>
      <c r="AN5975">
        <v>1.0000000303554699</v>
      </c>
    </row>
    <row r="5976" spans="1:40" x14ac:dyDescent="0.25">
      <c r="A5976" t="str">
        <f>"20190312160454030"</f>
        <v>20190312160454030</v>
      </c>
      <c r="B5976" t="str">
        <f>"1552377894020989"</f>
        <v>1552377894020989</v>
      </c>
      <c r="C5976" t="s">
        <v>40</v>
      </c>
      <c r="D5976">
        <v>5.8916000000000004</v>
      </c>
      <c r="E5976">
        <v>0.54703489999999999</v>
      </c>
      <c r="F5976" t="s">
        <v>100</v>
      </c>
      <c r="G5976">
        <v>-411.60860000000002</v>
      </c>
      <c r="H5976">
        <v>0.60416979999999998</v>
      </c>
      <c r="I5976">
        <v>0.56273079999999998</v>
      </c>
      <c r="J5976">
        <v>-420.67149999999998</v>
      </c>
      <c r="K5976">
        <v>1.1160749999999999</v>
      </c>
      <c r="L5976">
        <v>32.243189999999998</v>
      </c>
      <c r="M5976">
        <v>0.24149419999999999</v>
      </c>
      <c r="N5976">
        <v>0</v>
      </c>
      <c r="O5976">
        <v>-0.9702942</v>
      </c>
      <c r="P5976">
        <v>0.38120929999999997</v>
      </c>
      <c r="Q5976">
        <v>3.7800359999999998E-2</v>
      </c>
      <c r="R5976">
        <v>-0.92371590000000003</v>
      </c>
      <c r="S5976">
        <v>0.83038330000000005</v>
      </c>
      <c r="T5976">
        <v>-4.6523210000000002E-2</v>
      </c>
      <c r="U5976">
        <v>-2.9036559999999998</v>
      </c>
      <c r="V5976">
        <v>-0.14754249999999999</v>
      </c>
      <c r="W5976">
        <v>5.0063959999999998E-2</v>
      </c>
      <c r="X5976">
        <v>0.98778779999999999</v>
      </c>
      <c r="Y5976">
        <v>-3.4573720000000002E-2</v>
      </c>
      <c r="Z5976">
        <v>1.501131E-2</v>
      </c>
      <c r="AA5976">
        <v>0.99928939999999999</v>
      </c>
      <c r="AB5976">
        <v>27</v>
      </c>
      <c r="AC5976">
        <v>9.0628999999999493</v>
      </c>
      <c r="AD5976">
        <v>-0.51190519999999995</v>
      </c>
      <c r="AE5976">
        <v>-31.680459200000001</v>
      </c>
      <c r="AF5976">
        <v>-1.1428762055886399</v>
      </c>
      <c r="AG5976">
        <v>-0.51190519999999995</v>
      </c>
      <c r="AH5976">
        <v>32.923511072063697</v>
      </c>
      <c r="AI5976">
        <v>90.890245064268797</v>
      </c>
      <c r="AJ5976">
        <v>91.988114210253698</v>
      </c>
      <c r="AK5976">
        <v>32.947318468539898</v>
      </c>
      <c r="AL5976">
        <v>87.130346679549106</v>
      </c>
      <c r="AM5976">
        <v>98.495269456722099</v>
      </c>
      <c r="AN5976">
        <v>0.99999996361298504</v>
      </c>
    </row>
    <row r="5977" spans="1:40" x14ac:dyDescent="0.25">
      <c r="A5977" t="str">
        <f>"20190312160454053"</f>
        <v>20190312160454053</v>
      </c>
      <c r="B5977" t="str">
        <f>"1552377894041484"</f>
        <v>1552377894041484</v>
      </c>
      <c r="C5977" t="s">
        <v>40</v>
      </c>
      <c r="D5977">
        <v>5.875966</v>
      </c>
      <c r="E5977">
        <v>0.55163839999999997</v>
      </c>
      <c r="F5977" t="s">
        <v>100</v>
      </c>
      <c r="G5977">
        <v>-412.00709999999998</v>
      </c>
      <c r="H5977">
        <v>0.65263400000000005</v>
      </c>
      <c r="I5977">
        <v>0.55867579999999994</v>
      </c>
      <c r="J5977">
        <v>-420.59739999999999</v>
      </c>
      <c r="K5977">
        <v>1.116247</v>
      </c>
      <c r="L5977">
        <v>31.981960000000001</v>
      </c>
      <c r="M5977">
        <v>0.24939939999999999</v>
      </c>
      <c r="N5977">
        <v>0</v>
      </c>
      <c r="O5977">
        <v>-0.96829189999999998</v>
      </c>
      <c r="P5977">
        <v>0.3898315</v>
      </c>
      <c r="Q5977">
        <v>3.8968320000000001E-2</v>
      </c>
      <c r="R5977">
        <v>-0.92006180000000004</v>
      </c>
      <c r="S5977">
        <v>0.79849239999999999</v>
      </c>
      <c r="T5977">
        <v>-4.2712090000000001E-2</v>
      </c>
      <c r="U5977">
        <v>-2.9199830000000002</v>
      </c>
      <c r="V5977">
        <v>-0.14877509999999999</v>
      </c>
      <c r="W5977">
        <v>5.1176430000000002E-2</v>
      </c>
      <c r="X5977">
        <v>0.98754589999999998</v>
      </c>
      <c r="Y5977">
        <v>-1.481881E-2</v>
      </c>
      <c r="Z5977">
        <v>1.3688290000000001E-2</v>
      </c>
      <c r="AA5977">
        <v>0.99979649999999998</v>
      </c>
      <c r="AB5977">
        <v>27</v>
      </c>
      <c r="AC5977">
        <v>8.5903000000000098</v>
      </c>
      <c r="AD5977">
        <v>-0.463613</v>
      </c>
      <c r="AE5977">
        <v>-31.423284200000001</v>
      </c>
      <c r="AF5977">
        <v>-0.48092296443281801</v>
      </c>
      <c r="AG5977">
        <v>-0.463613</v>
      </c>
      <c r="AH5977">
        <v>32.566163631021297</v>
      </c>
      <c r="AI5977">
        <v>90.815520639508804</v>
      </c>
      <c r="AJ5977">
        <v>90.846057694840198</v>
      </c>
      <c r="AK5977">
        <v>32.573013946424197</v>
      </c>
      <c r="AL5977">
        <v>87.066525068185399</v>
      </c>
      <c r="AM5977">
        <v>98.567259203938605</v>
      </c>
      <c r="AN5977">
        <v>0.99999998098718201</v>
      </c>
    </row>
    <row r="5978" spans="1:40" x14ac:dyDescent="0.25">
      <c r="A5978" t="str">
        <f>"20190312160454075"</f>
        <v>20190312160454075</v>
      </c>
      <c r="B5978" t="str">
        <f>"1552377894070764"</f>
        <v>1552377894070764</v>
      </c>
      <c r="C5978" t="s">
        <v>40</v>
      </c>
      <c r="D5978">
        <v>5.9027830000000003</v>
      </c>
      <c r="E5978">
        <v>0.55483479999999996</v>
      </c>
      <c r="F5978" t="s">
        <v>100</v>
      </c>
      <c r="G5978">
        <v>-412.09179999999998</v>
      </c>
      <c r="H5978">
        <v>0.73913869999999904</v>
      </c>
      <c r="I5978">
        <v>0.55781559999999997</v>
      </c>
      <c r="J5978">
        <v>-420.52109999999999</v>
      </c>
      <c r="K5978">
        <v>1.1163970000000001</v>
      </c>
      <c r="L5978">
        <v>31.722110000000001</v>
      </c>
      <c r="M5978">
        <v>0.25749749999999999</v>
      </c>
      <c r="N5978">
        <v>0</v>
      </c>
      <c r="O5978">
        <v>-0.96616979999999997</v>
      </c>
      <c r="P5978">
        <v>0.39870860000000002</v>
      </c>
      <c r="Q5978">
        <v>4.0057919999999997E-2</v>
      </c>
      <c r="R5978">
        <v>-0.91620259999999998</v>
      </c>
      <c r="S5978">
        <v>0.79211430000000005</v>
      </c>
      <c r="T5978">
        <v>-3.5122279999999999E-2</v>
      </c>
      <c r="U5978">
        <v>-2.9265140000000001</v>
      </c>
      <c r="V5978">
        <v>-0.15010290000000001</v>
      </c>
      <c r="W5978">
        <v>5.2211680000000003E-2</v>
      </c>
      <c r="X5978">
        <v>0.98729080000000002</v>
      </c>
      <c r="Y5978">
        <v>-3.8579640000000002E-3</v>
      </c>
      <c r="Z5978">
        <v>1.119886E-2</v>
      </c>
      <c r="AA5978">
        <v>0.99992979999999998</v>
      </c>
      <c r="AB5978">
        <v>27</v>
      </c>
      <c r="AC5978">
        <v>8.4293000000000102</v>
      </c>
      <c r="AD5978">
        <v>-0.37725829999999999</v>
      </c>
      <c r="AE5978">
        <v>-31.164294399999999</v>
      </c>
      <c r="AF5978">
        <v>-0.11940348982905701</v>
      </c>
      <c r="AG5978">
        <v>-0.37725829999999999</v>
      </c>
      <c r="AH5978">
        <v>32.279521331487501</v>
      </c>
      <c r="AI5978">
        <v>90.669594081671406</v>
      </c>
      <c r="AJ5978">
        <v>90.211938856007194</v>
      </c>
      <c r="AK5978">
        <v>32.281946632882203</v>
      </c>
      <c r="AL5978">
        <v>87.007130348458105</v>
      </c>
      <c r="AM5978">
        <v>98.644770760579107</v>
      </c>
      <c r="AN5978">
        <v>1.0000000319407301</v>
      </c>
    </row>
    <row r="5979" spans="1:40" x14ac:dyDescent="0.25">
      <c r="A5979" t="str">
        <f>"20190312160454098"</f>
        <v>20190312160454098</v>
      </c>
      <c r="B5979" t="str">
        <f>"1552377894091265"</f>
        <v>1552377894091265</v>
      </c>
      <c r="C5979" t="s">
        <v>40</v>
      </c>
      <c r="D5979">
        <v>5.906879</v>
      </c>
      <c r="E5979">
        <v>0.55679239999999997</v>
      </c>
      <c r="F5979" t="s">
        <v>100</v>
      </c>
      <c r="G5979">
        <v>-412.0419</v>
      </c>
      <c r="H5979">
        <v>0.76914669999999996</v>
      </c>
      <c r="I5979">
        <v>0.55832099999999996</v>
      </c>
      <c r="J5979">
        <v>-420.44299999999998</v>
      </c>
      <c r="K5979">
        <v>1.116544</v>
      </c>
      <c r="L5979">
        <v>31.46481</v>
      </c>
      <c r="M5979">
        <v>0.26575500000000002</v>
      </c>
      <c r="N5979">
        <v>0</v>
      </c>
      <c r="O5979">
        <v>-0.96393050000000002</v>
      </c>
      <c r="P5979">
        <v>0.4078058</v>
      </c>
      <c r="Q5979">
        <v>4.007434E-2</v>
      </c>
      <c r="R5979">
        <v>-0.91218869999999996</v>
      </c>
      <c r="S5979">
        <v>0.79693599999999998</v>
      </c>
      <c r="T5979">
        <v>-3.263974E-2</v>
      </c>
      <c r="U5979">
        <v>-2.9290159999999998</v>
      </c>
      <c r="V5979">
        <v>-0.15149979999999999</v>
      </c>
      <c r="W5979">
        <v>5.21731E-2</v>
      </c>
      <c r="X5979">
        <v>0.98707940000000005</v>
      </c>
      <c r="Y5979">
        <v>3.37842E-3</v>
      </c>
      <c r="Z5979">
        <v>1.036054E-2</v>
      </c>
      <c r="AA5979">
        <v>0.99994059999999996</v>
      </c>
      <c r="AB5979">
        <v>27</v>
      </c>
      <c r="AC5979">
        <v>8.4011000000000404</v>
      </c>
      <c r="AD5979">
        <v>-0.34739730000000002</v>
      </c>
      <c r="AE5979">
        <v>-30.906489000000001</v>
      </c>
      <c r="AF5979">
        <v>0.115476133012091</v>
      </c>
      <c r="AG5979">
        <v>-0.34739730000000002</v>
      </c>
      <c r="AH5979">
        <v>32.023973544846697</v>
      </c>
      <c r="AI5979">
        <v>90.621518405876003</v>
      </c>
      <c r="AJ5979">
        <v>89.793396457486907</v>
      </c>
      <c r="AK5979">
        <v>32.026065965434803</v>
      </c>
      <c r="AL5979">
        <v>87.009343686449796</v>
      </c>
      <c r="AM5979">
        <v>98.725828963064401</v>
      </c>
      <c r="AN5979">
        <v>0.99999998183400396</v>
      </c>
    </row>
    <row r="5980" spans="1:40" x14ac:dyDescent="0.25">
      <c r="A5980" t="str">
        <f>"20190312160454120"</f>
        <v>20190312160454120</v>
      </c>
      <c r="B5980" t="str">
        <f>"1552377894110780"</f>
        <v>1552377894110780</v>
      </c>
      <c r="C5980" t="s">
        <v>40</v>
      </c>
      <c r="D5980">
        <v>5.4755330000000004</v>
      </c>
      <c r="E5980">
        <v>0.55852679999999999</v>
      </c>
      <c r="F5980" t="s">
        <v>100</v>
      </c>
      <c r="G5980">
        <v>-411.87470000000002</v>
      </c>
      <c r="H5980">
        <v>0.76782629999999996</v>
      </c>
      <c r="I5980">
        <v>0.56002240000000003</v>
      </c>
      <c r="J5980">
        <v>-420.36360000000002</v>
      </c>
      <c r="K5980">
        <v>1.1166959999999999</v>
      </c>
      <c r="L5980">
        <v>31.211939999999998</v>
      </c>
      <c r="M5980">
        <v>0.27411200000000002</v>
      </c>
      <c r="N5980">
        <v>0</v>
      </c>
      <c r="O5980">
        <v>-0.96158730000000003</v>
      </c>
      <c r="P5980">
        <v>0.41652499999999998</v>
      </c>
      <c r="Q5980">
        <v>4.0613160000000002E-2</v>
      </c>
      <c r="R5980">
        <v>-0.90821649999999998</v>
      </c>
      <c r="S5980">
        <v>0.81161499999999998</v>
      </c>
      <c r="T5980">
        <v>-3.3034090000000002E-2</v>
      </c>
      <c r="U5980">
        <v>-2.9273989999999999</v>
      </c>
      <c r="V5980">
        <v>-0.1524221</v>
      </c>
      <c r="W5980">
        <v>5.2665480000000001E-2</v>
      </c>
      <c r="X5980">
        <v>0.98691130000000005</v>
      </c>
      <c r="Y5980">
        <v>7.2568060000000002E-3</v>
      </c>
      <c r="Z5980">
        <v>1.0446250000000001E-2</v>
      </c>
      <c r="AA5980">
        <v>0.99991909999999895</v>
      </c>
      <c r="AB5980">
        <v>27</v>
      </c>
      <c r="AC5980">
        <v>8.4888999999999992</v>
      </c>
      <c r="AD5980">
        <v>-0.34886969999999901</v>
      </c>
      <c r="AE5980">
        <v>-30.651917600000001</v>
      </c>
      <c r="AF5980">
        <v>0.23923664304813</v>
      </c>
      <c r="AG5980">
        <v>-0.34886969999999901</v>
      </c>
      <c r="AH5980">
        <v>31.800956988492899</v>
      </c>
      <c r="AI5980">
        <v>90.628515489538501</v>
      </c>
      <c r="AJ5980">
        <v>89.568975506623303</v>
      </c>
      <c r="AK5980">
        <v>31.803770368038599</v>
      </c>
      <c r="AL5980">
        <v>86.981093701135293</v>
      </c>
      <c r="AM5980">
        <v>98.779596997186005</v>
      </c>
      <c r="AN5980">
        <v>1.0000000317098601</v>
      </c>
    </row>
    <row r="5981" spans="1:40" x14ac:dyDescent="0.25">
      <c r="A5981" t="str">
        <f>"20190312160454142"</f>
        <v>20190312160454142</v>
      </c>
      <c r="B5981" t="str">
        <f>"1552377894131277"</f>
        <v>1552377894131277</v>
      </c>
      <c r="C5981" t="s">
        <v>40</v>
      </c>
      <c r="D5981">
        <v>5.9275010000000004</v>
      </c>
      <c r="E5981">
        <v>0.56004129999999996</v>
      </c>
      <c r="F5981" t="s">
        <v>100</v>
      </c>
      <c r="G5981">
        <v>-411.70069999999998</v>
      </c>
      <c r="H5981">
        <v>0.74464770000000002</v>
      </c>
      <c r="I5981">
        <v>0.56179239999999997</v>
      </c>
      <c r="J5981">
        <v>-420.28230000000002</v>
      </c>
      <c r="K5981">
        <v>1.116862</v>
      </c>
      <c r="L5981">
        <v>30.961089999999999</v>
      </c>
      <c r="M5981">
        <v>0.28263569999999999</v>
      </c>
      <c r="N5981">
        <v>0</v>
      </c>
      <c r="O5981">
        <v>-0.95911599999999997</v>
      </c>
      <c r="P5981">
        <v>0.42546489999999998</v>
      </c>
      <c r="Q5981">
        <v>4.1550589999999998E-2</v>
      </c>
      <c r="R5981">
        <v>-0.90402079999999996</v>
      </c>
      <c r="S5981">
        <v>0.82687379999999999</v>
      </c>
      <c r="T5981">
        <v>-3.5514709999999998E-2</v>
      </c>
      <c r="U5981">
        <v>-2.9255680000000002</v>
      </c>
      <c r="V5981">
        <v>-0.15344769999999999</v>
      </c>
      <c r="W5981">
        <v>5.355211E-2</v>
      </c>
      <c r="X5981">
        <v>0.98670460000000004</v>
      </c>
      <c r="Y5981">
        <v>1.1137330000000001E-2</v>
      </c>
      <c r="Z5981">
        <v>1.118627E-2</v>
      </c>
      <c r="AA5981">
        <v>0.99987539999999997</v>
      </c>
      <c r="AB5981">
        <v>27</v>
      </c>
      <c r="AC5981">
        <v>8.5816000000000301</v>
      </c>
      <c r="AD5981">
        <v>-0.3722143</v>
      </c>
      <c r="AE5981">
        <v>-30.399297600000001</v>
      </c>
      <c r="AF5981">
        <v>0.361165314285953</v>
      </c>
      <c r="AG5981">
        <v>-0.3722143</v>
      </c>
      <c r="AH5981">
        <v>31.580906945182701</v>
      </c>
      <c r="AI5981">
        <v>90.675215782459603</v>
      </c>
      <c r="AJ5981">
        <v>89.344783030158197</v>
      </c>
      <c r="AK5981">
        <v>31.5851653050868</v>
      </c>
      <c r="AL5981">
        <v>86.930221641602003</v>
      </c>
      <c r="AM5981">
        <v>98.839564726622896</v>
      </c>
      <c r="AN5981">
        <v>0.99999999639095105</v>
      </c>
    </row>
    <row r="5982" spans="1:40" x14ac:dyDescent="0.25">
      <c r="A5982" t="str">
        <f>"20190312160454165"</f>
        <v>20190312160454165</v>
      </c>
      <c r="B5982" t="str">
        <f>"1552377894161532"</f>
        <v>1552377894161532</v>
      </c>
      <c r="C5982" t="s">
        <v>40</v>
      </c>
      <c r="D5982">
        <v>5.8192269999999997</v>
      </c>
      <c r="E5982">
        <v>0.58415479999999997</v>
      </c>
      <c r="F5982" t="s">
        <v>100</v>
      </c>
      <c r="G5982">
        <v>-411.4914</v>
      </c>
      <c r="H5982">
        <v>0.74404490000000001</v>
      </c>
      <c r="I5982">
        <v>0.56392100000000001</v>
      </c>
      <c r="J5982">
        <v>-420.1952</v>
      </c>
      <c r="K5982">
        <v>1.117035</v>
      </c>
      <c r="L5982">
        <v>30.7012</v>
      </c>
      <c r="M5982">
        <v>0.29171239999999998</v>
      </c>
      <c r="N5982">
        <v>0</v>
      </c>
      <c r="O5982">
        <v>-0.95639399999999997</v>
      </c>
      <c r="P5982">
        <v>0.4352104</v>
      </c>
      <c r="Q5982">
        <v>4.1551770000000002E-2</v>
      </c>
      <c r="R5982">
        <v>-0.89936949999999904</v>
      </c>
      <c r="S5982">
        <v>0.84515379999999996</v>
      </c>
      <c r="T5982">
        <v>-3.584528E-2</v>
      </c>
      <c r="U5982">
        <v>-2.9223940000000002</v>
      </c>
      <c r="V5982">
        <v>-0.1547847</v>
      </c>
      <c r="W5982">
        <v>5.3494960000000001E-2</v>
      </c>
      <c r="X5982">
        <v>0.98649880000000001</v>
      </c>
      <c r="Y5982">
        <v>1.454857E-2</v>
      </c>
      <c r="Z5982">
        <v>1.1244530000000001E-2</v>
      </c>
      <c r="AA5982">
        <v>0.99983100000000003</v>
      </c>
      <c r="AB5982">
        <v>27</v>
      </c>
      <c r="AC5982">
        <v>8.7037999999999993</v>
      </c>
      <c r="AD5982">
        <v>-0.37299009999999999</v>
      </c>
      <c r="AE5982">
        <v>-30.137278999999999</v>
      </c>
      <c r="AF5982">
        <v>0.46713992955046402</v>
      </c>
      <c r="AG5982">
        <v>-0.37299009999999999</v>
      </c>
      <c r="AH5982">
        <v>31.361047750632402</v>
      </c>
      <c r="AI5982">
        <v>90.681335043923099</v>
      </c>
      <c r="AJ5982">
        <v>89.146611192473003</v>
      </c>
      <c r="AK5982">
        <v>31.366744449271799</v>
      </c>
      <c r="AL5982">
        <v>86.933500648027703</v>
      </c>
      <c r="AM5982">
        <v>98.917182455983195</v>
      </c>
      <c r="AN5982">
        <v>0.99999994825046401</v>
      </c>
    </row>
    <row r="5983" spans="1:40" x14ac:dyDescent="0.25">
      <c r="A5983" t="str">
        <f>"20190312160454187"</f>
        <v>20190312160454187</v>
      </c>
      <c r="B5983" t="str">
        <f>"1552377894181052"</f>
        <v>1552377894181052</v>
      </c>
      <c r="C5983" t="s">
        <v>40</v>
      </c>
      <c r="D5983">
        <v>5.216081</v>
      </c>
      <c r="E5983">
        <v>0.58263690000000001</v>
      </c>
      <c r="F5983" t="s">
        <v>100</v>
      </c>
      <c r="G5983">
        <v>-413.11720000000003</v>
      </c>
      <c r="H5983">
        <v>1.2350239999999999</v>
      </c>
      <c r="I5983">
        <v>0.54738999999999904</v>
      </c>
      <c r="J5983">
        <v>-420.10700000000003</v>
      </c>
      <c r="K5983">
        <v>1.1172120000000001</v>
      </c>
      <c r="L5983">
        <v>30.446960000000001</v>
      </c>
      <c r="M5983">
        <v>0.3008403</v>
      </c>
      <c r="N5983">
        <v>0</v>
      </c>
      <c r="O5983">
        <v>-0.95356149999999995</v>
      </c>
      <c r="P5983">
        <v>0.44554880000000002</v>
      </c>
      <c r="Q5983">
        <v>4.1475989999999997E-2</v>
      </c>
      <c r="R5983">
        <v>-0.89429669999999895</v>
      </c>
      <c r="S5983">
        <v>0.70300289999999999</v>
      </c>
      <c r="T5983">
        <v>1.171637E-2</v>
      </c>
      <c r="U5983">
        <v>-2.9949650000000001</v>
      </c>
      <c r="V5983">
        <v>-0.1567482</v>
      </c>
      <c r="W5983">
        <v>5.3348779999999998E-2</v>
      </c>
      <c r="X5983">
        <v>0.98619670000000004</v>
      </c>
      <c r="Y5983">
        <v>7.4984250000000002E-2</v>
      </c>
      <c r="Z5983">
        <v>-3.5889920000000001E-3</v>
      </c>
      <c r="AA5983">
        <v>0.99717829999999996</v>
      </c>
      <c r="AB5983">
        <v>27</v>
      </c>
      <c r="AC5983">
        <v>6.9897999999999403</v>
      </c>
      <c r="AD5983">
        <v>0.117811999999999</v>
      </c>
      <c r="AE5983">
        <v>-29.899570000000001</v>
      </c>
      <c r="AF5983">
        <v>2.33000830406049</v>
      </c>
      <c r="AG5983">
        <v>0.117811999999999</v>
      </c>
      <c r="AH5983">
        <v>30.616742034484599</v>
      </c>
      <c r="AI5983">
        <v>89.780164888824203</v>
      </c>
      <c r="AJ5983">
        <v>85.648040891552299</v>
      </c>
      <c r="AK5983">
        <v>30.705499689314799</v>
      </c>
      <c r="AL5983">
        <v>86.941888314059796</v>
      </c>
      <c r="AM5983">
        <v>99.031168391671301</v>
      </c>
      <c r="AN5983">
        <v>1.0000000108108</v>
      </c>
    </row>
    <row r="5984" spans="1:40" x14ac:dyDescent="0.25">
      <c r="A5984" t="str">
        <f>"20190312160454209"</f>
        <v>20190312160454209</v>
      </c>
      <c r="B5984" t="str">
        <f>"1552377894201553"</f>
        <v>1552377894201553</v>
      </c>
      <c r="C5984" t="s">
        <v>40</v>
      </c>
      <c r="D5984">
        <v>5.8138860000000001</v>
      </c>
      <c r="E5984">
        <v>0.58412949999999997</v>
      </c>
      <c r="F5984" t="s">
        <v>100</v>
      </c>
      <c r="G5984">
        <v>-412.60419999999999</v>
      </c>
      <c r="H5984">
        <v>1.29396</v>
      </c>
      <c r="I5984">
        <v>0.55260469999999995</v>
      </c>
      <c r="J5984">
        <v>-420.01949999999999</v>
      </c>
      <c r="K5984">
        <v>1.117364</v>
      </c>
      <c r="L5984">
        <v>30.203700000000001</v>
      </c>
      <c r="M5984">
        <v>0.3098265</v>
      </c>
      <c r="N5984">
        <v>0</v>
      </c>
      <c r="O5984">
        <v>-0.95067919999999995</v>
      </c>
      <c r="P5984">
        <v>0.4547892</v>
      </c>
      <c r="Q5984">
        <v>4.1528639999999999E-2</v>
      </c>
      <c r="R5984">
        <v>-0.88963040000000004</v>
      </c>
      <c r="S5984">
        <v>0.74816890000000003</v>
      </c>
      <c r="T5984">
        <v>1.7622470000000001E-2</v>
      </c>
      <c r="U5984">
        <v>-2.9810490000000001</v>
      </c>
      <c r="V5984">
        <v>-0.1576796</v>
      </c>
      <c r="W5984">
        <v>5.3353060000000001E-2</v>
      </c>
      <c r="X5984">
        <v>0.98604800000000004</v>
      </c>
      <c r="Y5984">
        <v>6.9098229999999997E-2</v>
      </c>
      <c r="Z5984">
        <v>-5.3899419999999896E-3</v>
      </c>
      <c r="AA5984">
        <v>0.99759529999999996</v>
      </c>
      <c r="AB5984">
        <v>27</v>
      </c>
      <c r="AC5984">
        <v>7.4153000000000002</v>
      </c>
      <c r="AD5984">
        <v>0.176595999999999</v>
      </c>
      <c r="AE5984">
        <v>-29.651095299999898</v>
      </c>
      <c r="AF5984">
        <v>2.1372837424413702</v>
      </c>
      <c r="AG5984">
        <v>0.176595999999999</v>
      </c>
      <c r="AH5984">
        <v>30.488420352860601</v>
      </c>
      <c r="AI5984">
        <v>89.668945692939403</v>
      </c>
      <c r="AJ5984">
        <v>85.990040416180904</v>
      </c>
      <c r="AK5984">
        <v>30.563752118410601</v>
      </c>
      <c r="AL5984">
        <v>86.941642802593407</v>
      </c>
      <c r="AM5984">
        <v>99.085286583294405</v>
      </c>
      <c r="AN5984">
        <v>1.00000003178576</v>
      </c>
    </row>
    <row r="5985" spans="1:40" x14ac:dyDescent="0.25">
      <c r="A5985" t="str">
        <f>"20190312160454231"</f>
        <v>20190312160454231</v>
      </c>
      <c r="B5985" t="str">
        <f>"1552377894221068"</f>
        <v>1552377894221068</v>
      </c>
      <c r="C5985" t="s">
        <v>40</v>
      </c>
      <c r="D5985">
        <v>5.7383769999999998</v>
      </c>
      <c r="E5985">
        <v>0.58468719999999996</v>
      </c>
      <c r="F5985" t="s">
        <v>100</v>
      </c>
      <c r="G5985">
        <v>-412.37189999999998</v>
      </c>
      <c r="H5985">
        <v>1.178968</v>
      </c>
      <c r="I5985">
        <v>0.55496789999999996</v>
      </c>
      <c r="J5985">
        <v>-419.92720000000003</v>
      </c>
      <c r="K5985">
        <v>1.1175010000000001</v>
      </c>
      <c r="L5985">
        <v>29.95514</v>
      </c>
      <c r="M5985">
        <v>0.3192123</v>
      </c>
      <c r="N5985">
        <v>0</v>
      </c>
      <c r="O5985">
        <v>-0.94756859999999998</v>
      </c>
      <c r="P5985">
        <v>0.46506310000000001</v>
      </c>
      <c r="Q5985">
        <v>4.027153E-2</v>
      </c>
      <c r="R5985">
        <v>-0.88436139999999996</v>
      </c>
      <c r="S5985">
        <v>0.76843260000000002</v>
      </c>
      <c r="T5985">
        <v>6.1873199999999996E-3</v>
      </c>
      <c r="U5985">
        <v>-2.979095</v>
      </c>
      <c r="V5985">
        <v>-0.1593291</v>
      </c>
      <c r="W5985">
        <v>5.2040250000000003E-2</v>
      </c>
      <c r="X5985">
        <v>0.98585299999999998</v>
      </c>
      <c r="Y5985">
        <v>7.2432730000000001E-2</v>
      </c>
      <c r="Z5985">
        <v>-1.882564E-3</v>
      </c>
      <c r="AA5985">
        <v>0.99737149999999997</v>
      </c>
      <c r="AB5985">
        <v>27</v>
      </c>
      <c r="AC5985">
        <v>7.5553000000000399</v>
      </c>
      <c r="AD5985">
        <v>6.1466999999999897E-2</v>
      </c>
      <c r="AE5985">
        <v>-29.400172099999999</v>
      </c>
      <c r="AF5985">
        <v>2.2259642018013599</v>
      </c>
      <c r="AG5985">
        <v>6.1466999999999897E-2</v>
      </c>
      <c r="AH5985">
        <v>30.273589226159</v>
      </c>
      <c r="AI5985">
        <v>89.883980946387595</v>
      </c>
      <c r="AJ5985">
        <v>85.794708894371098</v>
      </c>
      <c r="AK5985">
        <v>30.355376779970999</v>
      </c>
      <c r="AL5985">
        <v>87.0169659699568</v>
      </c>
      <c r="AM5985">
        <v>99.180503569246397</v>
      </c>
      <c r="AN5985">
        <v>1.0000000436679299</v>
      </c>
    </row>
    <row r="5986" spans="1:40" x14ac:dyDescent="0.25">
      <c r="A5986" t="str">
        <f>"20190312160454242"</f>
        <v>20190312160454242</v>
      </c>
      <c r="B5986" t="str">
        <f>"1552377894230829"</f>
        <v>1552377894230829</v>
      </c>
      <c r="C5986" t="s">
        <v>40</v>
      </c>
      <c r="D5986">
        <v>5.7797530000000004</v>
      </c>
      <c r="E5986">
        <v>0.58468719999999996</v>
      </c>
      <c r="F5986" t="s">
        <v>100</v>
      </c>
      <c r="G5986">
        <v>-412.02749999999997</v>
      </c>
      <c r="H5986">
        <v>1.058028</v>
      </c>
      <c r="I5986">
        <v>0.55846980000000002</v>
      </c>
      <c r="J5986">
        <v>-419.8811</v>
      </c>
      <c r="K5986">
        <v>1.117561</v>
      </c>
      <c r="L5986">
        <v>29.83371</v>
      </c>
      <c r="M5986">
        <v>0.32386720000000002</v>
      </c>
      <c r="N5986">
        <v>0</v>
      </c>
      <c r="O5986">
        <v>-0.94598749999999998</v>
      </c>
      <c r="P5986">
        <v>0.47010210000000002</v>
      </c>
      <c r="Q5986">
        <v>4.0005470000000001E-2</v>
      </c>
      <c r="R5986">
        <v>-0.88170509999999902</v>
      </c>
      <c r="S5986">
        <v>0.7987976</v>
      </c>
      <c r="T5986">
        <v>-6.0162540000000004E-3</v>
      </c>
      <c r="U5986">
        <v>-2.9725039999999998</v>
      </c>
      <c r="V5986">
        <v>-0.16010849999999999</v>
      </c>
      <c r="W5986">
        <v>5.1748830000000003E-2</v>
      </c>
      <c r="X5986">
        <v>0.98574200000000001</v>
      </c>
      <c r="Y5986">
        <v>6.7274329999999993E-2</v>
      </c>
      <c r="Z5986">
        <v>1.8279259999999999E-3</v>
      </c>
      <c r="AA5986">
        <v>0.99773279999999998</v>
      </c>
      <c r="AB5986">
        <v>27</v>
      </c>
      <c r="AC5986">
        <v>7.8536000000000197</v>
      </c>
      <c r="AD5986">
        <v>-5.9533000000000003E-2</v>
      </c>
      <c r="AE5986">
        <v>-29.275240199999899</v>
      </c>
      <c r="AF5986">
        <v>2.0520980965955702</v>
      </c>
      <c r="AG5986">
        <v>-5.9533000000000003E-2</v>
      </c>
      <c r="AH5986">
        <v>30.240709760428601</v>
      </c>
      <c r="AI5986">
        <v>90.112535678627594</v>
      </c>
      <c r="AJ5986">
        <v>86.117928937574007</v>
      </c>
      <c r="AK5986">
        <v>30.310314706228699</v>
      </c>
      <c r="AL5986">
        <v>87.0336854504461</v>
      </c>
      <c r="AM5986">
        <v>99.225663073898104</v>
      </c>
      <c r="AN5986">
        <v>0.99999998187130901</v>
      </c>
    </row>
    <row r="5987" spans="1:40" x14ac:dyDescent="0.25">
      <c r="A5987" t="str">
        <f>"20190312160454254"</f>
        <v>20190312160454254</v>
      </c>
      <c r="B5987" t="str">
        <f>"1552377894251324"</f>
        <v>1552377894251324</v>
      </c>
      <c r="C5987" t="s">
        <v>40</v>
      </c>
      <c r="D5987">
        <v>5.6273059999999999</v>
      </c>
      <c r="E5987">
        <v>0.51420690000000002</v>
      </c>
      <c r="F5987" t="s">
        <v>100</v>
      </c>
      <c r="G5987">
        <v>-411.83440000000002</v>
      </c>
      <c r="H5987">
        <v>1.051874</v>
      </c>
      <c r="I5987">
        <v>0.56043240000000005</v>
      </c>
      <c r="J5987">
        <v>-419.83269999999999</v>
      </c>
      <c r="K5987">
        <v>1.1176200000000001</v>
      </c>
      <c r="L5987">
        <v>29.70871</v>
      </c>
      <c r="M5987">
        <v>0.32871220000000001</v>
      </c>
      <c r="N5987">
        <v>0</v>
      </c>
      <c r="O5987">
        <v>-0.94431469999999995</v>
      </c>
      <c r="P5987">
        <v>0.47525659999999997</v>
      </c>
      <c r="Q5987">
        <v>3.9815730000000001E-2</v>
      </c>
      <c r="R5987">
        <v>-0.87894589999999995</v>
      </c>
      <c r="S5987">
        <v>0.81579590000000002</v>
      </c>
      <c r="T5987">
        <v>-6.6621299999999996E-3</v>
      </c>
      <c r="U5987">
        <v>-2.9678339999999999</v>
      </c>
      <c r="V5987">
        <v>-0.1608289</v>
      </c>
      <c r="W5987">
        <v>5.1534999999999997E-2</v>
      </c>
      <c r="X5987">
        <v>0.98563590000000001</v>
      </c>
      <c r="Y5987">
        <v>6.6674890000000001E-2</v>
      </c>
      <c r="Z5987">
        <v>2.0204340000000002E-3</v>
      </c>
      <c r="AA5987">
        <v>0.99777269999999896</v>
      </c>
      <c r="AB5987">
        <v>27</v>
      </c>
      <c r="AC5987">
        <v>7.9982999999999702</v>
      </c>
      <c r="AD5987">
        <v>-6.5745999999999999E-2</v>
      </c>
      <c r="AE5987">
        <v>-29.1482776</v>
      </c>
      <c r="AF5987">
        <v>2.0286937708272599</v>
      </c>
      <c r="AG5987">
        <v>-6.5745999999999999E-2</v>
      </c>
      <c r="AH5987">
        <v>30.157431032984</v>
      </c>
      <c r="AI5987">
        <v>90.124628252866401</v>
      </c>
      <c r="AJ5987">
        <v>86.1515046494508</v>
      </c>
      <c r="AK5987">
        <v>30.225660744829</v>
      </c>
      <c r="AL5987">
        <v>87.045953310102007</v>
      </c>
      <c r="AM5987">
        <v>99.267435162785503</v>
      </c>
      <c r="AN5987">
        <v>0.99999995933450903</v>
      </c>
    </row>
    <row r="5988" spans="1:40" x14ac:dyDescent="0.25">
      <c r="A5988" t="str">
        <f>"20190312160454264"</f>
        <v>20190312160454264</v>
      </c>
      <c r="B5988" t="str">
        <f>"1552377894261088"</f>
        <v>1552377894261088</v>
      </c>
      <c r="C5988" t="s">
        <v>40</v>
      </c>
      <c r="D5988">
        <v>4.5186919999999997</v>
      </c>
      <c r="E5988">
        <v>0.46788639999999998</v>
      </c>
      <c r="F5988" t="s">
        <v>100</v>
      </c>
      <c r="G5988">
        <v>-405.49979999999999</v>
      </c>
      <c r="H5988">
        <v>2.5681940000000001</v>
      </c>
      <c r="I5988">
        <v>0.62485889999999999</v>
      </c>
      <c r="J5988">
        <v>-419.78309999999999</v>
      </c>
      <c r="K5988">
        <v>1.117677</v>
      </c>
      <c r="L5988">
        <v>29.582000000000001</v>
      </c>
      <c r="M5988">
        <v>0.33365810000000001</v>
      </c>
      <c r="N5988">
        <v>0</v>
      </c>
      <c r="O5988">
        <v>-0.94257840000000004</v>
      </c>
      <c r="P5988">
        <v>0.48072429999999999</v>
      </c>
      <c r="Q5988">
        <v>3.9813149999999999E-2</v>
      </c>
      <c r="R5988">
        <v>-0.87596790000000002</v>
      </c>
      <c r="S5988">
        <v>1.3257749999999999</v>
      </c>
      <c r="T5988">
        <v>0.13417379999999901</v>
      </c>
      <c r="U5988">
        <v>-2.6902159999999999</v>
      </c>
      <c r="V5988">
        <v>-0.16181189999999901</v>
      </c>
      <c r="W5988">
        <v>5.1503100000000003E-2</v>
      </c>
      <c r="X5988">
        <v>0.98547669999999998</v>
      </c>
      <c r="Y5988">
        <v>-0.11695800000000001</v>
      </c>
      <c r="Z5988">
        <v>-4.3008699999999997E-2</v>
      </c>
      <c r="AA5988">
        <v>0.99220509999999995</v>
      </c>
      <c r="AB5988">
        <v>27</v>
      </c>
      <c r="AC5988">
        <v>14.283299999999899</v>
      </c>
      <c r="AD5988">
        <v>1.4505170000000001</v>
      </c>
      <c r="AE5988">
        <v>-28.957141100000001</v>
      </c>
      <c r="AF5988">
        <v>-3.7941030925864099</v>
      </c>
      <c r="AG5988">
        <v>1.4505170000000001</v>
      </c>
      <c r="AH5988">
        <v>31.999033839391998</v>
      </c>
      <c r="AI5988">
        <v>87.422587304304898</v>
      </c>
      <c r="AJ5988">
        <v>96.761950458562396</v>
      </c>
      <c r="AK5988">
        <v>32.255811639129703</v>
      </c>
      <c r="AL5988">
        <v>87.047783576246403</v>
      </c>
      <c r="AM5988">
        <v>99.324566552691607</v>
      </c>
      <c r="AN5988">
        <v>0.99999999326705402</v>
      </c>
    </row>
    <row r="5989" spans="1:40" x14ac:dyDescent="0.25">
      <c r="A5989" t="str">
        <f>"20190312160454276"</f>
        <v>20190312160454276</v>
      </c>
      <c r="B5989" t="str">
        <f>"1552377894270845"</f>
        <v>1552377894270845</v>
      </c>
      <c r="C5989" t="s">
        <v>40</v>
      </c>
      <c r="D5989">
        <v>5.560041</v>
      </c>
      <c r="E5989">
        <v>0.46788639999999998</v>
      </c>
      <c r="F5989" t="s">
        <v>81</v>
      </c>
      <c r="G5989">
        <v>-412.24770000000001</v>
      </c>
      <c r="H5989" s="1">
        <v>-1.081162E-5</v>
      </c>
      <c r="I5989">
        <v>18.223020000000002</v>
      </c>
      <c r="J5989">
        <v>-419.73270000000002</v>
      </c>
      <c r="K5989">
        <v>1.1177379999999999</v>
      </c>
      <c r="L5989">
        <v>29.45609</v>
      </c>
      <c r="M5989">
        <v>0.33865859999999998</v>
      </c>
      <c r="N5989">
        <v>0</v>
      </c>
      <c r="O5989">
        <v>-0.94079310000000005</v>
      </c>
      <c r="P5989">
        <v>0.48614950000000001</v>
      </c>
      <c r="Q5989">
        <v>3.973554E-2</v>
      </c>
      <c r="R5989">
        <v>-0.87297219999999998</v>
      </c>
      <c r="S5989">
        <v>1.671082</v>
      </c>
      <c r="T5989">
        <v>-0.24786</v>
      </c>
      <c r="U5989">
        <v>-2.5189819999999998</v>
      </c>
      <c r="V5989">
        <v>-0.16269800000000001</v>
      </c>
      <c r="W5989">
        <v>5.1397859999999997E-2</v>
      </c>
      <c r="X5989">
        <v>0.98533630000000005</v>
      </c>
      <c r="Y5989">
        <v>-0.23602400000000001</v>
      </c>
      <c r="Z5989">
        <v>8.0225130000000006E-2</v>
      </c>
      <c r="AA5989">
        <v>0.96843000000000001</v>
      </c>
      <c r="AB5989">
        <v>27</v>
      </c>
      <c r="AC5989">
        <v>7.4850000000000101</v>
      </c>
      <c r="AD5989">
        <v>-1.1177488116199901</v>
      </c>
      <c r="AE5989">
        <v>-11.23307</v>
      </c>
      <c r="AF5989">
        <v>-3.2159633794238598</v>
      </c>
      <c r="AG5989">
        <v>-1.1177488116199901</v>
      </c>
      <c r="AH5989">
        <v>13.0150454619491</v>
      </c>
      <c r="AI5989">
        <v>94.765941067956803</v>
      </c>
      <c r="AJ5989">
        <v>103.87952778770401</v>
      </c>
      <c r="AK5989">
        <v>13.452999339934401</v>
      </c>
      <c r="AL5989">
        <v>87.0538214056551</v>
      </c>
      <c r="AM5989">
        <v>99.376036923129007</v>
      </c>
      <c r="AN5989">
        <v>1.00000000165713</v>
      </c>
    </row>
    <row r="5990" spans="1:40" x14ac:dyDescent="0.25">
      <c r="A5990" t="str">
        <f>"20190312160454289"</f>
        <v>20190312160454289</v>
      </c>
      <c r="B5990" t="str">
        <f>"1552377894281581"</f>
        <v>1552377894281581</v>
      </c>
      <c r="C5990" t="s">
        <v>40</v>
      </c>
      <c r="D5990">
        <v>5.499009</v>
      </c>
      <c r="E5990">
        <v>0.40564470000000002</v>
      </c>
      <c r="F5990" t="s">
        <v>81</v>
      </c>
      <c r="G5990">
        <v>-412.13929999999999</v>
      </c>
      <c r="H5990" s="1">
        <v>-1.0792530000000001E-5</v>
      </c>
      <c r="I5990">
        <v>18.15878</v>
      </c>
      <c r="J5990">
        <v>-419.67930000000001</v>
      </c>
      <c r="K5990">
        <v>1.117799</v>
      </c>
      <c r="L5990">
        <v>29.323969999999999</v>
      </c>
      <c r="M5990">
        <v>0.3439313</v>
      </c>
      <c r="N5990">
        <v>0</v>
      </c>
      <c r="O5990">
        <v>-0.93887799999999999</v>
      </c>
      <c r="P5990">
        <v>0.49152099999999999</v>
      </c>
      <c r="Q5990">
        <v>3.947784E-2</v>
      </c>
      <c r="R5990">
        <v>-0.86997080000000004</v>
      </c>
      <c r="S5990">
        <v>1.6862490000000001</v>
      </c>
      <c r="T5990">
        <v>-0.24821789999999999</v>
      </c>
      <c r="U5990">
        <v>-2.5087890000000002</v>
      </c>
      <c r="V5990">
        <v>-0.163243</v>
      </c>
      <c r="W5990">
        <v>5.1118329999999997E-2</v>
      </c>
      <c r="X5990">
        <v>0.98526069999999999</v>
      </c>
      <c r="Y5990">
        <v>-0.23642489999999999</v>
      </c>
      <c r="Z5990">
        <v>8.0243060000000005E-2</v>
      </c>
      <c r="AA5990">
        <v>0.96833069999999999</v>
      </c>
      <c r="AB5990">
        <v>27</v>
      </c>
      <c r="AC5990">
        <v>7.5400000000000098</v>
      </c>
      <c r="AD5990">
        <v>-1.1178097925299999</v>
      </c>
      <c r="AE5990">
        <v>-11.165190000000001</v>
      </c>
      <c r="AF5990">
        <v>-3.2172899684210199</v>
      </c>
      <c r="AG5990">
        <v>-1.1178097925299999</v>
      </c>
      <c r="AH5990">
        <v>12.988020811223601</v>
      </c>
      <c r="AI5990">
        <v>94.775388278167</v>
      </c>
      <c r="AJ5990">
        <v>103.912801435939</v>
      </c>
      <c r="AK5990">
        <v>13.4271790807286</v>
      </c>
      <c r="AL5990">
        <v>87.069858382886906</v>
      </c>
      <c r="AM5990">
        <v>99.407592879551899</v>
      </c>
      <c r="AN5990">
        <v>1.0000000038377299</v>
      </c>
    </row>
    <row r="5991" spans="1:40" x14ac:dyDescent="0.25">
      <c r="A5991" t="str">
        <f>"20190312160454300"</f>
        <v>20190312160454300</v>
      </c>
      <c r="B5991" t="str">
        <f>"1552377894291341"</f>
        <v>1552377894291341</v>
      </c>
      <c r="C5991" t="s">
        <v>40</v>
      </c>
      <c r="D5991">
        <v>5.5237249999999998</v>
      </c>
      <c r="E5991">
        <v>0.4049565</v>
      </c>
      <c r="F5991" t="s">
        <v>100</v>
      </c>
      <c r="G5991">
        <v>-392.54300000000001</v>
      </c>
      <c r="H5991">
        <v>1.525496</v>
      </c>
      <c r="I5991">
        <v>0.75662989999999997</v>
      </c>
      <c r="J5991">
        <v>-419.62790000000001</v>
      </c>
      <c r="K5991">
        <v>1.1178589999999999</v>
      </c>
      <c r="L5991">
        <v>29.200099999999999</v>
      </c>
      <c r="M5991">
        <v>0.34895939999999998</v>
      </c>
      <c r="N5991">
        <v>0</v>
      </c>
      <c r="O5991">
        <v>-0.93702059999999998</v>
      </c>
      <c r="P5991">
        <v>0.49699520000000003</v>
      </c>
      <c r="Q5991">
        <v>3.9393570000000003E-2</v>
      </c>
      <c r="R5991">
        <v>-0.86685869999999998</v>
      </c>
      <c r="S5991">
        <v>2.1307369999999999</v>
      </c>
      <c r="T5991">
        <v>3.2010320000000002E-2</v>
      </c>
      <c r="U5991">
        <v>-2.2431030000000001</v>
      </c>
      <c r="V5991">
        <v>-0.16417779999999901</v>
      </c>
      <c r="W5991">
        <v>5.100499E-2</v>
      </c>
      <c r="X5991">
        <v>0.98511119999999996</v>
      </c>
      <c r="Y5991">
        <v>-0.3923355</v>
      </c>
      <c r="Z5991">
        <v>-1.04335E-2</v>
      </c>
      <c r="AA5991">
        <v>0.919763</v>
      </c>
      <c r="AB5991">
        <v>27</v>
      </c>
      <c r="AC5991">
        <v>27.084900000000001</v>
      </c>
      <c r="AD5991">
        <v>0.40763699999999897</v>
      </c>
      <c r="AE5991">
        <v>-28.443470099999999</v>
      </c>
      <c r="AF5991">
        <v>-15.4535264649968</v>
      </c>
      <c r="AG5991">
        <v>0.40763699999999897</v>
      </c>
      <c r="AH5991">
        <v>36.103726081634697</v>
      </c>
      <c r="AI5991">
        <v>89.405300547583494</v>
      </c>
      <c r="AJ5991">
        <v>113.17244266853299</v>
      </c>
      <c r="AK5991">
        <v>39.274122333997902</v>
      </c>
      <c r="AL5991">
        <v>87.076360663090995</v>
      </c>
      <c r="AM5991">
        <v>99.461903443001901</v>
      </c>
      <c r="AN5991">
        <v>0.99999996769158905</v>
      </c>
    </row>
    <row r="5992" spans="1:40" x14ac:dyDescent="0.25">
      <c r="A5992" t="str">
        <f>"20190312160454310"</f>
        <v>20190312160454310</v>
      </c>
      <c r="B5992" t="str">
        <f>"1552377894301101"</f>
        <v>1552377894301101</v>
      </c>
      <c r="C5992" t="s">
        <v>40</v>
      </c>
      <c r="D5992">
        <v>5.4792630000000004</v>
      </c>
      <c r="E5992">
        <v>0.40753060000000002</v>
      </c>
      <c r="F5992" t="s">
        <v>100</v>
      </c>
      <c r="G5992">
        <v>-392.18020000000001</v>
      </c>
      <c r="H5992">
        <v>1.4365220000000001</v>
      </c>
      <c r="I5992">
        <v>0.76031680000000001</v>
      </c>
      <c r="J5992">
        <v>-419.5806</v>
      </c>
      <c r="K5992">
        <v>1.11791</v>
      </c>
      <c r="L5992">
        <v>29.08691</v>
      </c>
      <c r="M5992">
        <v>0.35357739999999999</v>
      </c>
      <c r="N5992">
        <v>0</v>
      </c>
      <c r="O5992">
        <v>-0.93528750000000005</v>
      </c>
      <c r="P5992">
        <v>0.50176730000000003</v>
      </c>
      <c r="Q5992">
        <v>3.8885200000000002E-2</v>
      </c>
      <c r="R5992">
        <v>-0.86412849999999997</v>
      </c>
      <c r="S5992">
        <v>2.1495359999999999</v>
      </c>
      <c r="T5992">
        <v>2.4953840000000001E-2</v>
      </c>
      <c r="U5992">
        <v>-2.2272340000000002</v>
      </c>
      <c r="V5992">
        <v>-0.16474029999999901</v>
      </c>
      <c r="W5992">
        <v>5.0475899999999997E-2</v>
      </c>
      <c r="X5992">
        <v>0.98504460000000005</v>
      </c>
      <c r="Y5992">
        <v>-0.39510960000000001</v>
      </c>
      <c r="Z5992">
        <v>-8.1277339999999993E-3</v>
      </c>
      <c r="AA5992">
        <v>0.91859809999999997</v>
      </c>
      <c r="AB5992">
        <v>27</v>
      </c>
      <c r="AC5992">
        <v>27.400399999999902</v>
      </c>
      <c r="AD5992">
        <v>0.31861199999999901</v>
      </c>
      <c r="AE5992">
        <v>-28.326593200000001</v>
      </c>
      <c r="AF5992">
        <v>-15.6123080575677</v>
      </c>
      <c r="AG5992">
        <v>0.31861199999999901</v>
      </c>
      <c r="AH5992">
        <v>36.1832921703297</v>
      </c>
      <c r="AI5992">
        <v>89.536773821391606</v>
      </c>
      <c r="AJ5992">
        <v>113.339153122019</v>
      </c>
      <c r="AK5992">
        <v>39.4090891644857</v>
      </c>
      <c r="AL5992">
        <v>87.1067145493179</v>
      </c>
      <c r="AM5992">
        <v>99.494362528808097</v>
      </c>
      <c r="AN5992">
        <v>1.0000000234570201</v>
      </c>
    </row>
    <row r="5993" spans="1:40" x14ac:dyDescent="0.25">
      <c r="A5993" t="str">
        <f>"20190312160454321"</f>
        <v>20190312160454321</v>
      </c>
      <c r="B5993" t="str">
        <f>"1552377894310861"</f>
        <v>1552377894310861</v>
      </c>
      <c r="C5993" t="s">
        <v>40</v>
      </c>
      <c r="D5993">
        <v>5.4701279999999999</v>
      </c>
      <c r="E5993">
        <v>0.40986519999999999</v>
      </c>
      <c r="F5993" t="s">
        <v>100</v>
      </c>
      <c r="G5993">
        <v>-392.30399999999997</v>
      </c>
      <c r="H5993">
        <v>0.7192094</v>
      </c>
      <c r="I5993">
        <v>0.75905610000000001</v>
      </c>
      <c r="J5993">
        <v>-419.52780000000001</v>
      </c>
      <c r="K5993">
        <v>1.1179730000000001</v>
      </c>
      <c r="L5993">
        <v>28.963039999999999</v>
      </c>
      <c r="M5993">
        <v>0.358689799999999</v>
      </c>
      <c r="N5993">
        <v>0</v>
      </c>
      <c r="O5993">
        <v>-0.93333860000000002</v>
      </c>
      <c r="P5993">
        <v>0.5068859</v>
      </c>
      <c r="Q5993">
        <v>3.8819840000000001E-2</v>
      </c>
      <c r="R5993">
        <v>-0.86113899999999999</v>
      </c>
      <c r="S5993">
        <v>2.1449579999999999</v>
      </c>
      <c r="T5993">
        <v>-3.1354670000000001E-2</v>
      </c>
      <c r="U5993">
        <v>-2.2276310000000001</v>
      </c>
      <c r="V5993">
        <v>-0.16520079999999901</v>
      </c>
      <c r="W5993">
        <v>5.0391610000000003E-2</v>
      </c>
      <c r="X5993">
        <v>0.98497179999999995</v>
      </c>
      <c r="Y5993">
        <v>-0.38900020000000002</v>
      </c>
      <c r="Z5993">
        <v>1.0200259999999999E-2</v>
      </c>
      <c r="AA5993">
        <v>0.92118120000000003</v>
      </c>
      <c r="AB5993">
        <v>27</v>
      </c>
      <c r="AC5993">
        <v>27.223799999999901</v>
      </c>
      <c r="AD5993">
        <v>-0.398763599999999</v>
      </c>
      <c r="AE5993">
        <v>-28.203983900000001</v>
      </c>
      <c r="AF5993">
        <v>-15.292647198706799</v>
      </c>
      <c r="AG5993">
        <v>-0.398763599999999</v>
      </c>
      <c r="AH5993">
        <v>36.089014401456502</v>
      </c>
      <c r="AI5993">
        <v>90.582891448129701</v>
      </c>
      <c r="AJ5993">
        <v>112.964704383336</v>
      </c>
      <c r="AK5993">
        <v>39.1974620507672</v>
      </c>
      <c r="AL5993">
        <v>87.111550191051506</v>
      </c>
      <c r="AM5993">
        <v>99.521107822966599</v>
      </c>
      <c r="AN5993">
        <v>1.0000000327371299</v>
      </c>
    </row>
    <row r="5994" spans="1:40" x14ac:dyDescent="0.25">
      <c r="A5994" t="str">
        <f>"20190312160454333"</f>
        <v>20190312160454333</v>
      </c>
      <c r="B5994" t="str">
        <f>"1552377894321597"</f>
        <v>1552377894321597</v>
      </c>
      <c r="C5994" t="s">
        <v>40</v>
      </c>
      <c r="D5994">
        <v>5.406066</v>
      </c>
      <c r="E5994">
        <v>0.41193619999999997</v>
      </c>
      <c r="F5994" t="s">
        <v>100</v>
      </c>
      <c r="G5994">
        <v>-392.38229999999999</v>
      </c>
      <c r="H5994">
        <v>0.33856839999999999</v>
      </c>
      <c r="I5994">
        <v>0.75826070000000001</v>
      </c>
      <c r="J5994">
        <v>-419.47620000000001</v>
      </c>
      <c r="K5994">
        <v>1.1180330000000001</v>
      </c>
      <c r="L5994">
        <v>28.843779999999999</v>
      </c>
      <c r="M5994">
        <v>0.36365449999999999</v>
      </c>
      <c r="N5994">
        <v>0</v>
      </c>
      <c r="O5994">
        <v>-0.9314152</v>
      </c>
      <c r="P5994">
        <v>0.51193109999999997</v>
      </c>
      <c r="Q5994">
        <v>3.861589E-2</v>
      </c>
      <c r="R5994">
        <v>-0.85815810000000003</v>
      </c>
      <c r="S5994">
        <v>2.1420590000000002</v>
      </c>
      <c r="T5994">
        <v>-6.1504959999999997E-2</v>
      </c>
      <c r="U5994">
        <v>-2.2256469999999999</v>
      </c>
      <c r="V5994">
        <v>-0.16573759999999901</v>
      </c>
      <c r="W5994">
        <v>5.0167299999999998E-2</v>
      </c>
      <c r="X5994">
        <v>0.98489300000000002</v>
      </c>
      <c r="Y5994">
        <v>-0.38376840000000001</v>
      </c>
      <c r="Z5994">
        <v>1.998875E-2</v>
      </c>
      <c r="AA5994">
        <v>0.92321299999999995</v>
      </c>
      <c r="AB5994">
        <v>27</v>
      </c>
      <c r="AC5994">
        <v>27.093900000000001</v>
      </c>
      <c r="AD5994">
        <v>-0.77946459999999995</v>
      </c>
      <c r="AE5994">
        <v>-28.085519300000001</v>
      </c>
      <c r="AF5994">
        <v>-15.0179144851408</v>
      </c>
      <c r="AG5994">
        <v>-0.77946459999999995</v>
      </c>
      <c r="AH5994">
        <v>36.001717358293398</v>
      </c>
      <c r="AI5994">
        <v>91.144727784584006</v>
      </c>
      <c r="AJ5994">
        <v>112.643183559211</v>
      </c>
      <c r="AK5994">
        <v>39.016265496483598</v>
      </c>
      <c r="AL5994">
        <v>87.124418290124893</v>
      </c>
      <c r="AM5994">
        <v>99.552226521552399</v>
      </c>
      <c r="AN5994">
        <v>0.99999996574602401</v>
      </c>
    </row>
    <row r="5995" spans="1:40" x14ac:dyDescent="0.25">
      <c r="A5995" t="str">
        <f>"20190312160454344"</f>
        <v>20190312160454344</v>
      </c>
      <c r="B5995" t="str">
        <f>"1552377894331357"</f>
        <v>1552377894331357</v>
      </c>
      <c r="C5995" t="s">
        <v>40</v>
      </c>
      <c r="D5995">
        <v>5.4140050000000004</v>
      </c>
      <c r="E5995">
        <v>0.41349249999999999</v>
      </c>
      <c r="F5995" t="s">
        <v>43</v>
      </c>
      <c r="G5995">
        <v>-389.99639999999999</v>
      </c>
      <c r="H5995">
        <v>-0.05</v>
      </c>
      <c r="I5995">
        <v>-1.7531890000000001</v>
      </c>
      <c r="J5995">
        <v>-419.42419999999998</v>
      </c>
      <c r="K5995">
        <v>1.1180969999999999</v>
      </c>
      <c r="L5995">
        <v>28.725159999999999</v>
      </c>
      <c r="M5995">
        <v>0.36862820000000002</v>
      </c>
      <c r="N5995">
        <v>0</v>
      </c>
      <c r="O5995">
        <v>-0.9294578</v>
      </c>
      <c r="P5995">
        <v>0.51668939999999997</v>
      </c>
      <c r="Q5995">
        <v>3.849814E-2</v>
      </c>
      <c r="R5995">
        <v>-0.85530680000000003</v>
      </c>
      <c r="S5995">
        <v>2.1412049999999998</v>
      </c>
      <c r="T5995">
        <v>-8.4837789999999996E-2</v>
      </c>
      <c r="U5995">
        <v>-2.2223510000000002</v>
      </c>
      <c r="V5995">
        <v>-0.16594629999999999</v>
      </c>
      <c r="W5995">
        <v>5.0035860000000001E-2</v>
      </c>
      <c r="X5995">
        <v>0.98486459999999998</v>
      </c>
      <c r="Y5995">
        <v>-0.37919570000000002</v>
      </c>
      <c r="Z5995">
        <v>2.7541349999999999E-2</v>
      </c>
      <c r="AA5995">
        <v>0.92490660000000002</v>
      </c>
      <c r="AB5995">
        <v>27</v>
      </c>
      <c r="AC5995">
        <v>29.427799999999898</v>
      </c>
      <c r="AD5995">
        <v>-1.1680969999999999</v>
      </c>
      <c r="AE5995">
        <v>-30.478349000000001</v>
      </c>
      <c r="AF5995">
        <v>-16.106260604475299</v>
      </c>
      <c r="AG5995">
        <v>-1.1680969999999999</v>
      </c>
      <c r="AH5995">
        <v>39.150833289234299</v>
      </c>
      <c r="AI5995">
        <v>91.580513474556696</v>
      </c>
      <c r="AJ5995">
        <v>112.36177506518899</v>
      </c>
      <c r="AK5995">
        <v>42.350487937001397</v>
      </c>
      <c r="AL5995">
        <v>87.131958876216302</v>
      </c>
      <c r="AM5995">
        <v>99.564303510654796</v>
      </c>
      <c r="AN5995">
        <v>1.00000002105139</v>
      </c>
    </row>
    <row r="5996" spans="1:40" x14ac:dyDescent="0.25">
      <c r="A5996" t="str">
        <f>"20190312160454355"</f>
        <v>20190312160454355</v>
      </c>
      <c r="B5996" t="str">
        <f>"1552377894350877"</f>
        <v>1552377894350877</v>
      </c>
      <c r="C5996" t="s">
        <v>40</v>
      </c>
      <c r="D5996">
        <v>5.4421179999999998</v>
      </c>
      <c r="E5996">
        <v>0.41608000000000001</v>
      </c>
      <c r="F5996" t="s">
        <v>41</v>
      </c>
      <c r="G5996">
        <v>-397.1558</v>
      </c>
      <c r="H5996">
        <v>7.9986249999999995E-2</v>
      </c>
      <c r="I5996">
        <v>5.6859159999999997</v>
      </c>
      <c r="J5996">
        <v>-419.37189999999998</v>
      </c>
      <c r="K5996">
        <v>1.118153</v>
      </c>
      <c r="L5996">
        <v>28.6084</v>
      </c>
      <c r="M5996">
        <v>0.3735851</v>
      </c>
      <c r="N5996">
        <v>0</v>
      </c>
      <c r="O5996">
        <v>-0.92747619999999997</v>
      </c>
      <c r="P5996">
        <v>0.52162189999999997</v>
      </c>
      <c r="Q5996">
        <v>3.8583260000000001E-2</v>
      </c>
      <c r="R5996">
        <v>-0.85230419999999996</v>
      </c>
      <c r="S5996">
        <v>2.1431580000000001</v>
      </c>
      <c r="T5996">
        <v>-9.9910020000000002E-2</v>
      </c>
      <c r="U5996">
        <v>-2.217346</v>
      </c>
      <c r="V5996">
        <v>-0.16638810000000001</v>
      </c>
      <c r="W5996">
        <v>5.0103019999999998E-2</v>
      </c>
      <c r="X5996">
        <v>0.98478659999999996</v>
      </c>
      <c r="Y5996">
        <v>-0.37560929999999998</v>
      </c>
      <c r="Z5996">
        <v>3.2396880000000003E-2</v>
      </c>
      <c r="AA5996">
        <v>0.92621169999999997</v>
      </c>
      <c r="AB5996">
        <v>27</v>
      </c>
      <c r="AC5996">
        <v>22.216099999999901</v>
      </c>
      <c r="AD5996">
        <v>-1.03816675</v>
      </c>
      <c r="AE5996">
        <v>-22.922484000000001</v>
      </c>
      <c r="AF5996">
        <v>-12.0300186421</v>
      </c>
      <c r="AG5996">
        <v>-1.03816675</v>
      </c>
      <c r="AH5996">
        <v>29.531709366797401</v>
      </c>
      <c r="AI5996">
        <v>91.864701760129705</v>
      </c>
      <c r="AJ5996">
        <v>112.163985444266</v>
      </c>
      <c r="AK5996">
        <v>31.904874186479201</v>
      </c>
      <c r="AL5996">
        <v>87.128105941275606</v>
      </c>
      <c r="AM5996">
        <v>99.590039805699703</v>
      </c>
      <c r="AN5996">
        <v>0.99999997998714496</v>
      </c>
    </row>
    <row r="5997" spans="1:40" x14ac:dyDescent="0.25">
      <c r="A5997" t="str">
        <f>"20190312160454368"</f>
        <v>20190312160454368</v>
      </c>
      <c r="B5997" t="str">
        <f>"1552377894361613"</f>
        <v>1552377894361613</v>
      </c>
      <c r="C5997" t="s">
        <v>40</v>
      </c>
      <c r="D5997">
        <v>5.4156690000000003</v>
      </c>
      <c r="E5997">
        <v>0.41721809999999998</v>
      </c>
      <c r="F5997" t="s">
        <v>41</v>
      </c>
      <c r="G5997">
        <v>-398.67849999999999</v>
      </c>
      <c r="H5997">
        <v>7.9985780000000006E-2</v>
      </c>
      <c r="I5997">
        <v>7.1615359999999999</v>
      </c>
      <c r="J5997">
        <v>-419.30829999999997</v>
      </c>
      <c r="K5997">
        <v>1.1182209999999999</v>
      </c>
      <c r="L5997">
        <v>28.46771</v>
      </c>
      <c r="M5997">
        <v>0.37958330000000001</v>
      </c>
      <c r="N5997">
        <v>0</v>
      </c>
      <c r="O5997">
        <v>-0.9250372</v>
      </c>
      <c r="P5997">
        <v>0.52717789999999998</v>
      </c>
      <c r="Q5997">
        <v>3.8298119999999998E-2</v>
      </c>
      <c r="R5997">
        <v>-0.84889169999999903</v>
      </c>
      <c r="S5997">
        <v>2.138245</v>
      </c>
      <c r="T5997">
        <v>-0.1072733</v>
      </c>
      <c r="U5997">
        <v>-2.2160950000000001</v>
      </c>
      <c r="V5997">
        <v>-0.1664418</v>
      </c>
      <c r="W5997">
        <v>4.9806309999999999E-2</v>
      </c>
      <c r="X5997">
        <v>0.98479260000000002</v>
      </c>
      <c r="Y5997">
        <v>-0.36873850000000002</v>
      </c>
      <c r="Z5997">
        <v>3.4735809999999999E-2</v>
      </c>
      <c r="AA5997">
        <v>0.92888389999999998</v>
      </c>
      <c r="AB5997">
        <v>27</v>
      </c>
      <c r="AC5997">
        <v>20.6297999999999</v>
      </c>
      <c r="AD5997">
        <v>-1.03823521999999</v>
      </c>
      <c r="AE5997">
        <v>-21.306173999999999</v>
      </c>
      <c r="AF5997">
        <v>-10.9836280579182</v>
      </c>
      <c r="AG5997">
        <v>-1.03823521999999</v>
      </c>
      <c r="AH5997">
        <v>27.509084049639998</v>
      </c>
      <c r="AI5997">
        <v>92.007448177551296</v>
      </c>
      <c r="AJ5997">
        <v>111.765480237915</v>
      </c>
      <c r="AK5997">
        <v>29.638956171513399</v>
      </c>
      <c r="AL5997">
        <v>87.145127490180101</v>
      </c>
      <c r="AM5997">
        <v>99.593020017851401</v>
      </c>
      <c r="AN5997">
        <v>1.0000000031589</v>
      </c>
    </row>
    <row r="5998" spans="1:40" x14ac:dyDescent="0.25">
      <c r="A5998" t="str">
        <f>"20190312160454382"</f>
        <v>20190312160454382</v>
      </c>
      <c r="B5998" t="str">
        <f>"1552377894371372"</f>
        <v>1552377894371372</v>
      </c>
      <c r="C5998" t="s">
        <v>40</v>
      </c>
      <c r="D5998">
        <v>5.4642580000000001</v>
      </c>
      <c r="E5998">
        <v>0.41805369999999997</v>
      </c>
      <c r="F5998" t="s">
        <v>81</v>
      </c>
      <c r="G5998">
        <v>-400.91629999999998</v>
      </c>
      <c r="H5998">
        <v>7.9987160000000002E-2</v>
      </c>
      <c r="I5998">
        <v>9.5415709999999994</v>
      </c>
      <c r="J5998">
        <v>-419.23910000000001</v>
      </c>
      <c r="K5998">
        <v>1.1182909999999999</v>
      </c>
      <c r="L5998">
        <v>28.318359999999998</v>
      </c>
      <c r="M5998">
        <v>0.3860558</v>
      </c>
      <c r="N5998">
        <v>0</v>
      </c>
      <c r="O5998">
        <v>-0.92235460000000002</v>
      </c>
      <c r="P5998">
        <v>0.53364820000000002</v>
      </c>
      <c r="Q5998">
        <v>3.8337599999999999E-2</v>
      </c>
      <c r="R5998">
        <v>-0.84483719999999995</v>
      </c>
      <c r="S5998">
        <v>2.1450809999999998</v>
      </c>
      <c r="T5998">
        <v>-0.1210898</v>
      </c>
      <c r="U5998">
        <v>-2.2073670000000001</v>
      </c>
      <c r="V5998">
        <v>-0.167076</v>
      </c>
      <c r="W5998">
        <v>4.9821549999999999E-2</v>
      </c>
      <c r="X5998">
        <v>0.98468440000000002</v>
      </c>
      <c r="Y5998">
        <v>-0.36541580000000001</v>
      </c>
      <c r="Z5998">
        <v>3.9138319999999997E-2</v>
      </c>
      <c r="AA5998">
        <v>0.93002119999999999</v>
      </c>
      <c r="AB5998">
        <v>27</v>
      </c>
      <c r="AC5998">
        <v>18.322800000000001</v>
      </c>
      <c r="AD5998">
        <v>-1.03830384</v>
      </c>
      <c r="AE5998">
        <v>-18.776789000000001</v>
      </c>
      <c r="AF5998">
        <v>-9.6372116389477398</v>
      </c>
      <c r="AG5998">
        <v>-1.03830384</v>
      </c>
      <c r="AH5998">
        <v>24.3570495402105</v>
      </c>
      <c r="AI5998">
        <v>92.269932173511094</v>
      </c>
      <c r="AJ5998">
        <v>111.586930233473</v>
      </c>
      <c r="AK5998">
        <v>26.2148771758003</v>
      </c>
      <c r="AL5998">
        <v>87.144253128370707</v>
      </c>
      <c r="AM5998">
        <v>99.629927837573405</v>
      </c>
      <c r="AN5998">
        <v>0.99999997211187996</v>
      </c>
    </row>
    <row r="5999" spans="1:40" x14ac:dyDescent="0.25">
      <c r="A5999" t="str">
        <f>"20190312160454395"</f>
        <v>20190312160454395</v>
      </c>
      <c r="B5999" t="str">
        <f>"1552377894390892"</f>
        <v>1552377894390892</v>
      </c>
      <c r="C5999" t="s">
        <v>40</v>
      </c>
      <c r="D5999">
        <v>5.4117509999999998</v>
      </c>
      <c r="E5999">
        <v>0.41968529999999998</v>
      </c>
      <c r="F5999" t="s">
        <v>81</v>
      </c>
      <c r="G5999">
        <v>-400.3023</v>
      </c>
      <c r="H5999">
        <v>7.9987249999999996E-2</v>
      </c>
      <c r="I5999">
        <v>9.0424819999999997</v>
      </c>
      <c r="J5999">
        <v>-419.17500000000001</v>
      </c>
      <c r="K5999">
        <v>1.1183479999999999</v>
      </c>
      <c r="L5999">
        <v>28.182590000000001</v>
      </c>
      <c r="M5999">
        <v>0.39199099999999998</v>
      </c>
      <c r="N5999">
        <v>0</v>
      </c>
      <c r="O5999">
        <v>-0.91984770000000005</v>
      </c>
      <c r="P5999">
        <v>0.53930500000000003</v>
      </c>
      <c r="Q5999">
        <v>3.8749909999999999E-2</v>
      </c>
      <c r="R5999">
        <v>-0.84121889999999999</v>
      </c>
      <c r="S5999">
        <v>2.1559140000000001</v>
      </c>
      <c r="T5999">
        <v>-0.1182088</v>
      </c>
      <c r="U5999">
        <v>-2.1945190000000001</v>
      </c>
      <c r="V5999">
        <v>-0.16736099999999901</v>
      </c>
      <c r="W5999">
        <v>5.0219689999999997E-2</v>
      </c>
      <c r="X5999">
        <v>0.98461580000000004</v>
      </c>
      <c r="Y5999">
        <v>-0.36450139999999998</v>
      </c>
      <c r="Z5999">
        <v>3.8167720000000002E-2</v>
      </c>
      <c r="AA5999">
        <v>0.93042029999999998</v>
      </c>
      <c r="AB5999">
        <v>27</v>
      </c>
      <c r="AC5999">
        <v>18.872699999999998</v>
      </c>
      <c r="AD5999">
        <v>-1.0383607499999901</v>
      </c>
      <c r="AE5999">
        <v>-19.140108000000001</v>
      </c>
      <c r="AF5999">
        <v>-9.8436708486815796</v>
      </c>
      <c r="AG5999">
        <v>-1.0383607499999901</v>
      </c>
      <c r="AH5999">
        <v>24.969443624643699</v>
      </c>
      <c r="AI5999">
        <v>92.215522996539505</v>
      </c>
      <c r="AJ5999">
        <v>111.51578120272001</v>
      </c>
      <c r="AK5999">
        <v>26.859805728049999</v>
      </c>
      <c r="AL5999">
        <v>87.121412867481794</v>
      </c>
      <c r="AM5999">
        <v>99.646705713085097</v>
      </c>
      <c r="AN5999">
        <v>0.99999999759716796</v>
      </c>
    </row>
    <row r="6000" spans="1:40" x14ac:dyDescent="0.25">
      <c r="A6000" t="str">
        <f>"20190312160454411"</f>
        <v>20190312160454411</v>
      </c>
      <c r="B6000" t="str">
        <f>"1552377894401628"</f>
        <v>1552377894401628</v>
      </c>
      <c r="C6000" t="s">
        <v>40</v>
      </c>
      <c r="D6000">
        <v>5.410285</v>
      </c>
      <c r="E6000">
        <v>0.42046260000000002</v>
      </c>
      <c r="F6000" t="s">
        <v>81</v>
      </c>
      <c r="G6000">
        <v>-401.26220000000001</v>
      </c>
      <c r="H6000" s="1">
        <v>-6.0667550000000003E-6</v>
      </c>
      <c r="I6000">
        <v>10.03969</v>
      </c>
      <c r="J6000">
        <v>-419.09339999999997</v>
      </c>
      <c r="K6000">
        <v>1.118428</v>
      </c>
      <c r="L6000">
        <v>28.012450000000001</v>
      </c>
      <c r="M6000">
        <v>0.39949600000000002</v>
      </c>
      <c r="N6000">
        <v>0</v>
      </c>
      <c r="O6000">
        <v>-0.91661280000000001</v>
      </c>
      <c r="P6000">
        <v>0.54699519999999902</v>
      </c>
      <c r="Q6000">
        <v>3.9143860000000003E-2</v>
      </c>
      <c r="R6000">
        <v>-0.83622039999999997</v>
      </c>
      <c r="S6000">
        <v>2.1599729999999999</v>
      </c>
      <c r="T6000">
        <v>-0.134853799999999</v>
      </c>
      <c r="U6000">
        <v>-2.1877140000000002</v>
      </c>
      <c r="V6000">
        <v>-0.168366299999999</v>
      </c>
      <c r="W6000">
        <v>5.0581149999999998E-2</v>
      </c>
      <c r="X6000">
        <v>0.98442589999999996</v>
      </c>
      <c r="Y6000">
        <v>-0.35904219999999998</v>
      </c>
      <c r="Z6000">
        <v>4.342932E-2</v>
      </c>
      <c r="AA6000">
        <v>0.93231030000000004</v>
      </c>
      <c r="AB6000">
        <v>27</v>
      </c>
      <c r="AC6000">
        <v>17.8311999999999</v>
      </c>
      <c r="AD6000">
        <v>-1.1184340667549999</v>
      </c>
      <c r="AE6000">
        <v>-17.972760000000001</v>
      </c>
      <c r="AF6000">
        <v>-9.1474348715050198</v>
      </c>
      <c r="AG6000">
        <v>-1.1184340667549999</v>
      </c>
      <c r="AH6000">
        <v>23.5542298915347</v>
      </c>
      <c r="AI6000">
        <v>92.534410181717504</v>
      </c>
      <c r="AJ6000">
        <v>111.223997080294</v>
      </c>
      <c r="AK6000">
        <v>25.2928488959503</v>
      </c>
      <c r="AL6000">
        <v>87.100676411297101</v>
      </c>
      <c r="AM6000">
        <v>99.705389084368406</v>
      </c>
      <c r="AN6000">
        <v>1.0000000081509099</v>
      </c>
    </row>
    <row r="6001" spans="1:40" x14ac:dyDescent="0.25">
      <c r="A6001" t="str">
        <f>"20190312160454425"</f>
        <v>20190312160454425</v>
      </c>
      <c r="B6001" t="str">
        <f>"1552377894421149"</f>
        <v>1552377894421149</v>
      </c>
      <c r="C6001" t="s">
        <v>40</v>
      </c>
      <c r="D6001">
        <v>5.4086220000000003</v>
      </c>
      <c r="E6001">
        <v>0.42174620000000002</v>
      </c>
      <c r="F6001" t="s">
        <v>81</v>
      </c>
      <c r="G6001">
        <v>-401.86559999999997</v>
      </c>
      <c r="H6001" s="1">
        <v>-5.9230709999999999E-6</v>
      </c>
      <c r="I6001">
        <v>10.81152</v>
      </c>
      <c r="J6001">
        <v>-419.02289999999999</v>
      </c>
      <c r="K6001">
        <v>1.1184889999999901</v>
      </c>
      <c r="L6001">
        <v>27.868559999999999</v>
      </c>
      <c r="M6001">
        <v>0.40591500000000003</v>
      </c>
      <c r="N6001">
        <v>0</v>
      </c>
      <c r="O6001">
        <v>-0.91378780000000004</v>
      </c>
      <c r="P6001">
        <v>0.55285869999999904</v>
      </c>
      <c r="Q6001">
        <v>3.939981E-2</v>
      </c>
      <c r="R6001">
        <v>-0.8323429</v>
      </c>
      <c r="S6001">
        <v>2.1749269999999998</v>
      </c>
      <c r="T6001">
        <v>-0.14119709999999999</v>
      </c>
      <c r="U6001">
        <v>-2.1715390000000001</v>
      </c>
      <c r="V6001">
        <v>-0.1683984</v>
      </c>
      <c r="W6001">
        <v>5.0829270000000003E-2</v>
      </c>
      <c r="X6001">
        <v>0.98440760000000005</v>
      </c>
      <c r="Y6001">
        <v>-0.35910429999999999</v>
      </c>
      <c r="Z6001">
        <v>4.5407999999999997E-2</v>
      </c>
      <c r="AA6001">
        <v>0.93219209999999997</v>
      </c>
      <c r="AB6001">
        <v>27</v>
      </c>
      <c r="AC6001">
        <v>17.157299999999999</v>
      </c>
      <c r="AD6001">
        <v>-1.11849492307099</v>
      </c>
      <c r="AE6001">
        <v>-17.057040000000001</v>
      </c>
      <c r="AF6001">
        <v>-8.7367339379632192</v>
      </c>
      <c r="AG6001">
        <v>-1.11849492307099</v>
      </c>
      <c r="AH6001">
        <v>22.5053543424448</v>
      </c>
      <c r="AI6001">
        <v>92.652640642926002</v>
      </c>
      <c r="AJ6001">
        <v>111.21655600378099</v>
      </c>
      <c r="AK6001">
        <v>24.1675924509392</v>
      </c>
      <c r="AL6001">
        <v>87.086441788242496</v>
      </c>
      <c r="AM6001">
        <v>99.707381291362907</v>
      </c>
      <c r="AN6001">
        <v>0.999999979374526</v>
      </c>
    </row>
    <row r="6002" spans="1:40" x14ac:dyDescent="0.25">
      <c r="A6002" t="str">
        <f>"20190312160454438"</f>
        <v>20190312160454438</v>
      </c>
      <c r="B6002" t="str">
        <f>"1552377894430909"</f>
        <v>1552377894430909</v>
      </c>
      <c r="C6002" t="s">
        <v>40</v>
      </c>
      <c r="D6002">
        <v>5.40238</v>
      </c>
      <c r="E6002">
        <v>0.42238769999999998</v>
      </c>
      <c r="F6002" t="s">
        <v>81</v>
      </c>
      <c r="G6002">
        <v>-402.92559999999997</v>
      </c>
      <c r="H6002" s="1">
        <v>-5.6256790000000003E-6</v>
      </c>
      <c r="I6002">
        <v>11.91474</v>
      </c>
      <c r="J6002">
        <v>-418.95100000000002</v>
      </c>
      <c r="K6002">
        <v>1.1185480000000001</v>
      </c>
      <c r="L6002">
        <v>27.725280000000001</v>
      </c>
      <c r="M6002">
        <v>0.41238350000000001</v>
      </c>
      <c r="N6002">
        <v>0</v>
      </c>
      <c r="O6002">
        <v>-0.91088670000000005</v>
      </c>
      <c r="P6002">
        <v>0.55880169999999996</v>
      </c>
      <c r="Q6002">
        <v>4.0212989999999997E-2</v>
      </c>
      <c r="R6002">
        <v>-0.82832619999999901</v>
      </c>
      <c r="S6002">
        <v>2.1817319999999998</v>
      </c>
      <c r="T6002">
        <v>-0.1515946</v>
      </c>
      <c r="U6002">
        <v>-2.1622919999999999</v>
      </c>
      <c r="V6002">
        <v>-0.16850409999999999</v>
      </c>
      <c r="W6002">
        <v>5.1633579999999998E-2</v>
      </c>
      <c r="X6002">
        <v>0.98434759999999999</v>
      </c>
      <c r="Y6002">
        <v>-0.35581299999999999</v>
      </c>
      <c r="Z6002">
        <v>4.8651140000000002E-2</v>
      </c>
      <c r="AA6002">
        <v>0.93328990000000001</v>
      </c>
      <c r="AB6002">
        <v>27</v>
      </c>
      <c r="AC6002">
        <v>16.025399999999902</v>
      </c>
      <c r="AD6002">
        <v>-1.1185536256790001</v>
      </c>
      <c r="AE6002">
        <v>-15.8105399999999</v>
      </c>
      <c r="AF6002">
        <v>-8.0583333062234797</v>
      </c>
      <c r="AG6002">
        <v>-1.1185536256790001</v>
      </c>
      <c r="AH6002">
        <v>20.960839592042301</v>
      </c>
      <c r="AI6002">
        <v>92.851536693245393</v>
      </c>
      <c r="AJ6002">
        <v>111.029109439526</v>
      </c>
      <c r="AK6002">
        <v>22.4843210769424</v>
      </c>
      <c r="AL6002">
        <v>87.040297469179706</v>
      </c>
      <c r="AM6002">
        <v>99.713939150013601</v>
      </c>
      <c r="AN6002">
        <v>0.99999992796309001</v>
      </c>
    </row>
    <row r="6003" spans="1:40" x14ac:dyDescent="0.25">
      <c r="A6003" t="str">
        <f>"20190312160454451"</f>
        <v>20190312160454451</v>
      </c>
      <c r="B6003" t="str">
        <f>"1552377894441645"</f>
        <v>1552377894441645</v>
      </c>
      <c r="C6003" t="s">
        <v>40</v>
      </c>
      <c r="D6003">
        <v>5.4051369999999999</v>
      </c>
      <c r="E6003">
        <v>0.4229156</v>
      </c>
      <c r="F6003" t="s">
        <v>81</v>
      </c>
      <c r="G6003">
        <v>-403.11450000000002</v>
      </c>
      <c r="H6003" s="1">
        <v>-5.5890159999999998E-6</v>
      </c>
      <c r="I6003">
        <v>12.202999999999999</v>
      </c>
      <c r="J6003">
        <v>-418.88350000000003</v>
      </c>
      <c r="K6003">
        <v>1.1186</v>
      </c>
      <c r="L6003">
        <v>27.592559999999999</v>
      </c>
      <c r="M6003">
        <v>0.4184138</v>
      </c>
      <c r="N6003">
        <v>0</v>
      </c>
      <c r="O6003">
        <v>-0.9081321</v>
      </c>
      <c r="P6003">
        <v>0.56434069999999903</v>
      </c>
      <c r="Q6003">
        <v>4.0541470000000003E-2</v>
      </c>
      <c r="R6003">
        <v>-0.82454590000000005</v>
      </c>
      <c r="S6003">
        <v>2.1932369999999999</v>
      </c>
      <c r="T6003">
        <v>-0.1549112</v>
      </c>
      <c r="U6003">
        <v>-2.1497190000000002</v>
      </c>
      <c r="V6003">
        <v>-0.1685952</v>
      </c>
      <c r="W6003">
        <v>5.1953579999999999E-2</v>
      </c>
      <c r="X6003">
        <v>0.98431519999999995</v>
      </c>
      <c r="Y6003">
        <v>-0.35475410000000002</v>
      </c>
      <c r="Z6003">
        <v>4.9628350000000002E-2</v>
      </c>
      <c r="AA6003">
        <v>0.93364159999999996</v>
      </c>
      <c r="AB6003">
        <v>27</v>
      </c>
      <c r="AC6003">
        <v>15.769</v>
      </c>
      <c r="AD6003">
        <v>-1.118605589016</v>
      </c>
      <c r="AE6003">
        <v>-15.389559999999999</v>
      </c>
      <c r="AF6003">
        <v>-7.8617593438504798</v>
      </c>
      <c r="AG6003">
        <v>-1.118605589016</v>
      </c>
      <c r="AH6003">
        <v>20.523151383307599</v>
      </c>
      <c r="AI6003">
        <v>92.913723227840805</v>
      </c>
      <c r="AJ6003">
        <v>110.960229664656</v>
      </c>
      <c r="AK6003">
        <v>22.005869243148702</v>
      </c>
      <c r="AL6003">
        <v>87.021938285448101</v>
      </c>
      <c r="AM6003">
        <v>99.719404565862206</v>
      </c>
      <c r="AN6003">
        <v>0.99999996444444705</v>
      </c>
    </row>
    <row r="6004" spans="1:40" x14ac:dyDescent="0.25">
      <c r="A6004" t="str">
        <f>"20190312160454463"</f>
        <v>20190312160454463</v>
      </c>
      <c r="B6004" t="str">
        <f>"1552377894451406"</f>
        <v>1552377894451406</v>
      </c>
      <c r="C6004" t="s">
        <v>40</v>
      </c>
      <c r="D6004">
        <v>5.3976319999999998</v>
      </c>
      <c r="E6004">
        <v>0.4234194</v>
      </c>
      <c r="F6004" t="s">
        <v>81</v>
      </c>
      <c r="G6004">
        <v>-403.22989999999999</v>
      </c>
      <c r="H6004" s="1">
        <v>-5.5730050000000002E-6</v>
      </c>
      <c r="I6004">
        <v>12.41498</v>
      </c>
      <c r="J6004">
        <v>-418.81810000000002</v>
      </c>
      <c r="K6004">
        <v>1.118655</v>
      </c>
      <c r="L6004">
        <v>27.46594</v>
      </c>
      <c r="M6004">
        <v>0.42422290000000001</v>
      </c>
      <c r="N6004">
        <v>0</v>
      </c>
      <c r="O6004">
        <v>-0.90543289999999998</v>
      </c>
      <c r="P6004">
        <v>0.56948759999999998</v>
      </c>
      <c r="Q6004">
        <v>4.0450550000000002E-2</v>
      </c>
      <c r="R6004">
        <v>-0.82100430000000002</v>
      </c>
      <c r="S6004">
        <v>2.2044069999999998</v>
      </c>
      <c r="T6004">
        <v>-0.1575259</v>
      </c>
      <c r="U6004">
        <v>-2.1373600000000001</v>
      </c>
      <c r="V6004">
        <v>-0.1684496</v>
      </c>
      <c r="W6004">
        <v>5.1859780000000001E-2</v>
      </c>
      <c r="X6004">
        <v>0.98434509999999997</v>
      </c>
      <c r="Y6004">
        <v>-0.35379620000000001</v>
      </c>
      <c r="Z6004">
        <v>5.0379390000000003E-2</v>
      </c>
      <c r="AA6004">
        <v>0.93396480000000004</v>
      </c>
      <c r="AB6004">
        <v>27</v>
      </c>
      <c r="AC6004">
        <v>15.588200000000001</v>
      </c>
      <c r="AD6004">
        <v>-1.1186605730050001</v>
      </c>
      <c r="AE6004">
        <v>-15.05096</v>
      </c>
      <c r="AF6004">
        <v>-7.7094338834646399</v>
      </c>
      <c r="AG6004">
        <v>-1.1186605730050001</v>
      </c>
      <c r="AH6004">
        <v>20.1889864255457</v>
      </c>
      <c r="AI6004">
        <v>92.963199395618204</v>
      </c>
      <c r="AJ6004">
        <v>110.900023868302</v>
      </c>
      <c r="AK6004">
        <v>21.6398231317166</v>
      </c>
      <c r="AL6004">
        <v>87.027319961135603</v>
      </c>
      <c r="AM6004">
        <v>99.710881354754505</v>
      </c>
      <c r="AN6004">
        <v>0.99999999020790897</v>
      </c>
    </row>
    <row r="6005" spans="1:40" x14ac:dyDescent="0.25">
      <c r="A6005" t="str">
        <f>"20190312160454478"</f>
        <v>20190312160454478</v>
      </c>
      <c r="B6005" t="str">
        <f>"1552377894470925"</f>
        <v>1552377894470925</v>
      </c>
      <c r="C6005" t="s">
        <v>40</v>
      </c>
      <c r="D6005">
        <v>5.4343879999999896</v>
      </c>
      <c r="E6005">
        <v>0.42442730000000001</v>
      </c>
      <c r="F6005" t="s">
        <v>81</v>
      </c>
      <c r="G6005">
        <v>-403.43650000000002</v>
      </c>
      <c r="H6005" s="1">
        <v>-5.5270650000000001E-6</v>
      </c>
      <c r="I6005">
        <v>12.69768</v>
      </c>
      <c r="J6005">
        <v>-418.73840000000001</v>
      </c>
      <c r="K6005">
        <v>1.1187129999999901</v>
      </c>
      <c r="L6005">
        <v>27.315159999999999</v>
      </c>
      <c r="M6005">
        <v>0.4312144</v>
      </c>
      <c r="N6005">
        <v>0</v>
      </c>
      <c r="O6005">
        <v>-0.90212380000000003</v>
      </c>
      <c r="P6005">
        <v>0.57552749999999997</v>
      </c>
      <c r="Q6005">
        <v>4.1295980000000003E-2</v>
      </c>
      <c r="R6005">
        <v>-0.81673909999999905</v>
      </c>
      <c r="S6005">
        <v>2.2143250000000001</v>
      </c>
      <c r="T6005">
        <v>-0.1610422</v>
      </c>
      <c r="U6005">
        <v>-2.1260379999999999</v>
      </c>
      <c r="V6005">
        <v>-0.16813800000000001</v>
      </c>
      <c r="W6005">
        <v>5.2705479999999999E-2</v>
      </c>
      <c r="X6005">
        <v>0.98435349999999999</v>
      </c>
      <c r="Y6005">
        <v>-0.35109259999999998</v>
      </c>
      <c r="Z6005">
        <v>5.1373549999999997E-2</v>
      </c>
      <c r="AA6005">
        <v>0.93493029999999999</v>
      </c>
      <c r="AB6005">
        <v>27</v>
      </c>
      <c r="AC6005">
        <v>15.3018999999999</v>
      </c>
      <c r="AD6005">
        <v>-1.11871852706499</v>
      </c>
      <c r="AE6005">
        <v>-14.61748</v>
      </c>
      <c r="AF6005">
        <v>-7.4808840010105699</v>
      </c>
      <c r="AG6005">
        <v>-1.11871852706499</v>
      </c>
      <c r="AH6005">
        <v>19.732273856170401</v>
      </c>
      <c r="AI6005">
        <v>93.034575615477195</v>
      </c>
      <c r="AJ6005">
        <v>110.762680106575</v>
      </c>
      <c r="AK6005">
        <v>21.1323871844683</v>
      </c>
      <c r="AL6005">
        <v>86.978798688967302</v>
      </c>
      <c r="AM6005">
        <v>99.693178015665893</v>
      </c>
      <c r="AN6005">
        <v>1.0000000338141299</v>
      </c>
    </row>
    <row r="6006" spans="1:40" x14ac:dyDescent="0.25">
      <c r="A6006" t="str">
        <f>"20190312160454490"</f>
        <v>20190312160454490</v>
      </c>
      <c r="B6006" t="str">
        <f>"1552377894481661"</f>
        <v>1552377894481661</v>
      </c>
      <c r="C6006" t="s">
        <v>40</v>
      </c>
      <c r="D6006">
        <v>5.3853200000000001</v>
      </c>
      <c r="E6006">
        <v>0.42506949999999999</v>
      </c>
      <c r="F6006" t="s">
        <v>81</v>
      </c>
      <c r="G6006">
        <v>-403.63279999999997</v>
      </c>
      <c r="H6006" s="1">
        <v>-5.4805359999999996E-6</v>
      </c>
      <c r="I6006">
        <v>12.949809999999999</v>
      </c>
      <c r="J6006">
        <v>-418.6705</v>
      </c>
      <c r="K6006">
        <v>1.1187640000000001</v>
      </c>
      <c r="L6006">
        <v>27.188199999999998</v>
      </c>
      <c r="M6006">
        <v>0.43713629999999998</v>
      </c>
      <c r="N6006">
        <v>0</v>
      </c>
      <c r="O6006">
        <v>-0.89926899999999999</v>
      </c>
      <c r="P6006">
        <v>0.58092310000000003</v>
      </c>
      <c r="Q6006">
        <v>4.1584070000000001E-2</v>
      </c>
      <c r="R6006">
        <v>-0.81289579999999995</v>
      </c>
      <c r="S6006">
        <v>2.2235719999999999</v>
      </c>
      <c r="T6006">
        <v>-0.1646765</v>
      </c>
      <c r="U6006">
        <v>-2.1145939999999999</v>
      </c>
      <c r="V6006">
        <v>-0.16820350000000001</v>
      </c>
      <c r="W6006">
        <v>5.2986900000000003E-2</v>
      </c>
      <c r="X6006">
        <v>0.98432710000000001</v>
      </c>
      <c r="Y6006">
        <v>-0.34935809999999901</v>
      </c>
      <c r="Z6006">
        <v>5.2433279999999999E-2</v>
      </c>
      <c r="AA6006">
        <v>0.93552109999999999</v>
      </c>
      <c r="AB6006">
        <v>26</v>
      </c>
      <c r="AC6006">
        <v>15.037699999999999</v>
      </c>
      <c r="AD6006">
        <v>-1.11876948053599</v>
      </c>
      <c r="AE6006">
        <v>-14.2383899999999</v>
      </c>
      <c r="AF6006">
        <v>-7.2784071997255397</v>
      </c>
      <c r="AG6006">
        <v>-1.11876948053599</v>
      </c>
      <c r="AH6006">
        <v>19.3234724040435</v>
      </c>
      <c r="AI6006">
        <v>93.101305718580704</v>
      </c>
      <c r="AJ6006">
        <v>110.639457584422</v>
      </c>
      <c r="AK6006">
        <v>20.679058060400799</v>
      </c>
      <c r="AL6006">
        <v>86.962651646493896</v>
      </c>
      <c r="AM6006">
        <v>99.697137554960804</v>
      </c>
      <c r="AN6006">
        <v>0.99999993438913204</v>
      </c>
    </row>
    <row r="6007" spans="1:40" x14ac:dyDescent="0.25">
      <c r="A6007" t="str">
        <f>"20190312160454503"</f>
        <v>20190312160454503</v>
      </c>
      <c r="B6007" t="str">
        <f>"1552377894491421"</f>
        <v>1552377894491421</v>
      </c>
      <c r="C6007" t="s">
        <v>40</v>
      </c>
      <c r="D6007">
        <v>5.4257609999999996</v>
      </c>
      <c r="E6007">
        <v>0.42554449999999999</v>
      </c>
      <c r="F6007" t="s">
        <v>81</v>
      </c>
      <c r="G6007">
        <v>-403.73860000000002</v>
      </c>
      <c r="H6007" s="1">
        <v>-5.4632959999999997E-6</v>
      </c>
      <c r="I6007">
        <v>13.1299299999999</v>
      </c>
      <c r="J6007">
        <v>-418.60109999999997</v>
      </c>
      <c r="K6007">
        <v>1.1188149999999999</v>
      </c>
      <c r="L6007">
        <v>27.06119</v>
      </c>
      <c r="M6007">
        <v>0.4431214</v>
      </c>
      <c r="N6007">
        <v>0</v>
      </c>
      <c r="O6007">
        <v>-0.89633459999999998</v>
      </c>
      <c r="P6007">
        <v>0.58633080000000004</v>
      </c>
      <c r="Q6007">
        <v>4.159968E-2</v>
      </c>
      <c r="R6007">
        <v>-0.80900309999999998</v>
      </c>
      <c r="S6007">
        <v>2.2335509999999998</v>
      </c>
      <c r="T6007">
        <v>-0.16734869999999999</v>
      </c>
      <c r="U6007">
        <v>-2.102875</v>
      </c>
      <c r="V6007">
        <v>-0.1682128</v>
      </c>
      <c r="W6007">
        <v>5.2997370000000002E-2</v>
      </c>
      <c r="X6007">
        <v>0.98432500000000001</v>
      </c>
      <c r="Y6007">
        <v>-0.34776610000000002</v>
      </c>
      <c r="Z6007">
        <v>5.3173930000000001E-2</v>
      </c>
      <c r="AA6007">
        <v>0.93607220000000002</v>
      </c>
      <c r="AB6007">
        <v>26</v>
      </c>
      <c r="AC6007">
        <v>14.862499999999899</v>
      </c>
      <c r="AD6007">
        <v>-1.1188204632959999</v>
      </c>
      <c r="AE6007">
        <v>-13.93126</v>
      </c>
      <c r="AF6007">
        <v>-7.1278466069666404</v>
      </c>
      <c r="AG6007">
        <v>-1.1188204632959999</v>
      </c>
      <c r="AH6007">
        <v>19.017767430667099</v>
      </c>
      <c r="AI6007">
        <v>93.153130620936693</v>
      </c>
      <c r="AJ6007">
        <v>110.545964822039</v>
      </c>
      <c r="AK6007">
        <v>20.340438405513201</v>
      </c>
      <c r="AL6007">
        <v>86.962051073934802</v>
      </c>
      <c r="AM6007">
        <v>99.697683826895897</v>
      </c>
      <c r="AN6007">
        <v>0.99999998646787802</v>
      </c>
    </row>
    <row r="6008" spans="1:40" x14ac:dyDescent="0.25">
      <c r="A6008" t="str">
        <f>"20190312160454514"</f>
        <v>20190312160454514</v>
      </c>
      <c r="B6008" t="str">
        <f>"1552377894510942"</f>
        <v>1552377894510942</v>
      </c>
      <c r="C6008" t="s">
        <v>40</v>
      </c>
      <c r="D6008">
        <v>5.4288439999999998</v>
      </c>
      <c r="E6008">
        <v>0.42656640000000001</v>
      </c>
      <c r="F6008" t="s">
        <v>81</v>
      </c>
      <c r="G6008">
        <v>-403.88080000000002</v>
      </c>
      <c r="H6008" s="1">
        <v>-5.43659099999999E-6</v>
      </c>
      <c r="I6008">
        <v>13.351990000000001</v>
      </c>
      <c r="J6008">
        <v>-418.53859999999997</v>
      </c>
      <c r="K6008">
        <v>1.1188560000000001</v>
      </c>
      <c r="L6008">
        <v>26.94867</v>
      </c>
      <c r="M6008">
        <v>0.44846839999999999</v>
      </c>
      <c r="N6008">
        <v>0</v>
      </c>
      <c r="O6008">
        <v>-0.8936712</v>
      </c>
      <c r="P6008">
        <v>0.59119270000000002</v>
      </c>
      <c r="Q6008">
        <v>4.151411E-2</v>
      </c>
      <c r="R6008">
        <v>-0.80546180000000001</v>
      </c>
      <c r="S6008">
        <v>2.2444760000000001</v>
      </c>
      <c r="T6008">
        <v>-0.17059150000000001</v>
      </c>
      <c r="U6008">
        <v>-2.0903019999999999</v>
      </c>
      <c r="V6008">
        <v>-0.16826240000000001</v>
      </c>
      <c r="W6008">
        <v>5.2906420000000003E-2</v>
      </c>
      <c r="X6008">
        <v>0.98432140000000001</v>
      </c>
      <c r="Y6008">
        <v>-0.34720329999999999</v>
      </c>
      <c r="Z6008">
        <v>5.4110409999999998E-2</v>
      </c>
      <c r="AA6008">
        <v>0.93622749999999999</v>
      </c>
      <c r="AB6008">
        <v>26</v>
      </c>
      <c r="AC6008">
        <v>14.6577999999999</v>
      </c>
      <c r="AD6008">
        <v>-1.1188614365909999</v>
      </c>
      <c r="AE6008">
        <v>-13.596679999999999</v>
      </c>
      <c r="AF6008">
        <v>-6.9805086383955404</v>
      </c>
      <c r="AG6008">
        <v>-1.1188614365909999</v>
      </c>
      <c r="AH6008">
        <v>18.668190001993501</v>
      </c>
      <c r="AI6008">
        <v>93.213090548313602</v>
      </c>
      <c r="AJ6008">
        <v>110.50204216058999</v>
      </c>
      <c r="AK6008">
        <v>19.961980606030401</v>
      </c>
      <c r="AL6008">
        <v>86.967269400802707</v>
      </c>
      <c r="AM6008">
        <v>99.700523810783906</v>
      </c>
      <c r="AN6008">
        <v>0.99999997151446696</v>
      </c>
    </row>
    <row r="6009" spans="1:40" x14ac:dyDescent="0.25">
      <c r="A6009" t="str">
        <f>"20190312160454525"</f>
        <v>20190312160454525</v>
      </c>
      <c r="B6009" t="str">
        <f>"1552377894521676"</f>
        <v>1552377894521676</v>
      </c>
      <c r="C6009" t="s">
        <v>40</v>
      </c>
      <c r="D6009">
        <v>5.4012760000000002</v>
      </c>
      <c r="E6009">
        <v>0.426315</v>
      </c>
      <c r="F6009" t="s">
        <v>81</v>
      </c>
      <c r="G6009">
        <v>-404.4348</v>
      </c>
      <c r="H6009" s="1">
        <v>-5.276839E-6</v>
      </c>
      <c r="I6009">
        <v>13.904210000000001</v>
      </c>
      <c r="J6009">
        <v>-418.47550000000001</v>
      </c>
      <c r="K6009">
        <v>1.1188979999999999</v>
      </c>
      <c r="L6009">
        <v>26.83615</v>
      </c>
      <c r="M6009">
        <v>0.4538335</v>
      </c>
      <c r="N6009">
        <v>0</v>
      </c>
      <c r="O6009">
        <v>-0.89095809999999998</v>
      </c>
      <c r="P6009">
        <v>0.59607909999999997</v>
      </c>
      <c r="Q6009">
        <v>4.1234769999999997E-2</v>
      </c>
      <c r="R6009">
        <v>-0.80186619999999997</v>
      </c>
      <c r="S6009">
        <v>2.2507929999999998</v>
      </c>
      <c r="T6009">
        <v>-0.17855560000000001</v>
      </c>
      <c r="U6009">
        <v>-2.0817260000000002</v>
      </c>
      <c r="V6009">
        <v>-0.16832269999999999</v>
      </c>
      <c r="W6009">
        <v>5.2621189999999998E-2</v>
      </c>
      <c r="X6009">
        <v>0.98432640000000005</v>
      </c>
      <c r="Y6009">
        <v>-0.3446862</v>
      </c>
      <c r="Z6009">
        <v>5.6513500000000001E-2</v>
      </c>
      <c r="AA6009">
        <v>0.9370153</v>
      </c>
      <c r="AB6009">
        <v>26</v>
      </c>
      <c r="AC6009">
        <v>14.040699999999999</v>
      </c>
      <c r="AD6009">
        <v>-1.1189032768389999</v>
      </c>
      <c r="AE6009">
        <v>-12.931940000000001</v>
      </c>
      <c r="AF6009">
        <v>-6.6187466337998604</v>
      </c>
      <c r="AG6009">
        <v>-1.1189032768389999</v>
      </c>
      <c r="AH6009">
        <v>17.834726748784199</v>
      </c>
      <c r="AI6009">
        <v>93.366120434184793</v>
      </c>
      <c r="AJ6009">
        <v>110.360679335726</v>
      </c>
      <c r="AK6009">
        <v>19.056159889892701</v>
      </c>
      <c r="AL6009">
        <v>86.983634732909493</v>
      </c>
      <c r="AM6009">
        <v>99.703885733963801</v>
      </c>
      <c r="AN6009">
        <v>0.99999999135463302</v>
      </c>
    </row>
    <row r="6010" spans="1:40" x14ac:dyDescent="0.25">
      <c r="A6010" t="str">
        <f>"20190312160454536"</f>
        <v>20190312160454536</v>
      </c>
      <c r="B6010" t="str">
        <f>"1552377894531437"</f>
        <v>1552377894531437</v>
      </c>
      <c r="C6010" t="s">
        <v>40</v>
      </c>
      <c r="D6010">
        <v>5.1484240000000003</v>
      </c>
      <c r="E6010">
        <v>0.426315</v>
      </c>
      <c r="F6010" t="s">
        <v>81</v>
      </c>
      <c r="G6010">
        <v>-404.2654</v>
      </c>
      <c r="H6010" s="1">
        <v>-5.3495409999999998E-6</v>
      </c>
      <c r="I6010">
        <v>13.869429999999999</v>
      </c>
      <c r="J6010">
        <v>-418.41430000000003</v>
      </c>
      <c r="K6010">
        <v>1.118938</v>
      </c>
      <c r="L6010">
        <v>26.729399999999998</v>
      </c>
      <c r="M6010">
        <v>0.45898679999999997</v>
      </c>
      <c r="N6010">
        <v>0</v>
      </c>
      <c r="O6010">
        <v>-0.88831419999999905</v>
      </c>
      <c r="P6010">
        <v>0.60069319999999904</v>
      </c>
      <c r="Q6010">
        <v>4.1183879999999999E-2</v>
      </c>
      <c r="R6010">
        <v>-0.79841830000000003</v>
      </c>
      <c r="S6010">
        <v>2.2649539999999999</v>
      </c>
      <c r="T6010">
        <v>-0.17834259999999999</v>
      </c>
      <c r="U6010">
        <v>-2.0667719999999998</v>
      </c>
      <c r="V6010">
        <v>-0.1683007</v>
      </c>
      <c r="W6010">
        <v>5.2566920000000003E-2</v>
      </c>
      <c r="X6010">
        <v>0.98433309999999996</v>
      </c>
      <c r="Y6010">
        <v>-0.34554839999999998</v>
      </c>
      <c r="Z6010">
        <v>5.6353130000000001E-2</v>
      </c>
      <c r="AA6010">
        <v>0.93670730000000002</v>
      </c>
      <c r="AB6010">
        <v>26</v>
      </c>
      <c r="AC6010">
        <v>14.148899999999999</v>
      </c>
      <c r="AD6010">
        <v>-1.1189433495409999</v>
      </c>
      <c r="AE6010">
        <v>-12.859970000000001</v>
      </c>
      <c r="AF6010">
        <v>-6.6441203874704398</v>
      </c>
      <c r="AG6010">
        <v>-1.1189433495409999</v>
      </c>
      <c r="AH6010">
        <v>17.8587401895313</v>
      </c>
      <c r="AI6010">
        <v>93.360715464827507</v>
      </c>
      <c r="AJ6010">
        <v>110.407086546678</v>
      </c>
      <c r="AK6010">
        <v>19.087455857181801</v>
      </c>
      <c r="AL6010">
        <v>86.986748598625994</v>
      </c>
      <c r="AM6010">
        <v>99.702576746682197</v>
      </c>
      <c r="AN6010">
        <v>1.00000002922719</v>
      </c>
    </row>
    <row r="6011" spans="1:40" x14ac:dyDescent="0.25">
      <c r="A6011" t="str">
        <f>"20190312160454547"</f>
        <v>20190312160454547</v>
      </c>
      <c r="B6011" t="str">
        <f>"1552377894541197"</f>
        <v>1552377894541197</v>
      </c>
      <c r="C6011" t="s">
        <v>40</v>
      </c>
      <c r="D6011">
        <v>5.5389730000000004</v>
      </c>
      <c r="E6011">
        <v>0.37321520000000002</v>
      </c>
      <c r="F6011" t="s">
        <v>81</v>
      </c>
      <c r="G6011">
        <v>-404.11509999999998</v>
      </c>
      <c r="H6011" s="1">
        <v>-5.4131650000000002E-6</v>
      </c>
      <c r="I6011">
        <v>13.83365</v>
      </c>
      <c r="J6011">
        <v>-418.35210000000001</v>
      </c>
      <c r="K6011">
        <v>1.1189789999999999</v>
      </c>
      <c r="L6011">
        <v>26.621279999999999</v>
      </c>
      <c r="M6011">
        <v>0.46420709999999998</v>
      </c>
      <c r="N6011">
        <v>0</v>
      </c>
      <c r="O6011">
        <v>-0.88559739999999998</v>
      </c>
      <c r="P6011">
        <v>0.60528309999999996</v>
      </c>
      <c r="Q6011">
        <v>4.116508E-2</v>
      </c>
      <c r="R6011">
        <v>-0.79494519999999902</v>
      </c>
      <c r="S6011">
        <v>2.2770079999999999</v>
      </c>
      <c r="T6011">
        <v>-0.17818129999999999</v>
      </c>
      <c r="U6011">
        <v>-2.053528</v>
      </c>
      <c r="V6011">
        <v>-0.168183</v>
      </c>
      <c r="W6011">
        <v>5.254644E-2</v>
      </c>
      <c r="X6011">
        <v>0.98435430000000002</v>
      </c>
      <c r="Y6011">
        <v>-0.3455027</v>
      </c>
      <c r="Z6011">
        <v>5.6197709999999998E-2</v>
      </c>
      <c r="AA6011">
        <v>0.9367335</v>
      </c>
      <c r="AB6011">
        <v>26</v>
      </c>
      <c r="AC6011">
        <v>14.237</v>
      </c>
      <c r="AD6011">
        <v>-1.118984413165</v>
      </c>
      <c r="AE6011">
        <v>-12.787629999999901</v>
      </c>
      <c r="AF6011">
        <v>-6.6501681249337397</v>
      </c>
      <c r="AG6011">
        <v>-1.118984413165</v>
      </c>
      <c r="AH6011">
        <v>17.874547457392399</v>
      </c>
      <c r="AI6011">
        <v>93.357862958974394</v>
      </c>
      <c r="AJ6011">
        <v>110.407556323164</v>
      </c>
      <c r="AK6011">
        <v>19.1043531430238</v>
      </c>
      <c r="AL6011">
        <v>86.987923608956905</v>
      </c>
      <c r="AM6011">
        <v>99.695715304219803</v>
      </c>
      <c r="AN6011">
        <v>1.0000000188870799</v>
      </c>
    </row>
    <row r="6012" spans="1:40" x14ac:dyDescent="0.25">
      <c r="A6012" t="str">
        <f>"20190312160454557"</f>
        <v>20190312160454557</v>
      </c>
      <c r="B6012" t="str">
        <f>"1552377894550956"</f>
        <v>1552377894550956</v>
      </c>
      <c r="C6012" t="s">
        <v>40</v>
      </c>
      <c r="D6012">
        <v>5.038983</v>
      </c>
      <c r="E6012">
        <v>0.36362489999999997</v>
      </c>
      <c r="F6012" t="s">
        <v>101</v>
      </c>
      <c r="G6012">
        <v>-334.60930000000002</v>
      </c>
      <c r="H6012">
        <v>3.180768</v>
      </c>
      <c r="I6012">
        <v>-30.068429999999999</v>
      </c>
      <c r="J6012">
        <v>-418.29109999999997</v>
      </c>
      <c r="K6012">
        <v>1.1190199999999999</v>
      </c>
      <c r="L6012">
        <v>26.518160000000002</v>
      </c>
      <c r="M6012">
        <v>0.4692617</v>
      </c>
      <c r="N6012">
        <v>0</v>
      </c>
      <c r="O6012">
        <v>-0.88292909999999902</v>
      </c>
      <c r="P6012">
        <v>0.60986109999999905</v>
      </c>
      <c r="Q6012">
        <v>4.1273999999999998E-2</v>
      </c>
      <c r="R6012">
        <v>-0.79143330000000001</v>
      </c>
      <c r="S6012">
        <v>2.6213679999999999</v>
      </c>
      <c r="T6012">
        <v>6.4539429999999995E-2</v>
      </c>
      <c r="U6012">
        <v>-1.7745359999999999</v>
      </c>
      <c r="V6012">
        <v>-0.16824739999999999</v>
      </c>
      <c r="W6012">
        <v>5.2650240000000001E-2</v>
      </c>
      <c r="X6012">
        <v>0.98433769999999998</v>
      </c>
      <c r="Y6012">
        <v>-0.46795829999999999</v>
      </c>
      <c r="Z6012">
        <v>-2.0377010000000001E-2</v>
      </c>
      <c r="AA6012">
        <v>0.88351559999999996</v>
      </c>
      <c r="AB6012">
        <v>26</v>
      </c>
      <c r="AC6012">
        <v>83.681799999999896</v>
      </c>
      <c r="AD6012">
        <v>2.0617480000000001</v>
      </c>
      <c r="AE6012">
        <v>-56.586590000000001</v>
      </c>
      <c r="AF6012">
        <v>-47.3169028906227</v>
      </c>
      <c r="AG6012">
        <v>2.0617480000000001</v>
      </c>
      <c r="AH6012">
        <v>89.203700704620601</v>
      </c>
      <c r="AI6012">
        <v>88.830288060097899</v>
      </c>
      <c r="AJ6012">
        <v>117.943113272202</v>
      </c>
      <c r="AK6012">
        <v>100.997229285637</v>
      </c>
      <c r="AL6012">
        <v>86.981967920066893</v>
      </c>
      <c r="AM6012">
        <v>99.699517902949196</v>
      </c>
      <c r="AN6012">
        <v>0.99999997151005304</v>
      </c>
    </row>
    <row r="6013" spans="1:40" x14ac:dyDescent="0.25">
      <c r="A6013" t="str">
        <f>"20190312160454568"</f>
        <v>20190312160454568</v>
      </c>
      <c r="B6013" t="str">
        <f>"1552377894561693"</f>
        <v>1552377894561693</v>
      </c>
      <c r="C6013" t="s">
        <v>40</v>
      </c>
      <c r="D6013">
        <v>5.4533930000000002</v>
      </c>
      <c r="E6013">
        <v>0.35927480000000001</v>
      </c>
      <c r="F6013" t="s">
        <v>102</v>
      </c>
      <c r="G6013">
        <v>-364.4</v>
      </c>
      <c r="H6013">
        <v>3.1464129999999999</v>
      </c>
      <c r="I6013">
        <v>-7.7468139999999996</v>
      </c>
      <c r="J6013">
        <v>-418.22609999999997</v>
      </c>
      <c r="K6013">
        <v>1.1190639999999901</v>
      </c>
      <c r="L6013">
        <v>26.408390000000001</v>
      </c>
      <c r="M6013">
        <v>0.47464060000000002</v>
      </c>
      <c r="N6013">
        <v>0</v>
      </c>
      <c r="O6013">
        <v>-0.88004899999999997</v>
      </c>
      <c r="P6013">
        <v>0.61465179999999997</v>
      </c>
      <c r="Q6013">
        <v>4.1550459999999997E-2</v>
      </c>
      <c r="R6013">
        <v>-0.78770359999999995</v>
      </c>
      <c r="S6013">
        <v>2.6914980000000002</v>
      </c>
      <c r="T6013">
        <v>0.1012546</v>
      </c>
      <c r="U6013">
        <v>-1.7113039999999999</v>
      </c>
      <c r="V6013">
        <v>-0.1682322</v>
      </c>
      <c r="W6013">
        <v>5.2922610000000002E-2</v>
      </c>
      <c r="X6013">
        <v>0.98432569999999997</v>
      </c>
      <c r="Y6013">
        <v>-0.48756519999999998</v>
      </c>
      <c r="Z6013">
        <v>-3.1851650000000002E-2</v>
      </c>
      <c r="AA6013">
        <v>0.87250539999999999</v>
      </c>
      <c r="AB6013">
        <v>26</v>
      </c>
      <c r="AC6013">
        <v>53.826099999999997</v>
      </c>
      <c r="AD6013">
        <v>2.0273490000000001</v>
      </c>
      <c r="AE6013">
        <v>-34.155203999999998</v>
      </c>
      <c r="AF6013">
        <v>-31.130258614434101</v>
      </c>
      <c r="AG6013">
        <v>2.0273490000000001</v>
      </c>
      <c r="AH6013">
        <v>55.556513266445201</v>
      </c>
      <c r="AI6013">
        <v>88.1766253213666</v>
      </c>
      <c r="AJ6013">
        <v>119.26343587564899</v>
      </c>
      <c r="AK6013">
        <v>63.716005145442502</v>
      </c>
      <c r="AL6013">
        <v>86.966340505657399</v>
      </c>
      <c r="AM6013">
        <v>99.698774253563997</v>
      </c>
      <c r="AN6013">
        <v>0.99999997972327004</v>
      </c>
    </row>
    <row r="6014" spans="1:40" x14ac:dyDescent="0.25">
      <c r="A6014" t="str">
        <f>"20190312160454580"</f>
        <v>20190312160454580</v>
      </c>
      <c r="B6014" t="str">
        <f>"1552377894571453"</f>
        <v>1552377894571453</v>
      </c>
      <c r="C6014" t="s">
        <v>40</v>
      </c>
      <c r="D6014">
        <v>5.1324730000000001</v>
      </c>
      <c r="E6014">
        <v>0.3565275</v>
      </c>
      <c r="F6014" t="s">
        <v>102</v>
      </c>
      <c r="G6014">
        <v>-364.55130000000003</v>
      </c>
      <c r="H6014">
        <v>3.358768</v>
      </c>
      <c r="I6014">
        <v>-6.4988630000000001</v>
      </c>
      <c r="J6014">
        <v>-418.15129999999999</v>
      </c>
      <c r="K6014">
        <v>1.1191150000000001</v>
      </c>
      <c r="L6014">
        <v>26.2851</v>
      </c>
      <c r="M6014">
        <v>0.4807652</v>
      </c>
      <c r="N6014">
        <v>0</v>
      </c>
      <c r="O6014">
        <v>-0.87671790000000005</v>
      </c>
      <c r="P6014">
        <v>0.62016890000000002</v>
      </c>
      <c r="Q6014">
        <v>4.1693540000000001E-2</v>
      </c>
      <c r="R6014">
        <v>-0.7833599</v>
      </c>
      <c r="S6014">
        <v>2.7289729999999999</v>
      </c>
      <c r="T6014">
        <v>0.1138728</v>
      </c>
      <c r="U6014">
        <v>-1.6730959999999999</v>
      </c>
      <c r="V6014">
        <v>-0.1682958</v>
      </c>
      <c r="W6014">
        <v>5.3059269999999999E-2</v>
      </c>
      <c r="X6014">
        <v>0.9843075</v>
      </c>
      <c r="Y6014">
        <v>-0.49560399999999999</v>
      </c>
      <c r="Z6014">
        <v>-3.5710779999999998E-2</v>
      </c>
      <c r="AA6014">
        <v>0.86781419999999998</v>
      </c>
      <c r="AB6014">
        <v>26</v>
      </c>
      <c r="AC6014">
        <v>53.599999999999902</v>
      </c>
      <c r="AD6014">
        <v>2.2396529999999899</v>
      </c>
      <c r="AE6014">
        <v>-32.783963</v>
      </c>
      <c r="AF6014">
        <v>-31.194655375258399</v>
      </c>
      <c r="AG6014">
        <v>2.2396529999999899</v>
      </c>
      <c r="AH6014">
        <v>54.448404043134197</v>
      </c>
      <c r="AI6014">
        <v>87.955929795783305</v>
      </c>
      <c r="AJ6014">
        <v>119.809317993604</v>
      </c>
      <c r="AK6014">
        <v>62.791331188197901</v>
      </c>
      <c r="AL6014">
        <v>86.958499535109794</v>
      </c>
      <c r="AM6014">
        <v>99.702547172090107</v>
      </c>
      <c r="AN6014">
        <v>1.00000000849341</v>
      </c>
    </row>
    <row r="6015" spans="1:40" x14ac:dyDescent="0.25">
      <c r="A6015" t="str">
        <f>"20190312160454602"</f>
        <v>20190312160454602</v>
      </c>
      <c r="B6015" t="str">
        <f>"1552377894590973"</f>
        <v>1552377894590973</v>
      </c>
      <c r="C6015" t="s">
        <v>40</v>
      </c>
      <c r="D6015">
        <v>5.4575360000000002</v>
      </c>
      <c r="E6015">
        <v>0.35609960000000002</v>
      </c>
      <c r="F6015" t="s">
        <v>102</v>
      </c>
      <c r="G6015">
        <v>-364.4</v>
      </c>
      <c r="H6015">
        <v>3.4835090000000002</v>
      </c>
      <c r="I6015">
        <v>-5.6814559999999998</v>
      </c>
      <c r="J6015">
        <v>-418.02519999999998</v>
      </c>
      <c r="K6015">
        <v>1.119194</v>
      </c>
      <c r="L6015">
        <v>26.08118</v>
      </c>
      <c r="M6015">
        <v>0.49097619999999997</v>
      </c>
      <c r="N6015">
        <v>0</v>
      </c>
      <c r="O6015">
        <v>-0.87103999999999904</v>
      </c>
      <c r="P6015">
        <v>0.62938340000000004</v>
      </c>
      <c r="Q6015">
        <v>4.1545150000000003E-2</v>
      </c>
      <c r="R6015">
        <v>-0.775983599999999</v>
      </c>
      <c r="S6015">
        <v>2.75766</v>
      </c>
      <c r="T6015">
        <v>0.1213031</v>
      </c>
      <c r="U6015">
        <v>-1.640015</v>
      </c>
      <c r="V6015">
        <v>-0.16843150000000001</v>
      </c>
      <c r="W6015">
        <v>5.2900240000000001E-2</v>
      </c>
      <c r="X6015">
        <v>0.98429290000000003</v>
      </c>
      <c r="Y6015">
        <v>-0.49706410000000001</v>
      </c>
      <c r="Z6015">
        <v>-3.7854810000000003E-2</v>
      </c>
      <c r="AA6015">
        <v>0.86688770000000004</v>
      </c>
      <c r="AB6015">
        <v>26</v>
      </c>
      <c r="AC6015">
        <v>53.6252</v>
      </c>
      <c r="AD6015">
        <v>2.3643149999999902</v>
      </c>
      <c r="AE6015">
        <v>-31.762635999999901</v>
      </c>
      <c r="AF6015">
        <v>-31.0738844902571</v>
      </c>
      <c r="AG6015">
        <v>2.3643149999999902</v>
      </c>
      <c r="AH6015">
        <v>53.923880970810302</v>
      </c>
      <c r="AI6015">
        <v>87.824422209198801</v>
      </c>
      <c r="AJ6015">
        <v>119.95289477153</v>
      </c>
      <c r="AK6015">
        <v>62.281307161035002</v>
      </c>
      <c r="AL6015">
        <v>86.967624251685905</v>
      </c>
      <c r="AM6015">
        <v>99.710362919336603</v>
      </c>
      <c r="AN6015">
        <v>1.0000000592873499</v>
      </c>
    </row>
    <row r="6016" spans="1:40" x14ac:dyDescent="0.25">
      <c r="A6016" t="str">
        <f>"20190312160454616"</f>
        <v>20190312160454616</v>
      </c>
      <c r="B6016" t="str">
        <f>"1552377894611469"</f>
        <v>1552377894611469</v>
      </c>
      <c r="C6016" t="s">
        <v>40</v>
      </c>
      <c r="D6016">
        <v>5.0625939999999998</v>
      </c>
      <c r="E6016">
        <v>0.35652070000000002</v>
      </c>
      <c r="F6016" t="s">
        <v>102</v>
      </c>
      <c r="G6016">
        <v>-364.55130000000003</v>
      </c>
      <c r="H6016">
        <v>2.9516689999999999</v>
      </c>
      <c r="I6016">
        <v>-4.8092139999999999</v>
      </c>
      <c r="J6016">
        <v>-417.94069999999999</v>
      </c>
      <c r="K6016">
        <v>1.119248</v>
      </c>
      <c r="L6016">
        <v>25.94772</v>
      </c>
      <c r="M6016">
        <v>0.49773600000000001</v>
      </c>
      <c r="N6016">
        <v>0</v>
      </c>
      <c r="O6016">
        <v>-0.867195099999999</v>
      </c>
      <c r="P6016">
        <v>0.6353183</v>
      </c>
      <c r="Q6016">
        <v>4.1401239999999999E-2</v>
      </c>
      <c r="R6016">
        <v>-0.77113999999999905</v>
      </c>
      <c r="S6016">
        <v>2.780151</v>
      </c>
      <c r="T6016">
        <v>9.5271939999999999E-2</v>
      </c>
      <c r="U6016">
        <v>-1.6060179999999999</v>
      </c>
      <c r="V6016">
        <v>-0.16832720000000001</v>
      </c>
      <c r="W6016">
        <v>5.2755009999999998E-2</v>
      </c>
      <c r="X6016">
        <v>0.98431849999999999</v>
      </c>
      <c r="Y6016">
        <v>-0.50156940000000005</v>
      </c>
      <c r="Z6016">
        <v>-2.9697729999999999E-2</v>
      </c>
      <c r="AA6016">
        <v>0.86460749999999997</v>
      </c>
      <c r="AB6016">
        <v>26</v>
      </c>
      <c r="AC6016">
        <v>53.389399999999902</v>
      </c>
      <c r="AD6016">
        <v>1.8324210000000001</v>
      </c>
      <c r="AE6016">
        <v>-30.756934000000001</v>
      </c>
      <c r="AF6016">
        <v>-30.966392581859498</v>
      </c>
      <c r="AG6016">
        <v>1.8324210000000001</v>
      </c>
      <c r="AH6016">
        <v>53.205196338021999</v>
      </c>
      <c r="AI6016">
        <v>88.295030297111893</v>
      </c>
      <c r="AJ6016">
        <v>120.20018409061301</v>
      </c>
      <c r="AK6016">
        <v>61.587889666902498</v>
      </c>
      <c r="AL6016">
        <v>86.975956844003903</v>
      </c>
      <c r="AM6016">
        <v>99.704216631435798</v>
      </c>
      <c r="AN6016">
        <v>1.00000002339109</v>
      </c>
    </row>
    <row r="6017" spans="1:40" x14ac:dyDescent="0.25">
      <c r="A6017" t="str">
        <f>"20190312160454627"</f>
        <v>20190312160454627</v>
      </c>
      <c r="B6017" t="str">
        <f>"1552377894621229"</f>
        <v>1552377894621229</v>
      </c>
      <c r="C6017" t="s">
        <v>40</v>
      </c>
      <c r="D6017">
        <v>5.4375799999999996</v>
      </c>
      <c r="E6017">
        <v>0.35681190000000002</v>
      </c>
      <c r="F6017" t="s">
        <v>102</v>
      </c>
      <c r="G6017">
        <v>-364.76560000000001</v>
      </c>
      <c r="H6017">
        <v>2.689546</v>
      </c>
      <c r="I6017">
        <v>-4.3040310000000002</v>
      </c>
      <c r="J6017">
        <v>-417.8682</v>
      </c>
      <c r="K6017">
        <v>1.1192879999999901</v>
      </c>
      <c r="L6017">
        <v>25.834350000000001</v>
      </c>
      <c r="M6017">
        <v>0.50349960000000005</v>
      </c>
      <c r="N6017">
        <v>0</v>
      </c>
      <c r="O6017">
        <v>-0.863861199999999</v>
      </c>
      <c r="P6017">
        <v>0.64037290000000002</v>
      </c>
      <c r="Q6017">
        <v>4.1141230000000001E-2</v>
      </c>
      <c r="R6017">
        <v>-0.76696189999999997</v>
      </c>
      <c r="S6017">
        <v>2.7900999999999998</v>
      </c>
      <c r="T6017">
        <v>8.2393649999999999E-2</v>
      </c>
      <c r="U6017">
        <v>-1.5873109999999999</v>
      </c>
      <c r="V6017">
        <v>-0.1682351</v>
      </c>
      <c r="W6017">
        <v>5.249405E-2</v>
      </c>
      <c r="X6017">
        <v>0.98434820000000001</v>
      </c>
      <c r="Y6017">
        <v>-0.50162099999999998</v>
      </c>
      <c r="Z6017">
        <v>-2.5645620000000001E-2</v>
      </c>
      <c r="AA6017">
        <v>0.86470729999999996</v>
      </c>
      <c r="AB6017">
        <v>26</v>
      </c>
      <c r="AC6017">
        <v>53.102600000000002</v>
      </c>
      <c r="AD6017">
        <v>1.5702579999999999</v>
      </c>
      <c r="AE6017">
        <v>-30.138380999999999</v>
      </c>
      <c r="AF6017">
        <v>-30.681882377203198</v>
      </c>
      <c r="AG6017">
        <v>1.5702579999999999</v>
      </c>
      <c r="AH6017">
        <v>52.7437550557392</v>
      </c>
      <c r="AI6017">
        <v>88.525873127841194</v>
      </c>
      <c r="AJ6017">
        <v>120.18724570046</v>
      </c>
      <c r="AK6017">
        <v>61.0389000046275</v>
      </c>
      <c r="AL6017">
        <v>86.990929506247795</v>
      </c>
      <c r="AM6017">
        <v>99.698720780971698</v>
      </c>
      <c r="AN6017">
        <v>1.0000000265003199</v>
      </c>
    </row>
    <row r="6018" spans="1:40" x14ac:dyDescent="0.25">
      <c r="A6018" t="str">
        <f>"20190312160454636"</f>
        <v>20190312160454636</v>
      </c>
      <c r="B6018" t="str">
        <f>"1552377894630989"</f>
        <v>1552377894630989</v>
      </c>
      <c r="C6018" t="s">
        <v>40</v>
      </c>
      <c r="D6018">
        <v>5.4573999999999998</v>
      </c>
      <c r="E6018">
        <v>0.35717019999999999</v>
      </c>
      <c r="F6018" t="s">
        <v>102</v>
      </c>
      <c r="G6018">
        <v>-364.76560000000001</v>
      </c>
      <c r="H6018">
        <v>2.5807799999999999</v>
      </c>
      <c r="I6018">
        <v>-3.9658660000000001</v>
      </c>
      <c r="J6018">
        <v>-417.8082</v>
      </c>
      <c r="K6018">
        <v>1.1193219999999999</v>
      </c>
      <c r="L6018">
        <v>25.74295</v>
      </c>
      <c r="M6018">
        <v>0.50821660000000002</v>
      </c>
      <c r="N6018">
        <v>0</v>
      </c>
      <c r="O6018">
        <v>-0.86109419999999903</v>
      </c>
      <c r="P6018">
        <v>0.64431700000000003</v>
      </c>
      <c r="Q6018">
        <v>4.0685930000000002E-2</v>
      </c>
      <c r="R6018">
        <v>-0.76367589999999996</v>
      </c>
      <c r="S6018">
        <v>2.7987669999999998</v>
      </c>
      <c r="T6018">
        <v>7.7027799999999993E-2</v>
      </c>
      <c r="U6018">
        <v>-1.5706180000000001</v>
      </c>
      <c r="V6018">
        <v>-0.16790669999999999</v>
      </c>
      <c r="W6018">
        <v>5.2044529999999999E-2</v>
      </c>
      <c r="X6018">
        <v>0.98442810000000003</v>
      </c>
      <c r="Y6018">
        <v>-0.50199479999999996</v>
      </c>
      <c r="Z6018">
        <v>-2.3948110000000002E-2</v>
      </c>
      <c r="AA6018">
        <v>0.86453899999999995</v>
      </c>
      <c r="AB6018">
        <v>26</v>
      </c>
      <c r="AC6018">
        <v>53.042599999999901</v>
      </c>
      <c r="AD6018">
        <v>1.4614579999999999</v>
      </c>
      <c r="AE6018">
        <v>-29.708815999999999</v>
      </c>
      <c r="AF6018">
        <v>-30.562058696219601</v>
      </c>
      <c r="AG6018">
        <v>1.4614579999999999</v>
      </c>
      <c r="AH6018">
        <v>52.514985594727001</v>
      </c>
      <c r="AI6018">
        <v>88.622148401008502</v>
      </c>
      <c r="AJ6018">
        <v>120.19804990644499</v>
      </c>
      <c r="AK6018">
        <v>60.778277396215501</v>
      </c>
      <c r="AL6018">
        <v>87.016720246654202</v>
      </c>
      <c r="AM6018">
        <v>99.679376329614499</v>
      </c>
      <c r="AN6018">
        <v>0.99999998853870997</v>
      </c>
    </row>
    <row r="6019" spans="1:40" x14ac:dyDescent="0.25">
      <c r="A6019" t="str">
        <f>"20190312160454646"</f>
        <v>20190312160454646</v>
      </c>
      <c r="B6019" t="str">
        <f>"1552377894641725"</f>
        <v>1552377894641725</v>
      </c>
      <c r="C6019" t="s">
        <v>40</v>
      </c>
      <c r="D6019">
        <v>5.4354829999999996</v>
      </c>
      <c r="E6019">
        <v>0.35761979999999999</v>
      </c>
      <c r="F6019" t="s">
        <v>102</v>
      </c>
      <c r="G6019">
        <v>-364.41250000000002</v>
      </c>
      <c r="H6019">
        <v>2.4856880000000001</v>
      </c>
      <c r="I6019">
        <v>-3.9229319999999999</v>
      </c>
      <c r="J6019">
        <v>-417.74509999999998</v>
      </c>
      <c r="K6019">
        <v>1.119364</v>
      </c>
      <c r="L6019">
        <v>25.647030000000001</v>
      </c>
      <c r="M6019">
        <v>0.51315159999999904</v>
      </c>
      <c r="N6019">
        <v>0</v>
      </c>
      <c r="O6019">
        <v>-0.85816229999999905</v>
      </c>
      <c r="P6019">
        <v>0.64814969999999905</v>
      </c>
      <c r="Q6019">
        <v>4.0482219999999999E-2</v>
      </c>
      <c r="R6019">
        <v>-0.76043680000000002</v>
      </c>
      <c r="S6019">
        <v>2.8046570000000002</v>
      </c>
      <c r="T6019">
        <v>7.1769600000000003E-2</v>
      </c>
      <c r="U6019">
        <v>-1.5582279999999999</v>
      </c>
      <c r="V6019">
        <v>-0.16720099999999999</v>
      </c>
      <c r="W6019">
        <v>5.185501E-2</v>
      </c>
      <c r="X6019">
        <v>0.98455820000000005</v>
      </c>
      <c r="Y6019">
        <v>-0.50075530000000001</v>
      </c>
      <c r="Z6019">
        <v>-2.2275550000000002E-2</v>
      </c>
      <c r="AA6019">
        <v>0.86530219999999902</v>
      </c>
      <c r="AB6019">
        <v>26</v>
      </c>
      <c r="AC6019">
        <v>53.3325999999999</v>
      </c>
      <c r="AD6019">
        <v>1.3663239999999901</v>
      </c>
      <c r="AE6019">
        <v>-29.569962</v>
      </c>
      <c r="AF6019">
        <v>-30.582364127106199</v>
      </c>
      <c r="AG6019">
        <v>1.3663239999999901</v>
      </c>
      <c r="AH6019">
        <v>52.7232112728258</v>
      </c>
      <c r="AI6019">
        <v>88.715828173126297</v>
      </c>
      <c r="AJ6019">
        <v>120.116092595742</v>
      </c>
      <c r="AK6019">
        <v>60.966259880321601</v>
      </c>
      <c r="AL6019">
        <v>87.027593608264098</v>
      </c>
      <c r="AM6019">
        <v>99.638209614629005</v>
      </c>
      <c r="AN6019">
        <v>0.999999982825169</v>
      </c>
    </row>
    <row r="6020" spans="1:40" x14ac:dyDescent="0.25">
      <c r="A6020" t="str">
        <f>"20190312160454657"</f>
        <v>20190312160454657</v>
      </c>
      <c r="B6020" t="str">
        <f>"1552377894651485"</f>
        <v>1552377894651485</v>
      </c>
      <c r="C6020" t="s">
        <v>40</v>
      </c>
      <c r="D6020">
        <v>5.1524380000000001</v>
      </c>
      <c r="E6020">
        <v>0.3579753</v>
      </c>
      <c r="F6020" t="s">
        <v>102</v>
      </c>
      <c r="G6020">
        <v>-364.4</v>
      </c>
      <c r="H6020">
        <v>2.4151660000000001</v>
      </c>
      <c r="I6020">
        <v>-3.713867</v>
      </c>
      <c r="J6020">
        <v>-417.67790000000002</v>
      </c>
      <c r="K6020">
        <v>1.119405</v>
      </c>
      <c r="L6020">
        <v>25.54721</v>
      </c>
      <c r="M6020">
        <v>0.51836649999999995</v>
      </c>
      <c r="N6020">
        <v>0</v>
      </c>
      <c r="O6020">
        <v>-0.85502210000000001</v>
      </c>
      <c r="P6020">
        <v>0.65219890000000003</v>
      </c>
      <c r="Q6020">
        <v>4.043505E-2</v>
      </c>
      <c r="R6020">
        <v>-0.756969</v>
      </c>
      <c r="S6020">
        <v>2.8098139999999998</v>
      </c>
      <c r="T6020">
        <v>6.8253040000000001E-2</v>
      </c>
      <c r="U6020">
        <v>-1.5465089999999999</v>
      </c>
      <c r="V6020">
        <v>-0.1664641</v>
      </c>
      <c r="W6020">
        <v>5.1823109999999999E-2</v>
      </c>
      <c r="X6020">
        <v>0.98468480000000003</v>
      </c>
      <c r="Y6020">
        <v>-0.49894830000000001</v>
      </c>
      <c r="Z6020">
        <v>-2.114278E-2</v>
      </c>
      <c r="AA6020">
        <v>0.86637379999999997</v>
      </c>
      <c r="AB6020">
        <v>26</v>
      </c>
      <c r="AC6020">
        <v>53.277900000000002</v>
      </c>
      <c r="AD6020">
        <v>1.2957609999999999</v>
      </c>
      <c r="AE6020">
        <v>-29.261077</v>
      </c>
      <c r="AF6020">
        <v>-30.375562702436302</v>
      </c>
      <c r="AG6020">
        <v>1.2957609999999999</v>
      </c>
      <c r="AH6020">
        <v>52.618577903115998</v>
      </c>
      <c r="AI6020">
        <v>88.778237571900704</v>
      </c>
      <c r="AJ6020">
        <v>119.996906848869</v>
      </c>
      <c r="AK6020">
        <v>60.77062239771</v>
      </c>
      <c r="AL6020">
        <v>87.0294239843588</v>
      </c>
      <c r="AM6020">
        <v>99.595312229625193</v>
      </c>
      <c r="AN6020">
        <v>1.0000000433349601</v>
      </c>
    </row>
    <row r="6021" spans="1:40" x14ac:dyDescent="0.25">
      <c r="A6021" t="str">
        <f>"20190312160454669"</f>
        <v>20190312160454669</v>
      </c>
      <c r="B6021" t="str">
        <f>"1552377894661245"</f>
        <v>1552377894661245</v>
      </c>
      <c r="C6021" t="s">
        <v>40</v>
      </c>
      <c r="D6021">
        <v>5.4891259999999997</v>
      </c>
      <c r="E6021">
        <v>0.3584775</v>
      </c>
      <c r="F6021" t="s">
        <v>102</v>
      </c>
      <c r="G6021">
        <v>-364.4</v>
      </c>
      <c r="H6021">
        <v>2.3669169999999999</v>
      </c>
      <c r="I6021">
        <v>-3.461554</v>
      </c>
      <c r="J6021">
        <v>-417.60410000000002</v>
      </c>
      <c r="K6021">
        <v>1.1194489999999999</v>
      </c>
      <c r="L6021">
        <v>25.43796</v>
      </c>
      <c r="M6021">
        <v>0.52407079999999995</v>
      </c>
      <c r="N6021">
        <v>0</v>
      </c>
      <c r="O6021">
        <v>-0.85153719999999999</v>
      </c>
      <c r="P6021">
        <v>0.65684030000000004</v>
      </c>
      <c r="Q6021">
        <v>4.0881309999999997E-2</v>
      </c>
      <c r="R6021">
        <v>-0.752920699999999</v>
      </c>
      <c r="S6021">
        <v>2.816071</v>
      </c>
      <c r="T6021">
        <v>6.5938830000000004E-2</v>
      </c>
      <c r="U6021">
        <v>-1.5332950000000001</v>
      </c>
      <c r="V6021">
        <v>-0.1659629</v>
      </c>
      <c r="W6021">
        <v>5.227834E-2</v>
      </c>
      <c r="X6021">
        <v>0.98474530000000005</v>
      </c>
      <c r="Y6021">
        <v>-0.49711230000000001</v>
      </c>
      <c r="Z6021">
        <v>-2.0379100000000001E-2</v>
      </c>
      <c r="AA6021">
        <v>0.86744679999999996</v>
      </c>
      <c r="AB6021">
        <v>26</v>
      </c>
      <c r="AC6021">
        <v>53.204099999999997</v>
      </c>
      <c r="AD6021">
        <v>1.247468</v>
      </c>
      <c r="AE6021">
        <v>-28.899514</v>
      </c>
      <c r="AF6021">
        <v>-30.1506120705378</v>
      </c>
      <c r="AG6021">
        <v>1.247468</v>
      </c>
      <c r="AH6021">
        <v>52.4755980041257</v>
      </c>
      <c r="AI6021">
        <v>88.819170907985395</v>
      </c>
      <c r="AJ6021">
        <v>119.880142981471</v>
      </c>
      <c r="AK6021">
        <v>60.5334946168622</v>
      </c>
      <c r="AL6021">
        <v>87.003305715218502</v>
      </c>
      <c r="AM6021">
        <v>99.566379969021995</v>
      </c>
      <c r="AN6021">
        <v>1.00000000744082</v>
      </c>
    </row>
    <row r="6022" spans="1:40" x14ac:dyDescent="0.25">
      <c r="A6022" t="str">
        <f>"20190312160454678"</f>
        <v>20190312160454678</v>
      </c>
      <c r="B6022" t="str">
        <f>"1552377894671005"</f>
        <v>1552377894671005</v>
      </c>
      <c r="C6022" t="s">
        <v>40</v>
      </c>
      <c r="D6022">
        <v>5.4776730000000002</v>
      </c>
      <c r="E6022">
        <v>0.35893029999999998</v>
      </c>
      <c r="F6022" t="s">
        <v>102</v>
      </c>
      <c r="G6022">
        <v>-364.4</v>
      </c>
      <c r="H6022">
        <v>2.3286910000000001</v>
      </c>
      <c r="I6022">
        <v>-3.189524</v>
      </c>
      <c r="J6022">
        <v>-417.53410000000002</v>
      </c>
      <c r="K6022">
        <v>1.11948799999999</v>
      </c>
      <c r="L6022">
        <v>25.336980000000001</v>
      </c>
      <c r="M6022">
        <v>0.52941669999999996</v>
      </c>
      <c r="N6022">
        <v>0</v>
      </c>
      <c r="O6022">
        <v>-0.84822379999999997</v>
      </c>
      <c r="P6022">
        <v>0.66112819999999894</v>
      </c>
      <c r="Q6022">
        <v>4.1286999999999997E-2</v>
      </c>
      <c r="R6022">
        <v>-0.74913619999999903</v>
      </c>
      <c r="S6022">
        <v>2.8225099999999999</v>
      </c>
      <c r="T6022">
        <v>6.4151050000000001E-2</v>
      </c>
      <c r="U6022">
        <v>-1.518707</v>
      </c>
      <c r="V6022">
        <v>-0.16541689999999901</v>
      </c>
      <c r="W6022">
        <v>5.2694999999999999E-2</v>
      </c>
      <c r="X6022">
        <v>0.98481490000000005</v>
      </c>
      <c r="Y6022">
        <v>-0.49596639999999997</v>
      </c>
      <c r="Z6022">
        <v>-1.9789350000000001E-2</v>
      </c>
      <c r="AA6022">
        <v>0.8681162</v>
      </c>
      <c r="AB6022">
        <v>26</v>
      </c>
      <c r="AC6022">
        <v>53.134099999999997</v>
      </c>
      <c r="AD6022">
        <v>1.209203</v>
      </c>
      <c r="AE6022">
        <v>-28.526503999999999</v>
      </c>
      <c r="AF6022">
        <v>-29.958668307720298</v>
      </c>
      <c r="AG6022">
        <v>1.209203</v>
      </c>
      <c r="AH6022">
        <v>52.312040920471098</v>
      </c>
      <c r="AI6022">
        <v>88.850876033665102</v>
      </c>
      <c r="AJ6022">
        <v>119.79940616411299</v>
      </c>
      <c r="AK6022">
        <v>60.2953862574265</v>
      </c>
      <c r="AL6022">
        <v>86.979399732537999</v>
      </c>
      <c r="AM6022">
        <v>99.534824935482604</v>
      </c>
      <c r="AN6022">
        <v>0.99999995054630797</v>
      </c>
    </row>
    <row r="6023" spans="1:40" x14ac:dyDescent="0.25">
      <c r="A6023" t="str">
        <f>"20190312160454689"</f>
        <v>20190312160454689</v>
      </c>
      <c r="B6023" t="str">
        <f>"1552377894681742"</f>
        <v>1552377894681742</v>
      </c>
      <c r="C6023" t="s">
        <v>40</v>
      </c>
      <c r="D6023">
        <v>5.4659399999999998</v>
      </c>
      <c r="E6023">
        <v>0.35940050000000001</v>
      </c>
      <c r="F6023" t="s">
        <v>102</v>
      </c>
      <c r="G6023">
        <v>-364.4</v>
      </c>
      <c r="H6023">
        <v>2.2880720000000001</v>
      </c>
      <c r="I6023">
        <v>-2.9370660000000002</v>
      </c>
      <c r="J6023">
        <v>-417.46660000000003</v>
      </c>
      <c r="K6023">
        <v>1.1195269999999999</v>
      </c>
      <c r="L6023">
        <v>25.23996</v>
      </c>
      <c r="M6023">
        <v>0.53455390000000003</v>
      </c>
      <c r="N6023">
        <v>0</v>
      </c>
      <c r="O6023">
        <v>-0.84499539999999995</v>
      </c>
      <c r="P6023">
        <v>0.66554740000000001</v>
      </c>
      <c r="Q6023">
        <v>4.1271620000000002E-2</v>
      </c>
      <c r="R6023">
        <v>-0.74521369999999998</v>
      </c>
      <c r="S6023">
        <v>2.8283999999999998</v>
      </c>
      <c r="T6023">
        <v>6.220531E-2</v>
      </c>
      <c r="U6023">
        <v>-1.505066</v>
      </c>
      <c r="V6023">
        <v>-0.16527</v>
      </c>
      <c r="W6023">
        <v>5.2681190000000003E-2</v>
      </c>
      <c r="X6023">
        <v>0.9848403</v>
      </c>
      <c r="Y6023">
        <v>-0.4947203</v>
      </c>
      <c r="Z6023">
        <v>-1.9152590000000001E-2</v>
      </c>
      <c r="AA6023">
        <v>0.86884119999999998</v>
      </c>
      <c r="AB6023">
        <v>26</v>
      </c>
      <c r="AC6023">
        <v>53.066600000000001</v>
      </c>
      <c r="AD6023">
        <v>1.1685449999999999</v>
      </c>
      <c r="AE6023">
        <v>-28.177026000000001</v>
      </c>
      <c r="AF6023">
        <v>-29.771130905964799</v>
      </c>
      <c r="AG6023">
        <v>1.1685449999999999</v>
      </c>
      <c r="AH6023">
        <v>52.1628138451211</v>
      </c>
      <c r="AI6023">
        <v>88.885388822724707</v>
      </c>
      <c r="AJ6023">
        <v>119.714904984801</v>
      </c>
      <c r="AK6023">
        <v>60.071997478674497</v>
      </c>
      <c r="AL6023">
        <v>86.980192081952595</v>
      </c>
      <c r="AM6023">
        <v>99.526271515840705</v>
      </c>
      <c r="AN6023">
        <v>0.99999994859195096</v>
      </c>
    </row>
    <row r="6024" spans="1:40" x14ac:dyDescent="0.25">
      <c r="A6024" t="str">
        <f>"20190312160454700"</f>
        <v>20190312160454700</v>
      </c>
      <c r="B6024" t="str">
        <f>"1552377894691501"</f>
        <v>1552377894691501</v>
      </c>
      <c r="C6024" t="s">
        <v>40</v>
      </c>
      <c r="D6024">
        <v>5.4624639999999998</v>
      </c>
      <c r="E6024">
        <v>0.3598191</v>
      </c>
      <c r="F6024" t="s">
        <v>102</v>
      </c>
      <c r="G6024">
        <v>-364.55130000000003</v>
      </c>
      <c r="H6024">
        <v>2.2231299999999998</v>
      </c>
      <c r="I6024">
        <v>-2.5874109999999999</v>
      </c>
      <c r="J6024">
        <v>-417.39120000000003</v>
      </c>
      <c r="K6024">
        <v>1.119567</v>
      </c>
      <c r="L6024">
        <v>25.13391</v>
      </c>
      <c r="M6024">
        <v>0.54022799999999904</v>
      </c>
      <c r="N6024">
        <v>0</v>
      </c>
      <c r="O6024">
        <v>-0.84137890000000004</v>
      </c>
      <c r="P6024">
        <v>0.67044459999999995</v>
      </c>
      <c r="Q6024">
        <v>4.1149289999999998E-2</v>
      </c>
      <c r="R6024">
        <v>-0.74081790000000003</v>
      </c>
      <c r="S6024">
        <v>2.834686</v>
      </c>
      <c r="T6024">
        <v>5.912042E-2</v>
      </c>
      <c r="U6024">
        <v>-1.490723</v>
      </c>
      <c r="V6024">
        <v>-0.16513249999999999</v>
      </c>
      <c r="W6024">
        <v>5.2561190000000001E-2</v>
      </c>
      <c r="X6024">
        <v>0.98486980000000002</v>
      </c>
      <c r="Y6024">
        <v>-0.49312610000000001</v>
      </c>
      <c r="Z6024">
        <v>-1.816075E-2</v>
      </c>
      <c r="AA6024">
        <v>0.86976830000000005</v>
      </c>
      <c r="AB6024">
        <v>26</v>
      </c>
      <c r="AC6024">
        <v>52.8399</v>
      </c>
      <c r="AD6024">
        <v>1.1035629999999901</v>
      </c>
      <c r="AE6024">
        <v>-27.721321</v>
      </c>
      <c r="AF6024">
        <v>-29.475929682177402</v>
      </c>
      <c r="AG6024">
        <v>1.1035629999999901</v>
      </c>
      <c r="AH6024">
        <v>51.858092771305202</v>
      </c>
      <c r="AI6024">
        <v>88.9401079821574</v>
      </c>
      <c r="AJ6024">
        <v>119.613724400583</v>
      </c>
      <c r="AK6024">
        <v>59.659953635591599</v>
      </c>
      <c r="AL6024">
        <v>86.987077185649994</v>
      </c>
      <c r="AM6024">
        <v>99.518211113413201</v>
      </c>
      <c r="AN6024">
        <v>0.99999997210125202</v>
      </c>
    </row>
    <row r="6025" spans="1:40" x14ac:dyDescent="0.25">
      <c r="A6025" t="str">
        <f>"20190312160454712"</f>
        <v>20190312160454712</v>
      </c>
      <c r="B6025" t="str">
        <f>"1552377894701261"</f>
        <v>1552377894701261</v>
      </c>
      <c r="C6025" t="s">
        <v>40</v>
      </c>
      <c r="D6025">
        <v>5.4759449999999896</v>
      </c>
      <c r="E6025">
        <v>0.36021570000000003</v>
      </c>
      <c r="F6025" t="s">
        <v>102</v>
      </c>
      <c r="G6025">
        <v>-364.55130000000003</v>
      </c>
      <c r="H6025">
        <v>2.1717070000000001</v>
      </c>
      <c r="I6025">
        <v>-2.2800959999999999</v>
      </c>
      <c r="J6025">
        <v>-417.3175</v>
      </c>
      <c r="K6025">
        <v>1.119602</v>
      </c>
      <c r="L6025">
        <v>25.031459999999999</v>
      </c>
      <c r="M6025">
        <v>0.54573229999999995</v>
      </c>
      <c r="N6025">
        <v>0</v>
      </c>
      <c r="O6025">
        <v>-0.83781890000000003</v>
      </c>
      <c r="P6025">
        <v>0.67512510000000003</v>
      </c>
      <c r="Q6025">
        <v>4.1177030000000003E-2</v>
      </c>
      <c r="R6025">
        <v>-0.73655340000000002</v>
      </c>
      <c r="S6025">
        <v>2.84198</v>
      </c>
      <c r="T6025">
        <v>5.6589130000000001E-2</v>
      </c>
      <c r="U6025">
        <v>-1.4744569999999999</v>
      </c>
      <c r="V6025">
        <v>-0.1649224</v>
      </c>
      <c r="W6025">
        <v>5.2593099999999997E-2</v>
      </c>
      <c r="X6025">
        <v>0.98490330000000004</v>
      </c>
      <c r="Y6025">
        <v>-0.4922704</v>
      </c>
      <c r="Z6025">
        <v>-1.7346830000000001E-2</v>
      </c>
      <c r="AA6025">
        <v>0.87026949999999903</v>
      </c>
      <c r="AB6025">
        <v>26</v>
      </c>
      <c r="AC6025">
        <v>52.766199999999898</v>
      </c>
      <c r="AD6025">
        <v>1.0521049999999901</v>
      </c>
      <c r="AE6025">
        <v>-27.311556</v>
      </c>
      <c r="AF6025">
        <v>-29.297989461781398</v>
      </c>
      <c r="AG6025">
        <v>1.0521049999999901</v>
      </c>
      <c r="AH6025">
        <v>51.668249032081299</v>
      </c>
      <c r="AI6025">
        <v>88.985216876156997</v>
      </c>
      <c r="AJ6025">
        <v>119.554992327788</v>
      </c>
      <c r="AK6025">
        <v>59.406119798172803</v>
      </c>
      <c r="AL6025">
        <v>86.985246342467406</v>
      </c>
      <c r="AM6025">
        <v>99.506004704723296</v>
      </c>
      <c r="AN6025">
        <v>0.99999997127012896</v>
      </c>
    </row>
    <row r="6026" spans="1:40" x14ac:dyDescent="0.25">
      <c r="A6026" t="str">
        <f>"20190312160454723"</f>
        <v>20190312160454723</v>
      </c>
      <c r="B6026" t="str">
        <f>"1552377894711021"</f>
        <v>1552377894711021</v>
      </c>
      <c r="C6026" t="s">
        <v>40</v>
      </c>
      <c r="D6026">
        <v>5.4427570000000003</v>
      </c>
      <c r="E6026">
        <v>0.3606454</v>
      </c>
      <c r="F6026" t="s">
        <v>102</v>
      </c>
      <c r="G6026">
        <v>-364.55130000000003</v>
      </c>
      <c r="H6026">
        <v>2.1593309999999999</v>
      </c>
      <c r="I6026">
        <v>-1.9812609999999999</v>
      </c>
      <c r="J6026">
        <v>-417.2407</v>
      </c>
      <c r="K6026">
        <v>1.1196379999999999</v>
      </c>
      <c r="L6026">
        <v>24.926089999999999</v>
      </c>
      <c r="M6026">
        <v>0.55142590000000002</v>
      </c>
      <c r="N6026">
        <v>0</v>
      </c>
      <c r="O6026">
        <v>-0.83408230000000005</v>
      </c>
      <c r="P6026">
        <v>0.68025309999999894</v>
      </c>
      <c r="Q6026">
        <v>4.1368349999999998E-2</v>
      </c>
      <c r="R6026">
        <v>-0.73180909999999999</v>
      </c>
      <c r="S6026">
        <v>2.8489990000000001</v>
      </c>
      <c r="T6026">
        <v>5.613804E-2</v>
      </c>
      <c r="U6026">
        <v>-1.458496</v>
      </c>
      <c r="V6026">
        <v>-0.16510910000000001</v>
      </c>
      <c r="W6026">
        <v>5.2778329999999998E-2</v>
      </c>
      <c r="X6026">
        <v>0.98486209999999996</v>
      </c>
      <c r="Y6026">
        <v>-0.4910755</v>
      </c>
      <c r="Z6026">
        <v>-1.7168019999999999E-2</v>
      </c>
      <c r="AA6026">
        <v>0.87094780000000005</v>
      </c>
      <c r="AB6026">
        <v>26</v>
      </c>
      <c r="AC6026">
        <v>52.6893999999999</v>
      </c>
      <c r="AD6026">
        <v>1.039693</v>
      </c>
      <c r="AE6026">
        <v>-26.907350999999998</v>
      </c>
      <c r="AF6026">
        <v>-29.104335785847901</v>
      </c>
      <c r="AG6026">
        <v>1.039693</v>
      </c>
      <c r="AH6026">
        <v>51.4874268796029</v>
      </c>
      <c r="AI6026">
        <v>88.992901301338193</v>
      </c>
      <c r="AJ6026">
        <v>119.478205436718</v>
      </c>
      <c r="AK6026">
        <v>59.1531778499862</v>
      </c>
      <c r="AL6026">
        <v>86.974618655082693</v>
      </c>
      <c r="AM6026">
        <v>99.516960059646294</v>
      </c>
      <c r="AN6026">
        <v>0.99999996151840298</v>
      </c>
    </row>
    <row r="6027" spans="1:40" x14ac:dyDescent="0.25">
      <c r="A6027" t="str">
        <f>"20190312160454735"</f>
        <v>20190312160454735</v>
      </c>
      <c r="B6027" t="str">
        <f>"1552377894731516"</f>
        <v>1552377894731516</v>
      </c>
      <c r="C6027" t="s">
        <v>40</v>
      </c>
      <c r="D6027">
        <v>5.6340459999999997</v>
      </c>
      <c r="E6027">
        <v>0.3599869</v>
      </c>
      <c r="F6027" t="s">
        <v>102</v>
      </c>
      <c r="G6027">
        <v>-364.4</v>
      </c>
      <c r="H6027">
        <v>2.147824</v>
      </c>
      <c r="I6027">
        <v>-1.7259659999999999</v>
      </c>
      <c r="J6027">
        <v>-417.16329999999999</v>
      </c>
      <c r="K6027">
        <v>1.1196729999999999</v>
      </c>
      <c r="L6027">
        <v>24.821929999999998</v>
      </c>
      <c r="M6027">
        <v>0.55710119999999996</v>
      </c>
      <c r="N6027">
        <v>0</v>
      </c>
      <c r="O6027">
        <v>-0.83030219999999899</v>
      </c>
      <c r="P6027">
        <v>0.68511449999999996</v>
      </c>
      <c r="Q6027">
        <v>4.1454579999999998E-2</v>
      </c>
      <c r="R6027">
        <v>-0.72725519999999999</v>
      </c>
      <c r="S6027">
        <v>2.8566590000000001</v>
      </c>
      <c r="T6027">
        <v>5.5585500000000003E-2</v>
      </c>
      <c r="U6027">
        <v>-1.4408570000000001</v>
      </c>
      <c r="V6027">
        <v>-0.1649641</v>
      </c>
      <c r="W6027">
        <v>5.2868329999999998E-2</v>
      </c>
      <c r="X6027">
        <v>0.98488160000000002</v>
      </c>
      <c r="Y6027">
        <v>-0.49036259999999998</v>
      </c>
      <c r="Z6027">
        <v>-1.6961239999999999E-2</v>
      </c>
      <c r="AA6027">
        <v>0.87135339999999994</v>
      </c>
      <c r="AB6027">
        <v>26</v>
      </c>
      <c r="AC6027">
        <v>52.763300000000001</v>
      </c>
      <c r="AD6027">
        <v>1.028151</v>
      </c>
      <c r="AE6027">
        <v>-26.547896000000001</v>
      </c>
      <c r="AF6027">
        <v>-29.014260337719801</v>
      </c>
      <c r="AG6027">
        <v>1.028151</v>
      </c>
      <c r="AH6027">
        <v>51.4277753507398</v>
      </c>
      <c r="AI6027">
        <v>89.002456402847599</v>
      </c>
      <c r="AJ6027">
        <v>119.43060064173601</v>
      </c>
      <c r="AK6027">
        <v>59.0567563869702</v>
      </c>
      <c r="AL6027">
        <v>86.969454912707604</v>
      </c>
      <c r="AM6027">
        <v>99.508570053409898</v>
      </c>
      <c r="AN6027">
        <v>0.99999999031217901</v>
      </c>
    </row>
    <row r="6028" spans="1:40" x14ac:dyDescent="0.25">
      <c r="A6028" t="str">
        <f>"20190312160454746"</f>
        <v>20190312160454746</v>
      </c>
      <c r="B6028" t="str">
        <f>"1552377894741277"</f>
        <v>1552377894741277</v>
      </c>
      <c r="C6028" t="s">
        <v>40</v>
      </c>
      <c r="D6028">
        <v>5.6218139999999996</v>
      </c>
      <c r="E6028">
        <v>0.33373219999999998</v>
      </c>
      <c r="F6028" t="s">
        <v>102</v>
      </c>
      <c r="G6028">
        <v>-364.4</v>
      </c>
      <c r="H6028">
        <v>2.1693720000000001</v>
      </c>
      <c r="I6028">
        <v>-1.249449</v>
      </c>
      <c r="J6028">
        <v>-417.08940000000001</v>
      </c>
      <c r="K6028">
        <v>1.1197090000000001</v>
      </c>
      <c r="L6028">
        <v>24.723179999999999</v>
      </c>
      <c r="M6028">
        <v>0.56248520000000002</v>
      </c>
      <c r="N6028">
        <v>0</v>
      </c>
      <c r="O6028">
        <v>-0.82666399999999995</v>
      </c>
      <c r="P6028">
        <v>0.69015990000000005</v>
      </c>
      <c r="Q6028">
        <v>4.1633389999999999E-2</v>
      </c>
      <c r="R6028">
        <v>-0.72245839999999995</v>
      </c>
      <c r="S6028">
        <v>2.8699949999999999</v>
      </c>
      <c r="T6028">
        <v>5.7097080000000001E-2</v>
      </c>
      <c r="U6028">
        <v>-1.418121</v>
      </c>
      <c r="V6028">
        <v>-0.16543359999999999</v>
      </c>
      <c r="W6028">
        <v>5.3034989999999997E-2</v>
      </c>
      <c r="X6028">
        <v>0.9847939</v>
      </c>
      <c r="Y6028">
        <v>-0.49185079999999998</v>
      </c>
      <c r="Z6028">
        <v>-1.7382149999999999E-2</v>
      </c>
      <c r="AA6028">
        <v>0.870506</v>
      </c>
      <c r="AB6028">
        <v>26</v>
      </c>
      <c r="AC6028">
        <v>52.689399999999999</v>
      </c>
      <c r="AD6028">
        <v>1.049663</v>
      </c>
      <c r="AE6028">
        <v>-25.972629000000001</v>
      </c>
      <c r="AF6028">
        <v>-28.941401325842399</v>
      </c>
      <c r="AG6028">
        <v>1.049663</v>
      </c>
      <c r="AH6028">
        <v>51.097388278933103</v>
      </c>
      <c r="AI6028">
        <v>88.975980678625007</v>
      </c>
      <c r="AJ6028">
        <v>119.527080447334</v>
      </c>
      <c r="AK6028">
        <v>58.733717676008702</v>
      </c>
      <c r="AL6028">
        <v>86.9598926299807</v>
      </c>
      <c r="AM6028">
        <v>99.535969475529697</v>
      </c>
      <c r="AN6028">
        <v>1.0000000058252301</v>
      </c>
    </row>
    <row r="6029" spans="1:40" x14ac:dyDescent="0.25">
      <c r="A6029" t="str">
        <f>"20190312160454758"</f>
        <v>20190312160454758</v>
      </c>
      <c r="B6029" t="str">
        <f>"1552377894751037"</f>
        <v>1552377894751037</v>
      </c>
      <c r="C6029" t="s">
        <v>40</v>
      </c>
      <c r="D6029">
        <v>5.4420510000000002</v>
      </c>
      <c r="E6029">
        <v>0.332198299999999</v>
      </c>
      <c r="F6029" t="s">
        <v>102</v>
      </c>
      <c r="G6029">
        <v>-358.07830000000001</v>
      </c>
      <c r="H6029">
        <v>2.2447319999999999</v>
      </c>
      <c r="I6029">
        <v>0.32297799999999999</v>
      </c>
      <c r="J6029">
        <v>-417.00549999999998</v>
      </c>
      <c r="K6029">
        <v>1.119739</v>
      </c>
      <c r="L6029">
        <v>24.613769999999999</v>
      </c>
      <c r="M6029">
        <v>0.56852170000000002</v>
      </c>
      <c r="N6029">
        <v>0</v>
      </c>
      <c r="O6029">
        <v>-0.82252420000000004</v>
      </c>
      <c r="P6029">
        <v>0.69575669999999901</v>
      </c>
      <c r="Q6029">
        <v>4.215029E-2</v>
      </c>
      <c r="R6029">
        <v>-0.71704029999999996</v>
      </c>
      <c r="S6029">
        <v>3.0312809999999999</v>
      </c>
      <c r="T6029">
        <v>5.779016E-2</v>
      </c>
      <c r="U6029">
        <v>-1.253387</v>
      </c>
      <c r="V6029">
        <v>-0.1659156</v>
      </c>
      <c r="W6029">
        <v>5.3540200000000003E-2</v>
      </c>
      <c r="X6029">
        <v>0.98468549999999999</v>
      </c>
      <c r="Y6029">
        <v>-0.54277339999999996</v>
      </c>
      <c r="Z6029">
        <v>-1.744617E-2</v>
      </c>
      <c r="AA6029">
        <v>0.83969799999999895</v>
      </c>
      <c r="AB6029">
        <v>26</v>
      </c>
      <c r="AC6029">
        <v>58.9271999999999</v>
      </c>
      <c r="AD6029">
        <v>1.1249929999999999</v>
      </c>
      <c r="AE6029">
        <v>-24.290792</v>
      </c>
      <c r="AF6029">
        <v>-34.652518246691002</v>
      </c>
      <c r="AG6029">
        <v>1.1249929999999999</v>
      </c>
      <c r="AH6029">
        <v>53.470837087652697</v>
      </c>
      <c r="AI6029">
        <v>88.988494624892894</v>
      </c>
      <c r="AJ6029">
        <v>122.945815141442</v>
      </c>
      <c r="AK6029">
        <v>63.727490527570602</v>
      </c>
      <c r="AL6029">
        <v>86.930905138322103</v>
      </c>
      <c r="AM6029">
        <v>99.564273960603899</v>
      </c>
      <c r="AN6029">
        <v>1.0000000366248201</v>
      </c>
    </row>
    <row r="6030" spans="1:40" x14ac:dyDescent="0.25">
      <c r="A6030" t="str">
        <f>"20190312160454769"</f>
        <v>20190312160454769</v>
      </c>
      <c r="B6030" t="str">
        <f>"1552377894760797"</f>
        <v>1552377894760797</v>
      </c>
      <c r="C6030" t="s">
        <v>40</v>
      </c>
      <c r="D6030">
        <v>5.5760579999999997</v>
      </c>
      <c r="E6030">
        <v>0.33438620000000002</v>
      </c>
      <c r="F6030" t="s">
        <v>102</v>
      </c>
      <c r="G6030">
        <v>-356.06909999999999</v>
      </c>
      <c r="H6030">
        <v>1.9176359999999999</v>
      </c>
      <c r="I6030">
        <v>0.2093401</v>
      </c>
      <c r="J6030">
        <v>-416.92849999999999</v>
      </c>
      <c r="K6030">
        <v>1.119767</v>
      </c>
      <c r="L6030">
        <v>24.514009999999999</v>
      </c>
      <c r="M6030">
        <v>0.57402489999999995</v>
      </c>
      <c r="N6030">
        <v>0</v>
      </c>
      <c r="O6030">
        <v>-0.81869269999999905</v>
      </c>
      <c r="P6030">
        <v>0.7007814</v>
      </c>
      <c r="Q6030">
        <v>4.2086600000000002E-2</v>
      </c>
      <c r="R6030">
        <v>-0.71213409999999999</v>
      </c>
      <c r="S6030">
        <v>3.0503849999999999</v>
      </c>
      <c r="T6030">
        <v>3.9941549999999999E-2</v>
      </c>
      <c r="U6030">
        <v>-1.221649</v>
      </c>
      <c r="V6030">
        <v>-0.16623599999999999</v>
      </c>
      <c r="W6030">
        <v>5.3469250000000003E-2</v>
      </c>
      <c r="X6030">
        <v>0.98463529999999999</v>
      </c>
      <c r="Y6030">
        <v>-0.54658280000000004</v>
      </c>
      <c r="Z6030">
        <v>-1.2027950000000001E-2</v>
      </c>
      <c r="AA6030">
        <v>0.83731869999999997</v>
      </c>
      <c r="AB6030">
        <v>26</v>
      </c>
      <c r="AC6030">
        <v>60.859400000000001</v>
      </c>
      <c r="AD6030">
        <v>0.79786900000000005</v>
      </c>
      <c r="AE6030">
        <v>-24.3046699</v>
      </c>
      <c r="AF6030">
        <v>-35.8726072620004</v>
      </c>
      <c r="AG6030">
        <v>0.79786900000000005</v>
      </c>
      <c r="AH6030">
        <v>54.831256493785602</v>
      </c>
      <c r="AI6030">
        <v>89.302351598012905</v>
      </c>
      <c r="AJ6030">
        <v>123.194174557645</v>
      </c>
      <c r="AK6030">
        <v>65.528217093113298</v>
      </c>
      <c r="AL6030">
        <v>86.934976057671605</v>
      </c>
      <c r="AM6030">
        <v>99.582880872136897</v>
      </c>
      <c r="AN6030">
        <v>1.00000002119882</v>
      </c>
    </row>
    <row r="6031" spans="1:40" x14ac:dyDescent="0.25">
      <c r="A6031" t="str">
        <f>"20190312160454782"</f>
        <v>20190312160454782</v>
      </c>
      <c r="B6031" t="str">
        <f>"1552377894771533"</f>
        <v>1552377894771533</v>
      </c>
      <c r="C6031" t="s">
        <v>40</v>
      </c>
      <c r="D6031">
        <v>5.0400199999999904</v>
      </c>
      <c r="E6031">
        <v>0.33331480000000002</v>
      </c>
      <c r="F6031" t="s">
        <v>102</v>
      </c>
      <c r="G6031">
        <v>-356.06909999999999</v>
      </c>
      <c r="H6031">
        <v>1.339083</v>
      </c>
      <c r="I6031">
        <v>0.28407719999999997</v>
      </c>
      <c r="J6031">
        <v>-416.84059999999999</v>
      </c>
      <c r="K6031">
        <v>1.1197950000000001</v>
      </c>
      <c r="L6031">
        <v>24.402560000000001</v>
      </c>
      <c r="M6031">
        <v>0.58023130000000001</v>
      </c>
      <c r="N6031">
        <v>0</v>
      </c>
      <c r="O6031">
        <v>-0.81430539999999996</v>
      </c>
      <c r="P6031">
        <v>0.70637079999999997</v>
      </c>
      <c r="Q6031">
        <v>4.2014320000000001E-2</v>
      </c>
      <c r="R6031">
        <v>-0.70659380000000005</v>
      </c>
      <c r="S6031">
        <v>3.0473940000000002</v>
      </c>
      <c r="T6031">
        <v>1.09818E-2</v>
      </c>
      <c r="U6031">
        <v>-1.213257</v>
      </c>
      <c r="V6031">
        <v>-0.16650999999999999</v>
      </c>
      <c r="W6031">
        <v>5.3392099999999901E-2</v>
      </c>
      <c r="X6031">
        <v>0.98459319999999895</v>
      </c>
      <c r="Y6031">
        <v>-0.54198649999999904</v>
      </c>
      <c r="Z6031">
        <v>-3.298844E-3</v>
      </c>
      <c r="AA6031">
        <v>0.84038069999999898</v>
      </c>
      <c r="AB6031">
        <v>26</v>
      </c>
      <c r="AC6031">
        <v>60.771500000000003</v>
      </c>
      <c r="AD6031">
        <v>0.21928800000000001</v>
      </c>
      <c r="AE6031">
        <v>-24.118482799999999</v>
      </c>
      <c r="AF6031">
        <v>-35.4960933167619</v>
      </c>
      <c r="AG6031">
        <v>0.21928800000000001</v>
      </c>
      <c r="AH6031">
        <v>54.907263738420603</v>
      </c>
      <c r="AI6031">
        <v>89.807832927823796</v>
      </c>
      <c r="AJ6031">
        <v>122.88159915246599</v>
      </c>
      <c r="AK6031">
        <v>65.382171417135496</v>
      </c>
      <c r="AL6031">
        <v>86.939402786271003</v>
      </c>
      <c r="AM6031">
        <v>99.598785094510205</v>
      </c>
      <c r="AN6031">
        <v>1.0000000329643199</v>
      </c>
    </row>
    <row r="6032" spans="1:40" x14ac:dyDescent="0.25">
      <c r="A6032" t="str">
        <f>"20190312160454793"</f>
        <v>20190312160454793</v>
      </c>
      <c r="B6032" t="str">
        <f>"1552377894791053"</f>
        <v>1552377894791053</v>
      </c>
      <c r="C6032" t="s">
        <v>40</v>
      </c>
      <c r="D6032">
        <v>7.9728500000000002</v>
      </c>
      <c r="E6032">
        <v>0.33312160000000002</v>
      </c>
      <c r="F6032" t="s">
        <v>103</v>
      </c>
      <c r="G6032">
        <v>-350.39</v>
      </c>
      <c r="H6032">
        <v>1.578552</v>
      </c>
      <c r="I6032">
        <v>-1.2634939999999999</v>
      </c>
      <c r="J6032">
        <v>-416.76</v>
      </c>
      <c r="K6032">
        <v>1.1198159999999999</v>
      </c>
      <c r="L6032">
        <v>24.3017</v>
      </c>
      <c r="M6032">
        <v>0.58586319999999903</v>
      </c>
      <c r="N6032">
        <v>0</v>
      </c>
      <c r="O6032">
        <v>-0.81026279999999995</v>
      </c>
      <c r="P6032">
        <v>0.71131269999999902</v>
      </c>
      <c r="Q6032">
        <v>4.1886710000000001E-2</v>
      </c>
      <c r="R6032">
        <v>-0.70162679999999999</v>
      </c>
      <c r="S6032">
        <v>3.0625610000000001</v>
      </c>
      <c r="T6032">
        <v>2.1143080000000002E-2</v>
      </c>
      <c r="U6032">
        <v>-1.1828920000000001</v>
      </c>
      <c r="V6032">
        <v>-0.1665895</v>
      </c>
      <c r="W6032">
        <v>5.3265449999999999E-2</v>
      </c>
      <c r="X6032">
        <v>0.98458659999999998</v>
      </c>
      <c r="Y6032">
        <v>-0.54479809999999995</v>
      </c>
      <c r="Z6032">
        <v>-6.3367909999999996E-3</v>
      </c>
      <c r="AA6032">
        <v>0.83854329999999999</v>
      </c>
      <c r="AB6032">
        <v>26</v>
      </c>
      <c r="AC6032">
        <v>66.37</v>
      </c>
      <c r="AD6032">
        <v>0.45873599999999998</v>
      </c>
      <c r="AE6032">
        <v>-25.565194000000002</v>
      </c>
      <c r="AF6032">
        <v>-38.802449240755301</v>
      </c>
      <c r="AG6032">
        <v>0.45873599999999998</v>
      </c>
      <c r="AH6032">
        <v>59.602895282045601</v>
      </c>
      <c r="AI6032">
        <v>89.630440631223706</v>
      </c>
      <c r="AJ6032">
        <v>123.064778507493</v>
      </c>
      <c r="AK6032">
        <v>71.122047438199999</v>
      </c>
      <c r="AL6032">
        <v>86.946669601489702</v>
      </c>
      <c r="AM6032">
        <v>99.603345867321295</v>
      </c>
      <c r="AN6032">
        <v>1.0000000212867499</v>
      </c>
    </row>
    <row r="6033" spans="1:40" x14ac:dyDescent="0.25">
      <c r="A6033" t="str">
        <f>"20190312160454806"</f>
        <v>20190312160454806</v>
      </c>
      <c r="B6033" t="str">
        <f>"1552377894800812"</f>
        <v>1552377894800812</v>
      </c>
      <c r="C6033" t="s">
        <v>40</v>
      </c>
      <c r="D6033">
        <v>5.5976869999999996</v>
      </c>
      <c r="E6033">
        <v>0.33340910000000001</v>
      </c>
      <c r="F6033" t="s">
        <v>103</v>
      </c>
      <c r="G6033">
        <v>-350.39</v>
      </c>
      <c r="H6033">
        <v>1.8236239999999999</v>
      </c>
      <c r="I6033">
        <v>-0.76089640000000003</v>
      </c>
      <c r="J6033">
        <v>-416.6628</v>
      </c>
      <c r="K6033">
        <v>1.1198399999999999</v>
      </c>
      <c r="L6033">
        <v>24.181550000000001</v>
      </c>
      <c r="M6033">
        <v>0.59258659999999996</v>
      </c>
      <c r="N6033">
        <v>0</v>
      </c>
      <c r="O6033">
        <v>-0.80535840000000003</v>
      </c>
      <c r="P6033">
        <v>0.71717549999999997</v>
      </c>
      <c r="Q6033">
        <v>4.1642690000000003E-2</v>
      </c>
      <c r="R6033">
        <v>-0.69564740000000003</v>
      </c>
      <c r="S6033">
        <v>3.071564</v>
      </c>
      <c r="T6033">
        <v>3.2571790000000003E-2</v>
      </c>
      <c r="U6033">
        <v>-1.1598820000000001</v>
      </c>
      <c r="V6033">
        <v>-0.16664609999999999</v>
      </c>
      <c r="W6033">
        <v>5.302308E-2</v>
      </c>
      <c r="X6033">
        <v>0.98459010000000002</v>
      </c>
      <c r="Y6033">
        <v>-0.544099</v>
      </c>
      <c r="Z6033">
        <v>-9.7297519999999995E-3</v>
      </c>
      <c r="AA6033">
        <v>0.83896459999999995</v>
      </c>
      <c r="AB6033">
        <v>26</v>
      </c>
      <c r="AC6033">
        <v>66.272800000000004</v>
      </c>
      <c r="AD6033">
        <v>0.70378399999999997</v>
      </c>
      <c r="AE6033">
        <v>-24.942446399999898</v>
      </c>
      <c r="AF6033">
        <v>-38.593596393007502</v>
      </c>
      <c r="AG6033">
        <v>0.70378399999999997</v>
      </c>
      <c r="AH6033">
        <v>59.3612120212943</v>
      </c>
      <c r="AI6033">
        <v>89.430505710972199</v>
      </c>
      <c r="AJ6033">
        <v>123.029844015718</v>
      </c>
      <c r="AK6033">
        <v>70.807587779150296</v>
      </c>
      <c r="AL6033">
        <v>86.960576019235006</v>
      </c>
      <c r="AM6033">
        <v>99.606514365385706</v>
      </c>
      <c r="AN6033">
        <v>1.00000001733795</v>
      </c>
    </row>
    <row r="6034" spans="1:40" x14ac:dyDescent="0.25">
      <c r="A6034" t="str">
        <f>"20190312160454819"</f>
        <v>20190312160454819</v>
      </c>
      <c r="B6034" t="str">
        <f>"1552377894811549"</f>
        <v>1552377894811549</v>
      </c>
      <c r="C6034" t="s">
        <v>40</v>
      </c>
      <c r="D6034">
        <v>5.6321750000000002</v>
      </c>
      <c r="E6034">
        <v>0.3337001</v>
      </c>
      <c r="F6034" t="s">
        <v>103</v>
      </c>
      <c r="G6034">
        <v>-350.54129999999998</v>
      </c>
      <c r="H6034">
        <v>1.877907</v>
      </c>
      <c r="I6034">
        <v>-0.2012854</v>
      </c>
      <c r="J6034">
        <v>-416.577</v>
      </c>
      <c r="K6034">
        <v>1.119856</v>
      </c>
      <c r="L6034">
        <v>24.077970000000001</v>
      </c>
      <c r="M6034">
        <v>0.59843610000000003</v>
      </c>
      <c r="N6034">
        <v>0</v>
      </c>
      <c r="O6034">
        <v>-0.80102119999999999</v>
      </c>
      <c r="P6034">
        <v>0.72193160000000001</v>
      </c>
      <c r="Q6034">
        <v>4.1455560000000002E-2</v>
      </c>
      <c r="R6034">
        <v>-0.69072180000000005</v>
      </c>
      <c r="S6034">
        <v>3.0794980000000001</v>
      </c>
      <c r="T6034">
        <v>3.5305740000000002E-2</v>
      </c>
      <c r="U6034">
        <v>-1.1355900000000001</v>
      </c>
      <c r="V6034">
        <v>-0.16622129999999999</v>
      </c>
      <c r="W6034">
        <v>5.2852139999999999E-2</v>
      </c>
      <c r="X6034">
        <v>0.98467110000000002</v>
      </c>
      <c r="Y6034">
        <v>-0.54450489999999996</v>
      </c>
      <c r="Z6034">
        <v>-1.052343E-2</v>
      </c>
      <c r="AA6034">
        <v>0.83869159999999898</v>
      </c>
      <c r="AB6034">
        <v>26</v>
      </c>
      <c r="AC6034">
        <v>66.035700000000006</v>
      </c>
      <c r="AD6034">
        <v>0.75805100000000003</v>
      </c>
      <c r="AE6034">
        <v>-24.279255399999901</v>
      </c>
      <c r="AF6034">
        <v>-38.3665497961534</v>
      </c>
      <c r="AG6034">
        <v>0.75805100000000003</v>
      </c>
      <c r="AH6034">
        <v>58.966555702876903</v>
      </c>
      <c r="AI6034">
        <v>89.382632920375897</v>
      </c>
      <c r="AJ6034">
        <v>123.050013545959</v>
      </c>
      <c r="AK6034">
        <v>70.353546293273695</v>
      </c>
      <c r="AL6034">
        <v>86.970383926863406</v>
      </c>
      <c r="AM6034">
        <v>99.581707266886497</v>
      </c>
      <c r="AN6034">
        <v>1.0000000222257299</v>
      </c>
    </row>
    <row r="6035" spans="1:40" x14ac:dyDescent="0.25">
      <c r="A6035" t="str">
        <f>"20190312160454830"</f>
        <v>20190312160454830</v>
      </c>
      <c r="B6035" t="str">
        <f>"1552377894821309"</f>
        <v>1552377894821309</v>
      </c>
      <c r="C6035" t="s">
        <v>40</v>
      </c>
      <c r="D6035">
        <v>5.549442</v>
      </c>
      <c r="E6035">
        <v>0.33408100000000002</v>
      </c>
      <c r="F6035" t="s">
        <v>103</v>
      </c>
      <c r="G6035">
        <v>-350.54129999999998</v>
      </c>
      <c r="H6035">
        <v>1.949454</v>
      </c>
      <c r="I6035">
        <v>0.19379759999999999</v>
      </c>
      <c r="J6035">
        <v>-416.4966</v>
      </c>
      <c r="K6035">
        <v>1.119866</v>
      </c>
      <c r="L6035">
        <v>23.981719999999999</v>
      </c>
      <c r="M6035">
        <v>0.6038654</v>
      </c>
      <c r="N6035">
        <v>0</v>
      </c>
      <c r="O6035">
        <v>-0.79693610000000004</v>
      </c>
      <c r="P6035">
        <v>0.72651009999999905</v>
      </c>
      <c r="Q6035">
        <v>4.1787169999999998E-2</v>
      </c>
      <c r="R6035">
        <v>-0.68588400000000005</v>
      </c>
      <c r="S6035">
        <v>3.0855410000000001</v>
      </c>
      <c r="T6035">
        <v>3.8763279999999997E-2</v>
      </c>
      <c r="U6035">
        <v>-1.1159969999999999</v>
      </c>
      <c r="V6035">
        <v>-0.16610139999999901</v>
      </c>
      <c r="W6035">
        <v>5.31907E-2</v>
      </c>
      <c r="X6035">
        <v>0.98467309999999997</v>
      </c>
      <c r="Y6035">
        <v>-0.5440258</v>
      </c>
      <c r="Z6035">
        <v>-1.1526109999999999E-2</v>
      </c>
      <c r="AA6035">
        <v>0.83898930000000005</v>
      </c>
      <c r="AB6035">
        <v>26</v>
      </c>
      <c r="AC6035">
        <v>65.955299999999994</v>
      </c>
      <c r="AD6035">
        <v>0.82958799999999899</v>
      </c>
      <c r="AE6035">
        <v>-23.787922399999999</v>
      </c>
      <c r="AF6035">
        <v>-38.196682546719003</v>
      </c>
      <c r="AG6035">
        <v>0.82958799999999899</v>
      </c>
      <c r="AH6035">
        <v>58.7843869502179</v>
      </c>
      <c r="AI6035">
        <v>89.322013345546495</v>
      </c>
      <c r="AJ6035">
        <v>123.014843440033</v>
      </c>
      <c r="AK6035">
        <v>70.109050221334002</v>
      </c>
      <c r="AL6035">
        <v>86.950958536327505</v>
      </c>
      <c r="AM6035">
        <v>99.574904637328302</v>
      </c>
      <c r="AN6035">
        <v>1.0000000197560199</v>
      </c>
    </row>
    <row r="6036" spans="1:40" x14ac:dyDescent="0.25">
      <c r="A6036" t="str">
        <f>"20190312160454839"</f>
        <v>20190312160454839</v>
      </c>
      <c r="B6036" t="str">
        <f>"1552377894831069"</f>
        <v>1552377894831069</v>
      </c>
      <c r="C6036" t="s">
        <v>40</v>
      </c>
      <c r="D6036">
        <v>5.6226799999999999</v>
      </c>
      <c r="E6036">
        <v>0.3347909</v>
      </c>
      <c r="F6036" t="s">
        <v>103</v>
      </c>
      <c r="G6036">
        <v>-349.87020000000001</v>
      </c>
      <c r="H6036">
        <v>2.0024500000000001</v>
      </c>
      <c r="I6036">
        <v>0.32305909999999999</v>
      </c>
      <c r="J6036">
        <v>-416.42020000000002</v>
      </c>
      <c r="K6036">
        <v>1.1198709999999901</v>
      </c>
      <c r="L6036">
        <v>23.891940000000002</v>
      </c>
      <c r="M6036">
        <v>0.60895739999999998</v>
      </c>
      <c r="N6036">
        <v>0</v>
      </c>
      <c r="O6036">
        <v>-0.79305199999999998</v>
      </c>
      <c r="P6036">
        <v>0.73072479999999995</v>
      </c>
      <c r="Q6036">
        <v>4.2199470000000003E-2</v>
      </c>
      <c r="R6036">
        <v>-0.6813669</v>
      </c>
      <c r="S6036">
        <v>3.0908199999999999</v>
      </c>
      <c r="T6036">
        <v>4.0943380000000001E-2</v>
      </c>
      <c r="U6036">
        <v>-1.097534</v>
      </c>
      <c r="V6036">
        <v>-0.1658906</v>
      </c>
      <c r="W6036">
        <v>5.3613050000000002E-2</v>
      </c>
      <c r="X6036">
        <v>0.9846857</v>
      </c>
      <c r="Y6036">
        <v>-0.54354380000000002</v>
      </c>
      <c r="Z6036">
        <v>-1.214691E-2</v>
      </c>
      <c r="AA6036">
        <v>0.83929290000000001</v>
      </c>
      <c r="AB6036">
        <v>26</v>
      </c>
      <c r="AC6036">
        <v>66.55</v>
      </c>
      <c r="AD6036">
        <v>0.882579</v>
      </c>
      <c r="AE6036">
        <v>-23.5688808999999</v>
      </c>
      <c r="AF6036">
        <v>-38.423761936223499</v>
      </c>
      <c r="AG6036">
        <v>0.882579</v>
      </c>
      <c r="AH6036">
        <v>59.215299030587197</v>
      </c>
      <c r="AI6036">
        <v>89.283666523497303</v>
      </c>
      <c r="AJ6036">
        <v>122.97882729184001</v>
      </c>
      <c r="AK6036">
        <v>70.5947311511609</v>
      </c>
      <c r="AL6036">
        <v>86.926724990997002</v>
      </c>
      <c r="AM6036">
        <v>99.562857535519001</v>
      </c>
      <c r="AN6036">
        <v>0.99999998904157605</v>
      </c>
    </row>
    <row r="6037" spans="1:40" x14ac:dyDescent="0.25">
      <c r="A6037" t="str">
        <f>"20190312160454850"</f>
        <v>20190312160454850</v>
      </c>
      <c r="B6037" t="str">
        <f>"1552377894840829"</f>
        <v>1552377894840829</v>
      </c>
      <c r="C6037" t="s">
        <v>40</v>
      </c>
      <c r="D6037">
        <v>5.631367</v>
      </c>
      <c r="E6037">
        <v>0.33517039999999998</v>
      </c>
      <c r="F6037" t="s">
        <v>103</v>
      </c>
      <c r="G6037">
        <v>-348.62990000000002</v>
      </c>
      <c r="H6037">
        <v>2.0128729999999999</v>
      </c>
      <c r="I6037">
        <v>0.16633609999999999</v>
      </c>
      <c r="J6037">
        <v>-416.34390000000002</v>
      </c>
      <c r="K6037">
        <v>1.1198680000000001</v>
      </c>
      <c r="L6037">
        <v>23.803100000000001</v>
      </c>
      <c r="M6037">
        <v>0.61399329999999996</v>
      </c>
      <c r="N6037">
        <v>0</v>
      </c>
      <c r="O6037">
        <v>-0.789159099999999</v>
      </c>
      <c r="P6037">
        <v>0.73495250000000001</v>
      </c>
      <c r="Q6037">
        <v>4.1994469999999999E-2</v>
      </c>
      <c r="R6037">
        <v>-0.67681720000000001</v>
      </c>
      <c r="S6037">
        <v>3.0935670000000002</v>
      </c>
      <c r="T6037">
        <v>4.0751580000000003E-2</v>
      </c>
      <c r="U6037">
        <v>-1.082703</v>
      </c>
      <c r="V6037">
        <v>-0.16574059999999999</v>
      </c>
      <c r="W6037">
        <v>5.3417340000000001E-2</v>
      </c>
      <c r="X6037">
        <v>0.98472159999999997</v>
      </c>
      <c r="Y6037">
        <v>-0.54201499999999903</v>
      </c>
      <c r="Z6037">
        <v>-1.2061199999999999E-2</v>
      </c>
      <c r="AA6037">
        <v>0.84028230000000004</v>
      </c>
      <c r="AB6037">
        <v>26</v>
      </c>
      <c r="AC6037">
        <v>67.713999999999999</v>
      </c>
      <c r="AD6037">
        <v>0.89300499999999905</v>
      </c>
      <c r="AE6037">
        <v>-23.636763899999998</v>
      </c>
      <c r="AF6037">
        <v>-38.922944921757399</v>
      </c>
      <c r="AG6037">
        <v>0.89300499999999905</v>
      </c>
      <c r="AH6037">
        <v>60.227005713683297</v>
      </c>
      <c r="AI6037">
        <v>89.286529727569999</v>
      </c>
      <c r="AJ6037">
        <v>122.873399068694</v>
      </c>
      <c r="AK6037">
        <v>71.715307407472096</v>
      </c>
      <c r="AL6037">
        <v>86.937954455066205</v>
      </c>
      <c r="AM6037">
        <v>99.554028275689006</v>
      </c>
      <c r="AN6037">
        <v>0.99999999410379703</v>
      </c>
    </row>
    <row r="6038" spans="1:40" x14ac:dyDescent="0.25">
      <c r="A6038" t="str">
        <f>"20190312160454860"</f>
        <v>20190312160454860</v>
      </c>
      <c r="B6038" t="str">
        <f>"1552377894851565"</f>
        <v>1552377894851565</v>
      </c>
      <c r="C6038" t="s">
        <v>40</v>
      </c>
      <c r="D6038">
        <v>5.5978700000000003</v>
      </c>
      <c r="E6038">
        <v>0.33574759999999998</v>
      </c>
      <c r="F6038" t="s">
        <v>103</v>
      </c>
      <c r="G6038">
        <v>-348.07639999999998</v>
      </c>
      <c r="H6038">
        <v>2.0155180000000001</v>
      </c>
      <c r="I6038">
        <v>0.32305479999999998</v>
      </c>
      <c r="J6038">
        <v>-416.26690000000002</v>
      </c>
      <c r="K6038">
        <v>1.1198669999999999</v>
      </c>
      <c r="L6038">
        <v>23.714939999999999</v>
      </c>
      <c r="M6038">
        <v>0.6190118</v>
      </c>
      <c r="N6038">
        <v>0</v>
      </c>
      <c r="O6038">
        <v>-0.78522890000000001</v>
      </c>
      <c r="P6038">
        <v>0.739104599999999</v>
      </c>
      <c r="Q6038">
        <v>4.1466799999999998E-2</v>
      </c>
      <c r="R6038">
        <v>-0.67231350000000001</v>
      </c>
      <c r="S6038">
        <v>3.098236</v>
      </c>
      <c r="T6038">
        <v>4.064798E-2</v>
      </c>
      <c r="U6038">
        <v>-1.0656129999999999</v>
      </c>
      <c r="V6038">
        <v>-0.16549159999999999</v>
      </c>
      <c r="W6038">
        <v>5.2901190000000001E-2</v>
      </c>
      <c r="X6038">
        <v>0.98479130000000004</v>
      </c>
      <c r="Y6038">
        <v>-0.54119069999999903</v>
      </c>
      <c r="Z6038">
        <v>-1.20004E-2</v>
      </c>
      <c r="AA6038">
        <v>0.84081419999999996</v>
      </c>
      <c r="AB6038">
        <v>26</v>
      </c>
      <c r="AC6038">
        <v>68.1905</v>
      </c>
      <c r="AD6038">
        <v>0.89565099999999997</v>
      </c>
      <c r="AE6038">
        <v>-23.391885200000001</v>
      </c>
      <c r="AF6038">
        <v>-39.063956728148803</v>
      </c>
      <c r="AG6038">
        <v>0.89565099999999997</v>
      </c>
      <c r="AH6038">
        <v>60.576627986034303</v>
      </c>
      <c r="AI6038">
        <v>89.288090869712406</v>
      </c>
      <c r="AJ6038">
        <v>122.81669328344699</v>
      </c>
      <c r="AK6038">
        <v>72.085523956831196</v>
      </c>
      <c r="AL6038">
        <v>86.967569428033201</v>
      </c>
      <c r="AM6038">
        <v>99.539276020041996</v>
      </c>
      <c r="AN6038">
        <v>0.99999995506483197</v>
      </c>
    </row>
    <row r="6039" spans="1:40" x14ac:dyDescent="0.25">
      <c r="A6039" t="str">
        <f>"20190312160454871"</f>
        <v>20190312160454871</v>
      </c>
      <c r="B6039" t="str">
        <f>"1552377894861325"</f>
        <v>1552377894861325</v>
      </c>
      <c r="C6039" t="s">
        <v>40</v>
      </c>
      <c r="D6039">
        <v>5.3529419999999996</v>
      </c>
      <c r="E6039">
        <v>0.33488220000000002</v>
      </c>
      <c r="F6039" t="s">
        <v>103</v>
      </c>
      <c r="G6039">
        <v>-346.70190000000002</v>
      </c>
      <c r="H6039">
        <v>1.99522</v>
      </c>
      <c r="I6039">
        <v>0.16634079999999901</v>
      </c>
      <c r="J6039">
        <v>-416.19349999999997</v>
      </c>
      <c r="K6039">
        <v>1.119861</v>
      </c>
      <c r="L6039">
        <v>23.631620000000002</v>
      </c>
      <c r="M6039">
        <v>0.62375319999999901</v>
      </c>
      <c r="N6039">
        <v>0</v>
      </c>
      <c r="O6039">
        <v>-0.78146780000000005</v>
      </c>
      <c r="P6039">
        <v>0.74296649999999997</v>
      </c>
      <c r="Q6039">
        <v>4.0932629999999998E-2</v>
      </c>
      <c r="R6039">
        <v>-0.66807620000000001</v>
      </c>
      <c r="S6039">
        <v>3.1016849999999998</v>
      </c>
      <c r="T6039">
        <v>3.902924E-2</v>
      </c>
      <c r="U6039">
        <v>-1.049957</v>
      </c>
      <c r="V6039">
        <v>-0.1651726</v>
      </c>
      <c r="W6039">
        <v>5.2381209999999997E-2</v>
      </c>
      <c r="X6039">
        <v>0.98487270000000005</v>
      </c>
      <c r="Y6039">
        <v>-0.54019680000000003</v>
      </c>
      <c r="Z6039">
        <v>-1.149587E-2</v>
      </c>
      <c r="AA6039">
        <v>0.84146019999999899</v>
      </c>
      <c r="AB6039">
        <v>26</v>
      </c>
      <c r="AC6039">
        <v>69.491599999999906</v>
      </c>
      <c r="AD6039">
        <v>0.875359</v>
      </c>
      <c r="AE6039">
        <v>-23.465279199999902</v>
      </c>
      <c r="AF6039">
        <v>-39.668016282476501</v>
      </c>
      <c r="AG6039">
        <v>0.875359</v>
      </c>
      <c r="AH6039">
        <v>61.681586420172302</v>
      </c>
      <c r="AI6039">
        <v>89.316134079031301</v>
      </c>
      <c r="AJ6039">
        <v>122.74545738132799</v>
      </c>
      <c r="AK6039">
        <v>73.341229008484007</v>
      </c>
      <c r="AL6039">
        <v>86.997403610616701</v>
      </c>
      <c r="AM6039">
        <v>99.520452645082102</v>
      </c>
      <c r="AN6039">
        <v>1.00000000707855</v>
      </c>
    </row>
    <row r="6040" spans="1:40" x14ac:dyDescent="0.25">
      <c r="A6040" t="str">
        <f>"20190312160454881"</f>
        <v>20190312160454881</v>
      </c>
      <c r="B6040" t="str">
        <f>"1552377894871650"</f>
        <v>1552377894871650</v>
      </c>
      <c r="C6040" t="s">
        <v>40</v>
      </c>
      <c r="D6040">
        <v>5.4663899999999996</v>
      </c>
      <c r="E6040">
        <v>0.33413169999999998</v>
      </c>
      <c r="F6040" t="s">
        <v>103</v>
      </c>
      <c r="G6040">
        <v>-345.5514</v>
      </c>
      <c r="H6040">
        <v>2.178544</v>
      </c>
      <c r="I6040">
        <v>0.32299999999999901</v>
      </c>
      <c r="J6040">
        <v>-416.11329999999998</v>
      </c>
      <c r="K6040">
        <v>1.1198459999999999</v>
      </c>
      <c r="L6040">
        <v>23.541930000000001</v>
      </c>
      <c r="M6040">
        <v>0.6288724</v>
      </c>
      <c r="N6040">
        <v>0</v>
      </c>
      <c r="O6040">
        <v>-0.77735399999999999</v>
      </c>
      <c r="P6040">
        <v>0.74701209999999996</v>
      </c>
      <c r="Q6040">
        <v>3.9761629999999999E-2</v>
      </c>
      <c r="R6040">
        <v>-0.6636206</v>
      </c>
      <c r="S6040">
        <v>3.1120299999999999</v>
      </c>
      <c r="T6040">
        <v>4.6638609999999997E-2</v>
      </c>
      <c r="U6040">
        <v>-1.0268250000000001</v>
      </c>
      <c r="V6040">
        <v>-0.16461509999999999</v>
      </c>
      <c r="W6040">
        <v>5.1231180000000001E-2</v>
      </c>
      <c r="X6040">
        <v>0.98502650000000003</v>
      </c>
      <c r="Y6040">
        <v>-0.54111489999999995</v>
      </c>
      <c r="Z6040">
        <v>-1.3694639999999999E-2</v>
      </c>
      <c r="AA6040">
        <v>0.84083719999999995</v>
      </c>
      <c r="AB6040">
        <v>26</v>
      </c>
      <c r="AC6040">
        <v>70.561899999999895</v>
      </c>
      <c r="AD6040">
        <v>1.0586979999999999</v>
      </c>
      <c r="AE6040">
        <v>-23.21893</v>
      </c>
      <c r="AF6040">
        <v>-40.246492222996103</v>
      </c>
      <c r="AG6040">
        <v>1.0586979999999999</v>
      </c>
      <c r="AH6040">
        <v>62.4185814129318</v>
      </c>
      <c r="AI6040">
        <v>89.183307221178794</v>
      </c>
      <c r="AJ6040">
        <v>122.813268609771</v>
      </c>
      <c r="AK6040">
        <v>74.276377693811199</v>
      </c>
      <c r="AL6040">
        <v>87.063384016582802</v>
      </c>
      <c r="AM6040">
        <v>99.487449344261805</v>
      </c>
      <c r="AN6040">
        <v>0.999999985327226</v>
      </c>
    </row>
    <row r="6041" spans="1:40" x14ac:dyDescent="0.25">
      <c r="A6041" t="str">
        <f>"20190312160454891"</f>
        <v>20190312160454891</v>
      </c>
      <c r="B6041" t="str">
        <f>"1552377894881410"</f>
        <v>1552377894881410</v>
      </c>
      <c r="C6041" t="s">
        <v>40</v>
      </c>
      <c r="D6041">
        <v>5.0242230000000001</v>
      </c>
      <c r="E6041">
        <v>0.33370729999999998</v>
      </c>
      <c r="F6041" t="s">
        <v>103</v>
      </c>
      <c r="G6041">
        <v>-343.86579999999998</v>
      </c>
      <c r="H6041">
        <v>2.3279719999999999</v>
      </c>
      <c r="I6041">
        <v>0.3229513</v>
      </c>
      <c r="J6041">
        <v>-416.04340000000002</v>
      </c>
      <c r="K6041">
        <v>1.119834</v>
      </c>
      <c r="L6041">
        <v>23.46472</v>
      </c>
      <c r="M6041">
        <v>0.63327999999999995</v>
      </c>
      <c r="N6041">
        <v>0</v>
      </c>
      <c r="O6041">
        <v>-0.77376739999999999</v>
      </c>
      <c r="P6041">
        <v>0.75035569999999996</v>
      </c>
      <c r="Q6041">
        <v>3.9395640000000003E-2</v>
      </c>
      <c r="R6041">
        <v>-0.65985959999999999</v>
      </c>
      <c r="S6041">
        <v>3.121918</v>
      </c>
      <c r="T6041">
        <v>5.2204970000000003E-2</v>
      </c>
      <c r="U6041">
        <v>-1.0033259999999999</v>
      </c>
      <c r="V6041">
        <v>-0.16397120000000001</v>
      </c>
      <c r="W6041">
        <v>5.088736E-2</v>
      </c>
      <c r="X6041">
        <v>0.98515169999999996</v>
      </c>
      <c r="Y6041">
        <v>-0.54282399999999997</v>
      </c>
      <c r="Z6041">
        <v>-1.5293589999999999E-2</v>
      </c>
      <c r="AA6041">
        <v>0.83970730000000005</v>
      </c>
      <c r="AB6041">
        <v>26</v>
      </c>
      <c r="AC6041">
        <v>72.177599999999998</v>
      </c>
      <c r="AD6041">
        <v>1.2081379999999999</v>
      </c>
      <c r="AE6041">
        <v>-23.1417687</v>
      </c>
      <c r="AF6041">
        <v>-41.187943928120802</v>
      </c>
      <c r="AG6041">
        <v>1.2081379999999999</v>
      </c>
      <c r="AH6041">
        <v>63.606466593674398</v>
      </c>
      <c r="AI6041">
        <v>89.086597664641005</v>
      </c>
      <c r="AJ6041">
        <v>122.924806607715</v>
      </c>
      <c r="AK6041">
        <v>75.787128953307601</v>
      </c>
      <c r="AL6041">
        <v>87.083109150530206</v>
      </c>
      <c r="AM6041">
        <v>99.449830069699601</v>
      </c>
      <c r="AN6041">
        <v>0.999999974925049</v>
      </c>
    </row>
    <row r="6042" spans="1:40" x14ac:dyDescent="0.25">
      <c r="A6042" t="str">
        <f>"20190312160454901"</f>
        <v>20190312160454901</v>
      </c>
      <c r="B6042" t="str">
        <f>"1552377894891170"</f>
        <v>1552377894891170</v>
      </c>
      <c r="C6042" t="s">
        <v>40</v>
      </c>
      <c r="D6042">
        <v>5.1355449999999996</v>
      </c>
      <c r="E6042">
        <v>0.33346140000000002</v>
      </c>
      <c r="F6042" t="s">
        <v>103</v>
      </c>
      <c r="G6042">
        <v>-342.0591</v>
      </c>
      <c r="H6042">
        <v>2.4870040000000002</v>
      </c>
      <c r="I6042">
        <v>0.17954439999999999</v>
      </c>
      <c r="J6042">
        <v>-415.9599</v>
      </c>
      <c r="K6042">
        <v>1.1198239999999999</v>
      </c>
      <c r="L6042">
        <v>23.373719999999999</v>
      </c>
      <c r="M6042">
        <v>0.63848709999999997</v>
      </c>
      <c r="N6042">
        <v>0</v>
      </c>
      <c r="O6042">
        <v>-0.76947639999999995</v>
      </c>
      <c r="P6042">
        <v>0.75450119999999998</v>
      </c>
      <c r="Q6042">
        <v>3.87056E-2</v>
      </c>
      <c r="R6042">
        <v>-0.65515669999999904</v>
      </c>
      <c r="S6042">
        <v>3.1290279999999999</v>
      </c>
      <c r="T6042">
        <v>5.7821869999999997E-2</v>
      </c>
      <c r="U6042">
        <v>-0.98480219999999896</v>
      </c>
      <c r="V6042">
        <v>-0.16349149999999901</v>
      </c>
      <c r="W6042">
        <v>5.0217320000000003E-2</v>
      </c>
      <c r="X6042">
        <v>0.98526590000000003</v>
      </c>
      <c r="Y6042">
        <v>-0.54219790000000001</v>
      </c>
      <c r="Z6042">
        <v>-1.6879660000000001E-2</v>
      </c>
      <c r="AA6042">
        <v>0.84008130000000003</v>
      </c>
      <c r="AB6042">
        <v>26</v>
      </c>
      <c r="AC6042">
        <v>73.900800000000004</v>
      </c>
      <c r="AD6042">
        <v>1.3671800000000001</v>
      </c>
      <c r="AE6042">
        <v>-23.194175600000001</v>
      </c>
      <c r="AF6042">
        <v>-42.047692727100902</v>
      </c>
      <c r="AG6042">
        <v>1.3671800000000001</v>
      </c>
      <c r="AH6042">
        <v>65.019635056066804</v>
      </c>
      <c r="AI6042">
        <v>88.988447854799205</v>
      </c>
      <c r="AJ6042">
        <v>122.8904349662</v>
      </c>
      <c r="AK6042">
        <v>77.443079662738199</v>
      </c>
      <c r="AL6042">
        <v>87.121549043659101</v>
      </c>
      <c r="AM6042">
        <v>99.421608369191503</v>
      </c>
      <c r="AN6042">
        <v>1.0000000717515101</v>
      </c>
    </row>
    <row r="6043" spans="1:40" x14ac:dyDescent="0.25">
      <c r="A6043" t="str">
        <f>"20190312160454914"</f>
        <v>20190312160454914</v>
      </c>
      <c r="B6043" t="str">
        <f>"1552377894911665"</f>
        <v>1552377894911665</v>
      </c>
      <c r="C6043" t="s">
        <v>40</v>
      </c>
      <c r="D6043">
        <v>5.5414180000000002</v>
      </c>
      <c r="E6043">
        <v>0.33309229999999901</v>
      </c>
      <c r="F6043" t="s">
        <v>103</v>
      </c>
      <c r="G6043">
        <v>-341.96300000000002</v>
      </c>
      <c r="H6043">
        <v>2.5431659999999998</v>
      </c>
      <c r="I6043">
        <v>0.63561919999999905</v>
      </c>
      <c r="J6043">
        <v>-415.87009999999998</v>
      </c>
      <c r="K6043">
        <v>1.11981</v>
      </c>
      <c r="L6043">
        <v>23.27713</v>
      </c>
      <c r="M6043">
        <v>0.64401730000000001</v>
      </c>
      <c r="N6043">
        <v>0</v>
      </c>
      <c r="O6043">
        <v>-0.76485349999999996</v>
      </c>
      <c r="P6043">
        <v>0.75910789999999995</v>
      </c>
      <c r="Q6043">
        <v>3.8392849999999999E-2</v>
      </c>
      <c r="R6043">
        <v>-0.64983169999999901</v>
      </c>
      <c r="S6043">
        <v>3.1362299999999999</v>
      </c>
      <c r="T6043">
        <v>6.0325860000000002E-2</v>
      </c>
      <c r="U6043">
        <v>-0.96371459999999998</v>
      </c>
      <c r="V6043">
        <v>-0.16332430000000001</v>
      </c>
      <c r="W6043">
        <v>4.9915849999999998E-2</v>
      </c>
      <c r="X6043">
        <v>0.98530890000000004</v>
      </c>
      <c r="Y6043">
        <v>-0.54183099999999995</v>
      </c>
      <c r="Z6043">
        <v>-1.754936E-2</v>
      </c>
      <c r="AA6043">
        <v>0.84030419999999995</v>
      </c>
      <c r="AB6043">
        <v>26</v>
      </c>
      <c r="AC6043">
        <v>73.9070999999999</v>
      </c>
      <c r="AD6043">
        <v>1.4233559999999901</v>
      </c>
      <c r="AE6043">
        <v>-22.641510799999999</v>
      </c>
      <c r="AF6043">
        <v>-41.937411638190703</v>
      </c>
      <c r="AG6043">
        <v>1.4233559999999901</v>
      </c>
      <c r="AH6043">
        <v>64.900702015554799</v>
      </c>
      <c r="AI6043">
        <v>88.944716706596495</v>
      </c>
      <c r="AJ6043">
        <v>122.86965883731</v>
      </c>
      <c r="AK6043">
        <v>77.284368143406795</v>
      </c>
      <c r="AL6043">
        <v>87.138843553162602</v>
      </c>
      <c r="AM6043">
        <v>99.411742137703797</v>
      </c>
      <c r="AN6043">
        <v>1.00000002373546</v>
      </c>
    </row>
    <row r="6044" spans="1:40" x14ac:dyDescent="0.25">
      <c r="A6044" t="str">
        <f>"20190312160454924"</f>
        <v>20190312160454924</v>
      </c>
      <c r="B6044" t="str">
        <f>"1552377894921425"</f>
        <v>1552377894921425</v>
      </c>
      <c r="C6044" t="s">
        <v>40</v>
      </c>
      <c r="D6044">
        <v>5.5973870000000003</v>
      </c>
      <c r="E6044">
        <v>0.33295950000000002</v>
      </c>
      <c r="F6044" t="s">
        <v>104</v>
      </c>
      <c r="G6044">
        <v>-279.02</v>
      </c>
      <c r="H6044">
        <v>4.192266</v>
      </c>
      <c r="I6044">
        <v>-17.59234</v>
      </c>
      <c r="J6044">
        <v>-415.78460000000001</v>
      </c>
      <c r="K6044">
        <v>1.1197950000000001</v>
      </c>
      <c r="L6044">
        <v>23.186219999999999</v>
      </c>
      <c r="M6044">
        <v>0.64922019999999903</v>
      </c>
      <c r="N6044">
        <v>0</v>
      </c>
      <c r="O6044">
        <v>-0.76044239999999996</v>
      </c>
      <c r="P6044">
        <v>0.76317630000000003</v>
      </c>
      <c r="Q6044">
        <v>3.794604E-2</v>
      </c>
      <c r="R6044">
        <v>-0.64507550000000002</v>
      </c>
      <c r="S6044">
        <v>3.144501</v>
      </c>
      <c r="T6044">
        <v>7.0598010000000003E-2</v>
      </c>
      <c r="U6044">
        <v>-0.93908689999999995</v>
      </c>
      <c r="V6044">
        <v>-0.1627654</v>
      </c>
      <c r="W6044">
        <v>4.9490079999999999E-2</v>
      </c>
      <c r="X6044">
        <v>0.98542280000000004</v>
      </c>
      <c r="Y6044">
        <v>-0.54268059999999996</v>
      </c>
      <c r="Z6044">
        <v>-2.047771E-2</v>
      </c>
      <c r="AA6044">
        <v>0.83968960000000004</v>
      </c>
      <c r="AB6044">
        <v>26</v>
      </c>
      <c r="AC6044">
        <v>136.7646</v>
      </c>
      <c r="AD6044">
        <v>3.07247099999999</v>
      </c>
      <c r="AE6044">
        <v>-40.778559999999999</v>
      </c>
      <c r="AF6044">
        <v>-77.500738962474699</v>
      </c>
      <c r="AG6044">
        <v>3.07247099999999</v>
      </c>
      <c r="AH6044">
        <v>119.75898793413801</v>
      </c>
      <c r="AI6044">
        <v>88.766110614640795</v>
      </c>
      <c r="AJ6044">
        <v>122.908490050154</v>
      </c>
      <c r="AK6044">
        <v>142.68153282322299</v>
      </c>
      <c r="AL6044">
        <v>87.163268409964402</v>
      </c>
      <c r="AM6044">
        <v>99.379043339178494</v>
      </c>
      <c r="AN6044">
        <v>0.99999996910770195</v>
      </c>
    </row>
    <row r="6045" spans="1:40" x14ac:dyDescent="0.25">
      <c r="A6045" t="str">
        <f>"20190312160454937"</f>
        <v>20190312160454937</v>
      </c>
      <c r="B6045" t="str">
        <f>"1552377894931185"</f>
        <v>1552377894931185</v>
      </c>
      <c r="C6045" t="s">
        <v>40</v>
      </c>
      <c r="D6045">
        <v>5.1883929999999996</v>
      </c>
      <c r="E6045">
        <v>0.33293620000000002</v>
      </c>
      <c r="F6045" t="s">
        <v>104</v>
      </c>
      <c r="G6045">
        <v>-279.02</v>
      </c>
      <c r="H6045">
        <v>4.3792770000000001</v>
      </c>
      <c r="I6045">
        <v>-16.67998</v>
      </c>
      <c r="J6045">
        <v>-415.69380000000001</v>
      </c>
      <c r="K6045">
        <v>1.119777</v>
      </c>
      <c r="L6045">
        <v>23.09158</v>
      </c>
      <c r="M6045">
        <v>0.65465580000000001</v>
      </c>
      <c r="N6045">
        <v>0</v>
      </c>
      <c r="O6045">
        <v>-0.75576790000000005</v>
      </c>
      <c r="P6045">
        <v>0.76745030000000003</v>
      </c>
      <c r="Q6045">
        <v>3.7409449999999997E-2</v>
      </c>
      <c r="R6045">
        <v>-0.64001640000000004</v>
      </c>
      <c r="S6045">
        <v>3.1508479999999999</v>
      </c>
      <c r="T6045">
        <v>7.5093510000000002E-2</v>
      </c>
      <c r="U6045">
        <v>-0.91845699999999997</v>
      </c>
      <c r="V6045">
        <v>-0.16221969999999999</v>
      </c>
      <c r="W6045">
        <v>4.8974770000000001E-2</v>
      </c>
      <c r="X6045">
        <v>0.98553849999999998</v>
      </c>
      <c r="Y6045">
        <v>-0.54214899999999999</v>
      </c>
      <c r="Z6045">
        <v>-2.17042E-2</v>
      </c>
      <c r="AA6045">
        <v>0.84000209999999997</v>
      </c>
      <c r="AB6045">
        <v>26</v>
      </c>
      <c r="AC6045">
        <v>136.6738</v>
      </c>
      <c r="AD6045">
        <v>3.2595000000000001</v>
      </c>
      <c r="AE6045">
        <v>-39.771560000000001</v>
      </c>
      <c r="AF6045">
        <v>-77.225792397334203</v>
      </c>
      <c r="AG6045">
        <v>3.2595000000000001</v>
      </c>
      <c r="AH6045">
        <v>119.484097689463</v>
      </c>
      <c r="AI6045">
        <v>88.687529751053205</v>
      </c>
      <c r="AJ6045">
        <v>122.875675206064</v>
      </c>
      <c r="AK6045">
        <v>142.305646241853</v>
      </c>
      <c r="AL6045">
        <v>87.192829284548097</v>
      </c>
      <c r="AM6045">
        <v>99.347076326739895</v>
      </c>
      <c r="AN6045">
        <v>0.99999994707344497</v>
      </c>
    </row>
    <row r="6046" spans="1:40" x14ac:dyDescent="0.25">
      <c r="A6046" t="str">
        <f>"20190312160454947"</f>
        <v>20190312160454947</v>
      </c>
      <c r="B6046" t="str">
        <f>"1552377894940945"</f>
        <v>1552377894940945</v>
      </c>
      <c r="C6046" t="s">
        <v>40</v>
      </c>
      <c r="D6046">
        <v>5.6309230000000001</v>
      </c>
      <c r="E6046">
        <v>0.33298729999999999</v>
      </c>
      <c r="F6046" t="s">
        <v>104</v>
      </c>
      <c r="G6046">
        <v>-279.55990000000003</v>
      </c>
      <c r="H6046">
        <v>4.5040809999999896</v>
      </c>
      <c r="I6046">
        <v>-15.607530000000001</v>
      </c>
      <c r="J6046">
        <v>-415.60939999999999</v>
      </c>
      <c r="K6046">
        <v>1.119766</v>
      </c>
      <c r="L6046">
        <v>23.004059999999999</v>
      </c>
      <c r="M6046">
        <v>0.65966689999999994</v>
      </c>
      <c r="N6046">
        <v>0</v>
      </c>
      <c r="O6046">
        <v>-0.75139789999999995</v>
      </c>
      <c r="P6046">
        <v>0.77131459999999996</v>
      </c>
      <c r="Q6046">
        <v>3.673307E-2</v>
      </c>
      <c r="R6046">
        <v>-0.63539319999999999</v>
      </c>
      <c r="S6046">
        <v>3.1568299999999998</v>
      </c>
      <c r="T6046">
        <v>7.8479170000000001E-2</v>
      </c>
      <c r="U6046">
        <v>-0.89739990000000003</v>
      </c>
      <c r="V6046">
        <v>-0.16159509999999999</v>
      </c>
      <c r="W6046">
        <v>4.8320849999999999E-2</v>
      </c>
      <c r="X6046">
        <v>0.98567340000000003</v>
      </c>
      <c r="Y6046">
        <v>-0.5421395</v>
      </c>
      <c r="Z6046">
        <v>-2.2613689999999999E-2</v>
      </c>
      <c r="AA6046">
        <v>0.83998410000000001</v>
      </c>
      <c r="AB6046">
        <v>26</v>
      </c>
      <c r="AC6046">
        <v>136.049499999999</v>
      </c>
      <c r="AD6046">
        <v>3.3843149999999902</v>
      </c>
      <c r="AE6046">
        <v>-38.61159</v>
      </c>
      <c r="AF6046">
        <v>-76.721826681193207</v>
      </c>
      <c r="AG6046">
        <v>3.3843149999999902</v>
      </c>
      <c r="AH6046">
        <v>118.706339888028</v>
      </c>
      <c r="AI6046">
        <v>88.628358602538597</v>
      </c>
      <c r="AJ6046">
        <v>122.875239466567</v>
      </c>
      <c r="AK6046">
        <v>141.38206182868501</v>
      </c>
      <c r="AL6046">
        <v>87.230340609861798</v>
      </c>
      <c r="AM6046">
        <v>99.310466436228197</v>
      </c>
      <c r="AN6046">
        <v>0.99999996617814502</v>
      </c>
    </row>
    <row r="6047" spans="1:40" x14ac:dyDescent="0.25">
      <c r="A6047" t="str">
        <f>"20190312160454958"</f>
        <v>20190312160454958</v>
      </c>
      <c r="B6047" t="str">
        <f>"1552377894951681"</f>
        <v>1552377894951681</v>
      </c>
      <c r="C6047" t="s">
        <v>40</v>
      </c>
      <c r="D6047">
        <v>5.570735</v>
      </c>
      <c r="E6047">
        <v>0.3330727</v>
      </c>
      <c r="F6047" t="s">
        <v>104</v>
      </c>
      <c r="G6047">
        <v>-279.55990000000003</v>
      </c>
      <c r="H6047">
        <v>4.5733750000000004</v>
      </c>
      <c r="I6047">
        <v>-14.798920000000001</v>
      </c>
      <c r="J6047">
        <v>-415.52199999999999</v>
      </c>
      <c r="K6047">
        <v>1.1197490000000001</v>
      </c>
      <c r="L6047">
        <v>22.915710000000001</v>
      </c>
      <c r="M6047">
        <v>0.66475629999999997</v>
      </c>
      <c r="N6047">
        <v>0</v>
      </c>
      <c r="O6047">
        <v>-0.74689919999999899</v>
      </c>
      <c r="P6047">
        <v>0.77539939999999996</v>
      </c>
      <c r="Q6047">
        <v>3.5871460000000001E-2</v>
      </c>
      <c r="R6047">
        <v>-0.63045169999999995</v>
      </c>
      <c r="S6047">
        <v>3.161896</v>
      </c>
      <c r="T6047">
        <v>8.0264569999999993E-2</v>
      </c>
      <c r="U6047">
        <v>-0.87857059999999998</v>
      </c>
      <c r="V6047">
        <v>-0.161206399999999</v>
      </c>
      <c r="W6047">
        <v>4.7475429999999999E-2</v>
      </c>
      <c r="X6047">
        <v>0.98577820000000005</v>
      </c>
      <c r="Y6047">
        <v>-0.54140909999999998</v>
      </c>
      <c r="Z6047">
        <v>-2.3048490000000001E-2</v>
      </c>
      <c r="AA6047">
        <v>0.8404433</v>
      </c>
      <c r="AB6047">
        <v>26</v>
      </c>
      <c r="AC6047">
        <v>135.962099999999</v>
      </c>
      <c r="AD6047">
        <v>3.4536259999999999</v>
      </c>
      <c r="AE6047">
        <v>-37.71463</v>
      </c>
      <c r="AF6047">
        <v>-76.442350778380202</v>
      </c>
      <c r="AG6047">
        <v>3.4536259999999999</v>
      </c>
      <c r="AH6047">
        <v>118.49396320548399</v>
      </c>
      <c r="AI6047">
        <v>88.597003813339001</v>
      </c>
      <c r="AJ6047">
        <v>122.826709198061</v>
      </c>
      <c r="AK6047">
        <v>141.05381895296301</v>
      </c>
      <c r="AL6047">
        <v>87.278835472100496</v>
      </c>
      <c r="AM6047">
        <v>99.287491604813695</v>
      </c>
      <c r="AN6047">
        <v>1.00000003972494</v>
      </c>
    </row>
    <row r="6048" spans="1:40" x14ac:dyDescent="0.25">
      <c r="A6048" t="str">
        <f>"20190312160454969"</f>
        <v>20190312160454969</v>
      </c>
      <c r="B6048" t="str">
        <f>"1552377894961443"</f>
        <v>1552377894961443</v>
      </c>
      <c r="C6048" t="s">
        <v>40</v>
      </c>
      <c r="D6048">
        <v>5.6171670000000002</v>
      </c>
      <c r="E6048">
        <v>0.33335179999999998</v>
      </c>
      <c r="F6048" t="s">
        <v>104</v>
      </c>
      <c r="G6048">
        <v>-279.55990000000003</v>
      </c>
      <c r="H6048">
        <v>4.6332269999999998</v>
      </c>
      <c r="I6048">
        <v>-13.9556</v>
      </c>
      <c r="J6048">
        <v>-415.43630000000002</v>
      </c>
      <c r="K6048">
        <v>1.119731</v>
      </c>
      <c r="L6048">
        <v>22.82938</v>
      </c>
      <c r="M6048">
        <v>0.66971099999999995</v>
      </c>
      <c r="N6048">
        <v>0</v>
      </c>
      <c r="O6048">
        <v>-0.7424596</v>
      </c>
      <c r="P6048">
        <v>0.77928540000000002</v>
      </c>
      <c r="Q6048">
        <v>3.5370110000000003E-2</v>
      </c>
      <c r="R6048">
        <v>-0.62567039999999996</v>
      </c>
      <c r="S6048">
        <v>3.1669010000000002</v>
      </c>
      <c r="T6048">
        <v>8.1837770000000004E-2</v>
      </c>
      <c r="U6048">
        <v>-0.85882569999999903</v>
      </c>
      <c r="V6048">
        <v>-0.1607141</v>
      </c>
      <c r="W6048">
        <v>4.699246E-2</v>
      </c>
      <c r="X6048">
        <v>0.98588169999999997</v>
      </c>
      <c r="Y6048">
        <v>-0.5410199</v>
      </c>
      <c r="Z6048">
        <v>-2.342441E-2</v>
      </c>
      <c r="AA6048">
        <v>0.84068349999999903</v>
      </c>
      <c r="AB6048">
        <v>26</v>
      </c>
      <c r="AC6048">
        <v>135.87639999999999</v>
      </c>
      <c r="AD6048">
        <v>3.513496</v>
      </c>
      <c r="AE6048">
        <v>-36.784979999999997</v>
      </c>
      <c r="AF6048">
        <v>-76.209141560369801</v>
      </c>
      <c r="AG6048">
        <v>3.513496</v>
      </c>
      <c r="AH6048">
        <v>118.249868148465</v>
      </c>
      <c r="AI6048">
        <v>88.569330103788303</v>
      </c>
      <c r="AJ6048">
        <v>122.800788014799</v>
      </c>
      <c r="AK6048">
        <v>140.723875830081</v>
      </c>
      <c r="AL6048">
        <v>87.306538480889301</v>
      </c>
      <c r="AM6048">
        <v>99.258665757618601</v>
      </c>
      <c r="AN6048">
        <v>1.0000000198152701</v>
      </c>
    </row>
    <row r="6049" spans="1:40" x14ac:dyDescent="0.25">
      <c r="A6049" t="str">
        <f>"20190312160454979"</f>
        <v>20190312160454979</v>
      </c>
      <c r="B6049" t="str">
        <f>"1552377894971772"</f>
        <v>1552377894971772</v>
      </c>
      <c r="C6049" t="s">
        <v>40</v>
      </c>
      <c r="D6049">
        <v>5.2017170000000004</v>
      </c>
      <c r="E6049">
        <v>0.33360869999999998</v>
      </c>
      <c r="F6049" t="s">
        <v>104</v>
      </c>
      <c r="G6049">
        <v>-279.55990000000003</v>
      </c>
      <c r="H6049">
        <v>4.6978119999999999</v>
      </c>
      <c r="I6049">
        <v>-13.20635</v>
      </c>
      <c r="J6049">
        <v>-415.35059999999999</v>
      </c>
      <c r="K6049">
        <v>1.1197159999999999</v>
      </c>
      <c r="L6049">
        <v>22.744720000000001</v>
      </c>
      <c r="M6049">
        <v>0.67458739999999995</v>
      </c>
      <c r="N6049">
        <v>0</v>
      </c>
      <c r="O6049">
        <v>-0.73803189999999996</v>
      </c>
      <c r="P6049">
        <v>0.7831264</v>
      </c>
      <c r="Q6049">
        <v>3.4779119999999997E-2</v>
      </c>
      <c r="R6049">
        <v>-0.62088940000000004</v>
      </c>
      <c r="S6049">
        <v>3.1707459999999998</v>
      </c>
      <c r="T6049">
        <v>8.3496329999999994E-2</v>
      </c>
      <c r="U6049">
        <v>-0.84091190000000005</v>
      </c>
      <c r="V6049">
        <v>-0.1602577</v>
      </c>
      <c r="W6049">
        <v>4.6418019999999997E-2</v>
      </c>
      <c r="X6049">
        <v>0.98598319999999995</v>
      </c>
      <c r="Y6049">
        <v>-0.54015649999999904</v>
      </c>
      <c r="Z6049">
        <v>-2.381993E-2</v>
      </c>
      <c r="AA6049">
        <v>0.84122739999999996</v>
      </c>
      <c r="AB6049">
        <v>26</v>
      </c>
      <c r="AC6049">
        <v>135.79069999999899</v>
      </c>
      <c r="AD6049">
        <v>3.5780959999999999</v>
      </c>
      <c r="AE6049">
        <v>-35.951070000000001</v>
      </c>
      <c r="AF6049">
        <v>-75.925611625909596</v>
      </c>
      <c r="AG6049">
        <v>3.5780959999999999</v>
      </c>
      <c r="AH6049">
        <v>118.073343720944</v>
      </c>
      <c r="AI6049">
        <v>88.539904666874193</v>
      </c>
      <c r="AJ6049">
        <v>122.742545798753</v>
      </c>
      <c r="AK6049">
        <v>140.42370088128899</v>
      </c>
      <c r="AL6049">
        <v>87.3394874170381</v>
      </c>
      <c r="AM6049">
        <v>99.231892112470405</v>
      </c>
      <c r="AN6049">
        <v>1.0000000168361201</v>
      </c>
    </row>
    <row r="6050" spans="1:40" x14ac:dyDescent="0.25">
      <c r="A6050" t="str">
        <f>"20190312160454993"</f>
        <v>20190312160454993</v>
      </c>
      <c r="B6050" t="str">
        <f>"1552377894981531"</f>
        <v>1552377894981531</v>
      </c>
      <c r="C6050" t="s">
        <v>40</v>
      </c>
      <c r="D6050">
        <v>5.6326450000000001</v>
      </c>
      <c r="E6050">
        <v>0.33382879999999998</v>
      </c>
      <c r="F6050" t="s">
        <v>104</v>
      </c>
      <c r="G6050">
        <v>-279.55990000000003</v>
      </c>
      <c r="H6050">
        <v>4.7340589999999896</v>
      </c>
      <c r="I6050">
        <v>-12.460039999999999</v>
      </c>
      <c r="J6050">
        <v>-415.24900000000002</v>
      </c>
      <c r="K6050">
        <v>1.119699</v>
      </c>
      <c r="L6050">
        <v>22.645510000000002</v>
      </c>
      <c r="M6050">
        <v>0.68029839999999997</v>
      </c>
      <c r="N6050">
        <v>0</v>
      </c>
      <c r="O6050">
        <v>-0.7327709</v>
      </c>
      <c r="P6050">
        <v>0.78775450000000002</v>
      </c>
      <c r="Q6050">
        <v>3.4094909999999999E-2</v>
      </c>
      <c r="R6050">
        <v>-0.61504519999999996</v>
      </c>
      <c r="S6050">
        <v>3.1745610000000002</v>
      </c>
      <c r="T6050">
        <v>8.4497329999999995E-2</v>
      </c>
      <c r="U6050">
        <v>-0.8230286</v>
      </c>
      <c r="V6050">
        <v>-0.15994149999999999</v>
      </c>
      <c r="W6050">
        <v>4.5747820000000002E-2</v>
      </c>
      <c r="X6050">
        <v>0.98606590000000005</v>
      </c>
      <c r="Y6050">
        <v>-0.53829890000000002</v>
      </c>
      <c r="Z6050">
        <v>-2.399826E-2</v>
      </c>
      <c r="AA6050">
        <v>0.8424123</v>
      </c>
      <c r="AB6050">
        <v>26</v>
      </c>
      <c r="AC6050">
        <v>135.6891</v>
      </c>
      <c r="AD6050">
        <v>3.61436</v>
      </c>
      <c r="AE6050">
        <v>-35.105550000000001</v>
      </c>
      <c r="AF6050">
        <v>-75.505662757379298</v>
      </c>
      <c r="AG6050">
        <v>3.61436</v>
      </c>
      <c r="AH6050">
        <v>117.969170694363</v>
      </c>
      <c r="AI6050">
        <v>88.521803462103705</v>
      </c>
      <c r="AJ6050">
        <v>122.621101393022</v>
      </c>
      <c r="AK6050">
        <v>140.11029205935</v>
      </c>
      <c r="AL6050">
        <v>87.3779279813768</v>
      </c>
      <c r="AM6050">
        <v>99.213230137111395</v>
      </c>
      <c r="AN6050">
        <v>1.0000000527999</v>
      </c>
    </row>
    <row r="6051" spans="1:40" x14ac:dyDescent="0.25">
      <c r="A6051" t="str">
        <f>"20190312160455007"</f>
        <v>20190312160455007</v>
      </c>
      <c r="B6051" t="str">
        <f>"1552377895001051"</f>
        <v>1552377895001051</v>
      </c>
      <c r="C6051" t="s">
        <v>40</v>
      </c>
      <c r="D6051">
        <v>5.6713959999999997</v>
      </c>
      <c r="E6051">
        <v>0.33449489999999998</v>
      </c>
      <c r="F6051" t="s">
        <v>104</v>
      </c>
      <c r="G6051">
        <v>-279.55990000000003</v>
      </c>
      <c r="H6051">
        <v>4.7697219999999998</v>
      </c>
      <c r="I6051">
        <v>-11.52716</v>
      </c>
      <c r="J6051">
        <v>-415.13639999999998</v>
      </c>
      <c r="K6051">
        <v>1.119678</v>
      </c>
      <c r="L6051">
        <v>22.536960000000001</v>
      </c>
      <c r="M6051">
        <v>0.68654179999999998</v>
      </c>
      <c r="N6051">
        <v>0</v>
      </c>
      <c r="O6051">
        <v>-0.72692480000000004</v>
      </c>
      <c r="P6051">
        <v>0.79281569999999901</v>
      </c>
      <c r="Q6051">
        <v>3.3791689999999999E-2</v>
      </c>
      <c r="R6051">
        <v>-0.60852439999999997</v>
      </c>
      <c r="S6051">
        <v>3.1794129999999998</v>
      </c>
      <c r="T6051">
        <v>8.5525870000000004E-2</v>
      </c>
      <c r="U6051">
        <v>-0.80072019999999899</v>
      </c>
      <c r="V6051">
        <v>-0.15964320000000001</v>
      </c>
      <c r="W6051">
        <v>4.5458209999999999E-2</v>
      </c>
      <c r="X6051">
        <v>0.98612759999999999</v>
      </c>
      <c r="Y6051">
        <v>-0.53694449999999905</v>
      </c>
      <c r="Z6051">
        <v>-2.4175869999999999E-2</v>
      </c>
      <c r="AA6051">
        <v>0.84327109999999905</v>
      </c>
      <c r="AB6051">
        <v>25</v>
      </c>
      <c r="AC6051">
        <v>135.57649999999899</v>
      </c>
      <c r="AD6051">
        <v>3.6500439999999998</v>
      </c>
      <c r="AE6051">
        <v>-34.064120000000003</v>
      </c>
      <c r="AF6051">
        <v>-75.125307007053905</v>
      </c>
      <c r="AG6051">
        <v>3.6500439999999998</v>
      </c>
      <c r="AH6051">
        <v>117.774876154038</v>
      </c>
      <c r="AI6051">
        <v>88.503279798367203</v>
      </c>
      <c r="AJ6051">
        <v>122.532666893884</v>
      </c>
      <c r="AK6051">
        <v>139.74282102206601</v>
      </c>
      <c r="AL6051">
        <v>87.394538611592296</v>
      </c>
      <c r="AM6051">
        <v>99.195775242124697</v>
      </c>
      <c r="AN6051">
        <v>1.0000000218222</v>
      </c>
    </row>
    <row r="6052" spans="1:40" x14ac:dyDescent="0.25">
      <c r="A6052" t="str">
        <f>"20190312160455020"</f>
        <v>20190312160455020</v>
      </c>
      <c r="B6052" t="str">
        <f>"1552377895011789"</f>
        <v>1552377895011789</v>
      </c>
      <c r="C6052" t="s">
        <v>40</v>
      </c>
      <c r="D6052">
        <v>5.2394089999999904</v>
      </c>
      <c r="E6052">
        <v>0.3345765</v>
      </c>
      <c r="F6052" t="s">
        <v>104</v>
      </c>
      <c r="G6052">
        <v>-279.55990000000003</v>
      </c>
      <c r="H6052">
        <v>4.9111690000000001</v>
      </c>
      <c r="I6052">
        <v>-10.63303</v>
      </c>
      <c r="J6052">
        <v>-415.03460000000001</v>
      </c>
      <c r="K6052">
        <v>1.1196600000000001</v>
      </c>
      <c r="L6052">
        <v>22.441310000000001</v>
      </c>
      <c r="M6052">
        <v>0.69207099999999999</v>
      </c>
      <c r="N6052">
        <v>0</v>
      </c>
      <c r="O6052">
        <v>-0.72166280000000005</v>
      </c>
      <c r="P6052">
        <v>0.79720000000000002</v>
      </c>
      <c r="Q6052">
        <v>3.3301440000000002E-2</v>
      </c>
      <c r="R6052">
        <v>-0.60279669999999996</v>
      </c>
      <c r="S6052">
        <v>3.1824949999999999</v>
      </c>
      <c r="T6052">
        <v>8.9000699999999905E-2</v>
      </c>
      <c r="U6052">
        <v>-0.77862549999999997</v>
      </c>
      <c r="V6052">
        <v>-0.159222</v>
      </c>
      <c r="W6052">
        <v>4.4984240000000002E-2</v>
      </c>
      <c r="X6052">
        <v>0.98621740000000002</v>
      </c>
      <c r="Y6052">
        <v>-0.53618429999999995</v>
      </c>
      <c r="Z6052">
        <v>-2.5067249999999999E-2</v>
      </c>
      <c r="AA6052">
        <v>0.8437287</v>
      </c>
      <c r="AB6052">
        <v>25</v>
      </c>
      <c r="AC6052">
        <v>135.47469999999899</v>
      </c>
      <c r="AD6052">
        <v>3.7915089999999898</v>
      </c>
      <c r="AE6052">
        <v>-33.074339999999999</v>
      </c>
      <c r="AF6052">
        <v>-74.830951271431005</v>
      </c>
      <c r="AG6052">
        <v>3.7915089999999898</v>
      </c>
      <c r="AH6052">
        <v>117.553884688488</v>
      </c>
      <c r="AI6052">
        <v>88.441457048133998</v>
      </c>
      <c r="AJ6052">
        <v>122.479494480639</v>
      </c>
      <c r="AK6052">
        <v>139.402161439623</v>
      </c>
      <c r="AL6052">
        <v>87.421722828656797</v>
      </c>
      <c r="AM6052">
        <v>99.171105201212896</v>
      </c>
      <c r="AN6052">
        <v>0.99999999359756797</v>
      </c>
    </row>
    <row r="6053" spans="1:40" x14ac:dyDescent="0.25">
      <c r="A6053" t="str">
        <f>"20190312160455032"</f>
        <v>20190312160455032</v>
      </c>
      <c r="B6053" t="str">
        <f>"1552377895021547"</f>
        <v>1552377895021547</v>
      </c>
      <c r="C6053" t="s">
        <v>40</v>
      </c>
      <c r="D6053">
        <v>5.8041260000000001</v>
      </c>
      <c r="E6053">
        <v>0.33456669999999999</v>
      </c>
      <c r="F6053" t="s">
        <v>104</v>
      </c>
      <c r="G6053">
        <v>-279.55990000000003</v>
      </c>
      <c r="H6053">
        <v>4.9663729999999999</v>
      </c>
      <c r="I6053">
        <v>-9.6932700000000001</v>
      </c>
      <c r="J6053">
        <v>-414.93490000000003</v>
      </c>
      <c r="K6053">
        <v>1.1196440000000001</v>
      </c>
      <c r="L6053">
        <v>22.348389999999998</v>
      </c>
      <c r="M6053">
        <v>0.69743029999999995</v>
      </c>
      <c r="N6053">
        <v>0</v>
      </c>
      <c r="O6053">
        <v>-0.71648449999999997</v>
      </c>
      <c r="P6053">
        <v>0.80159429999999998</v>
      </c>
      <c r="Q6053">
        <v>3.2614310000000001E-2</v>
      </c>
      <c r="R6053">
        <v>-0.59697840000000002</v>
      </c>
      <c r="S6053">
        <v>3.1876220000000002</v>
      </c>
      <c r="T6053">
        <v>9.0510370000000007E-2</v>
      </c>
      <c r="U6053">
        <v>-0.75610350000000004</v>
      </c>
      <c r="V6053">
        <v>-0.15905279999999899</v>
      </c>
      <c r="W6053">
        <v>4.4306379999999999E-2</v>
      </c>
      <c r="X6053">
        <v>0.98627540000000002</v>
      </c>
      <c r="Y6053">
        <v>-0.53583019999999904</v>
      </c>
      <c r="Z6053">
        <v>-2.539019E-2</v>
      </c>
      <c r="AA6053">
        <v>0.84394400000000003</v>
      </c>
      <c r="AB6053">
        <v>25</v>
      </c>
      <c r="AC6053">
        <v>135.375</v>
      </c>
      <c r="AD6053">
        <v>3.8467289999999998</v>
      </c>
      <c r="AE6053">
        <v>-32.04166</v>
      </c>
      <c r="AF6053">
        <v>-74.599220475064001</v>
      </c>
      <c r="AG6053">
        <v>3.8467289999999998</v>
      </c>
      <c r="AH6053">
        <v>117.296437134915</v>
      </c>
      <c r="AI6053">
        <v>88.414885886970495</v>
      </c>
      <c r="AJ6053">
        <v>122.455903512825</v>
      </c>
      <c r="AK6053">
        <v>139.06219897596799</v>
      </c>
      <c r="AL6053">
        <v>87.460600144220095</v>
      </c>
      <c r="AM6053">
        <v>99.160995097858006</v>
      </c>
      <c r="AN6053">
        <v>1.0000000065708501</v>
      </c>
    </row>
    <row r="6054" spans="1:40" x14ac:dyDescent="0.25">
      <c r="A6054" t="str">
        <f>"20190312160455043"</f>
        <v>20190312160455043</v>
      </c>
      <c r="B6054" t="str">
        <f>"1552377895041067"</f>
        <v>1552377895041067</v>
      </c>
      <c r="C6054" t="s">
        <v>40</v>
      </c>
      <c r="D6054">
        <v>5.6640600000000001</v>
      </c>
      <c r="E6054">
        <v>0.33471659999999998</v>
      </c>
      <c r="F6054" t="s">
        <v>104</v>
      </c>
      <c r="G6054">
        <v>-279.55990000000003</v>
      </c>
      <c r="H6054">
        <v>4.8388609999999996</v>
      </c>
      <c r="I6054">
        <v>-8.7195289999999996</v>
      </c>
      <c r="J6054">
        <v>-414.83629999999999</v>
      </c>
      <c r="K6054">
        <v>1.1196250000000001</v>
      </c>
      <c r="L6054">
        <v>22.25797</v>
      </c>
      <c r="M6054">
        <v>0.70265180000000005</v>
      </c>
      <c r="N6054">
        <v>0</v>
      </c>
      <c r="O6054">
        <v>-0.71136469999999996</v>
      </c>
      <c r="P6054">
        <v>0.805708599999999</v>
      </c>
      <c r="Q6054">
        <v>3.1972319999999999E-2</v>
      </c>
      <c r="R6054">
        <v>-0.59144909999999995</v>
      </c>
      <c r="S6054">
        <v>3.1931759999999998</v>
      </c>
      <c r="T6054">
        <v>8.7727550000000001E-2</v>
      </c>
      <c r="U6054">
        <v>-0.73281859999999999</v>
      </c>
      <c r="V6054">
        <v>-0.15862689999999999</v>
      </c>
      <c r="W6054">
        <v>4.3679950000000002E-2</v>
      </c>
      <c r="X6054">
        <v>0.98637189999999997</v>
      </c>
      <c r="Y6054">
        <v>-0.53584919999999903</v>
      </c>
      <c r="Z6054">
        <v>-2.4512800000000001E-2</v>
      </c>
      <c r="AA6054">
        <v>0.84395779999999998</v>
      </c>
      <c r="AB6054">
        <v>25</v>
      </c>
      <c r="AC6054">
        <v>135.276399999999</v>
      </c>
      <c r="AD6054">
        <v>3.719236</v>
      </c>
      <c r="AE6054">
        <v>-30.977498999999899</v>
      </c>
      <c r="AF6054">
        <v>-74.419973064775505</v>
      </c>
      <c r="AG6054">
        <v>3.719236</v>
      </c>
      <c r="AH6054">
        <v>117.018553205739</v>
      </c>
      <c r="AI6054">
        <v>88.463743509441898</v>
      </c>
      <c r="AJ6054">
        <v>122.455026257707</v>
      </c>
      <c r="AK6054">
        <v>138.728176308023</v>
      </c>
      <c r="AL6054">
        <v>87.496526651808693</v>
      </c>
      <c r="AM6054">
        <v>99.135999947856803</v>
      </c>
      <c r="AN6054">
        <v>0.999999978272611</v>
      </c>
    </row>
    <row r="6055" spans="1:40" x14ac:dyDescent="0.25">
      <c r="A6055" t="str">
        <f>"20190312160455054"</f>
        <v>20190312160455054</v>
      </c>
      <c r="B6055" t="str">
        <f>"1552377895050827"</f>
        <v>1552377895050827</v>
      </c>
      <c r="C6055" t="s">
        <v>40</v>
      </c>
      <c r="D6055">
        <v>5.735087</v>
      </c>
      <c r="E6055">
        <v>0.3347928</v>
      </c>
      <c r="F6055" t="s">
        <v>104</v>
      </c>
      <c r="G6055">
        <v>-279.55990000000003</v>
      </c>
      <c r="H6055">
        <v>4.6524419999999997</v>
      </c>
      <c r="I6055">
        <v>-7.8566770000000004</v>
      </c>
      <c r="J6055">
        <v>-414.74689999999998</v>
      </c>
      <c r="K6055">
        <v>1.119604</v>
      </c>
      <c r="L6055">
        <v>22.177219999999998</v>
      </c>
      <c r="M6055">
        <v>0.70732519999999999</v>
      </c>
      <c r="N6055">
        <v>0</v>
      </c>
      <c r="O6055">
        <v>-0.70671799999999996</v>
      </c>
      <c r="P6055">
        <v>0.80933509999999997</v>
      </c>
      <c r="Q6055">
        <v>3.1011980000000001E-2</v>
      </c>
      <c r="R6055">
        <v>-0.5865281</v>
      </c>
      <c r="S6055">
        <v>3.19754</v>
      </c>
      <c r="T6055">
        <v>8.3505510000000005E-2</v>
      </c>
      <c r="U6055">
        <v>-0.71182250000000002</v>
      </c>
      <c r="V6055">
        <v>-0.15813940000000001</v>
      </c>
      <c r="W6055">
        <v>4.2736209999999997E-2</v>
      </c>
      <c r="X6055">
        <v>0.98649149999999997</v>
      </c>
      <c r="Y6055">
        <v>-0.5358465</v>
      </c>
      <c r="Z6055">
        <v>-2.325236E-2</v>
      </c>
      <c r="AA6055">
        <v>0.84399519999999995</v>
      </c>
      <c r="AB6055">
        <v>25</v>
      </c>
      <c r="AC6055">
        <v>135.18699999999899</v>
      </c>
      <c r="AD6055">
        <v>3.5328379999999999</v>
      </c>
      <c r="AE6055">
        <v>-30.033897</v>
      </c>
      <c r="AF6055">
        <v>-74.255971720330393</v>
      </c>
      <c r="AG6055">
        <v>3.5328379999999999</v>
      </c>
      <c r="AH6055">
        <v>116.784729567879</v>
      </c>
      <c r="AI6055">
        <v>88.537695145009906</v>
      </c>
      <c r="AJ6055">
        <v>122.44968227036</v>
      </c>
      <c r="AK6055">
        <v>138.43808486362201</v>
      </c>
      <c r="AL6055">
        <v>87.550649490799699</v>
      </c>
      <c r="AM6055">
        <v>99.107308333814402</v>
      </c>
      <c r="AN6055">
        <v>0.99999996652488599</v>
      </c>
    </row>
    <row r="6056" spans="1:40" x14ac:dyDescent="0.25">
      <c r="A6056" t="str">
        <f>"20190312160455065"</f>
        <v>20190312160455065</v>
      </c>
      <c r="B6056" t="str">
        <f>"1552377895061562"</f>
        <v>1552377895061562</v>
      </c>
      <c r="C6056" t="s">
        <v>40</v>
      </c>
      <c r="D6056">
        <v>5.7745730000000002</v>
      </c>
      <c r="E6056">
        <v>0.3348738</v>
      </c>
      <c r="F6056" t="s">
        <v>104</v>
      </c>
      <c r="G6056">
        <v>-279.55990000000003</v>
      </c>
      <c r="H6056">
        <v>4.4902350000000002</v>
      </c>
      <c r="I6056">
        <v>-7.0750000000000002</v>
      </c>
      <c r="J6056">
        <v>-414.6583</v>
      </c>
      <c r="K6056">
        <v>1.119586</v>
      </c>
      <c r="L6056">
        <v>22.09796</v>
      </c>
      <c r="M6056">
        <v>0.71190430000000005</v>
      </c>
      <c r="N6056">
        <v>0</v>
      </c>
      <c r="O6056">
        <v>-0.70210499999999998</v>
      </c>
      <c r="P6056">
        <v>0.81302419999999997</v>
      </c>
      <c r="Q6056">
        <v>3.0452070000000001E-2</v>
      </c>
      <c r="R6056">
        <v>-0.58143310000000004</v>
      </c>
      <c r="S6056">
        <v>3.2016300000000002</v>
      </c>
      <c r="T6056">
        <v>7.9826590000000003E-2</v>
      </c>
      <c r="U6056">
        <v>-0.69277949999999999</v>
      </c>
      <c r="V6056">
        <v>-0.15792339999999999</v>
      </c>
      <c r="W6056">
        <v>4.2185489999999999E-2</v>
      </c>
      <c r="X6056">
        <v>0.98654989999999998</v>
      </c>
      <c r="Y6056">
        <v>-0.53540840000000001</v>
      </c>
      <c r="Z6056">
        <v>-2.214408E-2</v>
      </c>
      <c r="AA6056">
        <v>0.84430300000000003</v>
      </c>
      <c r="AB6056">
        <v>25</v>
      </c>
      <c r="AC6056">
        <v>135.098399999999</v>
      </c>
      <c r="AD6056">
        <v>3.3706489999999998</v>
      </c>
      <c r="AE6056">
        <v>-29.1729599999999</v>
      </c>
      <c r="AF6056">
        <v>-74.049788221206001</v>
      </c>
      <c r="AG6056">
        <v>3.3706489999999998</v>
      </c>
      <c r="AH6056">
        <v>116.60431316211699</v>
      </c>
      <c r="AI6056">
        <v>88.602146959559207</v>
      </c>
      <c r="AJ6056">
        <v>122.417665594282</v>
      </c>
      <c r="AK6056">
        <v>138.17126422775399</v>
      </c>
      <c r="AL6056">
        <v>87.582232134515905</v>
      </c>
      <c r="AM6056">
        <v>99.094547471474698</v>
      </c>
      <c r="AN6056">
        <v>1.00000006051205</v>
      </c>
    </row>
    <row r="6057" spans="1:40" x14ac:dyDescent="0.25">
      <c r="A6057" t="str">
        <f>"20190312160455074"</f>
        <v>20190312160455074</v>
      </c>
      <c r="B6057" t="str">
        <f>"1552377895070887"</f>
        <v>1552377895070887</v>
      </c>
      <c r="C6057" t="s">
        <v>40</v>
      </c>
      <c r="D6057">
        <v>5.633381</v>
      </c>
      <c r="E6057">
        <v>0.33429769999999998</v>
      </c>
      <c r="F6057" t="s">
        <v>104</v>
      </c>
      <c r="G6057">
        <v>-279.02</v>
      </c>
      <c r="H6057">
        <v>4.3852979999999997</v>
      </c>
      <c r="I6057">
        <v>-6.3834569999999999</v>
      </c>
      <c r="J6057">
        <v>-414.57780000000002</v>
      </c>
      <c r="K6057">
        <v>1.119572</v>
      </c>
      <c r="L6057">
        <v>22.02731</v>
      </c>
      <c r="M6057">
        <v>0.71600540000000001</v>
      </c>
      <c r="N6057">
        <v>0</v>
      </c>
      <c r="O6057">
        <v>-0.6979223</v>
      </c>
      <c r="P6057">
        <v>0.81614989999999998</v>
      </c>
      <c r="Q6057">
        <v>3.0071580000000001E-2</v>
      </c>
      <c r="R6057">
        <v>-0.57705740000000005</v>
      </c>
      <c r="S6057">
        <v>3.2056580000000001</v>
      </c>
      <c r="T6057">
        <v>7.7181459999999993E-2</v>
      </c>
      <c r="U6057">
        <v>-0.67312620000000001</v>
      </c>
      <c r="V6057">
        <v>-0.15744269999999999</v>
      </c>
      <c r="W6057">
        <v>4.1820080000000003E-2</v>
      </c>
      <c r="X6057">
        <v>0.98664220000000002</v>
      </c>
      <c r="Y6057">
        <v>-0.53565369999999901</v>
      </c>
      <c r="Z6057">
        <v>-2.134376E-2</v>
      </c>
      <c r="AA6057">
        <v>0.84416800000000003</v>
      </c>
      <c r="AB6057">
        <v>25</v>
      </c>
      <c r="AC6057">
        <v>135.55779999999999</v>
      </c>
      <c r="AD6057">
        <v>3.2657259999999999</v>
      </c>
      <c r="AE6057">
        <v>-28.410767</v>
      </c>
      <c r="AF6057">
        <v>-74.234218679109006</v>
      </c>
      <c r="AG6057">
        <v>3.2657259999999999</v>
      </c>
      <c r="AH6057">
        <v>116.837739799508</v>
      </c>
      <c r="AI6057">
        <v>88.6485376970262</v>
      </c>
      <c r="AJ6057">
        <v>122.430311463225</v>
      </c>
      <c r="AK6057">
        <v>138.464586196841</v>
      </c>
      <c r="AL6057">
        <v>87.6031868763815</v>
      </c>
      <c r="AM6057">
        <v>99.066491172944595</v>
      </c>
      <c r="AN6057">
        <v>0.99999997684766795</v>
      </c>
    </row>
    <row r="6058" spans="1:40" x14ac:dyDescent="0.25">
      <c r="A6058" t="str">
        <f>"20190312160455085"</f>
        <v>20190312160455085</v>
      </c>
      <c r="B6058" t="str">
        <f>"1552377895081623"</f>
        <v>1552377895081623</v>
      </c>
      <c r="C6058" t="s">
        <v>40</v>
      </c>
      <c r="D6058">
        <v>5.7574259999999997</v>
      </c>
      <c r="E6058">
        <v>0.33447850000000001</v>
      </c>
      <c r="F6058" t="s">
        <v>104</v>
      </c>
      <c r="G6058">
        <v>-279.55990000000003</v>
      </c>
      <c r="H6058">
        <v>4.5241189999999998</v>
      </c>
      <c r="I6058">
        <v>-5.3865460000000001</v>
      </c>
      <c r="J6058">
        <v>-414.49259999999998</v>
      </c>
      <c r="K6058">
        <v>1.1195619999999999</v>
      </c>
      <c r="L6058">
        <v>21.952850000000002</v>
      </c>
      <c r="M6058">
        <v>0.72031129999999999</v>
      </c>
      <c r="N6058">
        <v>0</v>
      </c>
      <c r="O6058">
        <v>-0.69347760000000003</v>
      </c>
      <c r="P6058">
        <v>0.81948489999999996</v>
      </c>
      <c r="Q6058">
        <v>2.995542E-2</v>
      </c>
      <c r="R6058">
        <v>-0.57231750000000003</v>
      </c>
      <c r="S6058">
        <v>3.2117</v>
      </c>
      <c r="T6058">
        <v>8.0984710000000001E-2</v>
      </c>
      <c r="U6058">
        <v>-0.6520996</v>
      </c>
      <c r="V6058">
        <v>-0.15705339999999901</v>
      </c>
      <c r="W6058">
        <v>4.171764E-2</v>
      </c>
      <c r="X6058">
        <v>0.98670860000000005</v>
      </c>
      <c r="Y6058">
        <v>-0.53601949999999998</v>
      </c>
      <c r="Z6058">
        <v>-2.230905E-2</v>
      </c>
      <c r="AA6058">
        <v>0.84391079999999996</v>
      </c>
      <c r="AB6058">
        <v>25</v>
      </c>
      <c r="AC6058">
        <v>134.93269999999899</v>
      </c>
      <c r="AD6058">
        <v>3.4045570000000001</v>
      </c>
      <c r="AE6058">
        <v>-27.339396000000001</v>
      </c>
      <c r="AF6058">
        <v>-73.843655656845598</v>
      </c>
      <c r="AG6058">
        <v>3.4045570000000001</v>
      </c>
      <c r="AH6058">
        <v>116.095778789216</v>
      </c>
      <c r="AI6058">
        <v>88.582553978377206</v>
      </c>
      <c r="AJ6058">
        <v>122.45872876044101</v>
      </c>
      <c r="AK6058">
        <v>137.632504670255</v>
      </c>
      <c r="AL6058">
        <v>87.6090614301703</v>
      </c>
      <c r="AM6058">
        <v>99.043845383794704</v>
      </c>
      <c r="AN6058">
        <v>0.99999999662634398</v>
      </c>
    </row>
    <row r="6059" spans="1:40" x14ac:dyDescent="0.25">
      <c r="A6059" t="str">
        <f>"20190312160455094"</f>
        <v>20190312160455094</v>
      </c>
      <c r="B6059" t="str">
        <f>"1552377895091383"</f>
        <v>1552377895091383</v>
      </c>
      <c r="C6059" t="s">
        <v>40</v>
      </c>
      <c r="D6059">
        <v>5.8178519999999896</v>
      </c>
      <c r="E6059">
        <v>0.33467049999999998</v>
      </c>
      <c r="F6059" t="s">
        <v>104</v>
      </c>
      <c r="G6059">
        <v>-279.55990000000003</v>
      </c>
      <c r="H6059">
        <v>4.4369959999999997</v>
      </c>
      <c r="I6059">
        <v>-4.6868119999999998</v>
      </c>
      <c r="J6059">
        <v>-414.41860000000003</v>
      </c>
      <c r="K6059">
        <v>1.119553</v>
      </c>
      <c r="L6059">
        <v>21.889500000000002</v>
      </c>
      <c r="M6059">
        <v>0.72399609999999903</v>
      </c>
      <c r="N6059">
        <v>0</v>
      </c>
      <c r="O6059">
        <v>-0.68962970000000001</v>
      </c>
      <c r="P6059">
        <v>0.82236390000000004</v>
      </c>
      <c r="Q6059">
        <v>2.965156E-2</v>
      </c>
      <c r="R6059">
        <v>-0.5681891</v>
      </c>
      <c r="S6059">
        <v>3.2146910000000002</v>
      </c>
      <c r="T6059">
        <v>7.9035880000000003E-2</v>
      </c>
      <c r="U6059">
        <v>-0.63467410000000002</v>
      </c>
      <c r="V6059">
        <v>-0.15675749999999999</v>
      </c>
      <c r="W6059">
        <v>4.1423689999999999E-2</v>
      </c>
      <c r="X6059">
        <v>0.98676810000000004</v>
      </c>
      <c r="Y6059">
        <v>-0.53608999999999996</v>
      </c>
      <c r="Z6059">
        <v>-2.1709470000000002E-2</v>
      </c>
      <c r="AA6059">
        <v>0.84388169999999996</v>
      </c>
      <c r="AB6059">
        <v>25</v>
      </c>
      <c r="AC6059">
        <v>134.8587</v>
      </c>
      <c r="AD6059">
        <v>3.3174429999999999</v>
      </c>
      <c r="AE6059">
        <v>-26.576311999999898</v>
      </c>
      <c r="AF6059">
        <v>-73.727344091262793</v>
      </c>
      <c r="AG6059">
        <v>3.3174429999999999</v>
      </c>
      <c r="AH6059">
        <v>115.911416261198</v>
      </c>
      <c r="AI6059">
        <v>88.616617758242796</v>
      </c>
      <c r="AJ6059">
        <v>122.45906439447801</v>
      </c>
      <c r="AK6059">
        <v>137.41245618387899</v>
      </c>
      <c r="AL6059">
        <v>87.625918245590796</v>
      </c>
      <c r="AM6059">
        <v>99.026551606694099</v>
      </c>
      <c r="AN6059">
        <v>1.0000000595385301</v>
      </c>
    </row>
    <row r="6060" spans="1:40" x14ac:dyDescent="0.25">
      <c r="A6060" t="str">
        <f>"20190312160455103"</f>
        <v>20190312160455103</v>
      </c>
      <c r="B6060" t="str">
        <f>"1552377895101143"</f>
        <v>1552377895101143</v>
      </c>
      <c r="C6060" t="s">
        <v>40</v>
      </c>
      <c r="D6060">
        <v>5.6653419999999999</v>
      </c>
      <c r="E6060">
        <v>0.3343719</v>
      </c>
      <c r="F6060" t="s">
        <v>104</v>
      </c>
      <c r="G6060">
        <v>-279.02</v>
      </c>
      <c r="H6060">
        <v>4.3237420000000002</v>
      </c>
      <c r="I6060">
        <v>-4.1955679999999997</v>
      </c>
      <c r="J6060">
        <v>-414.33690000000001</v>
      </c>
      <c r="K6060">
        <v>1.119542</v>
      </c>
      <c r="L6060">
        <v>21.819849999999999</v>
      </c>
      <c r="M6060">
        <v>0.7280335</v>
      </c>
      <c r="N6060">
        <v>0</v>
      </c>
      <c r="O6060">
        <v>-0.68536600000000003</v>
      </c>
      <c r="P6060">
        <v>0.82560800000000001</v>
      </c>
      <c r="Q6060">
        <v>2.959995E-2</v>
      </c>
      <c r="R6060">
        <v>-0.56346750000000001</v>
      </c>
      <c r="S6060">
        <v>3.2170719999999999</v>
      </c>
      <c r="T6060">
        <v>7.6131580000000004E-2</v>
      </c>
      <c r="U6060">
        <v>-0.61978149999999999</v>
      </c>
      <c r="V6060">
        <v>-0.15661610000000001</v>
      </c>
      <c r="W6060">
        <v>4.1378430000000001E-2</v>
      </c>
      <c r="X6060">
        <v>0.98679240000000001</v>
      </c>
      <c r="Y6060">
        <v>-0.53503859999999903</v>
      </c>
      <c r="Z6060">
        <v>-2.0832050000000001E-2</v>
      </c>
      <c r="AA6060">
        <v>0.84457079999999995</v>
      </c>
      <c r="AB6060">
        <v>25</v>
      </c>
      <c r="AC6060">
        <v>135.3169</v>
      </c>
      <c r="AD6060">
        <v>3.2042000000000002</v>
      </c>
      <c r="AE6060">
        <v>-26.015418</v>
      </c>
      <c r="AF6060">
        <v>-73.770499966073302</v>
      </c>
      <c r="AG6060">
        <v>3.2042000000000002</v>
      </c>
      <c r="AH6060">
        <v>116.29643838632499</v>
      </c>
      <c r="AI6060">
        <v>88.667199412805303</v>
      </c>
      <c r="AJ6060">
        <v>122.388245238728</v>
      </c>
      <c r="AK6060">
        <v>137.757813369074</v>
      </c>
      <c r="AL6060">
        <v>87.628513557734706</v>
      </c>
      <c r="AM6060">
        <v>99.018324831285696</v>
      </c>
      <c r="AN6060">
        <v>1.00000000897311</v>
      </c>
    </row>
    <row r="6061" spans="1:40" x14ac:dyDescent="0.25">
      <c r="A6061" t="str">
        <f>"20190312160455116"</f>
        <v>20190312160455116</v>
      </c>
      <c r="B6061" t="str">
        <f>"1552377895110903"</f>
        <v>1552377895110903</v>
      </c>
      <c r="C6061" t="s">
        <v>40</v>
      </c>
      <c r="D6061">
        <v>5.6331280000000001</v>
      </c>
      <c r="E6061">
        <v>0.33419959999999999</v>
      </c>
      <c r="F6061" t="s">
        <v>104</v>
      </c>
      <c r="G6061">
        <v>-279.286</v>
      </c>
      <c r="H6061">
        <v>4.4297760000000004</v>
      </c>
      <c r="I6061">
        <v>-3.304233</v>
      </c>
      <c r="J6061">
        <v>-414.24189999999999</v>
      </c>
      <c r="K6061">
        <v>1.119529</v>
      </c>
      <c r="L6061">
        <v>21.74033</v>
      </c>
      <c r="M6061">
        <v>0.73266109999999995</v>
      </c>
      <c r="N6061">
        <v>0</v>
      </c>
      <c r="O6061">
        <v>-0.68041689999999999</v>
      </c>
      <c r="P6061">
        <v>0.82922890000000005</v>
      </c>
      <c r="Q6061">
        <v>2.9801620000000001E-2</v>
      </c>
      <c r="R6061">
        <v>-0.558114</v>
      </c>
      <c r="S6061">
        <v>3.2218019999999998</v>
      </c>
      <c r="T6061">
        <v>7.8969600000000001E-2</v>
      </c>
      <c r="U6061">
        <v>-0.59936519999999904</v>
      </c>
      <c r="V6061">
        <v>-0.15631120000000001</v>
      </c>
      <c r="W6061">
        <v>4.1590920000000003E-2</v>
      </c>
      <c r="X6061">
        <v>0.98683180000000004</v>
      </c>
      <c r="Y6061">
        <v>-0.53469109999999997</v>
      </c>
      <c r="Z6061">
        <v>-2.151194E-2</v>
      </c>
      <c r="AA6061">
        <v>0.84477369999999996</v>
      </c>
      <c r="AB6061">
        <v>25</v>
      </c>
      <c r="AC6061">
        <v>134.95590000000001</v>
      </c>
      <c r="AD6061">
        <v>3.3102469999999999</v>
      </c>
      <c r="AE6061">
        <v>-25.044563</v>
      </c>
      <c r="AF6061">
        <v>-73.443221899217406</v>
      </c>
      <c r="AG6061">
        <v>3.3102469999999999</v>
      </c>
      <c r="AH6061">
        <v>115.86423896925299</v>
      </c>
      <c r="AI6061">
        <v>88.617684809945004</v>
      </c>
      <c r="AJ6061">
        <v>122.36950998842801</v>
      </c>
      <c r="AK6061">
        <v>137.22021152171001</v>
      </c>
      <c r="AL6061">
        <v>87.616328263279101</v>
      </c>
      <c r="AM6061">
        <v>99.000702195947298</v>
      </c>
      <c r="AN6061">
        <v>0.99999999868156297</v>
      </c>
    </row>
    <row r="6062" spans="1:40" x14ac:dyDescent="0.25">
      <c r="A6062" t="str">
        <f>"20190312160455126"</f>
        <v>20190312160455126</v>
      </c>
      <c r="B6062" t="str">
        <f>"1552377895121639"</f>
        <v>1552377895121639</v>
      </c>
      <c r="C6062" t="s">
        <v>40</v>
      </c>
      <c r="D6062">
        <v>5.6798640000000002</v>
      </c>
      <c r="E6062">
        <v>0.33407429999999999</v>
      </c>
      <c r="F6062" t="s">
        <v>104</v>
      </c>
      <c r="G6062">
        <v>-279.55990000000003</v>
      </c>
      <c r="H6062">
        <v>4.4729910000000004</v>
      </c>
      <c r="I6062">
        <v>-2.3595890000000002</v>
      </c>
      <c r="J6062">
        <v>-414.14299999999997</v>
      </c>
      <c r="K6062">
        <v>1.119515</v>
      </c>
      <c r="L6062">
        <v>21.658049999999999</v>
      </c>
      <c r="M6062">
        <v>0.73743389999999998</v>
      </c>
      <c r="N6062">
        <v>0</v>
      </c>
      <c r="O6062">
        <v>-0.67524150000000005</v>
      </c>
      <c r="P6062">
        <v>0.83302929999999997</v>
      </c>
      <c r="Q6062">
        <v>2.9657909999999999E-2</v>
      </c>
      <c r="R6062">
        <v>-0.55243339999999996</v>
      </c>
      <c r="S6062">
        <v>3.22641</v>
      </c>
      <c r="T6062">
        <v>8.0334660000000002E-2</v>
      </c>
      <c r="U6062">
        <v>-0.5773315</v>
      </c>
      <c r="V6062">
        <v>-0.15610650000000001</v>
      </c>
      <c r="W6062">
        <v>4.1456090000000001E-2</v>
      </c>
      <c r="X6062">
        <v>0.98686989999999997</v>
      </c>
      <c r="Y6062">
        <v>-0.53453289999999998</v>
      </c>
      <c r="Z6062">
        <v>-2.178507E-2</v>
      </c>
      <c r="AA6062">
        <v>0.84486689999999998</v>
      </c>
      <c r="AB6062">
        <v>25</v>
      </c>
      <c r="AC6062">
        <v>134.5831</v>
      </c>
      <c r="AD6062">
        <v>3.3534760000000001</v>
      </c>
      <c r="AE6062">
        <v>-24.017638999999999</v>
      </c>
      <c r="AF6062">
        <v>-73.129456930341505</v>
      </c>
      <c r="AG6062">
        <v>3.3534760000000001</v>
      </c>
      <c r="AH6062">
        <v>115.408270931565</v>
      </c>
      <c r="AI6062">
        <v>88.593973394253794</v>
      </c>
      <c r="AJ6062">
        <v>122.36074750429999</v>
      </c>
      <c r="AK6062">
        <v>136.668329438912</v>
      </c>
      <c r="AL6062">
        <v>87.624060179892396</v>
      </c>
      <c r="AM6062">
        <v>98.988766390255407</v>
      </c>
      <c r="AN6062">
        <v>1.00000002313317</v>
      </c>
    </row>
    <row r="6063" spans="1:40" x14ac:dyDescent="0.25">
      <c r="A6063" t="str">
        <f>"20190312160455138"</f>
        <v>20190312160455138</v>
      </c>
      <c r="B6063" t="str">
        <f>"1552377895131399"</f>
        <v>1552377895131399</v>
      </c>
      <c r="C6063" t="s">
        <v>40</v>
      </c>
      <c r="D6063">
        <v>5.2567649999999997</v>
      </c>
      <c r="E6063">
        <v>0.33398919999999999</v>
      </c>
      <c r="F6063" t="s">
        <v>104</v>
      </c>
      <c r="G6063">
        <v>-279.55990000000003</v>
      </c>
      <c r="H6063">
        <v>4.4950349999999997</v>
      </c>
      <c r="I6063">
        <v>-1.4356370000000001</v>
      </c>
      <c r="J6063">
        <v>-414.04349999999999</v>
      </c>
      <c r="K6063">
        <v>1.1195029999999999</v>
      </c>
      <c r="L6063">
        <v>21.577210000000001</v>
      </c>
      <c r="M6063">
        <v>0.74215390000000003</v>
      </c>
      <c r="N6063">
        <v>0</v>
      </c>
      <c r="O6063">
        <v>-0.67005029999999999</v>
      </c>
      <c r="P6063">
        <v>0.83688449999999903</v>
      </c>
      <c r="Q6063">
        <v>2.9554609999999999E-2</v>
      </c>
      <c r="R6063">
        <v>-0.5465816</v>
      </c>
      <c r="S6063">
        <v>3.2307739999999998</v>
      </c>
      <c r="T6063">
        <v>8.103204E-2</v>
      </c>
      <c r="U6063">
        <v>-0.55438229999999999</v>
      </c>
      <c r="V6063">
        <v>-0.15609679999999901</v>
      </c>
      <c r="W6063">
        <v>4.1356030000000002E-2</v>
      </c>
      <c r="X6063">
        <v>0.98687559999999996</v>
      </c>
      <c r="Y6063">
        <v>-0.53461959999999997</v>
      </c>
      <c r="Z6063">
        <v>-2.1878390000000001E-2</v>
      </c>
      <c r="AA6063">
        <v>0.84480949999999899</v>
      </c>
      <c r="AB6063">
        <v>25</v>
      </c>
      <c r="AC6063">
        <v>134.483599999999</v>
      </c>
      <c r="AD6063">
        <v>3.3755320000000002</v>
      </c>
      <c r="AE6063">
        <v>-23.012847000000001</v>
      </c>
      <c r="AF6063">
        <v>-72.995794888522397</v>
      </c>
      <c r="AG6063">
        <v>3.3755320000000002</v>
      </c>
      <c r="AH6063">
        <v>115.170639477428</v>
      </c>
      <c r="AI6063">
        <v>88.581904828334899</v>
      </c>
      <c r="AJ6063">
        <v>122.366751340344</v>
      </c>
      <c r="AK6063">
        <v>136.39668795586701</v>
      </c>
      <c r="AL6063">
        <v>87.629798040175501</v>
      </c>
      <c r="AM6063">
        <v>98.988165906809996</v>
      </c>
      <c r="AN6063">
        <v>0.99999999103147996</v>
      </c>
    </row>
    <row r="6064" spans="1:40" x14ac:dyDescent="0.25">
      <c r="A6064" t="str">
        <f>"20190312160455148"</f>
        <v>20190312160455148</v>
      </c>
      <c r="B6064" t="str">
        <f>"1552377895141159"</f>
        <v>1552377895141159</v>
      </c>
      <c r="C6064" t="s">
        <v>40</v>
      </c>
      <c r="D6064">
        <v>5.2057969999999996</v>
      </c>
      <c r="E6064">
        <v>0.33401209999999998</v>
      </c>
      <c r="F6064" t="s">
        <v>104</v>
      </c>
      <c r="G6064">
        <v>-279.55990000000003</v>
      </c>
      <c r="H6064">
        <v>4.4952389999999998</v>
      </c>
      <c r="I6064">
        <v>-0.50411419999999996</v>
      </c>
      <c r="J6064">
        <v>-413.95080000000002</v>
      </c>
      <c r="K6064">
        <v>1.1194900000000001</v>
      </c>
      <c r="L6064">
        <v>21.502379999999999</v>
      </c>
      <c r="M6064">
        <v>0.74650539999999999</v>
      </c>
      <c r="N6064">
        <v>0</v>
      </c>
      <c r="O6064">
        <v>-0.66519859999999997</v>
      </c>
      <c r="P6064">
        <v>0.84045049999999899</v>
      </c>
      <c r="Q6064">
        <v>2.9919299999999999E-2</v>
      </c>
      <c r="R6064">
        <v>-0.54106160000000003</v>
      </c>
      <c r="S6064">
        <v>3.2349549999999998</v>
      </c>
      <c r="T6064">
        <v>8.1202150000000001E-2</v>
      </c>
      <c r="U6064">
        <v>-0.53115840000000003</v>
      </c>
      <c r="V6064">
        <v>-0.15615789999999999</v>
      </c>
      <c r="W6064">
        <v>4.1721929999999997E-2</v>
      </c>
      <c r="X6064">
        <v>0.98685060000000002</v>
      </c>
      <c r="Y6064">
        <v>-0.53519249999999996</v>
      </c>
      <c r="Z6064">
        <v>-2.1840330000000002E-2</v>
      </c>
      <c r="AA6064">
        <v>0.84444769999999902</v>
      </c>
      <c r="AB6064">
        <v>25</v>
      </c>
      <c r="AC6064">
        <v>134.39089999999999</v>
      </c>
      <c r="AD6064">
        <v>3.3757489999999999</v>
      </c>
      <c r="AE6064">
        <v>-22.006494199999999</v>
      </c>
      <c r="AF6064">
        <v>-72.9326324701819</v>
      </c>
      <c r="AG6064">
        <v>3.3757489999999999</v>
      </c>
      <c r="AH6064">
        <v>114.90544172596</v>
      </c>
      <c r="AI6064">
        <v>88.579128625318702</v>
      </c>
      <c r="AJ6064">
        <v>122.404059922732</v>
      </c>
      <c r="AK6064">
        <v>136.13899183767899</v>
      </c>
      <c r="AL6064">
        <v>87.608815563800405</v>
      </c>
      <c r="AM6064">
        <v>98.991850683580097</v>
      </c>
      <c r="AN6064">
        <v>1.0000000579478401</v>
      </c>
    </row>
    <row r="6065" spans="1:40" x14ac:dyDescent="0.25">
      <c r="A6065" t="str">
        <f>"20190312160455159"</f>
        <v>20190312160455159</v>
      </c>
      <c r="B6065" t="str">
        <f>"1552377895150920"</f>
        <v>1552377895150920</v>
      </c>
      <c r="C6065" t="s">
        <v>40</v>
      </c>
      <c r="D6065">
        <v>5.6659319999999997</v>
      </c>
      <c r="E6065">
        <v>0.33407480000000001</v>
      </c>
      <c r="F6065" t="s">
        <v>104</v>
      </c>
      <c r="G6065">
        <v>-279.55990000000003</v>
      </c>
      <c r="H6065">
        <v>4.5455259999999997</v>
      </c>
      <c r="I6065">
        <v>0.33475690000000002</v>
      </c>
      <c r="J6065">
        <v>-413.85500000000002</v>
      </c>
      <c r="K6065">
        <v>1.1194789999999999</v>
      </c>
      <c r="L6065">
        <v>21.426570000000002</v>
      </c>
      <c r="M6065">
        <v>0.75093750000000004</v>
      </c>
      <c r="N6065">
        <v>0</v>
      </c>
      <c r="O6065">
        <v>-0.66019150000000004</v>
      </c>
      <c r="P6065">
        <v>0.84415039999999997</v>
      </c>
      <c r="Q6065">
        <v>3.010289E-2</v>
      </c>
      <c r="R6065">
        <v>-0.53526099999999999</v>
      </c>
      <c r="S6065">
        <v>3.2381899999999999</v>
      </c>
      <c r="T6065">
        <v>8.2551360000000004E-2</v>
      </c>
      <c r="U6065">
        <v>-0.5100403</v>
      </c>
      <c r="V6065">
        <v>-0.15635250000000001</v>
      </c>
      <c r="W6065">
        <v>4.1903450000000002E-2</v>
      </c>
      <c r="X6065">
        <v>0.98681209999999997</v>
      </c>
      <c r="Y6065">
        <v>-0.5350376</v>
      </c>
      <c r="Z6065">
        <v>-2.2108610000000001E-2</v>
      </c>
      <c r="AA6065">
        <v>0.84453889999999998</v>
      </c>
      <c r="AB6065">
        <v>25</v>
      </c>
      <c r="AC6065">
        <v>134.29509999999999</v>
      </c>
      <c r="AD6065">
        <v>3.4260470000000001</v>
      </c>
      <c r="AE6065">
        <v>-21.0918131</v>
      </c>
      <c r="AF6065">
        <v>-72.784362507480793</v>
      </c>
      <c r="AG6065">
        <v>3.4260470000000001</v>
      </c>
      <c r="AH6065">
        <v>114.712779538234</v>
      </c>
      <c r="AI6065">
        <v>88.555397931492493</v>
      </c>
      <c r="AJ6065">
        <v>122.394807849419</v>
      </c>
      <c r="AK6065">
        <v>135.898208277571</v>
      </c>
      <c r="AL6065">
        <v>87.5984061409399</v>
      </c>
      <c r="AM6065">
        <v>99.003218168988795</v>
      </c>
      <c r="AN6065">
        <v>1.00000006204227</v>
      </c>
    </row>
    <row r="6066" spans="1:40" x14ac:dyDescent="0.25">
      <c r="A6066" t="str">
        <f>"20190312160455171"</f>
        <v>20190312160455171</v>
      </c>
      <c r="B6066" t="str">
        <f>"1552377895161654"</f>
        <v>1552377895161654</v>
      </c>
      <c r="C6066" t="s">
        <v>40</v>
      </c>
      <c r="D6066">
        <v>5.6536</v>
      </c>
      <c r="E6066">
        <v>0.33419330000000003</v>
      </c>
      <c r="F6066" t="s">
        <v>104</v>
      </c>
      <c r="G6066">
        <v>-279.55990000000003</v>
      </c>
      <c r="H6066">
        <v>4.558891</v>
      </c>
      <c r="I6066">
        <v>1.2011320000000001</v>
      </c>
      <c r="J6066">
        <v>-413.76240000000001</v>
      </c>
      <c r="K6066">
        <v>1.1194660000000001</v>
      </c>
      <c r="L6066">
        <v>21.353909999999999</v>
      </c>
      <c r="M6066">
        <v>0.75517699999999999</v>
      </c>
      <c r="N6066">
        <v>0</v>
      </c>
      <c r="O6066">
        <v>-0.65533779999999997</v>
      </c>
      <c r="P6066">
        <v>0.84767999999999899</v>
      </c>
      <c r="Q6066">
        <v>3.0092830000000001E-2</v>
      </c>
      <c r="R6066">
        <v>-0.52965369999999901</v>
      </c>
      <c r="S6066">
        <v>3.241333</v>
      </c>
      <c r="T6066">
        <v>8.3013299999999998E-2</v>
      </c>
      <c r="U6066">
        <v>-0.48815920000000002</v>
      </c>
      <c r="V6066">
        <v>-0.15653230000000001</v>
      </c>
      <c r="W6066">
        <v>4.1891539999999998E-2</v>
      </c>
      <c r="X6066">
        <v>0.98678399999999999</v>
      </c>
      <c r="Y6066">
        <v>-0.53528560000000003</v>
      </c>
      <c r="Z6066">
        <v>-2.2145100000000001E-2</v>
      </c>
      <c r="AA6066">
        <v>0.84438080000000004</v>
      </c>
      <c r="AB6066">
        <v>25</v>
      </c>
      <c r="AC6066">
        <v>134.20249999999999</v>
      </c>
      <c r="AD6066">
        <v>3.439425</v>
      </c>
      <c r="AE6066">
        <v>-20.152778000000001</v>
      </c>
      <c r="AF6066">
        <v>-72.691095656159504</v>
      </c>
      <c r="AG6066">
        <v>3.439425</v>
      </c>
      <c r="AH6066">
        <v>114.49372719723</v>
      </c>
      <c r="AI6066">
        <v>88.547248394229698</v>
      </c>
      <c r="AJ6066">
        <v>122.411117413802</v>
      </c>
      <c r="AK6066">
        <v>135.663696689783</v>
      </c>
      <c r="AL6066">
        <v>87.599088893892201</v>
      </c>
      <c r="AM6066">
        <v>99.013654139700805</v>
      </c>
      <c r="AN6066">
        <v>0.99999996236142996</v>
      </c>
    </row>
    <row r="6067" spans="1:40" x14ac:dyDescent="0.25">
      <c r="A6067" t="str">
        <f>"20190312160455181"</f>
        <v>20190312160455181</v>
      </c>
      <c r="B6067" t="str">
        <f>"1552377895171069"</f>
        <v>1552377895171069</v>
      </c>
      <c r="C6067" t="s">
        <v>40</v>
      </c>
      <c r="D6067">
        <v>5.6759519999999997</v>
      </c>
      <c r="E6067">
        <v>0.3341558</v>
      </c>
      <c r="F6067" t="s">
        <v>104</v>
      </c>
      <c r="G6067">
        <v>-279.55990000000003</v>
      </c>
      <c r="H6067">
        <v>4.5333100000000002</v>
      </c>
      <c r="I6067">
        <v>2.0152950000000001</v>
      </c>
      <c r="J6067">
        <v>-413.66820000000001</v>
      </c>
      <c r="K6067">
        <v>1.119448</v>
      </c>
      <c r="L6067">
        <v>21.281189999999999</v>
      </c>
      <c r="M6067">
        <v>0.75943289999999997</v>
      </c>
      <c r="N6067">
        <v>0</v>
      </c>
      <c r="O6067">
        <v>-0.65040140000000002</v>
      </c>
      <c r="P6067">
        <v>0.85109889999999999</v>
      </c>
      <c r="Q6067">
        <v>2.9872800000000001E-2</v>
      </c>
      <c r="R6067">
        <v>-0.52415500000000004</v>
      </c>
      <c r="S6067">
        <v>3.244049</v>
      </c>
      <c r="T6067">
        <v>8.2522150000000002E-2</v>
      </c>
      <c r="U6067">
        <v>-0.4674683</v>
      </c>
      <c r="V6067">
        <v>-0.15648670000000001</v>
      </c>
      <c r="W6067">
        <v>4.1675709999999998E-2</v>
      </c>
      <c r="X6067">
        <v>0.98680040000000002</v>
      </c>
      <c r="Y6067">
        <v>-0.53516109999999995</v>
      </c>
      <c r="Z6067">
        <v>-2.1921639999999999E-2</v>
      </c>
      <c r="AA6067">
        <v>0.84446549999999998</v>
      </c>
      <c r="AB6067">
        <v>25</v>
      </c>
      <c r="AC6067">
        <v>134.10830000000001</v>
      </c>
      <c r="AD6067">
        <v>3.413862</v>
      </c>
      <c r="AE6067">
        <v>-19.265895</v>
      </c>
      <c r="AF6067">
        <v>-72.555707019470205</v>
      </c>
      <c r="AG6067">
        <v>3.413862</v>
      </c>
      <c r="AH6067">
        <v>114.31794911595701</v>
      </c>
      <c r="AI6067">
        <v>88.555688995696997</v>
      </c>
      <c r="AJ6067">
        <v>122.40261908043701</v>
      </c>
      <c r="AK6067">
        <v>135.44215948119299</v>
      </c>
      <c r="AL6067">
        <v>87.611465919354004</v>
      </c>
      <c r="AM6067">
        <v>99.010924129327506</v>
      </c>
      <c r="AN6067">
        <v>0.99999999076052704</v>
      </c>
    </row>
    <row r="6068" spans="1:40" x14ac:dyDescent="0.25">
      <c r="A6068" t="str">
        <f>"20190312160455193"</f>
        <v>20190312160455193</v>
      </c>
      <c r="B6068" t="str">
        <f>"1552377895180828"</f>
        <v>1552377895180828</v>
      </c>
      <c r="C6068" t="s">
        <v>40</v>
      </c>
      <c r="D6068">
        <v>5.7002649999999999</v>
      </c>
      <c r="E6068">
        <v>0.3342212</v>
      </c>
      <c r="F6068" t="s">
        <v>104</v>
      </c>
      <c r="G6068">
        <v>-279.55990000000003</v>
      </c>
      <c r="H6068">
        <v>4.5278910000000003</v>
      </c>
      <c r="I6068">
        <v>2.853167</v>
      </c>
      <c r="J6068">
        <v>-413.56420000000003</v>
      </c>
      <c r="K6068">
        <v>1.1194360000000001</v>
      </c>
      <c r="L6068">
        <v>21.202059999999999</v>
      </c>
      <c r="M6068">
        <v>0.76406600000000002</v>
      </c>
      <c r="N6068">
        <v>0</v>
      </c>
      <c r="O6068">
        <v>-0.64495230000000003</v>
      </c>
      <c r="P6068">
        <v>0.85474930000000005</v>
      </c>
      <c r="Q6068">
        <v>2.9366949999999999E-2</v>
      </c>
      <c r="R6068">
        <v>-0.51820999999999995</v>
      </c>
      <c r="S6068">
        <v>3.2471619999999999</v>
      </c>
      <c r="T6068">
        <v>8.2528589999999999E-2</v>
      </c>
      <c r="U6068">
        <v>-0.44619750000000002</v>
      </c>
      <c r="V6068">
        <v>-0.156304</v>
      </c>
      <c r="W6068">
        <v>4.1176900000000002E-2</v>
      </c>
      <c r="X6068">
        <v>0.98685029999999996</v>
      </c>
      <c r="Y6068">
        <v>-0.53465949999999995</v>
      </c>
      <c r="Z6068">
        <v>-2.181305E-2</v>
      </c>
      <c r="AA6068">
        <v>0.84478600000000004</v>
      </c>
      <c r="AB6068">
        <v>25</v>
      </c>
      <c r="AC6068">
        <v>134.0043</v>
      </c>
      <c r="AD6068">
        <v>3.408455</v>
      </c>
      <c r="AE6068">
        <v>-18.348893</v>
      </c>
      <c r="AF6068">
        <v>-72.369336517562402</v>
      </c>
      <c r="AG6068">
        <v>3.408455</v>
      </c>
      <c r="AH6068">
        <v>114.16348106313799</v>
      </c>
      <c r="AI6068">
        <v>88.555520061913697</v>
      </c>
      <c r="AJ6068">
        <v>122.37100623794601</v>
      </c>
      <c r="AK6068">
        <v>135.21182951921301</v>
      </c>
      <c r="AL6068">
        <v>87.640070195190603</v>
      </c>
      <c r="AM6068">
        <v>99.000128430449706</v>
      </c>
      <c r="AN6068">
        <v>0.99999999605984902</v>
      </c>
    </row>
    <row r="6069" spans="1:40" x14ac:dyDescent="0.25">
      <c r="A6069" t="str">
        <f>"20190312160455205"</f>
        <v>20190312160455205</v>
      </c>
      <c r="B6069" t="str">
        <f>"1552377895201324"</f>
        <v>1552377895201324</v>
      </c>
      <c r="C6069" t="s">
        <v>40</v>
      </c>
      <c r="D6069">
        <v>5.3374139999999999</v>
      </c>
      <c r="E6069">
        <v>0.33465279999999997</v>
      </c>
      <c r="F6069" t="s">
        <v>104</v>
      </c>
      <c r="G6069">
        <v>-279.55990000000003</v>
      </c>
      <c r="H6069">
        <v>4.5054670000000003</v>
      </c>
      <c r="I6069">
        <v>3.720116</v>
      </c>
      <c r="J6069">
        <v>-413.46039999999999</v>
      </c>
      <c r="K6069">
        <v>1.1194200000000001</v>
      </c>
      <c r="L6069">
        <v>21.123930000000001</v>
      </c>
      <c r="M6069">
        <v>0.76863740000000003</v>
      </c>
      <c r="N6069">
        <v>0</v>
      </c>
      <c r="O6069">
        <v>-0.63949730000000005</v>
      </c>
      <c r="P6069">
        <v>0.85835239999999902</v>
      </c>
      <c r="Q6069">
        <v>2.9285350000000002E-2</v>
      </c>
      <c r="R6069">
        <v>-0.51222440000000002</v>
      </c>
      <c r="S6069">
        <v>3.2499389999999999</v>
      </c>
      <c r="T6069">
        <v>8.2119700000000004E-2</v>
      </c>
      <c r="U6069">
        <v>-0.42398069999999999</v>
      </c>
      <c r="V6069">
        <v>-0.15617420000000001</v>
      </c>
      <c r="W6069">
        <v>4.1101150000000003E-2</v>
      </c>
      <c r="X6069">
        <v>0.98687400000000003</v>
      </c>
      <c r="Y6069">
        <v>-0.53442060000000002</v>
      </c>
      <c r="Z6069">
        <v>-2.159991E-2</v>
      </c>
      <c r="AA6069">
        <v>0.84494259999999999</v>
      </c>
      <c r="AB6069">
        <v>25</v>
      </c>
      <c r="AC6069">
        <v>133.900499999999</v>
      </c>
      <c r="AD6069">
        <v>3.386047</v>
      </c>
      <c r="AE6069">
        <v>-17.403813999999901</v>
      </c>
      <c r="AF6069">
        <v>-72.215036322553104</v>
      </c>
      <c r="AG6069">
        <v>3.386047</v>
      </c>
      <c r="AH6069">
        <v>113.992614471601</v>
      </c>
      <c r="AI6069">
        <v>88.562600350254698</v>
      </c>
      <c r="AJ6069">
        <v>122.354514978542</v>
      </c>
      <c r="AK6069">
        <v>134.98441739484201</v>
      </c>
      <c r="AL6069">
        <v>87.644414010219094</v>
      </c>
      <c r="AM6069">
        <v>98.992564183697596</v>
      </c>
      <c r="AN6069">
        <v>0.99999998857648098</v>
      </c>
    </row>
    <row r="6070" spans="1:40" x14ac:dyDescent="0.25">
      <c r="A6070" t="str">
        <f>"20190312160455216"</f>
        <v>20190312160455216</v>
      </c>
      <c r="B6070" t="str">
        <f>"1552377895211084"</f>
        <v>1552377895211084</v>
      </c>
      <c r="C6070" t="s">
        <v>40</v>
      </c>
      <c r="D6070">
        <v>5.7375189999999998</v>
      </c>
      <c r="E6070">
        <v>0.33493119999999998</v>
      </c>
      <c r="F6070" t="s">
        <v>104</v>
      </c>
      <c r="G6070">
        <v>-279.55990000000003</v>
      </c>
      <c r="H6070">
        <v>4.4759849999999997</v>
      </c>
      <c r="I6070">
        <v>4.477652</v>
      </c>
      <c r="J6070">
        <v>-413.36250000000001</v>
      </c>
      <c r="K6070">
        <v>1.1194059999999999</v>
      </c>
      <c r="L6070">
        <v>21.05179</v>
      </c>
      <c r="M6070">
        <v>0.77287910000000004</v>
      </c>
      <c r="N6070">
        <v>0</v>
      </c>
      <c r="O6070">
        <v>-0.63436440000000005</v>
      </c>
      <c r="P6070">
        <v>0.86161739999999998</v>
      </c>
      <c r="Q6070">
        <v>2.9106050000000001E-2</v>
      </c>
      <c r="R6070">
        <v>-0.50672329999999999</v>
      </c>
      <c r="S6070">
        <v>3.2511290000000002</v>
      </c>
      <c r="T6070">
        <v>8.1498029999999999E-2</v>
      </c>
      <c r="U6070">
        <v>-0.4041748</v>
      </c>
      <c r="V6070">
        <v>-0.15591360000000001</v>
      </c>
      <c r="W6070">
        <v>4.0930580000000001E-2</v>
      </c>
      <c r="X6070">
        <v>0.98692230000000003</v>
      </c>
      <c r="Y6070">
        <v>-0.53390389999999999</v>
      </c>
      <c r="Z6070">
        <v>-2.134163E-2</v>
      </c>
      <c r="AA6070">
        <v>0.84527580000000002</v>
      </c>
      <c r="AB6070">
        <v>25</v>
      </c>
      <c r="AC6070">
        <v>133.80259999999899</v>
      </c>
      <c r="AD6070">
        <v>3.356579</v>
      </c>
      <c r="AE6070">
        <v>-16.574138000000001</v>
      </c>
      <c r="AF6070">
        <v>-72.0337939580468</v>
      </c>
      <c r="AG6070">
        <v>3.356579</v>
      </c>
      <c r="AH6070">
        <v>113.870356247369</v>
      </c>
      <c r="AI6070">
        <v>88.572987841748002</v>
      </c>
      <c r="AJ6070">
        <v>122.317232038573</v>
      </c>
      <c r="AK6070">
        <v>134.78350094309101</v>
      </c>
      <c r="AL6070">
        <v>87.654195196589697</v>
      </c>
      <c r="AM6070">
        <v>98.977371137398094</v>
      </c>
      <c r="AN6070">
        <v>0.999999994640693</v>
      </c>
    </row>
    <row r="6071" spans="1:40" x14ac:dyDescent="0.25">
      <c r="A6071" t="str">
        <f>"20190312160455228"</f>
        <v>20190312160455228</v>
      </c>
      <c r="B6071" t="str">
        <f>"1552377895220844"</f>
        <v>1552377895220844</v>
      </c>
      <c r="C6071" t="s">
        <v>40</v>
      </c>
      <c r="D6071">
        <v>5.7181160000000002</v>
      </c>
      <c r="E6071">
        <v>0.3352077</v>
      </c>
      <c r="F6071" t="s">
        <v>104</v>
      </c>
      <c r="G6071">
        <v>-279.55990000000003</v>
      </c>
      <c r="H6071">
        <v>4.4609079999999999</v>
      </c>
      <c r="I6071">
        <v>5.2016640000000001</v>
      </c>
      <c r="J6071">
        <v>-413.25630000000001</v>
      </c>
      <c r="K6071">
        <v>1.1193930000000001</v>
      </c>
      <c r="L6071">
        <v>20.974060000000001</v>
      </c>
      <c r="M6071">
        <v>0.77743319999999905</v>
      </c>
      <c r="N6071">
        <v>0</v>
      </c>
      <c r="O6071">
        <v>-0.62877510000000003</v>
      </c>
      <c r="P6071">
        <v>0.865158599999999</v>
      </c>
      <c r="Q6071">
        <v>2.8916710000000002E-2</v>
      </c>
      <c r="R6071">
        <v>-0.50066409999999995</v>
      </c>
      <c r="S6071">
        <v>3.252472</v>
      </c>
      <c r="T6071">
        <v>8.1225160000000005E-2</v>
      </c>
      <c r="U6071">
        <v>-0.38528440000000003</v>
      </c>
      <c r="V6071">
        <v>-0.1557209</v>
      </c>
      <c r="W6071">
        <v>4.0749059999999997E-2</v>
      </c>
      <c r="X6071">
        <v>0.98696019999999896</v>
      </c>
      <c r="Y6071">
        <v>-0.53269200000000005</v>
      </c>
      <c r="Z6071">
        <v>-2.1155440000000001E-2</v>
      </c>
      <c r="AA6071">
        <v>0.84604469999999998</v>
      </c>
      <c r="AB6071">
        <v>25</v>
      </c>
      <c r="AC6071">
        <v>133.69639999999899</v>
      </c>
      <c r="AD6071">
        <v>3.3415149999999998</v>
      </c>
      <c r="AE6071">
        <v>-15.772395999999899</v>
      </c>
      <c r="AF6071">
        <v>-71.767367463514304</v>
      </c>
      <c r="AG6071">
        <v>3.3415149999999998</v>
      </c>
      <c r="AH6071">
        <v>113.80083475647599</v>
      </c>
      <c r="AI6071">
        <v>88.5772674447539</v>
      </c>
      <c r="AJ6071">
        <v>122.23717388323</v>
      </c>
      <c r="AK6071">
        <v>134.58213383064299</v>
      </c>
      <c r="AL6071">
        <v>87.664604130920395</v>
      </c>
      <c r="AM6071">
        <v>98.966117291415003</v>
      </c>
      <c r="AN6071">
        <v>0.99999996048586504</v>
      </c>
    </row>
    <row r="6072" spans="1:40" x14ac:dyDescent="0.25">
      <c r="A6072" t="str">
        <f>"20190312160455250"</f>
        <v>20190312160455250</v>
      </c>
      <c r="B6072" t="str">
        <f>"1552377895241340"</f>
        <v>1552377895241340</v>
      </c>
      <c r="C6072" t="s">
        <v>40</v>
      </c>
      <c r="D6072">
        <v>5.7591519999999896</v>
      </c>
      <c r="E6072">
        <v>0.33550740000000001</v>
      </c>
      <c r="F6072" t="s">
        <v>104</v>
      </c>
      <c r="G6072">
        <v>-274.48419999999999</v>
      </c>
      <c r="H6072">
        <v>4.5260850000000001</v>
      </c>
      <c r="I6072">
        <v>5.4373680000000002</v>
      </c>
      <c r="J6072">
        <v>-413.06610000000001</v>
      </c>
      <c r="K6072">
        <v>1.1193580000000001</v>
      </c>
      <c r="L6072">
        <v>20.838439999999999</v>
      </c>
      <c r="M6072">
        <v>0.78541890000000003</v>
      </c>
      <c r="N6072">
        <v>0</v>
      </c>
      <c r="O6072">
        <v>-0.61877139999999997</v>
      </c>
      <c r="P6072">
        <v>0.871224</v>
      </c>
      <c r="Q6072">
        <v>2.9113219999999999E-2</v>
      </c>
      <c r="R6072">
        <v>-0.49002210000000002</v>
      </c>
      <c r="S6072">
        <v>3.2540589999999998</v>
      </c>
      <c r="T6072">
        <v>7.9883339999999997E-2</v>
      </c>
      <c r="U6072">
        <v>-0.3643188</v>
      </c>
      <c r="V6072">
        <v>-0.1551816</v>
      </c>
      <c r="W6072">
        <v>4.0962980000000003E-2</v>
      </c>
      <c r="X6072">
        <v>0.98703629999999998</v>
      </c>
      <c r="Y6072">
        <v>-0.52729110000000001</v>
      </c>
      <c r="Z6072">
        <v>-2.055744E-2</v>
      </c>
      <c r="AA6072">
        <v>0.84943599999999997</v>
      </c>
      <c r="AB6072">
        <v>25</v>
      </c>
      <c r="AC6072">
        <v>138.58189999999999</v>
      </c>
      <c r="AD6072">
        <v>3.4067269999999898</v>
      </c>
      <c r="AE6072">
        <v>-15.401071999999999</v>
      </c>
      <c r="AF6072">
        <v>-73.6190842369558</v>
      </c>
      <c r="AG6072">
        <v>3.4067269999999898</v>
      </c>
      <c r="AH6072">
        <v>118.31811210510099</v>
      </c>
      <c r="AI6072">
        <v>88.599572436803498</v>
      </c>
      <c r="AJ6072">
        <v>121.890416729563</v>
      </c>
      <c r="AK6072">
        <v>139.39351134416401</v>
      </c>
      <c r="AL6072">
        <v>87.652337211601406</v>
      </c>
      <c r="AM6072">
        <v>98.934889496901903</v>
      </c>
      <c r="AN6072">
        <v>0.999999976113364</v>
      </c>
    </row>
    <row r="6073" spans="1:40" x14ac:dyDescent="0.25">
      <c r="A6073" t="str">
        <f>"20190312160455259"</f>
        <v>20190312160455259</v>
      </c>
      <c r="B6073" t="str">
        <f>"1552377895251100"</f>
        <v>1552377895251100</v>
      </c>
      <c r="C6073" t="s">
        <v>40</v>
      </c>
      <c r="D6073">
        <v>5.7616170000000002</v>
      </c>
      <c r="E6073">
        <v>0.35407319999999998</v>
      </c>
      <c r="F6073" t="s">
        <v>104</v>
      </c>
      <c r="G6073">
        <v>-259.44810000000001</v>
      </c>
      <c r="H6073">
        <v>4.9039640000000002</v>
      </c>
      <c r="I6073">
        <v>5.4374960000000003</v>
      </c>
      <c r="J6073">
        <v>-412.96949999999998</v>
      </c>
      <c r="K6073">
        <v>1.119343</v>
      </c>
      <c r="L6073">
        <v>20.77112</v>
      </c>
      <c r="M6073">
        <v>0.78939440000000005</v>
      </c>
      <c r="N6073">
        <v>0</v>
      </c>
      <c r="O6073">
        <v>-0.6136914</v>
      </c>
      <c r="P6073">
        <v>0.87414559999999997</v>
      </c>
      <c r="Q6073">
        <v>2.9189980000000001E-2</v>
      </c>
      <c r="R6073">
        <v>-0.48478650000000001</v>
      </c>
      <c r="S6073">
        <v>3.2570800000000002</v>
      </c>
      <c r="T6073">
        <v>8.024299E-2</v>
      </c>
      <c r="U6073">
        <v>-0.3265381</v>
      </c>
      <c r="V6073">
        <v>-0.15473390000000001</v>
      </c>
      <c r="W6073">
        <v>4.105255E-2</v>
      </c>
      <c r="X6073">
        <v>0.98710290000000001</v>
      </c>
      <c r="Y6073">
        <v>-0.53163079999999996</v>
      </c>
      <c r="Z6073">
        <v>-2.0613010000000001E-2</v>
      </c>
      <c r="AA6073">
        <v>0.84672530000000001</v>
      </c>
      <c r="AB6073">
        <v>25</v>
      </c>
      <c r="AC6073">
        <v>153.52139999999901</v>
      </c>
      <c r="AD6073">
        <v>3.784621</v>
      </c>
      <c r="AE6073">
        <v>-15.333623999999899</v>
      </c>
      <c r="AF6073">
        <v>-82.070930294894296</v>
      </c>
      <c r="AG6073">
        <v>3.784621</v>
      </c>
      <c r="AH6073">
        <v>130.53613218778199</v>
      </c>
      <c r="AI6073">
        <v>88.593969774286805</v>
      </c>
      <c r="AJ6073">
        <v>122.158476120058</v>
      </c>
      <c r="AK6073">
        <v>154.23891455183801</v>
      </c>
      <c r="AL6073">
        <v>87.647200995837096</v>
      </c>
      <c r="AM6073">
        <v>98.908934907736295</v>
      </c>
      <c r="AN6073">
        <v>1.0000000134295599</v>
      </c>
    </row>
    <row r="6074" spans="1:40" x14ac:dyDescent="0.25">
      <c r="A6074" t="str">
        <f>"20190312160455271"</f>
        <v>20190312160455271</v>
      </c>
      <c r="B6074" t="str">
        <f>"1552377895261836"</f>
        <v>1552377895261836</v>
      </c>
      <c r="C6074" t="s">
        <v>40</v>
      </c>
      <c r="D6074">
        <v>5.4007639999999997</v>
      </c>
      <c r="E6074">
        <v>0.35538069999999999</v>
      </c>
      <c r="F6074" t="s">
        <v>104</v>
      </c>
      <c r="G6074">
        <v>-279.02</v>
      </c>
      <c r="H6074">
        <v>2.2231019999999999</v>
      </c>
      <c r="I6074">
        <v>2.4406509999999999</v>
      </c>
      <c r="J6074">
        <v>-412.8741</v>
      </c>
      <c r="K6074">
        <v>1.1193299999999999</v>
      </c>
      <c r="L6074">
        <v>20.70523</v>
      </c>
      <c r="M6074">
        <v>0.79327829999999999</v>
      </c>
      <c r="N6074">
        <v>0</v>
      </c>
      <c r="O6074">
        <v>-0.6086627</v>
      </c>
      <c r="P6074">
        <v>0.87715290000000001</v>
      </c>
      <c r="Q6074">
        <v>2.9377650000000002E-2</v>
      </c>
      <c r="R6074">
        <v>-0.47931190000000001</v>
      </c>
      <c r="S6074">
        <v>3.1889949999999998</v>
      </c>
      <c r="T6074">
        <v>2.6277660000000001E-2</v>
      </c>
      <c r="U6074">
        <v>-0.43640139999999999</v>
      </c>
      <c r="V6074">
        <v>-0.15463150000000001</v>
      </c>
      <c r="W6074">
        <v>4.1244549999999998E-2</v>
      </c>
      <c r="X6074">
        <v>0.98711090000000001</v>
      </c>
      <c r="Y6074">
        <v>-0.49551339999999999</v>
      </c>
      <c r="Z6074">
        <v>-6.6872030000000001E-3</v>
      </c>
      <c r="AA6074">
        <v>0.86857459999999898</v>
      </c>
      <c r="AB6074">
        <v>25</v>
      </c>
      <c r="AC6074">
        <v>133.85409999999999</v>
      </c>
      <c r="AD6074">
        <v>1.103772</v>
      </c>
      <c r="AE6074">
        <v>-18.264579000000001</v>
      </c>
      <c r="AF6074">
        <v>-66.986646546522806</v>
      </c>
      <c r="AG6074">
        <v>1.103772</v>
      </c>
      <c r="AH6074">
        <v>117.30672502468001</v>
      </c>
      <c r="AI6074">
        <v>89.531851356167905</v>
      </c>
      <c r="AJ6074">
        <v>119.728026829936</v>
      </c>
      <c r="AK6074">
        <v>135.08995841361701</v>
      </c>
      <c r="AL6074">
        <v>87.636190781524206</v>
      </c>
      <c r="AM6074">
        <v>98.903062620407397</v>
      </c>
      <c r="AN6074">
        <v>0.99999997129787999</v>
      </c>
    </row>
    <row r="6075" spans="1:40" x14ac:dyDescent="0.25">
      <c r="A6075" t="str">
        <f>"20190312160455282"</f>
        <v>20190312160455282</v>
      </c>
      <c r="B6075" t="str">
        <f>"1552377895271446"</f>
        <v>1552377895271446</v>
      </c>
      <c r="C6075" t="s">
        <v>40</v>
      </c>
      <c r="D6075">
        <v>5.7973720000000002</v>
      </c>
      <c r="E6075">
        <v>0.3561126</v>
      </c>
      <c r="F6075" t="s">
        <v>104</v>
      </c>
      <c r="G6075">
        <v>-279.02</v>
      </c>
      <c r="H6075">
        <v>2.2805559999999998</v>
      </c>
      <c r="I6075">
        <v>2.830498</v>
      </c>
      <c r="J6075">
        <v>-412.77379999999999</v>
      </c>
      <c r="K6075">
        <v>1.119318</v>
      </c>
      <c r="L6075">
        <v>20.637080000000001</v>
      </c>
      <c r="M6075">
        <v>0.79730769999999995</v>
      </c>
      <c r="N6075">
        <v>0</v>
      </c>
      <c r="O6075">
        <v>-0.60337499999999999</v>
      </c>
      <c r="P6075">
        <v>0.88017029999999996</v>
      </c>
      <c r="Q6075">
        <v>2.9422609999999998E-2</v>
      </c>
      <c r="R6075">
        <v>-0.47374569999999999</v>
      </c>
      <c r="S6075">
        <v>3.1866150000000002</v>
      </c>
      <c r="T6075">
        <v>2.7644869999999998E-2</v>
      </c>
      <c r="U6075">
        <v>-0.4255371</v>
      </c>
      <c r="V6075">
        <v>-0.15432000000000001</v>
      </c>
      <c r="W6075">
        <v>4.1299349999999999E-2</v>
      </c>
      <c r="X6075">
        <v>0.98715739999999996</v>
      </c>
      <c r="Y6075">
        <v>-0.49255300000000002</v>
      </c>
      <c r="Z6075">
        <v>-6.9946940000000001E-3</v>
      </c>
      <c r="AA6075">
        <v>0.87025439999999998</v>
      </c>
      <c r="AB6075">
        <v>25</v>
      </c>
      <c r="AC6075">
        <v>133.75380000000001</v>
      </c>
      <c r="AD6075">
        <v>1.161238</v>
      </c>
      <c r="AE6075">
        <v>-17.806581999999999</v>
      </c>
      <c r="AF6075">
        <v>-66.509398557009902</v>
      </c>
      <c r="AG6075">
        <v>1.161238</v>
      </c>
      <c r="AH6075">
        <v>117.39231930900699</v>
      </c>
      <c r="AI6075">
        <v>89.5068894581226</v>
      </c>
      <c r="AJ6075">
        <v>119.534010454906</v>
      </c>
      <c r="AK6075">
        <v>134.92888943015799</v>
      </c>
      <c r="AL6075">
        <v>87.633048399945693</v>
      </c>
      <c r="AM6075">
        <v>98.885002283436407</v>
      </c>
      <c r="AN6075">
        <v>1.0000000155425901</v>
      </c>
    </row>
    <row r="6076" spans="1:40" x14ac:dyDescent="0.25">
      <c r="A6076" t="str">
        <f>"20190312160455293"</f>
        <v>20190312160455293</v>
      </c>
      <c r="B6076" t="str">
        <f>"1552377895290964"</f>
        <v>1552377895290964</v>
      </c>
      <c r="C6076" t="s">
        <v>40</v>
      </c>
      <c r="D6076">
        <v>5.7823359999999999</v>
      </c>
      <c r="E6076">
        <v>0.35591030000000001</v>
      </c>
      <c r="F6076" t="s">
        <v>104</v>
      </c>
      <c r="G6076">
        <v>-279.02</v>
      </c>
      <c r="H6076">
        <v>2.1744569999999999</v>
      </c>
      <c r="I6076">
        <v>3.4102990000000002</v>
      </c>
      <c r="J6076">
        <v>-412.66980000000001</v>
      </c>
      <c r="K6076">
        <v>1.119305</v>
      </c>
      <c r="L6076">
        <v>20.56738</v>
      </c>
      <c r="M6076">
        <v>0.80143330000000002</v>
      </c>
      <c r="N6076">
        <v>0</v>
      </c>
      <c r="O6076">
        <v>-0.59788419999999998</v>
      </c>
      <c r="P6076">
        <v>0.88324769999999897</v>
      </c>
      <c r="Q6076">
        <v>2.9771860000000001E-2</v>
      </c>
      <c r="R6076">
        <v>-0.46796070000000001</v>
      </c>
      <c r="S6076">
        <v>3.1867070000000002</v>
      </c>
      <c r="T6076">
        <v>2.5138850000000001E-2</v>
      </c>
      <c r="U6076">
        <v>-0.41043089999999999</v>
      </c>
      <c r="V6076">
        <v>-0.1540155</v>
      </c>
      <c r="W6076">
        <v>4.1658090000000002E-2</v>
      </c>
      <c r="X6076">
        <v>0.98718989999999995</v>
      </c>
      <c r="Y6076">
        <v>-0.49063950000000001</v>
      </c>
      <c r="Z6076">
        <v>-6.3225269999999997E-3</v>
      </c>
      <c r="AA6076">
        <v>0.87133969999999905</v>
      </c>
      <c r="AB6076">
        <v>25</v>
      </c>
      <c r="AC6076">
        <v>133.6498</v>
      </c>
      <c r="AD6076">
        <v>1.0551520000000001</v>
      </c>
      <c r="AE6076">
        <v>-17.157080999999899</v>
      </c>
      <c r="AF6076">
        <v>-66.160702896708997</v>
      </c>
      <c r="AG6076">
        <v>1.0551520000000001</v>
      </c>
      <c r="AH6076">
        <v>117.376187423167</v>
      </c>
      <c r="AI6076">
        <v>89.5513189416057</v>
      </c>
      <c r="AJ6076">
        <v>119.40838020959799</v>
      </c>
      <c r="AK6076">
        <v>134.74242586330499</v>
      </c>
      <c r="AL6076">
        <v>87.612476453423</v>
      </c>
      <c r="AM6076">
        <v>98.867462239248098</v>
      </c>
      <c r="AN6076">
        <v>1.0000000346823501</v>
      </c>
    </row>
    <row r="6077" spans="1:40" x14ac:dyDescent="0.25">
      <c r="A6077" t="str">
        <f>"20190312160455304"</f>
        <v>20190312160455304</v>
      </c>
      <c r="B6077" t="str">
        <f>"1552377895301700"</f>
        <v>1552377895301700</v>
      </c>
      <c r="C6077" t="s">
        <v>40</v>
      </c>
      <c r="D6077">
        <v>5.7956919999999998</v>
      </c>
      <c r="E6077">
        <v>0.3571259</v>
      </c>
      <c r="F6077" t="s">
        <v>104</v>
      </c>
      <c r="G6077">
        <v>-279.33690000000001</v>
      </c>
      <c r="H6077">
        <v>2.57748</v>
      </c>
      <c r="I6077">
        <v>4.3410299999999999</v>
      </c>
      <c r="J6077">
        <v>-412.5677</v>
      </c>
      <c r="K6077">
        <v>1.1193010000000001</v>
      </c>
      <c r="L6077">
        <v>20.499790000000001</v>
      </c>
      <c r="M6077">
        <v>0.80542939999999996</v>
      </c>
      <c r="N6077">
        <v>0</v>
      </c>
      <c r="O6077">
        <v>-0.59249010000000002</v>
      </c>
      <c r="P6077">
        <v>0.88626870000000002</v>
      </c>
      <c r="Q6077">
        <v>2.981982E-2</v>
      </c>
      <c r="R6077">
        <v>-0.46221060000000003</v>
      </c>
      <c r="S6077">
        <v>3.1897280000000001</v>
      </c>
      <c r="T6077">
        <v>3.4883980000000002E-2</v>
      </c>
      <c r="U6077">
        <v>-0.38818360000000002</v>
      </c>
      <c r="V6077">
        <v>-0.15380189999999999</v>
      </c>
      <c r="W6077">
        <v>4.1712880000000001E-2</v>
      </c>
      <c r="X6077">
        <v>0.98722089999999996</v>
      </c>
      <c r="Y6077">
        <v>-0.49084909999999998</v>
      </c>
      <c r="Z6077">
        <v>-8.7266319999999998E-3</v>
      </c>
      <c r="AA6077">
        <v>0.87120089999999994</v>
      </c>
      <c r="AB6077">
        <v>25</v>
      </c>
      <c r="AC6077">
        <v>133.23079999999999</v>
      </c>
      <c r="AD6077">
        <v>1.4581789999999999</v>
      </c>
      <c r="AE6077">
        <v>-16.158760000000001</v>
      </c>
      <c r="AF6077">
        <v>-65.923285332079999</v>
      </c>
      <c r="AG6077">
        <v>1.4581789999999999</v>
      </c>
      <c r="AH6077">
        <v>116.88207828972</v>
      </c>
      <c r="AI6077">
        <v>89.377424420101903</v>
      </c>
      <c r="AJ6077">
        <v>119.423665161855</v>
      </c>
      <c r="AK6077">
        <v>134.199202904842</v>
      </c>
      <c r="AL6077">
        <v>87.609334516421001</v>
      </c>
      <c r="AM6077">
        <v>98.855085572238806</v>
      </c>
      <c r="AN6077">
        <v>1.0000000470991499</v>
      </c>
    </row>
    <row r="6078" spans="1:40" x14ac:dyDescent="0.25">
      <c r="A6078" t="str">
        <f>"20190312160455316"</f>
        <v>20190312160455316</v>
      </c>
      <c r="B6078" t="str">
        <f>"1552377895311461"</f>
        <v>1552377895311461</v>
      </c>
      <c r="C6078" t="s">
        <v>40</v>
      </c>
      <c r="D6078">
        <v>5.4545719999999998</v>
      </c>
      <c r="E6078">
        <v>0.35844169999999997</v>
      </c>
      <c r="F6078" t="s">
        <v>104</v>
      </c>
      <c r="G6078">
        <v>-279.33690000000001</v>
      </c>
      <c r="H6078">
        <v>2.4613999999999998</v>
      </c>
      <c r="I6078">
        <v>4.7849899999999996</v>
      </c>
      <c r="J6078">
        <v>-412.4622</v>
      </c>
      <c r="K6078">
        <v>1.119289</v>
      </c>
      <c r="L6078">
        <v>20.4314</v>
      </c>
      <c r="M6078">
        <v>0.80949629999999995</v>
      </c>
      <c r="N6078">
        <v>0</v>
      </c>
      <c r="O6078">
        <v>-0.58692129999999998</v>
      </c>
      <c r="P6078">
        <v>0.88917599999999997</v>
      </c>
      <c r="Q6078">
        <v>2.9811879999999999E-2</v>
      </c>
      <c r="R6078">
        <v>-0.45659349999999999</v>
      </c>
      <c r="S6078">
        <v>3.187805</v>
      </c>
      <c r="T6078">
        <v>3.211236E-2</v>
      </c>
      <c r="U6078">
        <v>-0.37600709999999998</v>
      </c>
      <c r="V6078">
        <v>-0.15323829999999999</v>
      </c>
      <c r="W6078">
        <v>4.1720029999999998E-2</v>
      </c>
      <c r="X6078">
        <v>0.98730819999999997</v>
      </c>
      <c r="Y6078">
        <v>-0.48806500000000003</v>
      </c>
      <c r="Z6078">
        <v>-7.9828669999999994E-3</v>
      </c>
      <c r="AA6078">
        <v>0.87277079999999996</v>
      </c>
      <c r="AB6078">
        <v>25</v>
      </c>
      <c r="AC6078">
        <v>133.12529999999899</v>
      </c>
      <c r="AD6078">
        <v>1.3421109999999901</v>
      </c>
      <c r="AE6078">
        <v>-15.646409999999999</v>
      </c>
      <c r="AF6078">
        <v>-65.469628666434403</v>
      </c>
      <c r="AG6078">
        <v>1.3421109999999901</v>
      </c>
      <c r="AH6078">
        <v>116.949909730868</v>
      </c>
      <c r="AI6078">
        <v>89.426279424964306</v>
      </c>
      <c r="AJ6078">
        <v>119.240500950925</v>
      </c>
      <c r="AK6078">
        <v>134.034901893929</v>
      </c>
      <c r="AL6078">
        <v>87.608924405065807</v>
      </c>
      <c r="AM6078">
        <v>98.822380111294393</v>
      </c>
      <c r="AN6078">
        <v>1.0000000096386601</v>
      </c>
    </row>
    <row r="6079" spans="1:40" x14ac:dyDescent="0.25">
      <c r="A6079" t="str">
        <f>"20190312160455328"</f>
        <v>20190312160455328</v>
      </c>
      <c r="B6079" t="str">
        <f>"1552377895321220"</f>
        <v>1552377895321220</v>
      </c>
      <c r="C6079" t="s">
        <v>40</v>
      </c>
      <c r="D6079">
        <v>5.8084089999999904</v>
      </c>
      <c r="E6079">
        <v>0.35878660000000001</v>
      </c>
      <c r="F6079" t="s">
        <v>104</v>
      </c>
      <c r="G6079">
        <v>-278.25540000000001</v>
      </c>
      <c r="H6079">
        <v>2.2407840000000001</v>
      </c>
      <c r="I6079">
        <v>5.0478129999999997</v>
      </c>
      <c r="J6079">
        <v>-412.3544</v>
      </c>
      <c r="K6079">
        <v>1.1192770000000001</v>
      </c>
      <c r="L6079">
        <v>20.362030000000001</v>
      </c>
      <c r="M6079">
        <v>0.81360379999999999</v>
      </c>
      <c r="N6079">
        <v>0</v>
      </c>
      <c r="O6079">
        <v>-0.58121449999999997</v>
      </c>
      <c r="P6079">
        <v>0.89224769999999898</v>
      </c>
      <c r="Q6079">
        <v>2.9824719999999999E-2</v>
      </c>
      <c r="R6079">
        <v>-0.45056069999999998</v>
      </c>
      <c r="S6079">
        <v>3.1855159999999998</v>
      </c>
      <c r="T6079">
        <v>2.6619670000000002E-2</v>
      </c>
      <c r="U6079">
        <v>-0.36514279999999999</v>
      </c>
      <c r="V6079">
        <v>-0.1529807</v>
      </c>
      <c r="W6079">
        <v>4.1741460000000001E-2</v>
      </c>
      <c r="X6079">
        <v>0.98734719999999998</v>
      </c>
      <c r="Y6079">
        <v>-0.4848036</v>
      </c>
      <c r="Z6079">
        <v>-6.5728109999999996E-3</v>
      </c>
      <c r="AA6079">
        <v>0.87459830000000005</v>
      </c>
      <c r="AB6079">
        <v>25</v>
      </c>
      <c r="AC6079">
        <v>134.09899999999999</v>
      </c>
      <c r="AD6079">
        <v>1.121507</v>
      </c>
      <c r="AE6079">
        <v>-15.3142169999999</v>
      </c>
      <c r="AF6079">
        <v>-65.483868800440504</v>
      </c>
      <c r="AG6079">
        <v>1.121507</v>
      </c>
      <c r="AH6079">
        <v>118.01023122954</v>
      </c>
      <c r="AI6079">
        <v>89.523892107532106</v>
      </c>
      <c r="AJ6079">
        <v>119.025891010479</v>
      </c>
      <c r="AK6079">
        <v>134.96595691460001</v>
      </c>
      <c r="AL6079">
        <v>87.607695388011905</v>
      </c>
      <c r="AM6079">
        <v>98.807439606635299</v>
      </c>
      <c r="AN6079">
        <v>0.99999996870162999</v>
      </c>
    </row>
    <row r="6080" spans="1:40" x14ac:dyDescent="0.25">
      <c r="A6080" t="str">
        <f>"20190312160455338"</f>
        <v>20190312160455338</v>
      </c>
      <c r="B6080" t="str">
        <f>"1552377895330980"</f>
        <v>1552377895330980</v>
      </c>
      <c r="C6080" t="s">
        <v>40</v>
      </c>
      <c r="D6080">
        <v>5.7720729999999998</v>
      </c>
      <c r="E6080">
        <v>0.36007689999999998</v>
      </c>
      <c r="F6080" t="s">
        <v>104</v>
      </c>
      <c r="G6080">
        <v>-267.18419999999998</v>
      </c>
      <c r="H6080">
        <v>2.3724050000000001</v>
      </c>
      <c r="I6080">
        <v>4.6007350000000002</v>
      </c>
      <c r="J6080">
        <v>-412.25420000000003</v>
      </c>
      <c r="K6080">
        <v>1.119265</v>
      </c>
      <c r="L6080">
        <v>20.299099999999999</v>
      </c>
      <c r="M6080">
        <v>0.81735869999999999</v>
      </c>
      <c r="N6080">
        <v>0</v>
      </c>
      <c r="O6080">
        <v>-0.57592200000000005</v>
      </c>
      <c r="P6080">
        <v>0.89487399999999995</v>
      </c>
      <c r="Q6080">
        <v>2.9898270000000001E-2</v>
      </c>
      <c r="R6080">
        <v>-0.4453165</v>
      </c>
      <c r="S6080">
        <v>3.1866460000000001</v>
      </c>
      <c r="T6080">
        <v>2.750754E-2</v>
      </c>
      <c r="U6080">
        <v>-0.3459778</v>
      </c>
      <c r="V6080">
        <v>-0.1523661</v>
      </c>
      <c r="W6080">
        <v>4.1831500000000001E-2</v>
      </c>
      <c r="X6080">
        <v>0.98743840000000005</v>
      </c>
      <c r="Y6080">
        <v>-0.4843556</v>
      </c>
      <c r="Z6080">
        <v>-6.7551540000000002E-3</v>
      </c>
      <c r="AA6080">
        <v>0.87484509999999904</v>
      </c>
      <c r="AB6080">
        <v>25</v>
      </c>
      <c r="AC6080">
        <v>145.07</v>
      </c>
      <c r="AD6080">
        <v>1.2531399999999999</v>
      </c>
      <c r="AE6080">
        <v>-15.698365000000001</v>
      </c>
      <c r="AF6080">
        <v>-70.721031681398102</v>
      </c>
      <c r="AG6080">
        <v>1.2531399999999999</v>
      </c>
      <c r="AH6080">
        <v>127.621075333588</v>
      </c>
      <c r="AI6080">
        <v>89.507917451282296</v>
      </c>
      <c r="AJ6080">
        <v>118.992964166416</v>
      </c>
      <c r="AK6080">
        <v>145.91152645093601</v>
      </c>
      <c r="AL6080">
        <v>87.602531917018695</v>
      </c>
      <c r="AM6080">
        <v>98.771809575257706</v>
      </c>
      <c r="AN6080">
        <v>0.99999994830800798</v>
      </c>
    </row>
    <row r="6081" spans="1:40" x14ac:dyDescent="0.25">
      <c r="A6081" t="str">
        <f>"20190312160455349"</f>
        <v>20190312160455349</v>
      </c>
      <c r="B6081" t="str">
        <f>"1552377895341716"</f>
        <v>1552377895341716</v>
      </c>
      <c r="C6081" t="s">
        <v>40</v>
      </c>
      <c r="D6081">
        <v>5.8303279999999997</v>
      </c>
      <c r="E6081">
        <v>0.36013329999999999</v>
      </c>
      <c r="F6081" t="s">
        <v>104</v>
      </c>
      <c r="G6081">
        <v>-265.7654</v>
      </c>
      <c r="H6081">
        <v>2.1707670000000001</v>
      </c>
      <c r="I6081">
        <v>4.8217349999999897</v>
      </c>
      <c r="J6081">
        <v>-412.1549</v>
      </c>
      <c r="K6081">
        <v>1.1192530000000001</v>
      </c>
      <c r="L6081">
        <v>20.237120000000001</v>
      </c>
      <c r="M6081">
        <v>0.82104259999999996</v>
      </c>
      <c r="N6081">
        <v>0</v>
      </c>
      <c r="O6081">
        <v>-0.57065779999999999</v>
      </c>
      <c r="P6081">
        <v>0.89745719999999995</v>
      </c>
      <c r="Q6081">
        <v>3.005977E-2</v>
      </c>
      <c r="R6081">
        <v>-0.44007610000000003</v>
      </c>
      <c r="S6081">
        <v>3.1841740000000001</v>
      </c>
      <c r="T6081">
        <v>2.2856120000000001E-2</v>
      </c>
      <c r="U6081">
        <v>-0.3364258</v>
      </c>
      <c r="V6081">
        <v>-0.15179379999999901</v>
      </c>
      <c r="W6081">
        <v>4.2008740000000003E-2</v>
      </c>
      <c r="X6081">
        <v>0.98751909999999998</v>
      </c>
      <c r="Y6081">
        <v>-0.48126400000000003</v>
      </c>
      <c r="Z6081">
        <v>-5.5771880000000003E-3</v>
      </c>
      <c r="AA6081">
        <v>0.8765579</v>
      </c>
      <c r="AB6081">
        <v>25</v>
      </c>
      <c r="AC6081">
        <v>146.3895</v>
      </c>
      <c r="AD6081">
        <v>1.0515139999999901</v>
      </c>
      <c r="AE6081">
        <v>-15.415385000000001</v>
      </c>
      <c r="AF6081">
        <v>-70.886467032416405</v>
      </c>
      <c r="AG6081">
        <v>1.0515139999999901</v>
      </c>
      <c r="AH6081">
        <v>128.99774185031799</v>
      </c>
      <c r="AI6081">
        <v>89.590694232775206</v>
      </c>
      <c r="AJ6081">
        <v>118.789547774303</v>
      </c>
      <c r="AK6081">
        <v>147.19515716392101</v>
      </c>
      <c r="AL6081">
        <v>87.592368080582204</v>
      </c>
      <c r="AM6081">
        <v>98.738668352802407</v>
      </c>
      <c r="AN6081">
        <v>1.0000000324098099</v>
      </c>
    </row>
    <row r="6082" spans="1:40" x14ac:dyDescent="0.25">
      <c r="A6082" t="str">
        <f>"20190312160455360"</f>
        <v>20190312160455360</v>
      </c>
      <c r="B6082" t="str">
        <f>"1552377895351476"</f>
        <v>1552377895351476</v>
      </c>
      <c r="C6082" t="s">
        <v>40</v>
      </c>
      <c r="D6082">
        <v>5.4084969999999997</v>
      </c>
      <c r="E6082">
        <v>0.36013329999999999</v>
      </c>
      <c r="F6082" t="s">
        <v>104</v>
      </c>
      <c r="G6082">
        <v>-255.58369999999999</v>
      </c>
      <c r="H6082">
        <v>2.2742819999999999</v>
      </c>
      <c r="I6082">
        <v>4.6007020000000001</v>
      </c>
      <c r="J6082">
        <v>-412.05200000000002</v>
      </c>
      <c r="K6082">
        <v>1.1192390000000001</v>
      </c>
      <c r="L6082">
        <v>20.17426</v>
      </c>
      <c r="M6082">
        <v>0.82479910000000001</v>
      </c>
      <c r="N6082">
        <v>0</v>
      </c>
      <c r="O6082">
        <v>-0.56521509999999997</v>
      </c>
      <c r="P6082">
        <v>0.90018390000000004</v>
      </c>
      <c r="Q6082">
        <v>3.037865E-2</v>
      </c>
      <c r="R6082">
        <v>-0.43444929999999898</v>
      </c>
      <c r="S6082">
        <v>3.1859739999999999</v>
      </c>
      <c r="T6082">
        <v>2.3503070000000001E-2</v>
      </c>
      <c r="U6082">
        <v>-0.31817630000000002</v>
      </c>
      <c r="V6082">
        <v>-0.15144369999999999</v>
      </c>
      <c r="W6082">
        <v>4.233746E-2</v>
      </c>
      <c r="X6082">
        <v>0.98755879999999996</v>
      </c>
      <c r="Y6082">
        <v>-0.4804853</v>
      </c>
      <c r="Z6082">
        <v>-5.6994309999999996E-3</v>
      </c>
      <c r="AA6082">
        <v>0.87698430000000005</v>
      </c>
      <c r="AB6082">
        <v>25</v>
      </c>
      <c r="AC6082">
        <v>156.468299999999</v>
      </c>
      <c r="AD6082">
        <v>1.155043</v>
      </c>
      <c r="AE6082">
        <v>-15.573557999999901</v>
      </c>
      <c r="AF6082">
        <v>-75.598119900326495</v>
      </c>
      <c r="AG6082">
        <v>1.155043</v>
      </c>
      <c r="AH6082">
        <v>137.866315133499</v>
      </c>
      <c r="AI6082">
        <v>89.579109188090001</v>
      </c>
      <c r="AJ6082">
        <v>118.737881932533</v>
      </c>
      <c r="AK6082">
        <v>157.237179780372</v>
      </c>
      <c r="AL6082">
        <v>87.573517008796998</v>
      </c>
      <c r="AM6082">
        <v>98.718478271894</v>
      </c>
      <c r="AN6082">
        <v>1.0000000191231899</v>
      </c>
    </row>
    <row r="6083" spans="1:40" x14ac:dyDescent="0.25">
      <c r="A6083" t="str">
        <f>"20190312160455371"</f>
        <v>20190312160455371</v>
      </c>
      <c r="B6083" t="str">
        <f>"1552377895361237"</f>
        <v>1552377895361237</v>
      </c>
      <c r="C6083" t="s">
        <v>40</v>
      </c>
      <c r="D6083">
        <v>5.7304649999999997</v>
      </c>
      <c r="E6083">
        <v>0.33595730000000001</v>
      </c>
      <c r="F6083" t="s">
        <v>90</v>
      </c>
      <c r="G6083">
        <v>-241.47579999999999</v>
      </c>
      <c r="H6083">
        <v>2.437856</v>
      </c>
      <c r="I6083">
        <v>4.2173790000000002</v>
      </c>
      <c r="J6083">
        <v>-411.94869999999997</v>
      </c>
      <c r="K6083">
        <v>1.1192249999999999</v>
      </c>
      <c r="L6083">
        <v>20.111879999999999</v>
      </c>
      <c r="M6083">
        <v>0.82852359999999903</v>
      </c>
      <c r="N6083">
        <v>0</v>
      </c>
      <c r="O6083">
        <v>-0.55974119999999905</v>
      </c>
      <c r="P6083">
        <v>0.90290510000000002</v>
      </c>
      <c r="Q6083">
        <v>3.0852609999999999E-2</v>
      </c>
      <c r="R6083">
        <v>-0.42873139999999998</v>
      </c>
      <c r="S6083">
        <v>3.187897</v>
      </c>
      <c r="T6083">
        <v>2.46433E-2</v>
      </c>
      <c r="U6083">
        <v>-0.29821779999999998</v>
      </c>
      <c r="V6083">
        <v>-0.151168</v>
      </c>
      <c r="W6083">
        <v>4.2819580000000003E-2</v>
      </c>
      <c r="X6083">
        <v>0.98758020000000002</v>
      </c>
      <c r="Y6083">
        <v>-0.48016750000000002</v>
      </c>
      <c r="Z6083">
        <v>-5.9399140000000001E-3</v>
      </c>
      <c r="AA6083">
        <v>0.87715669999999901</v>
      </c>
      <c r="AB6083">
        <v>25</v>
      </c>
      <c r="AC6083">
        <v>170.47289999999899</v>
      </c>
      <c r="AD6083">
        <v>1.3186309999999899</v>
      </c>
      <c r="AE6083">
        <v>-15.894500999999901</v>
      </c>
      <c r="AF6083">
        <v>-82.256664762468006</v>
      </c>
      <c r="AG6083">
        <v>1.3186309999999899</v>
      </c>
      <c r="AH6083">
        <v>150.14662378011801</v>
      </c>
      <c r="AI6083">
        <v>89.558705844475895</v>
      </c>
      <c r="AJ6083">
        <v>118.715789990487</v>
      </c>
      <c r="AK6083">
        <v>171.20720288039101</v>
      </c>
      <c r="AL6083">
        <v>87.545868363708706</v>
      </c>
      <c r="AM6083">
        <v>98.702663991068505</v>
      </c>
      <c r="AN6083">
        <v>0.999999966043707</v>
      </c>
    </row>
    <row r="6084" spans="1:40" x14ac:dyDescent="0.25">
      <c r="A6084" t="str">
        <f>"20190312160455382"</f>
        <v>20190312160455382</v>
      </c>
      <c r="B6084" t="str">
        <f>"1552377895370997"</f>
        <v>1552377895370997</v>
      </c>
      <c r="C6084" t="s">
        <v>40</v>
      </c>
      <c r="D6084">
        <v>5.6929449999999999</v>
      </c>
      <c r="E6084">
        <v>0.33154070000000002</v>
      </c>
      <c r="F6084" t="s">
        <v>105</v>
      </c>
      <c r="G6084">
        <v>-277.00959999999998</v>
      </c>
      <c r="H6084">
        <v>5.3553569999999997</v>
      </c>
      <c r="I6084">
        <v>15.81066</v>
      </c>
      <c r="J6084">
        <v>-411.84930000000003</v>
      </c>
      <c r="K6084">
        <v>1.1192139999999999</v>
      </c>
      <c r="L6084">
        <v>20.052669999999999</v>
      </c>
      <c r="M6084">
        <v>0.83206329999999995</v>
      </c>
      <c r="N6084">
        <v>0</v>
      </c>
      <c r="O6084">
        <v>-0.55446569999999995</v>
      </c>
      <c r="P6084">
        <v>0.90551289999999995</v>
      </c>
      <c r="Q6084">
        <v>3.1230399999999998E-2</v>
      </c>
      <c r="R6084">
        <v>-0.42316789999999999</v>
      </c>
      <c r="S6084">
        <v>3.2695919999999998</v>
      </c>
      <c r="T6084">
        <v>0.102641899999999</v>
      </c>
      <c r="U6084">
        <v>-0.1042175</v>
      </c>
      <c r="V6084">
        <v>-0.15096909999999999</v>
      </c>
      <c r="W6084">
        <v>4.3203079999999998E-2</v>
      </c>
      <c r="X6084">
        <v>0.98759390000000002</v>
      </c>
      <c r="Y6084">
        <v>-0.52723369999999903</v>
      </c>
      <c r="Z6084">
        <v>-2.4836159999999999E-2</v>
      </c>
      <c r="AA6084">
        <v>0.84935720000000003</v>
      </c>
      <c r="AB6084">
        <v>25</v>
      </c>
      <c r="AC6084">
        <v>134.83969999999999</v>
      </c>
      <c r="AD6084">
        <v>4.2361430000000002</v>
      </c>
      <c r="AE6084">
        <v>-4.2420099999999996</v>
      </c>
      <c r="AF6084">
        <v>-71.172686198402801</v>
      </c>
      <c r="AG6084">
        <v>4.2361430000000002</v>
      </c>
      <c r="AH6084">
        <v>114.4480287311</v>
      </c>
      <c r="AI6084">
        <v>88.199696586861805</v>
      </c>
      <c r="AJ6084">
        <v>121.876562697213</v>
      </c>
      <c r="AK6084">
        <v>134.84008101691199</v>
      </c>
      <c r="AL6084">
        <v>87.523875022096902</v>
      </c>
      <c r="AM6084">
        <v>98.691269657779898</v>
      </c>
      <c r="AN6084">
        <v>0.99999994329675101</v>
      </c>
    </row>
    <row r="6085" spans="1:40" x14ac:dyDescent="0.25">
      <c r="A6085" t="str">
        <f>"20190312160455395"</f>
        <v>20190312160455395</v>
      </c>
      <c r="B6085" t="str">
        <f>"1552377895391493"</f>
        <v>1552377895391493</v>
      </c>
      <c r="C6085" t="s">
        <v>40</v>
      </c>
      <c r="D6085">
        <v>5.6793269999999998</v>
      </c>
      <c r="E6085">
        <v>0.3312002</v>
      </c>
      <c r="F6085" t="s">
        <v>87</v>
      </c>
      <c r="G6085">
        <v>-274.15660000000003</v>
      </c>
      <c r="H6085">
        <v>5.9372410000000002</v>
      </c>
      <c r="I6085">
        <v>17.862549999999999</v>
      </c>
      <c r="J6085">
        <v>-411.73340000000002</v>
      </c>
      <c r="K6085">
        <v>1.1192</v>
      </c>
      <c r="L6085">
        <v>19.98489</v>
      </c>
      <c r="M6085">
        <v>0.83612819999999899</v>
      </c>
      <c r="N6085">
        <v>0</v>
      </c>
      <c r="O6085">
        <v>-0.54831700000000005</v>
      </c>
      <c r="P6085">
        <v>0.90863830000000001</v>
      </c>
      <c r="Q6085">
        <v>3.1482820000000002E-2</v>
      </c>
      <c r="R6085">
        <v>-0.41639579999999998</v>
      </c>
      <c r="S6085">
        <v>3.2846980000000001</v>
      </c>
      <c r="T6085">
        <v>0.1149355</v>
      </c>
      <c r="U6085">
        <v>-5.2246090000000002E-2</v>
      </c>
      <c r="V6085">
        <v>-0.15106069999999999</v>
      </c>
      <c r="W6085">
        <v>4.3455559999999997E-2</v>
      </c>
      <c r="X6085">
        <v>0.98756889999999997</v>
      </c>
      <c r="Y6085">
        <v>-0.53438249999999998</v>
      </c>
      <c r="Z6085">
        <v>-2.7651040000000002E-2</v>
      </c>
      <c r="AA6085">
        <v>0.84479029999999999</v>
      </c>
      <c r="AB6085">
        <v>25</v>
      </c>
      <c r="AC6085">
        <v>137.57679999999999</v>
      </c>
      <c r="AD6085">
        <v>4.818041</v>
      </c>
      <c r="AE6085">
        <v>-2.1223399999999999</v>
      </c>
      <c r="AF6085">
        <v>-73.579700368567401</v>
      </c>
      <c r="AG6085">
        <v>4.818041</v>
      </c>
      <c r="AH6085">
        <v>116.067076003171</v>
      </c>
      <c r="AI6085">
        <v>87.9920606424933</v>
      </c>
      <c r="AJ6085">
        <v>122.372293845275</v>
      </c>
      <c r="AK6085">
        <v>137.509097725684</v>
      </c>
      <c r="AL6085">
        <v>87.509395591576407</v>
      </c>
      <c r="AM6085">
        <v>98.696679244014305</v>
      </c>
      <c r="AN6085">
        <v>1.0000000265133</v>
      </c>
    </row>
    <row r="6086" spans="1:40" x14ac:dyDescent="0.25">
      <c r="A6086" t="str">
        <f>"20190312160455408"</f>
        <v>20190312160455408</v>
      </c>
      <c r="B6086" t="str">
        <f>"1552377895401253"</f>
        <v>1552377895401253</v>
      </c>
      <c r="C6086" t="s">
        <v>40</v>
      </c>
      <c r="D6086">
        <v>5.691897</v>
      </c>
      <c r="E6086">
        <v>0.33141789999999999</v>
      </c>
      <c r="F6086" t="s">
        <v>106</v>
      </c>
      <c r="G6086">
        <v>-276.6198</v>
      </c>
      <c r="H6086">
        <v>6.141832</v>
      </c>
      <c r="I6086">
        <v>18.944579999999998</v>
      </c>
      <c r="J6086">
        <v>-411.61989999999997</v>
      </c>
      <c r="K6086">
        <v>1.1191899999999999</v>
      </c>
      <c r="L6086">
        <v>19.919160000000002</v>
      </c>
      <c r="M6086">
        <v>0.84005509999999906</v>
      </c>
      <c r="N6086">
        <v>0</v>
      </c>
      <c r="O6086">
        <v>-0.54228160000000003</v>
      </c>
      <c r="P6086">
        <v>0.91161700000000001</v>
      </c>
      <c r="Q6086">
        <v>3.1385110000000001E-2</v>
      </c>
      <c r="R6086">
        <v>-0.40984100000000001</v>
      </c>
      <c r="S6086">
        <v>3.285828</v>
      </c>
      <c r="T6086">
        <v>0.1221455</v>
      </c>
      <c r="U6086">
        <v>-2.529907E-2</v>
      </c>
      <c r="V6086">
        <v>-0.1510599</v>
      </c>
      <c r="W6086">
        <v>4.3359340000000003E-2</v>
      </c>
      <c r="X6086">
        <v>0.98757320000000004</v>
      </c>
      <c r="Y6086">
        <v>-0.53515089999999998</v>
      </c>
      <c r="Z6086">
        <v>-2.9210719999999999E-2</v>
      </c>
      <c r="AA6086">
        <v>0.84425130000000004</v>
      </c>
      <c r="AB6086">
        <v>25</v>
      </c>
      <c r="AC6086">
        <v>135.00009999999901</v>
      </c>
      <c r="AD6086">
        <v>5.0226419999999896</v>
      </c>
      <c r="AE6086">
        <v>-0.974580000000003</v>
      </c>
      <c r="AF6086">
        <v>-72.2979196796785</v>
      </c>
      <c r="AG6086">
        <v>5.0226419999999896</v>
      </c>
      <c r="AH6086">
        <v>113.79208368402701</v>
      </c>
      <c r="AI6086">
        <v>87.866417976863801</v>
      </c>
      <c r="AJ6086">
        <v>122.429878889173</v>
      </c>
      <c r="AK6086">
        <v>134.91054233017499</v>
      </c>
      <c r="AL6086">
        <v>87.514913665790203</v>
      </c>
      <c r="AM6086">
        <v>98.696596604375799</v>
      </c>
      <c r="AN6086">
        <v>0.99999997555574205</v>
      </c>
    </row>
    <row r="6087" spans="1:40" x14ac:dyDescent="0.25">
      <c r="A6087" t="str">
        <f>"20190312160455419"</f>
        <v>20190312160455419</v>
      </c>
      <c r="B6087" t="str">
        <f>"1552377895411013"</f>
        <v>1552377895411013</v>
      </c>
      <c r="C6087" t="s">
        <v>40</v>
      </c>
      <c r="D6087">
        <v>5.680396</v>
      </c>
      <c r="E6087">
        <v>0.33189849999999999</v>
      </c>
      <c r="F6087" t="s">
        <v>106</v>
      </c>
      <c r="G6087">
        <v>-276.58620000000002</v>
      </c>
      <c r="H6087">
        <v>6.1111050000000002</v>
      </c>
      <c r="I6087">
        <v>19.78745</v>
      </c>
      <c r="J6087">
        <v>-411.50040000000001</v>
      </c>
      <c r="K6087">
        <v>1.1191759999999999</v>
      </c>
      <c r="L6087">
        <v>19.851929999999999</v>
      </c>
      <c r="M6087">
        <v>0.84411320000000001</v>
      </c>
      <c r="N6087">
        <v>0</v>
      </c>
      <c r="O6087">
        <v>-0.53594330000000001</v>
      </c>
      <c r="P6087">
        <v>0.91462149999999998</v>
      </c>
      <c r="Q6087">
        <v>3.1215199999999999E-2</v>
      </c>
      <c r="R6087">
        <v>-0.40310469999999998</v>
      </c>
      <c r="S6087">
        <v>3.2852480000000002</v>
      </c>
      <c r="T6087">
        <v>0.1214489</v>
      </c>
      <c r="U6087">
        <v>-3.2043459999999998E-3</v>
      </c>
      <c r="V6087">
        <v>-0.1509094</v>
      </c>
      <c r="W6087">
        <v>4.3194980000000001E-2</v>
      </c>
      <c r="X6087">
        <v>0.98760340000000002</v>
      </c>
      <c r="Y6087">
        <v>-0.53448309999999999</v>
      </c>
      <c r="Z6087">
        <v>-2.8846130000000001E-2</v>
      </c>
      <c r="AA6087">
        <v>0.84468670000000001</v>
      </c>
      <c r="AB6087">
        <v>25</v>
      </c>
      <c r="AC6087">
        <v>134.91419999999999</v>
      </c>
      <c r="AD6087">
        <v>4.9919289999999998</v>
      </c>
      <c r="AE6087">
        <v>-6.4479999999999593E-2</v>
      </c>
      <c r="AF6087">
        <v>-72.161727785439794</v>
      </c>
      <c r="AG6087">
        <v>4.9919289999999998</v>
      </c>
      <c r="AH6087">
        <v>113.775190676864</v>
      </c>
      <c r="AI6087">
        <v>87.878080660680396</v>
      </c>
      <c r="AJ6087">
        <v>122.384846191287</v>
      </c>
      <c r="AK6087">
        <v>134.822210060797</v>
      </c>
      <c r="AL6087">
        <v>87.524339604103204</v>
      </c>
      <c r="AM6087">
        <v>98.687802891702603</v>
      </c>
      <c r="AN6087">
        <v>0.99999996449855899</v>
      </c>
    </row>
    <row r="6088" spans="1:40" x14ac:dyDescent="0.25">
      <c r="A6088" t="str">
        <f>"20190312160455433"</f>
        <v>20190312160455433</v>
      </c>
      <c r="B6088" t="str">
        <f>"1552377895421750"</f>
        <v>1552377895421750</v>
      </c>
      <c r="C6088" t="s">
        <v>40</v>
      </c>
      <c r="D6088">
        <v>5.7550509999999999</v>
      </c>
      <c r="E6088">
        <v>0.33242709999999998</v>
      </c>
      <c r="F6088" t="s">
        <v>87</v>
      </c>
      <c r="G6088">
        <v>-274.15660000000003</v>
      </c>
      <c r="H6088">
        <v>6.1671940000000003</v>
      </c>
      <c r="I6088">
        <v>20.58588</v>
      </c>
      <c r="J6088">
        <v>-411.38159999999999</v>
      </c>
      <c r="K6088">
        <v>1.119165</v>
      </c>
      <c r="L6088">
        <v>19.785740000000001</v>
      </c>
      <c r="M6088">
        <v>0.84809439999999903</v>
      </c>
      <c r="N6088">
        <v>0</v>
      </c>
      <c r="O6088">
        <v>-0.52962049999999905</v>
      </c>
      <c r="P6088">
        <v>0.91748580000000002</v>
      </c>
      <c r="Q6088">
        <v>3.0923139999999998E-2</v>
      </c>
      <c r="R6088">
        <v>-0.39656459999999999</v>
      </c>
      <c r="S6088">
        <v>3.2836609999999999</v>
      </c>
      <c r="T6088">
        <v>0.1206897</v>
      </c>
      <c r="U6088">
        <v>1.7547610000000002E-2</v>
      </c>
      <c r="V6088">
        <v>-0.15057779999999901</v>
      </c>
      <c r="W6088">
        <v>4.2911999999999999E-2</v>
      </c>
      <c r="X6088">
        <v>0.98766640000000006</v>
      </c>
      <c r="Y6088">
        <v>-0.53351959999999998</v>
      </c>
      <c r="Z6088">
        <v>-2.8470240000000001E-2</v>
      </c>
      <c r="AA6088">
        <v>0.84530839999999996</v>
      </c>
      <c r="AB6088">
        <v>25</v>
      </c>
      <c r="AC6088">
        <v>137.224999999999</v>
      </c>
      <c r="AD6088">
        <v>5.0480289999999997</v>
      </c>
      <c r="AE6088">
        <v>0.80013999999999896</v>
      </c>
      <c r="AF6088">
        <v>-73.265356016454703</v>
      </c>
      <c r="AG6088">
        <v>5.0480289999999997</v>
      </c>
      <c r="AH6088">
        <v>115.813067164952</v>
      </c>
      <c r="AI6088">
        <v>87.890425675643797</v>
      </c>
      <c r="AJ6088">
        <v>122.31815537483401</v>
      </c>
      <c r="AK6088">
        <v>137.13482969383301</v>
      </c>
      <c r="AL6088">
        <v>87.540568337958902</v>
      </c>
      <c r="AM6088">
        <v>98.668458552113293</v>
      </c>
      <c r="AN6088">
        <v>1.0000000156428901</v>
      </c>
    </row>
    <row r="6089" spans="1:40" x14ac:dyDescent="0.25">
      <c r="A6089" t="str">
        <f>"20190312160455446"</f>
        <v>20190312160455446</v>
      </c>
      <c r="B6089" t="str">
        <f>"1552377895441269"</f>
        <v>1552377895441269</v>
      </c>
      <c r="C6089" t="s">
        <v>40</v>
      </c>
      <c r="D6089">
        <v>5.721152</v>
      </c>
      <c r="E6089">
        <v>0.33409909999999998</v>
      </c>
      <c r="F6089" t="s">
        <v>87</v>
      </c>
      <c r="G6089">
        <v>-274.15660000000003</v>
      </c>
      <c r="H6089">
        <v>6.1370259999999996</v>
      </c>
      <c r="I6089">
        <v>21.337440000000001</v>
      </c>
      <c r="J6089">
        <v>-411.25119999999998</v>
      </c>
      <c r="K6089">
        <v>1.1191500000000001</v>
      </c>
      <c r="L6089">
        <v>19.714390000000002</v>
      </c>
      <c r="M6089">
        <v>0.852388699999999</v>
      </c>
      <c r="N6089">
        <v>0</v>
      </c>
      <c r="O6089">
        <v>-0.52268149999999902</v>
      </c>
      <c r="P6089">
        <v>0.92053859999999998</v>
      </c>
      <c r="Q6089">
        <v>3.065911E-2</v>
      </c>
      <c r="R6089">
        <v>-0.38944709999999899</v>
      </c>
      <c r="S6089">
        <v>3.2817690000000002</v>
      </c>
      <c r="T6089">
        <v>0.1200035</v>
      </c>
      <c r="U6089">
        <v>3.7109379999999997E-2</v>
      </c>
      <c r="V6089">
        <v>-0.15016350000000001</v>
      </c>
      <c r="W6089">
        <v>4.2659990000000002E-2</v>
      </c>
      <c r="X6089">
        <v>0.98774039999999996</v>
      </c>
      <c r="Y6089">
        <v>-0.53167149999999996</v>
      </c>
      <c r="Z6089">
        <v>-2.8078240000000001E-2</v>
      </c>
      <c r="AA6089">
        <v>0.84648509999999999</v>
      </c>
      <c r="AB6089">
        <v>25</v>
      </c>
      <c r="AC6089">
        <v>137.09459999999899</v>
      </c>
      <c r="AD6089">
        <v>5.0178760000000002</v>
      </c>
      <c r="AE6089">
        <v>1.6230500000000001</v>
      </c>
      <c r="AF6089">
        <v>-72.951240499303793</v>
      </c>
      <c r="AG6089">
        <v>5.0178760000000002</v>
      </c>
      <c r="AH6089">
        <v>115.868127591955</v>
      </c>
      <c r="AI6089">
        <v>87.9011625710028</v>
      </c>
      <c r="AJ6089">
        <v>122.19475453962799</v>
      </c>
      <c r="AK6089">
        <v>137.01272043720701</v>
      </c>
      <c r="AL6089">
        <v>87.555020703755503</v>
      </c>
      <c r="AM6089">
        <v>98.644331079401894</v>
      </c>
      <c r="AN6089">
        <v>1.0000000246356</v>
      </c>
    </row>
    <row r="6090" spans="1:40" x14ac:dyDescent="0.25">
      <c r="A6090" t="str">
        <f>"20190312160455461"</f>
        <v>20190312160455461</v>
      </c>
      <c r="B6090" t="str">
        <f>"1552377895451030"</f>
        <v>1552377895451030</v>
      </c>
      <c r="C6090" t="s">
        <v>40</v>
      </c>
      <c r="D6090">
        <v>5.3382610000000001</v>
      </c>
      <c r="E6090">
        <v>0.33467629999999998</v>
      </c>
      <c r="F6090" t="s">
        <v>107</v>
      </c>
      <c r="G6090">
        <v>-276.0976</v>
      </c>
      <c r="H6090">
        <v>5.9939859999999996</v>
      </c>
      <c r="I6090">
        <v>21.786560000000001</v>
      </c>
      <c r="J6090">
        <v>-411.10199999999998</v>
      </c>
      <c r="K6090">
        <v>1.11913</v>
      </c>
      <c r="L6090">
        <v>19.63486</v>
      </c>
      <c r="M6090">
        <v>0.85720839999999998</v>
      </c>
      <c r="N6090">
        <v>0</v>
      </c>
      <c r="O6090">
        <v>-0.51473919999999995</v>
      </c>
      <c r="P6090">
        <v>0.92386579999999996</v>
      </c>
      <c r="Q6090">
        <v>3.0360370000000001E-2</v>
      </c>
      <c r="R6090">
        <v>-0.38151109999999999</v>
      </c>
      <c r="S6090">
        <v>3.2762760000000002</v>
      </c>
      <c r="T6090">
        <v>0.1181717</v>
      </c>
      <c r="U6090">
        <v>5.0231930000000001E-2</v>
      </c>
      <c r="V6090">
        <v>-0.14948239999999999</v>
      </c>
      <c r="W6090">
        <v>4.2379390000000003E-2</v>
      </c>
      <c r="X6090">
        <v>0.98785579999999995</v>
      </c>
      <c r="Y6090">
        <v>-0.52722939999999996</v>
      </c>
      <c r="Z6090">
        <v>-2.737084E-2</v>
      </c>
      <c r="AA6090">
        <v>0.84928199999999998</v>
      </c>
      <c r="AB6090">
        <v>25</v>
      </c>
      <c r="AC6090">
        <v>135.00439999999901</v>
      </c>
      <c r="AD6090">
        <v>4.8748559999999896</v>
      </c>
      <c r="AE6090">
        <v>2.1516999999999999</v>
      </c>
      <c r="AF6090">
        <v>-71.252099804231804</v>
      </c>
      <c r="AG6090">
        <v>4.8748559999999896</v>
      </c>
      <c r="AH6090">
        <v>114.483712526266</v>
      </c>
      <c r="AI6090">
        <v>87.929582157317697</v>
      </c>
      <c r="AJ6090">
        <v>121.897209698422</v>
      </c>
      <c r="AK6090">
        <v>134.933859284205</v>
      </c>
      <c r="AL6090">
        <v>87.5711124920674</v>
      </c>
      <c r="AM6090">
        <v>98.604720859920803</v>
      </c>
      <c r="AN6090">
        <v>1.00000004110008</v>
      </c>
    </row>
    <row r="6091" spans="1:40" x14ac:dyDescent="0.25">
      <c r="A6091" t="str">
        <f>"20190312160455473"</f>
        <v>20190312160455473</v>
      </c>
      <c r="B6091" t="str">
        <f>"1552377895461766"</f>
        <v>1552377895461766</v>
      </c>
      <c r="C6091" t="s">
        <v>40</v>
      </c>
      <c r="D6091">
        <v>5.7076330000000004</v>
      </c>
      <c r="E6091">
        <v>0.3354607</v>
      </c>
      <c r="F6091" t="s">
        <v>107</v>
      </c>
      <c r="G6091">
        <v>-276.36349999999999</v>
      </c>
      <c r="H6091">
        <v>5.843305</v>
      </c>
      <c r="I6091">
        <v>22.687919999999998</v>
      </c>
      <c r="J6091">
        <v>-410.99560000000002</v>
      </c>
      <c r="K6091">
        <v>1.119119</v>
      </c>
      <c r="L6091">
        <v>19.5791</v>
      </c>
      <c r="M6091">
        <v>0.86058699999999999</v>
      </c>
      <c r="N6091">
        <v>0</v>
      </c>
      <c r="O6091">
        <v>-0.50907029999999998</v>
      </c>
      <c r="P6091">
        <v>0.92624589999999996</v>
      </c>
      <c r="Q6091">
        <v>3.012799E-2</v>
      </c>
      <c r="R6091">
        <v>-0.3757143</v>
      </c>
      <c r="S6091">
        <v>3.2740779999999998</v>
      </c>
      <c r="T6091">
        <v>0.1147951</v>
      </c>
      <c r="U6091">
        <v>7.4188229999999994E-2</v>
      </c>
      <c r="V6091">
        <v>-0.14915020000000001</v>
      </c>
      <c r="W6091">
        <v>4.2156899999999997E-2</v>
      </c>
      <c r="X6091">
        <v>0.98791549999999995</v>
      </c>
      <c r="Y6091">
        <v>-0.52788250000000003</v>
      </c>
      <c r="Z6091">
        <v>-2.6450999999999999E-2</v>
      </c>
      <c r="AA6091">
        <v>0.84890540000000003</v>
      </c>
      <c r="AB6091">
        <v>25</v>
      </c>
      <c r="AC6091">
        <v>134.63210000000001</v>
      </c>
      <c r="AD6091">
        <v>4.7241860000000004</v>
      </c>
      <c r="AE6091">
        <v>3.1088200000000001</v>
      </c>
      <c r="AF6091">
        <v>-71.133531062309004</v>
      </c>
      <c r="AG6091">
        <v>4.7241860000000004</v>
      </c>
      <c r="AH6091">
        <v>114.15311762725</v>
      </c>
      <c r="AI6091">
        <v>87.988403470416301</v>
      </c>
      <c r="AJ6091">
        <v>121.92874130795499</v>
      </c>
      <c r="AK6091">
        <v>134.58540574213799</v>
      </c>
      <c r="AL6091">
        <v>87.583871559011698</v>
      </c>
      <c r="AM6091">
        <v>98.585372469929098</v>
      </c>
      <c r="AN6091">
        <v>1.00000001075895</v>
      </c>
    </row>
    <row r="6092" spans="1:40" x14ac:dyDescent="0.25">
      <c r="A6092" t="str">
        <f>"20190312160455484"</f>
        <v>20190312160455484</v>
      </c>
      <c r="B6092" t="str">
        <f>"1552377895481714"</f>
        <v>1552377895481714</v>
      </c>
      <c r="C6092" t="s">
        <v>40</v>
      </c>
      <c r="D6092">
        <v>5.3549559999999996</v>
      </c>
      <c r="E6092">
        <v>0.33744429999999997</v>
      </c>
      <c r="F6092" t="s">
        <v>87</v>
      </c>
      <c r="G6092">
        <v>-274.15660000000003</v>
      </c>
      <c r="H6092">
        <v>5.7927629999999999</v>
      </c>
      <c r="I6092">
        <v>23.300219999999999</v>
      </c>
      <c r="J6092">
        <v>-410.88420000000002</v>
      </c>
      <c r="K6092">
        <v>1.1191040000000001</v>
      </c>
      <c r="L6092">
        <v>19.52148</v>
      </c>
      <c r="M6092">
        <v>0.86407509999999998</v>
      </c>
      <c r="N6092">
        <v>0</v>
      </c>
      <c r="O6092">
        <v>-0.50312730000000006</v>
      </c>
      <c r="P6092">
        <v>0.92872580000000005</v>
      </c>
      <c r="Q6092">
        <v>3.041758E-2</v>
      </c>
      <c r="R6092">
        <v>-0.36951800000000001</v>
      </c>
      <c r="S6092">
        <v>3.2713320000000001</v>
      </c>
      <c r="T6092">
        <v>0.1117302</v>
      </c>
      <c r="U6092">
        <v>8.8958739999999994E-2</v>
      </c>
      <c r="V6092">
        <v>-0.14894060000000001</v>
      </c>
      <c r="W6092">
        <v>4.2452749999999997E-2</v>
      </c>
      <c r="X6092">
        <v>0.98793450000000005</v>
      </c>
      <c r="Y6092">
        <v>-0.52591199999999905</v>
      </c>
      <c r="Z6092">
        <v>-2.5558029999999999E-2</v>
      </c>
      <c r="AA6092">
        <v>0.85015490000000005</v>
      </c>
      <c r="AB6092">
        <v>25</v>
      </c>
      <c r="AC6092">
        <v>136.7276</v>
      </c>
      <c r="AD6092">
        <v>4.6736589999999998</v>
      </c>
      <c r="AE6092">
        <v>3.7787399999999902</v>
      </c>
      <c r="AF6092">
        <v>-71.981008303786197</v>
      </c>
      <c r="AG6092">
        <v>4.6736589999999998</v>
      </c>
      <c r="AH6092">
        <v>116.11993856885201</v>
      </c>
      <c r="AI6092">
        <v>88.040726336473497</v>
      </c>
      <c r="AJ6092">
        <v>121.794153171605</v>
      </c>
      <c r="AK6092">
        <v>136.70021498926801</v>
      </c>
      <c r="AL6092">
        <v>87.566905527132604</v>
      </c>
      <c r="AM6092">
        <v>98.573324469984996</v>
      </c>
      <c r="AN6092">
        <v>1.0000000573005801</v>
      </c>
    </row>
    <row r="6093" spans="1:40" x14ac:dyDescent="0.25">
      <c r="A6093" t="str">
        <f>"20190312160455507"</f>
        <v>20190312160455507</v>
      </c>
      <c r="B6093" t="str">
        <f>"1552377895501234"</f>
        <v>1552377895501234</v>
      </c>
      <c r="C6093" t="s">
        <v>40</v>
      </c>
      <c r="D6093">
        <v>5.7133500000000002</v>
      </c>
      <c r="E6093">
        <v>0.3382558</v>
      </c>
      <c r="F6093" t="s">
        <v>87</v>
      </c>
      <c r="G6093">
        <v>-274.15660000000003</v>
      </c>
      <c r="H6093">
        <v>5.6506809999999996</v>
      </c>
      <c r="I6093">
        <v>23.54589</v>
      </c>
      <c r="J6093">
        <v>-410.6748</v>
      </c>
      <c r="K6093">
        <v>1.1190800000000001</v>
      </c>
      <c r="L6093">
        <v>19.41602</v>
      </c>
      <c r="M6093">
        <v>0.87048729999999996</v>
      </c>
      <c r="N6093">
        <v>0</v>
      </c>
      <c r="O6093">
        <v>-0.49195</v>
      </c>
      <c r="P6093">
        <v>0.93320769999999997</v>
      </c>
      <c r="Q6093">
        <v>3.0091469999999999E-2</v>
      </c>
      <c r="R6093">
        <v>-0.35807539999999999</v>
      </c>
      <c r="S6093">
        <v>3.2649539999999999</v>
      </c>
      <c r="T6093">
        <v>0.1082108</v>
      </c>
      <c r="U6093">
        <v>9.6099850000000001E-2</v>
      </c>
      <c r="V6093">
        <v>-0.1483466</v>
      </c>
      <c r="W6093">
        <v>4.2144040000000001E-2</v>
      </c>
      <c r="X6093">
        <v>0.98803700000000005</v>
      </c>
      <c r="Y6093">
        <v>-0.5168722</v>
      </c>
      <c r="Z6093">
        <v>-2.4325409999999999E-2</v>
      </c>
      <c r="AA6093">
        <v>0.8557169</v>
      </c>
      <c r="AB6093">
        <v>25</v>
      </c>
      <c r="AC6093">
        <v>136.51819999999901</v>
      </c>
      <c r="AD6093">
        <v>4.5316010000000002</v>
      </c>
      <c r="AE6093">
        <v>4.1298699999999897</v>
      </c>
      <c r="AF6093">
        <v>-70.685702118966105</v>
      </c>
      <c r="AG6093">
        <v>4.5316010000000002</v>
      </c>
      <c r="AH6093">
        <v>116.69105868688099</v>
      </c>
      <c r="AI6093">
        <v>88.097593590618004</v>
      </c>
      <c r="AJ6093">
        <v>121.20541884645</v>
      </c>
      <c r="AK6093">
        <v>136.50570343080699</v>
      </c>
      <c r="AL6093">
        <v>87.584608948348304</v>
      </c>
      <c r="AM6093">
        <v>98.538764875235401</v>
      </c>
      <c r="AN6093">
        <v>0.99999997360404003</v>
      </c>
    </row>
    <row r="6094" spans="1:40" x14ac:dyDescent="0.25">
      <c r="A6094" t="str">
        <f>"20190312160455518"</f>
        <v>20190312160455518</v>
      </c>
      <c r="B6094" t="str">
        <f>"1552377895510994"</f>
        <v>1552377895510994</v>
      </c>
      <c r="C6094" t="s">
        <v>40</v>
      </c>
      <c r="D6094">
        <v>5.7330639999999997</v>
      </c>
      <c r="E6094">
        <v>0.3530025</v>
      </c>
      <c r="F6094" t="s">
        <v>108</v>
      </c>
      <c r="G6094">
        <v>-276.88240000000002</v>
      </c>
      <c r="H6094">
        <v>5.4573130000000001</v>
      </c>
      <c r="I6094">
        <v>24.756830000000001</v>
      </c>
      <c r="J6094">
        <v>-410.5641</v>
      </c>
      <c r="K6094">
        <v>1.119068</v>
      </c>
      <c r="L6094">
        <v>19.361999999999998</v>
      </c>
      <c r="M6094">
        <v>0.87379910000000005</v>
      </c>
      <c r="N6094">
        <v>0</v>
      </c>
      <c r="O6094">
        <v>-0.48604350000000002</v>
      </c>
      <c r="P6094">
        <v>0.93548469999999995</v>
      </c>
      <c r="Q6094">
        <v>3.0013519999999998E-2</v>
      </c>
      <c r="R6094">
        <v>-0.35209099999999999</v>
      </c>
      <c r="S6094">
        <v>3.2612920000000001</v>
      </c>
      <c r="T6094">
        <v>0.1057477</v>
      </c>
      <c r="U6094">
        <v>0.130188</v>
      </c>
      <c r="V6094">
        <v>-0.1479819</v>
      </c>
      <c r="W6094">
        <v>4.2075910000000001E-2</v>
      </c>
      <c r="X6094">
        <v>0.98809460000000005</v>
      </c>
      <c r="Y6094">
        <v>-0.52005869999999998</v>
      </c>
      <c r="Z6094">
        <v>-2.3685479999999998E-2</v>
      </c>
      <c r="AA6094">
        <v>0.85380210000000001</v>
      </c>
      <c r="AB6094">
        <v>25</v>
      </c>
      <c r="AC6094">
        <v>133.68169999999901</v>
      </c>
      <c r="AD6094">
        <v>4.3382449999999997</v>
      </c>
      <c r="AE6094">
        <v>5.39482999999999</v>
      </c>
      <c r="AF6094">
        <v>-69.624168856014194</v>
      </c>
      <c r="AG6094">
        <v>4.3382449999999997</v>
      </c>
      <c r="AH6094">
        <v>114.082403370411</v>
      </c>
      <c r="AI6094">
        <v>88.140846197622807</v>
      </c>
      <c r="AJ6094">
        <v>121.39559890233301</v>
      </c>
      <c r="AK6094">
        <v>133.72037996259201</v>
      </c>
      <c r="AL6094">
        <v>87.588515995145798</v>
      </c>
      <c r="AM6094">
        <v>98.517591955298201</v>
      </c>
      <c r="AN6094">
        <v>0.99999998173954896</v>
      </c>
    </row>
    <row r="6095" spans="1:40" x14ac:dyDescent="0.25">
      <c r="A6095" t="str">
        <f>"20190312160455529"</f>
        <v>20190312160455529</v>
      </c>
      <c r="B6095" t="str">
        <f>"1552377895521730"</f>
        <v>1552377895521730</v>
      </c>
      <c r="C6095" t="s">
        <v>40</v>
      </c>
      <c r="D6095">
        <v>5.7450720000000004</v>
      </c>
      <c r="E6095">
        <v>0.35458650000000003</v>
      </c>
      <c r="F6095" t="s">
        <v>107</v>
      </c>
      <c r="G6095">
        <v>-276.7047</v>
      </c>
      <c r="H6095">
        <v>4.2957010000000002</v>
      </c>
      <c r="I6095">
        <v>21.078520000000001</v>
      </c>
      <c r="J6095">
        <v>-410.45490000000001</v>
      </c>
      <c r="K6095">
        <v>1.119054</v>
      </c>
      <c r="L6095">
        <v>19.30911</v>
      </c>
      <c r="M6095">
        <v>0.87702159999999996</v>
      </c>
      <c r="N6095">
        <v>0</v>
      </c>
      <c r="O6095">
        <v>-0.48020370000000001</v>
      </c>
      <c r="P6095">
        <v>0.9376892</v>
      </c>
      <c r="Q6095">
        <v>2.9859050000000002E-2</v>
      </c>
      <c r="R6095">
        <v>-0.34618900000000002</v>
      </c>
      <c r="S6095">
        <v>3.2199399999999998</v>
      </c>
      <c r="T6095">
        <v>7.6412800000000003E-2</v>
      </c>
      <c r="U6095">
        <v>4.1290279999999999E-2</v>
      </c>
      <c r="V6095">
        <v>-0.147614299999999</v>
      </c>
      <c r="W6095">
        <v>4.193156E-2</v>
      </c>
      <c r="X6095">
        <v>0.98815569999999997</v>
      </c>
      <c r="Y6095">
        <v>-0.491203</v>
      </c>
      <c r="Z6095">
        <v>-1.6858140000000001E-2</v>
      </c>
      <c r="AA6095">
        <v>0.87088199999999905</v>
      </c>
      <c r="AB6095">
        <v>25</v>
      </c>
      <c r="AC6095">
        <v>133.75020000000001</v>
      </c>
      <c r="AD6095">
        <v>3.176647</v>
      </c>
      <c r="AE6095">
        <v>1.7694099999999999</v>
      </c>
      <c r="AF6095">
        <v>-65.749882601592205</v>
      </c>
      <c r="AG6095">
        <v>3.176647</v>
      </c>
      <c r="AH6095">
        <v>116.400320611193</v>
      </c>
      <c r="AI6095">
        <v>88.638798870774195</v>
      </c>
      <c r="AJ6095">
        <v>119.460366583031</v>
      </c>
      <c r="AK6095">
        <v>133.72424158197401</v>
      </c>
      <c r="AL6095">
        <v>87.596793900165594</v>
      </c>
      <c r="AM6095">
        <v>98.496225026756093</v>
      </c>
      <c r="AN6095">
        <v>0.99999996236550603</v>
      </c>
    </row>
    <row r="6096" spans="1:40" x14ac:dyDescent="0.25">
      <c r="A6096" t="str">
        <f>"20190312160455539"</f>
        <v>20190312160455539</v>
      </c>
      <c r="B6096" t="str">
        <f>"1552377895531490"</f>
        <v>1552377895531490</v>
      </c>
      <c r="C6096" t="s">
        <v>40</v>
      </c>
      <c r="D6096">
        <v>5.749854</v>
      </c>
      <c r="E6096">
        <v>0.35565770000000002</v>
      </c>
      <c r="F6096" t="s">
        <v>107</v>
      </c>
      <c r="G6096">
        <v>-277.3768</v>
      </c>
      <c r="H6096">
        <v>3.990237</v>
      </c>
      <c r="I6096">
        <v>21.370339999999999</v>
      </c>
      <c r="J6096">
        <v>-410.35199999999998</v>
      </c>
      <c r="K6096">
        <v>1.11904</v>
      </c>
      <c r="L6096">
        <v>19.260439999999999</v>
      </c>
      <c r="M6096">
        <v>0.88001200000000002</v>
      </c>
      <c r="N6096">
        <v>0</v>
      </c>
      <c r="O6096">
        <v>-0.47470210000000002</v>
      </c>
      <c r="P6096">
        <v>0.93971919999999998</v>
      </c>
      <c r="Q6096">
        <v>2.9427109999999999E-2</v>
      </c>
      <c r="R6096">
        <v>-0.34067829999999999</v>
      </c>
      <c r="S6096">
        <v>3.2155149999999999</v>
      </c>
      <c r="T6096">
        <v>6.9375399999999907E-2</v>
      </c>
      <c r="U6096">
        <v>4.9804689999999999E-2</v>
      </c>
      <c r="V6096">
        <v>-0.14722249999999901</v>
      </c>
      <c r="W6096">
        <v>4.1509919999999999E-2</v>
      </c>
      <c r="X6096">
        <v>0.988232</v>
      </c>
      <c r="Y6096">
        <v>-0.4881143</v>
      </c>
      <c r="Z6096">
        <v>-1.5188699999999999E-2</v>
      </c>
      <c r="AA6096">
        <v>0.87264750000000002</v>
      </c>
      <c r="AB6096">
        <v>25</v>
      </c>
      <c r="AC6096">
        <v>132.97519999999901</v>
      </c>
      <c r="AD6096">
        <v>2.871197</v>
      </c>
      <c r="AE6096">
        <v>2.1099000000000001</v>
      </c>
      <c r="AF6096">
        <v>-64.957762367941896</v>
      </c>
      <c r="AG6096">
        <v>2.871197</v>
      </c>
      <c r="AH6096">
        <v>115.977879687387</v>
      </c>
      <c r="AI6096">
        <v>88.762642593095507</v>
      </c>
      <c r="AJ6096">
        <v>119.25264334543</v>
      </c>
      <c r="AK6096">
        <v>132.96098390447</v>
      </c>
      <c r="AL6096">
        <v>87.620973264235204</v>
      </c>
      <c r="AM6096">
        <v>98.473357300001695</v>
      </c>
      <c r="AN6096">
        <v>1.00000001189432</v>
      </c>
    </row>
    <row r="6097" spans="1:40" x14ac:dyDescent="0.25">
      <c r="A6097" t="str">
        <f>"20190312160455553"</f>
        <v>20190312160455553</v>
      </c>
      <c r="B6097" t="str">
        <f>"1552377895551009"</f>
        <v>1552377895551009</v>
      </c>
      <c r="C6097" t="s">
        <v>40</v>
      </c>
      <c r="D6097">
        <v>5.7526449999999896</v>
      </c>
      <c r="E6097">
        <v>0.35788690000000001</v>
      </c>
      <c r="F6097" t="s">
        <v>107</v>
      </c>
      <c r="G6097">
        <v>-276.78719999999998</v>
      </c>
      <c r="H6097">
        <v>3.7623600000000001</v>
      </c>
      <c r="I6097">
        <v>21.784140000000001</v>
      </c>
      <c r="J6097">
        <v>-410.22199999999998</v>
      </c>
      <c r="K6097">
        <v>1.1190230000000001</v>
      </c>
      <c r="L6097">
        <v>19.19989</v>
      </c>
      <c r="M6097">
        <v>0.88372669999999998</v>
      </c>
      <c r="N6097">
        <v>0</v>
      </c>
      <c r="O6097">
        <v>-0.46775040000000001</v>
      </c>
      <c r="P6097">
        <v>0.94222729999999999</v>
      </c>
      <c r="Q6097">
        <v>2.9251309999999999E-2</v>
      </c>
      <c r="R6097">
        <v>-0.33369480000000001</v>
      </c>
      <c r="S6097">
        <v>3.2124630000000001</v>
      </c>
      <c r="T6097">
        <v>6.3576460000000001E-2</v>
      </c>
      <c r="U6097">
        <v>6.0699459999999997E-2</v>
      </c>
      <c r="V6097">
        <v>-0.14676410000000001</v>
      </c>
      <c r="W6097">
        <v>4.1346510000000003E-2</v>
      </c>
      <c r="X6097">
        <v>0.98830700000000005</v>
      </c>
      <c r="Y6097">
        <v>-0.4842381</v>
      </c>
      <c r="Z6097">
        <v>-1.377196E-2</v>
      </c>
      <c r="AA6097">
        <v>0.87482789999999999</v>
      </c>
      <c r="AB6097">
        <v>25</v>
      </c>
      <c r="AC6097">
        <v>133.4348</v>
      </c>
      <c r="AD6097">
        <v>2.6433369999999998</v>
      </c>
      <c r="AE6097">
        <v>2.5842499999999999</v>
      </c>
      <c r="AF6097">
        <v>-64.680236390769807</v>
      </c>
      <c r="AG6097">
        <v>2.6433369999999998</v>
      </c>
      <c r="AH6097">
        <v>116.679153996105</v>
      </c>
      <c r="AI6097">
        <v>88.864889515086702</v>
      </c>
      <c r="AJ6097">
        <v>119.001474433261</v>
      </c>
      <c r="AK6097">
        <v>133.43367336361601</v>
      </c>
      <c r="AL6097">
        <v>87.630343938196702</v>
      </c>
      <c r="AM6097">
        <v>98.446723639259005</v>
      </c>
      <c r="AN6097">
        <v>0.99999998059349404</v>
      </c>
    </row>
    <row r="6098" spans="1:40" x14ac:dyDescent="0.25">
      <c r="A6098" t="str">
        <f>"20190312160455565"</f>
        <v>20190312160455565</v>
      </c>
      <c r="B6098" t="str">
        <f>"1552377895561745"</f>
        <v>1552377895561745</v>
      </c>
      <c r="C6098" t="s">
        <v>40</v>
      </c>
      <c r="D6098">
        <v>5.7678500000000001</v>
      </c>
      <c r="E6098">
        <v>0.35847630000000003</v>
      </c>
      <c r="F6098" t="s">
        <v>107</v>
      </c>
      <c r="G6098">
        <v>-276.65780000000001</v>
      </c>
      <c r="H6098">
        <v>3.3152379999999999</v>
      </c>
      <c r="I6098">
        <v>22.029720000000001</v>
      </c>
      <c r="J6098">
        <v>-410.10329999999999</v>
      </c>
      <c r="K6098">
        <v>1.1190089999999999</v>
      </c>
      <c r="L6098">
        <v>19.145510000000002</v>
      </c>
      <c r="M6098">
        <v>0.88706070000000004</v>
      </c>
      <c r="N6098">
        <v>0</v>
      </c>
      <c r="O6098">
        <v>-0.46139629999999998</v>
      </c>
      <c r="P6098">
        <v>0.94446649999999999</v>
      </c>
      <c r="Q6098">
        <v>2.8842630000000001E-2</v>
      </c>
      <c r="R6098">
        <v>-0.32733909999999899</v>
      </c>
      <c r="S6098">
        <v>3.206299</v>
      </c>
      <c r="T6098">
        <v>5.2721619999999997E-2</v>
      </c>
      <c r="U6098">
        <v>6.7932129999999993E-2</v>
      </c>
      <c r="V6098">
        <v>-0.14632529999999999</v>
      </c>
      <c r="W6098">
        <v>4.0949640000000002E-2</v>
      </c>
      <c r="X6098">
        <v>0.98838859999999995</v>
      </c>
      <c r="Y6098">
        <v>-0.4800159</v>
      </c>
      <c r="Z6098">
        <v>-1.1314569999999999E-2</v>
      </c>
      <c r="AA6098">
        <v>0.87718680000000004</v>
      </c>
      <c r="AB6098">
        <v>24</v>
      </c>
      <c r="AC6098">
        <v>133.44549999999899</v>
      </c>
      <c r="AD6098">
        <v>2.1962290000000002</v>
      </c>
      <c r="AE6098">
        <v>2.8842099999999902</v>
      </c>
      <c r="AF6098">
        <v>-64.119963079131693</v>
      </c>
      <c r="AG6098">
        <v>2.1962290000000002</v>
      </c>
      <c r="AH6098">
        <v>117.025670452507</v>
      </c>
      <c r="AI6098">
        <v>89.057083446497501</v>
      </c>
      <c r="AJ6098">
        <v>118.718936589793</v>
      </c>
      <c r="AK6098">
        <v>133.45861018289</v>
      </c>
      <c r="AL6098">
        <v>87.653102224751507</v>
      </c>
      <c r="AM6098">
        <v>98.421146749696405</v>
      </c>
      <c r="AN6098">
        <v>0.99999999552308905</v>
      </c>
    </row>
    <row r="6099" spans="1:40" x14ac:dyDescent="0.25">
      <c r="A6099" t="str">
        <f>"20190312160455576"</f>
        <v>20190312160455576</v>
      </c>
      <c r="B6099" t="str">
        <f>"1552377895571506"</f>
        <v>1552377895571506</v>
      </c>
      <c r="C6099" t="s">
        <v>40</v>
      </c>
      <c r="D6099">
        <v>5.7329350000000003</v>
      </c>
      <c r="E6099">
        <v>0.35847630000000003</v>
      </c>
      <c r="F6099" t="s">
        <v>107</v>
      </c>
      <c r="G6099">
        <v>-276.69110000000001</v>
      </c>
      <c r="H6099">
        <v>3.123723</v>
      </c>
      <c r="I6099">
        <v>22.687889999999999</v>
      </c>
      <c r="J6099">
        <v>-410.00450000000001</v>
      </c>
      <c r="K6099">
        <v>1.1189990000000001</v>
      </c>
      <c r="L6099">
        <v>19.10135</v>
      </c>
      <c r="M6099">
        <v>0.88979319999999895</v>
      </c>
      <c r="N6099">
        <v>0</v>
      </c>
      <c r="O6099">
        <v>-0.45610479999999998</v>
      </c>
      <c r="P6099">
        <v>0.94639470000000003</v>
      </c>
      <c r="Q6099">
        <v>2.842341E-2</v>
      </c>
      <c r="R6099">
        <v>-0.32175979999999998</v>
      </c>
      <c r="S6099">
        <v>3.2043759999999999</v>
      </c>
      <c r="T6099">
        <v>4.8150419999999999E-2</v>
      </c>
      <c r="U6099">
        <v>8.5083010000000001E-2</v>
      </c>
      <c r="V6099">
        <v>-0.1462666</v>
      </c>
      <c r="W6099">
        <v>4.0532749999999999E-2</v>
      </c>
      <c r="X6099">
        <v>0.98841449999999997</v>
      </c>
      <c r="Y6099">
        <v>-0.47951559999999999</v>
      </c>
      <c r="Z6099">
        <v>-1.026547E-2</v>
      </c>
      <c r="AA6099">
        <v>0.87747339999999996</v>
      </c>
      <c r="AB6099">
        <v>24</v>
      </c>
      <c r="AC6099">
        <v>133.3134</v>
      </c>
      <c r="AD6099">
        <v>2.004724</v>
      </c>
      <c r="AE6099">
        <v>3.5865399999999901</v>
      </c>
      <c r="AF6099">
        <v>-63.989269020157302</v>
      </c>
      <c r="AG6099">
        <v>2.004724</v>
      </c>
      <c r="AH6099">
        <v>116.97292090902</v>
      </c>
      <c r="AI6099">
        <v>89.1385864275844</v>
      </c>
      <c r="AJ6099">
        <v>118.680575026591</v>
      </c>
      <c r="AK6099">
        <v>133.34657736154301</v>
      </c>
      <c r="AL6099">
        <v>87.677008174583193</v>
      </c>
      <c r="AM6099">
        <v>98.417599510671096</v>
      </c>
      <c r="AN6099">
        <v>1.0000000229541799</v>
      </c>
    </row>
    <row r="6100" spans="1:40" x14ac:dyDescent="0.25">
      <c r="A6100" t="str">
        <f>"20190312160455586"</f>
        <v>20190312160455586</v>
      </c>
      <c r="B6100" t="str">
        <f>"1552377895581266"</f>
        <v>1552377895581266</v>
      </c>
      <c r="C6100" t="s">
        <v>40</v>
      </c>
      <c r="D6100">
        <v>5.1314060000000001</v>
      </c>
      <c r="E6100">
        <v>0.36677140000000003</v>
      </c>
      <c r="F6100" t="s">
        <v>87</v>
      </c>
      <c r="G6100">
        <v>-274.15660000000003</v>
      </c>
      <c r="H6100">
        <v>3.1013199999999999</v>
      </c>
      <c r="I6100">
        <v>23.509869999999999</v>
      </c>
      <c r="J6100">
        <v>-409.90719999999999</v>
      </c>
      <c r="K6100">
        <v>1.118987</v>
      </c>
      <c r="L6100">
        <v>19.058199999999999</v>
      </c>
      <c r="M6100">
        <v>0.8924472</v>
      </c>
      <c r="N6100">
        <v>0</v>
      </c>
      <c r="O6100">
        <v>-0.45088980000000001</v>
      </c>
      <c r="P6100">
        <v>0.94810899999999998</v>
      </c>
      <c r="Q6100">
        <v>2.83482E-2</v>
      </c>
      <c r="R6100">
        <v>-0.3166794</v>
      </c>
      <c r="S6100">
        <v>3.2039179999999998</v>
      </c>
      <c r="T6100">
        <v>4.6752330000000002E-2</v>
      </c>
      <c r="U6100">
        <v>0.10397339999999999</v>
      </c>
      <c r="V6100">
        <v>-0.14578150000000001</v>
      </c>
      <c r="W6100">
        <v>4.047034E-2</v>
      </c>
      <c r="X6100">
        <v>0.9884887</v>
      </c>
      <c r="Y6100">
        <v>-0.47955900000000001</v>
      </c>
      <c r="Z6100">
        <v>-9.9012930000000002E-3</v>
      </c>
      <c r="AA6100">
        <v>0.8774537</v>
      </c>
      <c r="AB6100">
        <v>24</v>
      </c>
      <c r="AC6100">
        <v>135.750599999999</v>
      </c>
      <c r="AD6100">
        <v>1.9823329999999999</v>
      </c>
      <c r="AE6100">
        <v>4.45167</v>
      </c>
      <c r="AF6100">
        <v>-65.175263507737995</v>
      </c>
      <c r="AG6100">
        <v>1.9823329999999999</v>
      </c>
      <c r="AH6100">
        <v>119.13173806784</v>
      </c>
      <c r="AI6100">
        <v>89.1636544551707</v>
      </c>
      <c r="AJ6100">
        <v>118.682436101609</v>
      </c>
      <c r="AK6100">
        <v>135.80911468855899</v>
      </c>
      <c r="AL6100">
        <v>87.680586892157095</v>
      </c>
      <c r="AM6100">
        <v>98.389459346606799</v>
      </c>
      <c r="AN6100">
        <v>1.0000000020948201</v>
      </c>
    </row>
    <row r="6101" spans="1:40" x14ac:dyDescent="0.25">
      <c r="A6101" t="str">
        <f>"20190312160455595"</f>
        <v>20190312160455595</v>
      </c>
      <c r="B6101" t="str">
        <f>"1552377895591026"</f>
        <v>1552377895591026</v>
      </c>
      <c r="C6101" t="s">
        <v>40</v>
      </c>
      <c r="D6101">
        <v>5.7635059999999996</v>
      </c>
      <c r="E6101">
        <v>0.36786360000000001</v>
      </c>
      <c r="F6101" t="s">
        <v>87</v>
      </c>
      <c r="G6101">
        <v>-273.40989999999999</v>
      </c>
      <c r="H6101">
        <v>1.860938</v>
      </c>
      <c r="I6101">
        <v>21.578489999999999</v>
      </c>
      <c r="J6101">
        <v>-409.80759999999998</v>
      </c>
      <c r="K6101">
        <v>1.1189750000000001</v>
      </c>
      <c r="L6101">
        <v>19.015139999999999</v>
      </c>
      <c r="M6101">
        <v>0.89512459999999905</v>
      </c>
      <c r="N6101">
        <v>0</v>
      </c>
      <c r="O6101">
        <v>-0.44555129999999998</v>
      </c>
      <c r="P6101">
        <v>0.9499493</v>
      </c>
      <c r="Q6101">
        <v>2.845607E-2</v>
      </c>
      <c r="R6101">
        <v>-0.3111061</v>
      </c>
      <c r="S6101">
        <v>3.183319</v>
      </c>
      <c r="T6101">
        <v>1.7303470000000001E-2</v>
      </c>
      <c r="U6101">
        <v>5.877686E-2</v>
      </c>
      <c r="V6101">
        <v>-0.1456818</v>
      </c>
      <c r="W6101">
        <v>4.0581350000000002E-2</v>
      </c>
      <c r="X6101">
        <v>0.98849889999999996</v>
      </c>
      <c r="Y6101">
        <v>-0.4620416</v>
      </c>
      <c r="Z6101">
        <v>-3.6131119999999999E-3</v>
      </c>
      <c r="AA6101">
        <v>0.8868509</v>
      </c>
      <c r="AB6101">
        <v>24</v>
      </c>
      <c r="AC6101">
        <v>136.39769999999999</v>
      </c>
      <c r="AD6101">
        <v>0.74196300000000004</v>
      </c>
      <c r="AE6101">
        <v>2.5633499999999998</v>
      </c>
      <c r="AF6101">
        <v>-63.072267379644103</v>
      </c>
      <c r="AG6101">
        <v>0.74196300000000004</v>
      </c>
      <c r="AH6101">
        <v>120.96152878815001</v>
      </c>
      <c r="AI6101">
        <v>89.688376846453295</v>
      </c>
      <c r="AJ6101">
        <v>117.538626053637</v>
      </c>
      <c r="AK6101">
        <v>136.41976714636701</v>
      </c>
      <c r="AL6101">
        <v>87.674221379181006</v>
      </c>
      <c r="AM6101">
        <v>98.383718088408997</v>
      </c>
      <c r="AN6101">
        <v>1.0000000540601299</v>
      </c>
    </row>
    <row r="6102" spans="1:40" x14ac:dyDescent="0.25">
      <c r="A6102" t="str">
        <f>"20190312160455609"</f>
        <v>20190312160455609</v>
      </c>
      <c r="B6102" t="str">
        <f>"1552377895601762"</f>
        <v>1552377895601762</v>
      </c>
      <c r="C6102" t="s">
        <v>40</v>
      </c>
      <c r="D6102">
        <v>5.4317339999999996</v>
      </c>
      <c r="E6102">
        <v>0.3681854</v>
      </c>
      <c r="F6102" t="s">
        <v>87</v>
      </c>
      <c r="G6102">
        <v>-273.40989999999999</v>
      </c>
      <c r="H6102">
        <v>1.66937799999999</v>
      </c>
      <c r="I6102">
        <v>21.986160000000002</v>
      </c>
      <c r="J6102">
        <v>-409.6782</v>
      </c>
      <c r="K6102">
        <v>1.118959</v>
      </c>
      <c r="L6102">
        <v>18.959720000000001</v>
      </c>
      <c r="M6102">
        <v>0.89854709999999904</v>
      </c>
      <c r="N6102">
        <v>0</v>
      </c>
      <c r="O6102">
        <v>-0.43860789999999999</v>
      </c>
      <c r="P6102">
        <v>0.95230700000000001</v>
      </c>
      <c r="Q6102">
        <v>2.8417000000000001E-2</v>
      </c>
      <c r="R6102">
        <v>-0.303815</v>
      </c>
      <c r="S6102">
        <v>3.1803590000000002</v>
      </c>
      <c r="T6102">
        <v>1.283371E-2</v>
      </c>
      <c r="U6102">
        <v>6.9274899999999903E-2</v>
      </c>
      <c r="V6102">
        <v>-0.14560429999999999</v>
      </c>
      <c r="W6102">
        <v>4.0545619999999997E-2</v>
      </c>
      <c r="X6102">
        <v>0.98851169999999999</v>
      </c>
      <c r="Y6102">
        <v>-0.45811859999999999</v>
      </c>
      <c r="Z6102">
        <v>-2.648994E-3</v>
      </c>
      <c r="AA6102">
        <v>0.88888719999999999</v>
      </c>
      <c r="AB6102">
        <v>24</v>
      </c>
      <c r="AC6102">
        <v>136.26830000000001</v>
      </c>
      <c r="AD6102">
        <v>0.55041899999999899</v>
      </c>
      <c r="AE6102">
        <v>3.02644</v>
      </c>
      <c r="AF6102">
        <v>-62.4941143817083</v>
      </c>
      <c r="AG6102">
        <v>0.55041899999999899</v>
      </c>
      <c r="AH6102">
        <v>121.128397513876</v>
      </c>
      <c r="AI6102">
        <v>89.768623711937394</v>
      </c>
      <c r="AJ6102">
        <v>117.29069369077899</v>
      </c>
      <c r="AK6102">
        <v>136.30079228569801</v>
      </c>
      <c r="AL6102">
        <v>87.676270048723396</v>
      </c>
      <c r="AM6102">
        <v>98.379214484144995</v>
      </c>
      <c r="AN6102">
        <v>0.99999997025828102</v>
      </c>
    </row>
    <row r="6103" spans="1:40" x14ac:dyDescent="0.25">
      <c r="A6103" t="str">
        <f>"20190312160455621"</f>
        <v>20190312160455621</v>
      </c>
      <c r="B6103" t="str">
        <f>"1552377895611522"</f>
        <v>1552377895611522</v>
      </c>
      <c r="C6103" t="s">
        <v>40</v>
      </c>
      <c r="D6103">
        <v>5.7496900000000002</v>
      </c>
      <c r="E6103">
        <v>0.36914910000000001</v>
      </c>
      <c r="F6103" t="s">
        <v>107</v>
      </c>
      <c r="G6103">
        <v>-276.1028</v>
      </c>
      <c r="H6103">
        <v>1.731314</v>
      </c>
      <c r="I6103">
        <v>22.793849999999999</v>
      </c>
      <c r="J6103">
        <v>-409.5575</v>
      </c>
      <c r="K6103">
        <v>1.1189469999999999</v>
      </c>
      <c r="L6103">
        <v>18.909520000000001</v>
      </c>
      <c r="M6103">
        <v>0.90167730000000001</v>
      </c>
      <c r="N6103">
        <v>0</v>
      </c>
      <c r="O6103">
        <v>-0.43213669999999998</v>
      </c>
      <c r="P6103">
        <v>0.95441390000000004</v>
      </c>
      <c r="Q6103">
        <v>2.8430790000000001E-2</v>
      </c>
      <c r="R6103">
        <v>-0.29713020000000001</v>
      </c>
      <c r="S6103">
        <v>3.178925</v>
      </c>
      <c r="T6103">
        <v>1.4573340000000001E-2</v>
      </c>
      <c r="U6103">
        <v>9.1247560000000005E-2</v>
      </c>
      <c r="V6103">
        <v>-0.14542739999999901</v>
      </c>
      <c r="W6103">
        <v>4.0564669999999997E-2</v>
      </c>
      <c r="X6103">
        <v>0.988537</v>
      </c>
      <c r="Y6103">
        <v>-0.45787470000000002</v>
      </c>
      <c r="Z6103">
        <v>-2.9821169999999998E-3</v>
      </c>
      <c r="AA6103">
        <v>0.88901169999999996</v>
      </c>
      <c r="AB6103">
        <v>24</v>
      </c>
      <c r="AC6103">
        <v>133.4547</v>
      </c>
      <c r="AD6103">
        <v>0.61236699999999999</v>
      </c>
      <c r="AE6103">
        <v>3.8843299999999998</v>
      </c>
      <c r="AF6103">
        <v>-61.179016037758103</v>
      </c>
      <c r="AG6103">
        <v>0.61236699999999999</v>
      </c>
      <c r="AH6103">
        <v>118.666014533526</v>
      </c>
      <c r="AI6103">
        <v>89.737201580843404</v>
      </c>
      <c r="AJ6103">
        <v>117.273655569509</v>
      </c>
      <c r="AK6103">
        <v>133.50981238081999</v>
      </c>
      <c r="AL6103">
        <v>87.675177759567603</v>
      </c>
      <c r="AM6103">
        <v>98.368967382419996</v>
      </c>
      <c r="AN6103">
        <v>1.0000000107459801</v>
      </c>
    </row>
    <row r="6104" spans="1:40" x14ac:dyDescent="0.25">
      <c r="A6104" t="str">
        <f>"20190312160455632"</f>
        <v>20190312160455632</v>
      </c>
      <c r="B6104" t="str">
        <f>"1552377895621281"</f>
        <v>1552377895621281</v>
      </c>
      <c r="C6104" t="s">
        <v>40</v>
      </c>
      <c r="D6104">
        <v>5.7395310000000004</v>
      </c>
      <c r="E6104">
        <v>0.36980809999999997</v>
      </c>
      <c r="F6104" t="s">
        <v>87</v>
      </c>
      <c r="G6104">
        <v>-273.40989999999999</v>
      </c>
      <c r="H6104">
        <v>1.5926990000000001</v>
      </c>
      <c r="I6104">
        <v>23.463339999999999</v>
      </c>
      <c r="J6104">
        <v>-409.44839999999999</v>
      </c>
      <c r="K6104">
        <v>1.1189340000000001</v>
      </c>
      <c r="L6104">
        <v>18.864809999999999</v>
      </c>
      <c r="M6104">
        <v>0.90446110000000002</v>
      </c>
      <c r="N6104">
        <v>0</v>
      </c>
      <c r="O6104">
        <v>-0.42627939999999998</v>
      </c>
      <c r="P6104">
        <v>0.95636650000000001</v>
      </c>
      <c r="Q6104">
        <v>2.886963E-2</v>
      </c>
      <c r="R6104">
        <v>-0.2907402</v>
      </c>
      <c r="S6104">
        <v>3.176056</v>
      </c>
      <c r="T6104">
        <v>1.1051770000000001E-2</v>
      </c>
      <c r="U6104">
        <v>0.1062317</v>
      </c>
      <c r="V6104">
        <v>-0.14562939999999999</v>
      </c>
      <c r="W6104">
        <v>4.1000139999999997E-2</v>
      </c>
      <c r="X6104">
        <v>0.98848930000000002</v>
      </c>
      <c r="Y6104">
        <v>-0.45632499999999998</v>
      </c>
      <c r="Z6104">
        <v>-2.2422929999999998E-3</v>
      </c>
      <c r="AA6104">
        <v>0.889810399999999</v>
      </c>
      <c r="AB6104">
        <v>24</v>
      </c>
      <c r="AC6104">
        <v>136.0385</v>
      </c>
      <c r="AD6104">
        <v>0.47376499999999899</v>
      </c>
      <c r="AE6104">
        <v>4.5985299999999896</v>
      </c>
      <c r="AF6104">
        <v>-62.156183360572598</v>
      </c>
      <c r="AG6104">
        <v>0.47376499999999899</v>
      </c>
      <c r="AH6104">
        <v>121.09409536416101</v>
      </c>
      <c r="AI6104">
        <v>89.800575139728394</v>
      </c>
      <c r="AJ6104">
        <v>117.1708993851</v>
      </c>
      <c r="AK6104">
        <v>136.11537574900501</v>
      </c>
      <c r="AL6104">
        <v>87.650206401457098</v>
      </c>
      <c r="AM6104">
        <v>98.380825637409401</v>
      </c>
      <c r="AN6104">
        <v>1.0000000149194299</v>
      </c>
    </row>
    <row r="6105" spans="1:40" x14ac:dyDescent="0.25">
      <c r="A6105" t="str">
        <f>"20190312160455644"</f>
        <v>20190312160455644</v>
      </c>
      <c r="B6105" t="str">
        <f>"1552377895631042"</f>
        <v>1552377895631042</v>
      </c>
      <c r="C6105" t="s">
        <v>40</v>
      </c>
      <c r="D6105">
        <v>5.7142269999999904</v>
      </c>
      <c r="E6105">
        <v>0.37081550000000002</v>
      </c>
      <c r="F6105" t="s">
        <v>87</v>
      </c>
      <c r="G6105">
        <v>-273.40989999999999</v>
      </c>
      <c r="H6105">
        <v>1.605591</v>
      </c>
      <c r="I6105">
        <v>24.11421</v>
      </c>
      <c r="J6105">
        <v>-409.33069999999998</v>
      </c>
      <c r="K6105">
        <v>1.1189169999999999</v>
      </c>
      <c r="L6105">
        <v>18.81747</v>
      </c>
      <c r="M6105">
        <v>0.90741400000000005</v>
      </c>
      <c r="N6105">
        <v>0</v>
      </c>
      <c r="O6105">
        <v>-0.41995700000000002</v>
      </c>
      <c r="P6105">
        <v>0.95830890000000002</v>
      </c>
      <c r="Q6105">
        <v>2.888514E-2</v>
      </c>
      <c r="R6105">
        <v>-0.28427059999999998</v>
      </c>
      <c r="S6105">
        <v>3.173737</v>
      </c>
      <c r="T6105">
        <v>1.135361E-2</v>
      </c>
      <c r="U6105">
        <v>0.12246700000000001</v>
      </c>
      <c r="V6105">
        <v>-0.14540999999999901</v>
      </c>
      <c r="W6105">
        <v>4.1022530000000001E-2</v>
      </c>
      <c r="X6105">
        <v>0.98852059999999997</v>
      </c>
      <c r="Y6105">
        <v>-0.45468180000000002</v>
      </c>
      <c r="Z6105">
        <v>-2.2815679999999999E-3</v>
      </c>
      <c r="AA6105">
        <v>0.89065099999999997</v>
      </c>
      <c r="AB6105">
        <v>24</v>
      </c>
      <c r="AC6105">
        <v>135.92080000000001</v>
      </c>
      <c r="AD6105">
        <v>0.486674</v>
      </c>
      <c r="AE6105">
        <v>5.2967399999999998</v>
      </c>
      <c r="AF6105">
        <v>-61.893737592751201</v>
      </c>
      <c r="AG6105">
        <v>0.486674</v>
      </c>
      <c r="AH6105">
        <v>121.12477401423</v>
      </c>
      <c r="AI6105">
        <v>89.795002270699598</v>
      </c>
      <c r="AJ6105">
        <v>117.066649104357</v>
      </c>
      <c r="AK6105">
        <v>136.02309540949599</v>
      </c>
      <c r="AL6105">
        <v>87.648922307464304</v>
      </c>
      <c r="AM6105">
        <v>98.368117099773599</v>
      </c>
      <c r="AN6105">
        <v>0.999999946345979</v>
      </c>
    </row>
    <row r="6106" spans="1:40" x14ac:dyDescent="0.25">
      <c r="A6106" t="str">
        <f>"20190312160455657"</f>
        <v>20190312160455657</v>
      </c>
      <c r="B6106" t="str">
        <f>"1552377895651537"</f>
        <v>1552377895651537</v>
      </c>
      <c r="C6106" t="s">
        <v>40</v>
      </c>
      <c r="D6106">
        <v>5.7384250000000003</v>
      </c>
      <c r="E6106">
        <v>0.37169249999999998</v>
      </c>
      <c r="F6106" t="s">
        <v>87</v>
      </c>
      <c r="G6106">
        <v>-273.40989999999999</v>
      </c>
      <c r="H6106">
        <v>1.5195019999999999</v>
      </c>
      <c r="I6106">
        <v>24.657389999999999</v>
      </c>
      <c r="J6106">
        <v>-409.20859999999999</v>
      </c>
      <c r="K6106">
        <v>1.1189009999999999</v>
      </c>
      <c r="L6106">
        <v>18.769590000000001</v>
      </c>
      <c r="M6106">
        <v>0.9104177</v>
      </c>
      <c r="N6106">
        <v>0</v>
      </c>
      <c r="O6106">
        <v>-0.41340519999999997</v>
      </c>
      <c r="P6106">
        <v>0.96027419999999997</v>
      </c>
      <c r="Q6106">
        <v>2.8585699999999999E-2</v>
      </c>
      <c r="R6106">
        <v>-0.27759020000000001</v>
      </c>
      <c r="S6106">
        <v>3.1706850000000002</v>
      </c>
      <c r="T6106">
        <v>9.3446970000000008E-3</v>
      </c>
      <c r="U6106">
        <v>0.1362305</v>
      </c>
      <c r="V6106">
        <v>-0.14516289999999901</v>
      </c>
      <c r="W6106">
        <v>4.0730479999999999E-2</v>
      </c>
      <c r="X6106">
        <v>0.98856900000000003</v>
      </c>
      <c r="Y6106">
        <v>-0.45215440000000001</v>
      </c>
      <c r="Z6106">
        <v>-1.858153E-3</v>
      </c>
      <c r="AA6106">
        <v>0.89193769999999994</v>
      </c>
      <c r="AB6106">
        <v>24</v>
      </c>
      <c r="AC6106">
        <v>135.7987</v>
      </c>
      <c r="AD6106">
        <v>0.40060099999999998</v>
      </c>
      <c r="AE6106">
        <v>5.8877999999999897</v>
      </c>
      <c r="AF6106">
        <v>-61.506962510394096</v>
      </c>
      <c r="AG6106">
        <v>0.40060099999999998</v>
      </c>
      <c r="AH6106">
        <v>121.21272917946401</v>
      </c>
      <c r="AI6106">
        <v>89.831137291633695</v>
      </c>
      <c r="AJ6106">
        <v>116.904599394207</v>
      </c>
      <c r="AK6106">
        <v>135.92568790905699</v>
      </c>
      <c r="AL6106">
        <v>87.665669555116196</v>
      </c>
      <c r="AM6106">
        <v>98.353694496331798</v>
      </c>
      <c r="AN6106">
        <v>0.99999995364921901</v>
      </c>
    </row>
    <row r="6107" spans="1:40" x14ac:dyDescent="0.25">
      <c r="A6107" t="str">
        <f>"20190312160455669"</f>
        <v>20190312160455669</v>
      </c>
      <c r="B6107" t="str">
        <f>"1552377895661298"</f>
        <v>1552377895661298</v>
      </c>
      <c r="C6107" t="s">
        <v>40</v>
      </c>
      <c r="D6107">
        <v>5.7478379999999998</v>
      </c>
      <c r="E6107">
        <v>0.38016830000000001</v>
      </c>
      <c r="F6107" t="s">
        <v>108</v>
      </c>
      <c r="G6107">
        <v>-276.22989999999999</v>
      </c>
      <c r="H6107">
        <v>1.382064</v>
      </c>
      <c r="I6107">
        <v>25.137779999999999</v>
      </c>
      <c r="J6107">
        <v>-409.08210000000003</v>
      </c>
      <c r="K6107">
        <v>1.1188830000000001</v>
      </c>
      <c r="L6107">
        <v>18.720700000000001</v>
      </c>
      <c r="M6107">
        <v>0.91347440000000002</v>
      </c>
      <c r="N6107">
        <v>0</v>
      </c>
      <c r="O6107">
        <v>-0.40660689999999999</v>
      </c>
      <c r="P6107">
        <v>0.96226409999999996</v>
      </c>
      <c r="Q6107">
        <v>2.811893E-2</v>
      </c>
      <c r="R6107">
        <v>-0.27066200000000001</v>
      </c>
      <c r="S6107">
        <v>3.167786</v>
      </c>
      <c r="T6107">
        <v>6.2689779999999997E-3</v>
      </c>
      <c r="U6107">
        <v>0.1517029</v>
      </c>
      <c r="V6107">
        <v>-0.14491289999999901</v>
      </c>
      <c r="W6107">
        <v>4.0271660000000001E-2</v>
      </c>
      <c r="X6107">
        <v>0.98862450000000002</v>
      </c>
      <c r="Y6107">
        <v>-0.44988820000000002</v>
      </c>
      <c r="Z6107">
        <v>-1.2330049999999999E-3</v>
      </c>
      <c r="AA6107">
        <v>0.89308399999999999</v>
      </c>
      <c r="AB6107">
        <v>24</v>
      </c>
      <c r="AC6107">
        <v>132.85220000000001</v>
      </c>
      <c r="AD6107">
        <v>0.263180999999999</v>
      </c>
      <c r="AE6107">
        <v>6.4170799999999897</v>
      </c>
      <c r="AF6107">
        <v>-59.887272688935099</v>
      </c>
      <c r="AG6107">
        <v>0.263180999999999</v>
      </c>
      <c r="AH6107">
        <v>118.761365783589</v>
      </c>
      <c r="AI6107">
        <v>89.886628600628498</v>
      </c>
      <c r="AJ6107">
        <v>116.76023859257501</v>
      </c>
      <c r="AK6107">
        <v>133.00682951315301</v>
      </c>
      <c r="AL6107">
        <v>87.6919796512435</v>
      </c>
      <c r="AM6107">
        <v>98.339048656640699</v>
      </c>
      <c r="AN6107">
        <v>0.99999997859290701</v>
      </c>
    </row>
    <row r="6108" spans="1:40" x14ac:dyDescent="0.25">
      <c r="A6108" t="str">
        <f>"20190312160455686"</f>
        <v>20190312160455686</v>
      </c>
      <c r="B6108" t="str">
        <f>"1552377895681793"</f>
        <v>1552377895681793</v>
      </c>
      <c r="C6108" t="s">
        <v>40</v>
      </c>
      <c r="D6108">
        <v>5.7564159999999998</v>
      </c>
      <c r="E6108">
        <v>0.38209739999999998</v>
      </c>
      <c r="F6108" t="s">
        <v>109</v>
      </c>
      <c r="G6108">
        <v>-279.68</v>
      </c>
      <c r="H6108">
        <v>0.2288954</v>
      </c>
      <c r="I6108">
        <v>23.237539999999999</v>
      </c>
      <c r="J6108">
        <v>-408.90969999999999</v>
      </c>
      <c r="K6108">
        <v>1.118849</v>
      </c>
      <c r="L6108">
        <v>18.65598</v>
      </c>
      <c r="M6108">
        <v>0.91753929999999995</v>
      </c>
      <c r="N6108">
        <v>0</v>
      </c>
      <c r="O6108">
        <v>-0.39734900000000001</v>
      </c>
      <c r="P6108">
        <v>0.96471839999999998</v>
      </c>
      <c r="Q6108">
        <v>2.718255E-2</v>
      </c>
      <c r="R6108">
        <v>-0.26187690000000002</v>
      </c>
      <c r="S6108">
        <v>3.1492</v>
      </c>
      <c r="T6108">
        <v>-2.165914E-2</v>
      </c>
      <c r="U6108">
        <v>0.1099243</v>
      </c>
      <c r="V6108">
        <v>-0.14391770000000001</v>
      </c>
      <c r="W6108">
        <v>3.9361630000000002E-2</v>
      </c>
      <c r="X6108">
        <v>0.98880650000000003</v>
      </c>
      <c r="Y6108">
        <v>-0.42914619999999998</v>
      </c>
      <c r="Z6108">
        <v>4.15366E-3</v>
      </c>
      <c r="AA6108">
        <v>0.90322550000000001</v>
      </c>
      <c r="AB6108">
        <v>24</v>
      </c>
      <c r="AC6108">
        <v>129.22969999999901</v>
      </c>
      <c r="AD6108">
        <v>-0.88995360000000001</v>
      </c>
      <c r="AE6108">
        <v>4.5815599999999996</v>
      </c>
      <c r="AF6108">
        <v>-55.556961814980902</v>
      </c>
      <c r="AG6108">
        <v>-0.88995360000000001</v>
      </c>
      <c r="AH6108">
        <v>116.761064254007</v>
      </c>
      <c r="AI6108">
        <v>90.394337983619906</v>
      </c>
      <c r="AJ6108">
        <v>115.44592431399001</v>
      </c>
      <c r="AK6108">
        <v>129.30782709971501</v>
      </c>
      <c r="AL6108">
        <v>87.744161889698503</v>
      </c>
      <c r="AM6108">
        <v>98.281073472330405</v>
      </c>
      <c r="AN6108">
        <v>0.999999968365897</v>
      </c>
    </row>
    <row r="6109" spans="1:40" x14ac:dyDescent="0.25">
      <c r="A6109" t="str">
        <f>"20190312160455697"</f>
        <v>20190312160455697</v>
      </c>
      <c r="B6109" t="str">
        <f>"1552377895691553"</f>
        <v>1552377895691553</v>
      </c>
      <c r="C6109" t="s">
        <v>40</v>
      </c>
      <c r="D6109">
        <v>5.7182430000000002</v>
      </c>
      <c r="E6109">
        <v>0.38298219999999999</v>
      </c>
      <c r="F6109" t="s">
        <v>43</v>
      </c>
      <c r="G6109">
        <v>-293.40949999999998</v>
      </c>
      <c r="H6109">
        <v>-0.05</v>
      </c>
      <c r="I6109">
        <v>23.212900000000001</v>
      </c>
      <c r="J6109">
        <v>-408.80849999999998</v>
      </c>
      <c r="K6109">
        <v>1.1188309999999999</v>
      </c>
      <c r="L6109">
        <v>18.619230000000002</v>
      </c>
      <c r="M6109">
        <v>0.91986849999999998</v>
      </c>
      <c r="N6109">
        <v>0</v>
      </c>
      <c r="O6109">
        <v>-0.39192680000000002</v>
      </c>
      <c r="P6109">
        <v>0.96616159999999995</v>
      </c>
      <c r="Q6109">
        <v>2.7001669999999998E-2</v>
      </c>
      <c r="R6109">
        <v>-0.25652059999999999</v>
      </c>
      <c r="S6109">
        <v>3.1442869999999998</v>
      </c>
      <c r="T6109">
        <v>-3.1819819999999999E-2</v>
      </c>
      <c r="U6109">
        <v>0.124054</v>
      </c>
      <c r="V6109">
        <v>-0.14356369999999999</v>
      </c>
      <c r="W6109">
        <v>3.9191049999999998E-2</v>
      </c>
      <c r="X6109">
        <v>0.98886479999999999</v>
      </c>
      <c r="Y6109">
        <v>-0.42789529999999998</v>
      </c>
      <c r="Z6109">
        <v>6.0543510000000004E-3</v>
      </c>
      <c r="AA6109">
        <v>0.9038081</v>
      </c>
      <c r="AB6109">
        <v>24</v>
      </c>
      <c r="AC6109">
        <v>115.399</v>
      </c>
      <c r="AD6109">
        <v>-1.168831</v>
      </c>
      <c r="AE6109">
        <v>4.5936700000000004</v>
      </c>
      <c r="AF6109">
        <v>-49.454287585112397</v>
      </c>
      <c r="AG6109">
        <v>-1.168831</v>
      </c>
      <c r="AH6109">
        <v>104.353114627411</v>
      </c>
      <c r="AI6109">
        <v>90.579906722708202</v>
      </c>
      <c r="AJ6109">
        <v>115.35687690184901</v>
      </c>
      <c r="AK6109">
        <v>115.484480597607</v>
      </c>
      <c r="AL6109">
        <v>87.753943097696293</v>
      </c>
      <c r="AM6109">
        <v>98.260505336640193</v>
      </c>
      <c r="AN6109">
        <v>1.00000003351841</v>
      </c>
    </row>
    <row r="6110" spans="1:40" x14ac:dyDescent="0.25">
      <c r="A6110" t="str">
        <f>"20190312160455709"</f>
        <v>20190312160455709</v>
      </c>
      <c r="B6110" t="str">
        <f>"1552377895701314"</f>
        <v>1552377895701314</v>
      </c>
      <c r="C6110" t="s">
        <v>40</v>
      </c>
      <c r="D6110">
        <v>5.7848220000000001</v>
      </c>
      <c r="E6110">
        <v>0.38335059999999999</v>
      </c>
      <c r="F6110" t="s">
        <v>43</v>
      </c>
      <c r="G6110">
        <v>-302.52760000000001</v>
      </c>
      <c r="H6110">
        <v>-0.05</v>
      </c>
      <c r="I6110">
        <v>23.177019999999999</v>
      </c>
      <c r="J6110">
        <v>-408.68340000000001</v>
      </c>
      <c r="K6110">
        <v>1.118806</v>
      </c>
      <c r="L6110">
        <v>18.574190000000002</v>
      </c>
      <c r="M6110">
        <v>0.92269820000000002</v>
      </c>
      <c r="N6110">
        <v>0</v>
      </c>
      <c r="O6110">
        <v>-0.3852179</v>
      </c>
      <c r="P6110">
        <v>0.9679333</v>
      </c>
      <c r="Q6110">
        <v>2.7561530000000001E-2</v>
      </c>
      <c r="R6110">
        <v>-0.24969069999999999</v>
      </c>
      <c r="S6110">
        <v>3.1418149999999998</v>
      </c>
      <c r="T6110">
        <v>-3.4552340000000001E-2</v>
      </c>
      <c r="U6110">
        <v>0.1347351</v>
      </c>
      <c r="V6110">
        <v>-0.1433497</v>
      </c>
      <c r="W6110">
        <v>3.9758509999999997E-2</v>
      </c>
      <c r="X6110">
        <v>0.98887320000000001</v>
      </c>
      <c r="Y6110">
        <v>-0.42439900000000003</v>
      </c>
      <c r="Z6110">
        <v>6.4911780000000002E-3</v>
      </c>
      <c r="AA6110">
        <v>0.90545200000000003</v>
      </c>
      <c r="AB6110">
        <v>24</v>
      </c>
      <c r="AC6110">
        <v>106.1558</v>
      </c>
      <c r="AD6110">
        <v>-1.168806</v>
      </c>
      <c r="AE6110">
        <v>4.60283</v>
      </c>
      <c r="AF6110">
        <v>-45.139984857455197</v>
      </c>
      <c r="AG6110">
        <v>-1.168806</v>
      </c>
      <c r="AH6110">
        <v>96.176348265044695</v>
      </c>
      <c r="AI6110">
        <v>90.630301739470795</v>
      </c>
      <c r="AJ6110">
        <v>115.142825391266</v>
      </c>
      <c r="AK6110">
        <v>106.249114377467</v>
      </c>
      <c r="AL6110">
        <v>87.721404690030994</v>
      </c>
      <c r="AM6110">
        <v>98.248292445815494</v>
      </c>
      <c r="AN6110">
        <v>1.00000004064287</v>
      </c>
    </row>
    <row r="6111" spans="1:40" x14ac:dyDescent="0.25">
      <c r="A6111" t="str">
        <f>"20190312160455720"</f>
        <v>20190312160455720</v>
      </c>
      <c r="B6111" t="str">
        <f>"1552377895711074"</f>
        <v>1552377895711074</v>
      </c>
      <c r="C6111" t="s">
        <v>40</v>
      </c>
      <c r="D6111">
        <v>5.7353399999999999</v>
      </c>
      <c r="E6111">
        <v>0.3840015</v>
      </c>
      <c r="F6111" t="s">
        <v>43</v>
      </c>
      <c r="G6111">
        <v>-293.40219999999999</v>
      </c>
      <c r="H6111">
        <v>-0.05</v>
      </c>
      <c r="I6111">
        <v>24.23002</v>
      </c>
      <c r="J6111">
        <v>-408.56889999999999</v>
      </c>
      <c r="K6111">
        <v>1.1187800000000001</v>
      </c>
      <c r="L6111">
        <v>18.53424</v>
      </c>
      <c r="M6111">
        <v>0.92523069999999996</v>
      </c>
      <c r="N6111">
        <v>0</v>
      </c>
      <c r="O6111">
        <v>-0.37909549999999997</v>
      </c>
      <c r="P6111">
        <v>0.96945289999999995</v>
      </c>
      <c r="Q6111">
        <v>2.7628960000000001E-2</v>
      </c>
      <c r="R6111">
        <v>-0.24371680000000001</v>
      </c>
      <c r="S6111">
        <v>3.140015</v>
      </c>
      <c r="T6111">
        <v>-3.1835790000000003E-2</v>
      </c>
      <c r="U6111">
        <v>0.15405269999999999</v>
      </c>
      <c r="V6111">
        <v>-0.1428932</v>
      </c>
      <c r="W6111">
        <v>3.9839989999999999E-2</v>
      </c>
      <c r="X6111">
        <v>0.98893589999999998</v>
      </c>
      <c r="Y6111">
        <v>-0.42398760000000002</v>
      </c>
      <c r="Z6111">
        <v>5.9240660000000004E-3</v>
      </c>
      <c r="AA6111">
        <v>0.90564860000000003</v>
      </c>
      <c r="AB6111">
        <v>24</v>
      </c>
      <c r="AC6111">
        <v>115.16670000000001</v>
      </c>
      <c r="AD6111">
        <v>-1.1687799999999999</v>
      </c>
      <c r="AE6111">
        <v>5.6957799999999903</v>
      </c>
      <c r="AF6111">
        <v>-48.929805211517902</v>
      </c>
      <c r="AG6111">
        <v>-1.1687799999999999</v>
      </c>
      <c r="AH6111">
        <v>104.398051649829</v>
      </c>
      <c r="AI6111">
        <v>90.580801507056094</v>
      </c>
      <c r="AJ6111">
        <v>115.111783449746</v>
      </c>
      <c r="AK6111">
        <v>115.301539768582</v>
      </c>
      <c r="AL6111">
        <v>87.716732327792499</v>
      </c>
      <c r="AM6111">
        <v>98.221871121770704</v>
      </c>
      <c r="AN6111">
        <v>0.99999995285912302</v>
      </c>
    </row>
    <row r="6112" spans="1:40" x14ac:dyDescent="0.25">
      <c r="A6112" t="str">
        <f>"20190312160455737"</f>
        <v>20190312160455737</v>
      </c>
      <c r="B6112" t="str">
        <f>"1552377895731569"</f>
        <v>1552377895731569</v>
      </c>
      <c r="C6112" t="s">
        <v>40</v>
      </c>
      <c r="D6112">
        <v>5.72804</v>
      </c>
      <c r="E6112">
        <v>0.39102799999999999</v>
      </c>
      <c r="F6112" t="s">
        <v>43</v>
      </c>
      <c r="G6112">
        <v>-294.54309999999998</v>
      </c>
      <c r="H6112">
        <v>-0.05</v>
      </c>
      <c r="I6112">
        <v>24.65042</v>
      </c>
      <c r="J6112">
        <v>-408.4067</v>
      </c>
      <c r="K6112">
        <v>1.118736</v>
      </c>
      <c r="L6112">
        <v>18.478819999999999</v>
      </c>
      <c r="M6112">
        <v>0.92873410000000001</v>
      </c>
      <c r="N6112">
        <v>0</v>
      </c>
      <c r="O6112">
        <v>-0.3704306</v>
      </c>
      <c r="P6112">
        <v>0.97168169999999998</v>
      </c>
      <c r="Q6112">
        <v>2.7821180000000001E-2</v>
      </c>
      <c r="R6112">
        <v>-0.2346511</v>
      </c>
      <c r="S6112">
        <v>3.137756</v>
      </c>
      <c r="T6112">
        <v>-3.2162429999999999E-2</v>
      </c>
      <c r="U6112">
        <v>0.16830439999999999</v>
      </c>
      <c r="V6112">
        <v>-0.14288410000000001</v>
      </c>
      <c r="W6112">
        <v>4.0037250000000003E-2</v>
      </c>
      <c r="X6112">
        <v>0.98892930000000001</v>
      </c>
      <c r="Y6112">
        <v>-0.41965160000000001</v>
      </c>
      <c r="Z6112">
        <v>5.8831830000000002E-3</v>
      </c>
      <c r="AA6112">
        <v>0.90766619999999998</v>
      </c>
      <c r="AB6112">
        <v>24</v>
      </c>
      <c r="AC6112">
        <v>113.86360000000001</v>
      </c>
      <c r="AD6112">
        <v>-1.168736</v>
      </c>
      <c r="AE6112">
        <v>6.17159999999999</v>
      </c>
      <c r="AF6112">
        <v>-47.910913976008402</v>
      </c>
      <c r="AG6112">
        <v>-1.168736</v>
      </c>
      <c r="AH6112">
        <v>103.464104481883</v>
      </c>
      <c r="AI6112">
        <v>90.587283160132401</v>
      </c>
      <c r="AJ6112">
        <v>114.847343961448</v>
      </c>
      <c r="AK6112">
        <v>114.024745288433</v>
      </c>
      <c r="AL6112">
        <v>87.705421254172293</v>
      </c>
      <c r="AM6112">
        <v>98.221408796799906</v>
      </c>
      <c r="AN6112">
        <v>1.0000000039094299</v>
      </c>
    </row>
    <row r="6113" spans="1:40" x14ac:dyDescent="0.25">
      <c r="A6113" t="str">
        <f>"20190312160455753"</f>
        <v>20190312160455753</v>
      </c>
      <c r="B6113" t="str">
        <f>"1552377895741330"</f>
        <v>1552377895741330</v>
      </c>
      <c r="C6113" t="s">
        <v>40</v>
      </c>
      <c r="D6113">
        <v>5.7156929999999999</v>
      </c>
      <c r="E6113">
        <v>0.39140930000000002</v>
      </c>
      <c r="F6113" t="s">
        <v>41</v>
      </c>
      <c r="G6113">
        <v>-330.74939999999998</v>
      </c>
      <c r="H6113" s="1">
        <v>-4.4512779999999999E-6</v>
      </c>
      <c r="I6113">
        <v>22.041969999999999</v>
      </c>
      <c r="J6113">
        <v>-408.25020000000001</v>
      </c>
      <c r="K6113">
        <v>1.11869</v>
      </c>
      <c r="L6113">
        <v>18.426850000000002</v>
      </c>
      <c r="M6113">
        <v>0.9320176</v>
      </c>
      <c r="N6113">
        <v>0</v>
      </c>
      <c r="O6113">
        <v>-0.36209000000000002</v>
      </c>
      <c r="P6113">
        <v>0.9737422</v>
      </c>
      <c r="Q6113">
        <v>2.6949020000000001E-2</v>
      </c>
      <c r="R6113">
        <v>-0.226053</v>
      </c>
      <c r="S6113">
        <v>3.1233219999999999</v>
      </c>
      <c r="T6113">
        <v>-4.4994949999999999E-2</v>
      </c>
      <c r="U6113">
        <v>0.14331050000000001</v>
      </c>
      <c r="V6113">
        <v>-0.14274609999999999</v>
      </c>
      <c r="W6113">
        <v>3.9174359999999998E-2</v>
      </c>
      <c r="X6113">
        <v>0.98898379999999997</v>
      </c>
      <c r="Y6113">
        <v>-0.40439809999999998</v>
      </c>
      <c r="Z6113">
        <v>8.0444030000000003E-3</v>
      </c>
      <c r="AA6113">
        <v>0.91454769999999996</v>
      </c>
      <c r="AB6113">
        <v>24</v>
      </c>
      <c r="AC6113">
        <v>77.500799999999998</v>
      </c>
      <c r="AD6113">
        <v>-1.1186944512779999</v>
      </c>
      <c r="AE6113">
        <v>3.6151200000000001</v>
      </c>
      <c r="AF6113">
        <v>-31.4287644560529</v>
      </c>
      <c r="AG6113">
        <v>-1.1186944512779999</v>
      </c>
      <c r="AH6113">
        <v>70.916667179314203</v>
      </c>
      <c r="AI6113">
        <v>90.826258871613803</v>
      </c>
      <c r="AJ6113">
        <v>113.901906543157</v>
      </c>
      <c r="AK6113">
        <v>77.577009457254803</v>
      </c>
      <c r="AL6113">
        <v>87.754900064517699</v>
      </c>
      <c r="AM6113">
        <v>98.213130353363894</v>
      </c>
      <c r="AN6113">
        <v>1.0000000181045201</v>
      </c>
    </row>
    <row r="6114" spans="1:40" x14ac:dyDescent="0.25">
      <c r="A6114" t="str">
        <f>"20190312160455763"</f>
        <v>20190312160455763</v>
      </c>
      <c r="B6114" t="str">
        <f>"1552377895751089"</f>
        <v>1552377895751089</v>
      </c>
      <c r="C6114" t="s">
        <v>40</v>
      </c>
      <c r="D6114">
        <v>5.7738639999999997</v>
      </c>
      <c r="E6114">
        <v>0.39229059999999999</v>
      </c>
      <c r="F6114" t="s">
        <v>41</v>
      </c>
      <c r="G6114">
        <v>-340.3544</v>
      </c>
      <c r="H6114" s="1">
        <v>-4.5927519999999998E-6</v>
      </c>
      <c r="I6114">
        <v>22.081800000000001</v>
      </c>
      <c r="J6114">
        <v>-408.13990000000001</v>
      </c>
      <c r="K6114">
        <v>1.118655</v>
      </c>
      <c r="L6114">
        <v>18.391079999999999</v>
      </c>
      <c r="M6114">
        <v>0.93427490000000002</v>
      </c>
      <c r="N6114">
        <v>0</v>
      </c>
      <c r="O6114">
        <v>-0.35622540000000003</v>
      </c>
      <c r="P6114">
        <v>0.97509769999999896</v>
      </c>
      <c r="Q6114">
        <v>2.6712509999999998E-2</v>
      </c>
      <c r="R6114">
        <v>-0.22016140000000001</v>
      </c>
      <c r="S6114">
        <v>3.1213069999999998</v>
      </c>
      <c r="T6114">
        <v>-5.1428679999999997E-2</v>
      </c>
      <c r="U6114">
        <v>0.16802979999999901</v>
      </c>
      <c r="V6114">
        <v>-0.14250450000000001</v>
      </c>
      <c r="W6114">
        <v>3.8947570000000001E-2</v>
      </c>
      <c r="X6114">
        <v>0.98902760000000001</v>
      </c>
      <c r="Y6114">
        <v>-0.40587800000000002</v>
      </c>
      <c r="Z6114">
        <v>9.1211680000000007E-3</v>
      </c>
      <c r="AA6114">
        <v>0.91388170000000002</v>
      </c>
      <c r="AB6114">
        <v>24</v>
      </c>
      <c r="AC6114">
        <v>67.785499999999999</v>
      </c>
      <c r="AD6114">
        <v>-1.118659592752</v>
      </c>
      <c r="AE6114">
        <v>3.6907199999999998</v>
      </c>
      <c r="AF6114">
        <v>-27.5907993270059</v>
      </c>
      <c r="AG6114">
        <v>-1.118659592752</v>
      </c>
      <c r="AH6114">
        <v>62.005979045162803</v>
      </c>
      <c r="AI6114">
        <v>90.944320874348804</v>
      </c>
      <c r="AJ6114">
        <v>113.98762833625401</v>
      </c>
      <c r="AK6114">
        <v>67.876689991017798</v>
      </c>
      <c r="AL6114">
        <v>87.767904101884895</v>
      </c>
      <c r="AM6114">
        <v>98.199060490327398</v>
      </c>
      <c r="AN6114">
        <v>1.0000000196454499</v>
      </c>
    </row>
    <row r="6115" spans="1:40" x14ac:dyDescent="0.25">
      <c r="A6115" t="str">
        <f>"20190312160455775"</f>
        <v>20190312160455775</v>
      </c>
      <c r="B6115" t="str">
        <f>"1552377895771586"</f>
        <v>1552377895771586</v>
      </c>
      <c r="C6115" t="s">
        <v>40</v>
      </c>
      <c r="D6115">
        <v>5.7787110000000004</v>
      </c>
      <c r="E6115">
        <v>0.39343980000000001</v>
      </c>
      <c r="F6115" t="s">
        <v>41</v>
      </c>
      <c r="G6115">
        <v>-346.78149999999999</v>
      </c>
      <c r="H6115" s="1">
        <v>-1.9803159999999999E-6</v>
      </c>
      <c r="I6115">
        <v>21.936250000000001</v>
      </c>
      <c r="J6115">
        <v>-408.02550000000002</v>
      </c>
      <c r="K6115">
        <v>1.1186119999999999</v>
      </c>
      <c r="L6115">
        <v>18.354980000000001</v>
      </c>
      <c r="M6115">
        <v>0.93656019999999895</v>
      </c>
      <c r="N6115">
        <v>0</v>
      </c>
      <c r="O6115">
        <v>-0.35017389999999998</v>
      </c>
      <c r="P6115">
        <v>0.97639299999999996</v>
      </c>
      <c r="Q6115">
        <v>2.6662459999999999E-2</v>
      </c>
      <c r="R6115">
        <v>-0.2143505</v>
      </c>
      <c r="S6115">
        <v>3.1188660000000001</v>
      </c>
      <c r="T6115">
        <v>-5.6861759999999997E-2</v>
      </c>
      <c r="U6115">
        <v>0.18020630000000001</v>
      </c>
      <c r="V6115">
        <v>-0.14199110000000001</v>
      </c>
      <c r="W6115">
        <v>3.8913730000000001E-2</v>
      </c>
      <c r="X6115">
        <v>0.98910279999999995</v>
      </c>
      <c r="Y6115">
        <v>-0.40353820000000001</v>
      </c>
      <c r="Z6115">
        <v>9.9661809999999993E-3</v>
      </c>
      <c r="AA6115">
        <v>0.91490850000000001</v>
      </c>
      <c r="AB6115">
        <v>24</v>
      </c>
      <c r="AC6115">
        <v>61.244</v>
      </c>
      <c r="AD6115">
        <v>-1.118613980316</v>
      </c>
      <c r="AE6115">
        <v>3.58127</v>
      </c>
      <c r="AF6115">
        <v>-24.794774381603101</v>
      </c>
      <c r="AG6115">
        <v>-1.118613980316</v>
      </c>
      <c r="AH6115">
        <v>56.092520421204597</v>
      </c>
      <c r="AI6115">
        <v>91.044947078522995</v>
      </c>
      <c r="AJ6115">
        <v>113.84703543060201</v>
      </c>
      <c r="AK6115">
        <v>61.338429887590202</v>
      </c>
      <c r="AL6115">
        <v>87.769844529522999</v>
      </c>
      <c r="AM6115">
        <v>98.169308505227406</v>
      </c>
      <c r="AN6115">
        <v>1.0000000499147801</v>
      </c>
    </row>
    <row r="6116" spans="1:40" x14ac:dyDescent="0.25">
      <c r="A6116" t="str">
        <f>"20190312160455786"</f>
        <v>20190312160455786</v>
      </c>
      <c r="B6116" t="str">
        <f>"1552377895781347"</f>
        <v>1552377895781347</v>
      </c>
      <c r="C6116" t="s">
        <v>40</v>
      </c>
      <c r="D6116">
        <v>5.7580109999999998</v>
      </c>
      <c r="E6116">
        <v>0.39408589999999999</v>
      </c>
      <c r="F6116" t="s">
        <v>41</v>
      </c>
      <c r="G6116">
        <v>-348.52879999999999</v>
      </c>
      <c r="H6116" s="1">
        <v>-1.242845E-6</v>
      </c>
      <c r="I6116">
        <v>21.98179</v>
      </c>
      <c r="J6116">
        <v>-407.90789999999998</v>
      </c>
      <c r="K6116">
        <v>1.118573</v>
      </c>
      <c r="L6116">
        <v>18.318359999999998</v>
      </c>
      <c r="M6116">
        <v>0.9388628</v>
      </c>
      <c r="N6116">
        <v>0</v>
      </c>
      <c r="O6116">
        <v>-0.34395239999999999</v>
      </c>
      <c r="P6116">
        <v>0.97771379999999997</v>
      </c>
      <c r="Q6116">
        <v>2.6415230000000001E-2</v>
      </c>
      <c r="R6116">
        <v>-0.20827390000000001</v>
      </c>
      <c r="S6116">
        <v>3.1158450000000002</v>
      </c>
      <c r="T6116">
        <v>-5.8581950000000001E-2</v>
      </c>
      <c r="U6116">
        <v>0.18994140000000001</v>
      </c>
      <c r="V6116">
        <v>-0.14157349999999999</v>
      </c>
      <c r="W6116">
        <v>3.8681689999999998E-2</v>
      </c>
      <c r="X6116">
        <v>0.98917169999999999</v>
      </c>
      <c r="Y6116">
        <v>-0.40035890000000002</v>
      </c>
      <c r="Z6116">
        <v>1.0136060000000001E-2</v>
      </c>
      <c r="AA6116">
        <v>0.91630239999999996</v>
      </c>
      <c r="AB6116">
        <v>24</v>
      </c>
      <c r="AC6116">
        <v>59.379100000000001</v>
      </c>
      <c r="AD6116">
        <v>-1.1185742428450001</v>
      </c>
      <c r="AE6116">
        <v>3.6634299999999902</v>
      </c>
      <c r="AF6116">
        <v>-23.857393243082502</v>
      </c>
      <c r="AG6116">
        <v>-1.1185742428450001</v>
      </c>
      <c r="AH6116">
        <v>54.4758839625202</v>
      </c>
      <c r="AI6116">
        <v>91.077534455050397</v>
      </c>
      <c r="AJ6116">
        <v>113.650732529075</v>
      </c>
      <c r="AK6116">
        <v>59.481495897378103</v>
      </c>
      <c r="AL6116">
        <v>87.783149327400693</v>
      </c>
      <c r="AM6116">
        <v>98.145045464305298</v>
      </c>
      <c r="AN6116">
        <v>0.99999999056219802</v>
      </c>
    </row>
    <row r="6117" spans="1:40" x14ac:dyDescent="0.25">
      <c r="A6117" t="str">
        <f>"20190312160455798"</f>
        <v>20190312160455798</v>
      </c>
      <c r="B6117" t="str">
        <f>"1552377895791106"</f>
        <v>1552377895791106</v>
      </c>
      <c r="C6117" t="s">
        <v>40</v>
      </c>
      <c r="D6117">
        <v>5.7370359999999998</v>
      </c>
      <c r="E6117">
        <v>0.39408589999999999</v>
      </c>
      <c r="F6117" t="s">
        <v>41</v>
      </c>
      <c r="G6117">
        <v>-350.48419999999999</v>
      </c>
      <c r="H6117" s="1">
        <v>-4.5496289999999998E-6</v>
      </c>
      <c r="I6117">
        <v>22.087579999999999</v>
      </c>
      <c r="J6117">
        <v>-407.79309999999998</v>
      </c>
      <c r="K6117">
        <v>1.118527</v>
      </c>
      <c r="L6117">
        <v>18.283840000000001</v>
      </c>
      <c r="M6117">
        <v>0.94105039999999995</v>
      </c>
      <c r="N6117">
        <v>0</v>
      </c>
      <c r="O6117">
        <v>-0.33792179999999999</v>
      </c>
      <c r="P6117">
        <v>0.97888350000000002</v>
      </c>
      <c r="Q6117">
        <v>2.6860749999999999E-2</v>
      </c>
      <c r="R6117">
        <v>-0.20264689999999999</v>
      </c>
      <c r="S6117">
        <v>3.1135860000000002</v>
      </c>
      <c r="T6117">
        <v>-6.0650709999999997E-2</v>
      </c>
      <c r="U6117">
        <v>0.20437620000000001</v>
      </c>
      <c r="V6117">
        <v>-0.14091670000000001</v>
      </c>
      <c r="W6117">
        <v>3.9147210000000002E-2</v>
      </c>
      <c r="X6117">
        <v>0.98924719999999999</v>
      </c>
      <c r="Y6117">
        <v>-0.39874270000000001</v>
      </c>
      <c r="Z6117">
        <v>1.037329E-2</v>
      </c>
      <c r="AA6117">
        <v>0.91700420000000005</v>
      </c>
      <c r="AB6117">
        <v>24</v>
      </c>
      <c r="AC6117">
        <v>57.308900000000001</v>
      </c>
      <c r="AD6117">
        <v>-1.118531549629</v>
      </c>
      <c r="AE6117">
        <v>3.8037399999999999</v>
      </c>
      <c r="AF6117">
        <v>-22.9394111962275</v>
      </c>
      <c r="AG6117">
        <v>-1.118531549629</v>
      </c>
      <c r="AH6117">
        <v>52.631369622167398</v>
      </c>
      <c r="AI6117">
        <v>91.116102396746598</v>
      </c>
      <c r="AJ6117">
        <v>113.55000601408</v>
      </c>
      <c r="AK6117">
        <v>57.424113116027598</v>
      </c>
      <c r="AL6117">
        <v>87.756456846801598</v>
      </c>
      <c r="AM6117">
        <v>98.107151273556099</v>
      </c>
      <c r="AN6117">
        <v>1.0000000215487499</v>
      </c>
    </row>
    <row r="6118" spans="1:40" x14ac:dyDescent="0.25">
      <c r="A6118" t="str">
        <f>"20190312160455810"</f>
        <v>20190312160455810</v>
      </c>
      <c r="B6118" t="str">
        <f>"1552377895801842"</f>
        <v>1552377895801842</v>
      </c>
      <c r="C6118" t="s">
        <v>40</v>
      </c>
      <c r="D6118">
        <v>5.7505199999999999</v>
      </c>
      <c r="E6118">
        <v>0.40060770000000001</v>
      </c>
      <c r="F6118" t="s">
        <v>41</v>
      </c>
      <c r="G6118">
        <v>-348.87099999999998</v>
      </c>
      <c r="H6118" s="1">
        <v>-1.2318119999999999E-6</v>
      </c>
      <c r="I6118">
        <v>22.492010000000001</v>
      </c>
      <c r="J6118">
        <v>-407.66849999999999</v>
      </c>
      <c r="K6118">
        <v>1.118482</v>
      </c>
      <c r="L6118">
        <v>18.24689</v>
      </c>
      <c r="M6118">
        <v>0.94337150000000003</v>
      </c>
      <c r="N6118">
        <v>0</v>
      </c>
      <c r="O6118">
        <v>-0.3313875</v>
      </c>
      <c r="P6118">
        <v>0.98018870000000002</v>
      </c>
      <c r="Q6118">
        <v>2.6884180000000001E-2</v>
      </c>
      <c r="R6118">
        <v>-0.1962333</v>
      </c>
      <c r="S6118">
        <v>3.1123959999999999</v>
      </c>
      <c r="T6118">
        <v>-5.9083219999999999E-2</v>
      </c>
      <c r="U6118">
        <v>0.22228999999999999</v>
      </c>
      <c r="V6118">
        <v>-0.14052829999999999</v>
      </c>
      <c r="W6118">
        <v>3.91858E-2</v>
      </c>
      <c r="X6118">
        <v>0.98930090000000004</v>
      </c>
      <c r="Y6118">
        <v>-0.3976673</v>
      </c>
      <c r="Z6118">
        <v>9.979613E-3</v>
      </c>
      <c r="AA6118">
        <v>0.91747540000000005</v>
      </c>
      <c r="AB6118">
        <v>24</v>
      </c>
      <c r="AC6118">
        <v>58.797499999999999</v>
      </c>
      <c r="AD6118">
        <v>-1.1184832318119999</v>
      </c>
      <c r="AE6118">
        <v>4.24512</v>
      </c>
      <c r="AF6118">
        <v>-23.483759547230999</v>
      </c>
      <c r="AG6118">
        <v>-1.1184832318119999</v>
      </c>
      <c r="AH6118">
        <v>54.047936394368101</v>
      </c>
      <c r="AI6118">
        <v>91.087347688616006</v>
      </c>
      <c r="AJ6118">
        <v>113.484884907386</v>
      </c>
      <c r="AK6118">
        <v>58.939947367652699</v>
      </c>
      <c r="AL6118">
        <v>87.7542440573162</v>
      </c>
      <c r="AM6118">
        <v>98.084668823504401</v>
      </c>
      <c r="AN6118">
        <v>1.00000000038167</v>
      </c>
    </row>
    <row r="6119" spans="1:40" x14ac:dyDescent="0.25">
      <c r="A6119" t="str">
        <f>"20190312160455824"</f>
        <v>20190312160455824</v>
      </c>
      <c r="B6119" t="str">
        <f>"1552377895821362"</f>
        <v>1552377895821362</v>
      </c>
      <c r="C6119" t="s">
        <v>40</v>
      </c>
      <c r="D6119">
        <v>5.7425649999999999</v>
      </c>
      <c r="E6119">
        <v>0.40243649999999997</v>
      </c>
      <c r="F6119" t="s">
        <v>110</v>
      </c>
      <c r="G6119">
        <v>-362.55099999999999</v>
      </c>
      <c r="H6119" s="1">
        <v>-3.9005670000000001E-6</v>
      </c>
      <c r="I6119">
        <v>21.040430000000001</v>
      </c>
      <c r="J6119">
        <v>-407.52640000000002</v>
      </c>
      <c r="K6119">
        <v>1.1184190000000001</v>
      </c>
      <c r="L6119">
        <v>18.20599</v>
      </c>
      <c r="M6119">
        <v>0.94593970000000005</v>
      </c>
      <c r="N6119">
        <v>0</v>
      </c>
      <c r="O6119">
        <v>-0.32398440000000001</v>
      </c>
      <c r="P6119">
        <v>0.98155429999999999</v>
      </c>
      <c r="Q6119">
        <v>2.6979329999999999E-2</v>
      </c>
      <c r="R6119">
        <v>-0.18927050000000001</v>
      </c>
      <c r="S6119">
        <v>3.1011959999999998</v>
      </c>
      <c r="T6119">
        <v>-7.6880219999999999E-2</v>
      </c>
      <c r="U6119">
        <v>0.19201660000000001</v>
      </c>
      <c r="V6119">
        <v>-0.1397921</v>
      </c>
      <c r="W6119">
        <v>3.930492E-2</v>
      </c>
      <c r="X6119">
        <v>0.98940039999999996</v>
      </c>
      <c r="Y6119">
        <v>-0.38165300000000002</v>
      </c>
      <c r="Z6119">
        <v>1.265814E-2</v>
      </c>
      <c r="AA6119">
        <v>0.92421900000000001</v>
      </c>
      <c r="AB6119">
        <v>24</v>
      </c>
      <c r="AC6119">
        <v>44.9754</v>
      </c>
      <c r="AD6119">
        <v>-1.1184229005669999</v>
      </c>
      <c r="AE6119">
        <v>2.8344399999999901</v>
      </c>
      <c r="AF6119">
        <v>-17.243919339401</v>
      </c>
      <c r="AG6119">
        <v>-1.1184229005669999</v>
      </c>
      <c r="AH6119">
        <v>41.604909217753502</v>
      </c>
      <c r="AI6119">
        <v>91.422561539327603</v>
      </c>
      <c r="AJ6119">
        <v>112.512460753643</v>
      </c>
      <c r="AK6119">
        <v>45.050772412754398</v>
      </c>
      <c r="AL6119">
        <v>87.747413562787003</v>
      </c>
      <c r="AM6119">
        <v>98.042072214719894</v>
      </c>
      <c r="AN6119">
        <v>0.99999992973938501</v>
      </c>
    </row>
    <row r="6120" spans="1:40" x14ac:dyDescent="0.25">
      <c r="A6120" t="str">
        <f>"20190312160455837"</f>
        <v>20190312160455837</v>
      </c>
      <c r="B6120" t="str">
        <f>"1552377895831122"</f>
        <v>1552377895831122</v>
      </c>
      <c r="C6120" t="s">
        <v>40</v>
      </c>
      <c r="D6120">
        <v>5.745279</v>
      </c>
      <c r="E6120">
        <v>0.40273379999999998</v>
      </c>
      <c r="F6120" t="s">
        <v>110</v>
      </c>
      <c r="G6120">
        <v>-364.45569999999998</v>
      </c>
      <c r="H6120" s="1">
        <v>-2.9849710000000001E-6</v>
      </c>
      <c r="I6120">
        <v>20.983260000000001</v>
      </c>
      <c r="J6120">
        <v>-407.39499999999998</v>
      </c>
      <c r="K6120">
        <v>1.118358</v>
      </c>
      <c r="L6120">
        <v>18.169339999999998</v>
      </c>
      <c r="M6120">
        <v>0.94824370000000002</v>
      </c>
      <c r="N6120">
        <v>0</v>
      </c>
      <c r="O6120">
        <v>-0.31717820000000002</v>
      </c>
      <c r="P6120">
        <v>0.98273469999999996</v>
      </c>
      <c r="Q6120">
        <v>2.7148289999999999E-2</v>
      </c>
      <c r="R6120">
        <v>-0.18301819999999999</v>
      </c>
      <c r="S6120">
        <v>3.0971069999999998</v>
      </c>
      <c r="T6120">
        <v>-8.0422880000000002E-2</v>
      </c>
      <c r="U6120">
        <v>0.199707</v>
      </c>
      <c r="V6120">
        <v>-0.13897579999999901</v>
      </c>
      <c r="W6120">
        <v>3.9498369999999998E-2</v>
      </c>
      <c r="X6120">
        <v>0.98950769999999999</v>
      </c>
      <c r="Y6120">
        <v>-0.37735089999999999</v>
      </c>
      <c r="Z6120">
        <v>1.3032719999999999E-2</v>
      </c>
      <c r="AA6120">
        <v>0.92597870000000004</v>
      </c>
      <c r="AB6120">
        <v>24</v>
      </c>
      <c r="AC6120">
        <v>42.939300000000003</v>
      </c>
      <c r="AD6120">
        <v>-1.1183609849709999</v>
      </c>
      <c r="AE6120">
        <v>2.81392</v>
      </c>
      <c r="AF6120">
        <v>-16.2785851118384</v>
      </c>
      <c r="AG6120">
        <v>-1.1183609849709999</v>
      </c>
      <c r="AH6120">
        <v>39.802140225938103</v>
      </c>
      <c r="AI6120">
        <v>91.489753780168996</v>
      </c>
      <c r="AJ6120">
        <v>112.24395696544801</v>
      </c>
      <c r="AK6120">
        <v>43.016897041759201</v>
      </c>
      <c r="AL6120">
        <v>87.736321105773499</v>
      </c>
      <c r="AM6120">
        <v>97.9948646988626</v>
      </c>
      <c r="AN6120">
        <v>0.99999994128879099</v>
      </c>
    </row>
    <row r="6121" spans="1:40" x14ac:dyDescent="0.25">
      <c r="A6121" t="str">
        <f>"20190312160455858"</f>
        <v>20190312160455858</v>
      </c>
      <c r="B6121" t="str">
        <f>"1552377895851617"</f>
        <v>1552377895851617</v>
      </c>
      <c r="C6121" t="s">
        <v>40</v>
      </c>
      <c r="D6121">
        <v>5.8193619999999999</v>
      </c>
      <c r="E6121">
        <v>0.40417579999999997</v>
      </c>
      <c r="F6121" t="s">
        <v>110</v>
      </c>
      <c r="G6121">
        <v>-363.04880000000003</v>
      </c>
      <c r="H6121" s="1">
        <v>-3.7283459999999999E-6</v>
      </c>
      <c r="I6121">
        <v>21.27759</v>
      </c>
      <c r="J6121">
        <v>-407.20729999999998</v>
      </c>
      <c r="K6121">
        <v>1.1182650000000001</v>
      </c>
      <c r="L6121">
        <v>18.118469999999999</v>
      </c>
      <c r="M6121">
        <v>0.95142059999999995</v>
      </c>
      <c r="N6121">
        <v>0</v>
      </c>
      <c r="O6121">
        <v>-0.30751879999999998</v>
      </c>
      <c r="P6121">
        <v>0.98423459999999996</v>
      </c>
      <c r="Q6121">
        <v>2.7099910000000001E-2</v>
      </c>
      <c r="R6121">
        <v>-0.17477999999999999</v>
      </c>
      <c r="S6121">
        <v>3.0952760000000001</v>
      </c>
      <c r="T6121">
        <v>-7.8059429999999999E-2</v>
      </c>
      <c r="U6121">
        <v>0.21694949999999999</v>
      </c>
      <c r="V6121">
        <v>-0.1371906</v>
      </c>
      <c r="W6121">
        <v>3.9497890000000001E-2</v>
      </c>
      <c r="X6121">
        <v>0.98975690000000005</v>
      </c>
      <c r="Y6121">
        <v>-0.37311749999999999</v>
      </c>
      <c r="Z6121">
        <v>1.2368489999999999E-2</v>
      </c>
      <c r="AA6121">
        <v>0.92770169999999996</v>
      </c>
      <c r="AB6121">
        <v>24</v>
      </c>
      <c r="AC6121">
        <v>44.158499999999897</v>
      </c>
      <c r="AD6121">
        <v>-1.118268728346</v>
      </c>
      <c r="AE6121">
        <v>3.1591199999999899</v>
      </c>
      <c r="AF6121">
        <v>-16.576560467200899</v>
      </c>
      <c r="AG6121">
        <v>-1.118268728346</v>
      </c>
      <c r="AH6121">
        <v>41.020386958405503</v>
      </c>
      <c r="AI6121">
        <v>91.447873157274202</v>
      </c>
      <c r="AJ6121">
        <v>112.0039003575</v>
      </c>
      <c r="AK6121">
        <v>44.257259608892298</v>
      </c>
      <c r="AL6121">
        <v>87.736348835964293</v>
      </c>
      <c r="AM6121">
        <v>97.891507854719407</v>
      </c>
      <c r="AN6121">
        <v>1.0000000325702101</v>
      </c>
    </row>
    <row r="6122" spans="1:40" x14ac:dyDescent="0.25">
      <c r="A6122" t="str">
        <f>"20190312160455870"</f>
        <v>20190312160455870</v>
      </c>
      <c r="B6122" t="str">
        <f>"1552377895861378"</f>
        <v>1552377895861378</v>
      </c>
      <c r="C6122" t="s">
        <v>40</v>
      </c>
      <c r="D6122">
        <v>5.798019</v>
      </c>
      <c r="E6122">
        <v>0.4047384</v>
      </c>
      <c r="F6122" t="s">
        <v>110</v>
      </c>
      <c r="G6122">
        <v>-363.02640000000002</v>
      </c>
      <c r="H6122" s="1">
        <v>-3.7795099999999998E-6</v>
      </c>
      <c r="I6122">
        <v>21.430099999999999</v>
      </c>
      <c r="J6122">
        <v>-407.06630000000001</v>
      </c>
      <c r="K6122">
        <v>1.1181950000000001</v>
      </c>
      <c r="L6122">
        <v>18.081420000000001</v>
      </c>
      <c r="M6122">
        <v>0.95372259999999998</v>
      </c>
      <c r="N6122">
        <v>0</v>
      </c>
      <c r="O6122">
        <v>-0.30030440000000003</v>
      </c>
      <c r="P6122">
        <v>0.9853461</v>
      </c>
      <c r="Q6122">
        <v>2.7199620000000001E-2</v>
      </c>
      <c r="R6122">
        <v>-0.1683846</v>
      </c>
      <c r="S6122">
        <v>3.0914000000000001</v>
      </c>
      <c r="T6122">
        <v>-7.8246830000000003E-2</v>
      </c>
      <c r="U6122">
        <v>0.23172000000000001</v>
      </c>
      <c r="V6122">
        <v>-0.13611609999999999</v>
      </c>
      <c r="W6122">
        <v>3.9627019999999999E-2</v>
      </c>
      <c r="X6122">
        <v>0.98990009999999995</v>
      </c>
      <c r="Y6122">
        <v>-0.37058200000000002</v>
      </c>
      <c r="Z6122">
        <v>1.2204420000000001E-2</v>
      </c>
      <c r="AA6122">
        <v>0.92871959999999998</v>
      </c>
      <c r="AB6122">
        <v>24</v>
      </c>
      <c r="AC6122">
        <v>44.039899999999903</v>
      </c>
      <c r="AD6122">
        <v>-1.1181987795099999</v>
      </c>
      <c r="AE6122">
        <v>3.3486799999999901</v>
      </c>
      <c r="AF6122">
        <v>-16.410461209982699</v>
      </c>
      <c r="AG6122">
        <v>-1.1181987795099999</v>
      </c>
      <c r="AH6122">
        <v>40.974685818463897</v>
      </c>
      <c r="AI6122">
        <v>91.451205311266094</v>
      </c>
      <c r="AJ6122">
        <v>111.82622163281</v>
      </c>
      <c r="AK6122">
        <v>44.152898925853997</v>
      </c>
      <c r="AL6122">
        <v>87.728944476448703</v>
      </c>
      <c r="AM6122">
        <v>97.829351239685295</v>
      </c>
      <c r="AN6122">
        <v>1.00000005068664</v>
      </c>
    </row>
    <row r="6123" spans="1:40" x14ac:dyDescent="0.25">
      <c r="A6123" t="str">
        <f>"20190312160455887"</f>
        <v>20190312160455887</v>
      </c>
      <c r="B6123" t="str">
        <f>"1552377895880898"</f>
        <v>1552377895880898</v>
      </c>
      <c r="C6123" t="s">
        <v>40</v>
      </c>
      <c r="D6123">
        <v>5.7599130000000001</v>
      </c>
      <c r="E6123">
        <v>0.41069070000000002</v>
      </c>
      <c r="F6123" t="s">
        <v>110</v>
      </c>
      <c r="G6123">
        <v>-361.59859999999998</v>
      </c>
      <c r="H6123" s="1">
        <v>-4.4873920000000002E-6</v>
      </c>
      <c r="I6123">
        <v>21.72353</v>
      </c>
      <c r="J6123">
        <v>-406.88600000000002</v>
      </c>
      <c r="K6123">
        <v>1.1181129999999999</v>
      </c>
      <c r="L6123">
        <v>18.035640000000001</v>
      </c>
      <c r="M6123">
        <v>0.95655670000000004</v>
      </c>
      <c r="N6123">
        <v>0</v>
      </c>
      <c r="O6123">
        <v>-0.2911514</v>
      </c>
      <c r="P6123">
        <v>0.98658389999999996</v>
      </c>
      <c r="Q6123">
        <v>2.769752E-2</v>
      </c>
      <c r="R6123">
        <v>-0.16088839999999999</v>
      </c>
      <c r="S6123">
        <v>3.088959</v>
      </c>
      <c r="T6123">
        <v>-7.5967670000000001E-2</v>
      </c>
      <c r="U6123">
        <v>0.2474365</v>
      </c>
      <c r="V6123">
        <v>-0.13415170000000001</v>
      </c>
      <c r="W6123">
        <v>4.0173979999999998E-2</v>
      </c>
      <c r="X6123">
        <v>0.99014619999999998</v>
      </c>
      <c r="Y6123">
        <v>-0.3664461</v>
      </c>
      <c r="Z6123">
        <v>1.1588599999999999E-2</v>
      </c>
      <c r="AA6123">
        <v>0.9303671</v>
      </c>
      <c r="AB6123">
        <v>24</v>
      </c>
      <c r="AC6123">
        <v>45.287399999999899</v>
      </c>
      <c r="AD6123">
        <v>-1.1181174873919999</v>
      </c>
      <c r="AE6123">
        <v>3.6878899999999999</v>
      </c>
      <c r="AF6123">
        <v>-16.7049736445266</v>
      </c>
      <c r="AG6123">
        <v>-1.1181174873919999</v>
      </c>
      <c r="AH6123">
        <v>42.2255240681991</v>
      </c>
      <c r="AI6123">
        <v>91.410498481203007</v>
      </c>
      <c r="AJ6123">
        <v>111.58440419386901</v>
      </c>
      <c r="AK6123">
        <v>45.4235755309289</v>
      </c>
      <c r="AL6123">
        <v>87.697581028849299</v>
      </c>
      <c r="AM6123">
        <v>97.715836077106403</v>
      </c>
      <c r="AN6123">
        <v>1.00000006232818</v>
      </c>
    </row>
    <row r="6124" spans="1:40" x14ac:dyDescent="0.25">
      <c r="A6124" t="str">
        <f>"20190312160455898"</f>
        <v>20190312160455898</v>
      </c>
      <c r="B6124" t="str">
        <f>"1552377895891635"</f>
        <v>1552377895891635</v>
      </c>
      <c r="C6124" t="s">
        <v>40</v>
      </c>
      <c r="D6124">
        <v>5.8072749999999997</v>
      </c>
      <c r="E6124">
        <v>0.41106300000000001</v>
      </c>
      <c r="F6124" t="s">
        <v>110</v>
      </c>
      <c r="G6124">
        <v>-366.42689999999999</v>
      </c>
      <c r="H6124" s="1">
        <v>-2.053327E-6</v>
      </c>
      <c r="I6124">
        <v>20.983920000000001</v>
      </c>
      <c r="J6124">
        <v>-406.77199999999999</v>
      </c>
      <c r="K6124">
        <v>1.1180600000000001</v>
      </c>
      <c r="L6124">
        <v>18.007929999999899</v>
      </c>
      <c r="M6124">
        <v>0.95828239999999998</v>
      </c>
      <c r="N6124">
        <v>0</v>
      </c>
      <c r="O6124">
        <v>-0.28542139999999999</v>
      </c>
      <c r="P6124">
        <v>0.98735550000000005</v>
      </c>
      <c r="Q6124">
        <v>2.8171769999999999E-2</v>
      </c>
      <c r="R6124">
        <v>-0.155999</v>
      </c>
      <c r="S6124">
        <v>3.0798030000000001</v>
      </c>
      <c r="T6124">
        <v>-8.5112569999999999E-2</v>
      </c>
      <c r="U6124">
        <v>0.2244263</v>
      </c>
      <c r="V6124">
        <v>-0.13312959999999999</v>
      </c>
      <c r="W6124">
        <v>4.0673300000000003E-2</v>
      </c>
      <c r="X6124">
        <v>0.99026369999999997</v>
      </c>
      <c r="Y6124">
        <v>-0.35411110000000001</v>
      </c>
      <c r="Z6124">
        <v>1.26993E-2</v>
      </c>
      <c r="AA6124">
        <v>0.93511710000000003</v>
      </c>
      <c r="AB6124">
        <v>24</v>
      </c>
      <c r="AC6124">
        <v>40.345100000000002</v>
      </c>
      <c r="AD6124">
        <v>-1.118062053327</v>
      </c>
      <c r="AE6124">
        <v>2.9759899999999999</v>
      </c>
      <c r="AF6124">
        <v>-14.3578755436963</v>
      </c>
      <c r="AG6124">
        <v>-1.118062053327</v>
      </c>
      <c r="AH6124">
        <v>37.7880636765506</v>
      </c>
      <c r="AI6124">
        <v>91.5843106165309</v>
      </c>
      <c r="AJ6124">
        <v>110.804686142306</v>
      </c>
      <c r="AK6124">
        <v>40.439292888308501</v>
      </c>
      <c r="AL6124">
        <v>87.668948556958796</v>
      </c>
      <c r="AM6124">
        <v>97.6568515807772</v>
      </c>
      <c r="AN6124">
        <v>1.0000000016333599</v>
      </c>
    </row>
    <row r="6125" spans="1:40" x14ac:dyDescent="0.25">
      <c r="A6125" t="str">
        <f>"20190312160455910"</f>
        <v>20190312160455910</v>
      </c>
      <c r="B6125" t="str">
        <f>"1552377895901394"</f>
        <v>1552377895901394</v>
      </c>
      <c r="C6125" t="s">
        <v>40</v>
      </c>
      <c r="D6125">
        <v>5.7877830000000001</v>
      </c>
      <c r="E6125">
        <v>0.4116322</v>
      </c>
      <c r="F6125" t="s">
        <v>110</v>
      </c>
      <c r="G6125">
        <v>-365.91640000000001</v>
      </c>
      <c r="H6125" s="1">
        <v>-2.3392099999999998E-6</v>
      </c>
      <c r="I6125">
        <v>21.151420000000002</v>
      </c>
      <c r="J6125">
        <v>-406.65949999999998</v>
      </c>
      <c r="K6125">
        <v>1.118001</v>
      </c>
      <c r="L6125">
        <v>17.980869999999999</v>
      </c>
      <c r="M6125">
        <v>0.95994699999999999</v>
      </c>
      <c r="N6125">
        <v>0</v>
      </c>
      <c r="O6125">
        <v>-0.27977259999999998</v>
      </c>
      <c r="P6125">
        <v>0.98813949999999995</v>
      </c>
      <c r="Q6125">
        <v>2.8734349999999999E-2</v>
      </c>
      <c r="R6125">
        <v>-0.15084829999999999</v>
      </c>
      <c r="S6125">
        <v>3.0782780000000001</v>
      </c>
      <c r="T6125">
        <v>-8.4240789999999996E-2</v>
      </c>
      <c r="U6125">
        <v>0.2368469</v>
      </c>
      <c r="V6125">
        <v>-0.13246159999999901</v>
      </c>
      <c r="W6125">
        <v>4.1253600000000001E-2</v>
      </c>
      <c r="X6125">
        <v>0.99032929999999997</v>
      </c>
      <c r="Y6125">
        <v>-0.35239619999999999</v>
      </c>
      <c r="Z6125">
        <v>1.240107E-2</v>
      </c>
      <c r="AA6125">
        <v>0.93576879999999996</v>
      </c>
      <c r="AB6125">
        <v>24</v>
      </c>
      <c r="AC6125">
        <v>40.743099999999899</v>
      </c>
      <c r="AD6125">
        <v>-1.1180033392099999</v>
      </c>
      <c r="AE6125">
        <v>3.17055</v>
      </c>
      <c r="AF6125">
        <v>-14.4332148998582</v>
      </c>
      <c r="AG6125">
        <v>-1.1180033392099999</v>
      </c>
      <c r="AH6125">
        <v>38.199971640383303</v>
      </c>
      <c r="AI6125">
        <v>91.568256537460499</v>
      </c>
      <c r="AJ6125">
        <v>110.698226107935</v>
      </c>
      <c r="AK6125">
        <v>40.8510153746276</v>
      </c>
      <c r="AL6125">
        <v>87.635671948833206</v>
      </c>
      <c r="AM6125">
        <v>97.6183857109352</v>
      </c>
      <c r="AN6125">
        <v>1.000000028713</v>
      </c>
    </row>
    <row r="6126" spans="1:40" x14ac:dyDescent="0.25">
      <c r="A6126" t="str">
        <f>"20190312160455921"</f>
        <v>20190312160455921</v>
      </c>
      <c r="B6126" t="str">
        <f>"1552377895911154"</f>
        <v>1552377895911154</v>
      </c>
      <c r="C6126" t="s">
        <v>40</v>
      </c>
      <c r="D6126">
        <v>5.7598849999999997</v>
      </c>
      <c r="E6126">
        <v>0.4116322</v>
      </c>
      <c r="F6126" t="s">
        <v>110</v>
      </c>
      <c r="G6126">
        <v>-365.21940000000001</v>
      </c>
      <c r="H6126" s="1">
        <v>-2.715475E-6</v>
      </c>
      <c r="I6126">
        <v>21.32715</v>
      </c>
      <c r="J6126">
        <v>-406.54090000000002</v>
      </c>
      <c r="K6126">
        <v>1.117947</v>
      </c>
      <c r="L6126">
        <v>17.953309999999998</v>
      </c>
      <c r="M6126">
        <v>0.96164850000000002</v>
      </c>
      <c r="N6126">
        <v>0</v>
      </c>
      <c r="O6126">
        <v>-0.27386719999999998</v>
      </c>
      <c r="P6126">
        <v>0.98891830000000003</v>
      </c>
      <c r="Q6126">
        <v>2.916593E-2</v>
      </c>
      <c r="R6126">
        <v>-0.14556720000000001</v>
      </c>
      <c r="S6126">
        <v>3.0763240000000001</v>
      </c>
      <c r="T6126">
        <v>-8.2995529999999998E-2</v>
      </c>
      <c r="U6126">
        <v>0.2484131</v>
      </c>
      <c r="V6126">
        <v>-0.13166340000000001</v>
      </c>
      <c r="W6126">
        <v>4.17043E-2</v>
      </c>
      <c r="X6126">
        <v>0.99041679999999999</v>
      </c>
      <c r="Y6126">
        <v>-0.35019489999999998</v>
      </c>
      <c r="Z6126">
        <v>1.204006E-2</v>
      </c>
      <c r="AA6126">
        <v>0.93659950000000003</v>
      </c>
      <c r="AB6126">
        <v>24</v>
      </c>
      <c r="AC6126">
        <v>41.3215</v>
      </c>
      <c r="AD6126">
        <v>-1.117949715475</v>
      </c>
      <c r="AE6126">
        <v>3.3738399999999902</v>
      </c>
      <c r="AF6126">
        <v>-14.5521374516491</v>
      </c>
      <c r="AG6126">
        <v>-1.117949715475</v>
      </c>
      <c r="AH6126">
        <v>38.7890133247001</v>
      </c>
      <c r="AI6126">
        <v>91.545739509405706</v>
      </c>
      <c r="AJ6126">
        <v>110.56414821708501</v>
      </c>
      <c r="AK6126">
        <v>41.443963018536103</v>
      </c>
      <c r="AL6126">
        <v>87.609826354674695</v>
      </c>
      <c r="AM6126">
        <v>97.572351204238501</v>
      </c>
      <c r="AN6126">
        <v>0.99999996863014395</v>
      </c>
    </row>
    <row r="6127" spans="1:40" x14ac:dyDescent="0.25">
      <c r="A6127" t="str">
        <f>"20190312160455934"</f>
        <v>20190312160455934</v>
      </c>
      <c r="B6127" t="str">
        <f>"1552377895920914"</f>
        <v>1552377895920914</v>
      </c>
      <c r="C6127" t="s">
        <v>40</v>
      </c>
      <c r="D6127">
        <v>5.7248130000000002</v>
      </c>
      <c r="E6127">
        <v>0.41631259999999998</v>
      </c>
      <c r="F6127" t="s">
        <v>110</v>
      </c>
      <c r="G6127">
        <v>-364.33479999999997</v>
      </c>
      <c r="H6127" s="1">
        <v>-3.2034410000000002E-6</v>
      </c>
      <c r="I6127">
        <v>21.58954</v>
      </c>
      <c r="J6127">
        <v>-406.42110000000002</v>
      </c>
      <c r="K6127">
        <v>1.1178920000000001</v>
      </c>
      <c r="L6127">
        <v>17.92615</v>
      </c>
      <c r="M6127">
        <v>0.96331979999999995</v>
      </c>
      <c r="N6127">
        <v>0</v>
      </c>
      <c r="O6127">
        <v>-0.26793050000000002</v>
      </c>
      <c r="P6127">
        <v>0.98965879999999995</v>
      </c>
      <c r="Q6127">
        <v>2.957661E-2</v>
      </c>
      <c r="R6127">
        <v>-0.14035919999999999</v>
      </c>
      <c r="S6127">
        <v>3.0749819999999999</v>
      </c>
      <c r="T6127">
        <v>-8.1449750000000001E-2</v>
      </c>
      <c r="U6127">
        <v>0.26492310000000002</v>
      </c>
      <c r="V6127">
        <v>-0.13076599999999999</v>
      </c>
      <c r="W6127">
        <v>4.2136420000000001E-2</v>
      </c>
      <c r="X6127">
        <v>0.99051739999999999</v>
      </c>
      <c r="Y6127">
        <v>-0.34945510000000002</v>
      </c>
      <c r="Z6127">
        <v>1.1656700000000001E-2</v>
      </c>
      <c r="AA6127">
        <v>0.93688059999999995</v>
      </c>
      <c r="AB6127">
        <v>24</v>
      </c>
      <c r="AC6127">
        <v>42.086300000000001</v>
      </c>
      <c r="AD6127">
        <v>-1.1178952034409999</v>
      </c>
      <c r="AE6127">
        <v>3.6633900000000001</v>
      </c>
      <c r="AF6127">
        <v>-14.796548133273401</v>
      </c>
      <c r="AG6127">
        <v>-1.1178952034409999</v>
      </c>
      <c r="AH6127">
        <v>39.537861357474398</v>
      </c>
      <c r="AI6127">
        <v>91.516863228478996</v>
      </c>
      <c r="AJ6127">
        <v>110.517730916765</v>
      </c>
      <c r="AK6127">
        <v>42.230676137957097</v>
      </c>
      <c r="AL6127">
        <v>87.585045926914205</v>
      </c>
      <c r="AM6127">
        <v>97.520576814841405</v>
      </c>
      <c r="AN6127">
        <v>0.99999997217458703</v>
      </c>
    </row>
    <row r="6128" spans="1:40" x14ac:dyDescent="0.25">
      <c r="A6128" t="str">
        <f>"20190312160455954"</f>
        <v>20190312160455954</v>
      </c>
      <c r="B6128" t="str">
        <f>"1552377895941410"</f>
        <v>1552377895941410</v>
      </c>
      <c r="C6128" t="s">
        <v>40</v>
      </c>
      <c r="D6128">
        <v>5.8054940000000004</v>
      </c>
      <c r="E6128">
        <v>0.41702689999999998</v>
      </c>
      <c r="F6128" t="s">
        <v>110</v>
      </c>
      <c r="G6128">
        <v>-367.43860000000001</v>
      </c>
      <c r="H6128" s="1">
        <v>-1.5876339999999999E-6</v>
      </c>
      <c r="I6128">
        <v>21.031020000000002</v>
      </c>
      <c r="J6128">
        <v>-406.20920000000001</v>
      </c>
      <c r="K6128">
        <v>1.117794</v>
      </c>
      <c r="L6128">
        <v>17.87988</v>
      </c>
      <c r="M6128">
        <v>0.96615450000000003</v>
      </c>
      <c r="N6128">
        <v>0</v>
      </c>
      <c r="O6128">
        <v>-0.25752320000000001</v>
      </c>
      <c r="P6128">
        <v>0.9908981</v>
      </c>
      <c r="Q6128">
        <v>2.987157E-2</v>
      </c>
      <c r="R6128">
        <v>-0.1312593</v>
      </c>
      <c r="S6128">
        <v>3.068695</v>
      </c>
      <c r="T6128">
        <v>-8.8000300000000004E-2</v>
      </c>
      <c r="U6128">
        <v>0.2444153</v>
      </c>
      <c r="V6128">
        <v>-0.1291737</v>
      </c>
      <c r="W6128">
        <v>4.2468949999999998E-2</v>
      </c>
      <c r="X6128">
        <v>0.99071220000000004</v>
      </c>
      <c r="Y6128">
        <v>-0.33321669999999998</v>
      </c>
      <c r="Z6128">
        <v>1.209756E-2</v>
      </c>
      <c r="AA6128">
        <v>0.94277270000000002</v>
      </c>
      <c r="AB6128">
        <v>24</v>
      </c>
      <c r="AC6128">
        <v>38.770600000000002</v>
      </c>
      <c r="AD6128">
        <v>-1.117795587634</v>
      </c>
      <c r="AE6128">
        <v>3.1511399999999998</v>
      </c>
      <c r="AF6128">
        <v>-13.0195467594167</v>
      </c>
      <c r="AG6128">
        <v>-1.117795587634</v>
      </c>
      <c r="AH6128">
        <v>36.6208228718085</v>
      </c>
      <c r="AI6128">
        <v>91.647371521101505</v>
      </c>
      <c r="AJ6128">
        <v>109.571472570327</v>
      </c>
      <c r="AK6128">
        <v>38.882421897365703</v>
      </c>
      <c r="AL6128">
        <v>87.565976503922201</v>
      </c>
      <c r="AM6128">
        <v>97.428585695791</v>
      </c>
      <c r="AN6128">
        <v>1.00000005985731</v>
      </c>
    </row>
    <row r="6129" spans="1:40" x14ac:dyDescent="0.25">
      <c r="A6129" t="str">
        <f>"20190312160455965"</f>
        <v>20190312160455965</v>
      </c>
      <c r="B6129" t="str">
        <f>"1552377895960930"</f>
        <v>1552377895960930</v>
      </c>
      <c r="C6129" t="s">
        <v>40</v>
      </c>
      <c r="D6129">
        <v>5.759042</v>
      </c>
      <c r="E6129">
        <v>0.4155008</v>
      </c>
      <c r="F6129" t="s">
        <v>110</v>
      </c>
      <c r="G6129">
        <v>-367.35309999999998</v>
      </c>
      <c r="H6129" s="1">
        <v>-1.6903430000000001E-6</v>
      </c>
      <c r="I6129">
        <v>21.2652</v>
      </c>
      <c r="J6129">
        <v>-406.09800000000001</v>
      </c>
      <c r="K6129">
        <v>1.1177379999999999</v>
      </c>
      <c r="L6129">
        <v>17.856379999999898</v>
      </c>
      <c r="M6129">
        <v>0.96758339999999998</v>
      </c>
      <c r="N6129">
        <v>0</v>
      </c>
      <c r="O6129">
        <v>-0.25210169999999998</v>
      </c>
      <c r="P6129">
        <v>0.99151049999999996</v>
      </c>
      <c r="Q6129">
        <v>3.025854E-2</v>
      </c>
      <c r="R6129">
        <v>-0.12645780000000001</v>
      </c>
      <c r="S6129">
        <v>3.0656129999999999</v>
      </c>
      <c r="T6129">
        <v>-8.8190320000000003E-2</v>
      </c>
      <c r="U6129">
        <v>0.26708979999999999</v>
      </c>
      <c r="V6129">
        <v>-0.12841559999999999</v>
      </c>
      <c r="W6129">
        <v>4.2873889999999998E-2</v>
      </c>
      <c r="X6129">
        <v>0.99079320000000004</v>
      </c>
      <c r="Y6129">
        <v>-0.3349298</v>
      </c>
      <c r="Z6129">
        <v>1.200596E-2</v>
      </c>
      <c r="AA6129">
        <v>0.94216659999999997</v>
      </c>
      <c r="AB6129">
        <v>24</v>
      </c>
      <c r="AC6129">
        <v>38.744900000000001</v>
      </c>
      <c r="AD6129">
        <v>-1.1177396903429999</v>
      </c>
      <c r="AE6129">
        <v>3.40882</v>
      </c>
      <c r="AF6129">
        <v>-13.056673764645501</v>
      </c>
      <c r="AG6129">
        <v>-1.1177396903429999</v>
      </c>
      <c r="AH6129">
        <v>36.6034835486197</v>
      </c>
      <c r="AI6129">
        <v>91.647453527685201</v>
      </c>
      <c r="AJ6129">
        <v>109.631610655237</v>
      </c>
      <c r="AK6129">
        <v>38.878542664377598</v>
      </c>
      <c r="AL6129">
        <v>87.542753732480605</v>
      </c>
      <c r="AM6129">
        <v>97.384874102025194</v>
      </c>
      <c r="AN6129">
        <v>0.99999995096666405</v>
      </c>
    </row>
    <row r="6130" spans="1:40" x14ac:dyDescent="0.25">
      <c r="A6130" t="str">
        <f>"20190312160455976"</f>
        <v>20190312160455976</v>
      </c>
      <c r="B6130" t="str">
        <f>"1552377895971666"</f>
        <v>1552377895971666</v>
      </c>
      <c r="C6130" t="s">
        <v>40</v>
      </c>
      <c r="D6130">
        <v>5.7952890000000004</v>
      </c>
      <c r="E6130">
        <v>0.41622290000000001</v>
      </c>
      <c r="F6130" t="s">
        <v>43</v>
      </c>
      <c r="G6130">
        <v>-290.6173</v>
      </c>
      <c r="H6130">
        <v>-0.05</v>
      </c>
      <c r="I6130">
        <v>28.881119999999999</v>
      </c>
      <c r="J6130">
        <v>-405.97949999999997</v>
      </c>
      <c r="K6130">
        <v>1.11768</v>
      </c>
      <c r="L6130">
        <v>17.832279999999901</v>
      </c>
      <c r="M6130">
        <v>0.96905640000000004</v>
      </c>
      <c r="N6130">
        <v>0</v>
      </c>
      <c r="O6130">
        <v>-0.24638009999999999</v>
      </c>
      <c r="P6130">
        <v>0.99216000000000004</v>
      </c>
      <c r="Q6130">
        <v>3.0110089999999999E-2</v>
      </c>
      <c r="R6130">
        <v>-0.12129280000000001</v>
      </c>
      <c r="S6130">
        <v>3.063965</v>
      </c>
      <c r="T6130">
        <v>-3.098273E-2</v>
      </c>
      <c r="U6130">
        <v>0.29251100000000002</v>
      </c>
      <c r="V6130">
        <v>-0.1277114</v>
      </c>
      <c r="W6130">
        <v>4.2742410000000002E-2</v>
      </c>
      <c r="X6130">
        <v>0.99089000000000005</v>
      </c>
      <c r="Y6130">
        <v>-0.33736899999999997</v>
      </c>
      <c r="Z6130">
        <v>4.1756500000000004E-3</v>
      </c>
      <c r="AA6130">
        <v>0.94136319999999996</v>
      </c>
      <c r="AB6130">
        <v>24</v>
      </c>
      <c r="AC6130">
        <v>115.36219999999901</v>
      </c>
      <c r="AD6130">
        <v>-1.1676799999999901</v>
      </c>
      <c r="AE6130">
        <v>11.04884</v>
      </c>
      <c r="AF6130">
        <v>-39.130359937004101</v>
      </c>
      <c r="AG6130">
        <v>-1.1676799999999901</v>
      </c>
      <c r="AH6130">
        <v>109.071547377988</v>
      </c>
      <c r="AI6130">
        <v>90.577337204460804</v>
      </c>
      <c r="AJ6130">
        <v>109.73588694001199</v>
      </c>
      <c r="AK6130">
        <v>115.884213734273</v>
      </c>
      <c r="AL6130">
        <v>87.550294145752702</v>
      </c>
      <c r="AM6130">
        <v>97.344110961133296</v>
      </c>
      <c r="AN6130">
        <v>1.0000000537012801</v>
      </c>
    </row>
    <row r="6131" spans="1:40" x14ac:dyDescent="0.25">
      <c r="A6131" t="str">
        <f>"20190312160455990"</f>
        <v>20190312160455990</v>
      </c>
      <c r="B6131" t="str">
        <f>"1552377895981429"</f>
        <v>1552377895981429</v>
      </c>
      <c r="C6131" t="s">
        <v>40</v>
      </c>
      <c r="D6131">
        <v>5.8293710000000001</v>
      </c>
      <c r="E6131">
        <v>0.4170682</v>
      </c>
      <c r="F6131" t="s">
        <v>43</v>
      </c>
      <c r="G6131">
        <v>-300.84309999999999</v>
      </c>
      <c r="H6131">
        <v>-0.05</v>
      </c>
      <c r="I6131">
        <v>28.233049999999999</v>
      </c>
      <c r="J6131">
        <v>-405.84449999999998</v>
      </c>
      <c r="K6131">
        <v>1.117607</v>
      </c>
      <c r="L6131">
        <v>17.805329999999898</v>
      </c>
      <c r="M6131">
        <v>0.97068500000000002</v>
      </c>
      <c r="N6131">
        <v>0</v>
      </c>
      <c r="O6131">
        <v>-0.23988509999999999</v>
      </c>
      <c r="P6131">
        <v>0.99289019999999995</v>
      </c>
      <c r="Q6131">
        <v>2.9892419999999999E-2</v>
      </c>
      <c r="R6131">
        <v>-0.1152204</v>
      </c>
      <c r="S6131">
        <v>3.0617369999999999</v>
      </c>
      <c r="T6131">
        <v>-3.4004689999999997E-2</v>
      </c>
      <c r="U6131">
        <v>0.30288700000000002</v>
      </c>
      <c r="V6131">
        <v>-0.12712799999999999</v>
      </c>
      <c r="W6131">
        <v>4.2539939999999998E-2</v>
      </c>
      <c r="X6131">
        <v>0.99097369999999996</v>
      </c>
      <c r="Y6131">
        <v>-0.33428259999999899</v>
      </c>
      <c r="Z6131">
        <v>4.4979460000000001E-3</v>
      </c>
      <c r="AA6131">
        <v>0.94246209999999997</v>
      </c>
      <c r="AB6131">
        <v>24</v>
      </c>
      <c r="AC6131">
        <v>105.0014</v>
      </c>
      <c r="AD6131">
        <v>-1.1676070000000001</v>
      </c>
      <c r="AE6131">
        <v>10.4277199999999</v>
      </c>
      <c r="AF6131">
        <v>-35.309965870765097</v>
      </c>
      <c r="AG6131">
        <v>-1.1676070000000001</v>
      </c>
      <c r="AH6131">
        <v>99.420880830231397</v>
      </c>
      <c r="AI6131">
        <v>90.634057358904997</v>
      </c>
      <c r="AJ6131">
        <v>109.55282198922799</v>
      </c>
      <c r="AK6131">
        <v>105.511461656827</v>
      </c>
      <c r="AL6131">
        <v>87.561905311336105</v>
      </c>
      <c r="AM6131">
        <v>97.310315207988907</v>
      </c>
      <c r="AN6131">
        <v>1.0000000244854399</v>
      </c>
    </row>
    <row r="6132" spans="1:40" x14ac:dyDescent="0.25">
      <c r="A6132" t="str">
        <f>"20190312160456003"</f>
        <v>20190312160456003</v>
      </c>
      <c r="B6132" t="str">
        <f>"1552377895991186"</f>
        <v>1552377895991186</v>
      </c>
      <c r="C6132" t="s">
        <v>40</v>
      </c>
      <c r="D6132">
        <v>5.8007419999999996</v>
      </c>
      <c r="E6132">
        <v>0.41714889999999999</v>
      </c>
      <c r="F6132" t="s">
        <v>43</v>
      </c>
      <c r="G6132">
        <v>-308.57440000000003</v>
      </c>
      <c r="H6132">
        <v>-0.05</v>
      </c>
      <c r="I6132">
        <v>27.820440000000001</v>
      </c>
      <c r="J6132">
        <v>-405.70600000000002</v>
      </c>
      <c r="K6132">
        <v>1.1175269999999999</v>
      </c>
      <c r="L6132">
        <v>17.778839999999999</v>
      </c>
      <c r="M6132">
        <v>0.97228970000000003</v>
      </c>
      <c r="N6132">
        <v>0</v>
      </c>
      <c r="O6132">
        <v>-0.2332967</v>
      </c>
      <c r="P6132">
        <v>0.99360099999999996</v>
      </c>
      <c r="Q6132">
        <v>2.9510829999999998E-2</v>
      </c>
      <c r="R6132">
        <v>-0.1090232</v>
      </c>
      <c r="S6132">
        <v>3.059113</v>
      </c>
      <c r="T6132">
        <v>-3.6720870000000003E-2</v>
      </c>
      <c r="U6132">
        <v>0.31497190000000003</v>
      </c>
      <c r="V6132">
        <v>-0.1265771</v>
      </c>
      <c r="W6132">
        <v>4.2173570000000001E-2</v>
      </c>
      <c r="X6132">
        <v>0.99105980000000005</v>
      </c>
      <c r="Y6132">
        <v>-0.33164919999999998</v>
      </c>
      <c r="Z6132">
        <v>4.7673430000000003E-3</v>
      </c>
      <c r="AA6132">
        <v>0.94339070000000003</v>
      </c>
      <c r="AB6132">
        <v>24</v>
      </c>
      <c r="AC6132">
        <v>97.131599999999906</v>
      </c>
      <c r="AD6132">
        <v>-1.167527</v>
      </c>
      <c r="AE6132">
        <v>10.041600000000001</v>
      </c>
      <c r="AF6132">
        <v>-32.422845632636097</v>
      </c>
      <c r="AG6132">
        <v>-1.167527</v>
      </c>
      <c r="AH6132">
        <v>92.0945974316014</v>
      </c>
      <c r="AI6132">
        <v>90.685112529303893</v>
      </c>
      <c r="AJ6132">
        <v>109.395139198102</v>
      </c>
      <c r="AK6132">
        <v>97.642300844983197</v>
      </c>
      <c r="AL6132">
        <v>87.582915440546202</v>
      </c>
      <c r="AM6132">
        <v>97.278351378099899</v>
      </c>
      <c r="AN6132">
        <v>0.99999994971349604</v>
      </c>
    </row>
    <row r="6133" spans="1:40" x14ac:dyDescent="0.25">
      <c r="A6133" t="str">
        <f>"20190312160456016"</f>
        <v>20190312160456016</v>
      </c>
      <c r="B6133" t="str">
        <f>"1552377896011682"</f>
        <v>1552377896011682</v>
      </c>
      <c r="C6133" t="s">
        <v>40</v>
      </c>
      <c r="D6133">
        <v>5.8529400000000003</v>
      </c>
      <c r="E6133">
        <v>0.41884900000000003</v>
      </c>
      <c r="F6133" t="s">
        <v>43</v>
      </c>
      <c r="G6133">
        <v>-292.55860000000001</v>
      </c>
      <c r="H6133">
        <v>-0.05</v>
      </c>
      <c r="I6133">
        <v>30.116440000000001</v>
      </c>
      <c r="J6133">
        <v>-405.57580000000002</v>
      </c>
      <c r="K6133">
        <v>1.117443</v>
      </c>
      <c r="L6133">
        <v>17.754760000000001</v>
      </c>
      <c r="M6133">
        <v>0.97374240000000001</v>
      </c>
      <c r="N6133">
        <v>0</v>
      </c>
      <c r="O6133">
        <v>-0.22715850000000001</v>
      </c>
      <c r="P6133">
        <v>0.99422239999999995</v>
      </c>
      <c r="Q6133">
        <v>2.91223E-2</v>
      </c>
      <c r="R6133">
        <v>-0.10331369999999999</v>
      </c>
      <c r="S6133">
        <v>3.0567929999999999</v>
      </c>
      <c r="T6133">
        <v>-3.1541939999999997E-2</v>
      </c>
      <c r="U6133">
        <v>0.33331300000000003</v>
      </c>
      <c r="V6133">
        <v>-0.1260058</v>
      </c>
      <c r="W6133">
        <v>4.1800070000000002E-2</v>
      </c>
      <c r="X6133">
        <v>0.99114849999999999</v>
      </c>
      <c r="Y6133">
        <v>-0.33137919999999998</v>
      </c>
      <c r="Z6133">
        <v>4.0336139999999996E-3</v>
      </c>
      <c r="AA6133">
        <v>0.94348909999999997</v>
      </c>
      <c r="AB6133">
        <v>24</v>
      </c>
      <c r="AC6133">
        <v>113.0172</v>
      </c>
      <c r="AD6133">
        <v>-1.167443</v>
      </c>
      <c r="AE6133">
        <v>12.36168</v>
      </c>
      <c r="AF6133">
        <v>-37.710171754544703</v>
      </c>
      <c r="AG6133">
        <v>-1.167443</v>
      </c>
      <c r="AH6133">
        <v>107.242324477137</v>
      </c>
      <c r="AI6133">
        <v>90.588385320251007</v>
      </c>
      <c r="AJ6133">
        <v>109.37346703583199</v>
      </c>
      <c r="AK6133">
        <v>113.685250301766</v>
      </c>
      <c r="AL6133">
        <v>87.604334491610203</v>
      </c>
      <c r="AM6133">
        <v>97.245209227742805</v>
      </c>
      <c r="AN6133">
        <v>1.0000000282689401</v>
      </c>
    </row>
    <row r="6134" spans="1:40" x14ac:dyDescent="0.25">
      <c r="A6134" t="str">
        <f>"20190312160456035"</f>
        <v>20190312160456035</v>
      </c>
      <c r="B6134" t="str">
        <f>"1552377896031202"</f>
        <v>1552377896031202</v>
      </c>
      <c r="C6134" t="s">
        <v>40</v>
      </c>
      <c r="D6134">
        <v>5.7710160000000004</v>
      </c>
      <c r="E6134">
        <v>0.41933589999999998</v>
      </c>
      <c r="F6134" t="s">
        <v>43</v>
      </c>
      <c r="G6134">
        <v>-283.65809999999999</v>
      </c>
      <c r="H6134">
        <v>-0.05</v>
      </c>
      <c r="I6134">
        <v>31.224419999999999</v>
      </c>
      <c r="J6134">
        <v>-405.39389999999997</v>
      </c>
      <c r="K6134">
        <v>1.117327</v>
      </c>
      <c r="L6134">
        <v>17.722290000000001</v>
      </c>
      <c r="M6134">
        <v>0.97568480000000002</v>
      </c>
      <c r="N6134">
        <v>0</v>
      </c>
      <c r="O6134">
        <v>-0.21866759999999999</v>
      </c>
      <c r="P6134">
        <v>0.99497310000000005</v>
      </c>
      <c r="Q6134">
        <v>2.8809120000000001E-2</v>
      </c>
      <c r="R6134">
        <v>-9.5909980000000006E-2</v>
      </c>
      <c r="S6134">
        <v>3.053375</v>
      </c>
      <c r="T6134">
        <v>-2.92381E-2</v>
      </c>
      <c r="U6134">
        <v>0.33734130000000001</v>
      </c>
      <c r="V6134">
        <v>-0.12473389999999999</v>
      </c>
      <c r="W6134">
        <v>4.1518029999999997E-2</v>
      </c>
      <c r="X6134">
        <v>0.99132120000000001</v>
      </c>
      <c r="Y6134">
        <v>-0.32449990000000001</v>
      </c>
      <c r="Z6134">
        <v>3.6301620000000001E-3</v>
      </c>
      <c r="AA6134">
        <v>0.94587869999999996</v>
      </c>
      <c r="AB6134">
        <v>24</v>
      </c>
      <c r="AC6134">
        <v>121.735799999999</v>
      </c>
      <c r="AD6134">
        <v>-1.167327</v>
      </c>
      <c r="AE6134">
        <v>13.502129999999999</v>
      </c>
      <c r="AF6134">
        <v>-39.794334322932201</v>
      </c>
      <c r="AG6134">
        <v>-1.167327</v>
      </c>
      <c r="AH6134">
        <v>115.825724856759</v>
      </c>
      <c r="AI6134">
        <v>90.5460949290635</v>
      </c>
      <c r="AJ6134">
        <v>108.961223763763</v>
      </c>
      <c r="AK6134">
        <v>122.476733444046</v>
      </c>
      <c r="AL6134">
        <v>87.620508183121103</v>
      </c>
      <c r="AM6134">
        <v>97.1716051922768</v>
      </c>
      <c r="AN6134">
        <v>1.00000000709686</v>
      </c>
    </row>
    <row r="6135" spans="1:40" x14ac:dyDescent="0.25">
      <c r="A6135" t="str">
        <f>"20190312160456047"</f>
        <v>20190312160456047</v>
      </c>
      <c r="B6135" t="str">
        <f>"1552377896041938"</f>
        <v>1552377896041938</v>
      </c>
      <c r="C6135" t="s">
        <v>40</v>
      </c>
      <c r="D6135">
        <v>5.7757959999999997</v>
      </c>
      <c r="E6135">
        <v>0.4275293</v>
      </c>
      <c r="F6135" t="s">
        <v>43</v>
      </c>
      <c r="G6135">
        <v>-275.04419999999999</v>
      </c>
      <c r="H6135">
        <v>-0.05</v>
      </c>
      <c r="I6135">
        <v>32.94923</v>
      </c>
      <c r="J6135">
        <v>-405.25299999999999</v>
      </c>
      <c r="K6135">
        <v>1.1172359999999999</v>
      </c>
      <c r="L6135">
        <v>17.698029999999999</v>
      </c>
      <c r="M6135">
        <v>0.97712189999999999</v>
      </c>
      <c r="N6135">
        <v>0</v>
      </c>
      <c r="O6135">
        <v>-0.21215510000000001</v>
      </c>
      <c r="P6135">
        <v>0.99553780000000003</v>
      </c>
      <c r="Q6135">
        <v>2.8465190000000001E-2</v>
      </c>
      <c r="R6135">
        <v>-8.9969590000000002E-2</v>
      </c>
      <c r="S6135">
        <v>3.0502929999999999</v>
      </c>
      <c r="T6135">
        <v>-2.7316449999999999E-2</v>
      </c>
      <c r="U6135">
        <v>0.35632320000000001</v>
      </c>
      <c r="V6135">
        <v>-0.1240246</v>
      </c>
      <c r="W6135">
        <v>4.1192619999999999E-2</v>
      </c>
      <c r="X6135">
        <v>0.99142370000000002</v>
      </c>
      <c r="Y6135">
        <v>-0.3241097</v>
      </c>
      <c r="Z6135">
        <v>3.3349510000000001E-3</v>
      </c>
      <c r="AA6135">
        <v>0.94601360000000001</v>
      </c>
      <c r="AB6135">
        <v>24</v>
      </c>
      <c r="AC6135">
        <v>130.2088</v>
      </c>
      <c r="AD6135">
        <v>-1.1672359999999999</v>
      </c>
      <c r="AE6135">
        <v>15.251200000000001</v>
      </c>
      <c r="AF6135">
        <v>-42.528113878088803</v>
      </c>
      <c r="AG6135">
        <v>-1.1672359999999999</v>
      </c>
      <c r="AH6135">
        <v>123.99824866935801</v>
      </c>
      <c r="AI6135">
        <v>90.5101584587308</v>
      </c>
      <c r="AJ6135">
        <v>108.93060994576101</v>
      </c>
      <c r="AK6135">
        <v>131.09373967880899</v>
      </c>
      <c r="AL6135">
        <v>87.639168615673896</v>
      </c>
      <c r="AM6135">
        <v>97.130515180607503</v>
      </c>
      <c r="AN6135">
        <v>0.99999994313465501</v>
      </c>
    </row>
    <row r="6136" spans="1:40" x14ac:dyDescent="0.25">
      <c r="A6136" t="str">
        <f>"20190312160456060"</f>
        <v>20190312160456060</v>
      </c>
      <c r="B6136" t="str">
        <f>"1552377896051698"</f>
        <v>1552377896051698</v>
      </c>
      <c r="C6136" t="s">
        <v>40</v>
      </c>
      <c r="D6136">
        <v>5.7869330000000003</v>
      </c>
      <c r="E6136">
        <v>0.4275293</v>
      </c>
      <c r="F6136" t="s">
        <v>43</v>
      </c>
      <c r="G6136">
        <v>-283.64179999999999</v>
      </c>
      <c r="H6136">
        <v>-0.05</v>
      </c>
      <c r="I6136">
        <v>30.0703</v>
      </c>
      <c r="J6136">
        <v>-405.11610000000002</v>
      </c>
      <c r="K6136">
        <v>1.1171439999999999</v>
      </c>
      <c r="L6136">
        <v>17.675689999999999</v>
      </c>
      <c r="M6136">
        <v>0.97845320000000002</v>
      </c>
      <c r="N6136">
        <v>0</v>
      </c>
      <c r="O6136">
        <v>-0.2059289</v>
      </c>
      <c r="P6136">
        <v>0.99602809999999997</v>
      </c>
      <c r="Q6136">
        <v>2.827083E-2</v>
      </c>
      <c r="R6136">
        <v>-8.443378E-2</v>
      </c>
      <c r="S6136">
        <v>3.0422669999999998</v>
      </c>
      <c r="T6136">
        <v>-2.919996E-2</v>
      </c>
      <c r="U6136">
        <v>0.30950929999999999</v>
      </c>
      <c r="V6136">
        <v>-0.1232114</v>
      </c>
      <c r="W6136">
        <v>4.1018249999999999E-2</v>
      </c>
      <c r="X6136">
        <v>0.99153239999999998</v>
      </c>
      <c r="Y6136">
        <v>-0.30391509999999999</v>
      </c>
      <c r="Z6136">
        <v>3.420822E-3</v>
      </c>
      <c r="AA6136">
        <v>0.95269300000000001</v>
      </c>
      <c r="AB6136">
        <v>24</v>
      </c>
      <c r="AC6136">
        <v>121.4743</v>
      </c>
      <c r="AD6136">
        <v>-1.167144</v>
      </c>
      <c r="AE6136">
        <v>12.39461</v>
      </c>
      <c r="AF6136">
        <v>-37.143356276248497</v>
      </c>
      <c r="AG6136">
        <v>-1.167144</v>
      </c>
      <c r="AH6136">
        <v>116.306830948056</v>
      </c>
      <c r="AI6136">
        <v>90.547696622209102</v>
      </c>
      <c r="AJ6136">
        <v>107.71122649780401</v>
      </c>
      <c r="AK6136">
        <v>122.099426967372</v>
      </c>
      <c r="AL6136">
        <v>87.649167920497206</v>
      </c>
      <c r="AM6136">
        <v>97.083469918500299</v>
      </c>
      <c r="AN6136">
        <v>1.0000000230863899</v>
      </c>
    </row>
    <row r="6137" spans="1:40" x14ac:dyDescent="0.25">
      <c r="A6137" t="str">
        <f>"20190312160456078"</f>
        <v>20190312160456078</v>
      </c>
      <c r="B6137" t="str">
        <f>"1552377896071218"</f>
        <v>1552377896071218</v>
      </c>
      <c r="C6137" t="s">
        <v>40</v>
      </c>
      <c r="D6137">
        <v>5.7783340000000001</v>
      </c>
      <c r="E6137">
        <v>0.43259540000000002</v>
      </c>
      <c r="F6137" t="s">
        <v>43</v>
      </c>
      <c r="G6137">
        <v>-285.09320000000002</v>
      </c>
      <c r="H6137">
        <v>-0.05</v>
      </c>
      <c r="I6137">
        <v>30.56223</v>
      </c>
      <c r="J6137">
        <v>-404.94110000000001</v>
      </c>
      <c r="K6137">
        <v>1.1170230000000001</v>
      </c>
      <c r="L6137">
        <v>17.648070000000001</v>
      </c>
      <c r="M6137">
        <v>0.98007889999999998</v>
      </c>
      <c r="N6137">
        <v>0</v>
      </c>
      <c r="O6137">
        <v>-0.19805010000000001</v>
      </c>
      <c r="P6137">
        <v>0.99657969999999896</v>
      </c>
      <c r="Q6137">
        <v>2.7691819999999999E-2</v>
      </c>
      <c r="R6137">
        <v>-7.7860209999999999E-2</v>
      </c>
      <c r="S6137">
        <v>3.0404659999999999</v>
      </c>
      <c r="T6137">
        <v>-2.9566530000000001E-2</v>
      </c>
      <c r="U6137">
        <v>0.32644649999999997</v>
      </c>
      <c r="V6137">
        <v>-0.1217568</v>
      </c>
      <c r="W6137">
        <v>4.0471769999999997E-2</v>
      </c>
      <c r="X6137">
        <v>0.99173449999999996</v>
      </c>
      <c r="Y6137">
        <v>-0.30155539999999997</v>
      </c>
      <c r="Z6137">
        <v>3.3780429999999998E-3</v>
      </c>
      <c r="AA6137">
        <v>0.95344269999999998</v>
      </c>
      <c r="AB6137">
        <v>24</v>
      </c>
      <c r="AC6137">
        <v>119.847899999999</v>
      </c>
      <c r="AD6137">
        <v>-1.1670229999999999</v>
      </c>
      <c r="AE6137">
        <v>12.914160000000001</v>
      </c>
      <c r="AF6137">
        <v>-36.393404417794102</v>
      </c>
      <c r="AG6137">
        <v>-1.1670229999999999</v>
      </c>
      <c r="AH6137">
        <v>114.904705192412</v>
      </c>
      <c r="AI6137">
        <v>90.554743179115604</v>
      </c>
      <c r="AJ6137">
        <v>107.57439229478599</v>
      </c>
      <c r="AK6137">
        <v>120.536024088879</v>
      </c>
      <c r="AL6137">
        <v>87.680504888313493</v>
      </c>
      <c r="AM6137">
        <v>96.999266639348704</v>
      </c>
      <c r="AN6137">
        <v>1.00000000050171</v>
      </c>
    </row>
    <row r="6138" spans="1:40" x14ac:dyDescent="0.25">
      <c r="A6138" t="str">
        <f>"20190312160456089"</f>
        <v>20190312160456089</v>
      </c>
      <c r="B6138" t="str">
        <f>"1552377896080978"</f>
        <v>1552377896080978</v>
      </c>
      <c r="C6138" t="s">
        <v>40</v>
      </c>
      <c r="D6138">
        <v>5.9675529999999997</v>
      </c>
      <c r="E6138">
        <v>0.43259540000000002</v>
      </c>
      <c r="F6138" t="s">
        <v>111</v>
      </c>
      <c r="G6138">
        <v>-380.35950000000003</v>
      </c>
      <c r="H6138" s="1">
        <v>-4.6847999999999996E-6</v>
      </c>
      <c r="I6138">
        <v>20.153890000000001</v>
      </c>
      <c r="J6138">
        <v>-404.82209999999998</v>
      </c>
      <c r="K6138">
        <v>1.116941</v>
      </c>
      <c r="L6138">
        <v>17.629909999999999</v>
      </c>
      <c r="M6138">
        <v>0.98113720000000004</v>
      </c>
      <c r="N6138">
        <v>0</v>
      </c>
      <c r="O6138">
        <v>-0.192741</v>
      </c>
      <c r="P6138">
        <v>0.99693799999999999</v>
      </c>
      <c r="Q6138">
        <v>2.7446729999999999E-2</v>
      </c>
      <c r="R6138">
        <v>-7.3221910000000001E-2</v>
      </c>
      <c r="S6138">
        <v>3.0383300000000002</v>
      </c>
      <c r="T6138">
        <v>-0.13806660000000001</v>
      </c>
      <c r="U6138">
        <v>0.30972290000000002</v>
      </c>
      <c r="V6138">
        <v>-0.1209913</v>
      </c>
      <c r="W6138">
        <v>4.0244969999999998E-2</v>
      </c>
      <c r="X6138">
        <v>0.99183739999999998</v>
      </c>
      <c r="Y6138">
        <v>-0.29078500000000002</v>
      </c>
      <c r="Z6138">
        <v>1.5298880000000001E-2</v>
      </c>
      <c r="AA6138">
        <v>0.95666609999999996</v>
      </c>
      <c r="AB6138">
        <v>24</v>
      </c>
      <c r="AC6138">
        <v>24.462599999999899</v>
      </c>
      <c r="AD6138">
        <v>-1.1169456847999999</v>
      </c>
      <c r="AE6138">
        <v>2.5239799999999999</v>
      </c>
      <c r="AF6138">
        <v>-7.1773049122728096</v>
      </c>
      <c r="AG6138">
        <v>-1.1169456847999999</v>
      </c>
      <c r="AH6138">
        <v>23.468875814373401</v>
      </c>
      <c r="AI6138">
        <v>92.605841555391095</v>
      </c>
      <c r="AJ6138">
        <v>107.004799020804</v>
      </c>
      <c r="AK6138">
        <v>24.567242528558399</v>
      </c>
      <c r="AL6138">
        <v>87.693510143070597</v>
      </c>
      <c r="AM6138">
        <v>96.954979257792303</v>
      </c>
      <c r="AN6138">
        <v>0.99999999016237495</v>
      </c>
    </row>
    <row r="6139" spans="1:40" x14ac:dyDescent="0.25">
      <c r="A6139" t="str">
        <f>"20190312160456099"</f>
        <v>20190312160456099</v>
      </c>
      <c r="B6139" t="str">
        <f>"1552377896091714"</f>
        <v>1552377896091714</v>
      </c>
      <c r="C6139" t="s">
        <v>40</v>
      </c>
      <c r="D6139">
        <v>5.8481969999999999</v>
      </c>
      <c r="E6139">
        <v>0.4339865</v>
      </c>
      <c r="F6139" t="s">
        <v>111</v>
      </c>
      <c r="G6139">
        <v>-380.4076</v>
      </c>
      <c r="H6139" s="1">
        <v>-4.6803800000000004E-6</v>
      </c>
      <c r="I6139">
        <v>20.233049999999999</v>
      </c>
      <c r="J6139">
        <v>-404.71030000000002</v>
      </c>
      <c r="K6139">
        <v>1.1168610000000001</v>
      </c>
      <c r="L6139">
        <v>17.613589999999999</v>
      </c>
      <c r="M6139">
        <v>0.98208819999999997</v>
      </c>
      <c r="N6139">
        <v>0</v>
      </c>
      <c r="O6139">
        <v>-0.18783610000000001</v>
      </c>
      <c r="P6139">
        <v>0.9972375</v>
      </c>
      <c r="Q6139">
        <v>2.7111989999999999E-2</v>
      </c>
      <c r="R6139">
        <v>-6.9154560000000004E-2</v>
      </c>
      <c r="S6139">
        <v>3.0368040000000001</v>
      </c>
      <c r="T6139">
        <v>-0.13893150000000001</v>
      </c>
      <c r="U6139">
        <v>0.32379150000000001</v>
      </c>
      <c r="V6139">
        <v>-0.1200691</v>
      </c>
      <c r="W6139">
        <v>3.9930510000000002E-2</v>
      </c>
      <c r="X6139">
        <v>0.99196220000000002</v>
      </c>
      <c r="Y6139">
        <v>-0.29043659999999999</v>
      </c>
      <c r="Z6139">
        <v>1.516999E-2</v>
      </c>
      <c r="AA6139">
        <v>0.95677400000000001</v>
      </c>
      <c r="AB6139">
        <v>24</v>
      </c>
      <c r="AC6139">
        <v>24.302700000000002</v>
      </c>
      <c r="AD6139">
        <v>-1.1168656803799999</v>
      </c>
      <c r="AE6139">
        <v>2.6194599999999899</v>
      </c>
      <c r="AF6139">
        <v>-7.1233799368334303</v>
      </c>
      <c r="AG6139">
        <v>-1.1168656803799999</v>
      </c>
      <c r="AH6139">
        <v>23.329236364327599</v>
      </c>
      <c r="AI6139">
        <v>92.621581749272806</v>
      </c>
      <c r="AJ6139">
        <v>106.97959624072</v>
      </c>
      <c r="AK6139">
        <v>24.418091653836399</v>
      </c>
      <c r="AL6139">
        <v>87.711541937750795</v>
      </c>
      <c r="AM6139">
        <v>96.901621481009698</v>
      </c>
      <c r="AN6139">
        <v>1.00000002031625</v>
      </c>
    </row>
    <row r="6140" spans="1:40" x14ac:dyDescent="0.25">
      <c r="A6140" t="str">
        <f>"20190312160456112"</f>
        <v>20190312160456112</v>
      </c>
      <c r="B6140" t="str">
        <f>"1552377896101475"</f>
        <v>1552377896101475</v>
      </c>
      <c r="C6140" t="s">
        <v>40</v>
      </c>
      <c r="D6140">
        <v>5.889926</v>
      </c>
      <c r="E6140">
        <v>0.43507000000000001</v>
      </c>
      <c r="F6140" t="s">
        <v>111</v>
      </c>
      <c r="G6140">
        <v>-380.82870000000003</v>
      </c>
      <c r="H6140" s="1">
        <v>-4.4837349999999999E-6</v>
      </c>
      <c r="I6140">
        <v>20.172440000000002</v>
      </c>
      <c r="J6140">
        <v>-404.59539999999998</v>
      </c>
      <c r="K6140">
        <v>1.1167830000000001</v>
      </c>
      <c r="L6140">
        <v>17.59723</v>
      </c>
      <c r="M6140">
        <v>0.98303099999999999</v>
      </c>
      <c r="N6140">
        <v>0</v>
      </c>
      <c r="O6140">
        <v>-0.18283940000000001</v>
      </c>
      <c r="P6140">
        <v>0.9975041</v>
      </c>
      <c r="Q6140">
        <v>2.685537E-2</v>
      </c>
      <c r="R6140">
        <v>-6.530561E-2</v>
      </c>
      <c r="S6140">
        <v>3.034729</v>
      </c>
      <c r="T6140">
        <v>-0.14192479999999999</v>
      </c>
      <c r="U6140">
        <v>0.32516479999999998</v>
      </c>
      <c r="V6140">
        <v>-0.1188413</v>
      </c>
      <c r="W6140">
        <v>3.969992E-2</v>
      </c>
      <c r="X6140">
        <v>0.99211930000000004</v>
      </c>
      <c r="Y6140">
        <v>-0.286053</v>
      </c>
      <c r="Z6140">
        <v>1.5173600000000001E-2</v>
      </c>
      <c r="AA6140">
        <v>0.95809359999999999</v>
      </c>
      <c r="AB6140">
        <v>24</v>
      </c>
      <c r="AC6140">
        <v>23.766699999999901</v>
      </c>
      <c r="AD6140">
        <v>-1.116787483735</v>
      </c>
      <c r="AE6140">
        <v>2.57520999999999</v>
      </c>
      <c r="AF6140">
        <v>-6.8627790376334898</v>
      </c>
      <c r="AG6140">
        <v>-1.116787483735</v>
      </c>
      <c r="AH6140">
        <v>22.8452120324635</v>
      </c>
      <c r="AI6140">
        <v>92.680522581126397</v>
      </c>
      <c r="AJ6140">
        <v>106.72044581329</v>
      </c>
      <c r="AK6140">
        <v>23.879879882684101</v>
      </c>
      <c r="AL6140">
        <v>87.7247642592679</v>
      </c>
      <c r="AM6140">
        <v>96.830645871859204</v>
      </c>
      <c r="AN6140">
        <v>1.00000002183309</v>
      </c>
    </row>
    <row r="6141" spans="1:40" x14ac:dyDescent="0.25">
      <c r="A6141" t="str">
        <f>"20190312160456122"</f>
        <v>20190312160456122</v>
      </c>
      <c r="B6141" t="str">
        <f>"1552377896111234"</f>
        <v>1552377896111234</v>
      </c>
      <c r="C6141" t="s">
        <v>40</v>
      </c>
      <c r="D6141">
        <v>5.8193409999999997</v>
      </c>
      <c r="E6141">
        <v>0.43601669999999998</v>
      </c>
      <c r="F6141" t="s">
        <v>112</v>
      </c>
      <c r="G6141">
        <v>-379.74250000000001</v>
      </c>
      <c r="H6141" s="1">
        <v>-2.8045060000000001E-7</v>
      </c>
      <c r="I6141">
        <v>20.286249999999999</v>
      </c>
      <c r="J6141">
        <v>-404.4787</v>
      </c>
      <c r="K6141">
        <v>1.1166940000000001</v>
      </c>
      <c r="L6141">
        <v>17.581209999999999</v>
      </c>
      <c r="M6141">
        <v>0.98395030000000006</v>
      </c>
      <c r="N6141">
        <v>0</v>
      </c>
      <c r="O6141">
        <v>-0.1778275</v>
      </c>
      <c r="P6141">
        <v>0.99775460000000005</v>
      </c>
      <c r="Q6141">
        <v>2.661492E-2</v>
      </c>
      <c r="R6141">
        <v>-6.1463110000000001E-2</v>
      </c>
      <c r="S6141">
        <v>3.032654</v>
      </c>
      <c r="T6141">
        <v>-0.13627429999999999</v>
      </c>
      <c r="U6141">
        <v>0.328125</v>
      </c>
      <c r="V6141">
        <v>-0.1175942</v>
      </c>
      <c r="W6141">
        <v>3.9485979999999997E-2</v>
      </c>
      <c r="X6141">
        <v>0.99227639999999995</v>
      </c>
      <c r="Y6141">
        <v>-0.28221010000000002</v>
      </c>
      <c r="Z6141">
        <v>1.4270649999999999E-2</v>
      </c>
      <c r="AA6141">
        <v>0.9592465</v>
      </c>
      <c r="AB6141">
        <v>24</v>
      </c>
      <c r="AC6141">
        <v>24.7362</v>
      </c>
      <c r="AD6141">
        <v>-1.1166942804505999</v>
      </c>
      <c r="AE6141">
        <v>2.7050399999999901</v>
      </c>
      <c r="AF6141">
        <v>-7.0469834437939998</v>
      </c>
      <c r="AG6141">
        <v>-1.1166942804505999</v>
      </c>
      <c r="AH6141">
        <v>23.812819191425401</v>
      </c>
      <c r="AI6141">
        <v>92.574683494716993</v>
      </c>
      <c r="AJ6141">
        <v>106.485189607332</v>
      </c>
      <c r="AK6141">
        <v>24.8587477483605</v>
      </c>
      <c r="AL6141">
        <v>87.737031679184696</v>
      </c>
      <c r="AM6141">
        <v>96.758572698437206</v>
      </c>
      <c r="AN6141">
        <v>0.99999999624358005</v>
      </c>
    </row>
    <row r="6142" spans="1:40" x14ac:dyDescent="0.25">
      <c r="A6142" t="str">
        <f>"20190312160456134"</f>
        <v>20190312160456134</v>
      </c>
      <c r="B6142" t="str">
        <f>"1552377896131731"</f>
        <v>1552377896131731</v>
      </c>
      <c r="C6142" t="s">
        <v>40</v>
      </c>
      <c r="D6142">
        <v>5.8575790000000003</v>
      </c>
      <c r="E6142">
        <v>0.43842370000000003</v>
      </c>
      <c r="F6142" t="s">
        <v>111</v>
      </c>
      <c r="G6142">
        <v>-382.18889999999999</v>
      </c>
      <c r="H6142" s="1">
        <v>-3.8023969999999999E-6</v>
      </c>
      <c r="I6142">
        <v>20.028279999999999</v>
      </c>
      <c r="J6142">
        <v>-404.36180000000002</v>
      </c>
      <c r="K6142">
        <v>1.1166020000000001</v>
      </c>
      <c r="L6142">
        <v>17.565729999999999</v>
      </c>
      <c r="M6142">
        <v>0.98483140000000002</v>
      </c>
      <c r="N6142">
        <v>0</v>
      </c>
      <c r="O6142">
        <v>-0.1728838</v>
      </c>
      <c r="P6142">
        <v>0.99798189999999998</v>
      </c>
      <c r="Q6142">
        <v>2.628059E-2</v>
      </c>
      <c r="R6142">
        <v>-5.7809489999999998E-2</v>
      </c>
      <c r="S6142">
        <v>3.031342</v>
      </c>
      <c r="T6142">
        <v>-0.15186769999999999</v>
      </c>
      <c r="U6142">
        <v>0.33279419999999998</v>
      </c>
      <c r="V6142">
        <v>-0.116230399999999</v>
      </c>
      <c r="W6142">
        <v>3.9179609999999997E-2</v>
      </c>
      <c r="X6142">
        <v>0.99244920000000003</v>
      </c>
      <c r="Y6142">
        <v>-0.2787945</v>
      </c>
      <c r="Z6142">
        <v>1.557716E-2</v>
      </c>
      <c r="AA6142">
        <v>0.96022439999999998</v>
      </c>
      <c r="AB6142">
        <v>24</v>
      </c>
      <c r="AC6142">
        <v>22.172899999999998</v>
      </c>
      <c r="AD6142">
        <v>-1.116605802397</v>
      </c>
      <c r="AE6142">
        <v>2.4625499999999998</v>
      </c>
      <c r="AF6142">
        <v>-6.2435740406186699</v>
      </c>
      <c r="AG6142">
        <v>-1.116605802397</v>
      </c>
      <c r="AH6142">
        <v>21.359661798271201</v>
      </c>
      <c r="AI6142">
        <v>92.872503067906607</v>
      </c>
      <c r="AJ6142">
        <v>106.29399949383399</v>
      </c>
      <c r="AK6142">
        <v>22.281476105840898</v>
      </c>
      <c r="AL6142">
        <v>87.754598947557994</v>
      </c>
      <c r="AM6142">
        <v>96.679749997564201</v>
      </c>
      <c r="AN6142">
        <v>0.99999998115227495</v>
      </c>
    </row>
    <row r="6143" spans="1:40" x14ac:dyDescent="0.25">
      <c r="A6143" t="str">
        <f>"20190312160456146"</f>
        <v>20190312160456146</v>
      </c>
      <c r="B6143" t="str">
        <f>"1552377896141490"</f>
        <v>1552377896141490</v>
      </c>
      <c r="C6143" t="s">
        <v>40</v>
      </c>
      <c r="D6143">
        <v>6.0603009999999999</v>
      </c>
      <c r="E6143">
        <v>0.43842370000000003</v>
      </c>
      <c r="F6143" t="s">
        <v>111</v>
      </c>
      <c r="G6143">
        <v>-383.93810000000002</v>
      </c>
      <c r="H6143" s="1">
        <v>-2.9036040000000001E-6</v>
      </c>
      <c r="I6143">
        <v>19.757840000000002</v>
      </c>
      <c r="J6143">
        <v>-404.23410000000001</v>
      </c>
      <c r="K6143">
        <v>1.116495</v>
      </c>
      <c r="L6143">
        <v>17.549219999999998</v>
      </c>
      <c r="M6143">
        <v>0.98575760000000001</v>
      </c>
      <c r="N6143">
        <v>0</v>
      </c>
      <c r="O6143">
        <v>-0.16752300000000001</v>
      </c>
      <c r="P6143">
        <v>0.99821910000000003</v>
      </c>
      <c r="Q6143">
        <v>2.5905580000000001E-2</v>
      </c>
      <c r="R6143">
        <v>-5.3734219999999999E-2</v>
      </c>
      <c r="S6143">
        <v>3.0292659999999998</v>
      </c>
      <c r="T6143">
        <v>-0.16561579999999901</v>
      </c>
      <c r="U6143">
        <v>0.32513429999999999</v>
      </c>
      <c r="V6143">
        <v>-0.114868</v>
      </c>
      <c r="W6143">
        <v>3.8833220000000002E-2</v>
      </c>
      <c r="X6143">
        <v>0.99262139999999999</v>
      </c>
      <c r="Y6143">
        <v>-0.27114529999999998</v>
      </c>
      <c r="Z6143">
        <v>1.6500170000000002E-2</v>
      </c>
      <c r="AA6143">
        <v>0.96239699999999995</v>
      </c>
      <c r="AB6143">
        <v>24</v>
      </c>
      <c r="AC6143">
        <v>20.2959999999999</v>
      </c>
      <c r="AD6143">
        <v>-1.1164979036039999</v>
      </c>
      <c r="AE6143">
        <v>2.20861999999999</v>
      </c>
      <c r="AF6143">
        <v>-5.56118656875248</v>
      </c>
      <c r="AG6143">
        <v>-1.1164979036039999</v>
      </c>
      <c r="AH6143">
        <v>19.580521628679598</v>
      </c>
      <c r="AI6143">
        <v>93.139610060188005</v>
      </c>
      <c r="AJ6143">
        <v>105.85540865190499</v>
      </c>
      <c r="AK6143">
        <v>20.3855387682645</v>
      </c>
      <c r="AL6143">
        <v>87.774460701773293</v>
      </c>
      <c r="AM6143">
        <v>96.601013043359103</v>
      </c>
      <c r="AN6143">
        <v>0.99999996006876302</v>
      </c>
    </row>
    <row r="6144" spans="1:40" x14ac:dyDescent="0.25">
      <c r="A6144" t="str">
        <f>"20190312160456159"</f>
        <v>20190312160456159</v>
      </c>
      <c r="B6144" t="str">
        <f>"1552377896151250"</f>
        <v>1552377896151250</v>
      </c>
      <c r="C6144" t="s">
        <v>40</v>
      </c>
      <c r="D6144">
        <v>5.908747</v>
      </c>
      <c r="E6144">
        <v>0.4446061</v>
      </c>
      <c r="F6144" t="s">
        <v>111</v>
      </c>
      <c r="G6144">
        <v>-383.94490000000002</v>
      </c>
      <c r="H6144" s="1">
        <v>-2.914646E-6</v>
      </c>
      <c r="I6144">
        <v>19.811530000000001</v>
      </c>
      <c r="J6144">
        <v>-404.1044</v>
      </c>
      <c r="K6144">
        <v>1.1163829999999999</v>
      </c>
      <c r="L6144">
        <v>17.53342</v>
      </c>
      <c r="M6144">
        <v>0.98664479999999999</v>
      </c>
      <c r="N6144">
        <v>0</v>
      </c>
      <c r="O6144">
        <v>-0.16221820000000001</v>
      </c>
      <c r="P6144">
        <v>0.99841590000000002</v>
      </c>
      <c r="Q6144">
        <v>2.5720739999999999E-2</v>
      </c>
      <c r="R6144">
        <v>-5.0041879999999997E-2</v>
      </c>
      <c r="S6144">
        <v>3.027863</v>
      </c>
      <c r="T6144">
        <v>-0.16662099999999999</v>
      </c>
      <c r="U6144">
        <v>0.33761600000000003</v>
      </c>
      <c r="V6144">
        <v>-0.1131863</v>
      </c>
      <c r="W6144">
        <v>3.8681689999999998E-2</v>
      </c>
      <c r="X6144">
        <v>0.99282049999999999</v>
      </c>
      <c r="Y6144">
        <v>-0.2699377</v>
      </c>
      <c r="Z6144">
        <v>1.6282669999999999E-2</v>
      </c>
      <c r="AA6144">
        <v>0.96274009999999999</v>
      </c>
      <c r="AB6144">
        <v>24</v>
      </c>
      <c r="AC6144">
        <v>20.159499999999898</v>
      </c>
      <c r="AD6144">
        <v>-1.116385914646</v>
      </c>
      <c r="AE6144">
        <v>2.2781099999999901</v>
      </c>
      <c r="AF6144">
        <v>-5.5018630552150496</v>
      </c>
      <c r="AG6144">
        <v>-1.116385914646</v>
      </c>
      <c r="AH6144">
        <v>19.463899131450798</v>
      </c>
      <c r="AI6144">
        <v>93.159180593703795</v>
      </c>
      <c r="AJ6144">
        <v>105.784013278971</v>
      </c>
      <c r="AK6144">
        <v>20.257348888441701</v>
      </c>
      <c r="AL6144">
        <v>87.783149300502203</v>
      </c>
      <c r="AM6144">
        <v>96.503913413659504</v>
      </c>
      <c r="AN6144">
        <v>0.99999997843459698</v>
      </c>
    </row>
    <row r="6145" spans="1:40" x14ac:dyDescent="0.25">
      <c r="A6145" t="str">
        <f>"20190312160456170"</f>
        <v>20190312160456170</v>
      </c>
      <c r="B6145" t="str">
        <f>"1552377896161011"</f>
        <v>1552377896161011</v>
      </c>
      <c r="C6145" t="s">
        <v>40</v>
      </c>
      <c r="D6145">
        <v>5.756837</v>
      </c>
      <c r="E6145">
        <v>0.44809339999999998</v>
      </c>
      <c r="F6145" t="s">
        <v>111</v>
      </c>
      <c r="G6145">
        <v>-381.97789999999998</v>
      </c>
      <c r="H6145" s="1">
        <v>-3.8206539999999997E-6</v>
      </c>
      <c r="I6145">
        <v>19.721969999999999</v>
      </c>
      <c r="J6145">
        <v>-403.9889</v>
      </c>
      <c r="K6145">
        <v>1.1162810000000001</v>
      </c>
      <c r="L6145">
        <v>17.519590000000001</v>
      </c>
      <c r="M6145">
        <v>0.98740249999999996</v>
      </c>
      <c r="N6145">
        <v>0</v>
      </c>
      <c r="O6145">
        <v>-0.1575434</v>
      </c>
      <c r="P6145">
        <v>0.99857530000000005</v>
      </c>
      <c r="Q6145">
        <v>2.5414719999999998E-2</v>
      </c>
      <c r="R6145">
        <v>-4.6923069999999997E-2</v>
      </c>
      <c r="S6145">
        <v>3.0236510000000001</v>
      </c>
      <c r="T6145">
        <v>-0.15255759999999999</v>
      </c>
      <c r="U6145">
        <v>0.29907230000000001</v>
      </c>
      <c r="V6145">
        <v>-0.11157110000000001</v>
      </c>
      <c r="W6145">
        <v>3.8407719999999999E-2</v>
      </c>
      <c r="X6145">
        <v>0.99301399999999995</v>
      </c>
      <c r="Y6145">
        <v>-0.25347799999999998</v>
      </c>
      <c r="Z6145">
        <v>1.4290850000000001E-2</v>
      </c>
      <c r="AA6145">
        <v>0.96723559999999997</v>
      </c>
      <c r="AB6145">
        <v>24</v>
      </c>
      <c r="AC6145">
        <v>22.010999999999999</v>
      </c>
      <c r="AD6145">
        <v>-1.1162848206539999</v>
      </c>
      <c r="AE6145">
        <v>2.2023799999999998</v>
      </c>
      <c r="AF6145">
        <v>-5.6286005919700299</v>
      </c>
      <c r="AG6145">
        <v>-1.1162848206539999</v>
      </c>
      <c r="AH6145">
        <v>21.334731255565998</v>
      </c>
      <c r="AI6145">
        <v>92.8962036888054</v>
      </c>
      <c r="AJ6145">
        <v>104.779216160541</v>
      </c>
      <c r="AK6145">
        <v>22.0929399169049</v>
      </c>
      <c r="AL6145">
        <v>87.798858421150697</v>
      </c>
      <c r="AM6145">
        <v>96.410640207715602</v>
      </c>
      <c r="AN6145">
        <v>1.0000000337534001</v>
      </c>
    </row>
    <row r="6146" spans="1:40" x14ac:dyDescent="0.25">
      <c r="A6146" t="str">
        <f>"20190312160456182"</f>
        <v>20190312160456182</v>
      </c>
      <c r="B6146" t="str">
        <f>"1552377896171747"</f>
        <v>1552377896171747</v>
      </c>
      <c r="C6146" t="s">
        <v>40</v>
      </c>
      <c r="D6146">
        <v>5.879391</v>
      </c>
      <c r="E6146">
        <v>0.45097730000000003</v>
      </c>
      <c r="F6146" t="s">
        <v>111</v>
      </c>
      <c r="G6146">
        <v>-382.61709999999999</v>
      </c>
      <c r="H6146" s="1">
        <v>-3.5098770000000001E-6</v>
      </c>
      <c r="I6146">
        <v>19.506360000000001</v>
      </c>
      <c r="J6146">
        <v>-403.87099999999998</v>
      </c>
      <c r="K6146">
        <v>1.1161749999999999</v>
      </c>
      <c r="L6146">
        <v>17.506129999999999</v>
      </c>
      <c r="M6146">
        <v>0.98813819999999997</v>
      </c>
      <c r="N6146">
        <v>0</v>
      </c>
      <c r="O6146">
        <v>-0.15286359999999999</v>
      </c>
      <c r="P6146">
        <v>0.99872119999999998</v>
      </c>
      <c r="Q6146">
        <v>2.5428369999999999E-2</v>
      </c>
      <c r="R6146">
        <v>-4.3696499999999999E-2</v>
      </c>
      <c r="S6146">
        <v>3.0214840000000001</v>
      </c>
      <c r="T6146">
        <v>-0.15781709999999999</v>
      </c>
      <c r="U6146">
        <v>0.28088380000000002</v>
      </c>
      <c r="V6146">
        <v>-0.1100636</v>
      </c>
      <c r="W6146">
        <v>3.8451079999999999E-2</v>
      </c>
      <c r="X6146">
        <v>0.99318050000000002</v>
      </c>
      <c r="Y6146">
        <v>-0.24316289999999999</v>
      </c>
      <c r="Z6146">
        <v>1.428566E-2</v>
      </c>
      <c r="AA6146">
        <v>0.96988030000000003</v>
      </c>
      <c r="AB6146">
        <v>23</v>
      </c>
      <c r="AC6146">
        <v>21.253899999999899</v>
      </c>
      <c r="AD6146">
        <v>-1.1161785098769901</v>
      </c>
      <c r="AE6146">
        <v>2.0002300000000002</v>
      </c>
      <c r="AF6146">
        <v>-5.2117670571585304</v>
      </c>
      <c r="AG6146">
        <v>-1.1161785098769901</v>
      </c>
      <c r="AH6146">
        <v>20.641829883997399</v>
      </c>
      <c r="AI6146">
        <v>93.001173198067406</v>
      </c>
      <c r="AJ6146">
        <v>104.17020783198799</v>
      </c>
      <c r="AK6146">
        <v>21.318853423293699</v>
      </c>
      <c r="AL6146">
        <v>87.796372151186105</v>
      </c>
      <c r="AM6146">
        <v>96.323677405183503</v>
      </c>
      <c r="AN6146">
        <v>0.99999999358918801</v>
      </c>
    </row>
    <row r="6147" spans="1:40" x14ac:dyDescent="0.25">
      <c r="A6147" t="str">
        <f>"20190312160456194"</f>
        <v>20190312160456194</v>
      </c>
      <c r="B6147" t="str">
        <f>"1552377896181506"</f>
        <v>1552377896181506</v>
      </c>
      <c r="C6147" t="s">
        <v>40</v>
      </c>
      <c r="D6147">
        <v>5.8985599999999998</v>
      </c>
      <c r="E6147">
        <v>0.45353110000000002</v>
      </c>
      <c r="F6147" t="s">
        <v>111</v>
      </c>
      <c r="G6147">
        <v>-381.62479999999999</v>
      </c>
      <c r="H6147" s="1">
        <v>-3.984501E-6</v>
      </c>
      <c r="I6147">
        <v>19.47512</v>
      </c>
      <c r="J6147">
        <v>-403.75450000000001</v>
      </c>
      <c r="K6147">
        <v>1.116066</v>
      </c>
      <c r="L6147">
        <v>17.493259999999999</v>
      </c>
      <c r="M6147">
        <v>0.98883220000000005</v>
      </c>
      <c r="N6147">
        <v>0</v>
      </c>
      <c r="O6147">
        <v>-0.14831</v>
      </c>
      <c r="P6147">
        <v>0.99884729999999999</v>
      </c>
      <c r="Q6147">
        <v>2.532243E-2</v>
      </c>
      <c r="R6147">
        <v>-4.077923E-2</v>
      </c>
      <c r="S6147">
        <v>3.0193789999999998</v>
      </c>
      <c r="T6147">
        <v>-0.15149389999999999</v>
      </c>
      <c r="U6147">
        <v>0.26724239999999999</v>
      </c>
      <c r="V6147">
        <v>-0.1083769</v>
      </c>
      <c r="W6147">
        <v>3.8376739999999999E-2</v>
      </c>
      <c r="X6147">
        <v>0.9933689</v>
      </c>
      <c r="Y6147">
        <v>-0.23445930000000001</v>
      </c>
      <c r="Z6147">
        <v>1.328118E-2</v>
      </c>
      <c r="AA6147">
        <v>0.97203519999999999</v>
      </c>
      <c r="AB6147">
        <v>23</v>
      </c>
      <c r="AC6147">
        <v>22.1297</v>
      </c>
      <c r="AD6147">
        <v>-1.116069984501</v>
      </c>
      <c r="AE6147">
        <v>1.98186</v>
      </c>
      <c r="AF6147">
        <v>-5.2291519120235304</v>
      </c>
      <c r="AG6147">
        <v>-1.116069984501</v>
      </c>
      <c r="AH6147">
        <v>21.536609166909201</v>
      </c>
      <c r="AI6147">
        <v>92.882913517590197</v>
      </c>
      <c r="AJ6147">
        <v>103.647486188953</v>
      </c>
      <c r="AK6147">
        <v>22.1904298367003</v>
      </c>
      <c r="AL6147">
        <v>87.800634787622101</v>
      </c>
      <c r="AM6147">
        <v>96.226363930250997</v>
      </c>
      <c r="AN6147">
        <v>1.0000000490569201</v>
      </c>
    </row>
    <row r="6148" spans="1:40" x14ac:dyDescent="0.25">
      <c r="A6148" t="str">
        <f>"20190312160456211"</f>
        <v>20190312160456211</v>
      </c>
      <c r="B6148" t="str">
        <f>"1552377896201026"</f>
        <v>1552377896201026</v>
      </c>
      <c r="C6148" t="s">
        <v>40</v>
      </c>
      <c r="D6148">
        <v>5.8149379999999997</v>
      </c>
      <c r="E6148">
        <v>0.4574744</v>
      </c>
      <c r="F6148" t="s">
        <v>111</v>
      </c>
      <c r="G6148">
        <v>-380.54919999999998</v>
      </c>
      <c r="H6148" s="1">
        <v>-4.4961610000000002E-6</v>
      </c>
      <c r="I6148">
        <v>19.457090000000001</v>
      </c>
      <c r="J6148">
        <v>-403.57060000000001</v>
      </c>
      <c r="K6148">
        <v>1.1158889999999999</v>
      </c>
      <c r="L6148">
        <v>17.47382</v>
      </c>
      <c r="M6148">
        <v>0.98986379999999996</v>
      </c>
      <c r="N6148">
        <v>0</v>
      </c>
      <c r="O6148">
        <v>-0.141265</v>
      </c>
      <c r="P6148">
        <v>0.99901119999999999</v>
      </c>
      <c r="Q6148">
        <v>2.4885259999999999E-2</v>
      </c>
      <c r="R6148">
        <v>-3.684022E-2</v>
      </c>
      <c r="S6148">
        <v>3.0175480000000001</v>
      </c>
      <c r="T6148">
        <v>-0.14513029999999999</v>
      </c>
      <c r="U6148">
        <v>0.25537110000000002</v>
      </c>
      <c r="V6148">
        <v>-0.1051967</v>
      </c>
      <c r="W6148">
        <v>3.7996509999999997E-2</v>
      </c>
      <c r="X6148">
        <v>0.99372530000000003</v>
      </c>
      <c r="Y6148">
        <v>-0.22383890000000001</v>
      </c>
      <c r="Z6148">
        <v>1.214208E-2</v>
      </c>
      <c r="AA6148">
        <v>0.97455049999999999</v>
      </c>
      <c r="AB6148">
        <v>23</v>
      </c>
      <c r="AC6148">
        <v>23.0214</v>
      </c>
      <c r="AD6148">
        <v>-1.1158934961610001</v>
      </c>
      <c r="AE6148">
        <v>1.9832700000000001</v>
      </c>
      <c r="AF6148">
        <v>-5.2037067786912798</v>
      </c>
      <c r="AG6148">
        <v>-1.1158934961610001</v>
      </c>
      <c r="AH6148">
        <v>22.457914026129099</v>
      </c>
      <c r="AI6148">
        <v>92.771282795719003</v>
      </c>
      <c r="AJ6148">
        <v>103.04574304774999</v>
      </c>
      <c r="AK6148">
        <v>23.079897853725001</v>
      </c>
      <c r="AL6148">
        <v>87.822436212502097</v>
      </c>
      <c r="AM6148">
        <v>96.042879212009893</v>
      </c>
      <c r="AN6148">
        <v>1.00000002616157</v>
      </c>
    </row>
    <row r="6149" spans="1:40" x14ac:dyDescent="0.25">
      <c r="A6149" t="str">
        <f>"20190312160456225"</f>
        <v>20190312160456225</v>
      </c>
      <c r="B6149" t="str">
        <f>"1552377896221524"</f>
        <v>1552377896221524</v>
      </c>
      <c r="C6149" t="s">
        <v>40</v>
      </c>
      <c r="D6149">
        <v>5.77806</v>
      </c>
      <c r="E6149">
        <v>0.46101550000000002</v>
      </c>
      <c r="F6149" t="s">
        <v>112</v>
      </c>
      <c r="G6149">
        <v>-378.16719999999998</v>
      </c>
      <c r="H6149" s="1">
        <v>-8.7548559999999999E-7</v>
      </c>
      <c r="I6149">
        <v>19.454799999999999</v>
      </c>
      <c r="J6149">
        <v>-403.4298</v>
      </c>
      <c r="K6149">
        <v>1.1157589999999999</v>
      </c>
      <c r="L6149">
        <v>17.45966</v>
      </c>
      <c r="M6149">
        <v>0.99060170000000003</v>
      </c>
      <c r="N6149">
        <v>0</v>
      </c>
      <c r="O6149">
        <v>-0.13599729999999999</v>
      </c>
      <c r="P6149">
        <v>0.99914150000000002</v>
      </c>
      <c r="Q6149">
        <v>2.4761539999999999E-2</v>
      </c>
      <c r="R6149">
        <v>-3.3215420000000002E-2</v>
      </c>
      <c r="S6149">
        <v>3.014923</v>
      </c>
      <c r="T6149">
        <v>-0.13243629999999901</v>
      </c>
      <c r="U6149">
        <v>0.23510739999999999</v>
      </c>
      <c r="V6149">
        <v>-0.1035015</v>
      </c>
      <c r="W6149">
        <v>3.7902640000000001E-2</v>
      </c>
      <c r="X6149">
        <v>0.99390690000000004</v>
      </c>
      <c r="Y6149">
        <v>-0.2122887</v>
      </c>
      <c r="Z6149">
        <v>1.060994E-2</v>
      </c>
      <c r="AA6149">
        <v>0.97714939999999995</v>
      </c>
      <c r="AB6149">
        <v>23</v>
      </c>
      <c r="AC6149">
        <v>25.262599999999999</v>
      </c>
      <c r="AD6149">
        <v>-1.1157598754856</v>
      </c>
      <c r="AE6149">
        <v>1.9951399999999899</v>
      </c>
      <c r="AF6149">
        <v>-5.4021384491377997</v>
      </c>
      <c r="AG6149">
        <v>-1.1157598754856</v>
      </c>
      <c r="AH6149">
        <v>24.708577940474999</v>
      </c>
      <c r="AI6149">
        <v>92.525950001362801</v>
      </c>
      <c r="AJ6149">
        <v>102.332751452541</v>
      </c>
      <c r="AK6149">
        <v>25.316829259682699</v>
      </c>
      <c r="AL6149">
        <v>87.827818492238407</v>
      </c>
      <c r="AM6149">
        <v>95.945125469519994</v>
      </c>
      <c r="AN6149">
        <v>1.00000004824441</v>
      </c>
    </row>
    <row r="6150" spans="1:40" x14ac:dyDescent="0.25">
      <c r="A6150" t="str">
        <f>"20190312160456240"</f>
        <v>20190312160456240</v>
      </c>
      <c r="B6150" t="str">
        <f>"1552377896231283"</f>
        <v>1552377896231283</v>
      </c>
      <c r="C6150" t="s">
        <v>40</v>
      </c>
      <c r="D6150">
        <v>5.8223459999999996</v>
      </c>
      <c r="E6150">
        <v>0.46230660000000001</v>
      </c>
      <c r="F6150" t="s">
        <v>112</v>
      </c>
      <c r="G6150">
        <v>-375.36020000000002</v>
      </c>
      <c r="H6150" s="1">
        <v>-2.1973609999999999E-6</v>
      </c>
      <c r="I6150">
        <v>19.48321</v>
      </c>
      <c r="J6150">
        <v>-403.28370000000001</v>
      </c>
      <c r="K6150">
        <v>1.115631</v>
      </c>
      <c r="L6150">
        <v>17.445829999999901</v>
      </c>
      <c r="M6150">
        <v>0.99131939999999996</v>
      </c>
      <c r="N6150">
        <v>0</v>
      </c>
      <c r="O6150">
        <v>-0.1306659</v>
      </c>
      <c r="P6150">
        <v>0.9992704</v>
      </c>
      <c r="Q6150">
        <v>2.4299419999999999E-2</v>
      </c>
      <c r="R6150">
        <v>-2.9466659999999999E-2</v>
      </c>
      <c r="S6150">
        <v>3.0127869999999999</v>
      </c>
      <c r="T6150">
        <v>-0.11975760000000001</v>
      </c>
      <c r="U6150">
        <v>0.21719359999999999</v>
      </c>
      <c r="V6150">
        <v>-0.1018651</v>
      </c>
      <c r="W6150">
        <v>3.7467109999999998E-2</v>
      </c>
      <c r="X6150">
        <v>0.99409239999999999</v>
      </c>
      <c r="Y6150">
        <v>-0.20136789999999999</v>
      </c>
      <c r="Z6150">
        <v>9.1760669999999996E-3</v>
      </c>
      <c r="AA6150">
        <v>0.97947269999999997</v>
      </c>
      <c r="AB6150">
        <v>23</v>
      </c>
      <c r="AC6150">
        <v>27.923499999999901</v>
      </c>
      <c r="AD6150">
        <v>-1.1156331973610001</v>
      </c>
      <c r="AE6150">
        <v>2.0373800000000002</v>
      </c>
      <c r="AF6150">
        <v>-5.6599583700144001</v>
      </c>
      <c r="AG6150">
        <v>-1.1156331973610001</v>
      </c>
      <c r="AH6150">
        <v>27.374336194718602</v>
      </c>
      <c r="AI6150">
        <v>92.285492869341596</v>
      </c>
      <c r="AJ6150">
        <v>101.681947826456</v>
      </c>
      <c r="AK6150">
        <v>27.975597371331101</v>
      </c>
      <c r="AL6150">
        <v>87.8527901379517</v>
      </c>
      <c r="AM6150">
        <v>95.850703749396203</v>
      </c>
      <c r="AN6150">
        <v>0.99999999133376105</v>
      </c>
    </row>
    <row r="6151" spans="1:40" x14ac:dyDescent="0.25">
      <c r="A6151" t="str">
        <f>"20190312160456257"</f>
        <v>20190312160456257</v>
      </c>
      <c r="B6151" t="str">
        <f>"1552377896251779"</f>
        <v>1552377896251779</v>
      </c>
      <c r="C6151" t="s">
        <v>40</v>
      </c>
      <c r="D6151">
        <v>6.0231969999999997</v>
      </c>
      <c r="E6151">
        <v>0.46443099999999998</v>
      </c>
      <c r="F6151" t="s">
        <v>112</v>
      </c>
      <c r="G6151">
        <v>-374.21249999999998</v>
      </c>
      <c r="H6151" s="1">
        <v>-2.7281670000000001E-6</v>
      </c>
      <c r="I6151">
        <v>19.549330000000001</v>
      </c>
      <c r="J6151">
        <v>-403.09949999999998</v>
      </c>
      <c r="K6151">
        <v>1.1154660000000001</v>
      </c>
      <c r="L6151">
        <v>17.429169999999999</v>
      </c>
      <c r="M6151">
        <v>0.99216369999999998</v>
      </c>
      <c r="N6151">
        <v>0</v>
      </c>
      <c r="O6151">
        <v>-0.124098</v>
      </c>
      <c r="P6151">
        <v>0.99936670000000005</v>
      </c>
      <c r="Q6151">
        <v>2.4280300000000001E-2</v>
      </c>
      <c r="R6151">
        <v>-2.6015139999999999E-2</v>
      </c>
      <c r="S6151">
        <v>3.0114139999999998</v>
      </c>
      <c r="T6151">
        <v>-0.1155655</v>
      </c>
      <c r="U6151">
        <v>0.21789549999999999</v>
      </c>
      <c r="V6151">
        <v>-9.869849E-2</v>
      </c>
      <c r="W6151">
        <v>3.7496179999999997E-2</v>
      </c>
      <c r="X6151">
        <v>0.99441069999999998</v>
      </c>
      <c r="Y6151">
        <v>-0.19516339999999999</v>
      </c>
      <c r="Z6151">
        <v>8.4895390000000008E-3</v>
      </c>
      <c r="AA6151">
        <v>0.98073399999999999</v>
      </c>
      <c r="AB6151">
        <v>23</v>
      </c>
      <c r="AC6151">
        <v>28.886999999999901</v>
      </c>
      <c r="AD6151">
        <v>-1.1154687281669999</v>
      </c>
      <c r="AE6151">
        <v>2.1201599999999901</v>
      </c>
      <c r="AF6151">
        <v>-5.6805396583624796</v>
      </c>
      <c r="AG6151">
        <v>-1.1154687281669999</v>
      </c>
      <c r="AH6151">
        <v>28.358460835060299</v>
      </c>
      <c r="AI6151">
        <v>92.208713718788701</v>
      </c>
      <c r="AJ6151">
        <v>101.327119499281</v>
      </c>
      <c r="AK6151">
        <v>28.943308418828</v>
      </c>
      <c r="AL6151">
        <v>87.851123392449793</v>
      </c>
      <c r="AM6151">
        <v>95.668227792238994</v>
      </c>
      <c r="AN6151">
        <v>0.99999999785868099</v>
      </c>
    </row>
    <row r="6152" spans="1:40" x14ac:dyDescent="0.25">
      <c r="A6152" t="str">
        <f>"20190312160456272"</f>
        <v>20190312160456272</v>
      </c>
      <c r="B6152" t="str">
        <f>"1552377896261539"</f>
        <v>1552377896261539</v>
      </c>
      <c r="C6152" t="s">
        <v>40</v>
      </c>
      <c r="D6152">
        <v>5.8101269999999996</v>
      </c>
      <c r="E6152">
        <v>0.46545589999999998</v>
      </c>
      <c r="F6152" t="s">
        <v>112</v>
      </c>
      <c r="G6152">
        <v>-371.33629999999999</v>
      </c>
      <c r="H6152" s="1">
        <v>-4.0858410000000004E-6</v>
      </c>
      <c r="I6152">
        <v>19.653829999999999</v>
      </c>
      <c r="J6152">
        <v>-402.95530000000002</v>
      </c>
      <c r="K6152">
        <v>1.11534</v>
      </c>
      <c r="L6152">
        <v>17.416779999999999</v>
      </c>
      <c r="M6152">
        <v>0.99277780000000004</v>
      </c>
      <c r="N6152">
        <v>0</v>
      </c>
      <c r="O6152">
        <v>-0.11908680000000001</v>
      </c>
      <c r="P6152">
        <v>0.99946780000000002</v>
      </c>
      <c r="Q6152">
        <v>2.3786379999999999E-2</v>
      </c>
      <c r="R6152">
        <v>-2.2320340000000001E-2</v>
      </c>
      <c r="S6152">
        <v>3.009979</v>
      </c>
      <c r="T6152">
        <v>-0.1057054</v>
      </c>
      <c r="U6152">
        <v>0.21081539999999999</v>
      </c>
      <c r="V6152">
        <v>-9.7336389999999995E-2</v>
      </c>
      <c r="W6152">
        <v>3.7023010000000002E-2</v>
      </c>
      <c r="X6152">
        <v>0.99456270000000002</v>
      </c>
      <c r="Y6152">
        <v>-0.1879902</v>
      </c>
      <c r="Z6152">
        <v>7.4689650000000002E-3</v>
      </c>
      <c r="AA6152">
        <v>0.98214250000000003</v>
      </c>
      <c r="AB6152">
        <v>23</v>
      </c>
      <c r="AC6152">
        <v>31.619</v>
      </c>
      <c r="AD6152">
        <v>-1.115344085841</v>
      </c>
      <c r="AE6152">
        <v>2.23705</v>
      </c>
      <c r="AF6152">
        <v>-5.9795262803458602</v>
      </c>
      <c r="AG6152">
        <v>-1.115344085841</v>
      </c>
      <c r="AH6152">
        <v>31.089024546001301</v>
      </c>
      <c r="AI6152">
        <v>92.017701498748394</v>
      </c>
      <c r="AJ6152">
        <v>100.887069175741</v>
      </c>
      <c r="AK6152">
        <v>31.6784812481445</v>
      </c>
      <c r="AL6152">
        <v>87.878252922257104</v>
      </c>
      <c r="AM6152">
        <v>95.589652741753397</v>
      </c>
      <c r="AN6152">
        <v>1.0000000201594901</v>
      </c>
    </row>
    <row r="6153" spans="1:40" x14ac:dyDescent="0.25">
      <c r="A6153" t="str">
        <f>"20190312160456290"</f>
        <v>20190312160456290</v>
      </c>
      <c r="B6153" t="str">
        <f>"1552377896281058"</f>
        <v>1552377896281058</v>
      </c>
      <c r="C6153" t="s">
        <v>40</v>
      </c>
      <c r="D6153">
        <v>5.9130060000000002</v>
      </c>
      <c r="E6153">
        <v>0.46635549999999998</v>
      </c>
      <c r="F6153" t="s">
        <v>112</v>
      </c>
      <c r="G6153">
        <v>-370.4708</v>
      </c>
      <c r="H6153" s="1">
        <v>-4.5135979999999998E-6</v>
      </c>
      <c r="I6153">
        <v>19.723769999999998</v>
      </c>
      <c r="J6153">
        <v>-402.75799999999998</v>
      </c>
      <c r="K6153">
        <v>1.115165</v>
      </c>
      <c r="L6153">
        <v>17.400879999999901</v>
      </c>
      <c r="M6153">
        <v>0.99355380000000004</v>
      </c>
      <c r="N6153">
        <v>0</v>
      </c>
      <c r="O6153">
        <v>-0.11243450000000001</v>
      </c>
      <c r="P6153">
        <v>0.99956299999999998</v>
      </c>
      <c r="Q6153">
        <v>2.3208010000000001E-2</v>
      </c>
      <c r="R6153">
        <v>-1.8312640000000002E-2</v>
      </c>
      <c r="S6153">
        <v>3.0088810000000001</v>
      </c>
      <c r="T6153">
        <v>-0.1033087</v>
      </c>
      <c r="U6153">
        <v>0.21368409999999999</v>
      </c>
      <c r="V6153">
        <v>-9.4639470000000003E-2</v>
      </c>
      <c r="W6153">
        <v>3.6482649999999998E-2</v>
      </c>
      <c r="X6153">
        <v>0.99484289999999997</v>
      </c>
      <c r="Y6153">
        <v>-0.18238090000000001</v>
      </c>
      <c r="Z6153">
        <v>6.9786550000000003E-3</v>
      </c>
      <c r="AA6153">
        <v>0.98320320000000005</v>
      </c>
      <c r="AB6153">
        <v>23</v>
      </c>
      <c r="AC6153">
        <v>32.287199999999999</v>
      </c>
      <c r="AD6153">
        <v>-1.115169513598</v>
      </c>
      <c r="AE6153">
        <v>2.3228900000000001</v>
      </c>
      <c r="AF6153">
        <v>-5.9316932286704596</v>
      </c>
      <c r="AG6153">
        <v>-1.115169513598</v>
      </c>
      <c r="AH6153">
        <v>31.783507230745599</v>
      </c>
      <c r="AI6153">
        <v>91.975400073122699</v>
      </c>
      <c r="AJ6153">
        <v>100.571384028618</v>
      </c>
      <c r="AK6153">
        <v>32.351505675779201</v>
      </c>
      <c r="AL6153">
        <v>87.909234167743307</v>
      </c>
      <c r="AM6153">
        <v>95.434197944063399</v>
      </c>
      <c r="AN6153">
        <v>1.0000000043566499</v>
      </c>
    </row>
    <row r="6154" spans="1:40" x14ac:dyDescent="0.25">
      <c r="A6154" t="str">
        <f>"20190312160456302"</f>
        <v>20190312160456302</v>
      </c>
      <c r="B6154" t="str">
        <f>"1552377896291794"</f>
        <v>1552377896291794</v>
      </c>
      <c r="C6154" t="s">
        <v>40</v>
      </c>
      <c r="D6154">
        <v>5.8198939999999997</v>
      </c>
      <c r="E6154">
        <v>0.49730360000000001</v>
      </c>
      <c r="F6154" t="s">
        <v>110</v>
      </c>
      <c r="G6154">
        <v>-369.46890000000002</v>
      </c>
      <c r="H6154" s="1">
        <v>-3.0576130000000001E-7</v>
      </c>
      <c r="I6154">
        <v>19.820340000000002</v>
      </c>
      <c r="J6154">
        <v>-402.63260000000002</v>
      </c>
      <c r="K6154">
        <v>1.115057</v>
      </c>
      <c r="L6154">
        <v>17.391359999999999</v>
      </c>
      <c r="M6154">
        <v>0.99401099999999998</v>
      </c>
      <c r="N6154">
        <v>0</v>
      </c>
      <c r="O6154">
        <v>-0.1083228</v>
      </c>
      <c r="P6154">
        <v>0.99961369999999905</v>
      </c>
      <c r="Q6154">
        <v>2.3073409999999999E-2</v>
      </c>
      <c r="R6154">
        <v>-1.549993E-2</v>
      </c>
      <c r="S6154">
        <v>3.00766</v>
      </c>
      <c r="T6154">
        <v>-0.10075489999999999</v>
      </c>
      <c r="U6154">
        <v>0.2185974</v>
      </c>
      <c r="V6154">
        <v>-9.3311050000000006E-2</v>
      </c>
      <c r="W6154">
        <v>3.6365420000000002E-2</v>
      </c>
      <c r="X6154">
        <v>0.99497259999999998</v>
      </c>
      <c r="Y6154">
        <v>-0.17995039999999901</v>
      </c>
      <c r="Z6154">
        <v>6.630861E-3</v>
      </c>
      <c r="AA6154">
        <v>0.98365329999999995</v>
      </c>
      <c r="AB6154">
        <v>23</v>
      </c>
      <c r="AC6154">
        <v>33.163699999999999</v>
      </c>
      <c r="AD6154">
        <v>-1.1150573057613</v>
      </c>
      <c r="AE6154">
        <v>2.4289800000000001</v>
      </c>
      <c r="AF6154">
        <v>-6.0006958411540703</v>
      </c>
      <c r="AG6154">
        <v>-1.1150573057613</v>
      </c>
      <c r="AH6154">
        <v>32.668640519504599</v>
      </c>
      <c r="AI6154">
        <v>91.922737925763101</v>
      </c>
      <c r="AJ6154">
        <v>100.408276785982</v>
      </c>
      <c r="AK6154">
        <v>33.233894998416801</v>
      </c>
      <c r="AL6154">
        <v>87.915955267995002</v>
      </c>
      <c r="AM6154">
        <v>95.357672761161496</v>
      </c>
      <c r="AN6154">
        <v>0.99999993528731701</v>
      </c>
    </row>
    <row r="6155" spans="1:40" x14ac:dyDescent="0.25">
      <c r="A6155" t="str">
        <f>"20190312160456314"</f>
        <v>20190312160456314</v>
      </c>
      <c r="B6155" t="str">
        <f>"1552377896311314"</f>
        <v>1552377896311314</v>
      </c>
      <c r="C6155" t="s">
        <v>40</v>
      </c>
      <c r="D6155">
        <v>6.0533950000000001</v>
      </c>
      <c r="E6155">
        <v>0.49270969999999997</v>
      </c>
      <c r="F6155" t="s">
        <v>112</v>
      </c>
      <c r="G6155">
        <v>-378.32260000000002</v>
      </c>
      <c r="H6155" s="1">
        <v>-1.260523E-6</v>
      </c>
      <c r="I6155">
        <v>17.240459999999999</v>
      </c>
      <c r="J6155">
        <v>-402.5179</v>
      </c>
      <c r="K6155">
        <v>1.114954</v>
      </c>
      <c r="L6155">
        <v>17.383089999999999</v>
      </c>
      <c r="M6155">
        <v>0.99440620000000002</v>
      </c>
      <c r="N6155">
        <v>0</v>
      </c>
      <c r="O6155">
        <v>-0.10463600000000001</v>
      </c>
      <c r="P6155">
        <v>0.99965420000000005</v>
      </c>
      <c r="Q6155">
        <v>2.287169E-2</v>
      </c>
      <c r="R6155">
        <v>-1.299138E-2</v>
      </c>
      <c r="S6155">
        <v>3.0040589999999998</v>
      </c>
      <c r="T6155">
        <v>-0.137791</v>
      </c>
      <c r="U6155">
        <v>-1.8646240000000001E-2</v>
      </c>
      <c r="V6155">
        <v>-9.2107010000000003E-2</v>
      </c>
      <c r="W6155">
        <v>3.6178630000000003E-2</v>
      </c>
      <c r="X6155">
        <v>0.99509170000000002</v>
      </c>
      <c r="Y6155">
        <v>-9.8259020000000002E-2</v>
      </c>
      <c r="Z6155">
        <v>7.0426880000000001E-3</v>
      </c>
      <c r="AA6155">
        <v>0.99513600000000002</v>
      </c>
      <c r="AB6155">
        <v>23</v>
      </c>
      <c r="AC6155">
        <v>24.1952999999999</v>
      </c>
      <c r="AD6155">
        <v>-1.114955260523</v>
      </c>
      <c r="AE6155">
        <v>-0.14262999999999601</v>
      </c>
      <c r="AF6155">
        <v>-2.3850508950451301</v>
      </c>
      <c r="AG6155">
        <v>-1.114955260523</v>
      </c>
      <c r="AH6155">
        <v>24.0263618526096</v>
      </c>
      <c r="AI6155">
        <v>92.643956540118097</v>
      </c>
      <c r="AJ6155">
        <v>95.6690696155745</v>
      </c>
      <c r="AK6155">
        <v>24.170181151109698</v>
      </c>
      <c r="AL6155">
        <v>87.926664817982896</v>
      </c>
      <c r="AM6155">
        <v>95.288305142025095</v>
      </c>
      <c r="AN6155">
        <v>1.0000000429843501</v>
      </c>
    </row>
    <row r="6156" spans="1:40" x14ac:dyDescent="0.25">
      <c r="A6156" t="str">
        <f>"20190312160456326"</f>
        <v>20190312160456326</v>
      </c>
      <c r="B6156" t="str">
        <f>"1552377896321074"</f>
        <v>1552377896321074</v>
      </c>
      <c r="C6156" t="s">
        <v>40</v>
      </c>
      <c r="D6156">
        <v>5.8065709999999999</v>
      </c>
      <c r="E6156">
        <v>0.49135800000000002</v>
      </c>
      <c r="F6156" t="s">
        <v>112</v>
      </c>
      <c r="G6156">
        <v>-374.36189999999999</v>
      </c>
      <c r="H6156" s="1">
        <v>-3.0003119999999998E-6</v>
      </c>
      <c r="I6156">
        <v>17.616769999999999</v>
      </c>
      <c r="J6156">
        <v>-402.39060000000001</v>
      </c>
      <c r="K6156">
        <v>1.1148450000000001</v>
      </c>
      <c r="L6156">
        <v>17.374110000000002</v>
      </c>
      <c r="M6156">
        <v>0.99482380000000004</v>
      </c>
      <c r="N6156">
        <v>0</v>
      </c>
      <c r="O6156">
        <v>-0.10059170000000001</v>
      </c>
      <c r="P6156">
        <v>0.99969410000000003</v>
      </c>
      <c r="Q6156">
        <v>2.2544249999999998E-2</v>
      </c>
      <c r="R6156">
        <v>-1.0183660000000001E-2</v>
      </c>
      <c r="S6156">
        <v>3.004089</v>
      </c>
      <c r="T6156">
        <v>-0.1189597</v>
      </c>
      <c r="U6156">
        <v>2.4932860000000001E-2</v>
      </c>
      <c r="V6156">
        <v>-9.0842939999999997E-2</v>
      </c>
      <c r="W6156">
        <v>3.5866500000000003E-2</v>
      </c>
      <c r="X6156">
        <v>0.99521919999999997</v>
      </c>
      <c r="Y6156">
        <v>-0.1086921</v>
      </c>
      <c r="Z6156">
        <v>6.1286719999999999E-3</v>
      </c>
      <c r="AA6156">
        <v>0.99405659999999896</v>
      </c>
      <c r="AB6156">
        <v>23</v>
      </c>
      <c r="AC6156">
        <v>28.028700000000001</v>
      </c>
      <c r="AD6156">
        <v>-1.114848000312</v>
      </c>
      <c r="AE6156">
        <v>0.24265999999999999</v>
      </c>
      <c r="AF6156">
        <v>-3.0563402671936899</v>
      </c>
      <c r="AG6156">
        <v>-1.114848000312</v>
      </c>
      <c r="AH6156">
        <v>27.818084149421701</v>
      </c>
      <c r="AI6156">
        <v>92.281266234856901</v>
      </c>
      <c r="AJ6156">
        <v>96.269872561099206</v>
      </c>
      <c r="AK6156">
        <v>28.007675869964299</v>
      </c>
      <c r="AL6156">
        <v>87.944560179530896</v>
      </c>
      <c r="AM6156">
        <v>95.2154673620404</v>
      </c>
      <c r="AN6156">
        <v>1.0000000508093601</v>
      </c>
    </row>
    <row r="6157" spans="1:40" x14ac:dyDescent="0.25">
      <c r="A6157" t="str">
        <f>"20190312160456337"</f>
        <v>20190312160456337</v>
      </c>
      <c r="B6157" t="str">
        <f>"1552377896331810"</f>
        <v>1552377896331810</v>
      </c>
      <c r="C6157" t="s">
        <v>40</v>
      </c>
      <c r="D6157">
        <v>5.8008480000000002</v>
      </c>
      <c r="E6157">
        <v>0.49022510000000002</v>
      </c>
      <c r="F6157" t="s">
        <v>110</v>
      </c>
      <c r="G6157">
        <v>-367.99459999999999</v>
      </c>
      <c r="H6157" s="1">
        <v>-1.257974E-6</v>
      </c>
      <c r="I6157">
        <v>17.871079999999999</v>
      </c>
      <c r="J6157">
        <v>-402.2783</v>
      </c>
      <c r="K6157">
        <v>1.114746</v>
      </c>
      <c r="L6157">
        <v>17.366789999999899</v>
      </c>
      <c r="M6157">
        <v>0.99516610000000005</v>
      </c>
      <c r="N6157">
        <v>0</v>
      </c>
      <c r="O6157">
        <v>-9.7148429999999994E-2</v>
      </c>
      <c r="P6157">
        <v>0.99972220000000001</v>
      </c>
      <c r="Q6157">
        <v>2.2192369999999999E-2</v>
      </c>
      <c r="R6157">
        <v>-7.9400330000000009E-3</v>
      </c>
      <c r="S6157">
        <v>3.0035400000000001</v>
      </c>
      <c r="T6157">
        <v>-9.735096E-2</v>
      </c>
      <c r="U6157">
        <v>4.3395999999999997E-2</v>
      </c>
      <c r="V6157">
        <v>-8.9619110000000002E-2</v>
      </c>
      <c r="W6157">
        <v>3.5530539999999999E-2</v>
      </c>
      <c r="X6157">
        <v>0.99534210000000001</v>
      </c>
      <c r="Y6157">
        <v>-0.1114173</v>
      </c>
      <c r="Z6157">
        <v>4.9500020000000002E-3</v>
      </c>
      <c r="AA6157">
        <v>0.99376140000000002</v>
      </c>
      <c r="AB6157">
        <v>23</v>
      </c>
      <c r="AC6157">
        <v>34.283700000000003</v>
      </c>
      <c r="AD6157">
        <v>-1.1147472579739901</v>
      </c>
      <c r="AE6157">
        <v>0.50429000000000102</v>
      </c>
      <c r="AF6157">
        <v>-3.8288087970133602</v>
      </c>
      <c r="AG6157">
        <v>-1.1147472579739901</v>
      </c>
      <c r="AH6157">
        <v>34.036527869364498</v>
      </c>
      <c r="AI6157">
        <v>91.864103081156202</v>
      </c>
      <c r="AJ6157">
        <v>96.418287055011604</v>
      </c>
      <c r="AK6157">
        <v>34.269340052812097</v>
      </c>
      <c r="AL6157">
        <v>87.963821340665504</v>
      </c>
      <c r="AM6157">
        <v>95.144952732544695</v>
      </c>
      <c r="AN6157">
        <v>0.99999995009114495</v>
      </c>
    </row>
    <row r="6158" spans="1:40" x14ac:dyDescent="0.25">
      <c r="A6158" t="str">
        <f>"20190312160456349"</f>
        <v>20190312160456349</v>
      </c>
      <c r="B6158" t="str">
        <f>"1552377896341570"</f>
        <v>1552377896341570</v>
      </c>
      <c r="C6158" t="s">
        <v>40</v>
      </c>
      <c r="D6158">
        <v>5.8517570000000001</v>
      </c>
      <c r="E6158">
        <v>0.490591</v>
      </c>
      <c r="F6158" t="s">
        <v>110</v>
      </c>
      <c r="G6158">
        <v>-360.755</v>
      </c>
      <c r="H6158" s="1">
        <v>-4.6258370000000002E-6</v>
      </c>
      <c r="I6158">
        <v>18.177389999999999</v>
      </c>
      <c r="J6158">
        <v>-402.15989999999999</v>
      </c>
      <c r="K6158">
        <v>1.1146339999999999</v>
      </c>
      <c r="L6158">
        <v>17.359189999999899</v>
      </c>
      <c r="M6158">
        <v>0.99551100000000003</v>
      </c>
      <c r="N6158">
        <v>0</v>
      </c>
      <c r="O6158">
        <v>-9.355165E-2</v>
      </c>
      <c r="P6158">
        <v>0.9997452</v>
      </c>
      <c r="Q6158">
        <v>2.1892289999999998E-2</v>
      </c>
      <c r="R6158">
        <v>-5.4988679999999996E-3</v>
      </c>
      <c r="S6158">
        <v>3.0030519999999998</v>
      </c>
      <c r="T6158">
        <v>-8.0621239999999997E-2</v>
      </c>
      <c r="U6158">
        <v>5.8624269999999999E-2</v>
      </c>
      <c r="V6158">
        <v>-8.8440539999999998E-2</v>
      </c>
      <c r="W6158">
        <v>3.5245099999999897E-2</v>
      </c>
      <c r="X6158">
        <v>0.9954577</v>
      </c>
      <c r="Y6158">
        <v>-0.1129014</v>
      </c>
      <c r="Z6158">
        <v>4.0239910000000002E-3</v>
      </c>
      <c r="AA6158">
        <v>0.99359799999999998</v>
      </c>
      <c r="AB6158">
        <v>23</v>
      </c>
      <c r="AC6158">
        <v>41.404899999999998</v>
      </c>
      <c r="AD6158">
        <v>-1.114638625837</v>
      </c>
      <c r="AE6158">
        <v>0.81820000000000004</v>
      </c>
      <c r="AF6158">
        <v>-4.6851125821314703</v>
      </c>
      <c r="AG6158">
        <v>-1.114638625837</v>
      </c>
      <c r="AH6158">
        <v>41.116940235552498</v>
      </c>
      <c r="AI6158">
        <v>91.542871344748903</v>
      </c>
      <c r="AJ6158">
        <v>96.500590122118595</v>
      </c>
      <c r="AK6158">
        <v>41.398012917378701</v>
      </c>
      <c r="AL6158">
        <v>87.980186178135199</v>
      </c>
      <c r="AM6158">
        <v>95.077061556258997</v>
      </c>
      <c r="AN6158">
        <v>0.99999998933939505</v>
      </c>
    </row>
    <row r="6159" spans="1:40" x14ac:dyDescent="0.25">
      <c r="A6159" t="str">
        <f>"20190312160456360"</f>
        <v>20190312160456360</v>
      </c>
      <c r="B6159" t="str">
        <f>"1552377896351330"</f>
        <v>1552377896351330</v>
      </c>
      <c r="C6159" t="s">
        <v>40</v>
      </c>
      <c r="D6159">
        <v>5.9093309999999999</v>
      </c>
      <c r="E6159">
        <v>0.49002639999999997</v>
      </c>
      <c r="F6159" t="s">
        <v>112</v>
      </c>
      <c r="G6159">
        <v>-371.63240000000002</v>
      </c>
      <c r="H6159" s="1">
        <v>-4.2212369999999999E-6</v>
      </c>
      <c r="I6159">
        <v>18.00778</v>
      </c>
      <c r="J6159">
        <v>-402.03640000000001</v>
      </c>
      <c r="K6159">
        <v>1.1145149999999999</v>
      </c>
      <c r="L6159">
        <v>17.35181</v>
      </c>
      <c r="M6159">
        <v>0.99584439999999996</v>
      </c>
      <c r="N6159">
        <v>0</v>
      </c>
      <c r="O6159">
        <v>-8.9938019999999994E-2</v>
      </c>
      <c r="P6159">
        <v>0.99975930000000002</v>
      </c>
      <c r="Q6159">
        <v>2.169223E-2</v>
      </c>
      <c r="R6159">
        <v>-3.2859719999999999E-3</v>
      </c>
      <c r="S6159">
        <v>3.0035099999999999</v>
      </c>
      <c r="T6159">
        <v>-0.109665899999999</v>
      </c>
      <c r="U6159">
        <v>6.3812259999999996E-2</v>
      </c>
      <c r="V6159">
        <v>-8.7018410000000004E-2</v>
      </c>
      <c r="W6159">
        <v>3.5063530000000002E-2</v>
      </c>
      <c r="X6159">
        <v>0.99558939999999996</v>
      </c>
      <c r="Y6159">
        <v>-0.1109482</v>
      </c>
      <c r="Z6159">
        <v>5.3047909999999997E-3</v>
      </c>
      <c r="AA6159">
        <v>0.99381200000000003</v>
      </c>
      <c r="AB6159">
        <v>23</v>
      </c>
      <c r="AC6159">
        <v>30.404</v>
      </c>
      <c r="AD6159">
        <v>-1.1145192212370001</v>
      </c>
      <c r="AE6159">
        <v>0.65596999999999905</v>
      </c>
      <c r="AF6159">
        <v>-3.3835226044843099</v>
      </c>
      <c r="AG6159">
        <v>-1.1145192212370001</v>
      </c>
      <c r="AH6159">
        <v>30.181218950421801</v>
      </c>
      <c r="AI6159">
        <v>92.101679488548498</v>
      </c>
      <c r="AJ6159">
        <v>96.3965437385706</v>
      </c>
      <c r="AK6159">
        <v>30.390728119656199</v>
      </c>
      <c r="AL6159">
        <v>87.9905957363478</v>
      </c>
      <c r="AM6159">
        <v>94.995181042625006</v>
      </c>
      <c r="AN6159">
        <v>0.99999995410367304</v>
      </c>
    </row>
    <row r="6160" spans="1:40" x14ac:dyDescent="0.25">
      <c r="A6160" t="str">
        <f>"20190312160456371"</f>
        <v>20190312160456371</v>
      </c>
      <c r="B6160" t="str">
        <f>"1552377896361091"</f>
        <v>1552377896361091</v>
      </c>
      <c r="C6160" t="s">
        <v>40</v>
      </c>
      <c r="D6160">
        <v>5.8619479999999999</v>
      </c>
      <c r="E6160">
        <v>0.49055729999999997</v>
      </c>
      <c r="F6160" t="s">
        <v>110</v>
      </c>
      <c r="G6160">
        <v>-366.98520000000002</v>
      </c>
      <c r="H6160" s="1">
        <v>-1.6730269999999901E-6</v>
      </c>
      <c r="I6160">
        <v>18.22128</v>
      </c>
      <c r="J6160">
        <v>-401.92349999999999</v>
      </c>
      <c r="K6160">
        <v>1.1144069999999999</v>
      </c>
      <c r="L6160">
        <v>17.34525</v>
      </c>
      <c r="M6160">
        <v>0.99613289999999999</v>
      </c>
      <c r="N6160">
        <v>0</v>
      </c>
      <c r="O6160">
        <v>-8.6688349999999997E-2</v>
      </c>
      <c r="P6160">
        <v>0.99976370000000003</v>
      </c>
      <c r="Q6160">
        <v>2.170383E-2</v>
      </c>
      <c r="R6160">
        <v>-1.190677E-3</v>
      </c>
      <c r="S6160">
        <v>3.003082</v>
      </c>
      <c r="T6160">
        <v>-9.5488310000000007E-2</v>
      </c>
      <c r="U6160">
        <v>7.4493409999999996E-2</v>
      </c>
      <c r="V6160">
        <v>-8.5847090000000001E-2</v>
      </c>
      <c r="W6160">
        <v>3.5089740000000001E-2</v>
      </c>
      <c r="X6160">
        <v>0.99569019999999997</v>
      </c>
      <c r="Y6160">
        <v>-0.1112752</v>
      </c>
      <c r="Z6160">
        <v>4.522089E-3</v>
      </c>
      <c r="AA6160">
        <v>0.99377939999999998</v>
      </c>
      <c r="AB6160">
        <v>23</v>
      </c>
      <c r="AC6160">
        <v>34.938299999999899</v>
      </c>
      <c r="AD6160">
        <v>-1.114408673027</v>
      </c>
      <c r="AE6160">
        <v>0.87602999999999998</v>
      </c>
      <c r="AF6160">
        <v>-3.89782152368646</v>
      </c>
      <c r="AG6160">
        <v>-1.114408673027</v>
      </c>
      <c r="AH6160">
        <v>34.695521215590603</v>
      </c>
      <c r="AI6160">
        <v>91.828196153503995</v>
      </c>
      <c r="AJ6160">
        <v>96.409940393340804</v>
      </c>
      <c r="AK6160">
        <v>34.931563259358001</v>
      </c>
      <c r="AL6160">
        <v>87.989093168553197</v>
      </c>
      <c r="AM6160">
        <v>94.927779838094693</v>
      </c>
      <c r="AN6160">
        <v>0.99999999354538704</v>
      </c>
    </row>
    <row r="6161" spans="1:40" x14ac:dyDescent="0.25">
      <c r="A6161" t="str">
        <f>"20190312160456391"</f>
        <v>20190312160456391</v>
      </c>
      <c r="B6161" t="str">
        <f>"1552377896381586"</f>
        <v>1552377896381586</v>
      </c>
      <c r="C6161" t="s">
        <v>40</v>
      </c>
      <c r="D6161">
        <v>5.7722680000000004</v>
      </c>
      <c r="E6161">
        <v>0.48997010000000002</v>
      </c>
      <c r="F6161" t="s">
        <v>112</v>
      </c>
      <c r="G6161">
        <v>-372.79640000000001</v>
      </c>
      <c r="H6161" s="1">
        <v>-3.6559270000000001E-6</v>
      </c>
      <c r="I6161">
        <v>18.092569999999998</v>
      </c>
      <c r="J6161">
        <v>-401.73110000000003</v>
      </c>
      <c r="K6161">
        <v>1.114223</v>
      </c>
      <c r="L6161">
        <v>17.33475</v>
      </c>
      <c r="M6161">
        <v>0.9965851</v>
      </c>
      <c r="N6161">
        <v>0</v>
      </c>
      <c r="O6161">
        <v>-8.1331100000000003E-2</v>
      </c>
      <c r="P6161">
        <v>0.99976350000000003</v>
      </c>
      <c r="Q6161">
        <v>2.1675010000000001E-2</v>
      </c>
      <c r="R6161">
        <v>1.8656619999999999E-3</v>
      </c>
      <c r="S6161">
        <v>3.0032960000000002</v>
      </c>
      <c r="T6161">
        <v>-0.1149073</v>
      </c>
      <c r="U6161">
        <v>7.7056879999999994E-2</v>
      </c>
      <c r="V6161">
        <v>-8.3519979999999994E-2</v>
      </c>
      <c r="W6161">
        <v>3.5088319999999999E-2</v>
      </c>
      <c r="X6161">
        <v>0.9958882</v>
      </c>
      <c r="Y6161">
        <v>-0.1067391</v>
      </c>
      <c r="Z6161">
        <v>5.149514E-3</v>
      </c>
      <c r="AA6161">
        <v>0.99427370000000004</v>
      </c>
      <c r="AB6161">
        <v>23</v>
      </c>
      <c r="AC6161">
        <v>28.934699999999999</v>
      </c>
      <c r="AD6161">
        <v>-1.114226655927</v>
      </c>
      <c r="AE6161">
        <v>0.75782000000000205</v>
      </c>
      <c r="AF6161">
        <v>-3.1042391783821501</v>
      </c>
      <c r="AG6161">
        <v>-1.114226655927</v>
      </c>
      <c r="AH6161">
        <v>28.734602148701001</v>
      </c>
      <c r="AI6161">
        <v>92.207782889277993</v>
      </c>
      <c r="AJ6161">
        <v>96.1658305448492</v>
      </c>
      <c r="AK6161">
        <v>28.923263345644699</v>
      </c>
      <c r="AL6161">
        <v>87.989174676327394</v>
      </c>
      <c r="AM6161">
        <v>94.793882022557796</v>
      </c>
      <c r="AN6161">
        <v>1.0000000420794299</v>
      </c>
    </row>
    <row r="6162" spans="1:40" x14ac:dyDescent="0.25">
      <c r="A6162" t="str">
        <f>"20190312160456402"</f>
        <v>20190312160456402</v>
      </c>
      <c r="B6162" t="str">
        <f>"1552377896391346"</f>
        <v>1552377896391346</v>
      </c>
      <c r="C6162" t="s">
        <v>40</v>
      </c>
      <c r="D6162">
        <v>5.9633560000000001</v>
      </c>
      <c r="E6162">
        <v>0.48960300000000001</v>
      </c>
      <c r="F6162" t="s">
        <v>110</v>
      </c>
      <c r="G6162">
        <v>-365.8184</v>
      </c>
      <c r="H6162" s="1">
        <v>-2.1905750000000002E-6</v>
      </c>
      <c r="I6162">
        <v>18.412990000000001</v>
      </c>
      <c r="J6162">
        <v>-401.61579999999998</v>
      </c>
      <c r="K6162">
        <v>1.1141099999999999</v>
      </c>
      <c r="L6162">
        <v>17.32892</v>
      </c>
      <c r="M6162">
        <v>0.99683330000000003</v>
      </c>
      <c r="N6162">
        <v>0</v>
      </c>
      <c r="O6162">
        <v>-7.8233910000000004E-2</v>
      </c>
      <c r="P6162">
        <v>0.99976560000000003</v>
      </c>
      <c r="Q6162">
        <v>2.1357950000000001E-2</v>
      </c>
      <c r="R6162">
        <v>3.6095210000000001E-3</v>
      </c>
      <c r="S6162">
        <v>3.0025629999999999</v>
      </c>
      <c r="T6162">
        <v>-9.3157290000000004E-2</v>
      </c>
      <c r="U6162">
        <v>9.0148930000000002E-2</v>
      </c>
      <c r="V6162">
        <v>-8.2149780000000006E-2</v>
      </c>
      <c r="W6162">
        <v>3.4786659999999997E-2</v>
      </c>
      <c r="X6162">
        <v>0.99601269999999997</v>
      </c>
      <c r="Y6162">
        <v>-0.10803550000000001</v>
      </c>
      <c r="Z6162">
        <v>4.1004149999999996E-3</v>
      </c>
      <c r="AA6162">
        <v>0.99413859999999998</v>
      </c>
      <c r="AB6162">
        <v>23</v>
      </c>
      <c r="AC6162">
        <v>35.797399999999897</v>
      </c>
      <c r="AD6162">
        <v>-1.114112190575</v>
      </c>
      <c r="AE6162">
        <v>1.0840700000000001</v>
      </c>
      <c r="AF6162">
        <v>-3.8778485801037799</v>
      </c>
      <c r="AG6162">
        <v>-1.114112190575</v>
      </c>
      <c r="AH6162">
        <v>35.568419305873199</v>
      </c>
      <c r="AI6162">
        <v>91.783531543192197</v>
      </c>
      <c r="AJ6162">
        <v>96.222099788892706</v>
      </c>
      <c r="AK6162">
        <v>35.796527869359302</v>
      </c>
      <c r="AL6162">
        <v>88.006468991471905</v>
      </c>
      <c r="AM6162">
        <v>94.715006072394601</v>
      </c>
      <c r="AN6162">
        <v>0.99999999831464603</v>
      </c>
    </row>
    <row r="6163" spans="1:40" x14ac:dyDescent="0.25">
      <c r="A6163" t="str">
        <f>"20190312160456414"</f>
        <v>20190312160456414</v>
      </c>
      <c r="B6163" t="str">
        <f>"1552377896411842"</f>
        <v>1552377896411842</v>
      </c>
      <c r="C6163" t="s">
        <v>40</v>
      </c>
      <c r="D6163">
        <v>5.9748910000000004</v>
      </c>
      <c r="E6163">
        <v>0.48900690000000002</v>
      </c>
      <c r="F6163" t="s">
        <v>110</v>
      </c>
      <c r="G6163">
        <v>-363.08069999999998</v>
      </c>
      <c r="H6163" s="1">
        <v>-3.453811E-6</v>
      </c>
      <c r="I6163">
        <v>18.587119999999999</v>
      </c>
      <c r="J6163">
        <v>-401.49680000000001</v>
      </c>
      <c r="K6163">
        <v>1.113998</v>
      </c>
      <c r="L6163">
        <v>17.323119999999999</v>
      </c>
      <c r="M6163">
        <v>0.99707380000000001</v>
      </c>
      <c r="N6163">
        <v>0</v>
      </c>
      <c r="O6163">
        <v>-7.511147E-2</v>
      </c>
      <c r="P6163">
        <v>0.99976799999999999</v>
      </c>
      <c r="Q6163">
        <v>2.0778430000000001E-2</v>
      </c>
      <c r="R6163">
        <v>5.7047859999999999E-3</v>
      </c>
      <c r="S6163">
        <v>3.002167</v>
      </c>
      <c r="T6163">
        <v>-8.6797479999999996E-2</v>
      </c>
      <c r="U6163">
        <v>9.8022460000000006E-2</v>
      </c>
      <c r="V6163">
        <v>-8.1103620000000001E-2</v>
      </c>
      <c r="W6163">
        <v>3.4219090000000001E-2</v>
      </c>
      <c r="X6163">
        <v>0.99611810000000001</v>
      </c>
      <c r="Y6163">
        <v>-0.10754379999999999</v>
      </c>
      <c r="Z6163">
        <v>3.7238039999999998E-3</v>
      </c>
      <c r="AA6163">
        <v>0.9941934</v>
      </c>
      <c r="AB6163">
        <v>23</v>
      </c>
      <c r="AC6163">
        <v>38.4161</v>
      </c>
      <c r="AD6163">
        <v>-1.1140014538109999</v>
      </c>
      <c r="AE6163">
        <v>1.264</v>
      </c>
      <c r="AF6163">
        <v>-4.1427301712896396</v>
      </c>
      <c r="AG6163">
        <v>-1.1140014538109999</v>
      </c>
      <c r="AH6163">
        <v>38.180536235737598</v>
      </c>
      <c r="AI6163">
        <v>91.661510346360203</v>
      </c>
      <c r="AJ6163">
        <v>96.192579120581499</v>
      </c>
      <c r="AK6163">
        <v>38.420782914455003</v>
      </c>
      <c r="AL6163">
        <v>88.039007746669597</v>
      </c>
      <c r="AM6163">
        <v>94.654736656862596</v>
      </c>
      <c r="AN6163">
        <v>1.00000000622257</v>
      </c>
    </row>
    <row r="6164" spans="1:40" x14ac:dyDescent="0.25">
      <c r="A6164" t="str">
        <f>"20190312160456428"</f>
        <v>20190312160456428</v>
      </c>
      <c r="B6164" t="str">
        <f>"1552377896421603"</f>
        <v>1552377896421603</v>
      </c>
      <c r="C6164" t="s">
        <v>40</v>
      </c>
      <c r="D6164">
        <v>5.7583950000000002</v>
      </c>
      <c r="E6164">
        <v>0.48883310000000002</v>
      </c>
      <c r="F6164" t="s">
        <v>41</v>
      </c>
      <c r="G6164">
        <v>-357.84719999999999</v>
      </c>
      <c r="H6164" s="1">
        <v>-1.0323780000000001E-6</v>
      </c>
      <c r="I6164">
        <v>18.90286</v>
      </c>
      <c r="J6164">
        <v>-401.35419999999999</v>
      </c>
      <c r="K6164">
        <v>1.113869</v>
      </c>
      <c r="L6164">
        <v>17.316469999999999</v>
      </c>
      <c r="M6164">
        <v>0.99734350000000005</v>
      </c>
      <c r="N6164">
        <v>0</v>
      </c>
      <c r="O6164">
        <v>-7.1445729999999999E-2</v>
      </c>
      <c r="P6164">
        <v>0.99976589999999999</v>
      </c>
      <c r="Q6164">
        <v>2.0103590000000001E-2</v>
      </c>
      <c r="R6164">
        <v>8.0117399999999998E-3</v>
      </c>
      <c r="S6164">
        <v>3.001709</v>
      </c>
      <c r="T6164">
        <v>-7.6607939999999999E-2</v>
      </c>
      <c r="U6164">
        <v>0.10864260000000001</v>
      </c>
      <c r="V6164">
        <v>-7.9723600000000006E-2</v>
      </c>
      <c r="W6164">
        <v>3.355905E-2</v>
      </c>
      <c r="X6164">
        <v>0.99625189999999997</v>
      </c>
      <c r="Y6164">
        <v>-0.1074254</v>
      </c>
      <c r="Z6164">
        <v>3.192266E-3</v>
      </c>
      <c r="AA6164">
        <v>0.99420799999999998</v>
      </c>
      <c r="AB6164">
        <v>23</v>
      </c>
      <c r="AC6164">
        <v>43.506999999999998</v>
      </c>
      <c r="AD6164">
        <v>-1.113870032378</v>
      </c>
      <c r="AE6164">
        <v>1.58638999999999</v>
      </c>
      <c r="AF6164">
        <v>-4.6879689317661102</v>
      </c>
      <c r="AG6164">
        <v>-1.113870032378</v>
      </c>
      <c r="AH6164">
        <v>43.254128716119503</v>
      </c>
      <c r="AI6164">
        <v>91.466556621321402</v>
      </c>
      <c r="AJ6164">
        <v>96.185686139686197</v>
      </c>
      <c r="AK6164">
        <v>43.521688962457198</v>
      </c>
      <c r="AL6164">
        <v>88.076846890197899</v>
      </c>
      <c r="AM6164">
        <v>94.575261207560303</v>
      </c>
      <c r="AN6164">
        <v>0.99999995524373497</v>
      </c>
    </row>
    <row r="6165" spans="1:40" x14ac:dyDescent="0.25">
      <c r="A6165" t="str">
        <f>"20190312160456448"</f>
        <v>20190312160456448</v>
      </c>
      <c r="B6165" t="str">
        <f>"1552377896441123"</f>
        <v>1552377896441123</v>
      </c>
      <c r="C6165" t="s">
        <v>40</v>
      </c>
      <c r="D6165">
        <v>5.8119399999999999</v>
      </c>
      <c r="E6165">
        <v>0.4902707</v>
      </c>
      <c r="F6165" t="s">
        <v>41</v>
      </c>
      <c r="G6165">
        <v>-355.80029999999999</v>
      </c>
      <c r="H6165" s="1">
        <v>-1.877637E-6</v>
      </c>
      <c r="I6165">
        <v>19.08812</v>
      </c>
      <c r="J6165">
        <v>-401.1463</v>
      </c>
      <c r="K6165">
        <v>1.1136740000000001</v>
      </c>
      <c r="L6165">
        <v>17.307590000000001</v>
      </c>
      <c r="M6165">
        <v>0.99769399999999997</v>
      </c>
      <c r="N6165">
        <v>0</v>
      </c>
      <c r="O6165">
        <v>-6.6378660000000006E-2</v>
      </c>
      <c r="P6165">
        <v>0.99976209999999999</v>
      </c>
      <c r="Q6165">
        <v>1.8944490000000001E-2</v>
      </c>
      <c r="R6165">
        <v>1.082107E-2</v>
      </c>
      <c r="S6165">
        <v>3.0012819999999998</v>
      </c>
      <c r="T6165">
        <v>-7.3386549999999995E-2</v>
      </c>
      <c r="U6165">
        <v>0.11672970000000001</v>
      </c>
      <c r="V6165">
        <v>-7.7437510000000001E-2</v>
      </c>
      <c r="W6165">
        <v>3.2423840000000002E-2</v>
      </c>
      <c r="X6165">
        <v>0.99646990000000002</v>
      </c>
      <c r="Y6165">
        <v>-0.10506219999999999</v>
      </c>
      <c r="Z6165">
        <v>2.9058069999999998E-3</v>
      </c>
      <c r="AA6165">
        <v>0.99446140000000005</v>
      </c>
      <c r="AB6165">
        <v>23</v>
      </c>
      <c r="AC6165">
        <v>45.345999999999997</v>
      </c>
      <c r="AD6165">
        <v>-1.1136758776369999</v>
      </c>
      <c r="AE6165">
        <v>1.78052999999999</v>
      </c>
      <c r="AF6165">
        <v>-4.7840297191191699</v>
      </c>
      <c r="AG6165">
        <v>-1.1136758776369999</v>
      </c>
      <c r="AH6165">
        <v>45.100607022982601</v>
      </c>
      <c r="AI6165">
        <v>91.406637312379999</v>
      </c>
      <c r="AJ6165">
        <v>96.054985859881199</v>
      </c>
      <c r="AK6165">
        <v>45.3673006487641</v>
      </c>
      <c r="AL6165">
        <v>88.141925273437096</v>
      </c>
      <c r="AM6165">
        <v>94.443629623827405</v>
      </c>
      <c r="AN6165">
        <v>1.0000000674806699</v>
      </c>
    </row>
    <row r="6166" spans="1:40" x14ac:dyDescent="0.25">
      <c r="A6166" t="str">
        <f>"20190312160456462"</f>
        <v>20190312160456462</v>
      </c>
      <c r="B6166" t="str">
        <f>"1552377896451859"</f>
        <v>1552377896451859</v>
      </c>
      <c r="C6166" t="s">
        <v>40</v>
      </c>
      <c r="D6166">
        <v>5.9722720000000002</v>
      </c>
      <c r="E6166">
        <v>0.49048419999999998</v>
      </c>
      <c r="F6166" t="s">
        <v>41</v>
      </c>
      <c r="G6166">
        <v>-348.11360000000002</v>
      </c>
      <c r="H6166" s="1">
        <v>-8.4604270000000002E-7</v>
      </c>
      <c r="I6166">
        <v>19.309049999999999</v>
      </c>
      <c r="J6166">
        <v>-401.0009</v>
      </c>
      <c r="K6166">
        <v>1.1135389999999901</v>
      </c>
      <c r="L6166">
        <v>17.301850000000002</v>
      </c>
      <c r="M6166">
        <v>0.99791240000000003</v>
      </c>
      <c r="N6166">
        <v>0</v>
      </c>
      <c r="O6166">
        <v>-6.3014680000000003E-2</v>
      </c>
      <c r="P6166">
        <v>0.99973880000000004</v>
      </c>
      <c r="Q6166">
        <v>1.870111E-2</v>
      </c>
      <c r="R6166">
        <v>1.3135849999999999E-2</v>
      </c>
      <c r="S6166">
        <v>3.0006710000000001</v>
      </c>
      <c r="T6166">
        <v>-6.3013550000000002E-2</v>
      </c>
      <c r="U6166">
        <v>0.1132507</v>
      </c>
      <c r="V6166">
        <v>-7.6372250000000003E-2</v>
      </c>
      <c r="W6166">
        <v>3.2191740000000003E-2</v>
      </c>
      <c r="X6166">
        <v>0.99655959999999999</v>
      </c>
      <c r="Y6166">
        <v>-0.10058010000000001</v>
      </c>
      <c r="Z6166">
        <v>2.3781380000000001E-3</v>
      </c>
      <c r="AA6166">
        <v>0.99492610000000004</v>
      </c>
      <c r="AB6166">
        <v>23</v>
      </c>
      <c r="AC6166">
        <v>52.887299999999897</v>
      </c>
      <c r="AD6166">
        <v>-1.11353984604269</v>
      </c>
      <c r="AE6166">
        <v>2.0071999999999899</v>
      </c>
      <c r="AF6166">
        <v>-5.3338585238291101</v>
      </c>
      <c r="AG6166">
        <v>-1.11353984604269</v>
      </c>
      <c r="AH6166">
        <v>52.632376063941997</v>
      </c>
      <c r="AI6166">
        <v>91.2058478909928</v>
      </c>
      <c r="AJ6166">
        <v>95.7866999774796</v>
      </c>
      <c r="AK6166">
        <v>52.913675244469303</v>
      </c>
      <c r="AL6166">
        <v>88.155230504285001</v>
      </c>
      <c r="AM6166">
        <v>94.382348224795194</v>
      </c>
      <c r="AN6166">
        <v>1.0000000325232199</v>
      </c>
    </row>
    <row r="6167" spans="1:40" x14ac:dyDescent="0.25">
      <c r="A6167" t="str">
        <f>"20190312160456483"</f>
        <v>20190312160456483</v>
      </c>
      <c r="B6167" t="str">
        <f>"1552377896471379"</f>
        <v>1552377896471379</v>
      </c>
      <c r="C6167" t="s">
        <v>40</v>
      </c>
      <c r="D6167">
        <v>5.9649159999999997</v>
      </c>
      <c r="E6167">
        <v>0.49063519999999999</v>
      </c>
      <c r="F6167" t="s">
        <v>41</v>
      </c>
      <c r="G6167">
        <v>-344.21429999999998</v>
      </c>
      <c r="H6167" s="1">
        <v>-2.4778919999999998E-6</v>
      </c>
      <c r="I6167">
        <v>19.53997</v>
      </c>
      <c r="J6167">
        <v>-400.79790000000003</v>
      </c>
      <c r="K6167">
        <v>1.113354</v>
      </c>
      <c r="L6167">
        <v>17.2944</v>
      </c>
      <c r="M6167">
        <v>0.99818750000000001</v>
      </c>
      <c r="N6167">
        <v>0</v>
      </c>
      <c r="O6167">
        <v>-5.8504090000000002E-2</v>
      </c>
      <c r="P6167">
        <v>0.99971829999999995</v>
      </c>
      <c r="Q6167">
        <v>1.8095989999999999E-2</v>
      </c>
      <c r="R6167">
        <v>1.536413E-2</v>
      </c>
      <c r="S6167">
        <v>3.0003359999999999</v>
      </c>
      <c r="T6167">
        <v>-5.8834310000000001E-2</v>
      </c>
      <c r="U6167">
        <v>0.1182556</v>
      </c>
      <c r="V6167">
        <v>-7.4070650000000002E-2</v>
      </c>
      <c r="W6167">
        <v>3.1606960000000003E-2</v>
      </c>
      <c r="X6167">
        <v>0.99675199999999997</v>
      </c>
      <c r="Y6167">
        <v>-9.7750600000000007E-2</v>
      </c>
      <c r="Z6167">
        <v>2.1045629999999998E-3</v>
      </c>
      <c r="AA6167">
        <v>0.99520869999999995</v>
      </c>
      <c r="AB6167">
        <v>23</v>
      </c>
      <c r="AC6167">
        <v>56.583599999999997</v>
      </c>
      <c r="AD6167">
        <v>-1.113356477892</v>
      </c>
      <c r="AE6167">
        <v>2.2455699999999998</v>
      </c>
      <c r="AF6167">
        <v>-5.5502789355823703</v>
      </c>
      <c r="AG6167">
        <v>-1.113356477892</v>
      </c>
      <c r="AH6167">
        <v>56.333498815010003</v>
      </c>
      <c r="AI6167">
        <v>91.126772962995503</v>
      </c>
      <c r="AJ6167">
        <v>95.626927563899798</v>
      </c>
      <c r="AK6167">
        <v>56.617208052414298</v>
      </c>
      <c r="AL6167">
        <v>88.188752940361297</v>
      </c>
      <c r="AM6167">
        <v>94.249953200555296</v>
      </c>
      <c r="AN6167">
        <v>1.0000000053079301</v>
      </c>
    </row>
    <row r="6168" spans="1:40" x14ac:dyDescent="0.25">
      <c r="A6168" t="str">
        <f>"20190312160456502"</f>
        <v>20190312160456502</v>
      </c>
      <c r="B6168" t="str">
        <f>"1552377896490898"</f>
        <v>1552377896490898</v>
      </c>
      <c r="C6168" t="s">
        <v>40</v>
      </c>
      <c r="D6168">
        <v>5.9093289999999996</v>
      </c>
      <c r="E6168">
        <v>0.4906336</v>
      </c>
      <c r="F6168" t="s">
        <v>41</v>
      </c>
      <c r="G6168">
        <v>-338.2353</v>
      </c>
      <c r="H6168" s="1">
        <v>-8.062075E-7</v>
      </c>
      <c r="I6168">
        <v>19.867460000000001</v>
      </c>
      <c r="J6168">
        <v>-400.5874</v>
      </c>
      <c r="K6168">
        <v>1.113151</v>
      </c>
      <c r="L6168">
        <v>17.287289999999999</v>
      </c>
      <c r="M6168">
        <v>0.99843559999999998</v>
      </c>
      <c r="N6168">
        <v>0</v>
      </c>
      <c r="O6168">
        <v>-5.4114179999999998E-2</v>
      </c>
      <c r="P6168">
        <v>0.99967550000000005</v>
      </c>
      <c r="Q6168">
        <v>1.828376E-2</v>
      </c>
      <c r="R6168">
        <v>1.7747820000000001E-2</v>
      </c>
      <c r="S6168">
        <v>2.999908</v>
      </c>
      <c r="T6168">
        <v>-5.3385849999999999E-2</v>
      </c>
      <c r="U6168">
        <v>0.1233826</v>
      </c>
      <c r="V6168">
        <v>-7.2048139999999997E-2</v>
      </c>
      <c r="W6168">
        <v>3.1814269999999999E-2</v>
      </c>
      <c r="X6168">
        <v>0.99689360000000005</v>
      </c>
      <c r="Y6168">
        <v>-9.5084050000000003E-2</v>
      </c>
      <c r="Z6168">
        <v>1.8081589999999999E-3</v>
      </c>
      <c r="AA6168">
        <v>0.99546760000000001</v>
      </c>
      <c r="AB6168">
        <v>23</v>
      </c>
      <c r="AC6168">
        <v>62.3521</v>
      </c>
      <c r="AD6168">
        <v>-1.1131518062074901</v>
      </c>
      <c r="AE6168">
        <v>2.5801699999999999</v>
      </c>
      <c r="AF6168">
        <v>-5.9489627325405499</v>
      </c>
      <c r="AG6168">
        <v>-1.1131518062074901</v>
      </c>
      <c r="AH6168">
        <v>62.101324159865499</v>
      </c>
      <c r="AI6168">
        <v>91.0222250108759</v>
      </c>
      <c r="AJ6168">
        <v>95.4719211100346</v>
      </c>
      <c r="AK6168">
        <v>62.395542524650899</v>
      </c>
      <c r="AL6168">
        <v>88.176868904099905</v>
      </c>
      <c r="AM6168">
        <v>94.133730401097495</v>
      </c>
      <c r="AN6168">
        <v>0.99999996598702501</v>
      </c>
    </row>
    <row r="6169" spans="1:40" x14ac:dyDescent="0.25">
      <c r="A6169" t="str">
        <f>"20190312160456515"</f>
        <v>20190312160456515</v>
      </c>
      <c r="B6169" t="str">
        <f>"1552377896511395"</f>
        <v>1552377896511395</v>
      </c>
      <c r="C6169" t="s">
        <v>40</v>
      </c>
      <c r="D6169">
        <v>5.9131910000000003</v>
      </c>
      <c r="E6169">
        <v>0.49083860000000001</v>
      </c>
      <c r="F6169" t="s">
        <v>41</v>
      </c>
      <c r="G6169">
        <v>-329.35899999999998</v>
      </c>
      <c r="H6169" s="1">
        <v>-4.8710480000000001E-7</v>
      </c>
      <c r="I6169">
        <v>20.381720000000001</v>
      </c>
      <c r="J6169">
        <v>-400.46629999999999</v>
      </c>
      <c r="K6169">
        <v>1.113027</v>
      </c>
      <c r="L6169">
        <v>17.283539999999999</v>
      </c>
      <c r="M6169">
        <v>0.99856129999999999</v>
      </c>
      <c r="N6169">
        <v>0</v>
      </c>
      <c r="O6169">
        <v>-5.1749209999999997E-2</v>
      </c>
      <c r="P6169">
        <v>0.99965859999999995</v>
      </c>
      <c r="Q6169">
        <v>1.818966E-2</v>
      </c>
      <c r="R6169">
        <v>1.876274E-2</v>
      </c>
      <c r="S6169">
        <v>2.9995120000000002</v>
      </c>
      <c r="T6169">
        <v>-4.6876189999999998E-2</v>
      </c>
      <c r="U6169">
        <v>0.13031010000000001</v>
      </c>
      <c r="V6169">
        <v>-7.068779E-2</v>
      </c>
      <c r="W6169">
        <v>3.1733730000000002E-2</v>
      </c>
      <c r="X6169">
        <v>0.99699360000000004</v>
      </c>
      <c r="Y6169">
        <v>-9.5032290000000005E-2</v>
      </c>
      <c r="Z6169">
        <v>1.5505229999999901E-3</v>
      </c>
      <c r="AA6169">
        <v>0.99547300000000005</v>
      </c>
      <c r="AB6169">
        <v>23</v>
      </c>
      <c r="AC6169">
        <v>71.107299999999896</v>
      </c>
      <c r="AD6169">
        <v>-1.1130274871048</v>
      </c>
      <c r="AE6169">
        <v>3.0981800000000002</v>
      </c>
      <c r="AF6169">
        <v>-6.7724815376071898</v>
      </c>
      <c r="AG6169">
        <v>-1.1130274871048</v>
      </c>
      <c r="AH6169">
        <v>70.834338950864407</v>
      </c>
      <c r="AI6169">
        <v>90.896134652767103</v>
      </c>
      <c r="AJ6169">
        <v>95.461456652789096</v>
      </c>
      <c r="AK6169">
        <v>71.1660657263715</v>
      </c>
      <c r="AL6169">
        <v>88.181485928248193</v>
      </c>
      <c r="AM6169">
        <v>94.055538434613595</v>
      </c>
      <c r="AN6169">
        <v>1.0000000158578699</v>
      </c>
    </row>
    <row r="6170" spans="1:40" x14ac:dyDescent="0.25">
      <c r="A6170" t="str">
        <f>"20190312160456526"</f>
        <v>20190312160456526</v>
      </c>
      <c r="B6170" t="str">
        <f>"1552377896521154"</f>
        <v>1552377896521154</v>
      </c>
      <c r="C6170" t="s">
        <v>40</v>
      </c>
      <c r="D6170">
        <v>5.8500290000000001</v>
      </c>
      <c r="E6170">
        <v>0.49089569999999999</v>
      </c>
      <c r="F6170" t="s">
        <v>43</v>
      </c>
      <c r="G6170">
        <v>-316.05610000000001</v>
      </c>
      <c r="H6170">
        <v>-0.05</v>
      </c>
      <c r="I6170">
        <v>20.986070000000002</v>
      </c>
      <c r="J6170">
        <v>-400.34769999999997</v>
      </c>
      <c r="K6170">
        <v>1.112897</v>
      </c>
      <c r="L6170">
        <v>17.279910000000001</v>
      </c>
      <c r="M6170">
        <v>0.99867550000000005</v>
      </c>
      <c r="N6170">
        <v>0</v>
      </c>
      <c r="O6170">
        <v>-4.9500170000000003E-2</v>
      </c>
      <c r="P6170">
        <v>0.99963740000000001</v>
      </c>
      <c r="Q6170">
        <v>1.8291890000000002E-2</v>
      </c>
      <c r="R6170">
        <v>1.9762080000000001E-2</v>
      </c>
      <c r="S6170">
        <v>2.9993289999999999</v>
      </c>
      <c r="T6170">
        <v>-4.1325569999999999E-2</v>
      </c>
      <c r="U6170">
        <v>0.13156129999999999</v>
      </c>
      <c r="V6170">
        <v>-6.9429080000000004E-2</v>
      </c>
      <c r="W6170">
        <v>3.1848599999999998E-2</v>
      </c>
      <c r="X6170">
        <v>0.99707840000000003</v>
      </c>
      <c r="Y6170">
        <v>-9.3211669999999996E-2</v>
      </c>
      <c r="Z6170">
        <v>1.323519E-3</v>
      </c>
      <c r="AA6170">
        <v>0.99564549999999996</v>
      </c>
      <c r="AB6170">
        <v>23</v>
      </c>
      <c r="AC6170">
        <v>84.291599999999903</v>
      </c>
      <c r="AD6170">
        <v>-1.1628969999999901</v>
      </c>
      <c r="AE6170">
        <v>3.7061600000000001</v>
      </c>
      <c r="AF6170">
        <v>-7.8729797155762604</v>
      </c>
      <c r="AG6170">
        <v>-1.1628969999999901</v>
      </c>
      <c r="AH6170">
        <v>83.9888192233457</v>
      </c>
      <c r="AI6170">
        <v>90.789796460340995</v>
      </c>
      <c r="AJ6170">
        <v>95.355167678394395</v>
      </c>
      <c r="AK6170">
        <v>84.365027668853003</v>
      </c>
      <c r="AL6170">
        <v>88.174901065206399</v>
      </c>
      <c r="AM6170">
        <v>93.983219925735497</v>
      </c>
      <c r="AN6170">
        <v>1.0000000331090799</v>
      </c>
    </row>
    <row r="6171" spans="1:40" x14ac:dyDescent="0.25">
      <c r="A6171" t="str">
        <f>"20190312160456537"</f>
        <v>20190312160456537</v>
      </c>
      <c r="B6171" t="str">
        <f>"1552377896530914"</f>
        <v>1552377896530914</v>
      </c>
      <c r="C6171" t="s">
        <v>40</v>
      </c>
      <c r="D6171">
        <v>5.9137680000000001</v>
      </c>
      <c r="E6171">
        <v>0.49099140000000002</v>
      </c>
      <c r="F6171" t="s">
        <v>43</v>
      </c>
      <c r="G6171">
        <v>-308.65199999999999</v>
      </c>
      <c r="H6171">
        <v>-0.05</v>
      </c>
      <c r="I6171">
        <v>21.377870000000001</v>
      </c>
      <c r="J6171">
        <v>-400.2328</v>
      </c>
      <c r="K6171">
        <v>1.1127629999999999</v>
      </c>
      <c r="L6171">
        <v>17.276669999999999</v>
      </c>
      <c r="M6171">
        <v>0.99877360000000004</v>
      </c>
      <c r="N6171">
        <v>0</v>
      </c>
      <c r="O6171">
        <v>-4.7484640000000002E-2</v>
      </c>
      <c r="P6171">
        <v>0.99962620000000002</v>
      </c>
      <c r="Q6171">
        <v>1.811803E-2</v>
      </c>
      <c r="R6171">
        <v>2.0480209999999999E-2</v>
      </c>
      <c r="S6171">
        <v>2.9991150000000002</v>
      </c>
      <c r="T6171">
        <v>-3.8035149999999997E-2</v>
      </c>
      <c r="U6171">
        <v>0.13403319999999999</v>
      </c>
      <c r="V6171">
        <v>-6.8121420000000002E-2</v>
      </c>
      <c r="W6171">
        <v>3.1688929999999997E-2</v>
      </c>
      <c r="X6171">
        <v>0.99717370000000005</v>
      </c>
      <c r="Y6171">
        <v>-9.2026730000000001E-2</v>
      </c>
      <c r="Z6171">
        <v>1.1851629999999999E-3</v>
      </c>
      <c r="AA6171">
        <v>0.99575590000000003</v>
      </c>
      <c r="AB6171">
        <v>23</v>
      </c>
      <c r="AC6171">
        <v>91.580799999999996</v>
      </c>
      <c r="AD6171">
        <v>-1.162763</v>
      </c>
      <c r="AE6171">
        <v>4.1011999999999897</v>
      </c>
      <c r="AF6171">
        <v>-8.4443229298808404</v>
      </c>
      <c r="AG6171">
        <v>-1.162763</v>
      </c>
      <c r="AH6171">
        <v>91.268027244745298</v>
      </c>
      <c r="AI6171">
        <v>90.726810057396094</v>
      </c>
      <c r="AJ6171">
        <v>95.286084916648605</v>
      </c>
      <c r="AK6171">
        <v>91.665213711013905</v>
      </c>
      <c r="AL6171">
        <v>88.184054136489806</v>
      </c>
      <c r="AM6171">
        <v>93.908060449495807</v>
      </c>
      <c r="AN6171">
        <v>1.00000005205952</v>
      </c>
    </row>
    <row r="6172" spans="1:40" x14ac:dyDescent="0.25">
      <c r="A6172" t="str">
        <f>"20190312160456549"</f>
        <v>20190312160456549</v>
      </c>
      <c r="B6172" t="str">
        <f>"1552377896541650"</f>
        <v>1552377896541650</v>
      </c>
      <c r="C6172" t="s">
        <v>40</v>
      </c>
      <c r="D6172">
        <v>5.8002000000000002</v>
      </c>
      <c r="E6172">
        <v>0.491093</v>
      </c>
      <c r="F6172" t="s">
        <v>43</v>
      </c>
      <c r="G6172">
        <v>-303.58640000000003</v>
      </c>
      <c r="H6172">
        <v>-0.05</v>
      </c>
      <c r="I6172">
        <v>21.638400000000001</v>
      </c>
      <c r="J6172">
        <v>-400.10820000000001</v>
      </c>
      <c r="K6172">
        <v>1.112611</v>
      </c>
      <c r="L6172">
        <v>17.27319</v>
      </c>
      <c r="M6172">
        <v>0.99887269999999995</v>
      </c>
      <c r="N6172">
        <v>0</v>
      </c>
      <c r="O6172">
        <v>-4.5356639999999997E-2</v>
      </c>
      <c r="P6172">
        <v>0.99961310000000003</v>
      </c>
      <c r="Q6172">
        <v>1.7752779999999999E-2</v>
      </c>
      <c r="R6172">
        <v>2.1408050000000001E-2</v>
      </c>
      <c r="S6172">
        <v>2.9989620000000001</v>
      </c>
      <c r="T6172">
        <v>-3.6080840000000003E-2</v>
      </c>
      <c r="U6172">
        <v>0.13534549999999901</v>
      </c>
      <c r="V6172">
        <v>-6.6908179999999998E-2</v>
      </c>
      <c r="W6172">
        <v>3.133768E-2</v>
      </c>
      <c r="X6172">
        <v>0.99726689999999996</v>
      </c>
      <c r="Y6172">
        <v>-9.0343619999999999E-2</v>
      </c>
      <c r="Z6172">
        <v>1.0886170000000001E-3</v>
      </c>
      <c r="AA6172">
        <v>0.99590999999999996</v>
      </c>
      <c r="AB6172">
        <v>23</v>
      </c>
      <c r="AC6172">
        <v>96.521799999999899</v>
      </c>
      <c r="AD6172">
        <v>-1.1626110000000001</v>
      </c>
      <c r="AE6172">
        <v>4.3652100000000003</v>
      </c>
      <c r="AF6172">
        <v>-8.7377854377303894</v>
      </c>
      <c r="AG6172">
        <v>-1.1626110000000001</v>
      </c>
      <c r="AH6172">
        <v>96.210505130947496</v>
      </c>
      <c r="AI6172">
        <v>90.6894930272274</v>
      </c>
      <c r="AJ6172">
        <v>95.189335083465295</v>
      </c>
      <c r="AK6172">
        <v>96.613466226221306</v>
      </c>
      <c r="AL6172">
        <v>88.204189207123306</v>
      </c>
      <c r="AM6172">
        <v>93.838310335035004</v>
      </c>
      <c r="AN6172">
        <v>1.00000001228715</v>
      </c>
    </row>
    <row r="6173" spans="1:40" x14ac:dyDescent="0.25">
      <c r="A6173" t="str">
        <f>"20190312160456560"</f>
        <v>20190312160456560</v>
      </c>
      <c r="B6173" t="str">
        <f>"1552377896551411"</f>
        <v>1552377896551411</v>
      </c>
      <c r="C6173" t="s">
        <v>40</v>
      </c>
      <c r="D6173">
        <v>5.7831760000000001</v>
      </c>
      <c r="E6173">
        <v>0.49130629999999997</v>
      </c>
      <c r="F6173" t="s">
        <v>43</v>
      </c>
      <c r="G6173">
        <v>-298.40260000000001</v>
      </c>
      <c r="H6173">
        <v>-0.05</v>
      </c>
      <c r="I6173">
        <v>21.92661</v>
      </c>
      <c r="J6173">
        <v>-399.99209999999999</v>
      </c>
      <c r="K6173">
        <v>1.1124670000000001</v>
      </c>
      <c r="L6173">
        <v>17.270109999999999</v>
      </c>
      <c r="M6173">
        <v>0.99895480000000003</v>
      </c>
      <c r="N6173">
        <v>0</v>
      </c>
      <c r="O6173">
        <v>-4.3516630000000001E-2</v>
      </c>
      <c r="P6173">
        <v>0.99959920000000002</v>
      </c>
      <c r="Q6173">
        <v>1.7497160000000001E-2</v>
      </c>
      <c r="R6173">
        <v>2.225771E-2</v>
      </c>
      <c r="S6173">
        <v>2.9988100000000002</v>
      </c>
      <c r="T6173">
        <v>-3.4279820000000003E-2</v>
      </c>
      <c r="U6173">
        <v>0.137207</v>
      </c>
      <c r="V6173">
        <v>-6.5907199999999999E-2</v>
      </c>
      <c r="W6173">
        <v>3.1094130000000001E-2</v>
      </c>
      <c r="X6173">
        <v>0.99734120000000004</v>
      </c>
      <c r="Y6173">
        <v>-8.9129470000000002E-2</v>
      </c>
      <c r="Z6173">
        <v>1.0063660000000001E-3</v>
      </c>
      <c r="AA6173">
        <v>0.99601949999999995</v>
      </c>
      <c r="AB6173">
        <v>23</v>
      </c>
      <c r="AC6173">
        <v>101.5895</v>
      </c>
      <c r="AD6173">
        <v>-1.1624669999999999</v>
      </c>
      <c r="AE6173">
        <v>4.6565000000000003</v>
      </c>
      <c r="AF6173">
        <v>-9.0721677791094706</v>
      </c>
      <c r="AG6173">
        <v>-1.1624669999999999</v>
      </c>
      <c r="AH6173">
        <v>101.277357513162</v>
      </c>
      <c r="AI6173">
        <v>90.654992795017705</v>
      </c>
      <c r="AJ6173">
        <v>95.118748046283898</v>
      </c>
      <c r="AK6173">
        <v>101.689521105113</v>
      </c>
      <c r="AL6173">
        <v>88.218150441156098</v>
      </c>
      <c r="AM6173">
        <v>93.780774248230998</v>
      </c>
      <c r="AN6173">
        <v>1.00000003657486</v>
      </c>
    </row>
    <row r="6174" spans="1:40" x14ac:dyDescent="0.25">
      <c r="A6174" t="str">
        <f>"20190312160456571"</f>
        <v>20190312160456571</v>
      </c>
      <c r="B6174" t="str">
        <f>"1552377896561171"</f>
        <v>1552377896561171</v>
      </c>
      <c r="C6174" t="s">
        <v>40</v>
      </c>
      <c r="D6174">
        <v>5.9222869999999999</v>
      </c>
      <c r="E6174">
        <v>0.4917397</v>
      </c>
      <c r="F6174" t="s">
        <v>43</v>
      </c>
      <c r="G6174">
        <v>-293.9255</v>
      </c>
      <c r="H6174">
        <v>-0.05</v>
      </c>
      <c r="I6174">
        <v>22.148050000000001</v>
      </c>
      <c r="J6174">
        <v>-399.88189999999997</v>
      </c>
      <c r="K6174">
        <v>1.1123350000000001</v>
      </c>
      <c r="L6174">
        <v>17.26727</v>
      </c>
      <c r="M6174">
        <v>0.99902679999999999</v>
      </c>
      <c r="N6174">
        <v>0</v>
      </c>
      <c r="O6174">
        <v>-4.1838689999999998E-2</v>
      </c>
      <c r="P6174">
        <v>0.99960119999999997</v>
      </c>
      <c r="Q6174">
        <v>1.687864E-2</v>
      </c>
      <c r="R6174">
        <v>2.2645390000000001E-2</v>
      </c>
      <c r="S6174">
        <v>2.9987180000000002</v>
      </c>
      <c r="T6174">
        <v>-3.2865289999999998E-2</v>
      </c>
      <c r="U6174">
        <v>0.1379089</v>
      </c>
      <c r="V6174">
        <v>-6.4605739999999995E-2</v>
      </c>
      <c r="W6174">
        <v>3.048884E-2</v>
      </c>
      <c r="X6174">
        <v>0.99744500000000003</v>
      </c>
      <c r="Y6174">
        <v>-8.7691340000000007E-2</v>
      </c>
      <c r="Z6174">
        <v>9.3861189999999998E-4</v>
      </c>
      <c r="AA6174">
        <v>0.99614729999999996</v>
      </c>
      <c r="AB6174">
        <v>23</v>
      </c>
      <c r="AC6174">
        <v>105.95639999999899</v>
      </c>
      <c r="AD6174">
        <v>-1.1623349999999999</v>
      </c>
      <c r="AE6174">
        <v>4.8807799999999997</v>
      </c>
      <c r="AF6174">
        <v>-9.3088968050530294</v>
      </c>
      <c r="AG6174">
        <v>-1.1623349999999999</v>
      </c>
      <c r="AH6174">
        <v>105.646692309652</v>
      </c>
      <c r="AI6174">
        <v>90.627915551941996</v>
      </c>
      <c r="AJ6174">
        <v>95.035524991951107</v>
      </c>
      <c r="AK6174">
        <v>106.062388141837</v>
      </c>
      <c r="AL6174">
        <v>88.252847390320298</v>
      </c>
      <c r="AM6174">
        <v>93.705941399237403</v>
      </c>
      <c r="AN6174">
        <v>0.99999999951524599</v>
      </c>
    </row>
    <row r="6175" spans="1:40" x14ac:dyDescent="0.25">
      <c r="A6175" t="str">
        <f>"20190312160456582"</f>
        <v>20190312160456582</v>
      </c>
      <c r="B6175" t="str">
        <f>"1552377896570931"</f>
        <v>1552377896570931</v>
      </c>
      <c r="C6175" t="s">
        <v>40</v>
      </c>
      <c r="D6175">
        <v>5.9599690000000001</v>
      </c>
      <c r="E6175">
        <v>0.49190279999999997</v>
      </c>
      <c r="F6175" t="s">
        <v>43</v>
      </c>
      <c r="G6175">
        <v>-303.26299999999998</v>
      </c>
      <c r="H6175">
        <v>-0.05</v>
      </c>
      <c r="I6175">
        <v>21.63693</v>
      </c>
      <c r="J6175">
        <v>-399.76569999999998</v>
      </c>
      <c r="K6175">
        <v>1.1122030000000001</v>
      </c>
      <c r="L6175">
        <v>17.264340000000001</v>
      </c>
      <c r="M6175">
        <v>0.99909570000000003</v>
      </c>
      <c r="N6175">
        <v>0</v>
      </c>
      <c r="O6175">
        <v>-4.0165470000000002E-2</v>
      </c>
      <c r="P6175">
        <v>0.99960090000000001</v>
      </c>
      <c r="Q6175">
        <v>1.6357489999999999E-2</v>
      </c>
      <c r="R6175">
        <v>2.303386E-2</v>
      </c>
      <c r="S6175">
        <v>2.9987490000000001</v>
      </c>
      <c r="T6175">
        <v>-3.607523E-2</v>
      </c>
      <c r="U6175">
        <v>0.13562009999999999</v>
      </c>
      <c r="V6175">
        <v>-6.3310119999999998E-2</v>
      </c>
      <c r="W6175">
        <v>2.9980280000000002E-2</v>
      </c>
      <c r="X6175">
        <v>0.99754350000000003</v>
      </c>
      <c r="Y6175">
        <v>-8.526222E-2</v>
      </c>
      <c r="Z6175">
        <v>9.9556519999999997E-4</v>
      </c>
      <c r="AA6175">
        <v>0.99635799999999997</v>
      </c>
      <c r="AB6175">
        <v>23</v>
      </c>
      <c r="AC6175">
        <v>96.502700000000004</v>
      </c>
      <c r="AD6175">
        <v>-1.1622030000000001</v>
      </c>
      <c r="AE6175">
        <v>4.37258999999999</v>
      </c>
      <c r="AF6175">
        <v>-8.2443208561812096</v>
      </c>
      <c r="AG6175">
        <v>-1.1622030000000001</v>
      </c>
      <c r="AH6175">
        <v>96.235237719841805</v>
      </c>
      <c r="AI6175">
        <v>90.6893847971144</v>
      </c>
      <c r="AJ6175">
        <v>94.896483752659805</v>
      </c>
      <c r="AK6175">
        <v>96.594723050420001</v>
      </c>
      <c r="AL6175">
        <v>88.281999080001796</v>
      </c>
      <c r="AM6175">
        <v>93.631464790794197</v>
      </c>
      <c r="AN6175">
        <v>1.0000000114377701</v>
      </c>
    </row>
    <row r="6176" spans="1:40" x14ac:dyDescent="0.25">
      <c r="A6176" t="str">
        <f>"20190312160456594"</f>
        <v>20190312160456594</v>
      </c>
      <c r="B6176" t="str">
        <f>"1552377896591427"</f>
        <v>1552377896591427</v>
      </c>
      <c r="C6176" t="s">
        <v>40</v>
      </c>
      <c r="D6176">
        <v>6.0770210000000002</v>
      </c>
      <c r="E6176">
        <v>0.49233559999999998</v>
      </c>
      <c r="F6176" t="s">
        <v>43</v>
      </c>
      <c r="G6176">
        <v>-301.04450000000003</v>
      </c>
      <c r="H6176">
        <v>-0.05</v>
      </c>
      <c r="I6176">
        <v>21.722169999999998</v>
      </c>
      <c r="J6176">
        <v>-399.65839999999997</v>
      </c>
      <c r="K6176">
        <v>1.1120859999999999</v>
      </c>
      <c r="L6176">
        <v>17.261749999999999</v>
      </c>
      <c r="M6176">
        <v>0.99915310000000002</v>
      </c>
      <c r="N6176">
        <v>0</v>
      </c>
      <c r="O6176">
        <v>-3.8718490000000001E-2</v>
      </c>
      <c r="P6176">
        <v>0.9996041</v>
      </c>
      <c r="Q6176">
        <v>1.5991499999999999E-2</v>
      </c>
      <c r="R6176">
        <v>2.3154500000000001E-2</v>
      </c>
      <c r="S6176">
        <v>2.9986570000000001</v>
      </c>
      <c r="T6176">
        <v>-3.5301920000000001E-2</v>
      </c>
      <c r="U6176">
        <v>0.13540650000000001</v>
      </c>
      <c r="V6176">
        <v>-6.1975530000000001E-2</v>
      </c>
      <c r="W6176">
        <v>2.9625200000000001E-2</v>
      </c>
      <c r="X6176">
        <v>0.99763789999999997</v>
      </c>
      <c r="Y6176">
        <v>-8.3750270000000002E-2</v>
      </c>
      <c r="Z6176">
        <v>9.4833700000000005E-4</v>
      </c>
      <c r="AA6176">
        <v>0.99648630000000005</v>
      </c>
      <c r="AB6176">
        <v>23</v>
      </c>
      <c r="AC6176">
        <v>98.613899999999902</v>
      </c>
      <c r="AD6176">
        <v>-1.162086</v>
      </c>
      <c r="AE6176">
        <v>4.4604200000000001</v>
      </c>
      <c r="AF6176">
        <v>-8.2744796764469495</v>
      </c>
      <c r="AG6176">
        <v>-1.162086</v>
      </c>
      <c r="AH6176">
        <v>98.3535931192812</v>
      </c>
      <c r="AI6176">
        <v>90.674557669006006</v>
      </c>
      <c r="AJ6176">
        <v>94.808964840118193</v>
      </c>
      <c r="AK6176">
        <v>98.707885891961297</v>
      </c>
      <c r="AL6176">
        <v>88.302352685495094</v>
      </c>
      <c r="AM6176">
        <v>93.554775689248601</v>
      </c>
      <c r="AN6176">
        <v>0.99999999915511495</v>
      </c>
    </row>
    <row r="6177" spans="1:40" x14ac:dyDescent="0.25">
      <c r="A6177" t="str">
        <f>"20190312160456605"</f>
        <v>20190312160456605</v>
      </c>
      <c r="B6177" t="str">
        <f>"1552377896601187"</f>
        <v>1552377896601187</v>
      </c>
      <c r="C6177" t="s">
        <v>40</v>
      </c>
      <c r="D6177">
        <v>5.9588919999999996</v>
      </c>
      <c r="E6177">
        <v>0.49261379999999999</v>
      </c>
      <c r="F6177" t="s">
        <v>43</v>
      </c>
      <c r="G6177">
        <v>-289.85550000000001</v>
      </c>
      <c r="H6177">
        <v>-0.05</v>
      </c>
      <c r="I6177">
        <v>22.102630000000001</v>
      </c>
      <c r="J6177">
        <v>-399.54140000000001</v>
      </c>
      <c r="K6177">
        <v>1.11196299999999</v>
      </c>
      <c r="L6177">
        <v>17.258970000000001</v>
      </c>
      <c r="M6177">
        <v>0.99921090000000001</v>
      </c>
      <c r="N6177">
        <v>0</v>
      </c>
      <c r="O6177">
        <v>-3.7201409999999997E-2</v>
      </c>
      <c r="P6177">
        <v>0.99960230000000005</v>
      </c>
      <c r="Q6177">
        <v>1.5755140000000001E-2</v>
      </c>
      <c r="R6177">
        <v>2.3386830000000001E-2</v>
      </c>
      <c r="S6177">
        <v>2.9986570000000001</v>
      </c>
      <c r="T6177">
        <v>-3.1735899999999997E-2</v>
      </c>
      <c r="U6177">
        <v>0.13220209999999999</v>
      </c>
      <c r="V6177">
        <v>-6.0681949999999998E-2</v>
      </c>
      <c r="W6177">
        <v>2.9398799999999999E-2</v>
      </c>
      <c r="X6177">
        <v>0.9977241</v>
      </c>
      <c r="Y6177">
        <v>-8.1176120000000004E-2</v>
      </c>
      <c r="Z6177">
        <v>8.2290270000000005E-4</v>
      </c>
      <c r="AA6177">
        <v>0.99669949999999996</v>
      </c>
      <c r="AB6177">
        <v>23</v>
      </c>
      <c r="AC6177">
        <v>109.6859</v>
      </c>
      <c r="AD6177">
        <v>-1.1619630000000001</v>
      </c>
      <c r="AE6177">
        <v>4.8436599999999901</v>
      </c>
      <c r="AF6177">
        <v>-8.9201726580323193</v>
      </c>
      <c r="AG6177">
        <v>-1.1619630000000001</v>
      </c>
      <c r="AH6177">
        <v>109.417495668356</v>
      </c>
      <c r="AI6177">
        <v>90.606419999981497</v>
      </c>
      <c r="AJ6177">
        <v>94.660684954912099</v>
      </c>
      <c r="AK6177">
        <v>109.786647624368</v>
      </c>
      <c r="AL6177">
        <v>88.315330077285296</v>
      </c>
      <c r="AM6177">
        <v>93.480463249034401</v>
      </c>
      <c r="AN6177">
        <v>0.99999998410902602</v>
      </c>
    </row>
    <row r="6178" spans="1:40" x14ac:dyDescent="0.25">
      <c r="A6178" t="str">
        <f>"20190312160456616"</f>
        <v>20190312160456616</v>
      </c>
      <c r="B6178" t="str">
        <f>"1552377896610947"</f>
        <v>1552377896610947</v>
      </c>
      <c r="C6178" t="s">
        <v>40</v>
      </c>
      <c r="D6178">
        <v>5.9178300000000004</v>
      </c>
      <c r="E6178">
        <v>0.49282720000000002</v>
      </c>
      <c r="F6178" t="s">
        <v>43</v>
      </c>
      <c r="G6178">
        <v>-284.6601</v>
      </c>
      <c r="H6178">
        <v>-0.05</v>
      </c>
      <c r="I6178">
        <v>22.26295</v>
      </c>
      <c r="J6178">
        <v>-399.42309999999998</v>
      </c>
      <c r="K6178">
        <v>1.1118440000000001</v>
      </c>
      <c r="L6178">
        <v>17.256229999999999</v>
      </c>
      <c r="M6178">
        <v>0.99926170000000003</v>
      </c>
      <c r="N6178">
        <v>0</v>
      </c>
      <c r="O6178">
        <v>-3.581529E-2</v>
      </c>
      <c r="P6178">
        <v>0.99959399999999998</v>
      </c>
      <c r="Q6178">
        <v>1.5582520000000001E-2</v>
      </c>
      <c r="R6178">
        <v>2.3856450000000001E-2</v>
      </c>
      <c r="S6178">
        <v>2.9986570000000001</v>
      </c>
      <c r="T6178">
        <v>-3.032982E-2</v>
      </c>
      <c r="U6178">
        <v>0.13061519999999999</v>
      </c>
      <c r="V6178">
        <v>-5.9757829999999998E-2</v>
      </c>
      <c r="W6178">
        <v>2.9232930000000001E-2</v>
      </c>
      <c r="X6178">
        <v>0.99778480000000003</v>
      </c>
      <c r="Y6178">
        <v>-7.9267669999999998E-2</v>
      </c>
      <c r="Z6178">
        <v>7.6279429999999903E-4</v>
      </c>
      <c r="AA6178">
        <v>0.99685310000000005</v>
      </c>
      <c r="AB6178">
        <v>23</v>
      </c>
      <c r="AC6178">
        <v>114.762999999999</v>
      </c>
      <c r="AD6178">
        <v>-1.1618440000000001</v>
      </c>
      <c r="AE6178">
        <v>5.0067199999999996</v>
      </c>
      <c r="AF6178">
        <v>-9.1132424190764798</v>
      </c>
      <c r="AG6178">
        <v>-1.1618440000000001</v>
      </c>
      <c r="AH6178">
        <v>114.498309498533</v>
      </c>
      <c r="AI6178">
        <v>90.579542478356601</v>
      </c>
      <c r="AJ6178">
        <v>94.550738718815893</v>
      </c>
      <c r="AK6178">
        <v>114.866287251269</v>
      </c>
      <c r="AL6178">
        <v>88.324837899743997</v>
      </c>
      <c r="AM6178">
        <v>93.427378906378706</v>
      </c>
      <c r="AN6178">
        <v>1.0000000347768601</v>
      </c>
    </row>
    <row r="6179" spans="1:40" x14ac:dyDescent="0.25">
      <c r="A6179" t="str">
        <f>"20190312160456629"</f>
        <v>20190312160456629</v>
      </c>
      <c r="B6179" t="str">
        <f>"1552377896621683"</f>
        <v>1552377896621683</v>
      </c>
      <c r="C6179" t="s">
        <v>40</v>
      </c>
      <c r="D6179">
        <v>5.9202309999999896</v>
      </c>
      <c r="E6179">
        <v>0.49296649999999997</v>
      </c>
      <c r="F6179" t="s">
        <v>109</v>
      </c>
      <c r="G6179">
        <v>-279.68</v>
      </c>
      <c r="H6179">
        <v>-3.6996359999999999E-2</v>
      </c>
      <c r="I6179">
        <v>22.457619999999999</v>
      </c>
      <c r="J6179">
        <v>-399.2955</v>
      </c>
      <c r="K6179">
        <v>1.111718</v>
      </c>
      <c r="L6179">
        <v>17.253360000000001</v>
      </c>
      <c r="M6179">
        <v>0.99931219999999998</v>
      </c>
      <c r="N6179">
        <v>0</v>
      </c>
      <c r="O6179">
        <v>-3.4381969999999998E-2</v>
      </c>
      <c r="P6179">
        <v>0.99958930000000001</v>
      </c>
      <c r="Q6179">
        <v>1.522886E-2</v>
      </c>
      <c r="R6179">
        <v>2.4276059999999999E-2</v>
      </c>
      <c r="S6179">
        <v>2.9985050000000002</v>
      </c>
      <c r="T6179">
        <v>-2.8768180000000001E-2</v>
      </c>
      <c r="U6179">
        <v>0.130249</v>
      </c>
      <c r="V6179">
        <v>-5.873594E-2</v>
      </c>
      <c r="W6179">
        <v>2.8885939999999999E-2</v>
      </c>
      <c r="X6179">
        <v>0.99785550000000001</v>
      </c>
      <c r="Y6179">
        <v>-7.7719140000000006E-2</v>
      </c>
      <c r="Z6179">
        <v>7.0238949999999896E-4</v>
      </c>
      <c r="AA6179">
        <v>0.9969751</v>
      </c>
      <c r="AB6179">
        <v>23</v>
      </c>
      <c r="AC6179">
        <v>119.6155</v>
      </c>
      <c r="AD6179">
        <v>-1.14871436</v>
      </c>
      <c r="AE6179">
        <v>5.2042599999999997</v>
      </c>
      <c r="AF6179">
        <v>-9.3133386378813992</v>
      </c>
      <c r="AG6179">
        <v>-1.14871436</v>
      </c>
      <c r="AH6179">
        <v>119.354828812256</v>
      </c>
      <c r="AI6179">
        <v>90.549747428138005</v>
      </c>
      <c r="AJ6179">
        <v>94.461787756256697</v>
      </c>
      <c r="AK6179">
        <v>119.723151403843</v>
      </c>
      <c r="AL6179">
        <v>88.344727226769393</v>
      </c>
      <c r="AM6179">
        <v>93.368666962396304</v>
      </c>
      <c r="AN6179">
        <v>0.999999953528807</v>
      </c>
    </row>
    <row r="6180" spans="1:40" x14ac:dyDescent="0.25">
      <c r="A6180" t="str">
        <f>"20190312160456649"</f>
        <v>20190312160456649</v>
      </c>
      <c r="B6180" t="str">
        <f>"1552377896641204"</f>
        <v>1552377896641204</v>
      </c>
      <c r="C6180" t="s">
        <v>40</v>
      </c>
      <c r="D6180">
        <v>5.9145500000000002</v>
      </c>
      <c r="E6180">
        <v>0.49331469999999999</v>
      </c>
      <c r="F6180" t="s">
        <v>109</v>
      </c>
      <c r="G6180">
        <v>-279.68</v>
      </c>
      <c r="H6180">
        <v>1.174915E-2</v>
      </c>
      <c r="I6180">
        <v>22.451750000000001</v>
      </c>
      <c r="J6180">
        <v>-399.10599999999999</v>
      </c>
      <c r="K6180">
        <v>1.1115429999999999</v>
      </c>
      <c r="L6180">
        <v>17.249210000000001</v>
      </c>
      <c r="M6180">
        <v>0.99937609999999999</v>
      </c>
      <c r="N6180">
        <v>0</v>
      </c>
      <c r="O6180">
        <v>-3.2482629999999998E-2</v>
      </c>
      <c r="P6180">
        <v>0.99959799999999999</v>
      </c>
      <c r="Q6180">
        <v>1.4280849999999999E-2</v>
      </c>
      <c r="R6180">
        <v>2.449469E-2</v>
      </c>
      <c r="S6180">
        <v>2.9984440000000001</v>
      </c>
      <c r="T6180">
        <v>-2.7573230000000001E-2</v>
      </c>
      <c r="U6180">
        <v>0.13031010000000001</v>
      </c>
      <c r="V6180">
        <v>-5.7042049999999997E-2</v>
      </c>
      <c r="W6180">
        <v>2.7948379999999998E-2</v>
      </c>
      <c r="X6180">
        <v>0.99798050000000005</v>
      </c>
      <c r="Y6180">
        <v>-7.5845880000000004E-2</v>
      </c>
      <c r="Z6180">
        <v>6.4716160000000003E-4</v>
      </c>
      <c r="AA6180">
        <v>0.99711939999999999</v>
      </c>
      <c r="AB6180">
        <v>23</v>
      </c>
      <c r="AC6180">
        <v>119.426</v>
      </c>
      <c r="AD6180">
        <v>-1.09979385</v>
      </c>
      <c r="AE6180">
        <v>5.2025399999999902</v>
      </c>
      <c r="AF6180">
        <v>-9.0786692237601692</v>
      </c>
      <c r="AG6180">
        <v>-1.09979385</v>
      </c>
      <c r="AH6180">
        <v>119.183870039799</v>
      </c>
      <c r="AI6180">
        <v>90.527166545533007</v>
      </c>
      <c r="AJ6180">
        <v>94.356015935859105</v>
      </c>
      <c r="AK6180">
        <v>119.534207066641</v>
      </c>
      <c r="AL6180">
        <v>88.398467228169395</v>
      </c>
      <c r="AM6180">
        <v>93.271322996779404</v>
      </c>
      <c r="AN6180">
        <v>0.99999999289653796</v>
      </c>
    </row>
    <row r="6181" spans="1:40" x14ac:dyDescent="0.25">
      <c r="A6181" t="str">
        <f>"20190312160456660"</f>
        <v>20190312160456660</v>
      </c>
      <c r="B6181" t="str">
        <f>"1552377896650963"</f>
        <v>1552377896650963</v>
      </c>
      <c r="C6181" t="s">
        <v>40</v>
      </c>
      <c r="D6181">
        <v>5.9711030000000003</v>
      </c>
      <c r="E6181">
        <v>0.49346309999999899</v>
      </c>
      <c r="F6181" t="s">
        <v>109</v>
      </c>
      <c r="G6181">
        <v>-279.68</v>
      </c>
      <c r="H6181">
        <v>5.1828979999999997E-2</v>
      </c>
      <c r="I6181">
        <v>22.350580000000001</v>
      </c>
      <c r="J6181">
        <v>-398.97370000000001</v>
      </c>
      <c r="K6181">
        <v>1.111429</v>
      </c>
      <c r="L6181">
        <v>17.24643</v>
      </c>
      <c r="M6181">
        <v>0.99941380000000002</v>
      </c>
      <c r="N6181">
        <v>0</v>
      </c>
      <c r="O6181">
        <v>-3.1304850000000002E-2</v>
      </c>
      <c r="P6181">
        <v>0.99959620000000005</v>
      </c>
      <c r="Q6181">
        <v>1.3613429999999999E-2</v>
      </c>
      <c r="R6181">
        <v>2.4945620000000002E-2</v>
      </c>
      <c r="S6181">
        <v>2.9984739999999999</v>
      </c>
      <c r="T6181">
        <v>-2.6606560000000001E-2</v>
      </c>
      <c r="U6181">
        <v>0.12808230000000001</v>
      </c>
      <c r="V6181">
        <v>-5.6306410000000001E-2</v>
      </c>
      <c r="W6181">
        <v>2.728535E-2</v>
      </c>
      <c r="X6181">
        <v>0.99804059999999994</v>
      </c>
      <c r="Y6181">
        <v>-7.3931170000000004E-2</v>
      </c>
      <c r="Z6181">
        <v>6.0553949999999897E-4</v>
      </c>
      <c r="AA6181">
        <v>0.99726309999999996</v>
      </c>
      <c r="AB6181">
        <v>23</v>
      </c>
      <c r="AC6181">
        <v>119.2937</v>
      </c>
      <c r="AD6181">
        <v>-1.05960002</v>
      </c>
      <c r="AE6181">
        <v>5.10414999999999</v>
      </c>
      <c r="AF6181">
        <v>-8.83578212726405</v>
      </c>
      <c r="AG6181">
        <v>-1.05960002</v>
      </c>
      <c r="AH6181">
        <v>119.066044370055</v>
      </c>
      <c r="AI6181">
        <v>90.508478642629697</v>
      </c>
      <c r="AJ6181">
        <v>94.244088027316906</v>
      </c>
      <c r="AK6181">
        <v>119.39814370389</v>
      </c>
      <c r="AL6181">
        <v>88.436470510261501</v>
      </c>
      <c r="AM6181">
        <v>93.229030360373798</v>
      </c>
      <c r="AN6181">
        <v>0.99999997069003399</v>
      </c>
    </row>
    <row r="6182" spans="1:40" x14ac:dyDescent="0.25">
      <c r="A6182" t="str">
        <f>"20190312160456675"</f>
        <v>20190312160456675</v>
      </c>
      <c r="B6182" t="str">
        <f>"1552377896671458"</f>
        <v>1552377896671458</v>
      </c>
      <c r="C6182" t="s">
        <v>40</v>
      </c>
      <c r="D6182">
        <v>5.9128910000000001</v>
      </c>
      <c r="E6182">
        <v>0.493701</v>
      </c>
      <c r="F6182" t="s">
        <v>109</v>
      </c>
      <c r="G6182">
        <v>-279.68</v>
      </c>
      <c r="H6182">
        <v>3.7496149999999999E-2</v>
      </c>
      <c r="I6182">
        <v>22.348490000000002</v>
      </c>
      <c r="J6182">
        <v>-398.83710000000002</v>
      </c>
      <c r="K6182">
        <v>1.1113189999999999</v>
      </c>
      <c r="L6182">
        <v>17.243559999999999</v>
      </c>
      <c r="M6182">
        <v>0.99944920000000004</v>
      </c>
      <c r="N6182">
        <v>0</v>
      </c>
      <c r="O6182">
        <v>-3.0161739999999999E-2</v>
      </c>
      <c r="P6182">
        <v>0.99960320000000003</v>
      </c>
      <c r="Q6182">
        <v>1.2693869999999999E-2</v>
      </c>
      <c r="R6182">
        <v>2.5148150000000001E-2</v>
      </c>
      <c r="S6182">
        <v>2.9983219999999999</v>
      </c>
      <c r="T6182">
        <v>-2.6992080000000002E-2</v>
      </c>
      <c r="U6182">
        <v>0.12823490000000001</v>
      </c>
      <c r="V6182">
        <v>-5.5357839999999998E-2</v>
      </c>
      <c r="W6182">
        <v>2.637016E-2</v>
      </c>
      <c r="X6182">
        <v>0.99811830000000001</v>
      </c>
      <c r="Y6182">
        <v>-7.2843279999999996E-2</v>
      </c>
      <c r="Z6182">
        <v>5.9916289999999996E-4</v>
      </c>
      <c r="AA6182">
        <v>0.99734319999999999</v>
      </c>
      <c r="AB6182">
        <v>23</v>
      </c>
      <c r="AC6182">
        <v>119.1571</v>
      </c>
      <c r="AD6182">
        <v>-1.07382285</v>
      </c>
      <c r="AE6182">
        <v>5.1049299999999898</v>
      </c>
      <c r="AF6182">
        <v>-8.6962317797815203</v>
      </c>
      <c r="AG6182">
        <v>-1.07382285</v>
      </c>
      <c r="AH6182">
        <v>118.93924681498</v>
      </c>
      <c r="AI6182">
        <v>90.515894171303103</v>
      </c>
      <c r="AJ6182">
        <v>94.181734534693604</v>
      </c>
      <c r="AK6182">
        <v>119.261569567047</v>
      </c>
      <c r="AL6182">
        <v>88.4889259751412</v>
      </c>
      <c r="AM6182">
        <v>93.174497855444102</v>
      </c>
      <c r="AN6182">
        <v>1.00000000829139</v>
      </c>
    </row>
    <row r="6183" spans="1:40" x14ac:dyDescent="0.25">
      <c r="A6183" t="str">
        <f>"20190312160456691"</f>
        <v>20190312160456691</v>
      </c>
      <c r="B6183" t="str">
        <f>"1552377896681219"</f>
        <v>1552377896681219</v>
      </c>
      <c r="C6183" t="s">
        <v>40</v>
      </c>
      <c r="D6183">
        <v>6.0203610000000003</v>
      </c>
      <c r="E6183">
        <v>0.49386219999999997</v>
      </c>
      <c r="F6183" t="s">
        <v>109</v>
      </c>
      <c r="G6183">
        <v>-279.68</v>
      </c>
      <c r="H6183">
        <v>7.6885640000000005E-2</v>
      </c>
      <c r="I6183">
        <v>22.2852</v>
      </c>
      <c r="J6183">
        <v>-398.66030000000001</v>
      </c>
      <c r="K6183">
        <v>1.1111759999999999</v>
      </c>
      <c r="L6183">
        <v>17.23996</v>
      </c>
      <c r="M6183">
        <v>0.99948939999999997</v>
      </c>
      <c r="N6183">
        <v>0</v>
      </c>
      <c r="O6183">
        <v>-2.8808919999999998E-2</v>
      </c>
      <c r="P6183">
        <v>0.99961319999999998</v>
      </c>
      <c r="Q6183">
        <v>1.170966E-2</v>
      </c>
      <c r="R6183">
        <v>2.5234030000000001E-2</v>
      </c>
      <c r="S6183">
        <v>2.9983219999999999</v>
      </c>
      <c r="T6183">
        <v>-2.6029110000000001E-2</v>
      </c>
      <c r="U6183">
        <v>0.12686159999999999</v>
      </c>
      <c r="V6183">
        <v>-5.4082230000000002E-2</v>
      </c>
      <c r="W6183">
        <v>2.5391540000000001E-2</v>
      </c>
      <c r="X6183">
        <v>0.99821360000000003</v>
      </c>
      <c r="Y6183">
        <v>-7.1037639999999999E-2</v>
      </c>
      <c r="Z6183">
        <v>5.5821949999999897E-4</v>
      </c>
      <c r="AA6183">
        <v>0.99747350000000001</v>
      </c>
      <c r="AB6183">
        <v>23</v>
      </c>
      <c r="AC6183">
        <v>118.9803</v>
      </c>
      <c r="AD6183">
        <v>-1.03429036</v>
      </c>
      <c r="AE6183">
        <v>5.0452399999999997</v>
      </c>
      <c r="AF6183">
        <v>-8.4705278706191791</v>
      </c>
      <c r="AG6183">
        <v>-1.03429036</v>
      </c>
      <c r="AH6183">
        <v>118.776584903337</v>
      </c>
      <c r="AI6183">
        <v>90.497647452634993</v>
      </c>
      <c r="AJ6183">
        <v>94.079130941670499</v>
      </c>
      <c r="AK6183">
        <v>119.08273057104201</v>
      </c>
      <c r="AL6183">
        <v>88.545015555308495</v>
      </c>
      <c r="AM6183">
        <v>93.101196909404706</v>
      </c>
      <c r="AN6183">
        <v>1.00000000456515</v>
      </c>
    </row>
    <row r="6184" spans="1:40" x14ac:dyDescent="0.25">
      <c r="A6184" t="str">
        <f>"20190312160456703"</f>
        <v>20190312160456703</v>
      </c>
      <c r="B6184" t="str">
        <f>"1552377896690979"</f>
        <v>1552377896690979</v>
      </c>
      <c r="C6184" t="s">
        <v>40</v>
      </c>
      <c r="D6184">
        <v>6.0211819999999996</v>
      </c>
      <c r="E6184">
        <v>0.49402400000000002</v>
      </c>
      <c r="F6184" t="s">
        <v>109</v>
      </c>
      <c r="G6184">
        <v>-279.68</v>
      </c>
      <c r="H6184">
        <v>1.8480839999999998E-2</v>
      </c>
      <c r="I6184">
        <v>22.232890000000001</v>
      </c>
      <c r="J6184">
        <v>-398.541</v>
      </c>
      <c r="K6184">
        <v>1.111089</v>
      </c>
      <c r="L6184">
        <v>17.237549999999999</v>
      </c>
      <c r="M6184">
        <v>0.99951299999999998</v>
      </c>
      <c r="N6184">
        <v>0</v>
      </c>
      <c r="O6184">
        <v>-2.798349E-2</v>
      </c>
      <c r="P6184">
        <v>0.99961109999999997</v>
      </c>
      <c r="Q6184">
        <v>1.147858E-2</v>
      </c>
      <c r="R6184">
        <v>2.5413359999999999E-2</v>
      </c>
      <c r="S6184">
        <v>2.9983520000000001</v>
      </c>
      <c r="T6184">
        <v>-2.7536270000000002E-2</v>
      </c>
      <c r="U6184">
        <v>0.12582399999999999</v>
      </c>
      <c r="V6184">
        <v>-5.3430890000000002E-2</v>
      </c>
      <c r="W6184">
        <v>2.5163209999999998E-2</v>
      </c>
      <c r="X6184">
        <v>0.99825450000000004</v>
      </c>
      <c r="Y6184">
        <v>-6.9868479999999997E-2</v>
      </c>
      <c r="Z6184">
        <v>5.7759469999999998E-4</v>
      </c>
      <c r="AA6184">
        <v>0.997556</v>
      </c>
      <c r="AB6184">
        <v>23</v>
      </c>
      <c r="AC6184">
        <v>118.861</v>
      </c>
      <c r="AD6184">
        <v>-1.0926081599999999</v>
      </c>
      <c r="AE6184">
        <v>4.9953399999999997</v>
      </c>
      <c r="AF6184">
        <v>-8.3191444382402295</v>
      </c>
      <c r="AG6184">
        <v>-1.0926081599999999</v>
      </c>
      <c r="AH6184">
        <v>118.664633717898</v>
      </c>
      <c r="AI6184">
        <v>90.526246128286303</v>
      </c>
      <c r="AJ6184">
        <v>94.010236635073099</v>
      </c>
      <c r="AK6184">
        <v>118.960906402812</v>
      </c>
      <c r="AL6184">
        <v>88.558102143208998</v>
      </c>
      <c r="AM6184">
        <v>93.063793907238207</v>
      </c>
      <c r="AN6184">
        <v>1.0000000469569701</v>
      </c>
    </row>
    <row r="6185" spans="1:40" x14ac:dyDescent="0.25">
      <c r="A6185" t="str">
        <f>"20190312160456714"</f>
        <v>20190312160456714</v>
      </c>
      <c r="B6185" t="str">
        <f>"1552377896711475"</f>
        <v>1552377896711475</v>
      </c>
      <c r="C6185" t="s">
        <v>40</v>
      </c>
      <c r="D6185">
        <v>5.8978859999999997</v>
      </c>
      <c r="E6185">
        <v>0.49434460000000002</v>
      </c>
      <c r="F6185" t="s">
        <v>109</v>
      </c>
      <c r="G6185">
        <v>-279.68</v>
      </c>
      <c r="H6185">
        <v>6.036395E-2</v>
      </c>
      <c r="I6185">
        <v>22.192910000000001</v>
      </c>
      <c r="J6185">
        <v>-398.43579999999997</v>
      </c>
      <c r="K6185">
        <v>1.111011</v>
      </c>
      <c r="L6185">
        <v>17.235440000000001</v>
      </c>
      <c r="M6185">
        <v>0.99953130000000001</v>
      </c>
      <c r="N6185">
        <v>0</v>
      </c>
      <c r="O6185">
        <v>-2.73254E-2</v>
      </c>
      <c r="P6185">
        <v>0.99961270000000002</v>
      </c>
      <c r="Q6185">
        <v>1.0782470000000001E-2</v>
      </c>
      <c r="R6185">
        <v>2.565446E-2</v>
      </c>
      <c r="S6185">
        <v>2.998291</v>
      </c>
      <c r="T6185">
        <v>-2.6504639999999999E-2</v>
      </c>
      <c r="U6185">
        <v>0.125</v>
      </c>
      <c r="V6185">
        <v>-5.300912E-2</v>
      </c>
      <c r="W6185">
        <v>2.4469620000000001E-2</v>
      </c>
      <c r="X6185">
        <v>0.99829420000000002</v>
      </c>
      <c r="Y6185">
        <v>-6.8939210000000001E-2</v>
      </c>
      <c r="Z6185">
        <v>5.4604960000000004E-4</v>
      </c>
      <c r="AA6185">
        <v>0.99762070000000003</v>
      </c>
      <c r="AB6185">
        <v>23</v>
      </c>
      <c r="AC6185">
        <v>118.755799999999</v>
      </c>
      <c r="AD6185">
        <v>-1.05064705</v>
      </c>
      <c r="AE6185">
        <v>4.9574699999999998</v>
      </c>
      <c r="AF6185">
        <v>-8.2003366264352202</v>
      </c>
      <c r="AG6185">
        <v>-1.05064705</v>
      </c>
      <c r="AH6185">
        <v>118.566705115437</v>
      </c>
      <c r="AI6185">
        <v>90.506488029322995</v>
      </c>
      <c r="AJ6185">
        <v>93.956403004809701</v>
      </c>
      <c r="AK6185">
        <v>118.854587382825</v>
      </c>
      <c r="AL6185">
        <v>88.597854125862995</v>
      </c>
      <c r="AM6185">
        <v>93.039533968642402</v>
      </c>
      <c r="AN6185">
        <v>1.0000000194298699</v>
      </c>
    </row>
    <row r="6186" spans="1:40" x14ac:dyDescent="0.25">
      <c r="A6186" t="str">
        <f>"20190312160456726"</f>
        <v>20190312160456726</v>
      </c>
      <c r="B6186" t="str">
        <f>"1552377896721235"</f>
        <v>1552377896721235</v>
      </c>
      <c r="C6186" t="s">
        <v>40</v>
      </c>
      <c r="D6186">
        <v>5.915692</v>
      </c>
      <c r="E6186">
        <v>0.49451620000000002</v>
      </c>
      <c r="F6186" t="s">
        <v>109</v>
      </c>
      <c r="G6186">
        <v>-279.68</v>
      </c>
      <c r="H6186">
        <v>0.13128409999999999</v>
      </c>
      <c r="I6186">
        <v>22.109159999999999</v>
      </c>
      <c r="J6186">
        <v>-398.31330000000003</v>
      </c>
      <c r="K6186">
        <v>1.1109279999999999</v>
      </c>
      <c r="L6186">
        <v>17.233000000000001</v>
      </c>
      <c r="M6186">
        <v>0.99955110000000003</v>
      </c>
      <c r="N6186">
        <v>0</v>
      </c>
      <c r="O6186">
        <v>-2.65981E-2</v>
      </c>
      <c r="P6186">
        <v>0.99960959999999999</v>
      </c>
      <c r="Q6186">
        <v>1.027016E-2</v>
      </c>
      <c r="R6186">
        <v>2.598758E-2</v>
      </c>
      <c r="S6186">
        <v>2.99823</v>
      </c>
      <c r="T6186">
        <v>-2.4735090000000001E-2</v>
      </c>
      <c r="U6186">
        <v>0.1230469</v>
      </c>
      <c r="V6186">
        <v>-5.2609429999999999E-2</v>
      </c>
      <c r="W6186">
        <v>2.3959080000000001E-2</v>
      </c>
      <c r="X6186">
        <v>0.99832770000000004</v>
      </c>
      <c r="Y6186">
        <v>-6.7565890000000003E-2</v>
      </c>
      <c r="Z6186">
        <v>4.9795079999999999E-4</v>
      </c>
      <c r="AA6186">
        <v>0.99771469999999995</v>
      </c>
      <c r="AB6186">
        <v>23</v>
      </c>
      <c r="AC6186">
        <v>118.63330000000001</v>
      </c>
      <c r="AD6186">
        <v>-0.97964390000000001</v>
      </c>
      <c r="AE6186">
        <v>4.8761599999999898</v>
      </c>
      <c r="AF6186">
        <v>-8.0296083111379009</v>
      </c>
      <c r="AG6186">
        <v>-0.97964390000000001</v>
      </c>
      <c r="AH6186">
        <v>118.45354780352601</v>
      </c>
      <c r="AI6186">
        <v>90.472756403308594</v>
      </c>
      <c r="AJ6186">
        <v>93.877975275927994</v>
      </c>
      <c r="AK6186">
        <v>118.72942895105299</v>
      </c>
      <c r="AL6186">
        <v>88.627114456191293</v>
      </c>
      <c r="AM6186">
        <v>93.016557262258104</v>
      </c>
      <c r="AN6186">
        <v>0.99999999311332999</v>
      </c>
    </row>
    <row r="6187" spans="1:40" x14ac:dyDescent="0.25">
      <c r="A6187" t="str">
        <f>"20190312160456737"</f>
        <v>20190312160456737</v>
      </c>
      <c r="B6187" t="str">
        <f>"1552377896730995"</f>
        <v>1552377896730995</v>
      </c>
      <c r="C6187" t="s">
        <v>40</v>
      </c>
      <c r="D6187">
        <v>6.0139490000000002</v>
      </c>
      <c r="E6187">
        <v>0.4947259</v>
      </c>
      <c r="F6187" t="s">
        <v>109</v>
      </c>
      <c r="G6187">
        <v>-279.68</v>
      </c>
      <c r="H6187">
        <v>0.144537</v>
      </c>
      <c r="I6187">
        <v>22.08595</v>
      </c>
      <c r="J6187">
        <v>-398.20460000000003</v>
      </c>
      <c r="K6187">
        <v>1.110851</v>
      </c>
      <c r="L6187">
        <v>17.230869999999999</v>
      </c>
      <c r="M6187">
        <v>0.9995655</v>
      </c>
      <c r="N6187">
        <v>0</v>
      </c>
      <c r="O6187">
        <v>-2.605201E-2</v>
      </c>
      <c r="P6187">
        <v>0.99961069999999996</v>
      </c>
      <c r="Q6187">
        <v>9.8066460000000005E-3</v>
      </c>
      <c r="R6187">
        <v>2.612573E-2</v>
      </c>
      <c r="S6187">
        <v>2.9982600000000001</v>
      </c>
      <c r="T6187">
        <v>-2.4423839999999999E-2</v>
      </c>
      <c r="U6187">
        <v>0.1226501</v>
      </c>
      <c r="V6187">
        <v>-5.219679E-2</v>
      </c>
      <c r="W6187">
        <v>2.3498109999999999E-2</v>
      </c>
      <c r="X6187">
        <v>0.99836029999999998</v>
      </c>
      <c r="Y6187">
        <v>-6.6888690000000001E-2</v>
      </c>
      <c r="Z6187">
        <v>4.844774E-4</v>
      </c>
      <c r="AA6187">
        <v>0.99776039999999999</v>
      </c>
      <c r="AB6187">
        <v>23</v>
      </c>
      <c r="AC6187">
        <v>118.52460000000001</v>
      </c>
      <c r="AD6187">
        <v>-0.96631399999999901</v>
      </c>
      <c r="AE6187">
        <v>4.8550800000000001</v>
      </c>
      <c r="AF6187">
        <v>-7.9410024794609502</v>
      </c>
      <c r="AG6187">
        <v>-0.96631399999999901</v>
      </c>
      <c r="AH6187">
        <v>118.350013717637</v>
      </c>
      <c r="AI6187">
        <v>90.466753477350807</v>
      </c>
      <c r="AJ6187">
        <v>93.838655828976997</v>
      </c>
      <c r="AK6187">
        <v>118.620061667874</v>
      </c>
      <c r="AL6187">
        <v>88.653533509472197</v>
      </c>
      <c r="AM6187">
        <v>92.992842648016307</v>
      </c>
      <c r="AN6187">
        <v>0.99999997733798196</v>
      </c>
    </row>
    <row r="6188" spans="1:40" x14ac:dyDescent="0.25">
      <c r="A6188" t="str">
        <f>"20190312160456749"</f>
        <v>20190312160456749</v>
      </c>
      <c r="B6188" t="str">
        <f>"1552377896741730"</f>
        <v>1552377896741730</v>
      </c>
      <c r="C6188" t="s">
        <v>40</v>
      </c>
      <c r="D6188">
        <v>5.8857699999999999</v>
      </c>
      <c r="E6188">
        <v>0.49486799999999997</v>
      </c>
      <c r="F6188" t="s">
        <v>109</v>
      </c>
      <c r="G6188">
        <v>-279.68</v>
      </c>
      <c r="H6188">
        <v>0.1575704</v>
      </c>
      <c r="I6188">
        <v>22.026330000000002</v>
      </c>
      <c r="J6188">
        <v>-398.08069999999998</v>
      </c>
      <c r="K6188">
        <v>1.11077</v>
      </c>
      <c r="L6188">
        <v>17.228390000000001</v>
      </c>
      <c r="M6188">
        <v>0.99958089999999999</v>
      </c>
      <c r="N6188">
        <v>0</v>
      </c>
      <c r="O6188">
        <v>-2.546176E-2</v>
      </c>
      <c r="P6188">
        <v>0.99961009999999995</v>
      </c>
      <c r="Q6188">
        <v>9.4398559999999999E-3</v>
      </c>
      <c r="R6188">
        <v>2.6282960000000001E-2</v>
      </c>
      <c r="S6188">
        <v>2.99823</v>
      </c>
      <c r="T6188">
        <v>-2.411437E-2</v>
      </c>
      <c r="U6188">
        <v>0.121307399999999</v>
      </c>
      <c r="V6188">
        <v>-5.1758779999999997E-2</v>
      </c>
      <c r="W6188">
        <v>2.313438E-2</v>
      </c>
      <c r="X6188">
        <v>0.99839160000000005</v>
      </c>
      <c r="Y6188">
        <v>-6.5853889999999998E-2</v>
      </c>
      <c r="Z6188">
        <v>4.694422E-4</v>
      </c>
      <c r="AA6188">
        <v>0.99782910000000002</v>
      </c>
      <c r="AB6188">
        <v>23</v>
      </c>
      <c r="AC6188">
        <v>118.40069999999901</v>
      </c>
      <c r="AD6188">
        <v>-0.95319959999999904</v>
      </c>
      <c r="AE6188">
        <v>4.7979399999999899</v>
      </c>
      <c r="AF6188">
        <v>-7.8108550120583899</v>
      </c>
      <c r="AG6188">
        <v>-0.95319959999999904</v>
      </c>
      <c r="AH6188">
        <v>118.232480859189</v>
      </c>
      <c r="AI6188">
        <v>90.460908439223402</v>
      </c>
      <c r="AJ6188">
        <v>93.779669167076307</v>
      </c>
      <c r="AK6188">
        <v>118.494040253572</v>
      </c>
      <c r="AL6188">
        <v>88.674379373178695</v>
      </c>
      <c r="AM6188">
        <v>92.9676803840822</v>
      </c>
      <c r="AN6188">
        <v>0.999999978897816</v>
      </c>
    </row>
    <row r="6189" spans="1:40" x14ac:dyDescent="0.25">
      <c r="A6189" t="str">
        <f>"20190312160456760"</f>
        <v>20190312160456760</v>
      </c>
      <c r="B6189" t="str">
        <f>"1552377896751491"</f>
        <v>1552377896751491</v>
      </c>
      <c r="C6189" t="s">
        <v>40</v>
      </c>
      <c r="D6189">
        <v>7.2798169999999898</v>
      </c>
      <c r="E6189">
        <v>0.49501260000000002</v>
      </c>
      <c r="F6189" t="s">
        <v>109</v>
      </c>
      <c r="G6189">
        <v>-279.68</v>
      </c>
      <c r="H6189">
        <v>0.18176410000000001</v>
      </c>
      <c r="I6189">
        <v>21.992380000000001</v>
      </c>
      <c r="J6189">
        <v>-397.96420000000001</v>
      </c>
      <c r="K6189">
        <v>1.1106860000000001</v>
      </c>
      <c r="L6189">
        <v>17.226040000000001</v>
      </c>
      <c r="M6189">
        <v>0.9995927</v>
      </c>
      <c r="N6189">
        <v>0</v>
      </c>
      <c r="O6189">
        <v>-2.5001410000000002E-2</v>
      </c>
      <c r="P6189">
        <v>0.99961420000000001</v>
      </c>
      <c r="Q6189">
        <v>9.0350280000000005E-3</v>
      </c>
      <c r="R6189">
        <v>2.627063E-2</v>
      </c>
      <c r="S6189">
        <v>2.9981990000000001</v>
      </c>
      <c r="T6189">
        <v>-2.3524639999999999E-2</v>
      </c>
      <c r="U6189">
        <v>0.12063599999999999</v>
      </c>
      <c r="V6189">
        <v>-5.1281750000000001E-2</v>
      </c>
      <c r="W6189">
        <v>2.273346E-2</v>
      </c>
      <c r="X6189">
        <v>0.99842540000000002</v>
      </c>
      <c r="Y6189">
        <v>-6.5171839999999995E-2</v>
      </c>
      <c r="Z6189">
        <v>4.5168319999999999E-4</v>
      </c>
      <c r="AA6189">
        <v>0.99787400000000004</v>
      </c>
      <c r="AB6189">
        <v>23</v>
      </c>
      <c r="AC6189">
        <v>118.2842</v>
      </c>
      <c r="AD6189">
        <v>-0.92892189999999997</v>
      </c>
      <c r="AE6189">
        <v>4.7663399999999898</v>
      </c>
      <c r="AF6189">
        <v>-7.7219261828493</v>
      </c>
      <c r="AG6189">
        <v>-0.92892189999999997</v>
      </c>
      <c r="AH6189">
        <v>118.12076951261901</v>
      </c>
      <c r="AI6189">
        <v>90.449614820657402</v>
      </c>
      <c r="AJ6189">
        <v>93.740283137887403</v>
      </c>
      <c r="AK6189">
        <v>118.37654848036</v>
      </c>
      <c r="AL6189">
        <v>88.697356408302397</v>
      </c>
      <c r="AM6189">
        <v>92.940277886202495</v>
      </c>
      <c r="AN6189">
        <v>0.99999995372589601</v>
      </c>
    </row>
    <row r="6190" spans="1:40" x14ac:dyDescent="0.25">
      <c r="A6190" t="str">
        <f>"20190312160456771"</f>
        <v>20190312160456771</v>
      </c>
      <c r="B6190" t="str">
        <f>"1552377896761251"</f>
        <v>1552377896761251</v>
      </c>
      <c r="C6190" t="s">
        <v>40</v>
      </c>
      <c r="D6190">
        <v>6.0212209999999997</v>
      </c>
      <c r="E6190">
        <v>0.4951721</v>
      </c>
      <c r="F6190" t="s">
        <v>109</v>
      </c>
      <c r="G6190">
        <v>-279.68</v>
      </c>
      <c r="H6190">
        <v>0.2025583</v>
      </c>
      <c r="I6190">
        <v>21.937090000000001</v>
      </c>
      <c r="J6190">
        <v>-397.85140000000001</v>
      </c>
      <c r="K6190">
        <v>1.1106049999999901</v>
      </c>
      <c r="L6190">
        <v>17.223749999999999</v>
      </c>
      <c r="M6190">
        <v>0.99960269999999996</v>
      </c>
      <c r="N6190">
        <v>0</v>
      </c>
      <c r="O6190">
        <v>-2.459836E-2</v>
      </c>
      <c r="P6190">
        <v>0.99961820000000001</v>
      </c>
      <c r="Q6190">
        <v>8.7243240000000003E-3</v>
      </c>
      <c r="R6190">
        <v>2.6221970000000001E-2</v>
      </c>
      <c r="S6190">
        <v>2.9982600000000001</v>
      </c>
      <c r="T6190">
        <v>-2.3019080000000001E-2</v>
      </c>
      <c r="U6190">
        <v>0.1194153</v>
      </c>
      <c r="V6190">
        <v>-5.0826009999999998E-2</v>
      </c>
      <c r="W6190">
        <v>2.2426930000000001E-2</v>
      </c>
      <c r="X6190">
        <v>0.99845569999999895</v>
      </c>
      <c r="Y6190">
        <v>-6.4363180000000006E-2</v>
      </c>
      <c r="Z6190">
        <v>4.3577429999999999E-4</v>
      </c>
      <c r="AA6190">
        <v>0.99792650000000005</v>
      </c>
      <c r="AB6190">
        <v>23</v>
      </c>
      <c r="AC6190">
        <v>118.17140000000001</v>
      </c>
      <c r="AD6190">
        <v>-0.90804669999999998</v>
      </c>
      <c r="AE6190">
        <v>4.7133399999999899</v>
      </c>
      <c r="AF6190">
        <v>-7.6185623096028303</v>
      </c>
      <c r="AG6190">
        <v>-0.90804669999999998</v>
      </c>
      <c r="AH6190">
        <v>118.012727739203</v>
      </c>
      <c r="AI6190">
        <v>90.439936834958203</v>
      </c>
      <c r="AJ6190">
        <v>93.693725088297995</v>
      </c>
      <c r="AK6190">
        <v>118.26187445209</v>
      </c>
      <c r="AL6190">
        <v>88.714923845730695</v>
      </c>
      <c r="AM6190">
        <v>92.914104648167694</v>
      </c>
      <c r="AN6190">
        <v>1.00000001767211</v>
      </c>
    </row>
    <row r="6191" spans="1:40" x14ac:dyDescent="0.25">
      <c r="A6191" t="str">
        <f>"20190312160456783"</f>
        <v>20190312160456783</v>
      </c>
      <c r="B6191" t="str">
        <f>"1552377896771011"</f>
        <v>1552377896771011</v>
      </c>
      <c r="C6191" t="s">
        <v>40</v>
      </c>
      <c r="D6191">
        <v>6.0862449999999999</v>
      </c>
      <c r="E6191">
        <v>0.49531019999999998</v>
      </c>
      <c r="F6191" t="s">
        <v>109</v>
      </c>
      <c r="G6191">
        <v>-279.68</v>
      </c>
      <c r="H6191">
        <v>0.24357200000000001</v>
      </c>
      <c r="I6191">
        <v>21.87257</v>
      </c>
      <c r="J6191">
        <v>-397.72770000000003</v>
      </c>
      <c r="K6191">
        <v>1.110522</v>
      </c>
      <c r="L6191">
        <v>17.221250000000001</v>
      </c>
      <c r="M6191">
        <v>0.9996119</v>
      </c>
      <c r="N6191">
        <v>0</v>
      </c>
      <c r="O6191">
        <v>-2.421806E-2</v>
      </c>
      <c r="P6191">
        <v>0.99962320000000005</v>
      </c>
      <c r="Q6191">
        <v>8.4822059999999904E-3</v>
      </c>
      <c r="R6191">
        <v>2.6105670000000001E-2</v>
      </c>
      <c r="S6191">
        <v>2.9982600000000001</v>
      </c>
      <c r="T6191">
        <v>-2.1998409999999999E-2</v>
      </c>
      <c r="U6191">
        <v>0.1179504</v>
      </c>
      <c r="V6191">
        <v>-5.0324920000000002E-2</v>
      </c>
      <c r="W6191">
        <v>2.2188099999999999E-2</v>
      </c>
      <c r="X6191">
        <v>0.9984864</v>
      </c>
      <c r="Y6191">
        <v>-6.3496979999999995E-2</v>
      </c>
      <c r="Z6191">
        <v>4.1049039999999998E-4</v>
      </c>
      <c r="AA6191">
        <v>0.99798200000000004</v>
      </c>
      <c r="AB6191">
        <v>23</v>
      </c>
      <c r="AC6191">
        <v>118.04770000000001</v>
      </c>
      <c r="AD6191">
        <v>-0.86695</v>
      </c>
      <c r="AE6191">
        <v>4.6513199999999904</v>
      </c>
      <c r="AF6191">
        <v>-7.5087084009257596</v>
      </c>
      <c r="AG6191">
        <v>-0.86695</v>
      </c>
      <c r="AH6191">
        <v>117.894064600359</v>
      </c>
      <c r="AI6191">
        <v>90.420472773654396</v>
      </c>
      <c r="AJ6191">
        <v>93.644263137530004</v>
      </c>
      <c r="AK6191">
        <v>118.136119676186</v>
      </c>
      <c r="AL6191">
        <v>88.728611180297406</v>
      </c>
      <c r="AM6191">
        <v>92.8853349237896</v>
      </c>
      <c r="AN6191">
        <v>1.00000000016978</v>
      </c>
    </row>
    <row r="6192" spans="1:40" x14ac:dyDescent="0.25">
      <c r="A6192" t="str">
        <f>"20190312160456796"</f>
        <v>20190312160456796</v>
      </c>
      <c r="B6192" t="str">
        <f>"1552377896791507"</f>
        <v>1552377896791507</v>
      </c>
      <c r="C6192" t="s">
        <v>40</v>
      </c>
      <c r="D6192">
        <v>6.0294480000000004</v>
      </c>
      <c r="E6192">
        <v>0.49561290000000002</v>
      </c>
      <c r="F6192" t="s">
        <v>109</v>
      </c>
      <c r="G6192">
        <v>-279.68</v>
      </c>
      <c r="H6192">
        <v>0.30820229999999998</v>
      </c>
      <c r="I6192">
        <v>21.806419999999999</v>
      </c>
      <c r="J6192">
        <v>-397.61110000000002</v>
      </c>
      <c r="K6192">
        <v>1.110447</v>
      </c>
      <c r="L6192">
        <v>17.218810000000001</v>
      </c>
      <c r="M6192">
        <v>0.99961889999999998</v>
      </c>
      <c r="N6192">
        <v>0</v>
      </c>
      <c r="O6192">
        <v>-2.3935020000000001E-2</v>
      </c>
      <c r="P6192">
        <v>0.99963270000000004</v>
      </c>
      <c r="Q6192">
        <v>8.2604830000000008E-3</v>
      </c>
      <c r="R6192">
        <v>2.5821650000000002E-2</v>
      </c>
      <c r="S6192">
        <v>2.9981990000000001</v>
      </c>
      <c r="T6192">
        <v>-2.03774E-2</v>
      </c>
      <c r="U6192">
        <v>0.11645510000000001</v>
      </c>
      <c r="V6192">
        <v>-4.9754300000000001E-2</v>
      </c>
      <c r="W6192">
        <v>2.1970239999999999E-2</v>
      </c>
      <c r="X6192">
        <v>0.99851979999999996</v>
      </c>
      <c r="Y6192">
        <v>-6.2718549999999998E-2</v>
      </c>
      <c r="Z6192">
        <v>3.756869E-4</v>
      </c>
      <c r="AA6192">
        <v>0.99803120000000001</v>
      </c>
      <c r="AB6192">
        <v>23</v>
      </c>
      <c r="AC6192">
        <v>117.9311</v>
      </c>
      <c r="AD6192">
        <v>-0.80224469999999903</v>
      </c>
      <c r="AE6192">
        <v>4.5876099999999997</v>
      </c>
      <c r="AF6192">
        <v>-7.4089033967361102</v>
      </c>
      <c r="AG6192">
        <v>-0.80224469999999903</v>
      </c>
      <c r="AH6192">
        <v>117.782051091291</v>
      </c>
      <c r="AI6192">
        <v>90.3894808981305</v>
      </c>
      <c r="AJ6192">
        <v>93.599362756403593</v>
      </c>
      <c r="AK6192">
        <v>118.017570748479</v>
      </c>
      <c r="AL6192">
        <v>88.741096665159105</v>
      </c>
      <c r="AM6192">
        <v>92.852578014886305</v>
      </c>
      <c r="AN6192">
        <v>0.99999998640309296</v>
      </c>
    </row>
    <row r="6193" spans="1:40" x14ac:dyDescent="0.25">
      <c r="A6193" t="str">
        <f>"20190312160456808"</f>
        <v>20190312160456808</v>
      </c>
      <c r="B6193" t="str">
        <f>"1552377896801267"</f>
        <v>1552377896801267</v>
      </c>
      <c r="C6193" t="s">
        <v>40</v>
      </c>
      <c r="D6193">
        <v>5.9756330000000002</v>
      </c>
      <c r="E6193">
        <v>0.49574580000000001</v>
      </c>
      <c r="F6193" t="s">
        <v>109</v>
      </c>
      <c r="G6193">
        <v>-279.68</v>
      </c>
      <c r="H6193">
        <v>0.41588700000000001</v>
      </c>
      <c r="I6193">
        <v>21.668469999999999</v>
      </c>
      <c r="J6193">
        <v>-397.48860000000002</v>
      </c>
      <c r="K6193">
        <v>1.1103700000000001</v>
      </c>
      <c r="L6193">
        <v>17.216249999999999</v>
      </c>
      <c r="M6193">
        <v>0.99962519999999999</v>
      </c>
      <c r="N6193">
        <v>0</v>
      </c>
      <c r="O6193">
        <v>-2.367087E-2</v>
      </c>
      <c r="P6193">
        <v>0.99963590000000002</v>
      </c>
      <c r="Q6193">
        <v>8.1311259999999903E-3</v>
      </c>
      <c r="R6193">
        <v>2.5726450000000001E-2</v>
      </c>
      <c r="S6193">
        <v>2.998291</v>
      </c>
      <c r="T6193">
        <v>-1.7658469999999999E-2</v>
      </c>
      <c r="U6193">
        <v>0.1131287</v>
      </c>
      <c r="V6193">
        <v>-4.939114E-2</v>
      </c>
      <c r="W6193">
        <v>2.1844860000000001E-2</v>
      </c>
      <c r="X6193">
        <v>0.9985406</v>
      </c>
      <c r="Y6193">
        <v>-6.1348449999999999E-2</v>
      </c>
      <c r="Z6193">
        <v>3.1996850000000002E-4</v>
      </c>
      <c r="AA6193">
        <v>0.99811640000000001</v>
      </c>
      <c r="AB6193">
        <v>23</v>
      </c>
      <c r="AC6193">
        <v>117.8086</v>
      </c>
      <c r="AD6193">
        <v>-0.69448299999999996</v>
      </c>
      <c r="AE6193">
        <v>4.4522199999999996</v>
      </c>
      <c r="AF6193">
        <v>-7.2396168780587198</v>
      </c>
      <c r="AG6193">
        <v>-0.69448299999999996</v>
      </c>
      <c r="AH6193">
        <v>117.666103365756</v>
      </c>
      <c r="AI6193">
        <v>90.3375261204</v>
      </c>
      <c r="AJ6193">
        <v>93.520786803776105</v>
      </c>
      <c r="AK6193">
        <v>117.890653745151</v>
      </c>
      <c r="AL6193">
        <v>88.748282159429806</v>
      </c>
      <c r="AM6193">
        <v>92.8317319785574</v>
      </c>
      <c r="AN6193">
        <v>1.0000000062336301</v>
      </c>
    </row>
    <row r="6194" spans="1:40" x14ac:dyDescent="0.25">
      <c r="A6194" t="str">
        <f>"20190312160456819"</f>
        <v>20190312160456819</v>
      </c>
      <c r="B6194" t="str">
        <f>"1552377896811028"</f>
        <v>1552377896811028</v>
      </c>
      <c r="C6194" t="s">
        <v>40</v>
      </c>
      <c r="D6194">
        <v>6.0234540000000001</v>
      </c>
      <c r="E6194">
        <v>0.49593769999999998</v>
      </c>
      <c r="F6194" t="s">
        <v>109</v>
      </c>
      <c r="G6194">
        <v>-279.68</v>
      </c>
      <c r="H6194">
        <v>0.46435389999999999</v>
      </c>
      <c r="I6194">
        <v>21.607240000000001</v>
      </c>
      <c r="J6194">
        <v>-397.35969999999998</v>
      </c>
      <c r="K6194">
        <v>1.1102970000000001</v>
      </c>
      <c r="L6194">
        <v>17.213470000000001</v>
      </c>
      <c r="M6194">
        <v>0.99962930000000005</v>
      </c>
      <c r="N6194">
        <v>0</v>
      </c>
      <c r="O6194">
        <v>-2.3500759999999999E-2</v>
      </c>
      <c r="P6194">
        <v>0.99964839999999999</v>
      </c>
      <c r="Q6194">
        <v>7.96585E-3</v>
      </c>
      <c r="R6194">
        <v>2.5292269999999999E-2</v>
      </c>
      <c r="S6194">
        <v>2.9983520000000001</v>
      </c>
      <c r="T6194">
        <v>-1.64417E-2</v>
      </c>
      <c r="U6194">
        <v>0.1117554</v>
      </c>
      <c r="V6194">
        <v>-4.8783269999999997E-2</v>
      </c>
      <c r="W6194">
        <v>2.1682779999999999E-2</v>
      </c>
      <c r="X6194">
        <v>0.99857399999999996</v>
      </c>
      <c r="Y6194">
        <v>-6.0721530000000003E-2</v>
      </c>
      <c r="Z6194">
        <v>2.952667E-4</v>
      </c>
      <c r="AA6194">
        <v>0.99815469999999895</v>
      </c>
      <c r="AB6194">
        <v>23</v>
      </c>
      <c r="AC6194">
        <v>117.679699999999</v>
      </c>
      <c r="AD6194">
        <v>-0.64594309999999899</v>
      </c>
      <c r="AE6194">
        <v>4.39377</v>
      </c>
      <c r="AF6194">
        <v>-7.1581646636219496</v>
      </c>
      <c r="AG6194">
        <v>-0.64594309999999899</v>
      </c>
      <c r="AH6194">
        <v>117.540389816581</v>
      </c>
      <c r="AI6194">
        <v>90.314283481488104</v>
      </c>
      <c r="AJ6194">
        <v>93.484986921849696</v>
      </c>
      <c r="AK6194">
        <v>117.75992443133499</v>
      </c>
      <c r="AL6194">
        <v>88.757570841670599</v>
      </c>
      <c r="AM6194">
        <v>92.796843374902295</v>
      </c>
      <c r="AN6194">
        <v>0.99999999192820999</v>
      </c>
    </row>
    <row r="6195" spans="1:40" x14ac:dyDescent="0.25">
      <c r="A6195" t="str">
        <f>"20190312160456838"</f>
        <v>20190312160456838</v>
      </c>
      <c r="B6195" t="str">
        <f>"1552377896831522"</f>
        <v>1552377896831522</v>
      </c>
      <c r="C6195" t="s">
        <v>40</v>
      </c>
      <c r="D6195">
        <v>5.95662</v>
      </c>
      <c r="E6195">
        <v>0.4962299</v>
      </c>
      <c r="F6195" t="s">
        <v>109</v>
      </c>
      <c r="G6195">
        <v>-279.68</v>
      </c>
      <c r="H6195">
        <v>0.4976604</v>
      </c>
      <c r="I6195">
        <v>21.489419999999999</v>
      </c>
      <c r="J6195">
        <v>-397.18400000000003</v>
      </c>
      <c r="K6195">
        <v>1.1102030000000001</v>
      </c>
      <c r="L6195">
        <v>17.209629999999901</v>
      </c>
      <c r="M6195">
        <v>0.99963290000000005</v>
      </c>
      <c r="N6195">
        <v>0</v>
      </c>
      <c r="O6195">
        <v>-2.3356370000000001E-2</v>
      </c>
      <c r="P6195">
        <v>0.99967689999999998</v>
      </c>
      <c r="Q6195">
        <v>7.5805819999999998E-3</v>
      </c>
      <c r="R6195">
        <v>2.426145E-2</v>
      </c>
      <c r="S6195">
        <v>2.998383</v>
      </c>
      <c r="T6195">
        <v>-1.5609380000000001E-2</v>
      </c>
      <c r="U6195">
        <v>0.1089478</v>
      </c>
      <c r="V6195">
        <v>-4.7604189999999998E-2</v>
      </c>
      <c r="W6195">
        <v>2.1302339999999999E-2</v>
      </c>
      <c r="X6195">
        <v>0.9986391</v>
      </c>
      <c r="Y6195">
        <v>-5.9643689999999999E-2</v>
      </c>
      <c r="Z6195">
        <v>2.7676520000000001E-4</v>
      </c>
      <c r="AA6195">
        <v>0.99821970000000004</v>
      </c>
      <c r="AB6195">
        <v>23</v>
      </c>
      <c r="AC6195">
        <v>117.504</v>
      </c>
      <c r="AD6195">
        <v>-0.61254259999999905</v>
      </c>
      <c r="AE6195">
        <v>4.2797900000000002</v>
      </c>
      <c r="AF6195">
        <v>-7.0231573296594201</v>
      </c>
      <c r="AG6195">
        <v>-0.61254259999999905</v>
      </c>
      <c r="AH6195">
        <v>117.36878415166601</v>
      </c>
      <c r="AI6195">
        <v>90.298487576580897</v>
      </c>
      <c r="AJ6195">
        <v>93.424403065979504</v>
      </c>
      <c r="AK6195">
        <v>117.580319103812</v>
      </c>
      <c r="AL6195">
        <v>88.779373494813996</v>
      </c>
      <c r="AM6195">
        <v>92.729170164076805</v>
      </c>
      <c r="AN6195">
        <v>1.00000000032192</v>
      </c>
    </row>
    <row r="6196" spans="1:40" x14ac:dyDescent="0.25">
      <c r="A6196" t="str">
        <f>"20190312160456852"</f>
        <v>20190312160456852</v>
      </c>
      <c r="B6196" t="str">
        <f>"1552377896841283"</f>
        <v>1552377896841283</v>
      </c>
      <c r="C6196" t="s">
        <v>40</v>
      </c>
      <c r="D6196">
        <v>6.6981830000000002</v>
      </c>
      <c r="E6196">
        <v>0.49619029999999997</v>
      </c>
      <c r="F6196" t="s">
        <v>109</v>
      </c>
      <c r="G6196">
        <v>-279.68</v>
      </c>
      <c r="H6196">
        <v>0.60717129999999997</v>
      </c>
      <c r="I6196">
        <v>21.262519999999999</v>
      </c>
      <c r="J6196">
        <v>-397.0523</v>
      </c>
      <c r="K6196">
        <v>1.110139</v>
      </c>
      <c r="L6196">
        <v>17.206700000000001</v>
      </c>
      <c r="M6196">
        <v>0.99963400000000002</v>
      </c>
      <c r="N6196">
        <v>0</v>
      </c>
      <c r="O6196">
        <v>-2.331426E-2</v>
      </c>
      <c r="P6196">
        <v>0.99968310000000005</v>
      </c>
      <c r="Q6196">
        <v>7.6018869999999999E-3</v>
      </c>
      <c r="R6196">
        <v>2.4000609999999999E-2</v>
      </c>
      <c r="S6196">
        <v>2.998535</v>
      </c>
      <c r="T6196">
        <v>-1.283658E-2</v>
      </c>
      <c r="U6196">
        <v>0.1034241</v>
      </c>
      <c r="V6196">
        <v>-4.7297970000000002E-2</v>
      </c>
      <c r="W6196">
        <v>2.1325710000000001E-2</v>
      </c>
      <c r="X6196">
        <v>0.99865320000000002</v>
      </c>
      <c r="Y6196">
        <v>-5.7763519999999999E-2</v>
      </c>
      <c r="Z6196">
        <v>2.233937E-4</v>
      </c>
      <c r="AA6196">
        <v>0.9983303</v>
      </c>
      <c r="AB6196">
        <v>23</v>
      </c>
      <c r="AC6196">
        <v>117.3723</v>
      </c>
      <c r="AD6196">
        <v>-0.50296769999999902</v>
      </c>
      <c r="AE6196">
        <v>4.0558199999999998</v>
      </c>
      <c r="AF6196">
        <v>-6.7912988085341697</v>
      </c>
      <c r="AG6196">
        <v>-0.50296769999999902</v>
      </c>
      <c r="AH6196">
        <v>117.243672769836</v>
      </c>
      <c r="AI6196">
        <v>90.245382333170099</v>
      </c>
      <c r="AJ6196">
        <v>93.315133617127202</v>
      </c>
      <c r="AK6196">
        <v>117.44127690286101</v>
      </c>
      <c r="AL6196">
        <v>88.778034247532503</v>
      </c>
      <c r="AM6196">
        <v>92.711602489407895</v>
      </c>
      <c r="AN6196">
        <v>1.00000004887168</v>
      </c>
    </row>
    <row r="6197" spans="1:40" x14ac:dyDescent="0.25">
      <c r="A6197" t="str">
        <f>"20190312160456864"</f>
        <v>20190312160456864</v>
      </c>
      <c r="B6197" t="str">
        <f>"1552377896861779"</f>
        <v>1552377896861779</v>
      </c>
      <c r="C6197" t="s">
        <v>40</v>
      </c>
      <c r="D6197">
        <v>6.0869499999999999</v>
      </c>
      <c r="E6197">
        <v>0.49613950000000001</v>
      </c>
      <c r="F6197" t="s">
        <v>109</v>
      </c>
      <c r="G6197">
        <v>-279.68</v>
      </c>
      <c r="H6197">
        <v>0.69149450000000001</v>
      </c>
      <c r="I6197">
        <v>21.233499999999999</v>
      </c>
      <c r="J6197">
        <v>-396.92070000000001</v>
      </c>
      <c r="K6197">
        <v>1.110082</v>
      </c>
      <c r="L6197">
        <v>17.203669999999999</v>
      </c>
      <c r="M6197">
        <v>0.99963360000000001</v>
      </c>
      <c r="N6197">
        <v>0</v>
      </c>
      <c r="O6197">
        <v>-2.333437E-2</v>
      </c>
      <c r="P6197">
        <v>0.99968239999999997</v>
      </c>
      <c r="Q6197">
        <v>7.7335290000000003E-3</v>
      </c>
      <c r="R6197">
        <v>2.3987660000000001E-2</v>
      </c>
      <c r="S6197">
        <v>2.9985659999999998</v>
      </c>
      <c r="T6197">
        <v>-1.069522E-2</v>
      </c>
      <c r="U6197">
        <v>0.1028748</v>
      </c>
      <c r="V6197">
        <v>-4.73026E-2</v>
      </c>
      <c r="W6197">
        <v>2.1458709999999999E-2</v>
      </c>
      <c r="X6197">
        <v>0.99865009999999999</v>
      </c>
      <c r="Y6197">
        <v>-5.7600810000000002E-2</v>
      </c>
      <c r="Z6197">
        <v>1.8590840000000001E-4</v>
      </c>
      <c r="AA6197">
        <v>0.99833970000000005</v>
      </c>
      <c r="AB6197">
        <v>23</v>
      </c>
      <c r="AC6197">
        <v>117.2407</v>
      </c>
      <c r="AD6197">
        <v>-0.4185875</v>
      </c>
      <c r="AE6197">
        <v>4.0298299999999898</v>
      </c>
      <c r="AF6197">
        <v>-6.7646417137496204</v>
      </c>
      <c r="AG6197">
        <v>-0.4185875</v>
      </c>
      <c r="AH6197">
        <v>117.113237785084</v>
      </c>
      <c r="AI6197">
        <v>90.2044456022753</v>
      </c>
      <c r="AJ6197">
        <v>93.305819581905297</v>
      </c>
      <c r="AK6197">
        <v>117.309189995994</v>
      </c>
      <c r="AL6197">
        <v>88.770412126061004</v>
      </c>
      <c r="AM6197">
        <v>92.711875937628605</v>
      </c>
      <c r="AN6197">
        <v>1.0000000172158101</v>
      </c>
    </row>
    <row r="6198" spans="1:40" x14ac:dyDescent="0.25">
      <c r="A6198" t="str">
        <f>"20190312160456884"</f>
        <v>20190312160456884</v>
      </c>
      <c r="B6198" t="str">
        <f>"1552377896871538"</f>
        <v>1552377896871538</v>
      </c>
      <c r="C6198" t="s">
        <v>40</v>
      </c>
      <c r="D6198">
        <v>6.0835489999999997</v>
      </c>
      <c r="E6198">
        <v>0.49616959999999999</v>
      </c>
      <c r="F6198" t="s">
        <v>109</v>
      </c>
      <c r="G6198">
        <v>-279.68</v>
      </c>
      <c r="H6198">
        <v>0.81195329999999999</v>
      </c>
      <c r="I6198">
        <v>21.236789999999999</v>
      </c>
      <c r="J6198">
        <v>-396.72800000000001</v>
      </c>
      <c r="K6198">
        <v>1.110007</v>
      </c>
      <c r="L6198">
        <v>17.19913</v>
      </c>
      <c r="M6198">
        <v>0.99963089999999999</v>
      </c>
      <c r="N6198">
        <v>0</v>
      </c>
      <c r="O6198">
        <v>-2.3457720000000001E-2</v>
      </c>
      <c r="P6198">
        <v>0.99968950000000001</v>
      </c>
      <c r="Q6198">
        <v>7.6651749999999998E-3</v>
      </c>
      <c r="R6198">
        <v>2.3717909999999998E-2</v>
      </c>
      <c r="S6198">
        <v>2.9985050000000002</v>
      </c>
      <c r="T6198">
        <v>-7.6247449999999996E-3</v>
      </c>
      <c r="U6198">
        <v>0.1031494</v>
      </c>
      <c r="V6198">
        <v>-4.7152649999999997E-2</v>
      </c>
      <c r="W6198">
        <v>2.139197E-2</v>
      </c>
      <c r="X6198">
        <v>0.99865859999999995</v>
      </c>
      <c r="Y6198">
        <v>-5.7816279999999998E-2</v>
      </c>
      <c r="Z6198">
        <v>1.3312640000000001E-4</v>
      </c>
      <c r="AA6198">
        <v>0.99832730000000003</v>
      </c>
      <c r="AB6198">
        <v>23</v>
      </c>
      <c r="AC6198">
        <v>117.04799999999901</v>
      </c>
      <c r="AD6198">
        <v>-0.29805369999999998</v>
      </c>
      <c r="AE6198">
        <v>4.03765999999999</v>
      </c>
      <c r="AF6198">
        <v>-6.7824418857427604</v>
      </c>
      <c r="AG6198">
        <v>-0.29805369999999998</v>
      </c>
      <c r="AH6198">
        <v>116.920305396676</v>
      </c>
      <c r="AI6198">
        <v>90.145813181291302</v>
      </c>
      <c r="AJ6198">
        <v>93.319956090237994</v>
      </c>
      <c r="AK6198">
        <v>117.11724112185</v>
      </c>
      <c r="AL6198">
        <v>88.774236895921206</v>
      </c>
      <c r="AM6198">
        <v>92.703269045227501</v>
      </c>
      <c r="AN6198">
        <v>0.99999999406823104</v>
      </c>
    </row>
    <row r="6199" spans="1:40" x14ac:dyDescent="0.25">
      <c r="A6199" t="str">
        <f>"20190312160456904"</f>
        <v>20190312160456904</v>
      </c>
      <c r="B6199" t="str">
        <f>"1552377896901795"</f>
        <v>1552377896901795</v>
      </c>
      <c r="C6199" t="s">
        <v>40</v>
      </c>
      <c r="D6199">
        <v>5.4060860000000002</v>
      </c>
      <c r="E6199">
        <v>0.49609189999999997</v>
      </c>
      <c r="F6199" t="s">
        <v>109</v>
      </c>
      <c r="G6199">
        <v>-279.68</v>
      </c>
      <c r="H6199">
        <v>0.88829760000000002</v>
      </c>
      <c r="I6199">
        <v>21.182639999999999</v>
      </c>
      <c r="J6199">
        <v>-396.52210000000002</v>
      </c>
      <c r="K6199">
        <v>1.109942</v>
      </c>
      <c r="L6199">
        <v>17.194179999999999</v>
      </c>
      <c r="M6199">
        <v>0.99962530000000005</v>
      </c>
      <c r="N6199">
        <v>0</v>
      </c>
      <c r="O6199">
        <v>-2.3696180000000001E-2</v>
      </c>
      <c r="P6199">
        <v>0.99971299999999996</v>
      </c>
      <c r="Q6199">
        <v>7.1735849999999997E-3</v>
      </c>
      <c r="R6199">
        <v>2.2865300000000002E-2</v>
      </c>
      <c r="S6199">
        <v>2.9985659999999998</v>
      </c>
      <c r="T6199">
        <v>-5.6797269999999999E-3</v>
      </c>
      <c r="U6199">
        <v>0.1020508</v>
      </c>
      <c r="V6199">
        <v>-4.6536460000000002E-2</v>
      </c>
      <c r="W6199">
        <v>2.090237E-2</v>
      </c>
      <c r="X6199">
        <v>0.99869790000000003</v>
      </c>
      <c r="Y6199">
        <v>-5.7688499999999997E-2</v>
      </c>
      <c r="Z6199" s="1">
        <v>9.949603E-5</v>
      </c>
      <c r="AA6199">
        <v>0.99833459999999996</v>
      </c>
      <c r="AB6199">
        <v>23</v>
      </c>
      <c r="AC6199">
        <v>116.8421</v>
      </c>
      <c r="AD6199">
        <v>-0.22164439999999999</v>
      </c>
      <c r="AE6199">
        <v>3.9884599999999999</v>
      </c>
      <c r="AF6199">
        <v>-6.7562869540856099</v>
      </c>
      <c r="AG6199">
        <v>-0.22164439999999999</v>
      </c>
      <c r="AH6199">
        <v>116.71434564879</v>
      </c>
      <c r="AI6199">
        <v>90.108624603171094</v>
      </c>
      <c r="AJ6199">
        <v>93.313004937530806</v>
      </c>
      <c r="AK6199">
        <v>116.909944058969</v>
      </c>
      <c r="AL6199">
        <v>88.802295219635397</v>
      </c>
      <c r="AM6199">
        <v>92.6678893166644</v>
      </c>
      <c r="AN6199">
        <v>1.00000002332267</v>
      </c>
    </row>
    <row r="6200" spans="1:40" x14ac:dyDescent="0.25">
      <c r="A6200" t="str">
        <f>"20190312160456917"</f>
        <v>20190312160456917</v>
      </c>
      <c r="B6200" t="str">
        <f>"1552377896911554"</f>
        <v>1552377896911554</v>
      </c>
      <c r="C6200" t="s">
        <v>40</v>
      </c>
      <c r="D6200">
        <v>5.7607039999999996</v>
      </c>
      <c r="E6200">
        <v>0.49610320000000002</v>
      </c>
      <c r="F6200" t="s">
        <v>109</v>
      </c>
      <c r="G6200">
        <v>-279.68</v>
      </c>
      <c r="H6200">
        <v>1.1468069999999999</v>
      </c>
      <c r="I6200">
        <v>21.09102</v>
      </c>
      <c r="J6200">
        <v>-396.38580000000002</v>
      </c>
      <c r="K6200">
        <v>1.109904</v>
      </c>
      <c r="L6200">
        <v>17.190770000000001</v>
      </c>
      <c r="M6200">
        <v>0.99962010000000001</v>
      </c>
      <c r="N6200">
        <v>0</v>
      </c>
      <c r="O6200">
        <v>-2.3915039999999999E-2</v>
      </c>
      <c r="P6200">
        <v>0.99972649999999996</v>
      </c>
      <c r="Q6200">
        <v>7.1237710000000001E-3</v>
      </c>
      <c r="R6200">
        <v>2.2281829999999999E-2</v>
      </c>
      <c r="S6200">
        <v>2.9985659999999998</v>
      </c>
      <c r="T6200">
        <v>9.4616410000000002E-4</v>
      </c>
      <c r="U6200">
        <v>0.1000061</v>
      </c>
      <c r="V6200">
        <v>-4.6169809999999999E-2</v>
      </c>
      <c r="W6200">
        <v>2.085327E-2</v>
      </c>
      <c r="X6200">
        <v>0.99871589999999999</v>
      </c>
      <c r="Y6200">
        <v>-5.7227239999999999E-2</v>
      </c>
      <c r="Z6200" s="1">
        <v>-1.6571150000000001E-5</v>
      </c>
      <c r="AA6200">
        <v>0.99836119999999995</v>
      </c>
      <c r="AB6200">
        <v>22</v>
      </c>
      <c r="AC6200">
        <v>116.7058</v>
      </c>
      <c r="AD6200">
        <v>3.6902999999999901E-2</v>
      </c>
      <c r="AE6200">
        <v>3.9002500000000002</v>
      </c>
      <c r="AF6200">
        <v>-6.69041951624002</v>
      </c>
      <c r="AG6200">
        <v>3.6902999999999901E-2</v>
      </c>
      <c r="AH6200">
        <v>116.57912020056</v>
      </c>
      <c r="AI6200">
        <v>89.981892874732196</v>
      </c>
      <c r="AJ6200">
        <v>93.284574353471001</v>
      </c>
      <c r="AK6200">
        <v>116.77094819291</v>
      </c>
      <c r="AL6200">
        <v>88.805109003374596</v>
      </c>
      <c r="AM6200">
        <v>92.646852008561893</v>
      </c>
      <c r="AN6200">
        <v>0.99999997956896902</v>
      </c>
    </row>
    <row r="6201" spans="1:40" x14ac:dyDescent="0.25">
      <c r="A6201" t="str">
        <f>"20190312160456930"</f>
        <v>20190312160456930</v>
      </c>
      <c r="B6201" t="str">
        <f>"1552377896921315"</f>
        <v>1552377896921315</v>
      </c>
      <c r="C6201" t="s">
        <v>40</v>
      </c>
      <c r="D6201">
        <v>6.3632179999999998</v>
      </c>
      <c r="E6201">
        <v>0.4960773</v>
      </c>
      <c r="F6201" t="s">
        <v>109</v>
      </c>
      <c r="G6201">
        <v>-279.68</v>
      </c>
      <c r="H6201">
        <v>1.221554</v>
      </c>
      <c r="I6201">
        <v>21.010560000000002</v>
      </c>
      <c r="J6201">
        <v>-396.26530000000002</v>
      </c>
      <c r="K6201">
        <v>1.109869</v>
      </c>
      <c r="L6201">
        <v>17.18768</v>
      </c>
      <c r="M6201">
        <v>0.99961500000000003</v>
      </c>
      <c r="N6201">
        <v>0</v>
      </c>
      <c r="O6201">
        <v>-2.4131179999999999E-2</v>
      </c>
      <c r="P6201">
        <v>0.9997376</v>
      </c>
      <c r="Q6201">
        <v>7.1512669999999898E-3</v>
      </c>
      <c r="R6201">
        <v>2.1769420000000001E-2</v>
      </c>
      <c r="S6201">
        <v>2.998596</v>
      </c>
      <c r="T6201">
        <v>2.8687719999999999E-3</v>
      </c>
      <c r="U6201">
        <v>9.8144529999999994E-2</v>
      </c>
      <c r="V6201">
        <v>-4.587215E-2</v>
      </c>
      <c r="W6201">
        <v>2.088139E-2</v>
      </c>
      <c r="X6201">
        <v>0.99872910000000004</v>
      </c>
      <c r="Y6201">
        <v>-5.6823600000000002E-2</v>
      </c>
      <c r="Z6201" s="1">
        <v>-5.0257409999999998E-5</v>
      </c>
      <c r="AA6201">
        <v>0.99838419999999894</v>
      </c>
      <c r="AB6201">
        <v>22</v>
      </c>
      <c r="AC6201">
        <v>116.5853</v>
      </c>
      <c r="AD6201">
        <v>0.11168500000000001</v>
      </c>
      <c r="AE6201">
        <v>3.8228800000000001</v>
      </c>
      <c r="AF6201">
        <v>-6.6353651891601597</v>
      </c>
      <c r="AG6201">
        <v>0.11168500000000001</v>
      </c>
      <c r="AH6201">
        <v>116.458978053848</v>
      </c>
      <c r="AI6201">
        <v>89.945141920681195</v>
      </c>
      <c r="AJ6201">
        <v>93.260957980676295</v>
      </c>
      <c r="AK6201">
        <v>116.647906599644</v>
      </c>
      <c r="AL6201">
        <v>88.803497580470193</v>
      </c>
      <c r="AM6201">
        <v>92.629776893280393</v>
      </c>
      <c r="AN6201">
        <v>1.0000000508903799</v>
      </c>
    </row>
    <row r="6202" spans="1:40" x14ac:dyDescent="0.25">
      <c r="A6202" t="str">
        <f>"20190312160456940"</f>
        <v>20190312160456940</v>
      </c>
      <c r="B6202" t="str">
        <f>"1552377896931074"</f>
        <v>1552377896931074</v>
      </c>
      <c r="C6202" t="s">
        <v>40</v>
      </c>
      <c r="D6202">
        <v>6.1974359999999997</v>
      </c>
      <c r="E6202">
        <v>0.49610989999999999</v>
      </c>
      <c r="F6202" t="s">
        <v>109</v>
      </c>
      <c r="G6202">
        <v>-279.68</v>
      </c>
      <c r="H6202">
        <v>1.3316250000000001</v>
      </c>
      <c r="I6202">
        <v>20.950150000000001</v>
      </c>
      <c r="J6202">
        <v>-396.14960000000002</v>
      </c>
      <c r="K6202">
        <v>1.109837</v>
      </c>
      <c r="L6202">
        <v>17.184660000000001</v>
      </c>
      <c r="M6202">
        <v>0.99960899999999997</v>
      </c>
      <c r="N6202">
        <v>0</v>
      </c>
      <c r="O6202">
        <v>-2.4375150000000002E-2</v>
      </c>
      <c r="P6202">
        <v>0.99973670000000003</v>
      </c>
      <c r="Q6202">
        <v>7.60238699999999E-3</v>
      </c>
      <c r="R6202">
        <v>2.1656539999999998E-2</v>
      </c>
      <c r="S6202">
        <v>2.998596</v>
      </c>
      <c r="T6202">
        <v>5.7036880000000002E-3</v>
      </c>
      <c r="U6202">
        <v>9.6771239999999994E-2</v>
      </c>
      <c r="V6202">
        <v>-4.6000760000000002E-2</v>
      </c>
      <c r="W6202">
        <v>2.1333330000000001E-2</v>
      </c>
      <c r="X6202">
        <v>0.99871359999999998</v>
      </c>
      <c r="Y6202">
        <v>-5.661041E-2</v>
      </c>
      <c r="Z6202">
        <v>-1.001836E-4</v>
      </c>
      <c r="AA6202">
        <v>0.99839630000000001</v>
      </c>
      <c r="AB6202">
        <v>22</v>
      </c>
      <c r="AC6202">
        <v>116.4696</v>
      </c>
      <c r="AD6202">
        <v>0.22178799999999901</v>
      </c>
      <c r="AE6202">
        <v>3.7654899999999998</v>
      </c>
      <c r="AF6202">
        <v>-6.6035775173827398</v>
      </c>
      <c r="AG6202">
        <v>0.22178799999999901</v>
      </c>
      <c r="AH6202">
        <v>116.34277383564699</v>
      </c>
      <c r="AI6202">
        <v>89.890950849060502</v>
      </c>
      <c r="AJ6202">
        <v>93.248603930242496</v>
      </c>
      <c r="AK6202">
        <v>116.530242639916</v>
      </c>
      <c r="AL6202">
        <v>88.777597516448296</v>
      </c>
      <c r="AM6202">
        <v>92.637180375105899</v>
      </c>
      <c r="AN6202">
        <v>1.0000000178572099</v>
      </c>
    </row>
    <row r="6203" spans="1:40" x14ac:dyDescent="0.25">
      <c r="A6203" t="str">
        <f>"20190312160456960"</f>
        <v>20190312160456960</v>
      </c>
      <c r="B6203" t="str">
        <f>"1552377896951572"</f>
        <v>1552377896951572</v>
      </c>
      <c r="C6203" t="s">
        <v>40</v>
      </c>
      <c r="D6203">
        <v>5.3968489999999996</v>
      </c>
      <c r="E6203">
        <v>0.49608439999999998</v>
      </c>
      <c r="F6203" t="s">
        <v>87</v>
      </c>
      <c r="G6203">
        <v>-273.40989999999999</v>
      </c>
      <c r="H6203">
        <v>1.455252</v>
      </c>
      <c r="I6203">
        <v>21.120719999999999</v>
      </c>
      <c r="J6203">
        <v>-395.9572</v>
      </c>
      <c r="K6203">
        <v>1.109785</v>
      </c>
      <c r="L6203">
        <v>17.17953</v>
      </c>
      <c r="M6203">
        <v>0.99959810000000004</v>
      </c>
      <c r="N6203">
        <v>0</v>
      </c>
      <c r="O6203">
        <v>-2.4821659999999999E-2</v>
      </c>
      <c r="P6203">
        <v>0.99973909999999999</v>
      </c>
      <c r="Q6203">
        <v>7.8878209999999997E-3</v>
      </c>
      <c r="R6203">
        <v>2.1439710000000001E-2</v>
      </c>
      <c r="S6203">
        <v>2.9986269999999999</v>
      </c>
      <c r="T6203">
        <v>8.438826E-3</v>
      </c>
      <c r="U6203">
        <v>9.6160889999999999E-2</v>
      </c>
      <c r="V6203">
        <v>-4.622764E-2</v>
      </c>
      <c r="W6203">
        <v>2.1619849999999999E-2</v>
      </c>
      <c r="X6203">
        <v>0.9986969</v>
      </c>
      <c r="Y6203">
        <v>-5.685287E-2</v>
      </c>
      <c r="Z6203">
        <v>-1.4982170000000001E-4</v>
      </c>
      <c r="AA6203">
        <v>0.99838260000000001</v>
      </c>
      <c r="AB6203">
        <v>22</v>
      </c>
      <c r="AC6203">
        <v>122.54730000000001</v>
      </c>
      <c r="AD6203">
        <v>0.34546700000000002</v>
      </c>
      <c r="AE6203">
        <v>3.9411900000000002</v>
      </c>
      <c r="AF6203">
        <v>-6.9820327051567004</v>
      </c>
      <c r="AG6203">
        <v>0.34546700000000002</v>
      </c>
      <c r="AH6203">
        <v>122.410727647361</v>
      </c>
      <c r="AI6203">
        <v>89.838562927798606</v>
      </c>
      <c r="AJ6203">
        <v>93.264485396539698</v>
      </c>
      <c r="AK6203">
        <v>122.610172381007</v>
      </c>
      <c r="AL6203">
        <v>88.761177265192302</v>
      </c>
      <c r="AM6203">
        <v>92.650212946574101</v>
      </c>
      <c r="AN6203">
        <v>0.99999995534179997</v>
      </c>
    </row>
    <row r="6204" spans="1:40" x14ac:dyDescent="0.25">
      <c r="A6204" t="str">
        <f>"20190312160456972"</f>
        <v>20190312160456972</v>
      </c>
      <c r="B6204" t="str">
        <f>"1552377896961331"</f>
        <v>1552377896961331</v>
      </c>
      <c r="C6204" t="s">
        <v>40</v>
      </c>
      <c r="D6204">
        <v>6.1058009999999996</v>
      </c>
      <c r="E6204">
        <v>0.49610680000000001</v>
      </c>
      <c r="F6204" t="s">
        <v>87</v>
      </c>
      <c r="G6204">
        <v>-273.40989999999999</v>
      </c>
      <c r="H6204">
        <v>1.6372009999999999</v>
      </c>
      <c r="I6204">
        <v>21.08822</v>
      </c>
      <c r="J6204">
        <v>-395.84210000000002</v>
      </c>
      <c r="K6204">
        <v>1.109761</v>
      </c>
      <c r="L6204">
        <v>17.176389999999898</v>
      </c>
      <c r="M6204">
        <v>0.9995908</v>
      </c>
      <c r="N6204">
        <v>0</v>
      </c>
      <c r="O6204">
        <v>-2.5112559999999999E-2</v>
      </c>
      <c r="P6204">
        <v>0.99974320000000005</v>
      </c>
      <c r="Q6204">
        <v>8.2427819999999902E-3</v>
      </c>
      <c r="R6204">
        <v>2.1116570000000001E-2</v>
      </c>
      <c r="S6204">
        <v>2.9986269999999999</v>
      </c>
      <c r="T6204">
        <v>1.290548E-2</v>
      </c>
      <c r="U6204">
        <v>9.5642089999999999E-2</v>
      </c>
      <c r="V6204">
        <v>-4.6193949999999998E-2</v>
      </c>
      <c r="W6204">
        <v>2.197501E-2</v>
      </c>
      <c r="X6204">
        <v>0.99869070000000004</v>
      </c>
      <c r="Y6204">
        <v>-5.6970420000000001E-2</v>
      </c>
      <c r="Z6204">
        <v>-2.3062660000000001E-4</v>
      </c>
      <c r="AA6204">
        <v>0.99837580000000004</v>
      </c>
      <c r="AB6204">
        <v>22</v>
      </c>
      <c r="AC6204">
        <v>122.43219999999999</v>
      </c>
      <c r="AD6204">
        <v>0.52744000000000002</v>
      </c>
      <c r="AE6204">
        <v>3.9118300000000001</v>
      </c>
      <c r="AF6204">
        <v>-6.9853409783113296</v>
      </c>
      <c r="AG6204">
        <v>0.52744000000000002</v>
      </c>
      <c r="AH6204">
        <v>122.29306869880701</v>
      </c>
      <c r="AI6204">
        <v>89.753291652487505</v>
      </c>
      <c r="AJ6204">
        <v>93.269164304111897</v>
      </c>
      <c r="AK6204">
        <v>122.49354200654</v>
      </c>
      <c r="AL6204">
        <v>88.740823250143706</v>
      </c>
      <c r="AM6204">
        <v>92.648300679934707</v>
      </c>
      <c r="AN6204">
        <v>0.99999994817379401</v>
      </c>
    </row>
    <row r="6205" spans="1:40" x14ac:dyDescent="0.25">
      <c r="A6205" t="str">
        <f>"20190312160456984"</f>
        <v>20190312160456984</v>
      </c>
      <c r="B6205" t="str">
        <f>"1552377896981827"</f>
        <v>1552377896981827</v>
      </c>
      <c r="C6205" t="s">
        <v>40</v>
      </c>
      <c r="D6205">
        <v>6.2813129999999999</v>
      </c>
      <c r="E6205">
        <v>0.49612919999999999</v>
      </c>
      <c r="F6205" t="s">
        <v>87</v>
      </c>
      <c r="G6205">
        <v>-273.40989999999999</v>
      </c>
      <c r="H6205">
        <v>1.7246900000000001</v>
      </c>
      <c r="I6205">
        <v>21.034020000000002</v>
      </c>
      <c r="J6205">
        <v>-395.7158</v>
      </c>
      <c r="K6205">
        <v>1.109745</v>
      </c>
      <c r="L6205">
        <v>17.17285</v>
      </c>
      <c r="M6205">
        <v>0.99958230000000003</v>
      </c>
      <c r="N6205">
        <v>0</v>
      </c>
      <c r="O6205">
        <v>-2.5452760000000001E-2</v>
      </c>
      <c r="P6205">
        <v>0.99974589999999997</v>
      </c>
      <c r="Q6205">
        <v>8.3948900000000003E-3</v>
      </c>
      <c r="R6205">
        <v>2.092217E-2</v>
      </c>
      <c r="S6205">
        <v>2.9986570000000001</v>
      </c>
      <c r="T6205">
        <v>1.5061140000000001E-2</v>
      </c>
      <c r="U6205">
        <v>9.4482419999999998E-2</v>
      </c>
      <c r="V6205">
        <v>-4.6338079999999997E-2</v>
      </c>
      <c r="W6205">
        <v>2.212708E-2</v>
      </c>
      <c r="X6205">
        <v>0.99868069999999998</v>
      </c>
      <c r="Y6205">
        <v>-5.6923880000000003E-2</v>
      </c>
      <c r="Z6205">
        <v>-2.7073899999999998E-4</v>
      </c>
      <c r="AA6205">
        <v>0.99837849999999995</v>
      </c>
      <c r="AB6205">
        <v>22</v>
      </c>
      <c r="AC6205">
        <v>122.30589999999999</v>
      </c>
      <c r="AD6205">
        <v>0.61494499999999996</v>
      </c>
      <c r="AE6205">
        <v>3.86117</v>
      </c>
      <c r="AF6205">
        <v>-6.9730571666066199</v>
      </c>
      <c r="AG6205">
        <v>0.61494499999999996</v>
      </c>
      <c r="AH6205">
        <v>122.164896743189</v>
      </c>
      <c r="AI6205">
        <v>89.712059669451605</v>
      </c>
      <c r="AJ6205">
        <v>93.266844357424304</v>
      </c>
      <c r="AK6205">
        <v>122.365287887847</v>
      </c>
      <c r="AL6205">
        <v>88.7321082054725</v>
      </c>
      <c r="AM6205">
        <v>92.656578401244204</v>
      </c>
      <c r="AN6205">
        <v>0.99999998293995096</v>
      </c>
    </row>
    <row r="6206" spans="1:40" x14ac:dyDescent="0.25">
      <c r="A6206" t="str">
        <f>"20190312160457004"</f>
        <v>20190312160457004</v>
      </c>
      <c r="B6206" t="str">
        <f>"1552377897001347"</f>
        <v>1552377897001347</v>
      </c>
      <c r="C6206" t="s">
        <v>40</v>
      </c>
      <c r="D6206">
        <v>5.6707660000000004</v>
      </c>
      <c r="E6206">
        <v>0.4961412</v>
      </c>
      <c r="F6206" t="s">
        <v>87</v>
      </c>
      <c r="G6206">
        <v>-273.40989999999999</v>
      </c>
      <c r="H6206">
        <v>1.835502</v>
      </c>
      <c r="I6206">
        <v>20.995339999999999</v>
      </c>
      <c r="J6206">
        <v>-395.51760000000002</v>
      </c>
      <c r="K6206">
        <v>1.1097220000000001</v>
      </c>
      <c r="L6206">
        <v>17.167179999999998</v>
      </c>
      <c r="M6206">
        <v>0.99956769999999995</v>
      </c>
      <c r="N6206">
        <v>0</v>
      </c>
      <c r="O6206">
        <v>-2.6023000000000001E-2</v>
      </c>
      <c r="P6206">
        <v>0.99974969999999996</v>
      </c>
      <c r="Q6206">
        <v>8.4337549999999994E-3</v>
      </c>
      <c r="R6206">
        <v>2.0721710000000001E-2</v>
      </c>
      <c r="S6206">
        <v>2.998688</v>
      </c>
      <c r="T6206">
        <v>1.7794129999999998E-2</v>
      </c>
      <c r="U6206">
        <v>9.3719479999999994E-2</v>
      </c>
      <c r="V6206">
        <v>-4.6706150000000002E-2</v>
      </c>
      <c r="W6206">
        <v>2.2164739999999999E-2</v>
      </c>
      <c r="X6206">
        <v>0.99866270000000001</v>
      </c>
      <c r="Y6206">
        <v>-5.723893E-2</v>
      </c>
      <c r="Z6206">
        <v>-3.2418200000000001E-4</v>
      </c>
      <c r="AA6206">
        <v>0.99836049999999998</v>
      </c>
      <c r="AB6206">
        <v>22</v>
      </c>
      <c r="AC6206">
        <v>122.10769999999999</v>
      </c>
      <c r="AD6206">
        <v>0.72577999999999998</v>
      </c>
      <c r="AE6206">
        <v>3.82816</v>
      </c>
      <c r="AF6206">
        <v>-7.00452228320537</v>
      </c>
      <c r="AG6206">
        <v>0.72577999999999998</v>
      </c>
      <c r="AH6206">
        <v>121.96240575855199</v>
      </c>
      <c r="AI6206">
        <v>89.659606330957203</v>
      </c>
      <c r="AJ6206">
        <v>93.286989812808997</v>
      </c>
      <c r="AK6206">
        <v>122.165537314899</v>
      </c>
      <c r="AL6206">
        <v>88.729949893327799</v>
      </c>
      <c r="AM6206">
        <v>92.677697585176503</v>
      </c>
      <c r="AN6206">
        <v>0.99999996425918902</v>
      </c>
    </row>
    <row r="6207" spans="1:40" x14ac:dyDescent="0.25">
      <c r="A6207" t="str">
        <f>"20190312160457015"</f>
        <v>20190312160457015</v>
      </c>
      <c r="B6207" t="str">
        <f>"1552377897011107"</f>
        <v>1552377897011107</v>
      </c>
      <c r="C6207" t="s">
        <v>40</v>
      </c>
      <c r="D6207">
        <v>6.1555580000000001</v>
      </c>
      <c r="E6207">
        <v>0.4961662</v>
      </c>
      <c r="F6207" t="s">
        <v>87</v>
      </c>
      <c r="G6207">
        <v>-273.40989999999999</v>
      </c>
      <c r="H6207">
        <v>1.928396</v>
      </c>
      <c r="I6207">
        <v>20.953720000000001</v>
      </c>
      <c r="J6207">
        <v>-395.40210000000002</v>
      </c>
      <c r="K6207">
        <v>1.1097170000000001</v>
      </c>
      <c r="L6207">
        <v>17.16376</v>
      </c>
      <c r="M6207">
        <v>0.99955859999999996</v>
      </c>
      <c r="N6207">
        <v>0</v>
      </c>
      <c r="O6207">
        <v>-2.6370899999999999E-2</v>
      </c>
      <c r="P6207">
        <v>0.9997509</v>
      </c>
      <c r="Q6207">
        <v>8.4488740000000003E-3</v>
      </c>
      <c r="R6207">
        <v>2.0656130000000002E-2</v>
      </c>
      <c r="S6207">
        <v>2.9986269999999999</v>
      </c>
      <c r="T6207">
        <v>2.010441E-2</v>
      </c>
      <c r="U6207">
        <v>9.2987059999999996E-2</v>
      </c>
      <c r="V6207">
        <v>-4.6988040000000002E-2</v>
      </c>
      <c r="W6207">
        <v>2.2178090000000001E-2</v>
      </c>
      <c r="X6207">
        <v>0.99864920000000001</v>
      </c>
      <c r="Y6207">
        <v>-5.7343020000000001E-2</v>
      </c>
      <c r="Z6207">
        <v>-3.6896029999999998E-4</v>
      </c>
      <c r="AA6207">
        <v>0.99835450000000003</v>
      </c>
      <c r="AB6207">
        <v>22</v>
      </c>
      <c r="AC6207">
        <v>121.9922</v>
      </c>
      <c r="AD6207">
        <v>0.81867899999999905</v>
      </c>
      <c r="AE6207">
        <v>3.7899600000000002</v>
      </c>
      <c r="AF6207">
        <v>-7.0056717367918697</v>
      </c>
      <c r="AG6207">
        <v>0.81867899999999905</v>
      </c>
      <c r="AH6207">
        <v>121.844330360546</v>
      </c>
      <c r="AI6207">
        <v>89.615666924053102</v>
      </c>
      <c r="AJ6207">
        <v>93.290706869316296</v>
      </c>
      <c r="AK6207">
        <v>122.04831220790599</v>
      </c>
      <c r="AL6207">
        <v>88.729184831816795</v>
      </c>
      <c r="AM6207">
        <v>92.693871171995795</v>
      </c>
      <c r="AN6207">
        <v>0.99999998411986402</v>
      </c>
    </row>
    <row r="6208" spans="1:40" x14ac:dyDescent="0.25">
      <c r="A6208" t="str">
        <f>"20190312160457026"</f>
        <v>20190312160457026</v>
      </c>
      <c r="B6208" t="str">
        <f>"1552377897021842"</f>
        <v>1552377897021842</v>
      </c>
      <c r="C6208" t="s">
        <v>40</v>
      </c>
      <c r="D6208">
        <v>6.2053209999999996</v>
      </c>
      <c r="E6208">
        <v>0.49618950000000001</v>
      </c>
      <c r="F6208" t="s">
        <v>87</v>
      </c>
      <c r="G6208">
        <v>-273.40989999999999</v>
      </c>
      <c r="H6208">
        <v>1.971876</v>
      </c>
      <c r="I6208">
        <v>20.930499999999999</v>
      </c>
      <c r="J6208">
        <v>-395.28919999999999</v>
      </c>
      <c r="K6208">
        <v>1.1097140000000001</v>
      </c>
      <c r="L6208">
        <v>17.160429999999899</v>
      </c>
      <c r="M6208">
        <v>0.99954940000000003</v>
      </c>
      <c r="N6208">
        <v>0</v>
      </c>
      <c r="O6208">
        <v>-2.6714709999999999E-2</v>
      </c>
      <c r="P6208">
        <v>0.99975009999999997</v>
      </c>
      <c r="Q6208">
        <v>8.8250389999999998E-3</v>
      </c>
      <c r="R6208">
        <v>2.054456E-2</v>
      </c>
      <c r="S6208">
        <v>2.998688</v>
      </c>
      <c r="T6208">
        <v>2.119279E-2</v>
      </c>
      <c r="U6208">
        <v>9.2590329999999998E-2</v>
      </c>
      <c r="V6208">
        <v>-4.7219549999999999E-2</v>
      </c>
      <c r="W6208">
        <v>2.255279E-2</v>
      </c>
      <c r="X6208">
        <v>0.99862989999999996</v>
      </c>
      <c r="Y6208">
        <v>-5.7553609999999998E-2</v>
      </c>
      <c r="Z6208">
        <v>-3.9210010000000002E-4</v>
      </c>
      <c r="AA6208">
        <v>0.99834230000000002</v>
      </c>
      <c r="AB6208">
        <v>22</v>
      </c>
      <c r="AC6208">
        <v>121.8793</v>
      </c>
      <c r="AD6208">
        <v>0.86216199999999898</v>
      </c>
      <c r="AE6208">
        <v>3.77007</v>
      </c>
      <c r="AF6208">
        <v>-7.0246481797139104</v>
      </c>
      <c r="AG6208">
        <v>0.86216199999999898</v>
      </c>
      <c r="AH6208">
        <v>121.728981672777</v>
      </c>
      <c r="AI6208">
        <v>89.594875641860199</v>
      </c>
      <c r="AJ6208">
        <v>93.302720560758402</v>
      </c>
      <c r="AK6208">
        <v>121.93454795280201</v>
      </c>
      <c r="AL6208">
        <v>88.707710746259195</v>
      </c>
      <c r="AM6208">
        <v>92.7071764162487</v>
      </c>
      <c r="AN6208">
        <v>0.999999995706498</v>
      </c>
    </row>
    <row r="6209" spans="1:40" x14ac:dyDescent="0.25">
      <c r="A6209" t="str">
        <f>"20190312160457039"</f>
        <v>20190312160457039</v>
      </c>
      <c r="B6209" t="str">
        <f>"1552377897031604"</f>
        <v>1552377897031604</v>
      </c>
      <c r="C6209" t="s">
        <v>40</v>
      </c>
      <c r="D6209">
        <v>6.2087000000000003</v>
      </c>
      <c r="E6209">
        <v>0.49638559999999998</v>
      </c>
      <c r="F6209" t="s">
        <v>87</v>
      </c>
      <c r="G6209">
        <v>-273.40989999999999</v>
      </c>
      <c r="H6209">
        <v>2.056603</v>
      </c>
      <c r="I6209">
        <v>20.901399999999999</v>
      </c>
      <c r="J6209">
        <v>-395.17110000000002</v>
      </c>
      <c r="K6209">
        <v>1.1097189999999999</v>
      </c>
      <c r="L6209">
        <v>17.156860000000002</v>
      </c>
      <c r="M6209">
        <v>0.99953959999999997</v>
      </c>
      <c r="N6209">
        <v>0</v>
      </c>
      <c r="O6209">
        <v>-2.708166E-2</v>
      </c>
      <c r="P6209">
        <v>0.99974810000000003</v>
      </c>
      <c r="Q6209">
        <v>9.1182309999999992E-3</v>
      </c>
      <c r="R6209">
        <v>2.051538E-2</v>
      </c>
      <c r="S6209">
        <v>2.9986570000000001</v>
      </c>
      <c r="T6209">
        <v>2.3296830000000001E-2</v>
      </c>
      <c r="U6209">
        <v>9.2041020000000001E-2</v>
      </c>
      <c r="V6209">
        <v>-4.7557330000000002E-2</v>
      </c>
      <c r="W6209">
        <v>2.2843579999999999E-2</v>
      </c>
      <c r="X6209">
        <v>0.99860729999999998</v>
      </c>
      <c r="Y6209">
        <v>-5.773727E-2</v>
      </c>
      <c r="Z6209">
        <v>-4.3459610000000002E-4</v>
      </c>
      <c r="AA6209">
        <v>0.99833170000000004</v>
      </c>
      <c r="AB6209">
        <v>22</v>
      </c>
      <c r="AC6209">
        <v>121.7612</v>
      </c>
      <c r="AD6209">
        <v>0.94688399999999895</v>
      </c>
      <c r="AE6209">
        <v>3.74453999999999</v>
      </c>
      <c r="AF6209">
        <v>-7.0405450249916601</v>
      </c>
      <c r="AG6209">
        <v>0.94688399999999895</v>
      </c>
      <c r="AH6209">
        <v>121.607767494024</v>
      </c>
      <c r="AI6209">
        <v>89.554628204241197</v>
      </c>
      <c r="AJ6209">
        <v>93.313470163742906</v>
      </c>
      <c r="AK6209">
        <v>121.815085184221</v>
      </c>
      <c r="AL6209">
        <v>88.691045463191003</v>
      </c>
      <c r="AM6209">
        <v>92.726574406664398</v>
      </c>
      <c r="AN6209">
        <v>1.0000000341986099</v>
      </c>
    </row>
    <row r="6210" spans="1:40" x14ac:dyDescent="0.25">
      <c r="A6210" t="str">
        <f>"20190312160457052"</f>
        <v>20190312160457052</v>
      </c>
      <c r="B6210" t="str">
        <f>"1552377897041363"</f>
        <v>1552377897041363</v>
      </c>
      <c r="C6210" t="s">
        <v>40</v>
      </c>
      <c r="D6210">
        <v>6.1748989999999999</v>
      </c>
      <c r="E6210">
        <v>0.49635069999999998</v>
      </c>
      <c r="F6210" t="s">
        <v>87</v>
      </c>
      <c r="G6210">
        <v>-273.40989999999999</v>
      </c>
      <c r="H6210">
        <v>2.0500750000000001</v>
      </c>
      <c r="I6210">
        <v>20.827290000000001</v>
      </c>
      <c r="J6210">
        <v>-395.04070000000002</v>
      </c>
      <c r="K6210">
        <v>1.1097360000000001</v>
      </c>
      <c r="L6210">
        <v>17.152889999999999</v>
      </c>
      <c r="M6210">
        <v>0.99952870000000005</v>
      </c>
      <c r="N6210">
        <v>0</v>
      </c>
      <c r="O6210">
        <v>-2.7486460000000001E-2</v>
      </c>
      <c r="P6210">
        <v>0.99974289999999999</v>
      </c>
      <c r="Q6210">
        <v>9.5621290000000008E-3</v>
      </c>
      <c r="R6210">
        <v>2.057529E-2</v>
      </c>
      <c r="S6210">
        <v>2.9986570000000001</v>
      </c>
      <c r="T6210">
        <v>2.315855E-2</v>
      </c>
      <c r="U6210">
        <v>9.0393070000000006E-2</v>
      </c>
      <c r="V6210">
        <v>-4.8021109999999999E-2</v>
      </c>
      <c r="W6210">
        <v>2.3284539999999999E-2</v>
      </c>
      <c r="X6210">
        <v>0.99857490000000004</v>
      </c>
      <c r="Y6210">
        <v>-5.7593459999999999E-2</v>
      </c>
      <c r="Z6210">
        <v>-4.3459020000000001E-4</v>
      </c>
      <c r="AA6210">
        <v>0.99834000000000001</v>
      </c>
      <c r="AB6210">
        <v>22</v>
      </c>
      <c r="AC6210">
        <v>121.63079999999999</v>
      </c>
      <c r="AD6210">
        <v>0.94033899999999904</v>
      </c>
      <c r="AE6210">
        <v>3.6743999999999901</v>
      </c>
      <c r="AF6210">
        <v>-7.0161050333862098</v>
      </c>
      <c r="AG6210">
        <v>0.94033899999999904</v>
      </c>
      <c r="AH6210">
        <v>121.476576662686</v>
      </c>
      <c r="AI6210">
        <v>89.5572253739617</v>
      </c>
      <c r="AJ6210">
        <v>93.305551684818894</v>
      </c>
      <c r="AK6210">
        <v>121.682655481214</v>
      </c>
      <c r="AL6210">
        <v>88.665773567183805</v>
      </c>
      <c r="AM6210">
        <v>92.753212491334395</v>
      </c>
      <c r="AN6210">
        <v>1.0000000138593199</v>
      </c>
    </row>
    <row r="6211" spans="1:40" x14ac:dyDescent="0.25">
      <c r="A6211" t="str">
        <f>"20190312160457066"</f>
        <v>20190312160457066</v>
      </c>
      <c r="B6211" t="str">
        <f>"1552377897061859"</f>
        <v>1552377897061859</v>
      </c>
      <c r="C6211" t="s">
        <v>40</v>
      </c>
      <c r="D6211">
        <v>6.1213050000000004</v>
      </c>
      <c r="E6211">
        <v>0.49628149999999999</v>
      </c>
      <c r="F6211" t="s">
        <v>87</v>
      </c>
      <c r="G6211">
        <v>-273.40989999999999</v>
      </c>
      <c r="H6211">
        <v>2.1478570000000001</v>
      </c>
      <c r="I6211">
        <v>20.838000000000001</v>
      </c>
      <c r="J6211">
        <v>-394.89499999999998</v>
      </c>
      <c r="K6211">
        <v>1.1097459999999999</v>
      </c>
      <c r="L6211">
        <v>17.14838</v>
      </c>
      <c r="M6211">
        <v>0.99951619999999997</v>
      </c>
      <c r="N6211">
        <v>0</v>
      </c>
      <c r="O6211">
        <v>-2.7938399999999999E-2</v>
      </c>
      <c r="P6211">
        <v>0.99973769999999995</v>
      </c>
      <c r="Q6211">
        <v>1.006547E-2</v>
      </c>
      <c r="R6211">
        <v>2.057956E-2</v>
      </c>
      <c r="S6211">
        <v>2.9986269999999999</v>
      </c>
      <c r="T6211">
        <v>2.5593399999999999E-2</v>
      </c>
      <c r="U6211">
        <v>9.0850829999999994E-2</v>
      </c>
      <c r="V6211">
        <v>-4.8476690000000003E-2</v>
      </c>
      <c r="W6211">
        <v>2.3784610000000001E-2</v>
      </c>
      <c r="X6211">
        <v>0.99854109999999996</v>
      </c>
      <c r="Y6211">
        <v>-5.8196829999999998E-2</v>
      </c>
      <c r="Z6211">
        <v>-4.8671530000000003E-4</v>
      </c>
      <c r="AA6211">
        <v>0.998305</v>
      </c>
      <c r="AB6211">
        <v>22</v>
      </c>
      <c r="AC6211">
        <v>121.4851</v>
      </c>
      <c r="AD6211">
        <v>1.038111</v>
      </c>
      <c r="AE6211">
        <v>3.6896200000000001</v>
      </c>
      <c r="AF6211">
        <v>-7.0820792100867296</v>
      </c>
      <c r="AG6211">
        <v>1.038111</v>
      </c>
      <c r="AH6211">
        <v>121.325726285708</v>
      </c>
      <c r="AI6211">
        <v>89.5105995931347</v>
      </c>
      <c r="AJ6211">
        <v>93.340703837460794</v>
      </c>
      <c r="AK6211">
        <v>121.536683265345</v>
      </c>
      <c r="AL6211">
        <v>88.637113727231906</v>
      </c>
      <c r="AM6211">
        <v>92.779385599516203</v>
      </c>
      <c r="AN6211">
        <v>1.0000000127677</v>
      </c>
    </row>
    <row r="6212" spans="1:40" x14ac:dyDescent="0.25">
      <c r="A6212" t="str">
        <f>"20190312160457084"</f>
        <v>20190312160457084</v>
      </c>
      <c r="B6212" t="str">
        <f>"1552377897081381"</f>
        <v>1552377897081381</v>
      </c>
      <c r="C6212" t="s">
        <v>40</v>
      </c>
      <c r="D6212">
        <v>6.7614700000000001</v>
      </c>
      <c r="E6212">
        <v>0.49626989999999999</v>
      </c>
      <c r="F6212" t="s">
        <v>87</v>
      </c>
      <c r="G6212">
        <v>-273.40989999999999</v>
      </c>
      <c r="H6212">
        <v>2.2960579999999999</v>
      </c>
      <c r="I6212">
        <v>20.85136</v>
      </c>
      <c r="J6212">
        <v>-394.7242</v>
      </c>
      <c r="K6212">
        <v>1.1097709999999901</v>
      </c>
      <c r="L6212">
        <v>17.14301</v>
      </c>
      <c r="M6212">
        <v>0.99950139999999998</v>
      </c>
      <c r="N6212">
        <v>0</v>
      </c>
      <c r="O6212">
        <v>-2.8460470000000002E-2</v>
      </c>
      <c r="P6212">
        <v>0.99970999999999999</v>
      </c>
      <c r="Q6212">
        <v>1.1211520000000001E-2</v>
      </c>
      <c r="R6212">
        <v>2.1311839999999999E-2</v>
      </c>
      <c r="S6212">
        <v>2.998596</v>
      </c>
      <c r="T6212">
        <v>2.9281620000000001E-2</v>
      </c>
      <c r="U6212">
        <v>9.1400149999999999E-2</v>
      </c>
      <c r="V6212">
        <v>-4.9728939999999999E-2</v>
      </c>
      <c r="W6212">
        <v>2.4926770000000001E-2</v>
      </c>
      <c r="X6212">
        <v>0.99845170000000005</v>
      </c>
      <c r="Y6212">
        <v>-5.8900250000000001E-2</v>
      </c>
      <c r="Z6212">
        <v>-5.653864E-4</v>
      </c>
      <c r="AA6212">
        <v>0.99826369999999998</v>
      </c>
      <c r="AB6212">
        <v>22</v>
      </c>
      <c r="AC6212">
        <v>121.3143</v>
      </c>
      <c r="AD6212">
        <v>1.1862870000000001</v>
      </c>
      <c r="AE6212">
        <v>3.7083499999999998</v>
      </c>
      <c r="AF6212">
        <v>-7.1591483904905298</v>
      </c>
      <c r="AG6212">
        <v>1.1862870000000001</v>
      </c>
      <c r="AH6212">
        <v>121.148023872088</v>
      </c>
      <c r="AI6212">
        <v>89.439951997567405</v>
      </c>
      <c r="AJ6212">
        <v>93.381916560970097</v>
      </c>
      <c r="AK6212">
        <v>121.365169511831</v>
      </c>
      <c r="AL6212">
        <v>88.571653417872895</v>
      </c>
      <c r="AM6212">
        <v>92.851320584050001</v>
      </c>
      <c r="AN6212">
        <v>1.00000005428452</v>
      </c>
    </row>
    <row r="6213" spans="1:40" x14ac:dyDescent="0.25">
      <c r="A6213" t="str">
        <f>"20190312160457097"</f>
        <v>20190312160457097</v>
      </c>
      <c r="B6213" t="str">
        <f>"1552377897091139"</f>
        <v>1552377897091139</v>
      </c>
      <c r="C6213" t="s">
        <v>40</v>
      </c>
      <c r="D6213">
        <v>6.1151229999999996</v>
      </c>
      <c r="E6213">
        <v>0.49629040000000002</v>
      </c>
      <c r="F6213" t="s">
        <v>87</v>
      </c>
      <c r="G6213">
        <v>-273.40989999999999</v>
      </c>
      <c r="H6213">
        <v>2.5157449999999999</v>
      </c>
      <c r="I6213">
        <v>20.932300000000001</v>
      </c>
      <c r="J6213">
        <v>-394.5958</v>
      </c>
      <c r="K6213">
        <v>1.109783</v>
      </c>
      <c r="L6213">
        <v>17.13889</v>
      </c>
      <c r="M6213">
        <v>0.9994904</v>
      </c>
      <c r="N6213">
        <v>0</v>
      </c>
      <c r="O6213">
        <v>-2.8846469999999999E-2</v>
      </c>
      <c r="P6213">
        <v>0.99969459999999999</v>
      </c>
      <c r="Q6213">
        <v>1.144418E-2</v>
      </c>
      <c r="R6213">
        <v>2.1905190000000001E-2</v>
      </c>
      <c r="S6213">
        <v>2.9984739999999999</v>
      </c>
      <c r="T6213">
        <v>3.4750940000000001E-2</v>
      </c>
      <c r="U6213">
        <v>9.3658450000000004E-2</v>
      </c>
      <c r="V6213">
        <v>-5.070844E-2</v>
      </c>
      <c r="W6213">
        <v>2.5156049999999999E-2</v>
      </c>
      <c r="X6213">
        <v>0.99839659999999997</v>
      </c>
      <c r="Y6213">
        <v>-6.0036289999999999E-2</v>
      </c>
      <c r="Z6213">
        <v>-6.8205869999999995E-4</v>
      </c>
      <c r="AA6213">
        <v>0.99819590000000002</v>
      </c>
      <c r="AB6213">
        <v>22</v>
      </c>
      <c r="AC6213">
        <v>121.1859</v>
      </c>
      <c r="AD6213">
        <v>1.4059619999999999</v>
      </c>
      <c r="AE6213">
        <v>3.7934100000000002</v>
      </c>
      <c r="AF6213">
        <v>-7.2869632505309001</v>
      </c>
      <c r="AG6213">
        <v>1.4059619999999999</v>
      </c>
      <c r="AH6213">
        <v>121.00975094515201</v>
      </c>
      <c r="AI6213">
        <v>89.335537644298597</v>
      </c>
      <c r="AJ6213">
        <v>93.446074964148494</v>
      </c>
      <c r="AK6213">
        <v>121.237108124401</v>
      </c>
      <c r="AL6213">
        <v>88.558512402535598</v>
      </c>
      <c r="AM6213">
        <v>92.907547168161102</v>
      </c>
      <c r="AN6213">
        <v>0.99999997181519695</v>
      </c>
    </row>
    <row r="6214" spans="1:40" x14ac:dyDescent="0.25">
      <c r="A6214" t="str">
        <f>"20190312160457110"</f>
        <v>20190312160457110</v>
      </c>
      <c r="B6214" t="str">
        <f>"1552377897100900"</f>
        <v>1552377897100900</v>
      </c>
      <c r="C6214" t="s">
        <v>40</v>
      </c>
      <c r="D6214">
        <v>6.1073629999999897</v>
      </c>
      <c r="E6214">
        <v>0.4963785</v>
      </c>
      <c r="F6214" t="s">
        <v>87</v>
      </c>
      <c r="G6214">
        <v>-273.40989999999999</v>
      </c>
      <c r="H6214">
        <v>2.5807389999999999</v>
      </c>
      <c r="I6214">
        <v>20.990849999999998</v>
      </c>
      <c r="J6214">
        <v>-394.46460000000002</v>
      </c>
      <c r="K6214">
        <v>1.109796</v>
      </c>
      <c r="L6214">
        <v>17.13467</v>
      </c>
      <c r="M6214">
        <v>0.99947920000000001</v>
      </c>
      <c r="N6214">
        <v>0</v>
      </c>
      <c r="O6214">
        <v>-2.9237240000000001E-2</v>
      </c>
      <c r="P6214">
        <v>0.99967589999999995</v>
      </c>
      <c r="Q6214">
        <v>1.1926809999999999E-2</v>
      </c>
      <c r="R6214">
        <v>2.2500019999999999E-2</v>
      </c>
      <c r="S6214">
        <v>2.9984130000000002</v>
      </c>
      <c r="T6214">
        <v>3.6394830000000003E-2</v>
      </c>
      <c r="U6214">
        <v>9.5306399999999999E-2</v>
      </c>
      <c r="V6214">
        <v>-5.1692299999999997E-2</v>
      </c>
      <c r="W6214">
        <v>2.5636079999999999E-2</v>
      </c>
      <c r="X6214">
        <v>0.99833400000000005</v>
      </c>
      <c r="Y6214">
        <v>-6.0974540000000001E-2</v>
      </c>
      <c r="Z6214">
        <v>-7.2476470000000005E-4</v>
      </c>
      <c r="AA6214">
        <v>0.99813909999999995</v>
      </c>
      <c r="AB6214">
        <v>22</v>
      </c>
      <c r="AC6214">
        <v>121.0547</v>
      </c>
      <c r="AD6214">
        <v>1.4709429999999999</v>
      </c>
      <c r="AE6214">
        <v>3.8561799999999899</v>
      </c>
      <c r="AF6214">
        <v>-7.3930761347252796</v>
      </c>
      <c r="AG6214">
        <v>1.4709429999999999</v>
      </c>
      <c r="AH6214">
        <v>120.87235644330801</v>
      </c>
      <c r="AI6214">
        <v>89.304080058126402</v>
      </c>
      <c r="AJ6214">
        <v>93.500097336321403</v>
      </c>
      <c r="AK6214">
        <v>121.107174850218</v>
      </c>
      <c r="AL6214">
        <v>88.530999933510401</v>
      </c>
      <c r="AM6214">
        <v>92.964046136631893</v>
      </c>
      <c r="AN6214">
        <v>1.00000003901652</v>
      </c>
    </row>
    <row r="6215" spans="1:40" x14ac:dyDescent="0.25">
      <c r="A6215" t="str">
        <f>"20190312160457128"</f>
        <v>20190312160457128</v>
      </c>
      <c r="B6215" t="str">
        <f>"1552377897121396"</f>
        <v>1552377897121396</v>
      </c>
      <c r="C6215" t="s">
        <v>40</v>
      </c>
      <c r="D6215">
        <v>6.2457799999999999</v>
      </c>
      <c r="E6215">
        <v>0.49653779999999997</v>
      </c>
      <c r="F6215" t="s">
        <v>87</v>
      </c>
      <c r="G6215">
        <v>-274.15660000000003</v>
      </c>
      <c r="H6215">
        <v>2.6771880000000001</v>
      </c>
      <c r="I6215">
        <v>21.000440000000001</v>
      </c>
      <c r="J6215">
        <v>-394.28590000000003</v>
      </c>
      <c r="K6215">
        <v>1.10981</v>
      </c>
      <c r="L6215">
        <v>17.12885</v>
      </c>
      <c r="M6215">
        <v>0.99946369999999896</v>
      </c>
      <c r="N6215">
        <v>0</v>
      </c>
      <c r="O6215">
        <v>-2.9758710000000001E-2</v>
      </c>
      <c r="P6215">
        <v>0.99963500000000005</v>
      </c>
      <c r="Q6215">
        <v>1.274348E-2</v>
      </c>
      <c r="R6215">
        <v>2.3826360000000001E-2</v>
      </c>
      <c r="S6215">
        <v>2.9983520000000001</v>
      </c>
      <c r="T6215">
        <v>3.9063100000000003E-2</v>
      </c>
      <c r="U6215">
        <v>9.6343990000000004E-2</v>
      </c>
      <c r="V6215">
        <v>-5.3538589999999997E-2</v>
      </c>
      <c r="W6215">
        <v>2.6448329999999999E-2</v>
      </c>
      <c r="X6215">
        <v>0.99821539999999997</v>
      </c>
      <c r="Y6215">
        <v>-6.1839900000000003E-2</v>
      </c>
      <c r="Z6215">
        <v>-7.9033529999999997E-4</v>
      </c>
      <c r="AA6215">
        <v>0.99808580000000002</v>
      </c>
      <c r="AB6215">
        <v>22</v>
      </c>
      <c r="AC6215">
        <v>120.1293</v>
      </c>
      <c r="AD6215">
        <v>1.5673779999999999</v>
      </c>
      <c r="AE6215">
        <v>3.8715899999999999</v>
      </c>
      <c r="AF6215">
        <v>-7.4438359289491398</v>
      </c>
      <c r="AG6215">
        <v>1.5673779999999999</v>
      </c>
      <c r="AH6215">
        <v>119.940464980518</v>
      </c>
      <c r="AI6215">
        <v>89.252740873593496</v>
      </c>
      <c r="AJ6215">
        <v>93.551378996313503</v>
      </c>
      <c r="AK6215">
        <v>120.181456584928</v>
      </c>
      <c r="AL6215">
        <v>88.484445497560998</v>
      </c>
      <c r="AM6215">
        <v>93.070077778350694</v>
      </c>
      <c r="AN6215">
        <v>0.99999993978806601</v>
      </c>
    </row>
    <row r="6216" spans="1:40" x14ac:dyDescent="0.25">
      <c r="A6216" t="str">
        <f>"20190312160457138"</f>
        <v>20190312160457138</v>
      </c>
      <c r="B6216" t="str">
        <f>"1552377897131155"</f>
        <v>1552377897131155</v>
      </c>
      <c r="C6216" t="s">
        <v>40</v>
      </c>
      <c r="D6216">
        <v>6.187716</v>
      </c>
      <c r="E6216">
        <v>0.49660379999999898</v>
      </c>
      <c r="F6216" t="s">
        <v>87</v>
      </c>
      <c r="G6216">
        <v>-274.15660000000003</v>
      </c>
      <c r="H6216">
        <v>2.8571409999999999</v>
      </c>
      <c r="I6216">
        <v>21.097899999999999</v>
      </c>
      <c r="J6216">
        <v>-394.17110000000002</v>
      </c>
      <c r="K6216">
        <v>1.1098209999999999</v>
      </c>
      <c r="L6216">
        <v>17.125029999999999</v>
      </c>
      <c r="M6216">
        <v>0.99945379999999995</v>
      </c>
      <c r="N6216">
        <v>0</v>
      </c>
      <c r="O6216">
        <v>-3.008779E-2</v>
      </c>
      <c r="P6216">
        <v>0.99963069999999998</v>
      </c>
      <c r="Q6216">
        <v>1.2919419999999999E-2</v>
      </c>
      <c r="R6216">
        <v>2.3900390000000001E-2</v>
      </c>
      <c r="S6216">
        <v>2.9981990000000001</v>
      </c>
      <c r="T6216">
        <v>4.3610099999999999E-2</v>
      </c>
      <c r="U6216">
        <v>9.9060060000000005E-2</v>
      </c>
      <c r="V6216">
        <v>-5.3941030000000001E-2</v>
      </c>
      <c r="W6216">
        <v>2.662136E-2</v>
      </c>
      <c r="X6216">
        <v>0.9981892</v>
      </c>
      <c r="Y6216">
        <v>-6.3071219999999997E-2</v>
      </c>
      <c r="Z6216">
        <v>-8.9609270000000005E-4</v>
      </c>
      <c r="AA6216">
        <v>0.99800860000000002</v>
      </c>
      <c r="AB6216">
        <v>22</v>
      </c>
      <c r="AC6216">
        <v>120.0145</v>
      </c>
      <c r="AD6216">
        <v>1.74732</v>
      </c>
      <c r="AE6216">
        <v>3.9728699999999999</v>
      </c>
      <c r="AF6216">
        <v>-7.5807742703063798</v>
      </c>
      <c r="AG6216">
        <v>1.74732</v>
      </c>
      <c r="AH6216">
        <v>119.81523881476799</v>
      </c>
      <c r="AI6216">
        <v>89.166155977105007</v>
      </c>
      <c r="AJ6216">
        <v>93.620308881105501</v>
      </c>
      <c r="AK6216">
        <v>120.06753398799999</v>
      </c>
      <c r="AL6216">
        <v>88.474528216104105</v>
      </c>
      <c r="AM6216">
        <v>93.0931913880883</v>
      </c>
      <c r="AN6216">
        <v>1.0000000052611699</v>
      </c>
    </row>
    <row r="6217" spans="1:40" x14ac:dyDescent="0.25">
      <c r="A6217" t="str">
        <f>"20190312160457150"</f>
        <v>20190312160457150</v>
      </c>
      <c r="B6217" t="str">
        <f>"1552377897140914"</f>
        <v>1552377897140914</v>
      </c>
      <c r="C6217" t="s">
        <v>40</v>
      </c>
      <c r="D6217">
        <v>6.0705429999999998</v>
      </c>
      <c r="E6217">
        <v>0.49674960000000001</v>
      </c>
      <c r="F6217" t="s">
        <v>87</v>
      </c>
      <c r="G6217">
        <v>-274.15660000000003</v>
      </c>
      <c r="H6217">
        <v>2.9040270000000001</v>
      </c>
      <c r="I6217">
        <v>21.078150000000001</v>
      </c>
      <c r="J6217">
        <v>-394.0641</v>
      </c>
      <c r="K6217">
        <v>1.109829</v>
      </c>
      <c r="L6217">
        <v>17.121459999999999</v>
      </c>
      <c r="M6217">
        <v>0.99944460000000002</v>
      </c>
      <c r="N6217">
        <v>0</v>
      </c>
      <c r="O6217">
        <v>-3.0393170000000001E-2</v>
      </c>
      <c r="P6217">
        <v>0.99961860000000002</v>
      </c>
      <c r="Q6217">
        <v>1.3333609999999999E-2</v>
      </c>
      <c r="R6217">
        <v>2.4185249999999998E-2</v>
      </c>
      <c r="S6217">
        <v>2.998138</v>
      </c>
      <c r="T6217">
        <v>4.4821979999999997E-2</v>
      </c>
      <c r="U6217">
        <v>9.8754880000000003E-2</v>
      </c>
      <c r="V6217">
        <v>-5.4530620000000002E-2</v>
      </c>
      <c r="W6217">
        <v>2.7033669999999999E-2</v>
      </c>
      <c r="X6217">
        <v>0.99814610000000004</v>
      </c>
      <c r="Y6217">
        <v>-6.3274739999999996E-2</v>
      </c>
      <c r="Z6217">
        <v>-9.2709629999999997E-4</v>
      </c>
      <c r="AA6217">
        <v>0.99799570000000004</v>
      </c>
      <c r="AB6217">
        <v>22</v>
      </c>
      <c r="AC6217">
        <v>119.907499999999</v>
      </c>
      <c r="AD6217">
        <v>1.794198</v>
      </c>
      <c r="AE6217">
        <v>3.95669</v>
      </c>
      <c r="AF6217">
        <v>-7.5978718273736296</v>
      </c>
      <c r="AG6217">
        <v>1.794198</v>
      </c>
      <c r="AH6217">
        <v>119.705054872587</v>
      </c>
      <c r="AI6217">
        <v>89.143011349328802</v>
      </c>
      <c r="AJ6217">
        <v>93.631783196189105</v>
      </c>
      <c r="AK6217">
        <v>119.959355470166</v>
      </c>
      <c r="AL6217">
        <v>88.450896114011698</v>
      </c>
      <c r="AM6217">
        <v>93.127068825233096</v>
      </c>
      <c r="AN6217">
        <v>1.0000000223882299</v>
      </c>
    </row>
    <row r="6218" spans="1:40" x14ac:dyDescent="0.25">
      <c r="A6218" t="str">
        <f>"20190312160457162"</f>
        <v>20190312160457162</v>
      </c>
      <c r="B6218" t="str">
        <f>"1552377897151651"</f>
        <v>1552377897151651</v>
      </c>
      <c r="C6218" t="s">
        <v>40</v>
      </c>
      <c r="D6218">
        <v>6.0710089999999903</v>
      </c>
      <c r="E6218">
        <v>0.4968687</v>
      </c>
      <c r="F6218" t="s">
        <v>87</v>
      </c>
      <c r="G6218">
        <v>-274.15660000000003</v>
      </c>
      <c r="H6218">
        <v>2.9764149999999998</v>
      </c>
      <c r="I6218">
        <v>21.05885</v>
      </c>
      <c r="J6218">
        <v>-393.94709999999998</v>
      </c>
      <c r="K6218">
        <v>1.109837</v>
      </c>
      <c r="L6218">
        <v>17.117519999999999</v>
      </c>
      <c r="M6218">
        <v>0.99943470000000001</v>
      </c>
      <c r="N6218">
        <v>0</v>
      </c>
      <c r="O6218">
        <v>-3.0723830000000001E-2</v>
      </c>
      <c r="P6218">
        <v>0.99961250000000001</v>
      </c>
      <c r="Q6218">
        <v>1.3561500000000001E-2</v>
      </c>
      <c r="R6218">
        <v>2.4319150000000001E-2</v>
      </c>
      <c r="S6218">
        <v>2.998138</v>
      </c>
      <c r="T6218">
        <v>4.6671749999999998E-2</v>
      </c>
      <c r="U6218">
        <v>9.8449709999999996E-2</v>
      </c>
      <c r="V6218">
        <v>-5.4994340000000003E-2</v>
      </c>
      <c r="W6218">
        <v>2.7259140000000001E-2</v>
      </c>
      <c r="X6218">
        <v>0.99811450000000002</v>
      </c>
      <c r="Y6218">
        <v>-6.3502500000000003E-2</v>
      </c>
      <c r="Z6218">
        <v>-9.7227130000000002E-4</v>
      </c>
      <c r="AA6218">
        <v>0.99798120000000001</v>
      </c>
      <c r="AB6218">
        <v>22</v>
      </c>
      <c r="AC6218">
        <v>119.790499999999</v>
      </c>
      <c r="AD6218">
        <v>1.8665779999999901</v>
      </c>
      <c r="AE6218">
        <v>3.94132999999999</v>
      </c>
      <c r="AF6218">
        <v>-7.6183871442167996</v>
      </c>
      <c r="AG6218">
        <v>1.8665779999999901</v>
      </c>
      <c r="AH6218">
        <v>119.583830249483</v>
      </c>
      <c r="AI6218">
        <v>89.107554608334695</v>
      </c>
      <c r="AJ6218">
        <v>93.645244747153001</v>
      </c>
      <c r="AK6218">
        <v>119.84079603059401</v>
      </c>
      <c r="AL6218">
        <v>88.437972831996106</v>
      </c>
      <c r="AM6218">
        <v>93.153707128986397</v>
      </c>
      <c r="AN6218">
        <v>0.99999999662791195</v>
      </c>
    </row>
    <row r="6219" spans="1:40" x14ac:dyDescent="0.25">
      <c r="A6219" t="str">
        <f>"20190312160457173"</f>
        <v>20190312160457173</v>
      </c>
      <c r="B6219" t="str">
        <f>"1552377897161411"</f>
        <v>1552377897161411</v>
      </c>
      <c r="C6219" t="s">
        <v>40</v>
      </c>
      <c r="D6219">
        <v>6.184374</v>
      </c>
      <c r="E6219">
        <v>0.49696899999999999</v>
      </c>
      <c r="F6219" t="s">
        <v>87</v>
      </c>
      <c r="G6219">
        <v>-274.15660000000003</v>
      </c>
      <c r="H6219">
        <v>3.021255</v>
      </c>
      <c r="I6219">
        <v>21.02909</v>
      </c>
      <c r="J6219">
        <v>-393.84280000000001</v>
      </c>
      <c r="K6219">
        <v>1.1098440000000001</v>
      </c>
      <c r="L6219">
        <v>17.113979999999898</v>
      </c>
      <c r="M6219">
        <v>0.99942560000000003</v>
      </c>
      <c r="N6219">
        <v>0</v>
      </c>
      <c r="O6219">
        <v>-3.101684E-2</v>
      </c>
      <c r="P6219">
        <v>0.99961129999999998</v>
      </c>
      <c r="Q6219">
        <v>1.356249E-2</v>
      </c>
      <c r="R6219">
        <v>2.436321E-2</v>
      </c>
      <c r="S6219">
        <v>2.9981689999999999</v>
      </c>
      <c r="T6219">
        <v>4.7839880000000001E-2</v>
      </c>
      <c r="U6219">
        <v>9.7900390000000004E-2</v>
      </c>
      <c r="V6219">
        <v>-5.5331779999999997E-2</v>
      </c>
      <c r="W6219">
        <v>2.7257710000000001E-2</v>
      </c>
      <c r="X6219">
        <v>0.99809590000000004</v>
      </c>
      <c r="Y6219">
        <v>-6.3611459999999995E-2</v>
      </c>
      <c r="Z6219">
        <v>-1.0021380000000001E-3</v>
      </c>
      <c r="AA6219">
        <v>0.99797420000000003</v>
      </c>
      <c r="AB6219">
        <v>22</v>
      </c>
      <c r="AC6219">
        <v>119.6862</v>
      </c>
      <c r="AD6219">
        <v>1.911411</v>
      </c>
      <c r="AE6219">
        <v>3.9151099999999999</v>
      </c>
      <c r="AF6219">
        <v>-7.6239173598102701</v>
      </c>
      <c r="AG6219">
        <v>1.911411</v>
      </c>
      <c r="AH6219">
        <v>119.47671843635401</v>
      </c>
      <c r="AI6219">
        <v>89.085309562288998</v>
      </c>
      <c r="AJ6219">
        <v>93.651145215403602</v>
      </c>
      <c r="AK6219">
        <v>119.734973404765</v>
      </c>
      <c r="AL6219">
        <v>88.438054811800697</v>
      </c>
      <c r="AM6219">
        <v>93.173077563280202</v>
      </c>
      <c r="AN6219">
        <v>1.00000000711461</v>
      </c>
    </row>
    <row r="6220" spans="1:40" x14ac:dyDescent="0.25">
      <c r="A6220" t="str">
        <f>"20190312160457184"</f>
        <v>20190312160457184</v>
      </c>
      <c r="B6220" t="str">
        <f>"1552377897180931"</f>
        <v>1552377897180931</v>
      </c>
      <c r="C6220" t="s">
        <v>40</v>
      </c>
      <c r="D6220">
        <v>6.0855969999999999</v>
      </c>
      <c r="E6220">
        <v>0.49720789999999998</v>
      </c>
      <c r="F6220" t="s">
        <v>87</v>
      </c>
      <c r="G6220">
        <v>-274.15660000000003</v>
      </c>
      <c r="H6220">
        <v>3.040089</v>
      </c>
      <c r="I6220">
        <v>20.995339999999999</v>
      </c>
      <c r="J6220">
        <v>-393.72179999999997</v>
      </c>
      <c r="K6220">
        <v>1.1098460000000001</v>
      </c>
      <c r="L6220">
        <v>17.109829999999999</v>
      </c>
      <c r="M6220">
        <v>0.99941500000000005</v>
      </c>
      <c r="N6220">
        <v>0</v>
      </c>
      <c r="O6220">
        <v>-3.1355500000000001E-2</v>
      </c>
      <c r="P6220">
        <v>0.99961480000000003</v>
      </c>
      <c r="Q6220">
        <v>1.3448389999999999E-2</v>
      </c>
      <c r="R6220">
        <v>2.4278339999999999E-2</v>
      </c>
      <c r="S6220">
        <v>2.9981689999999999</v>
      </c>
      <c r="T6220">
        <v>4.8353199999999999E-2</v>
      </c>
      <c r="U6220">
        <v>9.7228999999999996E-2</v>
      </c>
      <c r="V6220">
        <v>-5.5586099999999999E-2</v>
      </c>
      <c r="W6220">
        <v>2.71414E-2</v>
      </c>
      <c r="X6220">
        <v>0.99808490000000005</v>
      </c>
      <c r="Y6220">
        <v>-6.3726080000000004E-2</v>
      </c>
      <c r="Z6220">
        <v>-1.0192770000000001E-3</v>
      </c>
      <c r="AA6220">
        <v>0.99796689999999999</v>
      </c>
      <c r="AB6220">
        <v>22</v>
      </c>
      <c r="AC6220">
        <v>119.565199999999</v>
      </c>
      <c r="AD6220">
        <v>1.9302429999999999</v>
      </c>
      <c r="AE6220">
        <v>3.88551</v>
      </c>
      <c r="AF6220">
        <v>-7.63098865613504</v>
      </c>
      <c r="AG6220">
        <v>1.9302429999999999</v>
      </c>
      <c r="AH6220">
        <v>119.353481239958</v>
      </c>
      <c r="AI6220">
        <v>89.075352980246706</v>
      </c>
      <c r="AJ6220">
        <v>93.658285730884799</v>
      </c>
      <c r="AK6220">
        <v>119.61275563252499</v>
      </c>
      <c r="AL6220">
        <v>88.444721290818805</v>
      </c>
      <c r="AM6220">
        <v>93.187666947470404</v>
      </c>
      <c r="AN6220">
        <v>0.99999996885758902</v>
      </c>
    </row>
    <row r="6221" spans="1:40" x14ac:dyDescent="0.25">
      <c r="A6221" t="str">
        <f>"20190312160457197"</f>
        <v>20190312160457197</v>
      </c>
      <c r="B6221" t="str">
        <f>"1552377897191667"</f>
        <v>1552377897191667</v>
      </c>
      <c r="C6221" t="s">
        <v>40</v>
      </c>
      <c r="D6221">
        <v>6.0709249999999999</v>
      </c>
      <c r="E6221">
        <v>0.49734790000000001</v>
      </c>
      <c r="F6221" t="s">
        <v>87</v>
      </c>
      <c r="G6221">
        <v>-274.15660000000003</v>
      </c>
      <c r="H6221">
        <v>3.0557810000000001</v>
      </c>
      <c r="I6221">
        <v>20.90204</v>
      </c>
      <c r="J6221">
        <v>-393.6035</v>
      </c>
      <c r="K6221">
        <v>1.10985</v>
      </c>
      <c r="L6221">
        <v>17.105740000000001</v>
      </c>
      <c r="M6221">
        <v>0.99940450000000003</v>
      </c>
      <c r="N6221">
        <v>0</v>
      </c>
      <c r="O6221">
        <v>-3.168584E-2</v>
      </c>
      <c r="P6221">
        <v>0.99961990000000001</v>
      </c>
      <c r="Q6221">
        <v>1.325922E-2</v>
      </c>
      <c r="R6221">
        <v>2.4174689999999999E-2</v>
      </c>
      <c r="S6221">
        <v>2.9981990000000001</v>
      </c>
      <c r="T6221">
        <v>4.8796060000000002E-2</v>
      </c>
      <c r="U6221">
        <v>9.5092769999999993E-2</v>
      </c>
      <c r="V6221">
        <v>-5.5813389999999997E-2</v>
      </c>
      <c r="W6221">
        <v>2.695026E-2</v>
      </c>
      <c r="X6221">
        <v>0.99807749999999995</v>
      </c>
      <c r="Y6221">
        <v>-6.3345059999999995E-2</v>
      </c>
      <c r="Z6221">
        <v>-1.030886E-3</v>
      </c>
      <c r="AA6221">
        <v>0.99799110000000002</v>
      </c>
      <c r="AB6221">
        <v>22</v>
      </c>
      <c r="AC6221">
        <v>119.446899999999</v>
      </c>
      <c r="AD6221">
        <v>1.9459310000000001</v>
      </c>
      <c r="AE6221">
        <v>3.7962999999999898</v>
      </c>
      <c r="AF6221">
        <v>-7.5775130062690303</v>
      </c>
      <c r="AG6221">
        <v>1.9459310000000001</v>
      </c>
      <c r="AH6221">
        <v>119.234998326319</v>
      </c>
      <c r="AI6221">
        <v>89.066890338693398</v>
      </c>
      <c r="AJ6221">
        <v>93.636318589757906</v>
      </c>
      <c r="AK6221">
        <v>119.49138118163199</v>
      </c>
      <c r="AL6221">
        <v>88.455676975721204</v>
      </c>
      <c r="AM6221">
        <v>93.200697864689204</v>
      </c>
      <c r="AN6221">
        <v>1.0000000735118</v>
      </c>
    </row>
    <row r="6222" spans="1:40" x14ac:dyDescent="0.25">
      <c r="A6222" t="str">
        <f>"20190312160457210"</f>
        <v>20190312160457210</v>
      </c>
      <c r="B6222" t="str">
        <f>"1552377897201427"</f>
        <v>1552377897201427</v>
      </c>
      <c r="C6222" t="s">
        <v>40</v>
      </c>
      <c r="D6222">
        <v>6.2551579999999998</v>
      </c>
      <c r="E6222">
        <v>0.49746509999999999</v>
      </c>
      <c r="F6222" t="s">
        <v>87</v>
      </c>
      <c r="G6222">
        <v>-274.15660000000003</v>
      </c>
      <c r="H6222">
        <v>3.0422189999999998</v>
      </c>
      <c r="I6222">
        <v>20.837019999999999</v>
      </c>
      <c r="J6222">
        <v>-393.47809999999998</v>
      </c>
      <c r="K6222">
        <v>1.1098539999999999</v>
      </c>
      <c r="L6222">
        <v>17.10135</v>
      </c>
      <c r="M6222">
        <v>0.99939350000000005</v>
      </c>
      <c r="N6222">
        <v>0</v>
      </c>
      <c r="O6222">
        <v>-3.2035729999999998E-2</v>
      </c>
      <c r="P6222">
        <v>0.99962470000000003</v>
      </c>
      <c r="Q6222">
        <v>1.318866E-2</v>
      </c>
      <c r="R6222">
        <v>2.4016550000000001E-2</v>
      </c>
      <c r="S6222">
        <v>2.99823</v>
      </c>
      <c r="T6222">
        <v>4.8504350000000002E-2</v>
      </c>
      <c r="U6222">
        <v>9.3658450000000004E-2</v>
      </c>
      <c r="V6222">
        <v>-5.6005300000000001E-2</v>
      </c>
      <c r="W6222">
        <v>2.6877330000000001E-2</v>
      </c>
      <c r="X6222">
        <v>0.99806859999999997</v>
      </c>
      <c r="Y6222">
        <v>-6.3217300000000004E-2</v>
      </c>
      <c r="Z6222">
        <v>-1.0293450000000001E-3</v>
      </c>
      <c r="AA6222">
        <v>0.99799930000000003</v>
      </c>
      <c r="AB6222">
        <v>22</v>
      </c>
      <c r="AC6222">
        <v>119.32149999999901</v>
      </c>
      <c r="AD6222">
        <v>1.9323650000000001</v>
      </c>
      <c r="AE6222">
        <v>3.7356699999999998</v>
      </c>
      <c r="AF6222">
        <v>-7.5546803850892603</v>
      </c>
      <c r="AG6222">
        <v>1.9323650000000001</v>
      </c>
      <c r="AH6222">
        <v>119.109350018851</v>
      </c>
      <c r="AI6222">
        <v>89.072409731925305</v>
      </c>
      <c r="AJ6222">
        <v>93.629205077193802</v>
      </c>
      <c r="AK6222">
        <v>119.36433509272101</v>
      </c>
      <c r="AL6222">
        <v>88.4598568919494</v>
      </c>
      <c r="AM6222">
        <v>93.211708795224595</v>
      </c>
      <c r="AN6222">
        <v>0.99999995740098802</v>
      </c>
    </row>
    <row r="6223" spans="1:40" x14ac:dyDescent="0.25">
      <c r="A6223" t="str">
        <f>"20190312160457220"</f>
        <v>20190312160457220</v>
      </c>
      <c r="B6223" t="str">
        <f>"1552377897211188"</f>
        <v>1552377897211188</v>
      </c>
      <c r="C6223" t="s">
        <v>40</v>
      </c>
      <c r="D6223">
        <v>6.2843770000000001</v>
      </c>
      <c r="E6223">
        <v>0.49757180000000001</v>
      </c>
      <c r="F6223" t="s">
        <v>87</v>
      </c>
      <c r="G6223">
        <v>-274.15660000000003</v>
      </c>
      <c r="H6223">
        <v>3.0489419999999998</v>
      </c>
      <c r="I6223">
        <v>20.772829999999999</v>
      </c>
      <c r="J6223">
        <v>-393.36369999999999</v>
      </c>
      <c r="K6223">
        <v>1.109864</v>
      </c>
      <c r="L6223">
        <v>17.09732</v>
      </c>
      <c r="M6223">
        <v>0.99938320000000003</v>
      </c>
      <c r="N6223">
        <v>0</v>
      </c>
      <c r="O6223">
        <v>-3.2355250000000002E-2</v>
      </c>
      <c r="P6223">
        <v>0.9996235</v>
      </c>
      <c r="Q6223">
        <v>1.343862E-2</v>
      </c>
      <c r="R6223">
        <v>2.3928049999999999E-2</v>
      </c>
      <c r="S6223">
        <v>2.99823</v>
      </c>
      <c r="T6223">
        <v>4.8724169999999997E-2</v>
      </c>
      <c r="U6223">
        <v>9.2254639999999999E-2</v>
      </c>
      <c r="V6223">
        <v>-5.6235750000000001E-2</v>
      </c>
      <c r="W6223">
        <v>2.712519E-2</v>
      </c>
      <c r="X6223">
        <v>0.99804899999999996</v>
      </c>
      <c r="Y6223">
        <v>-6.3069410000000006E-2</v>
      </c>
      <c r="Z6223">
        <v>-1.038006E-3</v>
      </c>
      <c r="AA6223">
        <v>0.99800860000000002</v>
      </c>
      <c r="AB6223">
        <v>22</v>
      </c>
      <c r="AC6223">
        <v>119.207099999999</v>
      </c>
      <c r="AD6223">
        <v>1.9390780000000001</v>
      </c>
      <c r="AE6223">
        <v>3.6755099999999898</v>
      </c>
      <c r="AF6223">
        <v>-7.52892997497226</v>
      </c>
      <c r="AG6223">
        <v>1.9390780000000001</v>
      </c>
      <c r="AH6223">
        <v>118.99428646543799</v>
      </c>
      <c r="AI6223">
        <v>89.068278846035895</v>
      </c>
      <c r="AJ6223">
        <v>93.620355783627602</v>
      </c>
      <c r="AK6223">
        <v>119.24799797680799</v>
      </c>
      <c r="AL6223">
        <v>88.445650478506806</v>
      </c>
      <c r="AM6223">
        <v>93.224959660961005</v>
      </c>
      <c r="AN6223">
        <v>1.00000002095579</v>
      </c>
    </row>
    <row r="6224" spans="1:40" x14ac:dyDescent="0.25">
      <c r="A6224" t="str">
        <f>"20190312160457240"</f>
        <v>20190312160457240</v>
      </c>
      <c r="B6224" t="str">
        <f>"1552377897231683"</f>
        <v>1552377897231683</v>
      </c>
      <c r="C6224" t="s">
        <v>40</v>
      </c>
      <c r="D6224">
        <v>4.4982939999999996</v>
      </c>
      <c r="E6224">
        <v>0.49764839999999999</v>
      </c>
      <c r="F6224" t="s">
        <v>87</v>
      </c>
      <c r="G6224">
        <v>-274.15660000000003</v>
      </c>
      <c r="H6224">
        <v>3.0966800000000001</v>
      </c>
      <c r="I6224">
        <v>20.720320000000001</v>
      </c>
      <c r="J6224">
        <v>-393.18369999999999</v>
      </c>
      <c r="K6224">
        <v>1.1098699999999999</v>
      </c>
      <c r="L6224">
        <v>17.090910000000001</v>
      </c>
      <c r="M6224">
        <v>0.9993668</v>
      </c>
      <c r="N6224">
        <v>0</v>
      </c>
      <c r="O6224">
        <v>-3.285855E-2</v>
      </c>
      <c r="P6224">
        <v>0.99961670000000002</v>
      </c>
      <c r="Q6224">
        <v>1.412123E-2</v>
      </c>
      <c r="R6224">
        <v>2.3814660000000001E-2</v>
      </c>
      <c r="S6224">
        <v>2.998291</v>
      </c>
      <c r="T6224">
        <v>4.9972410000000002E-2</v>
      </c>
      <c r="U6224">
        <v>9.1125490000000003E-2</v>
      </c>
      <c r="V6224">
        <v>-5.662445E-2</v>
      </c>
      <c r="W6224">
        <v>2.7805380000000001E-2</v>
      </c>
      <c r="X6224">
        <v>0.99800829999999996</v>
      </c>
      <c r="Y6224">
        <v>-6.3195150000000005E-2</v>
      </c>
      <c r="Z6224">
        <v>-1.0740109999999999E-3</v>
      </c>
      <c r="AA6224">
        <v>0.99800060000000002</v>
      </c>
      <c r="AB6224">
        <v>22</v>
      </c>
      <c r="AC6224">
        <v>119.027099999999</v>
      </c>
      <c r="AD6224">
        <v>1.98681</v>
      </c>
      <c r="AE6224">
        <v>3.62941</v>
      </c>
      <c r="AF6224">
        <v>-7.5367741212273804</v>
      </c>
      <c r="AG6224">
        <v>1.98681</v>
      </c>
      <c r="AH6224">
        <v>118.810473673472</v>
      </c>
      <c r="AI6224">
        <v>89.0438811669719</v>
      </c>
      <c r="AJ6224">
        <v>93.629709595008507</v>
      </c>
      <c r="AK6224">
        <v>119.065860063434</v>
      </c>
      <c r="AL6224">
        <v>88.406663748855394</v>
      </c>
      <c r="AM6224">
        <v>93.247335099323607</v>
      </c>
      <c r="AN6224">
        <v>1.00000001718181</v>
      </c>
    </row>
    <row r="6225" spans="1:40" x14ac:dyDescent="0.25">
      <c r="A6225" t="str">
        <f>"20190312160457254"</f>
        <v>20190312160457254</v>
      </c>
      <c r="B6225" t="str">
        <f>"1552377897241443"</f>
        <v>1552377897241443</v>
      </c>
      <c r="C6225" t="s">
        <v>40</v>
      </c>
      <c r="D6225">
        <v>6.0401049999999996</v>
      </c>
      <c r="E6225">
        <v>0.49775779999999997</v>
      </c>
      <c r="F6225" t="s">
        <v>87</v>
      </c>
      <c r="G6225">
        <v>-274.15660000000003</v>
      </c>
      <c r="H6225">
        <v>3.18831</v>
      </c>
      <c r="I6225">
        <v>20.672129999999999</v>
      </c>
      <c r="J6225">
        <v>-393.0514</v>
      </c>
      <c r="K6225">
        <v>1.109874</v>
      </c>
      <c r="L6225">
        <v>17.086120000000001</v>
      </c>
      <c r="M6225">
        <v>0.99935450000000003</v>
      </c>
      <c r="N6225">
        <v>0</v>
      </c>
      <c r="O6225">
        <v>-3.3229340000000003E-2</v>
      </c>
      <c r="P6225">
        <v>0.99961719999999998</v>
      </c>
      <c r="Q6225">
        <v>1.4435369999999999E-2</v>
      </c>
      <c r="R6225">
        <v>2.3596840000000001E-2</v>
      </c>
      <c r="S6225">
        <v>2.9982600000000001</v>
      </c>
      <c r="T6225">
        <v>5.2355409999999998E-2</v>
      </c>
      <c r="U6225">
        <v>9.0209960000000006E-2</v>
      </c>
      <c r="V6225">
        <v>-5.6776720000000003E-2</v>
      </c>
      <c r="W6225">
        <v>2.8117110000000001E-2</v>
      </c>
      <c r="X6225">
        <v>0.99799090000000001</v>
      </c>
      <c r="Y6225">
        <v>-6.3259910000000003E-2</v>
      </c>
      <c r="Z6225">
        <v>-1.1322719999999999E-3</v>
      </c>
      <c r="AA6225">
        <v>0.99799640000000001</v>
      </c>
      <c r="AB6225">
        <v>22</v>
      </c>
      <c r="AC6225">
        <v>118.89479999999899</v>
      </c>
      <c r="AD6225">
        <v>2.078436</v>
      </c>
      <c r="AE6225">
        <v>3.5860099999999901</v>
      </c>
      <c r="AF6225">
        <v>-7.5328933257813997</v>
      </c>
      <c r="AG6225">
        <v>2.078436</v>
      </c>
      <c r="AH6225">
        <v>118.673723358243</v>
      </c>
      <c r="AI6225">
        <v>88.998646692854507</v>
      </c>
      <c r="AJ6225">
        <v>93.632014858822401</v>
      </c>
      <c r="AK6225">
        <v>118.93072350647</v>
      </c>
      <c r="AL6225">
        <v>88.388795925342393</v>
      </c>
      <c r="AM6225">
        <v>93.2561054597967</v>
      </c>
      <c r="AN6225">
        <v>1.00000000214576</v>
      </c>
    </row>
    <row r="6226" spans="1:40" x14ac:dyDescent="0.25">
      <c r="A6226" t="str">
        <f>"20190312160457265"</f>
        <v>20190312160457265</v>
      </c>
      <c r="B6226" t="str">
        <f>"1552377897260962"</f>
        <v>1552377897260962</v>
      </c>
      <c r="C6226" t="s">
        <v>40</v>
      </c>
      <c r="D6226">
        <v>5.9593259999999999</v>
      </c>
      <c r="E6226">
        <v>0.4978649</v>
      </c>
      <c r="F6226" t="s">
        <v>87</v>
      </c>
      <c r="G6226">
        <v>-274.15660000000003</v>
      </c>
      <c r="H6226">
        <v>3.2386979999999999</v>
      </c>
      <c r="I6226">
        <v>20.602810000000002</v>
      </c>
      <c r="J6226">
        <v>-392.92649999999998</v>
      </c>
      <c r="K6226">
        <v>1.1098779999999999</v>
      </c>
      <c r="L6226">
        <v>17.081569999999999</v>
      </c>
      <c r="M6226">
        <v>0.99934299999999998</v>
      </c>
      <c r="N6226">
        <v>0</v>
      </c>
      <c r="O6226">
        <v>-3.3579400000000002E-2</v>
      </c>
      <c r="P6226">
        <v>0.99961800000000001</v>
      </c>
      <c r="Q6226">
        <v>1.4511639999999999E-2</v>
      </c>
      <c r="R6226">
        <v>2.3530820000000001E-2</v>
      </c>
      <c r="S6226">
        <v>2.998291</v>
      </c>
      <c r="T6226">
        <v>5.3684830000000003E-2</v>
      </c>
      <c r="U6226">
        <v>8.8684079999999998E-2</v>
      </c>
      <c r="V6226">
        <v>-5.7061170000000001E-2</v>
      </c>
      <c r="W6226">
        <v>2.819195E-2</v>
      </c>
      <c r="X6226">
        <v>0.99797250000000004</v>
      </c>
      <c r="Y6226">
        <v>-6.3100959999999998E-2</v>
      </c>
      <c r="Z6226">
        <v>-1.165857E-3</v>
      </c>
      <c r="AA6226">
        <v>0.99800650000000002</v>
      </c>
      <c r="AB6226">
        <v>22</v>
      </c>
      <c r="AC6226">
        <v>118.769899999999</v>
      </c>
      <c r="AD6226">
        <v>2.1288200000000002</v>
      </c>
      <c r="AE6226">
        <v>3.5212399999999899</v>
      </c>
      <c r="AF6226">
        <v>-7.50543763227172</v>
      </c>
      <c r="AG6226">
        <v>2.1288200000000002</v>
      </c>
      <c r="AH6226">
        <v>118.54660389915399</v>
      </c>
      <c r="AI6226">
        <v>88.973267550463603</v>
      </c>
      <c r="AJ6226">
        <v>93.622682410381302</v>
      </c>
      <c r="AK6226">
        <v>118.803033482598</v>
      </c>
      <c r="AL6226">
        <v>88.384506103360906</v>
      </c>
      <c r="AM6226">
        <v>93.272443308708006</v>
      </c>
      <c r="AN6226">
        <v>0.99999993696140799</v>
      </c>
    </row>
    <row r="6227" spans="1:40" x14ac:dyDescent="0.25">
      <c r="A6227" t="str">
        <f>"20190312160457285"</f>
        <v>20190312160457285</v>
      </c>
      <c r="B6227" t="str">
        <f>"1552377897281460"</f>
        <v>1552377897281460</v>
      </c>
      <c r="C6227" t="s">
        <v>40</v>
      </c>
      <c r="D6227">
        <v>6.0940099999999999</v>
      </c>
      <c r="E6227">
        <v>0.49777949999999999</v>
      </c>
      <c r="F6227" t="s">
        <v>87</v>
      </c>
      <c r="G6227">
        <v>-274.15660000000003</v>
      </c>
      <c r="H6227">
        <v>3.2549239999999999</v>
      </c>
      <c r="I6227">
        <v>20.553509999999999</v>
      </c>
      <c r="J6227">
        <v>-392.74110000000002</v>
      </c>
      <c r="K6227">
        <v>1.109882</v>
      </c>
      <c r="L6227">
        <v>17.074739999999998</v>
      </c>
      <c r="M6227">
        <v>0.99932540000000003</v>
      </c>
      <c r="N6227">
        <v>0</v>
      </c>
      <c r="O6227">
        <v>-3.4099900000000002E-2</v>
      </c>
      <c r="P6227">
        <v>0.99960800000000005</v>
      </c>
      <c r="Q6227">
        <v>1.4707919999999999E-2</v>
      </c>
      <c r="R6227">
        <v>2.3831999999999999E-2</v>
      </c>
      <c r="S6227">
        <v>2.9982600000000001</v>
      </c>
      <c r="T6227">
        <v>5.4150219999999999E-2</v>
      </c>
      <c r="U6227">
        <v>8.7646479999999999E-2</v>
      </c>
      <c r="V6227">
        <v>-5.7881229999999999E-2</v>
      </c>
      <c r="W6227">
        <v>2.8385469999999999E-2</v>
      </c>
      <c r="X6227">
        <v>0.99791989999999997</v>
      </c>
      <c r="Y6227">
        <v>-6.3275609999999996E-2</v>
      </c>
      <c r="Z6227">
        <v>-1.1869529999999999E-3</v>
      </c>
      <c r="AA6227">
        <v>0.99799539999999998</v>
      </c>
      <c r="AB6227">
        <v>22</v>
      </c>
      <c r="AC6227">
        <v>118.58450000000001</v>
      </c>
      <c r="AD6227">
        <v>2.1450419999999899</v>
      </c>
      <c r="AE6227">
        <v>3.4787699999999999</v>
      </c>
      <c r="AF6227">
        <v>-7.5183841510960896</v>
      </c>
      <c r="AG6227">
        <v>2.1450419999999899</v>
      </c>
      <c r="AH6227">
        <v>118.358191440536</v>
      </c>
      <c r="AI6227">
        <v>88.963812575090401</v>
      </c>
      <c r="AJ6227">
        <v>93.634676015194401</v>
      </c>
      <c r="AK6227">
        <v>118.61614049740299</v>
      </c>
      <c r="AL6227">
        <v>88.373413966887796</v>
      </c>
      <c r="AM6227">
        <v>93.319543688668006</v>
      </c>
      <c r="AN6227">
        <v>1.0000000492547201</v>
      </c>
    </row>
    <row r="6228" spans="1:40" x14ac:dyDescent="0.25">
      <c r="A6228" t="str">
        <f>"20190312160457299"</f>
        <v>20190312160457299</v>
      </c>
      <c r="B6228" t="str">
        <f>"1552377897291219"</f>
        <v>1552377897291219</v>
      </c>
      <c r="C6228" t="s">
        <v>40</v>
      </c>
      <c r="D6228">
        <v>6.0672860000000002</v>
      </c>
      <c r="E6228">
        <v>0.49777949999999999</v>
      </c>
      <c r="F6228" t="s">
        <v>87</v>
      </c>
      <c r="G6228">
        <v>-274.15660000000003</v>
      </c>
      <c r="H6228">
        <v>3.329472</v>
      </c>
      <c r="I6228">
        <v>20.604050000000001</v>
      </c>
      <c r="J6228">
        <v>-392.61079999999998</v>
      </c>
      <c r="K6228">
        <v>1.109883</v>
      </c>
      <c r="L6228">
        <v>17.069849999999999</v>
      </c>
      <c r="M6228">
        <v>0.99931270000000005</v>
      </c>
      <c r="N6228">
        <v>0</v>
      </c>
      <c r="O6228">
        <v>-3.4465699999999898E-2</v>
      </c>
      <c r="P6228">
        <v>0.99960400000000005</v>
      </c>
      <c r="Q6228">
        <v>1.463675E-2</v>
      </c>
      <c r="R6228">
        <v>2.4031830000000001E-2</v>
      </c>
      <c r="S6228">
        <v>2.99823</v>
      </c>
      <c r="T6228">
        <v>5.6119080000000002E-2</v>
      </c>
      <c r="U6228">
        <v>8.9233399999999893E-2</v>
      </c>
      <c r="V6228">
        <v>-5.8446650000000003E-2</v>
      </c>
      <c r="W6228">
        <v>2.8312540000000001E-2</v>
      </c>
      <c r="X6228">
        <v>0.99788900000000003</v>
      </c>
      <c r="Y6228">
        <v>-6.4167569999999993E-2</v>
      </c>
      <c r="Z6228">
        <v>-1.2452959999999999E-3</v>
      </c>
      <c r="AA6228">
        <v>0.99793829999999994</v>
      </c>
      <c r="AB6228">
        <v>22</v>
      </c>
      <c r="AC6228">
        <v>118.45419999999901</v>
      </c>
      <c r="AD6228">
        <v>2.219589</v>
      </c>
      <c r="AE6228">
        <v>3.5341999999999998</v>
      </c>
      <c r="AF6228">
        <v>-7.6124166025934699</v>
      </c>
      <c r="AG6228">
        <v>2.219589</v>
      </c>
      <c r="AH6228">
        <v>118.220519421853</v>
      </c>
      <c r="AI6228">
        <v>88.926621162678003</v>
      </c>
      <c r="AJ6228">
        <v>93.684284476498703</v>
      </c>
      <c r="AK6228">
        <v>118.48614549487699</v>
      </c>
      <c r="AL6228">
        <v>88.377594202532293</v>
      </c>
      <c r="AM6228">
        <v>93.352001040210098</v>
      </c>
      <c r="AN6228">
        <v>1.0000000335692301</v>
      </c>
    </row>
    <row r="6229" spans="1:40" x14ac:dyDescent="0.25">
      <c r="A6229" t="str">
        <f>"20190312160457309"</f>
        <v>20190312160457309</v>
      </c>
      <c r="B6229" t="str">
        <f>"1552377897300980"</f>
        <v>1552377897300980</v>
      </c>
      <c r="C6229" t="s">
        <v>40</v>
      </c>
      <c r="D6229">
        <v>6.0698860000000003</v>
      </c>
      <c r="E6229">
        <v>0.46406180000000002</v>
      </c>
      <c r="F6229" t="s">
        <v>87</v>
      </c>
      <c r="G6229">
        <v>-274.15660000000003</v>
      </c>
      <c r="H6229">
        <v>3.318244</v>
      </c>
      <c r="I6229">
        <v>20.619440000000001</v>
      </c>
      <c r="J6229">
        <v>-392.4939</v>
      </c>
      <c r="K6229">
        <v>1.109883</v>
      </c>
      <c r="L6229">
        <v>17.065460000000002</v>
      </c>
      <c r="M6229">
        <v>0.99930129999999995</v>
      </c>
      <c r="N6229">
        <v>0</v>
      </c>
      <c r="O6229">
        <v>-3.4793839999999999E-2</v>
      </c>
      <c r="P6229">
        <v>0.99959549999999997</v>
      </c>
      <c r="Q6229">
        <v>1.45059E-2</v>
      </c>
      <c r="R6229">
        <v>2.4462279999999999E-2</v>
      </c>
      <c r="S6229">
        <v>2.9981990000000001</v>
      </c>
      <c r="T6229">
        <v>5.5896040000000001E-2</v>
      </c>
      <c r="U6229">
        <v>8.984375E-2</v>
      </c>
      <c r="V6229">
        <v>-5.9203899999999997E-2</v>
      </c>
      <c r="W6229">
        <v>2.8180029999999998E-2</v>
      </c>
      <c r="X6229">
        <v>0.99784810000000002</v>
      </c>
      <c r="Y6229">
        <v>-6.4698510000000001E-2</v>
      </c>
      <c r="Z6229">
        <v>-1.2514189999999999E-3</v>
      </c>
      <c r="AA6229">
        <v>0.99790409999999996</v>
      </c>
      <c r="AB6229">
        <v>22</v>
      </c>
      <c r="AC6229">
        <v>118.337299999999</v>
      </c>
      <c r="AD6229">
        <v>2.208361</v>
      </c>
      <c r="AE6229">
        <v>3.5539800000000001</v>
      </c>
      <c r="AF6229">
        <v>-7.6669527315736099</v>
      </c>
      <c r="AG6229">
        <v>2.208361</v>
      </c>
      <c r="AH6229">
        <v>118.10087447831199</v>
      </c>
      <c r="AI6229">
        <v>88.931004293382202</v>
      </c>
      <c r="AJ6229">
        <v>93.714354187918602</v>
      </c>
      <c r="AK6229">
        <v>118.37007888413601</v>
      </c>
      <c r="AL6229">
        <v>88.385189479957305</v>
      </c>
      <c r="AM6229">
        <v>93.395468324906005</v>
      </c>
      <c r="AN6229">
        <v>1.0000000232698101</v>
      </c>
    </row>
    <row r="6230" spans="1:40" x14ac:dyDescent="0.25">
      <c r="A6230" t="str">
        <f>"20190312160457320"</f>
        <v>20190312160457320</v>
      </c>
      <c r="B6230" t="str">
        <f>"1552377897311715"</f>
        <v>1552377897311715</v>
      </c>
      <c r="C6230" t="s">
        <v>40</v>
      </c>
      <c r="D6230">
        <v>6.2230239999999997</v>
      </c>
      <c r="E6230">
        <v>0.45557639999999999</v>
      </c>
      <c r="F6230" t="s">
        <v>112</v>
      </c>
      <c r="G6230">
        <v>-371.68669999999997</v>
      </c>
      <c r="H6230" s="1">
        <v>-3.9200970000000001E-6</v>
      </c>
      <c r="I6230">
        <v>19.560659999999999</v>
      </c>
      <c r="J6230">
        <v>-392.38400000000001</v>
      </c>
      <c r="K6230">
        <v>1.1098870000000001</v>
      </c>
      <c r="L6230">
        <v>17.06128</v>
      </c>
      <c r="M6230">
        <v>0.99929060000000003</v>
      </c>
      <c r="N6230">
        <v>0</v>
      </c>
      <c r="O6230">
        <v>-3.5102899999999999E-2</v>
      </c>
      <c r="P6230">
        <v>0.99958429999999998</v>
      </c>
      <c r="Q6230">
        <v>1.441925E-2</v>
      </c>
      <c r="R6230">
        <v>2.4973080000000002E-2</v>
      </c>
      <c r="S6230">
        <v>2.9947509999999999</v>
      </c>
      <c r="T6230">
        <v>-0.15974459999999999</v>
      </c>
      <c r="U6230">
        <v>0.35913089999999998</v>
      </c>
      <c r="V6230">
        <v>-6.002337E-2</v>
      </c>
      <c r="W6230">
        <v>2.8092329999999999E-2</v>
      </c>
      <c r="X6230">
        <v>0.99780159999999996</v>
      </c>
      <c r="Y6230">
        <v>-0.15358529999999901</v>
      </c>
      <c r="Z6230">
        <v>5.9440589999999998E-3</v>
      </c>
      <c r="AA6230">
        <v>0.98811749999999998</v>
      </c>
      <c r="AB6230">
        <v>22</v>
      </c>
      <c r="AC6230">
        <v>20.697299999999998</v>
      </c>
      <c r="AD6230">
        <v>-1.109890920097</v>
      </c>
      <c r="AE6230">
        <v>2.4993799999999999</v>
      </c>
      <c r="AF6230">
        <v>-3.21532900722565</v>
      </c>
      <c r="AG6230">
        <v>-1.109890920097</v>
      </c>
      <c r="AH6230">
        <v>20.538585790166699</v>
      </c>
      <c r="AI6230">
        <v>93.056064862744904</v>
      </c>
      <c r="AJ6230">
        <v>98.897473962565201</v>
      </c>
      <c r="AK6230">
        <v>20.818350192540699</v>
      </c>
      <c r="AL6230">
        <v>88.390216285978497</v>
      </c>
      <c r="AM6230">
        <v>93.442514442862901</v>
      </c>
      <c r="AN6230">
        <v>1.00000000845677</v>
      </c>
    </row>
    <row r="6231" spans="1:40" x14ac:dyDescent="0.25">
      <c r="A6231" t="str">
        <f>"20190312160457333"</f>
        <v>20190312160457333</v>
      </c>
      <c r="B6231" t="str">
        <f>"1552377897321475"</f>
        <v>1552377897321475</v>
      </c>
      <c r="C6231" t="s">
        <v>40</v>
      </c>
      <c r="D6231">
        <v>6.0601159999999998</v>
      </c>
      <c r="E6231">
        <v>0.45307199999999997</v>
      </c>
      <c r="F6231" t="s">
        <v>110</v>
      </c>
      <c r="G6231">
        <v>-364.03640000000001</v>
      </c>
      <c r="H6231" s="1">
        <v>-3.2194520000000002E-6</v>
      </c>
      <c r="I6231">
        <v>21.119610000000002</v>
      </c>
      <c r="J6231">
        <v>-392.27190000000002</v>
      </c>
      <c r="K6231">
        <v>1.1098870000000001</v>
      </c>
      <c r="L6231">
        <v>17.057009999999998</v>
      </c>
      <c r="M6231">
        <v>0.99927960000000005</v>
      </c>
      <c r="N6231">
        <v>0</v>
      </c>
      <c r="O6231">
        <v>-3.5417579999999997E-2</v>
      </c>
      <c r="P6231">
        <v>0.99958069999999999</v>
      </c>
      <c r="Q6231">
        <v>1.429017E-2</v>
      </c>
      <c r="R6231">
        <v>2.518871E-2</v>
      </c>
      <c r="S6231">
        <v>2.9922179999999998</v>
      </c>
      <c r="T6231">
        <v>-0.11715390000000001</v>
      </c>
      <c r="U6231">
        <v>0.42837520000000001</v>
      </c>
      <c r="V6231">
        <v>-6.0553139999999998E-2</v>
      </c>
      <c r="W6231">
        <v>2.7961730000000001E-2</v>
      </c>
      <c r="X6231">
        <v>0.99777320000000003</v>
      </c>
      <c r="Y6231">
        <v>-0.176533299999999</v>
      </c>
      <c r="Z6231">
        <v>4.8169930000000003E-3</v>
      </c>
      <c r="AA6231">
        <v>0.98428289999999996</v>
      </c>
      <c r="AB6231">
        <v>22</v>
      </c>
      <c r="AC6231">
        <v>28.235499999999998</v>
      </c>
      <c r="AD6231">
        <v>-1.1098902194519999</v>
      </c>
      <c r="AE6231">
        <v>4.0625999999999998</v>
      </c>
      <c r="AF6231">
        <v>-5.0525281438960299</v>
      </c>
      <c r="AG6231">
        <v>-1.1098902194519999</v>
      </c>
      <c r="AH6231">
        <v>28.031446785138002</v>
      </c>
      <c r="AI6231">
        <v>92.23148985521</v>
      </c>
      <c r="AJ6231">
        <v>100.217570102135</v>
      </c>
      <c r="AK6231">
        <v>28.504769878252301</v>
      </c>
      <c r="AL6231">
        <v>88.397701961499706</v>
      </c>
      <c r="AM6231">
        <v>93.472922857761503</v>
      </c>
      <c r="AN6231">
        <v>0.99999994987334495</v>
      </c>
    </row>
    <row r="6232" spans="1:40" x14ac:dyDescent="0.25">
      <c r="A6232" t="str">
        <f>"20190312160457343"</f>
        <v>20190312160457343</v>
      </c>
      <c r="B6232" t="str">
        <f>"1552377897331237"</f>
        <v>1552377897331237</v>
      </c>
      <c r="C6232" t="s">
        <v>40</v>
      </c>
      <c r="D6232">
        <v>6.2004440000000001</v>
      </c>
      <c r="E6232">
        <v>0.4519743</v>
      </c>
      <c r="F6232" t="s">
        <v>110</v>
      </c>
      <c r="G6232">
        <v>-364.96109999999999</v>
      </c>
      <c r="H6232" s="1">
        <v>-2.7917290000000001E-6</v>
      </c>
      <c r="I6232">
        <v>21.154800000000002</v>
      </c>
      <c r="J6232">
        <v>-392.16219999999998</v>
      </c>
      <c r="K6232">
        <v>1.109888</v>
      </c>
      <c r="L6232">
        <v>17.052759999999999</v>
      </c>
      <c r="M6232">
        <v>0.9992685</v>
      </c>
      <c r="N6232">
        <v>0</v>
      </c>
      <c r="O6232">
        <v>-3.5725819999999998E-2</v>
      </c>
      <c r="P6232">
        <v>0.99957700000000005</v>
      </c>
      <c r="Q6232">
        <v>1.4192450000000001E-2</v>
      </c>
      <c r="R6232">
        <v>2.5391199999999999E-2</v>
      </c>
      <c r="S6232">
        <v>2.9916990000000001</v>
      </c>
      <c r="T6232">
        <v>-0.1215801</v>
      </c>
      <c r="U6232">
        <v>0.44888309999999998</v>
      </c>
      <c r="V6232">
        <v>-6.1063810000000003E-2</v>
      </c>
      <c r="W6232">
        <v>2.7862580000000001E-2</v>
      </c>
      <c r="X6232">
        <v>0.99774490000000005</v>
      </c>
      <c r="Y6232">
        <v>-0.18344360000000001</v>
      </c>
      <c r="Z6232">
        <v>5.149313E-3</v>
      </c>
      <c r="AA6232">
        <v>0.98301669999999997</v>
      </c>
      <c r="AB6232">
        <v>22</v>
      </c>
      <c r="AC6232">
        <v>27.2011</v>
      </c>
      <c r="AD6232">
        <v>-1.109890791729</v>
      </c>
      <c r="AE6232">
        <v>4.1020399999999997</v>
      </c>
      <c r="AF6232">
        <v>-5.0630509210319801</v>
      </c>
      <c r="AG6232">
        <v>-1.109890791729</v>
      </c>
      <c r="AH6232">
        <v>26.993228345442201</v>
      </c>
      <c r="AI6232">
        <v>92.3142140781423</v>
      </c>
      <c r="AJ6232">
        <v>100.623388401919</v>
      </c>
      <c r="AK6232">
        <v>27.486373327663902</v>
      </c>
      <c r="AL6232">
        <v>88.403385130814897</v>
      </c>
      <c r="AM6232">
        <v>93.502237966066801</v>
      </c>
      <c r="AN6232">
        <v>0.999999998865991</v>
      </c>
    </row>
    <row r="6233" spans="1:40" x14ac:dyDescent="0.25">
      <c r="A6233" t="str">
        <f>"20190312160457362"</f>
        <v>20190312160457362</v>
      </c>
      <c r="B6233" t="str">
        <f>"1552377897351731"</f>
        <v>1552377897351731</v>
      </c>
      <c r="C6233" t="s">
        <v>40</v>
      </c>
      <c r="D6233">
        <v>6.0449460000000004</v>
      </c>
      <c r="E6233">
        <v>0.45149909999999999</v>
      </c>
      <c r="F6233" t="s">
        <v>110</v>
      </c>
      <c r="G6233">
        <v>-365.27499999999998</v>
      </c>
      <c r="H6233" s="1">
        <v>-2.6474510000000002E-6</v>
      </c>
      <c r="I6233">
        <v>21.170249999999999</v>
      </c>
      <c r="J6233">
        <v>-391.98829999999998</v>
      </c>
      <c r="K6233">
        <v>1.1098859999999999</v>
      </c>
      <c r="L6233">
        <v>17.04599</v>
      </c>
      <c r="M6233">
        <v>0.99925109999999995</v>
      </c>
      <c r="N6233">
        <v>0</v>
      </c>
      <c r="O6233">
        <v>-3.6212840000000003E-2</v>
      </c>
      <c r="P6233">
        <v>0.99957479999999999</v>
      </c>
      <c r="Q6233">
        <v>1.42963E-2</v>
      </c>
      <c r="R6233">
        <v>2.5416089999999999E-2</v>
      </c>
      <c r="S6233">
        <v>2.9913940000000001</v>
      </c>
      <c r="T6233">
        <v>-0.1234831</v>
      </c>
      <c r="U6233">
        <v>0.45809939999999999</v>
      </c>
      <c r="V6233">
        <v>-6.1574589999999998E-2</v>
      </c>
      <c r="W6233">
        <v>2.7964590000000001E-2</v>
      </c>
      <c r="X6233">
        <v>0.9977106</v>
      </c>
      <c r="Y6233">
        <v>-0.1868881</v>
      </c>
      <c r="Z6233">
        <v>5.3198439999999998E-3</v>
      </c>
      <c r="AA6233">
        <v>0.98236679999999998</v>
      </c>
      <c r="AB6233">
        <v>22</v>
      </c>
      <c r="AC6233">
        <v>26.7133</v>
      </c>
      <c r="AD6233">
        <v>-1.1098886474509999</v>
      </c>
      <c r="AE6233">
        <v>4.1242599999999996</v>
      </c>
      <c r="AF6233">
        <v>-5.08044283188074</v>
      </c>
      <c r="AG6233">
        <v>-1.1098886474509999</v>
      </c>
      <c r="AH6233">
        <v>26.501726913702498</v>
      </c>
      <c r="AI6233">
        <v>92.355299628984298</v>
      </c>
      <c r="AJ6233">
        <v>100.852075639983</v>
      </c>
      <c r="AK6233">
        <v>27.007115388101202</v>
      </c>
      <c r="AL6233">
        <v>88.397538023470204</v>
      </c>
      <c r="AM6233">
        <v>93.531580378656997</v>
      </c>
      <c r="AN6233">
        <v>0.99999994488994604</v>
      </c>
    </row>
    <row r="6234" spans="1:40" x14ac:dyDescent="0.25">
      <c r="A6234" t="str">
        <f>"20190312160457373"</f>
        <v>20190312160457373</v>
      </c>
      <c r="B6234" t="str">
        <f>"1552377897361491"</f>
        <v>1552377897361491</v>
      </c>
      <c r="C6234" t="s">
        <v>40</v>
      </c>
      <c r="D6234">
        <v>6.0052070000000004</v>
      </c>
      <c r="E6234">
        <v>0.4514512</v>
      </c>
      <c r="F6234" t="s">
        <v>110</v>
      </c>
      <c r="G6234">
        <v>-365.75619999999998</v>
      </c>
      <c r="H6234" s="1">
        <v>-2.4005740000000001E-6</v>
      </c>
      <c r="I6234">
        <v>21.097259999999999</v>
      </c>
      <c r="J6234">
        <v>-391.87990000000002</v>
      </c>
      <c r="K6234">
        <v>1.10989</v>
      </c>
      <c r="L6234">
        <v>17.041689999999999</v>
      </c>
      <c r="M6234">
        <v>0.99924020000000002</v>
      </c>
      <c r="N6234">
        <v>0</v>
      </c>
      <c r="O6234">
        <v>-3.6514030000000003E-2</v>
      </c>
      <c r="P6234">
        <v>0.99958259999999999</v>
      </c>
      <c r="Q6234">
        <v>1.427585E-2</v>
      </c>
      <c r="R6234">
        <v>2.5112639999999999E-2</v>
      </c>
      <c r="S6234">
        <v>2.9913020000000001</v>
      </c>
      <c r="T6234">
        <v>-0.12656300000000001</v>
      </c>
      <c r="U6234">
        <v>0.46197510000000003</v>
      </c>
      <c r="V6234">
        <v>-6.1572729999999999E-2</v>
      </c>
      <c r="W6234">
        <v>2.7942660000000001E-2</v>
      </c>
      <c r="X6234">
        <v>0.99771140000000003</v>
      </c>
      <c r="Y6234">
        <v>-0.1884209</v>
      </c>
      <c r="Z6234">
        <v>5.4969519999999899E-3</v>
      </c>
      <c r="AA6234">
        <v>0.98207299999999997</v>
      </c>
      <c r="AB6234">
        <v>22</v>
      </c>
      <c r="AC6234">
        <v>26.123699999999999</v>
      </c>
      <c r="AD6234">
        <v>-1.1098924005740001</v>
      </c>
      <c r="AE6234">
        <v>4.0555700000000003</v>
      </c>
      <c r="AF6234">
        <v>-4.9980257348676203</v>
      </c>
      <c r="AG6234">
        <v>-1.1098924005740001</v>
      </c>
      <c r="AH6234">
        <v>25.912504021905999</v>
      </c>
      <c r="AI6234">
        <v>92.408276660853701</v>
      </c>
      <c r="AJ6234">
        <v>100.91719189390599</v>
      </c>
      <c r="AK6234">
        <v>26.413443302086701</v>
      </c>
      <c r="AL6234">
        <v>88.398795124293201</v>
      </c>
      <c r="AM6234">
        <v>93.531471144757205</v>
      </c>
      <c r="AN6234">
        <v>1.0000000155087401</v>
      </c>
    </row>
    <row r="6235" spans="1:40" x14ac:dyDescent="0.25">
      <c r="A6235" t="str">
        <f>"20190312160457384"</f>
        <v>20190312160457384</v>
      </c>
      <c r="B6235" t="str">
        <f>"1552377897381012"</f>
        <v>1552377897381012</v>
      </c>
      <c r="C6235" t="s">
        <v>40</v>
      </c>
      <c r="D6235">
        <v>6.0494209999999997</v>
      </c>
      <c r="E6235">
        <v>0.45157520000000001</v>
      </c>
      <c r="F6235" t="s">
        <v>110</v>
      </c>
      <c r="G6235">
        <v>-365.71409999999997</v>
      </c>
      <c r="H6235" s="1">
        <v>-2.4152709999999998E-6</v>
      </c>
      <c r="I6235">
        <v>21.077870000000001</v>
      </c>
      <c r="J6235">
        <v>-391.7672</v>
      </c>
      <c r="K6235">
        <v>1.109893</v>
      </c>
      <c r="L6235">
        <v>17.037229999999902</v>
      </c>
      <c r="M6235">
        <v>0.99922869999999997</v>
      </c>
      <c r="N6235">
        <v>0</v>
      </c>
      <c r="O6235">
        <v>-3.6825459999999997E-2</v>
      </c>
      <c r="P6235">
        <v>0.99958919999999996</v>
      </c>
      <c r="Q6235">
        <v>1.455267E-2</v>
      </c>
      <c r="R6235">
        <v>2.4693090000000001E-2</v>
      </c>
      <c r="S6235">
        <v>2.9915159999999998</v>
      </c>
      <c r="T6235">
        <v>-0.1268936</v>
      </c>
      <c r="U6235">
        <v>0.46145629999999999</v>
      </c>
      <c r="V6235">
        <v>-6.1464739999999997E-2</v>
      </c>
      <c r="W6235">
        <v>2.821721E-2</v>
      </c>
      <c r="X6235">
        <v>0.99771030000000005</v>
      </c>
      <c r="Y6235">
        <v>-0.18854860000000001</v>
      </c>
      <c r="Z6235">
        <v>5.5268130000000002E-3</v>
      </c>
      <c r="AA6235">
        <v>0.98204829999999999</v>
      </c>
      <c r="AB6235">
        <v>22</v>
      </c>
      <c r="AC6235">
        <v>26.053100000000001</v>
      </c>
      <c r="AD6235">
        <v>-1.1098954152709899</v>
      </c>
      <c r="AE6235">
        <v>4.0406399999999998</v>
      </c>
      <c r="AF6235">
        <v>-4.9885644188703298</v>
      </c>
      <c r="AG6235">
        <v>-1.1098954152709899</v>
      </c>
      <c r="AH6235">
        <v>25.840816833985102</v>
      </c>
      <c r="AI6235">
        <v>92.414880503816605</v>
      </c>
      <c r="AJ6235">
        <v>100.92652443222001</v>
      </c>
      <c r="AK6235">
        <v>26.3413260380268</v>
      </c>
      <c r="AL6235">
        <v>88.383058311898296</v>
      </c>
      <c r="AM6235">
        <v>93.525296946207902</v>
      </c>
      <c r="AN6235">
        <v>0.99999998396476997</v>
      </c>
    </row>
    <row r="6236" spans="1:40" x14ac:dyDescent="0.25">
      <c r="A6236" t="str">
        <f>"20190312160457396"</f>
        <v>20190312160457396</v>
      </c>
      <c r="B6236" t="str">
        <f>"1552377897391748"</f>
        <v>1552377897391748</v>
      </c>
      <c r="C6236" t="s">
        <v>40</v>
      </c>
      <c r="D6236">
        <v>5.9365690000000004</v>
      </c>
      <c r="E6236">
        <v>0.45152690000000001</v>
      </c>
      <c r="F6236" t="s">
        <v>110</v>
      </c>
      <c r="G6236">
        <v>-363.38510000000002</v>
      </c>
      <c r="H6236" s="1">
        <v>-3.6005640000000002E-6</v>
      </c>
      <c r="I6236">
        <v>21.3949</v>
      </c>
      <c r="J6236">
        <v>-391.65730000000002</v>
      </c>
      <c r="K6236">
        <v>1.1098980000000001</v>
      </c>
      <c r="L6236">
        <v>17.03284</v>
      </c>
      <c r="M6236">
        <v>0.99921769999999999</v>
      </c>
      <c r="N6236">
        <v>0</v>
      </c>
      <c r="O6236">
        <v>-3.7123629999999998E-2</v>
      </c>
      <c r="P6236">
        <v>0.9995965</v>
      </c>
      <c r="Q6236">
        <v>1.4788320000000001E-2</v>
      </c>
      <c r="R6236">
        <v>2.4255269999999999E-2</v>
      </c>
      <c r="S6236">
        <v>2.9916079999999998</v>
      </c>
      <c r="T6236">
        <v>-0.1169887</v>
      </c>
      <c r="U6236">
        <v>0.45932010000000001</v>
      </c>
      <c r="V6236">
        <v>-6.1325409999999997E-2</v>
      </c>
      <c r="W6236">
        <v>2.8451239999999999E-2</v>
      </c>
      <c r="X6236">
        <v>0.9977123</v>
      </c>
      <c r="Y6236">
        <v>-0.18818190000000001</v>
      </c>
      <c r="Z6236">
        <v>5.1003339999999998E-3</v>
      </c>
      <c r="AA6236">
        <v>0.98212089999999996</v>
      </c>
      <c r="AB6236">
        <v>22</v>
      </c>
      <c r="AC6236">
        <v>28.272200000000002</v>
      </c>
      <c r="AD6236">
        <v>-1.1099016005639999</v>
      </c>
      <c r="AE6236">
        <v>4.3620599999999996</v>
      </c>
      <c r="AF6236">
        <v>-5.4005871285851699</v>
      </c>
      <c r="AG6236">
        <v>-1.1099016005639999</v>
      </c>
      <c r="AH6236">
        <v>28.048534861119499</v>
      </c>
      <c r="AI6236">
        <v>92.225224145895297</v>
      </c>
      <c r="AJ6236">
        <v>100.89860281504799</v>
      </c>
      <c r="AK6236">
        <v>28.585285213756599</v>
      </c>
      <c r="AL6236">
        <v>88.3696441125104</v>
      </c>
      <c r="AM6236">
        <v>93.517318755699705</v>
      </c>
      <c r="AN6236">
        <v>1.00000005627024</v>
      </c>
    </row>
    <row r="6237" spans="1:40" x14ac:dyDescent="0.25">
      <c r="A6237" t="str">
        <f>"20190312160457408"</f>
        <v>20190312160457408</v>
      </c>
      <c r="B6237" t="str">
        <f>"1552377897401508"</f>
        <v>1552377897401508</v>
      </c>
      <c r="C6237" t="s">
        <v>40</v>
      </c>
      <c r="D6237">
        <v>5.9468759999999996</v>
      </c>
      <c r="E6237">
        <v>0.45159339999999998</v>
      </c>
      <c r="F6237" t="s">
        <v>110</v>
      </c>
      <c r="G6237">
        <v>-362.98500000000001</v>
      </c>
      <c r="H6237" s="1">
        <v>-3.7981059999999999E-6</v>
      </c>
      <c r="I6237">
        <v>21.426369999999999</v>
      </c>
      <c r="J6237">
        <v>-391.5421</v>
      </c>
      <c r="K6237">
        <v>1.1099019999999999</v>
      </c>
      <c r="L6237">
        <v>17.028199999999998</v>
      </c>
      <c r="M6237">
        <v>0.99920609999999999</v>
      </c>
      <c r="N6237">
        <v>0</v>
      </c>
      <c r="O6237">
        <v>-3.743382E-2</v>
      </c>
      <c r="P6237">
        <v>0.99960510000000002</v>
      </c>
      <c r="Q6237">
        <v>1.4952989999999999E-2</v>
      </c>
      <c r="R6237">
        <v>2.3797720000000001E-2</v>
      </c>
      <c r="S6237">
        <v>2.9917600000000002</v>
      </c>
      <c r="T6237">
        <v>-0.1158106</v>
      </c>
      <c r="U6237">
        <v>0.45843509999999998</v>
      </c>
      <c r="V6237">
        <v>-6.1178110000000001E-2</v>
      </c>
      <c r="W6237">
        <v>2.861377E-2</v>
      </c>
      <c r="X6237">
        <v>0.99771670000000001</v>
      </c>
      <c r="Y6237">
        <v>-0.18819849999999999</v>
      </c>
      <c r="Z6237">
        <v>5.0611320000000003E-3</v>
      </c>
      <c r="AA6237">
        <v>0.98211800000000005</v>
      </c>
      <c r="AB6237">
        <v>22</v>
      </c>
      <c r="AC6237">
        <v>28.557099999999899</v>
      </c>
      <c r="AD6237">
        <v>-1.1099057981060001</v>
      </c>
      <c r="AE6237">
        <v>4.3981700000000004</v>
      </c>
      <c r="AF6237">
        <v>-5.4561365289122499</v>
      </c>
      <c r="AG6237">
        <v>-1.1099057981060001</v>
      </c>
      <c r="AH6237">
        <v>28.330621149696299</v>
      </c>
      <c r="AI6237">
        <v>92.203080169811102</v>
      </c>
      <c r="AJ6237">
        <v>100.901011710429</v>
      </c>
      <c r="AK6237">
        <v>28.872571957316499</v>
      </c>
      <c r="AL6237">
        <v>88.360328045196496</v>
      </c>
      <c r="AM6237">
        <v>93.508876062259503</v>
      </c>
      <c r="AN6237">
        <v>1.0000000612178299</v>
      </c>
    </row>
    <row r="6238" spans="1:40" x14ac:dyDescent="0.25">
      <c r="A6238" t="str">
        <f>"20190312160457419"</f>
        <v>20190312160457419</v>
      </c>
      <c r="B6238" t="str">
        <f>"1552377897411268"</f>
        <v>1552377897411268</v>
      </c>
      <c r="C6238" t="s">
        <v>40</v>
      </c>
      <c r="D6238">
        <v>5.9001349999999997</v>
      </c>
      <c r="E6238">
        <v>0.45126339999999998</v>
      </c>
      <c r="F6238" t="s">
        <v>110</v>
      </c>
      <c r="G6238">
        <v>-362.98059999999998</v>
      </c>
      <c r="H6238" s="1">
        <v>-3.7894500000000002E-6</v>
      </c>
      <c r="I6238">
        <v>21.386040000000001</v>
      </c>
      <c r="J6238">
        <v>-391.42540000000002</v>
      </c>
      <c r="K6238">
        <v>1.109912</v>
      </c>
      <c r="L6238">
        <v>17.02347</v>
      </c>
      <c r="M6238">
        <v>0.99919480000000005</v>
      </c>
      <c r="N6238">
        <v>0</v>
      </c>
      <c r="O6238">
        <v>-3.773547E-2</v>
      </c>
      <c r="P6238">
        <v>0.99961639999999996</v>
      </c>
      <c r="Q6238">
        <v>1.5290460000000001E-2</v>
      </c>
      <c r="R6238">
        <v>2.310247E-2</v>
      </c>
      <c r="S6238">
        <v>2.9920040000000001</v>
      </c>
      <c r="T6238">
        <v>-0.116269899999999</v>
      </c>
      <c r="U6238">
        <v>0.45651249999999999</v>
      </c>
      <c r="V6238">
        <v>-6.0786E-2</v>
      </c>
      <c r="W6238">
        <v>2.8948379999999999E-2</v>
      </c>
      <c r="X6238">
        <v>0.99773100000000003</v>
      </c>
      <c r="Y6238">
        <v>-0.187865</v>
      </c>
      <c r="Z6238">
        <v>5.0862429999999998E-3</v>
      </c>
      <c r="AA6238">
        <v>0.98218170000000005</v>
      </c>
      <c r="AB6238">
        <v>22</v>
      </c>
      <c r="AC6238">
        <v>28.444800000000001</v>
      </c>
      <c r="AD6238">
        <v>-1.10991578945</v>
      </c>
      <c r="AE6238">
        <v>4.3625699999999901</v>
      </c>
      <c r="AF6238">
        <v>-5.4248699949244497</v>
      </c>
      <c r="AG6238">
        <v>-1.10991578945</v>
      </c>
      <c r="AH6238">
        <v>28.2179217917489</v>
      </c>
      <c r="AI6238">
        <v>92.212029145334796</v>
      </c>
      <c r="AJ6238">
        <v>100.882289508903</v>
      </c>
      <c r="AK6238">
        <v>28.756081752678998</v>
      </c>
      <c r="AL6238">
        <v>88.341148337226997</v>
      </c>
      <c r="AM6238">
        <v>93.486392363157094</v>
      </c>
      <c r="AN6238">
        <v>1.0000000474308099</v>
      </c>
    </row>
    <row r="6239" spans="1:40" x14ac:dyDescent="0.25">
      <c r="A6239" t="str">
        <f>"20190312160457432"</f>
        <v>20190312160457432</v>
      </c>
      <c r="B6239" t="str">
        <f>"1552377897421027"</f>
        <v>1552377897421027</v>
      </c>
      <c r="C6239" t="s">
        <v>40</v>
      </c>
      <c r="D6239">
        <v>5.9478059999999999</v>
      </c>
      <c r="E6239">
        <v>0.45096209999999998</v>
      </c>
      <c r="F6239" t="s">
        <v>41</v>
      </c>
      <c r="G6239">
        <v>-359.1386</v>
      </c>
      <c r="H6239" s="1">
        <v>-9.7440029999999997E-7</v>
      </c>
      <c r="I6239">
        <v>21.955960000000001</v>
      </c>
      <c r="J6239">
        <v>-391.3039</v>
      </c>
      <c r="K6239">
        <v>1.109923</v>
      </c>
      <c r="L6239">
        <v>17.018519999999999</v>
      </c>
      <c r="M6239">
        <v>0.99918309999999999</v>
      </c>
      <c r="N6239">
        <v>0</v>
      </c>
      <c r="O6239">
        <v>-3.8043529999999999E-2</v>
      </c>
      <c r="P6239">
        <v>0.99962879999999998</v>
      </c>
      <c r="Q6239">
        <v>1.5665269999999999E-2</v>
      </c>
      <c r="R6239">
        <v>2.2291990000000001E-2</v>
      </c>
      <c r="S6239">
        <v>2.9921570000000002</v>
      </c>
      <c r="T6239">
        <v>-0.10286049999999999</v>
      </c>
      <c r="U6239">
        <v>0.4571228</v>
      </c>
      <c r="V6239">
        <v>-6.028435E-2</v>
      </c>
      <c r="W6239">
        <v>2.9319680000000001E-2</v>
      </c>
      <c r="X6239">
        <v>0.99775049999999998</v>
      </c>
      <c r="Y6239">
        <v>-0.1883919</v>
      </c>
      <c r="Z6239">
        <v>4.5192490000000004E-3</v>
      </c>
      <c r="AA6239">
        <v>0.98208359999999995</v>
      </c>
      <c r="AB6239">
        <v>22</v>
      </c>
      <c r="AC6239">
        <v>32.165300000000002</v>
      </c>
      <c r="AD6239">
        <v>-1.1099239744003</v>
      </c>
      <c r="AE6239">
        <v>4.9374399999999898</v>
      </c>
      <c r="AF6239">
        <v>-6.1505053381266501</v>
      </c>
      <c r="AG6239">
        <v>-1.1099239744003</v>
      </c>
      <c r="AH6239">
        <v>31.917026054734801</v>
      </c>
      <c r="AI6239">
        <v>91.955722386023595</v>
      </c>
      <c r="AJ6239">
        <v>100.90736485099301</v>
      </c>
      <c r="AK6239">
        <v>32.523179415947197</v>
      </c>
      <c r="AL6239">
        <v>88.319865222785396</v>
      </c>
      <c r="AM6239">
        <v>93.4576228161676</v>
      </c>
      <c r="AN6239">
        <v>0.99999995337023595</v>
      </c>
    </row>
    <row r="6240" spans="1:40" x14ac:dyDescent="0.25">
      <c r="A6240" t="str">
        <f>"20190312160457453"</f>
        <v>20190312160457453</v>
      </c>
      <c r="B6240" t="str">
        <f>"1552377897441523"</f>
        <v>1552377897441523</v>
      </c>
      <c r="C6240" t="s">
        <v>40</v>
      </c>
      <c r="D6240">
        <v>5.9618960000000003</v>
      </c>
      <c r="E6240">
        <v>0.45031529999999997</v>
      </c>
      <c r="F6240" t="s">
        <v>41</v>
      </c>
      <c r="G6240">
        <v>-355.04259999999999</v>
      </c>
      <c r="H6240" s="1">
        <v>-2.8919120000000001E-6</v>
      </c>
      <c r="I6240">
        <v>22.558610000000002</v>
      </c>
      <c r="J6240">
        <v>-391.1105</v>
      </c>
      <c r="K6240">
        <v>1.109952</v>
      </c>
      <c r="L6240">
        <v>17.010590000000001</v>
      </c>
      <c r="M6240">
        <v>0.99916539999999998</v>
      </c>
      <c r="N6240">
        <v>0</v>
      </c>
      <c r="O6240">
        <v>-3.8509679999999998E-2</v>
      </c>
      <c r="P6240">
        <v>0.99965930000000003</v>
      </c>
      <c r="Q6240">
        <v>1.610636E-2</v>
      </c>
      <c r="R6240">
        <v>2.055251E-2</v>
      </c>
      <c r="S6240">
        <v>2.99234</v>
      </c>
      <c r="T6240">
        <v>-9.1593030000000006E-2</v>
      </c>
      <c r="U6240">
        <v>0.45718379999999997</v>
      </c>
      <c r="V6240">
        <v>-5.9014209999999998E-2</v>
      </c>
      <c r="W6240">
        <v>2.9755319999999998E-2</v>
      </c>
      <c r="X6240">
        <v>0.99781359999999997</v>
      </c>
      <c r="Y6240">
        <v>-0.18888730000000001</v>
      </c>
      <c r="Z6240">
        <v>4.0459329999999998E-3</v>
      </c>
      <c r="AA6240">
        <v>0.98199049999999999</v>
      </c>
      <c r="AB6240">
        <v>22</v>
      </c>
      <c r="AC6240">
        <v>36.067900000000002</v>
      </c>
      <c r="AD6240">
        <v>-1.1099548919119999</v>
      </c>
      <c r="AE6240">
        <v>5.5480200000000002</v>
      </c>
      <c r="AF6240">
        <v>-6.9265878609742701</v>
      </c>
      <c r="AG6240">
        <v>-1.1099548919119999</v>
      </c>
      <c r="AH6240">
        <v>35.794353358542601</v>
      </c>
      <c r="AI6240">
        <v>91.743799268138204</v>
      </c>
      <c r="AJ6240">
        <v>100.951977408205</v>
      </c>
      <c r="AK6240">
        <v>36.4752704118021</v>
      </c>
      <c r="AL6240">
        <v>88.294894102979896</v>
      </c>
      <c r="AM6240">
        <v>93.384731288869702</v>
      </c>
      <c r="AN6240">
        <v>1.0000000181975901</v>
      </c>
    </row>
    <row r="6241" spans="1:40" x14ac:dyDescent="0.25">
      <c r="A6241" t="str">
        <f>"20190312160457466"</f>
        <v>20190312160457466</v>
      </c>
      <c r="B6241" t="str">
        <f>"1552377897461043"</f>
        <v>1552377897461043</v>
      </c>
      <c r="C6241" t="s">
        <v>40</v>
      </c>
      <c r="D6241">
        <v>5.9086650000000001</v>
      </c>
      <c r="E6241">
        <v>0.4498123</v>
      </c>
      <c r="F6241" t="s">
        <v>41</v>
      </c>
      <c r="G6241">
        <v>-345.3381</v>
      </c>
      <c r="H6241" s="1">
        <v>-3.1501250000000002E-6</v>
      </c>
      <c r="I6241">
        <v>24.005549999999999</v>
      </c>
      <c r="J6241">
        <v>-390.9658</v>
      </c>
      <c r="K6241">
        <v>1.1099749999999999</v>
      </c>
      <c r="L6241">
        <v>17.00461</v>
      </c>
      <c r="M6241">
        <v>0.9991527</v>
      </c>
      <c r="N6241">
        <v>0</v>
      </c>
      <c r="O6241">
        <v>-3.8837950000000003E-2</v>
      </c>
      <c r="P6241">
        <v>0.999664</v>
      </c>
      <c r="Q6241">
        <v>1.677153E-2</v>
      </c>
      <c r="R6241">
        <v>1.9772850000000002E-2</v>
      </c>
      <c r="S6241">
        <v>2.9927980000000001</v>
      </c>
      <c r="T6241">
        <v>-7.2573780000000004E-2</v>
      </c>
      <c r="U6241">
        <v>0.45736690000000002</v>
      </c>
      <c r="V6241">
        <v>-5.856389E-2</v>
      </c>
      <c r="W6241">
        <v>3.0415910000000001E-2</v>
      </c>
      <c r="X6241">
        <v>0.99782020000000005</v>
      </c>
      <c r="Y6241">
        <v>-0.1892848</v>
      </c>
      <c r="Z6241">
        <v>3.2182840000000001E-3</v>
      </c>
      <c r="AA6241">
        <v>0.98191700000000004</v>
      </c>
      <c r="AB6241">
        <v>22</v>
      </c>
      <c r="AC6241">
        <v>45.627699999999997</v>
      </c>
      <c r="AD6241">
        <v>-1.1099781501249999</v>
      </c>
      <c r="AE6241">
        <v>7.0009399999999902</v>
      </c>
      <c r="AF6241">
        <v>-8.7628411462635398</v>
      </c>
      <c r="AG6241">
        <v>-1.1099781501249999</v>
      </c>
      <c r="AH6241">
        <v>45.295152231127197</v>
      </c>
      <c r="AI6241">
        <v>91.378233377586994</v>
      </c>
      <c r="AJ6241">
        <v>100.94923120165799</v>
      </c>
      <c r="AK6241">
        <v>46.148350480698497</v>
      </c>
      <c r="AL6241">
        <v>88.257027918468495</v>
      </c>
      <c r="AM6241">
        <v>93.358940601943999</v>
      </c>
      <c r="AN6241">
        <v>1.0000000041605499</v>
      </c>
    </row>
    <row r="6242" spans="1:40" x14ac:dyDescent="0.25">
      <c r="A6242" t="str">
        <f>"20190312160457491"</f>
        <v>20190312160457491</v>
      </c>
      <c r="B6242" t="str">
        <f>"1552377897481540"</f>
        <v>1552377897481540</v>
      </c>
      <c r="C6242" t="s">
        <v>40</v>
      </c>
      <c r="D6242">
        <v>5.9052150000000001</v>
      </c>
      <c r="E6242">
        <v>0.44932280000000002</v>
      </c>
      <c r="F6242" t="s">
        <v>41</v>
      </c>
      <c r="G6242">
        <v>-333.90679999999998</v>
      </c>
      <c r="H6242" s="1">
        <v>-4.0355310000000004E-6</v>
      </c>
      <c r="I6242">
        <v>25.755490000000002</v>
      </c>
      <c r="J6242">
        <v>-390.74669999999998</v>
      </c>
      <c r="K6242">
        <v>1.1100219999999901</v>
      </c>
      <c r="L6242">
        <v>16.995539999999998</v>
      </c>
      <c r="M6242">
        <v>0.99913540000000001</v>
      </c>
      <c r="N6242">
        <v>0</v>
      </c>
      <c r="O6242">
        <v>-3.928011E-2</v>
      </c>
      <c r="P6242">
        <v>0.9996545</v>
      </c>
      <c r="Q6242">
        <v>1.8161409999999999E-2</v>
      </c>
      <c r="R6242">
        <v>1.9002700000000001E-2</v>
      </c>
      <c r="S6242">
        <v>2.9929199999999998</v>
      </c>
      <c r="T6242">
        <v>-5.8221820000000001E-2</v>
      </c>
      <c r="U6242">
        <v>0.4590149</v>
      </c>
      <c r="V6242">
        <v>-5.8237839999999999E-2</v>
      </c>
      <c r="W6242">
        <v>3.1797119999999998E-2</v>
      </c>
      <c r="X6242">
        <v>0.99779620000000002</v>
      </c>
      <c r="Y6242">
        <v>-0.19026470000000001</v>
      </c>
      <c r="Z6242">
        <v>2.5998039999999998E-3</v>
      </c>
      <c r="AA6242">
        <v>0.98172939999999997</v>
      </c>
      <c r="AB6242">
        <v>22</v>
      </c>
      <c r="AC6242">
        <v>56.8399</v>
      </c>
      <c r="AD6242">
        <v>-1.1100260355310001</v>
      </c>
      <c r="AE6242">
        <v>8.7599499999999999</v>
      </c>
      <c r="AF6242">
        <v>-10.9819816635063</v>
      </c>
      <c r="AG6242">
        <v>-1.1100260355310001</v>
      </c>
      <c r="AH6242">
        <v>56.430878918650102</v>
      </c>
      <c r="AI6242">
        <v>91.106147264692297</v>
      </c>
      <c r="AJ6242">
        <v>101.012649634881</v>
      </c>
      <c r="AK6242">
        <v>57.5002623871274</v>
      </c>
      <c r="AL6242">
        <v>88.177852049302999</v>
      </c>
      <c r="AM6242">
        <v>93.340362579757695</v>
      </c>
      <c r="AN6242">
        <v>0.99999997979129895</v>
      </c>
    </row>
    <row r="6243" spans="1:40" x14ac:dyDescent="0.25">
      <c r="A6243" t="str">
        <f>"20190312160457504"</f>
        <v>20190312160457504</v>
      </c>
      <c r="B6243" t="str">
        <f>"1552377897501059"</f>
        <v>1552377897501059</v>
      </c>
      <c r="C6243" t="s">
        <v>40</v>
      </c>
      <c r="D6243">
        <v>5.9226429999999999</v>
      </c>
      <c r="E6243">
        <v>0.44885360000000002</v>
      </c>
      <c r="F6243" t="s">
        <v>43</v>
      </c>
      <c r="G6243">
        <v>-311.70870000000002</v>
      </c>
      <c r="H6243">
        <v>-0.05</v>
      </c>
      <c r="I6243">
        <v>29.157170000000001</v>
      </c>
      <c r="J6243">
        <v>-390.60129999999998</v>
      </c>
      <c r="K6243">
        <v>1.1100559999999999</v>
      </c>
      <c r="L6243">
        <v>16.9895</v>
      </c>
      <c r="M6243">
        <v>0.99912540000000005</v>
      </c>
      <c r="N6243">
        <v>0</v>
      </c>
      <c r="O6243">
        <v>-3.9534420000000001E-2</v>
      </c>
      <c r="P6243">
        <v>0.99964969999999997</v>
      </c>
      <c r="Q6243">
        <v>1.8574899999999998E-2</v>
      </c>
      <c r="R6243">
        <v>1.8863910000000001E-2</v>
      </c>
      <c r="S6243">
        <v>2.993042</v>
      </c>
      <c r="T6243">
        <v>-4.3928149999999999E-2</v>
      </c>
      <c r="U6243">
        <v>0.46054079999999997</v>
      </c>
      <c r="V6243">
        <v>-5.8355070000000002E-2</v>
      </c>
      <c r="W6243">
        <v>3.2204129999999997E-2</v>
      </c>
      <c r="X6243">
        <v>0.99777629999999995</v>
      </c>
      <c r="Y6243">
        <v>-0.19101560000000001</v>
      </c>
      <c r="Z6243">
        <v>1.9706609999999999E-3</v>
      </c>
      <c r="AA6243">
        <v>0.98158500000000004</v>
      </c>
      <c r="AB6243">
        <v>22</v>
      </c>
      <c r="AC6243">
        <v>78.892599999999902</v>
      </c>
      <c r="AD6243">
        <v>-1.160056</v>
      </c>
      <c r="AE6243">
        <v>12.167669999999999</v>
      </c>
      <c r="AF6243">
        <v>-15.274192341633899</v>
      </c>
      <c r="AG6243">
        <v>-1.160056</v>
      </c>
      <c r="AH6243">
        <v>78.333281361322307</v>
      </c>
      <c r="AI6243">
        <v>90.832763359382895</v>
      </c>
      <c r="AJ6243">
        <v>101.03364703342601</v>
      </c>
      <c r="AK6243">
        <v>79.816975954019</v>
      </c>
      <c r="AL6243">
        <v>88.154520149011901</v>
      </c>
      <c r="AM6243">
        <v>93.347137902265004</v>
      </c>
      <c r="AN6243">
        <v>0.99999998251272504</v>
      </c>
    </row>
    <row r="6244" spans="1:40" x14ac:dyDescent="0.25">
      <c r="A6244" t="str">
        <f>"20190312160457519"</f>
        <v>20190312160457519</v>
      </c>
      <c r="B6244" t="str">
        <f>"1552377897511796"</f>
        <v>1552377897511796</v>
      </c>
      <c r="C6244" t="s">
        <v>40</v>
      </c>
      <c r="D6244">
        <v>5.8491710000000001</v>
      </c>
      <c r="E6244">
        <v>0.4486424</v>
      </c>
      <c r="F6244" t="s">
        <v>43</v>
      </c>
      <c r="G6244">
        <v>-291.54689999999999</v>
      </c>
      <c r="H6244">
        <v>-0.05</v>
      </c>
      <c r="I6244">
        <v>32.344799999999999</v>
      </c>
      <c r="J6244">
        <v>-390.45600000000002</v>
      </c>
      <c r="K6244">
        <v>1.1100939999999999</v>
      </c>
      <c r="L6244">
        <v>16.983460000000001</v>
      </c>
      <c r="M6244">
        <v>0.99911669999999997</v>
      </c>
      <c r="N6244">
        <v>0</v>
      </c>
      <c r="O6244">
        <v>-3.9753549999999999E-2</v>
      </c>
      <c r="P6244">
        <v>0.99964370000000002</v>
      </c>
      <c r="Q6244">
        <v>1.913202E-2</v>
      </c>
      <c r="R6244">
        <v>1.8618900000000001E-2</v>
      </c>
      <c r="S6244">
        <v>2.9929199999999998</v>
      </c>
      <c r="T6244">
        <v>-3.5050989999999997E-2</v>
      </c>
      <c r="U6244">
        <v>0.4639587</v>
      </c>
      <c r="V6244">
        <v>-5.8331189999999998E-2</v>
      </c>
      <c r="W6244">
        <v>3.2754110000000003E-2</v>
      </c>
      <c r="X6244">
        <v>0.99775979999999997</v>
      </c>
      <c r="Y6244">
        <v>-0.19234039999999999</v>
      </c>
      <c r="Z6244">
        <v>1.582647E-3</v>
      </c>
      <c r="AA6244">
        <v>0.98132699999999995</v>
      </c>
      <c r="AB6244">
        <v>22</v>
      </c>
      <c r="AC6244">
        <v>98.909099999999896</v>
      </c>
      <c r="AD6244">
        <v>-1.160094</v>
      </c>
      <c r="AE6244">
        <v>15.361339999999901</v>
      </c>
      <c r="AF6244">
        <v>-19.278957704953001</v>
      </c>
      <c r="AG6244">
        <v>-1.160094</v>
      </c>
      <c r="AH6244">
        <v>98.206983077986493</v>
      </c>
      <c r="AI6244">
        <v>90.664114440788495</v>
      </c>
      <c r="AJ6244">
        <v>101.106468158082</v>
      </c>
      <c r="AK6244">
        <v>100.088138925439</v>
      </c>
      <c r="AL6244">
        <v>88.122991993560802</v>
      </c>
      <c r="AM6244">
        <v>93.345826505785297</v>
      </c>
      <c r="AN6244">
        <v>0.99999998897237397</v>
      </c>
    </row>
    <row r="6245" spans="1:40" x14ac:dyDescent="0.25">
      <c r="A6245" t="str">
        <f>"20190312160457542"</f>
        <v>20190312160457542</v>
      </c>
      <c r="B6245" t="str">
        <f>"1552377897531315"</f>
        <v>1552377897531315</v>
      </c>
      <c r="C6245" t="s">
        <v>40</v>
      </c>
      <c r="D6245">
        <v>5.8465959999999999</v>
      </c>
      <c r="E6245">
        <v>0.44826840000000001</v>
      </c>
      <c r="F6245" t="s">
        <v>43</v>
      </c>
      <c r="G6245">
        <v>-273.24329999999998</v>
      </c>
      <c r="H6245">
        <v>-0.05</v>
      </c>
      <c r="I6245">
        <v>35.195079999999997</v>
      </c>
      <c r="J6245">
        <v>-390.24869999999999</v>
      </c>
      <c r="K6245">
        <v>1.1101430000000001</v>
      </c>
      <c r="L6245">
        <v>16.97485</v>
      </c>
      <c r="M6245">
        <v>0.99910659999999896</v>
      </c>
      <c r="N6245">
        <v>0</v>
      </c>
      <c r="O6245">
        <v>-4.0011020000000001E-2</v>
      </c>
      <c r="P6245">
        <v>0.99963550000000001</v>
      </c>
      <c r="Q6245">
        <v>1.9785420000000001E-2</v>
      </c>
      <c r="R6245">
        <v>1.838445E-2</v>
      </c>
      <c r="S6245">
        <v>2.9929809999999999</v>
      </c>
      <c r="T6245">
        <v>-2.9622550000000001E-2</v>
      </c>
      <c r="U6245">
        <v>0.46502690000000002</v>
      </c>
      <c r="V6245">
        <v>-5.8357539999999999E-2</v>
      </c>
      <c r="W6245">
        <v>3.3398440000000001E-2</v>
      </c>
      <c r="X6245">
        <v>0.99773690000000004</v>
      </c>
      <c r="Y6245">
        <v>-0.19293650000000001</v>
      </c>
      <c r="Z6245">
        <v>1.3429570000000001E-3</v>
      </c>
      <c r="AA6245">
        <v>0.98121029999999998</v>
      </c>
      <c r="AB6245">
        <v>22</v>
      </c>
      <c r="AC6245">
        <v>117.00539999999999</v>
      </c>
      <c r="AD6245">
        <v>-1.1601429999999999</v>
      </c>
      <c r="AE6245">
        <v>18.220230000000001</v>
      </c>
      <c r="AF6245">
        <v>-22.885379354811999</v>
      </c>
      <c r="AG6245">
        <v>-1.1601429999999999</v>
      </c>
      <c r="AH6245">
        <v>116.171460979702</v>
      </c>
      <c r="AI6245">
        <v>90.561375220333801</v>
      </c>
      <c r="AJ6245">
        <v>101.144372061479</v>
      </c>
      <c r="AK6245">
        <v>118.40985966613</v>
      </c>
      <c r="AL6245">
        <v>88.086054393625403</v>
      </c>
      <c r="AM6245">
        <v>93.347411136094706</v>
      </c>
      <c r="AN6245">
        <v>0.99999998994544703</v>
      </c>
    </row>
    <row r="6246" spans="1:40" x14ac:dyDescent="0.25">
      <c r="A6246" t="str">
        <f>"20190312160457553"</f>
        <v>20190312160457553</v>
      </c>
      <c r="B6246" t="str">
        <f>"1552377897541075"</f>
        <v>1552377897541075</v>
      </c>
      <c r="C6246" t="s">
        <v>40</v>
      </c>
      <c r="D6246">
        <v>5.9789079999999997</v>
      </c>
      <c r="E6246">
        <v>0.44806400000000002</v>
      </c>
      <c r="F6246" t="s">
        <v>113</v>
      </c>
      <c r="G6246">
        <v>-272.97570000000002</v>
      </c>
      <c r="H6246">
        <v>0.24875449999999999</v>
      </c>
      <c r="I6246">
        <v>35.288110000000003</v>
      </c>
      <c r="J6246">
        <v>-390.13479999999998</v>
      </c>
      <c r="K6246">
        <v>1.1101719999999999</v>
      </c>
      <c r="L6246">
        <v>16.97015</v>
      </c>
      <c r="M6246">
        <v>0.99910209999999999</v>
      </c>
      <c r="N6246">
        <v>0</v>
      </c>
      <c r="O6246">
        <v>-4.0120570000000001E-2</v>
      </c>
      <c r="P6246">
        <v>0.99963060000000004</v>
      </c>
      <c r="Q6246">
        <v>2.0063839999999999E-2</v>
      </c>
      <c r="R6246">
        <v>1.8336399999999999E-2</v>
      </c>
      <c r="S6246">
        <v>2.99295</v>
      </c>
      <c r="T6246">
        <v>-2.1983619999999999E-2</v>
      </c>
      <c r="U6246">
        <v>0.46737669999999998</v>
      </c>
      <c r="V6246">
        <v>-5.842075E-2</v>
      </c>
      <c r="W6246">
        <v>3.3671520000000003E-2</v>
      </c>
      <c r="X6246">
        <v>0.9977241</v>
      </c>
      <c r="Y6246">
        <v>-0.19380269999999999</v>
      </c>
      <c r="Z6246">
        <v>1.000566E-3</v>
      </c>
      <c r="AA6246">
        <v>0.98104000000000002</v>
      </c>
      <c r="AB6246">
        <v>22</v>
      </c>
      <c r="AC6246">
        <v>117.159099999999</v>
      </c>
      <c r="AD6246">
        <v>-0.86141749999999995</v>
      </c>
      <c r="AE6246">
        <v>18.317959999999999</v>
      </c>
      <c r="AF6246">
        <v>-23.002920132979099</v>
      </c>
      <c r="AG6246">
        <v>-0.86141749999999995</v>
      </c>
      <c r="AH6246">
        <v>116.32361786831</v>
      </c>
      <c r="AI6246">
        <v>90.4162278206</v>
      </c>
      <c r="AJ6246">
        <v>101.1858861</v>
      </c>
      <c r="AK6246">
        <v>118.579342419859</v>
      </c>
      <c r="AL6246">
        <v>88.070399406345899</v>
      </c>
      <c r="AM6246">
        <v>93.351071521037198</v>
      </c>
      <c r="AN6246">
        <v>1.0000000675052301</v>
      </c>
    </row>
    <row r="6247" spans="1:40" x14ac:dyDescent="0.25">
      <c r="A6247" t="str">
        <f>"20190312160457564"</f>
        <v>20190312160457564</v>
      </c>
      <c r="B6247" t="str">
        <f>"1552377897561573"</f>
        <v>1552377897561573</v>
      </c>
      <c r="C6247" t="s">
        <v>40</v>
      </c>
      <c r="D6247">
        <v>6.3388059999999999</v>
      </c>
      <c r="E6247">
        <v>0.44812220000000003</v>
      </c>
      <c r="F6247" t="s">
        <v>113</v>
      </c>
      <c r="G6247">
        <v>-273.20209999999997</v>
      </c>
      <c r="H6247">
        <v>0.35201450000000001</v>
      </c>
      <c r="I6247">
        <v>35.288069999999998</v>
      </c>
      <c r="J6247">
        <v>-390.0256</v>
      </c>
      <c r="K6247">
        <v>1.110196</v>
      </c>
      <c r="L6247">
        <v>16.96564</v>
      </c>
      <c r="M6247">
        <v>0.99909870000000001</v>
      </c>
      <c r="N6247">
        <v>0</v>
      </c>
      <c r="O6247">
        <v>-4.020833E-2</v>
      </c>
      <c r="P6247">
        <v>0.99962689999999998</v>
      </c>
      <c r="Q6247">
        <v>2.0325820000000001E-2</v>
      </c>
      <c r="R6247">
        <v>1.8253149999999999E-2</v>
      </c>
      <c r="S6247">
        <v>2.9928590000000002</v>
      </c>
      <c r="T6247">
        <v>-1.9404769999999998E-2</v>
      </c>
      <c r="U6247">
        <v>0.46884160000000002</v>
      </c>
      <c r="V6247">
        <v>-5.8427390000000003E-2</v>
      </c>
      <c r="W6247">
        <v>3.3927909999999999E-2</v>
      </c>
      <c r="X6247">
        <v>0.99771489999999996</v>
      </c>
      <c r="Y6247">
        <v>-0.19436349999999999</v>
      </c>
      <c r="Z6247">
        <v>8.8556119999999995E-4</v>
      </c>
      <c r="AA6247">
        <v>0.98092919999999995</v>
      </c>
      <c r="AB6247">
        <v>22</v>
      </c>
      <c r="AC6247">
        <v>116.8235</v>
      </c>
      <c r="AD6247">
        <v>-0.75818149999999995</v>
      </c>
      <c r="AE6247">
        <v>18.322430000000001</v>
      </c>
      <c r="AF6247">
        <v>-23.0043771431477</v>
      </c>
      <c r="AG6247">
        <v>-0.75818149999999995</v>
      </c>
      <c r="AH6247">
        <v>115.987458882955</v>
      </c>
      <c r="AI6247">
        <v>90.367367455861498</v>
      </c>
      <c r="AJ6247">
        <v>101.21817696497401</v>
      </c>
      <c r="AK6247">
        <v>118.24917261890801</v>
      </c>
      <c r="AL6247">
        <v>88.0557007006052</v>
      </c>
      <c r="AM6247">
        <v>93.351482363332394</v>
      </c>
      <c r="AN6247">
        <v>0.99999994233059297</v>
      </c>
    </row>
    <row r="6248" spans="1:40" x14ac:dyDescent="0.25">
      <c r="A6248" t="str">
        <f>"20190312160457576"</f>
        <v>20190312160457576</v>
      </c>
      <c r="B6248" t="str">
        <f>"1552377897571331"</f>
        <v>1552377897571331</v>
      </c>
      <c r="C6248" t="s">
        <v>40</v>
      </c>
      <c r="D6248">
        <v>6.0574120000000002</v>
      </c>
      <c r="E6248">
        <v>0.48326789999999997</v>
      </c>
      <c r="F6248" t="s">
        <v>113</v>
      </c>
      <c r="G6248">
        <v>-272.85980000000001</v>
      </c>
      <c r="H6248">
        <v>0.34704590000000002</v>
      </c>
      <c r="I6248">
        <v>35.288069999999998</v>
      </c>
      <c r="J6248">
        <v>-389.91899999999998</v>
      </c>
      <c r="K6248">
        <v>1.1102240000000001</v>
      </c>
      <c r="L6248">
        <v>16.96124</v>
      </c>
      <c r="M6248">
        <v>0.99909619999999999</v>
      </c>
      <c r="N6248">
        <v>0</v>
      </c>
      <c r="O6248">
        <v>-4.0268940000000003E-2</v>
      </c>
      <c r="P6248">
        <v>0.99962419999999996</v>
      </c>
      <c r="Q6248">
        <v>2.0318490000000002E-2</v>
      </c>
      <c r="R6248">
        <v>1.8403880000000001E-2</v>
      </c>
      <c r="S6248">
        <v>2.9930110000000001</v>
      </c>
      <c r="T6248">
        <v>-1.9494649999999999E-2</v>
      </c>
      <c r="U6248">
        <v>0.46804810000000002</v>
      </c>
      <c r="V6248">
        <v>-5.8640539999999998E-2</v>
      </c>
      <c r="W6248">
        <v>3.391599E-2</v>
      </c>
      <c r="X6248">
        <v>0.9977028</v>
      </c>
      <c r="Y6248">
        <v>-0.19416149999999999</v>
      </c>
      <c r="Z6248">
        <v>8.8937499999999997E-4</v>
      </c>
      <c r="AA6248">
        <v>0.98096919999999999</v>
      </c>
      <c r="AB6248">
        <v>22</v>
      </c>
      <c r="AC6248">
        <v>117.0592</v>
      </c>
      <c r="AD6248">
        <v>-0.76317809999999897</v>
      </c>
      <c r="AE6248">
        <v>18.326830000000001</v>
      </c>
      <c r="AF6248">
        <v>-23.025293114478298</v>
      </c>
      <c r="AG6248">
        <v>-0.76317809999999897</v>
      </c>
      <c r="AH6248">
        <v>116.22134085591</v>
      </c>
      <c r="AI6248">
        <v>90.369059719902907</v>
      </c>
      <c r="AJ6248">
        <v>101.20609479545099</v>
      </c>
      <c r="AK6248">
        <v>118.482684955084</v>
      </c>
      <c r="AL6248">
        <v>88.056384059401793</v>
      </c>
      <c r="AM6248">
        <v>93.363721643442403</v>
      </c>
      <c r="AN6248">
        <v>0.99999994221850397</v>
      </c>
    </row>
    <row r="6249" spans="1:40" x14ac:dyDescent="0.25">
      <c r="A6249" t="str">
        <f>"20190312160457587"</f>
        <v>20190312160457587</v>
      </c>
      <c r="B6249" t="str">
        <f>"1552377897581091"</f>
        <v>1552377897581091</v>
      </c>
      <c r="C6249" t="s">
        <v>40</v>
      </c>
      <c r="D6249">
        <v>5.9851159999999997</v>
      </c>
      <c r="E6249">
        <v>0.49145100000000003</v>
      </c>
      <c r="F6249" t="s">
        <v>108</v>
      </c>
      <c r="G6249">
        <v>-275.77080000000001</v>
      </c>
      <c r="H6249">
        <v>2.3342130000000001</v>
      </c>
      <c r="I6249">
        <v>24.139749999999999</v>
      </c>
      <c r="J6249">
        <v>-389.8014</v>
      </c>
      <c r="K6249">
        <v>1.1102510000000001</v>
      </c>
      <c r="L6249">
        <v>16.956420000000001</v>
      </c>
      <c r="M6249">
        <v>0.99909389999999998</v>
      </c>
      <c r="N6249">
        <v>0</v>
      </c>
      <c r="O6249">
        <v>-4.0325470000000002E-2</v>
      </c>
      <c r="P6249">
        <v>0.99962759999999995</v>
      </c>
      <c r="Q6249">
        <v>2.028158E-2</v>
      </c>
      <c r="R6249">
        <v>1.826092E-2</v>
      </c>
      <c r="S6249">
        <v>2.9970089999999998</v>
      </c>
      <c r="T6249">
        <v>3.2136320000000003E-2</v>
      </c>
      <c r="U6249">
        <v>0.18847659999999999</v>
      </c>
      <c r="V6249">
        <v>-5.855643E-2</v>
      </c>
      <c r="W6249">
        <v>3.387358E-2</v>
      </c>
      <c r="X6249">
        <v>0.99770919999999996</v>
      </c>
      <c r="Y6249">
        <v>-0.10295459999999999</v>
      </c>
      <c r="Z6249">
        <v>-9.8347210000000003E-4</v>
      </c>
      <c r="AA6249">
        <v>0.99468559999999995</v>
      </c>
      <c r="AB6249">
        <v>22</v>
      </c>
      <c r="AC6249">
        <v>114.03060000000001</v>
      </c>
      <c r="AD6249">
        <v>1.223962</v>
      </c>
      <c r="AE6249">
        <v>7.18332999999999</v>
      </c>
      <c r="AF6249">
        <v>-11.774898231178</v>
      </c>
      <c r="AG6249">
        <v>1.223962</v>
      </c>
      <c r="AH6249">
        <v>113.635091796503</v>
      </c>
      <c r="AI6249">
        <v>89.386178115679897</v>
      </c>
      <c r="AJ6249">
        <v>95.915890807706006</v>
      </c>
      <c r="AK6249">
        <v>114.25007833227799</v>
      </c>
      <c r="AL6249">
        <v>88.058815407700394</v>
      </c>
      <c r="AM6249">
        <v>93.358886507548206</v>
      </c>
      <c r="AN6249">
        <v>0.99999996134049896</v>
      </c>
    </row>
    <row r="6250" spans="1:40" x14ac:dyDescent="0.25">
      <c r="A6250" t="str">
        <f>"20190312160457599"</f>
        <v>20190312160457599</v>
      </c>
      <c r="B6250" t="str">
        <f>"1552377897591828"</f>
        <v>1552377897591828</v>
      </c>
      <c r="C6250" t="s">
        <v>40</v>
      </c>
      <c r="D6250">
        <v>6.0076390000000002</v>
      </c>
      <c r="E6250">
        <v>0.49534329999999999</v>
      </c>
      <c r="F6250" t="s">
        <v>107</v>
      </c>
      <c r="G6250">
        <v>-277.1352</v>
      </c>
      <c r="H6250">
        <v>3.6541070000000002</v>
      </c>
      <c r="I6250">
        <v>21.57911</v>
      </c>
      <c r="J6250">
        <v>-389.68400000000003</v>
      </c>
      <c r="K6250">
        <v>1.1102749999999999</v>
      </c>
      <c r="L6250">
        <v>16.951599999999999</v>
      </c>
      <c r="M6250">
        <v>0.99909289999999995</v>
      </c>
      <c r="N6250">
        <v>0</v>
      </c>
      <c r="O6250">
        <v>-4.0350320000000002E-2</v>
      </c>
      <c r="P6250">
        <v>0.99963089999999999</v>
      </c>
      <c r="Q6250">
        <v>2.0342059999999999E-2</v>
      </c>
      <c r="R6250">
        <v>1.8004260000000001E-2</v>
      </c>
      <c r="S6250">
        <v>2.9974669999999999</v>
      </c>
      <c r="T6250">
        <v>6.7679050000000004E-2</v>
      </c>
      <c r="U6250">
        <v>0.12298580000000001</v>
      </c>
      <c r="V6250">
        <v>-5.8327009999999999E-2</v>
      </c>
      <c r="W6250">
        <v>3.3927909999999999E-2</v>
      </c>
      <c r="X6250">
        <v>0.99772079999999996</v>
      </c>
      <c r="Y6250">
        <v>-8.1251229999999994E-2</v>
      </c>
      <c r="Z6250">
        <v>-1.8274210000000001E-3</v>
      </c>
      <c r="AA6250">
        <v>0.99669200000000002</v>
      </c>
      <c r="AB6250">
        <v>22</v>
      </c>
      <c r="AC6250">
        <v>112.5488</v>
      </c>
      <c r="AD6250">
        <v>2.5438320000000001</v>
      </c>
      <c r="AE6250">
        <v>4.62751</v>
      </c>
      <c r="AF6250">
        <v>-9.1608694311745609</v>
      </c>
      <c r="AG6250">
        <v>2.5438320000000001</v>
      </c>
      <c r="AH6250">
        <v>112.21315623778899</v>
      </c>
      <c r="AI6250">
        <v>88.705652301445497</v>
      </c>
      <c r="AJ6250">
        <v>94.667168676468904</v>
      </c>
      <c r="AK6250">
        <v>112.615207866548</v>
      </c>
      <c r="AL6250">
        <v>88.055700752405599</v>
      </c>
      <c r="AM6250">
        <v>93.3457177681383</v>
      </c>
      <c r="AN6250">
        <v>0.99999996896257304</v>
      </c>
    </row>
    <row r="6251" spans="1:40" x14ac:dyDescent="0.25">
      <c r="A6251" t="str">
        <f>"20190312160457611"</f>
        <v>20190312160457611</v>
      </c>
      <c r="B6251" t="str">
        <f>"1552377897601587"</f>
        <v>1552377897601587</v>
      </c>
      <c r="C6251" t="s">
        <v>40</v>
      </c>
      <c r="D6251">
        <v>5.925433</v>
      </c>
      <c r="E6251">
        <v>0.49890040000000002</v>
      </c>
      <c r="F6251" t="s">
        <v>106</v>
      </c>
      <c r="G6251">
        <v>-275.87189999999998</v>
      </c>
      <c r="H6251">
        <v>4.0225669999999996</v>
      </c>
      <c r="I6251">
        <v>20.414570000000001</v>
      </c>
      <c r="J6251">
        <v>-389.57670000000002</v>
      </c>
      <c r="K6251">
        <v>1.1102970000000001</v>
      </c>
      <c r="L6251">
        <v>16.947240000000001</v>
      </c>
      <c r="M6251">
        <v>0.99909250000000005</v>
      </c>
      <c r="N6251">
        <v>0</v>
      </c>
      <c r="O6251">
        <v>-4.036439E-2</v>
      </c>
      <c r="P6251">
        <v>0.99963420000000003</v>
      </c>
      <c r="Q6251">
        <v>2.0475219999999999E-2</v>
      </c>
      <c r="R6251">
        <v>1.767533E-2</v>
      </c>
      <c r="S6251">
        <v>2.9978940000000001</v>
      </c>
      <c r="T6251">
        <v>7.6712009999999997E-2</v>
      </c>
      <c r="U6251">
        <v>9.1217039999999999E-2</v>
      </c>
      <c r="V6251">
        <v>-5.8014179999999999E-2</v>
      </c>
      <c r="W6251">
        <v>3.4056580000000003E-2</v>
      </c>
      <c r="X6251">
        <v>0.99773469999999997</v>
      </c>
      <c r="Y6251">
        <v>-7.0701299999999995E-2</v>
      </c>
      <c r="Z6251">
        <v>-1.936723E-3</v>
      </c>
      <c r="AA6251">
        <v>0.99749569999999999</v>
      </c>
      <c r="AB6251">
        <v>22</v>
      </c>
      <c r="AC6251">
        <v>113.70480000000001</v>
      </c>
      <c r="AD6251">
        <v>2.9122699999999901</v>
      </c>
      <c r="AE6251">
        <v>3.46733</v>
      </c>
      <c r="AF6251">
        <v>-8.0492774948186003</v>
      </c>
      <c r="AG6251">
        <v>2.9122699999999901</v>
      </c>
      <c r="AH6251">
        <v>113.397826611928</v>
      </c>
      <c r="AI6251">
        <v>88.532550361345997</v>
      </c>
      <c r="AJ6251">
        <v>94.060195879489598</v>
      </c>
      <c r="AK6251">
        <v>113.720443478956</v>
      </c>
      <c r="AL6251">
        <v>88.048324328566395</v>
      </c>
      <c r="AM6251">
        <v>93.327767587530701</v>
      </c>
      <c r="AN6251">
        <v>1.0000000136532201</v>
      </c>
    </row>
    <row r="6252" spans="1:40" x14ac:dyDescent="0.25">
      <c r="A6252" t="str">
        <f>"20190312160457623"</f>
        <v>20190312160457623</v>
      </c>
      <c r="B6252" t="str">
        <f>"1552377897611364"</f>
        <v>1552377897611364</v>
      </c>
      <c r="C6252" t="s">
        <v>40</v>
      </c>
      <c r="D6252">
        <v>6.1317529999999998</v>
      </c>
      <c r="E6252">
        <v>0.50039869999999997</v>
      </c>
      <c r="F6252" t="s">
        <v>106</v>
      </c>
      <c r="G6252">
        <v>-277.52629999999999</v>
      </c>
      <c r="H6252">
        <v>4.6341020000000004</v>
      </c>
      <c r="I6252">
        <v>19.262589999999999</v>
      </c>
      <c r="J6252">
        <v>-389.4631</v>
      </c>
      <c r="K6252">
        <v>1.1103149999999999</v>
      </c>
      <c r="L6252">
        <v>16.942629999999902</v>
      </c>
      <c r="M6252">
        <v>0.99909250000000005</v>
      </c>
      <c r="N6252">
        <v>0</v>
      </c>
      <c r="O6252">
        <v>-4.0363459999999997E-2</v>
      </c>
      <c r="P6252">
        <v>0.99963650000000004</v>
      </c>
      <c r="Q6252">
        <v>2.0437790000000001E-2</v>
      </c>
      <c r="R6252">
        <v>1.759558E-2</v>
      </c>
      <c r="S6252">
        <v>2.9980769999999999</v>
      </c>
      <c r="T6252">
        <v>9.4284419999999994E-2</v>
      </c>
      <c r="U6252">
        <v>6.1950680000000001E-2</v>
      </c>
      <c r="V6252">
        <v>-5.793529E-2</v>
      </c>
      <c r="W6252">
        <v>3.401274E-2</v>
      </c>
      <c r="X6252">
        <v>0.99774070000000004</v>
      </c>
      <c r="Y6252">
        <v>-6.0950730000000002E-2</v>
      </c>
      <c r="Z6252">
        <v>-2.2269630000000002E-3</v>
      </c>
      <c r="AA6252">
        <v>0.99813830000000003</v>
      </c>
      <c r="AB6252">
        <v>21</v>
      </c>
      <c r="AC6252">
        <v>111.93680000000001</v>
      </c>
      <c r="AD6252">
        <v>3.523787</v>
      </c>
      <c r="AE6252">
        <v>2.31996</v>
      </c>
      <c r="AF6252">
        <v>-6.8298779925182496</v>
      </c>
      <c r="AG6252">
        <v>3.523787</v>
      </c>
      <c r="AH6252">
        <v>111.64132244394</v>
      </c>
      <c r="AI6252">
        <v>88.195518211275001</v>
      </c>
      <c r="AJ6252">
        <v>93.500819201968</v>
      </c>
      <c r="AK6252">
        <v>111.905536883775</v>
      </c>
      <c r="AL6252">
        <v>88.050837476990907</v>
      </c>
      <c r="AM6252">
        <v>93.323232565558001</v>
      </c>
      <c r="AN6252">
        <v>0.99999993437308798</v>
      </c>
    </row>
    <row r="6253" spans="1:40" x14ac:dyDescent="0.25">
      <c r="A6253" t="str">
        <f>"20190312160457634"</f>
        <v>20190312160457634</v>
      </c>
      <c r="B6253" t="str">
        <f>"1552377897631843"</f>
        <v>1552377897631843</v>
      </c>
      <c r="C6253" t="s">
        <v>40</v>
      </c>
      <c r="D6253">
        <v>6.1187040000000001</v>
      </c>
      <c r="E6253">
        <v>0.50192999999999999</v>
      </c>
      <c r="F6253" t="s">
        <v>106</v>
      </c>
      <c r="G6253">
        <v>-276.59960000000001</v>
      </c>
      <c r="H6253">
        <v>4.8475669999999997</v>
      </c>
      <c r="I6253">
        <v>18.81636</v>
      </c>
      <c r="J6253">
        <v>-389.35300000000001</v>
      </c>
      <c r="K6253">
        <v>1.1103259999999999</v>
      </c>
      <c r="L6253">
        <v>16.93817</v>
      </c>
      <c r="M6253">
        <v>0.99909300000000001</v>
      </c>
      <c r="N6253">
        <v>0</v>
      </c>
      <c r="O6253">
        <v>-4.0352590000000001E-2</v>
      </c>
      <c r="P6253">
        <v>0.99963559999999996</v>
      </c>
      <c r="Q6253">
        <v>2.0531379999999998E-2</v>
      </c>
      <c r="R6253">
        <v>1.7532639999999999E-2</v>
      </c>
      <c r="S6253">
        <v>2.998138</v>
      </c>
      <c r="T6253">
        <v>9.9277500000000005E-2</v>
      </c>
      <c r="U6253">
        <v>4.977417E-2</v>
      </c>
      <c r="V6253">
        <v>-5.7862329999999997E-2</v>
      </c>
      <c r="W6253">
        <v>3.4098990000000003E-2</v>
      </c>
      <c r="X6253">
        <v>0.99774209999999997</v>
      </c>
      <c r="Y6253">
        <v>-5.6883360000000001E-2</v>
      </c>
      <c r="Z6253">
        <v>-2.2771699999999998E-3</v>
      </c>
      <c r="AA6253">
        <v>0.99837819999999999</v>
      </c>
      <c r="AB6253">
        <v>21</v>
      </c>
      <c r="AC6253">
        <v>112.7534</v>
      </c>
      <c r="AD6253">
        <v>3.737241</v>
      </c>
      <c r="AE6253">
        <v>1.87819</v>
      </c>
      <c r="AF6253">
        <v>-6.4199212070248102</v>
      </c>
      <c r="AG6253">
        <v>3.737241</v>
      </c>
      <c r="AH6253">
        <v>112.462231139932</v>
      </c>
      <c r="AI6253">
        <v>88.099791297385295</v>
      </c>
      <c r="AJ6253">
        <v>93.267191217729803</v>
      </c>
      <c r="AK6253">
        <v>112.70730141196699</v>
      </c>
      <c r="AL6253">
        <v>88.045893062214105</v>
      </c>
      <c r="AM6253">
        <v>93.319052214329602</v>
      </c>
      <c r="AN6253">
        <v>1.0000000442322201</v>
      </c>
    </row>
    <row r="6254" spans="1:40" x14ac:dyDescent="0.25">
      <c r="A6254" t="str">
        <f>"20190312160457652"</f>
        <v>20190312160457652</v>
      </c>
      <c r="B6254" t="str">
        <f>"1552377897641604"</f>
        <v>1552377897641604</v>
      </c>
      <c r="C6254" t="s">
        <v>40</v>
      </c>
      <c r="D6254">
        <v>6.1633149999999999</v>
      </c>
      <c r="E6254">
        <v>0.50318209999999997</v>
      </c>
      <c r="F6254" t="s">
        <v>106</v>
      </c>
      <c r="G6254">
        <v>-276.41759999999999</v>
      </c>
      <c r="H6254">
        <v>5.1426939999999997</v>
      </c>
      <c r="I6254">
        <v>18.34863</v>
      </c>
      <c r="J6254">
        <v>-389.18700000000001</v>
      </c>
      <c r="K6254">
        <v>1.11032999999999</v>
      </c>
      <c r="L6254">
        <v>16.931460000000001</v>
      </c>
      <c r="M6254">
        <v>0.99909429999999999</v>
      </c>
      <c r="N6254">
        <v>0</v>
      </c>
      <c r="O6254">
        <v>-4.0323909999999998E-2</v>
      </c>
      <c r="P6254">
        <v>0.99962620000000002</v>
      </c>
      <c r="Q6254">
        <v>2.075397E-2</v>
      </c>
      <c r="R6254">
        <v>1.779652E-2</v>
      </c>
      <c r="S6254">
        <v>2.99823</v>
      </c>
      <c r="T6254">
        <v>0.10705199999999999</v>
      </c>
      <c r="U6254">
        <v>3.7445069999999997E-2</v>
      </c>
      <c r="V6254">
        <v>-5.8098839999999999E-2</v>
      </c>
      <c r="W6254">
        <v>3.4309159999999998E-2</v>
      </c>
      <c r="X6254">
        <v>0.99772110000000003</v>
      </c>
      <c r="Y6254">
        <v>-5.2743119999999998E-2</v>
      </c>
      <c r="Z6254">
        <v>-2.3804450000000001E-3</v>
      </c>
      <c r="AA6254">
        <v>0.99860530000000003</v>
      </c>
      <c r="AB6254">
        <v>21</v>
      </c>
      <c r="AC6254">
        <v>112.769399999999</v>
      </c>
      <c r="AD6254">
        <v>4.0323640000000003</v>
      </c>
      <c r="AE6254">
        <v>1.41716999999999</v>
      </c>
      <c r="AF6254">
        <v>-5.9561256321340403</v>
      </c>
      <c r="AG6254">
        <v>4.0323640000000003</v>
      </c>
      <c r="AH6254">
        <v>112.47672136963401</v>
      </c>
      <c r="AI6254">
        <v>87.949658456582</v>
      </c>
      <c r="AJ6254">
        <v>93.031226456163793</v>
      </c>
      <c r="AK6254">
        <v>112.706469388569</v>
      </c>
      <c r="AL6254">
        <v>88.033844058829999</v>
      </c>
      <c r="AM6254">
        <v>93.3326581805362</v>
      </c>
      <c r="AN6254">
        <v>0.99999999352723001</v>
      </c>
    </row>
    <row r="6255" spans="1:40" x14ac:dyDescent="0.25">
      <c r="A6255" t="str">
        <f>"20190312160457665"</f>
        <v>20190312160457665</v>
      </c>
      <c r="B6255" t="str">
        <f>"1552377897661123"</f>
        <v>1552377897661123</v>
      </c>
      <c r="C6255" t="s">
        <v>40</v>
      </c>
      <c r="D6255">
        <v>6.3102140000000002</v>
      </c>
      <c r="E6255">
        <v>0.50505549999999999</v>
      </c>
      <c r="F6255" t="s">
        <v>106</v>
      </c>
      <c r="G6255">
        <v>-276.34339999999997</v>
      </c>
      <c r="H6255">
        <v>5.2997480000000001</v>
      </c>
      <c r="I6255">
        <v>17.99729</v>
      </c>
      <c r="J6255">
        <v>-389.06389999999999</v>
      </c>
      <c r="K6255">
        <v>1.1103350000000001</v>
      </c>
      <c r="L6255">
        <v>16.92651</v>
      </c>
      <c r="M6255">
        <v>0.99909570000000003</v>
      </c>
      <c r="N6255">
        <v>0</v>
      </c>
      <c r="O6255">
        <v>-4.0295869999999998E-2</v>
      </c>
      <c r="P6255">
        <v>0.99963069999999998</v>
      </c>
      <c r="Q6255">
        <v>2.0653879999999999E-2</v>
      </c>
      <c r="R6255">
        <v>1.7670749999999999E-2</v>
      </c>
      <c r="S6255">
        <v>2.9983520000000001</v>
      </c>
      <c r="T6255">
        <v>0.1113166</v>
      </c>
      <c r="U6255">
        <v>2.8320310000000001E-2</v>
      </c>
      <c r="V6255">
        <v>-5.7945389999999999E-2</v>
      </c>
      <c r="W6255">
        <v>3.4199069999999998E-2</v>
      </c>
      <c r="X6255">
        <v>0.9977338</v>
      </c>
      <c r="Y6255">
        <v>-4.9673009999999997E-2</v>
      </c>
      <c r="Z6255">
        <v>-2.4171169999999999E-3</v>
      </c>
      <c r="AA6255">
        <v>0.99876259999999994</v>
      </c>
      <c r="AB6255">
        <v>21</v>
      </c>
      <c r="AC6255">
        <v>112.7205</v>
      </c>
      <c r="AD6255">
        <v>4.1894130000000001</v>
      </c>
      <c r="AE6255">
        <v>1.0707799999999901</v>
      </c>
      <c r="AF6255">
        <v>-5.6047573759660896</v>
      </c>
      <c r="AG6255">
        <v>4.1894130000000001</v>
      </c>
      <c r="AH6255">
        <v>112.430487922176</v>
      </c>
      <c r="AI6255">
        <v>87.868661823965894</v>
      </c>
      <c r="AJ6255">
        <v>92.853881818287306</v>
      </c>
      <c r="AK6255">
        <v>112.6480319444</v>
      </c>
      <c r="AL6255">
        <v>88.040155448400796</v>
      </c>
      <c r="AM6255">
        <v>93.323833548813198</v>
      </c>
      <c r="AN6255">
        <v>0.99999999013677798</v>
      </c>
    </row>
    <row r="6256" spans="1:40" x14ac:dyDescent="0.25">
      <c r="A6256" t="str">
        <f>"20190312160457678"</f>
        <v>20190312160457678</v>
      </c>
      <c r="B6256" t="str">
        <f>"1552377897671859"</f>
        <v>1552377897671859</v>
      </c>
      <c r="C6256" t="s">
        <v>40</v>
      </c>
      <c r="D6256">
        <v>6.1834170000000004</v>
      </c>
      <c r="E6256">
        <v>0.50660490000000002</v>
      </c>
      <c r="F6256" t="s">
        <v>87</v>
      </c>
      <c r="G6256">
        <v>-274.15660000000003</v>
      </c>
      <c r="H6256">
        <v>5.6926909999999999</v>
      </c>
      <c r="I6256">
        <v>17.427060000000001</v>
      </c>
      <c r="J6256">
        <v>-388.9375</v>
      </c>
      <c r="K6256">
        <v>1.1103379999999901</v>
      </c>
      <c r="L6256">
        <v>16.92145</v>
      </c>
      <c r="M6256">
        <v>0.99909700000000001</v>
      </c>
      <c r="N6256">
        <v>0</v>
      </c>
      <c r="O6256">
        <v>-4.0264559999999998E-2</v>
      </c>
      <c r="P6256">
        <v>0.99963310000000005</v>
      </c>
      <c r="Q6256">
        <v>2.0574769999999999E-2</v>
      </c>
      <c r="R6256">
        <v>1.7622720000000001E-2</v>
      </c>
      <c r="S6256">
        <v>2.9984440000000001</v>
      </c>
      <c r="T6256">
        <v>0.11957420000000001</v>
      </c>
      <c r="U6256">
        <v>1.306152E-2</v>
      </c>
      <c r="V6256">
        <v>-5.786612E-2</v>
      </c>
      <c r="W6256">
        <v>3.4109960000000002E-2</v>
      </c>
      <c r="X6256">
        <v>0.99774149999999995</v>
      </c>
      <c r="Y6256">
        <v>-4.4553000000000002E-2</v>
      </c>
      <c r="Z6256">
        <v>-2.4929140000000002E-3</v>
      </c>
      <c r="AA6256">
        <v>0.99900389999999994</v>
      </c>
      <c r="AB6256">
        <v>21</v>
      </c>
      <c r="AC6256">
        <v>114.78089999999899</v>
      </c>
      <c r="AD6256">
        <v>4.5823529999999897</v>
      </c>
      <c r="AE6256">
        <v>0.50561</v>
      </c>
      <c r="AF6256">
        <v>-5.11906877815745</v>
      </c>
      <c r="AG6256">
        <v>4.5823529999999897</v>
      </c>
      <c r="AH6256">
        <v>114.484977393482</v>
      </c>
      <c r="AI6256">
        <v>87.710199447141804</v>
      </c>
      <c r="AJ6256">
        <v>92.560211899674002</v>
      </c>
      <c r="AK6256">
        <v>114.690945034724</v>
      </c>
      <c r="AL6256">
        <v>88.045264151497193</v>
      </c>
      <c r="AM6256">
        <v>93.319271118781998</v>
      </c>
      <c r="AN6256">
        <v>1.0000000390186501</v>
      </c>
    </row>
    <row r="6257" spans="1:40" x14ac:dyDescent="0.25">
      <c r="A6257" t="str">
        <f>"20190312160457692"</f>
        <v>20190312160457692</v>
      </c>
      <c r="B6257" t="str">
        <f>"1552377897681620"</f>
        <v>1552377897681620</v>
      </c>
      <c r="C6257" t="s">
        <v>40</v>
      </c>
      <c r="D6257">
        <v>5.9047460000000003</v>
      </c>
      <c r="E6257">
        <v>0.50754140000000003</v>
      </c>
      <c r="F6257" t="s">
        <v>105</v>
      </c>
      <c r="G6257">
        <v>-277.20569999999998</v>
      </c>
      <c r="H6257">
        <v>5.2158499999999997</v>
      </c>
      <c r="I6257">
        <v>16.939579999999999</v>
      </c>
      <c r="J6257">
        <v>-388.80579999999998</v>
      </c>
      <c r="K6257">
        <v>1.110336</v>
      </c>
      <c r="L6257">
        <v>16.916170000000001</v>
      </c>
      <c r="M6257">
        <v>0.99909840000000005</v>
      </c>
      <c r="N6257">
        <v>0</v>
      </c>
      <c r="O6257">
        <v>-4.0231500000000003E-2</v>
      </c>
      <c r="P6257">
        <v>0.99964310000000001</v>
      </c>
      <c r="Q6257">
        <v>2.0214139999999998E-2</v>
      </c>
      <c r="R6257">
        <v>1.7468170000000002E-2</v>
      </c>
      <c r="S6257">
        <v>2.99884</v>
      </c>
      <c r="T6257">
        <v>0.11019039999999999</v>
      </c>
      <c r="U6257">
        <v>4.8828130000000002E-4</v>
      </c>
      <c r="V6257">
        <v>-5.767891E-2</v>
      </c>
      <c r="W6257">
        <v>3.3740140000000002E-2</v>
      </c>
      <c r="X6257">
        <v>0.99776489999999995</v>
      </c>
      <c r="Y6257">
        <v>-4.0343530000000002E-2</v>
      </c>
      <c r="Z6257">
        <v>-2.2185669999999998E-3</v>
      </c>
      <c r="AA6257">
        <v>0.99918340000000005</v>
      </c>
      <c r="AB6257">
        <v>21</v>
      </c>
      <c r="AC6257">
        <v>111.6001</v>
      </c>
      <c r="AD6257">
        <v>4.1055139999999897</v>
      </c>
      <c r="AE6257">
        <v>2.34099999999983E-2</v>
      </c>
      <c r="AF6257">
        <v>-4.5075429463864802</v>
      </c>
      <c r="AG6257">
        <v>4.1055139999999897</v>
      </c>
      <c r="AH6257">
        <v>111.35808342195899</v>
      </c>
      <c r="AI6257">
        <v>87.890319954522695</v>
      </c>
      <c r="AJ6257">
        <v>92.317948243536094</v>
      </c>
      <c r="AK6257">
        <v>111.524866877436</v>
      </c>
      <c r="AL6257">
        <v>88.066465452165403</v>
      </c>
      <c r="AM6257">
        <v>93.308478998514005</v>
      </c>
      <c r="AN6257">
        <v>1.000000024689</v>
      </c>
    </row>
    <row r="6258" spans="1:40" x14ac:dyDescent="0.25">
      <c r="A6258" t="str">
        <f>"20190312160457710"</f>
        <v>20190312160457710</v>
      </c>
      <c r="B6258" t="str">
        <f>"1552377897701140"</f>
        <v>1552377897701140</v>
      </c>
      <c r="C6258" t="s">
        <v>40</v>
      </c>
      <c r="D6258">
        <v>6.1094410000000003</v>
      </c>
      <c r="E6258">
        <v>0.50839609999999902</v>
      </c>
      <c r="F6258" t="s">
        <v>105</v>
      </c>
      <c r="G6258">
        <v>-277.00880000000001</v>
      </c>
      <c r="H6258">
        <v>5.1358610000000002</v>
      </c>
      <c r="I6258">
        <v>16.63852</v>
      </c>
      <c r="J6258">
        <v>-388.63170000000002</v>
      </c>
      <c r="K6258">
        <v>1.110328</v>
      </c>
      <c r="L6258">
        <v>16.909179999999999</v>
      </c>
      <c r="M6258">
        <v>0.99910019999999999</v>
      </c>
      <c r="N6258">
        <v>0</v>
      </c>
      <c r="O6258">
        <v>-4.0188479999999999E-2</v>
      </c>
      <c r="P6258">
        <v>0.99965289999999996</v>
      </c>
      <c r="Q6258">
        <v>1.9786519999999998E-2</v>
      </c>
      <c r="R6258">
        <v>1.740017E-2</v>
      </c>
      <c r="S6258">
        <v>2.9990230000000002</v>
      </c>
      <c r="T6258">
        <v>0.107987</v>
      </c>
      <c r="U6258">
        <v>-7.446289E-3</v>
      </c>
      <c r="V6258">
        <v>-5.756795E-2</v>
      </c>
      <c r="W6258">
        <v>3.3301699999999997E-2</v>
      </c>
      <c r="X6258">
        <v>0.99778599999999995</v>
      </c>
      <c r="Y6258">
        <v>-3.766071E-2</v>
      </c>
      <c r="Z6258">
        <v>-2.1242460000000002E-3</v>
      </c>
      <c r="AA6258">
        <v>0.99928830000000002</v>
      </c>
      <c r="AB6258">
        <v>21</v>
      </c>
      <c r="AC6258">
        <v>111.6229</v>
      </c>
      <c r="AD6258">
        <v>4.0255330000000002</v>
      </c>
      <c r="AE6258">
        <v>-0.27065999999999901</v>
      </c>
      <c r="AF6258">
        <v>-4.21044939165178</v>
      </c>
      <c r="AG6258">
        <v>4.0255330000000002</v>
      </c>
      <c r="AH6258">
        <v>111.398700455983</v>
      </c>
      <c r="AI6258">
        <v>87.931920393919498</v>
      </c>
      <c r="AJ6258">
        <v>92.164533357366906</v>
      </c>
      <c r="AK6258">
        <v>111.550899876673</v>
      </c>
      <c r="AL6258">
        <v>88.091600266658105</v>
      </c>
      <c r="AM6258">
        <v>93.302058723757</v>
      </c>
      <c r="AN6258">
        <v>0.99999998694304604</v>
      </c>
    </row>
    <row r="6259" spans="1:40" x14ac:dyDescent="0.25">
      <c r="A6259" t="str">
        <f>"20190312160457722"</f>
        <v>20190312160457722</v>
      </c>
      <c r="B6259" t="str">
        <f>"1552377897711875"</f>
        <v>1552377897711875</v>
      </c>
      <c r="C6259" t="s">
        <v>40</v>
      </c>
      <c r="D6259">
        <v>5.8772570000000002</v>
      </c>
      <c r="E6259">
        <v>0.50887970000000005</v>
      </c>
      <c r="F6259" t="s">
        <v>105</v>
      </c>
      <c r="G6259">
        <v>-276.846</v>
      </c>
      <c r="H6259">
        <v>5.3829969999999996</v>
      </c>
      <c r="I6259">
        <v>16.373339999999999</v>
      </c>
      <c r="J6259">
        <v>-388.50720000000001</v>
      </c>
      <c r="K6259">
        <v>1.1103240000000001</v>
      </c>
      <c r="L6259">
        <v>16.904209999999999</v>
      </c>
      <c r="M6259">
        <v>0.99910160000000003</v>
      </c>
      <c r="N6259">
        <v>0</v>
      </c>
      <c r="O6259">
        <v>-4.0160370000000001E-2</v>
      </c>
      <c r="P6259">
        <v>0.99964790000000003</v>
      </c>
      <c r="Q6259">
        <v>1.9875819999999999E-2</v>
      </c>
      <c r="R6259">
        <v>1.7582440000000001E-2</v>
      </c>
      <c r="S6259">
        <v>2.998993</v>
      </c>
      <c r="T6259">
        <v>0.1146274</v>
      </c>
      <c r="U6259">
        <v>-1.4373779999999999E-2</v>
      </c>
      <c r="V6259">
        <v>-5.7721469999999997E-2</v>
      </c>
      <c r="W6259">
        <v>3.338414E-2</v>
      </c>
      <c r="X6259">
        <v>0.99777439999999995</v>
      </c>
      <c r="Y6259">
        <v>-3.5319540000000003E-2</v>
      </c>
      <c r="Z6259">
        <v>-2.2089729999999999E-3</v>
      </c>
      <c r="AA6259">
        <v>0.99937359999999997</v>
      </c>
      <c r="AB6259">
        <v>21</v>
      </c>
      <c r="AC6259">
        <v>111.66119999999999</v>
      </c>
      <c r="AD6259">
        <v>4.2726730000000002</v>
      </c>
      <c r="AE6259">
        <v>-0.53086999999999995</v>
      </c>
      <c r="AF6259">
        <v>-3.9485428991313798</v>
      </c>
      <c r="AG6259">
        <v>4.2726730000000002</v>
      </c>
      <c r="AH6259">
        <v>111.42927343954599</v>
      </c>
      <c r="AI6259">
        <v>87.805487530739796</v>
      </c>
      <c r="AJ6259">
        <v>92.029450750484301</v>
      </c>
      <c r="AK6259">
        <v>111.581045455115</v>
      </c>
      <c r="AL6259">
        <v>88.086874220914694</v>
      </c>
      <c r="AM6259">
        <v>93.310883369694096</v>
      </c>
      <c r="AN6259">
        <v>1.00000001109893</v>
      </c>
    </row>
    <row r="6260" spans="1:40" x14ac:dyDescent="0.25">
      <c r="A6260" t="str">
        <f>"20190312160457742"</f>
        <v>20190312160457742</v>
      </c>
      <c r="B6260" t="str">
        <f>"1552377897731396"</f>
        <v>1552377897731396</v>
      </c>
      <c r="C6260" t="s">
        <v>40</v>
      </c>
      <c r="D6260">
        <v>6.2089910000000001</v>
      </c>
      <c r="E6260">
        <v>0.50932820000000001</v>
      </c>
      <c r="F6260" t="s">
        <v>105</v>
      </c>
      <c r="G6260">
        <v>-276.8177</v>
      </c>
      <c r="H6260">
        <v>5.497617</v>
      </c>
      <c r="I6260">
        <v>16.248349999999999</v>
      </c>
      <c r="J6260">
        <v>-388.33179999999999</v>
      </c>
      <c r="K6260">
        <v>1.11032</v>
      </c>
      <c r="L6260">
        <v>16.897189999999998</v>
      </c>
      <c r="M6260">
        <v>0.99910310000000002</v>
      </c>
      <c r="N6260">
        <v>0</v>
      </c>
      <c r="O6260">
        <v>-4.0124269999999997E-2</v>
      </c>
      <c r="P6260">
        <v>0.99961390000000006</v>
      </c>
      <c r="Q6260">
        <v>2.0659859999999999E-2</v>
      </c>
      <c r="R6260">
        <v>1.8582959999999999E-2</v>
      </c>
      <c r="S6260">
        <v>2.998993</v>
      </c>
      <c r="T6260">
        <v>0.1178038</v>
      </c>
      <c r="U6260">
        <v>-1.7608639999999998E-2</v>
      </c>
      <c r="V6260">
        <v>-5.8683350000000002E-2</v>
      </c>
      <c r="W6260">
        <v>3.4157140000000002E-2</v>
      </c>
      <c r="X6260">
        <v>0.99769209999999997</v>
      </c>
      <c r="Y6260">
        <v>-3.4203249999999998E-2</v>
      </c>
      <c r="Z6260">
        <v>-2.2467920000000001E-3</v>
      </c>
      <c r="AA6260">
        <v>0.99941239999999998</v>
      </c>
      <c r="AB6260">
        <v>21</v>
      </c>
      <c r="AC6260">
        <v>111.514099999999</v>
      </c>
      <c r="AD6260">
        <v>4.3872970000000002</v>
      </c>
      <c r="AE6260">
        <v>-0.64883999999999897</v>
      </c>
      <c r="AF6260">
        <v>-3.8206004247253902</v>
      </c>
      <c r="AG6260">
        <v>4.3872970000000002</v>
      </c>
      <c r="AH6260">
        <v>111.27807937524</v>
      </c>
      <c r="AI6260">
        <v>87.743529765935406</v>
      </c>
      <c r="AJ6260">
        <v>91.966409970436203</v>
      </c>
      <c r="AK6260">
        <v>111.430051207086</v>
      </c>
      <c r="AL6260">
        <v>88.042559256948607</v>
      </c>
      <c r="AM6260">
        <v>93.366207671818898</v>
      </c>
      <c r="AN6260">
        <v>0.99999998609130603</v>
      </c>
    </row>
    <row r="6261" spans="1:40" x14ac:dyDescent="0.25">
      <c r="A6261" t="str">
        <f>"20190312160457752"</f>
        <v>20190312160457752</v>
      </c>
      <c r="B6261" t="str">
        <f>"1552377897741156"</f>
        <v>1552377897741156</v>
      </c>
      <c r="C6261" t="s">
        <v>40</v>
      </c>
      <c r="D6261">
        <v>6.0378550000000004</v>
      </c>
      <c r="E6261">
        <v>0.5094649</v>
      </c>
      <c r="F6261" t="s">
        <v>105</v>
      </c>
      <c r="G6261">
        <v>-276.85050000000001</v>
      </c>
      <c r="H6261">
        <v>5.8041519999999904</v>
      </c>
      <c r="I6261">
        <v>16.22551</v>
      </c>
      <c r="J6261">
        <v>-388.22879999999998</v>
      </c>
      <c r="K6261">
        <v>1.1103190000000001</v>
      </c>
      <c r="L6261">
        <v>16.893070000000002</v>
      </c>
      <c r="M6261">
        <v>0.99910399999999999</v>
      </c>
      <c r="N6261">
        <v>0</v>
      </c>
      <c r="O6261">
        <v>-4.0104109999999998E-2</v>
      </c>
      <c r="P6261">
        <v>0.99959869999999995</v>
      </c>
      <c r="Q6261">
        <v>2.0989399999999998E-2</v>
      </c>
      <c r="R6261">
        <v>1.9024030000000001E-2</v>
      </c>
      <c r="S6261">
        <v>2.9988709999999998</v>
      </c>
      <c r="T6261">
        <v>0.12626499999999999</v>
      </c>
      <c r="U6261">
        <v>-1.8066410000000001E-2</v>
      </c>
      <c r="V6261">
        <v>-5.9103250000000003E-2</v>
      </c>
      <c r="W6261">
        <v>3.4478809999999999E-2</v>
      </c>
      <c r="X6261">
        <v>0.99765630000000005</v>
      </c>
      <c r="Y6261">
        <v>-3.4021940000000001E-2</v>
      </c>
      <c r="Z6261">
        <v>-2.403461E-3</v>
      </c>
      <c r="AA6261">
        <v>0.99941820000000003</v>
      </c>
      <c r="AB6261">
        <v>21</v>
      </c>
      <c r="AC6261">
        <v>111.378299999999</v>
      </c>
      <c r="AD6261">
        <v>4.6938329999999997</v>
      </c>
      <c r="AE6261">
        <v>-0.66756000000000104</v>
      </c>
      <c r="AF6261">
        <v>-3.7933762172329399</v>
      </c>
      <c r="AG6261">
        <v>4.6938329999999997</v>
      </c>
      <c r="AH6261">
        <v>111.11811110686</v>
      </c>
      <c r="AI6261">
        <v>87.582565692046501</v>
      </c>
      <c r="AJ6261">
        <v>91.955217486347195</v>
      </c>
      <c r="AK6261">
        <v>111.28187807237001</v>
      </c>
      <c r="AL6261">
        <v>88.024118162744699</v>
      </c>
      <c r="AM6261">
        <v>93.3903594605585</v>
      </c>
      <c r="AN6261">
        <v>1.0000000377146301</v>
      </c>
    </row>
    <row r="6262" spans="1:40" x14ac:dyDescent="0.25">
      <c r="A6262" t="str">
        <f>"20190312160457763"</f>
        <v>20190312160457763</v>
      </c>
      <c r="B6262" t="str">
        <f>"1552377897751892"</f>
        <v>1552377897751892</v>
      </c>
      <c r="C6262" t="s">
        <v>40</v>
      </c>
      <c r="D6262">
        <v>6.0298239999999996</v>
      </c>
      <c r="E6262">
        <v>0.50956440000000003</v>
      </c>
      <c r="F6262" t="s">
        <v>105</v>
      </c>
      <c r="G6262">
        <v>-276.85750000000002</v>
      </c>
      <c r="H6262">
        <v>5.9359109999999999</v>
      </c>
      <c r="I6262">
        <v>16.231100000000001</v>
      </c>
      <c r="J6262">
        <v>-388.1223</v>
      </c>
      <c r="K6262">
        <v>1.1103190000000001</v>
      </c>
      <c r="L6262">
        <v>16.888819999999999</v>
      </c>
      <c r="M6262">
        <v>0.99910489999999996</v>
      </c>
      <c r="N6262">
        <v>0</v>
      </c>
      <c r="O6262">
        <v>-4.0083439999999998E-2</v>
      </c>
      <c r="P6262">
        <v>0.99959109999999995</v>
      </c>
      <c r="Q6262">
        <v>2.1103690000000001E-2</v>
      </c>
      <c r="R6262">
        <v>1.929782E-2</v>
      </c>
      <c r="S6262">
        <v>2.9987490000000001</v>
      </c>
      <c r="T6262">
        <v>0.129932399999999</v>
      </c>
      <c r="U6262">
        <v>-1.7822270000000001E-2</v>
      </c>
      <c r="V6262">
        <v>-5.9355640000000001E-2</v>
      </c>
      <c r="W6262">
        <v>3.4583650000000001E-2</v>
      </c>
      <c r="X6262">
        <v>0.99763760000000001</v>
      </c>
      <c r="Y6262">
        <v>-3.4078480000000001E-2</v>
      </c>
      <c r="Z6262">
        <v>-2.4736369999999999E-3</v>
      </c>
      <c r="AA6262">
        <v>0.99941610000000003</v>
      </c>
      <c r="AB6262">
        <v>21</v>
      </c>
      <c r="AC6262">
        <v>111.264799999999</v>
      </c>
      <c r="AD6262">
        <v>4.8255919999999897</v>
      </c>
      <c r="AE6262">
        <v>-0.65772000000000097</v>
      </c>
      <c r="AF6262">
        <v>-3.7959522356548701</v>
      </c>
      <c r="AG6262">
        <v>4.8255919999999897</v>
      </c>
      <c r="AH6262">
        <v>110.992961287878</v>
      </c>
      <c r="AI6262">
        <v>87.511997193152197</v>
      </c>
      <c r="AJ6262">
        <v>91.958748588999995</v>
      </c>
      <c r="AK6262">
        <v>111.162642317364</v>
      </c>
      <c r="AL6262">
        <v>88.018107516768794</v>
      </c>
      <c r="AM6262">
        <v>93.404867074763999</v>
      </c>
      <c r="AN6262">
        <v>0.99999995089044402</v>
      </c>
    </row>
    <row r="6263" spans="1:40" x14ac:dyDescent="0.25">
      <c r="A6263" t="str">
        <f>"20190312160457775"</f>
        <v>20190312160457775</v>
      </c>
      <c r="B6263" t="str">
        <f>"1552377897771412"</f>
        <v>1552377897771412</v>
      </c>
      <c r="C6263" t="s">
        <v>40</v>
      </c>
      <c r="D6263">
        <v>6.1747249999999996</v>
      </c>
      <c r="E6263">
        <v>0.5096735</v>
      </c>
      <c r="F6263" t="s">
        <v>105</v>
      </c>
      <c r="G6263">
        <v>-276.86329999999998</v>
      </c>
      <c r="H6263">
        <v>6.0009290000000002</v>
      </c>
      <c r="I6263">
        <v>16.228649999999998</v>
      </c>
      <c r="J6263">
        <v>-388.01409999999998</v>
      </c>
      <c r="K6263">
        <v>1.1103160000000001</v>
      </c>
      <c r="L6263">
        <v>16.884519999999998</v>
      </c>
      <c r="M6263">
        <v>0.99910600000000005</v>
      </c>
      <c r="N6263">
        <v>0</v>
      </c>
      <c r="O6263">
        <v>-4.0060829999999999E-2</v>
      </c>
      <c r="P6263">
        <v>0.99958309999999995</v>
      </c>
      <c r="Q6263">
        <v>2.1357190000000002E-2</v>
      </c>
      <c r="R6263">
        <v>1.943075E-2</v>
      </c>
      <c r="S6263">
        <v>2.9987490000000001</v>
      </c>
      <c r="T6263">
        <v>0.13181590000000001</v>
      </c>
      <c r="U6263">
        <v>-1.7791749999999999E-2</v>
      </c>
      <c r="V6263">
        <v>-5.9465980000000002E-2</v>
      </c>
      <c r="W6263">
        <v>3.4826219999999998E-2</v>
      </c>
      <c r="X6263">
        <v>0.99762269999999997</v>
      </c>
      <c r="Y6263">
        <v>-3.406402E-2</v>
      </c>
      <c r="Z6263">
        <v>-2.5081499999999998E-3</v>
      </c>
      <c r="AA6263">
        <v>0.99941650000000004</v>
      </c>
      <c r="AB6263">
        <v>21</v>
      </c>
      <c r="AC6263">
        <v>111.1508</v>
      </c>
      <c r="AD6263">
        <v>4.8906130000000001</v>
      </c>
      <c r="AE6263">
        <v>-0.65587000000000295</v>
      </c>
      <c r="AF6263">
        <v>-3.7905177792254401</v>
      </c>
      <c r="AG6263">
        <v>4.8906130000000001</v>
      </c>
      <c r="AH6263">
        <v>110.873192623553</v>
      </c>
      <c r="AI6263">
        <v>87.475795018760905</v>
      </c>
      <c r="AJ6263">
        <v>91.958057766246199</v>
      </c>
      <c r="AK6263">
        <v>111.045715644908</v>
      </c>
      <c r="AL6263">
        <v>88.004201119282797</v>
      </c>
      <c r="AM6263">
        <v>93.411232495033303</v>
      </c>
      <c r="AN6263">
        <v>1.0000000599660599</v>
      </c>
    </row>
    <row r="6264" spans="1:40" x14ac:dyDescent="0.25">
      <c r="A6264" t="str">
        <f>"20190312160457788"</f>
        <v>20190312160457788</v>
      </c>
      <c r="B6264" t="str">
        <f>"1552377897781178"</f>
        <v>1552377897781178</v>
      </c>
      <c r="C6264" t="s">
        <v>40</v>
      </c>
      <c r="D6264">
        <v>5.9444809999999997</v>
      </c>
      <c r="E6264">
        <v>0.50986189999999998</v>
      </c>
      <c r="F6264" t="s">
        <v>105</v>
      </c>
      <c r="G6264">
        <v>-276.76510000000002</v>
      </c>
      <c r="H6264">
        <v>6.1560750000000004</v>
      </c>
      <c r="I6264">
        <v>16.207419999999999</v>
      </c>
      <c r="J6264">
        <v>-387.89710000000002</v>
      </c>
      <c r="K6264">
        <v>1.1103160000000001</v>
      </c>
      <c r="L6264">
        <v>16.87988</v>
      </c>
      <c r="M6264">
        <v>0.99910719999999997</v>
      </c>
      <c r="N6264">
        <v>0</v>
      </c>
      <c r="O6264">
        <v>-4.003545E-2</v>
      </c>
      <c r="P6264">
        <v>0.9995716</v>
      </c>
      <c r="Q6264">
        <v>2.164197E-2</v>
      </c>
      <c r="R6264">
        <v>1.970937E-2</v>
      </c>
      <c r="S6264">
        <v>2.9987180000000002</v>
      </c>
      <c r="T6264">
        <v>0.1360085</v>
      </c>
      <c r="U6264">
        <v>-1.824951E-2</v>
      </c>
      <c r="V6264">
        <v>-5.9718960000000001E-2</v>
      </c>
      <c r="W6264">
        <v>3.5098320000000002E-2</v>
      </c>
      <c r="X6264">
        <v>0.99759799999999998</v>
      </c>
      <c r="Y6264">
        <v>-3.3881599999999998E-2</v>
      </c>
      <c r="Z6264">
        <v>-2.5825829999999998E-3</v>
      </c>
      <c r="AA6264">
        <v>0.99942249999999999</v>
      </c>
      <c r="AB6264">
        <v>21</v>
      </c>
      <c r="AC6264">
        <v>111.13200000000001</v>
      </c>
      <c r="AD6264">
        <v>5.0457589999999897</v>
      </c>
      <c r="AE6264">
        <v>-0.67245999999999695</v>
      </c>
      <c r="AF6264">
        <v>-3.7699324460528398</v>
      </c>
      <c r="AG6264">
        <v>5.0457589999999897</v>
      </c>
      <c r="AH6264">
        <v>110.84132299343599</v>
      </c>
      <c r="AI6264">
        <v>87.395064332973703</v>
      </c>
      <c r="AJ6264">
        <v>91.947991768998506</v>
      </c>
      <c r="AK6264">
        <v>111.020137621375</v>
      </c>
      <c r="AL6264">
        <v>87.988601296697496</v>
      </c>
      <c r="AM6264">
        <v>93.425794679388304</v>
      </c>
      <c r="AN6264">
        <v>1.00000000792715</v>
      </c>
    </row>
    <row r="6265" spans="1:40" x14ac:dyDescent="0.25">
      <c r="A6265" t="str">
        <f>"20190312160457809"</f>
        <v>20190312160457809</v>
      </c>
      <c r="B6265" t="str">
        <f>"1552377897801671"</f>
        <v>1552377897801671</v>
      </c>
      <c r="C6265" t="s">
        <v>40</v>
      </c>
      <c r="D6265">
        <v>5.9830540000000001</v>
      </c>
      <c r="E6265">
        <v>0.51021399999999995</v>
      </c>
      <c r="F6265" t="s">
        <v>105</v>
      </c>
      <c r="G6265">
        <v>-276.29989999999998</v>
      </c>
      <c r="H6265">
        <v>6.2640589999999996</v>
      </c>
      <c r="I6265">
        <v>16.175660000000001</v>
      </c>
      <c r="J6265">
        <v>-387.69110000000001</v>
      </c>
      <c r="K6265">
        <v>1.1103270000000001</v>
      </c>
      <c r="L6265">
        <v>16.871700000000001</v>
      </c>
      <c r="M6265">
        <v>0.9991099</v>
      </c>
      <c r="N6265">
        <v>0</v>
      </c>
      <c r="O6265">
        <v>-3.9977760000000001E-2</v>
      </c>
      <c r="P6265">
        <v>0.99955550000000004</v>
      </c>
      <c r="Q6265">
        <v>2.218113E-2</v>
      </c>
      <c r="R6265">
        <v>1.9923E-2</v>
      </c>
      <c r="S6265">
        <v>2.9986570000000001</v>
      </c>
      <c r="T6265">
        <v>0.13848289999999999</v>
      </c>
      <c r="U6265">
        <v>-1.8920900000000001E-2</v>
      </c>
      <c r="V6265">
        <v>-5.9874360000000001E-2</v>
      </c>
      <c r="W6265">
        <v>3.5614420000000001E-2</v>
      </c>
      <c r="X6265">
        <v>0.99757039999999997</v>
      </c>
      <c r="Y6265">
        <v>-3.359757E-2</v>
      </c>
      <c r="Z6265">
        <v>-2.6203519999999998E-3</v>
      </c>
      <c r="AA6265">
        <v>0.99943199999999999</v>
      </c>
      <c r="AB6265">
        <v>21</v>
      </c>
      <c r="AC6265">
        <v>111.3912</v>
      </c>
      <c r="AD6265">
        <v>5.1537319999999998</v>
      </c>
      <c r="AE6265">
        <v>-0.69603999999999999</v>
      </c>
      <c r="AF6265">
        <v>-3.7500634875229499</v>
      </c>
      <c r="AG6265">
        <v>5.1537319999999998</v>
      </c>
      <c r="AH6265">
        <v>111.092164914439</v>
      </c>
      <c r="AI6265">
        <v>87.345377185570499</v>
      </c>
      <c r="AJ6265">
        <v>91.933360965131101</v>
      </c>
      <c r="AK6265">
        <v>111.274853561195</v>
      </c>
      <c r="AL6265">
        <v>87.959012458172694</v>
      </c>
      <c r="AM6265">
        <v>93.434782730222395</v>
      </c>
      <c r="AN6265">
        <v>1.00000001442675</v>
      </c>
    </row>
    <row r="6266" spans="1:40" x14ac:dyDescent="0.25">
      <c r="A6266" t="str">
        <f>"20190312160457821"</f>
        <v>20190312160457821</v>
      </c>
      <c r="B6266" t="str">
        <f>"1552377897811431"</f>
        <v>1552377897811431</v>
      </c>
      <c r="C6266" t="s">
        <v>40</v>
      </c>
      <c r="D6266">
        <v>5.9294659999999997</v>
      </c>
      <c r="E6266">
        <v>0.51021609999999995</v>
      </c>
      <c r="F6266" t="s">
        <v>105</v>
      </c>
      <c r="G6266">
        <v>-276.339</v>
      </c>
      <c r="H6266">
        <v>6.353936</v>
      </c>
      <c r="I6266">
        <v>16.089690000000001</v>
      </c>
      <c r="J6266">
        <v>-387.57729999999998</v>
      </c>
      <c r="K6266">
        <v>1.11032999999999</v>
      </c>
      <c r="L6266">
        <v>16.86722</v>
      </c>
      <c r="M6266">
        <v>0.99911170000000005</v>
      </c>
      <c r="N6266">
        <v>0</v>
      </c>
      <c r="O6266">
        <v>-3.9937309999999997E-2</v>
      </c>
      <c r="P6266">
        <v>0.99954310000000002</v>
      </c>
      <c r="Q6266">
        <v>2.262598E-2</v>
      </c>
      <c r="R6266">
        <v>2.004388E-2</v>
      </c>
      <c r="S6266">
        <v>2.9986269999999999</v>
      </c>
      <c r="T6266">
        <v>0.14120629999999901</v>
      </c>
      <c r="U6266">
        <v>-2.105713E-2</v>
      </c>
      <c r="V6266">
        <v>-5.9954300000000002E-2</v>
      </c>
      <c r="W6266">
        <v>3.6045670000000002E-2</v>
      </c>
      <c r="X6266">
        <v>0.9975501</v>
      </c>
      <c r="Y6266">
        <v>-3.2842830000000003E-2</v>
      </c>
      <c r="Z6266">
        <v>-2.652176E-3</v>
      </c>
      <c r="AA6266">
        <v>0.99945700000000004</v>
      </c>
      <c r="AB6266">
        <v>21</v>
      </c>
      <c r="AC6266">
        <v>111.238299999999</v>
      </c>
      <c r="AD6266">
        <v>5.2436059999999998</v>
      </c>
      <c r="AE6266">
        <v>-0.77752999999999795</v>
      </c>
      <c r="AF6266">
        <v>-3.65792297196717</v>
      </c>
      <c r="AG6266">
        <v>5.2436059999999998</v>
      </c>
      <c r="AH6266">
        <v>110.934104172697</v>
      </c>
      <c r="AI6266">
        <v>87.295239240480299</v>
      </c>
      <c r="AJ6266">
        <v>91.8885773758727</v>
      </c>
      <c r="AK6266">
        <v>111.11818605858799</v>
      </c>
      <c r="AL6266">
        <v>87.934287758607098</v>
      </c>
      <c r="AM6266">
        <v>93.439427429809101</v>
      </c>
      <c r="AN6266">
        <v>1.0000000052121201</v>
      </c>
    </row>
    <row r="6267" spans="1:40" x14ac:dyDescent="0.25">
      <c r="A6267" t="str">
        <f>"20190312160457833"</f>
        <v>20190312160457833</v>
      </c>
      <c r="B6267" t="str">
        <f>"1552377897821191"</f>
        <v>1552377897821191</v>
      </c>
      <c r="C6267" t="s">
        <v>40</v>
      </c>
      <c r="D6267">
        <v>6.2703110000000004</v>
      </c>
      <c r="E6267">
        <v>0.51033189999999995</v>
      </c>
      <c r="F6267" t="s">
        <v>105</v>
      </c>
      <c r="G6267">
        <v>-276.34699999999998</v>
      </c>
      <c r="H6267">
        <v>6.4190550000000002</v>
      </c>
      <c r="I6267">
        <v>16.099629999999902</v>
      </c>
      <c r="J6267">
        <v>-387.46960000000001</v>
      </c>
      <c r="K6267">
        <v>1.1103339999999999</v>
      </c>
      <c r="L6267">
        <v>16.86298</v>
      </c>
      <c r="M6267">
        <v>0.99911360000000005</v>
      </c>
      <c r="N6267">
        <v>0</v>
      </c>
      <c r="O6267">
        <v>-3.9894119999999998E-2</v>
      </c>
      <c r="P6267">
        <v>0.99954560000000003</v>
      </c>
      <c r="Q6267">
        <v>2.267106E-2</v>
      </c>
      <c r="R6267">
        <v>1.9874530000000001E-2</v>
      </c>
      <c r="S6267">
        <v>2.9985659999999998</v>
      </c>
      <c r="T6267">
        <v>0.1431135</v>
      </c>
      <c r="U6267">
        <v>-2.0690920000000002E-2</v>
      </c>
      <c r="V6267">
        <v>-5.974256E-2</v>
      </c>
      <c r="W6267">
        <v>3.6077129999999999E-2</v>
      </c>
      <c r="X6267">
        <v>0.99756160000000005</v>
      </c>
      <c r="Y6267">
        <v>-3.2919299999999999E-2</v>
      </c>
      <c r="Z6267">
        <v>-2.6877789999999999E-3</v>
      </c>
      <c r="AA6267">
        <v>0.99945439999999997</v>
      </c>
      <c r="AB6267">
        <v>21</v>
      </c>
      <c r="AC6267">
        <v>111.12260000000001</v>
      </c>
      <c r="AD6267">
        <v>5.3087210000000002</v>
      </c>
      <c r="AE6267">
        <v>-0.76335000000000197</v>
      </c>
      <c r="AF6267">
        <v>-3.6624377968692299</v>
      </c>
      <c r="AG6267">
        <v>5.3087210000000002</v>
      </c>
      <c r="AH6267">
        <v>110.811681764027</v>
      </c>
      <c r="AI6267">
        <v>87.258688745930797</v>
      </c>
      <c r="AJ6267">
        <v>91.892994193388503</v>
      </c>
      <c r="AK6267">
        <v>110.999210738833</v>
      </c>
      <c r="AL6267">
        <v>87.932483923869299</v>
      </c>
      <c r="AM6267">
        <v>93.427270028644202</v>
      </c>
      <c r="AN6267">
        <v>0.99999993928947295</v>
      </c>
    </row>
    <row r="6268" spans="1:40" x14ac:dyDescent="0.25">
      <c r="A6268" t="str">
        <f>"20190312160457844"</f>
        <v>20190312160457844</v>
      </c>
      <c r="B6268" t="str">
        <f>"1552377897841687"</f>
        <v>1552377897841687</v>
      </c>
      <c r="C6268" t="s">
        <v>40</v>
      </c>
      <c r="D6268">
        <v>5.9391740000000004</v>
      </c>
      <c r="E6268">
        <v>0.51069049999999905</v>
      </c>
      <c r="F6268" t="s">
        <v>105</v>
      </c>
      <c r="G6268">
        <v>-276.36689999999999</v>
      </c>
      <c r="H6268">
        <v>6.4451340000000004</v>
      </c>
      <c r="I6268">
        <v>16.044250000000002</v>
      </c>
      <c r="J6268">
        <v>-387.35469999999998</v>
      </c>
      <c r="K6268">
        <v>1.110341</v>
      </c>
      <c r="L6268">
        <v>16.858429999999998</v>
      </c>
      <c r="M6268">
        <v>0.99911589999999995</v>
      </c>
      <c r="N6268">
        <v>0</v>
      </c>
      <c r="O6268">
        <v>-3.9842210000000003E-2</v>
      </c>
      <c r="P6268">
        <v>0.99954829999999995</v>
      </c>
      <c r="Q6268">
        <v>2.2883379999999998E-2</v>
      </c>
      <c r="R6268">
        <v>1.9494319999999999E-2</v>
      </c>
      <c r="S6268">
        <v>2.998535</v>
      </c>
      <c r="T6268">
        <v>0.14398</v>
      </c>
      <c r="U6268">
        <v>-2.209473E-2</v>
      </c>
      <c r="V6268">
        <v>-5.9311170000000003E-2</v>
      </c>
      <c r="W6268">
        <v>3.627441E-2</v>
      </c>
      <c r="X6268">
        <v>0.99758020000000003</v>
      </c>
      <c r="Y6268">
        <v>-3.2399049999999999E-2</v>
      </c>
      <c r="Z6268">
        <v>-2.6890799999999999E-3</v>
      </c>
      <c r="AA6268">
        <v>0.99947140000000001</v>
      </c>
      <c r="AB6268">
        <v>21</v>
      </c>
      <c r="AC6268">
        <v>110.98779999999999</v>
      </c>
      <c r="AD6268">
        <v>5.3347930000000003</v>
      </c>
      <c r="AE6268">
        <v>-0.81417999999999602</v>
      </c>
      <c r="AF6268">
        <v>-3.60054568909624</v>
      </c>
      <c r="AG6268">
        <v>5.3347930000000003</v>
      </c>
      <c r="AH6268">
        <v>110.676408147377</v>
      </c>
      <c r="AI6268">
        <v>87.241837816724299</v>
      </c>
      <c r="AJ6268">
        <v>91.863299904734305</v>
      </c>
      <c r="AK6268">
        <v>110.863390107</v>
      </c>
      <c r="AL6268">
        <v>87.921173233808801</v>
      </c>
      <c r="AM6268">
        <v>93.402517406963895</v>
      </c>
      <c r="AN6268">
        <v>0.99999995156982702</v>
      </c>
    </row>
    <row r="6269" spans="1:40" x14ac:dyDescent="0.25">
      <c r="A6269" t="str">
        <f>"20190312160457858"</f>
        <v>20190312160457858</v>
      </c>
      <c r="B6269" t="str">
        <f>"1552377897851448"</f>
        <v>1552377897851448</v>
      </c>
      <c r="C6269" t="s">
        <v>40</v>
      </c>
      <c r="D6269">
        <v>5.9290099999999999</v>
      </c>
      <c r="E6269">
        <v>0.510745</v>
      </c>
      <c r="F6269" t="s">
        <v>105</v>
      </c>
      <c r="G6269">
        <v>-276.42380000000003</v>
      </c>
      <c r="H6269">
        <v>6.532044</v>
      </c>
      <c r="I6269">
        <v>15.89306</v>
      </c>
      <c r="J6269">
        <v>-387.2353</v>
      </c>
      <c r="K6269">
        <v>1.1103449999999999</v>
      </c>
      <c r="L6269">
        <v>16.853729999999999</v>
      </c>
      <c r="M6269">
        <v>0.99911870000000003</v>
      </c>
      <c r="N6269">
        <v>0</v>
      </c>
      <c r="O6269">
        <v>-3.977559E-2</v>
      </c>
      <c r="P6269">
        <v>0.99954710000000002</v>
      </c>
      <c r="Q6269">
        <v>2.3175080000000001E-2</v>
      </c>
      <c r="R6269">
        <v>1.9207780000000001E-2</v>
      </c>
      <c r="S6269">
        <v>2.9985050000000002</v>
      </c>
      <c r="T6269">
        <v>0.14655070000000001</v>
      </c>
      <c r="U6269">
        <v>-2.6092529999999999E-2</v>
      </c>
      <c r="V6269">
        <v>-5.8959520000000001E-2</v>
      </c>
      <c r="W6269">
        <v>3.6547450000000002E-2</v>
      </c>
      <c r="X6269">
        <v>0.99759109999999995</v>
      </c>
      <c r="Y6269">
        <v>-3.0998580000000001E-2</v>
      </c>
      <c r="Z6269">
        <v>-2.69958E-3</v>
      </c>
      <c r="AA6269">
        <v>0.99951579999999995</v>
      </c>
      <c r="AB6269">
        <v>21</v>
      </c>
      <c r="AC6269">
        <v>110.811499999999</v>
      </c>
      <c r="AD6269">
        <v>5.4216989999999896</v>
      </c>
      <c r="AE6269">
        <v>-0.96066999999999803</v>
      </c>
      <c r="AF6269">
        <v>-3.4398453633066</v>
      </c>
      <c r="AG6269">
        <v>5.4216989999999896</v>
      </c>
      <c r="AH6269">
        <v>110.49750973546401</v>
      </c>
      <c r="AI6269">
        <v>87.192321437127106</v>
      </c>
      <c r="AJ6269">
        <v>91.783071782719304</v>
      </c>
      <c r="AK6269">
        <v>110.68390584863199</v>
      </c>
      <c r="AL6269">
        <v>87.905518855655899</v>
      </c>
      <c r="AM6269">
        <v>93.382354325469606</v>
      </c>
      <c r="AN6269">
        <v>0.99999997194967105</v>
      </c>
    </row>
    <row r="6270" spans="1:40" x14ac:dyDescent="0.25">
      <c r="A6270" t="str">
        <f>"20190312160457871"</f>
        <v>20190312160457871</v>
      </c>
      <c r="B6270" t="str">
        <f>"1552377897861208"</f>
        <v>1552377897861208</v>
      </c>
      <c r="C6270" t="s">
        <v>40</v>
      </c>
      <c r="D6270">
        <v>6.0984249999999998</v>
      </c>
      <c r="E6270">
        <v>0.510745</v>
      </c>
      <c r="F6270" t="s">
        <v>105</v>
      </c>
      <c r="G6270">
        <v>-276.44659999999999</v>
      </c>
      <c r="H6270">
        <v>6.5813709999999999</v>
      </c>
      <c r="I6270">
        <v>15.841089999999999</v>
      </c>
      <c r="J6270">
        <v>-387.10489999999999</v>
      </c>
      <c r="K6270">
        <v>1.110352</v>
      </c>
      <c r="L6270">
        <v>16.84863</v>
      </c>
      <c r="M6270">
        <v>0.99912230000000002</v>
      </c>
      <c r="N6270">
        <v>0</v>
      </c>
      <c r="O6270">
        <v>-3.9693289999999999E-2</v>
      </c>
      <c r="P6270">
        <v>0.99953749999999997</v>
      </c>
      <c r="Q6270">
        <v>2.361164E-2</v>
      </c>
      <c r="R6270">
        <v>1.9173329999999999E-2</v>
      </c>
      <c r="S6270">
        <v>2.9984440000000001</v>
      </c>
      <c r="T6270">
        <v>0.1480707</v>
      </c>
      <c r="U6270">
        <v>-2.7404789999999998E-2</v>
      </c>
      <c r="V6270">
        <v>-5.8843510000000002E-2</v>
      </c>
      <c r="W6270">
        <v>3.6961069999999999E-2</v>
      </c>
      <c r="X6270">
        <v>0.99758270000000004</v>
      </c>
      <c r="Y6270">
        <v>-3.047762E-2</v>
      </c>
      <c r="Z6270">
        <v>-2.7106769999999999E-3</v>
      </c>
      <c r="AA6270">
        <v>0.99953170000000002</v>
      </c>
      <c r="AB6270">
        <v>21</v>
      </c>
      <c r="AC6270">
        <v>110.6583</v>
      </c>
      <c r="AD6270">
        <v>5.4710190000000001</v>
      </c>
      <c r="AE6270">
        <v>-1.0075400000000001</v>
      </c>
      <c r="AF6270">
        <v>-3.3777836000542498</v>
      </c>
      <c r="AG6270">
        <v>5.4710190000000001</v>
      </c>
      <c r="AH6270">
        <v>110.34137818785899</v>
      </c>
      <c r="AI6270">
        <v>87.162774379515398</v>
      </c>
      <c r="AJ6270">
        <v>91.753397757336003</v>
      </c>
      <c r="AK6270">
        <v>110.528553828155</v>
      </c>
      <c r="AL6270">
        <v>87.8818041288187</v>
      </c>
      <c r="AM6270">
        <v>93.3757428981164</v>
      </c>
      <c r="AN6270">
        <v>0.999999961351976</v>
      </c>
    </row>
    <row r="6271" spans="1:40" x14ac:dyDescent="0.25">
      <c r="A6271" t="str">
        <f>"20190312160457888"</f>
        <v>20190312160457888</v>
      </c>
      <c r="B6271" t="str">
        <f>"1552377897881705"</f>
        <v>1552377897881705</v>
      </c>
      <c r="C6271" t="s">
        <v>40</v>
      </c>
      <c r="D6271">
        <v>6.2500609999999996</v>
      </c>
      <c r="E6271">
        <v>0.51107749999999996</v>
      </c>
      <c r="F6271" t="s">
        <v>105</v>
      </c>
      <c r="G6271">
        <v>-276.4556</v>
      </c>
      <c r="H6271">
        <v>6.6237750000000002</v>
      </c>
      <c r="I6271">
        <v>15.833869999999999</v>
      </c>
      <c r="J6271">
        <v>-386.94670000000002</v>
      </c>
      <c r="K6271">
        <v>1.1103609999999999</v>
      </c>
      <c r="L6271">
        <v>16.842469999999999</v>
      </c>
      <c r="M6271">
        <v>0.99912730000000005</v>
      </c>
      <c r="N6271">
        <v>0</v>
      </c>
      <c r="O6271">
        <v>-3.9574140000000001E-2</v>
      </c>
      <c r="P6271">
        <v>0.99953349999999996</v>
      </c>
      <c r="Q6271">
        <v>2.3779660000000001E-2</v>
      </c>
      <c r="R6271">
        <v>1.9171790000000001E-2</v>
      </c>
      <c r="S6271">
        <v>2.998383</v>
      </c>
      <c r="T6271">
        <v>0.14940309999999901</v>
      </c>
      <c r="U6271">
        <v>-2.7496340000000001E-2</v>
      </c>
      <c r="V6271">
        <v>-5.87243E-2</v>
      </c>
      <c r="W6271">
        <v>3.7096879999999999E-2</v>
      </c>
      <c r="X6271">
        <v>0.99758469999999999</v>
      </c>
      <c r="Y6271">
        <v>-3.0326499999999999E-2</v>
      </c>
      <c r="Z6271">
        <v>-2.7254010000000001E-3</v>
      </c>
      <c r="AA6271">
        <v>0.99953630000000004</v>
      </c>
      <c r="AB6271">
        <v>21</v>
      </c>
      <c r="AC6271">
        <v>110.4911</v>
      </c>
      <c r="AD6271">
        <v>5.513414</v>
      </c>
      <c r="AE6271">
        <v>-1.0085999999999999</v>
      </c>
      <c r="AF6271">
        <v>-3.3568133399837699</v>
      </c>
      <c r="AG6271">
        <v>5.513414</v>
      </c>
      <c r="AH6271">
        <v>110.170155140259</v>
      </c>
      <c r="AI6271">
        <v>87.136376316813198</v>
      </c>
      <c r="AJ6271">
        <v>91.745225383068103</v>
      </c>
      <c r="AK6271">
        <v>110.35909121301999</v>
      </c>
      <c r="AL6271">
        <v>87.874017483504801</v>
      </c>
      <c r="AM6271">
        <v>93.368913070839</v>
      </c>
      <c r="AN6271">
        <v>0.99999997779515604</v>
      </c>
    </row>
    <row r="6272" spans="1:40" x14ac:dyDescent="0.25">
      <c r="A6272" t="str">
        <f>"20190312160457902"</f>
        <v>20190312160457902</v>
      </c>
      <c r="B6272" t="str">
        <f>"1552377897891463"</f>
        <v>1552377897891463</v>
      </c>
      <c r="C6272" t="s">
        <v>40</v>
      </c>
      <c r="D6272">
        <v>5.9237510000000002</v>
      </c>
      <c r="E6272">
        <v>0.51122440000000002</v>
      </c>
      <c r="F6272" t="s">
        <v>105</v>
      </c>
      <c r="G6272">
        <v>-276.49279999999999</v>
      </c>
      <c r="H6272">
        <v>6.6806449999999904</v>
      </c>
      <c r="I6272">
        <v>15.735060000000001</v>
      </c>
      <c r="J6272">
        <v>-386.81180000000001</v>
      </c>
      <c r="K6272">
        <v>1.1103719999999999</v>
      </c>
      <c r="L6272">
        <v>16.837250000000001</v>
      </c>
      <c r="M6272">
        <v>0.99913260000000004</v>
      </c>
      <c r="N6272">
        <v>0</v>
      </c>
      <c r="O6272">
        <v>-3.9452380000000002E-2</v>
      </c>
      <c r="P6272">
        <v>0.99952600000000003</v>
      </c>
      <c r="Q6272">
        <v>2.383563E-2</v>
      </c>
      <c r="R6272">
        <v>1.9488459999999999E-2</v>
      </c>
      <c r="S6272">
        <v>2.998383</v>
      </c>
      <c r="T6272">
        <v>0.15121099999999901</v>
      </c>
      <c r="U6272">
        <v>-3.0059809999999999E-2</v>
      </c>
      <c r="V6272">
        <v>-5.891975E-2</v>
      </c>
      <c r="W6272">
        <v>3.712261E-2</v>
      </c>
      <c r="X6272">
        <v>0.99757220000000002</v>
      </c>
      <c r="Y6272">
        <v>-2.9349469999999999E-2</v>
      </c>
      <c r="Z6272">
        <v>-2.7275659999999998E-3</v>
      </c>
      <c r="AA6272">
        <v>0.9995655</v>
      </c>
      <c r="AB6272">
        <v>21</v>
      </c>
      <c r="AC6272">
        <v>110.319</v>
      </c>
      <c r="AD6272">
        <v>5.5702729999999896</v>
      </c>
      <c r="AE6272">
        <v>-1.10219</v>
      </c>
      <c r="AF6272">
        <v>-3.2431343222279199</v>
      </c>
      <c r="AG6272">
        <v>5.5702729999999896</v>
      </c>
      <c r="AH6272">
        <v>109.99617842926099</v>
      </c>
      <c r="AI6272">
        <v>87.102240633348003</v>
      </c>
      <c r="AJ6272">
        <v>91.688823151145002</v>
      </c>
      <c r="AK6272">
        <v>110.184867974547</v>
      </c>
      <c r="AL6272">
        <v>87.872542208323495</v>
      </c>
      <c r="AM6272">
        <v>93.380142006000995</v>
      </c>
      <c r="AN6272">
        <v>0.99999995966305599</v>
      </c>
    </row>
    <row r="6273" spans="1:40" x14ac:dyDescent="0.25">
      <c r="A6273" t="str">
        <f>"20190312160457915"</f>
        <v>20190312160457915</v>
      </c>
      <c r="B6273" t="str">
        <f>"1552377897911959"</f>
        <v>1552377897911959</v>
      </c>
      <c r="C6273" t="s">
        <v>40</v>
      </c>
      <c r="D6273">
        <v>6.0798769999999998</v>
      </c>
      <c r="E6273">
        <v>0.51145339999999995</v>
      </c>
      <c r="F6273" t="s">
        <v>105</v>
      </c>
      <c r="G6273">
        <v>-276.50170000000003</v>
      </c>
      <c r="H6273">
        <v>6.7147829999999997</v>
      </c>
      <c r="I6273">
        <v>15.72343</v>
      </c>
      <c r="J6273">
        <v>-386.68680000000001</v>
      </c>
      <c r="K6273">
        <v>1.1103889999999901</v>
      </c>
      <c r="L6273">
        <v>16.832460000000001</v>
      </c>
      <c r="M6273">
        <v>0.99913770000000002</v>
      </c>
      <c r="N6273">
        <v>0</v>
      </c>
      <c r="O6273">
        <v>-3.9329080000000002E-2</v>
      </c>
      <c r="P6273">
        <v>0.99951199999999996</v>
      </c>
      <c r="Q6273">
        <v>2.4225969999999999E-2</v>
      </c>
      <c r="R6273">
        <v>1.9716770000000002E-2</v>
      </c>
      <c r="S6273">
        <v>2.998383</v>
      </c>
      <c r="T6273">
        <v>0.15233559999999999</v>
      </c>
      <c r="U6273">
        <v>-3.0273439999999999E-2</v>
      </c>
      <c r="V6273">
        <v>-5.9025510000000003E-2</v>
      </c>
      <c r="W6273">
        <v>3.7485230000000001E-2</v>
      </c>
      <c r="X6273">
        <v>0.99755249999999995</v>
      </c>
      <c r="Y6273">
        <v>-2.9153999999999999E-2</v>
      </c>
      <c r="Z6273">
        <v>-2.736605E-3</v>
      </c>
      <c r="AA6273">
        <v>0.99957119999999999</v>
      </c>
      <c r="AB6273">
        <v>21</v>
      </c>
      <c r="AC6273">
        <v>110.185099999999</v>
      </c>
      <c r="AD6273">
        <v>5.6043940000000001</v>
      </c>
      <c r="AE6273">
        <v>-1.10903</v>
      </c>
      <c r="AF6273">
        <v>-3.21736776679974</v>
      </c>
      <c r="AG6273">
        <v>5.6043940000000001</v>
      </c>
      <c r="AH6273">
        <v>109.859269990464</v>
      </c>
      <c r="AI6273">
        <v>87.080876826268593</v>
      </c>
      <c r="AJ6273">
        <v>91.677499940948906</v>
      </c>
      <c r="AK6273">
        <v>110.049170329866</v>
      </c>
      <c r="AL6273">
        <v>87.851751381486807</v>
      </c>
      <c r="AM6273">
        <v>93.386261916827095</v>
      </c>
      <c r="AN6273">
        <v>1.0000000717775701</v>
      </c>
    </row>
    <row r="6274" spans="1:40" x14ac:dyDescent="0.25">
      <c r="A6274" t="str">
        <f>"20190312160457931"</f>
        <v>20190312160457931</v>
      </c>
      <c r="B6274" t="str">
        <f>"1552377897921719"</f>
        <v>1552377897921719</v>
      </c>
      <c r="C6274" t="s">
        <v>40</v>
      </c>
      <c r="D6274">
        <v>5.9597189999999998</v>
      </c>
      <c r="E6274">
        <v>0.51149650000000002</v>
      </c>
      <c r="F6274" t="s">
        <v>87</v>
      </c>
      <c r="G6274">
        <v>-273.40989999999999</v>
      </c>
      <c r="H6274">
        <v>6.9358559999999896</v>
      </c>
      <c r="I6274">
        <v>15.64495</v>
      </c>
      <c r="J6274">
        <v>-386.5342</v>
      </c>
      <c r="K6274">
        <v>1.110406</v>
      </c>
      <c r="L6274">
        <v>16.826629999999899</v>
      </c>
      <c r="M6274">
        <v>0.9991447</v>
      </c>
      <c r="N6274">
        <v>0</v>
      </c>
      <c r="O6274">
        <v>-3.9163610000000001E-2</v>
      </c>
      <c r="P6274">
        <v>0.99948289999999995</v>
      </c>
      <c r="Q6274">
        <v>2.4651670000000001E-2</v>
      </c>
      <c r="R6274">
        <v>2.0649939999999999E-2</v>
      </c>
      <c r="S6274">
        <v>2.9984130000000002</v>
      </c>
      <c r="T6274">
        <v>0.1541989</v>
      </c>
      <c r="U6274">
        <v>-3.143311E-2</v>
      </c>
      <c r="V6274">
        <v>-5.9793270000000003E-2</v>
      </c>
      <c r="W6274">
        <v>3.787691E-2</v>
      </c>
      <c r="X6274">
        <v>0.99749189999999999</v>
      </c>
      <c r="Y6274">
        <v>-2.8600770000000001E-2</v>
      </c>
      <c r="Z6274">
        <v>-2.7472809999999999E-3</v>
      </c>
      <c r="AA6274">
        <v>0.99958709999999995</v>
      </c>
      <c r="AB6274">
        <v>21</v>
      </c>
      <c r="AC6274">
        <v>113.12430000000001</v>
      </c>
      <c r="AD6274">
        <v>5.8254499999999902</v>
      </c>
      <c r="AE6274">
        <v>-1.1816799999999901</v>
      </c>
      <c r="AF6274">
        <v>-3.2413781230076801</v>
      </c>
      <c r="AG6274">
        <v>5.8254499999999902</v>
      </c>
      <c r="AH6274">
        <v>112.78472568244401</v>
      </c>
      <c r="AI6274">
        <v>87.044458249536902</v>
      </c>
      <c r="AJ6274">
        <v>91.646199685246501</v>
      </c>
      <c r="AK6274">
        <v>112.981577025208</v>
      </c>
      <c r="AL6274">
        <v>87.829293651974496</v>
      </c>
      <c r="AM6274">
        <v>93.430411293603498</v>
      </c>
      <c r="AN6274">
        <v>0.99999999300702502</v>
      </c>
    </row>
    <row r="6275" spans="1:40" x14ac:dyDescent="0.25">
      <c r="A6275" t="str">
        <f>"20190312160457953"</f>
        <v>20190312160457953</v>
      </c>
      <c r="B6275" t="str">
        <f>"1552377897951975"</f>
        <v>1552377897951975</v>
      </c>
      <c r="C6275" t="s">
        <v>40</v>
      </c>
      <c r="D6275">
        <v>5.9316690000000003</v>
      </c>
      <c r="E6275">
        <v>0.51136029999999999</v>
      </c>
      <c r="F6275" t="s">
        <v>105</v>
      </c>
      <c r="G6275">
        <v>-276.50880000000001</v>
      </c>
      <c r="H6275">
        <v>6.8258229999999998</v>
      </c>
      <c r="I6275">
        <v>15.7638</v>
      </c>
      <c r="J6275">
        <v>-386.32749999999999</v>
      </c>
      <c r="K6275">
        <v>1.1104259999999999</v>
      </c>
      <c r="L6275">
        <v>16.818850000000001</v>
      </c>
      <c r="M6275">
        <v>0.99915549999999997</v>
      </c>
      <c r="N6275">
        <v>0</v>
      </c>
      <c r="O6275">
        <v>-3.889973E-2</v>
      </c>
      <c r="P6275">
        <v>0.99944299999999997</v>
      </c>
      <c r="Q6275">
        <v>2.4991119999999999E-2</v>
      </c>
      <c r="R6275">
        <v>2.2123529999999999E-2</v>
      </c>
      <c r="S6275">
        <v>2.998291</v>
      </c>
      <c r="T6275">
        <v>0.15575020000000001</v>
      </c>
      <c r="U6275">
        <v>-2.896118E-2</v>
      </c>
      <c r="V6275">
        <v>-6.100307E-2</v>
      </c>
      <c r="W6275">
        <v>3.8169469999999997E-2</v>
      </c>
      <c r="X6275">
        <v>0.9974075</v>
      </c>
      <c r="Y6275">
        <v>-2.9158119999999999E-2</v>
      </c>
      <c r="Z6275">
        <v>-2.7757900000000002E-3</v>
      </c>
      <c r="AA6275">
        <v>0.99957099999999999</v>
      </c>
      <c r="AB6275">
        <v>21</v>
      </c>
      <c r="AC6275">
        <v>109.818699999999</v>
      </c>
      <c r="AD6275">
        <v>5.7153969999999896</v>
      </c>
      <c r="AE6275">
        <v>-1.05505</v>
      </c>
      <c r="AF6275">
        <v>-3.2093485710607701</v>
      </c>
      <c r="AG6275">
        <v>5.7153969999999896</v>
      </c>
      <c r="AH6275">
        <v>109.48010325686801</v>
      </c>
      <c r="AI6275">
        <v>87.012873722678407</v>
      </c>
      <c r="AJ6275">
        <v>91.679113168125994</v>
      </c>
      <c r="AK6275">
        <v>109.67615369921</v>
      </c>
      <c r="AL6275">
        <v>87.812519087851996</v>
      </c>
      <c r="AM6275">
        <v>93.499943567307596</v>
      </c>
      <c r="AN6275">
        <v>1.0000000020228701</v>
      </c>
    </row>
    <row r="6276" spans="1:40" x14ac:dyDescent="0.25">
      <c r="A6276" t="str">
        <f>"20190312160457964"</f>
        <v>20190312160457964</v>
      </c>
      <c r="B6276" t="str">
        <f>"1552377897961735"</f>
        <v>1552377897961735</v>
      </c>
      <c r="C6276" t="s">
        <v>40</v>
      </c>
      <c r="D6276">
        <v>6.3787729999999998</v>
      </c>
      <c r="E6276">
        <v>0.51136029999999999</v>
      </c>
      <c r="F6276" t="s">
        <v>105</v>
      </c>
      <c r="G6276">
        <v>-276.45690000000002</v>
      </c>
      <c r="H6276">
        <v>6.8490539999999998</v>
      </c>
      <c r="I6276">
        <v>15.962160000000001</v>
      </c>
      <c r="J6276">
        <v>-386.22410000000002</v>
      </c>
      <c r="K6276">
        <v>1.110436</v>
      </c>
      <c r="L6276">
        <v>16.815000000000001</v>
      </c>
      <c r="M6276">
        <v>0.99916159999999998</v>
      </c>
      <c r="N6276">
        <v>0</v>
      </c>
      <c r="O6276">
        <v>-3.8753000000000003E-2</v>
      </c>
      <c r="P6276">
        <v>0.99942699999999995</v>
      </c>
      <c r="Q6276">
        <v>2.51503E-2</v>
      </c>
      <c r="R6276">
        <v>2.2662970000000001E-2</v>
      </c>
      <c r="S6276">
        <v>2.9982600000000001</v>
      </c>
      <c r="T6276">
        <v>0.1566015</v>
      </c>
      <c r="U6276">
        <v>-2.3376460000000002E-2</v>
      </c>
      <c r="V6276">
        <v>-6.1396539999999999E-2</v>
      </c>
      <c r="W6276">
        <v>3.8304329999999998E-2</v>
      </c>
      <c r="X6276">
        <v>0.99737819999999999</v>
      </c>
      <c r="Y6276">
        <v>-3.0869750000000001E-2</v>
      </c>
      <c r="Z6276">
        <v>-2.8280250000000001E-3</v>
      </c>
      <c r="AA6276">
        <v>0.99951939999999995</v>
      </c>
      <c r="AB6276">
        <v>21</v>
      </c>
      <c r="AC6276">
        <v>109.7672</v>
      </c>
      <c r="AD6276">
        <v>5.7386179999999998</v>
      </c>
      <c r="AE6276">
        <v>-0.85284000000000004</v>
      </c>
      <c r="AF6276">
        <v>-3.3927074749865498</v>
      </c>
      <c r="AG6276">
        <v>5.7386179999999998</v>
      </c>
      <c r="AH6276">
        <v>109.41873981990599</v>
      </c>
      <c r="AI6276">
        <v>86.999233283527701</v>
      </c>
      <c r="AJ6276">
        <v>91.775980605271101</v>
      </c>
      <c r="AK6276">
        <v>109.62163483700201</v>
      </c>
      <c r="AL6276">
        <v>87.8047865534528</v>
      </c>
      <c r="AM6276">
        <v>93.5225647756846</v>
      </c>
      <c r="AN6276">
        <v>1.00000001532798</v>
      </c>
    </row>
    <row r="6277" spans="1:40" x14ac:dyDescent="0.25">
      <c r="A6277" t="str">
        <f>"20190312160457976"</f>
        <v>20190312160457976</v>
      </c>
      <c r="B6277" t="str">
        <f>"1552377897971496"</f>
        <v>1552377897971496</v>
      </c>
      <c r="C6277" t="s">
        <v>40</v>
      </c>
      <c r="D6277">
        <v>5.860188</v>
      </c>
      <c r="E6277">
        <v>0.51136029999999999</v>
      </c>
      <c r="F6277" t="s">
        <v>105</v>
      </c>
      <c r="G6277">
        <v>-276.44319999999999</v>
      </c>
      <c r="H6277">
        <v>6.8635570000000001</v>
      </c>
      <c r="I6277">
        <v>16.019359999999999</v>
      </c>
      <c r="J6277">
        <v>-386.11559999999997</v>
      </c>
      <c r="K6277">
        <v>1.1104480000000001</v>
      </c>
      <c r="L6277">
        <v>16.810970000000001</v>
      </c>
      <c r="M6277">
        <v>0.99916839999999996</v>
      </c>
      <c r="N6277">
        <v>0</v>
      </c>
      <c r="O6277">
        <v>-3.8582999999999999E-2</v>
      </c>
      <c r="P6277">
        <v>0.99941639999999998</v>
      </c>
      <c r="Q6277">
        <v>2.5185869999999999E-2</v>
      </c>
      <c r="R6277">
        <v>2.308029E-2</v>
      </c>
      <c r="S6277">
        <v>2.998291</v>
      </c>
      <c r="T6277">
        <v>0.15712690000000001</v>
      </c>
      <c r="U6277">
        <v>-2.1728520000000001E-2</v>
      </c>
      <c r="V6277">
        <v>-6.1644289999999997E-2</v>
      </c>
      <c r="W6277">
        <v>3.8312899999999997E-2</v>
      </c>
      <c r="X6277">
        <v>0.99736259999999999</v>
      </c>
      <c r="Y6277">
        <v>-3.1248160000000001E-2</v>
      </c>
      <c r="Z6277">
        <v>-2.8384920000000002E-3</v>
      </c>
      <c r="AA6277">
        <v>0.99950760000000005</v>
      </c>
      <c r="AB6277">
        <v>21</v>
      </c>
      <c r="AC6277">
        <v>109.672399999999</v>
      </c>
      <c r="AD6277">
        <v>5.7531090000000003</v>
      </c>
      <c r="AE6277">
        <v>-0.79161000000000203</v>
      </c>
      <c r="AF6277">
        <v>-3.43139575332187</v>
      </c>
      <c r="AG6277">
        <v>5.7531090000000003</v>
      </c>
      <c r="AH6277">
        <v>109.320460972359</v>
      </c>
      <c r="AI6277">
        <v>86.989005985102906</v>
      </c>
      <c r="AJ6277">
        <v>91.797833304530499</v>
      </c>
      <c r="AK6277">
        <v>109.525503546849</v>
      </c>
      <c r="AL6277">
        <v>87.804295192116399</v>
      </c>
      <c r="AM6277">
        <v>93.536798353668402</v>
      </c>
      <c r="AN6277">
        <v>1.0000000263373801</v>
      </c>
    </row>
    <row r="6278" spans="1:40" x14ac:dyDescent="0.25">
      <c r="A6278" t="str">
        <f>"20190312160457989"</f>
        <v>20190312160457989</v>
      </c>
      <c r="B6278" t="str">
        <f>"1552377897971496"</f>
        <v>1552377897971496</v>
      </c>
      <c r="C6278" t="s">
        <v>40</v>
      </c>
      <c r="D6278">
        <v>5.860188</v>
      </c>
      <c r="E6278">
        <v>0.51136029999999999</v>
      </c>
      <c r="F6278" t="s">
        <v>105</v>
      </c>
      <c r="G6278">
        <v>-276.43130000000002</v>
      </c>
      <c r="H6278">
        <v>6.8635099999999998</v>
      </c>
      <c r="I6278">
        <v>16.061789999999998</v>
      </c>
      <c r="J6278">
        <v>-385.9966</v>
      </c>
      <c r="K6278">
        <v>1.1104620000000001</v>
      </c>
      <c r="L6278">
        <v>16.80658</v>
      </c>
      <c r="M6278">
        <v>0.99917630000000002</v>
      </c>
      <c r="N6278">
        <v>0</v>
      </c>
      <c r="O6278">
        <v>-3.8388159999999998E-2</v>
      </c>
      <c r="P6278">
        <v>0.99939889999999998</v>
      </c>
      <c r="Q6278">
        <v>2.5382729999999999E-2</v>
      </c>
      <c r="R6278">
        <v>2.3619000000000001E-2</v>
      </c>
      <c r="S6278">
        <v>2.99823</v>
      </c>
      <c r="T6278">
        <v>0.15726029999999999</v>
      </c>
      <c r="U6278">
        <v>-2.0477289999999999E-2</v>
      </c>
      <c r="V6278">
        <v>-6.1989160000000001E-2</v>
      </c>
      <c r="W6278">
        <v>3.8479659999999999E-2</v>
      </c>
      <c r="X6278">
        <v>0.99733479999999997</v>
      </c>
      <c r="Y6278">
        <v>-3.1469990000000003E-2</v>
      </c>
      <c r="Z6278">
        <v>-2.8365700000000001E-3</v>
      </c>
      <c r="AA6278">
        <v>0.99950070000000002</v>
      </c>
      <c r="AB6278">
        <v>21</v>
      </c>
      <c r="AC6278">
        <v>109.565299999999</v>
      </c>
      <c r="AD6278">
        <v>5.7530479999999997</v>
      </c>
      <c r="AE6278">
        <v>-0.74479000000000095</v>
      </c>
      <c r="AF6278">
        <v>-3.4526146529420298</v>
      </c>
      <c r="AG6278">
        <v>5.7530479999999997</v>
      </c>
      <c r="AH6278">
        <v>109.21202657433599</v>
      </c>
      <c r="AI6278">
        <v>86.986075182565699</v>
      </c>
      <c r="AJ6278">
        <v>91.810738163691994</v>
      </c>
      <c r="AK6278">
        <v>109.417936636118</v>
      </c>
      <c r="AL6278">
        <v>87.794733487144399</v>
      </c>
      <c r="AM6278">
        <v>93.556633265295602</v>
      </c>
      <c r="AN6278">
        <v>1.00000002174113</v>
      </c>
    </row>
    <row r="6279" spans="1:40" x14ac:dyDescent="0.25">
      <c r="A6279" t="str">
        <f>"20190312160458025"</f>
        <v>20190312160458025</v>
      </c>
      <c r="B6279" t="str">
        <f>"1552377898021284"</f>
        <v>1552377898021284</v>
      </c>
      <c r="C6279" t="s">
        <v>40</v>
      </c>
      <c r="D6279">
        <v>5.953659</v>
      </c>
      <c r="E6279">
        <v>0.51259009999999905</v>
      </c>
      <c r="F6279" t="s">
        <v>105</v>
      </c>
      <c r="G6279">
        <v>-276.41820000000001</v>
      </c>
      <c r="H6279">
        <v>6.8802960000000004</v>
      </c>
      <c r="I6279">
        <v>16.11834</v>
      </c>
      <c r="J6279">
        <v>-385.65660000000003</v>
      </c>
      <c r="K6279">
        <v>1.110517</v>
      </c>
      <c r="L6279">
        <v>16.794309999999999</v>
      </c>
      <c r="M6279">
        <v>0.99920260000000005</v>
      </c>
      <c r="N6279">
        <v>0</v>
      </c>
      <c r="O6279">
        <v>-3.772764E-2</v>
      </c>
      <c r="P6279">
        <v>0.99934040000000002</v>
      </c>
      <c r="Q6279">
        <v>2.661935E-2</v>
      </c>
      <c r="R6279">
        <v>2.4703800000000001E-2</v>
      </c>
      <c r="S6279">
        <v>2.9981990000000001</v>
      </c>
      <c r="T6279">
        <v>0.1578696</v>
      </c>
      <c r="U6279">
        <v>-1.8829350000000002E-2</v>
      </c>
      <c r="V6279">
        <v>-6.2416770000000003E-2</v>
      </c>
      <c r="W6279">
        <v>3.9617489999999998E-2</v>
      </c>
      <c r="X6279">
        <v>0.99726360000000003</v>
      </c>
      <c r="Y6279">
        <v>-3.1358820000000003E-2</v>
      </c>
      <c r="Z6279">
        <v>-2.80992E-3</v>
      </c>
      <c r="AA6279">
        <v>0.99950430000000001</v>
      </c>
      <c r="AB6279">
        <v>21</v>
      </c>
      <c r="AC6279">
        <v>109.2384</v>
      </c>
      <c r="AD6279">
        <v>5.7697789999999998</v>
      </c>
      <c r="AE6279">
        <v>-0.67596999999999896</v>
      </c>
      <c r="AF6279">
        <v>-3.43658345020008</v>
      </c>
      <c r="AG6279">
        <v>5.7697789999999998</v>
      </c>
      <c r="AH6279">
        <v>108.882375700678</v>
      </c>
      <c r="AI6279">
        <v>86.968187044029094</v>
      </c>
      <c r="AJ6279">
        <v>91.807789204813702</v>
      </c>
      <c r="AK6279">
        <v>109.08928542135899</v>
      </c>
      <c r="AL6279">
        <v>87.729490917509295</v>
      </c>
      <c r="AM6279">
        <v>93.581358806252297</v>
      </c>
      <c r="AN6279">
        <v>1.00000004328804</v>
      </c>
    </row>
    <row r="6280" spans="1:40" x14ac:dyDescent="0.25">
      <c r="A6280" t="str">
        <f>"20190312160458035"</f>
        <v>20190312160458035</v>
      </c>
      <c r="B6280" t="str">
        <f>"1552377898031031"</f>
        <v>1552377898031031</v>
      </c>
      <c r="C6280" t="s">
        <v>40</v>
      </c>
      <c r="D6280">
        <v>6.2260980000000004</v>
      </c>
      <c r="E6280">
        <v>0.51259009999999905</v>
      </c>
      <c r="F6280" t="s">
        <v>49</v>
      </c>
      <c r="G6280">
        <v>-384.98689999999999</v>
      </c>
      <c r="H6280">
        <v>0.8650892</v>
      </c>
      <c r="I6280">
        <v>16.785270000000001</v>
      </c>
      <c r="J6280">
        <v>-385.55369999999999</v>
      </c>
      <c r="K6280">
        <v>1.1105320000000001</v>
      </c>
      <c r="L6280">
        <v>16.790679999999998</v>
      </c>
      <c r="M6280">
        <v>0.99921170000000004</v>
      </c>
      <c r="N6280">
        <v>0</v>
      </c>
      <c r="O6280">
        <v>-3.7496950000000001E-2</v>
      </c>
      <c r="P6280">
        <v>0.99930779999999997</v>
      </c>
      <c r="Q6280">
        <v>2.7390339999999999E-2</v>
      </c>
      <c r="R6280">
        <v>2.5177669999999999E-2</v>
      </c>
      <c r="S6280">
        <v>3.032562</v>
      </c>
      <c r="T6280">
        <v>-1.11148</v>
      </c>
      <c r="U6280">
        <v>-3.9794919999999998E-2</v>
      </c>
      <c r="V6280">
        <v>-6.2660750000000001E-2</v>
      </c>
      <c r="W6280">
        <v>4.0359319999999997E-2</v>
      </c>
      <c r="X6280">
        <v>0.99721850000000001</v>
      </c>
      <c r="Y6280">
        <v>-2.060681E-2</v>
      </c>
      <c r="Z6280">
        <v>1.696493E-2</v>
      </c>
      <c r="AA6280">
        <v>0.99964370000000002</v>
      </c>
      <c r="AB6280">
        <v>21</v>
      </c>
      <c r="AC6280">
        <v>0.56679999999999997</v>
      </c>
      <c r="AD6280">
        <v>-0.24544279999999999</v>
      </c>
      <c r="AE6280">
        <v>-5.4099999999976901E-3</v>
      </c>
      <c r="AF6280">
        <v>-1.3346427291872799E-2</v>
      </c>
      <c r="AG6280">
        <v>-0.24544279999999999</v>
      </c>
      <c r="AH6280">
        <v>0.47714036721815301</v>
      </c>
      <c r="AI6280">
        <v>117.212347280841</v>
      </c>
      <c r="AJ6280">
        <v>91.602242579407104</v>
      </c>
      <c r="AK6280">
        <v>0.53673384952168901</v>
      </c>
      <c r="AL6280">
        <v>87.686953044055898</v>
      </c>
      <c r="AM6280">
        <v>93.595483453695294</v>
      </c>
      <c r="AN6280">
        <v>0.99999999052183697</v>
      </c>
    </row>
    <row r="6281" spans="1:40" x14ac:dyDescent="0.25">
      <c r="A6281" t="str">
        <f>"20190312160458048"</f>
        <v>20190312160458048</v>
      </c>
      <c r="B6281" t="str">
        <f>"1552377898041767"</f>
        <v>1552377898041767</v>
      </c>
      <c r="C6281" t="s">
        <v>40</v>
      </c>
      <c r="D6281">
        <v>6.1846569999999996</v>
      </c>
      <c r="E6281">
        <v>0.51776990000000001</v>
      </c>
      <c r="F6281" t="s">
        <v>49</v>
      </c>
      <c r="G6281">
        <v>-384.81029999999998</v>
      </c>
      <c r="H6281">
        <v>0.83876059999999997</v>
      </c>
      <c r="I6281">
        <v>16.78087</v>
      </c>
      <c r="J6281">
        <v>-385.43279999999999</v>
      </c>
      <c r="K6281">
        <v>1.11054599999999</v>
      </c>
      <c r="L6281">
        <v>16.786470000000001</v>
      </c>
      <c r="M6281">
        <v>0.99922250000000001</v>
      </c>
      <c r="N6281">
        <v>0</v>
      </c>
      <c r="O6281">
        <v>-3.7216119999999998E-2</v>
      </c>
      <c r="P6281">
        <v>0.99928309999999998</v>
      </c>
      <c r="Q6281">
        <v>2.7743540000000001E-2</v>
      </c>
      <c r="R6281">
        <v>2.5760930000000001E-2</v>
      </c>
      <c r="S6281">
        <v>3.033417</v>
      </c>
      <c r="T6281">
        <v>-1.1090139999999999</v>
      </c>
      <c r="U6281">
        <v>-3.9001460000000002E-2</v>
      </c>
      <c r="V6281">
        <v>-6.2964259999999994E-2</v>
      </c>
      <c r="W6281">
        <v>4.06795E-2</v>
      </c>
      <c r="X6281">
        <v>0.99718640000000003</v>
      </c>
      <c r="Y6281">
        <v>-2.0626140000000001E-2</v>
      </c>
      <c r="Z6281">
        <v>1.6829179999999999E-2</v>
      </c>
      <c r="AA6281">
        <v>0.99964560000000002</v>
      </c>
      <c r="AB6281">
        <v>21</v>
      </c>
      <c r="AC6281">
        <v>0.62250000000000205</v>
      </c>
      <c r="AD6281">
        <v>-0.27178539999999901</v>
      </c>
      <c r="AE6281">
        <v>-5.6000000000011596E-3</v>
      </c>
      <c r="AF6281">
        <v>-1.47595972077877E-2</v>
      </c>
      <c r="AG6281">
        <v>-0.27178539999999901</v>
      </c>
      <c r="AH6281">
        <v>0.52265543250523205</v>
      </c>
      <c r="AI6281">
        <v>117.465479787975</v>
      </c>
      <c r="AJ6281">
        <v>91.617581839693202</v>
      </c>
      <c r="AK6281">
        <v>0.58928248785292003</v>
      </c>
      <c r="AL6281">
        <v>87.6685930671796</v>
      </c>
      <c r="AM6281">
        <v>93.612968879735902</v>
      </c>
      <c r="AN6281">
        <v>1.00000001805127</v>
      </c>
    </row>
    <row r="6282" spans="1:40" x14ac:dyDescent="0.25">
      <c r="A6282" t="str">
        <f>"20190312160458065"</f>
        <v>20190312160458065</v>
      </c>
      <c r="B6282" t="str">
        <f>"1552377898061288"</f>
        <v>1552377898061288</v>
      </c>
      <c r="C6282" t="s">
        <v>40</v>
      </c>
      <c r="D6282">
        <v>9.5208449999999996</v>
      </c>
      <c r="E6282">
        <v>0.51131870000000001</v>
      </c>
      <c r="F6282" t="s">
        <v>49</v>
      </c>
      <c r="G6282">
        <v>-384.54520000000002</v>
      </c>
      <c r="H6282">
        <v>1.011663</v>
      </c>
      <c r="I6282">
        <v>16.765779999999999</v>
      </c>
      <c r="J6282">
        <v>-385.27850000000001</v>
      </c>
      <c r="K6282">
        <v>1.1105689999999999</v>
      </c>
      <c r="L6282">
        <v>16.78116</v>
      </c>
      <c r="M6282">
        <v>0.99923759999999995</v>
      </c>
      <c r="N6282">
        <v>0</v>
      </c>
      <c r="O6282">
        <v>-3.682502E-2</v>
      </c>
      <c r="P6282">
        <v>0.99924550000000001</v>
      </c>
      <c r="Q6282">
        <v>2.8237490000000001E-2</v>
      </c>
      <c r="R6282">
        <v>2.6670220000000001E-2</v>
      </c>
      <c r="S6282">
        <v>3.0132750000000001</v>
      </c>
      <c r="T6282">
        <v>-0.33575139999999998</v>
      </c>
      <c r="U6282">
        <v>-6.9488530000000007E-2</v>
      </c>
      <c r="V6282">
        <v>-6.3484239999999997E-2</v>
      </c>
      <c r="W6282">
        <v>4.1130199999999999E-2</v>
      </c>
      <c r="X6282">
        <v>0.99713490000000005</v>
      </c>
      <c r="Y6282">
        <v>-1.3468340000000001E-2</v>
      </c>
      <c r="Z6282">
        <v>4.8371480000000003E-3</v>
      </c>
      <c r="AA6282">
        <v>0.99989760000000005</v>
      </c>
      <c r="AB6282">
        <v>21</v>
      </c>
      <c r="AC6282">
        <v>0.73329999999998496</v>
      </c>
      <c r="AD6282">
        <v>-9.8906000000000105E-2</v>
      </c>
      <c r="AE6282">
        <v>-1.53800000000003E-2</v>
      </c>
      <c r="AF6282">
        <v>-1.14286715076729E-2</v>
      </c>
      <c r="AG6282">
        <v>-9.8906000000000105E-2</v>
      </c>
      <c r="AH6282">
        <v>0.72027149502529497</v>
      </c>
      <c r="AI6282">
        <v>97.817851185796201</v>
      </c>
      <c r="AJ6282">
        <v>90.909045689090902</v>
      </c>
      <c r="AK6282">
        <v>0.72712037374454297</v>
      </c>
      <c r="AL6282">
        <v>87.642748128164698</v>
      </c>
      <c r="AM6282">
        <v>93.642913612048005</v>
      </c>
      <c r="AN6282">
        <v>0.99999997543921304</v>
      </c>
    </row>
    <row r="6283" spans="1:40" x14ac:dyDescent="0.25">
      <c r="A6283" t="str">
        <f>"20190312160458077"</f>
        <v>20190312160458077</v>
      </c>
      <c r="B6283" t="str">
        <f>"1552377898071047"</f>
        <v>1552377898071047</v>
      </c>
      <c r="C6283" t="s">
        <v>40</v>
      </c>
      <c r="D6283">
        <v>6.3593580000000003</v>
      </c>
      <c r="E6283">
        <v>0.50971809999999995</v>
      </c>
      <c r="F6283" t="s">
        <v>110</v>
      </c>
      <c r="G6283">
        <v>-364.90940000000001</v>
      </c>
      <c r="H6283" s="1">
        <v>-2.92586E-6</v>
      </c>
      <c r="I6283">
        <v>16.690000000000001</v>
      </c>
      <c r="J6283">
        <v>-385.16289999999998</v>
      </c>
      <c r="K6283">
        <v>1.110589</v>
      </c>
      <c r="L6283">
        <v>16.77722</v>
      </c>
      <c r="M6283">
        <v>0.99924939999999995</v>
      </c>
      <c r="N6283">
        <v>0</v>
      </c>
      <c r="O6283">
        <v>-3.6510590000000002E-2</v>
      </c>
      <c r="P6283">
        <v>0.99922940000000005</v>
      </c>
      <c r="Q6283">
        <v>2.820375E-2</v>
      </c>
      <c r="R6283">
        <v>2.729647E-2</v>
      </c>
      <c r="S6283">
        <v>3.007263</v>
      </c>
      <c r="T6283">
        <v>-0.16396340000000001</v>
      </c>
      <c r="U6283">
        <v>-1.345825E-2</v>
      </c>
      <c r="V6283">
        <v>-6.3797259999999995E-2</v>
      </c>
      <c r="W6283">
        <v>4.1063990000000002E-2</v>
      </c>
      <c r="X6283">
        <v>0.9971177</v>
      </c>
      <c r="Y6283">
        <v>-3.1939420000000003E-2</v>
      </c>
      <c r="Z6283">
        <v>2.8590130000000001E-3</v>
      </c>
      <c r="AA6283">
        <v>0.99948570000000003</v>
      </c>
      <c r="AB6283">
        <v>21</v>
      </c>
      <c r="AC6283">
        <v>20.253499999999899</v>
      </c>
      <c r="AD6283">
        <v>-1.1105919258600001</v>
      </c>
      <c r="AE6283">
        <v>-8.7219999999998493E-2</v>
      </c>
      <c r="AF6283">
        <v>-0.65041173578810796</v>
      </c>
      <c r="AG6283">
        <v>-1.1105919258600001</v>
      </c>
      <c r="AH6283">
        <v>20.182494559885299</v>
      </c>
      <c r="AI6283">
        <v>93.148035167609507</v>
      </c>
      <c r="AJ6283">
        <v>91.8458052608038</v>
      </c>
      <c r="AK6283">
        <v>20.223489721401599</v>
      </c>
      <c r="AL6283">
        <v>87.646545005379593</v>
      </c>
      <c r="AM6283">
        <v>93.660889876796205</v>
      </c>
      <c r="AN6283">
        <v>1.0000000246557501</v>
      </c>
    </row>
    <row r="6284" spans="1:40" x14ac:dyDescent="0.25">
      <c r="A6284" t="str">
        <f>"20190312160458091"</f>
        <v>20190312160458091</v>
      </c>
      <c r="B6284" t="str">
        <f>"1552377898081783"</f>
        <v>1552377898081783</v>
      </c>
      <c r="C6284" t="s">
        <v>40</v>
      </c>
      <c r="D6284">
        <v>6.0063490000000002</v>
      </c>
      <c r="E6284">
        <v>0.50742749999999903</v>
      </c>
      <c r="F6284" t="s">
        <v>41</v>
      </c>
      <c r="G6284">
        <v>-346.16379999999998</v>
      </c>
      <c r="H6284" s="1">
        <v>-2.126596E-6</v>
      </c>
      <c r="I6284">
        <v>16.80565</v>
      </c>
      <c r="J6284">
        <v>-385.03280000000001</v>
      </c>
      <c r="K6284">
        <v>1.110606</v>
      </c>
      <c r="L6284">
        <v>16.77289</v>
      </c>
      <c r="M6284">
        <v>0.99926320000000002</v>
      </c>
      <c r="N6284">
        <v>0</v>
      </c>
      <c r="O6284">
        <v>-3.6143429999999997E-2</v>
      </c>
      <c r="P6284">
        <v>0.99922169999999999</v>
      </c>
      <c r="Q6284">
        <v>2.8018999999999999E-2</v>
      </c>
      <c r="R6284">
        <v>2.7766119999999998E-2</v>
      </c>
      <c r="S6284">
        <v>3.0047000000000001</v>
      </c>
      <c r="T6284">
        <v>-8.5565920000000004E-2</v>
      </c>
      <c r="U6284">
        <v>2.1972659999999998E-3</v>
      </c>
      <c r="V6284">
        <v>-6.3901490000000005E-2</v>
      </c>
      <c r="W6284">
        <v>4.084339E-2</v>
      </c>
      <c r="X6284">
        <v>0.99712009999999995</v>
      </c>
      <c r="Y6284">
        <v>-3.6847650000000003E-2</v>
      </c>
      <c r="Z6284">
        <v>1.5535379999999999E-3</v>
      </c>
      <c r="AA6284">
        <v>0.99931970000000003</v>
      </c>
      <c r="AB6284">
        <v>21</v>
      </c>
      <c r="AC6284">
        <v>38.869</v>
      </c>
      <c r="AD6284">
        <v>-1.1106081265959999</v>
      </c>
      <c r="AE6284">
        <v>3.2759999999999602E-2</v>
      </c>
      <c r="AF6284">
        <v>-1.43654186426204</v>
      </c>
      <c r="AG6284">
        <v>-1.1106081265959999</v>
      </c>
      <c r="AH6284">
        <v>38.810729169015502</v>
      </c>
      <c r="AI6284">
        <v>91.638008081845101</v>
      </c>
      <c r="AJ6284">
        <v>92.119780541365898</v>
      </c>
      <c r="AK6284">
        <v>38.853182644016499</v>
      </c>
      <c r="AL6284">
        <v>87.659195099014894</v>
      </c>
      <c r="AM6284">
        <v>93.666845819264694</v>
      </c>
      <c r="AN6284">
        <v>1.0000000383774601</v>
      </c>
    </row>
    <row r="6285" spans="1:40" x14ac:dyDescent="0.25">
      <c r="A6285" t="str">
        <f>"20190312160458105"</f>
        <v>20190312160458105</v>
      </c>
      <c r="B6285" t="str">
        <f>"1552377898101303"</f>
        <v>1552377898101303</v>
      </c>
      <c r="C6285" t="s">
        <v>40</v>
      </c>
      <c r="D6285">
        <v>6.2837610000000002</v>
      </c>
      <c r="E6285">
        <v>0.50837920000000003</v>
      </c>
      <c r="F6285" t="s">
        <v>43</v>
      </c>
      <c r="G6285">
        <v>-282.56959999999998</v>
      </c>
      <c r="H6285">
        <v>-0.05</v>
      </c>
      <c r="I6285">
        <v>17.541460000000001</v>
      </c>
      <c r="J6285">
        <v>-384.90320000000003</v>
      </c>
      <c r="K6285">
        <v>1.1106229999999999</v>
      </c>
      <c r="L6285">
        <v>16.768650000000001</v>
      </c>
      <c r="M6285">
        <v>0.99927779999999999</v>
      </c>
      <c r="N6285">
        <v>0</v>
      </c>
      <c r="O6285">
        <v>-3.5756469999999999E-2</v>
      </c>
      <c r="P6285">
        <v>0.99921459999999995</v>
      </c>
      <c r="Q6285">
        <v>2.792739E-2</v>
      </c>
      <c r="R6285">
        <v>2.811953E-2</v>
      </c>
      <c r="S6285">
        <v>3.0025940000000002</v>
      </c>
      <c r="T6285">
        <v>-3.4010529999999997E-2</v>
      </c>
      <c r="U6285">
        <v>2.2521969999999999E-2</v>
      </c>
      <c r="V6285">
        <v>-6.3870440000000001E-2</v>
      </c>
      <c r="W6285">
        <v>4.0713810000000003E-2</v>
      </c>
      <c r="X6285">
        <v>0.9971274</v>
      </c>
      <c r="Y6285">
        <v>-4.324919E-2</v>
      </c>
      <c r="Z6285">
        <v>6.4991050000000002E-4</v>
      </c>
      <c r="AA6285">
        <v>0.99906410000000001</v>
      </c>
      <c r="AB6285">
        <v>21</v>
      </c>
      <c r="AC6285">
        <v>102.3336</v>
      </c>
      <c r="AD6285">
        <v>-1.160623</v>
      </c>
      <c r="AE6285">
        <v>0.772809999999999</v>
      </c>
      <c r="AF6285">
        <v>-4.4311366394806804</v>
      </c>
      <c r="AG6285">
        <v>-1.160623</v>
      </c>
      <c r="AH6285">
        <v>102.227366103891</v>
      </c>
      <c r="AI6285">
        <v>90.649860891456299</v>
      </c>
      <c r="AJ6285">
        <v>92.481983161190399</v>
      </c>
      <c r="AK6285">
        <v>102.32993891430201</v>
      </c>
      <c r="AL6285">
        <v>87.666625692810797</v>
      </c>
      <c r="AM6285">
        <v>93.665042182258503</v>
      </c>
      <c r="AN6285">
        <v>1.0000000496306301</v>
      </c>
    </row>
    <row r="6286" spans="1:40" x14ac:dyDescent="0.25">
      <c r="A6286" t="str">
        <f>"20190312160458122"</f>
        <v>20190312160458122</v>
      </c>
      <c r="B6286" t="str">
        <f>"1552377898111064"</f>
        <v>1552377898111064</v>
      </c>
      <c r="C6286" t="s">
        <v>40</v>
      </c>
      <c r="D6286">
        <v>6.0130860000000004</v>
      </c>
      <c r="E6286">
        <v>0.50837920000000003</v>
      </c>
      <c r="F6286" t="s">
        <v>114</v>
      </c>
      <c r="G6286">
        <v>-279.68</v>
      </c>
      <c r="H6286">
        <v>1.3187690000000001</v>
      </c>
      <c r="I6286">
        <v>17.348459999999999</v>
      </c>
      <c r="J6286">
        <v>-384.73989999999998</v>
      </c>
      <c r="K6286">
        <v>1.110644</v>
      </c>
      <c r="L6286">
        <v>16.763369999999998</v>
      </c>
      <c r="M6286">
        <v>0.99929670000000004</v>
      </c>
      <c r="N6286">
        <v>0</v>
      </c>
      <c r="O6286">
        <v>-3.5237329999999997E-2</v>
      </c>
      <c r="P6286">
        <v>0.99921389999999999</v>
      </c>
      <c r="Q6286">
        <v>2.7624260000000001E-2</v>
      </c>
      <c r="R6286">
        <v>2.8442200000000001E-2</v>
      </c>
      <c r="S6286">
        <v>3.0017399999999999</v>
      </c>
      <c r="T6286">
        <v>5.9379339999999997E-3</v>
      </c>
      <c r="U6286">
        <v>1.6540530000000001E-2</v>
      </c>
      <c r="V6286">
        <v>-6.3676399999999994E-2</v>
      </c>
      <c r="W6286">
        <v>4.0363610000000001E-2</v>
      </c>
      <c r="X6286">
        <v>0.99715399999999998</v>
      </c>
      <c r="Y6286">
        <v>-4.0746350000000001E-2</v>
      </c>
      <c r="Z6286">
        <v>-1.100024E-4</v>
      </c>
      <c r="AA6286">
        <v>0.99916950000000004</v>
      </c>
      <c r="AB6286">
        <v>21</v>
      </c>
      <c r="AC6286">
        <v>105.059899999999</v>
      </c>
      <c r="AD6286">
        <v>0.208125</v>
      </c>
      <c r="AE6286">
        <v>0.585089999999997</v>
      </c>
      <c r="AF6286">
        <v>-4.2870445366460599</v>
      </c>
      <c r="AG6286">
        <v>0.208125</v>
      </c>
      <c r="AH6286">
        <v>104.97361352234</v>
      </c>
      <c r="AI6286">
        <v>89.886497794208395</v>
      </c>
      <c r="AJ6286">
        <v>92.338617576759603</v>
      </c>
      <c r="AK6286">
        <v>105.061323058547</v>
      </c>
      <c r="AL6286">
        <v>87.686707072018905</v>
      </c>
      <c r="AM6286">
        <v>93.6538406947396</v>
      </c>
      <c r="AN6286">
        <v>1.0000000023225899</v>
      </c>
    </row>
    <row r="6287" spans="1:40" x14ac:dyDescent="0.25">
      <c r="A6287" t="str">
        <f>"20190312160458135"</f>
        <v>20190312160458135</v>
      </c>
      <c r="B6287" t="str">
        <f>"1552377898131559"</f>
        <v>1552377898131559</v>
      </c>
      <c r="C6287" t="s">
        <v>40</v>
      </c>
      <c r="D6287">
        <v>5.6864239999999997</v>
      </c>
      <c r="E6287">
        <v>0.507193</v>
      </c>
      <c r="F6287" t="s">
        <v>114</v>
      </c>
      <c r="G6287">
        <v>-279.68</v>
      </c>
      <c r="H6287">
        <v>1.2873650000000001</v>
      </c>
      <c r="I6287">
        <v>17.37538</v>
      </c>
      <c r="J6287">
        <v>-384.62119999999999</v>
      </c>
      <c r="K6287">
        <v>1.110657</v>
      </c>
      <c r="L6287">
        <v>16.759640000000001</v>
      </c>
      <c r="M6287">
        <v>0.9993109</v>
      </c>
      <c r="N6287">
        <v>0</v>
      </c>
      <c r="O6287">
        <v>-3.484019E-2</v>
      </c>
      <c r="P6287">
        <v>0.99918110000000004</v>
      </c>
      <c r="Q6287">
        <v>2.826244E-2</v>
      </c>
      <c r="R6287">
        <v>2.896197E-2</v>
      </c>
      <c r="S6287">
        <v>3.00177</v>
      </c>
      <c r="T6287">
        <v>5.0493480000000004E-3</v>
      </c>
      <c r="U6287">
        <v>1.748657E-2</v>
      </c>
      <c r="V6287">
        <v>-6.3800839999999998E-2</v>
      </c>
      <c r="W6287">
        <v>4.0966790000000003E-2</v>
      </c>
      <c r="X6287">
        <v>0.99712149999999999</v>
      </c>
      <c r="Y6287">
        <v>-4.066413E-2</v>
      </c>
      <c r="Z6287" s="1">
        <v>-9.2803080000000005E-5</v>
      </c>
      <c r="AA6287">
        <v>0.99917290000000003</v>
      </c>
      <c r="AB6287">
        <v>21</v>
      </c>
      <c r="AC6287">
        <v>104.941199999999</v>
      </c>
      <c r="AD6287">
        <v>0.176707999999999</v>
      </c>
      <c r="AE6287">
        <v>0.61573999999999796</v>
      </c>
      <c r="AF6287">
        <v>-4.2718249904458903</v>
      </c>
      <c r="AG6287">
        <v>0.176707999999999</v>
      </c>
      <c r="AH6287">
        <v>104.855727803824</v>
      </c>
      <c r="AI6287">
        <v>89.903522472903404</v>
      </c>
      <c r="AJ6287">
        <v>92.332941370995698</v>
      </c>
      <c r="AK6287">
        <v>104.942857630883</v>
      </c>
      <c r="AL6287">
        <v>87.652118917575905</v>
      </c>
      <c r="AM6287">
        <v>93.661080835508301</v>
      </c>
      <c r="AN6287">
        <v>1.00000005541492</v>
      </c>
    </row>
    <row r="6288" spans="1:40" x14ac:dyDescent="0.25">
      <c r="A6288" t="str">
        <f>"20190312160458147"</f>
        <v>20190312160458147</v>
      </c>
      <c r="B6288" t="str">
        <f>"1552377898141320"</f>
        <v>1552377898141320</v>
      </c>
      <c r="C6288" t="s">
        <v>40</v>
      </c>
      <c r="D6288">
        <v>5.9481409999999997</v>
      </c>
      <c r="E6288">
        <v>0.5075482</v>
      </c>
      <c r="F6288" t="s">
        <v>87</v>
      </c>
      <c r="G6288">
        <v>-273.40989999999999</v>
      </c>
      <c r="H6288">
        <v>2.1043729999999998</v>
      </c>
      <c r="I6288">
        <v>17.825019999999999</v>
      </c>
      <c r="J6288">
        <v>-384.51429999999999</v>
      </c>
      <c r="K6288">
        <v>1.1106640000000001</v>
      </c>
      <c r="L6288">
        <v>16.756350000000001</v>
      </c>
      <c r="M6288">
        <v>0.99932399999999999</v>
      </c>
      <c r="N6288">
        <v>0</v>
      </c>
      <c r="O6288">
        <v>-3.4474200000000003E-2</v>
      </c>
      <c r="P6288">
        <v>0.99916879999999997</v>
      </c>
      <c r="Q6288">
        <v>2.8310200000000001E-2</v>
      </c>
      <c r="R6288">
        <v>2.9333060000000001E-2</v>
      </c>
      <c r="S6288">
        <v>3.0008539999999999</v>
      </c>
      <c r="T6288">
        <v>2.6813859999999998E-2</v>
      </c>
      <c r="U6288">
        <v>2.8747559999999998E-2</v>
      </c>
      <c r="V6288">
        <v>-6.3806970000000005E-2</v>
      </c>
      <c r="W6288">
        <v>4.0982989999999997E-2</v>
      </c>
      <c r="X6288">
        <v>0.99712040000000002</v>
      </c>
      <c r="Y6288">
        <v>-4.4045960000000002E-2</v>
      </c>
      <c r="Z6288">
        <v>-5.0479589999999895E-4</v>
      </c>
      <c r="AA6288">
        <v>0.99902939999999996</v>
      </c>
      <c r="AB6288">
        <v>21</v>
      </c>
      <c r="AC6288">
        <v>111.1044</v>
      </c>
      <c r="AD6288">
        <v>0.99370899999999995</v>
      </c>
      <c r="AE6288">
        <v>1.06867</v>
      </c>
      <c r="AF6288">
        <v>-4.8981905257530496</v>
      </c>
      <c r="AG6288">
        <v>0.99370899999999995</v>
      </c>
      <c r="AH6288">
        <v>110.992625008479</v>
      </c>
      <c r="AI6288">
        <v>89.487547443802498</v>
      </c>
      <c r="AJ6288">
        <v>92.526867607530505</v>
      </c>
      <c r="AK6288">
        <v>111.105096797024</v>
      </c>
      <c r="AL6288">
        <v>87.651189847305304</v>
      </c>
      <c r="AM6288">
        <v>93.661435664424204</v>
      </c>
      <c r="AN6288">
        <v>1.00000001349304</v>
      </c>
    </row>
    <row r="6289" spans="1:40" x14ac:dyDescent="0.25">
      <c r="A6289" t="str">
        <f>"20190312160458158"</f>
        <v>20190312160458158</v>
      </c>
      <c r="B6289" t="str">
        <f>"1552377898152056"</f>
        <v>1552377898152056</v>
      </c>
      <c r="C6289" t="s">
        <v>40</v>
      </c>
      <c r="D6289">
        <v>6.1304759999999998</v>
      </c>
      <c r="E6289">
        <v>0.50730989999999998</v>
      </c>
      <c r="F6289" t="s">
        <v>87</v>
      </c>
      <c r="G6289">
        <v>-273.40989999999999</v>
      </c>
      <c r="H6289">
        <v>1.6265810000000001</v>
      </c>
      <c r="I6289">
        <v>17.74823</v>
      </c>
      <c r="J6289">
        <v>-384.40429999999998</v>
      </c>
      <c r="K6289">
        <v>1.1106750000000001</v>
      </c>
      <c r="L6289">
        <v>16.75299</v>
      </c>
      <c r="M6289">
        <v>0.99933819999999995</v>
      </c>
      <c r="N6289">
        <v>0</v>
      </c>
      <c r="O6289">
        <v>-3.4075189999999998E-2</v>
      </c>
      <c r="P6289">
        <v>0.99913600000000002</v>
      </c>
      <c r="Q6289">
        <v>2.8796809999999999E-2</v>
      </c>
      <c r="R6289">
        <v>2.9976869999999999E-2</v>
      </c>
      <c r="S6289">
        <v>3.0013429999999999</v>
      </c>
      <c r="T6289">
        <v>1.393688E-2</v>
      </c>
      <c r="U6289">
        <v>2.6794430000000001E-2</v>
      </c>
      <c r="V6289">
        <v>-6.4053509999999994E-2</v>
      </c>
      <c r="W6289">
        <v>4.1434650000000003E-2</v>
      </c>
      <c r="X6289">
        <v>0.99708589999999997</v>
      </c>
      <c r="Y6289">
        <v>-4.2997710000000001E-2</v>
      </c>
      <c r="Z6289">
        <v>-2.5805009999999999E-4</v>
      </c>
      <c r="AA6289">
        <v>0.99907509999999999</v>
      </c>
      <c r="AB6289">
        <v>21</v>
      </c>
      <c r="AC6289">
        <v>110.994399999999</v>
      </c>
      <c r="AD6289">
        <v>0.51590599999999998</v>
      </c>
      <c r="AE6289">
        <v>0.99523999999999802</v>
      </c>
      <c r="AF6289">
        <v>-4.7770204899728803</v>
      </c>
      <c r="AG6289">
        <v>0.51590599999999998</v>
      </c>
      <c r="AH6289">
        <v>110.893620684433</v>
      </c>
      <c r="AI6289">
        <v>89.733694007112206</v>
      </c>
      <c r="AJ6289">
        <v>92.466634223591598</v>
      </c>
      <c r="AK6289">
        <v>110.99766300362</v>
      </c>
      <c r="AL6289">
        <v>87.625289572331297</v>
      </c>
      <c r="AM6289">
        <v>93.675670991879699</v>
      </c>
      <c r="AN6289">
        <v>0.99999998717137595</v>
      </c>
    </row>
    <row r="6290" spans="1:40" x14ac:dyDescent="0.25">
      <c r="A6290" t="str">
        <f>"20190312160458170"</f>
        <v>20190312160458170</v>
      </c>
      <c r="B6290" t="str">
        <f>"1552377898161816"</f>
        <v>1552377898161816</v>
      </c>
      <c r="C6290" t="s">
        <v>40</v>
      </c>
      <c r="D6290">
        <v>6.1326320000000001</v>
      </c>
      <c r="E6290">
        <v>0.50715519999999903</v>
      </c>
      <c r="F6290" t="s">
        <v>87</v>
      </c>
      <c r="G6290">
        <v>-273.40989999999999</v>
      </c>
      <c r="H6290">
        <v>1.927055</v>
      </c>
      <c r="I6290">
        <v>17.887339999999998</v>
      </c>
      <c r="J6290">
        <v>-384.29500000000002</v>
      </c>
      <c r="K6290">
        <v>1.1106849999999999</v>
      </c>
      <c r="L6290">
        <v>16.74973</v>
      </c>
      <c r="M6290">
        <v>0.99935220000000002</v>
      </c>
      <c r="N6290">
        <v>0</v>
      </c>
      <c r="O6290">
        <v>-3.367154E-2</v>
      </c>
      <c r="P6290">
        <v>0.9991044</v>
      </c>
      <c r="Q6290">
        <v>2.9227860000000001E-2</v>
      </c>
      <c r="R6290">
        <v>3.059622E-2</v>
      </c>
      <c r="S6290">
        <v>3.0010379999999999</v>
      </c>
      <c r="T6290">
        <v>2.207315E-2</v>
      </c>
      <c r="U6290">
        <v>3.067017E-2</v>
      </c>
      <c r="V6290">
        <v>-6.42702E-2</v>
      </c>
      <c r="W6290">
        <v>4.1829119999999997E-2</v>
      </c>
      <c r="X6290">
        <v>0.99705549999999998</v>
      </c>
      <c r="Y6290">
        <v>-4.3883930000000002E-2</v>
      </c>
      <c r="Z6290">
        <v>-4.0902620000000001E-4</v>
      </c>
      <c r="AA6290">
        <v>0.99903660000000005</v>
      </c>
      <c r="AB6290">
        <v>21</v>
      </c>
      <c r="AC6290">
        <v>110.88509999999999</v>
      </c>
      <c r="AD6290">
        <v>0.81636999999999904</v>
      </c>
      <c r="AE6290">
        <v>1.13760999999999</v>
      </c>
      <c r="AF6290">
        <v>-4.8706742757240704</v>
      </c>
      <c r="AG6290">
        <v>0.81636999999999904</v>
      </c>
      <c r="AH6290">
        <v>110.777900679794</v>
      </c>
      <c r="AI6290">
        <v>89.578177916103897</v>
      </c>
      <c r="AJ6290">
        <v>92.517554998535502</v>
      </c>
      <c r="AK6290">
        <v>110.887930844161</v>
      </c>
      <c r="AL6290">
        <v>87.602668529195498</v>
      </c>
      <c r="AM6290">
        <v>93.688183489990095</v>
      </c>
      <c r="AN6290">
        <v>1.00000000198413</v>
      </c>
    </row>
    <row r="6291" spans="1:40" x14ac:dyDescent="0.25">
      <c r="A6291" t="str">
        <f>"20190312160458182"</f>
        <v>20190312160458182</v>
      </c>
      <c r="B6291" t="str">
        <f>"1552377898171575"</f>
        <v>1552377898171575</v>
      </c>
      <c r="C6291" t="s">
        <v>40</v>
      </c>
      <c r="D6291">
        <v>6.0862790000000002</v>
      </c>
      <c r="E6291">
        <v>0.50696770000000002</v>
      </c>
      <c r="F6291" t="s">
        <v>87</v>
      </c>
      <c r="G6291">
        <v>-273.40989999999999</v>
      </c>
      <c r="H6291">
        <v>2.1683940000000002</v>
      </c>
      <c r="I6291">
        <v>17.999179999999999</v>
      </c>
      <c r="J6291">
        <v>-384.18340000000001</v>
      </c>
      <c r="K6291">
        <v>1.110697</v>
      </c>
      <c r="L6291">
        <v>16.74643</v>
      </c>
      <c r="M6291">
        <v>0.99936709999999995</v>
      </c>
      <c r="N6291">
        <v>0</v>
      </c>
      <c r="O6291">
        <v>-3.324212E-2</v>
      </c>
      <c r="P6291">
        <v>0.99909170000000003</v>
      </c>
      <c r="Q6291">
        <v>2.906574E-2</v>
      </c>
      <c r="R6291">
        <v>3.116348E-2</v>
      </c>
      <c r="S6291">
        <v>3.0008240000000002</v>
      </c>
      <c r="T6291">
        <v>2.8624299999999998E-2</v>
      </c>
      <c r="U6291">
        <v>3.381348E-2</v>
      </c>
      <c r="V6291">
        <v>-6.4409079999999994E-2</v>
      </c>
      <c r="W6291">
        <v>4.162855E-2</v>
      </c>
      <c r="X6291">
        <v>0.99705489999999997</v>
      </c>
      <c r="Y6291">
        <v>-4.450026E-2</v>
      </c>
      <c r="Z6291">
        <v>-5.2929780000000003E-4</v>
      </c>
      <c r="AA6291">
        <v>0.99900929999999999</v>
      </c>
      <c r="AB6291">
        <v>21</v>
      </c>
      <c r="AC6291">
        <v>110.7735</v>
      </c>
      <c r="AD6291">
        <v>1.0576969999999899</v>
      </c>
      <c r="AE6291">
        <v>1.25274999999999</v>
      </c>
      <c r="AF6291">
        <v>-4.9342489998207997</v>
      </c>
      <c r="AG6291">
        <v>1.0576969999999899</v>
      </c>
      <c r="AH6291">
        <v>110.660533758144</v>
      </c>
      <c r="AI6291">
        <v>89.452925281142399</v>
      </c>
      <c r="AJ6291">
        <v>92.553073760047198</v>
      </c>
      <c r="AK6291">
        <v>110.775535511111</v>
      </c>
      <c r="AL6291">
        <v>87.614170284999901</v>
      </c>
      <c r="AM6291">
        <v>93.696133350597506</v>
      </c>
      <c r="AN6291">
        <v>0.99999996968777805</v>
      </c>
    </row>
    <row r="6292" spans="1:40" x14ac:dyDescent="0.25">
      <c r="A6292" t="str">
        <f>"20190312160458200"</f>
        <v>20190312160458200</v>
      </c>
      <c r="B6292" t="str">
        <f>"1552377898191806"</f>
        <v>1552377898191806</v>
      </c>
      <c r="C6292" t="s">
        <v>40</v>
      </c>
      <c r="D6292">
        <v>6.1432289999999998</v>
      </c>
      <c r="E6292">
        <v>0.50690639999999998</v>
      </c>
      <c r="F6292" t="s">
        <v>106</v>
      </c>
      <c r="G6292">
        <v>-276.12270000000001</v>
      </c>
      <c r="H6292">
        <v>2.3057780000000001</v>
      </c>
      <c r="I6292">
        <v>18.08175</v>
      </c>
      <c r="J6292">
        <v>-384.01220000000001</v>
      </c>
      <c r="K6292">
        <v>1.1107100000000001</v>
      </c>
      <c r="L6292">
        <v>16.74155</v>
      </c>
      <c r="M6292">
        <v>0.99939020000000001</v>
      </c>
      <c r="N6292">
        <v>0</v>
      </c>
      <c r="O6292">
        <v>-3.256005E-2</v>
      </c>
      <c r="P6292">
        <v>0.99906530000000004</v>
      </c>
      <c r="Q6292">
        <v>2.9145910000000001E-2</v>
      </c>
      <c r="R6292">
        <v>3.1927360000000002E-2</v>
      </c>
      <c r="S6292">
        <v>3.00061</v>
      </c>
      <c r="T6292">
        <v>3.3184770000000002E-2</v>
      </c>
      <c r="U6292">
        <v>3.7078859999999998E-2</v>
      </c>
      <c r="V6292">
        <v>-6.4493159999999994E-2</v>
      </c>
      <c r="W6292">
        <v>4.1649510000000001E-2</v>
      </c>
      <c r="X6292">
        <v>0.99704859999999995</v>
      </c>
      <c r="Y6292">
        <v>-4.490504E-2</v>
      </c>
      <c r="Z6292">
        <v>-6.0835990000000003E-4</v>
      </c>
      <c r="AA6292">
        <v>0.99899110000000002</v>
      </c>
      <c r="AB6292">
        <v>21</v>
      </c>
      <c r="AC6292">
        <v>107.8895</v>
      </c>
      <c r="AD6292">
        <v>1.195068</v>
      </c>
      <c r="AE6292">
        <v>1.3401999999999901</v>
      </c>
      <c r="AF6292">
        <v>-4.8520610032134499</v>
      </c>
      <c r="AG6292">
        <v>1.195068</v>
      </c>
      <c r="AH6292">
        <v>107.77542391839199</v>
      </c>
      <c r="AI6292">
        <v>89.365344457907398</v>
      </c>
      <c r="AJ6292">
        <v>92.577721487039597</v>
      </c>
      <c r="AK6292">
        <v>107.891207632006</v>
      </c>
      <c r="AL6292">
        <v>87.6129683477741</v>
      </c>
      <c r="AM6292">
        <v>93.700968224245301</v>
      </c>
      <c r="AN6292">
        <v>0.999999980065992</v>
      </c>
    </row>
    <row r="6293" spans="1:40" x14ac:dyDescent="0.25">
      <c r="A6293" t="str">
        <f>"20190312160458212"</f>
        <v>20190312160458212</v>
      </c>
      <c r="B6293" t="str">
        <f>"1552377898201565"</f>
        <v>1552377898201565</v>
      </c>
      <c r="C6293" t="s">
        <v>40</v>
      </c>
      <c r="D6293">
        <v>6.0682879999999999</v>
      </c>
      <c r="E6293">
        <v>0.50670539999999997</v>
      </c>
      <c r="F6293" t="s">
        <v>106</v>
      </c>
      <c r="G6293">
        <v>-276.25810000000001</v>
      </c>
      <c r="H6293">
        <v>2.602948</v>
      </c>
      <c r="I6293">
        <v>18.180620000000001</v>
      </c>
      <c r="J6293">
        <v>-383.90499999999997</v>
      </c>
      <c r="K6293">
        <v>1.110722</v>
      </c>
      <c r="L6293">
        <v>16.738489999999999</v>
      </c>
      <c r="M6293">
        <v>0.99940499999999999</v>
      </c>
      <c r="N6293">
        <v>0</v>
      </c>
      <c r="O6293">
        <v>-3.2120330000000002E-2</v>
      </c>
      <c r="P6293">
        <v>0.9990407</v>
      </c>
      <c r="Q6293">
        <v>2.9151070000000001E-2</v>
      </c>
      <c r="R6293">
        <v>3.2681200000000001E-2</v>
      </c>
      <c r="S6293">
        <v>3.0003359999999999</v>
      </c>
      <c r="T6293">
        <v>4.1550400000000001E-2</v>
      </c>
      <c r="U6293">
        <v>4.006958E-2</v>
      </c>
      <c r="V6293">
        <v>-6.4807509999999999E-2</v>
      </c>
      <c r="W6293">
        <v>4.1617120000000001E-2</v>
      </c>
      <c r="X6293">
        <v>0.99702959999999996</v>
      </c>
      <c r="Y6293">
        <v>-4.5459520000000003E-2</v>
      </c>
      <c r="Z6293">
        <v>-7.5952739999999999E-4</v>
      </c>
      <c r="AA6293">
        <v>0.99896589999999996</v>
      </c>
      <c r="AB6293">
        <v>21</v>
      </c>
      <c r="AC6293">
        <v>107.64689999999899</v>
      </c>
      <c r="AD6293">
        <v>1.4922260000000001</v>
      </c>
      <c r="AE6293">
        <v>1.4421299999999999</v>
      </c>
      <c r="AF6293">
        <v>-4.8983716655143397</v>
      </c>
      <c r="AG6293">
        <v>1.4922260000000001</v>
      </c>
      <c r="AH6293">
        <v>107.524362726889</v>
      </c>
      <c r="AI6293">
        <v>89.205722338645103</v>
      </c>
      <c r="AJ6293">
        <v>92.608358745698098</v>
      </c>
      <c r="AK6293">
        <v>107.64622317216801</v>
      </c>
      <c r="AL6293">
        <v>87.6148258415692</v>
      </c>
      <c r="AM6293">
        <v>93.719027506833001</v>
      </c>
      <c r="AN6293">
        <v>1.00000001065282</v>
      </c>
    </row>
    <row r="6294" spans="1:40" x14ac:dyDescent="0.25">
      <c r="A6294" t="str">
        <f>"20190312160458223"</f>
        <v>20190312160458223</v>
      </c>
      <c r="B6294" t="str">
        <f>"1552377898211327"</f>
        <v>1552377898211327</v>
      </c>
      <c r="C6294" t="s">
        <v>40</v>
      </c>
      <c r="D6294">
        <v>6.1784749999999997</v>
      </c>
      <c r="E6294">
        <v>0.50648769999999999</v>
      </c>
      <c r="F6294" t="s">
        <v>106</v>
      </c>
      <c r="G6294">
        <v>-276.26510000000002</v>
      </c>
      <c r="H6294">
        <v>2.7706879999999998</v>
      </c>
      <c r="I6294">
        <v>18.317399999999999</v>
      </c>
      <c r="J6294">
        <v>-383.7937</v>
      </c>
      <c r="K6294">
        <v>1.1107279999999999</v>
      </c>
      <c r="L6294">
        <v>16.735440000000001</v>
      </c>
      <c r="M6294">
        <v>0.99942030000000004</v>
      </c>
      <c r="N6294">
        <v>0</v>
      </c>
      <c r="O6294">
        <v>-3.1652710000000001E-2</v>
      </c>
      <c r="P6294">
        <v>0.99902190000000002</v>
      </c>
      <c r="Q6294">
        <v>2.9256330000000001E-2</v>
      </c>
      <c r="R6294">
        <v>3.3160460000000003E-2</v>
      </c>
      <c r="S6294">
        <v>3.000092</v>
      </c>
      <c r="T6294">
        <v>4.6265840000000003E-2</v>
      </c>
      <c r="U6294">
        <v>4.400635E-2</v>
      </c>
      <c r="V6294">
        <v>-6.4820169999999996E-2</v>
      </c>
      <c r="W6294">
        <v>4.1684770000000003E-2</v>
      </c>
      <c r="X6294">
        <v>0.99702599999999997</v>
      </c>
      <c r="Y6294">
        <v>-4.6301929999999998E-2</v>
      </c>
      <c r="Z6294">
        <v>-8.4506329999999995E-4</v>
      </c>
      <c r="AA6294">
        <v>0.99892709999999996</v>
      </c>
      <c r="AB6294">
        <v>21</v>
      </c>
      <c r="AC6294">
        <v>107.528599999999</v>
      </c>
      <c r="AD6294">
        <v>1.6599599999999901</v>
      </c>
      <c r="AE6294">
        <v>1.58195999999999</v>
      </c>
      <c r="AF6294">
        <v>-4.9838188416346396</v>
      </c>
      <c r="AG6294">
        <v>1.6599599999999901</v>
      </c>
      <c r="AH6294">
        <v>107.39904561814799</v>
      </c>
      <c r="AI6294">
        <v>89.115458471289301</v>
      </c>
      <c r="AJ6294">
        <v>92.656886564391002</v>
      </c>
      <c r="AK6294">
        <v>107.527433323487</v>
      </c>
      <c r="AL6294">
        <v>87.610946532611806</v>
      </c>
      <c r="AM6294">
        <v>93.719765364272305</v>
      </c>
      <c r="AN6294">
        <v>1.0000000595823799</v>
      </c>
    </row>
    <row r="6295" spans="1:40" x14ac:dyDescent="0.25">
      <c r="A6295" t="str">
        <f>"20190312160458235"</f>
        <v>20190312160458235</v>
      </c>
      <c r="B6295" t="str">
        <f>"1552377898231823"</f>
        <v>1552377898231823</v>
      </c>
      <c r="C6295" t="s">
        <v>40</v>
      </c>
      <c r="D6295">
        <v>5.992057</v>
      </c>
      <c r="E6295">
        <v>0.50605800000000001</v>
      </c>
      <c r="F6295" t="s">
        <v>106</v>
      </c>
      <c r="G6295">
        <v>-276.07859999999999</v>
      </c>
      <c r="H6295">
        <v>2.8971770000000001</v>
      </c>
      <c r="I6295">
        <v>18.430599999999998</v>
      </c>
      <c r="J6295">
        <v>-383.68560000000002</v>
      </c>
      <c r="K6295">
        <v>1.110733</v>
      </c>
      <c r="L6295">
        <v>16.73254</v>
      </c>
      <c r="M6295">
        <v>0.99943539999999997</v>
      </c>
      <c r="N6295">
        <v>0</v>
      </c>
      <c r="O6295">
        <v>-3.1188090000000002E-2</v>
      </c>
      <c r="P6295">
        <v>0.99901439999999997</v>
      </c>
      <c r="Q6295">
        <v>2.8943E-2</v>
      </c>
      <c r="R6295">
        <v>3.3659580000000001E-2</v>
      </c>
      <c r="S6295">
        <v>2.999908</v>
      </c>
      <c r="T6295">
        <v>4.9753430000000001E-2</v>
      </c>
      <c r="U6295">
        <v>4.721069E-2</v>
      </c>
      <c r="V6295">
        <v>-6.4855350000000006E-2</v>
      </c>
      <c r="W6295">
        <v>4.1333170000000002E-2</v>
      </c>
      <c r="X6295">
        <v>0.99703830000000004</v>
      </c>
      <c r="Y6295">
        <v>-4.69037E-2</v>
      </c>
      <c r="Z6295">
        <v>-9.0609320000000003E-4</v>
      </c>
      <c r="AA6295">
        <v>0.99889899999999998</v>
      </c>
      <c r="AB6295">
        <v>21</v>
      </c>
      <c r="AC6295">
        <v>107.607</v>
      </c>
      <c r="AD6295">
        <v>1.7864439999999999</v>
      </c>
      <c r="AE6295">
        <v>1.6980599999999899</v>
      </c>
      <c r="AF6295">
        <v>-5.05216064577768</v>
      </c>
      <c r="AG6295">
        <v>1.7864439999999999</v>
      </c>
      <c r="AH6295">
        <v>107.472068010084</v>
      </c>
      <c r="AI6295">
        <v>89.048744472046494</v>
      </c>
      <c r="AJ6295">
        <v>92.691439211487605</v>
      </c>
      <c r="AK6295">
        <v>107.605581229414</v>
      </c>
      <c r="AL6295">
        <v>87.6311089864124</v>
      </c>
      <c r="AM6295">
        <v>93.721732743673101</v>
      </c>
      <c r="AN6295">
        <v>1.0000000095163799</v>
      </c>
    </row>
    <row r="6296" spans="1:40" x14ac:dyDescent="0.25">
      <c r="A6296" t="str">
        <f>"20190312160458246"</f>
        <v>20190312160458246</v>
      </c>
      <c r="B6296" t="str">
        <f>"1552377898241582"</f>
        <v>1552377898241582</v>
      </c>
      <c r="C6296" t="s">
        <v>40</v>
      </c>
      <c r="D6296">
        <v>6.115208</v>
      </c>
      <c r="E6296">
        <v>0.50588509999999998</v>
      </c>
      <c r="F6296" t="s">
        <v>106</v>
      </c>
      <c r="G6296">
        <v>-276.0652</v>
      </c>
      <c r="H6296">
        <v>3.0552239999999999</v>
      </c>
      <c r="I6296">
        <v>18.605910000000002</v>
      </c>
      <c r="J6296">
        <v>-383.57659999999998</v>
      </c>
      <c r="K6296">
        <v>1.1107359999999999</v>
      </c>
      <c r="L6296">
        <v>16.72964</v>
      </c>
      <c r="M6296">
        <v>0.99945050000000002</v>
      </c>
      <c r="N6296">
        <v>0</v>
      </c>
      <c r="O6296">
        <v>-3.071453E-2</v>
      </c>
      <c r="P6296">
        <v>0.99899859999999896</v>
      </c>
      <c r="Q6296">
        <v>2.9016299999999998E-2</v>
      </c>
      <c r="R6296">
        <v>3.4064869999999997E-2</v>
      </c>
      <c r="S6296">
        <v>2.9996640000000001</v>
      </c>
      <c r="T6296">
        <v>5.4198030000000001E-2</v>
      </c>
      <c r="U6296">
        <v>5.2215579999999998E-2</v>
      </c>
      <c r="V6296">
        <v>-6.4788709999999999E-2</v>
      </c>
      <c r="W6296">
        <v>4.1368429999999998E-2</v>
      </c>
      <c r="X6296">
        <v>0.99704119999999996</v>
      </c>
      <c r="Y6296">
        <v>-4.8095690000000003E-2</v>
      </c>
      <c r="Z6296">
        <v>-9.8930739999999995E-4</v>
      </c>
      <c r="AA6296">
        <v>0.99884220000000001</v>
      </c>
      <c r="AB6296">
        <v>21</v>
      </c>
      <c r="AC6296">
        <v>107.511399999999</v>
      </c>
      <c r="AD6296">
        <v>1.944488</v>
      </c>
      <c r="AE6296">
        <v>1.8762700000000001</v>
      </c>
      <c r="AF6296">
        <v>-5.1761105510181098</v>
      </c>
      <c r="AG6296">
        <v>1.944488</v>
      </c>
      <c r="AH6296">
        <v>107.367923698063</v>
      </c>
      <c r="AI6296">
        <v>88.9636608848229</v>
      </c>
      <c r="AJ6296">
        <v>92.760040844699205</v>
      </c>
      <c r="AK6296">
        <v>107.510205065619</v>
      </c>
      <c r="AL6296">
        <v>87.629087078294006</v>
      </c>
      <c r="AM6296">
        <v>93.717908546272795</v>
      </c>
      <c r="AN6296">
        <v>1.00000003922078</v>
      </c>
    </row>
    <row r="6297" spans="1:40" x14ac:dyDescent="0.25">
      <c r="A6297" t="str">
        <f>"20190312160458267"</f>
        <v>20190312160458267</v>
      </c>
      <c r="B6297" t="str">
        <f>"1552377898261103"</f>
        <v>1552377898261103</v>
      </c>
      <c r="C6297" t="s">
        <v>40</v>
      </c>
      <c r="D6297">
        <v>6.2191919999999996</v>
      </c>
      <c r="E6297">
        <v>0.50622290000000003</v>
      </c>
      <c r="F6297" t="s">
        <v>106</v>
      </c>
      <c r="G6297">
        <v>-276.28199999999998</v>
      </c>
      <c r="H6297">
        <v>3.1569440000000002</v>
      </c>
      <c r="I6297">
        <v>18.69134</v>
      </c>
      <c r="J6297">
        <v>-383.38440000000003</v>
      </c>
      <c r="K6297">
        <v>1.1107389999999999</v>
      </c>
      <c r="L6297">
        <v>16.724729999999902</v>
      </c>
      <c r="M6297">
        <v>0.99947739999999996</v>
      </c>
      <c r="N6297">
        <v>0</v>
      </c>
      <c r="O6297">
        <v>-2.9857849999999998E-2</v>
      </c>
      <c r="P6297">
        <v>0.99895009999999995</v>
      </c>
      <c r="Q6297">
        <v>2.937114E-2</v>
      </c>
      <c r="R6297">
        <v>3.5161009999999999E-2</v>
      </c>
      <c r="S6297">
        <v>2.9994809999999998</v>
      </c>
      <c r="T6297">
        <v>5.7203049999999998E-2</v>
      </c>
      <c r="U6297">
        <v>5.4840090000000001E-2</v>
      </c>
      <c r="V6297">
        <v>-6.5029439999999994E-2</v>
      </c>
      <c r="W6297">
        <v>4.1649039999999998E-2</v>
      </c>
      <c r="X6297">
        <v>0.99701379999999995</v>
      </c>
      <c r="Y6297">
        <v>-4.8112960000000003E-2</v>
      </c>
      <c r="Z6297">
        <v>-1.0280389999999999E-3</v>
      </c>
      <c r="AA6297">
        <v>0.99884130000000004</v>
      </c>
      <c r="AB6297">
        <v>21</v>
      </c>
      <c r="AC6297">
        <v>107.1024</v>
      </c>
      <c r="AD6297">
        <v>2.0462050000000001</v>
      </c>
      <c r="AE6297">
        <v>1.96661</v>
      </c>
      <c r="AF6297">
        <v>-5.16194231189733</v>
      </c>
      <c r="AG6297">
        <v>2.0462050000000001</v>
      </c>
      <c r="AH6297">
        <v>106.95689161261301</v>
      </c>
      <c r="AI6297">
        <v>88.905275204156794</v>
      </c>
      <c r="AJ6297">
        <v>92.7630589980118</v>
      </c>
      <c r="AK6297">
        <v>107.10093027964599</v>
      </c>
      <c r="AL6297">
        <v>87.612995333445795</v>
      </c>
      <c r="AM6297">
        <v>93.731786171929897</v>
      </c>
      <c r="AN6297">
        <v>0.99999999399503703</v>
      </c>
    </row>
    <row r="6298" spans="1:40" x14ac:dyDescent="0.25">
      <c r="A6298" t="str">
        <f>"20190312160458280"</f>
        <v>20190312160458280</v>
      </c>
      <c r="B6298" t="str">
        <f>"1552377898271839"</f>
        <v>1552377898271839</v>
      </c>
      <c r="C6298" t="s">
        <v>40</v>
      </c>
      <c r="D6298">
        <v>6.1315350000000004</v>
      </c>
      <c r="E6298">
        <v>0.50625989999999998</v>
      </c>
      <c r="F6298" t="s">
        <v>106</v>
      </c>
      <c r="G6298">
        <v>-276.07139999999998</v>
      </c>
      <c r="H6298">
        <v>2.9246479999999999</v>
      </c>
      <c r="I6298">
        <v>18.704059999999998</v>
      </c>
      <c r="J6298">
        <v>-383.25619999999998</v>
      </c>
      <c r="K6298">
        <v>1.1107340000000001</v>
      </c>
      <c r="L6298">
        <v>16.721589999999999</v>
      </c>
      <c r="M6298">
        <v>0.99949529999999998</v>
      </c>
      <c r="N6298">
        <v>0</v>
      </c>
      <c r="O6298">
        <v>-2.9273159999999999E-2</v>
      </c>
      <c r="P6298">
        <v>0.99892720000000002</v>
      </c>
      <c r="Q6298">
        <v>2.9483579999999999E-2</v>
      </c>
      <c r="R6298">
        <v>3.5716190000000002E-2</v>
      </c>
      <c r="S6298">
        <v>2.9997250000000002</v>
      </c>
      <c r="T6298">
        <v>5.0704239999999998E-2</v>
      </c>
      <c r="U6298">
        <v>5.5328370000000002E-2</v>
      </c>
      <c r="V6298">
        <v>-6.5001229999999993E-2</v>
      </c>
      <c r="W6298">
        <v>4.1712409999999998E-2</v>
      </c>
      <c r="X6298">
        <v>0.99701300000000004</v>
      </c>
      <c r="Y6298">
        <v>-4.7692859999999997E-2</v>
      </c>
      <c r="Z6298">
        <v>-8.9775599999999999E-4</v>
      </c>
      <c r="AA6298">
        <v>0.99886169999999996</v>
      </c>
      <c r="AB6298">
        <v>21</v>
      </c>
      <c r="AC6298">
        <v>107.1848</v>
      </c>
      <c r="AD6298">
        <v>1.813914</v>
      </c>
      <c r="AE6298">
        <v>1.98247</v>
      </c>
      <c r="AF6298">
        <v>-5.1180316433573498</v>
      </c>
      <c r="AG6298">
        <v>1.813914</v>
      </c>
      <c r="AH6298">
        <v>107.05017303754001</v>
      </c>
      <c r="AI6298">
        <v>89.030350659666794</v>
      </c>
      <c r="AJ6298">
        <v>92.737207080093896</v>
      </c>
      <c r="AK6298">
        <v>107.187798182764</v>
      </c>
      <c r="AL6298">
        <v>87.609361364865293</v>
      </c>
      <c r="AM6298">
        <v>93.7301748660567</v>
      </c>
      <c r="AN6298">
        <v>1.00000000360926</v>
      </c>
    </row>
    <row r="6299" spans="1:40" x14ac:dyDescent="0.25">
      <c r="A6299" t="str">
        <f>"20190312160458294"</f>
        <v>20190312160458294</v>
      </c>
      <c r="B6299" t="str">
        <f>"1552377898281600"</f>
        <v>1552377898281600</v>
      </c>
      <c r="C6299" t="s">
        <v>40</v>
      </c>
      <c r="D6299">
        <v>6.1616010000000001</v>
      </c>
      <c r="E6299">
        <v>0.50595800000000002</v>
      </c>
      <c r="F6299" t="s">
        <v>106</v>
      </c>
      <c r="G6299">
        <v>-276.06889999999999</v>
      </c>
      <c r="H6299">
        <v>2.9499789999999999</v>
      </c>
      <c r="I6299">
        <v>18.74663</v>
      </c>
      <c r="J6299">
        <v>-383.14069999999998</v>
      </c>
      <c r="K6299">
        <v>1.110733</v>
      </c>
      <c r="L6299">
        <v>16.718779999999999</v>
      </c>
      <c r="M6299">
        <v>0.99951120000000004</v>
      </c>
      <c r="N6299">
        <v>0</v>
      </c>
      <c r="O6299">
        <v>-2.8741929999999999E-2</v>
      </c>
      <c r="P6299">
        <v>0.99888960000000004</v>
      </c>
      <c r="Q6299">
        <v>2.9909069999999999E-2</v>
      </c>
      <c r="R6299">
        <v>3.6403829999999998E-2</v>
      </c>
      <c r="S6299">
        <v>2.9996640000000001</v>
      </c>
      <c r="T6299">
        <v>5.1471830000000003E-2</v>
      </c>
      <c r="U6299">
        <v>5.6671140000000002E-2</v>
      </c>
      <c r="V6299">
        <v>-6.5157549999999995E-2</v>
      </c>
      <c r="W6299">
        <v>4.2094970000000002E-2</v>
      </c>
      <c r="X6299">
        <v>0.9969867</v>
      </c>
      <c r="Y6299">
        <v>-4.7609060000000002E-2</v>
      </c>
      <c r="Z6299">
        <v>-9.0152820000000003E-4</v>
      </c>
      <c r="AA6299">
        <v>0.99886569999999997</v>
      </c>
      <c r="AB6299">
        <v>21</v>
      </c>
      <c r="AC6299">
        <v>107.0718</v>
      </c>
      <c r="AD6299">
        <v>1.8392459999999999</v>
      </c>
      <c r="AE6299">
        <v>2.0278499999999999</v>
      </c>
      <c r="AF6299">
        <v>-5.1031897831968998</v>
      </c>
      <c r="AG6299">
        <v>1.8392459999999999</v>
      </c>
      <c r="AH6299">
        <v>106.937726390142</v>
      </c>
      <c r="AI6299">
        <v>89.015773991904695</v>
      </c>
      <c r="AJ6299">
        <v>92.732146964638503</v>
      </c>
      <c r="AK6299">
        <v>107.075219809743</v>
      </c>
      <c r="AL6299">
        <v>87.5874229804122</v>
      </c>
      <c r="AM6299">
        <v>93.739218418511797</v>
      </c>
      <c r="AN6299">
        <v>0.99999998639909604</v>
      </c>
    </row>
    <row r="6300" spans="1:40" x14ac:dyDescent="0.25">
      <c r="A6300" t="str">
        <f>"20190312160458313"</f>
        <v>20190312160458313</v>
      </c>
      <c r="B6300" t="str">
        <f>"1552377898301819"</f>
        <v>1552377898301819</v>
      </c>
      <c r="C6300" t="s">
        <v>40</v>
      </c>
      <c r="D6300">
        <v>6.1090669999999996</v>
      </c>
      <c r="E6300">
        <v>0.50561990000000001</v>
      </c>
      <c r="F6300" t="s">
        <v>106</v>
      </c>
      <c r="G6300">
        <v>-276.24619999999999</v>
      </c>
      <c r="H6300">
        <v>3.1138050000000002</v>
      </c>
      <c r="I6300">
        <v>18.899439999999998</v>
      </c>
      <c r="J6300">
        <v>-382.959</v>
      </c>
      <c r="K6300">
        <v>1.1107309999999999</v>
      </c>
      <c r="L6300">
        <v>16.71454</v>
      </c>
      <c r="M6300">
        <v>0.99953579999999997</v>
      </c>
      <c r="N6300">
        <v>0</v>
      </c>
      <c r="O6300">
        <v>-2.789755E-2</v>
      </c>
      <c r="P6300">
        <v>0.99884580000000001</v>
      </c>
      <c r="Q6300">
        <v>2.9880420000000001E-2</v>
      </c>
      <c r="R6300">
        <v>3.7612699999999902E-2</v>
      </c>
      <c r="S6300">
        <v>2.99939</v>
      </c>
      <c r="T6300">
        <v>5.6204919999999998E-2</v>
      </c>
      <c r="U6300">
        <v>6.1187739999999997E-2</v>
      </c>
      <c r="V6300">
        <v>-6.5523380000000006E-2</v>
      </c>
      <c r="W6300">
        <v>4.2003020000000002E-2</v>
      </c>
      <c r="X6300">
        <v>0.99696660000000004</v>
      </c>
      <c r="Y6300">
        <v>-4.8268360000000003E-2</v>
      </c>
      <c r="Z6300">
        <v>-9.7484980000000002E-4</v>
      </c>
      <c r="AA6300">
        <v>0.998834</v>
      </c>
      <c r="AB6300">
        <v>21</v>
      </c>
      <c r="AC6300">
        <v>106.7128</v>
      </c>
      <c r="AD6300">
        <v>2.0030739999999998</v>
      </c>
      <c r="AE6300">
        <v>2.1848999999999901</v>
      </c>
      <c r="AF6300">
        <v>-5.1594812001358701</v>
      </c>
      <c r="AG6300">
        <v>2.0030739999999998</v>
      </c>
      <c r="AH6300">
        <v>106.572767872505</v>
      </c>
      <c r="AI6300">
        <v>88.924491084571201</v>
      </c>
      <c r="AJ6300">
        <v>92.771682415561202</v>
      </c>
      <c r="AK6300">
        <v>106.71638769987899</v>
      </c>
      <c r="AL6300">
        <v>87.592695985988101</v>
      </c>
      <c r="AM6300">
        <v>93.760227960067894</v>
      </c>
      <c r="AN6300">
        <v>0.99999998426565195</v>
      </c>
    </row>
    <row r="6301" spans="1:40" x14ac:dyDescent="0.25">
      <c r="A6301" t="str">
        <f>"20190312160458326"</f>
        <v>20190312160458326</v>
      </c>
      <c r="B6301" t="str">
        <f>"1552377898321340"</f>
        <v>1552377898321340</v>
      </c>
      <c r="C6301" t="s">
        <v>40</v>
      </c>
      <c r="D6301">
        <v>6.2134479999999996</v>
      </c>
      <c r="E6301">
        <v>0.50542759999999998</v>
      </c>
      <c r="F6301" t="s">
        <v>106</v>
      </c>
      <c r="G6301">
        <v>-276.9547</v>
      </c>
      <c r="H6301">
        <v>3.3001510000000001</v>
      </c>
      <c r="I6301">
        <v>19.103819999999999</v>
      </c>
      <c r="J6301">
        <v>-382.83249999999998</v>
      </c>
      <c r="K6301">
        <v>1.11073</v>
      </c>
      <c r="L6301">
        <v>16.711670000000002</v>
      </c>
      <c r="M6301">
        <v>0.99955269999999996</v>
      </c>
      <c r="N6301">
        <v>0</v>
      </c>
      <c r="O6301">
        <v>-2.7304599999999998E-2</v>
      </c>
      <c r="P6301">
        <v>0.99881260000000005</v>
      </c>
      <c r="Q6301">
        <v>2.9865849999999999E-2</v>
      </c>
      <c r="R6301">
        <v>3.8494819999999999E-2</v>
      </c>
      <c r="S6301">
        <v>2.9990230000000002</v>
      </c>
      <c r="T6301">
        <v>6.1942700000000003E-2</v>
      </c>
      <c r="U6301">
        <v>6.7596439999999994E-2</v>
      </c>
      <c r="V6301">
        <v>-6.5812579999999996E-2</v>
      </c>
      <c r="W6301">
        <v>4.1945370000000003E-2</v>
      </c>
      <c r="X6301">
        <v>0.99695</v>
      </c>
      <c r="Y6301">
        <v>-4.9808610000000003E-2</v>
      </c>
      <c r="Z6301">
        <v>-1.078119E-3</v>
      </c>
      <c r="AA6301">
        <v>0.99875820000000004</v>
      </c>
      <c r="AB6301">
        <v>21</v>
      </c>
      <c r="AC6301">
        <v>105.877799999999</v>
      </c>
      <c r="AD6301">
        <v>2.1894209999999998</v>
      </c>
      <c r="AE6301">
        <v>2.39215</v>
      </c>
      <c r="AF6301">
        <v>-5.28016744627483</v>
      </c>
      <c r="AG6301">
        <v>2.1894209999999998</v>
      </c>
      <c r="AH6301">
        <v>105.727809777153</v>
      </c>
      <c r="AI6301">
        <v>88.8151596198135</v>
      </c>
      <c r="AJ6301">
        <v>92.859041248763802</v>
      </c>
      <c r="AK6301">
        <v>105.882215186734</v>
      </c>
      <c r="AL6301">
        <v>87.596002053918596</v>
      </c>
      <c r="AM6301">
        <v>93.776839222864297</v>
      </c>
      <c r="AN6301">
        <v>1.00000000612534</v>
      </c>
    </row>
    <row r="6302" spans="1:40" x14ac:dyDescent="0.25">
      <c r="A6302" t="str">
        <f>"20190312160458344"</f>
        <v>20190312160458344</v>
      </c>
      <c r="B6302" t="str">
        <f>"1552377898341836"</f>
        <v>1552377898341836</v>
      </c>
      <c r="C6302" t="s">
        <v>40</v>
      </c>
      <c r="D6302">
        <v>6.2195390000000002</v>
      </c>
      <c r="E6302">
        <v>0.50517069999999997</v>
      </c>
      <c r="F6302" t="s">
        <v>106</v>
      </c>
      <c r="G6302">
        <v>-276.81020000000001</v>
      </c>
      <c r="H6302">
        <v>3.4540999999999999</v>
      </c>
      <c r="I6302">
        <v>19.2515</v>
      </c>
      <c r="J6302">
        <v>-382.66019999999997</v>
      </c>
      <c r="K6302">
        <v>1.110724</v>
      </c>
      <c r="L6302">
        <v>16.707920000000001</v>
      </c>
      <c r="M6302">
        <v>0.99957530000000006</v>
      </c>
      <c r="N6302">
        <v>0</v>
      </c>
      <c r="O6302">
        <v>-2.6492720000000001E-2</v>
      </c>
      <c r="P6302">
        <v>0.99879010000000001</v>
      </c>
      <c r="Q6302">
        <v>2.9589020000000001E-2</v>
      </c>
      <c r="R6302">
        <v>3.9278889999999997E-2</v>
      </c>
      <c r="S6302">
        <v>2.9988100000000002</v>
      </c>
      <c r="T6302">
        <v>6.6281560000000003E-2</v>
      </c>
      <c r="U6302">
        <v>7.1838379999999993E-2</v>
      </c>
      <c r="V6302">
        <v>-6.5784980000000007E-2</v>
      </c>
      <c r="W6302">
        <v>4.1611879999999997E-2</v>
      </c>
      <c r="X6302">
        <v>0.99696580000000001</v>
      </c>
      <c r="Y6302">
        <v>-5.0408670000000003E-2</v>
      </c>
      <c r="Z6302">
        <v>-1.1423749999999999E-3</v>
      </c>
      <c r="AA6302">
        <v>0.99872799999999995</v>
      </c>
      <c r="AB6302">
        <v>21</v>
      </c>
      <c r="AC6302">
        <v>105.849999999999</v>
      </c>
      <c r="AD6302">
        <v>2.3433759999999899</v>
      </c>
      <c r="AE6302">
        <v>2.5435799999999902</v>
      </c>
      <c r="AF6302">
        <v>-5.3445301854615499</v>
      </c>
      <c r="AG6302">
        <v>2.3433759999999899</v>
      </c>
      <c r="AH6302">
        <v>105.69367785529499</v>
      </c>
      <c r="AI6302">
        <v>88.731501057082994</v>
      </c>
      <c r="AJ6302">
        <v>92.894765648542901</v>
      </c>
      <c r="AK6302">
        <v>105.85465956942799</v>
      </c>
      <c r="AL6302">
        <v>87.615126328429696</v>
      </c>
      <c r="AM6302">
        <v>93.7752002433526</v>
      </c>
      <c r="AN6302">
        <v>1.00000000926018</v>
      </c>
    </row>
    <row r="6303" spans="1:40" x14ac:dyDescent="0.25">
      <c r="A6303" t="str">
        <f>"20190312160458356"</f>
        <v>20190312160458356</v>
      </c>
      <c r="B6303" t="str">
        <f>"1552377898351596"</f>
        <v>1552377898351596</v>
      </c>
      <c r="C6303" t="s">
        <v>40</v>
      </c>
      <c r="D6303">
        <v>6.2384539999999999</v>
      </c>
      <c r="E6303">
        <v>0.50499929999999904</v>
      </c>
      <c r="F6303" t="s">
        <v>106</v>
      </c>
      <c r="G6303">
        <v>-276.70299999999997</v>
      </c>
      <c r="H6303">
        <v>3.5664720000000001</v>
      </c>
      <c r="I6303">
        <v>19.404910000000001</v>
      </c>
      <c r="J6303">
        <v>-382.55329999999998</v>
      </c>
      <c r="K6303">
        <v>1.1107229999999999</v>
      </c>
      <c r="L6303">
        <v>16.705629999999999</v>
      </c>
      <c r="M6303">
        <v>0.9995889</v>
      </c>
      <c r="N6303">
        <v>0</v>
      </c>
      <c r="O6303">
        <v>-2.5987710000000001E-2</v>
      </c>
      <c r="P6303">
        <v>0.99877490000000002</v>
      </c>
      <c r="Q6303">
        <v>2.94092E-2</v>
      </c>
      <c r="R6303">
        <v>3.9797430000000002E-2</v>
      </c>
      <c r="S6303">
        <v>2.9985659999999998</v>
      </c>
      <c r="T6303">
        <v>6.9497229999999993E-2</v>
      </c>
      <c r="U6303">
        <v>7.6324459999999997E-2</v>
      </c>
      <c r="V6303">
        <v>-6.5798860000000001E-2</v>
      </c>
      <c r="W6303">
        <v>4.1398440000000002E-2</v>
      </c>
      <c r="X6303">
        <v>0.99697380000000002</v>
      </c>
      <c r="Y6303">
        <v>-5.1397249999999998E-2</v>
      </c>
      <c r="Z6303">
        <v>-1.1976129999999999E-3</v>
      </c>
      <c r="AA6303">
        <v>0.99867760000000005</v>
      </c>
      <c r="AB6303">
        <v>21</v>
      </c>
      <c r="AC6303">
        <v>105.8503</v>
      </c>
      <c r="AD6303">
        <v>2.455749</v>
      </c>
      <c r="AE6303">
        <v>2.6992799999999999</v>
      </c>
      <c r="AF6303">
        <v>-5.4464472270721602</v>
      </c>
      <c r="AG6303">
        <v>2.455749</v>
      </c>
      <c r="AH6303">
        <v>105.68754256617601</v>
      </c>
      <c r="AI6303">
        <v>88.670681770941002</v>
      </c>
      <c r="AJ6303">
        <v>92.950041477906595</v>
      </c>
      <c r="AK6303">
        <v>105.85627588492601</v>
      </c>
      <c r="AL6303">
        <v>87.627366158076896</v>
      </c>
      <c r="AM6303">
        <v>93.7759642582878</v>
      </c>
      <c r="AN6303">
        <v>1.00000003934908</v>
      </c>
    </row>
    <row r="6304" spans="1:40" x14ac:dyDescent="0.25">
      <c r="A6304" t="str">
        <f>"20190312160458367"</f>
        <v>20190312160458367</v>
      </c>
      <c r="B6304" t="str">
        <f>"1552377898361356"</f>
        <v>1552377898361356</v>
      </c>
      <c r="C6304" t="s">
        <v>40</v>
      </c>
      <c r="D6304">
        <v>6.2306229999999996</v>
      </c>
      <c r="E6304">
        <v>0.50483599999999995</v>
      </c>
      <c r="F6304" t="s">
        <v>106</v>
      </c>
      <c r="G6304">
        <v>-276.65379999999999</v>
      </c>
      <c r="H6304">
        <v>3.641699</v>
      </c>
      <c r="I6304">
        <v>19.505849999999999</v>
      </c>
      <c r="J6304">
        <v>-382.45100000000002</v>
      </c>
      <c r="K6304">
        <v>1.1107229999999999</v>
      </c>
      <c r="L6304">
        <v>16.703520000000001</v>
      </c>
      <c r="M6304">
        <v>0.99960179999999998</v>
      </c>
      <c r="N6304">
        <v>0</v>
      </c>
      <c r="O6304">
        <v>-2.5504160000000001E-2</v>
      </c>
      <c r="P6304">
        <v>0.99875590000000003</v>
      </c>
      <c r="Q6304">
        <v>2.9620649999999998E-2</v>
      </c>
      <c r="R6304">
        <v>4.011551E-2</v>
      </c>
      <c r="S6304">
        <v>2.9984130000000002</v>
      </c>
      <c r="T6304">
        <v>7.1661470000000005E-2</v>
      </c>
      <c r="U6304">
        <v>7.9284670000000002E-2</v>
      </c>
      <c r="V6304">
        <v>-6.5634360000000003E-2</v>
      </c>
      <c r="W6304">
        <v>4.1578049999999998E-2</v>
      </c>
      <c r="X6304">
        <v>0.99697720000000001</v>
      </c>
      <c r="Y6304">
        <v>-5.1899380000000002E-2</v>
      </c>
      <c r="Z6304">
        <v>-1.2293930000000001E-3</v>
      </c>
      <c r="AA6304">
        <v>0.99865159999999997</v>
      </c>
      <c r="AB6304">
        <v>21</v>
      </c>
      <c r="AC6304">
        <v>105.79719999999899</v>
      </c>
      <c r="AD6304">
        <v>2.5309759999999999</v>
      </c>
      <c r="AE6304">
        <v>2.8023299999999902</v>
      </c>
      <c r="AF6304">
        <v>-5.4967401201476296</v>
      </c>
      <c r="AG6304">
        <v>2.5309759999999999</v>
      </c>
      <c r="AH6304">
        <v>105.630893835542</v>
      </c>
      <c r="AI6304">
        <v>88.629277233303597</v>
      </c>
      <c r="AJ6304">
        <v>92.978827375781904</v>
      </c>
      <c r="AK6304">
        <v>105.80409124394301</v>
      </c>
      <c r="AL6304">
        <v>87.617066469337402</v>
      </c>
      <c r="AM6304">
        <v>93.766538583717093</v>
      </c>
      <c r="AN6304">
        <v>1.0000000703871199</v>
      </c>
    </row>
    <row r="6305" spans="1:40" x14ac:dyDescent="0.25">
      <c r="A6305" t="str">
        <f>"20190312160458378"</f>
        <v>20190312160458378</v>
      </c>
      <c r="B6305" t="str">
        <f>"1552377898371116"</f>
        <v>1552377898371116</v>
      </c>
      <c r="C6305" t="s">
        <v>40</v>
      </c>
      <c r="D6305">
        <v>6.216075</v>
      </c>
      <c r="E6305">
        <v>0.50479540000000001</v>
      </c>
      <c r="F6305" t="s">
        <v>106</v>
      </c>
      <c r="G6305">
        <v>-276.72219999999999</v>
      </c>
      <c r="H6305">
        <v>3.725889</v>
      </c>
      <c r="I6305">
        <v>19.580089999999998</v>
      </c>
      <c r="J6305">
        <v>-382.34070000000003</v>
      </c>
      <c r="K6305">
        <v>1.1107229999999999</v>
      </c>
      <c r="L6305">
        <v>16.701319999999999</v>
      </c>
      <c r="M6305">
        <v>0.99961529999999998</v>
      </c>
      <c r="N6305">
        <v>0</v>
      </c>
      <c r="O6305">
        <v>-2.498237E-2</v>
      </c>
      <c r="P6305">
        <v>0.99873210000000001</v>
      </c>
      <c r="Q6305">
        <v>2.9954350000000001E-2</v>
      </c>
      <c r="R6305">
        <v>4.0457359999999998E-2</v>
      </c>
      <c r="S6305">
        <v>2.9982600000000001</v>
      </c>
      <c r="T6305">
        <v>7.4161050000000006E-2</v>
      </c>
      <c r="U6305">
        <v>8.1573489999999999E-2</v>
      </c>
      <c r="V6305">
        <v>-6.5455269999999996E-2</v>
      </c>
      <c r="W6305">
        <v>4.1881050000000003E-2</v>
      </c>
      <c r="X6305">
        <v>0.99697619999999998</v>
      </c>
      <c r="Y6305">
        <v>-5.2139770000000002E-2</v>
      </c>
      <c r="Z6305">
        <v>-1.2623840000000001E-3</v>
      </c>
      <c r="AA6305">
        <v>0.99863900000000005</v>
      </c>
      <c r="AB6305">
        <v>21</v>
      </c>
      <c r="AC6305">
        <v>105.6185</v>
      </c>
      <c r="AD6305">
        <v>2.6151659999999999</v>
      </c>
      <c r="AE6305">
        <v>2.8787699999999901</v>
      </c>
      <c r="AF6305">
        <v>-5.5132857362843399</v>
      </c>
      <c r="AG6305">
        <v>2.6151659999999999</v>
      </c>
      <c r="AH6305">
        <v>105.44900621681801</v>
      </c>
      <c r="AI6305">
        <v>88.581276229488793</v>
      </c>
      <c r="AJ6305">
        <v>92.992921873757197</v>
      </c>
      <c r="AK6305">
        <v>105.625415146791</v>
      </c>
      <c r="AL6305">
        <v>87.599690494645998</v>
      </c>
      <c r="AM6305">
        <v>93.756294421882401</v>
      </c>
      <c r="AN6305">
        <v>0.99999997904315696</v>
      </c>
    </row>
    <row r="6306" spans="1:40" x14ac:dyDescent="0.25">
      <c r="A6306" t="str">
        <f>"20190312160458390"</f>
        <v>20190312160458390</v>
      </c>
      <c r="B6306" t="str">
        <f>"1552377898381852"</f>
        <v>1552377898381852</v>
      </c>
      <c r="C6306" t="s">
        <v>40</v>
      </c>
      <c r="D6306">
        <v>6.2315449999999997</v>
      </c>
      <c r="E6306">
        <v>0.50465450000000001</v>
      </c>
      <c r="F6306" t="s">
        <v>106</v>
      </c>
      <c r="G6306">
        <v>-276.76459999999997</v>
      </c>
      <c r="H6306">
        <v>3.7997109999999998</v>
      </c>
      <c r="I6306">
        <v>19.621120000000001</v>
      </c>
      <c r="J6306">
        <v>-382.23250000000002</v>
      </c>
      <c r="K6306">
        <v>1.110722</v>
      </c>
      <c r="L6306">
        <v>16.699159999999999</v>
      </c>
      <c r="M6306">
        <v>0.99962839999999997</v>
      </c>
      <c r="N6306">
        <v>0</v>
      </c>
      <c r="O6306">
        <v>-2.4470970000000002E-2</v>
      </c>
      <c r="P6306">
        <v>0.99870840000000005</v>
      </c>
      <c r="Q6306">
        <v>3.0323019999999999E-2</v>
      </c>
      <c r="R6306">
        <v>4.0772580000000003E-2</v>
      </c>
      <c r="S6306">
        <v>2.998138</v>
      </c>
      <c r="T6306">
        <v>7.6361780000000004E-2</v>
      </c>
      <c r="U6306">
        <v>8.2916260000000006E-2</v>
      </c>
      <c r="V6306">
        <v>-6.5259899999999996E-2</v>
      </c>
      <c r="W6306">
        <v>4.2220750000000001E-2</v>
      </c>
      <c r="X6306">
        <v>0.99697469999999999</v>
      </c>
      <c r="Y6306">
        <v>-5.2075629999999998E-2</v>
      </c>
      <c r="Z6306">
        <v>-1.2860409999999999E-3</v>
      </c>
      <c r="AA6306">
        <v>0.99864229999999998</v>
      </c>
      <c r="AB6306">
        <v>21</v>
      </c>
      <c r="AC6306">
        <v>105.4679</v>
      </c>
      <c r="AD6306">
        <v>2.6889889999999999</v>
      </c>
      <c r="AE6306">
        <v>2.9219599999999999</v>
      </c>
      <c r="AF6306">
        <v>-5.4986012819700196</v>
      </c>
      <c r="AG6306">
        <v>2.6889889999999999</v>
      </c>
      <c r="AH6306">
        <v>105.29640980809801</v>
      </c>
      <c r="AI6306">
        <v>88.539126454947706</v>
      </c>
      <c r="AJ6306">
        <v>92.989282755653804</v>
      </c>
      <c r="AK6306">
        <v>105.474163643876</v>
      </c>
      <c r="AL6306">
        <v>87.580209935844806</v>
      </c>
      <c r="AM6306">
        <v>93.745120259285002</v>
      </c>
      <c r="AN6306">
        <v>0.99999999935933104</v>
      </c>
    </row>
    <row r="6307" spans="1:40" x14ac:dyDescent="0.25">
      <c r="A6307" t="str">
        <f>"20190312160458400"</f>
        <v>20190312160458400</v>
      </c>
      <c r="B6307" t="str">
        <f>"1552377898391188"</f>
        <v>1552377898391188</v>
      </c>
      <c r="C6307" t="s">
        <v>40</v>
      </c>
      <c r="D6307">
        <v>6.2304360000000001</v>
      </c>
      <c r="E6307">
        <v>0.50456009999999996</v>
      </c>
      <c r="F6307" t="s">
        <v>106</v>
      </c>
      <c r="G6307">
        <v>-276.83109999999999</v>
      </c>
      <c r="H6307">
        <v>3.902733</v>
      </c>
      <c r="I6307">
        <v>19.68834</v>
      </c>
      <c r="J6307">
        <v>-382.12920000000003</v>
      </c>
      <c r="K6307">
        <v>1.110722</v>
      </c>
      <c r="L6307">
        <v>16.69717</v>
      </c>
      <c r="M6307">
        <v>0.99964030000000004</v>
      </c>
      <c r="N6307">
        <v>0</v>
      </c>
      <c r="O6307">
        <v>-2.3983310000000001E-2</v>
      </c>
      <c r="P6307">
        <v>0.99869719999999995</v>
      </c>
      <c r="Q6307">
        <v>3.0474930000000001E-2</v>
      </c>
      <c r="R6307">
        <v>4.0927070000000003E-2</v>
      </c>
      <c r="S6307">
        <v>2.9979550000000001</v>
      </c>
      <c r="T6307">
        <v>7.9413890000000001E-2</v>
      </c>
      <c r="U6307">
        <v>8.5021970000000002E-2</v>
      </c>
      <c r="V6307">
        <v>-6.4927239999999997E-2</v>
      </c>
      <c r="W6307">
        <v>4.2347950000000002E-2</v>
      </c>
      <c r="X6307">
        <v>0.99699099999999996</v>
      </c>
      <c r="Y6307">
        <v>-5.2289090000000003E-2</v>
      </c>
      <c r="Z6307">
        <v>-1.3274090000000001E-3</v>
      </c>
      <c r="AA6307">
        <v>0.99863109999999999</v>
      </c>
      <c r="AB6307">
        <v>21</v>
      </c>
      <c r="AC6307">
        <v>105.29810000000001</v>
      </c>
      <c r="AD6307">
        <v>2.792011</v>
      </c>
      <c r="AE6307">
        <v>2.9911699999999999</v>
      </c>
      <c r="AF6307">
        <v>-5.51201624562023</v>
      </c>
      <c r="AG6307">
        <v>2.792011</v>
      </c>
      <c r="AH6307">
        <v>105.12221649481</v>
      </c>
      <c r="AI6307">
        <v>88.480687040126497</v>
      </c>
      <c r="AJ6307">
        <v>93.001518844718206</v>
      </c>
      <c r="AK6307">
        <v>105.303646894577</v>
      </c>
      <c r="AL6307">
        <v>87.572915328728996</v>
      </c>
      <c r="AM6307">
        <v>93.726022813413806</v>
      </c>
      <c r="AN6307">
        <v>0.999999974722109</v>
      </c>
    </row>
    <row r="6308" spans="1:40" x14ac:dyDescent="0.25">
      <c r="A6308" t="str">
        <f>"20190312160458412"</f>
        <v>20190312160458412</v>
      </c>
      <c r="B6308" t="str">
        <f>"1552377898401925"</f>
        <v>1552377898401925</v>
      </c>
      <c r="C6308" t="s">
        <v>40</v>
      </c>
      <c r="D6308">
        <v>6.1683110000000001</v>
      </c>
      <c r="E6308">
        <v>0.50448549999999903</v>
      </c>
      <c r="F6308" t="s">
        <v>106</v>
      </c>
      <c r="G6308">
        <v>-276.87049999999999</v>
      </c>
      <c r="H6308">
        <v>3.976302</v>
      </c>
      <c r="I6308">
        <v>19.72523</v>
      </c>
      <c r="J6308">
        <v>-382.0283</v>
      </c>
      <c r="K6308">
        <v>1.1107180000000001</v>
      </c>
      <c r="L6308">
        <v>16.695309999999999</v>
      </c>
      <c r="M6308">
        <v>0.99965199999999999</v>
      </c>
      <c r="N6308">
        <v>0</v>
      </c>
      <c r="O6308">
        <v>-2.350723E-2</v>
      </c>
      <c r="P6308">
        <v>0.99867799999999995</v>
      </c>
      <c r="Q6308">
        <v>3.098033E-2</v>
      </c>
      <c r="R6308">
        <v>4.1018890000000002E-2</v>
      </c>
      <c r="S6308">
        <v>2.9978940000000001</v>
      </c>
      <c r="T6308">
        <v>8.1615090000000001E-2</v>
      </c>
      <c r="U6308">
        <v>8.6242680000000002E-2</v>
      </c>
      <c r="V6308">
        <v>-6.4544160000000003E-2</v>
      </c>
      <c r="W6308">
        <v>4.2830060000000003E-2</v>
      </c>
      <c r="X6308">
        <v>0.99699530000000003</v>
      </c>
      <c r="Y6308">
        <v>-5.2219069999999999E-2</v>
      </c>
      <c r="Z6308">
        <v>-1.3503E-3</v>
      </c>
      <c r="AA6308">
        <v>0.99863480000000004</v>
      </c>
      <c r="AB6308">
        <v>21</v>
      </c>
      <c r="AC6308">
        <v>105.15779999999999</v>
      </c>
      <c r="AD6308">
        <v>2.8655839999999899</v>
      </c>
      <c r="AE6308">
        <v>3.0299200000000002</v>
      </c>
      <c r="AF6308">
        <v>-5.4971496378973397</v>
      </c>
      <c r="AG6308">
        <v>2.8655839999999899</v>
      </c>
      <c r="AH6308">
        <v>104.979616014691</v>
      </c>
      <c r="AI6308">
        <v>88.438547917566297</v>
      </c>
      <c r="AJ6308">
        <v>92.997496877373194</v>
      </c>
      <c r="AK6308">
        <v>105.162493334812</v>
      </c>
      <c r="AL6308">
        <v>87.545267424718901</v>
      </c>
      <c r="AM6308">
        <v>93.704084198854304</v>
      </c>
      <c r="AN6308">
        <v>0.99999999542589901</v>
      </c>
    </row>
    <row r="6309" spans="1:40" x14ac:dyDescent="0.25">
      <c r="A6309" t="str">
        <f>"20190312160458424"</f>
        <v>20190312160458424</v>
      </c>
      <c r="B6309" t="str">
        <f>"1552377898411684"</f>
        <v>1552377898411684</v>
      </c>
      <c r="C6309" t="s">
        <v>40</v>
      </c>
      <c r="D6309">
        <v>6.178782</v>
      </c>
      <c r="E6309">
        <v>0.50445949999999995</v>
      </c>
      <c r="F6309" t="s">
        <v>106</v>
      </c>
      <c r="G6309">
        <v>-276.90699999999998</v>
      </c>
      <c r="H6309">
        <v>4.0771069999999998</v>
      </c>
      <c r="I6309">
        <v>19.751629999999999</v>
      </c>
      <c r="J6309">
        <v>-381.91090000000003</v>
      </c>
      <c r="K6309">
        <v>1.1107180000000001</v>
      </c>
      <c r="L6309">
        <v>16.693149999999999</v>
      </c>
      <c r="M6309">
        <v>0.99966529999999998</v>
      </c>
      <c r="N6309">
        <v>0</v>
      </c>
      <c r="O6309">
        <v>-2.295521E-2</v>
      </c>
      <c r="P6309">
        <v>0.99866750000000004</v>
      </c>
      <c r="Q6309">
        <v>3.1266380000000003E-2</v>
      </c>
      <c r="R6309">
        <v>4.1058940000000002E-2</v>
      </c>
      <c r="S6309">
        <v>2.9977719999999999</v>
      </c>
      <c r="T6309">
        <v>8.4593420000000003E-2</v>
      </c>
      <c r="U6309">
        <v>8.7158200000000005E-2</v>
      </c>
      <c r="V6309">
        <v>-6.4032839999999994E-2</v>
      </c>
      <c r="W6309">
        <v>4.3091600000000001E-2</v>
      </c>
      <c r="X6309">
        <v>0.99701700000000004</v>
      </c>
      <c r="Y6309">
        <v>-5.1971730000000001E-2</v>
      </c>
      <c r="Z6309">
        <v>-1.3805480000000001E-3</v>
      </c>
      <c r="AA6309">
        <v>0.99864759999999997</v>
      </c>
      <c r="AB6309">
        <v>21</v>
      </c>
      <c r="AC6309">
        <v>105.0039</v>
      </c>
      <c r="AD6309">
        <v>2.9663889999999902</v>
      </c>
      <c r="AE6309">
        <v>3.0584799999999901</v>
      </c>
      <c r="AF6309">
        <v>-5.4638752049876</v>
      </c>
      <c r="AG6309">
        <v>2.9663889999999902</v>
      </c>
      <c r="AH6309">
        <v>104.822428340619</v>
      </c>
      <c r="AI6309">
        <v>88.381205409674294</v>
      </c>
      <c r="AJ6309">
        <v>92.983845420796598</v>
      </c>
      <c r="AK6309">
        <v>105.006642071725</v>
      </c>
      <c r="AL6309">
        <v>87.530268436290996</v>
      </c>
      <c r="AM6309">
        <v>93.674741340832497</v>
      </c>
      <c r="AN6309">
        <v>0.999999994439012</v>
      </c>
    </row>
    <row r="6310" spans="1:40" x14ac:dyDescent="0.25">
      <c r="A6310" t="str">
        <f>"20190312160458437"</f>
        <v>20190312160458437</v>
      </c>
      <c r="B6310" t="str">
        <f>"1552377898431205"</f>
        <v>1552377898431205</v>
      </c>
      <c r="C6310" t="s">
        <v>40</v>
      </c>
      <c r="D6310">
        <v>6.211894</v>
      </c>
      <c r="E6310">
        <v>0.50438190000000005</v>
      </c>
      <c r="F6310" t="s">
        <v>106</v>
      </c>
      <c r="G6310">
        <v>-276.9264</v>
      </c>
      <c r="H6310">
        <v>4.1668500000000002</v>
      </c>
      <c r="I6310">
        <v>19.757349999999999</v>
      </c>
      <c r="J6310">
        <v>-381.7928</v>
      </c>
      <c r="K6310">
        <v>1.1107180000000001</v>
      </c>
      <c r="L6310">
        <v>16.691099999999999</v>
      </c>
      <c r="M6310">
        <v>0.99967799999999996</v>
      </c>
      <c r="N6310">
        <v>0</v>
      </c>
      <c r="O6310">
        <v>-2.2400570000000002E-2</v>
      </c>
      <c r="P6310">
        <v>0.99865349999999997</v>
      </c>
      <c r="Q6310">
        <v>3.1902640000000003E-2</v>
      </c>
      <c r="R6310">
        <v>4.091185E-2</v>
      </c>
      <c r="S6310">
        <v>2.997681</v>
      </c>
      <c r="T6310">
        <v>8.7263350000000003E-2</v>
      </c>
      <c r="U6310">
        <v>8.7493899999999999E-2</v>
      </c>
      <c r="V6310">
        <v>-6.3332749999999993E-2</v>
      </c>
      <c r="W6310">
        <v>4.3705189999999998E-2</v>
      </c>
      <c r="X6310">
        <v>0.997035</v>
      </c>
      <c r="Y6310">
        <v>-5.1528789999999998E-2</v>
      </c>
      <c r="Z6310">
        <v>-1.4015589999999999E-3</v>
      </c>
      <c r="AA6310">
        <v>0.99867050000000002</v>
      </c>
      <c r="AB6310">
        <v>21</v>
      </c>
      <c r="AC6310">
        <v>104.8664</v>
      </c>
      <c r="AD6310">
        <v>3.0561319999999998</v>
      </c>
      <c r="AE6310">
        <v>3.0662500000000001</v>
      </c>
      <c r="AF6310">
        <v>-5.4101235570688804</v>
      </c>
      <c r="AG6310">
        <v>3.0561319999999998</v>
      </c>
      <c r="AH6310">
        <v>104.68255903502801</v>
      </c>
      <c r="AI6310">
        <v>88.329993414063196</v>
      </c>
      <c r="AJ6310">
        <v>92.958484325138102</v>
      </c>
      <c r="AK6310">
        <v>104.86680859941499</v>
      </c>
      <c r="AL6310">
        <v>87.495079143417101</v>
      </c>
      <c r="AM6310">
        <v>93.634607157242996</v>
      </c>
      <c r="AN6310">
        <v>0.99999998604024898</v>
      </c>
    </row>
    <row r="6311" spans="1:40" x14ac:dyDescent="0.25">
      <c r="A6311" t="str">
        <f>"20190312160458449"</f>
        <v>20190312160458449</v>
      </c>
      <c r="B6311" t="str">
        <f>"1552377898441940"</f>
        <v>1552377898441940</v>
      </c>
      <c r="C6311" t="s">
        <v>40</v>
      </c>
      <c r="D6311">
        <v>6.209962</v>
      </c>
      <c r="E6311">
        <v>0.50438090000000002</v>
      </c>
      <c r="F6311" t="s">
        <v>106</v>
      </c>
      <c r="G6311">
        <v>-276.94819999999999</v>
      </c>
      <c r="H6311">
        <v>4.3378100000000002</v>
      </c>
      <c r="I6311">
        <v>19.75995</v>
      </c>
      <c r="J6311">
        <v>-381.67380000000003</v>
      </c>
      <c r="K6311">
        <v>1.1107199999999999</v>
      </c>
      <c r="L6311">
        <v>16.689060000000001</v>
      </c>
      <c r="M6311">
        <v>0.99969070000000004</v>
      </c>
      <c r="N6311">
        <v>0</v>
      </c>
      <c r="O6311">
        <v>-2.1842480000000001E-2</v>
      </c>
      <c r="P6311">
        <v>0.99862949999999995</v>
      </c>
      <c r="Q6311">
        <v>3.2792269999999998E-2</v>
      </c>
      <c r="R6311">
        <v>4.0793660000000002E-2</v>
      </c>
      <c r="S6311">
        <v>2.9974980000000002</v>
      </c>
      <c r="T6311">
        <v>9.2262269999999993E-2</v>
      </c>
      <c r="U6311">
        <v>8.7738040000000003E-2</v>
      </c>
      <c r="V6311">
        <v>-6.2658080000000005E-2</v>
      </c>
      <c r="W6311">
        <v>4.4572670000000002E-2</v>
      </c>
      <c r="X6311">
        <v>0.99703929999999996</v>
      </c>
      <c r="Y6311">
        <v>-5.1051100000000002E-2</v>
      </c>
      <c r="Z6311">
        <v>-1.457381E-3</v>
      </c>
      <c r="AA6311">
        <v>0.998695</v>
      </c>
      <c r="AB6311">
        <v>21</v>
      </c>
      <c r="AC6311">
        <v>104.7256</v>
      </c>
      <c r="AD6311">
        <v>3.22709</v>
      </c>
      <c r="AE6311">
        <v>3.0708899999999901</v>
      </c>
      <c r="AF6311">
        <v>-5.35270755338356</v>
      </c>
      <c r="AG6311">
        <v>3.22709</v>
      </c>
      <c r="AH6311">
        <v>104.534355912235</v>
      </c>
      <c r="AI6311">
        <v>88.234090246456304</v>
      </c>
      <c r="AJ6311">
        <v>92.931284431705507</v>
      </c>
      <c r="AK6311">
        <v>104.72104446579</v>
      </c>
      <c r="AL6311">
        <v>87.445327904444696</v>
      </c>
      <c r="AM6311">
        <v>93.595975151565796</v>
      </c>
      <c r="AN6311">
        <v>1.0000000618223499</v>
      </c>
    </row>
    <row r="6312" spans="1:40" x14ac:dyDescent="0.25">
      <c r="A6312" t="str">
        <f>"20190312160458469"</f>
        <v>20190312160458469</v>
      </c>
      <c r="B6312" t="str">
        <f>"1552377898461462"</f>
        <v>1552377898461462</v>
      </c>
      <c r="C6312" t="s">
        <v>40</v>
      </c>
      <c r="D6312">
        <v>6.2271400000000003</v>
      </c>
      <c r="E6312">
        <v>0.50438760000000005</v>
      </c>
      <c r="F6312" t="s">
        <v>106</v>
      </c>
      <c r="G6312">
        <v>-276.92970000000003</v>
      </c>
      <c r="H6312">
        <v>4.4788600000000001</v>
      </c>
      <c r="I6312">
        <v>19.744450000000001</v>
      </c>
      <c r="J6312">
        <v>-381.49040000000002</v>
      </c>
      <c r="K6312">
        <v>1.1107229999999999</v>
      </c>
      <c r="L6312">
        <v>16.686070000000001</v>
      </c>
      <c r="M6312">
        <v>0.99970939999999997</v>
      </c>
      <c r="N6312">
        <v>0</v>
      </c>
      <c r="O6312">
        <v>-2.098599E-2</v>
      </c>
      <c r="P6312">
        <v>0.99859540000000002</v>
      </c>
      <c r="Q6312">
        <v>3.451589E-2</v>
      </c>
      <c r="R6312">
        <v>4.020075E-2</v>
      </c>
      <c r="S6312">
        <v>2.9973450000000001</v>
      </c>
      <c r="T6312">
        <v>9.6382259999999997E-2</v>
      </c>
      <c r="U6312">
        <v>8.7432860000000001E-2</v>
      </c>
      <c r="V6312">
        <v>-6.1212280000000001E-2</v>
      </c>
      <c r="W6312">
        <v>4.6266069999999999E-2</v>
      </c>
      <c r="X6312">
        <v>0.99705189999999999</v>
      </c>
      <c r="Y6312">
        <v>-5.0093110000000003E-2</v>
      </c>
      <c r="Z6312">
        <v>-1.4795819999999999E-3</v>
      </c>
      <c r="AA6312">
        <v>0.99874350000000001</v>
      </c>
      <c r="AB6312">
        <v>21</v>
      </c>
      <c r="AC6312">
        <v>104.5607</v>
      </c>
      <c r="AD6312">
        <v>3.3681369999999999</v>
      </c>
      <c r="AE6312">
        <v>3.0583800000000001</v>
      </c>
      <c r="AF6312">
        <v>-5.2467310405660799</v>
      </c>
      <c r="AG6312">
        <v>3.3681369999999999</v>
      </c>
      <c r="AH6312">
        <v>104.36528171383701</v>
      </c>
      <c r="AI6312">
        <v>88.153888666825296</v>
      </c>
      <c r="AJ6312">
        <v>92.877994191593899</v>
      </c>
      <c r="AK6312">
        <v>104.551348918469</v>
      </c>
      <c r="AL6312">
        <v>87.348202807980201</v>
      </c>
      <c r="AM6312">
        <v>93.513166025700002</v>
      </c>
      <c r="AN6312">
        <v>0.99999999187482602</v>
      </c>
    </row>
    <row r="6313" spans="1:40" x14ac:dyDescent="0.25">
      <c r="A6313" t="str">
        <f>"20190312160458483"</f>
        <v>20190312160458483</v>
      </c>
      <c r="B6313" t="str">
        <f>"1552377898471221"</f>
        <v>1552377898471221</v>
      </c>
      <c r="C6313" t="s">
        <v>40</v>
      </c>
      <c r="D6313">
        <v>6.2103650000000004</v>
      </c>
      <c r="E6313">
        <v>0.50437670000000001</v>
      </c>
      <c r="F6313" t="s">
        <v>106</v>
      </c>
      <c r="G6313">
        <v>-276.8569</v>
      </c>
      <c r="H6313">
        <v>4.7625419999999998</v>
      </c>
      <c r="I6313">
        <v>19.675599999999999</v>
      </c>
      <c r="J6313">
        <v>-381.36520000000002</v>
      </c>
      <c r="K6313">
        <v>1.1107229999999999</v>
      </c>
      <c r="L6313">
        <v>16.684079999999899</v>
      </c>
      <c r="M6313">
        <v>0.99972179999999999</v>
      </c>
      <c r="N6313">
        <v>0</v>
      </c>
      <c r="O6313">
        <v>-2.040264E-2</v>
      </c>
      <c r="P6313">
        <v>0.99857189999999996</v>
      </c>
      <c r="Q6313">
        <v>3.5019920000000003E-2</v>
      </c>
      <c r="R6313">
        <v>4.0351489999999997E-2</v>
      </c>
      <c r="S6313">
        <v>2.997131</v>
      </c>
      <c r="T6313">
        <v>0.1046029</v>
      </c>
      <c r="U6313">
        <v>8.5632319999999998E-2</v>
      </c>
      <c r="V6313">
        <v>-6.0780639999999997E-2</v>
      </c>
      <c r="W6313">
        <v>4.6750970000000003E-2</v>
      </c>
      <c r="X6313">
        <v>0.99705569999999999</v>
      </c>
      <c r="Y6313">
        <v>-4.8907399999999997E-2</v>
      </c>
      <c r="Z6313">
        <v>-1.564801E-3</v>
      </c>
      <c r="AA6313">
        <v>0.99880210000000003</v>
      </c>
      <c r="AB6313">
        <v>21</v>
      </c>
      <c r="AC6313">
        <v>104.50830000000001</v>
      </c>
      <c r="AD6313">
        <v>3.6518190000000001</v>
      </c>
      <c r="AE6313">
        <v>2.99152</v>
      </c>
      <c r="AF6313">
        <v>-5.1170489449882002</v>
      </c>
      <c r="AG6313">
        <v>3.6518190000000001</v>
      </c>
      <c r="AH6313">
        <v>104.29825950954201</v>
      </c>
      <c r="AI6313">
        <v>87.997115950507194</v>
      </c>
      <c r="AJ6313">
        <v>92.808775634977593</v>
      </c>
      <c r="AK6313">
        <v>104.48754427506699</v>
      </c>
      <c r="AL6313">
        <v>87.3203900204673</v>
      </c>
      <c r="AM6313">
        <v>93.488440974295798</v>
      </c>
      <c r="AN6313">
        <v>1.0000000041486199</v>
      </c>
    </row>
    <row r="6314" spans="1:40" x14ac:dyDescent="0.25">
      <c r="A6314" t="str">
        <f>"20190312160458497"</f>
        <v>20190312160458497</v>
      </c>
      <c r="B6314" t="str">
        <f>"1552377898491463"</f>
        <v>1552377898491463</v>
      </c>
      <c r="C6314" t="s">
        <v>40</v>
      </c>
      <c r="D6314">
        <v>6.1643860000000004</v>
      </c>
      <c r="E6314">
        <v>0.50440339999999995</v>
      </c>
      <c r="F6314" t="s">
        <v>106</v>
      </c>
      <c r="G6314">
        <v>-276.86880000000002</v>
      </c>
      <c r="H6314">
        <v>4.8604839999999996</v>
      </c>
      <c r="I6314">
        <v>19.69107</v>
      </c>
      <c r="J6314">
        <v>-381.2328</v>
      </c>
      <c r="K6314">
        <v>1.1107229999999999</v>
      </c>
      <c r="L6314">
        <v>16.682099999999998</v>
      </c>
      <c r="M6314">
        <v>0.99973440000000002</v>
      </c>
      <c r="N6314">
        <v>0</v>
      </c>
      <c r="O6314">
        <v>-1.9786149999999999E-2</v>
      </c>
      <c r="P6314">
        <v>0.99854240000000005</v>
      </c>
      <c r="Q6314">
        <v>3.5588429999999997E-2</v>
      </c>
      <c r="R6314">
        <v>4.0580150000000002E-2</v>
      </c>
      <c r="S6314">
        <v>2.9970400000000001</v>
      </c>
      <c r="T6314">
        <v>0.1075463</v>
      </c>
      <c r="U6314">
        <v>8.6242680000000002E-2</v>
      </c>
      <c r="V6314">
        <v>-6.0393969999999998E-2</v>
      </c>
      <c r="W6314">
        <v>4.7300149999999999E-2</v>
      </c>
      <c r="X6314">
        <v>0.99705330000000003</v>
      </c>
      <c r="Y6314">
        <v>-4.8493849999999998E-2</v>
      </c>
      <c r="Z6314">
        <v>-1.579322E-3</v>
      </c>
      <c r="AA6314">
        <v>0.99882219999999999</v>
      </c>
      <c r="AB6314">
        <v>21</v>
      </c>
      <c r="AC6314">
        <v>104.363999999999</v>
      </c>
      <c r="AD6314">
        <v>3.7497609999999999</v>
      </c>
      <c r="AE6314">
        <v>3.0089700000000001</v>
      </c>
      <c r="AF6314">
        <v>-5.0669511212931697</v>
      </c>
      <c r="AG6314">
        <v>3.7497609999999999</v>
      </c>
      <c r="AH6314">
        <v>104.149687006631</v>
      </c>
      <c r="AI6314">
        <v>87.940471572386798</v>
      </c>
      <c r="AJ6314">
        <v>92.7852814521152</v>
      </c>
      <c r="AK6314">
        <v>104.340270292931</v>
      </c>
      <c r="AL6314">
        <v>87.288889488829895</v>
      </c>
      <c r="AM6314">
        <v>93.466311062753803</v>
      </c>
      <c r="AN6314">
        <v>1.0000000094216299</v>
      </c>
    </row>
    <row r="6315" spans="1:40" x14ac:dyDescent="0.25">
      <c r="A6315" t="str">
        <f>"20190312160458513"</f>
        <v>20190312160458513</v>
      </c>
      <c r="B6315" t="str">
        <f>"1552377898501223"</f>
        <v>1552377898501223</v>
      </c>
      <c r="C6315" t="s">
        <v>40</v>
      </c>
      <c r="D6315">
        <v>6.2190349999999999</v>
      </c>
      <c r="E6315">
        <v>0.50437699999999996</v>
      </c>
      <c r="F6315" t="s">
        <v>106</v>
      </c>
      <c r="G6315">
        <v>-276.91379999999998</v>
      </c>
      <c r="H6315">
        <v>4.997541</v>
      </c>
      <c r="I6315">
        <v>19.701160000000002</v>
      </c>
      <c r="J6315">
        <v>-381.07839999999999</v>
      </c>
      <c r="K6315">
        <v>1.110725</v>
      </c>
      <c r="L6315">
        <v>16.679870000000001</v>
      </c>
      <c r="M6315">
        <v>0.99974859999999999</v>
      </c>
      <c r="N6315">
        <v>0</v>
      </c>
      <c r="O6315">
        <v>-1.906797E-2</v>
      </c>
      <c r="P6315">
        <v>0.99850510000000003</v>
      </c>
      <c r="Q6315">
        <v>3.6418520000000003E-2</v>
      </c>
      <c r="R6315">
        <v>4.076043E-2</v>
      </c>
      <c r="S6315">
        <v>2.9968569999999999</v>
      </c>
      <c r="T6315">
        <v>0.11165949999999999</v>
      </c>
      <c r="U6315">
        <v>8.6730959999999996E-2</v>
      </c>
      <c r="V6315">
        <v>-5.9857260000000002E-2</v>
      </c>
      <c r="W6315">
        <v>4.8110809999999997E-2</v>
      </c>
      <c r="X6315">
        <v>0.99704689999999996</v>
      </c>
      <c r="Y6315">
        <v>-4.7938130000000002E-2</v>
      </c>
      <c r="Z6315">
        <v>-1.602687E-3</v>
      </c>
      <c r="AA6315">
        <v>0.99884899999999999</v>
      </c>
      <c r="AB6315">
        <v>21</v>
      </c>
      <c r="AC6315">
        <v>104.16459999999999</v>
      </c>
      <c r="AD6315">
        <v>3.886816</v>
      </c>
      <c r="AE6315">
        <v>3.02129</v>
      </c>
      <c r="AF6315">
        <v>-5.0001302268557302</v>
      </c>
      <c r="AG6315">
        <v>3.886816</v>
      </c>
      <c r="AH6315">
        <v>103.943441549274</v>
      </c>
      <c r="AI6315">
        <v>87.860975368193806</v>
      </c>
      <c r="AJ6315">
        <v>92.754052415268305</v>
      </c>
      <c r="AK6315">
        <v>104.136197750881</v>
      </c>
      <c r="AL6315">
        <v>87.242389208310698</v>
      </c>
      <c r="AM6315">
        <v>93.435602713848695</v>
      </c>
      <c r="AN6315">
        <v>1.00000003120658</v>
      </c>
    </row>
    <row r="6316" spans="1:40" x14ac:dyDescent="0.25">
      <c r="A6316" t="str">
        <f>"20190312160458526"</f>
        <v>20190312160458526</v>
      </c>
      <c r="B6316" t="str">
        <f>"1552377898521719"</f>
        <v>1552377898521719</v>
      </c>
      <c r="C6316" t="s">
        <v>40</v>
      </c>
      <c r="D6316">
        <v>6.329097</v>
      </c>
      <c r="E6316">
        <v>0.50467070000000003</v>
      </c>
      <c r="F6316" t="s">
        <v>106</v>
      </c>
      <c r="G6316">
        <v>-276.9522</v>
      </c>
      <c r="H6316">
        <v>5.1111230000000001</v>
      </c>
      <c r="I6316">
        <v>19.719919999999998</v>
      </c>
      <c r="J6316">
        <v>-380.95699999999999</v>
      </c>
      <c r="K6316">
        <v>1.1107229999999999</v>
      </c>
      <c r="L6316">
        <v>16.678190000000001</v>
      </c>
      <c r="M6316">
        <v>0.99975939999999996</v>
      </c>
      <c r="N6316">
        <v>0</v>
      </c>
      <c r="O6316">
        <v>-1.8503470000000001E-2</v>
      </c>
      <c r="P6316">
        <v>0.99846579999999996</v>
      </c>
      <c r="Q6316">
        <v>3.7041989999999997E-2</v>
      </c>
      <c r="R6316">
        <v>4.115978E-2</v>
      </c>
      <c r="S6316">
        <v>2.9967959999999998</v>
      </c>
      <c r="T6316">
        <v>0.1151329</v>
      </c>
      <c r="U6316">
        <v>8.7493899999999999E-2</v>
      </c>
      <c r="V6316">
        <v>-5.969385E-2</v>
      </c>
      <c r="W6316">
        <v>4.8718539999999998E-2</v>
      </c>
      <c r="X6316">
        <v>0.9970272</v>
      </c>
      <c r="Y6316">
        <v>-4.7626500000000002E-2</v>
      </c>
      <c r="Z6316">
        <v>-1.6248739999999999E-3</v>
      </c>
      <c r="AA6316">
        <v>0.99886390000000003</v>
      </c>
      <c r="AB6316">
        <v>21</v>
      </c>
      <c r="AC6316">
        <v>104.0048</v>
      </c>
      <c r="AD6316">
        <v>4.0004</v>
      </c>
      <c r="AE6316">
        <v>3.0417299999999998</v>
      </c>
      <c r="AF6316">
        <v>-4.95846287926594</v>
      </c>
      <c r="AG6316">
        <v>4.0004</v>
      </c>
      <c r="AH6316">
        <v>103.77730299753701</v>
      </c>
      <c r="AI6316">
        <v>87.794972433150093</v>
      </c>
      <c r="AJ6316">
        <v>92.735502775625903</v>
      </c>
      <c r="AK6316">
        <v>103.972679929526</v>
      </c>
      <c r="AL6316">
        <v>87.207528001482402</v>
      </c>
      <c r="AM6316">
        <v>93.4263134479569</v>
      </c>
      <c r="AN6316">
        <v>1.0000000447036901</v>
      </c>
    </row>
    <row r="6317" spans="1:40" x14ac:dyDescent="0.25">
      <c r="A6317" t="str">
        <f>"20190312160458538"</f>
        <v>20190312160458538</v>
      </c>
      <c r="B6317" t="str">
        <f>"1552377898531480"</f>
        <v>1552377898531480</v>
      </c>
      <c r="C6317" t="s">
        <v>40</v>
      </c>
      <c r="D6317">
        <v>6.3733589999999998</v>
      </c>
      <c r="E6317">
        <v>0.50493350000000004</v>
      </c>
      <c r="F6317" t="s">
        <v>106</v>
      </c>
      <c r="G6317">
        <v>-276.84780000000001</v>
      </c>
      <c r="H6317">
        <v>5.3142509999999996</v>
      </c>
      <c r="I6317">
        <v>19.681930000000001</v>
      </c>
      <c r="J6317">
        <v>-380.84300000000002</v>
      </c>
      <c r="K6317">
        <v>1.110725</v>
      </c>
      <c r="L6317">
        <v>16.6767</v>
      </c>
      <c r="M6317">
        <v>0.99976920000000002</v>
      </c>
      <c r="N6317">
        <v>0</v>
      </c>
      <c r="O6317">
        <v>-1.797354E-2</v>
      </c>
      <c r="P6317">
        <v>0.9984497</v>
      </c>
      <c r="Q6317">
        <v>3.7174869999999999E-2</v>
      </c>
      <c r="R6317">
        <v>4.1429550000000002E-2</v>
      </c>
      <c r="S6317">
        <v>2.9965519999999999</v>
      </c>
      <c r="T6317">
        <v>0.12098929999999999</v>
      </c>
      <c r="U6317">
        <v>8.64563E-2</v>
      </c>
      <c r="V6317">
        <v>-5.9434870000000001E-2</v>
      </c>
      <c r="W6317">
        <v>4.8839510000000003E-2</v>
      </c>
      <c r="X6317">
        <v>0.9970367</v>
      </c>
      <c r="Y6317">
        <v>-4.6749890000000002E-2</v>
      </c>
      <c r="Z6317">
        <v>-1.6685350000000001E-3</v>
      </c>
      <c r="AA6317">
        <v>0.99890520000000005</v>
      </c>
      <c r="AB6317">
        <v>21</v>
      </c>
      <c r="AC6317">
        <v>103.9952</v>
      </c>
      <c r="AD6317">
        <v>4.2035260000000001</v>
      </c>
      <c r="AE6317">
        <v>3.0052299999999899</v>
      </c>
      <c r="AF6317">
        <v>-4.8660921907840899</v>
      </c>
      <c r="AG6317">
        <v>4.2035260000000001</v>
      </c>
      <c r="AH6317">
        <v>103.755005959307</v>
      </c>
      <c r="AI6317">
        <v>87.682534514304194</v>
      </c>
      <c r="AJ6317">
        <v>92.685194720283803</v>
      </c>
      <c r="AK6317">
        <v>103.954075175809</v>
      </c>
      <c r="AL6317">
        <v>87.200588521186006</v>
      </c>
      <c r="AM6317">
        <v>93.411451244088198</v>
      </c>
      <c r="AN6317">
        <v>0.99999999132792305</v>
      </c>
    </row>
    <row r="6318" spans="1:40" x14ac:dyDescent="0.25">
      <c r="A6318" t="str">
        <f>"20190312160458549"</f>
        <v>20190312160458549</v>
      </c>
      <c r="B6318" t="str">
        <f>"1552377898541239"</f>
        <v>1552377898541239</v>
      </c>
      <c r="C6318" t="s">
        <v>40</v>
      </c>
      <c r="D6318">
        <v>6.3730840000000004</v>
      </c>
      <c r="E6318">
        <v>0.50515169999999998</v>
      </c>
      <c r="F6318" t="s">
        <v>106</v>
      </c>
      <c r="G6318">
        <v>-276.80079999999998</v>
      </c>
      <c r="H6318">
        <v>5.4159620000000004</v>
      </c>
      <c r="I6318">
        <v>19.635100000000001</v>
      </c>
      <c r="J6318">
        <v>-380.73840000000001</v>
      </c>
      <c r="K6318">
        <v>1.110724</v>
      </c>
      <c r="L6318">
        <v>16.675350000000002</v>
      </c>
      <c r="M6318">
        <v>0.99977800000000006</v>
      </c>
      <c r="N6318">
        <v>0</v>
      </c>
      <c r="O6318">
        <v>-1.7486890000000001E-2</v>
      </c>
      <c r="P6318">
        <v>0.99842390000000003</v>
      </c>
      <c r="Q6318">
        <v>3.7599630000000002E-2</v>
      </c>
      <c r="R6318">
        <v>4.1669350000000001E-2</v>
      </c>
      <c r="S6318">
        <v>2.996521</v>
      </c>
      <c r="T6318">
        <v>0.1239952</v>
      </c>
      <c r="U6318">
        <v>8.5205080000000002E-2</v>
      </c>
      <c r="V6318">
        <v>-5.9188820000000003E-2</v>
      </c>
      <c r="W6318">
        <v>4.9252900000000002E-2</v>
      </c>
      <c r="X6318">
        <v>0.997031</v>
      </c>
      <c r="Y6318">
        <v>-4.5845709999999998E-2</v>
      </c>
      <c r="Z6318">
        <v>-1.671159E-3</v>
      </c>
      <c r="AA6318">
        <v>0.99894709999999998</v>
      </c>
      <c r="AB6318">
        <v>21</v>
      </c>
      <c r="AC6318">
        <v>103.9376</v>
      </c>
      <c r="AD6318">
        <v>4.3052380000000001</v>
      </c>
      <c r="AE6318">
        <v>2.9597500000000001</v>
      </c>
      <c r="AF6318">
        <v>-4.7687929843371499</v>
      </c>
      <c r="AG6318">
        <v>4.3052380000000001</v>
      </c>
      <c r="AH6318">
        <v>103.692180937836</v>
      </c>
      <c r="AI6318">
        <v>87.624986135670099</v>
      </c>
      <c r="AJ6318">
        <v>92.633171741470406</v>
      </c>
      <c r="AK6318">
        <v>103.891023906827</v>
      </c>
      <c r="AL6318">
        <v>87.176874474508196</v>
      </c>
      <c r="AM6318">
        <v>93.397380956114702</v>
      </c>
      <c r="AN6318">
        <v>0.99999998976620097</v>
      </c>
    </row>
    <row r="6319" spans="1:40" x14ac:dyDescent="0.25">
      <c r="A6319" t="str">
        <f>"20190312160458560"</f>
        <v>20190312160458560</v>
      </c>
      <c r="B6319" t="str">
        <f>"1552377898551974"</f>
        <v>1552377898551974</v>
      </c>
      <c r="C6319" t="s">
        <v>40</v>
      </c>
      <c r="D6319">
        <v>6.372109</v>
      </c>
      <c r="E6319">
        <v>0.50544650000000002</v>
      </c>
      <c r="F6319" t="s">
        <v>106</v>
      </c>
      <c r="G6319">
        <v>-276.76280000000003</v>
      </c>
      <c r="H6319">
        <v>5.5278159999999996</v>
      </c>
      <c r="I6319">
        <v>19.598050000000001</v>
      </c>
      <c r="J6319">
        <v>-380.6311</v>
      </c>
      <c r="K6319">
        <v>1.110722</v>
      </c>
      <c r="L6319">
        <v>16.674039999999898</v>
      </c>
      <c r="M6319">
        <v>0.99978679999999998</v>
      </c>
      <c r="N6319">
        <v>0</v>
      </c>
      <c r="O6319">
        <v>-1.6988550000000002E-2</v>
      </c>
      <c r="P6319">
        <v>0.99840930000000006</v>
      </c>
      <c r="Q6319">
        <v>3.798493E-2</v>
      </c>
      <c r="R6319">
        <v>4.1665790000000001E-2</v>
      </c>
      <c r="S6319">
        <v>2.9964599999999999</v>
      </c>
      <c r="T6319">
        <v>0.12729560000000001</v>
      </c>
      <c r="U6319">
        <v>8.4228520000000001E-2</v>
      </c>
      <c r="V6319">
        <v>-5.868806E-2</v>
      </c>
      <c r="W6319">
        <v>4.9625809999999999E-2</v>
      </c>
      <c r="X6319">
        <v>0.99704210000000004</v>
      </c>
      <c r="Y6319">
        <v>-4.5021310000000002E-2</v>
      </c>
      <c r="Z6319">
        <v>-1.676985E-3</v>
      </c>
      <c r="AA6319">
        <v>0.9989846</v>
      </c>
      <c r="AB6319">
        <v>21</v>
      </c>
      <c r="AC6319">
        <v>103.868299999999</v>
      </c>
      <c r="AD6319">
        <v>4.4170939999999996</v>
      </c>
      <c r="AE6319">
        <v>2.92401</v>
      </c>
      <c r="AF6319">
        <v>-4.6798247691574497</v>
      </c>
      <c r="AG6319">
        <v>4.4170939999999996</v>
      </c>
      <c r="AH6319">
        <v>103.616392985224</v>
      </c>
      <c r="AI6319">
        <v>87.561481975230294</v>
      </c>
      <c r="AJ6319">
        <v>92.586001149965597</v>
      </c>
      <c r="AK6319">
        <v>103.81603139469</v>
      </c>
      <c r="AL6319">
        <v>87.155482115103297</v>
      </c>
      <c r="AM6319">
        <v>93.368666875866296</v>
      </c>
      <c r="AN6319">
        <v>0.99999997928856399</v>
      </c>
    </row>
    <row r="6320" spans="1:40" x14ac:dyDescent="0.25">
      <c r="A6320" t="str">
        <f>"20190312160458571"</f>
        <v>20190312160458571</v>
      </c>
      <c r="B6320" t="str">
        <f>"1552377898561735"</f>
        <v>1552377898561735</v>
      </c>
      <c r="C6320" t="s">
        <v>40</v>
      </c>
      <c r="D6320">
        <v>6.3739549999999996</v>
      </c>
      <c r="E6320">
        <v>0.50568369999999996</v>
      </c>
      <c r="F6320" t="s">
        <v>106</v>
      </c>
      <c r="G6320">
        <v>-276.68279999999999</v>
      </c>
      <c r="H6320">
        <v>5.6373319999999998</v>
      </c>
      <c r="I6320">
        <v>19.51662</v>
      </c>
      <c r="J6320">
        <v>-380.53120000000001</v>
      </c>
      <c r="K6320">
        <v>1.1107209999999901</v>
      </c>
      <c r="L6320">
        <v>16.67285</v>
      </c>
      <c r="M6320">
        <v>0.99979470000000004</v>
      </c>
      <c r="N6320">
        <v>0</v>
      </c>
      <c r="O6320">
        <v>-1.6524549999999999E-2</v>
      </c>
      <c r="P6320">
        <v>0.99838289999999996</v>
      </c>
      <c r="Q6320">
        <v>3.825564E-2</v>
      </c>
      <c r="R6320">
        <v>4.2049959999999997E-2</v>
      </c>
      <c r="S6320">
        <v>2.9963989999999998</v>
      </c>
      <c r="T6320">
        <v>0.1304835</v>
      </c>
      <c r="U6320">
        <v>8.1939699999999893E-2</v>
      </c>
      <c r="V6320">
        <v>-5.8608849999999997E-2</v>
      </c>
      <c r="W6320">
        <v>4.9883940000000002E-2</v>
      </c>
      <c r="X6320">
        <v>0.99703390000000003</v>
      </c>
      <c r="Y6320">
        <v>-4.3794479999999997E-2</v>
      </c>
      <c r="Z6320">
        <v>-1.672106E-3</v>
      </c>
      <c r="AA6320">
        <v>0.99903920000000002</v>
      </c>
      <c r="AB6320">
        <v>21</v>
      </c>
      <c r="AC6320">
        <v>103.8484</v>
      </c>
      <c r="AD6320">
        <v>4.5266109999999999</v>
      </c>
      <c r="AE6320">
        <v>2.8437699999999899</v>
      </c>
      <c r="AF6320">
        <v>-4.5509076166528004</v>
      </c>
      <c r="AG6320">
        <v>4.5266109999999999</v>
      </c>
      <c r="AH6320">
        <v>103.590551914926</v>
      </c>
      <c r="AI6320">
        <v>87.500337865670105</v>
      </c>
      <c r="AJ6320">
        <v>92.515482748257</v>
      </c>
      <c r="AK6320">
        <v>103.78922590192001</v>
      </c>
      <c r="AL6320">
        <v>87.140674077624894</v>
      </c>
      <c r="AM6320">
        <v>93.364158313111801</v>
      </c>
      <c r="AN6320">
        <v>1.00000000125872</v>
      </c>
    </row>
    <row r="6321" spans="1:40" x14ac:dyDescent="0.25">
      <c r="A6321" t="str">
        <f>"20190312160458582"</f>
        <v>20190312160458582</v>
      </c>
      <c r="B6321" t="str">
        <f>"1552377898571496"</f>
        <v>1552377898571496</v>
      </c>
      <c r="C6321" t="s">
        <v>40</v>
      </c>
      <c r="D6321">
        <v>6.3175689999999998</v>
      </c>
      <c r="E6321">
        <v>0.50592119999999996</v>
      </c>
      <c r="F6321" t="s">
        <v>106</v>
      </c>
      <c r="G6321">
        <v>-276.66090000000003</v>
      </c>
      <c r="H6321">
        <v>5.7395259999999997</v>
      </c>
      <c r="I6321">
        <v>19.48902</v>
      </c>
      <c r="J6321">
        <v>-380.42380000000003</v>
      </c>
      <c r="K6321">
        <v>1.110719</v>
      </c>
      <c r="L6321">
        <v>16.671659999999999</v>
      </c>
      <c r="M6321">
        <v>0.99980290000000005</v>
      </c>
      <c r="N6321">
        <v>0</v>
      </c>
      <c r="O6321">
        <v>-1.6025250000000001E-2</v>
      </c>
      <c r="P6321">
        <v>0.99836179999999997</v>
      </c>
      <c r="Q6321">
        <v>3.8572269999999999E-2</v>
      </c>
      <c r="R6321">
        <v>4.226179E-2</v>
      </c>
      <c r="S6321">
        <v>2.9963380000000002</v>
      </c>
      <c r="T6321">
        <v>0.133526799999999</v>
      </c>
      <c r="U6321">
        <v>8.1237790000000004E-2</v>
      </c>
      <c r="V6321">
        <v>-5.8322239999999997E-2</v>
      </c>
      <c r="W6321">
        <v>5.0186349999999998E-2</v>
      </c>
      <c r="X6321">
        <v>0.99703549999999996</v>
      </c>
      <c r="Y6321">
        <v>-4.3060769999999998E-2</v>
      </c>
      <c r="Z6321">
        <v>-1.672532E-3</v>
      </c>
      <c r="AA6321">
        <v>0.99907109999999999</v>
      </c>
      <c r="AB6321">
        <v>21</v>
      </c>
      <c r="AC6321">
        <v>103.7629</v>
      </c>
      <c r="AD6321">
        <v>4.6288070000000001</v>
      </c>
      <c r="AE6321">
        <v>2.8173599999999999</v>
      </c>
      <c r="AF6321">
        <v>-4.4710479389506004</v>
      </c>
      <c r="AG6321">
        <v>4.6288070000000001</v>
      </c>
      <c r="AH6321">
        <v>103.498610792318</v>
      </c>
      <c r="AI6321">
        <v>87.441628763060905</v>
      </c>
      <c r="AJ6321">
        <v>92.473588776757495</v>
      </c>
      <c r="AK6321">
        <v>103.69849834908599</v>
      </c>
      <c r="AL6321">
        <v>87.123325443509501</v>
      </c>
      <c r="AM6321">
        <v>93.347738997747697</v>
      </c>
      <c r="AN6321">
        <v>0.99999997083259395</v>
      </c>
    </row>
    <row r="6322" spans="1:40" x14ac:dyDescent="0.25">
      <c r="A6322" t="str">
        <f>"20190312160458593"</f>
        <v>20190312160458593</v>
      </c>
      <c r="B6322" t="str">
        <f>"1552377898581255"</f>
        <v>1552377898581255</v>
      </c>
      <c r="C6322" t="s">
        <v>40</v>
      </c>
      <c r="D6322">
        <v>6.1800730000000001</v>
      </c>
      <c r="E6322">
        <v>0.50592119999999996</v>
      </c>
      <c r="F6322" t="s">
        <v>106</v>
      </c>
      <c r="G6322">
        <v>-276.67910000000001</v>
      </c>
      <c r="H6322">
        <v>5.8412620000000004</v>
      </c>
      <c r="I6322">
        <v>19.443300000000001</v>
      </c>
      <c r="J6322">
        <v>-380.3279</v>
      </c>
      <c r="K6322">
        <v>1.1107180000000001</v>
      </c>
      <c r="L6322">
        <v>16.670590000000001</v>
      </c>
      <c r="M6322">
        <v>0.99981019999999998</v>
      </c>
      <c r="N6322">
        <v>0</v>
      </c>
      <c r="O6322">
        <v>-1.557947E-2</v>
      </c>
      <c r="P6322">
        <v>0.9983476</v>
      </c>
      <c r="Q6322">
        <v>3.8604550000000001E-2</v>
      </c>
      <c r="R6322">
        <v>4.256836E-2</v>
      </c>
      <c r="S6322">
        <v>2.9962460000000002</v>
      </c>
      <c r="T6322">
        <v>0.13662270000000001</v>
      </c>
      <c r="U6322">
        <v>8.0047610000000005E-2</v>
      </c>
      <c r="V6322">
        <v>-5.8184310000000003E-2</v>
      </c>
      <c r="W6322">
        <v>5.0204930000000002E-2</v>
      </c>
      <c r="X6322">
        <v>0.99704269999999995</v>
      </c>
      <c r="Y6322">
        <v>-4.2218159999999998E-2</v>
      </c>
      <c r="Z6322">
        <v>-1.6718200000000001E-3</v>
      </c>
      <c r="AA6322">
        <v>0.99910699999999997</v>
      </c>
      <c r="AB6322">
        <v>21</v>
      </c>
      <c r="AC6322">
        <v>103.64879999999999</v>
      </c>
      <c r="AD6322">
        <v>4.7305440000000001</v>
      </c>
      <c r="AE6322">
        <v>2.77271</v>
      </c>
      <c r="AF6322">
        <v>-4.3781640212357198</v>
      </c>
      <c r="AG6322">
        <v>4.7305440000000001</v>
      </c>
      <c r="AH6322">
        <v>103.377834200067</v>
      </c>
      <c r="AI6322">
        <v>87.382330304753197</v>
      </c>
      <c r="AJ6322">
        <v>92.425089549199996</v>
      </c>
      <c r="AK6322">
        <v>103.57858355195501</v>
      </c>
      <c r="AL6322">
        <v>87.122259764393107</v>
      </c>
      <c r="AM6322">
        <v>93.339815595394398</v>
      </c>
      <c r="AN6322">
        <v>1.00000004727488</v>
      </c>
    </row>
    <row r="6323" spans="1:40" x14ac:dyDescent="0.25">
      <c r="A6323" t="str">
        <f>"20190312160458603"</f>
        <v>20190312160458603</v>
      </c>
      <c r="B6323" t="str">
        <f>"1552377898601751"</f>
        <v>1552377898601751</v>
      </c>
      <c r="C6323" t="s">
        <v>40</v>
      </c>
      <c r="D6323">
        <v>6.1793879999999897</v>
      </c>
      <c r="E6323">
        <v>0.50646899999999995</v>
      </c>
      <c r="F6323" t="s">
        <v>106</v>
      </c>
      <c r="G6323">
        <v>-276.67880000000002</v>
      </c>
      <c r="H6323">
        <v>5.8404210000000001</v>
      </c>
      <c r="I6323">
        <v>19.471350000000001</v>
      </c>
      <c r="J6323">
        <v>-380.22129999999999</v>
      </c>
      <c r="K6323">
        <v>1.110716</v>
      </c>
      <c r="L6323">
        <v>16.669529999999899</v>
      </c>
      <c r="M6323">
        <v>0.99981799999999998</v>
      </c>
      <c r="N6323">
        <v>0</v>
      </c>
      <c r="O6323">
        <v>-1.50835E-2</v>
      </c>
      <c r="P6323">
        <v>0.99833150000000004</v>
      </c>
      <c r="Q6323">
        <v>3.8849160000000001E-2</v>
      </c>
      <c r="R6323">
        <v>4.2724489999999997E-2</v>
      </c>
      <c r="S6323">
        <v>2.9962460000000002</v>
      </c>
      <c r="T6323">
        <v>0.1367244</v>
      </c>
      <c r="U6323">
        <v>8.0963129999999994E-2</v>
      </c>
      <c r="V6323">
        <v>-5.7845140000000003E-2</v>
      </c>
      <c r="W6323">
        <v>5.0434470000000002E-2</v>
      </c>
      <c r="X6323">
        <v>0.99705080000000001</v>
      </c>
      <c r="Y6323">
        <v>-4.2028219999999998E-2</v>
      </c>
      <c r="Z6323">
        <v>-1.6461080000000001E-3</v>
      </c>
      <c r="AA6323">
        <v>0.99911499999999998</v>
      </c>
      <c r="AB6323">
        <v>21</v>
      </c>
      <c r="AC6323">
        <v>103.542499999999</v>
      </c>
      <c r="AD6323">
        <v>4.729705</v>
      </c>
      <c r="AE6323">
        <v>2.8018200000000002</v>
      </c>
      <c r="AF6323">
        <v>-4.3543121961518496</v>
      </c>
      <c r="AG6323">
        <v>4.729705</v>
      </c>
      <c r="AH6323">
        <v>103.273127130644</v>
      </c>
      <c r="AI6323">
        <v>87.380123324114095</v>
      </c>
      <c r="AJ6323">
        <v>92.414336024913894</v>
      </c>
      <c r="AK6323">
        <v>103.47303480342499</v>
      </c>
      <c r="AL6323">
        <v>87.109091263777003</v>
      </c>
      <c r="AM6323">
        <v>93.320363798876699</v>
      </c>
      <c r="AN6323">
        <v>0.99999999688322005</v>
      </c>
    </row>
    <row r="6324" spans="1:40" x14ac:dyDescent="0.25">
      <c r="A6324" t="str">
        <f>"20190312160458615"</f>
        <v>20190312160458615</v>
      </c>
      <c r="B6324" t="str">
        <f>"1552377898611512"</f>
        <v>1552377898611512</v>
      </c>
      <c r="C6324" t="s">
        <v>40</v>
      </c>
      <c r="D6324">
        <v>6.2867620000000004</v>
      </c>
      <c r="E6324">
        <v>0.5066891</v>
      </c>
      <c r="F6324" t="s">
        <v>106</v>
      </c>
      <c r="G6324">
        <v>-276.70319999999998</v>
      </c>
      <c r="H6324">
        <v>5.9847099999999998</v>
      </c>
      <c r="I6324">
        <v>19.334969999999998</v>
      </c>
      <c r="J6324">
        <v>-380.12139999999999</v>
      </c>
      <c r="K6324">
        <v>1.110708</v>
      </c>
      <c r="L6324">
        <v>16.668520000000001</v>
      </c>
      <c r="M6324">
        <v>0.99982510000000002</v>
      </c>
      <c r="N6324">
        <v>0</v>
      </c>
      <c r="O6324">
        <v>-1.4619E-2</v>
      </c>
      <c r="P6324">
        <v>0.99831389999999998</v>
      </c>
      <c r="Q6324">
        <v>3.908064E-2</v>
      </c>
      <c r="R6324">
        <v>4.291942E-2</v>
      </c>
      <c r="S6324">
        <v>2.996216</v>
      </c>
      <c r="T6324">
        <v>0.14107239999999999</v>
      </c>
      <c r="U6324">
        <v>7.7148439999999999E-2</v>
      </c>
      <c r="V6324">
        <v>-5.7576380000000003E-2</v>
      </c>
      <c r="W6324">
        <v>5.0648770000000003E-2</v>
      </c>
      <c r="X6324">
        <v>0.99705549999999998</v>
      </c>
      <c r="Y6324">
        <v>-4.02917E-2</v>
      </c>
      <c r="Z6324">
        <v>-1.6357349999999999E-3</v>
      </c>
      <c r="AA6324">
        <v>0.99918660000000004</v>
      </c>
      <c r="AB6324">
        <v>21</v>
      </c>
      <c r="AC6324">
        <v>103.4182</v>
      </c>
      <c r="AD6324">
        <v>4.8740019999999999</v>
      </c>
      <c r="AE6324">
        <v>2.6664500000000002</v>
      </c>
      <c r="AF6324">
        <v>-4.1688849819482403</v>
      </c>
      <c r="AG6324">
        <v>4.8740019999999999</v>
      </c>
      <c r="AH6324">
        <v>103.139228123352</v>
      </c>
      <c r="AI6324">
        <v>87.296617293273002</v>
      </c>
      <c r="AJ6324">
        <v>92.314633971967993</v>
      </c>
      <c r="AK6324">
        <v>103.338453033561</v>
      </c>
      <c r="AL6324">
        <v>87.096797085611399</v>
      </c>
      <c r="AM6324">
        <v>93.304955461966998</v>
      </c>
      <c r="AN6324">
        <v>1.0000000037583301</v>
      </c>
    </row>
    <row r="6325" spans="1:40" x14ac:dyDescent="0.25">
      <c r="A6325" t="str">
        <f>"20190312160458626"</f>
        <v>20190312160458626</v>
      </c>
      <c r="B6325" t="str">
        <f>"1552377898621271"</f>
        <v>1552377898621271</v>
      </c>
      <c r="C6325" t="s">
        <v>40</v>
      </c>
      <c r="D6325">
        <v>6.3587129999999998</v>
      </c>
      <c r="E6325">
        <v>0.50689139999999999</v>
      </c>
      <c r="F6325" t="s">
        <v>106</v>
      </c>
      <c r="G6325">
        <v>-276.6979</v>
      </c>
      <c r="H6325">
        <v>6.0633710000000001</v>
      </c>
      <c r="I6325">
        <v>19.292549999999999</v>
      </c>
      <c r="J6325">
        <v>-380.01679999999999</v>
      </c>
      <c r="K6325">
        <v>1.1107070000000001</v>
      </c>
      <c r="L6325">
        <v>16.667539999999999</v>
      </c>
      <c r="M6325">
        <v>0.99983230000000001</v>
      </c>
      <c r="N6325">
        <v>0</v>
      </c>
      <c r="O6325">
        <v>-1.413183E-2</v>
      </c>
      <c r="P6325">
        <v>0.99828899999999998</v>
      </c>
      <c r="Q6325">
        <v>3.9343780000000002E-2</v>
      </c>
      <c r="R6325">
        <v>4.3258350000000001E-2</v>
      </c>
      <c r="S6325">
        <v>2.996216</v>
      </c>
      <c r="T6325">
        <v>0.14348039999999901</v>
      </c>
      <c r="U6325">
        <v>7.6019290000000003E-2</v>
      </c>
      <c r="V6325">
        <v>-5.7429210000000001E-2</v>
      </c>
      <c r="W6325">
        <v>5.0893069999999999E-2</v>
      </c>
      <c r="X6325">
        <v>0.99705149999999998</v>
      </c>
      <c r="Y6325">
        <v>-3.9427980000000001E-2</v>
      </c>
      <c r="Z6325">
        <v>-1.619653E-3</v>
      </c>
      <c r="AA6325">
        <v>0.99922109999999997</v>
      </c>
      <c r="AB6325">
        <v>21</v>
      </c>
      <c r="AC6325">
        <v>103.3189</v>
      </c>
      <c r="AD6325">
        <v>4.9526639999999897</v>
      </c>
      <c r="AE6325">
        <v>2.6250100000000001</v>
      </c>
      <c r="AF6325">
        <v>-4.0755730743880001</v>
      </c>
      <c r="AG6325">
        <v>4.9526639999999897</v>
      </c>
      <c r="AH6325">
        <v>103.034878474016</v>
      </c>
      <c r="AI6325">
        <v>87.2501809167494</v>
      </c>
      <c r="AJ6325">
        <v>92.265169498785298</v>
      </c>
      <c r="AK6325">
        <v>103.234322580898</v>
      </c>
      <c r="AL6325">
        <v>87.082781512465402</v>
      </c>
      <c r="AM6325">
        <v>93.296539572284601</v>
      </c>
      <c r="AN6325">
        <v>0.99999995619374804</v>
      </c>
    </row>
    <row r="6326" spans="1:40" x14ac:dyDescent="0.25">
      <c r="A6326" t="str">
        <f>"20190312160458637"</f>
        <v>20190312160458637</v>
      </c>
      <c r="B6326" t="str">
        <f>"1552377898631031"</f>
        <v>1552377898631031</v>
      </c>
      <c r="C6326" t="s">
        <v>40</v>
      </c>
      <c r="D6326">
        <v>6.351674</v>
      </c>
      <c r="E6326">
        <v>0.50708109999999995</v>
      </c>
      <c r="F6326" t="s">
        <v>106</v>
      </c>
      <c r="G6326">
        <v>-276.69779999999997</v>
      </c>
      <c r="H6326">
        <v>6.1516400000000004</v>
      </c>
      <c r="I6326">
        <v>19.27007</v>
      </c>
      <c r="J6326">
        <v>-379.9117</v>
      </c>
      <c r="K6326">
        <v>1.110703</v>
      </c>
      <c r="L6326">
        <v>16.666629999999898</v>
      </c>
      <c r="M6326">
        <v>0.99983940000000004</v>
      </c>
      <c r="N6326">
        <v>0</v>
      </c>
      <c r="O6326">
        <v>-1.364251E-2</v>
      </c>
      <c r="P6326">
        <v>0.99825529999999996</v>
      </c>
      <c r="Q6326">
        <v>3.9849040000000002E-2</v>
      </c>
      <c r="R6326">
        <v>4.3576660000000003E-2</v>
      </c>
      <c r="S6326">
        <v>2.996124</v>
      </c>
      <c r="T6326">
        <v>0.1461809</v>
      </c>
      <c r="U6326">
        <v>7.5469969999999997E-2</v>
      </c>
      <c r="V6326">
        <v>-5.7259499999999998E-2</v>
      </c>
      <c r="W6326">
        <v>5.137738E-2</v>
      </c>
      <c r="X6326">
        <v>0.99703649999999999</v>
      </c>
      <c r="Y6326">
        <v>-3.8755690000000002E-2</v>
      </c>
      <c r="Z6326">
        <v>-1.609908E-3</v>
      </c>
      <c r="AA6326">
        <v>0.99924740000000001</v>
      </c>
      <c r="AB6326">
        <v>21</v>
      </c>
      <c r="AC6326">
        <v>103.2139</v>
      </c>
      <c r="AD6326">
        <v>5.0409369999999996</v>
      </c>
      <c r="AE6326">
        <v>2.60344</v>
      </c>
      <c r="AF6326">
        <v>-4.0018498286558302</v>
      </c>
      <c r="AG6326">
        <v>5.0409369999999996</v>
      </c>
      <c r="AH6326">
        <v>102.92342448657099</v>
      </c>
      <c r="AI6326">
        <v>87.198147544427499</v>
      </c>
      <c r="AJ6326">
        <v>92.226642430217694</v>
      </c>
      <c r="AK6326">
        <v>103.12447408802601</v>
      </c>
      <c r="AL6326">
        <v>87.054996470717398</v>
      </c>
      <c r="AM6326">
        <v>93.286868644182306</v>
      </c>
      <c r="AN6326">
        <v>1.00000003392408</v>
      </c>
    </row>
    <row r="6327" spans="1:40" x14ac:dyDescent="0.25">
      <c r="A6327" t="str">
        <f>"20190312160458648"</f>
        <v>20190312160458648</v>
      </c>
      <c r="B6327" t="str">
        <f>"1552377898641766"</f>
        <v>1552377898641766</v>
      </c>
      <c r="C6327" t="s">
        <v>40</v>
      </c>
      <c r="D6327">
        <v>6.3101450000000003</v>
      </c>
      <c r="E6327">
        <v>0.50729869999999999</v>
      </c>
      <c r="F6327" t="s">
        <v>106</v>
      </c>
      <c r="G6327">
        <v>-276.69990000000001</v>
      </c>
      <c r="H6327">
        <v>6.2702349999999996</v>
      </c>
      <c r="I6327">
        <v>19.248660000000001</v>
      </c>
      <c r="J6327">
        <v>-379.80340000000001</v>
      </c>
      <c r="K6327">
        <v>1.1107009999999999</v>
      </c>
      <c r="L6327">
        <v>16.665679999999998</v>
      </c>
      <c r="M6327">
        <v>0.99984629999999997</v>
      </c>
      <c r="N6327">
        <v>0</v>
      </c>
      <c r="O6327">
        <v>-1.313829E-2</v>
      </c>
      <c r="P6327">
        <v>0.9982164</v>
      </c>
      <c r="Q6327">
        <v>4.011783E-2</v>
      </c>
      <c r="R6327">
        <v>4.4214400000000001E-2</v>
      </c>
      <c r="S6327">
        <v>2.9960330000000002</v>
      </c>
      <c r="T6327">
        <v>0.14977099999999999</v>
      </c>
      <c r="U6327">
        <v>7.4951169999999998E-2</v>
      </c>
      <c r="V6327">
        <v>-5.7394250000000001E-2</v>
      </c>
      <c r="W6327">
        <v>5.1625009999999999E-2</v>
      </c>
      <c r="X6327">
        <v>0.99701600000000001</v>
      </c>
      <c r="Y6327">
        <v>-3.8077970000000003E-2</v>
      </c>
      <c r="Z6327">
        <v>-1.6073369999999999E-3</v>
      </c>
      <c r="AA6327">
        <v>0.99927350000000004</v>
      </c>
      <c r="AB6327">
        <v>21</v>
      </c>
      <c r="AC6327">
        <v>103.1035</v>
      </c>
      <c r="AD6327">
        <v>5.1595339999999998</v>
      </c>
      <c r="AE6327">
        <v>2.5829800000000001</v>
      </c>
      <c r="AF6327">
        <v>-3.92762249755393</v>
      </c>
      <c r="AG6327">
        <v>5.1595339999999998</v>
      </c>
      <c r="AH6327">
        <v>102.80337981152699</v>
      </c>
      <c r="AI6327">
        <v>87.128920112960799</v>
      </c>
      <c r="AJ6327">
        <v>92.187931938536593</v>
      </c>
      <c r="AK6327">
        <v>103.007678889749</v>
      </c>
      <c r="AL6327">
        <v>87.040789579140394</v>
      </c>
      <c r="AM6327">
        <v>93.294654275082394</v>
      </c>
      <c r="AN6327">
        <v>1.0000000729232701</v>
      </c>
    </row>
    <row r="6328" spans="1:40" x14ac:dyDescent="0.25">
      <c r="A6328" t="str">
        <f>"20190312160458659"</f>
        <v>20190312160458659</v>
      </c>
      <c r="B6328" t="str">
        <f>"1552377898651527"</f>
        <v>1552377898651527</v>
      </c>
      <c r="C6328" t="s">
        <v>40</v>
      </c>
      <c r="D6328">
        <v>5.7374640000000001</v>
      </c>
      <c r="E6328">
        <v>0.50747810000000004</v>
      </c>
      <c r="F6328" t="s">
        <v>106</v>
      </c>
      <c r="G6328">
        <v>-276.27760000000001</v>
      </c>
      <c r="H6328">
        <v>6.3618480000000002</v>
      </c>
      <c r="I6328">
        <v>19.26305</v>
      </c>
      <c r="J6328">
        <v>-379.70389999999998</v>
      </c>
      <c r="K6328">
        <v>1.1106990000000001</v>
      </c>
      <c r="L6328">
        <v>16.664919999999999</v>
      </c>
      <c r="M6328">
        <v>0.99985239999999997</v>
      </c>
      <c r="N6328">
        <v>0</v>
      </c>
      <c r="O6328">
        <v>-1.2674609999999999E-2</v>
      </c>
      <c r="P6328">
        <v>0.99817730000000005</v>
      </c>
      <c r="Q6328">
        <v>4.0515740000000001E-2</v>
      </c>
      <c r="R6328">
        <v>4.4728850000000001E-2</v>
      </c>
      <c r="S6328">
        <v>2.995911</v>
      </c>
      <c r="T6328">
        <v>0.15196170000000001</v>
      </c>
      <c r="U6328">
        <v>7.5164789999999995E-2</v>
      </c>
      <c r="V6328">
        <v>-5.7446369999999997E-2</v>
      </c>
      <c r="W6328">
        <v>5.2004059999999998E-2</v>
      </c>
      <c r="X6328">
        <v>0.99699320000000002</v>
      </c>
      <c r="Y6328">
        <v>-3.7685980000000001E-2</v>
      </c>
      <c r="Z6328">
        <v>-1.597446E-3</v>
      </c>
      <c r="AA6328">
        <v>0.99928839999999997</v>
      </c>
      <c r="AB6328">
        <v>21</v>
      </c>
      <c r="AC6328">
        <v>103.426299999999</v>
      </c>
      <c r="AD6328">
        <v>5.2511489999999998</v>
      </c>
      <c r="AE6328">
        <v>2.5981299999999901</v>
      </c>
      <c r="AF6328">
        <v>-3.89885341001786</v>
      </c>
      <c r="AG6328">
        <v>5.2511489999999998</v>
      </c>
      <c r="AH6328">
        <v>103.119406521809</v>
      </c>
      <c r="AI6328">
        <v>87.086923222749107</v>
      </c>
      <c r="AJ6328">
        <v>92.165271286921794</v>
      </c>
      <c r="AK6328">
        <v>103.326606569379</v>
      </c>
      <c r="AL6328">
        <v>87.019042108566396</v>
      </c>
      <c r="AM6328">
        <v>93.297714813479601</v>
      </c>
      <c r="AN6328">
        <v>0.99999997426444998</v>
      </c>
    </row>
    <row r="6329" spans="1:40" x14ac:dyDescent="0.25">
      <c r="A6329" t="str">
        <f>"20190312160458670"</f>
        <v>20190312160458670</v>
      </c>
      <c r="B6329" t="str">
        <f>"1552377898661287"</f>
        <v>1552377898661287</v>
      </c>
      <c r="C6329" t="s">
        <v>40</v>
      </c>
      <c r="D6329">
        <v>6.2361940000000002</v>
      </c>
      <c r="E6329">
        <v>0.50765159999999998</v>
      </c>
      <c r="F6329" t="s">
        <v>106</v>
      </c>
      <c r="G6329">
        <v>-276.28719999999998</v>
      </c>
      <c r="H6329">
        <v>6.4379229999999996</v>
      </c>
      <c r="I6329">
        <v>19.265899999999998</v>
      </c>
      <c r="J6329">
        <v>-379.60719999999998</v>
      </c>
      <c r="K6329">
        <v>1.110698</v>
      </c>
      <c r="L6329">
        <v>16.664149999999999</v>
      </c>
      <c r="M6329">
        <v>0.99985840000000004</v>
      </c>
      <c r="N6329">
        <v>0</v>
      </c>
      <c r="O6329">
        <v>-1.22244E-2</v>
      </c>
      <c r="P6329">
        <v>0.9980909</v>
      </c>
      <c r="Q6329">
        <v>4.1078009999999998E-2</v>
      </c>
      <c r="R6329">
        <v>4.6125050000000001E-2</v>
      </c>
      <c r="S6329">
        <v>2.9958800000000001</v>
      </c>
      <c r="T6329">
        <v>0.154324499999999</v>
      </c>
      <c r="U6329">
        <v>7.5347899999999995E-2</v>
      </c>
      <c r="V6329">
        <v>-5.839217E-2</v>
      </c>
      <c r="W6329">
        <v>5.254644E-2</v>
      </c>
      <c r="X6329">
        <v>0.99690990000000002</v>
      </c>
      <c r="Y6329">
        <v>-3.72964E-2</v>
      </c>
      <c r="Z6329">
        <v>-1.589067E-3</v>
      </c>
      <c r="AA6329">
        <v>0.99930300000000005</v>
      </c>
      <c r="AB6329">
        <v>21</v>
      </c>
      <c r="AC6329">
        <v>103.32</v>
      </c>
      <c r="AD6329">
        <v>5.3272250000000003</v>
      </c>
      <c r="AE6329">
        <v>2.6017499999999898</v>
      </c>
      <c r="AF6329">
        <v>-3.85442463208435</v>
      </c>
      <c r="AG6329">
        <v>5.3272250000000003</v>
      </c>
      <c r="AH6329">
        <v>103.006803935101</v>
      </c>
      <c r="AI6329">
        <v>87.041526284090907</v>
      </c>
      <c r="AJ6329">
        <v>92.142958214005702</v>
      </c>
      <c r="AK6329">
        <v>103.216459793821</v>
      </c>
      <c r="AL6329">
        <v>86.987923736813599</v>
      </c>
      <c r="AM6329">
        <v>93.352165205648205</v>
      </c>
      <c r="AN6329">
        <v>1.0000000612959901</v>
      </c>
    </row>
    <row r="6330" spans="1:40" x14ac:dyDescent="0.25">
      <c r="A6330" t="str">
        <f>"20190312160458682"</f>
        <v>20190312160458682</v>
      </c>
      <c r="B6330" t="str">
        <f>"1552377898672023"</f>
        <v>1552377898672023</v>
      </c>
      <c r="C6330" t="s">
        <v>40</v>
      </c>
      <c r="D6330">
        <v>6.341513</v>
      </c>
      <c r="E6330">
        <v>0.50783829999999996</v>
      </c>
      <c r="F6330" t="s">
        <v>106</v>
      </c>
      <c r="G6330">
        <v>-276.30930000000001</v>
      </c>
      <c r="H6330">
        <v>6.519444</v>
      </c>
      <c r="I6330">
        <v>19.35913</v>
      </c>
      <c r="J6330">
        <v>-379.48439999999999</v>
      </c>
      <c r="K6330">
        <v>1.1107</v>
      </c>
      <c r="L6330">
        <v>16.663329999999998</v>
      </c>
      <c r="M6330">
        <v>0.99986540000000002</v>
      </c>
      <c r="N6330">
        <v>0</v>
      </c>
      <c r="O6330">
        <v>-1.1652340000000001E-2</v>
      </c>
      <c r="P6330">
        <v>0.99801600000000001</v>
      </c>
      <c r="Q6330">
        <v>4.1413249999999999E-2</v>
      </c>
      <c r="R6330">
        <v>4.7425799999999997E-2</v>
      </c>
      <c r="S6330">
        <v>2.9956670000000001</v>
      </c>
      <c r="T6330">
        <v>0.1568551</v>
      </c>
      <c r="U6330">
        <v>7.8155520000000006E-2</v>
      </c>
      <c r="V6330">
        <v>-5.9121800000000002E-2</v>
      </c>
      <c r="W6330">
        <v>5.2859759999999999E-2</v>
      </c>
      <c r="X6330">
        <v>0.99685029999999997</v>
      </c>
      <c r="Y6330">
        <v>-3.7660520000000003E-2</v>
      </c>
      <c r="Z6330">
        <v>-1.5947789999999999E-3</v>
      </c>
      <c r="AA6330">
        <v>0.99928930000000005</v>
      </c>
      <c r="AB6330">
        <v>21</v>
      </c>
      <c r="AC6330">
        <v>103.1751</v>
      </c>
      <c r="AD6330">
        <v>5.4087440000000004</v>
      </c>
      <c r="AE6330">
        <v>2.6958000000000002</v>
      </c>
      <c r="AF6330">
        <v>-3.8872529693839599</v>
      </c>
      <c r="AG6330">
        <v>5.4087440000000004</v>
      </c>
      <c r="AH6330">
        <v>102.854212278408</v>
      </c>
      <c r="AI6330">
        <v>86.991931270054096</v>
      </c>
      <c r="AJ6330">
        <v>92.164395905814501</v>
      </c>
      <c r="AK6330">
        <v>103.06965717764599</v>
      </c>
      <c r="AL6330">
        <v>86.969946748606404</v>
      </c>
      <c r="AM6330">
        <v>93.394156781145497</v>
      </c>
      <c r="AN6330">
        <v>1.00000003103629</v>
      </c>
    </row>
    <row r="6331" spans="1:40" x14ac:dyDescent="0.25">
      <c r="A6331" t="str">
        <f>"20190312160458695"</f>
        <v>20190312160458695</v>
      </c>
      <c r="B6331" t="str">
        <f>"1552377898691543"</f>
        <v>1552377898691543</v>
      </c>
      <c r="C6331" t="s">
        <v>40</v>
      </c>
      <c r="D6331">
        <v>6.3330849999999996</v>
      </c>
      <c r="E6331">
        <v>0.50803419999999999</v>
      </c>
      <c r="F6331" t="s">
        <v>106</v>
      </c>
      <c r="G6331">
        <v>-276.36070000000001</v>
      </c>
      <c r="H6331">
        <v>6.5809819999999997</v>
      </c>
      <c r="I6331">
        <v>19.438980000000001</v>
      </c>
      <c r="J6331">
        <v>-379.36619999999999</v>
      </c>
      <c r="K6331">
        <v>1.1107009999999999</v>
      </c>
      <c r="L6331">
        <v>16.662569999999999</v>
      </c>
      <c r="M6331">
        <v>0.99987170000000003</v>
      </c>
      <c r="N6331">
        <v>0</v>
      </c>
      <c r="O6331">
        <v>-1.110246E-2</v>
      </c>
      <c r="P6331">
        <v>0.99794430000000001</v>
      </c>
      <c r="Q6331">
        <v>4.1932749999999998E-2</v>
      </c>
      <c r="R6331">
        <v>4.8465609999999999E-2</v>
      </c>
      <c r="S6331">
        <v>2.9955440000000002</v>
      </c>
      <c r="T6331">
        <v>0.1589013</v>
      </c>
      <c r="U6331">
        <v>8.0627439999999995E-2</v>
      </c>
      <c r="V6331">
        <v>-5.961313E-2</v>
      </c>
      <c r="W6331">
        <v>5.3359730000000001E-2</v>
      </c>
      <c r="X6331">
        <v>0.99679430000000002</v>
      </c>
      <c r="Y6331">
        <v>-3.7934660000000002E-2</v>
      </c>
      <c r="Z6331">
        <v>-1.5937220000000001E-3</v>
      </c>
      <c r="AA6331">
        <v>0.99927900000000003</v>
      </c>
      <c r="AB6331">
        <v>21</v>
      </c>
      <c r="AC6331">
        <v>103.005499999999</v>
      </c>
      <c r="AD6331">
        <v>5.4702809999999999</v>
      </c>
      <c r="AE6331">
        <v>2.7764099999999901</v>
      </c>
      <c r="AF6331">
        <v>-3.9089131554639498</v>
      </c>
      <c r="AG6331">
        <v>5.4702809999999999</v>
      </c>
      <c r="AH6331">
        <v>102.67894617032201</v>
      </c>
      <c r="AI6331">
        <v>86.952620077402301</v>
      </c>
      <c r="AJ6331">
        <v>92.180156047206296</v>
      </c>
      <c r="AK6331">
        <v>102.898831688819</v>
      </c>
      <c r="AL6331">
        <v>86.941259786898001</v>
      </c>
      <c r="AM6331">
        <v>93.422488863668093</v>
      </c>
      <c r="AN6331">
        <v>0.99999993128327702</v>
      </c>
    </row>
    <row r="6332" spans="1:40" x14ac:dyDescent="0.25">
      <c r="A6332" t="str">
        <f>"20190312160458714"</f>
        <v>20190312160458714</v>
      </c>
      <c r="B6332" t="str">
        <f>"1552377898711063"</f>
        <v>1552377898711063</v>
      </c>
      <c r="C6332" t="s">
        <v>40</v>
      </c>
      <c r="D6332">
        <v>6.3745029999999998</v>
      </c>
      <c r="E6332">
        <v>0.5084592</v>
      </c>
      <c r="F6332" t="s">
        <v>106</v>
      </c>
      <c r="G6332">
        <v>-276.39339999999999</v>
      </c>
      <c r="H6332">
        <v>6.6597689999999998</v>
      </c>
      <c r="I6332">
        <v>19.489899999999999</v>
      </c>
      <c r="J6332">
        <v>-379.18400000000003</v>
      </c>
      <c r="K6332">
        <v>1.110703</v>
      </c>
      <c r="L6332">
        <v>16.661529999999999</v>
      </c>
      <c r="M6332">
        <v>0.99988129999999997</v>
      </c>
      <c r="N6332">
        <v>0</v>
      </c>
      <c r="O6332">
        <v>-1.025499E-2</v>
      </c>
      <c r="P6332">
        <v>0.99777640000000001</v>
      </c>
      <c r="Q6332">
        <v>4.3101489999999999E-2</v>
      </c>
      <c r="R6332">
        <v>5.0841509999999999E-2</v>
      </c>
      <c r="S6332">
        <v>2.9953919999999998</v>
      </c>
      <c r="T6332">
        <v>0.16141759999999999</v>
      </c>
      <c r="U6332">
        <v>8.2244869999999998E-2</v>
      </c>
      <c r="V6332">
        <v>-6.114406E-2</v>
      </c>
      <c r="W6332">
        <v>5.449818E-2</v>
      </c>
      <c r="X6332">
        <v>0.99663999999999997</v>
      </c>
      <c r="Y6332">
        <v>-3.7627720000000003E-2</v>
      </c>
      <c r="Z6332">
        <v>-1.5650989999999999E-3</v>
      </c>
      <c r="AA6332">
        <v>0.99929060000000003</v>
      </c>
      <c r="AB6332">
        <v>21</v>
      </c>
      <c r="AC6332">
        <v>102.7906</v>
      </c>
      <c r="AD6332">
        <v>5.5490659999999998</v>
      </c>
      <c r="AE6332">
        <v>2.8283700000000001</v>
      </c>
      <c r="AF6332">
        <v>-3.8711344453111498</v>
      </c>
      <c r="AG6332">
        <v>5.5490659999999998</v>
      </c>
      <c r="AH6332">
        <v>102.45782129123801</v>
      </c>
      <c r="AI6332">
        <v>86.902123124128906</v>
      </c>
      <c r="AJ6332">
        <v>92.163760765297198</v>
      </c>
      <c r="AK6332">
        <v>102.68097661745</v>
      </c>
      <c r="AL6332">
        <v>86.875936455187698</v>
      </c>
      <c r="AM6332">
        <v>93.5107071653389</v>
      </c>
      <c r="AN6332">
        <v>0.99999996864829699</v>
      </c>
    </row>
    <row r="6333" spans="1:40" x14ac:dyDescent="0.25">
      <c r="A6333" t="str">
        <f>"20190312160458735"</f>
        <v>20190312160458735</v>
      </c>
      <c r="B6333" t="str">
        <f>"1552377898731562"</f>
        <v>1552377898731562</v>
      </c>
      <c r="C6333" t="s">
        <v>40</v>
      </c>
      <c r="D6333">
        <v>6.2498459999999998</v>
      </c>
      <c r="E6333">
        <v>0.50896260000000004</v>
      </c>
      <c r="F6333" t="s">
        <v>106</v>
      </c>
      <c r="G6333">
        <v>-276.47239999999999</v>
      </c>
      <c r="H6333">
        <v>6.8407660000000003</v>
      </c>
      <c r="I6333">
        <v>19.612829999999999</v>
      </c>
      <c r="J6333">
        <v>-378.98779999999999</v>
      </c>
      <c r="K6333">
        <v>1.110711</v>
      </c>
      <c r="L6333">
        <v>16.660550000000001</v>
      </c>
      <c r="M6333">
        <v>0.99989050000000002</v>
      </c>
      <c r="N6333">
        <v>0</v>
      </c>
      <c r="O6333">
        <v>-9.3427879999999994E-3</v>
      </c>
      <c r="P6333">
        <v>0.99764070000000005</v>
      </c>
      <c r="Q6333">
        <v>4.449898E-2</v>
      </c>
      <c r="R6333">
        <v>5.22783E-2</v>
      </c>
      <c r="S6333">
        <v>2.9950559999999999</v>
      </c>
      <c r="T6333">
        <v>0.16708779999999901</v>
      </c>
      <c r="U6333">
        <v>8.6059570000000002E-2</v>
      </c>
      <c r="V6333">
        <v>-6.1671660000000003E-2</v>
      </c>
      <c r="W6333">
        <v>5.5866539999999999E-2</v>
      </c>
      <c r="X6333">
        <v>0.99653170000000002</v>
      </c>
      <c r="Y6333">
        <v>-3.7986770000000003E-2</v>
      </c>
      <c r="Z6333">
        <v>-1.5793070000000001E-3</v>
      </c>
      <c r="AA6333">
        <v>0.99927699999999997</v>
      </c>
      <c r="AB6333">
        <v>21</v>
      </c>
      <c r="AC6333">
        <v>102.5154</v>
      </c>
      <c r="AD6333">
        <v>5.7300550000000001</v>
      </c>
      <c r="AE6333">
        <v>2.9522799999999898</v>
      </c>
      <c r="AF6333">
        <v>-3.8978263436051801</v>
      </c>
      <c r="AG6333">
        <v>5.7300550000000001</v>
      </c>
      <c r="AH6333">
        <v>102.16442281760401</v>
      </c>
      <c r="AI6333">
        <v>86.792166807145193</v>
      </c>
      <c r="AJ6333">
        <v>92.184916500578794</v>
      </c>
      <c r="AK6333">
        <v>102.399198581639</v>
      </c>
      <c r="AL6333">
        <v>86.797415479867496</v>
      </c>
      <c r="AM6333">
        <v>93.541307454518403</v>
      </c>
      <c r="AN6333">
        <v>0.99999994652180701</v>
      </c>
    </row>
    <row r="6334" spans="1:40" x14ac:dyDescent="0.25">
      <c r="A6334" t="str">
        <f>"20190312160458747"</f>
        <v>20190312160458747</v>
      </c>
      <c r="B6334" t="str">
        <f>"1552377898741320"</f>
        <v>1552377898741320</v>
      </c>
      <c r="C6334" t="s">
        <v>40</v>
      </c>
      <c r="D6334">
        <v>6.2447980000000003</v>
      </c>
      <c r="E6334">
        <v>0.50922199999999995</v>
      </c>
      <c r="F6334" t="s">
        <v>106</v>
      </c>
      <c r="G6334">
        <v>-276.47469999999998</v>
      </c>
      <c r="H6334">
        <v>7.0392080000000004</v>
      </c>
      <c r="I6334">
        <v>19.616820000000001</v>
      </c>
      <c r="J6334">
        <v>-378.87529999999998</v>
      </c>
      <c r="K6334">
        <v>1.110722</v>
      </c>
      <c r="L6334">
        <v>16.6601</v>
      </c>
      <c r="M6334">
        <v>0.99989530000000004</v>
      </c>
      <c r="N6334">
        <v>0</v>
      </c>
      <c r="O6334">
        <v>-8.8197459999999998E-3</v>
      </c>
      <c r="P6334">
        <v>0.99758309999999994</v>
      </c>
      <c r="Q6334">
        <v>4.5270390000000001E-2</v>
      </c>
      <c r="R6334">
        <v>5.2712559999999999E-2</v>
      </c>
      <c r="S6334">
        <v>2.9948429999999999</v>
      </c>
      <c r="T6334">
        <v>0.17319670000000001</v>
      </c>
      <c r="U6334">
        <v>8.6364750000000004E-2</v>
      </c>
      <c r="V6334">
        <v>-6.1584920000000001E-2</v>
      </c>
      <c r="W6334">
        <v>5.6622550000000001E-2</v>
      </c>
      <c r="X6334">
        <v>0.99649449999999995</v>
      </c>
      <c r="Y6334">
        <v>-3.7563939999999997E-2</v>
      </c>
      <c r="Z6334">
        <v>-1.5946339999999999E-3</v>
      </c>
      <c r="AA6334">
        <v>0.99929299999999999</v>
      </c>
      <c r="AB6334">
        <v>21</v>
      </c>
      <c r="AC6334">
        <v>102.4006</v>
      </c>
      <c r="AD6334">
        <v>5.9284860000000004</v>
      </c>
      <c r="AE6334">
        <v>2.9567199999999998</v>
      </c>
      <c r="AF6334">
        <v>-3.8469281735257401</v>
      </c>
      <c r="AG6334">
        <v>5.9284860000000004</v>
      </c>
      <c r="AH6334">
        <v>102.028838473397</v>
      </c>
      <c r="AI6334">
        <v>86.676867613811993</v>
      </c>
      <c r="AJ6334">
        <v>92.159275684280601</v>
      </c>
      <c r="AK6334">
        <v>102.27330875089</v>
      </c>
      <c r="AL6334">
        <v>86.754030959834594</v>
      </c>
      <c r="AM6334">
        <v>93.536471002068296</v>
      </c>
      <c r="AN6334">
        <v>1.00000005203507</v>
      </c>
    </row>
    <row r="6335" spans="1:40" x14ac:dyDescent="0.25">
      <c r="A6335" t="str">
        <f>"20190312160458757"</f>
        <v>20190312160458757</v>
      </c>
      <c r="B6335" t="str">
        <f>"1552377898751079"</f>
        <v>1552377898751079</v>
      </c>
      <c r="C6335" t="s">
        <v>40</v>
      </c>
      <c r="D6335">
        <v>6.2588280000000003</v>
      </c>
      <c r="E6335">
        <v>0.50947209999999998</v>
      </c>
      <c r="F6335" t="s">
        <v>106</v>
      </c>
      <c r="G6335">
        <v>-276.47969999999998</v>
      </c>
      <c r="H6335">
        <v>7.1546949999999896</v>
      </c>
      <c r="I6335">
        <v>19.587019999999999</v>
      </c>
      <c r="J6335">
        <v>-378.76990000000001</v>
      </c>
      <c r="K6335">
        <v>1.110724</v>
      </c>
      <c r="L6335">
        <v>16.65973</v>
      </c>
      <c r="M6335">
        <v>0.99989980000000001</v>
      </c>
      <c r="N6335">
        <v>0</v>
      </c>
      <c r="O6335">
        <v>-8.3293840000000004E-3</v>
      </c>
      <c r="P6335">
        <v>0.99751970000000001</v>
      </c>
      <c r="Q6335">
        <v>4.577436E-2</v>
      </c>
      <c r="R6335">
        <v>5.347358E-2</v>
      </c>
      <c r="S6335">
        <v>2.9946899999999999</v>
      </c>
      <c r="T6335">
        <v>0.1767638</v>
      </c>
      <c r="U6335">
        <v>8.560181E-2</v>
      </c>
      <c r="V6335">
        <v>-6.1856870000000001E-2</v>
      </c>
      <c r="W6335">
        <v>5.7113379999999998E-2</v>
      </c>
      <c r="X6335">
        <v>0.99644960000000005</v>
      </c>
      <c r="Y6335">
        <v>-3.6819879999999999E-2</v>
      </c>
      <c r="Z6335">
        <v>-1.576657E-3</v>
      </c>
      <c r="AA6335">
        <v>0.99932069999999995</v>
      </c>
      <c r="AB6335">
        <v>21</v>
      </c>
      <c r="AC6335">
        <v>102.2902</v>
      </c>
      <c r="AD6335">
        <v>6.0439709999999902</v>
      </c>
      <c r="AE6335">
        <v>2.9272900000000002</v>
      </c>
      <c r="AF6335">
        <v>-3.7661210298368801</v>
      </c>
      <c r="AG6335">
        <v>6.0439709999999902</v>
      </c>
      <c r="AH6335">
        <v>101.906779552926</v>
      </c>
      <c r="AI6335">
        <v>86.608140890970702</v>
      </c>
      <c r="AJ6335">
        <v>92.116490029894194</v>
      </c>
      <c r="AK6335">
        <v>102.155298305614</v>
      </c>
      <c r="AL6335">
        <v>86.725862744862397</v>
      </c>
      <c r="AM6335">
        <v>93.552207291039196</v>
      </c>
      <c r="AN6335">
        <v>1.0000000079406901</v>
      </c>
    </row>
    <row r="6336" spans="1:40" x14ac:dyDescent="0.25">
      <c r="A6336" t="str">
        <f>"20190312160458770"</f>
        <v>20190312160458770</v>
      </c>
      <c r="B6336" t="str">
        <f>"1552377898761815"</f>
        <v>1552377898761815</v>
      </c>
      <c r="C6336" t="s">
        <v>40</v>
      </c>
      <c r="D6336">
        <v>5.6478960000000002</v>
      </c>
      <c r="E6336">
        <v>0.50949219999999995</v>
      </c>
      <c r="F6336" t="s">
        <v>106</v>
      </c>
      <c r="G6336">
        <v>-276.49590000000001</v>
      </c>
      <c r="H6336">
        <v>7.2398339999999903</v>
      </c>
      <c r="I6336">
        <v>19.59468</v>
      </c>
      <c r="J6336">
        <v>-378.6592</v>
      </c>
      <c r="K6336">
        <v>1.11073</v>
      </c>
      <c r="L6336">
        <v>16.65936</v>
      </c>
      <c r="M6336">
        <v>0.99990400000000002</v>
      </c>
      <c r="N6336">
        <v>0</v>
      </c>
      <c r="O6336">
        <v>-7.8141069999999903E-3</v>
      </c>
      <c r="P6336">
        <v>0.99750779999999994</v>
      </c>
      <c r="Q6336">
        <v>4.5894659999999997E-2</v>
      </c>
      <c r="R6336">
        <v>5.3593540000000002E-2</v>
      </c>
      <c r="S6336">
        <v>2.994659</v>
      </c>
      <c r="T6336">
        <v>0.17946489999999901</v>
      </c>
      <c r="U6336">
        <v>8.59375E-2</v>
      </c>
      <c r="V6336">
        <v>-6.1463539999999997E-2</v>
      </c>
      <c r="W6336">
        <v>5.7221920000000003E-2</v>
      </c>
      <c r="X6336">
        <v>0.99646769999999996</v>
      </c>
      <c r="Y6336">
        <v>-3.641635E-2</v>
      </c>
      <c r="Z6336">
        <v>-1.5577950000000001E-3</v>
      </c>
      <c r="AA6336">
        <v>0.99933550000000004</v>
      </c>
      <c r="AB6336">
        <v>21</v>
      </c>
      <c r="AC6336">
        <v>102.16330000000001</v>
      </c>
      <c r="AD6336">
        <v>6.1291039999999901</v>
      </c>
      <c r="AE6336">
        <v>2.9353199999999999</v>
      </c>
      <c r="AF6336">
        <v>-3.7202188845498201</v>
      </c>
      <c r="AG6336">
        <v>6.1291039999999901</v>
      </c>
      <c r="AH6336">
        <v>101.771250660455</v>
      </c>
      <c r="AI6336">
        <v>86.555858330204003</v>
      </c>
      <c r="AJ6336">
        <v>92.093498645192497</v>
      </c>
      <c r="AK6336">
        <v>102.023494379407</v>
      </c>
      <c r="AL6336">
        <v>86.719633634753905</v>
      </c>
      <c r="AM6336">
        <v>93.529613164200498</v>
      </c>
      <c r="AN6336">
        <v>0.999999996010554</v>
      </c>
    </row>
    <row r="6337" spans="1:40" x14ac:dyDescent="0.25">
      <c r="A6337" t="str">
        <f>"20190312160458781"</f>
        <v>20190312160458781</v>
      </c>
      <c r="B6337" t="str">
        <f>"1552377898771574"</f>
        <v>1552377898771574</v>
      </c>
      <c r="C6337" t="s">
        <v>40</v>
      </c>
      <c r="D6337">
        <v>5.663659</v>
      </c>
      <c r="E6337">
        <v>0.50962559999999901</v>
      </c>
      <c r="F6337" t="s">
        <v>106</v>
      </c>
      <c r="G6337">
        <v>-276.50290000000001</v>
      </c>
      <c r="H6337">
        <v>7.2758459999999996</v>
      </c>
      <c r="I6337">
        <v>19.598289999999999</v>
      </c>
      <c r="J6337">
        <v>-378.55020000000002</v>
      </c>
      <c r="K6337">
        <v>1.110727</v>
      </c>
      <c r="L6337">
        <v>16.659089999999999</v>
      </c>
      <c r="M6337">
        <v>0.99990800000000002</v>
      </c>
      <c r="N6337">
        <v>0</v>
      </c>
      <c r="O6337">
        <v>-7.3067089999999998E-3</v>
      </c>
      <c r="P6337">
        <v>0.99748219999999999</v>
      </c>
      <c r="Q6337">
        <v>4.6074660000000003E-2</v>
      </c>
      <c r="R6337">
        <v>5.3910970000000002E-2</v>
      </c>
      <c r="S6337">
        <v>2.9945979999999999</v>
      </c>
      <c r="T6337">
        <v>0.1807233</v>
      </c>
      <c r="U6337">
        <v>8.6151119999999998E-2</v>
      </c>
      <c r="V6337">
        <v>-6.1274790000000003E-2</v>
      </c>
      <c r="W6337">
        <v>5.7390919999999998E-2</v>
      </c>
      <c r="X6337">
        <v>0.99646959999999996</v>
      </c>
      <c r="Y6337">
        <v>-3.5981640000000002E-2</v>
      </c>
      <c r="Z6337">
        <v>-1.5250350000000001E-3</v>
      </c>
      <c r="AA6337">
        <v>0.99935130000000005</v>
      </c>
      <c r="AB6337">
        <v>21</v>
      </c>
      <c r="AC6337">
        <v>102.04730000000001</v>
      </c>
      <c r="AD6337">
        <v>6.1651189999999998</v>
      </c>
      <c r="AE6337">
        <v>2.9392</v>
      </c>
      <c r="AF6337">
        <v>-3.6714110081870799</v>
      </c>
      <c r="AG6337">
        <v>6.1651189999999998</v>
      </c>
      <c r="AH6337">
        <v>101.65238568533999</v>
      </c>
      <c r="AI6337">
        <v>86.531573510509503</v>
      </c>
      <c r="AJ6337">
        <v>92.068470489517594</v>
      </c>
      <c r="AK6337">
        <v>101.905325997204</v>
      </c>
      <c r="AL6337">
        <v>86.709934691472199</v>
      </c>
      <c r="AM6337">
        <v>93.518794566269406</v>
      </c>
      <c r="AN6337">
        <v>0.99999999065607503</v>
      </c>
    </row>
    <row r="6338" spans="1:40" x14ac:dyDescent="0.25">
      <c r="A6338" t="str">
        <f>"20190312160458793"</f>
        <v>20190312160458793</v>
      </c>
      <c r="B6338" t="str">
        <f>"1552377898781337"</f>
        <v>1552377898781337</v>
      </c>
      <c r="C6338" t="s">
        <v>40</v>
      </c>
      <c r="D6338">
        <v>6.1701750000000004</v>
      </c>
      <c r="E6338">
        <v>0.50981030000000005</v>
      </c>
      <c r="F6338" t="s">
        <v>106</v>
      </c>
      <c r="G6338">
        <v>-276.50790000000001</v>
      </c>
      <c r="H6338">
        <v>7.3237569999999996</v>
      </c>
      <c r="I6338">
        <v>19.591670000000001</v>
      </c>
      <c r="J6338">
        <v>-378.44799999999998</v>
      </c>
      <c r="K6338">
        <v>1.110744</v>
      </c>
      <c r="L6338">
        <v>16.658909999999999</v>
      </c>
      <c r="M6338">
        <v>0.99991149999999995</v>
      </c>
      <c r="N6338">
        <v>0</v>
      </c>
      <c r="O6338">
        <v>-6.8307890000000003E-3</v>
      </c>
      <c r="P6338">
        <v>0.99742350000000002</v>
      </c>
      <c r="Q6338">
        <v>4.5873169999999998E-2</v>
      </c>
      <c r="R6338">
        <v>5.515805E-2</v>
      </c>
      <c r="S6338">
        <v>2.9945369999999998</v>
      </c>
      <c r="T6338">
        <v>0.18232760000000001</v>
      </c>
      <c r="U6338">
        <v>8.6059570000000002E-2</v>
      </c>
      <c r="V6338">
        <v>-6.2046700000000003E-2</v>
      </c>
      <c r="W6338">
        <v>5.7177640000000002E-2</v>
      </c>
      <c r="X6338">
        <v>0.99643409999999999</v>
      </c>
      <c r="Y6338">
        <v>-3.5476460000000001E-2</v>
      </c>
      <c r="Z6338">
        <v>-1.4942709999999999E-3</v>
      </c>
      <c r="AA6338">
        <v>0.99936939999999996</v>
      </c>
      <c r="AB6338">
        <v>21</v>
      </c>
      <c r="AC6338">
        <v>101.9401</v>
      </c>
      <c r="AD6338">
        <v>6.2130130000000001</v>
      </c>
      <c r="AE6338">
        <v>2.9327599999999898</v>
      </c>
      <c r="AF6338">
        <v>-3.6156486108231198</v>
      </c>
      <c r="AG6338">
        <v>6.2130130000000001</v>
      </c>
      <c r="AH6338">
        <v>101.54081342193101</v>
      </c>
      <c r="AI6338">
        <v>86.500800660651194</v>
      </c>
      <c r="AJ6338">
        <v>92.039317104273096</v>
      </c>
      <c r="AK6338">
        <v>101.794947005254</v>
      </c>
      <c r="AL6338">
        <v>86.722174851037806</v>
      </c>
      <c r="AM6338">
        <v>93.563135755354693</v>
      </c>
      <c r="AN6338">
        <v>0.99999999556983399</v>
      </c>
    </row>
    <row r="6339" spans="1:40" x14ac:dyDescent="0.25">
      <c r="A6339" t="str">
        <f>"20190312160458803"</f>
        <v>20190312160458803</v>
      </c>
      <c r="B6339" t="str">
        <f>"1552377898791096"</f>
        <v>1552377898791096</v>
      </c>
      <c r="C6339" t="s">
        <v>40</v>
      </c>
      <c r="D6339">
        <v>5.6658739999999996</v>
      </c>
      <c r="E6339">
        <v>0.50985879999999995</v>
      </c>
      <c r="F6339" t="s">
        <v>106</v>
      </c>
      <c r="G6339">
        <v>-276.5378</v>
      </c>
      <c r="H6339">
        <v>7.3342890000000001</v>
      </c>
      <c r="I6339">
        <v>19.666740000000001</v>
      </c>
      <c r="J6339">
        <v>-378.33839999999998</v>
      </c>
      <c r="K6339">
        <v>1.110749</v>
      </c>
      <c r="L6339">
        <v>16.658719999999999</v>
      </c>
      <c r="M6339">
        <v>0.999915</v>
      </c>
      <c r="N6339">
        <v>0</v>
      </c>
      <c r="O6339">
        <v>-6.3205379999999997E-3</v>
      </c>
      <c r="P6339">
        <v>0.99736659999999999</v>
      </c>
      <c r="Q6339">
        <v>4.6853359999999997E-2</v>
      </c>
      <c r="R6339">
        <v>5.5359699999999998E-2</v>
      </c>
      <c r="S6339">
        <v>2.994415</v>
      </c>
      <c r="T6339">
        <v>0.18286569999999999</v>
      </c>
      <c r="U6339">
        <v>8.8378910000000005E-2</v>
      </c>
      <c r="V6339">
        <v>-6.1740099999999902E-2</v>
      </c>
      <c r="W6339">
        <v>5.81483E-2</v>
      </c>
      <c r="X6339">
        <v>0.99639699999999998</v>
      </c>
      <c r="Y6339">
        <v>-3.5741050000000003E-2</v>
      </c>
      <c r="Z6339">
        <v>-1.475659E-3</v>
      </c>
      <c r="AA6339">
        <v>0.99936000000000003</v>
      </c>
      <c r="AB6339">
        <v>21</v>
      </c>
      <c r="AC6339">
        <v>101.80059999999899</v>
      </c>
      <c r="AD6339">
        <v>6.2235399999999998</v>
      </c>
      <c r="AE6339">
        <v>3.0080199999999899</v>
      </c>
      <c r="AF6339">
        <v>-3.6378519147868298</v>
      </c>
      <c r="AG6339">
        <v>6.2235399999999998</v>
      </c>
      <c r="AH6339">
        <v>101.400903493999</v>
      </c>
      <c r="AI6339">
        <v>86.490095909447803</v>
      </c>
      <c r="AJ6339">
        <v>92.054658285050905</v>
      </c>
      <c r="AK6339">
        <v>101.65682291949101</v>
      </c>
      <c r="AL6339">
        <v>86.666467528166507</v>
      </c>
      <c r="AM6339">
        <v>93.545705441953899</v>
      </c>
      <c r="AN6339">
        <v>1.00000002317494</v>
      </c>
    </row>
    <row r="6340" spans="1:40" x14ac:dyDescent="0.25">
      <c r="A6340" t="str">
        <f>"20190312160458815"</f>
        <v>20190312160458815</v>
      </c>
      <c r="B6340" t="str">
        <f>"1552377898811591"</f>
        <v>1552377898811591</v>
      </c>
      <c r="C6340" t="s">
        <v>40</v>
      </c>
      <c r="D6340">
        <v>5.6667399999999999</v>
      </c>
      <c r="E6340">
        <v>0.51007049999999998</v>
      </c>
      <c r="F6340" t="s">
        <v>106</v>
      </c>
      <c r="G6340">
        <v>-276.56079999999997</v>
      </c>
      <c r="H6340">
        <v>7.4708860000000001</v>
      </c>
      <c r="I6340">
        <v>19.671130000000002</v>
      </c>
      <c r="J6340">
        <v>-378.23849999999999</v>
      </c>
      <c r="K6340">
        <v>1.110757</v>
      </c>
      <c r="L6340">
        <v>16.6586</v>
      </c>
      <c r="M6340">
        <v>0.99991799999999997</v>
      </c>
      <c r="N6340">
        <v>0</v>
      </c>
      <c r="O6340">
        <v>-5.8551089999999998E-3</v>
      </c>
      <c r="P6340">
        <v>0.99731939999999997</v>
      </c>
      <c r="Q6340">
        <v>4.7916809999999997E-2</v>
      </c>
      <c r="R6340">
        <v>5.5301749999999997E-2</v>
      </c>
      <c r="S6340">
        <v>2.9942319999999998</v>
      </c>
      <c r="T6340">
        <v>0.18711130000000001</v>
      </c>
      <c r="U6340">
        <v>8.8623049999999995E-2</v>
      </c>
      <c r="V6340">
        <v>-6.1219830000000003E-2</v>
      </c>
      <c r="W6340">
        <v>5.920218E-2</v>
      </c>
      <c r="X6340">
        <v>0.996367</v>
      </c>
      <c r="Y6340">
        <v>-3.5357060000000003E-2</v>
      </c>
      <c r="Z6340">
        <v>-1.468907E-3</v>
      </c>
      <c r="AA6340">
        <v>0.99937370000000003</v>
      </c>
      <c r="AB6340">
        <v>21</v>
      </c>
      <c r="AC6340">
        <v>101.6777</v>
      </c>
      <c r="AD6340">
        <v>6.3601289999999997</v>
      </c>
      <c r="AE6340">
        <v>3.0125299999999902</v>
      </c>
      <c r="AF6340">
        <v>-3.5938017249761698</v>
      </c>
      <c r="AG6340">
        <v>6.3601289999999997</v>
      </c>
      <c r="AH6340">
        <v>101.262451428798</v>
      </c>
      <c r="AI6340">
        <v>86.408321994563494</v>
      </c>
      <c r="AJ6340">
        <v>92.032572619469704</v>
      </c>
      <c r="AK6340">
        <v>101.525616083355</v>
      </c>
      <c r="AL6340">
        <v>86.605980299619205</v>
      </c>
      <c r="AM6340">
        <v>93.516007439710293</v>
      </c>
      <c r="AN6340">
        <v>0.99999998219549002</v>
      </c>
    </row>
    <row r="6341" spans="1:40" x14ac:dyDescent="0.25">
      <c r="A6341" t="str">
        <f>"20190312160458826"</f>
        <v>20190312160458826</v>
      </c>
      <c r="B6341" t="str">
        <f>"1552377898821351"</f>
        <v>1552377898821351</v>
      </c>
      <c r="C6341" t="s">
        <v>40</v>
      </c>
      <c r="D6341">
        <v>6.2749360000000003</v>
      </c>
      <c r="E6341">
        <v>0.51031559999999998</v>
      </c>
      <c r="F6341" t="s">
        <v>87</v>
      </c>
      <c r="G6341">
        <v>-274.1345</v>
      </c>
      <c r="H6341">
        <v>7.8110399999999904</v>
      </c>
      <c r="I6341">
        <v>19.678550000000001</v>
      </c>
      <c r="J6341">
        <v>-378.13</v>
      </c>
      <c r="K6341">
        <v>1.110762</v>
      </c>
      <c r="L6341">
        <v>16.65851</v>
      </c>
      <c r="M6341">
        <v>0.9999209</v>
      </c>
      <c r="N6341">
        <v>0</v>
      </c>
      <c r="O6341">
        <v>-5.349978E-3</v>
      </c>
      <c r="P6341">
        <v>0.99729199999999996</v>
      </c>
      <c r="Q6341">
        <v>4.8671939999999997E-2</v>
      </c>
      <c r="R6341">
        <v>5.5135419999999997E-2</v>
      </c>
      <c r="S6341">
        <v>2.9940190000000002</v>
      </c>
      <c r="T6341">
        <v>0.1926996</v>
      </c>
      <c r="U6341">
        <v>8.6853029999999998E-2</v>
      </c>
      <c r="V6341">
        <v>-6.0550550000000002E-2</v>
      </c>
      <c r="W6341">
        <v>5.9947109999999998E-2</v>
      </c>
      <c r="X6341">
        <v>0.99636340000000001</v>
      </c>
      <c r="Y6341">
        <v>-3.4262420000000002E-2</v>
      </c>
      <c r="Z6341">
        <v>-1.44515299999999E-3</v>
      </c>
      <c r="AA6341">
        <v>0.99941179999999996</v>
      </c>
      <c r="AB6341">
        <v>21</v>
      </c>
      <c r="AC6341">
        <v>103.99550000000001</v>
      </c>
      <c r="AD6341">
        <v>6.7002779999999902</v>
      </c>
      <c r="AE6341">
        <v>3.0200399999999998</v>
      </c>
      <c r="AF6341">
        <v>-3.5616344427276498</v>
      </c>
      <c r="AG6341">
        <v>6.7002779999999902</v>
      </c>
      <c r="AH6341">
        <v>103.548382380715</v>
      </c>
      <c r="AI6341">
        <v>86.299920357229198</v>
      </c>
      <c r="AJ6341">
        <v>91.969960310275198</v>
      </c>
      <c r="AK6341">
        <v>103.826039406517</v>
      </c>
      <c r="AL6341">
        <v>86.563223156832606</v>
      </c>
      <c r="AM6341">
        <v>93.477676412203607</v>
      </c>
      <c r="AN6341">
        <v>1.0000000249811001</v>
      </c>
    </row>
    <row r="6342" spans="1:40" x14ac:dyDescent="0.25">
      <c r="A6342" t="str">
        <f>"20190312160458836"</f>
        <v>20190312160458836</v>
      </c>
      <c r="B6342" t="str">
        <f>"1552377898831112"</f>
        <v>1552377898831112</v>
      </c>
      <c r="C6342" t="s">
        <v>40</v>
      </c>
      <c r="D6342">
        <v>6.2018969999999998</v>
      </c>
      <c r="E6342">
        <v>0.51032820000000001</v>
      </c>
      <c r="F6342" t="s">
        <v>87</v>
      </c>
      <c r="G6342">
        <v>-274.15660000000003</v>
      </c>
      <c r="H6342">
        <v>7.9470190000000001</v>
      </c>
      <c r="I6342">
        <v>19.591139999999999</v>
      </c>
      <c r="J6342">
        <v>-378.02749999999997</v>
      </c>
      <c r="K6342">
        <v>1.1107659999999999</v>
      </c>
      <c r="L6342">
        <v>16.65851</v>
      </c>
      <c r="M6342">
        <v>0.99992349999999997</v>
      </c>
      <c r="N6342">
        <v>0</v>
      </c>
      <c r="O6342">
        <v>-4.8729769999999997E-3</v>
      </c>
      <c r="P6342">
        <v>0.99724060000000003</v>
      </c>
      <c r="Q6342">
        <v>4.9942050000000002E-2</v>
      </c>
      <c r="R6342">
        <v>5.4929980000000003E-2</v>
      </c>
      <c r="S6342">
        <v>2.993805</v>
      </c>
      <c r="T6342">
        <v>0.19684299999999999</v>
      </c>
      <c r="U6342">
        <v>8.4442139999999999E-2</v>
      </c>
      <c r="V6342">
        <v>-5.9870840000000002E-2</v>
      </c>
      <c r="W6342">
        <v>6.1205559999999999E-2</v>
      </c>
      <c r="X6342">
        <v>0.99632790000000004</v>
      </c>
      <c r="Y6342">
        <v>-3.2983749999999999E-2</v>
      </c>
      <c r="Z6342">
        <v>-1.402974E-3</v>
      </c>
      <c r="AA6342">
        <v>0.99945490000000003</v>
      </c>
      <c r="AB6342">
        <v>21</v>
      </c>
      <c r="AC6342">
        <v>103.870899999999</v>
      </c>
      <c r="AD6342">
        <v>6.8362530000000001</v>
      </c>
      <c r="AE6342">
        <v>2.9326300000000001</v>
      </c>
      <c r="AF6342">
        <v>-3.42396894134923</v>
      </c>
      <c r="AG6342">
        <v>6.8362530000000001</v>
      </c>
      <c r="AH6342">
        <v>103.407810387213</v>
      </c>
      <c r="AI6342">
        <v>86.219766129344194</v>
      </c>
      <c r="AJ6342">
        <v>91.896445942465505</v>
      </c>
      <c r="AK6342">
        <v>103.690082300426</v>
      </c>
      <c r="AL6342">
        <v>86.490986398438494</v>
      </c>
      <c r="AM6342">
        <v>93.438854206593007</v>
      </c>
      <c r="AN6342">
        <v>0.99999996118781298</v>
      </c>
    </row>
    <row r="6343" spans="1:40" x14ac:dyDescent="0.25">
      <c r="A6343" t="str">
        <f>"20190312160458848"</f>
        <v>20190312160458848</v>
      </c>
      <c r="B6343" t="str">
        <f>"1552377898841848"</f>
        <v>1552377898841848</v>
      </c>
      <c r="C6343" t="s">
        <v>40</v>
      </c>
      <c r="D6343">
        <v>6.3718959999999996</v>
      </c>
      <c r="E6343">
        <v>0.51032820000000001</v>
      </c>
      <c r="F6343" t="s">
        <v>87</v>
      </c>
      <c r="G6343">
        <v>-274.15660000000003</v>
      </c>
      <c r="H6343">
        <v>8.1251759999999997</v>
      </c>
      <c r="I6343">
        <v>19.56522</v>
      </c>
      <c r="J6343">
        <v>-377.92039999999997</v>
      </c>
      <c r="K6343">
        <v>1.110776</v>
      </c>
      <c r="L6343">
        <v>16.65851</v>
      </c>
      <c r="M6343">
        <v>0.99992590000000003</v>
      </c>
      <c r="N6343">
        <v>0</v>
      </c>
      <c r="O6343">
        <v>-4.3742759999999999E-3</v>
      </c>
      <c r="P6343">
        <v>0.99720430000000004</v>
      </c>
      <c r="Q6343">
        <v>5.1078249999999999E-2</v>
      </c>
      <c r="R6343">
        <v>5.4542050000000002E-2</v>
      </c>
      <c r="S6343">
        <v>2.9935299999999998</v>
      </c>
      <c r="T6343">
        <v>0.20215340000000001</v>
      </c>
      <c r="U6343">
        <v>8.3770750000000005E-2</v>
      </c>
      <c r="V6343">
        <v>-5.8986829999999997E-2</v>
      </c>
      <c r="W6343">
        <v>6.2329700000000002E-2</v>
      </c>
      <c r="X6343">
        <v>0.9963109</v>
      </c>
      <c r="Y6343">
        <v>-3.2262190000000003E-2</v>
      </c>
      <c r="Z6343">
        <v>-1.382908E-3</v>
      </c>
      <c r="AA6343">
        <v>0.99947850000000005</v>
      </c>
      <c r="AB6343">
        <v>21</v>
      </c>
      <c r="AC6343">
        <v>103.76379999999899</v>
      </c>
      <c r="AD6343">
        <v>7.0144000000000002</v>
      </c>
      <c r="AE6343">
        <v>2.9067099999999999</v>
      </c>
      <c r="AF6343">
        <v>-3.34532776486664</v>
      </c>
      <c r="AG6343">
        <v>7.0144000000000002</v>
      </c>
      <c r="AH6343">
        <v>103.278508059411</v>
      </c>
      <c r="AI6343">
        <v>86.1166211925906</v>
      </c>
      <c r="AJ6343">
        <v>91.855237584460596</v>
      </c>
      <c r="AK6343">
        <v>103.570474809147</v>
      </c>
      <c r="AL6343">
        <v>86.426454560571102</v>
      </c>
      <c r="AM6343">
        <v>93.388255397355294</v>
      </c>
      <c r="AN6343">
        <v>0.99999992353717104</v>
      </c>
    </row>
    <row r="6344" spans="1:40" x14ac:dyDescent="0.25">
      <c r="A6344" t="str">
        <f>"20190312160458859"</f>
        <v>20190312160458859</v>
      </c>
      <c r="B6344" t="str">
        <f>"1552377898851608"</f>
        <v>1552377898851608</v>
      </c>
      <c r="C6344" t="s">
        <v>40</v>
      </c>
      <c r="D6344">
        <v>6.341812</v>
      </c>
      <c r="E6344">
        <v>0.49044349999999998</v>
      </c>
      <c r="F6344" t="s">
        <v>87</v>
      </c>
      <c r="G6344">
        <v>-274.15660000000003</v>
      </c>
      <c r="H6344">
        <v>8.2361050000000002</v>
      </c>
      <c r="I6344">
        <v>19.522179999999999</v>
      </c>
      <c r="J6344">
        <v>-377.81259999999997</v>
      </c>
      <c r="K6344">
        <v>1.110779</v>
      </c>
      <c r="L6344">
        <v>16.658629999999999</v>
      </c>
      <c r="M6344">
        <v>0.99992820000000004</v>
      </c>
      <c r="N6344">
        <v>0</v>
      </c>
      <c r="O6344">
        <v>-3.872239E-3</v>
      </c>
      <c r="P6344">
        <v>0.99719230000000003</v>
      </c>
      <c r="Q6344">
        <v>5.1661619999999998E-2</v>
      </c>
      <c r="R6344">
        <v>5.4213770000000001E-2</v>
      </c>
      <c r="S6344">
        <v>2.9933779999999999</v>
      </c>
      <c r="T6344">
        <v>0.2055516</v>
      </c>
      <c r="U6344">
        <v>8.2611080000000003E-2</v>
      </c>
      <c r="V6344">
        <v>-5.8159040000000002E-2</v>
      </c>
      <c r="W6344">
        <v>6.290221E-2</v>
      </c>
      <c r="X6344">
        <v>0.99632359999999998</v>
      </c>
      <c r="Y6344">
        <v>-3.1375319999999998E-2</v>
      </c>
      <c r="Z6344">
        <v>-1.3413399999999999E-3</v>
      </c>
      <c r="AA6344">
        <v>0.99950680000000003</v>
      </c>
      <c r="AB6344">
        <v>21</v>
      </c>
      <c r="AC6344">
        <v>103.655999999999</v>
      </c>
      <c r="AD6344">
        <v>7.1253259999999896</v>
      </c>
      <c r="AE6344">
        <v>2.86355</v>
      </c>
      <c r="AF6344">
        <v>-3.24959187013692</v>
      </c>
      <c r="AG6344">
        <v>7.1253259999999896</v>
      </c>
      <c r="AH6344">
        <v>103.15706721359101</v>
      </c>
      <c r="AI6344">
        <v>86.050660783849906</v>
      </c>
      <c r="AJ6344">
        <v>91.804300508478406</v>
      </c>
      <c r="AK6344">
        <v>103.453905842352</v>
      </c>
      <c r="AL6344">
        <v>86.393587711614003</v>
      </c>
      <c r="AM6344">
        <v>93.340772386492702</v>
      </c>
      <c r="AN6344">
        <v>0.99999993893678096</v>
      </c>
    </row>
    <row r="6345" spans="1:40" x14ac:dyDescent="0.25">
      <c r="A6345" t="str">
        <f>"20190312160458870"</f>
        <v>20190312160458870</v>
      </c>
      <c r="B6345" t="str">
        <f>"1552377898861368"</f>
        <v>1552377898861368</v>
      </c>
      <c r="C6345" t="s">
        <v>40</v>
      </c>
      <c r="D6345">
        <v>6.3401290000000001</v>
      </c>
      <c r="E6345">
        <v>0.48785990000000001</v>
      </c>
      <c r="F6345" t="s">
        <v>90</v>
      </c>
      <c r="G6345">
        <v>-241.47579999999999</v>
      </c>
      <c r="H6345">
        <v>17.60661</v>
      </c>
      <c r="I6345">
        <v>27.818860000000001</v>
      </c>
      <c r="J6345">
        <v>-377.71179999999998</v>
      </c>
      <c r="K6345">
        <v>1.1107819999999999</v>
      </c>
      <c r="L6345">
        <v>16.658750000000001</v>
      </c>
      <c r="M6345">
        <v>0.99992999999999999</v>
      </c>
      <c r="N6345">
        <v>0</v>
      </c>
      <c r="O6345">
        <v>-3.4033470000000001E-3</v>
      </c>
      <c r="P6345">
        <v>0.99715319999999996</v>
      </c>
      <c r="Q6345">
        <v>5.2883079999999999E-2</v>
      </c>
      <c r="R6345">
        <v>5.3750689999999997E-2</v>
      </c>
      <c r="S6345">
        <v>2.9765320000000002</v>
      </c>
      <c r="T6345">
        <v>0.36014010000000002</v>
      </c>
      <c r="U6345">
        <v>0.24365229999999999</v>
      </c>
      <c r="V6345">
        <v>-5.7230080000000003E-2</v>
      </c>
      <c r="W6345">
        <v>6.4113779999999995E-2</v>
      </c>
      <c r="X6345">
        <v>0.99630019999999997</v>
      </c>
      <c r="Y6345">
        <v>-8.434092E-2</v>
      </c>
      <c r="Z6345">
        <v>-5.4850519999999998E-3</v>
      </c>
      <c r="AA6345">
        <v>0.99642189999999997</v>
      </c>
      <c r="AB6345">
        <v>21</v>
      </c>
      <c r="AC6345">
        <v>136.23599999999999</v>
      </c>
      <c r="AD6345">
        <v>16.495827999999999</v>
      </c>
      <c r="AE6345">
        <v>11.1601099999999</v>
      </c>
      <c r="AF6345">
        <v>-11.4568834487751</v>
      </c>
      <c r="AG6345">
        <v>16.495827999999999</v>
      </c>
      <c r="AH6345">
        <v>134.242216663162</v>
      </c>
      <c r="AI6345">
        <v>83.019675933131694</v>
      </c>
      <c r="AJ6345">
        <v>94.8780797458178</v>
      </c>
      <c r="AK6345">
        <v>135.73630779715401</v>
      </c>
      <c r="AL6345">
        <v>86.324029568142507</v>
      </c>
      <c r="AM6345">
        <v>93.287606086685699</v>
      </c>
      <c r="AN6345">
        <v>0.99999997368136695</v>
      </c>
    </row>
    <row r="6346" spans="1:40" x14ac:dyDescent="0.25">
      <c r="A6346" t="str">
        <f>"20190312160458881"</f>
        <v>20190312160458881</v>
      </c>
      <c r="B6346" t="str">
        <f>"1552377898871128"</f>
        <v>1552377898871128</v>
      </c>
      <c r="C6346" t="s">
        <v>40</v>
      </c>
      <c r="D6346">
        <v>6.3887919999999996</v>
      </c>
      <c r="E6346">
        <v>0.48710550000000002</v>
      </c>
      <c r="F6346" t="s">
        <v>90</v>
      </c>
      <c r="G6346">
        <v>-241.47579999999999</v>
      </c>
      <c r="H6346">
        <v>18.07921</v>
      </c>
      <c r="I6346">
        <v>28.6966</v>
      </c>
      <c r="J6346">
        <v>-377.60680000000002</v>
      </c>
      <c r="K6346">
        <v>1.1107830000000001</v>
      </c>
      <c r="L6346">
        <v>16.658940000000001</v>
      </c>
      <c r="M6346">
        <v>0.99993160000000003</v>
      </c>
      <c r="N6346">
        <v>0</v>
      </c>
      <c r="O6346">
        <v>-2.914551E-3</v>
      </c>
      <c r="P6346">
        <v>0.99711629999999996</v>
      </c>
      <c r="Q6346">
        <v>5.402999E-2</v>
      </c>
      <c r="R6346">
        <v>5.3294889999999998E-2</v>
      </c>
      <c r="S6346">
        <v>2.9747309999999998</v>
      </c>
      <c r="T6346">
        <v>0.3705077</v>
      </c>
      <c r="U6346">
        <v>0.26284790000000002</v>
      </c>
      <c r="V6346">
        <v>-5.6288100000000001E-2</v>
      </c>
      <c r="W6346">
        <v>6.5251050000000005E-2</v>
      </c>
      <c r="X6346">
        <v>0.9962801</v>
      </c>
      <c r="Y6346">
        <v>-9.0206309999999998E-2</v>
      </c>
      <c r="Z6346">
        <v>-5.946252E-3</v>
      </c>
      <c r="AA6346">
        <v>0.99590529999999999</v>
      </c>
      <c r="AB6346">
        <v>21</v>
      </c>
      <c r="AC6346">
        <v>136.131</v>
      </c>
      <c r="AD6346">
        <v>16.968426999999998</v>
      </c>
      <c r="AE6346">
        <v>12.037660000000001</v>
      </c>
      <c r="AF6346">
        <v>-12.245610339687399</v>
      </c>
      <c r="AG6346">
        <v>16.968426999999998</v>
      </c>
      <c r="AH6346">
        <v>134.02907293854599</v>
      </c>
      <c r="AI6346">
        <v>82.814207895142005</v>
      </c>
      <c r="AJ6346">
        <v>95.220354087949602</v>
      </c>
      <c r="AK6346">
        <v>135.65277321238901</v>
      </c>
      <c r="AL6346">
        <v>86.258732314453297</v>
      </c>
      <c r="AM6346">
        <v>93.233674536524006</v>
      </c>
      <c r="AN6346">
        <v>1.0000000436918599</v>
      </c>
    </row>
    <row r="6347" spans="1:40" x14ac:dyDescent="0.25">
      <c r="A6347" t="str">
        <f>"20190312160458905"</f>
        <v>20190312160458905</v>
      </c>
      <c r="B6347" t="str">
        <f>"1552377898901383"</f>
        <v>1552377898901383</v>
      </c>
      <c r="C6347" t="s">
        <v>40</v>
      </c>
      <c r="D6347">
        <v>5.7185519999999999</v>
      </c>
      <c r="E6347">
        <v>0.48417100000000002</v>
      </c>
      <c r="F6347" t="s">
        <v>57</v>
      </c>
      <c r="G6347">
        <v>-168.50890000000001</v>
      </c>
      <c r="H6347">
        <v>26.77646</v>
      </c>
      <c r="I6347">
        <v>35.442390000000003</v>
      </c>
      <c r="J6347">
        <v>-377.38639999999998</v>
      </c>
      <c r="K6347">
        <v>1.1107860000000001</v>
      </c>
      <c r="L6347">
        <v>16.659520000000001</v>
      </c>
      <c r="M6347">
        <v>0.99993430000000005</v>
      </c>
      <c r="N6347">
        <v>0</v>
      </c>
      <c r="O6347">
        <v>-1.8886829999999999E-3</v>
      </c>
      <c r="P6347">
        <v>0.99703560000000002</v>
      </c>
      <c r="Q6347">
        <v>5.5563429999999997E-2</v>
      </c>
      <c r="R6347">
        <v>5.3222319999999997E-2</v>
      </c>
      <c r="S6347">
        <v>2.9746090000000001</v>
      </c>
      <c r="T6347">
        <v>0.36511779999999999</v>
      </c>
      <c r="U6347">
        <v>0.2672119</v>
      </c>
      <c r="V6347">
        <v>-5.5194630000000001E-2</v>
      </c>
      <c r="W6347">
        <v>6.6766450000000005E-2</v>
      </c>
      <c r="X6347">
        <v>0.99624089999999998</v>
      </c>
      <c r="Y6347">
        <v>-9.0662649999999997E-2</v>
      </c>
      <c r="Z6347">
        <v>-5.7628879999999999E-3</v>
      </c>
      <c r="AA6347">
        <v>0.995865</v>
      </c>
      <c r="AB6347">
        <v>21</v>
      </c>
      <c r="AC6347">
        <v>208.8775</v>
      </c>
      <c r="AD6347">
        <v>25.665673999999999</v>
      </c>
      <c r="AE6347">
        <v>18.782869999999999</v>
      </c>
      <c r="AF6347">
        <v>-18.8943841917954</v>
      </c>
      <c r="AG6347">
        <v>25.665673999999999</v>
      </c>
      <c r="AH6347">
        <v>205.759986080521</v>
      </c>
      <c r="AI6347">
        <v>82.919364424753397</v>
      </c>
      <c r="AJ6347">
        <v>95.246602915326093</v>
      </c>
      <c r="AK6347">
        <v>208.21358372526399</v>
      </c>
      <c r="AL6347">
        <v>86.171716602749896</v>
      </c>
      <c r="AM6347">
        <v>93.171110155215601</v>
      </c>
      <c r="AN6347">
        <v>1.00000006842962</v>
      </c>
    </row>
    <row r="6348" spans="1:40" x14ac:dyDescent="0.25">
      <c r="A6348" t="str">
        <f>"20190312160458918"</f>
        <v>20190312160458918</v>
      </c>
      <c r="B6348" t="str">
        <f>"1552377898911144"</f>
        <v>1552377898911144</v>
      </c>
      <c r="C6348" t="s">
        <v>40</v>
      </c>
      <c r="D6348">
        <v>5.6942839999999997</v>
      </c>
      <c r="E6348">
        <v>0.48439019999999999</v>
      </c>
      <c r="F6348" t="s">
        <v>57</v>
      </c>
      <c r="G6348">
        <v>-168.50909999999999</v>
      </c>
      <c r="H6348">
        <v>27.382950000000001</v>
      </c>
      <c r="I6348">
        <v>37.074179999999998</v>
      </c>
      <c r="J6348">
        <v>-377.25709999999998</v>
      </c>
      <c r="K6348">
        <v>1.110792</v>
      </c>
      <c r="L6348">
        <v>16.659939999999999</v>
      </c>
      <c r="M6348">
        <v>0.99993540000000003</v>
      </c>
      <c r="N6348">
        <v>0</v>
      </c>
      <c r="O6348">
        <v>-1.2875899999999999E-3</v>
      </c>
      <c r="P6348">
        <v>0.99697590000000003</v>
      </c>
      <c r="Q6348">
        <v>5.6245749999999997E-2</v>
      </c>
      <c r="R6348">
        <v>5.3623879999999999E-2</v>
      </c>
      <c r="S6348">
        <v>2.9725950000000001</v>
      </c>
      <c r="T6348">
        <v>0.37388710000000003</v>
      </c>
      <c r="U6348">
        <v>0.29052729999999999</v>
      </c>
      <c r="V6348">
        <v>-5.4997360000000002E-2</v>
      </c>
      <c r="W6348">
        <v>6.7438219999999993E-2</v>
      </c>
      <c r="X6348">
        <v>0.99620649999999999</v>
      </c>
      <c r="Y6348">
        <v>-9.7780039999999999E-2</v>
      </c>
      <c r="Z6348">
        <v>-6.2717190000000003E-3</v>
      </c>
      <c r="AA6348">
        <v>0.99518830000000003</v>
      </c>
      <c r="AB6348">
        <v>21</v>
      </c>
      <c r="AC6348">
        <v>208.74799999999999</v>
      </c>
      <c r="AD6348">
        <v>26.272158000000001</v>
      </c>
      <c r="AE6348">
        <v>20.414239999999999</v>
      </c>
      <c r="AF6348">
        <v>-20.363525535735501</v>
      </c>
      <c r="AG6348">
        <v>26.272158000000001</v>
      </c>
      <c r="AH6348">
        <v>205.497359152028</v>
      </c>
      <c r="AI6348">
        <v>82.749576553108099</v>
      </c>
      <c r="AJ6348">
        <v>95.659184304234699</v>
      </c>
      <c r="AK6348">
        <v>208.168355127956</v>
      </c>
      <c r="AL6348">
        <v>86.133139832790206</v>
      </c>
      <c r="AM6348">
        <v>93.159908252569394</v>
      </c>
      <c r="AN6348">
        <v>1.00000000688299</v>
      </c>
    </row>
    <row r="6349" spans="1:40" x14ac:dyDescent="0.25">
      <c r="A6349" t="str">
        <f>"20190312160458929"</f>
        <v>20190312160458929</v>
      </c>
      <c r="B6349" t="str">
        <f>"1552377898921880"</f>
        <v>1552377898921880</v>
      </c>
      <c r="C6349" t="s">
        <v>40</v>
      </c>
      <c r="D6349">
        <v>6.3611060000000004</v>
      </c>
      <c r="E6349">
        <v>0.48451810000000001</v>
      </c>
      <c r="F6349" t="s">
        <v>57</v>
      </c>
      <c r="G6349">
        <v>-168.50880000000001</v>
      </c>
      <c r="H6349">
        <v>26.54344</v>
      </c>
      <c r="I6349">
        <v>36.998649999999998</v>
      </c>
      <c r="J6349">
        <v>-377.15120000000002</v>
      </c>
      <c r="K6349">
        <v>1.1107899999999999</v>
      </c>
      <c r="L6349">
        <v>16.660339999999898</v>
      </c>
      <c r="M6349">
        <v>0.99993580000000004</v>
      </c>
      <c r="N6349">
        <v>0</v>
      </c>
      <c r="O6349">
        <v>-7.9534240000000002E-4</v>
      </c>
      <c r="P6349">
        <v>0.99697230000000003</v>
      </c>
      <c r="Q6349">
        <v>5.6431729999999999E-2</v>
      </c>
      <c r="R6349">
        <v>5.3496059999999998E-2</v>
      </c>
      <c r="S6349">
        <v>2.9730829999999999</v>
      </c>
      <c r="T6349">
        <v>0.36222290000000001</v>
      </c>
      <c r="U6349">
        <v>0.28967290000000001</v>
      </c>
      <c r="V6349">
        <v>-5.4379619999999997E-2</v>
      </c>
      <c r="W6349">
        <v>6.7617099999999999E-2</v>
      </c>
      <c r="X6349">
        <v>0.99622829999999996</v>
      </c>
      <c r="Y6349">
        <v>-9.7047499999999995E-2</v>
      </c>
      <c r="Z6349">
        <v>-5.9726340000000001E-3</v>
      </c>
      <c r="AA6349">
        <v>0.99526179999999997</v>
      </c>
      <c r="AB6349">
        <v>21</v>
      </c>
      <c r="AC6349">
        <v>208.64240000000001</v>
      </c>
      <c r="AD6349">
        <v>25.432649999999999</v>
      </c>
      <c r="AE6349">
        <v>20.33831</v>
      </c>
      <c r="AF6349">
        <v>-20.206837010272899</v>
      </c>
      <c r="AG6349">
        <v>25.432649999999999</v>
      </c>
      <c r="AH6349">
        <v>205.59998308197899</v>
      </c>
      <c r="AI6349">
        <v>82.981827194847099</v>
      </c>
      <c r="AJ6349">
        <v>95.613133512422195</v>
      </c>
      <c r="AK6349">
        <v>208.15015971959301</v>
      </c>
      <c r="AL6349">
        <v>86.122867368670299</v>
      </c>
      <c r="AM6349">
        <v>93.124418093971101</v>
      </c>
      <c r="AN6349">
        <v>1.0000000205023201</v>
      </c>
    </row>
    <row r="6350" spans="1:40" x14ac:dyDescent="0.25">
      <c r="A6350" t="str">
        <f>"20190312160458940"</f>
        <v>20190312160458940</v>
      </c>
      <c r="B6350" t="str">
        <f>"1552377898931639"</f>
        <v>1552377898931639</v>
      </c>
      <c r="C6350" t="s">
        <v>40</v>
      </c>
      <c r="D6350">
        <v>5.6901339999999996</v>
      </c>
      <c r="E6350">
        <v>0.48426429999999998</v>
      </c>
      <c r="F6350" t="s">
        <v>57</v>
      </c>
      <c r="G6350">
        <v>-168.50880000000001</v>
      </c>
      <c r="H6350">
        <v>26.392659999999999</v>
      </c>
      <c r="I6350">
        <v>36.878489999999999</v>
      </c>
      <c r="J6350">
        <v>-377.04059999999998</v>
      </c>
      <c r="K6350">
        <v>1.110789</v>
      </c>
      <c r="L6350">
        <v>16.660829999999901</v>
      </c>
      <c r="M6350">
        <v>0.99993639999999995</v>
      </c>
      <c r="N6350">
        <v>0</v>
      </c>
      <c r="O6350">
        <v>-2.8128000000000002E-4</v>
      </c>
      <c r="P6350">
        <v>0.99697040000000003</v>
      </c>
      <c r="Q6350">
        <v>5.6179519999999997E-2</v>
      </c>
      <c r="R6350">
        <v>5.3798940000000003E-2</v>
      </c>
      <c r="S6350">
        <v>2.973236</v>
      </c>
      <c r="T6350">
        <v>0.3602765</v>
      </c>
      <c r="U6350">
        <v>0.2881165</v>
      </c>
      <c r="V6350">
        <v>-5.4169679999999998E-2</v>
      </c>
      <c r="W6350">
        <v>6.7357349999999996E-2</v>
      </c>
      <c r="X6350">
        <v>0.99625730000000001</v>
      </c>
      <c r="Y6350">
        <v>-9.6033540000000001E-2</v>
      </c>
      <c r="Z6350">
        <v>-5.8176259999999898E-3</v>
      </c>
      <c r="AA6350">
        <v>0.9953611</v>
      </c>
      <c r="AB6350">
        <v>21</v>
      </c>
      <c r="AC6350">
        <v>208.5318</v>
      </c>
      <c r="AD6350">
        <v>25.281870999999999</v>
      </c>
      <c r="AE6350">
        <v>20.217659999999999</v>
      </c>
      <c r="AF6350">
        <v>-19.985299780052902</v>
      </c>
      <c r="AG6350">
        <v>25.281870999999999</v>
      </c>
      <c r="AH6350">
        <v>205.533201682758</v>
      </c>
      <c r="AI6350">
        <v>83.020079038670502</v>
      </c>
      <c r="AJ6350">
        <v>95.553773313400299</v>
      </c>
      <c r="AK6350">
        <v>208.044423627562</v>
      </c>
      <c r="AL6350">
        <v>86.137783826523801</v>
      </c>
      <c r="AM6350">
        <v>93.112289189009203</v>
      </c>
      <c r="AN6350">
        <v>0.99999998731680695</v>
      </c>
    </row>
    <row r="6351" spans="1:40" x14ac:dyDescent="0.25">
      <c r="A6351" t="str">
        <f>"20190312160458953"</f>
        <v>20190312160458953</v>
      </c>
      <c r="B6351" t="str">
        <f>"1552377898941400"</f>
        <v>1552377898941400</v>
      </c>
      <c r="C6351" t="s">
        <v>40</v>
      </c>
      <c r="D6351">
        <v>5.6908529999999997</v>
      </c>
      <c r="E6351">
        <v>0.48429159999999999</v>
      </c>
      <c r="F6351" t="s">
        <v>57</v>
      </c>
      <c r="G6351">
        <v>-168.5085</v>
      </c>
      <c r="H6351">
        <v>25.641030000000001</v>
      </c>
      <c r="I6351">
        <v>37.053289999999997</v>
      </c>
      <c r="J6351">
        <v>-376.93099999999998</v>
      </c>
      <c r="K6351">
        <v>1.110792</v>
      </c>
      <c r="L6351">
        <v>16.661379999999902</v>
      </c>
      <c r="M6351">
        <v>0.99993639999999995</v>
      </c>
      <c r="N6351">
        <v>0</v>
      </c>
      <c r="O6351">
        <v>2.281909E-4</v>
      </c>
      <c r="P6351">
        <v>0.99700339999999998</v>
      </c>
      <c r="Q6351">
        <v>5.5589840000000001E-2</v>
      </c>
      <c r="R6351">
        <v>5.3797970000000001E-2</v>
      </c>
      <c r="S6351">
        <v>2.9737239999999998</v>
      </c>
      <c r="T6351">
        <v>0.3498079</v>
      </c>
      <c r="U6351">
        <v>0.290802</v>
      </c>
      <c r="V6351">
        <v>-5.3660190000000003E-2</v>
      </c>
      <c r="W6351">
        <v>6.6761230000000005E-2</v>
      </c>
      <c r="X6351">
        <v>0.99632500000000002</v>
      </c>
      <c r="Y6351">
        <v>-9.6442009999999995E-2</v>
      </c>
      <c r="Z6351">
        <v>-5.6128870000000004E-3</v>
      </c>
      <c r="AA6351">
        <v>0.99532279999999995</v>
      </c>
      <c r="AB6351">
        <v>21</v>
      </c>
      <c r="AC6351">
        <v>208.42250000000001</v>
      </c>
      <c r="AD6351">
        <v>24.530238000000001</v>
      </c>
      <c r="AE6351">
        <v>20.391909999999999</v>
      </c>
      <c r="AF6351">
        <v>-20.068985462893099</v>
      </c>
      <c r="AG6351">
        <v>24.530238000000001</v>
      </c>
      <c r="AH6351">
        <v>205.60608526423201</v>
      </c>
      <c r="AI6351">
        <v>83.228255548201602</v>
      </c>
      <c r="AJ6351">
        <v>95.574918222155304</v>
      </c>
      <c r="AK6351">
        <v>208.03451408727699</v>
      </c>
      <c r="AL6351">
        <v>86.172016061437503</v>
      </c>
      <c r="AM6351">
        <v>93.082864371291393</v>
      </c>
      <c r="AN6351">
        <v>0.99999999172347398</v>
      </c>
    </row>
    <row r="6352" spans="1:40" x14ac:dyDescent="0.25">
      <c r="A6352" t="str">
        <f>"20190312160458971"</f>
        <v>20190312160458971</v>
      </c>
      <c r="B6352" t="str">
        <f>"1552377898961895"</f>
        <v>1552377898961895</v>
      </c>
      <c r="C6352" t="s">
        <v>40</v>
      </c>
      <c r="D6352">
        <v>6.3501629999999896</v>
      </c>
      <c r="E6352">
        <v>0.48451640000000001</v>
      </c>
      <c r="F6352" t="s">
        <v>57</v>
      </c>
      <c r="G6352">
        <v>-168.50829999999999</v>
      </c>
      <c r="H6352">
        <v>24.943339999999999</v>
      </c>
      <c r="I6352">
        <v>37.002189999999999</v>
      </c>
      <c r="J6352">
        <v>-376.75259999999997</v>
      </c>
      <c r="K6352">
        <v>1.1107849999999999</v>
      </c>
      <c r="L6352">
        <v>16.662379999999999</v>
      </c>
      <c r="M6352">
        <v>0.99993600000000005</v>
      </c>
      <c r="N6352">
        <v>0</v>
      </c>
      <c r="O6352">
        <v>1.0572159999999999E-3</v>
      </c>
      <c r="P6352">
        <v>0.99702159999999995</v>
      </c>
      <c r="Q6352">
        <v>5.5239700000000003E-2</v>
      </c>
      <c r="R6352">
        <v>5.3820949999999999E-2</v>
      </c>
      <c r="S6352">
        <v>2.974396</v>
      </c>
      <c r="T6352">
        <v>0.34011380000000002</v>
      </c>
      <c r="U6352">
        <v>0.29028320000000002</v>
      </c>
      <c r="V6352">
        <v>-5.2855699999999999E-2</v>
      </c>
      <c r="W6352">
        <v>6.6401059999999998E-2</v>
      </c>
      <c r="X6352">
        <v>0.9963921</v>
      </c>
      <c r="Y6352">
        <v>-9.5470760000000002E-2</v>
      </c>
      <c r="Z6352">
        <v>-5.3076900000000003E-3</v>
      </c>
      <c r="AA6352">
        <v>0.99541809999999997</v>
      </c>
      <c r="AB6352">
        <v>21</v>
      </c>
      <c r="AC6352">
        <v>208.24430000000001</v>
      </c>
      <c r="AD6352">
        <v>23.832554999999999</v>
      </c>
      <c r="AE6352">
        <v>20.33981</v>
      </c>
      <c r="AF6352">
        <v>-19.861938128938299</v>
      </c>
      <c r="AG6352">
        <v>23.832554999999999</v>
      </c>
      <c r="AH6352">
        <v>205.59827164489701</v>
      </c>
      <c r="AI6352">
        <v>83.4182644593878</v>
      </c>
      <c r="AJ6352">
        <v>95.517968195321004</v>
      </c>
      <c r="AK6352">
        <v>207.92579582013099</v>
      </c>
      <c r="AL6352">
        <v>86.192698288988595</v>
      </c>
      <c r="AM6352">
        <v>93.036528168946504</v>
      </c>
      <c r="AN6352">
        <v>1.0000000213670099</v>
      </c>
    </row>
    <row r="6353" spans="1:40" x14ac:dyDescent="0.25">
      <c r="A6353" t="str">
        <f>"20190312160458982"</f>
        <v>20190312160458982</v>
      </c>
      <c r="B6353" t="str">
        <f>"1552377898971655"</f>
        <v>1552377898971655</v>
      </c>
      <c r="C6353" t="s">
        <v>40</v>
      </c>
      <c r="D6353">
        <v>6.3456590000000004</v>
      </c>
      <c r="E6353">
        <v>0.48458469999999998</v>
      </c>
      <c r="F6353" t="s">
        <v>57</v>
      </c>
      <c r="G6353">
        <v>-168.5087</v>
      </c>
      <c r="H6353">
        <v>26.052150000000001</v>
      </c>
      <c r="I6353">
        <v>36.871279999999999</v>
      </c>
      <c r="J6353">
        <v>-376.64920000000001</v>
      </c>
      <c r="K6353">
        <v>1.110784</v>
      </c>
      <c r="L6353">
        <v>16.663019999999999</v>
      </c>
      <c r="M6353">
        <v>0.99993540000000003</v>
      </c>
      <c r="N6353">
        <v>0</v>
      </c>
      <c r="O6353">
        <v>1.538066E-3</v>
      </c>
      <c r="P6353">
        <v>0.99700580000000005</v>
      </c>
      <c r="Q6353">
        <v>5.5386400000000002E-2</v>
      </c>
      <c r="R6353">
        <v>5.3963909999999997E-2</v>
      </c>
      <c r="S6353">
        <v>2.973633</v>
      </c>
      <c r="T6353">
        <v>0.35615180000000002</v>
      </c>
      <c r="U6353">
        <v>0.2885742</v>
      </c>
      <c r="V6353">
        <v>-5.251977E-2</v>
      </c>
      <c r="W6353">
        <v>6.6541890000000006E-2</v>
      </c>
      <c r="X6353">
        <v>0.99640050000000002</v>
      </c>
      <c r="Y6353">
        <v>-9.4402020000000003E-2</v>
      </c>
      <c r="Z6353">
        <v>-5.4369309999999999E-3</v>
      </c>
      <c r="AA6353">
        <v>0.9955193</v>
      </c>
      <c r="AB6353">
        <v>21</v>
      </c>
      <c r="AC6353">
        <v>208.1405</v>
      </c>
      <c r="AD6353">
        <v>24.941365999999999</v>
      </c>
      <c r="AE6353">
        <v>20.208259999999999</v>
      </c>
      <c r="AF6353">
        <v>-19.609141692041</v>
      </c>
      <c r="AG6353">
        <v>24.941365999999999</v>
      </c>
      <c r="AH6353">
        <v>205.251630511408</v>
      </c>
      <c r="AI6353">
        <v>83.102713045519806</v>
      </c>
      <c r="AJ6353">
        <v>95.457308202384297</v>
      </c>
      <c r="AK6353">
        <v>207.68924383182701</v>
      </c>
      <c r="AL6353">
        <v>86.184611559472003</v>
      </c>
      <c r="AM6353">
        <v>93.017239576852006</v>
      </c>
      <c r="AN6353">
        <v>1.00000005288293</v>
      </c>
    </row>
    <row r="6354" spans="1:40" x14ac:dyDescent="0.25">
      <c r="A6354" t="str">
        <f>"20190312160459003"</f>
        <v>20190312160459003</v>
      </c>
      <c r="B6354" t="str">
        <f>"1552377898991175"</f>
        <v>1552377898991175</v>
      </c>
      <c r="C6354" t="s">
        <v>40</v>
      </c>
      <c r="D6354">
        <v>6.4005409999999996</v>
      </c>
      <c r="E6354">
        <v>0.48470340000000001</v>
      </c>
      <c r="F6354" t="s">
        <v>57</v>
      </c>
      <c r="G6354">
        <v>-168.5087</v>
      </c>
      <c r="H6354">
        <v>26.066659999999999</v>
      </c>
      <c r="I6354">
        <v>36.84928</v>
      </c>
      <c r="J6354">
        <v>-376.44439999999997</v>
      </c>
      <c r="K6354">
        <v>1.1107849999999999</v>
      </c>
      <c r="L6354">
        <v>16.664459999999998</v>
      </c>
      <c r="M6354">
        <v>0.99993370000000004</v>
      </c>
      <c r="N6354">
        <v>0</v>
      </c>
      <c r="O6354">
        <v>2.490819E-3</v>
      </c>
      <c r="P6354">
        <v>0.99697919999999995</v>
      </c>
      <c r="Q6354">
        <v>5.5057700000000001E-2</v>
      </c>
      <c r="R6354">
        <v>5.4783869999999998E-2</v>
      </c>
      <c r="S6354">
        <v>2.9736020000000001</v>
      </c>
      <c r="T6354">
        <v>0.35653230000000002</v>
      </c>
      <c r="U6354">
        <v>0.28839110000000001</v>
      </c>
      <c r="V6354">
        <v>-5.238934E-2</v>
      </c>
      <c r="W6354">
        <v>6.6203129999999999E-2</v>
      </c>
      <c r="X6354">
        <v>0.99642989999999998</v>
      </c>
      <c r="Y6354">
        <v>-9.3406130000000004E-2</v>
      </c>
      <c r="Z6354">
        <v>-5.2698529999999997E-3</v>
      </c>
      <c r="AA6354">
        <v>0.9956142</v>
      </c>
      <c r="AB6354">
        <v>21</v>
      </c>
      <c r="AC6354">
        <v>207.9357</v>
      </c>
      <c r="AD6354">
        <v>24.955874999999999</v>
      </c>
      <c r="AE6354">
        <v>20.184819999999998</v>
      </c>
      <c r="AF6354">
        <v>-19.390103852438699</v>
      </c>
      <c r="AG6354">
        <v>24.955874999999999</v>
      </c>
      <c r="AH6354">
        <v>205.05920533109801</v>
      </c>
      <c r="AI6354">
        <v>83.091695309954005</v>
      </c>
      <c r="AJ6354">
        <v>95.401745222652494</v>
      </c>
      <c r="AK6354">
        <v>207.48023885528301</v>
      </c>
      <c r="AL6354">
        <v>86.204063851710998</v>
      </c>
      <c r="AM6354">
        <v>93.009671579320198</v>
      </c>
      <c r="AN6354">
        <v>1.0000000214907201</v>
      </c>
    </row>
    <row r="6355" spans="1:40" x14ac:dyDescent="0.25">
      <c r="A6355" t="str">
        <f>"20190312160459014"</f>
        <v>20190312160459014</v>
      </c>
      <c r="B6355" t="str">
        <f>"1552377899011671"</f>
        <v>1552377899011671</v>
      </c>
      <c r="C6355" t="s">
        <v>40</v>
      </c>
      <c r="D6355">
        <v>6.2982849999999999</v>
      </c>
      <c r="E6355">
        <v>0.48488569999999998</v>
      </c>
      <c r="F6355" t="s">
        <v>57</v>
      </c>
      <c r="G6355">
        <v>-168.5087</v>
      </c>
      <c r="H6355">
        <v>26.079879999999999</v>
      </c>
      <c r="I6355">
        <v>36.923450000000003</v>
      </c>
      <c r="J6355">
        <v>-376.34050000000002</v>
      </c>
      <c r="K6355">
        <v>1.110784</v>
      </c>
      <c r="L6355">
        <v>16.66525</v>
      </c>
      <c r="M6355">
        <v>0.9999323</v>
      </c>
      <c r="N6355">
        <v>0</v>
      </c>
      <c r="O6355">
        <v>2.9740460000000002E-3</v>
      </c>
      <c r="P6355">
        <v>0.99694819999999995</v>
      </c>
      <c r="Q6355">
        <v>5.4995889999999999E-2</v>
      </c>
      <c r="R6355">
        <v>5.5406850000000001E-2</v>
      </c>
      <c r="S6355">
        <v>2.9734799999999999</v>
      </c>
      <c r="T6355">
        <v>0.35705799999999999</v>
      </c>
      <c r="U6355">
        <v>0.2897034</v>
      </c>
      <c r="V6355">
        <v>-5.25307E-2</v>
      </c>
      <c r="W6355">
        <v>6.6136050000000002E-2</v>
      </c>
      <c r="X6355">
        <v>0.9964269</v>
      </c>
      <c r="Y6355">
        <v>-9.3366030000000003E-2</v>
      </c>
      <c r="Z6355">
        <v>-5.2175950000000002E-3</v>
      </c>
      <c r="AA6355">
        <v>0.99561820000000001</v>
      </c>
      <c r="AB6355">
        <v>21</v>
      </c>
      <c r="AC6355">
        <v>207.83179999999999</v>
      </c>
      <c r="AD6355">
        <v>24.969096</v>
      </c>
      <c r="AE6355">
        <v>20.258199999999999</v>
      </c>
      <c r="AF6355">
        <v>-19.3631164199792</v>
      </c>
      <c r="AG6355">
        <v>24.969096</v>
      </c>
      <c r="AH6355">
        <v>204.96060985471701</v>
      </c>
      <c r="AI6355">
        <v>83.084722799681202</v>
      </c>
      <c r="AJ6355">
        <v>95.396850947647494</v>
      </c>
      <c r="AK6355">
        <v>207.381864261483</v>
      </c>
      <c r="AL6355">
        <v>86.207915647946905</v>
      </c>
      <c r="AM6355">
        <v>93.017786530761995</v>
      </c>
      <c r="AN6355">
        <v>1.00000000929785</v>
      </c>
    </row>
    <row r="6356" spans="1:40" x14ac:dyDescent="0.25">
      <c r="A6356" t="str">
        <f>"20190312160459025"</f>
        <v>20190312160459025</v>
      </c>
      <c r="B6356" t="str">
        <f>"1552377899021431"</f>
        <v>1552377899021431</v>
      </c>
      <c r="C6356" t="s">
        <v>40</v>
      </c>
      <c r="D6356">
        <v>6.378457</v>
      </c>
      <c r="E6356">
        <v>0.48509429999999998</v>
      </c>
      <c r="F6356" t="s">
        <v>57</v>
      </c>
      <c r="G6356">
        <v>-168.50890000000001</v>
      </c>
      <c r="H6356">
        <v>26.64162</v>
      </c>
      <c r="I6356">
        <v>36.947920000000003</v>
      </c>
      <c r="J6356">
        <v>-376.23340000000002</v>
      </c>
      <c r="K6356">
        <v>1.110784</v>
      </c>
      <c r="L6356">
        <v>16.666139999999999</v>
      </c>
      <c r="M6356">
        <v>0.99993089999999996</v>
      </c>
      <c r="N6356">
        <v>0</v>
      </c>
      <c r="O6356">
        <v>3.4722329999999999E-3</v>
      </c>
      <c r="P6356">
        <v>0.99692899999999995</v>
      </c>
      <c r="Q6356">
        <v>5.4427339999999998E-2</v>
      </c>
      <c r="R6356">
        <v>5.6306639999999998E-2</v>
      </c>
      <c r="S6356">
        <v>2.9729000000000001</v>
      </c>
      <c r="T6356">
        <v>0.36520249999999999</v>
      </c>
      <c r="U6356">
        <v>0.29013060000000002</v>
      </c>
      <c r="V6356">
        <v>-5.2933239999999999E-2</v>
      </c>
      <c r="W6356">
        <v>6.5562700000000002E-2</v>
      </c>
      <c r="X6356">
        <v>0.99644350000000004</v>
      </c>
      <c r="Y6356">
        <v>-9.3007060000000003E-2</v>
      </c>
      <c r="Z6356">
        <v>-5.2539869999999999E-3</v>
      </c>
      <c r="AA6356">
        <v>0.99565159999999997</v>
      </c>
      <c r="AB6356">
        <v>21</v>
      </c>
      <c r="AC6356">
        <v>207.72450000000001</v>
      </c>
      <c r="AD6356">
        <v>25.530835999999901</v>
      </c>
      <c r="AE6356">
        <v>20.281780000000001</v>
      </c>
      <c r="AF6356">
        <v>-19.2719677087475</v>
      </c>
      <c r="AG6356">
        <v>25.530835999999901</v>
      </c>
      <c r="AH6356">
        <v>204.73018894647001</v>
      </c>
      <c r="AI6356">
        <v>82.9226063750355</v>
      </c>
      <c r="AJ6356">
        <v>95.3776053329847</v>
      </c>
      <c r="AK6356">
        <v>207.214098439955</v>
      </c>
      <c r="AL6356">
        <v>86.240837686240397</v>
      </c>
      <c r="AM6356">
        <v>93.040817870881398</v>
      </c>
      <c r="AN6356">
        <v>1.0000000221102101</v>
      </c>
    </row>
    <row r="6357" spans="1:40" x14ac:dyDescent="0.25">
      <c r="A6357" t="str">
        <f>"20190312160459037"</f>
        <v>20190312160459037</v>
      </c>
      <c r="B6357" t="str">
        <f>"1552377899031191"</f>
        <v>1552377899031191</v>
      </c>
      <c r="C6357" t="s">
        <v>40</v>
      </c>
      <c r="D6357">
        <v>6.3578859999999997</v>
      </c>
      <c r="E6357">
        <v>0.48538959999999998</v>
      </c>
      <c r="F6357" t="s">
        <v>57</v>
      </c>
      <c r="G6357">
        <v>-168.50899999999999</v>
      </c>
      <c r="H6357">
        <v>26.997229999999998</v>
      </c>
      <c r="I6357">
        <v>37.032319999999999</v>
      </c>
      <c r="J6357">
        <v>-376.12889999999999</v>
      </c>
      <c r="K6357">
        <v>1.110779</v>
      </c>
      <c r="L6357">
        <v>16.66705</v>
      </c>
      <c r="M6357">
        <v>0.99992899999999996</v>
      </c>
      <c r="N6357">
        <v>0</v>
      </c>
      <c r="O6357">
        <v>3.9583769999999999E-3</v>
      </c>
      <c r="P6357">
        <v>0.99693659999999995</v>
      </c>
      <c r="Q6357">
        <v>5.4385870000000003E-2</v>
      </c>
      <c r="R6357">
        <v>5.6210660000000003E-2</v>
      </c>
      <c r="S6357">
        <v>2.9725649999999999</v>
      </c>
      <c r="T6357">
        <v>0.37043860000000001</v>
      </c>
      <c r="U6357">
        <v>0.2914429</v>
      </c>
      <c r="V6357">
        <v>-5.2351809999999999E-2</v>
      </c>
      <c r="W6357">
        <v>6.5517969999999995E-2</v>
      </c>
      <c r="X6357">
        <v>0.9964771</v>
      </c>
      <c r="Y6357">
        <v>-9.2954099999999998E-2</v>
      </c>
      <c r="Z6357">
        <v>-5.2657429999999998E-3</v>
      </c>
      <c r="AA6357">
        <v>0.99565650000000006</v>
      </c>
      <c r="AB6357">
        <v>21</v>
      </c>
      <c r="AC6357">
        <v>207.6199</v>
      </c>
      <c r="AD6357">
        <v>25.886451000000001</v>
      </c>
      <c r="AE6357">
        <v>20.365269999999999</v>
      </c>
      <c r="AF6357">
        <v>-19.246868204279298</v>
      </c>
      <c r="AG6357">
        <v>25.886451000000001</v>
      </c>
      <c r="AH6357">
        <v>204.549355553037</v>
      </c>
      <c r="AI6357">
        <v>82.818743847559205</v>
      </c>
      <c r="AJ6357">
        <v>95.375362762033902</v>
      </c>
      <c r="AK6357">
        <v>207.07725403387701</v>
      </c>
      <c r="AL6357">
        <v>86.243405828521006</v>
      </c>
      <c r="AM6357">
        <v>93.007377313922305</v>
      </c>
      <c r="AN6357">
        <v>0.99999996361380195</v>
      </c>
    </row>
    <row r="6358" spans="1:40" x14ac:dyDescent="0.25">
      <c r="A6358" t="str">
        <f>"20190312160459048"</f>
        <v>20190312160459048</v>
      </c>
      <c r="B6358" t="str">
        <f>"1552377899041927"</f>
        <v>1552377899041927</v>
      </c>
      <c r="C6358" t="s">
        <v>40</v>
      </c>
      <c r="D6358">
        <v>5.7317289999999996</v>
      </c>
      <c r="E6358">
        <v>0.48556110000000002</v>
      </c>
      <c r="F6358" t="s">
        <v>57</v>
      </c>
      <c r="G6358">
        <v>-168.50909999999999</v>
      </c>
      <c r="H6358">
        <v>27.469729999999998</v>
      </c>
      <c r="I6358">
        <v>36.856250000000003</v>
      </c>
      <c r="J6358">
        <v>-376.01400000000001</v>
      </c>
      <c r="K6358">
        <v>1.1107750000000001</v>
      </c>
      <c r="L6358">
        <v>16.668119999999998</v>
      </c>
      <c r="M6358">
        <v>0.99992689999999995</v>
      </c>
      <c r="N6358">
        <v>0</v>
      </c>
      <c r="O6358">
        <v>4.4925629999999998E-3</v>
      </c>
      <c r="P6358">
        <v>0.99692760000000002</v>
      </c>
      <c r="Q6358">
        <v>5.4529939999999999E-2</v>
      </c>
      <c r="R6358">
        <v>5.6229979999999999E-2</v>
      </c>
      <c r="S6358">
        <v>2.972321</v>
      </c>
      <c r="T6358">
        <v>0.37735940000000001</v>
      </c>
      <c r="U6358">
        <v>0.28903200000000001</v>
      </c>
      <c r="V6358">
        <v>-5.1838629999999997E-2</v>
      </c>
      <c r="W6358">
        <v>6.5658339999999996E-2</v>
      </c>
      <c r="X6358">
        <v>0.99649469999999996</v>
      </c>
      <c r="Y6358">
        <v>-9.1619190000000003E-2</v>
      </c>
      <c r="Z6358">
        <v>-5.2124010000000002E-3</v>
      </c>
      <c r="AA6358">
        <v>0.99578049999999996</v>
      </c>
      <c r="AB6358">
        <v>21</v>
      </c>
      <c r="AC6358">
        <v>207.50489999999999</v>
      </c>
      <c r="AD6358">
        <v>26.358955000000002</v>
      </c>
      <c r="AE6358">
        <v>20.188129999999902</v>
      </c>
      <c r="AF6358">
        <v>-18.952683083458702</v>
      </c>
      <c r="AG6358">
        <v>26.358955000000002</v>
      </c>
      <c r="AH6358">
        <v>204.32736781428099</v>
      </c>
      <c r="AI6358">
        <v>82.680316815010997</v>
      </c>
      <c r="AJ6358">
        <v>95.299390099915598</v>
      </c>
      <c r="AK6358">
        <v>206.890482967841</v>
      </c>
      <c r="AL6358">
        <v>86.235345904487303</v>
      </c>
      <c r="AM6358">
        <v>92.977898241395906</v>
      </c>
      <c r="AN6358">
        <v>0.99999997414996</v>
      </c>
    </row>
    <row r="6359" spans="1:40" x14ac:dyDescent="0.25">
      <c r="A6359" t="str">
        <f>"20190312160459059"</f>
        <v>20190312160459059</v>
      </c>
      <c r="B6359" t="str">
        <f>"1552377899051688"</f>
        <v>1552377899051688</v>
      </c>
      <c r="C6359" t="s">
        <v>40</v>
      </c>
      <c r="D6359">
        <v>6.3730880000000001</v>
      </c>
      <c r="E6359">
        <v>0.48571219999999998</v>
      </c>
      <c r="F6359" t="s">
        <v>57</v>
      </c>
      <c r="G6359">
        <v>-168.5093</v>
      </c>
      <c r="H6359">
        <v>27.9528</v>
      </c>
      <c r="I6359">
        <v>36.769570000000002</v>
      </c>
      <c r="J6359">
        <v>-375.90800000000002</v>
      </c>
      <c r="K6359">
        <v>1.1107689999999999</v>
      </c>
      <c r="L6359">
        <v>16.669160000000002</v>
      </c>
      <c r="M6359">
        <v>0.99992449999999999</v>
      </c>
      <c r="N6359">
        <v>0</v>
      </c>
      <c r="O6359">
        <v>4.9861559999999899E-3</v>
      </c>
      <c r="P6359">
        <v>0.99692769999999997</v>
      </c>
      <c r="Q6359">
        <v>5.3985379999999999E-2</v>
      </c>
      <c r="R6359">
        <v>5.6750950000000001E-2</v>
      </c>
      <c r="S6359">
        <v>2.9719850000000001</v>
      </c>
      <c r="T6359">
        <v>0.38444469999999997</v>
      </c>
      <c r="U6359">
        <v>0.28790280000000001</v>
      </c>
      <c r="V6359">
        <v>-5.1866629999999997E-2</v>
      </c>
      <c r="W6359">
        <v>6.5110199999999993E-2</v>
      </c>
      <c r="X6359">
        <v>0.9965292</v>
      </c>
      <c r="Y6359">
        <v>-9.0748609999999993E-2</v>
      </c>
      <c r="Z6359">
        <v>-5.1907840000000004E-3</v>
      </c>
      <c r="AA6359">
        <v>0.99586030000000003</v>
      </c>
      <c r="AB6359">
        <v>21</v>
      </c>
      <c r="AC6359">
        <v>207.39869999999999</v>
      </c>
      <c r="AD6359">
        <v>26.842030999999999</v>
      </c>
      <c r="AE6359">
        <v>20.10041</v>
      </c>
      <c r="AF6359">
        <v>-18.754750982316999</v>
      </c>
      <c r="AG6359">
        <v>26.842030999999999</v>
      </c>
      <c r="AH6359">
        <v>204.109304307402</v>
      </c>
      <c r="AI6359">
        <v>82.539204685494596</v>
      </c>
      <c r="AJ6359">
        <v>95.249927800708605</v>
      </c>
      <c r="AK6359">
        <v>206.71923814068501</v>
      </c>
      <c r="AL6359">
        <v>86.266819331828302</v>
      </c>
      <c r="AM6359">
        <v>92.979400854113393</v>
      </c>
      <c r="AN6359">
        <v>0.99999996595211704</v>
      </c>
    </row>
    <row r="6360" spans="1:40" x14ac:dyDescent="0.25">
      <c r="A6360" t="str">
        <f>"20190312160459071"</f>
        <v>20190312160459071</v>
      </c>
      <c r="B6360" t="str">
        <f>"1552377899061447"</f>
        <v>1552377899061447</v>
      </c>
      <c r="C6360" t="s">
        <v>40</v>
      </c>
      <c r="D6360">
        <v>6.3806159999999998</v>
      </c>
      <c r="E6360">
        <v>0.48576449999999999</v>
      </c>
      <c r="F6360" t="s">
        <v>57</v>
      </c>
      <c r="G6360">
        <v>-168.5094</v>
      </c>
      <c r="H6360">
        <v>28.25853</v>
      </c>
      <c r="I6360">
        <v>36.806699999999999</v>
      </c>
      <c r="J6360">
        <v>-375.80070000000001</v>
      </c>
      <c r="K6360">
        <v>1.1107610000000001</v>
      </c>
      <c r="L6360">
        <v>16.67023</v>
      </c>
      <c r="M6360">
        <v>0.99992210000000004</v>
      </c>
      <c r="N6360">
        <v>0</v>
      </c>
      <c r="O6360">
        <v>5.4846959999999998E-3</v>
      </c>
      <c r="P6360">
        <v>0.99695290000000003</v>
      </c>
      <c r="Q6360">
        <v>5.3642530000000001E-2</v>
      </c>
      <c r="R6360">
        <v>5.6637119999999999E-2</v>
      </c>
      <c r="S6360">
        <v>2.9717410000000002</v>
      </c>
      <c r="T6360">
        <v>0.38899060000000002</v>
      </c>
      <c r="U6360">
        <v>0.28854370000000001</v>
      </c>
      <c r="V6360">
        <v>-5.1255259999999997E-2</v>
      </c>
      <c r="W6360">
        <v>6.4765210000000004E-2</v>
      </c>
      <c r="X6360">
        <v>0.99658329999999995</v>
      </c>
      <c r="Y6360">
        <v>-9.0462490000000007E-2</v>
      </c>
      <c r="Z6360">
        <v>-5.1685960000000001E-3</v>
      </c>
      <c r="AA6360">
        <v>0.99588639999999995</v>
      </c>
      <c r="AB6360">
        <v>21</v>
      </c>
      <c r="AC6360">
        <v>207.29130000000001</v>
      </c>
      <c r="AD6360">
        <v>27.147769</v>
      </c>
      <c r="AE6360">
        <v>20.136469999999999</v>
      </c>
      <c r="AF6360">
        <v>-18.6817384032185</v>
      </c>
      <c r="AG6360">
        <v>27.147769</v>
      </c>
      <c r="AH6360">
        <v>203.93353059862801</v>
      </c>
      <c r="AI6360">
        <v>82.448580442127906</v>
      </c>
      <c r="AJ6360">
        <v>95.234085738151407</v>
      </c>
      <c r="AK6360">
        <v>206.57902510629</v>
      </c>
      <c r="AL6360">
        <v>86.286627567973895</v>
      </c>
      <c r="AM6360">
        <v>92.944184229426597</v>
      </c>
      <c r="AN6360">
        <v>0.99999995397144903</v>
      </c>
    </row>
    <row r="6361" spans="1:40" x14ac:dyDescent="0.25">
      <c r="A6361" t="str">
        <f>"20190312160459081"</f>
        <v>20190312160459081</v>
      </c>
      <c r="B6361" t="str">
        <f>"1552377899071207"</f>
        <v>1552377899071207</v>
      </c>
      <c r="C6361" t="s">
        <v>40</v>
      </c>
      <c r="D6361">
        <v>6.3939159999999999</v>
      </c>
      <c r="E6361">
        <v>0.48574200000000001</v>
      </c>
      <c r="F6361" t="s">
        <v>57</v>
      </c>
      <c r="G6361">
        <v>-168.5095</v>
      </c>
      <c r="H6361">
        <v>28.656479999999998</v>
      </c>
      <c r="I6361">
        <v>36.764530000000001</v>
      </c>
      <c r="J6361">
        <v>-375.69990000000001</v>
      </c>
      <c r="K6361">
        <v>1.1107499999999999</v>
      </c>
      <c r="L6361">
        <v>16.671329999999902</v>
      </c>
      <c r="M6361">
        <v>0.99991940000000001</v>
      </c>
      <c r="N6361">
        <v>0</v>
      </c>
      <c r="O6361">
        <v>5.9535509999999996E-3</v>
      </c>
      <c r="P6361">
        <v>0.99701859999999998</v>
      </c>
      <c r="Q6361">
        <v>5.2521390000000001E-2</v>
      </c>
      <c r="R6361">
        <v>5.6530289999999997E-2</v>
      </c>
      <c r="S6361">
        <v>2.9715579999999999</v>
      </c>
      <c r="T6361">
        <v>0.39487290000000003</v>
      </c>
      <c r="U6361">
        <v>0.28805540000000002</v>
      </c>
      <c r="V6361">
        <v>-5.0679170000000003E-2</v>
      </c>
      <c r="W6361">
        <v>6.3642690000000002E-2</v>
      </c>
      <c r="X6361">
        <v>0.99668509999999999</v>
      </c>
      <c r="Y6361">
        <v>-8.9827039999999997E-2</v>
      </c>
      <c r="Z6361">
        <v>-5.142621E-3</v>
      </c>
      <c r="AA6361">
        <v>0.9959441</v>
      </c>
      <c r="AB6361">
        <v>21</v>
      </c>
      <c r="AC6361">
        <v>207.19040000000001</v>
      </c>
      <c r="AD6361">
        <v>27.545729999999999</v>
      </c>
      <c r="AE6361">
        <v>20.0932</v>
      </c>
      <c r="AF6361">
        <v>-18.534691980009502</v>
      </c>
      <c r="AG6361">
        <v>27.545729999999999</v>
      </c>
      <c r="AH6361">
        <v>203.73874997252599</v>
      </c>
      <c r="AI6361">
        <v>82.331517050251094</v>
      </c>
      <c r="AJ6361">
        <v>95.198051300132704</v>
      </c>
      <c r="AK6361">
        <v>206.42621027474701</v>
      </c>
      <c r="AL6361">
        <v>86.351076296308605</v>
      </c>
      <c r="AM6361">
        <v>92.910853113086802</v>
      </c>
      <c r="AN6361">
        <v>0.99999997941216701</v>
      </c>
    </row>
    <row r="6362" spans="1:40" x14ac:dyDescent="0.25">
      <c r="A6362" t="str">
        <f>"20190312160459093"</f>
        <v>20190312160459093</v>
      </c>
      <c r="B6362" t="str">
        <f>"1552377899081943"</f>
        <v>1552377899081943</v>
      </c>
      <c r="C6362" t="s">
        <v>40</v>
      </c>
      <c r="D6362">
        <v>6.493614</v>
      </c>
      <c r="E6362">
        <v>0.48591859999999998</v>
      </c>
      <c r="F6362" t="s">
        <v>57</v>
      </c>
      <c r="G6362">
        <v>-168.50970000000001</v>
      </c>
      <c r="H6362">
        <v>29.093129999999999</v>
      </c>
      <c r="I6362">
        <v>36.76708</v>
      </c>
      <c r="J6362">
        <v>-375.59300000000002</v>
      </c>
      <c r="K6362">
        <v>1.1107389999999999</v>
      </c>
      <c r="L6362">
        <v>16.672519999999999</v>
      </c>
      <c r="M6362">
        <v>0.99991629999999998</v>
      </c>
      <c r="N6362">
        <v>0</v>
      </c>
      <c r="O6362">
        <v>6.4508369999999897E-3</v>
      </c>
      <c r="P6362">
        <v>0.99706810000000001</v>
      </c>
      <c r="Q6362">
        <v>5.1237640000000001E-2</v>
      </c>
      <c r="R6362">
        <v>5.6832439999999998E-2</v>
      </c>
      <c r="S6362">
        <v>2.9714659999999999</v>
      </c>
      <c r="T6362">
        <v>0.4013157</v>
      </c>
      <c r="U6362">
        <v>0.28820800000000002</v>
      </c>
      <c r="V6362">
        <v>-5.0483180000000002E-2</v>
      </c>
      <c r="W6362">
        <v>6.2357299999999997E-2</v>
      </c>
      <c r="X6362">
        <v>0.99677629999999995</v>
      </c>
      <c r="Y6362">
        <v>-8.9370000000000005E-2</v>
      </c>
      <c r="Z6362">
        <v>-5.1285810000000001E-3</v>
      </c>
      <c r="AA6362">
        <v>0.99598529999999996</v>
      </c>
      <c r="AB6362">
        <v>21</v>
      </c>
      <c r="AC6362">
        <v>207.08330000000001</v>
      </c>
      <c r="AD6362">
        <v>27.9823909999999</v>
      </c>
      <c r="AE6362">
        <v>20.094560000000001</v>
      </c>
      <c r="AF6362">
        <v>-18.424912994050899</v>
      </c>
      <c r="AG6362">
        <v>27.9823909999999</v>
      </c>
      <c r="AH6362">
        <v>203.527069022598</v>
      </c>
      <c r="AI6362">
        <v>82.203125852944396</v>
      </c>
      <c r="AJ6362">
        <v>95.172776284387695</v>
      </c>
      <c r="AK6362">
        <v>206.26623439100399</v>
      </c>
      <c r="AL6362">
        <v>86.424870346574195</v>
      </c>
      <c r="AM6362">
        <v>92.899350460667094</v>
      </c>
      <c r="AN6362">
        <v>0.99999998828394598</v>
      </c>
    </row>
    <row r="6363" spans="1:40" x14ac:dyDescent="0.25">
      <c r="A6363" t="str">
        <f>"20190312160459105"</f>
        <v>20190312160459105</v>
      </c>
      <c r="B6363" t="str">
        <f>"1552377899101463"</f>
        <v>1552377899101463</v>
      </c>
      <c r="C6363" t="s">
        <v>40</v>
      </c>
      <c r="D6363">
        <v>6.3509979999999997</v>
      </c>
      <c r="E6363">
        <v>0.48650369999999998</v>
      </c>
      <c r="F6363" t="s">
        <v>57</v>
      </c>
      <c r="G6363">
        <v>-168.50970000000001</v>
      </c>
      <c r="H6363">
        <v>29.193760000000001</v>
      </c>
      <c r="I6363">
        <v>36.734990000000003</v>
      </c>
      <c r="J6363">
        <v>-375.4726</v>
      </c>
      <c r="K6363">
        <v>1.1107309999999999</v>
      </c>
      <c r="L6363">
        <v>16.673919999999999</v>
      </c>
      <c r="M6363">
        <v>0.99991269999999999</v>
      </c>
      <c r="N6363">
        <v>0</v>
      </c>
      <c r="O6363">
        <v>7.0103500000000003E-3</v>
      </c>
      <c r="P6363">
        <v>0.99712619999999996</v>
      </c>
      <c r="Q6363">
        <v>4.9409729999999999E-2</v>
      </c>
      <c r="R6363">
        <v>5.7431530000000001E-2</v>
      </c>
      <c r="S6363">
        <v>2.9717099999999999</v>
      </c>
      <c r="T6363">
        <v>0.40300009999999997</v>
      </c>
      <c r="U6363">
        <v>0.28790280000000001</v>
      </c>
      <c r="V6363">
        <v>-5.0521209999999997E-2</v>
      </c>
      <c r="W6363">
        <v>6.052685E-2</v>
      </c>
      <c r="X6363">
        <v>0.99688719999999997</v>
      </c>
      <c r="Y6363">
        <v>-8.8708460000000003E-2</v>
      </c>
      <c r="Z6363">
        <v>-5.0296250000000002E-3</v>
      </c>
      <c r="AA6363">
        <v>0.99604490000000001</v>
      </c>
      <c r="AB6363">
        <v>21</v>
      </c>
      <c r="AC6363">
        <v>206.96289999999999</v>
      </c>
      <c r="AD6363">
        <v>28.083029</v>
      </c>
      <c r="AE6363">
        <v>20.061070000000001</v>
      </c>
      <c r="AF6363">
        <v>-18.276232331777699</v>
      </c>
      <c r="AG6363">
        <v>28.083029</v>
      </c>
      <c r="AH6363">
        <v>203.38850888139899</v>
      </c>
      <c r="AI6363">
        <v>82.169703785077104</v>
      </c>
      <c r="AJ6363">
        <v>95.134735101936698</v>
      </c>
      <c r="AK6363">
        <v>206.12996563105301</v>
      </c>
      <c r="AL6363">
        <v>86.529945955783205</v>
      </c>
      <c r="AM6363">
        <v>92.901208636039399</v>
      </c>
      <c r="AN6363">
        <v>0.99999999087731295</v>
      </c>
    </row>
    <row r="6364" spans="1:40" x14ac:dyDescent="0.25">
      <c r="A6364" t="str">
        <f>"20190312160459119"</f>
        <v>20190312160459119</v>
      </c>
      <c r="B6364" t="str">
        <f>"1552377899111223"</f>
        <v>1552377899111223</v>
      </c>
      <c r="C6364" t="s">
        <v>40</v>
      </c>
      <c r="D6364">
        <v>6.4399810000000004</v>
      </c>
      <c r="E6364">
        <v>0.52566020000000002</v>
      </c>
      <c r="F6364" t="s">
        <v>57</v>
      </c>
      <c r="G6364">
        <v>-168.50970000000001</v>
      </c>
      <c r="H6364">
        <v>29.23678</v>
      </c>
      <c r="I6364">
        <v>36.538679999999999</v>
      </c>
      <c r="J6364">
        <v>-375.35210000000001</v>
      </c>
      <c r="K6364">
        <v>1.1107209999999901</v>
      </c>
      <c r="L6364">
        <v>16.675419999999999</v>
      </c>
      <c r="M6364">
        <v>0.99990849999999998</v>
      </c>
      <c r="N6364">
        <v>0</v>
      </c>
      <c r="O6364">
        <v>7.5706949999999997E-3</v>
      </c>
      <c r="P6364">
        <v>0.99714020000000003</v>
      </c>
      <c r="Q6364">
        <v>4.747502E-2</v>
      </c>
      <c r="R6364">
        <v>5.8802790000000001E-2</v>
      </c>
      <c r="S6364">
        <v>2.9721980000000001</v>
      </c>
      <c r="T6364">
        <v>0.40391870000000002</v>
      </c>
      <c r="U6364">
        <v>0.28527829999999998</v>
      </c>
      <c r="V6364">
        <v>-5.1330960000000002E-2</v>
      </c>
      <c r="W6364">
        <v>5.8589090000000003E-2</v>
      </c>
      <c r="X6364">
        <v>0.9969616</v>
      </c>
      <c r="Y6364">
        <v>-8.7278010000000003E-2</v>
      </c>
      <c r="Z6364">
        <v>-4.8682209999999998E-3</v>
      </c>
      <c r="AA6364">
        <v>0.9961721</v>
      </c>
      <c r="AB6364">
        <v>21</v>
      </c>
      <c r="AC6364">
        <v>206.8424</v>
      </c>
      <c r="AD6364">
        <v>28.126059000000001</v>
      </c>
      <c r="AE6364">
        <v>19.86326</v>
      </c>
      <c r="AF6364">
        <v>-17.967467475658399</v>
      </c>
      <c r="AG6364">
        <v>28.126059000000001</v>
      </c>
      <c r="AH6364">
        <v>203.262857067754</v>
      </c>
      <c r="AI6364">
        <v>82.152064736497607</v>
      </c>
      <c r="AJ6364">
        <v>95.051543933437102</v>
      </c>
      <c r="AK6364">
        <v>205.984693959786</v>
      </c>
      <c r="AL6364">
        <v>86.641168880056995</v>
      </c>
      <c r="AM6364">
        <v>92.947408038048394</v>
      </c>
      <c r="AN6364">
        <v>0.99999999039805398</v>
      </c>
    </row>
    <row r="6365" spans="1:40" x14ac:dyDescent="0.25">
      <c r="A6365" t="str">
        <f>"20190312160459131"</f>
        <v>20190312160459131</v>
      </c>
      <c r="B6365" t="str">
        <f>"1552377899121960"</f>
        <v>1552377899121960</v>
      </c>
      <c r="C6365" t="s">
        <v>40</v>
      </c>
      <c r="D6365">
        <v>6.5184430000000004</v>
      </c>
      <c r="E6365">
        <v>0.5271941</v>
      </c>
      <c r="F6365" t="s">
        <v>45</v>
      </c>
      <c r="G6365">
        <v>0</v>
      </c>
      <c r="H6365">
        <v>0</v>
      </c>
      <c r="I6365">
        <v>0</v>
      </c>
      <c r="J6365">
        <v>-375.22620000000001</v>
      </c>
      <c r="K6365">
        <v>1.1107129999999901</v>
      </c>
      <c r="L6365">
        <v>16.677029999999998</v>
      </c>
      <c r="M6365">
        <v>0.99990389999999996</v>
      </c>
      <c r="N6365">
        <v>0</v>
      </c>
      <c r="O6365">
        <v>8.1552320000000001E-3</v>
      </c>
      <c r="P6365">
        <v>0.99710270000000001</v>
      </c>
      <c r="Q6365">
        <v>4.5484900000000002E-2</v>
      </c>
      <c r="R6365">
        <v>6.096799E-2</v>
      </c>
      <c r="S6365">
        <v>2.9809269999999999</v>
      </c>
      <c r="T6365">
        <v>0.60318590000000005</v>
      </c>
      <c r="U6365">
        <v>-1.7395020000000001E-2</v>
      </c>
      <c r="V6365">
        <v>-5.2910529999999997E-2</v>
      </c>
      <c r="W6365">
        <v>5.6594459999999999E-2</v>
      </c>
      <c r="X6365">
        <v>0.9969943</v>
      </c>
      <c r="Y6365">
        <v>1.355084E-2</v>
      </c>
      <c r="Z6365">
        <v>2.99096E-3</v>
      </c>
      <c r="AA6365">
        <v>0.99990369999999995</v>
      </c>
      <c r="AB6365">
        <v>21</v>
      </c>
      <c r="AC6365">
        <v>2.9809269999999999</v>
      </c>
      <c r="AD6365">
        <v>0.60318590000000005</v>
      </c>
      <c r="AE6365">
        <v>-1.7395020000000001E-2</v>
      </c>
      <c r="AF6365">
        <v>4.00656912031674E-2</v>
      </c>
      <c r="AG6365">
        <v>0.60318590000000005</v>
      </c>
      <c r="AH6365">
        <v>2.8634464875313599</v>
      </c>
      <c r="AI6365">
        <v>78.105670217639499</v>
      </c>
      <c r="AJ6365">
        <v>89.198362802767093</v>
      </c>
      <c r="AK6365">
        <v>2.9265618525030499</v>
      </c>
      <c r="AL6365">
        <v>86.755642962447396</v>
      </c>
      <c r="AM6365">
        <v>93.037839646257495</v>
      </c>
      <c r="AN6365">
        <v>1.00000004566003</v>
      </c>
    </row>
    <row r="6366" spans="1:40" x14ac:dyDescent="0.25">
      <c r="A6366" t="str">
        <f>"20190312160459150"</f>
        <v>20190312160459150</v>
      </c>
      <c r="B6366" t="str">
        <f>"1552377899141483"</f>
        <v>1552377899141483</v>
      </c>
      <c r="C6366" t="s">
        <v>40</v>
      </c>
      <c r="D6366">
        <v>6.0911589999999904</v>
      </c>
      <c r="E6366">
        <v>0.52894430000000003</v>
      </c>
      <c r="F6366" t="s">
        <v>45</v>
      </c>
      <c r="G6366">
        <v>0</v>
      </c>
      <c r="H6366">
        <v>0</v>
      </c>
      <c r="I6366">
        <v>0</v>
      </c>
      <c r="J6366">
        <v>-375.05020000000002</v>
      </c>
      <c r="K6366">
        <v>1.1107089999999999</v>
      </c>
      <c r="L6366">
        <v>16.679410000000001</v>
      </c>
      <c r="M6366">
        <v>0.99989709999999998</v>
      </c>
      <c r="N6366">
        <v>0</v>
      </c>
      <c r="O6366">
        <v>8.9659969999999999E-3</v>
      </c>
      <c r="P6366">
        <v>0.99698969999999998</v>
      </c>
      <c r="Q6366">
        <v>4.3057810000000002E-2</v>
      </c>
      <c r="R6366">
        <v>6.4480280000000001E-2</v>
      </c>
      <c r="S6366">
        <v>2.9824519999999999</v>
      </c>
      <c r="T6366">
        <v>0.60557289999999997</v>
      </c>
      <c r="U6366">
        <v>-2.2064210000000001E-2</v>
      </c>
      <c r="V6366">
        <v>-5.561149E-2</v>
      </c>
      <c r="W6366">
        <v>5.4160140000000002E-2</v>
      </c>
      <c r="X6366">
        <v>0.99698249999999999</v>
      </c>
      <c r="Y6366">
        <v>1.5857299999999901E-2</v>
      </c>
      <c r="Z6366">
        <v>3.3957979999999998E-3</v>
      </c>
      <c r="AA6366">
        <v>0.99986850000000005</v>
      </c>
      <c r="AB6366">
        <v>21</v>
      </c>
      <c r="AC6366">
        <v>2.9824519999999999</v>
      </c>
      <c r="AD6366">
        <v>0.60557289999999997</v>
      </c>
      <c r="AE6366">
        <v>-2.2064210000000001E-2</v>
      </c>
      <c r="AF6366">
        <v>4.6873297124446898E-2</v>
      </c>
      <c r="AG6366">
        <v>0.60557289999999997</v>
      </c>
      <c r="AH6366">
        <v>2.86406286343612</v>
      </c>
      <c r="AI6366">
        <v>78.062862565628507</v>
      </c>
      <c r="AJ6366">
        <v>89.062380092981797</v>
      </c>
      <c r="AK6366">
        <v>2.9277588235562702</v>
      </c>
      <c r="AL6366">
        <v>86.895333565585304</v>
      </c>
      <c r="AM6366">
        <v>93.192639005474007</v>
      </c>
      <c r="AN6366">
        <v>1.00000003194554</v>
      </c>
    </row>
    <row r="6367" spans="1:40" x14ac:dyDescent="0.25">
      <c r="A6367" t="str">
        <f>"20190312160459160"</f>
        <v>20190312160459160</v>
      </c>
      <c r="B6367" t="str">
        <f>"1552377899151239"</f>
        <v>1552377899151239</v>
      </c>
      <c r="C6367" t="s">
        <v>40</v>
      </c>
      <c r="D6367">
        <v>6.4914329999999998</v>
      </c>
      <c r="E6367">
        <v>0.52994839999999999</v>
      </c>
      <c r="F6367" t="s">
        <v>45</v>
      </c>
      <c r="G6367">
        <v>0</v>
      </c>
      <c r="H6367">
        <v>0</v>
      </c>
      <c r="I6367">
        <v>0</v>
      </c>
      <c r="J6367">
        <v>-374.94639999999998</v>
      </c>
      <c r="K6367">
        <v>1.110703</v>
      </c>
      <c r="L6367">
        <v>16.680879999999998</v>
      </c>
      <c r="M6367">
        <v>0.99989280000000003</v>
      </c>
      <c r="N6367">
        <v>0</v>
      </c>
      <c r="O6367">
        <v>9.4398099999999999E-3</v>
      </c>
      <c r="P6367">
        <v>0.99688750000000004</v>
      </c>
      <c r="Q6367">
        <v>4.2123859999999999E-2</v>
      </c>
      <c r="R6367">
        <v>6.6641980000000003E-2</v>
      </c>
      <c r="S6367">
        <v>2.9856259999999999</v>
      </c>
      <c r="T6367">
        <v>0.57951490000000005</v>
      </c>
      <c r="U6367">
        <v>-2.4749759999999999E-2</v>
      </c>
      <c r="V6367">
        <v>-5.7299599999999999E-2</v>
      </c>
      <c r="W6367">
        <v>5.3222119999999998E-2</v>
      </c>
      <c r="X6367">
        <v>0.99693739999999997</v>
      </c>
      <c r="Y6367">
        <v>1.7231299999999901E-2</v>
      </c>
      <c r="Z6367">
        <v>3.472246E-3</v>
      </c>
      <c r="AA6367">
        <v>0.99984550000000005</v>
      </c>
      <c r="AB6367">
        <v>21</v>
      </c>
      <c r="AC6367">
        <v>2.9856259999999999</v>
      </c>
      <c r="AD6367">
        <v>0.57951490000000005</v>
      </c>
      <c r="AE6367">
        <v>-2.4749759999999999E-2</v>
      </c>
      <c r="AF6367">
        <v>5.10123826376244E-2</v>
      </c>
      <c r="AG6367">
        <v>0.57951490000000005</v>
      </c>
      <c r="AH6367">
        <v>2.8768790536274</v>
      </c>
      <c r="AI6367">
        <v>78.612569429595794</v>
      </c>
      <c r="AJ6367">
        <v>88.984146394568597</v>
      </c>
      <c r="AK6367">
        <v>2.93511036789155</v>
      </c>
      <c r="AL6367">
        <v>86.949155716138804</v>
      </c>
      <c r="AM6367">
        <v>93.289491693096593</v>
      </c>
      <c r="AN6367">
        <v>1.0000000088681</v>
      </c>
    </row>
    <row r="6368" spans="1:40" x14ac:dyDescent="0.25">
      <c r="A6368" t="str">
        <f>"20190312160459171"</f>
        <v>20190312160459171</v>
      </c>
      <c r="B6368" t="str">
        <f>"1552377899161977"</f>
        <v>1552377899161977</v>
      </c>
      <c r="C6368" t="s">
        <v>40</v>
      </c>
      <c r="D6368">
        <v>6.6284099999999997</v>
      </c>
      <c r="E6368">
        <v>0.529690199999999</v>
      </c>
      <c r="F6368" t="s">
        <v>45</v>
      </c>
      <c r="G6368">
        <v>0</v>
      </c>
      <c r="H6368">
        <v>0</v>
      </c>
      <c r="I6368">
        <v>0</v>
      </c>
      <c r="J6368">
        <v>-374.84449999999998</v>
      </c>
      <c r="K6368">
        <v>1.110695</v>
      </c>
      <c r="L6368">
        <v>16.68234</v>
      </c>
      <c r="M6368">
        <v>0.99988840000000001</v>
      </c>
      <c r="N6368">
        <v>0</v>
      </c>
      <c r="O6368">
        <v>9.9021119999999994E-3</v>
      </c>
      <c r="P6368">
        <v>0.99680599999999997</v>
      </c>
      <c r="Q6368">
        <v>4.1540439999999998E-2</v>
      </c>
      <c r="R6368">
        <v>6.8208299999999999E-2</v>
      </c>
      <c r="S6368">
        <v>2.9859619999999998</v>
      </c>
      <c r="T6368">
        <v>0.59526939999999995</v>
      </c>
      <c r="U6368">
        <v>-2.572632E-2</v>
      </c>
      <c r="V6368">
        <v>-5.8403770000000001E-2</v>
      </c>
      <c r="W6368">
        <v>5.2635960000000002E-2</v>
      </c>
      <c r="X6368">
        <v>0.99690440000000002</v>
      </c>
      <c r="Y6368">
        <v>1.7968959999999999E-2</v>
      </c>
      <c r="Z6368">
        <v>3.7285230000000001E-3</v>
      </c>
      <c r="AA6368">
        <v>0.99983160000000004</v>
      </c>
      <c r="AB6368">
        <v>21</v>
      </c>
      <c r="AC6368">
        <v>2.9859619999999998</v>
      </c>
      <c r="AD6368">
        <v>0.59526939999999995</v>
      </c>
      <c r="AE6368">
        <v>-2.572632E-2</v>
      </c>
      <c r="AF6368">
        <v>5.3180839750891697E-2</v>
      </c>
      <c r="AG6368">
        <v>0.59526939999999995</v>
      </c>
      <c r="AH6368">
        <v>2.8714498158076198</v>
      </c>
      <c r="AI6368">
        <v>78.290076719017094</v>
      </c>
      <c r="AJ6368">
        <v>88.938971757557894</v>
      </c>
      <c r="AK6368">
        <v>2.9329844706364598</v>
      </c>
      <c r="AL6368">
        <v>86.982787216273607</v>
      </c>
      <c r="AM6368">
        <v>93.352848072532097</v>
      </c>
      <c r="AN6368">
        <v>0.99999996368734601</v>
      </c>
    </row>
    <row r="6369" spans="1:40" x14ac:dyDescent="0.25">
      <c r="A6369" t="str">
        <f>"20190312160459181"</f>
        <v>20190312160459181</v>
      </c>
      <c r="B6369" t="str">
        <f>"1552377899171737"</f>
        <v>1552377899171737</v>
      </c>
      <c r="C6369" t="s">
        <v>40</v>
      </c>
      <c r="D6369">
        <v>6.3908379999999996</v>
      </c>
      <c r="E6369">
        <v>0.53010939999999995</v>
      </c>
      <c r="F6369" t="s">
        <v>45</v>
      </c>
      <c r="G6369">
        <v>0</v>
      </c>
      <c r="H6369">
        <v>0</v>
      </c>
      <c r="I6369">
        <v>0</v>
      </c>
      <c r="J6369">
        <v>-374.74200000000002</v>
      </c>
      <c r="K6369">
        <v>1.110689</v>
      </c>
      <c r="L6369">
        <v>16.683900000000001</v>
      </c>
      <c r="M6369">
        <v>0.99988370000000004</v>
      </c>
      <c r="N6369">
        <v>0</v>
      </c>
      <c r="O6369">
        <v>1.0363799999999999E-2</v>
      </c>
      <c r="P6369">
        <v>0.99675380000000002</v>
      </c>
      <c r="Q6369">
        <v>4.1007479999999999E-2</v>
      </c>
      <c r="R6369">
        <v>6.9284849999999995E-2</v>
      </c>
      <c r="S6369">
        <v>2.9848330000000001</v>
      </c>
      <c r="T6369">
        <v>0.62437860000000001</v>
      </c>
      <c r="U6369">
        <v>-1.876831E-2</v>
      </c>
      <c r="V6369">
        <v>-5.901911E-2</v>
      </c>
      <c r="W6369">
        <v>5.2100729999999998E-2</v>
      </c>
      <c r="X6369">
        <v>0.99689629999999996</v>
      </c>
      <c r="Y6369">
        <v>1.6079329999999999E-2</v>
      </c>
      <c r="Z6369">
        <v>3.8085770000000001E-3</v>
      </c>
      <c r="AA6369">
        <v>0.99986339999999996</v>
      </c>
      <c r="AB6369">
        <v>21</v>
      </c>
      <c r="AC6369">
        <v>2.9848330000000001</v>
      </c>
      <c r="AD6369">
        <v>0.62437860000000001</v>
      </c>
      <c r="AE6369">
        <v>-1.876831E-2</v>
      </c>
      <c r="AF6369">
        <v>4.7619793243126998E-2</v>
      </c>
      <c r="AG6369">
        <v>0.62437860000000001</v>
      </c>
      <c r="AH6369">
        <v>2.85936351056024</v>
      </c>
      <c r="AI6369">
        <v>77.683742414586206</v>
      </c>
      <c r="AJ6369">
        <v>89.045885226027494</v>
      </c>
      <c r="AK6369">
        <v>2.9271275965303998</v>
      </c>
      <c r="AL6369">
        <v>87.013495845215701</v>
      </c>
      <c r="AM6369">
        <v>93.388119158233806</v>
      </c>
      <c r="AN6369">
        <v>0.999999987182707</v>
      </c>
    </row>
    <row r="6370" spans="1:40" x14ac:dyDescent="0.25">
      <c r="A6370" t="str">
        <f>"20190312160459193"</f>
        <v>20190312160459193</v>
      </c>
      <c r="B6370" t="str">
        <f>"1552377899181496"</f>
        <v>1552377899181496</v>
      </c>
      <c r="C6370" t="s">
        <v>40</v>
      </c>
      <c r="D6370">
        <v>6.4354079999999998</v>
      </c>
      <c r="E6370">
        <v>0.53120859999999903</v>
      </c>
      <c r="F6370" t="s">
        <v>45</v>
      </c>
      <c r="G6370">
        <v>0</v>
      </c>
      <c r="H6370">
        <v>0</v>
      </c>
      <c r="I6370">
        <v>0</v>
      </c>
      <c r="J6370">
        <v>-374.6377</v>
      </c>
      <c r="K6370">
        <v>1.110681</v>
      </c>
      <c r="L6370">
        <v>16.685489999999898</v>
      </c>
      <c r="M6370">
        <v>0.99987859999999995</v>
      </c>
      <c r="N6370">
        <v>0</v>
      </c>
      <c r="O6370">
        <v>1.082876E-2</v>
      </c>
      <c r="P6370">
        <v>0.99666929999999998</v>
      </c>
      <c r="Q6370">
        <v>4.08916E-2</v>
      </c>
      <c r="R6370">
        <v>7.0556740000000007E-2</v>
      </c>
      <c r="S6370">
        <v>2.9858699999999998</v>
      </c>
      <c r="T6370">
        <v>0.6140871</v>
      </c>
      <c r="U6370">
        <v>-1.977539E-2</v>
      </c>
      <c r="V6370">
        <v>-5.9827079999999998E-2</v>
      </c>
      <c r="W6370">
        <v>5.1983590000000003E-2</v>
      </c>
      <c r="X6370">
        <v>0.99685420000000002</v>
      </c>
      <c r="Y6370">
        <v>1.6871899999999999E-2</v>
      </c>
      <c r="Z6370">
        <v>3.9211150000000002E-3</v>
      </c>
      <c r="AA6370">
        <v>0.99985000000000002</v>
      </c>
      <c r="AB6370">
        <v>21</v>
      </c>
      <c r="AC6370">
        <v>2.9858699999999998</v>
      </c>
      <c r="AD6370">
        <v>0.6140871</v>
      </c>
      <c r="AE6370">
        <v>-1.977539E-2</v>
      </c>
      <c r="AF6370">
        <v>4.9994944227721501E-2</v>
      </c>
      <c r="AG6370">
        <v>0.6140871</v>
      </c>
      <c r="AH6370">
        <v>2.8643310581243702</v>
      </c>
      <c r="AI6370">
        <v>77.901258232881901</v>
      </c>
      <c r="AJ6370">
        <v>89.000042801158401</v>
      </c>
      <c r="AK6370">
        <v>2.9298455371180601</v>
      </c>
      <c r="AL6370">
        <v>87.020216423418503</v>
      </c>
      <c r="AM6370">
        <v>93.434536837732296</v>
      </c>
      <c r="AN6370">
        <v>0.99999993459412495</v>
      </c>
    </row>
    <row r="6371" spans="1:40" x14ac:dyDescent="0.25">
      <c r="A6371" t="str">
        <f>"20190312160459203"</f>
        <v>20190312160459203</v>
      </c>
      <c r="B6371" t="str">
        <f>"1552377899201016"</f>
        <v>1552377899201016</v>
      </c>
      <c r="C6371" t="s">
        <v>40</v>
      </c>
      <c r="D6371">
        <v>6.4465859999999999</v>
      </c>
      <c r="E6371">
        <v>0.5332228</v>
      </c>
      <c r="F6371" t="s">
        <v>45</v>
      </c>
      <c r="G6371">
        <v>0</v>
      </c>
      <c r="H6371">
        <v>0</v>
      </c>
      <c r="I6371">
        <v>0</v>
      </c>
      <c r="J6371">
        <v>-374.52879999999999</v>
      </c>
      <c r="K6371">
        <v>1.110673</v>
      </c>
      <c r="L6371">
        <v>16.687190000000001</v>
      </c>
      <c r="M6371">
        <v>0.99987320000000002</v>
      </c>
      <c r="N6371">
        <v>0</v>
      </c>
      <c r="O6371">
        <v>1.1310519999999999E-2</v>
      </c>
      <c r="P6371">
        <v>0.99658259999999999</v>
      </c>
      <c r="Q6371">
        <v>4.1506269999999998E-2</v>
      </c>
      <c r="R6371">
        <v>7.1417300000000003E-2</v>
      </c>
      <c r="S6371">
        <v>2.986847</v>
      </c>
      <c r="T6371">
        <v>0.60841080000000003</v>
      </c>
      <c r="U6371">
        <v>-2.5360110000000002E-2</v>
      </c>
      <c r="V6371">
        <v>-6.0208280000000003E-2</v>
      </c>
      <c r="W6371">
        <v>5.2595959999999997E-2</v>
      </c>
      <c r="X6371">
        <v>0.9967992</v>
      </c>
      <c r="Y6371">
        <v>1.9174569999999998E-2</v>
      </c>
      <c r="Z6371">
        <v>4.2136099999999996E-3</v>
      </c>
      <c r="AA6371">
        <v>0.99980729999999995</v>
      </c>
      <c r="AB6371">
        <v>21</v>
      </c>
      <c r="AC6371">
        <v>2.986847</v>
      </c>
      <c r="AD6371">
        <v>0.60841080000000003</v>
      </c>
      <c r="AE6371">
        <v>-2.5360110000000002E-2</v>
      </c>
      <c r="AF6371">
        <v>5.67873338170835E-2</v>
      </c>
      <c r="AG6371">
        <v>0.60841080000000003</v>
      </c>
      <c r="AH6371">
        <v>2.86740241976341</v>
      </c>
      <c r="AI6371">
        <v>78.022822693249196</v>
      </c>
      <c r="AJ6371">
        <v>88.865436796122296</v>
      </c>
      <c r="AK6371">
        <v>2.9317887269896801</v>
      </c>
      <c r="AL6371">
        <v>86.985082361934204</v>
      </c>
      <c r="AM6371">
        <v>93.456558026801005</v>
      </c>
      <c r="AN6371">
        <v>1.00000000855476</v>
      </c>
    </row>
    <row r="6372" spans="1:40" x14ac:dyDescent="0.25">
      <c r="A6372" t="str">
        <f>"20190312160459215"</f>
        <v>20190312160459215</v>
      </c>
      <c r="B6372" t="str">
        <f>"1552377899211752"</f>
        <v>1552377899211752</v>
      </c>
      <c r="C6372" t="s">
        <v>40</v>
      </c>
      <c r="D6372">
        <v>6.383553</v>
      </c>
      <c r="E6372">
        <v>0.53404949999999995</v>
      </c>
      <c r="F6372" t="s">
        <v>45</v>
      </c>
      <c r="G6372">
        <v>0</v>
      </c>
      <c r="H6372">
        <v>0</v>
      </c>
      <c r="I6372">
        <v>0</v>
      </c>
      <c r="J6372">
        <v>-374.42340000000002</v>
      </c>
      <c r="K6372">
        <v>1.110662</v>
      </c>
      <c r="L6372">
        <v>16.688929999999999</v>
      </c>
      <c r="M6372">
        <v>0.99986819999999998</v>
      </c>
      <c r="N6372">
        <v>0</v>
      </c>
      <c r="O6372">
        <v>1.1769140000000001E-2</v>
      </c>
      <c r="P6372">
        <v>0.99649149999999997</v>
      </c>
      <c r="Q6372">
        <v>4.2056719999999999E-2</v>
      </c>
      <c r="R6372">
        <v>7.2361419999999996E-2</v>
      </c>
      <c r="S6372">
        <v>2.9878849999999999</v>
      </c>
      <c r="T6372">
        <v>0.60628879999999996</v>
      </c>
      <c r="U6372">
        <v>-3.9428709999999999E-2</v>
      </c>
      <c r="V6372">
        <v>-6.0695119999999998E-2</v>
      </c>
      <c r="W6372">
        <v>5.3144980000000001E-2</v>
      </c>
      <c r="X6372">
        <v>0.99674050000000003</v>
      </c>
      <c r="Y6372">
        <v>2.4229440000000001E-2</v>
      </c>
      <c r="Z6372">
        <v>4.7974749999999998E-3</v>
      </c>
      <c r="AA6372">
        <v>0.99969490000000005</v>
      </c>
      <c r="AB6372">
        <v>21</v>
      </c>
      <c r="AC6372">
        <v>2.9878849999999999</v>
      </c>
      <c r="AD6372">
        <v>0.60628879999999996</v>
      </c>
      <c r="AE6372">
        <v>-3.9428709999999999E-2</v>
      </c>
      <c r="AF6372">
        <v>7.1643618054479205E-2</v>
      </c>
      <c r="AG6372">
        <v>0.60628879999999996</v>
      </c>
      <c r="AH6372">
        <v>2.8690999615893999</v>
      </c>
      <c r="AI6372">
        <v>78.071595680119003</v>
      </c>
      <c r="AJ6372">
        <v>88.569577869760806</v>
      </c>
      <c r="AK6372">
        <v>2.9333348780195001</v>
      </c>
      <c r="AL6372">
        <v>86.953581613506302</v>
      </c>
      <c r="AM6372">
        <v>93.484643629182202</v>
      </c>
      <c r="AN6372">
        <v>0.99999995541563103</v>
      </c>
    </row>
    <row r="6373" spans="1:40" x14ac:dyDescent="0.25">
      <c r="A6373" t="str">
        <f>"20190312160459227"</f>
        <v>20190312160459227</v>
      </c>
      <c r="B6373" t="str">
        <f>"1552377899221512"</f>
        <v>1552377899221512</v>
      </c>
      <c r="C6373" t="s">
        <v>40</v>
      </c>
      <c r="D6373">
        <v>6.3930860000000003</v>
      </c>
      <c r="E6373">
        <v>0.53473789999999999</v>
      </c>
      <c r="F6373" t="s">
        <v>53</v>
      </c>
      <c r="G6373">
        <v>-149.38990000000001</v>
      </c>
      <c r="H6373">
        <v>47.021680000000003</v>
      </c>
      <c r="I6373">
        <v>13.429819999999999</v>
      </c>
      <c r="J6373">
        <v>-374.31220000000002</v>
      </c>
      <c r="K6373">
        <v>1.1106529999999999</v>
      </c>
      <c r="L6373">
        <v>16.690770000000001</v>
      </c>
      <c r="M6373">
        <v>0.99986220000000003</v>
      </c>
      <c r="N6373">
        <v>0</v>
      </c>
      <c r="O6373">
        <v>1.225148E-2</v>
      </c>
      <c r="P6373">
        <v>0.99642339999999996</v>
      </c>
      <c r="Q6373">
        <v>4.2097389999999998E-2</v>
      </c>
      <c r="R6373">
        <v>7.3267269999999995E-2</v>
      </c>
      <c r="S6373">
        <v>2.987946</v>
      </c>
      <c r="T6373">
        <v>0.60959600000000003</v>
      </c>
      <c r="U6373">
        <v>-4.3273930000000002E-2</v>
      </c>
      <c r="V6373">
        <v>-6.1119890000000003E-2</v>
      </c>
      <c r="W6373">
        <v>5.318498E-2</v>
      </c>
      <c r="X6373">
        <v>0.99671240000000005</v>
      </c>
      <c r="Y6373">
        <v>2.5944490000000001E-2</v>
      </c>
      <c r="Z6373">
        <v>5.0935449999999997E-3</v>
      </c>
      <c r="AA6373">
        <v>0.99965040000000005</v>
      </c>
      <c r="AB6373">
        <v>21</v>
      </c>
      <c r="AC6373">
        <v>224.92230000000001</v>
      </c>
      <c r="AD6373">
        <v>45.911026999999997</v>
      </c>
      <c r="AE6373">
        <v>-3.2609499999999998</v>
      </c>
      <c r="AF6373">
        <v>5.77590789742281</v>
      </c>
      <c r="AG6373">
        <v>45.911026999999997</v>
      </c>
      <c r="AH6373">
        <v>215.87305219469101</v>
      </c>
      <c r="AI6373">
        <v>77.997620957646404</v>
      </c>
      <c r="AJ6373">
        <v>88.467357526358796</v>
      </c>
      <c r="AK6373">
        <v>220.77671565653401</v>
      </c>
      <c r="AL6373">
        <v>86.951286506691304</v>
      </c>
      <c r="AM6373">
        <v>93.509068589791099</v>
      </c>
      <c r="AN6373">
        <v>0.99999994568248396</v>
      </c>
    </row>
    <row r="6374" spans="1:40" x14ac:dyDescent="0.25">
      <c r="A6374" t="str">
        <f>"20190312160459239"</f>
        <v>20190312160459239</v>
      </c>
      <c r="B6374" t="str">
        <f>"1552377899231272"</f>
        <v>1552377899231272</v>
      </c>
      <c r="C6374" t="s">
        <v>40</v>
      </c>
      <c r="D6374">
        <v>5.7123100000000004</v>
      </c>
      <c r="E6374">
        <v>0.53387830000000003</v>
      </c>
      <c r="F6374" t="s">
        <v>53</v>
      </c>
      <c r="G6374">
        <v>-154.65979999999999</v>
      </c>
      <c r="H6374">
        <v>46.160960000000003</v>
      </c>
      <c r="I6374">
        <v>13.334899999999999</v>
      </c>
      <c r="J6374">
        <v>-374.19959999999998</v>
      </c>
      <c r="K6374">
        <v>1.1106419999999999</v>
      </c>
      <c r="L6374">
        <v>16.692720000000001</v>
      </c>
      <c r="M6374">
        <v>0.99985639999999998</v>
      </c>
      <c r="N6374">
        <v>0</v>
      </c>
      <c r="O6374">
        <v>1.2728150000000001E-2</v>
      </c>
      <c r="P6374">
        <v>0.99638499999999997</v>
      </c>
      <c r="Q6374">
        <v>4.2335730000000002E-2</v>
      </c>
      <c r="R6374">
        <v>7.3652490000000001E-2</v>
      </c>
      <c r="S6374">
        <v>2.9882200000000001</v>
      </c>
      <c r="T6374">
        <v>0.61287829999999999</v>
      </c>
      <c r="U6374">
        <v>-4.5654300000000002E-2</v>
      </c>
      <c r="V6374">
        <v>-6.102929E-2</v>
      </c>
      <c r="W6374">
        <v>5.3423070000000003E-2</v>
      </c>
      <c r="X6374">
        <v>0.99670530000000002</v>
      </c>
      <c r="Y6374">
        <v>2.7172109999999999E-2</v>
      </c>
      <c r="Z6374">
        <v>5.3412700000000004E-3</v>
      </c>
      <c r="AA6374">
        <v>0.99961650000000002</v>
      </c>
      <c r="AB6374">
        <v>21</v>
      </c>
      <c r="AC6374">
        <v>219.53980000000001</v>
      </c>
      <c r="AD6374">
        <v>45.050317999999997</v>
      </c>
      <c r="AE6374">
        <v>-3.3578199999999998</v>
      </c>
      <c r="AF6374">
        <v>5.9035281275981903</v>
      </c>
      <c r="AG6374">
        <v>45.050317999999997</v>
      </c>
      <c r="AH6374">
        <v>210.61277029356501</v>
      </c>
      <c r="AI6374">
        <v>77.930911364009404</v>
      </c>
      <c r="AJ6374">
        <v>88.394405520385007</v>
      </c>
      <c r="AK6374">
        <v>215.45793512188001</v>
      </c>
      <c r="AL6374">
        <v>86.937625781165806</v>
      </c>
      <c r="AM6374">
        <v>93.503904849608503</v>
      </c>
      <c r="AN6374">
        <v>1.0000000268471001</v>
      </c>
    </row>
    <row r="6375" spans="1:40" x14ac:dyDescent="0.25">
      <c r="A6375" t="str">
        <f>"20190312160459249"</f>
        <v>20190312160459249</v>
      </c>
      <c r="B6375" t="str">
        <f>"1552377899241031"</f>
        <v>1552377899241031</v>
      </c>
      <c r="C6375" t="s">
        <v>40</v>
      </c>
      <c r="D6375">
        <v>6.4842629999999897</v>
      </c>
      <c r="E6375">
        <v>0.53459350000000005</v>
      </c>
      <c r="F6375" t="s">
        <v>45</v>
      </c>
      <c r="G6375">
        <v>0</v>
      </c>
      <c r="H6375">
        <v>0</v>
      </c>
      <c r="I6375">
        <v>0</v>
      </c>
      <c r="J6375">
        <v>-374.0942</v>
      </c>
      <c r="K6375">
        <v>1.110644</v>
      </c>
      <c r="L6375">
        <v>16.69455</v>
      </c>
      <c r="M6375">
        <v>0.99985060000000003</v>
      </c>
      <c r="N6375">
        <v>0</v>
      </c>
      <c r="O6375">
        <v>1.3171749999999999E-2</v>
      </c>
      <c r="P6375">
        <v>0.99634250000000002</v>
      </c>
      <c r="Q6375">
        <v>4.316358E-2</v>
      </c>
      <c r="R6375">
        <v>7.3746329999999999E-2</v>
      </c>
      <c r="S6375">
        <v>2.9878849999999999</v>
      </c>
      <c r="T6375">
        <v>0.60627140000000002</v>
      </c>
      <c r="U6375">
        <v>-3.7689210000000001E-2</v>
      </c>
      <c r="V6375">
        <v>-6.0681529999999997E-2</v>
      </c>
      <c r="W6375">
        <v>5.4251090000000002E-2</v>
      </c>
      <c r="X6375">
        <v>0.99668179999999995</v>
      </c>
      <c r="Y6375">
        <v>2.5005530000000002E-2</v>
      </c>
      <c r="Z6375">
        <v>5.1570309999999899E-3</v>
      </c>
      <c r="AA6375">
        <v>0.99967399999999995</v>
      </c>
      <c r="AB6375">
        <v>21</v>
      </c>
      <c r="AC6375">
        <v>2.9878849999999999</v>
      </c>
      <c r="AD6375">
        <v>0.60627140000000002</v>
      </c>
      <c r="AE6375">
        <v>-3.7689210000000001E-2</v>
      </c>
      <c r="AF6375">
        <v>7.3997892084806602E-2</v>
      </c>
      <c r="AG6375">
        <v>0.60627140000000002</v>
      </c>
      <c r="AH6375">
        <v>2.8690234510374202</v>
      </c>
      <c r="AI6375">
        <v>78.071860586401698</v>
      </c>
      <c r="AJ6375">
        <v>88.522554025942497</v>
      </c>
      <c r="AK6375">
        <v>2.9333148929314801</v>
      </c>
      <c r="AL6375">
        <v>86.890114803735301</v>
      </c>
      <c r="AM6375">
        <v>93.484069996906101</v>
      </c>
      <c r="AN6375">
        <v>1.0000000196502801</v>
      </c>
    </row>
    <row r="6376" spans="1:40" x14ac:dyDescent="0.25">
      <c r="A6376" t="str">
        <f>"20190312160459260"</f>
        <v>20190312160459260</v>
      </c>
      <c r="B6376" t="str">
        <f>"1552377899251768"</f>
        <v>1552377899251768</v>
      </c>
      <c r="C6376" t="s">
        <v>40</v>
      </c>
      <c r="D6376">
        <v>6.4992839999999896</v>
      </c>
      <c r="E6376">
        <v>0.53500419999999904</v>
      </c>
      <c r="F6376" t="s">
        <v>53</v>
      </c>
      <c r="G6376">
        <v>-146.601</v>
      </c>
      <c r="H6376">
        <v>47.545949999999998</v>
      </c>
      <c r="I6376">
        <v>13.429819999999999</v>
      </c>
      <c r="J6376">
        <v>-373.98779999999999</v>
      </c>
      <c r="K6376">
        <v>1.110643</v>
      </c>
      <c r="L6376">
        <v>16.696439999999999</v>
      </c>
      <c r="M6376">
        <v>0.99984470000000003</v>
      </c>
      <c r="N6376">
        <v>0</v>
      </c>
      <c r="O6376">
        <v>1.36122E-2</v>
      </c>
      <c r="P6376">
        <v>0.99629120000000004</v>
      </c>
      <c r="Q6376">
        <v>4.413533E-2</v>
      </c>
      <c r="R6376">
        <v>7.3865589999999995E-2</v>
      </c>
      <c r="S6376">
        <v>2.987762</v>
      </c>
      <c r="T6376">
        <v>0.60985400000000001</v>
      </c>
      <c r="U6376">
        <v>-4.2877199999999997E-2</v>
      </c>
      <c r="V6376">
        <v>-6.0362249999999999E-2</v>
      </c>
      <c r="W6376">
        <v>5.5223319999999999E-2</v>
      </c>
      <c r="X6376">
        <v>0.99664779999999997</v>
      </c>
      <c r="Y6376">
        <v>2.7120040000000002E-2</v>
      </c>
      <c r="Z6376">
        <v>5.4896229999999999E-3</v>
      </c>
      <c r="AA6376">
        <v>0.99961710000000004</v>
      </c>
      <c r="AB6376">
        <v>21</v>
      </c>
      <c r="AC6376">
        <v>227.38679999999999</v>
      </c>
      <c r="AD6376">
        <v>46.435307000000002</v>
      </c>
      <c r="AE6376">
        <v>-3.2666199999999899</v>
      </c>
      <c r="AF6376">
        <v>6.1071140679708398</v>
      </c>
      <c r="AG6376">
        <v>46.435307000000002</v>
      </c>
      <c r="AH6376">
        <v>218.22262509044299</v>
      </c>
      <c r="AI6376">
        <v>77.991840355302301</v>
      </c>
      <c r="AJ6376">
        <v>88.396955615532903</v>
      </c>
      <c r="AK6376">
        <v>223.19195478284499</v>
      </c>
      <c r="AL6376">
        <v>86.834326511362093</v>
      </c>
      <c r="AM6376">
        <v>93.465901071805206</v>
      </c>
      <c r="AN6376">
        <v>1.00000002677086</v>
      </c>
    </row>
    <row r="6377" spans="1:40" x14ac:dyDescent="0.25">
      <c r="A6377" t="str">
        <f>"20190312160459272"</f>
        <v>20190312160459272</v>
      </c>
      <c r="B6377" t="str">
        <f>"1552377899261528"</f>
        <v>1552377899261528</v>
      </c>
      <c r="C6377" t="s">
        <v>40</v>
      </c>
      <c r="D6377">
        <v>6.234578</v>
      </c>
      <c r="E6377">
        <v>0.53388599999999997</v>
      </c>
      <c r="F6377" t="s">
        <v>53</v>
      </c>
      <c r="G6377">
        <v>-154.30269999999999</v>
      </c>
      <c r="H6377">
        <v>46.160969999999999</v>
      </c>
      <c r="I6377">
        <v>13.33919</v>
      </c>
      <c r="J6377">
        <v>-373.88229999999999</v>
      </c>
      <c r="K6377">
        <v>1.110644</v>
      </c>
      <c r="L6377">
        <v>16.698360000000001</v>
      </c>
      <c r="M6377">
        <v>0.99983880000000003</v>
      </c>
      <c r="N6377">
        <v>0</v>
      </c>
      <c r="O6377">
        <v>1.4044539999999999E-2</v>
      </c>
      <c r="P6377">
        <v>0.99625269999999999</v>
      </c>
      <c r="Q6377">
        <v>4.5012429999999999E-2</v>
      </c>
      <c r="R6377">
        <v>7.3855589999999999E-2</v>
      </c>
      <c r="S6377">
        <v>2.9874269999999998</v>
      </c>
      <c r="T6377">
        <v>0.61262439999999996</v>
      </c>
      <c r="U6377">
        <v>-4.5654300000000002E-2</v>
      </c>
      <c r="V6377">
        <v>-5.9922089999999997E-2</v>
      </c>
      <c r="W6377">
        <v>5.610076E-2</v>
      </c>
      <c r="X6377">
        <v>0.99662530000000005</v>
      </c>
      <c r="Y6377">
        <v>2.8438720000000001E-2</v>
      </c>
      <c r="Z6377">
        <v>5.7361829999999997E-3</v>
      </c>
      <c r="AA6377">
        <v>0.99957910000000005</v>
      </c>
      <c r="AB6377">
        <v>21</v>
      </c>
      <c r="AC6377">
        <v>219.5796</v>
      </c>
      <c r="AD6377">
        <v>45.050325999999998</v>
      </c>
      <c r="AE6377">
        <v>-3.3591700000000002</v>
      </c>
      <c r="AF6377">
        <v>6.18273585906352</v>
      </c>
      <c r="AG6377">
        <v>45.050325999999998</v>
      </c>
      <c r="AH6377">
        <v>210.64606785251499</v>
      </c>
      <c r="AI6377">
        <v>77.933204757324106</v>
      </c>
      <c r="AJ6377">
        <v>88.318777086082207</v>
      </c>
      <c r="AK6377">
        <v>215.498315532014</v>
      </c>
      <c r="AL6377">
        <v>86.783974658867507</v>
      </c>
      <c r="AM6377">
        <v>93.440766237903702</v>
      </c>
      <c r="AN6377">
        <v>0.99999997037131705</v>
      </c>
    </row>
    <row r="6378" spans="1:40" x14ac:dyDescent="0.25">
      <c r="A6378" t="str">
        <f>"20190312160459283"</f>
        <v>20190312160459283</v>
      </c>
      <c r="B6378" t="str">
        <f>"1552377899281048"</f>
        <v>1552377899281048</v>
      </c>
      <c r="C6378" t="s">
        <v>40</v>
      </c>
      <c r="D6378">
        <v>6.5164589999999896</v>
      </c>
      <c r="E6378">
        <v>0.47853040000000002</v>
      </c>
      <c r="F6378" t="s">
        <v>45</v>
      </c>
      <c r="G6378">
        <v>0</v>
      </c>
      <c r="H6378">
        <v>0</v>
      </c>
      <c r="I6378">
        <v>0</v>
      </c>
      <c r="J6378">
        <v>-373.7645</v>
      </c>
      <c r="K6378">
        <v>1.1106450000000001</v>
      </c>
      <c r="L6378">
        <v>16.700559999999999</v>
      </c>
      <c r="M6378">
        <v>0.99983200000000005</v>
      </c>
      <c r="N6378">
        <v>0</v>
      </c>
      <c r="O6378">
        <v>1.4521650000000001E-2</v>
      </c>
      <c r="P6378">
        <v>0.99620220000000004</v>
      </c>
      <c r="Q6378">
        <v>4.5849229999999998E-2</v>
      </c>
      <c r="R6378">
        <v>7.4022000000000004E-2</v>
      </c>
      <c r="S6378">
        <v>2.9861149999999999</v>
      </c>
      <c r="T6378">
        <v>0.61725889999999894</v>
      </c>
      <c r="U6378">
        <v>-3.6529539999999999E-2</v>
      </c>
      <c r="V6378">
        <v>-5.9613680000000002E-2</v>
      </c>
      <c r="W6378">
        <v>5.6938179999999998E-2</v>
      </c>
      <c r="X6378">
        <v>0.99659629999999999</v>
      </c>
      <c r="Y6378">
        <v>2.5897980000000001E-2</v>
      </c>
      <c r="Z6378">
        <v>5.6190210000000001E-3</v>
      </c>
      <c r="AA6378">
        <v>0.9996488</v>
      </c>
      <c r="AB6378">
        <v>21</v>
      </c>
      <c r="AC6378">
        <v>2.9861149999999999</v>
      </c>
      <c r="AD6378">
        <v>0.61725889999999894</v>
      </c>
      <c r="AE6378">
        <v>-3.6529539999999999E-2</v>
      </c>
      <c r="AF6378">
        <v>7.6618387842962696E-2</v>
      </c>
      <c r="AG6378">
        <v>0.61725889999999894</v>
      </c>
      <c r="AH6378">
        <v>2.86295690681531</v>
      </c>
      <c r="AI6378">
        <v>77.837387169659095</v>
      </c>
      <c r="AJ6378">
        <v>88.467017553337897</v>
      </c>
      <c r="AK6378">
        <v>2.9297442170377801</v>
      </c>
      <c r="AL6378">
        <v>86.735917190665504</v>
      </c>
      <c r="AM6378">
        <v>93.423198721641995</v>
      </c>
      <c r="AN6378">
        <v>0.999999966179271</v>
      </c>
    </row>
    <row r="6379" spans="1:40" x14ac:dyDescent="0.25">
      <c r="A6379" t="str">
        <f>"20190312160459306"</f>
        <v>20190312160459306</v>
      </c>
      <c r="B6379" t="str">
        <f>"1552377899301544"</f>
        <v>1552377899301544</v>
      </c>
      <c r="C6379" t="s">
        <v>40</v>
      </c>
      <c r="D6379">
        <v>6.2500210000000003</v>
      </c>
      <c r="E6379">
        <v>0.45902389999999998</v>
      </c>
      <c r="F6379" t="s">
        <v>62</v>
      </c>
      <c r="G6379">
        <v>-215.1293</v>
      </c>
      <c r="H6379">
        <v>33.220089999999999</v>
      </c>
      <c r="I6379">
        <v>38.394599999999997</v>
      </c>
      <c r="J6379">
        <v>-373.55720000000002</v>
      </c>
      <c r="K6379">
        <v>1.110641</v>
      </c>
      <c r="L6379">
        <v>16.704560000000001</v>
      </c>
      <c r="M6379">
        <v>0.99981960000000003</v>
      </c>
      <c r="N6379">
        <v>0</v>
      </c>
      <c r="O6379">
        <v>1.534811E-2</v>
      </c>
      <c r="P6379">
        <v>0.99617279999999997</v>
      </c>
      <c r="Q6379">
        <v>4.539903E-2</v>
      </c>
      <c r="R6379">
        <v>7.4689889999999995E-2</v>
      </c>
      <c r="S6379">
        <v>2.9539179999999998</v>
      </c>
      <c r="T6379">
        <v>0.59790480000000001</v>
      </c>
      <c r="U6379">
        <v>0.40396120000000002</v>
      </c>
      <c r="V6379">
        <v>-5.9455050000000002E-2</v>
      </c>
      <c r="W6379">
        <v>5.6488770000000001E-2</v>
      </c>
      <c r="X6379">
        <v>0.99663139999999995</v>
      </c>
      <c r="Y6379">
        <v>-0.11822249999999999</v>
      </c>
      <c r="Z6379">
        <v>-8.7304800000000005E-3</v>
      </c>
      <c r="AA6379">
        <v>0.99294879999999996</v>
      </c>
      <c r="AB6379">
        <v>21</v>
      </c>
      <c r="AC6379">
        <v>158.42789999999999</v>
      </c>
      <c r="AD6379">
        <v>32.109448999999998</v>
      </c>
      <c r="AE6379">
        <v>21.69004</v>
      </c>
      <c r="AF6379">
        <v>-18.509434360424802</v>
      </c>
      <c r="AG6379">
        <v>32.109448999999998</v>
      </c>
      <c r="AH6379">
        <v>152.589510370532</v>
      </c>
      <c r="AI6379">
        <v>78.200653990806799</v>
      </c>
      <c r="AJ6379">
        <v>96.916310157447001</v>
      </c>
      <c r="AK6379">
        <v>157.026031442386</v>
      </c>
      <c r="AL6379">
        <v>86.761708159260905</v>
      </c>
      <c r="AM6379">
        <v>93.413991324281994</v>
      </c>
      <c r="AN6379">
        <v>1.0000000157862801</v>
      </c>
    </row>
    <row r="6380" spans="1:40" x14ac:dyDescent="0.25">
      <c r="A6380" t="str">
        <f>"20190312160459319"</f>
        <v>20190312160459319</v>
      </c>
      <c r="B6380" t="str">
        <f>"1552377899311304"</f>
        <v>1552377899311304</v>
      </c>
      <c r="C6380" t="s">
        <v>40</v>
      </c>
      <c r="D6380">
        <v>6.3538690000000004</v>
      </c>
      <c r="E6380">
        <v>0.4551036</v>
      </c>
      <c r="F6380" t="s">
        <v>62</v>
      </c>
      <c r="G6380">
        <v>-254.22980000000001</v>
      </c>
      <c r="H6380">
        <v>24.975110000000001</v>
      </c>
      <c r="I6380">
        <v>39.481250000000003</v>
      </c>
      <c r="J6380">
        <v>-373.42910000000001</v>
      </c>
      <c r="K6380">
        <v>1.1106389999999999</v>
      </c>
      <c r="L6380">
        <v>16.707090000000001</v>
      </c>
      <c r="M6380">
        <v>0.99981180000000003</v>
      </c>
      <c r="N6380">
        <v>0</v>
      </c>
      <c r="O6380">
        <v>1.584998E-2</v>
      </c>
      <c r="P6380">
        <v>0.99622279999999996</v>
      </c>
      <c r="Q6380">
        <v>4.4170029999999999E-2</v>
      </c>
      <c r="R6380">
        <v>7.4763309999999999E-2</v>
      </c>
      <c r="S6380">
        <v>2.9426269999999999</v>
      </c>
      <c r="T6380">
        <v>0.58850100000000005</v>
      </c>
      <c r="U6380">
        <v>0.56167599999999995</v>
      </c>
      <c r="V6380">
        <v>-5.9025699999999903E-2</v>
      </c>
      <c r="W6380">
        <v>5.5261409999999997E-2</v>
      </c>
      <c r="X6380">
        <v>0.99672570000000005</v>
      </c>
      <c r="Y6380">
        <v>-0.16897300000000001</v>
      </c>
      <c r="Z6380">
        <v>-1.347508E-2</v>
      </c>
      <c r="AA6380">
        <v>0.98552859999999998</v>
      </c>
      <c r="AB6380">
        <v>21</v>
      </c>
      <c r="AC6380">
        <v>119.19929999999999</v>
      </c>
      <c r="AD6380">
        <v>23.864470999999899</v>
      </c>
      <c r="AE6380">
        <v>22.774159999999998</v>
      </c>
      <c r="AF6380">
        <v>-20.104416258507101</v>
      </c>
      <c r="AG6380">
        <v>23.864470999999899</v>
      </c>
      <c r="AH6380">
        <v>115.094498301979</v>
      </c>
      <c r="AI6380">
        <v>78.455895923813699</v>
      </c>
      <c r="AJ6380">
        <v>99.908314272500604</v>
      </c>
      <c r="AK6380">
        <v>119.249503431207</v>
      </c>
      <c r="AL6380">
        <v>86.832140657314795</v>
      </c>
      <c r="AM6380">
        <v>93.389075214712705</v>
      </c>
      <c r="AN6380">
        <v>0.99999998886808406</v>
      </c>
    </row>
    <row r="6381" spans="1:40" x14ac:dyDescent="0.25">
      <c r="A6381" t="str">
        <f>"20190312160459332"</f>
        <v>20190312160459332</v>
      </c>
      <c r="B6381" t="str">
        <f>"1552377899321063"</f>
        <v>1552377899321063</v>
      </c>
      <c r="C6381" t="s">
        <v>40</v>
      </c>
      <c r="D6381">
        <v>6.246937</v>
      </c>
      <c r="E6381">
        <v>0.4524088</v>
      </c>
      <c r="F6381" t="s">
        <v>113</v>
      </c>
      <c r="G6381">
        <v>-273.88060000000002</v>
      </c>
      <c r="H6381">
        <v>20.392769999999999</v>
      </c>
      <c r="I6381">
        <v>36.75806</v>
      </c>
      <c r="J6381">
        <v>-373.30939999999998</v>
      </c>
      <c r="K6381">
        <v>1.110638</v>
      </c>
      <c r="L6381">
        <v>16.709499999999998</v>
      </c>
      <c r="M6381">
        <v>0.99980429999999998</v>
      </c>
      <c r="N6381">
        <v>0</v>
      </c>
      <c r="O6381">
        <v>1.6315840000000002E-2</v>
      </c>
      <c r="P6381">
        <v>0.99620850000000005</v>
      </c>
      <c r="Q6381">
        <v>4.3447140000000002E-2</v>
      </c>
      <c r="R6381">
        <v>7.5372399999999895E-2</v>
      </c>
      <c r="S6381">
        <v>2.9416199999999999</v>
      </c>
      <c r="T6381">
        <v>0.56977999999999995</v>
      </c>
      <c r="U6381">
        <v>0.59249879999999999</v>
      </c>
      <c r="V6381">
        <v>-5.9168739999999997E-2</v>
      </c>
      <c r="W6381">
        <v>5.4538660000000003E-2</v>
      </c>
      <c r="X6381">
        <v>0.996757</v>
      </c>
      <c r="Y6381">
        <v>-0.17853569999999999</v>
      </c>
      <c r="Z6381">
        <v>-1.3866079999999999E-2</v>
      </c>
      <c r="AA6381">
        <v>0.98383580000000004</v>
      </c>
      <c r="AB6381">
        <v>21</v>
      </c>
      <c r="AC6381">
        <v>99.428799999999896</v>
      </c>
      <c r="AD6381">
        <v>19.282132000000001</v>
      </c>
      <c r="AE6381">
        <v>20.048559999999998</v>
      </c>
      <c r="AF6381">
        <v>-17.780937223767602</v>
      </c>
      <c r="AG6381">
        <v>19.282132000000001</v>
      </c>
      <c r="AH6381">
        <v>96.263801532519693</v>
      </c>
      <c r="AI6381">
        <v>78.856920463161501</v>
      </c>
      <c r="AJ6381">
        <v>100.46518042387601</v>
      </c>
      <c r="AK6381">
        <v>99.773151842133004</v>
      </c>
      <c r="AL6381">
        <v>86.873613643926504</v>
      </c>
      <c r="AM6381">
        <v>93.397162490649393</v>
      </c>
      <c r="AN6381">
        <v>0.99999996113838996</v>
      </c>
    </row>
    <row r="6382" spans="1:40" x14ac:dyDescent="0.25">
      <c r="A6382" t="str">
        <f>"20190312160459350"</f>
        <v>20190312160459350</v>
      </c>
      <c r="B6382" t="str">
        <f>"1552377899341560"</f>
        <v>1552377899341560</v>
      </c>
      <c r="C6382" t="s">
        <v>40</v>
      </c>
      <c r="D6382">
        <v>8.0600050000000003</v>
      </c>
      <c r="E6382">
        <v>0.44890239999999998</v>
      </c>
      <c r="F6382" t="s">
        <v>113</v>
      </c>
      <c r="G6382">
        <v>-277.45479999999998</v>
      </c>
      <c r="H6382">
        <v>19.265280000000001</v>
      </c>
      <c r="I6382">
        <v>36.758429999999997</v>
      </c>
      <c r="J6382">
        <v>-373.12900000000002</v>
      </c>
      <c r="K6382">
        <v>1.1106370000000001</v>
      </c>
      <c r="L6382">
        <v>16.713259999999998</v>
      </c>
      <c r="M6382">
        <v>0.99979280000000004</v>
      </c>
      <c r="N6382">
        <v>0</v>
      </c>
      <c r="O6382">
        <v>1.7010689999999998E-2</v>
      </c>
      <c r="P6382">
        <v>0.99625839999999999</v>
      </c>
      <c r="Q6382">
        <v>4.394559E-2</v>
      </c>
      <c r="R6382">
        <v>7.4417140000000007E-2</v>
      </c>
      <c r="S6382">
        <v>2.940582</v>
      </c>
      <c r="T6382">
        <v>0.55693939999999997</v>
      </c>
      <c r="U6382">
        <v>0.61505129999999997</v>
      </c>
      <c r="V6382">
        <v>-5.7519710000000002E-2</v>
      </c>
      <c r="W6382">
        <v>5.5039539999999998E-2</v>
      </c>
      <c r="X6382">
        <v>0.99682610000000005</v>
      </c>
      <c r="Y6382">
        <v>-0.1851854</v>
      </c>
      <c r="Z6382">
        <v>-1.4042219999999999E-2</v>
      </c>
      <c r="AA6382">
        <v>0.98260329999999996</v>
      </c>
      <c r="AB6382">
        <v>22</v>
      </c>
      <c r="AC6382">
        <v>95.674199999999999</v>
      </c>
      <c r="AD6382">
        <v>18.154643</v>
      </c>
      <c r="AE6382">
        <v>20.045169999999899</v>
      </c>
      <c r="AF6382">
        <v>-17.800688005007299</v>
      </c>
      <c r="AG6382">
        <v>18.154643</v>
      </c>
      <c r="AH6382">
        <v>92.800413377001405</v>
      </c>
      <c r="AI6382">
        <v>79.1243782304348</v>
      </c>
      <c r="AJ6382">
        <v>100.85840735883799</v>
      </c>
      <c r="AK6382">
        <v>96.220435869161406</v>
      </c>
      <c r="AL6382">
        <v>86.844872507708899</v>
      </c>
      <c r="AM6382">
        <v>93.302467876216696</v>
      </c>
      <c r="AN6382">
        <v>1.00000007082155</v>
      </c>
    </row>
    <row r="6383" spans="1:40" x14ac:dyDescent="0.25">
      <c r="A6383" t="str">
        <f>"20190312160459361"</f>
        <v>20190312160459361</v>
      </c>
      <c r="B6383" t="str">
        <f>"1552377899351320"</f>
        <v>1552377899351320</v>
      </c>
      <c r="C6383" t="s">
        <v>40</v>
      </c>
      <c r="D6383">
        <v>6.2335010000000004</v>
      </c>
      <c r="E6383">
        <v>0.44794820000000002</v>
      </c>
      <c r="F6383" t="s">
        <v>113</v>
      </c>
      <c r="G6383">
        <v>-280.3442</v>
      </c>
      <c r="H6383">
        <v>18.638439999999999</v>
      </c>
      <c r="I6383">
        <v>36.904760000000003</v>
      </c>
      <c r="J6383">
        <v>-373.02289999999999</v>
      </c>
      <c r="K6383">
        <v>1.11063</v>
      </c>
      <c r="L6383">
        <v>16.71555</v>
      </c>
      <c r="M6383">
        <v>0.99978579999999995</v>
      </c>
      <c r="N6383">
        <v>0</v>
      </c>
      <c r="O6383">
        <v>1.7415420000000001E-2</v>
      </c>
      <c r="P6383">
        <v>0.99622540000000004</v>
      </c>
      <c r="Q6383">
        <v>4.4692709999999997E-2</v>
      </c>
      <c r="R6383">
        <v>7.4417780000000003E-2</v>
      </c>
      <c r="S6383">
        <v>2.9390559999999999</v>
      </c>
      <c r="T6383">
        <v>0.55521209999999999</v>
      </c>
      <c r="U6383">
        <v>0.63958740000000003</v>
      </c>
      <c r="V6383">
        <v>-5.7117590000000003E-2</v>
      </c>
      <c r="W6383">
        <v>5.5787030000000001E-2</v>
      </c>
      <c r="X6383">
        <v>0.99680760000000002</v>
      </c>
      <c r="Y6383">
        <v>-0.1926322</v>
      </c>
      <c r="Z6383">
        <v>-1.4609189999999999E-2</v>
      </c>
      <c r="AA6383">
        <v>0.98116230000000004</v>
      </c>
      <c r="AB6383">
        <v>22</v>
      </c>
      <c r="AC6383">
        <v>92.678700000000006</v>
      </c>
      <c r="AD6383">
        <v>17.527809999999999</v>
      </c>
      <c r="AE6383">
        <v>20.189209999999999</v>
      </c>
      <c r="AF6383">
        <v>-17.958759715748801</v>
      </c>
      <c r="AG6383">
        <v>17.527809999999999</v>
      </c>
      <c r="AH6383">
        <v>89.944866602613402</v>
      </c>
      <c r="AI6383">
        <v>79.181168327684802</v>
      </c>
      <c r="AJ6383">
        <v>101.291425155665</v>
      </c>
      <c r="AK6383">
        <v>93.379977522411195</v>
      </c>
      <c r="AL6383">
        <v>86.8019783595783</v>
      </c>
      <c r="AM6383">
        <v>93.279491638838294</v>
      </c>
      <c r="AN6383">
        <v>1.00000000161069</v>
      </c>
    </row>
    <row r="6384" spans="1:40" x14ac:dyDescent="0.25">
      <c r="A6384" t="str">
        <f>"20190312160459374"</f>
        <v>20190312160459374</v>
      </c>
      <c r="B6384" t="str">
        <f>"1552377899371815"</f>
        <v>1552377899371815</v>
      </c>
      <c r="C6384" t="s">
        <v>40</v>
      </c>
      <c r="D6384">
        <v>6.2278060000000002</v>
      </c>
      <c r="E6384">
        <v>0.4464533</v>
      </c>
      <c r="F6384" t="s">
        <v>113</v>
      </c>
      <c r="G6384">
        <v>-280.3442</v>
      </c>
      <c r="H6384">
        <v>18.50159</v>
      </c>
      <c r="I6384">
        <v>37.118070000000003</v>
      </c>
      <c r="J6384">
        <v>-372.90530000000001</v>
      </c>
      <c r="K6384">
        <v>1.110625</v>
      </c>
      <c r="L6384">
        <v>16.71808</v>
      </c>
      <c r="M6384">
        <v>0.99977800000000006</v>
      </c>
      <c r="N6384">
        <v>0</v>
      </c>
      <c r="O6384">
        <v>1.786103E-2</v>
      </c>
      <c r="P6384">
        <v>0.99626130000000002</v>
      </c>
      <c r="Q6384">
        <v>4.4726790000000002E-2</v>
      </c>
      <c r="R6384">
        <v>7.3912690000000003E-2</v>
      </c>
      <c r="S6384">
        <v>2.9383240000000002</v>
      </c>
      <c r="T6384">
        <v>0.55137060000000004</v>
      </c>
      <c r="U6384">
        <v>0.64685059999999905</v>
      </c>
      <c r="V6384">
        <v>-5.6166819999999999E-2</v>
      </c>
      <c r="W6384">
        <v>5.5822730000000001E-2</v>
      </c>
      <c r="X6384">
        <v>0.99685959999999996</v>
      </c>
      <c r="Y6384">
        <v>-0.194576</v>
      </c>
      <c r="Z6384">
        <v>-1.460644E-2</v>
      </c>
      <c r="AA6384">
        <v>0.9807787</v>
      </c>
      <c r="AB6384">
        <v>22</v>
      </c>
      <c r="AC6384">
        <v>92.561099999999996</v>
      </c>
      <c r="AD6384">
        <v>17.390964999999898</v>
      </c>
      <c r="AE6384">
        <v>20.399989999999999</v>
      </c>
      <c r="AF6384">
        <v>-18.132932492987798</v>
      </c>
      <c r="AG6384">
        <v>17.390964999999898</v>
      </c>
      <c r="AH6384">
        <v>89.884664669539106</v>
      </c>
      <c r="AI6384">
        <v>79.260832706826506</v>
      </c>
      <c r="AJ6384">
        <v>101.40551571066599</v>
      </c>
      <c r="AK6384">
        <v>93.330069362354905</v>
      </c>
      <c r="AL6384">
        <v>86.7999296241276</v>
      </c>
      <c r="AM6384">
        <v>93.224850088447894</v>
      </c>
      <c r="AN6384">
        <v>0.99999997548286201</v>
      </c>
    </row>
    <row r="6385" spans="1:40" x14ac:dyDescent="0.25">
      <c r="A6385" t="str">
        <f>"20190312160459385"</f>
        <v>20190312160459385</v>
      </c>
      <c r="B6385" t="str">
        <f>"1552377899381575"</f>
        <v>1552377899381575</v>
      </c>
      <c r="C6385" t="s">
        <v>40</v>
      </c>
      <c r="D6385">
        <v>6.3224119999999999</v>
      </c>
      <c r="E6385">
        <v>0.44581739999999997</v>
      </c>
      <c r="F6385" t="s">
        <v>113</v>
      </c>
      <c r="G6385">
        <v>-280.04239999999999</v>
      </c>
      <c r="H6385">
        <v>18.463270000000001</v>
      </c>
      <c r="I6385">
        <v>37.476689999999998</v>
      </c>
      <c r="J6385">
        <v>-372.79079999999999</v>
      </c>
      <c r="K6385">
        <v>1.110617</v>
      </c>
      <c r="L6385">
        <v>16.720579999999899</v>
      </c>
      <c r="M6385">
        <v>0.99977009999999999</v>
      </c>
      <c r="N6385">
        <v>0</v>
      </c>
      <c r="O6385">
        <v>1.8292929999999999E-2</v>
      </c>
      <c r="P6385">
        <v>0.99626170000000003</v>
      </c>
      <c r="Q6385">
        <v>4.5123049999999998E-2</v>
      </c>
      <c r="R6385">
        <v>7.3667049999999998E-2</v>
      </c>
      <c r="S6385">
        <v>2.937897</v>
      </c>
      <c r="T6385">
        <v>0.54898449999999999</v>
      </c>
      <c r="U6385">
        <v>0.6567383</v>
      </c>
      <c r="V6385">
        <v>-5.5490119999999997E-2</v>
      </c>
      <c r="W6385">
        <v>5.6220260000000001E-2</v>
      </c>
      <c r="X6385">
        <v>0.99687519999999996</v>
      </c>
      <c r="Y6385">
        <v>-0.19731670000000001</v>
      </c>
      <c r="Z6385">
        <v>-1.471309E-2</v>
      </c>
      <c r="AA6385">
        <v>0.98022940000000003</v>
      </c>
      <c r="AB6385">
        <v>22</v>
      </c>
      <c r="AC6385">
        <v>92.748400000000004</v>
      </c>
      <c r="AD6385">
        <v>17.352653</v>
      </c>
      <c r="AE6385">
        <v>20.75611</v>
      </c>
      <c r="AF6385">
        <v>-18.4411607861717</v>
      </c>
      <c r="AG6385">
        <v>17.352653</v>
      </c>
      <c r="AH6385">
        <v>90.108846020452901</v>
      </c>
      <c r="AI6385">
        <v>79.315934366859807</v>
      </c>
      <c r="AJ6385">
        <v>101.566115373871</v>
      </c>
      <c r="AK6385">
        <v>93.599119164752494</v>
      </c>
      <c r="AL6385">
        <v>86.777117142653097</v>
      </c>
      <c r="AM6385">
        <v>93.186027746396803</v>
      </c>
      <c r="AN6385">
        <v>1.00000001771356</v>
      </c>
    </row>
    <row r="6386" spans="1:40" x14ac:dyDescent="0.25">
      <c r="A6386" t="str">
        <f>"20190312160459396"</f>
        <v>20190312160459396</v>
      </c>
      <c r="B6386" t="str">
        <f>"1552377899391336"</f>
        <v>1552377899391336</v>
      </c>
      <c r="C6386" t="s">
        <v>40</v>
      </c>
      <c r="D6386">
        <v>6.1413699999999896</v>
      </c>
      <c r="E6386">
        <v>0.4455402</v>
      </c>
      <c r="F6386" t="s">
        <v>113</v>
      </c>
      <c r="G6386">
        <v>-280.04239999999999</v>
      </c>
      <c r="H6386">
        <v>18.49494</v>
      </c>
      <c r="I6386">
        <v>37.582839999999997</v>
      </c>
      <c r="J6386">
        <v>-372.68869999999998</v>
      </c>
      <c r="K6386">
        <v>1.1106100000000001</v>
      </c>
      <c r="L6386">
        <v>16.72287</v>
      </c>
      <c r="M6386">
        <v>0.99976310000000002</v>
      </c>
      <c r="N6386">
        <v>0</v>
      </c>
      <c r="O6386">
        <v>1.8673510000000001E-2</v>
      </c>
      <c r="P6386">
        <v>0.99625649999999999</v>
      </c>
      <c r="Q6386">
        <v>4.5667819999999998E-2</v>
      </c>
      <c r="R6386">
        <v>7.3399290000000006E-2</v>
      </c>
      <c r="S6386">
        <v>2.9374690000000001</v>
      </c>
      <c r="T6386">
        <v>0.5505854</v>
      </c>
      <c r="U6386">
        <v>0.66073609999999905</v>
      </c>
      <c r="V6386">
        <v>-5.4842879999999997E-2</v>
      </c>
      <c r="W6386">
        <v>5.6766320000000002E-2</v>
      </c>
      <c r="X6386">
        <v>0.99688010000000005</v>
      </c>
      <c r="Y6386">
        <v>-0.1982188</v>
      </c>
      <c r="Z6386">
        <v>-1.476826E-2</v>
      </c>
      <c r="AA6386">
        <v>0.98004650000000004</v>
      </c>
      <c r="AB6386">
        <v>22</v>
      </c>
      <c r="AC6386">
        <v>92.646299999999997</v>
      </c>
      <c r="AD6386">
        <v>17.384329999999999</v>
      </c>
      <c r="AE6386">
        <v>20.859970000000001</v>
      </c>
      <c r="AF6386">
        <v>-18.506043054472102</v>
      </c>
      <c r="AG6386">
        <v>17.384329999999999</v>
      </c>
      <c r="AH6386">
        <v>90.003617558769406</v>
      </c>
      <c r="AI6386">
        <v>79.286635112789199</v>
      </c>
      <c r="AJ6386">
        <v>101.61890691679601</v>
      </c>
      <c r="AK6386">
        <v>93.516521175394999</v>
      </c>
      <c r="AL6386">
        <v>86.745780253096598</v>
      </c>
      <c r="AM6386">
        <v>93.148925513202002</v>
      </c>
      <c r="AN6386">
        <v>1.0000000451745199</v>
      </c>
    </row>
    <row r="6387" spans="1:40" x14ac:dyDescent="0.25">
      <c r="A6387" t="str">
        <f>"20190312160459407"</f>
        <v>20190312160459407</v>
      </c>
      <c r="B6387" t="str">
        <f>"1552377899401096"</f>
        <v>1552377899401096</v>
      </c>
      <c r="C6387" t="s">
        <v>40</v>
      </c>
      <c r="D6387">
        <v>6.2009040000000004</v>
      </c>
      <c r="E6387">
        <v>0.44504100000000002</v>
      </c>
      <c r="F6387" t="s">
        <v>113</v>
      </c>
      <c r="G6387">
        <v>-280.04239999999999</v>
      </c>
      <c r="H6387">
        <v>18.415790000000001</v>
      </c>
      <c r="I6387">
        <v>37.595509999999997</v>
      </c>
      <c r="J6387">
        <v>-372.58049999999997</v>
      </c>
      <c r="K6387">
        <v>1.110603</v>
      </c>
      <c r="L6387">
        <v>16.725339999999999</v>
      </c>
      <c r="M6387">
        <v>0.99975559999999997</v>
      </c>
      <c r="N6387">
        <v>0</v>
      </c>
      <c r="O6387">
        <v>1.9075249999999998E-2</v>
      </c>
      <c r="P6387">
        <v>0.9962839</v>
      </c>
      <c r="Q6387">
        <v>4.6428280000000002E-2</v>
      </c>
      <c r="R6387">
        <v>7.2548669999999996E-2</v>
      </c>
      <c r="S6387">
        <v>2.9373779999999998</v>
      </c>
      <c r="T6387">
        <v>0.5486664</v>
      </c>
      <c r="U6387">
        <v>0.66177369999999902</v>
      </c>
      <c r="V6387">
        <v>-5.359175E-2</v>
      </c>
      <c r="W6387">
        <v>5.7528969999999999E-2</v>
      </c>
      <c r="X6387">
        <v>0.99690440000000002</v>
      </c>
      <c r="Y6387">
        <v>-0.198189</v>
      </c>
      <c r="Z6387">
        <v>-1.4641380000000001E-2</v>
      </c>
      <c r="AA6387">
        <v>0.98005439999999999</v>
      </c>
      <c r="AB6387">
        <v>22</v>
      </c>
      <c r="AC6387">
        <v>92.5381</v>
      </c>
      <c r="AD6387">
        <v>17.305186999999901</v>
      </c>
      <c r="AE6387">
        <v>20.870170000000002</v>
      </c>
      <c r="AF6387">
        <v>-18.485890251260301</v>
      </c>
      <c r="AG6387">
        <v>17.305186999999901</v>
      </c>
      <c r="AH6387">
        <v>89.926753738030001</v>
      </c>
      <c r="AI6387">
        <v>79.3252803406467</v>
      </c>
      <c r="AJ6387">
        <v>101.61624868246</v>
      </c>
      <c r="AK6387">
        <v>93.423865651914198</v>
      </c>
      <c r="AL6387">
        <v>86.702012017322602</v>
      </c>
      <c r="AM6387">
        <v>93.077153915883301</v>
      </c>
      <c r="AN6387">
        <v>1.0000000203983399</v>
      </c>
    </row>
    <row r="6388" spans="1:40" x14ac:dyDescent="0.25">
      <c r="A6388" t="str">
        <f>"20190312160459418"</f>
        <v>20190312160459418</v>
      </c>
      <c r="B6388" t="str">
        <f>"1552377899411831"</f>
        <v>1552377899411831</v>
      </c>
      <c r="C6388" t="s">
        <v>40</v>
      </c>
      <c r="D6388">
        <v>6.3861350000000003</v>
      </c>
      <c r="E6388">
        <v>0.4437913</v>
      </c>
      <c r="F6388" t="s">
        <v>113</v>
      </c>
      <c r="G6388">
        <v>-280.04239999999999</v>
      </c>
      <c r="H6388">
        <v>18.539249999999999</v>
      </c>
      <c r="I6388">
        <v>37.61692</v>
      </c>
      <c r="J6388">
        <v>-372.47120000000001</v>
      </c>
      <c r="K6388">
        <v>1.110589</v>
      </c>
      <c r="L6388">
        <v>16.727869999999999</v>
      </c>
      <c r="M6388">
        <v>0.99974779999999996</v>
      </c>
      <c r="N6388">
        <v>0</v>
      </c>
      <c r="O6388">
        <v>1.9474169999999999E-2</v>
      </c>
      <c r="P6388">
        <v>0.99628539999999999</v>
      </c>
      <c r="Q6388">
        <v>4.707472E-2</v>
      </c>
      <c r="R6388">
        <v>7.2107589999999999E-2</v>
      </c>
      <c r="S6388">
        <v>2.937103</v>
      </c>
      <c r="T6388">
        <v>0.55317459999999996</v>
      </c>
      <c r="U6388">
        <v>0.66308590000000001</v>
      </c>
      <c r="V6388">
        <v>-5.2752170000000001E-2</v>
      </c>
      <c r="W6388">
        <v>5.817638E-2</v>
      </c>
      <c r="X6388">
        <v>0.99691160000000001</v>
      </c>
      <c r="Y6388">
        <v>-0.1981928</v>
      </c>
      <c r="Z6388">
        <v>-1.4687169999999999E-2</v>
      </c>
      <c r="AA6388">
        <v>0.98005299999999995</v>
      </c>
      <c r="AB6388">
        <v>22</v>
      </c>
      <c r="AC6388">
        <v>92.428799999999995</v>
      </c>
      <c r="AD6388">
        <v>17.428660999999899</v>
      </c>
      <c r="AE6388">
        <v>20.889050000000001</v>
      </c>
      <c r="AF6388">
        <v>-18.460515181450099</v>
      </c>
      <c r="AG6388">
        <v>17.428660999999899</v>
      </c>
      <c r="AH6388">
        <v>89.780962785503206</v>
      </c>
      <c r="AI6388">
        <v>79.2339426993004</v>
      </c>
      <c r="AJ6388">
        <v>101.619061924891</v>
      </c>
      <c r="AK6388">
        <v>93.301501186794397</v>
      </c>
      <c r="AL6388">
        <v>86.664855891929093</v>
      </c>
      <c r="AM6388">
        <v>93.029015202848996</v>
      </c>
      <c r="AN6388">
        <v>1.0000000104220801</v>
      </c>
    </row>
    <row r="6389" spans="1:40" x14ac:dyDescent="0.25">
      <c r="A6389" t="str">
        <f>"20190312160459584"</f>
        <v>20190312160459584</v>
      </c>
      <c r="B6389" t="str">
        <f>"1552377899581263"</f>
        <v>1552377899581263</v>
      </c>
      <c r="C6389" t="s">
        <v>40</v>
      </c>
      <c r="D6389">
        <v>6.2597430000000003</v>
      </c>
      <c r="E6389">
        <v>0.44512669999999999</v>
      </c>
      <c r="F6389" t="s">
        <v>113</v>
      </c>
      <c r="G6389">
        <v>-280.04239999999999</v>
      </c>
      <c r="H6389">
        <v>18.789159999999999</v>
      </c>
      <c r="I6389">
        <v>37.885249999999999</v>
      </c>
      <c r="J6389">
        <v>-370.87729999999999</v>
      </c>
      <c r="K6389">
        <v>1.1104430000000001</v>
      </c>
      <c r="L6389">
        <v>16.768619999999999</v>
      </c>
      <c r="M6389">
        <v>0.99963469999999999</v>
      </c>
      <c r="N6389">
        <v>0</v>
      </c>
      <c r="O6389">
        <v>2.4633059999999998E-2</v>
      </c>
      <c r="P6389">
        <v>0.99709950000000003</v>
      </c>
      <c r="Q6389">
        <v>4.1876980000000001E-2</v>
      </c>
      <c r="R6389">
        <v>6.3552910000000004E-2</v>
      </c>
      <c r="S6389">
        <v>2.9359739999999999</v>
      </c>
      <c r="T6389">
        <v>0.56155500000000003</v>
      </c>
      <c r="U6389">
        <v>0.67205809999999999</v>
      </c>
      <c r="V6389">
        <v>-3.9012850000000002E-2</v>
      </c>
      <c r="W6389">
        <v>5.2945949999999999E-2</v>
      </c>
      <c r="X6389">
        <v>0.99783500000000003</v>
      </c>
      <c r="Y6389">
        <v>-0.19610159999999999</v>
      </c>
      <c r="Z6389">
        <v>-1.374643E-2</v>
      </c>
      <c r="AA6389">
        <v>0.9804872</v>
      </c>
      <c r="AB6389">
        <v>22</v>
      </c>
      <c r="AC6389">
        <v>90.834900000000005</v>
      </c>
      <c r="AD6389">
        <v>17.678716999999999</v>
      </c>
      <c r="AE6389">
        <v>21.116630000000001</v>
      </c>
      <c r="AF6389">
        <v>-18.217853245503399</v>
      </c>
      <c r="AG6389">
        <v>17.678716999999999</v>
      </c>
      <c r="AH6389">
        <v>88.159381206305397</v>
      </c>
      <c r="AI6389">
        <v>78.889522667400996</v>
      </c>
      <c r="AJ6389">
        <v>101.675645695699</v>
      </c>
      <c r="AK6389">
        <v>91.741504818263493</v>
      </c>
      <c r="AL6389">
        <v>86.9650013505007</v>
      </c>
      <c r="AM6389">
        <v>92.238981133410505</v>
      </c>
      <c r="AN6389">
        <v>0.99999998165576198</v>
      </c>
    </row>
    <row r="6390" spans="1:40" x14ac:dyDescent="0.25">
      <c r="A6390" t="str">
        <f>"20190312160459595"</f>
        <v>20190312160459595</v>
      </c>
      <c r="B6390" t="str">
        <f>"1552377899591998"</f>
        <v>1552377899591998</v>
      </c>
      <c r="C6390" t="s">
        <v>40</v>
      </c>
      <c r="D6390">
        <v>6.2029550000000002</v>
      </c>
      <c r="E6390">
        <v>0.44624940000000002</v>
      </c>
      <c r="F6390" t="s">
        <v>113</v>
      </c>
      <c r="G6390">
        <v>-279.60829999999999</v>
      </c>
      <c r="H6390">
        <v>17.563669999999998</v>
      </c>
      <c r="I6390">
        <v>36.421129999999998</v>
      </c>
      <c r="J6390">
        <v>-370.76659999999998</v>
      </c>
      <c r="K6390">
        <v>1.110433</v>
      </c>
      <c r="L6390">
        <v>16.771699999999999</v>
      </c>
      <c r="M6390">
        <v>0.9996275</v>
      </c>
      <c r="N6390">
        <v>0</v>
      </c>
      <c r="O6390">
        <v>2.4934660000000001E-2</v>
      </c>
      <c r="P6390">
        <v>0.99707109999999999</v>
      </c>
      <c r="Q6390">
        <v>4.1816289999999999E-2</v>
      </c>
      <c r="R6390">
        <v>6.4038269999999994E-2</v>
      </c>
      <c r="S6390">
        <v>2.9459529999999998</v>
      </c>
      <c r="T6390">
        <v>0.53107289999999996</v>
      </c>
      <c r="U6390">
        <v>0.63433839999999997</v>
      </c>
      <c r="V6390">
        <v>-3.919665E-2</v>
      </c>
      <c r="W6390">
        <v>5.2875470000000001E-2</v>
      </c>
      <c r="X6390">
        <v>0.99783149999999998</v>
      </c>
      <c r="Y6390">
        <v>-0.18361569999999999</v>
      </c>
      <c r="Z6390">
        <v>-1.1829589999999999E-2</v>
      </c>
      <c r="AA6390">
        <v>0.98292690000000005</v>
      </c>
      <c r="AB6390">
        <v>22</v>
      </c>
      <c r="AC6390">
        <v>91.158299999999997</v>
      </c>
      <c r="AD6390">
        <v>16.453236999999898</v>
      </c>
      <c r="AE6390">
        <v>19.649429999999999</v>
      </c>
      <c r="AF6390">
        <v>-16.845761422298001</v>
      </c>
      <c r="AG6390">
        <v>16.453236999999898</v>
      </c>
      <c r="AH6390">
        <v>88.853868673973295</v>
      </c>
      <c r="AI6390">
        <v>79.688893539584399</v>
      </c>
      <c r="AJ6390">
        <v>100.735265501047</v>
      </c>
      <c r="AK6390">
        <v>91.921154605492404</v>
      </c>
      <c r="AL6390">
        <v>86.969045118096204</v>
      </c>
      <c r="AM6390">
        <v>92.249526645032901</v>
      </c>
      <c r="AN6390">
        <v>0.99999994754559496</v>
      </c>
    </row>
    <row r="6391" spans="1:40" x14ac:dyDescent="0.25">
      <c r="A6391" t="str">
        <f>"20190312160459606"</f>
        <v>20190312160459606</v>
      </c>
      <c r="B6391" t="str">
        <f>"1552377899601759"</f>
        <v>1552377899601759</v>
      </c>
      <c r="C6391" t="s">
        <v>40</v>
      </c>
      <c r="D6391">
        <v>7.9961429999999902</v>
      </c>
      <c r="E6391">
        <v>0.4470288</v>
      </c>
      <c r="F6391" t="s">
        <v>113</v>
      </c>
      <c r="G6391">
        <v>-276.80650000000003</v>
      </c>
      <c r="H6391">
        <v>17.754929999999899</v>
      </c>
      <c r="I6391">
        <v>36.758929999999999</v>
      </c>
      <c r="J6391">
        <v>-370.6558</v>
      </c>
      <c r="K6391">
        <v>1.1104240000000001</v>
      </c>
      <c r="L6391">
        <v>16.77478</v>
      </c>
      <c r="M6391">
        <v>0.99962010000000001</v>
      </c>
      <c r="N6391">
        <v>0</v>
      </c>
      <c r="O6391">
        <v>2.5233410000000001E-2</v>
      </c>
      <c r="P6391">
        <v>0.99703319999999995</v>
      </c>
      <c r="Q6391">
        <v>4.2510579999999999E-2</v>
      </c>
      <c r="R6391">
        <v>6.4170459999999999E-2</v>
      </c>
      <c r="S6391">
        <v>2.9465940000000002</v>
      </c>
      <c r="T6391">
        <v>0.52197229999999994</v>
      </c>
      <c r="U6391">
        <v>0.62680049999999998</v>
      </c>
      <c r="V6391">
        <v>-3.9030599999999999E-2</v>
      </c>
      <c r="W6391">
        <v>5.3558290000000001E-2</v>
      </c>
      <c r="X6391">
        <v>0.99780170000000001</v>
      </c>
      <c r="Y6391">
        <v>-0.1809982</v>
      </c>
      <c r="Z6391">
        <v>-1.135102E-2</v>
      </c>
      <c r="AA6391">
        <v>0.98341789999999996</v>
      </c>
      <c r="AB6391">
        <v>22</v>
      </c>
      <c r="AC6391">
        <v>93.8492999999999</v>
      </c>
      <c r="AD6391">
        <v>16.644506</v>
      </c>
      <c r="AE6391">
        <v>19.98415</v>
      </c>
      <c r="AF6391">
        <v>-17.095112082104599</v>
      </c>
      <c r="AG6391">
        <v>16.644506</v>
      </c>
      <c r="AH6391">
        <v>91.568426484442895</v>
      </c>
      <c r="AI6391">
        <v>79.869078937996605</v>
      </c>
      <c r="AJ6391">
        <v>100.574937764718</v>
      </c>
      <c r="AK6391">
        <v>94.625890568705202</v>
      </c>
      <c r="AL6391">
        <v>86.929867225963605</v>
      </c>
      <c r="AM6391">
        <v>92.240073463918307</v>
      </c>
      <c r="AN6391">
        <v>1.00000005534348</v>
      </c>
    </row>
    <row r="6392" spans="1:40" x14ac:dyDescent="0.25">
      <c r="A6392" t="str">
        <f>"20190312160459619"</f>
        <v>20190312160459619</v>
      </c>
      <c r="B6392" t="str">
        <f>"1552377899611577"</f>
        <v>1552377899611577</v>
      </c>
      <c r="C6392" t="s">
        <v>40</v>
      </c>
      <c r="D6392">
        <v>6.2830329999999996</v>
      </c>
      <c r="E6392">
        <v>0.44761990000000001</v>
      </c>
      <c r="F6392" t="s">
        <v>113</v>
      </c>
      <c r="G6392">
        <v>-275.78590000000003</v>
      </c>
      <c r="H6392">
        <v>17.778559999999999</v>
      </c>
      <c r="I6392">
        <v>36.758929999999999</v>
      </c>
      <c r="J6392">
        <v>-370.54250000000002</v>
      </c>
      <c r="K6392">
        <v>1.110414</v>
      </c>
      <c r="L6392">
        <v>16.777979999999999</v>
      </c>
      <c r="M6392">
        <v>0.99961279999999997</v>
      </c>
      <c r="N6392">
        <v>0</v>
      </c>
      <c r="O6392">
        <v>2.5527299999999999E-2</v>
      </c>
      <c r="P6392">
        <v>0.99698249999999999</v>
      </c>
      <c r="Q6392">
        <v>4.2767619999999999E-2</v>
      </c>
      <c r="R6392">
        <v>6.4783770000000004E-2</v>
      </c>
      <c r="S6392">
        <v>2.9468990000000002</v>
      </c>
      <c r="T6392">
        <v>0.51775459999999995</v>
      </c>
      <c r="U6392">
        <v>0.62075809999999998</v>
      </c>
      <c r="V6392">
        <v>-3.935077E-2</v>
      </c>
      <c r="W6392">
        <v>5.3799699999999999E-2</v>
      </c>
      <c r="X6392">
        <v>0.99777610000000005</v>
      </c>
      <c r="Y6392">
        <v>-0.1788305</v>
      </c>
      <c r="Z6392">
        <v>-1.102421E-2</v>
      </c>
      <c r="AA6392">
        <v>0.98381810000000003</v>
      </c>
      <c r="AB6392">
        <v>22</v>
      </c>
      <c r="AC6392">
        <v>94.756600000000006</v>
      </c>
      <c r="AD6392">
        <v>16.668146</v>
      </c>
      <c r="AE6392">
        <v>19.98095</v>
      </c>
      <c r="AF6392">
        <v>-17.0502904051427</v>
      </c>
      <c r="AG6392">
        <v>16.668146</v>
      </c>
      <c r="AH6392">
        <v>92.495603363048005</v>
      </c>
      <c r="AI6392">
        <v>79.950442291310296</v>
      </c>
      <c r="AJ6392">
        <v>100.444440861879</v>
      </c>
      <c r="AK6392">
        <v>95.519506570497498</v>
      </c>
      <c r="AL6392">
        <v>86.916015367293895</v>
      </c>
      <c r="AM6392">
        <v>92.258487835197599</v>
      </c>
      <c r="AN6392">
        <v>1.0000000182754401</v>
      </c>
    </row>
    <row r="6393" spans="1:40" x14ac:dyDescent="0.25">
      <c r="A6393" t="str">
        <f>"20190312160459630"</f>
        <v>20190312160459630</v>
      </c>
      <c r="B6393" t="str">
        <f>"1552377899621278"</f>
        <v>1552377899621278</v>
      </c>
      <c r="C6393" t="s">
        <v>40</v>
      </c>
      <c r="D6393">
        <v>6.2426729999999999</v>
      </c>
      <c r="E6393">
        <v>0.44825660000000001</v>
      </c>
      <c r="F6393" t="s">
        <v>113</v>
      </c>
      <c r="G6393">
        <v>-275.20699999999999</v>
      </c>
      <c r="H6393">
        <v>17.78368</v>
      </c>
      <c r="I6393">
        <v>36.758929999999999</v>
      </c>
      <c r="J6393">
        <v>-370.4316</v>
      </c>
      <c r="K6393">
        <v>1.1104039999999999</v>
      </c>
      <c r="L6393">
        <v>16.781129999999902</v>
      </c>
      <c r="M6393">
        <v>0.99960559999999998</v>
      </c>
      <c r="N6393">
        <v>0</v>
      </c>
      <c r="O6393">
        <v>2.5812020000000001E-2</v>
      </c>
      <c r="P6393">
        <v>0.99695370000000005</v>
      </c>
      <c r="Q6393">
        <v>4.2738129999999999E-2</v>
      </c>
      <c r="R6393">
        <v>6.5244259999999998E-2</v>
      </c>
      <c r="S6393">
        <v>2.9468380000000001</v>
      </c>
      <c r="T6393">
        <v>0.5153742</v>
      </c>
      <c r="U6393">
        <v>0.61761469999999996</v>
      </c>
      <c r="V6393">
        <v>-3.9526430000000001E-2</v>
      </c>
      <c r="W6393">
        <v>5.3753990000000001E-2</v>
      </c>
      <c r="X6393">
        <v>0.99777159999999998</v>
      </c>
      <c r="Y6393">
        <v>-0.1775912</v>
      </c>
      <c r="Z6393">
        <v>-1.0820379999999999E-2</v>
      </c>
      <c r="AA6393">
        <v>0.98404480000000005</v>
      </c>
      <c r="AB6393">
        <v>22</v>
      </c>
      <c r="AC6393">
        <v>95.224599999999995</v>
      </c>
      <c r="AD6393">
        <v>16.673276000000001</v>
      </c>
      <c r="AE6393">
        <v>19.977799999999998</v>
      </c>
      <c r="AF6393">
        <v>-17.0134453203997</v>
      </c>
      <c r="AG6393">
        <v>16.673276000000001</v>
      </c>
      <c r="AH6393">
        <v>92.978218329426198</v>
      </c>
      <c r="AI6393">
        <v>79.996179337375807</v>
      </c>
      <c r="AJ6393">
        <v>100.36944386496999</v>
      </c>
      <c r="AK6393">
        <v>95.981271808394297</v>
      </c>
      <c r="AL6393">
        <v>86.9186380898268</v>
      </c>
      <c r="AM6393">
        <v>92.268569330127093</v>
      </c>
      <c r="AN6393">
        <v>0.99999999793801198</v>
      </c>
    </row>
    <row r="6394" spans="1:40" x14ac:dyDescent="0.25">
      <c r="A6394" t="str">
        <f>"20190312160459641"</f>
        <v>20190312160459641</v>
      </c>
      <c r="B6394" t="str">
        <f>"1552377899632015"</f>
        <v>1552377899632015</v>
      </c>
      <c r="C6394" t="s">
        <v>40</v>
      </c>
      <c r="D6394">
        <v>6.3159199999999904</v>
      </c>
      <c r="E6394">
        <v>0.44878639999999997</v>
      </c>
      <c r="F6394" t="s">
        <v>113</v>
      </c>
      <c r="G6394">
        <v>-274.50020000000001</v>
      </c>
      <c r="H6394">
        <v>17.748829999999899</v>
      </c>
      <c r="I6394">
        <v>36.758929999999999</v>
      </c>
      <c r="J6394">
        <v>-370.31830000000002</v>
      </c>
      <c r="K6394">
        <v>1.1103940000000001</v>
      </c>
      <c r="L6394">
        <v>16.78436</v>
      </c>
      <c r="M6394">
        <v>0.9995986</v>
      </c>
      <c r="N6394">
        <v>0</v>
      </c>
      <c r="O6394">
        <v>2.6095750000000001E-2</v>
      </c>
      <c r="P6394">
        <v>0.99691989999999997</v>
      </c>
      <c r="Q6394">
        <v>4.2962140000000003E-2</v>
      </c>
      <c r="R6394">
        <v>6.5613959999999999E-2</v>
      </c>
      <c r="S6394">
        <v>2.9471129999999999</v>
      </c>
      <c r="T6394">
        <v>0.51114989999999905</v>
      </c>
      <c r="U6394">
        <v>0.61373900000000003</v>
      </c>
      <c r="V6394">
        <v>-3.9612580000000001E-2</v>
      </c>
      <c r="W6394">
        <v>5.39573E-2</v>
      </c>
      <c r="X6394">
        <v>0.99775720000000001</v>
      </c>
      <c r="Y6394">
        <v>-0.17611389999999999</v>
      </c>
      <c r="Z6394">
        <v>-1.0559280000000001E-2</v>
      </c>
      <c r="AA6394">
        <v>0.98431310000000005</v>
      </c>
      <c r="AB6394">
        <v>22</v>
      </c>
      <c r="AC6394">
        <v>95.818100000000001</v>
      </c>
      <c r="AD6394">
        <v>16.638435999999999</v>
      </c>
      <c r="AE6394">
        <v>19.97457</v>
      </c>
      <c r="AF6394">
        <v>-16.976593958825902</v>
      </c>
      <c r="AG6394">
        <v>16.638435999999999</v>
      </c>
      <c r="AH6394">
        <v>93.601917422316006</v>
      </c>
      <c r="AI6394">
        <v>80.079093810814896</v>
      </c>
      <c r="AJ6394">
        <v>100.279995721353</v>
      </c>
      <c r="AK6394">
        <v>96.573087556021605</v>
      </c>
      <c r="AL6394">
        <v>86.906972325314996</v>
      </c>
      <c r="AM6394">
        <v>92.273541394979702</v>
      </c>
      <c r="AN6394">
        <v>0.99999998843469295</v>
      </c>
    </row>
    <row r="6395" spans="1:40" x14ac:dyDescent="0.25">
      <c r="A6395" t="str">
        <f>"20190312160459652"</f>
        <v>20190312160459652</v>
      </c>
      <c r="B6395" t="str">
        <f>"1552377899641775"</f>
        <v>1552377899641775</v>
      </c>
      <c r="C6395" t="s">
        <v>40</v>
      </c>
      <c r="D6395">
        <v>6.2138849999999897</v>
      </c>
      <c r="E6395">
        <v>0.44923540000000001</v>
      </c>
      <c r="F6395" t="s">
        <v>113</v>
      </c>
      <c r="G6395">
        <v>-273.8236</v>
      </c>
      <c r="H6395">
        <v>17.766479999999898</v>
      </c>
      <c r="I6395">
        <v>36.758929999999999</v>
      </c>
      <c r="J6395">
        <v>-370.21660000000003</v>
      </c>
      <c r="K6395">
        <v>1.1103879999999999</v>
      </c>
      <c r="L6395">
        <v>16.787320000000001</v>
      </c>
      <c r="M6395">
        <v>0.99959219999999904</v>
      </c>
      <c r="N6395">
        <v>0</v>
      </c>
      <c r="O6395">
        <v>2.6346769999999999E-2</v>
      </c>
      <c r="P6395">
        <v>0.99694970000000005</v>
      </c>
      <c r="Q6395">
        <v>4.2547109999999999E-2</v>
      </c>
      <c r="R6395">
        <v>6.5432939999999995E-2</v>
      </c>
      <c r="S6395">
        <v>2.9472049999999999</v>
      </c>
      <c r="T6395">
        <v>0.5087216</v>
      </c>
      <c r="U6395">
        <v>0.61007690000000003</v>
      </c>
      <c r="V6395">
        <v>-3.9179119999999998E-2</v>
      </c>
      <c r="W6395">
        <v>5.3523050000000003E-2</v>
      </c>
      <c r="X6395">
        <v>0.99779770000000001</v>
      </c>
      <c r="Y6395">
        <v>-0.17473079999999999</v>
      </c>
      <c r="Z6395">
        <v>-1.0351000000000001E-2</v>
      </c>
      <c r="AA6395">
        <v>0.98456180000000004</v>
      </c>
      <c r="AB6395">
        <v>22</v>
      </c>
      <c r="AC6395">
        <v>96.393000000000001</v>
      </c>
      <c r="AD6395">
        <v>16.656091999999902</v>
      </c>
      <c r="AE6395">
        <v>19.971609999999998</v>
      </c>
      <c r="AF6395">
        <v>-16.939910994684301</v>
      </c>
      <c r="AG6395">
        <v>16.656091999999902</v>
      </c>
      <c r="AH6395">
        <v>94.189241322436203</v>
      </c>
      <c r="AI6395">
        <v>80.126907317793496</v>
      </c>
      <c r="AJ6395">
        <v>100.195634680187</v>
      </c>
      <c r="AK6395">
        <v>97.139071264432104</v>
      </c>
      <c r="AL6395">
        <v>86.931889014006202</v>
      </c>
      <c r="AM6395">
        <v>92.248597706972106</v>
      </c>
      <c r="AN6395">
        <v>0.99999998522528299</v>
      </c>
    </row>
    <row r="6396" spans="1:40" x14ac:dyDescent="0.25">
      <c r="A6396" t="str">
        <f>"20190312160459662"</f>
        <v>20190312160459662</v>
      </c>
      <c r="B6396" t="str">
        <f>"1552377899651535"</f>
        <v>1552377899651535</v>
      </c>
      <c r="C6396" t="s">
        <v>40</v>
      </c>
      <c r="D6396">
        <v>5.2252999999999998</v>
      </c>
      <c r="E6396">
        <v>0.44973299999999999</v>
      </c>
      <c r="F6396" t="s">
        <v>113</v>
      </c>
      <c r="G6396">
        <v>-272.98860000000002</v>
      </c>
      <c r="H6396">
        <v>17.76183</v>
      </c>
      <c r="I6396">
        <v>36.758929999999999</v>
      </c>
      <c r="J6396">
        <v>-370.11270000000002</v>
      </c>
      <c r="K6396">
        <v>1.110376</v>
      </c>
      <c r="L6396">
        <v>16.79034</v>
      </c>
      <c r="M6396">
        <v>0.99958570000000002</v>
      </c>
      <c r="N6396">
        <v>0</v>
      </c>
      <c r="O6396">
        <v>2.659918E-2</v>
      </c>
      <c r="P6396">
        <v>0.99690080000000003</v>
      </c>
      <c r="Q6396">
        <v>4.3008989999999997E-2</v>
      </c>
      <c r="R6396">
        <v>6.5873130000000002E-2</v>
      </c>
      <c r="S6396">
        <v>2.9479060000000001</v>
      </c>
      <c r="T6396">
        <v>0.50486399999999998</v>
      </c>
      <c r="U6396">
        <v>0.60552980000000001</v>
      </c>
      <c r="V6396">
        <v>-3.9368029999999998E-2</v>
      </c>
      <c r="W6396">
        <v>5.3963959999999998E-2</v>
      </c>
      <c r="X6396">
        <v>0.99776659999999995</v>
      </c>
      <c r="Y6396">
        <v>-0.17303760000000001</v>
      </c>
      <c r="Z6396">
        <v>-1.0087870000000001E-2</v>
      </c>
      <c r="AA6396">
        <v>0.98486359999999995</v>
      </c>
      <c r="AB6396">
        <v>22</v>
      </c>
      <c r="AC6396">
        <v>97.124099999999999</v>
      </c>
      <c r="AD6396">
        <v>16.651454000000001</v>
      </c>
      <c r="AE6396">
        <v>19.968589999999999</v>
      </c>
      <c r="AF6396">
        <v>-16.901306750592401</v>
      </c>
      <c r="AG6396">
        <v>16.651454000000001</v>
      </c>
      <c r="AH6396">
        <v>94.943381099677296</v>
      </c>
      <c r="AI6396">
        <v>80.2034231964887</v>
      </c>
      <c r="AJ6396">
        <v>100.093749921891</v>
      </c>
      <c r="AK6396">
        <v>97.8630201088761</v>
      </c>
      <c r="AL6396">
        <v>86.906590429420902</v>
      </c>
      <c r="AM6396">
        <v>92.259498915433895</v>
      </c>
      <c r="AN6396">
        <v>1.00000006942025</v>
      </c>
    </row>
    <row r="6397" spans="1:40" x14ac:dyDescent="0.25">
      <c r="A6397" t="str">
        <f>"20190312160459673"</f>
        <v>20190312160459673</v>
      </c>
      <c r="B6397" t="str">
        <f>"1552377899661295"</f>
        <v>1552377899661295</v>
      </c>
      <c r="C6397" t="s">
        <v>40</v>
      </c>
      <c r="D6397">
        <v>6.327464</v>
      </c>
      <c r="E6397">
        <v>0.45029360000000002</v>
      </c>
      <c r="F6397" t="s">
        <v>113</v>
      </c>
      <c r="G6397">
        <v>-272.46159999999998</v>
      </c>
      <c r="H6397">
        <v>17.666899999999998</v>
      </c>
      <c r="I6397">
        <v>36.74736</v>
      </c>
      <c r="J6397">
        <v>-370.0111</v>
      </c>
      <c r="K6397">
        <v>1.1103670000000001</v>
      </c>
      <c r="L6397">
        <v>16.79327</v>
      </c>
      <c r="M6397">
        <v>0.99957940000000001</v>
      </c>
      <c r="N6397">
        <v>0</v>
      </c>
      <c r="O6397">
        <v>2.6842359999999999E-2</v>
      </c>
      <c r="P6397">
        <v>0.9968747</v>
      </c>
      <c r="Q6397">
        <v>4.3279320000000003E-2</v>
      </c>
      <c r="R6397">
        <v>6.6090220000000005E-2</v>
      </c>
      <c r="S6397">
        <v>2.9479679999999999</v>
      </c>
      <c r="T6397">
        <v>0.49982179999999998</v>
      </c>
      <c r="U6397">
        <v>0.60247799999999996</v>
      </c>
      <c r="V6397">
        <v>-3.9342269999999999E-2</v>
      </c>
      <c r="W6397">
        <v>5.4213459999999998E-2</v>
      </c>
      <c r="X6397">
        <v>0.99775400000000003</v>
      </c>
      <c r="Y6397">
        <v>-0.17187469999999999</v>
      </c>
      <c r="Z6397">
        <v>-9.8519179999999994E-3</v>
      </c>
      <c r="AA6397">
        <v>0.98506959999999999</v>
      </c>
      <c r="AB6397">
        <v>22</v>
      </c>
      <c r="AC6397">
        <v>97.549499999999995</v>
      </c>
      <c r="AD6397">
        <v>16.556532999999899</v>
      </c>
      <c r="AE6397">
        <v>19.954090000000001</v>
      </c>
      <c r="AF6397">
        <v>-16.862055785695201</v>
      </c>
      <c r="AG6397">
        <v>16.556532999999899</v>
      </c>
      <c r="AH6397">
        <v>95.411905291602494</v>
      </c>
      <c r="AI6397">
        <v>80.303019941896807</v>
      </c>
      <c r="AJ6397">
        <v>100.022340925249</v>
      </c>
      <c r="AK6397">
        <v>98.294859385797594</v>
      </c>
      <c r="AL6397">
        <v>86.892273894993906</v>
      </c>
      <c r="AM6397">
        <v>92.258050455803499</v>
      </c>
      <c r="AN6397">
        <v>0.99999997898496196</v>
      </c>
    </row>
    <row r="6398" spans="1:40" x14ac:dyDescent="0.25">
      <c r="A6398" t="str">
        <f>"20190312160459684"</f>
        <v>20190312160459684</v>
      </c>
      <c r="B6398" t="str">
        <f>"1552377899681791"</f>
        <v>1552377899681791</v>
      </c>
      <c r="C6398" t="s">
        <v>40</v>
      </c>
      <c r="D6398">
        <v>6.326422</v>
      </c>
      <c r="E6398">
        <v>0.45124409999999998</v>
      </c>
      <c r="F6398" t="s">
        <v>113</v>
      </c>
      <c r="G6398">
        <v>-272.46159999999998</v>
      </c>
      <c r="H6398">
        <v>17.55847</v>
      </c>
      <c r="I6398">
        <v>36.599040000000002</v>
      </c>
      <c r="J6398">
        <v>-369.90219999999999</v>
      </c>
      <c r="K6398">
        <v>1.1103609999999999</v>
      </c>
      <c r="L6398">
        <v>16.796510000000001</v>
      </c>
      <c r="M6398">
        <v>0.99957280000000004</v>
      </c>
      <c r="N6398">
        <v>0</v>
      </c>
      <c r="O6398">
        <v>2.7100329999999999E-2</v>
      </c>
      <c r="P6398">
        <v>0.99686160000000001</v>
      </c>
      <c r="Q6398">
        <v>4.2968920000000001E-2</v>
      </c>
      <c r="R6398">
        <v>6.6490450000000006E-2</v>
      </c>
      <c r="S6398">
        <v>2.9481510000000002</v>
      </c>
      <c r="T6398">
        <v>0.49709619999999999</v>
      </c>
      <c r="U6398">
        <v>0.59857179999999999</v>
      </c>
      <c r="V6398">
        <v>-3.9484289999999998E-2</v>
      </c>
      <c r="W6398">
        <v>5.388064E-2</v>
      </c>
      <c r="X6398">
        <v>0.99776640000000005</v>
      </c>
      <c r="Y6398">
        <v>-0.17039960000000001</v>
      </c>
      <c r="Z6398">
        <v>-9.6346109999999995E-3</v>
      </c>
      <c r="AA6398">
        <v>0.98532799999999998</v>
      </c>
      <c r="AB6398">
        <v>22</v>
      </c>
      <c r="AC6398">
        <v>97.440600000000003</v>
      </c>
      <c r="AD6398">
        <v>16.448108999999999</v>
      </c>
      <c r="AE6398">
        <v>19.802529999999901</v>
      </c>
      <c r="AF6398">
        <v>-16.697518588401699</v>
      </c>
      <c r="AG6398">
        <v>16.448108999999999</v>
      </c>
      <c r="AH6398">
        <v>95.3328303967739</v>
      </c>
      <c r="AI6398">
        <v>80.354936517895794</v>
      </c>
      <c r="AJ6398">
        <v>99.934568736311604</v>
      </c>
      <c r="AK6398">
        <v>98.171767673532102</v>
      </c>
      <c r="AL6398">
        <v>86.911370932938496</v>
      </c>
      <c r="AM6398">
        <v>92.266165079203503</v>
      </c>
      <c r="AN6398">
        <v>0.99999996074628605</v>
      </c>
    </row>
    <row r="6399" spans="1:40" x14ac:dyDescent="0.25">
      <c r="A6399" t="str">
        <f>"20190312160459696"</f>
        <v>20190312160459696</v>
      </c>
      <c r="B6399" t="str">
        <f>"1552377899691550"</f>
        <v>1552377899691550</v>
      </c>
      <c r="C6399" t="s">
        <v>40</v>
      </c>
      <c r="D6399">
        <v>5.6554180000000001</v>
      </c>
      <c r="E6399">
        <v>0.45168469999999999</v>
      </c>
      <c r="F6399" t="s">
        <v>113</v>
      </c>
      <c r="G6399">
        <v>-272.18439999999998</v>
      </c>
      <c r="H6399">
        <v>17.41797</v>
      </c>
      <c r="I6399">
        <v>36.421169999999996</v>
      </c>
      <c r="J6399">
        <v>-369.79379999999998</v>
      </c>
      <c r="K6399">
        <v>1.1103499999999999</v>
      </c>
      <c r="L6399">
        <v>16.79974</v>
      </c>
      <c r="M6399">
        <v>0.99956610000000001</v>
      </c>
      <c r="N6399">
        <v>0</v>
      </c>
      <c r="O6399">
        <v>2.7351830000000001E-2</v>
      </c>
      <c r="P6399">
        <v>0.99682150000000003</v>
      </c>
      <c r="Q6399">
        <v>4.3249879999999997E-2</v>
      </c>
      <c r="R6399">
        <v>6.6905359999999997E-2</v>
      </c>
      <c r="S6399">
        <v>2.9487299999999999</v>
      </c>
      <c r="T6399">
        <v>0.49209809999999998</v>
      </c>
      <c r="U6399">
        <v>0.59219359999999999</v>
      </c>
      <c r="V6399">
        <v>-3.9648830000000003E-2</v>
      </c>
      <c r="W6399">
        <v>5.4136330000000003E-2</v>
      </c>
      <c r="X6399">
        <v>0.99774609999999997</v>
      </c>
      <c r="Y6399">
        <v>-0.16813739999999999</v>
      </c>
      <c r="Z6399">
        <v>-9.3122970000000006E-3</v>
      </c>
      <c r="AA6399">
        <v>0.98571960000000003</v>
      </c>
      <c r="AB6399">
        <v>22</v>
      </c>
      <c r="AC6399">
        <v>97.609399999999994</v>
      </c>
      <c r="AD6399">
        <v>16.30762</v>
      </c>
      <c r="AE6399">
        <v>19.62143</v>
      </c>
      <c r="AF6399">
        <v>-16.5014270214946</v>
      </c>
      <c r="AG6399">
        <v>16.30762</v>
      </c>
      <c r="AH6399">
        <v>95.546243983748496</v>
      </c>
      <c r="AI6399">
        <v>80.452894436378799</v>
      </c>
      <c r="AJ6399">
        <v>99.798675273996494</v>
      </c>
      <c r="AK6399">
        <v>98.322532021974098</v>
      </c>
      <c r="AL6399">
        <v>86.896699763966396</v>
      </c>
      <c r="AM6399">
        <v>92.275645046563497</v>
      </c>
      <c r="AN6399">
        <v>1.00000002600572</v>
      </c>
    </row>
    <row r="6400" spans="1:40" x14ac:dyDescent="0.25">
      <c r="A6400" t="str">
        <f>"20190312160459708"</f>
        <v>20190312160459708</v>
      </c>
      <c r="B6400" t="str">
        <f>"1552377899701312"</f>
        <v>1552377899701312</v>
      </c>
      <c r="C6400" t="s">
        <v>40</v>
      </c>
      <c r="D6400">
        <v>6.3838140000000001</v>
      </c>
      <c r="E6400">
        <v>0.45209369999999999</v>
      </c>
      <c r="F6400" t="s">
        <v>62</v>
      </c>
      <c r="G6400">
        <v>-254.22829999999999</v>
      </c>
      <c r="H6400">
        <v>20.23968</v>
      </c>
      <c r="I6400">
        <v>39.91619</v>
      </c>
      <c r="J6400">
        <v>-369.67230000000001</v>
      </c>
      <c r="K6400">
        <v>1.1103430000000001</v>
      </c>
      <c r="L6400">
        <v>16.803339999999999</v>
      </c>
      <c r="M6400">
        <v>0.99955870000000002</v>
      </c>
      <c r="N6400">
        <v>0</v>
      </c>
      <c r="O6400">
        <v>2.7631599999999999E-2</v>
      </c>
      <c r="P6400">
        <v>0.99681160000000002</v>
      </c>
      <c r="Q6400">
        <v>4.3157750000000002E-2</v>
      </c>
      <c r="R6400">
        <v>6.7112039999999998E-2</v>
      </c>
      <c r="S6400">
        <v>2.9487920000000001</v>
      </c>
      <c r="T6400">
        <v>0.48810759999999997</v>
      </c>
      <c r="U6400">
        <v>0.58984380000000003</v>
      </c>
      <c r="V6400">
        <v>-3.9576310000000003E-2</v>
      </c>
      <c r="W6400">
        <v>5.4014909999999999E-2</v>
      </c>
      <c r="X6400">
        <v>0.99775550000000002</v>
      </c>
      <c r="Y6400">
        <v>-0.16714870000000001</v>
      </c>
      <c r="Z6400">
        <v>-9.1123019999999992E-3</v>
      </c>
      <c r="AA6400">
        <v>0.98588960000000003</v>
      </c>
      <c r="AB6400">
        <v>22</v>
      </c>
      <c r="AC6400">
        <v>115.444</v>
      </c>
      <c r="AD6400">
        <v>19.129337</v>
      </c>
      <c r="AE6400">
        <v>23.112850000000002</v>
      </c>
      <c r="AF6400">
        <v>-19.401743423723001</v>
      </c>
      <c r="AG6400">
        <v>19.129337</v>
      </c>
      <c r="AH6400">
        <v>113.054073664946</v>
      </c>
      <c r="AI6400">
        <v>80.532071370539995</v>
      </c>
      <c r="AJ6400">
        <v>99.737939381589896</v>
      </c>
      <c r="AK6400">
        <v>116.29094012079599</v>
      </c>
      <c r="AL6400">
        <v>86.903666626164394</v>
      </c>
      <c r="AM6400">
        <v>92.271465746664603</v>
      </c>
      <c r="AN6400">
        <v>0.99999996629788601</v>
      </c>
    </row>
    <row r="6401" spans="1:40" x14ac:dyDescent="0.25">
      <c r="A6401" t="str">
        <f>"20190312160459721"</f>
        <v>20190312160459721</v>
      </c>
      <c r="B6401" t="str">
        <f>"1552377899712046"</f>
        <v>1552377899712046</v>
      </c>
      <c r="C6401" t="s">
        <v>40</v>
      </c>
      <c r="D6401">
        <v>6.3621379999999998</v>
      </c>
      <c r="E6401">
        <v>0.4525515</v>
      </c>
      <c r="F6401" t="s">
        <v>62</v>
      </c>
      <c r="G6401">
        <v>-254.22829999999999</v>
      </c>
      <c r="H6401">
        <v>20.284859999999998</v>
      </c>
      <c r="I6401">
        <v>39.78389</v>
      </c>
      <c r="J6401">
        <v>-369.54109999999997</v>
      </c>
      <c r="K6401">
        <v>1.110333</v>
      </c>
      <c r="L6401">
        <v>16.807310000000001</v>
      </c>
      <c r="M6401">
        <v>0.99955099999999997</v>
      </c>
      <c r="N6401">
        <v>0</v>
      </c>
      <c r="O6401">
        <v>2.7926300000000001E-2</v>
      </c>
      <c r="P6401">
        <v>0.99682550000000003</v>
      </c>
      <c r="Q6401">
        <v>4.30544E-2</v>
      </c>
      <c r="R6401">
        <v>6.6973550000000007E-2</v>
      </c>
      <c r="S6401">
        <v>2.9488530000000002</v>
      </c>
      <c r="T6401">
        <v>0.4897859</v>
      </c>
      <c r="U6401">
        <v>0.58700559999999902</v>
      </c>
      <c r="V6401">
        <v>-3.9142209999999997E-2</v>
      </c>
      <c r="W6401">
        <v>5.3876830000000001E-2</v>
      </c>
      <c r="X6401">
        <v>0.99778009999999995</v>
      </c>
      <c r="Y6401">
        <v>-0.1659484</v>
      </c>
      <c r="Z6401">
        <v>-8.9977249999999998E-3</v>
      </c>
      <c r="AA6401">
        <v>0.98609340000000001</v>
      </c>
      <c r="AB6401">
        <v>22</v>
      </c>
      <c r="AC6401">
        <v>115.312799999999</v>
      </c>
      <c r="AD6401">
        <v>19.174526999999902</v>
      </c>
      <c r="AE6401">
        <v>22.976579999999998</v>
      </c>
      <c r="AF6401">
        <v>-19.235614175969499</v>
      </c>
      <c r="AG6401">
        <v>19.174526999999902</v>
      </c>
      <c r="AH6401">
        <v>112.906853644851</v>
      </c>
      <c r="AI6401">
        <v>80.496029054985101</v>
      </c>
      <c r="AJ6401">
        <v>99.668487036680602</v>
      </c>
      <c r="AK6401">
        <v>116.127640716499</v>
      </c>
      <c r="AL6401">
        <v>86.911589596681495</v>
      </c>
      <c r="AM6401">
        <v>92.246521097164404</v>
      </c>
      <c r="AN6401">
        <v>0.99999997668527096</v>
      </c>
    </row>
    <row r="6402" spans="1:40" x14ac:dyDescent="0.25">
      <c r="A6402" t="str">
        <f>"20190312160459734"</f>
        <v>20190312160459734</v>
      </c>
      <c r="B6402" t="str">
        <f>"1552377899721806"</f>
        <v>1552377899721806</v>
      </c>
      <c r="C6402" t="s">
        <v>40</v>
      </c>
      <c r="D6402">
        <v>6.261425</v>
      </c>
      <c r="E6402">
        <v>0.45293329999999998</v>
      </c>
      <c r="F6402" t="s">
        <v>62</v>
      </c>
      <c r="G6402">
        <v>-254.22819999999999</v>
      </c>
      <c r="H6402">
        <v>20.13251</v>
      </c>
      <c r="I6402">
        <v>39.585430000000002</v>
      </c>
      <c r="J6402">
        <v>-369.4248</v>
      </c>
      <c r="K6402">
        <v>1.11032</v>
      </c>
      <c r="L6402">
        <v>16.810849999999999</v>
      </c>
      <c r="M6402">
        <v>0.99954399999999999</v>
      </c>
      <c r="N6402">
        <v>0</v>
      </c>
      <c r="O6402">
        <v>2.8184710000000002E-2</v>
      </c>
      <c r="P6402">
        <v>0.99682269999999995</v>
      </c>
      <c r="Q6402">
        <v>4.3283670000000003E-2</v>
      </c>
      <c r="R6402">
        <v>6.6866919999999996E-2</v>
      </c>
      <c r="S6402">
        <v>2.9494319999999998</v>
      </c>
      <c r="T6402">
        <v>0.4865429</v>
      </c>
      <c r="U6402">
        <v>0.58261109999999905</v>
      </c>
      <c r="V6402">
        <v>-3.8777359999999997E-2</v>
      </c>
      <c r="W6402">
        <v>5.4072519999999999E-2</v>
      </c>
      <c r="X6402">
        <v>0.9977838</v>
      </c>
      <c r="Y6402">
        <v>-0.164291299999999</v>
      </c>
      <c r="Z6402">
        <v>-8.7620969999999999E-3</v>
      </c>
      <c r="AA6402">
        <v>0.9863729</v>
      </c>
      <c r="AB6402">
        <v>22</v>
      </c>
      <c r="AC6402">
        <v>115.1966</v>
      </c>
      <c r="AD6402">
        <v>19.022189999999998</v>
      </c>
      <c r="AE6402">
        <v>22.77458</v>
      </c>
      <c r="AF6402">
        <v>-19.019457074009701</v>
      </c>
      <c r="AG6402">
        <v>19.022189999999998</v>
      </c>
      <c r="AH6402">
        <v>112.83187511579099</v>
      </c>
      <c r="AI6402">
        <v>80.561268878492498</v>
      </c>
      <c r="AJ6402">
        <v>99.568092695025001</v>
      </c>
      <c r="AK6402">
        <v>115.99403218240001</v>
      </c>
      <c r="AL6402">
        <v>86.900361140389194</v>
      </c>
      <c r="AM6402">
        <v>92.225593872305396</v>
      </c>
      <c r="AN6402">
        <v>1.00000001630507</v>
      </c>
    </row>
    <row r="6403" spans="1:40" x14ac:dyDescent="0.25">
      <c r="A6403" t="str">
        <f>"20190312160459747"</f>
        <v>20190312160459747</v>
      </c>
      <c r="B6403" t="str">
        <f>"1552377899741327"</f>
        <v>1552377899741327</v>
      </c>
      <c r="C6403" t="s">
        <v>40</v>
      </c>
      <c r="D6403">
        <v>6.3397069999999998</v>
      </c>
      <c r="E6403">
        <v>0.453629</v>
      </c>
      <c r="F6403" t="s">
        <v>62</v>
      </c>
      <c r="G6403">
        <v>-254.22819999999999</v>
      </c>
      <c r="H6403">
        <v>20.020759999999999</v>
      </c>
      <c r="I6403">
        <v>39.42183</v>
      </c>
      <c r="J6403">
        <v>-369.29610000000002</v>
      </c>
      <c r="K6403">
        <v>1.110312</v>
      </c>
      <c r="L6403">
        <v>16.814789999999999</v>
      </c>
      <c r="M6403">
        <v>0.9995366</v>
      </c>
      <c r="N6403">
        <v>0</v>
      </c>
      <c r="O6403">
        <v>2.8467869999999999E-2</v>
      </c>
      <c r="P6403">
        <v>0.99684459999999997</v>
      </c>
      <c r="Q6403">
        <v>4.3210249999999999E-2</v>
      </c>
      <c r="R6403">
        <v>6.6587690000000005E-2</v>
      </c>
      <c r="S6403">
        <v>2.949738</v>
      </c>
      <c r="T6403">
        <v>0.48422290000000001</v>
      </c>
      <c r="U6403">
        <v>0.57897949999999998</v>
      </c>
      <c r="V6403">
        <v>-3.821426E-2</v>
      </c>
      <c r="W6403">
        <v>5.3959689999999998E-2</v>
      </c>
      <c r="X6403">
        <v>0.99781160000000002</v>
      </c>
      <c r="Y6403">
        <v>-0.1628619</v>
      </c>
      <c r="Z6403">
        <v>-8.5598340000000005E-3</v>
      </c>
      <c r="AA6403">
        <v>0.98661169999999998</v>
      </c>
      <c r="AB6403">
        <v>22</v>
      </c>
      <c r="AC6403">
        <v>115.06789999999999</v>
      </c>
      <c r="AD6403">
        <v>18.910447999999999</v>
      </c>
      <c r="AE6403">
        <v>22.607039999999898</v>
      </c>
      <c r="AF6403">
        <v>-18.832226957466101</v>
      </c>
      <c r="AG6403">
        <v>18.910447999999999</v>
      </c>
      <c r="AH6403">
        <v>112.733305397642</v>
      </c>
      <c r="AI6403">
        <v>80.605387629424499</v>
      </c>
      <c r="AJ6403">
        <v>99.48375408855</v>
      </c>
      <c r="AK6403">
        <v>115.849281230469</v>
      </c>
      <c r="AL6403">
        <v>86.906835173193798</v>
      </c>
      <c r="AM6403">
        <v>92.193245970647297</v>
      </c>
      <c r="AN6403">
        <v>0.99999998345340102</v>
      </c>
    </row>
    <row r="6404" spans="1:40" x14ac:dyDescent="0.25">
      <c r="A6404" t="str">
        <f>"20190312160459762"</f>
        <v>20190312160459762</v>
      </c>
      <c r="B6404" t="str">
        <f>"1552377899752062"</f>
        <v>1552377899752062</v>
      </c>
      <c r="C6404" t="s">
        <v>40</v>
      </c>
      <c r="D6404">
        <v>6.3896059999999997</v>
      </c>
      <c r="E6404">
        <v>0.453629</v>
      </c>
      <c r="F6404" t="s">
        <v>62</v>
      </c>
      <c r="G6404">
        <v>-254.22810000000001</v>
      </c>
      <c r="H6404">
        <v>19.72504</v>
      </c>
      <c r="I6404">
        <v>39.134770000000003</v>
      </c>
      <c r="J6404">
        <v>-369.14120000000003</v>
      </c>
      <c r="K6404">
        <v>1.110293</v>
      </c>
      <c r="L6404">
        <v>16.819579999999998</v>
      </c>
      <c r="M6404">
        <v>0.99952759999999996</v>
      </c>
      <c r="N6404">
        <v>0</v>
      </c>
      <c r="O6404">
        <v>2.8802069999999999E-2</v>
      </c>
      <c r="P6404">
        <v>0.99691410000000003</v>
      </c>
      <c r="Q6404">
        <v>4.386586E-2</v>
      </c>
      <c r="R6404">
        <v>6.5103430000000004E-2</v>
      </c>
      <c r="S6404">
        <v>2.9505620000000001</v>
      </c>
      <c r="T6404">
        <v>0.47731709999999999</v>
      </c>
      <c r="U6404">
        <v>0.57232669999999997</v>
      </c>
      <c r="V6404">
        <v>-3.6394999999999997E-2</v>
      </c>
      <c r="W6404">
        <v>5.4561989999999998E-2</v>
      </c>
      <c r="X6404">
        <v>0.99784689999999998</v>
      </c>
      <c r="Y6404">
        <v>-0.16042000000000001</v>
      </c>
      <c r="Z6404">
        <v>-8.1911399999999995E-3</v>
      </c>
      <c r="AA6404">
        <v>0.98701490000000003</v>
      </c>
      <c r="AB6404">
        <v>22</v>
      </c>
      <c r="AC6404">
        <v>114.9131</v>
      </c>
      <c r="AD6404">
        <v>18.614747000000001</v>
      </c>
      <c r="AE6404">
        <v>22.315190000000001</v>
      </c>
      <c r="AF6404">
        <v>-18.527498943010301</v>
      </c>
      <c r="AG6404">
        <v>18.614747000000001</v>
      </c>
      <c r="AH6404">
        <v>112.65935353918</v>
      </c>
      <c r="AI6404">
        <v>80.739955399840198</v>
      </c>
      <c r="AJ6404">
        <v>99.339035812735901</v>
      </c>
      <c r="AK6404">
        <v>115.680192612319</v>
      </c>
      <c r="AL6404">
        <v>86.872275128421606</v>
      </c>
      <c r="AM6404">
        <v>92.0888534476628</v>
      </c>
      <c r="AN6404">
        <v>1.0000000213086799</v>
      </c>
    </row>
    <row r="6405" spans="1:40" x14ac:dyDescent="0.25">
      <c r="A6405" t="str">
        <f>"20190312160459774"</f>
        <v>20190312160459774</v>
      </c>
      <c r="B6405" t="str">
        <f>"1552377899771582"</f>
        <v>1552377899771582</v>
      </c>
      <c r="C6405" t="s">
        <v>40</v>
      </c>
      <c r="D6405">
        <v>6.3975999999999997</v>
      </c>
      <c r="E6405">
        <v>0.4981447</v>
      </c>
      <c r="F6405" t="s">
        <v>62</v>
      </c>
      <c r="G6405">
        <v>-254.22810000000001</v>
      </c>
      <c r="H6405">
        <v>19.7804</v>
      </c>
      <c r="I6405">
        <v>38.924959999999999</v>
      </c>
      <c r="J6405">
        <v>-369.02199999999999</v>
      </c>
      <c r="K6405">
        <v>1.110279</v>
      </c>
      <c r="L6405">
        <v>16.823270000000001</v>
      </c>
      <c r="M6405">
        <v>0.99952070000000004</v>
      </c>
      <c r="N6405">
        <v>0</v>
      </c>
      <c r="O6405">
        <v>2.9054739999999999E-2</v>
      </c>
      <c r="P6405">
        <v>0.99695990000000001</v>
      </c>
      <c r="Q6405">
        <v>4.3881660000000003E-2</v>
      </c>
      <c r="R6405">
        <v>6.438555E-2</v>
      </c>
      <c r="S6405">
        <v>2.9510800000000001</v>
      </c>
      <c r="T6405">
        <v>0.47946689999999997</v>
      </c>
      <c r="U6405">
        <v>0.56768799999999997</v>
      </c>
      <c r="V6405">
        <v>-3.5422469999999998E-2</v>
      </c>
      <c r="W6405">
        <v>5.4532949999999997E-2</v>
      </c>
      <c r="X6405">
        <v>0.99788339999999998</v>
      </c>
      <c r="Y6405">
        <v>-0.15865290000000001</v>
      </c>
      <c r="Z6405">
        <v>-8.0456360000000001E-3</v>
      </c>
      <c r="AA6405">
        <v>0.9873016</v>
      </c>
      <c r="AB6405">
        <v>22</v>
      </c>
      <c r="AC6405">
        <v>114.793899999999</v>
      </c>
      <c r="AD6405">
        <v>18.670120999999899</v>
      </c>
      <c r="AE6405">
        <v>22.101690000000001</v>
      </c>
      <c r="AF6405">
        <v>-18.290340265740799</v>
      </c>
      <c r="AG6405">
        <v>18.670120999999899</v>
      </c>
      <c r="AH6405">
        <v>112.517706630357</v>
      </c>
      <c r="AI6405">
        <v>80.698635350169198</v>
      </c>
      <c r="AJ6405">
        <v>99.232968549482393</v>
      </c>
      <c r="AK6405">
        <v>115.513394333931</v>
      </c>
      <c r="AL6405">
        <v>86.873941214924699</v>
      </c>
      <c r="AM6405">
        <v>92.033009273854304</v>
      </c>
      <c r="AN6405">
        <v>0.99999993700607903</v>
      </c>
    </row>
    <row r="6406" spans="1:40" x14ac:dyDescent="0.25">
      <c r="A6406" t="str">
        <f>"20190312160459786"</f>
        <v>20190312160459786</v>
      </c>
      <c r="B6406" t="str">
        <f>"1552377899781343"</f>
        <v>1552377899781343</v>
      </c>
      <c r="C6406" t="s">
        <v>40</v>
      </c>
      <c r="D6406">
        <v>6.40517</v>
      </c>
      <c r="E6406">
        <v>0.50223090000000004</v>
      </c>
      <c r="F6406" t="s">
        <v>90</v>
      </c>
      <c r="G6406">
        <v>-241.07</v>
      </c>
      <c r="H6406">
        <v>21.115490000000001</v>
      </c>
      <c r="I6406">
        <v>25.895199999999999</v>
      </c>
      <c r="J6406">
        <v>-368.9083</v>
      </c>
      <c r="K6406">
        <v>1.1102669999999999</v>
      </c>
      <c r="L6406">
        <v>16.826840000000001</v>
      </c>
      <c r="M6406">
        <v>0.99951420000000002</v>
      </c>
      <c r="N6406">
        <v>0</v>
      </c>
      <c r="O6406">
        <v>2.929317E-2</v>
      </c>
      <c r="P6406">
        <v>0.99699559999999998</v>
      </c>
      <c r="Q6406">
        <v>4.3880460000000003E-2</v>
      </c>
      <c r="R6406">
        <v>6.3831170000000007E-2</v>
      </c>
      <c r="S6406">
        <v>2.975098</v>
      </c>
      <c r="T6406">
        <v>0.46515450000000003</v>
      </c>
      <c r="U6406">
        <v>0.2109375</v>
      </c>
      <c r="V6406">
        <v>-3.4629350000000003E-2</v>
      </c>
      <c r="W6406">
        <v>5.4486769999999997E-2</v>
      </c>
      <c r="X6406">
        <v>0.99791379999999996</v>
      </c>
      <c r="Y6406">
        <v>-4.1326219999999997E-2</v>
      </c>
      <c r="Z6406">
        <v>1.338101E-3</v>
      </c>
      <c r="AA6406">
        <v>0.99914480000000006</v>
      </c>
      <c r="AB6406">
        <v>22</v>
      </c>
      <c r="AC6406">
        <v>127.8383</v>
      </c>
      <c r="AD6406">
        <v>20.005223000000001</v>
      </c>
      <c r="AE6406">
        <v>9.0683599999999895</v>
      </c>
      <c r="AF6406">
        <v>-5.1929355477908103</v>
      </c>
      <c r="AG6406">
        <v>20.005223000000001</v>
      </c>
      <c r="AH6406">
        <v>125.00325535662</v>
      </c>
      <c r="AI6406">
        <v>80.915326461028897</v>
      </c>
      <c r="AJ6406">
        <v>92.3788365207364</v>
      </c>
      <c r="AK6406">
        <v>126.700392172383</v>
      </c>
      <c r="AL6406">
        <v>86.876591196168505</v>
      </c>
      <c r="AM6406">
        <v>91.987465997455701</v>
      </c>
      <c r="AN6406">
        <v>0.99999997610844704</v>
      </c>
    </row>
    <row r="6407" spans="1:40" x14ac:dyDescent="0.25">
      <c r="A6407" t="str">
        <f>"20190312160459797"</f>
        <v>20190312160459797</v>
      </c>
      <c r="B6407" t="str">
        <f>"1552377899791103"</f>
        <v>1552377899791103</v>
      </c>
      <c r="C6407" t="s">
        <v>40</v>
      </c>
      <c r="D6407">
        <v>6.2965169999999997</v>
      </c>
      <c r="E6407">
        <v>0.50568649999999904</v>
      </c>
      <c r="F6407" t="s">
        <v>90</v>
      </c>
      <c r="G6407">
        <v>-241.07</v>
      </c>
      <c r="H6407">
        <v>20.888200000000001</v>
      </c>
      <c r="I6407">
        <v>24.421199999999999</v>
      </c>
      <c r="J6407">
        <v>-368.80200000000002</v>
      </c>
      <c r="K6407">
        <v>1.1102559999999999</v>
      </c>
      <c r="L6407">
        <v>16.83023</v>
      </c>
      <c r="M6407">
        <v>0.99950839999999996</v>
      </c>
      <c r="N6407">
        <v>0</v>
      </c>
      <c r="O6407">
        <v>2.950989E-2</v>
      </c>
      <c r="P6407">
        <v>0.99710430000000005</v>
      </c>
      <c r="Q6407">
        <v>4.3883249999999999E-2</v>
      </c>
      <c r="R6407">
        <v>6.2107830000000003E-2</v>
      </c>
      <c r="S6407">
        <v>2.9774780000000001</v>
      </c>
      <c r="T6407">
        <v>0.46064690000000003</v>
      </c>
      <c r="U6407">
        <v>0.17687990000000001</v>
      </c>
      <c r="V6407">
        <v>-3.2686489999999999E-2</v>
      </c>
      <c r="W6407">
        <v>5.4446290000000001E-2</v>
      </c>
      <c r="X6407">
        <v>0.99798149999999997</v>
      </c>
      <c r="Y6407">
        <v>-2.9812310000000002E-2</v>
      </c>
      <c r="Z6407">
        <v>2.2428180000000002E-3</v>
      </c>
      <c r="AA6407">
        <v>0.99955300000000002</v>
      </c>
      <c r="AB6407">
        <v>22</v>
      </c>
      <c r="AC6407">
        <v>127.731999999999</v>
      </c>
      <c r="AD6407">
        <v>19.777944000000002</v>
      </c>
      <c r="AE6407">
        <v>7.5909699999999898</v>
      </c>
      <c r="AF6407">
        <v>-3.7290059205578401</v>
      </c>
      <c r="AG6407">
        <v>19.777944000000002</v>
      </c>
      <c r="AH6407">
        <v>124.91603512719</v>
      </c>
      <c r="AI6407">
        <v>81.006988835916999</v>
      </c>
      <c r="AJ6407">
        <v>91.709891514503298</v>
      </c>
      <c r="AK6407">
        <v>126.52702630632</v>
      </c>
      <c r="AL6407">
        <v>86.878913863678605</v>
      </c>
      <c r="AM6407">
        <v>91.8759152190256</v>
      </c>
      <c r="AN6407">
        <v>0.99999993973276502</v>
      </c>
    </row>
    <row r="6408" spans="1:40" x14ac:dyDescent="0.25">
      <c r="A6408" t="str">
        <f>"20190312160459808"</f>
        <v>20190312160459808</v>
      </c>
      <c r="B6408" t="str">
        <f>"1552377899801839"</f>
        <v>1552377899801839</v>
      </c>
      <c r="C6408" t="s">
        <v>40</v>
      </c>
      <c r="D6408">
        <v>6.3466579999999997</v>
      </c>
      <c r="E6408">
        <v>0.50838879999999997</v>
      </c>
      <c r="F6408" t="s">
        <v>90</v>
      </c>
      <c r="G6408">
        <v>-241.07</v>
      </c>
      <c r="H6408">
        <v>20.959949999999999</v>
      </c>
      <c r="I6408">
        <v>23.013570000000001</v>
      </c>
      <c r="J6408">
        <v>-368.69580000000002</v>
      </c>
      <c r="K6408">
        <v>1.1102479999999999</v>
      </c>
      <c r="L6408">
        <v>16.833559999999999</v>
      </c>
      <c r="M6408">
        <v>0.99950240000000001</v>
      </c>
      <c r="N6408">
        <v>0</v>
      </c>
      <c r="O6408">
        <v>2.972549E-2</v>
      </c>
      <c r="P6408">
        <v>0.99720719999999996</v>
      </c>
      <c r="Q6408">
        <v>4.3248729999999999E-2</v>
      </c>
      <c r="R6408">
        <v>6.0887660000000003E-2</v>
      </c>
      <c r="S6408">
        <v>2.9793400000000001</v>
      </c>
      <c r="T6408">
        <v>0.46299249999999997</v>
      </c>
      <c r="U6408">
        <v>0.1442261</v>
      </c>
      <c r="V6408">
        <v>-3.1247130000000001E-2</v>
      </c>
      <c r="W6408">
        <v>5.376827E-2</v>
      </c>
      <c r="X6408">
        <v>0.99806439999999996</v>
      </c>
      <c r="Y6408">
        <v>-1.876947E-2</v>
      </c>
      <c r="Z6408">
        <v>3.139237E-3</v>
      </c>
      <c r="AA6408">
        <v>0.99981889999999995</v>
      </c>
      <c r="AB6408">
        <v>22</v>
      </c>
      <c r="AC6408">
        <v>127.6258</v>
      </c>
      <c r="AD6408">
        <v>19.849702000000001</v>
      </c>
      <c r="AE6408">
        <v>6.1800099999999896</v>
      </c>
      <c r="AF6408">
        <v>-2.3271662410963501</v>
      </c>
      <c r="AG6408">
        <v>19.849702000000001</v>
      </c>
      <c r="AH6408">
        <v>124.742676998379</v>
      </c>
      <c r="AI6408">
        <v>80.960148601826106</v>
      </c>
      <c r="AJ6408">
        <v>91.068770861660894</v>
      </c>
      <c r="AK6408">
        <v>126.333534094968</v>
      </c>
      <c r="AL6408">
        <v>86.917818660462999</v>
      </c>
      <c r="AM6408">
        <v>91.793215017166901</v>
      </c>
      <c r="AN6408">
        <v>0.999999978269694</v>
      </c>
    </row>
    <row r="6409" spans="1:40" x14ac:dyDescent="0.25">
      <c r="A6409" t="str">
        <f>"20190312160459819"</f>
        <v>20190312160459819</v>
      </c>
      <c r="B6409" t="str">
        <f>"1552377899811598"</f>
        <v>1552377899811598</v>
      </c>
      <c r="C6409" t="s">
        <v>40</v>
      </c>
      <c r="D6409">
        <v>6.2919239999999999</v>
      </c>
      <c r="E6409">
        <v>0.50991889999999995</v>
      </c>
      <c r="F6409" t="s">
        <v>90</v>
      </c>
      <c r="G6409">
        <v>-241.07</v>
      </c>
      <c r="H6409">
        <v>20.986640000000001</v>
      </c>
      <c r="I6409">
        <v>21.926459999999999</v>
      </c>
      <c r="J6409">
        <v>-368.58179999999999</v>
      </c>
      <c r="K6409">
        <v>1.110233</v>
      </c>
      <c r="L6409">
        <v>16.837219999999999</v>
      </c>
      <c r="M6409">
        <v>0.99949619999999995</v>
      </c>
      <c r="N6409">
        <v>0</v>
      </c>
      <c r="O6409">
        <v>2.9949380000000001E-2</v>
      </c>
      <c r="P6409">
        <v>0.99727639999999995</v>
      </c>
      <c r="Q6409">
        <v>4.3025290000000001E-2</v>
      </c>
      <c r="R6409">
        <v>5.9905460000000001E-2</v>
      </c>
      <c r="S6409">
        <v>2.9810180000000002</v>
      </c>
      <c r="T6409">
        <v>0.46426260000000003</v>
      </c>
      <c r="U6409">
        <v>0.11895749999999999</v>
      </c>
      <c r="V6409">
        <v>-3.0039199999999999E-2</v>
      </c>
      <c r="W6409">
        <v>5.3495910000000001E-2</v>
      </c>
      <c r="X6409">
        <v>0.99811609999999995</v>
      </c>
      <c r="Y6409">
        <v>-1.0166140000000001E-2</v>
      </c>
      <c r="Z6409">
        <v>3.8470079999999999E-3</v>
      </c>
      <c r="AA6409">
        <v>0.99994090000000002</v>
      </c>
      <c r="AB6409">
        <v>22</v>
      </c>
      <c r="AC6409">
        <v>127.51179999999999</v>
      </c>
      <c r="AD6409">
        <v>19.876407</v>
      </c>
      <c r="AE6409">
        <v>5.0892400000000002</v>
      </c>
      <c r="AF6409">
        <v>-1.2378176934170599</v>
      </c>
      <c r="AG6409">
        <v>19.876407</v>
      </c>
      <c r="AH6409">
        <v>124.584647537737</v>
      </c>
      <c r="AI6409">
        <v>80.935785768975506</v>
      </c>
      <c r="AJ6409">
        <v>90.569246672792204</v>
      </c>
      <c r="AK6409">
        <v>126.166311470114</v>
      </c>
      <c r="AL6409">
        <v>86.933446167377795</v>
      </c>
      <c r="AM6409">
        <v>91.723847576503204</v>
      </c>
      <c r="AN6409">
        <v>0.99999995750128801</v>
      </c>
    </row>
    <row r="6410" spans="1:40" x14ac:dyDescent="0.25">
      <c r="A6410" t="str">
        <f>"20190312160459831"</f>
        <v>20190312160459831</v>
      </c>
      <c r="B6410" t="str">
        <f>"1552377899821358"</f>
        <v>1552377899821358</v>
      </c>
      <c r="C6410" t="s">
        <v>40</v>
      </c>
      <c r="D6410">
        <v>6.2181870000000004</v>
      </c>
      <c r="E6410">
        <v>0.51132299999999997</v>
      </c>
      <c r="F6410" t="s">
        <v>90</v>
      </c>
      <c r="G6410">
        <v>-241.07</v>
      </c>
      <c r="H6410">
        <v>20.99541</v>
      </c>
      <c r="I6410">
        <v>21.283359999999998</v>
      </c>
      <c r="J6410">
        <v>-368.46969999999999</v>
      </c>
      <c r="K6410">
        <v>1.11022</v>
      </c>
      <c r="L6410">
        <v>16.840820000000001</v>
      </c>
      <c r="M6410">
        <v>0.99949030000000005</v>
      </c>
      <c r="N6410">
        <v>0</v>
      </c>
      <c r="O6410">
        <v>3.0166709999999999E-2</v>
      </c>
      <c r="P6410">
        <v>0.99733349999999998</v>
      </c>
      <c r="Q6410">
        <v>4.3246319999999998E-2</v>
      </c>
      <c r="R6410">
        <v>5.8788340000000001E-2</v>
      </c>
      <c r="S6410">
        <v>2.9818730000000002</v>
      </c>
      <c r="T6410">
        <v>0.46501619999999999</v>
      </c>
      <c r="U6410">
        <v>0.10397339999999999</v>
      </c>
      <c r="V6410">
        <v>-2.8702950000000001E-2</v>
      </c>
      <c r="W6410">
        <v>5.3668760000000003E-2</v>
      </c>
      <c r="X6410">
        <v>0.99814619999999998</v>
      </c>
      <c r="Y6410">
        <v>-4.9852710000000003E-3</v>
      </c>
      <c r="Z6410">
        <v>4.287613E-3</v>
      </c>
      <c r="AA6410">
        <v>0.99997840000000005</v>
      </c>
      <c r="AB6410">
        <v>22</v>
      </c>
      <c r="AC6410">
        <v>127.3997</v>
      </c>
      <c r="AD6410">
        <v>19.885189999999898</v>
      </c>
      <c r="AE6410">
        <v>4.4425400000000002</v>
      </c>
      <c r="AF6410">
        <v>-0.58289485184471101</v>
      </c>
      <c r="AG6410">
        <v>19.885189999999898</v>
      </c>
      <c r="AH6410">
        <v>124.44755858328899</v>
      </c>
      <c r="AI6410">
        <v>80.9216812878729</v>
      </c>
      <c r="AJ6410">
        <v>90.268363405950694</v>
      </c>
      <c r="AK6410">
        <v>126.02759771210999</v>
      </c>
      <c r="AL6410">
        <v>86.923528523555504</v>
      </c>
      <c r="AM6410">
        <v>91.647158314184395</v>
      </c>
      <c r="AN6410">
        <v>1.0000000158565301</v>
      </c>
    </row>
    <row r="6411" spans="1:40" x14ac:dyDescent="0.25">
      <c r="A6411" t="str">
        <f>"20190312160459841"</f>
        <v>20190312160459841</v>
      </c>
      <c r="B6411" t="str">
        <f>"1552377899832096"</f>
        <v>1552377899832096</v>
      </c>
      <c r="C6411" t="s">
        <v>40</v>
      </c>
      <c r="D6411">
        <v>6.3394279999999998</v>
      </c>
      <c r="E6411">
        <v>0.51266160000000005</v>
      </c>
      <c r="F6411" t="s">
        <v>90</v>
      </c>
      <c r="G6411">
        <v>-241.07</v>
      </c>
      <c r="H6411">
        <v>20.930250000000001</v>
      </c>
      <c r="I6411">
        <v>20.671869999999998</v>
      </c>
      <c r="J6411">
        <v>-368.35509999999999</v>
      </c>
      <c r="K6411">
        <v>1.110212</v>
      </c>
      <c r="L6411">
        <v>16.844479999999901</v>
      </c>
      <c r="M6411">
        <v>0.99948419999999905</v>
      </c>
      <c r="N6411">
        <v>0</v>
      </c>
      <c r="O6411">
        <v>3.0384230000000002E-2</v>
      </c>
      <c r="P6411">
        <v>0.99738450000000001</v>
      </c>
      <c r="Q6411">
        <v>4.3689980000000003E-2</v>
      </c>
      <c r="R6411">
        <v>5.757955E-2</v>
      </c>
      <c r="S6411">
        <v>2.9826350000000001</v>
      </c>
      <c r="T6411">
        <v>0.46401910000000002</v>
      </c>
      <c r="U6411">
        <v>8.9691160000000006E-2</v>
      </c>
      <c r="V6411">
        <v>-2.7275440000000001E-2</v>
      </c>
      <c r="W6411">
        <v>5.4061570000000003E-2</v>
      </c>
      <c r="X6411">
        <v>0.99816499999999997</v>
      </c>
      <c r="Y6411" s="1">
        <v>-3.6086800000000002E-5</v>
      </c>
      <c r="Z6411">
        <v>4.6940630000000001E-3</v>
      </c>
      <c r="AA6411">
        <v>0.99998900000000002</v>
      </c>
      <c r="AB6411">
        <v>22</v>
      </c>
      <c r="AC6411">
        <v>127.2851</v>
      </c>
      <c r="AD6411">
        <v>19.820038</v>
      </c>
      <c r="AE6411">
        <v>3.8273899999999998</v>
      </c>
      <c r="AF6411">
        <v>4.1051722716020297E-2</v>
      </c>
      <c r="AG6411">
        <v>19.820038</v>
      </c>
      <c r="AH6411">
        <v>124.330728888229</v>
      </c>
      <c r="AI6411">
        <v>80.942473161893602</v>
      </c>
      <c r="AJ6411">
        <v>89.981081986819106</v>
      </c>
      <c r="AK6411">
        <v>125.90061849508</v>
      </c>
      <c r="AL6411">
        <v>86.900989351391203</v>
      </c>
      <c r="AM6411">
        <v>91.565251039869096</v>
      </c>
      <c r="AN6411">
        <v>0.99999998510152899</v>
      </c>
    </row>
    <row r="6412" spans="1:40" x14ac:dyDescent="0.25">
      <c r="A6412" t="str">
        <f>"20190312160459853"</f>
        <v>20190312160459853</v>
      </c>
      <c r="B6412" t="str">
        <f>"1552377899841855"</f>
        <v>1552377899841855</v>
      </c>
      <c r="C6412" t="s">
        <v>40</v>
      </c>
      <c r="D6412">
        <v>6.4335310000000003</v>
      </c>
      <c r="E6412">
        <v>0.51272189999999995</v>
      </c>
      <c r="F6412" t="s">
        <v>90</v>
      </c>
      <c r="G6412">
        <v>-241.07</v>
      </c>
      <c r="H6412">
        <v>20.897320000000001</v>
      </c>
      <c r="I6412">
        <v>20.077649999999998</v>
      </c>
      <c r="J6412">
        <v>-368.2543</v>
      </c>
      <c r="K6412">
        <v>1.110206</v>
      </c>
      <c r="L6412">
        <v>16.847750000000001</v>
      </c>
      <c r="M6412">
        <v>0.99947889999999995</v>
      </c>
      <c r="N6412">
        <v>0</v>
      </c>
      <c r="O6412">
        <v>3.0570969999999999E-2</v>
      </c>
      <c r="P6412">
        <v>0.99743800000000005</v>
      </c>
      <c r="Q6412">
        <v>4.3991959999999997E-2</v>
      </c>
      <c r="R6412">
        <v>5.6410639999999998E-2</v>
      </c>
      <c r="S6412">
        <v>2.9831539999999999</v>
      </c>
      <c r="T6412">
        <v>0.46374599999999999</v>
      </c>
      <c r="U6412">
        <v>7.5775149999999999E-2</v>
      </c>
      <c r="V6412">
        <v>-2.591856E-2</v>
      </c>
      <c r="W6412">
        <v>5.431822E-2</v>
      </c>
      <c r="X6412">
        <v>0.99818720000000005</v>
      </c>
      <c r="Y6412">
        <v>4.757888E-3</v>
      </c>
      <c r="Z6412">
        <v>5.0900829999999996E-3</v>
      </c>
      <c r="AA6412">
        <v>0.99997570000000002</v>
      </c>
      <c r="AB6412">
        <v>22</v>
      </c>
      <c r="AC6412">
        <v>127.18429999999999</v>
      </c>
      <c r="AD6412">
        <v>19.787113999999999</v>
      </c>
      <c r="AE6412">
        <v>3.22989999999999</v>
      </c>
      <c r="AF6412">
        <v>0.64437905866457301</v>
      </c>
      <c r="AG6412">
        <v>19.787113999999999</v>
      </c>
      <c r="AH6412">
        <v>124.218863944514</v>
      </c>
      <c r="AI6412">
        <v>80.949380839761304</v>
      </c>
      <c r="AJ6412">
        <v>89.702783714715906</v>
      </c>
      <c r="AK6412">
        <v>125.786610036545</v>
      </c>
      <c r="AL6412">
        <v>86.886262683464395</v>
      </c>
      <c r="AM6412">
        <v>91.487386827510704</v>
      </c>
      <c r="AN6412">
        <v>0.99999996351013998</v>
      </c>
    </row>
    <row r="6413" spans="1:40" x14ac:dyDescent="0.25">
      <c r="A6413" t="str">
        <f>"20190312160459864"</f>
        <v>20190312160459864</v>
      </c>
      <c r="B6413" t="str">
        <f>"1552377899861374"</f>
        <v>1552377899861374</v>
      </c>
      <c r="C6413" t="s">
        <v>40</v>
      </c>
      <c r="D6413">
        <v>5.6602249999999996</v>
      </c>
      <c r="E6413">
        <v>0.51184799999999997</v>
      </c>
      <c r="F6413" t="s">
        <v>90</v>
      </c>
      <c r="G6413">
        <v>-241.07</v>
      </c>
      <c r="H6413">
        <v>20.711839999999999</v>
      </c>
      <c r="I6413">
        <v>19.9116</v>
      </c>
      <c r="J6413">
        <v>-368.14060000000001</v>
      </c>
      <c r="K6413">
        <v>1.1101939999999999</v>
      </c>
      <c r="L6413">
        <v>16.85144</v>
      </c>
      <c r="M6413">
        <v>0.99947319999999995</v>
      </c>
      <c r="N6413">
        <v>0</v>
      </c>
      <c r="O6413">
        <v>3.0778010000000001E-2</v>
      </c>
      <c r="P6413">
        <v>0.9975001</v>
      </c>
      <c r="Q6413">
        <v>4.425548E-2</v>
      </c>
      <c r="R6413">
        <v>5.5093740000000002E-2</v>
      </c>
      <c r="S6413">
        <v>2.983368</v>
      </c>
      <c r="T6413">
        <v>0.45979629999999999</v>
      </c>
      <c r="U6413">
        <v>7.1868899999999999E-2</v>
      </c>
      <c r="V6413">
        <v>-2.4393229999999998E-2</v>
      </c>
      <c r="W6413">
        <v>5.4529620000000001E-2</v>
      </c>
      <c r="X6413">
        <v>0.99821409999999999</v>
      </c>
      <c r="Y6413">
        <v>6.2623310000000003E-3</v>
      </c>
      <c r="Z6413">
        <v>5.1939209999999998E-3</v>
      </c>
      <c r="AA6413">
        <v>0.99996689999999999</v>
      </c>
      <c r="AB6413">
        <v>22</v>
      </c>
      <c r="AC6413">
        <v>127.0706</v>
      </c>
      <c r="AD6413">
        <v>19.601645999999999</v>
      </c>
      <c r="AE6413">
        <v>3.0601600000000002</v>
      </c>
      <c r="AF6413">
        <v>0.83267504938770798</v>
      </c>
      <c r="AG6413">
        <v>19.601645999999999</v>
      </c>
      <c r="AH6413">
        <v>124.152035884624</v>
      </c>
      <c r="AI6413">
        <v>81.028160409205896</v>
      </c>
      <c r="AJ6413">
        <v>89.615728808937803</v>
      </c>
      <c r="AK6413">
        <v>125.692664415805</v>
      </c>
      <c r="AL6413">
        <v>86.874132332610699</v>
      </c>
      <c r="AM6413">
        <v>91.399851018197396</v>
      </c>
      <c r="AN6413">
        <v>0.99999994928299196</v>
      </c>
    </row>
    <row r="6414" spans="1:40" x14ac:dyDescent="0.25">
      <c r="A6414" t="str">
        <f>"20190312160459886"</f>
        <v>20190312160459886</v>
      </c>
      <c r="B6414" t="str">
        <f>"1552377899881871"</f>
        <v>1552377899881871</v>
      </c>
      <c r="C6414" t="s">
        <v>40</v>
      </c>
      <c r="D6414">
        <v>6.333914</v>
      </c>
      <c r="E6414">
        <v>0.51257640000000004</v>
      </c>
      <c r="F6414" t="s">
        <v>90</v>
      </c>
      <c r="G6414">
        <v>-241.07</v>
      </c>
      <c r="H6414">
        <v>20.468900000000001</v>
      </c>
      <c r="I6414">
        <v>20.028400000000001</v>
      </c>
      <c r="J6414">
        <v>-367.92320000000001</v>
      </c>
      <c r="K6414">
        <v>1.1101650000000001</v>
      </c>
      <c r="L6414">
        <v>16.858609999999999</v>
      </c>
      <c r="M6414">
        <v>0.99946270000000004</v>
      </c>
      <c r="N6414">
        <v>0</v>
      </c>
      <c r="O6414">
        <v>3.115594E-2</v>
      </c>
      <c r="P6414">
        <v>0.99760749999999998</v>
      </c>
      <c r="Q6414">
        <v>4.405709E-2</v>
      </c>
      <c r="R6414">
        <v>5.3279260000000002E-2</v>
      </c>
      <c r="S6414">
        <v>2.983215</v>
      </c>
      <c r="T6414">
        <v>0.45448110000000003</v>
      </c>
      <c r="U6414">
        <v>7.4584960000000006E-2</v>
      </c>
      <c r="V6414">
        <v>-2.2196859999999999E-2</v>
      </c>
      <c r="W6414">
        <v>5.4228230000000002E-2</v>
      </c>
      <c r="X6414">
        <v>0.9982818</v>
      </c>
      <c r="Y6414">
        <v>5.7409289999999997E-3</v>
      </c>
      <c r="Z6414">
        <v>5.1524750000000001E-3</v>
      </c>
      <c r="AA6414">
        <v>0.99997029999999998</v>
      </c>
      <c r="AB6414">
        <v>22</v>
      </c>
      <c r="AC6414">
        <v>126.8532</v>
      </c>
      <c r="AD6414">
        <v>19.358734999999999</v>
      </c>
      <c r="AE6414">
        <v>3.1697899999999901</v>
      </c>
      <c r="AF6414">
        <v>0.76634809106860402</v>
      </c>
      <c r="AG6414">
        <v>19.358734999999999</v>
      </c>
      <c r="AH6414">
        <v>124.004239498714</v>
      </c>
      <c r="AI6414">
        <v>81.127142614752302</v>
      </c>
      <c r="AJ6414">
        <v>89.6459157166463</v>
      </c>
      <c r="AK6414">
        <v>125.50856275111801</v>
      </c>
      <c r="AL6414">
        <v>86.891426383014903</v>
      </c>
      <c r="AM6414">
        <v>91.273765452808405</v>
      </c>
      <c r="AN6414">
        <v>0.99999997686701603</v>
      </c>
    </row>
    <row r="6415" spans="1:40" x14ac:dyDescent="0.25">
      <c r="A6415" t="str">
        <f>"20190312160459897"</f>
        <v>20190312160459897</v>
      </c>
      <c r="B6415" t="str">
        <f>"1552377899891631"</f>
        <v>1552377899891631</v>
      </c>
      <c r="C6415" t="s">
        <v>40</v>
      </c>
      <c r="D6415">
        <v>6.3311970000000004</v>
      </c>
      <c r="E6415">
        <v>0.51274509999999995</v>
      </c>
      <c r="F6415" t="s">
        <v>90</v>
      </c>
      <c r="G6415">
        <v>-241.07</v>
      </c>
      <c r="H6415">
        <v>20.164390000000001</v>
      </c>
      <c r="I6415">
        <v>19.531120000000001</v>
      </c>
      <c r="J6415">
        <v>-367.81270000000001</v>
      </c>
      <c r="K6415">
        <v>1.110152</v>
      </c>
      <c r="L6415">
        <v>16.86224</v>
      </c>
      <c r="M6415">
        <v>0.99945740000000005</v>
      </c>
      <c r="N6415">
        <v>0</v>
      </c>
      <c r="O6415">
        <v>3.1337160000000003E-2</v>
      </c>
      <c r="P6415">
        <v>0.99770479999999995</v>
      </c>
      <c r="Q6415">
        <v>4.3451379999999998E-2</v>
      </c>
      <c r="R6415">
        <v>5.1938449999999997E-2</v>
      </c>
      <c r="S6415">
        <v>2.9840089999999999</v>
      </c>
      <c r="T6415">
        <v>0.44821850000000002</v>
      </c>
      <c r="U6415">
        <v>6.2866210000000006E-2</v>
      </c>
      <c r="V6415">
        <v>-2.067194E-2</v>
      </c>
      <c r="W6415">
        <v>5.3570199999999998E-2</v>
      </c>
      <c r="X6415">
        <v>0.99835010000000002</v>
      </c>
      <c r="Y6415">
        <v>9.8178029999999999E-3</v>
      </c>
      <c r="Z6415">
        <v>5.4127259999999996E-3</v>
      </c>
      <c r="AA6415">
        <v>0.99993719999999997</v>
      </c>
      <c r="AB6415">
        <v>22</v>
      </c>
      <c r="AC6415">
        <v>126.7427</v>
      </c>
      <c r="AD6415">
        <v>19.054238000000002</v>
      </c>
      <c r="AE6415">
        <v>2.6688800000000001</v>
      </c>
      <c r="AF6415">
        <v>1.2755743913303199</v>
      </c>
      <c r="AG6415">
        <v>19.054238000000002</v>
      </c>
      <c r="AH6415">
        <v>123.963565235929</v>
      </c>
      <c r="AI6415">
        <v>81.262005044779301</v>
      </c>
      <c r="AJ6415">
        <v>89.410452178976598</v>
      </c>
      <c r="AK6415">
        <v>125.425900761329</v>
      </c>
      <c r="AL6415">
        <v>86.929183709158494</v>
      </c>
      <c r="AM6415">
        <v>91.1862028061378</v>
      </c>
      <c r="AN6415">
        <v>1.0000000088006999</v>
      </c>
    </row>
    <row r="6416" spans="1:40" x14ac:dyDescent="0.25">
      <c r="A6416" t="str">
        <f>"20190312160459909"</f>
        <v>20190312160459909</v>
      </c>
      <c r="B6416" t="str">
        <f>"1552377899901391"</f>
        <v>1552377899901391</v>
      </c>
      <c r="C6416" t="s">
        <v>40</v>
      </c>
      <c r="D6416">
        <v>6.2172499999999999</v>
      </c>
      <c r="E6416">
        <v>0.51280919999999997</v>
      </c>
      <c r="F6416" t="s">
        <v>90</v>
      </c>
      <c r="G6416">
        <v>-241.07</v>
      </c>
      <c r="H6416">
        <v>19.964739999999999</v>
      </c>
      <c r="I6416">
        <v>19.298629999999999</v>
      </c>
      <c r="J6416">
        <v>-367.70370000000003</v>
      </c>
      <c r="K6416">
        <v>1.1101399999999999</v>
      </c>
      <c r="L6416">
        <v>16.865839999999999</v>
      </c>
      <c r="M6416">
        <v>0.99945240000000002</v>
      </c>
      <c r="N6416">
        <v>0</v>
      </c>
      <c r="O6416">
        <v>3.151408E-2</v>
      </c>
      <c r="P6416">
        <v>0.99778009999999995</v>
      </c>
      <c r="Q6416">
        <v>4.2983609999999998E-2</v>
      </c>
      <c r="R6416">
        <v>5.0870180000000001E-2</v>
      </c>
      <c r="S6416">
        <v>2.9845890000000002</v>
      </c>
      <c r="T6416">
        <v>0.44399549999999999</v>
      </c>
      <c r="U6416">
        <v>5.7373050000000002E-2</v>
      </c>
      <c r="V6416">
        <v>-1.9423780000000002E-2</v>
      </c>
      <c r="W6416">
        <v>5.3050229999999997E-2</v>
      </c>
      <c r="X6416">
        <v>0.99840289999999998</v>
      </c>
      <c r="Y6416">
        <v>1.182327E-2</v>
      </c>
      <c r="Z6416">
        <v>5.5358859999999899E-3</v>
      </c>
      <c r="AA6416">
        <v>0.99991479999999999</v>
      </c>
      <c r="AB6416">
        <v>22</v>
      </c>
      <c r="AC6416">
        <v>126.6337</v>
      </c>
      <c r="AD6416">
        <v>18.854600000000001</v>
      </c>
      <c r="AE6416">
        <v>2.4327899999999998</v>
      </c>
      <c r="AF6416">
        <v>1.52555923028152</v>
      </c>
      <c r="AG6416">
        <v>18.854600000000001</v>
      </c>
      <c r="AH6416">
        <v>123.90176537783699</v>
      </c>
      <c r="AI6416">
        <v>81.348111522456193</v>
      </c>
      <c r="AJ6416">
        <v>89.294572693420605</v>
      </c>
      <c r="AK6416">
        <v>125.33742751416899</v>
      </c>
      <c r="AL6416">
        <v>86.959018134045493</v>
      </c>
      <c r="AM6416">
        <v>91.114540272625504</v>
      </c>
      <c r="AN6416">
        <v>0.999999980430475</v>
      </c>
    </row>
    <row r="6417" spans="1:40" x14ac:dyDescent="0.25">
      <c r="A6417" t="str">
        <f>"20190312160459921"</f>
        <v>20190312160459921</v>
      </c>
      <c r="B6417" t="str">
        <f>"1552377899911151"</f>
        <v>1552377899911151</v>
      </c>
      <c r="C6417" t="s">
        <v>40</v>
      </c>
      <c r="D6417">
        <v>5.6672359999999999</v>
      </c>
      <c r="E6417">
        <v>0.51276809999999995</v>
      </c>
      <c r="F6417" t="s">
        <v>90</v>
      </c>
      <c r="G6417">
        <v>-241.07</v>
      </c>
      <c r="H6417">
        <v>19.784770000000002</v>
      </c>
      <c r="I6417">
        <v>19.139250000000001</v>
      </c>
      <c r="J6417">
        <v>-367.5754</v>
      </c>
      <c r="K6417">
        <v>1.110125</v>
      </c>
      <c r="L6417">
        <v>16.87012</v>
      </c>
      <c r="M6417">
        <v>0.99944690000000003</v>
      </c>
      <c r="N6417">
        <v>0</v>
      </c>
      <c r="O6417">
        <v>3.1711709999999997E-2</v>
      </c>
      <c r="P6417">
        <v>0.99778109999999998</v>
      </c>
      <c r="Q6417">
        <v>4.3260470000000002E-2</v>
      </c>
      <c r="R6417">
        <v>5.0614920000000001E-2</v>
      </c>
      <c r="S6417">
        <v>2.9850159999999999</v>
      </c>
      <c r="T6417">
        <v>0.44019930000000002</v>
      </c>
      <c r="U6417">
        <v>5.3588869999999997E-2</v>
      </c>
      <c r="V6417">
        <v>-1.8969860000000002E-2</v>
      </c>
      <c r="W6417">
        <v>5.3266399999999998E-2</v>
      </c>
      <c r="X6417">
        <v>0.99840019999999996</v>
      </c>
      <c r="Y6417">
        <v>1.328117E-2</v>
      </c>
      <c r="Z6417">
        <v>5.6242509999999898E-3</v>
      </c>
      <c r="AA6417">
        <v>0.99989600000000001</v>
      </c>
      <c r="AB6417">
        <v>22</v>
      </c>
      <c r="AC6417">
        <v>126.50539999999999</v>
      </c>
      <c r="AD6417">
        <v>18.674645000000002</v>
      </c>
      <c r="AE6417">
        <v>2.2691300000000001</v>
      </c>
      <c r="AF6417">
        <v>1.7067347388532099</v>
      </c>
      <c r="AG6417">
        <v>18.674645000000002</v>
      </c>
      <c r="AH6417">
        <v>123.81645515704101</v>
      </c>
      <c r="AI6417">
        <v>81.423801012923406</v>
      </c>
      <c r="AJ6417">
        <v>89.210262446355003</v>
      </c>
      <c r="AK6417">
        <v>125.22847071253599</v>
      </c>
      <c r="AL6417">
        <v>86.946615218034296</v>
      </c>
      <c r="AM6417">
        <v>91.088503539258895</v>
      </c>
      <c r="AN6417">
        <v>1.0000000621587</v>
      </c>
    </row>
    <row r="6418" spans="1:40" x14ac:dyDescent="0.25">
      <c r="A6418" t="str">
        <f>"20190312160459944"</f>
        <v>20190312160459944</v>
      </c>
      <c r="B6418" t="str">
        <f>"1552377899931647"</f>
        <v>1552377899931647</v>
      </c>
      <c r="C6418" t="s">
        <v>40</v>
      </c>
      <c r="D6418">
        <v>6.229997</v>
      </c>
      <c r="E6418">
        <v>0.51294980000000001</v>
      </c>
      <c r="F6418" t="s">
        <v>90</v>
      </c>
      <c r="G6418">
        <v>-241.07</v>
      </c>
      <c r="H6418">
        <v>19.644639999999999</v>
      </c>
      <c r="I6418">
        <v>19.130870000000002</v>
      </c>
      <c r="J6418">
        <v>-367.35840000000002</v>
      </c>
      <c r="K6418">
        <v>1.1101000000000001</v>
      </c>
      <c r="L6418">
        <v>16.877379999999999</v>
      </c>
      <c r="M6418">
        <v>0.99943749999999998</v>
      </c>
      <c r="N6418">
        <v>0</v>
      </c>
      <c r="O6418">
        <v>3.2034340000000001E-2</v>
      </c>
      <c r="P6418">
        <v>0.99784740000000005</v>
      </c>
      <c r="Q6418">
        <v>4.3724619999999999E-2</v>
      </c>
      <c r="R6418">
        <v>4.8872470000000001E-2</v>
      </c>
      <c r="S6418">
        <v>2.9850159999999999</v>
      </c>
      <c r="T6418">
        <v>0.43733929999999999</v>
      </c>
      <c r="U6418">
        <v>5.334473E-2</v>
      </c>
      <c r="V6418">
        <v>-1.6902380000000002E-2</v>
      </c>
      <c r="W6418">
        <v>5.3631129999999999E-2</v>
      </c>
      <c r="X6418">
        <v>0.99841769999999996</v>
      </c>
      <c r="Y6418">
        <v>1.368421E-2</v>
      </c>
      <c r="Z6418">
        <v>5.6644570000000003E-3</v>
      </c>
      <c r="AA6418">
        <v>0.99989030000000001</v>
      </c>
      <c r="AB6418">
        <v>22</v>
      </c>
      <c r="AC6418">
        <v>126.2884</v>
      </c>
      <c r="AD6418">
        <v>18.53454</v>
      </c>
      <c r="AE6418">
        <v>2.2534900000000002</v>
      </c>
      <c r="AF6418">
        <v>1.75562803906674</v>
      </c>
      <c r="AG6418">
        <v>18.53454</v>
      </c>
      <c r="AH6418">
        <v>123.633606041146</v>
      </c>
      <c r="AI6418">
        <v>81.474840682312902</v>
      </c>
      <c r="AJ6418">
        <v>89.186440322820303</v>
      </c>
      <c r="AK6418">
        <v>125.02751675355501</v>
      </c>
      <c r="AL6418">
        <v>86.925687458685601</v>
      </c>
      <c r="AM6418">
        <v>90.969877173523003</v>
      </c>
      <c r="AN6418">
        <v>0.99999994611401399</v>
      </c>
    </row>
    <row r="6419" spans="1:40" x14ac:dyDescent="0.25">
      <c r="A6419" t="str">
        <f>"20190312160459957"</f>
        <v>20190312160459957</v>
      </c>
      <c r="B6419" t="str">
        <f>"1552377899951169"</f>
        <v>1552377899951169</v>
      </c>
      <c r="C6419" t="s">
        <v>40</v>
      </c>
      <c r="D6419">
        <v>6.2951899999999998</v>
      </c>
      <c r="E6419">
        <v>0.513185</v>
      </c>
      <c r="F6419" t="s">
        <v>90</v>
      </c>
      <c r="G6419">
        <v>-241.07</v>
      </c>
      <c r="H6419">
        <v>19.472940000000001</v>
      </c>
      <c r="I6419">
        <v>18.85398</v>
      </c>
      <c r="J6419">
        <v>-367.2235</v>
      </c>
      <c r="K6419">
        <v>1.110085</v>
      </c>
      <c r="L6419">
        <v>16.881930000000001</v>
      </c>
      <c r="M6419">
        <v>0.99943210000000005</v>
      </c>
      <c r="N6419">
        <v>0</v>
      </c>
      <c r="O6419">
        <v>3.2224469999999998E-2</v>
      </c>
      <c r="P6419">
        <v>0.99784470000000003</v>
      </c>
      <c r="Q6419">
        <v>4.4138209999999997E-2</v>
      </c>
      <c r="R6419">
        <v>4.8560100000000002E-2</v>
      </c>
      <c r="S6419">
        <v>2.9851679999999998</v>
      </c>
      <c r="T6419">
        <v>0.43405529999999998</v>
      </c>
      <c r="U6419">
        <v>4.6722409999999999E-2</v>
      </c>
      <c r="V6419">
        <v>-1.6399799999999999E-2</v>
      </c>
      <c r="W6419">
        <v>5.3983009999999998E-2</v>
      </c>
      <c r="X6419">
        <v>0.99840720000000005</v>
      </c>
      <c r="Y6419">
        <v>1.6072989999999999E-2</v>
      </c>
      <c r="Z6419">
        <v>5.8224590000000003E-3</v>
      </c>
      <c r="AA6419">
        <v>0.99985380000000001</v>
      </c>
      <c r="AB6419">
        <v>22</v>
      </c>
      <c r="AC6419">
        <v>126.15349999999999</v>
      </c>
      <c r="AD6419">
        <v>18.362855</v>
      </c>
      <c r="AE6419">
        <v>1.9720500000000001</v>
      </c>
      <c r="AF6419">
        <v>2.0509570041273602</v>
      </c>
      <c r="AG6419">
        <v>18.362855</v>
      </c>
      <c r="AH6419">
        <v>123.53476213851501</v>
      </c>
      <c r="AI6419">
        <v>81.546311264065395</v>
      </c>
      <c r="AJ6419">
        <v>89.048847601196798</v>
      </c>
      <c r="AK6419">
        <v>124.908920117834</v>
      </c>
      <c r="AL6419">
        <v>86.905497223015402</v>
      </c>
      <c r="AM6419">
        <v>90.941053740194704</v>
      </c>
      <c r="AN6419">
        <v>1.0000000279102601</v>
      </c>
    </row>
    <row r="6420" spans="1:40" x14ac:dyDescent="0.25">
      <c r="A6420" t="str">
        <f>"20190312160459969"</f>
        <v>20190312160459969</v>
      </c>
      <c r="B6420" t="str">
        <f>"1552377899961902"</f>
        <v>1552377899961902</v>
      </c>
      <c r="C6420" t="s">
        <v>40</v>
      </c>
      <c r="D6420">
        <v>6.3427360000000004</v>
      </c>
      <c r="E6420">
        <v>0.51314009999999999</v>
      </c>
      <c r="F6420" t="s">
        <v>90</v>
      </c>
      <c r="G6420">
        <v>-241.07</v>
      </c>
      <c r="H6420">
        <v>19.33276</v>
      </c>
      <c r="I6420">
        <v>18.72869</v>
      </c>
      <c r="J6420">
        <v>-367.09899999999999</v>
      </c>
      <c r="K6420">
        <v>1.1100719999999999</v>
      </c>
      <c r="L6420">
        <v>16.886140000000001</v>
      </c>
      <c r="M6420">
        <v>0.99942699999999995</v>
      </c>
      <c r="N6420">
        <v>0</v>
      </c>
      <c r="O6420">
        <v>3.239587E-2</v>
      </c>
      <c r="P6420">
        <v>0.99785570000000001</v>
      </c>
      <c r="Q6420">
        <v>4.4239830000000001E-2</v>
      </c>
      <c r="R6420">
        <v>4.8240730000000002E-2</v>
      </c>
      <c r="S6420">
        <v>2.9852599999999998</v>
      </c>
      <c r="T6420">
        <v>0.43121599999999999</v>
      </c>
      <c r="U6420">
        <v>4.3701169999999998E-2</v>
      </c>
      <c r="V6420">
        <v>-1.590797E-2</v>
      </c>
      <c r="W6420">
        <v>5.40273E-2</v>
      </c>
      <c r="X6420">
        <v>0.99841270000000004</v>
      </c>
      <c r="Y6420">
        <v>1.7249210000000001E-2</v>
      </c>
      <c r="Z6420">
        <v>5.8937750000000004E-3</v>
      </c>
      <c r="AA6420">
        <v>0.99983379999999999</v>
      </c>
      <c r="AB6420">
        <v>22</v>
      </c>
      <c r="AC6420">
        <v>126.029</v>
      </c>
      <c r="AD6420">
        <v>18.222688000000002</v>
      </c>
      <c r="AE6420">
        <v>1.8425499999999899</v>
      </c>
      <c r="AF6420">
        <v>2.1955411309703501</v>
      </c>
      <c r="AG6420">
        <v>18.222688000000002</v>
      </c>
      <c r="AH6420">
        <v>123.44232618834999</v>
      </c>
      <c r="AI6420">
        <v>81.603893112292695</v>
      </c>
      <c r="AJ6420">
        <v>88.981046596914993</v>
      </c>
      <c r="AK6420">
        <v>124.79941768131</v>
      </c>
      <c r="AL6420">
        <v>86.902955692673302</v>
      </c>
      <c r="AM6420">
        <v>90.912831360204606</v>
      </c>
      <c r="AN6420">
        <v>0.99999996608804997</v>
      </c>
    </row>
    <row r="6421" spans="1:40" x14ac:dyDescent="0.25">
      <c r="A6421" t="str">
        <f>"20190312160459988"</f>
        <v>20190312160459988</v>
      </c>
      <c r="B6421" t="str">
        <f>"1552377899981424"</f>
        <v>1552377899981424</v>
      </c>
      <c r="C6421" t="s">
        <v>40</v>
      </c>
      <c r="D6421">
        <v>6.0716850000000004</v>
      </c>
      <c r="E6421">
        <v>0.51326210000000005</v>
      </c>
      <c r="F6421" t="s">
        <v>90</v>
      </c>
      <c r="G6421">
        <v>-241.07</v>
      </c>
      <c r="H6421">
        <v>19.16283</v>
      </c>
      <c r="I6421">
        <v>18.697510000000001</v>
      </c>
      <c r="J6421">
        <v>-366.91410000000002</v>
      </c>
      <c r="K6421">
        <v>1.11006</v>
      </c>
      <c r="L6421">
        <v>16.892429999999901</v>
      </c>
      <c r="M6421">
        <v>0.99941999999999998</v>
      </c>
      <c r="N6421">
        <v>0</v>
      </c>
      <c r="O6421">
        <v>3.2638609999999998E-2</v>
      </c>
      <c r="P6421">
        <v>0.99784090000000003</v>
      </c>
      <c r="Q6421">
        <v>4.5200709999999998E-2</v>
      </c>
      <c r="R6421">
        <v>4.7650369999999997E-2</v>
      </c>
      <c r="S6421">
        <v>2.985382</v>
      </c>
      <c r="T6421">
        <v>0.42763469999999998</v>
      </c>
      <c r="U6421">
        <v>4.2907710000000002E-2</v>
      </c>
      <c r="V6421">
        <v>-1.507505E-2</v>
      </c>
      <c r="W6421">
        <v>5.4900989999999997E-2</v>
      </c>
      <c r="X6421">
        <v>0.99837799999999999</v>
      </c>
      <c r="Y6421">
        <v>1.7759130000000001E-2</v>
      </c>
      <c r="Z6421">
        <v>5.9160080000000004E-3</v>
      </c>
      <c r="AA6421">
        <v>0.99982479999999996</v>
      </c>
      <c r="AB6421">
        <v>22</v>
      </c>
      <c r="AC6421">
        <v>125.8441</v>
      </c>
      <c r="AD6421">
        <v>18.052769999999999</v>
      </c>
      <c r="AE6421">
        <v>1.80508</v>
      </c>
      <c r="AF6421">
        <v>2.2570148453478698</v>
      </c>
      <c r="AG6421">
        <v>18.052769999999999</v>
      </c>
      <c r="AH6421">
        <v>123.29912693104001</v>
      </c>
      <c r="AI6421">
        <v>81.671632966350501</v>
      </c>
      <c r="AJ6421">
        <v>88.951306573262201</v>
      </c>
      <c r="AK6421">
        <v>124.63414990539999</v>
      </c>
      <c r="AL6421">
        <v>86.852822645869495</v>
      </c>
      <c r="AM6421">
        <v>90.865074257488104</v>
      </c>
      <c r="AN6421">
        <v>1.00000000335974</v>
      </c>
    </row>
    <row r="6422" spans="1:40" x14ac:dyDescent="0.25">
      <c r="A6422" t="str">
        <f>"20190312160500000"</f>
        <v>20190312160500000</v>
      </c>
      <c r="B6422" t="str">
        <f>"1552377899991823"</f>
        <v>1552377899991823</v>
      </c>
      <c r="C6422" t="s">
        <v>40</v>
      </c>
      <c r="D6422">
        <v>6.2908710000000001</v>
      </c>
      <c r="E6422">
        <v>0.51323379999999996</v>
      </c>
      <c r="F6422" t="s">
        <v>90</v>
      </c>
      <c r="G6422">
        <v>-241.07</v>
      </c>
      <c r="H6422">
        <v>19.057300000000001</v>
      </c>
      <c r="I6422">
        <v>18.580279999999998</v>
      </c>
      <c r="J6422">
        <v>-366.78609999999998</v>
      </c>
      <c r="K6422">
        <v>1.110052</v>
      </c>
      <c r="L6422">
        <v>16.89676</v>
      </c>
      <c r="M6422">
        <v>0.99941530000000001</v>
      </c>
      <c r="N6422">
        <v>0</v>
      </c>
      <c r="O6422">
        <v>3.27987E-2</v>
      </c>
      <c r="P6422">
        <v>0.99783560000000004</v>
      </c>
      <c r="Q6422">
        <v>4.5988920000000003E-2</v>
      </c>
      <c r="R6422">
        <v>4.700356E-2</v>
      </c>
      <c r="S6422">
        <v>2.9852599999999998</v>
      </c>
      <c r="T6422">
        <v>0.42574260000000003</v>
      </c>
      <c r="U6422">
        <v>4.0039060000000001E-2</v>
      </c>
      <c r="V6422">
        <v>-1.4268970000000001E-2</v>
      </c>
      <c r="W6422">
        <v>5.5631340000000001E-2</v>
      </c>
      <c r="X6422">
        <v>0.99834940000000005</v>
      </c>
      <c r="Y6422">
        <v>1.887086E-2</v>
      </c>
      <c r="Z6422">
        <v>5.9919659999999996E-3</v>
      </c>
      <c r="AA6422">
        <v>0.99980400000000003</v>
      </c>
      <c r="AB6422">
        <v>22</v>
      </c>
      <c r="AC6422">
        <v>125.716099999999</v>
      </c>
      <c r="AD6422">
        <v>17.947247999999998</v>
      </c>
      <c r="AE6422">
        <v>1.6835199999999899</v>
      </c>
      <c r="AF6422">
        <v>2.3921583382165399</v>
      </c>
      <c r="AG6422">
        <v>17.947247999999998</v>
      </c>
      <c r="AH6422">
        <v>123.193388054347</v>
      </c>
      <c r="AI6422">
        <v>81.712799924000095</v>
      </c>
      <c r="AJ6422">
        <v>88.887575410537593</v>
      </c>
      <c r="AK6422">
        <v>124.516814095919</v>
      </c>
      <c r="AL6422">
        <v>86.810912567365193</v>
      </c>
      <c r="AM6422">
        <v>90.818847686721597</v>
      </c>
      <c r="AN6422">
        <v>0.99999998698770798</v>
      </c>
    </row>
    <row r="6423" spans="1:40" x14ac:dyDescent="0.25">
      <c r="A6423" t="str">
        <f>"20190312160500013"</f>
        <v>20190312160500013</v>
      </c>
      <c r="B6423" t="str">
        <f>"1552377900001566"</f>
        <v>1552377900001566</v>
      </c>
      <c r="C6423" t="s">
        <v>40</v>
      </c>
      <c r="D6423">
        <v>6.8453119999999998</v>
      </c>
      <c r="E6423">
        <v>0.51329849999999999</v>
      </c>
      <c r="F6423" t="s">
        <v>90</v>
      </c>
      <c r="G6423">
        <v>-241.07</v>
      </c>
      <c r="H6423">
        <v>18.999400000000001</v>
      </c>
      <c r="I6423">
        <v>18.502009999999999</v>
      </c>
      <c r="J6423">
        <v>-366.66050000000001</v>
      </c>
      <c r="K6423">
        <v>1.1100460000000001</v>
      </c>
      <c r="L6423">
        <v>16.90109</v>
      </c>
      <c r="M6423">
        <v>0.99941069999999999</v>
      </c>
      <c r="N6423">
        <v>0</v>
      </c>
      <c r="O6423">
        <v>3.295294E-2</v>
      </c>
      <c r="P6423">
        <v>0.9978496</v>
      </c>
      <c r="Q6423">
        <v>4.633615E-2</v>
      </c>
      <c r="R6423">
        <v>4.6359940000000002E-2</v>
      </c>
      <c r="S6423">
        <v>2.9851070000000002</v>
      </c>
      <c r="T6423">
        <v>0.42477939999999997</v>
      </c>
      <c r="U6423">
        <v>3.8116459999999998E-2</v>
      </c>
      <c r="V6423">
        <v>-1.347041E-2</v>
      </c>
      <c r="W6423">
        <v>5.5922230000000003E-2</v>
      </c>
      <c r="X6423">
        <v>0.99834420000000001</v>
      </c>
      <c r="Y6423">
        <v>1.9661069999999999E-2</v>
      </c>
      <c r="Z6423">
        <v>6.0566480000000004E-3</v>
      </c>
      <c r="AA6423">
        <v>0.99978829999999996</v>
      </c>
      <c r="AB6423">
        <v>22</v>
      </c>
      <c r="AC6423">
        <v>125.59050000000001</v>
      </c>
      <c r="AD6423">
        <v>17.889354000000001</v>
      </c>
      <c r="AE6423">
        <v>1.6009199999999999</v>
      </c>
      <c r="AF6423">
        <v>2.4882394269822501</v>
      </c>
      <c r="AG6423">
        <v>17.889354000000001</v>
      </c>
      <c r="AH6423">
        <v>123.07822824405</v>
      </c>
      <c r="AI6423">
        <v>81.731669635548798</v>
      </c>
      <c r="AJ6423">
        <v>88.841824411840506</v>
      </c>
      <c r="AK6423">
        <v>124.396425148304</v>
      </c>
      <c r="AL6423">
        <v>86.7942196758991</v>
      </c>
      <c r="AM6423">
        <v>90.7730307944462</v>
      </c>
      <c r="AN6423">
        <v>0.99999994471368803</v>
      </c>
    </row>
    <row r="6424" spans="1:40" x14ac:dyDescent="0.25">
      <c r="A6424" t="str">
        <f>"20190312160500024"</f>
        <v>20190312160500024</v>
      </c>
      <c r="B6424" t="str">
        <f>"1552377900022063"</f>
        <v>1552377900022063</v>
      </c>
      <c r="C6424" t="s">
        <v>40</v>
      </c>
      <c r="D6424">
        <v>6.2639250000000004</v>
      </c>
      <c r="E6424">
        <v>0.51322469999999998</v>
      </c>
      <c r="F6424" t="s">
        <v>90</v>
      </c>
      <c r="G6424">
        <v>-241.07</v>
      </c>
      <c r="H6424">
        <v>18.921810000000001</v>
      </c>
      <c r="I6424">
        <v>18.38916</v>
      </c>
      <c r="J6424">
        <v>-366.53980000000001</v>
      </c>
      <c r="K6424">
        <v>1.110036</v>
      </c>
      <c r="L6424">
        <v>16.90521</v>
      </c>
      <c r="M6424">
        <v>0.99940649999999998</v>
      </c>
      <c r="N6424">
        <v>0</v>
      </c>
      <c r="O6424">
        <v>3.3098349999999999E-2</v>
      </c>
      <c r="P6424">
        <v>0.99786929999999996</v>
      </c>
      <c r="Q6424">
        <v>4.6363250000000002E-2</v>
      </c>
      <c r="R6424">
        <v>4.5910100000000002E-2</v>
      </c>
      <c r="S6424">
        <v>2.9851679999999998</v>
      </c>
      <c r="T6424">
        <v>0.42336869999999999</v>
      </c>
      <c r="U6424">
        <v>3.5369869999999998E-2</v>
      </c>
      <c r="V6424">
        <v>-1.2874419999999999E-2</v>
      </c>
      <c r="W6424">
        <v>5.5896050000000003E-2</v>
      </c>
      <c r="X6424">
        <v>0.99835359999999995</v>
      </c>
      <c r="Y6424">
        <v>2.0718E-2</v>
      </c>
      <c r="Z6424">
        <v>6.1317430000000003E-3</v>
      </c>
      <c r="AA6424">
        <v>0.9997665</v>
      </c>
      <c r="AB6424">
        <v>22</v>
      </c>
      <c r="AC6424">
        <v>125.46980000000001</v>
      </c>
      <c r="AD6424">
        <v>17.811774</v>
      </c>
      <c r="AE6424">
        <v>1.4839500000000001</v>
      </c>
      <c r="AF6424">
        <v>2.6171599674856099</v>
      </c>
      <c r="AG6424">
        <v>17.811774</v>
      </c>
      <c r="AH6424">
        <v>122.972275133154</v>
      </c>
      <c r="AI6424">
        <v>81.760217438735197</v>
      </c>
      <c r="AJ6424">
        <v>88.780785454559407</v>
      </c>
      <c r="AK6424">
        <v>124.283101308049</v>
      </c>
      <c r="AL6424">
        <v>86.795722254397205</v>
      </c>
      <c r="AM6424">
        <v>90.738825446113097</v>
      </c>
      <c r="AN6424">
        <v>1.0000000148644399</v>
      </c>
    </row>
    <row r="6425" spans="1:40" x14ac:dyDescent="0.25">
      <c r="A6425" t="str">
        <f>"20190312160500042"</f>
        <v>20190312160500042</v>
      </c>
      <c r="B6425" t="str">
        <f>"1552377900031822"</f>
        <v>1552377900031822</v>
      </c>
      <c r="C6425" t="s">
        <v>40</v>
      </c>
      <c r="D6425">
        <v>6.697038</v>
      </c>
      <c r="E6425">
        <v>0.49381510000000001</v>
      </c>
      <c r="F6425" t="s">
        <v>90</v>
      </c>
      <c r="G6425">
        <v>-241.07</v>
      </c>
      <c r="H6425">
        <v>18.787400000000002</v>
      </c>
      <c r="I6425">
        <v>18.34947</v>
      </c>
      <c r="J6425">
        <v>-366.37150000000003</v>
      </c>
      <c r="K6425">
        <v>1.1100239999999999</v>
      </c>
      <c r="L6425">
        <v>16.911010000000001</v>
      </c>
      <c r="M6425">
        <v>0.99940059999999997</v>
      </c>
      <c r="N6425">
        <v>0</v>
      </c>
      <c r="O6425">
        <v>3.3296079999999999E-2</v>
      </c>
      <c r="P6425">
        <v>0.99790619999999997</v>
      </c>
      <c r="Q6425">
        <v>4.5827140000000002E-2</v>
      </c>
      <c r="R6425">
        <v>4.5640519999999997E-2</v>
      </c>
      <c r="S6425">
        <v>2.9852599999999998</v>
      </c>
      <c r="T6425">
        <v>0.4205914</v>
      </c>
      <c r="U6425">
        <v>3.4362789999999997E-2</v>
      </c>
      <c r="V6425">
        <v>-1.240545E-2</v>
      </c>
      <c r="W6425">
        <v>5.528711E-2</v>
      </c>
      <c r="X6425">
        <v>0.99839339999999999</v>
      </c>
      <c r="Y6425">
        <v>2.125316E-2</v>
      </c>
      <c r="Z6425">
        <v>6.1569629999999997E-3</v>
      </c>
      <c r="AA6425">
        <v>0.99975510000000001</v>
      </c>
      <c r="AB6425">
        <v>22</v>
      </c>
      <c r="AC6425">
        <v>125.3015</v>
      </c>
      <c r="AD6425">
        <v>17.677375999999999</v>
      </c>
      <c r="AE6425">
        <v>1.4384599999999901</v>
      </c>
      <c r="AF6425">
        <v>2.6812160169999801</v>
      </c>
      <c r="AG6425">
        <v>17.677375999999999</v>
      </c>
      <c r="AH6425">
        <v>122.835418692511</v>
      </c>
      <c r="AI6425">
        <v>81.812652522956597</v>
      </c>
      <c r="AJ6425">
        <v>88.749562849171596</v>
      </c>
      <c r="AK6425">
        <v>124.12984583467301</v>
      </c>
      <c r="AL6425">
        <v>86.830665842715803</v>
      </c>
      <c r="AM6425">
        <v>90.711887069802103</v>
      </c>
      <c r="AN6425">
        <v>0.99999997044270605</v>
      </c>
    </row>
    <row r="6426" spans="1:40" x14ac:dyDescent="0.25">
      <c r="A6426" t="str">
        <f>"20190312160500055"</f>
        <v>20190312160500055</v>
      </c>
      <c r="B6426" t="str">
        <f>"1552377900051343"</f>
        <v>1552377900051343</v>
      </c>
      <c r="C6426" t="s">
        <v>40</v>
      </c>
      <c r="D6426">
        <v>6.2891450000000004</v>
      </c>
      <c r="E6426">
        <v>0.49084990000000001</v>
      </c>
      <c r="F6426" t="s">
        <v>90</v>
      </c>
      <c r="G6426">
        <v>-241.07</v>
      </c>
      <c r="H6426">
        <v>17.402760000000001</v>
      </c>
      <c r="I6426">
        <v>24.81437</v>
      </c>
      <c r="J6426">
        <v>-366.24329999999998</v>
      </c>
      <c r="K6426">
        <v>1.1100159999999999</v>
      </c>
      <c r="L6426">
        <v>16.915469999999999</v>
      </c>
      <c r="M6426">
        <v>0.99939610000000001</v>
      </c>
      <c r="N6426">
        <v>0</v>
      </c>
      <c r="O6426">
        <v>3.3444389999999997E-2</v>
      </c>
      <c r="P6426">
        <v>0.99790659999999998</v>
      </c>
      <c r="Q6426">
        <v>4.5854640000000002E-2</v>
      </c>
      <c r="R6426">
        <v>4.5604739999999998E-2</v>
      </c>
      <c r="S6426">
        <v>2.9799190000000002</v>
      </c>
      <c r="T6426">
        <v>0.38747379999999998</v>
      </c>
      <c r="U6426">
        <v>0.18795780000000001</v>
      </c>
      <c r="V6426">
        <v>-1.222123E-2</v>
      </c>
      <c r="W6426">
        <v>5.5258080000000001E-2</v>
      </c>
      <c r="X6426">
        <v>0.99839730000000004</v>
      </c>
      <c r="Y6426">
        <v>-2.9567349999999999E-2</v>
      </c>
      <c r="Z6426">
        <v>2.4123320000000001E-3</v>
      </c>
      <c r="AA6426">
        <v>0.99955989999999995</v>
      </c>
      <c r="AB6426">
        <v>22</v>
      </c>
      <c r="AC6426">
        <v>125.173299999999</v>
      </c>
      <c r="AD6426">
        <v>16.292743999999999</v>
      </c>
      <c r="AE6426">
        <v>7.8988999999999896</v>
      </c>
      <c r="AF6426">
        <v>-3.6464173978059802</v>
      </c>
      <c r="AG6426">
        <v>16.292743999999999</v>
      </c>
      <c r="AH6426">
        <v>123.28700908362001</v>
      </c>
      <c r="AI6426">
        <v>82.475068468350699</v>
      </c>
      <c r="AJ6426">
        <v>91.694123654268694</v>
      </c>
      <c r="AK6426">
        <v>124.412364641434</v>
      </c>
      <c r="AL6426">
        <v>86.832331751818103</v>
      </c>
      <c r="AM6426">
        <v>90.701313924910806</v>
      </c>
      <c r="AN6426">
        <v>0.99999999125764405</v>
      </c>
    </row>
    <row r="6427" spans="1:40" x14ac:dyDescent="0.25">
      <c r="A6427" t="str">
        <f>"20190312160500066"</f>
        <v>20190312160500066</v>
      </c>
      <c r="B6427" t="str">
        <f>"1552377900062079"</f>
        <v>1552377900062079</v>
      </c>
      <c r="C6427" t="s">
        <v>40</v>
      </c>
      <c r="D6427">
        <v>6.2210190000000001</v>
      </c>
      <c r="E6427">
        <v>0.4904483</v>
      </c>
      <c r="F6427" t="s">
        <v>90</v>
      </c>
      <c r="G6427">
        <v>-241.07</v>
      </c>
      <c r="H6427">
        <v>17.20889</v>
      </c>
      <c r="I6427">
        <v>25.81474</v>
      </c>
      <c r="J6427">
        <v>-366.11689999999999</v>
      </c>
      <c r="K6427">
        <v>1.1100110000000001</v>
      </c>
      <c r="L6427">
        <v>16.919829999999902</v>
      </c>
      <c r="M6427">
        <v>0.99939199999999995</v>
      </c>
      <c r="N6427">
        <v>0</v>
      </c>
      <c r="O6427">
        <v>3.3589300000000002E-2</v>
      </c>
      <c r="P6427">
        <v>0.99790540000000005</v>
      </c>
      <c r="Q6427">
        <v>4.588768E-2</v>
      </c>
      <c r="R6427">
        <v>4.5603390000000001E-2</v>
      </c>
      <c r="S6427">
        <v>2.9789729999999999</v>
      </c>
      <c r="T6427">
        <v>0.38313340000000001</v>
      </c>
      <c r="U6427">
        <v>0.21179200000000001</v>
      </c>
      <c r="V6427">
        <v>-1.207509E-2</v>
      </c>
      <c r="W6427">
        <v>5.5234279999999997E-2</v>
      </c>
      <c r="X6427">
        <v>0.99840039999999997</v>
      </c>
      <c r="Y6427">
        <v>-3.7339650000000002E-2</v>
      </c>
      <c r="Z6427">
        <v>1.9068869999999999E-3</v>
      </c>
      <c r="AA6427">
        <v>0.99930079999999999</v>
      </c>
      <c r="AB6427">
        <v>23</v>
      </c>
      <c r="AC6427">
        <v>125.04689999999999</v>
      </c>
      <c r="AD6427">
        <v>16.098879</v>
      </c>
      <c r="AE6427">
        <v>8.8949099999999994</v>
      </c>
      <c r="AF6427">
        <v>-4.6133884384027297</v>
      </c>
      <c r="AG6427">
        <v>16.098879</v>
      </c>
      <c r="AH6427">
        <v>123.242693581011</v>
      </c>
      <c r="AI6427">
        <v>82.562888298015906</v>
      </c>
      <c r="AJ6427">
        <v>92.143772739422005</v>
      </c>
      <c r="AK6427">
        <v>124.375314186712</v>
      </c>
      <c r="AL6427">
        <v>86.833697492525204</v>
      </c>
      <c r="AM6427">
        <v>90.692926368594996</v>
      </c>
      <c r="AN6427">
        <v>0.99999999610289303</v>
      </c>
    </row>
    <row r="6428" spans="1:40" x14ac:dyDescent="0.25">
      <c r="A6428" t="str">
        <f>"20190312160500078"</f>
        <v>20190312160500078</v>
      </c>
      <c r="B6428" t="str">
        <f>"1552377900071839"</f>
        <v>1552377900071839</v>
      </c>
      <c r="C6428" t="s">
        <v>40</v>
      </c>
      <c r="D6428">
        <v>7.5335349999999996</v>
      </c>
      <c r="E6428">
        <v>0.4904483</v>
      </c>
      <c r="F6428" t="s">
        <v>90</v>
      </c>
      <c r="G6428">
        <v>-241.07</v>
      </c>
      <c r="H6428">
        <v>17.25104</v>
      </c>
      <c r="I6428">
        <v>25.95158</v>
      </c>
      <c r="J6428">
        <v>-365.99930000000001</v>
      </c>
      <c r="K6428">
        <v>1.1100080000000001</v>
      </c>
      <c r="L6428">
        <v>16.923950000000001</v>
      </c>
      <c r="M6428">
        <v>0.9993879</v>
      </c>
      <c r="N6428">
        <v>0</v>
      </c>
      <c r="O6428">
        <v>3.3722450000000001E-2</v>
      </c>
      <c r="P6428">
        <v>0.99786439999999998</v>
      </c>
      <c r="Q6428">
        <v>4.6336259999999997E-2</v>
      </c>
      <c r="R6428">
        <v>4.6041319999999997E-2</v>
      </c>
      <c r="S6428">
        <v>2.97879</v>
      </c>
      <c r="T6428">
        <v>0.3845017</v>
      </c>
      <c r="U6428">
        <v>0.2151489</v>
      </c>
      <c r="V6428">
        <v>-1.2381410000000001E-2</v>
      </c>
      <c r="W6428">
        <v>5.5631340000000001E-2</v>
      </c>
      <c r="X6428">
        <v>0.9983746</v>
      </c>
      <c r="Y6428">
        <v>-3.8324009999999999E-2</v>
      </c>
      <c r="Z6428">
        <v>1.867549E-3</v>
      </c>
      <c r="AA6428">
        <v>0.99926360000000003</v>
      </c>
      <c r="AB6428">
        <v>23</v>
      </c>
      <c r="AC6428">
        <v>124.9293</v>
      </c>
      <c r="AD6428">
        <v>16.141031999999999</v>
      </c>
      <c r="AE6428">
        <v>9.0276299999999896</v>
      </c>
      <c r="AF6428">
        <v>-4.7308289950019997</v>
      </c>
      <c r="AG6428">
        <v>16.141031999999999</v>
      </c>
      <c r="AH6428">
        <v>123.118152328108</v>
      </c>
      <c r="AI6428">
        <v>82.536453584302294</v>
      </c>
      <c r="AJ6428">
        <v>92.200514253309805</v>
      </c>
      <c r="AK6428">
        <v>124.261792557858</v>
      </c>
      <c r="AL6428">
        <v>86.810912588520395</v>
      </c>
      <c r="AM6428">
        <v>90.710521053258901</v>
      </c>
      <c r="AN6428">
        <v>0.99999999361447101</v>
      </c>
    </row>
    <row r="6429" spans="1:40" x14ac:dyDescent="0.25">
      <c r="A6429" t="str">
        <f>"20190312160500090"</f>
        <v>20190312160500090</v>
      </c>
      <c r="B6429" t="str">
        <f>"1552377900081599"</f>
        <v>1552377900081599</v>
      </c>
      <c r="C6429" t="s">
        <v>40</v>
      </c>
      <c r="D6429">
        <v>6.1204650000000003</v>
      </c>
      <c r="E6429">
        <v>0.48971550000000003</v>
      </c>
      <c r="F6429" t="s">
        <v>90</v>
      </c>
      <c r="G6429">
        <v>-241.07</v>
      </c>
      <c r="H6429">
        <v>17.291229999999999</v>
      </c>
      <c r="I6429">
        <v>26.00299</v>
      </c>
      <c r="J6429">
        <v>-365.8843</v>
      </c>
      <c r="K6429">
        <v>1.1100030000000001</v>
      </c>
      <c r="L6429">
        <v>16.927979999999899</v>
      </c>
      <c r="M6429">
        <v>0.99938389999999999</v>
      </c>
      <c r="N6429">
        <v>0</v>
      </c>
      <c r="O6429">
        <v>3.3852609999999998E-2</v>
      </c>
      <c r="P6429">
        <v>0.99784280000000003</v>
      </c>
      <c r="Q6429">
        <v>4.6647870000000001E-2</v>
      </c>
      <c r="R6429">
        <v>4.61933E-2</v>
      </c>
      <c r="S6429">
        <v>2.9785460000000001</v>
      </c>
      <c r="T6429">
        <v>0.38579029999999997</v>
      </c>
      <c r="U6429">
        <v>0.21646119999999999</v>
      </c>
      <c r="V6429">
        <v>-1.240408E-2</v>
      </c>
      <c r="W6429">
        <v>5.5893190000000002E-2</v>
      </c>
      <c r="X6429">
        <v>0.99835969999999996</v>
      </c>
      <c r="Y6429">
        <v>-3.8635929999999999E-2</v>
      </c>
      <c r="Z6429">
        <v>1.87053E-3</v>
      </c>
      <c r="AA6429">
        <v>0.99925160000000002</v>
      </c>
      <c r="AB6429">
        <v>23</v>
      </c>
      <c r="AC6429">
        <v>124.8143</v>
      </c>
      <c r="AD6429">
        <v>16.181227</v>
      </c>
      <c r="AE6429">
        <v>9.0750100000000007</v>
      </c>
      <c r="AF6429">
        <v>-4.76467738923363</v>
      </c>
      <c r="AG6429">
        <v>16.181227</v>
      </c>
      <c r="AH6429">
        <v>122.993677524061</v>
      </c>
      <c r="AI6429">
        <v>82.510681383603696</v>
      </c>
      <c r="AJ6429">
        <v>92.218483660696904</v>
      </c>
      <c r="AK6429">
        <v>124.14499171832</v>
      </c>
      <c r="AL6429">
        <v>86.795886329982807</v>
      </c>
      <c r="AM6429">
        <v>90.711832485290998</v>
      </c>
      <c r="AN6429">
        <v>1.0000000002365499</v>
      </c>
    </row>
    <row r="6430" spans="1:40" x14ac:dyDescent="0.25">
      <c r="A6430" t="str">
        <f>"20190312160500100"</f>
        <v>20190312160500100</v>
      </c>
      <c r="B6430" t="str">
        <f>"1552377900091963"</f>
        <v>1552377900091963</v>
      </c>
      <c r="C6430" t="s">
        <v>40</v>
      </c>
      <c r="D6430">
        <v>6.2038599999999997</v>
      </c>
      <c r="E6430">
        <v>0.48992649999999999</v>
      </c>
      <c r="F6430" t="s">
        <v>90</v>
      </c>
      <c r="G6430">
        <v>-241.07</v>
      </c>
      <c r="H6430">
        <v>16.910550000000001</v>
      </c>
      <c r="I6430">
        <v>26.25442</v>
      </c>
      <c r="J6430">
        <v>-365.77210000000002</v>
      </c>
      <c r="K6430">
        <v>1.109998</v>
      </c>
      <c r="L6430">
        <v>16.931920000000002</v>
      </c>
      <c r="M6430">
        <v>0.99938020000000005</v>
      </c>
      <c r="N6430">
        <v>0</v>
      </c>
      <c r="O6430">
        <v>3.3978710000000002E-2</v>
      </c>
      <c r="P6430">
        <v>0.9978127</v>
      </c>
      <c r="Q6430">
        <v>4.6709649999999998E-2</v>
      </c>
      <c r="R6430">
        <v>4.6778319999999998E-2</v>
      </c>
      <c r="S6430">
        <v>2.9785460000000001</v>
      </c>
      <c r="T6430">
        <v>0.37706149999999999</v>
      </c>
      <c r="U6430">
        <v>0.2225647</v>
      </c>
      <c r="V6430">
        <v>-1.286346E-2</v>
      </c>
      <c r="W6430">
        <v>5.5907480000000002E-2</v>
      </c>
      <c r="X6430">
        <v>0.99835309999999999</v>
      </c>
      <c r="Y6430">
        <v>-4.053408E-2</v>
      </c>
      <c r="Z6430">
        <v>1.7247289999999999E-3</v>
      </c>
      <c r="AA6430">
        <v>0.99917670000000003</v>
      </c>
      <c r="AB6430">
        <v>23</v>
      </c>
      <c r="AC6430">
        <v>124.7021</v>
      </c>
      <c r="AD6430">
        <v>15.800552</v>
      </c>
      <c r="AE6430">
        <v>9.3224999999999891</v>
      </c>
      <c r="AF6430">
        <v>-4.9998957195380802</v>
      </c>
      <c r="AG6430">
        <v>15.800552</v>
      </c>
      <c r="AH6430">
        <v>122.983400926271</v>
      </c>
      <c r="AI6430">
        <v>82.684886847117795</v>
      </c>
      <c r="AJ6430">
        <v>92.328080426383195</v>
      </c>
      <c r="AK6430">
        <v>124.095017241237</v>
      </c>
      <c r="AL6430">
        <v>86.795066333921099</v>
      </c>
      <c r="AM6430">
        <v>90.738196922949101</v>
      </c>
      <c r="AN6430">
        <v>1.00000001360136</v>
      </c>
    </row>
    <row r="6431" spans="1:40" x14ac:dyDescent="0.25">
      <c r="A6431" t="str">
        <f>"20190312160500112"</f>
        <v>20190312160500112</v>
      </c>
      <c r="B6431" t="str">
        <f>"1552377900101714"</f>
        <v>1552377900101714</v>
      </c>
      <c r="C6431" t="s">
        <v>40</v>
      </c>
      <c r="D6431">
        <v>6.1261449999999904</v>
      </c>
      <c r="E6431">
        <v>0.48971310000000001</v>
      </c>
      <c r="F6431" t="s">
        <v>90</v>
      </c>
      <c r="G6431">
        <v>-241.07</v>
      </c>
      <c r="H6431">
        <v>16.684239999999999</v>
      </c>
      <c r="I6431">
        <v>26.250589999999999</v>
      </c>
      <c r="J6431">
        <v>-365.66320000000002</v>
      </c>
      <c r="K6431">
        <v>1.1099870000000001</v>
      </c>
      <c r="L6431">
        <v>16.935759999999998</v>
      </c>
      <c r="M6431">
        <v>0.99937640000000005</v>
      </c>
      <c r="N6431">
        <v>0</v>
      </c>
      <c r="O6431">
        <v>3.4101230000000003E-2</v>
      </c>
      <c r="P6431">
        <v>0.99781520000000001</v>
      </c>
      <c r="Q6431">
        <v>4.646894E-2</v>
      </c>
      <c r="R6431">
        <v>4.6965109999999997E-2</v>
      </c>
      <c r="S6431">
        <v>2.9787599999999999</v>
      </c>
      <c r="T6431">
        <v>0.37202200000000002</v>
      </c>
      <c r="U6431">
        <v>0.22259519999999999</v>
      </c>
      <c r="V6431">
        <v>-1.2927930000000001E-2</v>
      </c>
      <c r="W6431">
        <v>5.5622289999999998E-2</v>
      </c>
      <c r="X6431">
        <v>0.99836820000000004</v>
      </c>
      <c r="Y6431">
        <v>-4.0419669999999998E-2</v>
      </c>
      <c r="Z6431">
        <v>1.7240440000000001E-3</v>
      </c>
      <c r="AA6431">
        <v>0.99918130000000005</v>
      </c>
      <c r="AB6431">
        <v>23</v>
      </c>
      <c r="AC6431">
        <v>124.5932</v>
      </c>
      <c r="AD6431">
        <v>15.574253000000001</v>
      </c>
      <c r="AE6431">
        <v>9.3148300000000006</v>
      </c>
      <c r="AF6431">
        <v>-4.9830242251710404</v>
      </c>
      <c r="AG6431">
        <v>15.574253000000001</v>
      </c>
      <c r="AH6431">
        <v>122.928285366799</v>
      </c>
      <c r="AI6431">
        <v>82.785310998587505</v>
      </c>
      <c r="AJ6431">
        <v>92.321272374943902</v>
      </c>
      <c r="AK6431">
        <v>124.011093173788</v>
      </c>
      <c r="AL6431">
        <v>86.811431992955306</v>
      </c>
      <c r="AM6431">
        <v>90.741885038388006</v>
      </c>
      <c r="AN6431">
        <v>1.00000001664508</v>
      </c>
    </row>
    <row r="6432" spans="1:40" x14ac:dyDescent="0.25">
      <c r="A6432" t="str">
        <f>"20190312160500124"</f>
        <v>20190312160500124</v>
      </c>
      <c r="B6432" t="str">
        <f>"1552377900121234"</f>
        <v>1552377900121234</v>
      </c>
      <c r="C6432" t="s">
        <v>40</v>
      </c>
      <c r="D6432">
        <v>6.1718699999999904</v>
      </c>
      <c r="E6432">
        <v>0.4896546</v>
      </c>
      <c r="F6432" t="s">
        <v>90</v>
      </c>
      <c r="G6432">
        <v>-241.07</v>
      </c>
      <c r="H6432">
        <v>16.543500000000002</v>
      </c>
      <c r="I6432">
        <v>26.343209999999999</v>
      </c>
      <c r="J6432">
        <v>-365.53370000000001</v>
      </c>
      <c r="K6432">
        <v>1.109979</v>
      </c>
      <c r="L6432">
        <v>16.940370000000001</v>
      </c>
      <c r="M6432">
        <v>0.99937189999999998</v>
      </c>
      <c r="N6432">
        <v>0</v>
      </c>
      <c r="O6432">
        <v>3.4246119999999998E-2</v>
      </c>
      <c r="P6432">
        <v>0.99779340000000005</v>
      </c>
      <c r="Q6432">
        <v>4.645991E-2</v>
      </c>
      <c r="R6432">
        <v>4.7434770000000001E-2</v>
      </c>
      <c r="S6432">
        <v>2.97879</v>
      </c>
      <c r="T6432">
        <v>0.36898639999999999</v>
      </c>
      <c r="U6432">
        <v>0.22491459999999999</v>
      </c>
      <c r="V6432">
        <v>-1.3252649999999999E-2</v>
      </c>
      <c r="W6432">
        <v>5.556183E-2</v>
      </c>
      <c r="X6432">
        <v>0.99836729999999996</v>
      </c>
      <c r="Y6432">
        <v>-4.1044820000000003E-2</v>
      </c>
      <c r="Z6432">
        <v>1.68932E-3</v>
      </c>
      <c r="AA6432">
        <v>0.99915589999999999</v>
      </c>
      <c r="AB6432">
        <v>23</v>
      </c>
      <c r="AC6432">
        <v>124.4637</v>
      </c>
      <c r="AD6432">
        <v>15.433521000000001</v>
      </c>
      <c r="AE6432">
        <v>9.4028399999999905</v>
      </c>
      <c r="AF6432">
        <v>-5.0574264774363904</v>
      </c>
      <c r="AG6432">
        <v>15.433521000000001</v>
      </c>
      <c r="AH6432">
        <v>122.83471763833199</v>
      </c>
      <c r="AI6432">
        <v>82.844620304207993</v>
      </c>
      <c r="AJ6432">
        <v>92.357685407484297</v>
      </c>
      <c r="AK6432">
        <v>123.903748895346</v>
      </c>
      <c r="AL6432">
        <v>86.814901432502296</v>
      </c>
      <c r="AM6432">
        <v>90.760518015457805</v>
      </c>
      <c r="AN6432">
        <v>1.00000000769713</v>
      </c>
    </row>
    <row r="6433" spans="1:40" x14ac:dyDescent="0.25">
      <c r="A6433" t="str">
        <f>"20190312160500137"</f>
        <v>20190312160500137</v>
      </c>
      <c r="B6433" t="str">
        <f>"1552377900131971"</f>
        <v>1552377900131971</v>
      </c>
      <c r="C6433" t="s">
        <v>40</v>
      </c>
      <c r="D6433">
        <v>6.0393739999999996</v>
      </c>
      <c r="E6433">
        <v>0.48972100000000002</v>
      </c>
      <c r="F6433" t="s">
        <v>90</v>
      </c>
      <c r="G6433">
        <v>-241.07</v>
      </c>
      <c r="H6433">
        <v>16.439129999999999</v>
      </c>
      <c r="I6433">
        <v>26.417100000000001</v>
      </c>
      <c r="J6433">
        <v>-365.40589999999997</v>
      </c>
      <c r="K6433">
        <v>1.1099680000000001</v>
      </c>
      <c r="L6433">
        <v>16.944890000000001</v>
      </c>
      <c r="M6433">
        <v>0.99936740000000002</v>
      </c>
      <c r="N6433">
        <v>0</v>
      </c>
      <c r="O6433">
        <v>3.4388990000000001E-2</v>
      </c>
      <c r="P6433">
        <v>0.99778889999999998</v>
      </c>
      <c r="Q6433">
        <v>4.6277659999999998E-2</v>
      </c>
      <c r="R6433">
        <v>4.7706829999999999E-2</v>
      </c>
      <c r="S6433">
        <v>2.97879</v>
      </c>
      <c r="T6433">
        <v>0.36687249999999999</v>
      </c>
      <c r="U6433">
        <v>0.2268066</v>
      </c>
      <c r="V6433">
        <v>-1.338231E-2</v>
      </c>
      <c r="W6433">
        <v>5.5329969999999999E-2</v>
      </c>
      <c r="X6433">
        <v>0.99837849999999995</v>
      </c>
      <c r="Y6433">
        <v>-4.1531020000000002E-2</v>
      </c>
      <c r="Z6433">
        <v>1.667361E-3</v>
      </c>
      <c r="AA6433">
        <v>0.99913589999999997</v>
      </c>
      <c r="AB6433">
        <v>23</v>
      </c>
      <c r="AC6433">
        <v>124.335899999999</v>
      </c>
      <c r="AD6433">
        <v>15.329161999999901</v>
      </c>
      <c r="AE6433">
        <v>9.4722100000000005</v>
      </c>
      <c r="AF6433">
        <v>-5.1133704170387002</v>
      </c>
      <c r="AG6433">
        <v>15.329161999999901</v>
      </c>
      <c r="AH6433">
        <v>122.73332288581901</v>
      </c>
      <c r="AI6433">
        <v>82.886838287280199</v>
      </c>
      <c r="AJ6433">
        <v>92.385702613706002</v>
      </c>
      <c r="AK6433">
        <v>123.79256161514201</v>
      </c>
      <c r="AL6433">
        <v>86.828206666898097</v>
      </c>
      <c r="AM6433">
        <v>90.767949197464006</v>
      </c>
      <c r="AN6433">
        <v>1.0000000605316901</v>
      </c>
    </row>
    <row r="6434" spans="1:40" x14ac:dyDescent="0.25">
      <c r="A6434" t="str">
        <f>"20190312160500155"</f>
        <v>20190312160500155</v>
      </c>
      <c r="B6434" t="str">
        <f>"1552377900151490"</f>
        <v>1552377900151490</v>
      </c>
      <c r="C6434" t="s">
        <v>40</v>
      </c>
      <c r="D6434">
        <v>6.0451220000000001</v>
      </c>
      <c r="E6434">
        <v>0.49013420000000002</v>
      </c>
      <c r="F6434" t="s">
        <v>87</v>
      </c>
      <c r="G6434">
        <v>-274.99380000000002</v>
      </c>
      <c r="H6434">
        <v>12.07006</v>
      </c>
      <c r="I6434">
        <v>23.83389</v>
      </c>
      <c r="J6434">
        <v>-365.22649999999999</v>
      </c>
      <c r="K6434">
        <v>1.109961</v>
      </c>
      <c r="L6434">
        <v>16.95129</v>
      </c>
      <c r="M6434">
        <v>0.99936119999999995</v>
      </c>
      <c r="N6434">
        <v>0</v>
      </c>
      <c r="O6434">
        <v>3.4588729999999998E-2</v>
      </c>
      <c r="P6434">
        <v>0.99772590000000005</v>
      </c>
      <c r="Q6434">
        <v>4.6110020000000002E-2</v>
      </c>
      <c r="R6434">
        <v>4.9163640000000002E-2</v>
      </c>
      <c r="S6434">
        <v>2.979034</v>
      </c>
      <c r="T6434">
        <v>0.3611299</v>
      </c>
      <c r="U6434">
        <v>0.22698969999999999</v>
      </c>
      <c r="V6434">
        <v>-1.4640729999999999E-2</v>
      </c>
      <c r="W6434">
        <v>5.5093339999999998E-2</v>
      </c>
      <c r="X6434">
        <v>0.99837390000000004</v>
      </c>
      <c r="Y6434">
        <v>-4.1390360000000001E-2</v>
      </c>
      <c r="Z6434">
        <v>1.673861E-3</v>
      </c>
      <c r="AA6434">
        <v>0.99914159999999996</v>
      </c>
      <c r="AB6434">
        <v>23</v>
      </c>
      <c r="AC6434">
        <v>90.232699999999895</v>
      </c>
      <c r="AD6434">
        <v>10.960099</v>
      </c>
      <c r="AE6434">
        <v>6.8826000000000001</v>
      </c>
      <c r="AF6434">
        <v>-3.7030037186773201</v>
      </c>
      <c r="AG6434">
        <v>10.960099</v>
      </c>
      <c r="AH6434">
        <v>89.109680121114195</v>
      </c>
      <c r="AI6434">
        <v>82.9940743402761</v>
      </c>
      <c r="AJ6434">
        <v>92.379589771071593</v>
      </c>
      <c r="AK6434">
        <v>89.857504405128196</v>
      </c>
      <c r="AL6434">
        <v>86.841785199552405</v>
      </c>
      <c r="AM6434">
        <v>90.8401580951748</v>
      </c>
      <c r="AN6434">
        <v>1.00000003564424</v>
      </c>
    </row>
    <row r="6435" spans="1:40" x14ac:dyDescent="0.25">
      <c r="A6435" t="str">
        <f>"20190312160500177"</f>
        <v>20190312160500177</v>
      </c>
      <c r="B6435" t="str">
        <f>"1552377900171985"</f>
        <v>1552377900171985</v>
      </c>
      <c r="C6435" t="s">
        <v>40</v>
      </c>
      <c r="D6435">
        <v>6.1240620000000003</v>
      </c>
      <c r="E6435">
        <v>0.49050759999999999</v>
      </c>
      <c r="F6435" t="s">
        <v>87</v>
      </c>
      <c r="G6435">
        <v>-274.99380000000002</v>
      </c>
      <c r="H6435">
        <v>11.8629</v>
      </c>
      <c r="I6435">
        <v>23.859500000000001</v>
      </c>
      <c r="J6435">
        <v>-364.99090000000001</v>
      </c>
      <c r="K6435">
        <v>1.1099460000000001</v>
      </c>
      <c r="L6435">
        <v>16.95975</v>
      </c>
      <c r="M6435">
        <v>0.99935289999999999</v>
      </c>
      <c r="N6435">
        <v>0</v>
      </c>
      <c r="O6435">
        <v>3.4848810000000001E-2</v>
      </c>
      <c r="P6435">
        <v>0.99769050000000004</v>
      </c>
      <c r="Q6435">
        <v>4.5873490000000003E-2</v>
      </c>
      <c r="R6435">
        <v>5.0092860000000003E-2</v>
      </c>
      <c r="S6435">
        <v>2.9792179999999999</v>
      </c>
      <c r="T6435">
        <v>0.35503050000000003</v>
      </c>
      <c r="U6435">
        <v>0.2280884</v>
      </c>
      <c r="V6435">
        <v>-1.531034E-2</v>
      </c>
      <c r="W6435">
        <v>5.4770060000000002E-2</v>
      </c>
      <c r="X6435">
        <v>0.99838159999999998</v>
      </c>
      <c r="Y6435">
        <v>-4.149477E-2</v>
      </c>
      <c r="Z6435">
        <v>1.6702729999999999E-3</v>
      </c>
      <c r="AA6435">
        <v>0.99913730000000001</v>
      </c>
      <c r="AB6435">
        <v>23</v>
      </c>
      <c r="AC6435">
        <v>89.997099999999904</v>
      </c>
      <c r="AD6435">
        <v>10.752954000000001</v>
      </c>
      <c r="AE6435">
        <v>6.89975</v>
      </c>
      <c r="AF6435">
        <v>-3.7065380951110298</v>
      </c>
      <c r="AG6435">
        <v>10.752954000000001</v>
      </c>
      <c r="AH6435">
        <v>88.920894984408307</v>
      </c>
      <c r="AI6435">
        <v>83.110787274191694</v>
      </c>
      <c r="AJ6435">
        <v>92.386909390118802</v>
      </c>
      <c r="AK6435">
        <v>89.645356874769504</v>
      </c>
      <c r="AL6435">
        <v>86.860335652564004</v>
      </c>
      <c r="AM6435">
        <v>90.878570989645198</v>
      </c>
      <c r="AN6435">
        <v>0.99999999260093897</v>
      </c>
    </row>
    <row r="6436" spans="1:40" x14ac:dyDescent="0.25">
      <c r="A6436" t="str">
        <f>"20190312160500188"</f>
        <v>20190312160500188</v>
      </c>
      <c r="B6436" t="str">
        <f>"1552377900181747"</f>
        <v>1552377900181747</v>
      </c>
      <c r="C6436" t="s">
        <v>40</v>
      </c>
      <c r="D6436">
        <v>6.1512529999999996</v>
      </c>
      <c r="E6436">
        <v>0.49065979999999998</v>
      </c>
      <c r="F6436" t="s">
        <v>87</v>
      </c>
      <c r="G6436">
        <v>-274.99380000000002</v>
      </c>
      <c r="H6436">
        <v>11.66872</v>
      </c>
      <c r="I6436">
        <v>23.855799999999999</v>
      </c>
      <c r="J6436">
        <v>-364.87880000000001</v>
      </c>
      <c r="K6436">
        <v>1.109939</v>
      </c>
      <c r="L6436">
        <v>16.963809999999999</v>
      </c>
      <c r="M6436">
        <v>0.99934900000000004</v>
      </c>
      <c r="N6436">
        <v>0</v>
      </c>
      <c r="O6436">
        <v>3.4971710000000003E-2</v>
      </c>
      <c r="P6436">
        <v>0.99766089999999996</v>
      </c>
      <c r="Q6436">
        <v>4.5579010000000003E-2</v>
      </c>
      <c r="R6436">
        <v>5.0945030000000002E-2</v>
      </c>
      <c r="S6436">
        <v>2.9794619999999998</v>
      </c>
      <c r="T6436">
        <v>0.34956120000000002</v>
      </c>
      <c r="U6436">
        <v>0.228302</v>
      </c>
      <c r="V6436">
        <v>-1.604044E-2</v>
      </c>
      <c r="W6436">
        <v>5.4434860000000002E-2</v>
      </c>
      <c r="X6436">
        <v>0.99838850000000001</v>
      </c>
      <c r="Y6436">
        <v>-4.1439549999999999E-2</v>
      </c>
      <c r="Z6436">
        <v>1.662134E-3</v>
      </c>
      <c r="AA6436">
        <v>0.99913960000000002</v>
      </c>
      <c r="AB6436">
        <v>23</v>
      </c>
      <c r="AC6436">
        <v>89.884999999999906</v>
      </c>
      <c r="AD6436">
        <v>10.558781</v>
      </c>
      <c r="AE6436">
        <v>6.8919899999999901</v>
      </c>
      <c r="AF6436">
        <v>-3.6935482080423698</v>
      </c>
      <c r="AG6436">
        <v>10.558781</v>
      </c>
      <c r="AH6436">
        <v>88.852127576406801</v>
      </c>
      <c r="AI6436">
        <v>83.228806760747204</v>
      </c>
      <c r="AJ6436">
        <v>92.380392654878506</v>
      </c>
      <c r="AK6436">
        <v>89.553507633286799</v>
      </c>
      <c r="AL6436">
        <v>86.879569988187498</v>
      </c>
      <c r="AM6436">
        <v>90.920453759850702</v>
      </c>
      <c r="AN6436">
        <v>1.00000002331543</v>
      </c>
    </row>
    <row r="6437" spans="1:40" x14ac:dyDescent="0.25">
      <c r="A6437" t="str">
        <f>"20190312160500198"</f>
        <v>20190312160500198</v>
      </c>
      <c r="B6437" t="str">
        <f>"1552377900191505"</f>
        <v>1552377900191505</v>
      </c>
      <c r="C6437" t="s">
        <v>40</v>
      </c>
      <c r="D6437">
        <v>6.1480579999999998</v>
      </c>
      <c r="E6437">
        <v>0.49081229999999998</v>
      </c>
      <c r="F6437" t="s">
        <v>87</v>
      </c>
      <c r="G6437">
        <v>-274.99380000000002</v>
      </c>
      <c r="H6437">
        <v>11.60464</v>
      </c>
      <c r="I6437">
        <v>23.897449999999999</v>
      </c>
      <c r="J6437">
        <v>-364.76569999999998</v>
      </c>
      <c r="K6437">
        <v>1.1099319999999999</v>
      </c>
      <c r="L6437">
        <v>16.9679</v>
      </c>
      <c r="M6437">
        <v>0.99934500000000004</v>
      </c>
      <c r="N6437">
        <v>0</v>
      </c>
      <c r="O6437">
        <v>3.5093590000000001E-2</v>
      </c>
      <c r="P6437">
        <v>0.99764129999999995</v>
      </c>
      <c r="Q6437">
        <v>4.5350370000000001E-2</v>
      </c>
      <c r="R6437">
        <v>5.1529779999999997E-2</v>
      </c>
      <c r="S6437">
        <v>2.9794010000000002</v>
      </c>
      <c r="T6437">
        <v>0.34786620000000001</v>
      </c>
      <c r="U6437">
        <v>0.2298279</v>
      </c>
      <c r="V6437">
        <v>-1.650389E-2</v>
      </c>
      <c r="W6437">
        <v>5.4166800000000001E-2</v>
      </c>
      <c r="X6437">
        <v>0.99839549999999999</v>
      </c>
      <c r="Y6437">
        <v>-4.1826589999999997E-2</v>
      </c>
      <c r="Z6437">
        <v>1.645779E-3</v>
      </c>
      <c r="AA6437">
        <v>0.99912350000000005</v>
      </c>
      <c r="AB6437">
        <v>23</v>
      </c>
      <c r="AC6437">
        <v>89.771899999999903</v>
      </c>
      <c r="AD6437">
        <v>10.494707999999999</v>
      </c>
      <c r="AE6437">
        <v>6.9295499999999901</v>
      </c>
      <c r="AF6437">
        <v>-3.7241452616587001</v>
      </c>
      <c r="AG6437">
        <v>10.494707999999999</v>
      </c>
      <c r="AH6437">
        <v>88.754011786619401</v>
      </c>
      <c r="AI6437">
        <v>83.262254462084996</v>
      </c>
      <c r="AJ6437">
        <v>92.402738811783607</v>
      </c>
      <c r="AK6437">
        <v>89.449889671002794</v>
      </c>
      <c r="AL6437">
        <v>86.894951307722806</v>
      </c>
      <c r="AM6437">
        <v>90.947036646835201</v>
      </c>
      <c r="AN6437">
        <v>0.99999999751381097</v>
      </c>
    </row>
    <row r="6438" spans="1:40" x14ac:dyDescent="0.25">
      <c r="A6438" t="str">
        <f>"20190312160500210"</f>
        <v>20190312160500210</v>
      </c>
      <c r="B6438" t="str">
        <f>"1552377900201923"</f>
        <v>1552377900201923</v>
      </c>
      <c r="C6438" t="s">
        <v>40</v>
      </c>
      <c r="D6438">
        <v>6.2234499999999997</v>
      </c>
      <c r="E6438">
        <v>0.49088199999999999</v>
      </c>
      <c r="F6438" t="s">
        <v>87</v>
      </c>
      <c r="G6438">
        <v>-274.99380000000002</v>
      </c>
      <c r="H6438">
        <v>11.530939999999999</v>
      </c>
      <c r="I6438">
        <v>23.912970000000001</v>
      </c>
      <c r="J6438">
        <v>-364.6576</v>
      </c>
      <c r="K6438">
        <v>1.109928</v>
      </c>
      <c r="L6438">
        <v>16.971829999999901</v>
      </c>
      <c r="M6438">
        <v>0.99934140000000005</v>
      </c>
      <c r="N6438">
        <v>0</v>
      </c>
      <c r="O6438">
        <v>3.5209310000000001E-2</v>
      </c>
      <c r="P6438">
        <v>0.99762989999999996</v>
      </c>
      <c r="Q6438">
        <v>4.5085989999999999E-2</v>
      </c>
      <c r="R6438">
        <v>5.1985400000000001E-2</v>
      </c>
      <c r="S6438">
        <v>2.9794309999999999</v>
      </c>
      <c r="T6438">
        <v>0.3458619</v>
      </c>
      <c r="U6438">
        <v>0.23049929999999999</v>
      </c>
      <c r="V6438">
        <v>-1.6843609999999998E-2</v>
      </c>
      <c r="W6438">
        <v>5.3865870000000003E-2</v>
      </c>
      <c r="X6438">
        <v>0.99840609999999996</v>
      </c>
      <c r="Y6438">
        <v>-4.1934510000000001E-2</v>
      </c>
      <c r="Z6438">
        <v>1.643444E-3</v>
      </c>
      <c r="AA6438">
        <v>0.99911899999999998</v>
      </c>
      <c r="AB6438">
        <v>23</v>
      </c>
      <c r="AC6438">
        <v>89.663799999999895</v>
      </c>
      <c r="AD6438">
        <v>10.421011999999999</v>
      </c>
      <c r="AE6438">
        <v>6.9411399999999999</v>
      </c>
      <c r="AF6438">
        <v>-3.7296345426821902</v>
      </c>
      <c r="AG6438">
        <v>10.421011999999999</v>
      </c>
      <c r="AH6438">
        <v>88.662104687836504</v>
      </c>
      <c r="AI6438">
        <v>83.302294404430896</v>
      </c>
      <c r="AJ6438">
        <v>92.408767626919001</v>
      </c>
      <c r="AK6438">
        <v>89.350302028605299</v>
      </c>
      <c r="AL6438">
        <v>86.912218512275203</v>
      </c>
      <c r="AM6438">
        <v>90.966516754260297</v>
      </c>
      <c r="AN6438">
        <v>0.99999998983294902</v>
      </c>
    </row>
    <row r="6439" spans="1:40" x14ac:dyDescent="0.25">
      <c r="A6439" t="str">
        <f>"20190312160500220"</f>
        <v>20190312160500220</v>
      </c>
      <c r="B6439" t="str">
        <f>"1552377900211682"</f>
        <v>1552377900211682</v>
      </c>
      <c r="C6439" t="s">
        <v>40</v>
      </c>
      <c r="D6439">
        <v>6.1300290000000004</v>
      </c>
      <c r="E6439">
        <v>0.49100739999999998</v>
      </c>
      <c r="F6439" t="s">
        <v>87</v>
      </c>
      <c r="G6439">
        <v>-274.99380000000002</v>
      </c>
      <c r="H6439">
        <v>11.4498</v>
      </c>
      <c r="I6439">
        <v>23.936720000000001</v>
      </c>
      <c r="J6439">
        <v>-364.54419999999999</v>
      </c>
      <c r="K6439">
        <v>1.10992</v>
      </c>
      <c r="L6439">
        <v>16.975950000000001</v>
      </c>
      <c r="M6439">
        <v>0.99933749999999999</v>
      </c>
      <c r="N6439">
        <v>0</v>
      </c>
      <c r="O6439">
        <v>3.5328360000000003E-2</v>
      </c>
      <c r="P6439">
        <v>0.997618</v>
      </c>
      <c r="Q6439">
        <v>4.4916020000000001E-2</v>
      </c>
      <c r="R6439">
        <v>5.2358889999999998E-2</v>
      </c>
      <c r="S6439">
        <v>2.9795530000000001</v>
      </c>
      <c r="T6439">
        <v>0.34359689999999998</v>
      </c>
      <c r="U6439">
        <v>0.23144529999999999</v>
      </c>
      <c r="V6439">
        <v>-1.7097540000000001E-2</v>
      </c>
      <c r="W6439">
        <v>5.3659709999999999E-2</v>
      </c>
      <c r="X6439">
        <v>0.99841290000000005</v>
      </c>
      <c r="Y6439">
        <v>-4.21278E-2</v>
      </c>
      <c r="Z6439">
        <v>1.6352160000000001E-3</v>
      </c>
      <c r="AA6439">
        <v>0.99911090000000002</v>
      </c>
      <c r="AB6439">
        <v>23</v>
      </c>
      <c r="AC6439">
        <v>89.550399999999897</v>
      </c>
      <c r="AD6439">
        <v>10.339880000000001</v>
      </c>
      <c r="AE6439">
        <v>6.9607700000000001</v>
      </c>
      <c r="AF6439">
        <v>-3.74303224982182</v>
      </c>
      <c r="AG6439">
        <v>10.339880000000001</v>
      </c>
      <c r="AH6439">
        <v>88.566734595726899</v>
      </c>
      <c r="AI6439">
        <v>83.346932728442695</v>
      </c>
      <c r="AJ6439">
        <v>92.420010241953904</v>
      </c>
      <c r="AK6439">
        <v>89.246792019587602</v>
      </c>
      <c r="AL6439">
        <v>86.924047764008407</v>
      </c>
      <c r="AM6439">
        <v>90.981078208621</v>
      </c>
      <c r="AN6439">
        <v>1.00000000461887</v>
      </c>
    </row>
    <row r="6440" spans="1:40" x14ac:dyDescent="0.25">
      <c r="A6440" t="str">
        <f>"20190312160500232"</f>
        <v>20190312160500232</v>
      </c>
      <c r="B6440" t="str">
        <f>"1552377900221443"</f>
        <v>1552377900221443</v>
      </c>
      <c r="C6440" t="s">
        <v>40</v>
      </c>
      <c r="D6440">
        <v>6.0745699999999996</v>
      </c>
      <c r="E6440">
        <v>0.49106450000000001</v>
      </c>
      <c r="F6440" t="s">
        <v>87</v>
      </c>
      <c r="G6440">
        <v>-274.99380000000002</v>
      </c>
      <c r="H6440">
        <v>11.35388</v>
      </c>
      <c r="I6440">
        <v>23.933720000000001</v>
      </c>
      <c r="J6440">
        <v>-364.43119999999999</v>
      </c>
      <c r="K6440">
        <v>1.1099129999999999</v>
      </c>
      <c r="L6440">
        <v>16.980070000000001</v>
      </c>
      <c r="M6440">
        <v>0.99933360000000004</v>
      </c>
      <c r="N6440">
        <v>0</v>
      </c>
      <c r="O6440">
        <v>3.5445259999999999E-2</v>
      </c>
      <c r="P6440">
        <v>0.99763769999999996</v>
      </c>
      <c r="Q6440">
        <v>4.433554E-2</v>
      </c>
      <c r="R6440">
        <v>5.2475090000000002E-2</v>
      </c>
      <c r="S6440">
        <v>2.9796140000000002</v>
      </c>
      <c r="T6440">
        <v>0.34084809999999999</v>
      </c>
      <c r="U6440">
        <v>0.2315063</v>
      </c>
      <c r="V6440">
        <v>-1.7096199999999999E-2</v>
      </c>
      <c r="W6440">
        <v>5.304499E-2</v>
      </c>
      <c r="X6440">
        <v>0.99844569999999999</v>
      </c>
      <c r="Y6440">
        <v>-4.2031779999999998E-2</v>
      </c>
      <c r="Z6440">
        <v>1.640943E-3</v>
      </c>
      <c r="AA6440">
        <v>0.99911490000000003</v>
      </c>
      <c r="AB6440">
        <v>23</v>
      </c>
      <c r="AC6440">
        <v>89.437399999999897</v>
      </c>
      <c r="AD6440">
        <v>10.243967</v>
      </c>
      <c r="AE6440">
        <v>6.9536499999999997</v>
      </c>
      <c r="AF6440">
        <v>-3.7303832359528002</v>
      </c>
      <c r="AG6440">
        <v>10.243967</v>
      </c>
      <c r="AH6440">
        <v>88.473969584319804</v>
      </c>
      <c r="AI6440">
        <v>83.401223224713306</v>
      </c>
      <c r="AJ6440">
        <v>92.414367682158002</v>
      </c>
      <c r="AK6440">
        <v>89.143131608617495</v>
      </c>
      <c r="AL6440">
        <v>86.959318644223401</v>
      </c>
      <c r="AM6440">
        <v>90.980969112137103</v>
      </c>
      <c r="AN6440">
        <v>0.99999993343351201</v>
      </c>
    </row>
    <row r="6441" spans="1:40" x14ac:dyDescent="0.25">
      <c r="A6441" t="str">
        <f>"20190312160500241"</f>
        <v>20190312160500241</v>
      </c>
      <c r="B6441" t="str">
        <f>"1552377900231203"</f>
        <v>1552377900231203</v>
      </c>
      <c r="C6441" t="s">
        <v>40</v>
      </c>
      <c r="D6441">
        <v>5.7128909999999999</v>
      </c>
      <c r="E6441">
        <v>0.49113610000000002</v>
      </c>
      <c r="F6441" t="s">
        <v>87</v>
      </c>
      <c r="G6441">
        <v>-274.99380000000002</v>
      </c>
      <c r="H6441">
        <v>11.24085</v>
      </c>
      <c r="I6441">
        <v>23.921810000000001</v>
      </c>
      <c r="J6441">
        <v>-364.32279999999997</v>
      </c>
      <c r="K6441">
        <v>1.109909</v>
      </c>
      <c r="L6441">
        <v>16.98404</v>
      </c>
      <c r="M6441">
        <v>0.99932989999999999</v>
      </c>
      <c r="N6441">
        <v>0</v>
      </c>
      <c r="O6441">
        <v>3.5555469999999999E-2</v>
      </c>
      <c r="P6441">
        <v>0.99763230000000003</v>
      </c>
      <c r="Q6441">
        <v>4.4079899999999998E-2</v>
      </c>
      <c r="R6441">
        <v>5.2791629999999999E-2</v>
      </c>
      <c r="S6441">
        <v>2.9799799999999999</v>
      </c>
      <c r="T6441">
        <v>0.33755459999999998</v>
      </c>
      <c r="U6441">
        <v>0.23129269999999999</v>
      </c>
      <c r="V6441">
        <v>-1.7302140000000001E-2</v>
      </c>
      <c r="W6441">
        <v>5.275643E-2</v>
      </c>
      <c r="X6441">
        <v>0.9984575</v>
      </c>
      <c r="Y6441">
        <v>-4.1843650000000003E-2</v>
      </c>
      <c r="Z6441">
        <v>1.6480129999999901E-3</v>
      </c>
      <c r="AA6441">
        <v>0.99912279999999998</v>
      </c>
      <c r="AB6441">
        <v>23</v>
      </c>
      <c r="AC6441">
        <v>89.328999999999894</v>
      </c>
      <c r="AD6441">
        <v>10.130941</v>
      </c>
      <c r="AE6441">
        <v>6.9377699999999898</v>
      </c>
      <c r="AF6441">
        <v>-3.70969962347603</v>
      </c>
      <c r="AG6441">
        <v>10.130941</v>
      </c>
      <c r="AH6441">
        <v>88.389137696125104</v>
      </c>
      <c r="AI6441">
        <v>83.467136222490595</v>
      </c>
      <c r="AJ6441">
        <v>92.403298272330105</v>
      </c>
      <c r="AK6441">
        <v>89.045143042764906</v>
      </c>
      <c r="AL6441">
        <v>86.975875275919293</v>
      </c>
      <c r="AM6441">
        <v>90.992771737124301</v>
      </c>
      <c r="AN6441">
        <v>0.99999999213058699</v>
      </c>
    </row>
    <row r="6442" spans="1:40" x14ac:dyDescent="0.25">
      <c r="A6442" t="str">
        <f>"20190312160500254"</f>
        <v>20190312160500254</v>
      </c>
      <c r="B6442" t="str">
        <f>"1552377900251699"</f>
        <v>1552377900251699</v>
      </c>
      <c r="C6442" t="s">
        <v>40</v>
      </c>
      <c r="D6442">
        <v>5.9781969999999998</v>
      </c>
      <c r="E6442">
        <v>0.49130420000000002</v>
      </c>
      <c r="F6442" t="s">
        <v>87</v>
      </c>
      <c r="G6442">
        <v>-274.99380000000002</v>
      </c>
      <c r="H6442">
        <v>11.15911</v>
      </c>
      <c r="I6442">
        <v>23.925450000000001</v>
      </c>
      <c r="J6442">
        <v>-364.2056</v>
      </c>
      <c r="K6442">
        <v>1.109901</v>
      </c>
      <c r="L6442">
        <v>16.988340000000001</v>
      </c>
      <c r="M6442">
        <v>0.99932609999999999</v>
      </c>
      <c r="N6442">
        <v>0</v>
      </c>
      <c r="O6442">
        <v>3.5671290000000001E-2</v>
      </c>
      <c r="P6442">
        <v>0.99762410000000001</v>
      </c>
      <c r="Q6442">
        <v>4.3817410000000001E-2</v>
      </c>
      <c r="R6442">
        <v>5.3162519999999998E-2</v>
      </c>
      <c r="S6442">
        <v>2.9800420000000001</v>
      </c>
      <c r="T6442">
        <v>0.33524470000000001</v>
      </c>
      <c r="U6442">
        <v>0.23156740000000001</v>
      </c>
      <c r="V6442">
        <v>-1.755665E-2</v>
      </c>
      <c r="W6442">
        <v>5.2458820000000003E-2</v>
      </c>
      <c r="X6442">
        <v>0.99846880000000005</v>
      </c>
      <c r="Y6442">
        <v>-4.1819250000000002E-2</v>
      </c>
      <c r="Z6442">
        <v>1.6510839999999999E-3</v>
      </c>
      <c r="AA6442">
        <v>0.99912380000000001</v>
      </c>
      <c r="AB6442">
        <v>23</v>
      </c>
      <c r="AC6442">
        <v>89.211799999999897</v>
      </c>
      <c r="AD6442">
        <v>10.049208999999999</v>
      </c>
      <c r="AE6442">
        <v>6.9371099999999997</v>
      </c>
      <c r="AF6442">
        <v>-3.70356436071298</v>
      </c>
      <c r="AG6442">
        <v>10.049208999999999</v>
      </c>
      <c r="AH6442">
        <v>88.288940314728904</v>
      </c>
      <c r="AI6442">
        <v>83.512092415094898</v>
      </c>
      <c r="AJ6442">
        <v>92.402048004704298</v>
      </c>
      <c r="AK6442">
        <v>88.936156721534701</v>
      </c>
      <c r="AL6442">
        <v>86.992950904813398</v>
      </c>
      <c r="AM6442">
        <v>91.0073607664104</v>
      </c>
      <c r="AN6442">
        <v>1.00000005416422</v>
      </c>
    </row>
    <row r="6443" spans="1:40" x14ac:dyDescent="0.25">
      <c r="A6443" t="str">
        <f>"20190312160500333"</f>
        <v>20190312160500333</v>
      </c>
      <c r="B6443" t="str">
        <f>"1552377900321602"</f>
        <v>1552377900321602</v>
      </c>
      <c r="C6443" t="s">
        <v>40</v>
      </c>
      <c r="D6443">
        <v>5.4800110000000002</v>
      </c>
      <c r="E6443">
        <v>0.49130420000000002</v>
      </c>
      <c r="F6443" t="s">
        <v>87</v>
      </c>
      <c r="G6443">
        <v>-274.99380000000002</v>
      </c>
      <c r="H6443">
        <v>11.099069999999999</v>
      </c>
      <c r="I6443">
        <v>23.914860000000001</v>
      </c>
      <c r="J6443">
        <v>-363.38299999999998</v>
      </c>
      <c r="K6443">
        <v>1.1098349999999999</v>
      </c>
      <c r="L6443">
        <v>17.01877</v>
      </c>
      <c r="M6443">
        <v>0.99930209999999997</v>
      </c>
      <c r="N6443">
        <v>0</v>
      </c>
      <c r="O6443">
        <v>3.6393040000000001E-2</v>
      </c>
      <c r="P6443">
        <v>0.99763570000000001</v>
      </c>
      <c r="Q6443">
        <v>4.3806299999999999E-2</v>
      </c>
      <c r="R6443">
        <v>5.2954290000000001E-2</v>
      </c>
      <c r="S6443">
        <v>2.9801639999999998</v>
      </c>
      <c r="T6443">
        <v>0.33369349999999998</v>
      </c>
      <c r="U6443">
        <v>0.23138429999999999</v>
      </c>
      <c r="V6443">
        <v>-1.6623679999999998E-2</v>
      </c>
      <c r="W6443">
        <v>5.2221679999999999E-2</v>
      </c>
      <c r="X6443">
        <v>0.99849710000000003</v>
      </c>
      <c r="Y6443">
        <v>-4.1043169999999997E-2</v>
      </c>
      <c r="Z6443">
        <v>1.7670229999999999E-3</v>
      </c>
      <c r="AA6443">
        <v>0.99915580000000004</v>
      </c>
      <c r="AB6443">
        <v>23</v>
      </c>
      <c r="AC6443">
        <v>88.389200000000002</v>
      </c>
      <c r="AD6443">
        <v>9.9892350000000008</v>
      </c>
      <c r="AE6443">
        <v>6.8960900000000001</v>
      </c>
      <c r="AF6443">
        <v>-3.6285909943175598</v>
      </c>
      <c r="AG6443">
        <v>9.9892350000000008</v>
      </c>
      <c r="AH6443">
        <v>87.471180365325793</v>
      </c>
      <c r="AI6443">
        <v>83.490579490254703</v>
      </c>
      <c r="AJ6443">
        <v>92.375454569568006</v>
      </c>
      <c r="AK6443">
        <v>88.114464663825899</v>
      </c>
      <c r="AL6443">
        <v>87.006556376406905</v>
      </c>
      <c r="AM6443">
        <v>90.953812201628693</v>
      </c>
      <c r="AN6443">
        <v>0.99999995465358604</v>
      </c>
    </row>
    <row r="6444" spans="1:40" x14ac:dyDescent="0.25">
      <c r="A6444" t="str">
        <f>"20190312160500345"</f>
        <v>20190312160500345</v>
      </c>
      <c r="B6444" t="str">
        <f>"1552377900342097"</f>
        <v>1552377900342097</v>
      </c>
      <c r="C6444" t="s">
        <v>40</v>
      </c>
      <c r="D6444">
        <v>7.0855889999999997</v>
      </c>
      <c r="E6444">
        <v>0.4991833</v>
      </c>
      <c r="F6444" t="s">
        <v>87</v>
      </c>
      <c r="G6444">
        <v>-274.99380000000002</v>
      </c>
      <c r="H6444">
        <v>11.00067</v>
      </c>
      <c r="I6444">
        <v>23.87593</v>
      </c>
      <c r="J6444">
        <v>-363.25490000000002</v>
      </c>
      <c r="K6444">
        <v>1.1098269999999999</v>
      </c>
      <c r="L6444">
        <v>17.02356</v>
      </c>
      <c r="M6444">
        <v>0.99929889999999999</v>
      </c>
      <c r="N6444">
        <v>0</v>
      </c>
      <c r="O6444">
        <v>3.6491059999999999E-2</v>
      </c>
      <c r="P6444">
        <v>0.99765519999999996</v>
      </c>
      <c r="Q6444">
        <v>4.3681570000000003E-2</v>
      </c>
      <c r="R6444">
        <v>5.2691839999999997E-2</v>
      </c>
      <c r="S6444">
        <v>2.980194</v>
      </c>
      <c r="T6444">
        <v>0.33348680000000003</v>
      </c>
      <c r="U6444">
        <v>0.2312012</v>
      </c>
      <c r="V6444">
        <v>-1.6261959999999999E-2</v>
      </c>
      <c r="W6444">
        <v>5.2065489999999999E-2</v>
      </c>
      <c r="X6444">
        <v>0.99851129999999999</v>
      </c>
      <c r="Y6444">
        <v>-4.0884990000000003E-2</v>
      </c>
      <c r="Z6444">
        <v>1.7856370000000001E-3</v>
      </c>
      <c r="AA6444">
        <v>0.99916229999999995</v>
      </c>
      <c r="AB6444">
        <v>23</v>
      </c>
      <c r="AC6444">
        <v>88.261099999999999</v>
      </c>
      <c r="AD6444">
        <v>9.8908429999999896</v>
      </c>
      <c r="AE6444">
        <v>6.8523699999999996</v>
      </c>
      <c r="AF6444">
        <v>-3.5822349100120099</v>
      </c>
      <c r="AG6444">
        <v>9.8908429999999896</v>
      </c>
      <c r="AH6444">
        <v>87.361835679913398</v>
      </c>
      <c r="AI6444">
        <v>83.546027808161497</v>
      </c>
      <c r="AJ6444">
        <v>92.348073658384394</v>
      </c>
      <c r="AK6444">
        <v>87.992906052507095</v>
      </c>
      <c r="AL6444">
        <v>87.015517854643093</v>
      </c>
      <c r="AM6444">
        <v>90.933048338242202</v>
      </c>
      <c r="AN6444">
        <v>1.00000004140983</v>
      </c>
    </row>
    <row r="6445" spans="1:40" x14ac:dyDescent="0.25">
      <c r="A6445" t="str">
        <f>"20190312160500357"</f>
        <v>20190312160500357</v>
      </c>
      <c r="B6445" t="str">
        <f>"1552377900351857"</f>
        <v>1552377900351857</v>
      </c>
      <c r="C6445" t="s">
        <v>40</v>
      </c>
      <c r="D6445">
        <v>6.2439519999999904</v>
      </c>
      <c r="E6445">
        <v>0.4991833</v>
      </c>
      <c r="F6445" t="s">
        <v>49</v>
      </c>
      <c r="G6445">
        <v>-362.55919999999998</v>
      </c>
      <c r="H6445">
        <v>0.92921560000000003</v>
      </c>
      <c r="I6445">
        <v>17.057829999999999</v>
      </c>
      <c r="J6445">
        <v>-363.12970000000001</v>
      </c>
      <c r="K6445">
        <v>1.10982</v>
      </c>
      <c r="L6445">
        <v>17.028229999999901</v>
      </c>
      <c r="M6445">
        <v>0.99929559999999995</v>
      </c>
      <c r="N6445">
        <v>0</v>
      </c>
      <c r="O6445">
        <v>3.6582339999999998E-2</v>
      </c>
      <c r="P6445">
        <v>0.99768040000000002</v>
      </c>
      <c r="Q6445">
        <v>4.3794130000000001E-2</v>
      </c>
      <c r="R6445">
        <v>5.2115540000000002E-2</v>
      </c>
      <c r="S6445">
        <v>3.033569</v>
      </c>
      <c r="T6445">
        <v>-0.78758530000000004</v>
      </c>
      <c r="U6445">
        <v>0.15072629999999901</v>
      </c>
      <c r="V6445">
        <v>-1.559341E-2</v>
      </c>
      <c r="W6445">
        <v>5.2147869999999999E-2</v>
      </c>
      <c r="X6445">
        <v>0.99851760000000001</v>
      </c>
      <c r="Y6445">
        <v>-1.3805700000000001E-2</v>
      </c>
      <c r="Z6445">
        <v>-7.5720459999999998E-3</v>
      </c>
      <c r="AA6445">
        <v>0.99987599999999999</v>
      </c>
      <c r="AB6445">
        <v>23</v>
      </c>
      <c r="AC6445">
        <v>0.57050000000003798</v>
      </c>
      <c r="AD6445">
        <v>-0.1806044</v>
      </c>
      <c r="AE6445">
        <v>2.9600000000002E-2</v>
      </c>
      <c r="AF6445">
        <v>-7.9178497744075097E-3</v>
      </c>
      <c r="AG6445">
        <v>-0.1806044</v>
      </c>
      <c r="AH6445">
        <v>0.51929776401157901</v>
      </c>
      <c r="AI6445">
        <v>109.174884014296</v>
      </c>
      <c r="AJ6445">
        <v>90.873533945219293</v>
      </c>
      <c r="AK6445">
        <v>0.549864355411255</v>
      </c>
      <c r="AL6445">
        <v>87.010791212491498</v>
      </c>
      <c r="AM6445">
        <v>90.894690251142805</v>
      </c>
      <c r="AN6445">
        <v>0.99999997614536196</v>
      </c>
    </row>
    <row r="6446" spans="1:40" x14ac:dyDescent="0.25">
      <c r="A6446" t="str">
        <f>"20190312160500371"</f>
        <v>20190312160500371</v>
      </c>
      <c r="B6446" t="str">
        <f>"1552377900361617"</f>
        <v>1552377900361617</v>
      </c>
      <c r="C6446" t="s">
        <v>40</v>
      </c>
      <c r="D6446">
        <v>6.0831330000000001</v>
      </c>
      <c r="E6446">
        <v>0.50226759999999904</v>
      </c>
      <c r="F6446" t="s">
        <v>49</v>
      </c>
      <c r="G6446">
        <v>-362.35739999999998</v>
      </c>
      <c r="H6446">
        <v>0.90943499999999999</v>
      </c>
      <c r="I6446">
        <v>17.066029999999898</v>
      </c>
      <c r="J6446">
        <v>-362.9837</v>
      </c>
      <c r="K6446">
        <v>1.109812</v>
      </c>
      <c r="L6446">
        <v>17.03369</v>
      </c>
      <c r="M6446">
        <v>0.99929219999999996</v>
      </c>
      <c r="N6446">
        <v>0</v>
      </c>
      <c r="O6446">
        <v>3.6685870000000002E-2</v>
      </c>
      <c r="P6446">
        <v>0.99770780000000003</v>
      </c>
      <c r="Q6446">
        <v>4.3905470000000002E-2</v>
      </c>
      <c r="R6446">
        <v>5.1494529999999997E-2</v>
      </c>
      <c r="S6446">
        <v>3.0337830000000001</v>
      </c>
      <c r="T6446">
        <v>-0.78719380000000005</v>
      </c>
      <c r="U6446">
        <v>0.14913940000000001</v>
      </c>
      <c r="V6446">
        <v>-1.4867719999999999E-2</v>
      </c>
      <c r="W6446">
        <v>5.2223100000000001E-2</v>
      </c>
      <c r="X6446">
        <v>0.99852479999999999</v>
      </c>
      <c r="Y6446">
        <v>-1.3199509999999999E-2</v>
      </c>
      <c r="Z6446">
        <v>-7.67170599999999E-3</v>
      </c>
      <c r="AA6446">
        <v>0.99988350000000004</v>
      </c>
      <c r="AB6446">
        <v>23</v>
      </c>
      <c r="AC6446">
        <v>0.62630000000001396</v>
      </c>
      <c r="AD6446">
        <v>-0.200377</v>
      </c>
      <c r="AE6446">
        <v>3.2339999999997801E-2</v>
      </c>
      <c r="AF6446">
        <v>-8.4757961378403596E-3</v>
      </c>
      <c r="AG6446">
        <v>-0.200377</v>
      </c>
      <c r="AH6446">
        <v>0.56897894332813903</v>
      </c>
      <c r="AI6446">
        <v>109.398714892597</v>
      </c>
      <c r="AJ6446">
        <v>90.8534435870002</v>
      </c>
      <c r="AK6446">
        <v>0.603290824727159</v>
      </c>
      <c r="AL6446">
        <v>87.0064751571812</v>
      </c>
      <c r="AM6446">
        <v>90.853053086216207</v>
      </c>
      <c r="AN6446">
        <v>1.0000000387433201</v>
      </c>
    </row>
    <row r="6447" spans="1:40" x14ac:dyDescent="0.25">
      <c r="A6447" t="str">
        <f>"20190312160500383"</f>
        <v>20190312160500383</v>
      </c>
      <c r="B6447" t="str">
        <f>"1552377900371378"</f>
        <v>1552377900371378</v>
      </c>
      <c r="C6447" t="s">
        <v>40</v>
      </c>
      <c r="D6447">
        <v>9.5103390000000001</v>
      </c>
      <c r="E6447">
        <v>0.50204979999999999</v>
      </c>
      <c r="F6447" t="s">
        <v>41</v>
      </c>
      <c r="G6447">
        <v>-344.11189999999999</v>
      </c>
      <c r="H6447" s="1">
        <v>-2.8197509999999998E-6</v>
      </c>
      <c r="I6447">
        <v>17.860389999999999</v>
      </c>
      <c r="J6447">
        <v>-362.85559999999998</v>
      </c>
      <c r="K6447">
        <v>1.10981</v>
      </c>
      <c r="L6447">
        <v>17.03848</v>
      </c>
      <c r="M6447">
        <v>0.99928919999999999</v>
      </c>
      <c r="N6447">
        <v>0</v>
      </c>
      <c r="O6447">
        <v>3.6773529999999999E-2</v>
      </c>
      <c r="P6447">
        <v>0.99772519999999998</v>
      </c>
      <c r="Q6447">
        <v>4.3953230000000003E-2</v>
      </c>
      <c r="R6447">
        <v>5.1115479999999998E-2</v>
      </c>
      <c r="S6447">
        <v>3.0078429999999998</v>
      </c>
      <c r="T6447">
        <v>-0.17688519999999999</v>
      </c>
      <c r="U6447">
        <v>0.1317749</v>
      </c>
      <c r="V6447">
        <v>-1.44011E-2</v>
      </c>
      <c r="W6447">
        <v>5.223978E-2</v>
      </c>
      <c r="X6447">
        <v>0.99853069999999999</v>
      </c>
      <c r="Y6447">
        <v>-7.0505000000000003E-3</v>
      </c>
      <c r="Z6447">
        <v>-1.951918E-3</v>
      </c>
      <c r="AA6447">
        <v>0.99997320000000001</v>
      </c>
      <c r="AB6447">
        <v>24</v>
      </c>
      <c r="AC6447">
        <v>18.743699999999901</v>
      </c>
      <c r="AD6447">
        <v>-1.109812819751</v>
      </c>
      <c r="AE6447">
        <v>0.82190999999999803</v>
      </c>
      <c r="AF6447">
        <v>-0.13159784303574801</v>
      </c>
      <c r="AG6447">
        <v>-1.109812819751</v>
      </c>
      <c r="AH6447">
        <v>18.6958286258177</v>
      </c>
      <c r="AI6447">
        <v>93.397094077584498</v>
      </c>
      <c r="AJ6447">
        <v>90.403291912227601</v>
      </c>
      <c r="AK6447">
        <v>18.729202078388699</v>
      </c>
      <c r="AL6447">
        <v>87.005517958979496</v>
      </c>
      <c r="AM6447">
        <v>90.826279100211593</v>
      </c>
      <c r="AN6447">
        <v>0.99999997256907303</v>
      </c>
    </row>
    <row r="6448" spans="1:40" x14ac:dyDescent="0.25">
      <c r="A6448" t="str">
        <f>"20190312160500401"</f>
        <v>20190312160500401</v>
      </c>
      <c r="B6448" t="str">
        <f>"1552377900391876"</f>
        <v>1552377900391876</v>
      </c>
      <c r="C6448" t="s">
        <v>40</v>
      </c>
      <c r="D6448">
        <v>6.2421620000000004</v>
      </c>
      <c r="E6448">
        <v>0.49988700000000003</v>
      </c>
      <c r="F6448" t="s">
        <v>41</v>
      </c>
      <c r="G6448">
        <v>-329.59179999999998</v>
      </c>
      <c r="H6448" s="1">
        <v>-4.3353469999999999E-7</v>
      </c>
      <c r="I6448">
        <v>18.5167</v>
      </c>
      <c r="J6448">
        <v>-362.67230000000001</v>
      </c>
      <c r="K6448">
        <v>1.109799</v>
      </c>
      <c r="L6448">
        <v>17.045349999999999</v>
      </c>
      <c r="M6448">
        <v>0.99928510000000004</v>
      </c>
      <c r="N6448">
        <v>0</v>
      </c>
      <c r="O6448">
        <v>3.6894629999999998E-2</v>
      </c>
      <c r="P6448">
        <v>0.9977743</v>
      </c>
      <c r="Q6448">
        <v>4.3806030000000003E-2</v>
      </c>
      <c r="R6448">
        <v>5.0274840000000001E-2</v>
      </c>
      <c r="S6448">
        <v>3.0044249999999999</v>
      </c>
      <c r="T6448">
        <v>-0.10023940000000001</v>
      </c>
      <c r="U6448">
        <v>0.13351440000000001</v>
      </c>
      <c r="V6448">
        <v>-1.343753E-2</v>
      </c>
      <c r="W6448">
        <v>5.2048820000000003E-2</v>
      </c>
      <c r="X6448">
        <v>0.9985541</v>
      </c>
      <c r="Y6448">
        <v>-7.5220030000000002E-3</v>
      </c>
      <c r="Z6448">
        <v>-1.104196E-3</v>
      </c>
      <c r="AA6448">
        <v>0.9999711</v>
      </c>
      <c r="AB6448">
        <v>24</v>
      </c>
      <c r="AC6448">
        <v>33.080500000000001</v>
      </c>
      <c r="AD6448">
        <v>-1.1097994335346999</v>
      </c>
      <c r="AE6448">
        <v>1.4713499999999999</v>
      </c>
      <c r="AF6448">
        <v>-0.24953353229761599</v>
      </c>
      <c r="AG6448">
        <v>-1.1097994335346999</v>
      </c>
      <c r="AH6448">
        <v>33.075110261063401</v>
      </c>
      <c r="AI6448">
        <v>91.921722054052793</v>
      </c>
      <c r="AJ6448">
        <v>90.432256971608197</v>
      </c>
      <c r="AK6448">
        <v>33.094664835104801</v>
      </c>
      <c r="AL6448">
        <v>87.016474055072905</v>
      </c>
      <c r="AM6448">
        <v>90.770982049382695</v>
      </c>
      <c r="AN6448">
        <v>0.999999968751351</v>
      </c>
    </row>
    <row r="6449" spans="1:40" x14ac:dyDescent="0.25">
      <c r="A6449" t="str">
        <f>"20190312160500411"</f>
        <v>20190312160500411</v>
      </c>
      <c r="B6449" t="str">
        <f>"1552377900401192"</f>
        <v>1552377900401192</v>
      </c>
      <c r="C6449" t="s">
        <v>40</v>
      </c>
      <c r="D6449">
        <v>5.6545350000000001</v>
      </c>
      <c r="E6449">
        <v>0.49939440000000002</v>
      </c>
      <c r="F6449" t="s">
        <v>87</v>
      </c>
      <c r="G6449">
        <v>-273.40989999999999</v>
      </c>
      <c r="H6449">
        <v>2.104066</v>
      </c>
      <c r="I6449">
        <v>21.517230000000001</v>
      </c>
      <c r="J6449">
        <v>-362.55340000000001</v>
      </c>
      <c r="K6449">
        <v>1.1097919999999999</v>
      </c>
      <c r="L6449">
        <v>17.04984</v>
      </c>
      <c r="M6449">
        <v>0.99928249999999996</v>
      </c>
      <c r="N6449">
        <v>0</v>
      </c>
      <c r="O6449">
        <v>3.6971499999999997E-2</v>
      </c>
      <c r="P6449">
        <v>0.99779640000000003</v>
      </c>
      <c r="Q6449">
        <v>4.3736730000000001E-2</v>
      </c>
      <c r="R6449">
        <v>4.9894630000000002E-2</v>
      </c>
      <c r="S6449">
        <v>2.9976500000000001</v>
      </c>
      <c r="T6449">
        <v>3.3390049999999998E-2</v>
      </c>
      <c r="U6449">
        <v>0.150177</v>
      </c>
      <c r="V6449">
        <v>-1.2979539999999999E-2</v>
      </c>
      <c r="W6449">
        <v>5.1950730000000001E-2</v>
      </c>
      <c r="X6449">
        <v>0.99856529999999999</v>
      </c>
      <c r="Y6449">
        <v>-1.3076320000000001E-2</v>
      </c>
      <c r="Z6449">
        <v>3.3861449999999903E-4</v>
      </c>
      <c r="AA6449">
        <v>0.99991450000000004</v>
      </c>
      <c r="AB6449">
        <v>24</v>
      </c>
      <c r="AC6449">
        <v>89.143500000000003</v>
      </c>
      <c r="AD6449">
        <v>0.99427399999999999</v>
      </c>
      <c r="AE6449">
        <v>4.4673899999999902</v>
      </c>
      <c r="AF6449">
        <v>-1.16831025016784</v>
      </c>
      <c r="AG6449">
        <v>0.99427399999999999</v>
      </c>
      <c r="AH6449">
        <v>89.236648431073604</v>
      </c>
      <c r="AI6449">
        <v>89.361692011695794</v>
      </c>
      <c r="AJ6449">
        <v>90.750088931358604</v>
      </c>
      <c r="AK6449">
        <v>89.249834469531393</v>
      </c>
      <c r="AL6449">
        <v>87.022101912919993</v>
      </c>
      <c r="AM6449">
        <v>90.744699404605498</v>
      </c>
      <c r="AN6449">
        <v>1.0000000025851099</v>
      </c>
    </row>
    <row r="6450" spans="1:40" x14ac:dyDescent="0.25">
      <c r="A6450" t="str">
        <f>"20190312160500425"</f>
        <v>20190312160500425</v>
      </c>
      <c r="B6450" t="str">
        <f>"1552377900421688"</f>
        <v>1552377900421688</v>
      </c>
      <c r="C6450" t="s">
        <v>40</v>
      </c>
      <c r="D6450">
        <v>5.8389150000000001</v>
      </c>
      <c r="E6450">
        <v>0.50246979999999997</v>
      </c>
      <c r="F6450" t="s">
        <v>107</v>
      </c>
      <c r="G6450">
        <v>-276.43380000000002</v>
      </c>
      <c r="H6450">
        <v>3.292916</v>
      </c>
      <c r="I6450">
        <v>21.4664</v>
      </c>
      <c r="J6450">
        <v>-362.40910000000002</v>
      </c>
      <c r="K6450">
        <v>1.109782</v>
      </c>
      <c r="L6450">
        <v>17.05527</v>
      </c>
      <c r="M6450">
        <v>0.99927940000000004</v>
      </c>
      <c r="N6450">
        <v>0</v>
      </c>
      <c r="O6450">
        <v>3.7062770000000002E-2</v>
      </c>
      <c r="P6450">
        <v>0.9978264</v>
      </c>
      <c r="Q6450">
        <v>4.3636090000000002E-2</v>
      </c>
      <c r="R6450">
        <v>4.9381050000000003E-2</v>
      </c>
      <c r="S6450">
        <v>2.9955750000000001</v>
      </c>
      <c r="T6450">
        <v>7.5938110000000003E-2</v>
      </c>
      <c r="U6450">
        <v>0.1536255</v>
      </c>
      <c r="V6450">
        <v>-1.2373479999999999E-2</v>
      </c>
      <c r="W6450">
        <v>5.1815960000000001E-2</v>
      </c>
      <c r="X6450">
        <v>0.99858000000000002</v>
      </c>
      <c r="Y6450">
        <v>-1.41736E-2</v>
      </c>
      <c r="Z6450">
        <v>7.5892020000000002E-4</v>
      </c>
      <c r="AA6450">
        <v>0.99989930000000005</v>
      </c>
      <c r="AB6450">
        <v>24</v>
      </c>
      <c r="AC6450">
        <v>85.975300000000004</v>
      </c>
      <c r="AD6450">
        <v>2.1831339999999999</v>
      </c>
      <c r="AE6450">
        <v>4.41113</v>
      </c>
      <c r="AF6450">
        <v>-1.2207244753147399</v>
      </c>
      <c r="AG6450">
        <v>2.1831339999999999</v>
      </c>
      <c r="AH6450">
        <v>86.024398566696405</v>
      </c>
      <c r="AI6450">
        <v>88.546401493829507</v>
      </c>
      <c r="AJ6450">
        <v>90.812998025928493</v>
      </c>
      <c r="AK6450">
        <v>86.060754069833905</v>
      </c>
      <c r="AL6450">
        <v>87.029834090975299</v>
      </c>
      <c r="AM6450">
        <v>90.709919987942598</v>
      </c>
      <c r="AN6450">
        <v>1.00000000655901</v>
      </c>
    </row>
    <row r="6451" spans="1:40" x14ac:dyDescent="0.25">
      <c r="A6451" t="str">
        <f>"20190312160500438"</f>
        <v>20190312160500438</v>
      </c>
      <c r="B6451" t="str">
        <f>"1552377900431449"</f>
        <v>1552377900431449</v>
      </c>
      <c r="C6451" t="s">
        <v>40</v>
      </c>
      <c r="D6451">
        <v>6.1748849999999997</v>
      </c>
      <c r="E6451">
        <v>0.50233660000000002</v>
      </c>
      <c r="F6451" t="s">
        <v>87</v>
      </c>
      <c r="G6451">
        <v>-273.40989999999999</v>
      </c>
      <c r="H6451">
        <v>1.9047179999999999</v>
      </c>
      <c r="I6451">
        <v>20.81813</v>
      </c>
      <c r="J6451">
        <v>-362.27640000000002</v>
      </c>
      <c r="K6451">
        <v>1.109772</v>
      </c>
      <c r="L6451">
        <v>17.060300000000002</v>
      </c>
      <c r="M6451">
        <v>0.99927670000000002</v>
      </c>
      <c r="N6451">
        <v>0</v>
      </c>
      <c r="O6451">
        <v>3.7144429999999999E-2</v>
      </c>
      <c r="P6451">
        <v>0.99785440000000003</v>
      </c>
      <c r="Q6451">
        <v>4.3660919999999999E-2</v>
      </c>
      <c r="R6451">
        <v>4.8791370000000001E-2</v>
      </c>
      <c r="S6451">
        <v>2.9990839999999999</v>
      </c>
      <c r="T6451">
        <v>2.6787760000000001E-2</v>
      </c>
      <c r="U6451">
        <v>0.12680050000000001</v>
      </c>
      <c r="V6451">
        <v>-1.1701619999999999E-2</v>
      </c>
      <c r="W6451">
        <v>5.1809300000000003E-2</v>
      </c>
      <c r="X6451">
        <v>0.99858840000000004</v>
      </c>
      <c r="Y6451">
        <v>-5.101632E-3</v>
      </c>
      <c r="Z6451">
        <v>3.0873400000000002E-4</v>
      </c>
      <c r="AA6451">
        <v>0.99998690000000001</v>
      </c>
      <c r="AB6451">
        <v>24</v>
      </c>
      <c r="AC6451">
        <v>88.866500000000002</v>
      </c>
      <c r="AD6451">
        <v>0.79494600000000004</v>
      </c>
      <c r="AE6451">
        <v>3.75782999999999</v>
      </c>
      <c r="AF6451">
        <v>-0.454195266592473</v>
      </c>
      <c r="AG6451">
        <v>0.79494600000000004</v>
      </c>
      <c r="AH6451">
        <v>88.937652815607095</v>
      </c>
      <c r="AI6451">
        <v>89.487896942139997</v>
      </c>
      <c r="AJ6451">
        <v>90.292600994025193</v>
      </c>
      <c r="AK6451">
        <v>88.942365163248198</v>
      </c>
      <c r="AL6451">
        <v>87.030216061783193</v>
      </c>
      <c r="AM6451">
        <v>90.671370460696593</v>
      </c>
      <c r="AN6451">
        <v>0.99999996204583597</v>
      </c>
    </row>
    <row r="6452" spans="1:40" x14ac:dyDescent="0.25">
      <c r="A6452" t="str">
        <f>"20190312160500450"</f>
        <v>20190312160500450</v>
      </c>
      <c r="B6452" t="str">
        <f>"1552377900441208"</f>
        <v>1552377900441208</v>
      </c>
      <c r="C6452" t="s">
        <v>40</v>
      </c>
      <c r="D6452">
        <v>5.9347940000000001</v>
      </c>
      <c r="E6452">
        <v>0.50148679999999901</v>
      </c>
      <c r="F6452" t="s">
        <v>87</v>
      </c>
      <c r="G6452">
        <v>-274.15660000000003</v>
      </c>
      <c r="H6452">
        <v>2.9264670000000002</v>
      </c>
      <c r="I6452">
        <v>20.783439999999999</v>
      </c>
      <c r="J6452">
        <v>-362.13959999999997</v>
      </c>
      <c r="K6452">
        <v>1.109764</v>
      </c>
      <c r="L6452">
        <v>17.065460000000002</v>
      </c>
      <c r="M6452">
        <v>0.99927379999999999</v>
      </c>
      <c r="N6452">
        <v>0</v>
      </c>
      <c r="O6452">
        <v>3.7227629999999998E-2</v>
      </c>
      <c r="P6452">
        <v>0.99790230000000002</v>
      </c>
      <c r="Q6452">
        <v>4.3061179999999998E-2</v>
      </c>
      <c r="R6452">
        <v>4.8341130000000003E-2</v>
      </c>
      <c r="S6452">
        <v>2.997528</v>
      </c>
      <c r="T6452">
        <v>6.1797739999999997E-2</v>
      </c>
      <c r="U6452">
        <v>0.12664790000000001</v>
      </c>
      <c r="V6452">
        <v>-1.1166300000000001E-2</v>
      </c>
      <c r="W6452">
        <v>5.1177380000000001E-2</v>
      </c>
      <c r="X6452">
        <v>0.99862709999999999</v>
      </c>
      <c r="Y6452">
        <v>-4.9950289999999998E-3</v>
      </c>
      <c r="Z6452">
        <v>7.1535070000000004E-4</v>
      </c>
      <c r="AA6452">
        <v>0.99998719999999996</v>
      </c>
      <c r="AB6452">
        <v>24</v>
      </c>
      <c r="AC6452">
        <v>87.982999999999905</v>
      </c>
      <c r="AD6452">
        <v>1.816703</v>
      </c>
      <c r="AE6452">
        <v>3.7179799999999901</v>
      </c>
      <c r="AF6452">
        <v>-0.43970880677653901</v>
      </c>
      <c r="AG6452">
        <v>1.816703</v>
      </c>
      <c r="AH6452">
        <v>88.022961279310707</v>
      </c>
      <c r="AI6452">
        <v>88.817656903371301</v>
      </c>
      <c r="AJ6452">
        <v>90.286212244188107</v>
      </c>
      <c r="AK6452">
        <v>88.042804737264007</v>
      </c>
      <c r="AL6452">
        <v>87.066470467942494</v>
      </c>
      <c r="AM6452">
        <v>90.640634728363906</v>
      </c>
      <c r="AN6452">
        <v>0.99999994766688005</v>
      </c>
    </row>
    <row r="6453" spans="1:40" x14ac:dyDescent="0.25">
      <c r="A6453" t="str">
        <f>"20190312160500467"</f>
        <v>20190312160500467</v>
      </c>
      <c r="B6453" t="str">
        <f>"1552377900461705"</f>
        <v>1552377900461705</v>
      </c>
      <c r="C6453" t="s">
        <v>40</v>
      </c>
      <c r="D6453">
        <v>6.0466470000000001</v>
      </c>
      <c r="E6453">
        <v>0.50025529999999996</v>
      </c>
      <c r="F6453" t="s">
        <v>87</v>
      </c>
      <c r="G6453">
        <v>-274.15660000000003</v>
      </c>
      <c r="H6453">
        <v>3.7531910000000002</v>
      </c>
      <c r="I6453">
        <v>20.957630000000002</v>
      </c>
      <c r="J6453">
        <v>-361.96159999999998</v>
      </c>
      <c r="K6453">
        <v>1.1097509999999999</v>
      </c>
      <c r="L6453">
        <v>17.072199999999999</v>
      </c>
      <c r="M6453">
        <v>0.99927029999999994</v>
      </c>
      <c r="N6453">
        <v>0</v>
      </c>
      <c r="O6453">
        <v>3.7333110000000003E-2</v>
      </c>
      <c r="P6453">
        <v>0.99795650000000002</v>
      </c>
      <c r="Q6453">
        <v>4.2778150000000001E-2</v>
      </c>
      <c r="R6453">
        <v>4.7466469999999997E-2</v>
      </c>
      <c r="S6453">
        <v>2.9960330000000002</v>
      </c>
      <c r="T6453">
        <v>9.0015170000000005E-2</v>
      </c>
      <c r="U6453">
        <v>0.13253779999999901</v>
      </c>
      <c r="V6453">
        <v>-1.018457E-2</v>
      </c>
      <c r="W6453">
        <v>5.0852590000000003E-2</v>
      </c>
      <c r="X6453">
        <v>0.99865420000000005</v>
      </c>
      <c r="Y6453">
        <v>-6.8795990000000001E-3</v>
      </c>
      <c r="Z6453">
        <v>1.0172E-3</v>
      </c>
      <c r="AA6453">
        <v>0.99997579999999997</v>
      </c>
      <c r="AB6453">
        <v>24</v>
      </c>
      <c r="AC6453">
        <v>87.804999999999893</v>
      </c>
      <c r="AD6453">
        <v>2.64344</v>
      </c>
      <c r="AE6453">
        <v>3.8854299999999999</v>
      </c>
      <c r="AF6453">
        <v>-0.60403435728197097</v>
      </c>
      <c r="AG6453">
        <v>2.64344</v>
      </c>
      <c r="AH6453">
        <v>87.809413641365794</v>
      </c>
      <c r="AI6453">
        <v>88.275712818915196</v>
      </c>
      <c r="AJ6453">
        <v>90.394127144741404</v>
      </c>
      <c r="AK6453">
        <v>87.851270660013</v>
      </c>
      <c r="AL6453">
        <v>87.085103867658603</v>
      </c>
      <c r="AM6453">
        <v>90.584298997854404</v>
      </c>
      <c r="AN6453">
        <v>0.99999996127671498</v>
      </c>
    </row>
    <row r="6454" spans="1:40" x14ac:dyDescent="0.25">
      <c r="A6454" t="str">
        <f>"20190312160500480"</f>
        <v>20190312160500480</v>
      </c>
      <c r="B6454" t="str">
        <f>"1552377900471465"</f>
        <v>1552377900471465</v>
      </c>
      <c r="C6454" t="s">
        <v>40</v>
      </c>
      <c r="D6454">
        <v>5.9387559999999997</v>
      </c>
      <c r="E6454">
        <v>0.50064299999999995</v>
      </c>
      <c r="F6454" t="s">
        <v>107</v>
      </c>
      <c r="G6454">
        <v>-276.77839999999998</v>
      </c>
      <c r="H6454">
        <v>4.5891080000000004</v>
      </c>
      <c r="I6454">
        <v>21.062480000000001</v>
      </c>
      <c r="J6454">
        <v>-361.82339999999999</v>
      </c>
      <c r="K6454">
        <v>1.109739</v>
      </c>
      <c r="L6454">
        <v>17.077479999999898</v>
      </c>
      <c r="M6454">
        <v>0.99926749999999998</v>
      </c>
      <c r="N6454">
        <v>0</v>
      </c>
      <c r="O6454">
        <v>3.7413160000000001E-2</v>
      </c>
      <c r="P6454">
        <v>0.99797709999999995</v>
      </c>
      <c r="Q6454">
        <v>4.279376E-2</v>
      </c>
      <c r="R6454">
        <v>4.7017799999999998E-2</v>
      </c>
      <c r="S6454">
        <v>2.994202</v>
      </c>
      <c r="T6454">
        <v>0.1222998</v>
      </c>
      <c r="U6454">
        <v>0.14025879999999999</v>
      </c>
      <c r="V6454">
        <v>-9.6550490000000006E-3</v>
      </c>
      <c r="W6454">
        <v>5.0835930000000001E-2</v>
      </c>
      <c r="X6454">
        <v>0.99866029999999995</v>
      </c>
      <c r="Y6454">
        <v>-9.4092840000000004E-3</v>
      </c>
      <c r="Z6454">
        <v>1.33415799999999E-3</v>
      </c>
      <c r="AA6454">
        <v>0.99995480000000003</v>
      </c>
      <c r="AB6454">
        <v>24</v>
      </c>
      <c r="AC6454">
        <v>85.045000000000002</v>
      </c>
      <c r="AD6454">
        <v>3.4793690000000002</v>
      </c>
      <c r="AE6454">
        <v>3.9849999999999999</v>
      </c>
      <c r="AF6454">
        <v>-0.79897030693523796</v>
      </c>
      <c r="AG6454">
        <v>3.4793690000000002</v>
      </c>
      <c r="AH6454">
        <v>84.992602032733899</v>
      </c>
      <c r="AI6454">
        <v>87.655876979307394</v>
      </c>
      <c r="AJ6454">
        <v>90.5385913253876</v>
      </c>
      <c r="AK6454">
        <v>85.067542355966793</v>
      </c>
      <c r="AL6454">
        <v>87.086059628256706</v>
      </c>
      <c r="AM6454">
        <v>90.553918408437298</v>
      </c>
      <c r="AN6454">
        <v>0.99999995327312197</v>
      </c>
    </row>
    <row r="6455" spans="1:40" x14ac:dyDescent="0.25">
      <c r="A6455" t="str">
        <f>"20190312160500491"</f>
        <v>20190312160500491</v>
      </c>
      <c r="B6455" t="str">
        <f>"1552377900481225"</f>
        <v>1552377900481225</v>
      </c>
      <c r="C6455" t="s">
        <v>40</v>
      </c>
      <c r="D6455">
        <v>5.8718370000000002</v>
      </c>
      <c r="E6455">
        <v>0.50116419999999995</v>
      </c>
      <c r="F6455" t="s">
        <v>107</v>
      </c>
      <c r="G6455">
        <v>-276.6234</v>
      </c>
      <c r="H6455">
        <v>3.9341020000000002</v>
      </c>
      <c r="I6455">
        <v>20.9297</v>
      </c>
      <c r="J6455">
        <v>-361.69819999999999</v>
      </c>
      <c r="K6455">
        <v>1.1097330000000001</v>
      </c>
      <c r="L6455">
        <v>17.08221</v>
      </c>
      <c r="M6455">
        <v>0.99926499999999996</v>
      </c>
      <c r="N6455">
        <v>0</v>
      </c>
      <c r="O6455">
        <v>3.7485030000000003E-2</v>
      </c>
      <c r="P6455">
        <v>0.99801740000000005</v>
      </c>
      <c r="Q6455">
        <v>4.2584249999999997E-2</v>
      </c>
      <c r="R6455">
        <v>4.6342910000000001E-2</v>
      </c>
      <c r="S6455">
        <v>2.9954830000000001</v>
      </c>
      <c r="T6455">
        <v>9.9299670000000007E-2</v>
      </c>
      <c r="U6455">
        <v>0.135437</v>
      </c>
      <c r="V6455">
        <v>-8.9075209999999998E-3</v>
      </c>
      <c r="W6455">
        <v>5.0598770000000001E-2</v>
      </c>
      <c r="X6455">
        <v>0.99867930000000005</v>
      </c>
      <c r="Y6455">
        <v>-7.7041969999999899E-3</v>
      </c>
      <c r="Z6455">
        <v>1.113609E-3</v>
      </c>
      <c r="AA6455">
        <v>0.99996969999999996</v>
      </c>
      <c r="AB6455">
        <v>24</v>
      </c>
      <c r="AC6455">
        <v>85.074799999999897</v>
      </c>
      <c r="AD6455">
        <v>2.8243689999999999</v>
      </c>
      <c r="AE6455">
        <v>3.8474900000000001</v>
      </c>
      <c r="AF6455">
        <v>-0.65493139495197406</v>
      </c>
      <c r="AG6455">
        <v>2.8243689999999999</v>
      </c>
      <c r="AH6455">
        <v>85.065668762994903</v>
      </c>
      <c r="AI6455">
        <v>88.098407853167998</v>
      </c>
      <c r="AJ6455">
        <v>90.441118772429604</v>
      </c>
      <c r="AK6455">
        <v>85.115063281864593</v>
      </c>
      <c r="AL6455">
        <v>87.099665430893594</v>
      </c>
      <c r="AM6455">
        <v>90.511024736436596</v>
      </c>
      <c r="AN6455">
        <v>0.99999996185218298</v>
      </c>
    </row>
    <row r="6456" spans="1:40" x14ac:dyDescent="0.25">
      <c r="A6456" t="str">
        <f>"20190312160500504"</f>
        <v>20190312160500504</v>
      </c>
      <c r="B6456" t="str">
        <f>"1552377900501721"</f>
        <v>1552377900501721</v>
      </c>
      <c r="C6456" t="s">
        <v>40</v>
      </c>
      <c r="D6456">
        <v>5.8913630000000001</v>
      </c>
      <c r="E6456">
        <v>0.50018050000000003</v>
      </c>
      <c r="F6456" t="s">
        <v>87</v>
      </c>
      <c r="G6456">
        <v>-274.15660000000003</v>
      </c>
      <c r="H6456">
        <v>3.8489770000000001</v>
      </c>
      <c r="I6456">
        <v>20.85596</v>
      </c>
      <c r="J6456">
        <v>-361.56</v>
      </c>
      <c r="K6456">
        <v>1.1097250000000001</v>
      </c>
      <c r="L6456">
        <v>17.087520000000001</v>
      </c>
      <c r="M6456">
        <v>0.99926250000000005</v>
      </c>
      <c r="N6456">
        <v>0</v>
      </c>
      <c r="O6456">
        <v>3.7562860000000003E-2</v>
      </c>
      <c r="P6456">
        <v>0.99806130000000004</v>
      </c>
      <c r="Q6456">
        <v>4.2267779999999998E-2</v>
      </c>
      <c r="R6456">
        <v>4.569057E-2</v>
      </c>
      <c r="S6456">
        <v>2.9959720000000001</v>
      </c>
      <c r="T6456">
        <v>9.3746419999999997E-2</v>
      </c>
      <c r="U6456">
        <v>0.1291504</v>
      </c>
      <c r="V6456">
        <v>-8.1757329999999993E-3</v>
      </c>
      <c r="W6456">
        <v>5.025255E-2</v>
      </c>
      <c r="X6456">
        <v>0.99870309999999995</v>
      </c>
      <c r="Y6456">
        <v>-5.5240630000000001E-3</v>
      </c>
      <c r="Z6456">
        <v>1.087768E-3</v>
      </c>
      <c r="AA6456">
        <v>0.99998410000000004</v>
      </c>
      <c r="AB6456">
        <v>24</v>
      </c>
      <c r="AC6456">
        <v>87.403399999999905</v>
      </c>
      <c r="AD6456">
        <v>2.739252</v>
      </c>
      <c r="AE6456">
        <v>3.7684399999999898</v>
      </c>
      <c r="AF6456">
        <v>-0.48208178594544299</v>
      </c>
      <c r="AG6456">
        <v>2.739252</v>
      </c>
      <c r="AH6456">
        <v>87.3975863857886</v>
      </c>
      <c r="AI6456">
        <v>88.204826496940797</v>
      </c>
      <c r="AJ6456">
        <v>90.3160381508104</v>
      </c>
      <c r="AK6456">
        <v>87.4418321538909</v>
      </c>
      <c r="AL6456">
        <v>87.119527817353401</v>
      </c>
      <c r="AM6456">
        <v>90.469032820147106</v>
      </c>
      <c r="AN6456">
        <v>1.00000002167059</v>
      </c>
    </row>
    <row r="6457" spans="1:40" x14ac:dyDescent="0.25">
      <c r="A6457" t="str">
        <f>"20190312160500517"</f>
        <v>20190312160500517</v>
      </c>
      <c r="B6457" t="str">
        <f>"1552377900511480"</f>
        <v>1552377900511480</v>
      </c>
      <c r="C6457" t="s">
        <v>40</v>
      </c>
      <c r="D6457">
        <v>5.6933220000000002</v>
      </c>
      <c r="E6457">
        <v>0.4997838</v>
      </c>
      <c r="F6457" t="s">
        <v>107</v>
      </c>
      <c r="G6457">
        <v>-276.65069999999997</v>
      </c>
      <c r="H6457">
        <v>4.0421300000000002</v>
      </c>
      <c r="I6457">
        <v>20.920850000000002</v>
      </c>
      <c r="J6457">
        <v>-361.43119999999999</v>
      </c>
      <c r="K6457">
        <v>1.10972</v>
      </c>
      <c r="L6457">
        <v>17.09244</v>
      </c>
      <c r="M6457">
        <v>0.99925989999999998</v>
      </c>
      <c r="N6457">
        <v>0</v>
      </c>
      <c r="O6457">
        <v>3.7633590000000001E-2</v>
      </c>
      <c r="P6457">
        <v>0.99810949999999998</v>
      </c>
      <c r="Q6457">
        <v>4.2019149999999998E-2</v>
      </c>
      <c r="R6457">
        <v>4.4855039999999999E-2</v>
      </c>
      <c r="S6457">
        <v>2.9952390000000002</v>
      </c>
      <c r="T6457">
        <v>0.103442699999999</v>
      </c>
      <c r="U6457">
        <v>0.13522339999999999</v>
      </c>
      <c r="V6457">
        <v>-7.2681559999999996E-3</v>
      </c>
      <c r="W6457">
        <v>4.9976329999999999E-2</v>
      </c>
      <c r="X6457">
        <v>0.99872399999999995</v>
      </c>
      <c r="Y6457">
        <v>-7.4896549999999996E-3</v>
      </c>
      <c r="Z6457">
        <v>1.1689630000000001E-3</v>
      </c>
      <c r="AA6457">
        <v>0.99997130000000001</v>
      </c>
      <c r="AB6457">
        <v>24</v>
      </c>
      <c r="AC6457">
        <v>84.780500000000004</v>
      </c>
      <c r="AD6457">
        <v>2.93241</v>
      </c>
      <c r="AE6457">
        <v>3.8284099999999999</v>
      </c>
      <c r="AF6457">
        <v>-0.63424490222379104</v>
      </c>
      <c r="AG6457">
        <v>2.93241</v>
      </c>
      <c r="AH6457">
        <v>84.763319487207696</v>
      </c>
      <c r="AI6457">
        <v>88.018682611938999</v>
      </c>
      <c r="AJ6457">
        <v>90.428709943403106</v>
      </c>
      <c r="AK6457">
        <v>84.816399507963894</v>
      </c>
      <c r="AL6457">
        <v>87.135374032022796</v>
      </c>
      <c r="AM6457">
        <v>90.416959352388602</v>
      </c>
      <c r="AN6457">
        <v>1.00000004391395</v>
      </c>
    </row>
    <row r="6458" spans="1:40" x14ac:dyDescent="0.25">
      <c r="A6458" t="str">
        <f>"20190312160500534"</f>
        <v>20190312160500534</v>
      </c>
      <c r="B6458" t="str">
        <f>"1552377900531976"</f>
        <v>1552377900531976</v>
      </c>
      <c r="C6458" t="s">
        <v>40</v>
      </c>
      <c r="D6458">
        <v>5.9349420000000004</v>
      </c>
      <c r="E6458">
        <v>0.49886510000000001</v>
      </c>
      <c r="F6458" t="s">
        <v>107</v>
      </c>
      <c r="G6458">
        <v>-276.65960000000001</v>
      </c>
      <c r="H6458">
        <v>4.0821560000000003</v>
      </c>
      <c r="I6458">
        <v>20.938669999999998</v>
      </c>
      <c r="J6458">
        <v>-361.24549999999999</v>
      </c>
      <c r="K6458">
        <v>1.1097090000000001</v>
      </c>
      <c r="L6458">
        <v>17.099519999999998</v>
      </c>
      <c r="M6458">
        <v>0.99925649999999999</v>
      </c>
      <c r="N6458">
        <v>0</v>
      </c>
      <c r="O6458">
        <v>3.7732429999999997E-2</v>
      </c>
      <c r="P6458">
        <v>0.99818459999999998</v>
      </c>
      <c r="Q6458">
        <v>4.1844880000000001E-2</v>
      </c>
      <c r="R6458">
        <v>4.3319120000000003E-2</v>
      </c>
      <c r="S6458">
        <v>2.9951479999999999</v>
      </c>
      <c r="T6458">
        <v>0.10502209999999999</v>
      </c>
      <c r="U6458">
        <v>0.13589479999999901</v>
      </c>
      <c r="V6458">
        <v>-5.6309330000000003E-3</v>
      </c>
      <c r="W6458">
        <v>4.9763450000000001E-2</v>
      </c>
      <c r="X6458">
        <v>0.99874510000000005</v>
      </c>
      <c r="Y6458">
        <v>-7.6163589999999996E-3</v>
      </c>
      <c r="Z6458">
        <v>1.1880700000000001E-3</v>
      </c>
      <c r="AA6458">
        <v>0.99997029999999998</v>
      </c>
      <c r="AB6458">
        <v>24</v>
      </c>
      <c r="AC6458">
        <v>84.585899999999896</v>
      </c>
      <c r="AD6458">
        <v>2.9724469999999901</v>
      </c>
      <c r="AE6458">
        <v>3.8391500000000001</v>
      </c>
      <c r="AF6458">
        <v>-0.64389074898087295</v>
      </c>
      <c r="AG6458">
        <v>2.9724469999999901</v>
      </c>
      <c r="AH6458">
        <v>84.566309401045601</v>
      </c>
      <c r="AI6458">
        <v>87.986980236008407</v>
      </c>
      <c r="AJ6458">
        <v>90.436243579107298</v>
      </c>
      <c r="AK6458">
        <v>84.620982753557101</v>
      </c>
      <c r="AL6458">
        <v>87.147586060388406</v>
      </c>
      <c r="AM6458">
        <v>90.323030648366</v>
      </c>
      <c r="AN6458">
        <v>0.99999994156817995</v>
      </c>
    </row>
    <row r="6459" spans="1:40" x14ac:dyDescent="0.25">
      <c r="A6459" t="str">
        <f>"20190312160500546"</f>
        <v>20190312160500546</v>
      </c>
      <c r="B6459" t="str">
        <f>"1552377900541736"</f>
        <v>1552377900541736</v>
      </c>
      <c r="C6459" t="s">
        <v>40</v>
      </c>
      <c r="D6459">
        <v>5.9785360000000001</v>
      </c>
      <c r="E6459">
        <v>0.49925760000000002</v>
      </c>
      <c r="F6459" t="s">
        <v>107</v>
      </c>
      <c r="G6459">
        <v>-276.69560000000001</v>
      </c>
      <c r="H6459">
        <v>4.2446159999999997</v>
      </c>
      <c r="I6459">
        <v>21.016279999999998</v>
      </c>
      <c r="J6459">
        <v>-361.11380000000003</v>
      </c>
      <c r="K6459">
        <v>1.109704</v>
      </c>
      <c r="L6459">
        <v>17.10455</v>
      </c>
      <c r="M6459">
        <v>0.99925410000000003</v>
      </c>
      <c r="N6459">
        <v>0</v>
      </c>
      <c r="O6459">
        <v>3.7800170000000001E-2</v>
      </c>
      <c r="P6459">
        <v>0.99820629999999999</v>
      </c>
      <c r="Q6459">
        <v>4.1706269999999997E-2</v>
      </c>
      <c r="R6459">
        <v>4.2951910000000003E-2</v>
      </c>
      <c r="S6459">
        <v>2.9947810000000001</v>
      </c>
      <c r="T6459">
        <v>0.1110395</v>
      </c>
      <c r="U6459">
        <v>0.13873289999999999</v>
      </c>
      <c r="V6459">
        <v>-5.1952170000000002E-3</v>
      </c>
      <c r="W6459">
        <v>4.9597240000000001E-2</v>
      </c>
      <c r="X6459">
        <v>0.99875579999999997</v>
      </c>
      <c r="Y6459">
        <v>-8.5014069999999903E-3</v>
      </c>
      <c r="Z6459">
        <v>1.24233E-3</v>
      </c>
      <c r="AA6459">
        <v>0.99996309999999999</v>
      </c>
      <c r="AB6459">
        <v>24</v>
      </c>
      <c r="AC6459">
        <v>84.418199999999999</v>
      </c>
      <c r="AD6459">
        <v>3.1349119999999999</v>
      </c>
      <c r="AE6459">
        <v>3.9117299999999902</v>
      </c>
      <c r="AF6459">
        <v>-0.71682590488910103</v>
      </c>
      <c r="AG6459">
        <v>3.1349119999999999</v>
      </c>
      <c r="AH6459">
        <v>84.389605011246204</v>
      </c>
      <c r="AI6459">
        <v>87.872626590348304</v>
      </c>
      <c r="AJ6459">
        <v>90.486672632763998</v>
      </c>
      <c r="AK6459">
        <v>84.450855215206701</v>
      </c>
      <c r="AL6459">
        <v>87.157121167611507</v>
      </c>
      <c r="AM6459">
        <v>90.298032134692093</v>
      </c>
      <c r="AN6459">
        <v>1.0000000122644599</v>
      </c>
    </row>
    <row r="6460" spans="1:40" x14ac:dyDescent="0.25">
      <c r="A6460" t="str">
        <f>"20190312160500568"</f>
        <v>20190312160500568</v>
      </c>
      <c r="B6460" t="str">
        <f>"1552377900561256"</f>
        <v>1552377900561256</v>
      </c>
      <c r="C6460" t="s">
        <v>40</v>
      </c>
      <c r="D6460">
        <v>5.9659079999999998</v>
      </c>
      <c r="E6460">
        <v>0.53316859999999999</v>
      </c>
      <c r="F6460" t="s">
        <v>107</v>
      </c>
      <c r="G6460">
        <v>-276.66989999999998</v>
      </c>
      <c r="H6460">
        <v>4.1132869999999997</v>
      </c>
      <c r="I6460">
        <v>20.894649999999999</v>
      </c>
      <c r="J6460">
        <v>-360.88389999999998</v>
      </c>
      <c r="K6460">
        <v>1.1096889999999999</v>
      </c>
      <c r="L6460">
        <v>17.113399999999999</v>
      </c>
      <c r="M6460">
        <v>0.99925039999999998</v>
      </c>
      <c r="N6460">
        <v>0</v>
      </c>
      <c r="O6460">
        <v>3.7911109999999998E-2</v>
      </c>
      <c r="P6460">
        <v>0.99819820000000004</v>
      </c>
      <c r="Q6460">
        <v>4.1916439999999999E-2</v>
      </c>
      <c r="R6460">
        <v>4.2938499999999998E-2</v>
      </c>
      <c r="S6460">
        <v>2.995117</v>
      </c>
      <c r="T6460">
        <v>0.1065333</v>
      </c>
      <c r="U6460">
        <v>0.13442989999999999</v>
      </c>
      <c r="V6460">
        <v>-5.0708759999999898E-3</v>
      </c>
      <c r="W6460">
        <v>4.976249E-2</v>
      </c>
      <c r="X6460">
        <v>0.99874819999999997</v>
      </c>
      <c r="Y6460">
        <v>-6.9510350000000004E-3</v>
      </c>
      <c r="Z6460">
        <v>1.2233490000000001E-3</v>
      </c>
      <c r="AA6460">
        <v>0.99997510000000001</v>
      </c>
      <c r="AB6460">
        <v>24</v>
      </c>
      <c r="AC6460">
        <v>84.213999999999999</v>
      </c>
      <c r="AD6460">
        <v>3.0035980000000002</v>
      </c>
      <c r="AE6460">
        <v>3.78125</v>
      </c>
      <c r="AF6460">
        <v>-0.58504461006796604</v>
      </c>
      <c r="AG6460">
        <v>3.0035980000000002</v>
      </c>
      <c r="AH6460">
        <v>84.189930928698402</v>
      </c>
      <c r="AI6460">
        <v>87.956805775495297</v>
      </c>
      <c r="AJ6460">
        <v>90.398147938350405</v>
      </c>
      <c r="AK6460">
        <v>84.245524201113398</v>
      </c>
      <c r="AL6460">
        <v>87.147641279676805</v>
      </c>
      <c r="AM6460">
        <v>90.290901447165496</v>
      </c>
      <c r="AN6460">
        <v>0.99999999309882304</v>
      </c>
    </row>
    <row r="6461" spans="1:40" x14ac:dyDescent="0.25">
      <c r="A6461" t="str">
        <f>"20190312160500578"</f>
        <v>20190312160500578</v>
      </c>
      <c r="B6461" t="str">
        <f>"1552377900571993"</f>
        <v>1552377900571993</v>
      </c>
      <c r="C6461" t="s">
        <v>40</v>
      </c>
      <c r="D6461">
        <v>5.8025229999999999</v>
      </c>
      <c r="E6461">
        <v>0.53724309999999997</v>
      </c>
      <c r="F6461" t="s">
        <v>41</v>
      </c>
      <c r="G6461">
        <v>-338.73090000000002</v>
      </c>
      <c r="H6461" s="1">
        <v>-1.3596029999999999E-6</v>
      </c>
      <c r="I6461">
        <v>16.07723</v>
      </c>
      <c r="J6461">
        <v>-360.75900000000001</v>
      </c>
      <c r="K6461">
        <v>1.109677</v>
      </c>
      <c r="L6461">
        <v>17.118189999999998</v>
      </c>
      <c r="M6461">
        <v>0.99924840000000004</v>
      </c>
      <c r="N6461">
        <v>0</v>
      </c>
      <c r="O6461">
        <v>3.7965409999999998E-2</v>
      </c>
      <c r="P6461">
        <v>0.99821070000000001</v>
      </c>
      <c r="Q6461">
        <v>4.160432E-2</v>
      </c>
      <c r="R6461">
        <v>4.2951709999999997E-2</v>
      </c>
      <c r="S6461">
        <v>3.0178219999999998</v>
      </c>
      <c r="T6461">
        <v>-0.1511691</v>
      </c>
      <c r="U6461">
        <v>-0.14114380000000001</v>
      </c>
      <c r="V6461">
        <v>-5.0290509999999997E-3</v>
      </c>
      <c r="W6461">
        <v>4.9425789999999997E-2</v>
      </c>
      <c r="X6461">
        <v>0.99876509999999996</v>
      </c>
      <c r="Y6461">
        <v>8.4457229999999994E-2</v>
      </c>
      <c r="Z6461">
        <v>-4.0125200000000003E-3</v>
      </c>
      <c r="AA6461">
        <v>0.99641900000000005</v>
      </c>
      <c r="AB6461">
        <v>24</v>
      </c>
      <c r="AC6461">
        <v>22.028099999999899</v>
      </c>
      <c r="AD6461">
        <v>-1.109678359603</v>
      </c>
      <c r="AE6461">
        <v>-1.0409599999999899</v>
      </c>
      <c r="AF6461">
        <v>1.8718014590770899</v>
      </c>
      <c r="AG6461">
        <v>-1.109678359603</v>
      </c>
      <c r="AH6461">
        <v>21.917200934447202</v>
      </c>
      <c r="AI6461">
        <v>92.887942830208402</v>
      </c>
      <c r="AJ6461">
        <v>85.118595780691905</v>
      </c>
      <c r="AK6461">
        <v>22.024956834575299</v>
      </c>
      <c r="AL6461">
        <v>87.166956450497594</v>
      </c>
      <c r="AM6461">
        <v>90.288497227329501</v>
      </c>
      <c r="AN6461">
        <v>0.99999996252454604</v>
      </c>
    </row>
    <row r="6462" spans="1:40" x14ac:dyDescent="0.25">
      <c r="A6462" t="str">
        <f>"20190312160500590"</f>
        <v>20190312160500590</v>
      </c>
      <c r="B6462" t="str">
        <f>"1552377900581754"</f>
        <v>1552377900581754</v>
      </c>
      <c r="C6462" t="s">
        <v>40</v>
      </c>
      <c r="D6462">
        <v>5.8163580000000001</v>
      </c>
      <c r="E6462">
        <v>0.54079840000000001</v>
      </c>
      <c r="F6462" t="s">
        <v>41</v>
      </c>
      <c r="G6462">
        <v>-326.11450000000002</v>
      </c>
      <c r="H6462" s="1">
        <v>-2.6677630000000001E-6</v>
      </c>
      <c r="I6462">
        <v>15.138450000000001</v>
      </c>
      <c r="J6462">
        <v>-360.6388</v>
      </c>
      <c r="K6462">
        <v>1.1096680000000001</v>
      </c>
      <c r="L6462">
        <v>17.12283</v>
      </c>
      <c r="M6462">
        <v>0.99924679999999999</v>
      </c>
      <c r="N6462">
        <v>0</v>
      </c>
      <c r="O6462">
        <v>3.8016069999999999E-2</v>
      </c>
      <c r="P6462">
        <v>0.99821000000000004</v>
      </c>
      <c r="Q6462">
        <v>4.1824409999999999E-2</v>
      </c>
      <c r="R6462">
        <v>4.2754590000000002E-2</v>
      </c>
      <c r="S6462">
        <v>3.0168149999999998</v>
      </c>
      <c r="T6462">
        <v>-9.6629980000000004E-2</v>
      </c>
      <c r="U6462">
        <v>-0.17239380000000001</v>
      </c>
      <c r="V6462">
        <v>-4.780879E-3</v>
      </c>
      <c r="W6462">
        <v>4.9622479999999997E-2</v>
      </c>
      <c r="X6462">
        <v>0.99875659999999999</v>
      </c>
      <c r="Y6462">
        <v>9.4897309999999999E-2</v>
      </c>
      <c r="Z6462">
        <v>-2.734691E-3</v>
      </c>
      <c r="AA6462">
        <v>0.99548329999999996</v>
      </c>
      <c r="AB6462">
        <v>24</v>
      </c>
      <c r="AC6462">
        <v>34.524299999999897</v>
      </c>
      <c r="AD6462">
        <v>-1.1096706677629999</v>
      </c>
      <c r="AE6462">
        <v>-1.98438</v>
      </c>
      <c r="AF6462">
        <v>3.29207363112286</v>
      </c>
      <c r="AG6462">
        <v>-1.1096706677629999</v>
      </c>
      <c r="AH6462">
        <v>34.388491770726297</v>
      </c>
      <c r="AI6462">
        <v>91.839811402828701</v>
      </c>
      <c r="AJ6462">
        <v>84.531634009643</v>
      </c>
      <c r="AK6462">
        <v>34.563528234960899</v>
      </c>
      <c r="AL6462">
        <v>87.155673194929705</v>
      </c>
      <c r="AM6462">
        <v>90.2742631156393</v>
      </c>
      <c r="AN6462">
        <v>0.99999999668446105</v>
      </c>
    </row>
    <row r="6463" spans="1:40" x14ac:dyDescent="0.25">
      <c r="A6463" t="str">
        <f>"20190312160500600"</f>
        <v>20190312160500600</v>
      </c>
      <c r="B6463" t="str">
        <f>"1552377900591512"</f>
        <v>1552377900591512</v>
      </c>
      <c r="C6463" t="s">
        <v>40</v>
      </c>
      <c r="D6463">
        <v>5.6825349999999997</v>
      </c>
      <c r="E6463">
        <v>0.54142599999999996</v>
      </c>
      <c r="F6463" t="s">
        <v>43</v>
      </c>
      <c r="G6463">
        <v>-310.60059999999999</v>
      </c>
      <c r="H6463">
        <v>-0.05</v>
      </c>
      <c r="I6463">
        <v>13.79434</v>
      </c>
      <c r="J6463">
        <v>-360.51760000000002</v>
      </c>
      <c r="K6463">
        <v>1.109659</v>
      </c>
      <c r="L6463">
        <v>17.127500000000001</v>
      </c>
      <c r="M6463">
        <v>0.99924500000000005</v>
      </c>
      <c r="N6463">
        <v>0</v>
      </c>
      <c r="O6463">
        <v>3.8063390000000002E-2</v>
      </c>
      <c r="P6463">
        <v>0.99822719999999998</v>
      </c>
      <c r="Q6463">
        <v>4.151767E-2</v>
      </c>
      <c r="R6463">
        <v>4.2645219999999998E-2</v>
      </c>
      <c r="S6463">
        <v>3.016937</v>
      </c>
      <c r="T6463">
        <v>-6.9919469999999997E-2</v>
      </c>
      <c r="U6463">
        <v>-0.20068359999999999</v>
      </c>
      <c r="V6463">
        <v>-4.6228409999999999E-3</v>
      </c>
      <c r="W6463">
        <v>4.9292910000000002E-2</v>
      </c>
      <c r="X6463">
        <v>0.99877369999999999</v>
      </c>
      <c r="Y6463">
        <v>0.1042667</v>
      </c>
      <c r="Z6463">
        <v>-2.0879269999999998E-3</v>
      </c>
      <c r="AA6463">
        <v>0.99454719999999996</v>
      </c>
      <c r="AB6463">
        <v>24</v>
      </c>
      <c r="AC6463">
        <v>49.917000000000002</v>
      </c>
      <c r="AD6463">
        <v>-1.159659</v>
      </c>
      <c r="AE6463">
        <v>-3.3331599999999999</v>
      </c>
      <c r="AF6463">
        <v>5.2280031194632297</v>
      </c>
      <c r="AG6463">
        <v>-1.159659</v>
      </c>
      <c r="AH6463">
        <v>49.727229725723603</v>
      </c>
      <c r="AI6463">
        <v>91.3285987578234</v>
      </c>
      <c r="AJ6463">
        <v>83.998335410949593</v>
      </c>
      <c r="AK6463">
        <v>50.014739845452503</v>
      </c>
      <c r="AL6463">
        <v>87.174579403968195</v>
      </c>
      <c r="AM6463">
        <v>90.265192592914502</v>
      </c>
      <c r="AN6463">
        <v>1.00000003272343</v>
      </c>
    </row>
    <row r="6464" spans="1:40" x14ac:dyDescent="0.25">
      <c r="A6464" t="str">
        <f>"20190312160500611"</f>
        <v>20190312160500611</v>
      </c>
      <c r="B6464" t="str">
        <f>"1552377900601666"</f>
        <v>1552377900601666</v>
      </c>
      <c r="C6464" t="s">
        <v>40</v>
      </c>
      <c r="D6464">
        <v>5.8799630000000001</v>
      </c>
      <c r="E6464">
        <v>0.54082359999999996</v>
      </c>
      <c r="F6464" t="s">
        <v>90</v>
      </c>
      <c r="G6464">
        <v>-241.07</v>
      </c>
      <c r="H6464">
        <v>0.72195339999999997</v>
      </c>
      <c r="I6464">
        <v>9.0122890000000009</v>
      </c>
      <c r="J6464">
        <v>-360.40550000000002</v>
      </c>
      <c r="K6464">
        <v>1.1096490000000001</v>
      </c>
      <c r="L6464">
        <v>17.131810000000002</v>
      </c>
      <c r="M6464">
        <v>0.99924360000000001</v>
      </c>
      <c r="N6464">
        <v>0</v>
      </c>
      <c r="O6464">
        <v>3.8104449999999998E-2</v>
      </c>
      <c r="P6464">
        <v>0.99823280000000003</v>
      </c>
      <c r="Q6464">
        <v>4.1481129999999998E-2</v>
      </c>
      <c r="R6464">
        <v>4.255097E-2</v>
      </c>
      <c r="S6464">
        <v>3.0144959999999998</v>
      </c>
      <c r="T6464">
        <v>-9.7846979999999997E-3</v>
      </c>
      <c r="U6464">
        <v>-0.2048035</v>
      </c>
      <c r="V6464">
        <v>-4.4871210000000002E-3</v>
      </c>
      <c r="W6464">
        <v>4.923433E-2</v>
      </c>
      <c r="X6464">
        <v>0.99877720000000003</v>
      </c>
      <c r="Y6464">
        <v>0.10575130000000001</v>
      </c>
      <c r="Z6464">
        <v>-2.949912E-4</v>
      </c>
      <c r="AA6464">
        <v>0.99439259999999996</v>
      </c>
      <c r="AB6464">
        <v>24</v>
      </c>
      <c r="AC6464">
        <v>119.3355</v>
      </c>
      <c r="AD6464">
        <v>-0.38769559999999897</v>
      </c>
      <c r="AE6464">
        <v>-8.1195210000000007</v>
      </c>
      <c r="AF6464">
        <v>12.660841572351501</v>
      </c>
      <c r="AG6464">
        <v>-0.38769559999999897</v>
      </c>
      <c r="AH6464">
        <v>118.93817999776201</v>
      </c>
      <c r="AI6464">
        <v>90.185713705266593</v>
      </c>
      <c r="AJ6464">
        <v>83.923807377737702</v>
      </c>
      <c r="AK6464">
        <v>119.61077659800701</v>
      </c>
      <c r="AL6464">
        <v>87.177939847279703</v>
      </c>
      <c r="AM6464">
        <v>90.257406122004596</v>
      </c>
      <c r="AN6464">
        <v>1.0000000243726199</v>
      </c>
    </row>
    <row r="6465" spans="1:40" x14ac:dyDescent="0.25">
      <c r="A6465" t="str">
        <f>"20190312160500622"</f>
        <v>20190312160500622</v>
      </c>
      <c r="B6465" t="str">
        <f>"1552377900611429"</f>
        <v>1552377900611429</v>
      </c>
      <c r="C6465" t="s">
        <v>40</v>
      </c>
      <c r="D6465">
        <v>6.0854229999999996</v>
      </c>
      <c r="E6465">
        <v>0.54085319999999903</v>
      </c>
      <c r="F6465" t="s">
        <v>90</v>
      </c>
      <c r="G6465">
        <v>-241.07</v>
      </c>
      <c r="H6465">
        <v>3.1356850000000001</v>
      </c>
      <c r="I6465">
        <v>9.2438190000000002</v>
      </c>
      <c r="J6465">
        <v>-360.28590000000003</v>
      </c>
      <c r="K6465">
        <v>1.109639</v>
      </c>
      <c r="L6465">
        <v>17.136410000000001</v>
      </c>
      <c r="M6465">
        <v>0.99924239999999998</v>
      </c>
      <c r="N6465">
        <v>0</v>
      </c>
      <c r="O6465">
        <v>3.8144009999999999E-2</v>
      </c>
      <c r="P6465">
        <v>0.9982084</v>
      </c>
      <c r="Q6465">
        <v>4.1893819999999998E-2</v>
      </c>
      <c r="R6465">
        <v>4.2722019999999999E-2</v>
      </c>
      <c r="S6465">
        <v>3.0116269999999998</v>
      </c>
      <c r="T6465">
        <v>5.1130179999999997E-2</v>
      </c>
      <c r="U6465">
        <v>-0.1990662</v>
      </c>
      <c r="V6465">
        <v>-4.618479E-3</v>
      </c>
      <c r="W6465">
        <v>4.9622949999999999E-2</v>
      </c>
      <c r="X6465">
        <v>0.99875740000000002</v>
      </c>
      <c r="Y6465">
        <v>0.103949</v>
      </c>
      <c r="Z6465">
        <v>1.5283229999999901E-3</v>
      </c>
      <c r="AA6465">
        <v>0.99458150000000001</v>
      </c>
      <c r="AB6465">
        <v>24</v>
      </c>
      <c r="AC6465">
        <v>119.2159</v>
      </c>
      <c r="AD6465">
        <v>2.026046</v>
      </c>
      <c r="AE6465">
        <v>-7.8925910000000004</v>
      </c>
      <c r="AF6465">
        <v>12.4307803654659</v>
      </c>
      <c r="AG6465">
        <v>2.026046</v>
      </c>
      <c r="AH6465">
        <v>118.7939111237</v>
      </c>
      <c r="AI6465">
        <v>89.028212523927607</v>
      </c>
      <c r="AJ6465">
        <v>84.026220863800603</v>
      </c>
      <c r="AK6465">
        <v>119.459710710156</v>
      </c>
      <c r="AL6465">
        <v>87.1556464009374</v>
      </c>
      <c r="AM6465">
        <v>90.2649466910934</v>
      </c>
      <c r="AN6465">
        <v>1.0000000557848601</v>
      </c>
    </row>
    <row r="6466" spans="1:40" x14ac:dyDescent="0.25">
      <c r="A6466" t="str">
        <f>"20190312160500633"</f>
        <v>20190312160500633</v>
      </c>
      <c r="B6466" t="str">
        <f>"1552377900621187"</f>
        <v>1552377900621187</v>
      </c>
      <c r="C6466" t="s">
        <v>40</v>
      </c>
      <c r="D6466">
        <v>6.0873269999999904</v>
      </c>
      <c r="E6466">
        <v>0.54102640000000002</v>
      </c>
      <c r="F6466" t="s">
        <v>90</v>
      </c>
      <c r="G6466">
        <v>-241.6901</v>
      </c>
      <c r="H6466">
        <v>4.7715379999999996</v>
      </c>
      <c r="I6466">
        <v>9.3326379999999993</v>
      </c>
      <c r="J6466">
        <v>-360.15989999999999</v>
      </c>
      <c r="K6466">
        <v>1.1096299999999999</v>
      </c>
      <c r="L6466">
        <v>17.141269999999999</v>
      </c>
      <c r="M6466">
        <v>0.99924109999999999</v>
      </c>
      <c r="N6466">
        <v>0</v>
      </c>
      <c r="O6466">
        <v>3.8181069999999998E-2</v>
      </c>
      <c r="P6466">
        <v>0.99819210000000003</v>
      </c>
      <c r="Q6466">
        <v>4.2077240000000002E-2</v>
      </c>
      <c r="R6466">
        <v>4.2920470000000002E-2</v>
      </c>
      <c r="S6466">
        <v>3.0099490000000002</v>
      </c>
      <c r="T6466">
        <v>9.2938419999999994E-2</v>
      </c>
      <c r="U6466">
        <v>-0.19805909999999999</v>
      </c>
      <c r="V6466">
        <v>-4.7798880000000004E-3</v>
      </c>
      <c r="W6466">
        <v>4.9781550000000001E-2</v>
      </c>
      <c r="X6466">
        <v>0.99874870000000004</v>
      </c>
      <c r="Y6466">
        <v>0.1036441</v>
      </c>
      <c r="Z6466">
        <v>2.7755620000000001E-3</v>
      </c>
      <c r="AA6466">
        <v>0.99461049999999995</v>
      </c>
      <c r="AB6466">
        <v>24</v>
      </c>
      <c r="AC6466">
        <v>118.46980000000001</v>
      </c>
      <c r="AD6466">
        <v>3.6619079999999999</v>
      </c>
      <c r="AE6466">
        <v>-7.8086320000000002</v>
      </c>
      <c r="AF6466">
        <v>12.31466111928</v>
      </c>
      <c r="AG6466">
        <v>3.6619079999999999</v>
      </c>
      <c r="AH6466">
        <v>117.973032714689</v>
      </c>
      <c r="AI6466">
        <v>88.231699408321902</v>
      </c>
      <c r="AJ6466">
        <v>84.040739779017102</v>
      </c>
      <c r="AK6466">
        <v>118.670539295076</v>
      </c>
      <c r="AL6466">
        <v>87.146547909212799</v>
      </c>
      <c r="AM6466">
        <v>90.274208435046205</v>
      </c>
      <c r="AN6466">
        <v>1.0000000079006901</v>
      </c>
    </row>
    <row r="6467" spans="1:40" x14ac:dyDescent="0.25">
      <c r="A6467" t="str">
        <f>"20190312160500644"</f>
        <v>20190312160500644</v>
      </c>
      <c r="B6467" t="str">
        <f>"1552377900641684"</f>
        <v>1552377900641684</v>
      </c>
      <c r="C6467" t="s">
        <v>40</v>
      </c>
      <c r="D6467">
        <v>6.2726569999999997</v>
      </c>
      <c r="E6467">
        <v>0.54097810000000002</v>
      </c>
      <c r="F6467" t="s">
        <v>90</v>
      </c>
      <c r="G6467">
        <v>-241.07</v>
      </c>
      <c r="H6467">
        <v>5.9322790000000003</v>
      </c>
      <c r="I6467">
        <v>9.2936569999999996</v>
      </c>
      <c r="J6467">
        <v>-360.04</v>
      </c>
      <c r="K6467">
        <v>1.1096269999999999</v>
      </c>
      <c r="L6467">
        <v>17.145900000000001</v>
      </c>
      <c r="M6467">
        <v>0.99924000000000002</v>
      </c>
      <c r="N6467">
        <v>0</v>
      </c>
      <c r="O6467">
        <v>3.8213240000000002E-2</v>
      </c>
      <c r="P6467">
        <v>0.99816170000000004</v>
      </c>
      <c r="Q6467">
        <v>4.2369570000000002E-2</v>
      </c>
      <c r="R6467">
        <v>4.3337050000000002E-2</v>
      </c>
      <c r="S6467">
        <v>3.0088499999999998</v>
      </c>
      <c r="T6467">
        <v>0.1218458</v>
      </c>
      <c r="U6467">
        <v>-0.1982727</v>
      </c>
      <c r="V6467">
        <v>-5.1650969999999996E-3</v>
      </c>
      <c r="W6467">
        <v>5.0050150000000002E-2</v>
      </c>
      <c r="X6467">
        <v>0.99873330000000005</v>
      </c>
      <c r="Y6467">
        <v>0.1037216</v>
      </c>
      <c r="Z6467">
        <v>3.642433E-3</v>
      </c>
      <c r="AA6467">
        <v>0.99459969999999998</v>
      </c>
      <c r="AB6467">
        <v>24</v>
      </c>
      <c r="AC6467">
        <v>118.97</v>
      </c>
      <c r="AD6467">
        <v>4.8226519999999997</v>
      </c>
      <c r="AE6467">
        <v>-7.8522429999999996</v>
      </c>
      <c r="AF6467">
        <v>12.3726282865772</v>
      </c>
      <c r="AG6467">
        <v>4.8226519999999997</v>
      </c>
      <c r="AH6467">
        <v>118.389335048333</v>
      </c>
      <c r="AI6467">
        <v>87.679937342257901</v>
      </c>
      <c r="AJ6467">
        <v>84.033792674569398</v>
      </c>
      <c r="AK6467">
        <v>119.13175293018</v>
      </c>
      <c r="AL6467">
        <v>87.131138888789394</v>
      </c>
      <c r="AM6467">
        <v>90.296310957625494</v>
      </c>
      <c r="AN6467">
        <v>0.99999995013546406</v>
      </c>
    </row>
    <row r="6468" spans="1:40" x14ac:dyDescent="0.25">
      <c r="A6468" t="str">
        <f>"20190312160500657"</f>
        <v>20190312160500657</v>
      </c>
      <c r="B6468" t="str">
        <f>"1552377900651445"</f>
        <v>1552377900651445</v>
      </c>
      <c r="C6468" t="s">
        <v>40</v>
      </c>
      <c r="D6468">
        <v>5.96183</v>
      </c>
      <c r="E6468">
        <v>0.54086429999999996</v>
      </c>
      <c r="F6468" t="s">
        <v>115</v>
      </c>
      <c r="G6468">
        <v>-255.67019999999999</v>
      </c>
      <c r="H6468">
        <v>6.7254459999999998</v>
      </c>
      <c r="I6468">
        <v>10.348140000000001</v>
      </c>
      <c r="J6468">
        <v>-359.91079999999999</v>
      </c>
      <c r="K6468">
        <v>1.1096159999999999</v>
      </c>
      <c r="L6468">
        <v>17.150879999999901</v>
      </c>
      <c r="M6468">
        <v>0.99923930000000005</v>
      </c>
      <c r="N6468">
        <v>0</v>
      </c>
      <c r="O6468">
        <v>3.8240400000000001E-2</v>
      </c>
      <c r="P6468">
        <v>0.99814060000000004</v>
      </c>
      <c r="Q6468">
        <v>4.255304E-2</v>
      </c>
      <c r="R6468">
        <v>4.3643870000000001E-2</v>
      </c>
      <c r="S6468">
        <v>3.0071720000000002</v>
      </c>
      <c r="T6468">
        <v>0.16180659999999999</v>
      </c>
      <c r="U6468">
        <v>-0.1958618</v>
      </c>
      <c r="V6468">
        <v>-5.4441250000000002E-3</v>
      </c>
      <c r="W6468">
        <v>5.020968E-2</v>
      </c>
      <c r="X6468">
        <v>0.9987239</v>
      </c>
      <c r="Y6468">
        <v>0.1029036</v>
      </c>
      <c r="Z6468">
        <v>4.817801E-3</v>
      </c>
      <c r="AA6468">
        <v>0.99467969999999895</v>
      </c>
      <c r="AB6468">
        <v>24</v>
      </c>
      <c r="AC6468">
        <v>104.2406</v>
      </c>
      <c r="AD6468">
        <v>5.6158299999999999</v>
      </c>
      <c r="AE6468">
        <v>-6.8027399999999902</v>
      </c>
      <c r="AF6468">
        <v>10.7530058537863</v>
      </c>
      <c r="AG6468">
        <v>5.6158299999999999</v>
      </c>
      <c r="AH6468">
        <v>103.604778456947</v>
      </c>
      <c r="AI6468">
        <v>86.913900647391102</v>
      </c>
      <c r="AJ6468">
        <v>84.074560895625496</v>
      </c>
      <c r="AK6468">
        <v>104.31258217776799</v>
      </c>
      <c r="AL6468">
        <v>87.121987243235196</v>
      </c>
      <c r="AM6468">
        <v>90.312320848785205</v>
      </c>
      <c r="AN6468">
        <v>1.0000000394469599</v>
      </c>
    </row>
    <row r="6469" spans="1:40" x14ac:dyDescent="0.25">
      <c r="A6469" t="str">
        <f>"20190312160500668"</f>
        <v>20190312160500668</v>
      </c>
      <c r="B6469" t="str">
        <f>"1552377900661203"</f>
        <v>1552377900661203</v>
      </c>
      <c r="C6469" t="s">
        <v>40</v>
      </c>
      <c r="D6469">
        <v>6.1018119999999998</v>
      </c>
      <c r="E6469">
        <v>0.54080229999999996</v>
      </c>
      <c r="F6469" t="s">
        <v>115</v>
      </c>
      <c r="G6469">
        <v>-255.67019999999999</v>
      </c>
      <c r="H6469">
        <v>7.2460449999999996</v>
      </c>
      <c r="I6469">
        <v>10.43408</v>
      </c>
      <c r="J6469">
        <v>-359.78649999999999</v>
      </c>
      <c r="K6469">
        <v>1.1096060000000001</v>
      </c>
      <c r="L6469">
        <v>17.155670000000001</v>
      </c>
      <c r="M6469">
        <v>0.99923859999999998</v>
      </c>
      <c r="N6469">
        <v>0</v>
      </c>
      <c r="O6469">
        <v>3.8264390000000002E-2</v>
      </c>
      <c r="P6469">
        <v>0.99812769999999995</v>
      </c>
      <c r="Q6469">
        <v>4.2768680000000003E-2</v>
      </c>
      <c r="R6469">
        <v>4.373461E-2</v>
      </c>
      <c r="S6469">
        <v>3.0065</v>
      </c>
      <c r="T6469">
        <v>0.17698630000000001</v>
      </c>
      <c r="U6469">
        <v>-0.1937256</v>
      </c>
      <c r="V6469">
        <v>-5.5112210000000002E-3</v>
      </c>
      <c r="W6469">
        <v>5.0403509999999999E-2</v>
      </c>
      <c r="X6469">
        <v>0.99871370000000004</v>
      </c>
      <c r="Y6469">
        <v>0.1021992</v>
      </c>
      <c r="Z6469">
        <v>5.2510339999999999E-3</v>
      </c>
      <c r="AA6469">
        <v>0.99475009999999997</v>
      </c>
      <c r="AB6469">
        <v>25</v>
      </c>
      <c r="AC6469">
        <v>104.1163</v>
      </c>
      <c r="AD6469">
        <v>6.1364389999999904</v>
      </c>
      <c r="AE6469">
        <v>-6.72159</v>
      </c>
      <c r="AF6469">
        <v>10.663840023086401</v>
      </c>
      <c r="AG6469">
        <v>6.1364389999999904</v>
      </c>
      <c r="AH6469">
        <v>103.425061961011</v>
      </c>
      <c r="AI6469">
        <v>86.622359286161796</v>
      </c>
      <c r="AJ6469">
        <v>84.113210486863395</v>
      </c>
      <c r="AK6469">
        <v>104.15429328298301</v>
      </c>
      <c r="AL6469">
        <v>87.110867325165202</v>
      </c>
      <c r="AM6469">
        <v>90.316173191641894</v>
      </c>
      <c r="AN6469">
        <v>0.99999997097245996</v>
      </c>
    </row>
    <row r="6470" spans="1:40" x14ac:dyDescent="0.25">
      <c r="A6470" t="str">
        <f>"20190312160500678"</f>
        <v>20190312160500678</v>
      </c>
      <c r="B6470" t="str">
        <f>"1552377900671938"</f>
        <v>1552377900671938</v>
      </c>
      <c r="C6470" t="s">
        <v>40</v>
      </c>
      <c r="D6470">
        <v>5.7161989999999996</v>
      </c>
      <c r="E6470">
        <v>0.54080229999999996</v>
      </c>
      <c r="F6470" t="s">
        <v>115</v>
      </c>
      <c r="G6470">
        <v>-255.67019999999999</v>
      </c>
      <c r="H6470">
        <v>7.6469279999999999</v>
      </c>
      <c r="I6470">
        <v>10.47955</v>
      </c>
      <c r="J6470">
        <v>-359.65890000000002</v>
      </c>
      <c r="K6470">
        <v>1.10959599999999</v>
      </c>
      <c r="L6470">
        <v>17.16058</v>
      </c>
      <c r="M6470">
        <v>0.99923799999999996</v>
      </c>
      <c r="N6470">
        <v>0</v>
      </c>
      <c r="O6470">
        <v>3.8280620000000001E-2</v>
      </c>
      <c r="P6470">
        <v>0.99811910000000004</v>
      </c>
      <c r="Q6470">
        <v>4.2767800000000002E-2</v>
      </c>
      <c r="R6470">
        <v>4.3925489999999998E-2</v>
      </c>
      <c r="S6470">
        <v>3.0059809999999998</v>
      </c>
      <c r="T6470">
        <v>0.1887414</v>
      </c>
      <c r="U6470">
        <v>-0.192749</v>
      </c>
      <c r="V6470">
        <v>-5.6850479999999998E-3</v>
      </c>
      <c r="W6470">
        <v>5.038161E-2</v>
      </c>
      <c r="X6470">
        <v>0.99871390000000004</v>
      </c>
      <c r="Y6470">
        <v>0.1018718</v>
      </c>
      <c r="Z6470">
        <v>5.5909130000000003E-3</v>
      </c>
      <c r="AA6470">
        <v>0.9947819</v>
      </c>
      <c r="AB6470">
        <v>25</v>
      </c>
      <c r="AC6470">
        <v>103.98869999999999</v>
      </c>
      <c r="AD6470">
        <v>6.5373320000000001</v>
      </c>
      <c r="AE6470">
        <v>-6.6810299999999998</v>
      </c>
      <c r="AF6470">
        <v>10.615220057272699</v>
      </c>
      <c r="AG6470">
        <v>6.5373320000000001</v>
      </c>
      <c r="AH6470">
        <v>103.250334408528</v>
      </c>
      <c r="AI6470">
        <v>86.396079334803204</v>
      </c>
      <c r="AJ6470">
        <v>84.130015341030202</v>
      </c>
      <c r="AK6470">
        <v>104.000245970937</v>
      </c>
      <c r="AL6470">
        <v>87.112123899173795</v>
      </c>
      <c r="AM6470">
        <v>90.326145193922898</v>
      </c>
      <c r="AN6470">
        <v>1.0000000402250799</v>
      </c>
    </row>
    <row r="6471" spans="1:40" x14ac:dyDescent="0.25">
      <c r="A6471" t="str">
        <f>"20190312160500690"</f>
        <v>20190312160500690</v>
      </c>
      <c r="B6471" t="str">
        <f>"1552377900681699"</f>
        <v>1552377900681699</v>
      </c>
      <c r="C6471" t="s">
        <v>40</v>
      </c>
      <c r="D6471">
        <v>6.0905959999999997</v>
      </c>
      <c r="E6471">
        <v>0.54078419999999905</v>
      </c>
      <c r="F6471" t="s">
        <v>115</v>
      </c>
      <c r="G6471">
        <v>-255.67019999999999</v>
      </c>
      <c r="H6471">
        <v>7.6381550000000002</v>
      </c>
      <c r="I6471">
        <v>10.51277</v>
      </c>
      <c r="J6471">
        <v>-359.53289999999998</v>
      </c>
      <c r="K6471">
        <v>1.109586</v>
      </c>
      <c r="L6471">
        <v>17.16544</v>
      </c>
      <c r="M6471">
        <v>0.99923770000000001</v>
      </c>
      <c r="N6471">
        <v>0</v>
      </c>
      <c r="O6471">
        <v>3.829399E-2</v>
      </c>
      <c r="P6471">
        <v>0.99813149999999995</v>
      </c>
      <c r="Q6471">
        <v>4.2635840000000001E-2</v>
      </c>
      <c r="R6471">
        <v>4.3772430000000001E-2</v>
      </c>
      <c r="S6471">
        <v>3.0060120000000001</v>
      </c>
      <c r="T6471">
        <v>0.18872149999999999</v>
      </c>
      <c r="U6471">
        <v>-0.19216920000000001</v>
      </c>
      <c r="V6471">
        <v>-5.5169829999999996E-3</v>
      </c>
      <c r="W6471">
        <v>5.022969E-2</v>
      </c>
      <c r="X6471">
        <v>0.99872240000000001</v>
      </c>
      <c r="Y6471">
        <v>0.1016937</v>
      </c>
      <c r="Z6471">
        <v>5.5855590000000004E-3</v>
      </c>
      <c r="AA6471">
        <v>0.99480009999999996</v>
      </c>
      <c r="AB6471">
        <v>25</v>
      </c>
      <c r="AC6471">
        <v>103.8627</v>
      </c>
      <c r="AD6471">
        <v>6.5285690000000001</v>
      </c>
      <c r="AE6471">
        <v>-6.6526699999999996</v>
      </c>
      <c r="AF6471">
        <v>10.5835760319824</v>
      </c>
      <c r="AG6471">
        <v>6.5285690000000001</v>
      </c>
      <c r="AH6471">
        <v>103.125954457082</v>
      </c>
      <c r="AI6471">
        <v>86.396501286953097</v>
      </c>
      <c r="AJ6471">
        <v>84.140382421055506</v>
      </c>
      <c r="AK6471">
        <v>103.872983867301</v>
      </c>
      <c r="AL6471">
        <v>87.120839035718006</v>
      </c>
      <c r="AM6471">
        <v>90.316500988001806</v>
      </c>
      <c r="AN6471">
        <v>0.999999945560337</v>
      </c>
    </row>
    <row r="6472" spans="1:40" x14ac:dyDescent="0.25">
      <c r="A6472" t="str">
        <f>"20190312160500701"</f>
        <v>20190312160500701</v>
      </c>
      <c r="B6472" t="str">
        <f>"1552377900691458"</f>
        <v>1552377900691458</v>
      </c>
      <c r="C6472" t="s">
        <v>40</v>
      </c>
      <c r="D6472">
        <v>6.1911579999999997</v>
      </c>
      <c r="E6472">
        <v>0.54089699999999996</v>
      </c>
      <c r="F6472" t="s">
        <v>115</v>
      </c>
      <c r="G6472">
        <v>-255.67019999999999</v>
      </c>
      <c r="H6472">
        <v>7.9375149999999897</v>
      </c>
      <c r="I6472">
        <v>10.52065</v>
      </c>
      <c r="J6472">
        <v>-359.41419999999999</v>
      </c>
      <c r="K6472">
        <v>1.1095759999999999</v>
      </c>
      <c r="L6472">
        <v>17.169979999999999</v>
      </c>
      <c r="M6472">
        <v>0.99923770000000001</v>
      </c>
      <c r="N6472">
        <v>0</v>
      </c>
      <c r="O6472">
        <v>3.8301830000000002E-2</v>
      </c>
      <c r="P6472">
        <v>0.99814130000000001</v>
      </c>
      <c r="Q6472">
        <v>4.2649510000000002E-2</v>
      </c>
      <c r="R6472">
        <v>4.353456E-2</v>
      </c>
      <c r="S6472">
        <v>3.005646</v>
      </c>
      <c r="T6472">
        <v>0.19759080000000001</v>
      </c>
      <c r="U6472">
        <v>-0.1922913</v>
      </c>
      <c r="V6472">
        <v>-5.2707739999999998E-3</v>
      </c>
      <c r="W6472">
        <v>5.0224449999999997E-2</v>
      </c>
      <c r="X6472">
        <v>0.99872399999999995</v>
      </c>
      <c r="Y6472">
        <v>0.1017229</v>
      </c>
      <c r="Z6472">
        <v>5.849684E-3</v>
      </c>
      <c r="AA6472">
        <v>0.9947956</v>
      </c>
      <c r="AB6472">
        <v>25</v>
      </c>
      <c r="AC6472">
        <v>103.744</v>
      </c>
      <c r="AD6472">
        <v>6.82793899999999</v>
      </c>
      <c r="AE6472">
        <v>-6.6493299999999902</v>
      </c>
      <c r="AF6472">
        <v>10.572539657166899</v>
      </c>
      <c r="AG6472">
        <v>6.82793899999999</v>
      </c>
      <c r="AH6472">
        <v>102.968980438252</v>
      </c>
      <c r="AI6472">
        <v>86.226017960118895</v>
      </c>
      <c r="AJ6472">
        <v>84.137588773229197</v>
      </c>
      <c r="AK6472">
        <v>103.73528945485801</v>
      </c>
      <c r="AL6472">
        <v>87.121139664477496</v>
      </c>
      <c r="AM6472">
        <v>90.302376133246895</v>
      </c>
      <c r="AN6472">
        <v>0.999999952306179</v>
      </c>
    </row>
    <row r="6473" spans="1:40" x14ac:dyDescent="0.25">
      <c r="A6473" t="str">
        <f>"20190312160500711"</f>
        <v>20190312160500711</v>
      </c>
      <c r="B6473" t="str">
        <f>"1552377900701220"</f>
        <v>1552377900701220</v>
      </c>
      <c r="C6473" t="s">
        <v>40</v>
      </c>
      <c r="D6473">
        <v>6.1416329999999997</v>
      </c>
      <c r="E6473">
        <v>0.54092899999999999</v>
      </c>
      <c r="F6473" t="s">
        <v>115</v>
      </c>
      <c r="G6473">
        <v>-255.67019999999999</v>
      </c>
      <c r="H6473">
        <v>8.23881499999999</v>
      </c>
      <c r="I6473">
        <v>10.482189999999999</v>
      </c>
      <c r="J6473">
        <v>-359.29450000000003</v>
      </c>
      <c r="K6473">
        <v>1.1095680000000001</v>
      </c>
      <c r="L6473">
        <v>17.17456</v>
      </c>
      <c r="M6473">
        <v>0.99923740000000005</v>
      </c>
      <c r="N6473">
        <v>0</v>
      </c>
      <c r="O6473">
        <v>3.8307460000000002E-2</v>
      </c>
      <c r="P6473">
        <v>0.99815050000000005</v>
      </c>
      <c r="Q6473">
        <v>4.2475350000000002E-2</v>
      </c>
      <c r="R6473">
        <v>4.3491879999999997E-2</v>
      </c>
      <c r="S6473">
        <v>3.0051570000000001</v>
      </c>
      <c r="T6473">
        <v>0.2065128</v>
      </c>
      <c r="U6473">
        <v>-0.1937256</v>
      </c>
      <c r="V6473">
        <v>-5.2212969999999997E-3</v>
      </c>
      <c r="W6473">
        <v>5.0030619999999998E-2</v>
      </c>
      <c r="X6473">
        <v>0.99873409999999996</v>
      </c>
      <c r="Y6473">
        <v>0.1021827</v>
      </c>
      <c r="Z6473">
        <v>6.1302650000000002E-3</v>
      </c>
      <c r="AA6473">
        <v>0.99474669999999998</v>
      </c>
      <c r="AB6473">
        <v>25</v>
      </c>
      <c r="AC6473">
        <v>103.62430000000001</v>
      </c>
      <c r="AD6473">
        <v>7.1292469999999897</v>
      </c>
      <c r="AE6473">
        <v>-6.6923699999999897</v>
      </c>
      <c r="AF6473">
        <v>10.6071563751821</v>
      </c>
      <c r="AG6473">
        <v>7.1292469999999897</v>
      </c>
      <c r="AH6473">
        <v>102.80726391107299</v>
      </c>
      <c r="AI6473">
        <v>86.054012082448907</v>
      </c>
      <c r="AJ6473">
        <v>84.109341755812693</v>
      </c>
      <c r="AK6473">
        <v>103.598607336371</v>
      </c>
      <c r="AL6473">
        <v>87.132259604970699</v>
      </c>
      <c r="AM6473">
        <v>90.299534737311703</v>
      </c>
      <c r="AN6473">
        <v>1.00000006369137</v>
      </c>
    </row>
    <row r="6474" spans="1:40" x14ac:dyDescent="0.25">
      <c r="A6474" t="str">
        <f>"20190312160500722"</f>
        <v>20190312160500722</v>
      </c>
      <c r="B6474" t="str">
        <f>"1552377900711955"</f>
        <v>1552377900711955</v>
      </c>
      <c r="C6474" t="s">
        <v>40</v>
      </c>
      <c r="D6474">
        <v>6.0889559999999996</v>
      </c>
      <c r="E6474">
        <v>0.54092379999999995</v>
      </c>
      <c r="F6474" t="s">
        <v>115</v>
      </c>
      <c r="G6474">
        <v>-255.67019999999999</v>
      </c>
      <c r="H6474">
        <v>8.4784579999999998</v>
      </c>
      <c r="I6474">
        <v>10.485659999999999</v>
      </c>
      <c r="J6474">
        <v>-359.17579999999998</v>
      </c>
      <c r="K6474">
        <v>1.1095619999999999</v>
      </c>
      <c r="L6474">
        <v>17.17914</v>
      </c>
      <c r="M6474">
        <v>0.9992375</v>
      </c>
      <c r="N6474">
        <v>0</v>
      </c>
      <c r="O6474">
        <v>3.8310120000000003E-2</v>
      </c>
      <c r="P6474">
        <v>0.99817069999999997</v>
      </c>
      <c r="Q6474">
        <v>4.1993860000000001E-2</v>
      </c>
      <c r="R6474">
        <v>4.3498120000000001E-2</v>
      </c>
      <c r="S6474">
        <v>3.0049739999999998</v>
      </c>
      <c r="T6474">
        <v>0.2136884</v>
      </c>
      <c r="U6474">
        <v>-0.19396969999999999</v>
      </c>
      <c r="V6474">
        <v>-5.2233330000000001E-3</v>
      </c>
      <c r="W6474">
        <v>4.9529620000000003E-2</v>
      </c>
      <c r="X6474">
        <v>0.99875899999999995</v>
      </c>
      <c r="Y6474">
        <v>0.1022462</v>
      </c>
      <c r="Z6474">
        <v>6.3455539999999998E-3</v>
      </c>
      <c r="AA6474">
        <v>0.99473889999999998</v>
      </c>
      <c r="AB6474">
        <v>25</v>
      </c>
      <c r="AC6474">
        <v>103.5056</v>
      </c>
      <c r="AD6474">
        <v>7.3688959999999897</v>
      </c>
      <c r="AE6474">
        <v>-6.6934799999999903</v>
      </c>
      <c r="AF6474">
        <v>10.6004859791692</v>
      </c>
      <c r="AG6474">
        <v>7.3688959999999897</v>
      </c>
      <c r="AH6474">
        <v>102.655039199218</v>
      </c>
      <c r="AI6474">
        <v>85.915817953610897</v>
      </c>
      <c r="AJ6474">
        <v>84.104351902068103</v>
      </c>
      <c r="AK6474">
        <v>103.463655474985</v>
      </c>
      <c r="AL6474">
        <v>87.161000250136894</v>
      </c>
      <c r="AM6474">
        <v>90.299644065726994</v>
      </c>
      <c r="AN6474">
        <v>1.0000000032729801</v>
      </c>
    </row>
    <row r="6475" spans="1:40" x14ac:dyDescent="0.25">
      <c r="A6475" t="str">
        <f>"20190312160500736"</f>
        <v>20190312160500736</v>
      </c>
      <c r="B6475" t="str">
        <f>"1552377900731475"</f>
        <v>1552377900731475</v>
      </c>
      <c r="C6475" t="s">
        <v>40</v>
      </c>
      <c r="D6475">
        <v>6.1454610000000001</v>
      </c>
      <c r="E6475">
        <v>0.54071139999999995</v>
      </c>
      <c r="F6475" t="s">
        <v>115</v>
      </c>
      <c r="G6475">
        <v>-255.67019999999999</v>
      </c>
      <c r="H6475">
        <v>8.6449619999999996</v>
      </c>
      <c r="I6475">
        <v>10.5036</v>
      </c>
      <c r="J6475">
        <v>-359.03309999999999</v>
      </c>
      <c r="K6475">
        <v>1.1095520000000001</v>
      </c>
      <c r="L6475">
        <v>17.1846</v>
      </c>
      <c r="M6475">
        <v>0.99923759999999995</v>
      </c>
      <c r="N6475">
        <v>0</v>
      </c>
      <c r="O6475">
        <v>3.8310530000000002E-2</v>
      </c>
      <c r="P6475">
        <v>0.99816439999999995</v>
      </c>
      <c r="Q6475">
        <v>4.2197909999999998E-2</v>
      </c>
      <c r="R6475">
        <v>4.3444799999999999E-2</v>
      </c>
      <c r="S6475">
        <v>3.0047000000000001</v>
      </c>
      <c r="T6475">
        <v>0.21874759999999999</v>
      </c>
      <c r="U6475">
        <v>-0.1937866</v>
      </c>
      <c r="V6475">
        <v>-5.1699470000000003E-3</v>
      </c>
      <c r="W6475">
        <v>4.9711539999999999E-2</v>
      </c>
      <c r="X6475">
        <v>0.99875020000000003</v>
      </c>
      <c r="Y6475">
        <v>0.1021753</v>
      </c>
      <c r="Z6475">
        <v>6.4934540000000001E-3</v>
      </c>
      <c r="AA6475">
        <v>0.9947452</v>
      </c>
      <c r="AB6475">
        <v>25</v>
      </c>
      <c r="AC6475">
        <v>103.3629</v>
      </c>
      <c r="AD6475">
        <v>7.5354099999999997</v>
      </c>
      <c r="AE6475">
        <v>-6.6809999999999903</v>
      </c>
      <c r="AF6475">
        <v>10.5800976485106</v>
      </c>
      <c r="AG6475">
        <v>7.5354099999999997</v>
      </c>
      <c r="AH6475">
        <v>102.488618159445</v>
      </c>
      <c r="AI6475">
        <v>85.817080655644702</v>
      </c>
      <c r="AJ6475">
        <v>84.106123728369894</v>
      </c>
      <c r="AK6475">
        <v>103.308459103563</v>
      </c>
      <c r="AL6475">
        <v>87.150564033507493</v>
      </c>
      <c r="AM6475">
        <v>90.296584168610494</v>
      </c>
      <c r="AN6475">
        <v>0.99999996378059597</v>
      </c>
    </row>
    <row r="6476" spans="1:40" x14ac:dyDescent="0.25">
      <c r="A6476" t="str">
        <f>"20190312160500749"</f>
        <v>20190312160500749</v>
      </c>
      <c r="B6476" t="str">
        <f>"1552377900741235"</f>
        <v>1552377900741235</v>
      </c>
      <c r="C6476" t="s">
        <v>40</v>
      </c>
      <c r="D6476">
        <v>6.0496860000000003</v>
      </c>
      <c r="E6476">
        <v>0.54041919999999899</v>
      </c>
      <c r="F6476" t="s">
        <v>115</v>
      </c>
      <c r="G6476">
        <v>-255.67019999999999</v>
      </c>
      <c r="H6476">
        <v>9.0108219999999992</v>
      </c>
      <c r="I6476">
        <v>10.57802</v>
      </c>
      <c r="J6476">
        <v>-358.88940000000002</v>
      </c>
      <c r="K6476">
        <v>1.1095459999999999</v>
      </c>
      <c r="L6476">
        <v>17.190089999999898</v>
      </c>
      <c r="M6476">
        <v>0.99923790000000001</v>
      </c>
      <c r="N6476">
        <v>0</v>
      </c>
      <c r="O6476">
        <v>3.8308740000000001E-2</v>
      </c>
      <c r="P6476">
        <v>0.99818150000000005</v>
      </c>
      <c r="Q6476">
        <v>4.196341E-2</v>
      </c>
      <c r="R6476">
        <v>4.3277509999999998E-2</v>
      </c>
      <c r="S6476">
        <v>3.004181</v>
      </c>
      <c r="T6476">
        <v>0.22964560000000001</v>
      </c>
      <c r="U6476">
        <v>-0.19201660000000001</v>
      </c>
      <c r="V6476">
        <v>-5.0033259999999998E-3</v>
      </c>
      <c r="W6476">
        <v>4.9454369999999997E-2</v>
      </c>
      <c r="X6476">
        <v>0.99876390000000004</v>
      </c>
      <c r="Y6476">
        <v>0.1015646</v>
      </c>
      <c r="Z6476">
        <v>6.7939139999999999E-3</v>
      </c>
      <c r="AA6476">
        <v>0.99480579999999996</v>
      </c>
      <c r="AB6476">
        <v>25</v>
      </c>
      <c r="AC6476">
        <v>103.2192</v>
      </c>
      <c r="AD6476">
        <v>7.9012760000000002</v>
      </c>
      <c r="AE6476">
        <v>-6.6120699999999903</v>
      </c>
      <c r="AF6476">
        <v>10.500247893054301</v>
      </c>
      <c r="AG6476">
        <v>7.9012760000000002</v>
      </c>
      <c r="AH6476">
        <v>102.293165563985</v>
      </c>
      <c r="AI6476">
        <v>85.606155567413893</v>
      </c>
      <c r="AJ6476">
        <v>84.139196805012205</v>
      </c>
      <c r="AK6476">
        <v>103.13378248345499</v>
      </c>
      <c r="AL6476">
        <v>87.165317174465798</v>
      </c>
      <c r="AM6476">
        <v>90.287021853060494</v>
      </c>
      <c r="AN6476">
        <v>1.0000000479631801</v>
      </c>
    </row>
    <row r="6477" spans="1:40" x14ac:dyDescent="0.25">
      <c r="A6477" t="str">
        <f>"20190312160500760"</f>
        <v>20190312160500760</v>
      </c>
      <c r="B6477" t="str">
        <f>"1552377900751971"</f>
        <v>1552377900751971</v>
      </c>
      <c r="C6477" t="s">
        <v>40</v>
      </c>
      <c r="D6477">
        <v>6.2037750000000003</v>
      </c>
      <c r="E6477">
        <v>0.54047019999999901</v>
      </c>
      <c r="F6477" t="s">
        <v>115</v>
      </c>
      <c r="G6477">
        <v>-255.67019999999999</v>
      </c>
      <c r="H6477">
        <v>9.1511969999999998</v>
      </c>
      <c r="I6477">
        <v>10.660119999999999</v>
      </c>
      <c r="J6477">
        <v>-358.75069999999999</v>
      </c>
      <c r="K6477">
        <v>1.1095410000000001</v>
      </c>
      <c r="L6477">
        <v>17.195429999999899</v>
      </c>
      <c r="M6477">
        <v>0.99923830000000002</v>
      </c>
      <c r="N6477">
        <v>0</v>
      </c>
      <c r="O6477">
        <v>3.8305169999999999E-2</v>
      </c>
      <c r="P6477">
        <v>0.99819650000000004</v>
      </c>
      <c r="Q6477">
        <v>4.1869589999999998E-2</v>
      </c>
      <c r="R6477">
        <v>4.3024390000000003E-2</v>
      </c>
      <c r="S6477">
        <v>3.0038450000000001</v>
      </c>
      <c r="T6477">
        <v>0.23402490000000001</v>
      </c>
      <c r="U6477">
        <v>-0.19003300000000001</v>
      </c>
      <c r="V6477">
        <v>-4.7533219999999999E-3</v>
      </c>
      <c r="W6477">
        <v>4.9339580000000001E-2</v>
      </c>
      <c r="X6477">
        <v>0.99877079999999996</v>
      </c>
      <c r="Y6477">
        <v>0.10090010000000001</v>
      </c>
      <c r="Z6477">
        <v>6.8978919999999897E-3</v>
      </c>
      <c r="AA6477">
        <v>0.9948726</v>
      </c>
      <c r="AB6477">
        <v>25</v>
      </c>
      <c r="AC6477">
        <v>103.0805</v>
      </c>
      <c r="AD6477">
        <v>8.0416559999999997</v>
      </c>
      <c r="AE6477">
        <v>-6.5353099999999902</v>
      </c>
      <c r="AF6477">
        <v>10.416000245044801</v>
      </c>
      <c r="AG6477">
        <v>8.0416559999999997</v>
      </c>
      <c r="AH6477">
        <v>102.135384671859</v>
      </c>
      <c r="AI6477">
        <v>85.521224427771202</v>
      </c>
      <c r="AJ6477">
        <v>84.176976842091904</v>
      </c>
      <c r="AK6477">
        <v>102.97960037986</v>
      </c>
      <c r="AL6477">
        <v>87.171902200089605</v>
      </c>
      <c r="AM6477">
        <v>90.272678409414098</v>
      </c>
      <c r="AN6477">
        <v>1.0000000495786201</v>
      </c>
    </row>
    <row r="6478" spans="1:40" x14ac:dyDescent="0.25">
      <c r="A6478" t="str">
        <f>"20190312160500773"</f>
        <v>20190312160500773</v>
      </c>
      <c r="B6478" t="str">
        <f>"1552377900761731"</f>
        <v>1552377900761731</v>
      </c>
      <c r="C6478" t="s">
        <v>40</v>
      </c>
      <c r="D6478">
        <v>6.0933199999999896</v>
      </c>
      <c r="E6478">
        <v>0.54050140000000002</v>
      </c>
      <c r="F6478" t="s">
        <v>115</v>
      </c>
      <c r="G6478">
        <v>-255.67019999999999</v>
      </c>
      <c r="H6478">
        <v>9.2658900000000006</v>
      </c>
      <c r="I6478">
        <v>10.63725</v>
      </c>
      <c r="J6478">
        <v>-358.61399999999998</v>
      </c>
      <c r="K6478">
        <v>1.1095349999999999</v>
      </c>
      <c r="L6478">
        <v>17.20065</v>
      </c>
      <c r="M6478">
        <v>0.99923850000000003</v>
      </c>
      <c r="N6478">
        <v>0</v>
      </c>
      <c r="O6478">
        <v>3.830095E-2</v>
      </c>
      <c r="P6478">
        <v>0.99819950000000002</v>
      </c>
      <c r="Q6478">
        <v>4.2252779999999997E-2</v>
      </c>
      <c r="R6478">
        <v>4.2573189999999997E-2</v>
      </c>
      <c r="S6478">
        <v>3.0036930000000002</v>
      </c>
      <c r="T6478">
        <v>0.2376701</v>
      </c>
      <c r="U6478">
        <v>-0.1911011</v>
      </c>
      <c r="V6478">
        <v>-4.3065209999999998E-3</v>
      </c>
      <c r="W6478">
        <v>4.9702009999999998E-2</v>
      </c>
      <c r="X6478">
        <v>0.99875480000000005</v>
      </c>
      <c r="Y6478">
        <v>0.1012372</v>
      </c>
      <c r="Z6478">
        <v>7.0182519999999896E-3</v>
      </c>
      <c r="AA6478">
        <v>0.99483759999999999</v>
      </c>
      <c r="AB6478">
        <v>25</v>
      </c>
      <c r="AC6478">
        <v>102.9438</v>
      </c>
      <c r="AD6478">
        <v>8.1563549999999996</v>
      </c>
      <c r="AE6478">
        <v>-6.5633999999999997</v>
      </c>
      <c r="AF6478">
        <v>10.4362891631918</v>
      </c>
      <c r="AG6478">
        <v>8.1563549999999996</v>
      </c>
      <c r="AH6478">
        <v>101.979278617522</v>
      </c>
      <c r="AI6478">
        <v>85.450847110910004</v>
      </c>
      <c r="AJ6478">
        <v>84.156843411035496</v>
      </c>
      <c r="AK6478">
        <v>102.835866922655</v>
      </c>
      <c r="AL6478">
        <v>87.151110822057404</v>
      </c>
      <c r="AM6478">
        <v>90.247051577128701</v>
      </c>
      <c r="AN6478">
        <v>0.99999999322210098</v>
      </c>
    </row>
    <row r="6479" spans="1:40" x14ac:dyDescent="0.25">
      <c r="A6479" t="str">
        <f>"20190312160500791"</f>
        <v>20190312160500791</v>
      </c>
      <c r="B6479" t="str">
        <f>"1552377900781251"</f>
        <v>1552377900781251</v>
      </c>
      <c r="C6479" t="s">
        <v>40</v>
      </c>
      <c r="D6479">
        <v>6.1449319999999998</v>
      </c>
      <c r="E6479">
        <v>0.5407672</v>
      </c>
      <c r="F6479" t="s">
        <v>115</v>
      </c>
      <c r="G6479">
        <v>-255.7764</v>
      </c>
      <c r="H6479">
        <v>9.4088390000000004</v>
      </c>
      <c r="I6479">
        <v>10.601800000000001</v>
      </c>
      <c r="J6479">
        <v>-358.41370000000001</v>
      </c>
      <c r="K6479">
        <v>1.109524</v>
      </c>
      <c r="L6479">
        <v>17.20834</v>
      </c>
      <c r="M6479">
        <v>0.99923899999999999</v>
      </c>
      <c r="N6479">
        <v>0</v>
      </c>
      <c r="O6479">
        <v>3.8293800000000003E-2</v>
      </c>
      <c r="P6479">
        <v>0.99824460000000004</v>
      </c>
      <c r="Q6479">
        <v>4.1910059999999999E-2</v>
      </c>
      <c r="R6479">
        <v>4.1850659999999998E-2</v>
      </c>
      <c r="S6479">
        <v>3.0033569999999998</v>
      </c>
      <c r="T6479">
        <v>0.2423797</v>
      </c>
      <c r="U6479">
        <v>-0.19271849999999999</v>
      </c>
      <c r="V6479">
        <v>-3.5898409999999999E-3</v>
      </c>
      <c r="W6479">
        <v>4.932864E-2</v>
      </c>
      <c r="X6479">
        <v>0.99877609999999994</v>
      </c>
      <c r="Y6479">
        <v>0.1017516</v>
      </c>
      <c r="Z6479">
        <v>7.1776840000000001E-3</v>
      </c>
      <c r="AA6479">
        <v>0.99478390000000005</v>
      </c>
      <c r="AB6479">
        <v>25</v>
      </c>
      <c r="AC6479">
        <v>102.6373</v>
      </c>
      <c r="AD6479">
        <v>8.299315</v>
      </c>
      <c r="AE6479">
        <v>-6.6065399999999901</v>
      </c>
      <c r="AF6479">
        <v>10.4640381613383</v>
      </c>
      <c r="AG6479">
        <v>8.299315</v>
      </c>
      <c r="AH6479">
        <v>101.64714596409399</v>
      </c>
      <c r="AI6479">
        <v>85.356683050647902</v>
      </c>
      <c r="AJ6479">
        <v>84.122405834202297</v>
      </c>
      <c r="AK6479">
        <v>102.52081255412</v>
      </c>
      <c r="AL6479">
        <v>87.172529497740101</v>
      </c>
      <c r="AM6479">
        <v>90.205933895215907</v>
      </c>
      <c r="AN6479">
        <v>0.99999994980693097</v>
      </c>
    </row>
    <row r="6480" spans="1:40" x14ac:dyDescent="0.25">
      <c r="A6480" t="str">
        <f>"20190312160500802"</f>
        <v>20190312160500802</v>
      </c>
      <c r="B6480" t="str">
        <f>"1552377900791986"</f>
        <v>1552377900791986</v>
      </c>
      <c r="C6480" t="s">
        <v>40</v>
      </c>
      <c r="D6480">
        <v>6.1446040000000002</v>
      </c>
      <c r="E6480">
        <v>0.54087799999999997</v>
      </c>
      <c r="F6480" t="s">
        <v>90</v>
      </c>
      <c r="G6480">
        <v>-241.07</v>
      </c>
      <c r="H6480">
        <v>10.79373</v>
      </c>
      <c r="I6480">
        <v>9.5135000000000005</v>
      </c>
      <c r="J6480">
        <v>-358.27960000000002</v>
      </c>
      <c r="K6480">
        <v>1.109518</v>
      </c>
      <c r="L6480">
        <v>17.213470000000001</v>
      </c>
      <c r="M6480">
        <v>0.99923930000000005</v>
      </c>
      <c r="N6480">
        <v>0</v>
      </c>
      <c r="O6480">
        <v>3.8289110000000001E-2</v>
      </c>
      <c r="P6480">
        <v>0.99823709999999999</v>
      </c>
      <c r="Q6480">
        <v>4.1977920000000002E-2</v>
      </c>
      <c r="R6480">
        <v>4.1960949999999997E-2</v>
      </c>
      <c r="S6480">
        <v>3.0031129999999999</v>
      </c>
      <c r="T6480">
        <v>0.24784229999999999</v>
      </c>
      <c r="U6480">
        <v>-0.19692989999999999</v>
      </c>
      <c r="V6480">
        <v>-3.7046090000000002E-3</v>
      </c>
      <c r="W6480">
        <v>4.9377209999999998E-2</v>
      </c>
      <c r="X6480">
        <v>0.99877329999999998</v>
      </c>
      <c r="Y6480">
        <v>0.103115899999999</v>
      </c>
      <c r="Z6480">
        <v>7.3949530000000001E-3</v>
      </c>
      <c r="AA6480">
        <v>0.99464180000000002</v>
      </c>
      <c r="AB6480">
        <v>25</v>
      </c>
      <c r="AC6480">
        <v>117.20959999999999</v>
      </c>
      <c r="AD6480">
        <v>9.6842119999999898</v>
      </c>
      <c r="AE6480">
        <v>-7.6999699999999898</v>
      </c>
      <c r="AF6480">
        <v>12.1000506636432</v>
      </c>
      <c r="AG6480">
        <v>9.6842119999999898</v>
      </c>
      <c r="AH6480">
        <v>116.04006182060699</v>
      </c>
      <c r="AI6480">
        <v>85.255000565891393</v>
      </c>
      <c r="AJ6480">
        <v>84.047009681530398</v>
      </c>
      <c r="AK6480">
        <v>117.070453725327</v>
      </c>
      <c r="AL6480">
        <v>87.169743300333494</v>
      </c>
      <c r="AM6480">
        <v>90.212518183101906</v>
      </c>
      <c r="AN6480">
        <v>0.99999996889405796</v>
      </c>
    </row>
    <row r="6481" spans="1:40" x14ac:dyDescent="0.25">
      <c r="A6481" t="str">
        <f>"20190312160500814"</f>
        <v>20190312160500814</v>
      </c>
      <c r="B6481" t="str">
        <f>"1552377900811506"</f>
        <v>1552377900811506</v>
      </c>
      <c r="C6481" t="s">
        <v>40</v>
      </c>
      <c r="D6481">
        <v>6.6574920000000004</v>
      </c>
      <c r="E6481">
        <v>0.54087450000000004</v>
      </c>
      <c r="F6481" t="s">
        <v>90</v>
      </c>
      <c r="G6481">
        <v>-241.07</v>
      </c>
      <c r="H6481">
        <v>10.89418</v>
      </c>
      <c r="I6481">
        <v>9.5070150000000009</v>
      </c>
      <c r="J6481">
        <v>-358.1508</v>
      </c>
      <c r="K6481">
        <v>1.1095170000000001</v>
      </c>
      <c r="L6481">
        <v>17.218409999999999</v>
      </c>
      <c r="M6481">
        <v>0.99923960000000001</v>
      </c>
      <c r="N6481">
        <v>0</v>
      </c>
      <c r="O6481">
        <v>3.8284890000000002E-2</v>
      </c>
      <c r="P6481">
        <v>0.99825160000000002</v>
      </c>
      <c r="Q6481">
        <v>4.1843350000000001E-2</v>
      </c>
      <c r="R6481">
        <v>4.17487E-2</v>
      </c>
      <c r="S6481">
        <v>3.0030519999999998</v>
      </c>
      <c r="T6481">
        <v>0.25069459999999999</v>
      </c>
      <c r="U6481">
        <v>-0.1974487</v>
      </c>
      <c r="V6481">
        <v>-3.4960360000000001E-3</v>
      </c>
      <c r="W6481">
        <v>4.9225280000000003E-2</v>
      </c>
      <c r="X6481">
        <v>0.99878160000000005</v>
      </c>
      <c r="Y6481">
        <v>0.1032725</v>
      </c>
      <c r="Z6481">
        <v>7.4860419999999896E-3</v>
      </c>
      <c r="AA6481">
        <v>0.99462490000000003</v>
      </c>
      <c r="AB6481">
        <v>25</v>
      </c>
      <c r="AC6481">
        <v>117.0808</v>
      </c>
      <c r="AD6481">
        <v>9.7846630000000001</v>
      </c>
      <c r="AE6481">
        <v>-7.7113950000000004</v>
      </c>
      <c r="AF6481">
        <v>12.1041157316932</v>
      </c>
      <c r="AG6481">
        <v>9.7846630000000001</v>
      </c>
      <c r="AH6481">
        <v>115.893785211031</v>
      </c>
      <c r="AI6481">
        <v>85.200070219254201</v>
      </c>
      <c r="AJ6481">
        <v>84.037562090078197</v>
      </c>
      <c r="AK6481">
        <v>116.934249466144</v>
      </c>
      <c r="AL6481">
        <v>87.1784589840927</v>
      </c>
      <c r="AM6481">
        <v>90.200551641886904</v>
      </c>
      <c r="AN6481">
        <v>1.0000000174786701</v>
      </c>
    </row>
    <row r="6482" spans="1:40" x14ac:dyDescent="0.25">
      <c r="A6482" t="str">
        <f>"20190312160500826"</f>
        <v>20190312160500826</v>
      </c>
      <c r="B6482" t="str">
        <f>"1552377900821267"</f>
        <v>1552377900821267</v>
      </c>
      <c r="C6482" t="s">
        <v>40</v>
      </c>
      <c r="D6482">
        <v>6.1434810000000004</v>
      </c>
      <c r="E6482">
        <v>0.54098800000000002</v>
      </c>
      <c r="F6482" t="s">
        <v>90</v>
      </c>
      <c r="G6482">
        <v>-241.07</v>
      </c>
      <c r="H6482">
        <v>11.069699999999999</v>
      </c>
      <c r="I6482">
        <v>9.5008409999999994</v>
      </c>
      <c r="J6482">
        <v>-358.01920000000001</v>
      </c>
      <c r="K6482">
        <v>1.1095139999999999</v>
      </c>
      <c r="L6482">
        <v>17.22345</v>
      </c>
      <c r="M6482">
        <v>0.99923989999999996</v>
      </c>
      <c r="N6482">
        <v>0</v>
      </c>
      <c r="O6482">
        <v>3.8280969999999997E-2</v>
      </c>
      <c r="P6482">
        <v>0.99825560000000002</v>
      </c>
      <c r="Q6482">
        <v>4.1770809999999998E-2</v>
      </c>
      <c r="R6482">
        <v>4.172588E-2</v>
      </c>
      <c r="S6482">
        <v>3.0028380000000001</v>
      </c>
      <c r="T6482">
        <v>0.25545430000000002</v>
      </c>
      <c r="U6482">
        <v>-0.197937</v>
      </c>
      <c r="V6482">
        <v>-3.477478E-3</v>
      </c>
      <c r="W6482">
        <v>4.9136230000000003E-2</v>
      </c>
      <c r="X6482">
        <v>0.99878599999999995</v>
      </c>
      <c r="Y6482">
        <v>0.1034149</v>
      </c>
      <c r="Z6482">
        <v>7.633875E-3</v>
      </c>
      <c r="AA6482">
        <v>0.99460899999999997</v>
      </c>
      <c r="AB6482">
        <v>25</v>
      </c>
      <c r="AC6482">
        <v>116.9492</v>
      </c>
      <c r="AD6482">
        <v>9.9601860000000002</v>
      </c>
      <c r="AE6482">
        <v>-7.7226089999999896</v>
      </c>
      <c r="AF6482">
        <v>12.1065659912024</v>
      </c>
      <c r="AG6482">
        <v>9.9601860000000002</v>
      </c>
      <c r="AH6482">
        <v>115.73203254796501</v>
      </c>
      <c r="AI6482">
        <v>85.107668279920901</v>
      </c>
      <c r="AJ6482">
        <v>84.028088929118596</v>
      </c>
      <c r="AK6482">
        <v>116.78903031936299</v>
      </c>
      <c r="AL6482">
        <v>87.183567215017206</v>
      </c>
      <c r="AM6482">
        <v>90.199486183882996</v>
      </c>
      <c r="AN6482">
        <v>0.99999996787392598</v>
      </c>
    </row>
    <row r="6483" spans="1:40" x14ac:dyDescent="0.25">
      <c r="A6483" t="str">
        <f>"20190312160500836"</f>
        <v>20190312160500836</v>
      </c>
      <c r="B6483" t="str">
        <f>"1552377900832003"</f>
        <v>1552377900832003</v>
      </c>
      <c r="C6483" t="s">
        <v>40</v>
      </c>
      <c r="D6483">
        <v>6.0943519999999998</v>
      </c>
      <c r="E6483">
        <v>0.54095760000000004</v>
      </c>
      <c r="F6483" t="s">
        <v>90</v>
      </c>
      <c r="G6483">
        <v>-241.07</v>
      </c>
      <c r="H6483">
        <v>11.134600000000001</v>
      </c>
      <c r="I6483">
        <v>9.4798519999999993</v>
      </c>
      <c r="J6483">
        <v>-357.90660000000003</v>
      </c>
      <c r="K6483">
        <v>1.10951</v>
      </c>
      <c r="L6483">
        <v>17.227779999999999</v>
      </c>
      <c r="M6483">
        <v>0.99924009999999996</v>
      </c>
      <c r="N6483">
        <v>0</v>
      </c>
      <c r="O6483">
        <v>3.8278699999999999E-2</v>
      </c>
      <c r="P6483">
        <v>0.99827809999999995</v>
      </c>
      <c r="Q6483">
        <v>4.1582620000000001E-2</v>
      </c>
      <c r="R6483">
        <v>4.1373989999999999E-2</v>
      </c>
      <c r="S6483">
        <v>3.0027469999999998</v>
      </c>
      <c r="T6483">
        <v>0.25740049999999998</v>
      </c>
      <c r="U6483">
        <v>-0.198822</v>
      </c>
      <c r="V6483">
        <v>-3.127459E-3</v>
      </c>
      <c r="W6483">
        <v>4.8933329999999997E-2</v>
      </c>
      <c r="X6483">
        <v>0.99879720000000005</v>
      </c>
      <c r="Y6483">
        <v>0.1036977</v>
      </c>
      <c r="Z6483">
        <v>7.7038799999999998E-3</v>
      </c>
      <c r="AA6483">
        <v>0.99457899999999999</v>
      </c>
      <c r="AB6483">
        <v>25</v>
      </c>
      <c r="AC6483">
        <v>116.8366</v>
      </c>
      <c r="AD6483">
        <v>10.025089999999899</v>
      </c>
      <c r="AE6483">
        <v>-7.7479279999999902</v>
      </c>
      <c r="AF6483">
        <v>12.125838827154499</v>
      </c>
      <c r="AG6483">
        <v>10.025089999999899</v>
      </c>
      <c r="AH6483">
        <v>115.606960655929</v>
      </c>
      <c r="AI6483">
        <v>85.070785680906198</v>
      </c>
      <c r="AJ6483">
        <v>84.012226853071496</v>
      </c>
      <c r="AK6483">
        <v>116.672652103532</v>
      </c>
      <c r="AL6483">
        <v>87.195206758780301</v>
      </c>
      <c r="AM6483">
        <v>90.179405404496407</v>
      </c>
      <c r="AN6483">
        <v>1.00000004925626</v>
      </c>
    </row>
    <row r="6484" spans="1:40" x14ac:dyDescent="0.25">
      <c r="A6484" t="str">
        <f>"20190312160500848"</f>
        <v>20190312160500848</v>
      </c>
      <c r="B6484" t="str">
        <f>"1552377900841764"</f>
        <v>1552377900841764</v>
      </c>
      <c r="C6484" t="s">
        <v>40</v>
      </c>
      <c r="D6484">
        <v>6.1455380000000002</v>
      </c>
      <c r="E6484">
        <v>0.54096889999999997</v>
      </c>
      <c r="F6484" t="s">
        <v>90</v>
      </c>
      <c r="G6484">
        <v>-241.07</v>
      </c>
      <c r="H6484">
        <v>11.20106</v>
      </c>
      <c r="I6484">
        <v>9.4605270000000008</v>
      </c>
      <c r="J6484">
        <v>-357.77839999999998</v>
      </c>
      <c r="K6484">
        <v>1.10951</v>
      </c>
      <c r="L6484">
        <v>17.232700000000001</v>
      </c>
      <c r="M6484">
        <v>0.99924029999999997</v>
      </c>
      <c r="N6484">
        <v>0</v>
      </c>
      <c r="O6484">
        <v>3.8276150000000002E-2</v>
      </c>
      <c r="P6484">
        <v>0.99828459999999997</v>
      </c>
      <c r="Q6484">
        <v>4.1543980000000001E-2</v>
      </c>
      <c r="R6484">
        <v>4.1257620000000002E-2</v>
      </c>
      <c r="S6484">
        <v>3.0026549999999999</v>
      </c>
      <c r="T6484">
        <v>0.25934859999999998</v>
      </c>
      <c r="U6484">
        <v>-0.1996155</v>
      </c>
      <c r="V6484">
        <v>-3.0136400000000002E-3</v>
      </c>
      <c r="W6484">
        <v>4.8877610000000002E-2</v>
      </c>
      <c r="X6484">
        <v>0.99880020000000003</v>
      </c>
      <c r="Y6484">
        <v>0.10395</v>
      </c>
      <c r="Z6484">
        <v>7.7727859999999899E-3</v>
      </c>
      <c r="AA6484">
        <v>0.99455210000000005</v>
      </c>
      <c r="AB6484">
        <v>25</v>
      </c>
      <c r="AC6484">
        <v>116.708399999999</v>
      </c>
      <c r="AD6484">
        <v>10.09155</v>
      </c>
      <c r="AE6484">
        <v>-7.7721729999999898</v>
      </c>
      <c r="AF6484">
        <v>12.143353880928601</v>
      </c>
      <c r="AG6484">
        <v>10.09155</v>
      </c>
      <c r="AH6484">
        <v>115.465879481196</v>
      </c>
      <c r="AI6484">
        <v>85.032382264836002</v>
      </c>
      <c r="AJ6484">
        <v>83.996367710909993</v>
      </c>
      <c r="AK6484">
        <v>116.54042109605599</v>
      </c>
      <c r="AL6484">
        <v>87.198402885178197</v>
      </c>
      <c r="AM6484">
        <v>90.172875745309597</v>
      </c>
      <c r="AN6484">
        <v>0.99999997115270001</v>
      </c>
    </row>
    <row r="6485" spans="1:40" x14ac:dyDescent="0.25">
      <c r="A6485" t="str">
        <f>"20190312160500859"</f>
        <v>20190312160500859</v>
      </c>
      <c r="B6485" t="str">
        <f>"1552377900851524"</f>
        <v>1552377900851524</v>
      </c>
      <c r="C6485" t="s">
        <v>40</v>
      </c>
      <c r="D6485">
        <v>6.145073</v>
      </c>
      <c r="E6485">
        <v>0.54113719999999998</v>
      </c>
      <c r="F6485" t="s">
        <v>90</v>
      </c>
      <c r="G6485">
        <v>-241.07</v>
      </c>
      <c r="H6485">
        <v>11.27411</v>
      </c>
      <c r="I6485">
        <v>9.4583080000000006</v>
      </c>
      <c r="J6485">
        <v>-357.6422</v>
      </c>
      <c r="K6485">
        <v>1.1095079999999999</v>
      </c>
      <c r="L6485">
        <v>17.237919999999999</v>
      </c>
      <c r="M6485">
        <v>0.99924049999999998</v>
      </c>
      <c r="N6485">
        <v>0</v>
      </c>
      <c r="O6485">
        <v>3.8274740000000002E-2</v>
      </c>
      <c r="P6485">
        <v>0.99828839999999996</v>
      </c>
      <c r="Q6485">
        <v>4.1718860000000003E-2</v>
      </c>
      <c r="R6485">
        <v>4.0989159999999997E-2</v>
      </c>
      <c r="S6485">
        <v>3.0025629999999999</v>
      </c>
      <c r="T6485">
        <v>0.26150509999999999</v>
      </c>
      <c r="U6485">
        <v>-0.2000122</v>
      </c>
      <c r="V6485">
        <v>-2.74691E-3</v>
      </c>
      <c r="W6485">
        <v>4.9034300000000003E-2</v>
      </c>
      <c r="X6485">
        <v>0.9987933</v>
      </c>
      <c r="Y6485">
        <v>0.1040721</v>
      </c>
      <c r="Z6485">
        <v>7.8425609999999996E-3</v>
      </c>
      <c r="AA6485">
        <v>0.99453879999999995</v>
      </c>
      <c r="AB6485">
        <v>25</v>
      </c>
      <c r="AC6485">
        <v>116.5722</v>
      </c>
      <c r="AD6485">
        <v>10.164602</v>
      </c>
      <c r="AE6485">
        <v>-7.7796120000000002</v>
      </c>
      <c r="AF6485">
        <v>12.143879396283999</v>
      </c>
      <c r="AG6485">
        <v>10.164602</v>
      </c>
      <c r="AH6485">
        <v>115.316134311357</v>
      </c>
      <c r="AI6485">
        <v>84.990212965992299</v>
      </c>
      <c r="AJ6485">
        <v>83.988370427893699</v>
      </c>
      <c r="AK6485">
        <v>116.398469805771</v>
      </c>
      <c r="AL6485">
        <v>87.189414462322802</v>
      </c>
      <c r="AM6485">
        <v>90.157576099973099</v>
      </c>
      <c r="AN6485">
        <v>0.99999998210796304</v>
      </c>
    </row>
    <row r="6486" spans="1:40" x14ac:dyDescent="0.25">
      <c r="A6486" t="str">
        <f>"20190312160500870"</f>
        <v>20190312160500870</v>
      </c>
      <c r="B6486" t="str">
        <f>"1552377900861283"</f>
        <v>1552377900861283</v>
      </c>
      <c r="C6486" t="s">
        <v>40</v>
      </c>
      <c r="D6486">
        <v>6.0930770000000001</v>
      </c>
      <c r="E6486">
        <v>0.54107380000000005</v>
      </c>
      <c r="F6486" t="s">
        <v>90</v>
      </c>
      <c r="G6486">
        <v>-241.07</v>
      </c>
      <c r="H6486">
        <v>11.35084</v>
      </c>
      <c r="I6486">
        <v>9.3916339999999998</v>
      </c>
      <c r="J6486">
        <v>-357.52300000000002</v>
      </c>
      <c r="K6486">
        <v>1.109505</v>
      </c>
      <c r="L6486">
        <v>17.24249</v>
      </c>
      <c r="M6486">
        <v>0.99924060000000003</v>
      </c>
      <c r="N6486">
        <v>0</v>
      </c>
      <c r="O6486">
        <v>3.827361E-2</v>
      </c>
      <c r="P6486">
        <v>0.99832120000000002</v>
      </c>
      <c r="Q6486">
        <v>4.1517749999999999E-2</v>
      </c>
      <c r="R6486">
        <v>4.0389849999999998E-2</v>
      </c>
      <c r="S6486">
        <v>3.0024109999999999</v>
      </c>
      <c r="T6486">
        <v>0.2637738</v>
      </c>
      <c r="U6486">
        <v>-0.2020874</v>
      </c>
      <c r="V6486">
        <v>-2.1477950000000001E-3</v>
      </c>
      <c r="W6486">
        <v>4.8817600000000003E-2</v>
      </c>
      <c r="X6486">
        <v>0.99880539999999995</v>
      </c>
      <c r="Y6486">
        <v>0.104746699999999</v>
      </c>
      <c r="Z6486">
        <v>7.9400129999999992E-3</v>
      </c>
      <c r="AA6486">
        <v>0.99446730000000005</v>
      </c>
      <c r="AB6486">
        <v>25</v>
      </c>
      <c r="AC6486">
        <v>116.453</v>
      </c>
      <c r="AD6486">
        <v>10.241334999999999</v>
      </c>
      <c r="AE6486">
        <v>-7.8508559999999896</v>
      </c>
      <c r="AF6486">
        <v>12.208305467807</v>
      </c>
      <c r="AG6486">
        <v>10.241334999999999</v>
      </c>
      <c r="AH6486">
        <v>115.180391048513</v>
      </c>
      <c r="AI6486">
        <v>84.9470297638006</v>
      </c>
      <c r="AJ6486">
        <v>83.949643368505704</v>
      </c>
      <c r="AK6486">
        <v>116.277470505106</v>
      </c>
      <c r="AL6486">
        <v>87.201845392640294</v>
      </c>
      <c r="AM6486">
        <v>90.123206581663695</v>
      </c>
      <c r="AN6486">
        <v>0.99999999908114001</v>
      </c>
    </row>
    <row r="6487" spans="1:40" x14ac:dyDescent="0.25">
      <c r="A6487" t="str">
        <f>"20190312160500880"</f>
        <v>20190312160500880</v>
      </c>
      <c r="B6487" t="str">
        <f>"1552377900872020"</f>
        <v>1552377900872020</v>
      </c>
      <c r="C6487" t="s">
        <v>40</v>
      </c>
      <c r="D6487">
        <v>6.229311</v>
      </c>
      <c r="E6487">
        <v>0.54084940000000004</v>
      </c>
      <c r="F6487" t="s">
        <v>90</v>
      </c>
      <c r="G6487">
        <v>-241.07</v>
      </c>
      <c r="H6487">
        <v>11.37945</v>
      </c>
      <c r="I6487">
        <v>9.3553809999999995</v>
      </c>
      <c r="J6487">
        <v>-357.3929</v>
      </c>
      <c r="K6487">
        <v>1.109502</v>
      </c>
      <c r="L6487">
        <v>17.24747</v>
      </c>
      <c r="M6487">
        <v>0.99924069999999998</v>
      </c>
      <c r="N6487">
        <v>0</v>
      </c>
      <c r="O6487">
        <v>3.8273370000000001E-2</v>
      </c>
      <c r="P6487">
        <v>0.99834319999999999</v>
      </c>
      <c r="Q6487">
        <v>4.1384990000000003E-2</v>
      </c>
      <c r="R6487">
        <v>3.9982400000000001E-2</v>
      </c>
      <c r="S6487">
        <v>3.0022890000000002</v>
      </c>
      <c r="T6487">
        <v>0.26477060000000002</v>
      </c>
      <c r="U6487">
        <v>-0.20333860000000001</v>
      </c>
      <c r="V6487">
        <v>-1.7401230000000001E-3</v>
      </c>
      <c r="W6487">
        <v>4.8668530000000002E-2</v>
      </c>
      <c r="X6487">
        <v>0.99881350000000002</v>
      </c>
      <c r="Y6487">
        <v>0.105156</v>
      </c>
      <c r="Z6487">
        <v>7.9880909999999992E-3</v>
      </c>
      <c r="AA6487">
        <v>0.99442359999999996</v>
      </c>
      <c r="AB6487">
        <v>25</v>
      </c>
      <c r="AC6487">
        <v>116.3229</v>
      </c>
      <c r="AD6487">
        <v>10.269947999999999</v>
      </c>
      <c r="AE6487">
        <v>-7.8920890000000004</v>
      </c>
      <c r="AF6487">
        <v>12.2434954247483</v>
      </c>
      <c r="AG6487">
        <v>10.269947999999999</v>
      </c>
      <c r="AH6487">
        <v>115.042971251914</v>
      </c>
      <c r="AI6487">
        <v>84.927193988402706</v>
      </c>
      <c r="AJ6487">
        <v>83.925139656001505</v>
      </c>
      <c r="AK6487">
        <v>116.14757959857501</v>
      </c>
      <c r="AL6487">
        <v>87.210396727528604</v>
      </c>
      <c r="AM6487">
        <v>90.099820039337999</v>
      </c>
      <c r="AN6487">
        <v>1.0000000308113299</v>
      </c>
    </row>
    <row r="6488" spans="1:40" x14ac:dyDescent="0.25">
      <c r="A6488" t="str">
        <f>"20190312160500892"</f>
        <v>20190312160500892</v>
      </c>
      <c r="B6488" t="str">
        <f>"1552377900881780"</f>
        <v>1552377900881780</v>
      </c>
      <c r="C6488" t="s">
        <v>40</v>
      </c>
      <c r="D6488">
        <v>6.1033080000000002</v>
      </c>
      <c r="E6488">
        <v>0.54084940000000004</v>
      </c>
      <c r="F6488" t="s">
        <v>90</v>
      </c>
      <c r="G6488">
        <v>-241.07</v>
      </c>
      <c r="H6488">
        <v>11.377039999999999</v>
      </c>
      <c r="I6488">
        <v>9.3898109999999999</v>
      </c>
      <c r="J6488">
        <v>-357.26839999999999</v>
      </c>
      <c r="K6488">
        <v>1.1094980000000001</v>
      </c>
      <c r="L6488">
        <v>17.252229999999901</v>
      </c>
      <c r="M6488">
        <v>0.99924080000000004</v>
      </c>
      <c r="N6488">
        <v>0</v>
      </c>
      <c r="O6488">
        <v>3.8273069999999999E-2</v>
      </c>
      <c r="P6488">
        <v>0.99837730000000002</v>
      </c>
      <c r="Q6488">
        <v>4.1104509999999997E-2</v>
      </c>
      <c r="R6488">
        <v>3.9412120000000002E-2</v>
      </c>
      <c r="S6488">
        <v>3.0020449999999999</v>
      </c>
      <c r="T6488">
        <v>0.26498290000000002</v>
      </c>
      <c r="U6488">
        <v>-0.20278930000000001</v>
      </c>
      <c r="V6488">
        <v>-1.16909E-3</v>
      </c>
      <c r="W6488">
        <v>4.8373239999999998E-2</v>
      </c>
      <c r="X6488">
        <v>0.99882859999999996</v>
      </c>
      <c r="Y6488">
        <v>0.1049797</v>
      </c>
      <c r="Z6488">
        <v>7.9873819999999995E-3</v>
      </c>
      <c r="AA6488">
        <v>0.9944423</v>
      </c>
      <c r="AB6488">
        <v>25</v>
      </c>
      <c r="AC6488">
        <v>116.19840000000001</v>
      </c>
      <c r="AD6488">
        <v>10.267542000000001</v>
      </c>
      <c r="AE6488">
        <v>-7.8624189999999903</v>
      </c>
      <c r="AF6488">
        <v>12.2091523428505</v>
      </c>
      <c r="AG6488">
        <v>10.267542000000001</v>
      </c>
      <c r="AH6488">
        <v>114.919147439868</v>
      </c>
      <c r="AI6488">
        <v>84.922842361483006</v>
      </c>
      <c r="AJ6488">
        <v>83.935574050972804</v>
      </c>
      <c r="AK6488">
        <v>116.021102683774</v>
      </c>
      <c r="AL6488">
        <v>87.227335337544403</v>
      </c>
      <c r="AM6488">
        <v>90.067062449235095</v>
      </c>
      <c r="AN6488">
        <v>0.99999995464874103</v>
      </c>
    </row>
    <row r="6489" spans="1:40" x14ac:dyDescent="0.25">
      <c r="A6489" t="str">
        <f>"20190312160500903"</f>
        <v>20190312160500903</v>
      </c>
      <c r="B6489" t="str">
        <f>"1552377900891539"</f>
        <v>1552377900891539</v>
      </c>
      <c r="C6489" t="s">
        <v>40</v>
      </c>
      <c r="D6489">
        <v>5.9765940000000004</v>
      </c>
      <c r="E6489">
        <v>0.51183990000000001</v>
      </c>
      <c r="F6489" t="s">
        <v>90</v>
      </c>
      <c r="G6489">
        <v>-241.07</v>
      </c>
      <c r="H6489">
        <v>11.33338</v>
      </c>
      <c r="I6489">
        <v>9.3391959999999994</v>
      </c>
      <c r="J6489">
        <v>-357.13330000000002</v>
      </c>
      <c r="K6489">
        <v>1.109494</v>
      </c>
      <c r="L6489">
        <v>17.25742</v>
      </c>
      <c r="M6489">
        <v>0.99924109999999999</v>
      </c>
      <c r="N6489">
        <v>0</v>
      </c>
      <c r="O6489">
        <v>3.8273010000000003E-2</v>
      </c>
      <c r="P6489">
        <v>0.99839800000000001</v>
      </c>
      <c r="Q6489">
        <v>4.0674250000000002E-2</v>
      </c>
      <c r="R6489">
        <v>3.933623E-2</v>
      </c>
      <c r="S6489">
        <v>3.0020449999999999</v>
      </c>
      <c r="T6489">
        <v>0.26413910000000002</v>
      </c>
      <c r="U6489">
        <v>-0.20443729999999999</v>
      </c>
      <c r="V6489">
        <v>-1.092909E-3</v>
      </c>
      <c r="W6489">
        <v>4.7928390000000001E-2</v>
      </c>
      <c r="X6489">
        <v>0.99885020000000002</v>
      </c>
      <c r="Y6489">
        <v>0.10552449999999999</v>
      </c>
      <c r="Z6489">
        <v>7.9857890000000001E-3</v>
      </c>
      <c r="AA6489">
        <v>0.99438459999999995</v>
      </c>
      <c r="AB6489">
        <v>26</v>
      </c>
      <c r="AC6489">
        <v>116.0633</v>
      </c>
      <c r="AD6489">
        <v>10.223886</v>
      </c>
      <c r="AE6489">
        <v>-7.9182239999999897</v>
      </c>
      <c r="AF6489">
        <v>12.2599383008501</v>
      </c>
      <c r="AG6489">
        <v>10.223886</v>
      </c>
      <c r="AH6489">
        <v>114.788603191493</v>
      </c>
      <c r="AI6489">
        <v>84.938896474345697</v>
      </c>
      <c r="AJ6489">
        <v>83.903664061042093</v>
      </c>
      <c r="AK6489">
        <v>115.89330159563001</v>
      </c>
      <c r="AL6489">
        <v>87.252853154289099</v>
      </c>
      <c r="AM6489">
        <v>90.0626911303643</v>
      </c>
      <c r="AN6489">
        <v>1.00000002352905</v>
      </c>
    </row>
    <row r="6490" spans="1:40" x14ac:dyDescent="0.25">
      <c r="A6490" t="str">
        <f>"20190312160500914"</f>
        <v>20190312160500914</v>
      </c>
      <c r="B6490" t="str">
        <f>"1552377900912036"</f>
        <v>1552377900912036</v>
      </c>
      <c r="C6490" t="s">
        <v>40</v>
      </c>
      <c r="D6490">
        <v>6.1605239999999997</v>
      </c>
      <c r="E6490">
        <v>0.51294309999999999</v>
      </c>
      <c r="F6490" t="s">
        <v>87</v>
      </c>
      <c r="G6490">
        <v>-274.15660000000003</v>
      </c>
      <c r="H6490">
        <v>9.0686610000000005</v>
      </c>
      <c r="I6490">
        <v>18.008099999999999</v>
      </c>
      <c r="J6490">
        <v>-357.0138</v>
      </c>
      <c r="K6490">
        <v>1.1094869999999999</v>
      </c>
      <c r="L6490">
        <v>17.261990000000001</v>
      </c>
      <c r="M6490">
        <v>0.99924120000000005</v>
      </c>
      <c r="N6490">
        <v>0</v>
      </c>
      <c r="O6490">
        <v>3.8271680000000002E-2</v>
      </c>
      <c r="P6490">
        <v>0.99840519999999999</v>
      </c>
      <c r="Q6490">
        <v>4.0505819999999998E-2</v>
      </c>
      <c r="R6490">
        <v>3.9322959999999997E-2</v>
      </c>
      <c r="S6490">
        <v>2.9920650000000002</v>
      </c>
      <c r="T6490">
        <v>0.2870007</v>
      </c>
      <c r="U6490">
        <v>2.7069090000000001E-2</v>
      </c>
      <c r="V6490">
        <v>-1.0800580000000001E-3</v>
      </c>
      <c r="W6490">
        <v>4.7747869999999998E-2</v>
      </c>
      <c r="X6490">
        <v>0.99885880000000005</v>
      </c>
      <c r="Y6490">
        <v>2.8922860000000002E-2</v>
      </c>
      <c r="Z6490">
        <v>5.0457729999999999E-3</v>
      </c>
      <c r="AA6490">
        <v>0.99956889999999998</v>
      </c>
      <c r="AB6490">
        <v>26</v>
      </c>
      <c r="AC6490">
        <v>82.857199999999906</v>
      </c>
      <c r="AD6490">
        <v>7.959174</v>
      </c>
      <c r="AE6490">
        <v>0.74610999999999705</v>
      </c>
      <c r="AF6490">
        <v>2.4034284255672098</v>
      </c>
      <c r="AG6490">
        <v>7.959174</v>
      </c>
      <c r="AH6490">
        <v>82.067844151876102</v>
      </c>
      <c r="AI6490">
        <v>84.462974651524902</v>
      </c>
      <c r="AJ6490">
        <v>88.3225225627356</v>
      </c>
      <c r="AK6490">
        <v>82.487914040153399</v>
      </c>
      <c r="AL6490">
        <v>87.263207880368597</v>
      </c>
      <c r="AM6490">
        <v>90.061953442179899</v>
      </c>
      <c r="AN6490">
        <v>0.999999963976129</v>
      </c>
    </row>
    <row r="6491" spans="1:40" x14ac:dyDescent="0.25">
      <c r="A6491" t="str">
        <f>"20190312160500925"</f>
        <v>20190312160500925</v>
      </c>
      <c r="B6491" t="str">
        <f>"1552377900921796"</f>
        <v>1552377900921796</v>
      </c>
      <c r="C6491" t="s">
        <v>40</v>
      </c>
      <c r="D6491">
        <v>5.9840220000000004</v>
      </c>
      <c r="E6491">
        <v>0.51300290000000004</v>
      </c>
      <c r="F6491" t="s">
        <v>87</v>
      </c>
      <c r="G6491">
        <v>-274.15660000000003</v>
      </c>
      <c r="H6491">
        <v>8.5930440000000008</v>
      </c>
      <c r="I6491">
        <v>17.75958</v>
      </c>
      <c r="J6491">
        <v>-356.88459999999998</v>
      </c>
      <c r="K6491">
        <v>1.109483</v>
      </c>
      <c r="L6491">
        <v>17.266939999999899</v>
      </c>
      <c r="M6491">
        <v>0.99924120000000005</v>
      </c>
      <c r="N6491">
        <v>0</v>
      </c>
      <c r="O6491">
        <v>3.8269579999999997E-2</v>
      </c>
      <c r="P6491">
        <v>0.99839460000000002</v>
      </c>
      <c r="Q6491">
        <v>4.0709670000000003E-2</v>
      </c>
      <c r="R6491">
        <v>3.9385179999999999E-2</v>
      </c>
      <c r="S6491">
        <v>2.9931030000000001</v>
      </c>
      <c r="T6491">
        <v>0.2703334</v>
      </c>
      <c r="U6491">
        <v>1.7974850000000001E-2</v>
      </c>
      <c r="V6491">
        <v>-1.144824E-3</v>
      </c>
      <c r="W6491">
        <v>4.7939349999999999E-2</v>
      </c>
      <c r="X6491">
        <v>0.9988496</v>
      </c>
      <c r="Y6491">
        <v>3.1983089999999999E-2</v>
      </c>
      <c r="Z6491">
        <v>4.8901580000000004E-3</v>
      </c>
      <c r="AA6491">
        <v>0.99947640000000004</v>
      </c>
      <c r="AB6491">
        <v>26</v>
      </c>
      <c r="AC6491">
        <v>82.727999999999895</v>
      </c>
      <c r="AD6491">
        <v>7.4835609999999999</v>
      </c>
      <c r="AE6491">
        <v>0.49264000000000102</v>
      </c>
      <c r="AF6491">
        <v>2.6520687090500399</v>
      </c>
      <c r="AG6491">
        <v>7.4835609999999999</v>
      </c>
      <c r="AH6491">
        <v>82.015143568211897</v>
      </c>
      <c r="AI6491">
        <v>84.789130060411793</v>
      </c>
      <c r="AJ6491">
        <v>88.147910151597301</v>
      </c>
      <c r="AK6491">
        <v>82.398549308787295</v>
      </c>
      <c r="AL6491">
        <v>87.252224426257598</v>
      </c>
      <c r="AM6491">
        <v>90.065669100496294</v>
      </c>
      <c r="AN6491">
        <v>1.00000000766028</v>
      </c>
    </row>
    <row r="6492" spans="1:40" x14ac:dyDescent="0.25">
      <c r="A6492" t="str">
        <f>"20190312160500950"</f>
        <v>20190312160500950</v>
      </c>
      <c r="B6492" t="str">
        <f>"1552377900941316"</f>
        <v>1552377900941316</v>
      </c>
      <c r="C6492" t="s">
        <v>40</v>
      </c>
      <c r="D6492">
        <v>5.9199669999999998</v>
      </c>
      <c r="E6492">
        <v>0.51288630000000002</v>
      </c>
      <c r="F6492" t="s">
        <v>87</v>
      </c>
      <c r="G6492">
        <v>-274.15660000000003</v>
      </c>
      <c r="H6492">
        <v>8.5334570000000003</v>
      </c>
      <c r="I6492">
        <v>17.756160000000001</v>
      </c>
      <c r="J6492">
        <v>-356.61189999999999</v>
      </c>
      <c r="K6492">
        <v>1.10947</v>
      </c>
      <c r="L6492">
        <v>17.277370000000001</v>
      </c>
      <c r="M6492">
        <v>0.99924210000000002</v>
      </c>
      <c r="N6492">
        <v>0</v>
      </c>
      <c r="O6492">
        <v>3.825274E-2</v>
      </c>
      <c r="P6492">
        <v>0.99837330000000002</v>
      </c>
      <c r="Q6492">
        <v>4.1096180000000003E-2</v>
      </c>
      <c r="R6492">
        <v>3.9523309999999999E-2</v>
      </c>
      <c r="S6492">
        <v>2.993134</v>
      </c>
      <c r="T6492">
        <v>0.26860260000000002</v>
      </c>
      <c r="U6492">
        <v>1.7700199999999999E-2</v>
      </c>
      <c r="V6492">
        <v>-1.299595E-3</v>
      </c>
      <c r="W6492">
        <v>4.8302749999999998E-2</v>
      </c>
      <c r="X6492">
        <v>0.99883189999999999</v>
      </c>
      <c r="Y6492">
        <v>3.206142E-2</v>
      </c>
      <c r="Z6492">
        <v>4.8609289999999999E-3</v>
      </c>
      <c r="AA6492">
        <v>0.99947410000000003</v>
      </c>
      <c r="AB6492">
        <v>26</v>
      </c>
      <c r="AC6492">
        <v>82.455299999999895</v>
      </c>
      <c r="AD6492">
        <v>7.4239869999999897</v>
      </c>
      <c r="AE6492">
        <v>0.47878999999999999</v>
      </c>
      <c r="AF6492">
        <v>2.6542672529246998</v>
      </c>
      <c r="AG6492">
        <v>7.4239869999999897</v>
      </c>
      <c r="AH6492">
        <v>81.750568474191496</v>
      </c>
      <c r="AI6492">
        <v>84.813768576025396</v>
      </c>
      <c r="AJ6492">
        <v>88.140381046086503</v>
      </c>
      <c r="AK6492">
        <v>82.129873757845203</v>
      </c>
      <c r="AL6492">
        <v>87.2313789821537</v>
      </c>
      <c r="AM6492">
        <v>90.074548346481293</v>
      </c>
      <c r="AN6492">
        <v>1.0000000045311599</v>
      </c>
    </row>
    <row r="6493" spans="1:40" x14ac:dyDescent="0.25">
      <c r="A6493" t="str">
        <f>"20190312160500962"</f>
        <v>20190312160500962</v>
      </c>
      <c r="B6493" t="str">
        <f>"1552377900952052"</f>
        <v>1552377900952052</v>
      </c>
      <c r="C6493" t="s">
        <v>40</v>
      </c>
      <c r="D6493">
        <v>6.7841179999999897</v>
      </c>
      <c r="E6493">
        <v>0.513409</v>
      </c>
      <c r="F6493" t="s">
        <v>87</v>
      </c>
      <c r="G6493">
        <v>-274.15660000000003</v>
      </c>
      <c r="H6493">
        <v>8.505827</v>
      </c>
      <c r="I6493">
        <v>17.799469999999999</v>
      </c>
      <c r="J6493">
        <v>-356.45940000000002</v>
      </c>
      <c r="K6493">
        <v>1.1094599999999999</v>
      </c>
      <c r="L6493">
        <v>17.283169999999998</v>
      </c>
      <c r="M6493">
        <v>0.99924299999999999</v>
      </c>
      <c r="N6493">
        <v>0</v>
      </c>
      <c r="O6493">
        <v>3.823389E-2</v>
      </c>
      <c r="P6493">
        <v>0.99838300000000002</v>
      </c>
      <c r="Q6493">
        <v>4.1181330000000002E-2</v>
      </c>
      <c r="R6493">
        <v>3.918696E-2</v>
      </c>
      <c r="S6493">
        <v>2.993042</v>
      </c>
      <c r="T6493">
        <v>0.2684801</v>
      </c>
      <c r="U6493">
        <v>1.895142E-2</v>
      </c>
      <c r="V6493">
        <v>-9.8143610000000006E-4</v>
      </c>
      <c r="W6493">
        <v>4.8377049999999998E-2</v>
      </c>
      <c r="X6493">
        <v>0.99882859999999996</v>
      </c>
      <c r="Y6493">
        <v>3.1626630000000003E-2</v>
      </c>
      <c r="Z6493">
        <v>4.8377070000000001E-3</v>
      </c>
      <c r="AA6493">
        <v>0.99948809999999999</v>
      </c>
      <c r="AB6493">
        <v>26</v>
      </c>
      <c r="AC6493">
        <v>82.302799999999905</v>
      </c>
      <c r="AD6493">
        <v>7.3963669999999997</v>
      </c>
      <c r="AE6493">
        <v>0.51629999999999698</v>
      </c>
      <c r="AF6493">
        <v>2.6098381396483199</v>
      </c>
      <c r="AG6493">
        <v>7.3963669999999997</v>
      </c>
      <c r="AH6493">
        <v>81.603339301643899</v>
      </c>
      <c r="AI6493">
        <v>84.823606326216407</v>
      </c>
      <c r="AJ6493">
        <v>88.168190664014105</v>
      </c>
      <c r="AK6493">
        <v>81.979402810053898</v>
      </c>
      <c r="AL6493">
        <v>87.227116736266495</v>
      </c>
      <c r="AM6493">
        <v>90.056298075860894</v>
      </c>
      <c r="AN6493">
        <v>0.99999993718073799</v>
      </c>
    </row>
    <row r="6494" spans="1:40" x14ac:dyDescent="0.25">
      <c r="A6494" t="str">
        <f>"20190312160500975"</f>
        <v>20190312160500975</v>
      </c>
      <c r="B6494" t="str">
        <f>"1552377900971570"</f>
        <v>1552377900971570</v>
      </c>
      <c r="C6494" t="s">
        <v>40</v>
      </c>
      <c r="D6494">
        <v>6.1034160000000002</v>
      </c>
      <c r="E6494">
        <v>0.51448899999999997</v>
      </c>
      <c r="F6494" t="s">
        <v>87</v>
      </c>
      <c r="G6494">
        <v>-274.15660000000003</v>
      </c>
      <c r="H6494">
        <v>8.3353199999999994</v>
      </c>
      <c r="I6494">
        <v>17.657389999999999</v>
      </c>
      <c r="J6494">
        <v>-356.31509999999997</v>
      </c>
      <c r="K6494">
        <v>1.1094489999999999</v>
      </c>
      <c r="L6494">
        <v>17.28867</v>
      </c>
      <c r="M6494">
        <v>0.99924380000000002</v>
      </c>
      <c r="N6494">
        <v>0</v>
      </c>
      <c r="O6494">
        <v>3.8209899999999998E-2</v>
      </c>
      <c r="P6494">
        <v>0.99837390000000004</v>
      </c>
      <c r="Q6494">
        <v>4.125993E-2</v>
      </c>
      <c r="R6494">
        <v>3.9336299999999998E-2</v>
      </c>
      <c r="S6494">
        <v>2.9934690000000002</v>
      </c>
      <c r="T6494">
        <v>0.26281480000000002</v>
      </c>
      <c r="U6494">
        <v>1.3610840000000001E-2</v>
      </c>
      <c r="V6494">
        <v>-1.1538449999999999E-3</v>
      </c>
      <c r="W6494">
        <v>4.8445630000000003E-2</v>
      </c>
      <c r="X6494">
        <v>0.99882510000000002</v>
      </c>
      <c r="Y6494">
        <v>3.3391659999999997E-2</v>
      </c>
      <c r="Z6494">
        <v>4.810628E-3</v>
      </c>
      <c r="AA6494">
        <v>0.99943079999999995</v>
      </c>
      <c r="AB6494">
        <v>26</v>
      </c>
      <c r="AC6494">
        <v>82.158499999999904</v>
      </c>
      <c r="AD6494">
        <v>7.2258709999999997</v>
      </c>
      <c r="AE6494">
        <v>0.36871999999999899</v>
      </c>
      <c r="AF6494">
        <v>2.7496300077615201</v>
      </c>
      <c r="AG6494">
        <v>7.2258709999999997</v>
      </c>
      <c r="AH6494">
        <v>81.482313645294894</v>
      </c>
      <c r="AI6494">
        <v>84.935121375871105</v>
      </c>
      <c r="AJ6494">
        <v>88.067280751364706</v>
      </c>
      <c r="AK6494">
        <v>81.848281068562699</v>
      </c>
      <c r="AL6494">
        <v>87.223182801691294</v>
      </c>
      <c r="AM6494">
        <v>90.066188183801501</v>
      </c>
      <c r="AN6494">
        <v>0.99999994540719395</v>
      </c>
    </row>
    <row r="6495" spans="1:40" x14ac:dyDescent="0.25">
      <c r="A6495" t="str">
        <f>"20190312160500994"</f>
        <v>20190312160500994</v>
      </c>
      <c r="B6495" t="str">
        <f>"1552377900981331"</f>
        <v>1552377900981331</v>
      </c>
      <c r="C6495" t="s">
        <v>40</v>
      </c>
      <c r="D6495">
        <v>6.0030029999999996</v>
      </c>
      <c r="E6495">
        <v>0.51459149999999998</v>
      </c>
      <c r="F6495" t="s">
        <v>87</v>
      </c>
      <c r="G6495">
        <v>-274.15660000000003</v>
      </c>
      <c r="H6495">
        <v>8.1214899999999997</v>
      </c>
      <c r="I6495">
        <v>17.434370000000001</v>
      </c>
      <c r="J6495">
        <v>-356.10390000000001</v>
      </c>
      <c r="K6495">
        <v>1.1094389999999901</v>
      </c>
      <c r="L6495">
        <v>17.296720000000001</v>
      </c>
      <c r="M6495">
        <v>0.99924579999999996</v>
      </c>
      <c r="N6495">
        <v>0</v>
      </c>
      <c r="O6495">
        <v>3.8162019999999998E-2</v>
      </c>
      <c r="P6495">
        <v>0.99837629999999999</v>
      </c>
      <c r="Q6495">
        <v>4.1174460000000003E-2</v>
      </c>
      <c r="R6495">
        <v>3.9365419999999998E-2</v>
      </c>
      <c r="S6495">
        <v>2.99411</v>
      </c>
      <c r="T6495">
        <v>0.25554060000000001</v>
      </c>
      <c r="U6495">
        <v>5.3100589999999998E-3</v>
      </c>
      <c r="V6495">
        <v>-1.229579E-3</v>
      </c>
      <c r="W6495">
        <v>4.8348000000000002E-2</v>
      </c>
      <c r="X6495">
        <v>0.99882979999999999</v>
      </c>
      <c r="Y6495">
        <v>3.6120739999999998E-2</v>
      </c>
      <c r="Z6495">
        <v>4.789209E-3</v>
      </c>
      <c r="AA6495">
        <v>0.99933590000000005</v>
      </c>
      <c r="AB6495">
        <v>26</v>
      </c>
      <c r="AC6495">
        <v>81.947299999999899</v>
      </c>
      <c r="AD6495">
        <v>7.0120509999999996</v>
      </c>
      <c r="AE6495">
        <v>0.13764999999999999</v>
      </c>
      <c r="AF6495">
        <v>2.9680735643607101</v>
      </c>
      <c r="AG6495">
        <v>7.0120509999999996</v>
      </c>
      <c r="AH6495">
        <v>81.297609532683495</v>
      </c>
      <c r="AI6495">
        <v>85.073612068481495</v>
      </c>
      <c r="AJ6495">
        <v>87.909131723323497</v>
      </c>
      <c r="AK6495">
        <v>81.653411659518099</v>
      </c>
      <c r="AL6495">
        <v>87.228783317253104</v>
      </c>
      <c r="AM6495">
        <v>90.070532188458102</v>
      </c>
      <c r="AN6495">
        <v>1.00000000516827</v>
      </c>
    </row>
    <row r="6496" spans="1:40" x14ac:dyDescent="0.25">
      <c r="A6496" t="str">
        <f>"20190312160501014"</f>
        <v>20190312160501014</v>
      </c>
      <c r="B6496" t="str">
        <f>"1552377901011587"</f>
        <v>1552377901011587</v>
      </c>
      <c r="C6496" t="s">
        <v>40</v>
      </c>
      <c r="D6496">
        <v>6.0059570000000004</v>
      </c>
      <c r="E6496">
        <v>0.5156366</v>
      </c>
      <c r="F6496" t="s">
        <v>87</v>
      </c>
      <c r="G6496">
        <v>-274.15660000000003</v>
      </c>
      <c r="H6496">
        <v>8.036016</v>
      </c>
      <c r="I6496">
        <v>17.424510000000001</v>
      </c>
      <c r="J6496">
        <v>-355.86500000000001</v>
      </c>
      <c r="K6496">
        <v>1.109415</v>
      </c>
      <c r="L6496">
        <v>17.305789999999998</v>
      </c>
      <c r="M6496">
        <v>0.99924869999999999</v>
      </c>
      <c r="N6496">
        <v>0</v>
      </c>
      <c r="O6496">
        <v>3.8085670000000002E-2</v>
      </c>
      <c r="P6496">
        <v>0.99839880000000003</v>
      </c>
      <c r="Q6496">
        <v>4.0531190000000002E-2</v>
      </c>
      <c r="R6496">
        <v>3.9460040000000002E-2</v>
      </c>
      <c r="S6496">
        <v>2.9942630000000001</v>
      </c>
      <c r="T6496">
        <v>0.25308950000000002</v>
      </c>
      <c r="U6496">
        <v>4.6691889999999998E-3</v>
      </c>
      <c r="V6496">
        <v>-1.3977499999999999E-3</v>
      </c>
      <c r="W6496">
        <v>4.7693579999999999E-2</v>
      </c>
      <c r="X6496">
        <v>0.998861</v>
      </c>
      <c r="Y6496">
        <v>3.6263289999999997E-2</v>
      </c>
      <c r="Z6496">
        <v>4.7427739999999999E-3</v>
      </c>
      <c r="AA6496">
        <v>0.99933099999999997</v>
      </c>
      <c r="AB6496">
        <v>26</v>
      </c>
      <c r="AC6496">
        <v>81.708399999999898</v>
      </c>
      <c r="AD6496">
        <v>6.9266009999999998</v>
      </c>
      <c r="AE6496">
        <v>0.118720000000003</v>
      </c>
      <c r="AF6496">
        <v>2.97200768721626</v>
      </c>
      <c r="AG6496">
        <v>6.9266009999999998</v>
      </c>
      <c r="AH6496">
        <v>81.071035642088503</v>
      </c>
      <c r="AI6496">
        <v>85.119846961438398</v>
      </c>
      <c r="AJ6496">
        <v>87.900516803901994</v>
      </c>
      <c r="AK6496">
        <v>81.420657398395306</v>
      </c>
      <c r="AL6496">
        <v>87.266322017117403</v>
      </c>
      <c r="AM6496">
        <v>90.080176444511494</v>
      </c>
      <c r="AN6496">
        <v>0.999999964299638</v>
      </c>
    </row>
    <row r="6497" spans="1:40" x14ac:dyDescent="0.25">
      <c r="A6497" t="str">
        <f>"20190312160501024"</f>
        <v>20190312160501024</v>
      </c>
      <c r="B6497" t="str">
        <f>"1552377901021347"</f>
        <v>1552377901021347</v>
      </c>
      <c r="C6497" t="s">
        <v>40</v>
      </c>
      <c r="D6497">
        <v>6.0555839999999996</v>
      </c>
      <c r="E6497">
        <v>0.51584770000000002</v>
      </c>
      <c r="F6497" t="s">
        <v>87</v>
      </c>
      <c r="G6497">
        <v>-273.6454</v>
      </c>
      <c r="H6497">
        <v>7.8118610000000004</v>
      </c>
      <c r="I6497">
        <v>17.20609</v>
      </c>
      <c r="J6497">
        <v>-355.73739999999998</v>
      </c>
      <c r="K6497">
        <v>1.1094040000000001</v>
      </c>
      <c r="L6497">
        <v>17.31061</v>
      </c>
      <c r="M6497">
        <v>0.99925079999999999</v>
      </c>
      <c r="N6497">
        <v>0</v>
      </c>
      <c r="O6497">
        <v>3.8036010000000002E-2</v>
      </c>
      <c r="P6497">
        <v>0.99842010000000003</v>
      </c>
      <c r="Q6497">
        <v>4.0204490000000002E-2</v>
      </c>
      <c r="R6497">
        <v>3.9255320000000003E-2</v>
      </c>
      <c r="S6497">
        <v>2.9950559999999999</v>
      </c>
      <c r="T6497">
        <v>0.2441536</v>
      </c>
      <c r="U6497">
        <v>-3.6315919999999999E-3</v>
      </c>
      <c r="V6497">
        <v>-1.240592E-3</v>
      </c>
      <c r="W6497">
        <v>4.7361599999999997E-2</v>
      </c>
      <c r="X6497">
        <v>0.99887700000000001</v>
      </c>
      <c r="Y6497">
        <v>3.8993140000000003E-2</v>
      </c>
      <c r="Z6497">
        <v>4.6817600000000001E-3</v>
      </c>
      <c r="AA6497">
        <v>0.99922849999999996</v>
      </c>
      <c r="AB6497">
        <v>26</v>
      </c>
      <c r="AC6497">
        <v>82.091999999999899</v>
      </c>
      <c r="AD6497">
        <v>6.7024569999999999</v>
      </c>
      <c r="AE6497">
        <v>-0.10452</v>
      </c>
      <c r="AF6497">
        <v>3.2056076780680902</v>
      </c>
      <c r="AG6497">
        <v>6.7024569999999999</v>
      </c>
      <c r="AH6497">
        <v>81.485434643317902</v>
      </c>
      <c r="AI6497">
        <v>85.301428686713805</v>
      </c>
      <c r="AJ6497">
        <v>87.747166338655006</v>
      </c>
      <c r="AK6497">
        <v>81.823437409051493</v>
      </c>
      <c r="AL6497">
        <v>87.285364580449993</v>
      </c>
      <c r="AM6497">
        <v>90.071160562461301</v>
      </c>
      <c r="AN6497">
        <v>0.99999996067603403</v>
      </c>
    </row>
    <row r="6498" spans="1:40" x14ac:dyDescent="0.25">
      <c r="A6498" t="str">
        <f>"20190312160501036"</f>
        <v>20190312160501036</v>
      </c>
      <c r="B6498" t="str">
        <f>"1552377901032083"</f>
        <v>1552377901032083</v>
      </c>
      <c r="C6498" t="s">
        <v>40</v>
      </c>
      <c r="D6498">
        <v>6.0515970000000001</v>
      </c>
      <c r="E6498">
        <v>0.51605409999999996</v>
      </c>
      <c r="F6498" t="s">
        <v>87</v>
      </c>
      <c r="G6498">
        <v>-273.40989999999999</v>
      </c>
      <c r="H6498">
        <v>7.7469979999999996</v>
      </c>
      <c r="I6498">
        <v>17.14537</v>
      </c>
      <c r="J6498">
        <v>-355.6028</v>
      </c>
      <c r="K6498">
        <v>1.109391</v>
      </c>
      <c r="L6498">
        <v>17.315639999999998</v>
      </c>
      <c r="M6498">
        <v>0.99925319999999995</v>
      </c>
      <c r="N6498">
        <v>0</v>
      </c>
      <c r="O6498">
        <v>3.7972270000000002E-2</v>
      </c>
      <c r="P6498">
        <v>0.99843950000000004</v>
      </c>
      <c r="Q6498">
        <v>4.0082560000000003E-2</v>
      </c>
      <c r="R6498">
        <v>3.8885360000000001E-2</v>
      </c>
      <c r="S6498">
        <v>2.9952700000000001</v>
      </c>
      <c r="T6498">
        <v>0.24149139999999999</v>
      </c>
      <c r="U6498">
        <v>-6.0119630000000004E-3</v>
      </c>
      <c r="V6498">
        <v>-9.3290660000000004E-4</v>
      </c>
      <c r="W6498">
        <v>4.7234419999999999E-2</v>
      </c>
      <c r="X6498">
        <v>0.99888339999999998</v>
      </c>
      <c r="Y6498">
        <v>3.9726789999999998E-2</v>
      </c>
      <c r="Z6498">
        <v>4.654956E-3</v>
      </c>
      <c r="AA6498">
        <v>0.99919970000000002</v>
      </c>
      <c r="AB6498">
        <v>26</v>
      </c>
      <c r="AC6498">
        <v>82.192899999999995</v>
      </c>
      <c r="AD6498">
        <v>6.6376069999999903</v>
      </c>
      <c r="AE6498">
        <v>-0.17026999999999801</v>
      </c>
      <c r="AF6498">
        <v>3.2699527597631901</v>
      </c>
      <c r="AG6498">
        <v>6.6376069999999903</v>
      </c>
      <c r="AH6498">
        <v>81.595024987259606</v>
      </c>
      <c r="AI6498">
        <v>85.353046794468995</v>
      </c>
      <c r="AJ6498">
        <v>87.705077123471398</v>
      </c>
      <c r="AK6498">
        <v>81.929839011248205</v>
      </c>
      <c r="AL6498">
        <v>87.292659739186007</v>
      </c>
      <c r="AM6498">
        <v>90.053511346087603</v>
      </c>
      <c r="AN6498">
        <v>1.00000000377151</v>
      </c>
    </row>
    <row r="6499" spans="1:40" x14ac:dyDescent="0.25">
      <c r="A6499" t="str">
        <f>"20190312160501048"</f>
        <v>20190312160501048</v>
      </c>
      <c r="B6499" t="str">
        <f>"1552377901041843"</f>
        <v>1552377901041843</v>
      </c>
      <c r="C6499" t="s">
        <v>40</v>
      </c>
      <c r="D6499">
        <v>5.8980649999999999</v>
      </c>
      <c r="E6499">
        <v>0.51628600000000002</v>
      </c>
      <c r="F6499" t="s">
        <v>87</v>
      </c>
      <c r="G6499">
        <v>-273.40989999999999</v>
      </c>
      <c r="H6499">
        <v>7.6676929999999901</v>
      </c>
      <c r="I6499">
        <v>17.073640000000001</v>
      </c>
      <c r="J6499">
        <v>-355.4692</v>
      </c>
      <c r="K6499">
        <v>1.1093789999999999</v>
      </c>
      <c r="L6499">
        <v>17.320679999999999</v>
      </c>
      <c r="M6499">
        <v>0.99925580000000003</v>
      </c>
      <c r="N6499">
        <v>0</v>
      </c>
      <c r="O6499">
        <v>3.7905250000000001E-2</v>
      </c>
      <c r="P6499">
        <v>0.99845050000000002</v>
      </c>
      <c r="Q6499">
        <v>4.0074449999999998E-2</v>
      </c>
      <c r="R6499">
        <v>3.8611199999999998E-2</v>
      </c>
      <c r="S6499">
        <v>2.995422</v>
      </c>
      <c r="T6499">
        <v>0.23900959999999999</v>
      </c>
      <c r="U6499">
        <v>-8.8195800000000005E-3</v>
      </c>
      <c r="V6499">
        <v>-7.2428550000000003E-4</v>
      </c>
      <c r="W6499">
        <v>4.722204E-2</v>
      </c>
      <c r="X6499">
        <v>0.99888410000000005</v>
      </c>
      <c r="Y6499">
        <v>4.0598799999999997E-2</v>
      </c>
      <c r="Z6499">
        <v>4.6364400000000004E-3</v>
      </c>
      <c r="AA6499">
        <v>0.99916479999999996</v>
      </c>
      <c r="AB6499">
        <v>26</v>
      </c>
      <c r="AC6499">
        <v>82.059299999999993</v>
      </c>
      <c r="AD6499">
        <v>6.5583139999999904</v>
      </c>
      <c r="AE6499">
        <v>-0.24703999999999801</v>
      </c>
      <c r="AF6499">
        <v>3.33611100154575</v>
      </c>
      <c r="AG6499">
        <v>6.5583139999999904</v>
      </c>
      <c r="AH6499">
        <v>81.470573681242399</v>
      </c>
      <c r="AI6499">
        <v>85.401498311048499</v>
      </c>
      <c r="AJ6499">
        <v>87.655124516813203</v>
      </c>
      <c r="AK6499">
        <v>81.802172923999905</v>
      </c>
      <c r="AL6499">
        <v>87.293369695338697</v>
      </c>
      <c r="AM6499">
        <v>90.041544854943297</v>
      </c>
      <c r="AN6499">
        <v>0.99999994544202697</v>
      </c>
    </row>
    <row r="6500" spans="1:40" x14ac:dyDescent="0.25">
      <c r="A6500" t="str">
        <f>"20190312160501058"</f>
        <v>20190312160501058</v>
      </c>
      <c r="B6500" t="str">
        <f>"1552377901051603"</f>
        <v>1552377901051603</v>
      </c>
      <c r="C6500" t="s">
        <v>40</v>
      </c>
      <c r="D6500">
        <v>5.8313350000000002</v>
      </c>
      <c r="E6500">
        <v>0.51645959999999902</v>
      </c>
      <c r="F6500" t="s">
        <v>105</v>
      </c>
      <c r="G6500">
        <v>-276.26589999999999</v>
      </c>
      <c r="H6500">
        <v>7.4023619999999903</v>
      </c>
      <c r="I6500">
        <v>17.017219999999998</v>
      </c>
      <c r="J6500">
        <v>-355.34140000000002</v>
      </c>
      <c r="K6500">
        <v>1.1093649999999999</v>
      </c>
      <c r="L6500">
        <v>17.32544</v>
      </c>
      <c r="M6500">
        <v>0.99925889999999995</v>
      </c>
      <c r="N6500">
        <v>0</v>
      </c>
      <c r="O6500">
        <v>3.7825409999999997E-2</v>
      </c>
      <c r="P6500">
        <v>0.99845640000000002</v>
      </c>
      <c r="Q6500">
        <v>4.0263849999999997E-2</v>
      </c>
      <c r="R6500">
        <v>3.8265649999999998E-2</v>
      </c>
      <c r="S6500">
        <v>2.9955440000000002</v>
      </c>
      <c r="T6500">
        <v>0.23800660000000001</v>
      </c>
      <c r="U6500">
        <v>-1.147461E-2</v>
      </c>
      <c r="V6500">
        <v>-4.570744E-4</v>
      </c>
      <c r="W6500">
        <v>4.74078E-2</v>
      </c>
      <c r="X6500">
        <v>0.99887550000000003</v>
      </c>
      <c r="Y6500">
        <v>4.1404219999999999E-2</v>
      </c>
      <c r="Z6500">
        <v>4.6424780000000002E-3</v>
      </c>
      <c r="AA6500">
        <v>0.99913169999999996</v>
      </c>
      <c r="AB6500">
        <v>26</v>
      </c>
      <c r="AC6500">
        <v>79.075500000000005</v>
      </c>
      <c r="AD6500">
        <v>6.2929969999999997</v>
      </c>
      <c r="AE6500">
        <v>-0.308219999999998</v>
      </c>
      <c r="AF6500">
        <v>3.27837605681245</v>
      </c>
      <c r="AG6500">
        <v>6.2929969999999997</v>
      </c>
      <c r="AH6500">
        <v>78.510027671256594</v>
      </c>
      <c r="AI6500">
        <v>85.421209069667299</v>
      </c>
      <c r="AJ6500">
        <v>87.608865322080405</v>
      </c>
      <c r="AK6500">
        <v>78.830032384576398</v>
      </c>
      <c r="AL6500">
        <v>87.282714608689901</v>
      </c>
      <c r="AM6500">
        <v>90.026217914260201</v>
      </c>
      <c r="AN6500">
        <v>0.99999998645904797</v>
      </c>
    </row>
    <row r="6501" spans="1:40" x14ac:dyDescent="0.25">
      <c r="A6501" t="str">
        <f>"20190312160501070"</f>
        <v>20190312160501070</v>
      </c>
      <c r="B6501" t="str">
        <f>"1552377901061363"</f>
        <v>1552377901061363</v>
      </c>
      <c r="C6501" t="s">
        <v>40</v>
      </c>
      <c r="D6501">
        <v>5.8580059999999996</v>
      </c>
      <c r="E6501">
        <v>0.51669379999999998</v>
      </c>
      <c r="F6501" t="s">
        <v>105</v>
      </c>
      <c r="G6501">
        <v>-276.26769999999999</v>
      </c>
      <c r="H6501">
        <v>7.3820249999999996</v>
      </c>
      <c r="I6501">
        <v>16.958839999999999</v>
      </c>
      <c r="J6501">
        <v>-355.20760000000001</v>
      </c>
      <c r="K6501">
        <v>1.1093500000000001</v>
      </c>
      <c r="L6501">
        <v>17.330439999999999</v>
      </c>
      <c r="M6501">
        <v>0.99926219999999999</v>
      </c>
      <c r="N6501">
        <v>0</v>
      </c>
      <c r="O6501">
        <v>3.773787E-2</v>
      </c>
      <c r="P6501">
        <v>0.9984615</v>
      </c>
      <c r="Q6501">
        <v>4.0358030000000003E-2</v>
      </c>
      <c r="R6501">
        <v>3.8030149999999999E-2</v>
      </c>
      <c r="S6501">
        <v>2.9955750000000001</v>
      </c>
      <c r="T6501">
        <v>0.23762920000000001</v>
      </c>
      <c r="U6501">
        <v>-1.38855E-2</v>
      </c>
      <c r="V6501">
        <v>-3.0751440000000002E-4</v>
      </c>
      <c r="W6501">
        <v>4.7498770000000003E-2</v>
      </c>
      <c r="X6501">
        <v>0.99887130000000002</v>
      </c>
      <c r="Y6501">
        <v>4.2119579999999997E-2</v>
      </c>
      <c r="Z6501">
        <v>4.6564950000000001E-3</v>
      </c>
      <c r="AA6501">
        <v>0.99910169999999998</v>
      </c>
      <c r="AB6501">
        <v>26</v>
      </c>
      <c r="AC6501">
        <v>78.939899999999994</v>
      </c>
      <c r="AD6501">
        <v>6.2726749999999996</v>
      </c>
      <c r="AE6501">
        <v>-0.37159999999999999</v>
      </c>
      <c r="AF6501">
        <v>3.3294129742154999</v>
      </c>
      <c r="AG6501">
        <v>6.2726749999999996</v>
      </c>
      <c r="AH6501">
        <v>78.374785975559803</v>
      </c>
      <c r="AI6501">
        <v>85.428228951525298</v>
      </c>
      <c r="AJ6501">
        <v>87.567499755567297</v>
      </c>
      <c r="AK6501">
        <v>78.695860876689693</v>
      </c>
      <c r="AL6501">
        <v>87.277496708585403</v>
      </c>
      <c r="AM6501">
        <v>90.017639186052094</v>
      </c>
      <c r="AN6501">
        <v>1.0000000508401501</v>
      </c>
    </row>
    <row r="6502" spans="1:40" x14ac:dyDescent="0.25">
      <c r="A6502" t="str">
        <f>"20190312160501080"</f>
        <v>20190312160501080</v>
      </c>
      <c r="B6502" t="str">
        <f>"1552377901072099"</f>
        <v>1552377901072099</v>
      </c>
      <c r="C6502" t="s">
        <v>40</v>
      </c>
      <c r="D6502">
        <v>5.7959769999999997</v>
      </c>
      <c r="E6502">
        <v>0.51684549999999996</v>
      </c>
      <c r="F6502" t="s">
        <v>105</v>
      </c>
      <c r="G6502">
        <v>-276.28070000000002</v>
      </c>
      <c r="H6502">
        <v>7.371556</v>
      </c>
      <c r="I6502">
        <v>16.896989999999999</v>
      </c>
      <c r="J6502">
        <v>-355.07940000000002</v>
      </c>
      <c r="K6502">
        <v>1.1093379999999999</v>
      </c>
      <c r="L6502">
        <v>17.335170000000002</v>
      </c>
      <c r="M6502">
        <v>0.99926570000000003</v>
      </c>
      <c r="N6502">
        <v>0</v>
      </c>
      <c r="O6502">
        <v>3.7642160000000001E-2</v>
      </c>
      <c r="P6502">
        <v>0.99847790000000003</v>
      </c>
      <c r="Q6502">
        <v>4.0139229999999998E-2</v>
      </c>
      <c r="R6502">
        <v>3.7826209999999999E-2</v>
      </c>
      <c r="S6502">
        <v>2.9956049999999999</v>
      </c>
      <c r="T6502">
        <v>0.2376769</v>
      </c>
      <c r="U6502">
        <v>-1.644897E-2</v>
      </c>
      <c r="V6502">
        <v>-1.9749160000000001E-4</v>
      </c>
      <c r="W6502">
        <v>4.727729E-2</v>
      </c>
      <c r="X6502">
        <v>0.99888180000000004</v>
      </c>
      <c r="Y6502">
        <v>4.2876619999999997E-2</v>
      </c>
      <c r="Z6502">
        <v>4.6797890000000002E-3</v>
      </c>
      <c r="AA6502">
        <v>0.9990694</v>
      </c>
      <c r="AB6502">
        <v>26</v>
      </c>
      <c r="AC6502">
        <v>78.798699999999997</v>
      </c>
      <c r="AD6502">
        <v>6.2622179999999998</v>
      </c>
      <c r="AE6502">
        <v>-0.43818000000000201</v>
      </c>
      <c r="AF6502">
        <v>3.3827350222059902</v>
      </c>
      <c r="AG6502">
        <v>6.2622179999999998</v>
      </c>
      <c r="AH6502">
        <v>78.232284002967901</v>
      </c>
      <c r="AI6502">
        <v>85.427687484810704</v>
      </c>
      <c r="AJ6502">
        <v>87.524093957756904</v>
      </c>
      <c r="AK6502">
        <v>78.555385116687006</v>
      </c>
      <c r="AL6502">
        <v>87.290200754473602</v>
      </c>
      <c r="AM6502">
        <v>90.011328102105594</v>
      </c>
      <c r="AN6502">
        <v>1.00000001576195</v>
      </c>
    </row>
    <row r="6503" spans="1:40" x14ac:dyDescent="0.25">
      <c r="A6503" t="str">
        <f>"20190312160501091"</f>
        <v>20190312160501091</v>
      </c>
      <c r="B6503" t="str">
        <f>"1552377901081861"</f>
        <v>1552377901081861</v>
      </c>
      <c r="C6503" t="s">
        <v>40</v>
      </c>
      <c r="D6503">
        <v>5.8051589999999997</v>
      </c>
      <c r="E6503">
        <v>0.51666060000000003</v>
      </c>
      <c r="F6503" t="s">
        <v>105</v>
      </c>
      <c r="G6503">
        <v>-276.28739999999999</v>
      </c>
      <c r="H6503">
        <v>7.3410409999999997</v>
      </c>
      <c r="I6503">
        <v>16.855129999999999</v>
      </c>
      <c r="J6503">
        <v>-354.95139999999998</v>
      </c>
      <c r="K6503">
        <v>1.109324</v>
      </c>
      <c r="L6503">
        <v>17.3399</v>
      </c>
      <c r="M6503">
        <v>0.99926970000000004</v>
      </c>
      <c r="N6503">
        <v>0</v>
      </c>
      <c r="O6503">
        <v>3.754002E-2</v>
      </c>
      <c r="P6503">
        <v>0.99850360000000005</v>
      </c>
      <c r="Q6503">
        <v>3.9725099999999999E-2</v>
      </c>
      <c r="R6503">
        <v>3.758276E-2</v>
      </c>
      <c r="S6503">
        <v>2.9957579999999999</v>
      </c>
      <c r="T6503">
        <v>0.23693610000000001</v>
      </c>
      <c r="U6503">
        <v>-1.824951E-2</v>
      </c>
      <c r="V6503" s="1">
        <v>-5.3956170000000001E-5</v>
      </c>
      <c r="W6503">
        <v>4.6861479999999997E-2</v>
      </c>
      <c r="X6503">
        <v>0.99890140000000005</v>
      </c>
      <c r="Y6503">
        <v>4.3374999999999997E-2</v>
      </c>
      <c r="Z6503">
        <v>4.676627E-3</v>
      </c>
      <c r="AA6503">
        <v>0.99904789999999999</v>
      </c>
      <c r="AB6503">
        <v>26</v>
      </c>
      <c r="AC6503">
        <v>78.663999999999902</v>
      </c>
      <c r="AD6503">
        <v>6.2317169999999997</v>
      </c>
      <c r="AE6503">
        <v>-0.48477000000000098</v>
      </c>
      <c r="AF6503">
        <v>3.41611369327248</v>
      </c>
      <c r="AG6503">
        <v>6.2317169999999997</v>
      </c>
      <c r="AH6503">
        <v>78.100233759706697</v>
      </c>
      <c r="AI6503">
        <v>85.442301535395302</v>
      </c>
      <c r="AJ6503">
        <v>87.495472063128503</v>
      </c>
      <c r="AK6503">
        <v>78.422896164667904</v>
      </c>
      <c r="AL6503">
        <v>87.314051316391101</v>
      </c>
      <c r="AM6503">
        <v>90.003094860830799</v>
      </c>
      <c r="AN6503">
        <v>1.0000000040704999</v>
      </c>
    </row>
    <row r="6504" spans="1:40" x14ac:dyDescent="0.25">
      <c r="A6504" t="str">
        <f>"20190312160501102"</f>
        <v>20190312160501102</v>
      </c>
      <c r="B6504" t="str">
        <f>"1552377901091620"</f>
        <v>1552377901091620</v>
      </c>
      <c r="C6504" t="s">
        <v>40</v>
      </c>
      <c r="D6504">
        <v>5.8410070000000003</v>
      </c>
      <c r="E6504">
        <v>0.51633699999999905</v>
      </c>
      <c r="F6504" t="s">
        <v>105</v>
      </c>
      <c r="G6504">
        <v>-276.27879999999999</v>
      </c>
      <c r="H6504">
        <v>7.3338349999999997</v>
      </c>
      <c r="I6504">
        <v>16.881409999999999</v>
      </c>
      <c r="J6504">
        <v>-354.82100000000003</v>
      </c>
      <c r="K6504">
        <v>1.109308</v>
      </c>
      <c r="L6504">
        <v>17.3447</v>
      </c>
      <c r="M6504">
        <v>0.999274</v>
      </c>
      <c r="N6504">
        <v>0</v>
      </c>
      <c r="O6504">
        <v>3.7426599999999997E-2</v>
      </c>
      <c r="P6504">
        <v>0.99852879999999999</v>
      </c>
      <c r="Q6504">
        <v>3.9348599999999997E-2</v>
      </c>
      <c r="R6504">
        <v>3.7311400000000002E-2</v>
      </c>
      <c r="S6504">
        <v>2.9957280000000002</v>
      </c>
      <c r="T6504">
        <v>0.23701949999999999</v>
      </c>
      <c r="U6504">
        <v>-1.7456050000000001E-2</v>
      </c>
      <c r="V6504">
        <v>1.0602330000000001E-4</v>
      </c>
      <c r="W6504">
        <v>4.648327E-2</v>
      </c>
      <c r="X6504">
        <v>0.99891909999999895</v>
      </c>
      <c r="Y6504">
        <v>4.2998420000000002E-2</v>
      </c>
      <c r="Z6504">
        <v>4.6544869999999997E-3</v>
      </c>
      <c r="AA6504">
        <v>0.99906430000000002</v>
      </c>
      <c r="AB6504">
        <v>26</v>
      </c>
      <c r="AC6504">
        <v>78.542199999999895</v>
      </c>
      <c r="AD6504">
        <v>6.2245269999999904</v>
      </c>
      <c r="AE6504">
        <v>-0.46328999999999998</v>
      </c>
      <c r="AF6504">
        <v>3.38137088385264</v>
      </c>
      <c r="AG6504">
        <v>6.2245269999999904</v>
      </c>
      <c r="AH6504">
        <v>77.980078325265694</v>
      </c>
      <c r="AI6504">
        <v>85.440478251321494</v>
      </c>
      <c r="AJ6504">
        <v>87.5170967334588</v>
      </c>
      <c r="AK6504">
        <v>78.301155936821701</v>
      </c>
      <c r="AL6504">
        <v>87.335744881412694</v>
      </c>
      <c r="AM6504">
        <v>89.993918739167896</v>
      </c>
      <c r="AN6504">
        <v>1.0000000369878199</v>
      </c>
    </row>
    <row r="6505" spans="1:40" x14ac:dyDescent="0.25">
      <c r="A6505" t="str">
        <f>"20190312160501114"</f>
        <v>20190312160501114</v>
      </c>
      <c r="B6505" t="str">
        <f>"1552377901101379"</f>
        <v>1552377901101379</v>
      </c>
      <c r="C6505" t="s">
        <v>40</v>
      </c>
      <c r="D6505">
        <v>5.8046559999999996</v>
      </c>
      <c r="E6505">
        <v>0.51633699999999905</v>
      </c>
      <c r="F6505" t="s">
        <v>105</v>
      </c>
      <c r="G6505">
        <v>-276.26859999999999</v>
      </c>
      <c r="H6505">
        <v>7.3314969999999997</v>
      </c>
      <c r="I6505">
        <v>16.933309999999999</v>
      </c>
      <c r="J6505">
        <v>-354.69319999999999</v>
      </c>
      <c r="K6505">
        <v>1.1092919999999999</v>
      </c>
      <c r="L6505">
        <v>17.349399999999999</v>
      </c>
      <c r="M6505">
        <v>0.99927840000000001</v>
      </c>
      <c r="N6505">
        <v>0</v>
      </c>
      <c r="O6505">
        <v>3.7306930000000002E-2</v>
      </c>
      <c r="P6505">
        <v>0.99856420000000001</v>
      </c>
      <c r="Q6505">
        <v>3.8786279999999999E-2</v>
      </c>
      <c r="R6505">
        <v>3.6947760000000003E-2</v>
      </c>
      <c r="S6505">
        <v>2.9956670000000001</v>
      </c>
      <c r="T6505">
        <v>0.23728850000000001</v>
      </c>
      <c r="U6505">
        <v>-1.5686039999999998E-2</v>
      </c>
      <c r="V6505">
        <v>3.5231100000000001E-4</v>
      </c>
      <c r="W6505">
        <v>4.591978E-2</v>
      </c>
      <c r="X6505">
        <v>0.99894510000000003</v>
      </c>
      <c r="Y6505">
        <v>4.2290609999999999E-2</v>
      </c>
      <c r="Z6505">
        <v>4.6223970000000003E-3</v>
      </c>
      <c r="AA6505">
        <v>0.9990947</v>
      </c>
      <c r="AB6505">
        <v>26</v>
      </c>
      <c r="AC6505">
        <v>78.424599999999998</v>
      </c>
      <c r="AD6505">
        <v>6.2222049999999998</v>
      </c>
      <c r="AE6505">
        <v>-0.41608999999999602</v>
      </c>
      <c r="AF6505">
        <v>3.3207528256920802</v>
      </c>
      <c r="AG6505">
        <v>6.2222049999999998</v>
      </c>
      <c r="AH6505">
        <v>77.864349779841504</v>
      </c>
      <c r="AI6505">
        <v>85.435287026023602</v>
      </c>
      <c r="AJ6505">
        <v>87.557933846478605</v>
      </c>
      <c r="AK6505">
        <v>78.183119668051503</v>
      </c>
      <c r="AL6505">
        <v>87.368064978539294</v>
      </c>
      <c r="AM6505">
        <v>89.979792750833695</v>
      </c>
      <c r="AN6505">
        <v>1.0000000315661399</v>
      </c>
    </row>
    <row r="6506" spans="1:40" x14ac:dyDescent="0.25">
      <c r="A6506" t="str">
        <f>"20190312160501124"</f>
        <v>20190312160501124</v>
      </c>
      <c r="B6506" t="str">
        <f>"1552377901121875"</f>
        <v>1552377901121875</v>
      </c>
      <c r="C6506" t="s">
        <v>40</v>
      </c>
      <c r="D6506">
        <v>5.8073259999999998</v>
      </c>
      <c r="E6506">
        <v>0.53133399999999997</v>
      </c>
      <c r="F6506" t="s">
        <v>105</v>
      </c>
      <c r="G6506">
        <v>-276.26929999999999</v>
      </c>
      <c r="H6506">
        <v>7.2769469999999998</v>
      </c>
      <c r="I6506">
        <v>16.909939999999999</v>
      </c>
      <c r="J6506">
        <v>-354.55790000000002</v>
      </c>
      <c r="K6506">
        <v>1.1092709999999999</v>
      </c>
      <c r="L6506">
        <v>17.354340000000001</v>
      </c>
      <c r="M6506">
        <v>0.99928329999999999</v>
      </c>
      <c r="N6506">
        <v>0</v>
      </c>
      <c r="O6506">
        <v>3.7173829999999998E-2</v>
      </c>
      <c r="P6506">
        <v>0.99860020000000005</v>
      </c>
      <c r="Q6506">
        <v>3.865532E-2</v>
      </c>
      <c r="R6506">
        <v>3.6100720000000003E-2</v>
      </c>
      <c r="S6506">
        <v>2.9957889999999998</v>
      </c>
      <c r="T6506">
        <v>0.23560420000000001</v>
      </c>
      <c r="U6506">
        <v>-1.6784670000000002E-2</v>
      </c>
      <c r="V6506">
        <v>1.068376E-3</v>
      </c>
      <c r="W6506">
        <v>4.5787840000000003E-2</v>
      </c>
      <c r="X6506">
        <v>0.99895060000000002</v>
      </c>
      <c r="Y6506">
        <v>4.2526929999999998E-2</v>
      </c>
      <c r="Z6506">
        <v>4.588333E-3</v>
      </c>
      <c r="AA6506">
        <v>0.9990848</v>
      </c>
      <c r="AB6506">
        <v>26</v>
      </c>
      <c r="AC6506">
        <v>78.288600000000002</v>
      </c>
      <c r="AD6506">
        <v>6.1676760000000002</v>
      </c>
      <c r="AE6506">
        <v>-0.44440000000000102</v>
      </c>
      <c r="AF6506">
        <v>3.3337638286343299</v>
      </c>
      <c r="AG6506">
        <v>6.1676760000000002</v>
      </c>
      <c r="AH6506">
        <v>77.735515665597006</v>
      </c>
      <c r="AI6506">
        <v>85.467701385206595</v>
      </c>
      <c r="AJ6506">
        <v>87.5443190670576</v>
      </c>
      <c r="AK6506">
        <v>78.051038457552707</v>
      </c>
      <c r="AL6506">
        <v>87.375632419656895</v>
      </c>
      <c r="AM6506">
        <v>89.938722282769604</v>
      </c>
      <c r="AN6506">
        <v>0.99999998447975103</v>
      </c>
    </row>
    <row r="6507" spans="1:40" x14ac:dyDescent="0.25">
      <c r="A6507" t="str">
        <f>"20190312160501138"</f>
        <v>20190312160501138</v>
      </c>
      <c r="B6507" t="str">
        <f>"1552377901131635"</f>
        <v>1552377901131635</v>
      </c>
      <c r="C6507" t="s">
        <v>40</v>
      </c>
      <c r="D6507">
        <v>5.7173499999999997</v>
      </c>
      <c r="E6507">
        <v>0.52977410000000003</v>
      </c>
      <c r="F6507" t="s">
        <v>116</v>
      </c>
      <c r="G6507">
        <v>-279.68</v>
      </c>
      <c r="H6507">
        <v>0.46389039999999998</v>
      </c>
      <c r="I6507">
        <v>13.759449999999999</v>
      </c>
      <c r="J6507">
        <v>-354.40339999999998</v>
      </c>
      <c r="K6507">
        <v>1.109254</v>
      </c>
      <c r="L6507">
        <v>17.35989</v>
      </c>
      <c r="M6507">
        <v>0.9992896</v>
      </c>
      <c r="N6507">
        <v>0</v>
      </c>
      <c r="O6507">
        <v>3.7007949999999998E-2</v>
      </c>
      <c r="P6507">
        <v>0.99861149999999999</v>
      </c>
      <c r="Q6507">
        <v>3.850584E-2</v>
      </c>
      <c r="R6507">
        <v>3.5954510000000002E-2</v>
      </c>
      <c r="S6507">
        <v>3.010437</v>
      </c>
      <c r="T6507">
        <v>-2.5947689999999999E-2</v>
      </c>
      <c r="U6507">
        <v>-0.144531299999999</v>
      </c>
      <c r="V6507">
        <v>1.0504609999999999E-3</v>
      </c>
      <c r="W6507">
        <v>4.5637789999999998E-2</v>
      </c>
      <c r="X6507">
        <v>0.99895750000000005</v>
      </c>
      <c r="Y6507">
        <v>8.4883760000000003E-2</v>
      </c>
      <c r="Z6507">
        <v>-6.844148E-4</v>
      </c>
      <c r="AA6507">
        <v>0.99639060000000002</v>
      </c>
      <c r="AB6507">
        <v>26</v>
      </c>
      <c r="AC6507">
        <v>74.723399999999899</v>
      </c>
      <c r="AD6507">
        <v>-0.64536360000000004</v>
      </c>
      <c r="AE6507">
        <v>-3.6004399999999999</v>
      </c>
      <c r="AF6507">
        <v>6.3629299068993097</v>
      </c>
      <c r="AG6507">
        <v>-0.64536360000000004</v>
      </c>
      <c r="AH6507">
        <v>74.533414676761495</v>
      </c>
      <c r="AI6507">
        <v>90.494297554415297</v>
      </c>
      <c r="AJ6507">
        <v>85.120480984097</v>
      </c>
      <c r="AK6507">
        <v>74.807307628027999</v>
      </c>
      <c r="AL6507">
        <v>87.384238686474305</v>
      </c>
      <c r="AM6507">
        <v>89.939750229955905</v>
      </c>
      <c r="AN6507">
        <v>0.999999999075323</v>
      </c>
    </row>
    <row r="6508" spans="1:40" x14ac:dyDescent="0.25">
      <c r="A6508" t="str">
        <f>"20190312160501151"</f>
        <v>20190312160501151</v>
      </c>
      <c r="B6508" t="str">
        <f>"1552377901141395"</f>
        <v>1552377901141395</v>
      </c>
      <c r="C6508" t="s">
        <v>40</v>
      </c>
      <c r="D6508">
        <v>5.7849240000000002</v>
      </c>
      <c r="E6508">
        <v>0.53053980000000001</v>
      </c>
      <c r="F6508" t="s">
        <v>114</v>
      </c>
      <c r="G6508">
        <v>-279.68</v>
      </c>
      <c r="H6508">
        <v>0.75566080000000002</v>
      </c>
      <c r="I6508">
        <v>14.075100000000001</v>
      </c>
      <c r="J6508">
        <v>-354.25529999999998</v>
      </c>
      <c r="K6508">
        <v>1.1092409999999999</v>
      </c>
      <c r="L6508">
        <v>17.36523</v>
      </c>
      <c r="M6508">
        <v>0.99929570000000001</v>
      </c>
      <c r="N6508">
        <v>0</v>
      </c>
      <c r="O6508">
        <v>3.6842659999999999E-2</v>
      </c>
      <c r="P6508">
        <v>0.99861809999999995</v>
      </c>
      <c r="Q6508">
        <v>3.8385099999999998E-2</v>
      </c>
      <c r="R6508">
        <v>3.5898480000000003E-2</v>
      </c>
      <c r="S6508">
        <v>3.0094599999999998</v>
      </c>
      <c r="T6508">
        <v>-1.424074E-2</v>
      </c>
      <c r="U6508">
        <v>-0.13229369999999999</v>
      </c>
      <c r="V6508">
        <v>9.4288629999999998E-4</v>
      </c>
      <c r="W6508">
        <v>4.5516319999999999E-2</v>
      </c>
      <c r="X6508">
        <v>0.99896320000000005</v>
      </c>
      <c r="Y6508">
        <v>8.0693799999999996E-2</v>
      </c>
      <c r="Z6508">
        <v>-3.6509219999999998E-4</v>
      </c>
      <c r="AA6508">
        <v>0.99673889999999998</v>
      </c>
      <c r="AB6508">
        <v>26</v>
      </c>
      <c r="AC6508">
        <v>74.575299999999899</v>
      </c>
      <c r="AD6508">
        <v>-0.35358019999999901</v>
      </c>
      <c r="AE6508">
        <v>-3.29013</v>
      </c>
      <c r="AF6508">
        <v>6.0353828449820401</v>
      </c>
      <c r="AG6508">
        <v>-0.35358019999999901</v>
      </c>
      <c r="AH6508">
        <v>74.401777195979406</v>
      </c>
      <c r="AI6508">
        <v>90.271393728504407</v>
      </c>
      <c r="AJ6508">
        <v>85.362389589428602</v>
      </c>
      <c r="AK6508">
        <v>74.647004728679505</v>
      </c>
      <c r="AL6508">
        <v>87.391205776832095</v>
      </c>
      <c r="AM6508">
        <v>89.945920540908901</v>
      </c>
      <c r="AN6508">
        <v>1.0000000496875701</v>
      </c>
    </row>
    <row r="6509" spans="1:40" x14ac:dyDescent="0.25">
      <c r="A6509" t="str">
        <f>"20190312160501164"</f>
        <v>20190312160501164</v>
      </c>
      <c r="B6509" t="str">
        <f>"1552377901152131"</f>
        <v>1552377901152131</v>
      </c>
      <c r="C6509" t="s">
        <v>40</v>
      </c>
      <c r="D6509">
        <v>5.9568199999999996</v>
      </c>
      <c r="E6509">
        <v>0.53053980000000001</v>
      </c>
      <c r="F6509" t="s">
        <v>116</v>
      </c>
      <c r="G6509">
        <v>-279.68</v>
      </c>
      <c r="H6509">
        <v>0.67025419999999902</v>
      </c>
      <c r="I6509">
        <v>13.928570000000001</v>
      </c>
      <c r="J6509">
        <v>-354.09350000000001</v>
      </c>
      <c r="K6509">
        <v>1.109226</v>
      </c>
      <c r="L6509">
        <v>17.371029999999902</v>
      </c>
      <c r="M6509">
        <v>0.99930269999999999</v>
      </c>
      <c r="N6509">
        <v>0</v>
      </c>
      <c r="O6509">
        <v>3.6651990000000002E-2</v>
      </c>
      <c r="P6509">
        <v>0.99862119999999999</v>
      </c>
      <c r="Q6509">
        <v>3.8363939999999999E-2</v>
      </c>
      <c r="R6509">
        <v>3.5842020000000002E-2</v>
      </c>
      <c r="S6509">
        <v>3.009827</v>
      </c>
      <c r="T6509">
        <v>-1.7717719999999999E-2</v>
      </c>
      <c r="U6509">
        <v>-0.138702399999999</v>
      </c>
      <c r="V6509">
        <v>8.099801E-4</v>
      </c>
      <c r="W6509">
        <v>4.5495840000000003E-2</v>
      </c>
      <c r="X6509">
        <v>0.99896419999999997</v>
      </c>
      <c r="Y6509">
        <v>8.2615400000000005E-2</v>
      </c>
      <c r="Z6509">
        <v>-4.5868679999999998E-4</v>
      </c>
      <c r="AA6509">
        <v>0.99658139999999995</v>
      </c>
      <c r="AB6509">
        <v>27</v>
      </c>
      <c r="AC6509">
        <v>74.413499999999999</v>
      </c>
      <c r="AD6509">
        <v>-0.43897180000000002</v>
      </c>
      <c r="AE6509">
        <v>-3.4424599999999899</v>
      </c>
      <c r="AF6509">
        <v>6.1674047589637402</v>
      </c>
      <c r="AG6509">
        <v>-0.43897180000000002</v>
      </c>
      <c r="AH6509">
        <v>74.234744286159398</v>
      </c>
      <c r="AI6509">
        <v>90.337639582833503</v>
      </c>
      <c r="AJ6509">
        <v>85.250787080416998</v>
      </c>
      <c r="AK6509">
        <v>74.491790399570604</v>
      </c>
      <c r="AL6509">
        <v>87.392380282061495</v>
      </c>
      <c r="AM6509">
        <v>89.953543449255207</v>
      </c>
      <c r="AN6509">
        <v>1.00000000020335</v>
      </c>
    </row>
    <row r="6510" spans="1:40" x14ac:dyDescent="0.25">
      <c r="A6510" t="str">
        <f>"20190312160501182"</f>
        <v>20190312160501182</v>
      </c>
      <c r="B6510" t="str">
        <f>"1552377901171651"</f>
        <v>1552377901171651</v>
      </c>
      <c r="C6510" t="s">
        <v>40</v>
      </c>
      <c r="D6510">
        <v>5.8253019999999998</v>
      </c>
      <c r="E6510">
        <v>0.51781489999999997</v>
      </c>
      <c r="F6510" t="s">
        <v>114</v>
      </c>
      <c r="G6510">
        <v>-279.68</v>
      </c>
      <c r="H6510">
        <v>0.67199279999999995</v>
      </c>
      <c r="I6510">
        <v>13.936540000000001</v>
      </c>
      <c r="J6510">
        <v>-353.88199999999898</v>
      </c>
      <c r="K6510">
        <v>1.109205</v>
      </c>
      <c r="L6510">
        <v>17.378540000000001</v>
      </c>
      <c r="M6510">
        <v>0.99931230000000004</v>
      </c>
      <c r="N6510">
        <v>0</v>
      </c>
      <c r="O6510">
        <v>3.639001E-2</v>
      </c>
      <c r="P6510">
        <v>0.99858919999999995</v>
      </c>
      <c r="Q6510">
        <v>3.855132E-2</v>
      </c>
      <c r="R6510">
        <v>3.6519200000000002E-2</v>
      </c>
      <c r="S6510">
        <v>3.009827</v>
      </c>
      <c r="T6510">
        <v>-1.768482E-2</v>
      </c>
      <c r="U6510">
        <v>-0.13891600000000001</v>
      </c>
      <c r="V6510">
        <v>-1.2843699999999999E-4</v>
      </c>
      <c r="W6510">
        <v>4.5683990000000001E-2</v>
      </c>
      <c r="X6510">
        <v>0.99895590000000001</v>
      </c>
      <c r="Y6510">
        <v>8.2424720000000007E-2</v>
      </c>
      <c r="Z6510">
        <v>-4.5573610000000002E-4</v>
      </c>
      <c r="AA6510">
        <v>0.99659719999999996</v>
      </c>
      <c r="AB6510">
        <v>27</v>
      </c>
      <c r="AC6510">
        <v>74.201999999999899</v>
      </c>
      <c r="AD6510">
        <v>-0.4372122</v>
      </c>
      <c r="AE6510">
        <v>-3.4420000000000002</v>
      </c>
      <c r="AF6510">
        <v>6.1397873891335397</v>
      </c>
      <c r="AG6510">
        <v>-0.4372122</v>
      </c>
      <c r="AH6510">
        <v>74.0250288055759</v>
      </c>
      <c r="AI6510">
        <v>90.337242717209406</v>
      </c>
      <c r="AJ6510">
        <v>85.258623492929303</v>
      </c>
      <c r="AK6510">
        <v>74.280502376854798</v>
      </c>
      <c r="AL6510">
        <v>87.381588773089405</v>
      </c>
      <c r="AM6510">
        <v>90.007366589448793</v>
      </c>
      <c r="AN6510">
        <v>0.99999996679159597</v>
      </c>
    </row>
    <row r="6511" spans="1:40" x14ac:dyDescent="0.25">
      <c r="A6511" t="str">
        <f>"20190312160501203"</f>
        <v>20190312160501203</v>
      </c>
      <c r="B6511" t="str">
        <f>"1552377901191171"</f>
        <v>1552377901191171</v>
      </c>
      <c r="C6511" t="s">
        <v>40</v>
      </c>
      <c r="D6511">
        <v>5.9131359999999997</v>
      </c>
      <c r="E6511">
        <v>0.51792680000000002</v>
      </c>
      <c r="F6511" t="s">
        <v>87</v>
      </c>
      <c r="G6511">
        <v>-274.15660000000003</v>
      </c>
      <c r="H6511">
        <v>8.4002929999999996</v>
      </c>
      <c r="I6511">
        <v>16.609970000000001</v>
      </c>
      <c r="J6511">
        <v>-353.62520000000001</v>
      </c>
      <c r="K6511">
        <v>1.1091850000000001</v>
      </c>
      <c r="L6511">
        <v>17.38757</v>
      </c>
      <c r="M6511">
        <v>0.9993242</v>
      </c>
      <c r="N6511">
        <v>0</v>
      </c>
      <c r="O6511">
        <v>3.6056730000000002E-2</v>
      </c>
      <c r="P6511">
        <v>0.99860950000000004</v>
      </c>
      <c r="Q6511">
        <v>3.8304009999999999E-2</v>
      </c>
      <c r="R6511">
        <v>3.6223749999999999E-2</v>
      </c>
      <c r="S6511">
        <v>2.99472</v>
      </c>
      <c r="T6511">
        <v>0.27387489999999998</v>
      </c>
      <c r="U6511">
        <v>-2.886963E-2</v>
      </c>
      <c r="V6511">
        <v>-1.641643E-4</v>
      </c>
      <c r="W6511">
        <v>4.5438680000000002E-2</v>
      </c>
      <c r="X6511">
        <v>0.9989671</v>
      </c>
      <c r="Y6511">
        <v>4.5349779999999999E-2</v>
      </c>
      <c r="Z6511">
        <v>5.3595409999999998E-3</v>
      </c>
      <c r="AA6511">
        <v>0.99895679999999998</v>
      </c>
      <c r="AB6511">
        <v>27</v>
      </c>
      <c r="AC6511">
        <v>79.468599999999896</v>
      </c>
      <c r="AD6511">
        <v>7.2911079999999897</v>
      </c>
      <c r="AE6511">
        <v>-0.77759999999999896</v>
      </c>
      <c r="AF6511">
        <v>3.6121421461934902</v>
      </c>
      <c r="AG6511">
        <v>7.2911079999999897</v>
      </c>
      <c r="AH6511">
        <v>78.726249738698897</v>
      </c>
      <c r="AI6511">
        <v>84.714264321539005</v>
      </c>
      <c r="AJ6511">
        <v>87.372979740634804</v>
      </c>
      <c r="AK6511">
        <v>79.145626693279496</v>
      </c>
      <c r="AL6511">
        <v>87.395658656345503</v>
      </c>
      <c r="AM6511">
        <v>90.009415646873705</v>
      </c>
      <c r="AN6511">
        <v>0.999999983736234</v>
      </c>
    </row>
    <row r="6512" spans="1:40" x14ac:dyDescent="0.25">
      <c r="A6512" t="str">
        <f>"20190312160501214"</f>
        <v>20190312160501214</v>
      </c>
      <c r="B6512" t="str">
        <f>"1552377901201907"</f>
        <v>1552377901201907</v>
      </c>
      <c r="C6512" t="s">
        <v>40</v>
      </c>
      <c r="D6512">
        <v>5.8250209999999996</v>
      </c>
      <c r="E6512">
        <v>0.51679909999999996</v>
      </c>
      <c r="F6512" t="s">
        <v>87</v>
      </c>
      <c r="G6512">
        <v>-274.15660000000003</v>
      </c>
      <c r="H6512">
        <v>8.1840840000000004</v>
      </c>
      <c r="I6512">
        <v>16.569749999999999</v>
      </c>
      <c r="J6512">
        <v>-353.49680000000001</v>
      </c>
      <c r="K6512">
        <v>1.1091839999999999</v>
      </c>
      <c r="L6512">
        <v>17.392029999999998</v>
      </c>
      <c r="M6512">
        <v>0.99933050000000001</v>
      </c>
      <c r="N6512">
        <v>0</v>
      </c>
      <c r="O6512">
        <v>3.5883520000000002E-2</v>
      </c>
      <c r="P6512">
        <v>0.99861929999999999</v>
      </c>
      <c r="Q6512">
        <v>3.7861180000000001E-2</v>
      </c>
      <c r="R6512">
        <v>3.6413830000000001E-2</v>
      </c>
      <c r="S6512">
        <v>2.9950559999999999</v>
      </c>
      <c r="T6512">
        <v>0.26664290000000002</v>
      </c>
      <c r="U6512">
        <v>-3.0822749999999999E-2</v>
      </c>
      <c r="V6512">
        <v>-5.2619669999999996E-4</v>
      </c>
      <c r="W6512">
        <v>4.4997580000000002E-2</v>
      </c>
      <c r="X6512">
        <v>0.99898699999999996</v>
      </c>
      <c r="Y6512">
        <v>4.5843389999999998E-2</v>
      </c>
      <c r="Z6512">
        <v>5.2245369999999996E-3</v>
      </c>
      <c r="AA6512">
        <v>0.99893500000000002</v>
      </c>
      <c r="AB6512">
        <v>27</v>
      </c>
      <c r="AC6512">
        <v>79.340199999999896</v>
      </c>
      <c r="AD6512">
        <v>7.0749000000000004</v>
      </c>
      <c r="AE6512">
        <v>-0.82227999999999901</v>
      </c>
      <c r="AF6512">
        <v>3.6398887573994401</v>
      </c>
      <c r="AG6512">
        <v>7.0749000000000004</v>
      </c>
      <c r="AH6512">
        <v>78.634392233078103</v>
      </c>
      <c r="AI6512">
        <v>84.864291780254007</v>
      </c>
      <c r="AJ6512">
        <v>87.349741011178295</v>
      </c>
      <c r="AK6512">
        <v>79.035881990661693</v>
      </c>
      <c r="AL6512">
        <v>87.420957854749105</v>
      </c>
      <c r="AM6512">
        <v>90.030179419066997</v>
      </c>
      <c r="AN6512">
        <v>1.00000004262891</v>
      </c>
    </row>
    <row r="6513" spans="1:40" x14ac:dyDescent="0.25">
      <c r="A6513" t="str">
        <f>"20190312160501225"</f>
        <v>20190312160501225</v>
      </c>
      <c r="B6513" t="str">
        <f>"1552377901221428"</f>
        <v>1552377901221428</v>
      </c>
      <c r="C6513" t="s">
        <v>40</v>
      </c>
      <c r="D6513">
        <v>5.9226260000000002</v>
      </c>
      <c r="E6513">
        <v>0.50835229999999998</v>
      </c>
      <c r="F6513" t="s">
        <v>87</v>
      </c>
      <c r="G6513">
        <v>-273.85840000000002</v>
      </c>
      <c r="H6513">
        <v>7.8119889999999996</v>
      </c>
      <c r="I6513">
        <v>16.818390000000001</v>
      </c>
      <c r="J6513">
        <v>-353.3571</v>
      </c>
      <c r="K6513">
        <v>1.1091770000000001</v>
      </c>
      <c r="L6513">
        <v>17.396879999999999</v>
      </c>
      <c r="M6513">
        <v>0.99933740000000004</v>
      </c>
      <c r="N6513">
        <v>0</v>
      </c>
      <c r="O6513">
        <v>3.5692420000000002E-2</v>
      </c>
      <c r="P6513">
        <v>0.99861650000000002</v>
      </c>
      <c r="Q6513">
        <v>3.787695E-2</v>
      </c>
      <c r="R6513">
        <v>3.6484580000000003E-2</v>
      </c>
      <c r="S6513">
        <v>2.9953609999999999</v>
      </c>
      <c r="T6513">
        <v>0.25210640000000001</v>
      </c>
      <c r="U6513">
        <v>-2.157593E-2</v>
      </c>
      <c r="V6513">
        <v>-7.8771440000000004E-4</v>
      </c>
      <c r="W6513">
        <v>4.5015199999999998E-2</v>
      </c>
      <c r="X6513">
        <v>0.99898600000000004</v>
      </c>
      <c r="Y6513">
        <v>4.2613909999999998E-2</v>
      </c>
      <c r="Z6513">
        <v>4.7885530000000001E-3</v>
      </c>
      <c r="AA6513">
        <v>0.99908010000000003</v>
      </c>
      <c r="AB6513">
        <v>27</v>
      </c>
      <c r="AC6513">
        <v>79.4986999999999</v>
      </c>
      <c r="AD6513">
        <v>6.7028119999999998</v>
      </c>
      <c r="AE6513">
        <v>-0.57848999999999795</v>
      </c>
      <c r="AF6513">
        <v>3.3915857607028799</v>
      </c>
      <c r="AG6513">
        <v>6.7028119999999998</v>
      </c>
      <c r="AH6513">
        <v>78.866778877219204</v>
      </c>
      <c r="AI6513">
        <v>85.146624660142706</v>
      </c>
      <c r="AJ6513">
        <v>87.537570379135104</v>
      </c>
      <c r="AK6513">
        <v>79.223729735147799</v>
      </c>
      <c r="AL6513">
        <v>87.419947190924006</v>
      </c>
      <c r="AM6513">
        <v>90.045178512239204</v>
      </c>
      <c r="AN6513">
        <v>1.0000000084605001</v>
      </c>
    </row>
    <row r="6514" spans="1:40" x14ac:dyDescent="0.25">
      <c r="A6514" t="str">
        <f>"20190312160501237"</f>
        <v>20190312160501237</v>
      </c>
      <c r="B6514" t="str">
        <f>"1552377901231188"</f>
        <v>1552377901231188</v>
      </c>
      <c r="C6514" t="s">
        <v>40</v>
      </c>
      <c r="D6514">
        <v>5.871397</v>
      </c>
      <c r="E6514">
        <v>0.50559920000000003</v>
      </c>
      <c r="F6514" t="s">
        <v>106</v>
      </c>
      <c r="G6514">
        <v>-276.08499999999998</v>
      </c>
      <c r="H6514">
        <v>7.0741379999999996</v>
      </c>
      <c r="I6514">
        <v>18.57133</v>
      </c>
      <c r="J6514">
        <v>-353.21839999999997</v>
      </c>
      <c r="K6514">
        <v>1.1091709999999999</v>
      </c>
      <c r="L6514">
        <v>17.40164</v>
      </c>
      <c r="M6514">
        <v>0.99934429999999996</v>
      </c>
      <c r="N6514">
        <v>0</v>
      </c>
      <c r="O6514">
        <v>3.5497040000000001E-2</v>
      </c>
      <c r="P6514">
        <v>0.99860749999999998</v>
      </c>
      <c r="Q6514">
        <v>3.7869630000000001E-2</v>
      </c>
      <c r="R6514">
        <v>3.6731E-2</v>
      </c>
      <c r="S6514">
        <v>2.993744</v>
      </c>
      <c r="T6514">
        <v>0.23109979999999999</v>
      </c>
      <c r="U6514">
        <v>4.5501710000000001E-2</v>
      </c>
      <c r="V6514">
        <v>-1.228818E-3</v>
      </c>
      <c r="W6514">
        <v>4.5009970000000003E-2</v>
      </c>
      <c r="X6514">
        <v>0.99898580000000003</v>
      </c>
      <c r="Y6514">
        <v>2.0140809999999999E-2</v>
      </c>
      <c r="Z6514">
        <v>3.5115720000000001E-3</v>
      </c>
      <c r="AA6514">
        <v>0.99979099999999999</v>
      </c>
      <c r="AB6514">
        <v>27</v>
      </c>
      <c r="AC6514">
        <v>77.133399999999995</v>
      </c>
      <c r="AD6514">
        <v>5.9649669999999997</v>
      </c>
      <c r="AE6514">
        <v>1.1696899999999899</v>
      </c>
      <c r="AF6514">
        <v>1.55979821719335</v>
      </c>
      <c r="AG6514">
        <v>5.9649669999999997</v>
      </c>
      <c r="AH6514">
        <v>76.667907917121596</v>
      </c>
      <c r="AI6514">
        <v>85.552114936975599</v>
      </c>
      <c r="AJ6514">
        <v>88.834485904697203</v>
      </c>
      <c r="AK6514">
        <v>76.915420470655206</v>
      </c>
      <c r="AL6514">
        <v>87.420247176502102</v>
      </c>
      <c r="AM6514">
        <v>90.070477527988999</v>
      </c>
      <c r="AN6514">
        <v>1.0000000179973501</v>
      </c>
    </row>
    <row r="6515" spans="1:40" x14ac:dyDescent="0.25">
      <c r="A6515" t="str">
        <f>"20190312160501248"</f>
        <v>20190312160501248</v>
      </c>
      <c r="B6515" t="str">
        <f>"1552377901241923"</f>
        <v>1552377901241923</v>
      </c>
      <c r="C6515" t="s">
        <v>40</v>
      </c>
      <c r="D6515">
        <v>5.8656499999999996</v>
      </c>
      <c r="E6515">
        <v>0.50333109999999903</v>
      </c>
      <c r="F6515" t="s">
        <v>106</v>
      </c>
      <c r="G6515">
        <v>-276.4074</v>
      </c>
      <c r="H6515">
        <v>6.8593719999999996</v>
      </c>
      <c r="I6515">
        <v>19.14883</v>
      </c>
      <c r="J6515">
        <v>-353.08089999999999</v>
      </c>
      <c r="K6515">
        <v>1.109167</v>
      </c>
      <c r="L6515">
        <v>17.406369999999999</v>
      </c>
      <c r="M6515">
        <v>0.99935110000000005</v>
      </c>
      <c r="N6515">
        <v>0</v>
      </c>
      <c r="O6515">
        <v>3.5301890000000002E-2</v>
      </c>
      <c r="P6515">
        <v>0.99858199999999997</v>
      </c>
      <c r="Q6515">
        <v>3.8201720000000002E-2</v>
      </c>
      <c r="R6515">
        <v>3.7074900000000001E-2</v>
      </c>
      <c r="S6515">
        <v>2.9931950000000001</v>
      </c>
      <c r="T6515">
        <v>0.22407560000000001</v>
      </c>
      <c r="U6515">
        <v>6.8084720000000001E-2</v>
      </c>
      <c r="V6515">
        <v>-1.767547E-3</v>
      </c>
      <c r="W6515">
        <v>4.5343889999999998E-2</v>
      </c>
      <c r="X6515">
        <v>0.99896989999999997</v>
      </c>
      <c r="Y6515">
        <v>1.243377E-2</v>
      </c>
      <c r="Z6515">
        <v>3.1028140000000002E-3</v>
      </c>
      <c r="AA6515">
        <v>0.99991790000000003</v>
      </c>
      <c r="AB6515">
        <v>27</v>
      </c>
      <c r="AC6515">
        <v>76.673499999999905</v>
      </c>
      <c r="AD6515">
        <v>5.7502050000000002</v>
      </c>
      <c r="AE6515">
        <v>1.7424599999999899</v>
      </c>
      <c r="AF6515">
        <v>0.96001810153637901</v>
      </c>
      <c r="AG6515">
        <v>5.7502050000000002</v>
      </c>
      <c r="AH6515">
        <v>76.258533231947695</v>
      </c>
      <c r="AI6515">
        <v>85.688164819837894</v>
      </c>
      <c r="AJ6515">
        <v>89.278741963170702</v>
      </c>
      <c r="AK6515">
        <v>76.4810459067171</v>
      </c>
      <c r="AL6515">
        <v>87.401095439147994</v>
      </c>
      <c r="AM6515">
        <v>90.101377306270294</v>
      </c>
      <c r="AN6515">
        <v>1.0000000268443601</v>
      </c>
    </row>
    <row r="6516" spans="1:40" x14ac:dyDescent="0.25">
      <c r="A6516" t="str">
        <f>"20190312160501259"</f>
        <v>20190312160501259</v>
      </c>
      <c r="B6516" t="str">
        <f>"1552377901251684"</f>
        <v>1552377901251684</v>
      </c>
      <c r="C6516" t="s">
        <v>40</v>
      </c>
      <c r="D6516">
        <v>5.8617939999999997</v>
      </c>
      <c r="E6516">
        <v>0.50191009999999903</v>
      </c>
      <c r="F6516" t="s">
        <v>106</v>
      </c>
      <c r="G6516">
        <v>-276.48719999999997</v>
      </c>
      <c r="H6516">
        <v>6.7145390000000003</v>
      </c>
      <c r="I6516">
        <v>19.63552</v>
      </c>
      <c r="J6516">
        <v>-352.9436</v>
      </c>
      <c r="K6516">
        <v>1.109162</v>
      </c>
      <c r="L6516">
        <v>17.411010000000001</v>
      </c>
      <c r="M6516">
        <v>0.99935819999999997</v>
      </c>
      <c r="N6516">
        <v>0</v>
      </c>
      <c r="O6516">
        <v>3.510096E-2</v>
      </c>
      <c r="P6516">
        <v>0.99856940000000005</v>
      </c>
      <c r="Q6516">
        <v>3.8558479999999999E-2</v>
      </c>
      <c r="R6516">
        <v>3.7051979999999998E-2</v>
      </c>
      <c r="S6516">
        <v>2.992645</v>
      </c>
      <c r="T6516">
        <v>0.2190115</v>
      </c>
      <c r="U6516">
        <v>8.7097170000000002E-2</v>
      </c>
      <c r="V6516">
        <v>-1.9451920000000001E-3</v>
      </c>
      <c r="W6516">
        <v>4.5702569999999998E-2</v>
      </c>
      <c r="X6516">
        <v>0.99895319999999999</v>
      </c>
      <c r="Y6516">
        <v>5.9039849999999996E-3</v>
      </c>
      <c r="Z6516">
        <v>2.779877E-3</v>
      </c>
      <c r="AA6516">
        <v>0.9999787</v>
      </c>
      <c r="AB6516">
        <v>27</v>
      </c>
      <c r="AC6516">
        <v>76.456400000000002</v>
      </c>
      <c r="AD6516">
        <v>5.6053769999999998</v>
      </c>
      <c r="AE6516">
        <v>2.2245099999999902</v>
      </c>
      <c r="AF6516">
        <v>0.45816194284682998</v>
      </c>
      <c r="AG6516">
        <v>5.6053769999999998</v>
      </c>
      <c r="AH6516">
        <v>76.078786511500297</v>
      </c>
      <c r="AI6516">
        <v>85.786218444016299</v>
      </c>
      <c r="AJ6516">
        <v>89.654957320896898</v>
      </c>
      <c r="AK6516">
        <v>76.286380965021806</v>
      </c>
      <c r="AL6516">
        <v>87.380523197301102</v>
      </c>
      <c r="AM6516">
        <v>90.111567940399397</v>
      </c>
      <c r="AN6516">
        <v>1.0000000022333799</v>
      </c>
    </row>
    <row r="6517" spans="1:40" x14ac:dyDescent="0.25">
      <c r="A6517" t="str">
        <f>"20190312160501271"</f>
        <v>20190312160501271</v>
      </c>
      <c r="B6517" t="str">
        <f>"1552377901261443"</f>
        <v>1552377901261443</v>
      </c>
      <c r="C6517" t="s">
        <v>40</v>
      </c>
      <c r="D6517">
        <v>5.8665989999999999</v>
      </c>
      <c r="E6517">
        <v>0.50044880000000003</v>
      </c>
      <c r="F6517" t="s">
        <v>106</v>
      </c>
      <c r="G6517">
        <v>-275.91199999999998</v>
      </c>
      <c r="H6517">
        <v>6.1438459999999999</v>
      </c>
      <c r="I6517">
        <v>19.928260000000002</v>
      </c>
      <c r="J6517">
        <v>-352.8098</v>
      </c>
      <c r="K6517">
        <v>1.109154</v>
      </c>
      <c r="L6517">
        <v>17.41553</v>
      </c>
      <c r="M6517">
        <v>0.99936510000000001</v>
      </c>
      <c r="N6517">
        <v>0</v>
      </c>
      <c r="O6517">
        <v>3.4903360000000001E-2</v>
      </c>
      <c r="P6517">
        <v>0.99854080000000001</v>
      </c>
      <c r="Q6517">
        <v>3.9030599999999999E-2</v>
      </c>
      <c r="R6517">
        <v>3.732419E-2</v>
      </c>
      <c r="S6517">
        <v>2.9931030000000001</v>
      </c>
      <c r="T6517">
        <v>0.1956254</v>
      </c>
      <c r="U6517">
        <v>9.7808839999999994E-2</v>
      </c>
      <c r="V6517">
        <v>-2.4143319999999999E-3</v>
      </c>
      <c r="W6517">
        <v>4.6177000000000003E-2</v>
      </c>
      <c r="X6517">
        <v>0.99893030000000005</v>
      </c>
      <c r="Y6517">
        <v>2.1659359999999998E-3</v>
      </c>
      <c r="Z6517">
        <v>2.3482759999999998E-3</v>
      </c>
      <c r="AA6517">
        <v>0.99999490000000002</v>
      </c>
      <c r="AB6517">
        <v>27</v>
      </c>
      <c r="AC6517">
        <v>76.897799999999904</v>
      </c>
      <c r="AD6517">
        <v>5.0346919999999997</v>
      </c>
      <c r="AE6517">
        <v>2.5127299999999999</v>
      </c>
      <c r="AF6517">
        <v>0.1721243004851</v>
      </c>
      <c r="AG6517">
        <v>5.0346919999999997</v>
      </c>
      <c r="AH6517">
        <v>76.610595622820298</v>
      </c>
      <c r="AI6517">
        <v>86.240054434497793</v>
      </c>
      <c r="AJ6517">
        <v>89.871271339227306</v>
      </c>
      <c r="AK6517">
        <v>76.776045170306702</v>
      </c>
      <c r="AL6517">
        <v>87.3533114772913</v>
      </c>
      <c r="AM6517">
        <v>90.138478895465695</v>
      </c>
      <c r="AN6517">
        <v>0.99999994429304595</v>
      </c>
    </row>
    <row r="6518" spans="1:40" x14ac:dyDescent="0.25">
      <c r="A6518" t="str">
        <f>"20190312160501280"</f>
        <v>20190312160501280</v>
      </c>
      <c r="B6518" t="str">
        <f>"1552377901272180"</f>
        <v>1552377901272180</v>
      </c>
      <c r="C6518" t="s">
        <v>40</v>
      </c>
      <c r="D6518">
        <v>5.8672309999999896</v>
      </c>
      <c r="E6518">
        <v>0.49922630000000001</v>
      </c>
      <c r="F6518" t="s">
        <v>87</v>
      </c>
      <c r="G6518">
        <v>-274.15660000000003</v>
      </c>
      <c r="H6518">
        <v>6.2027400000000004</v>
      </c>
      <c r="I6518">
        <v>20.3126</v>
      </c>
      <c r="J6518">
        <v>-352.67829999999998</v>
      </c>
      <c r="K6518">
        <v>1.1091470000000001</v>
      </c>
      <c r="L6518">
        <v>17.419920000000001</v>
      </c>
      <c r="M6518">
        <v>0.99937209999999999</v>
      </c>
      <c r="N6518">
        <v>0</v>
      </c>
      <c r="O6518">
        <v>3.470517E-2</v>
      </c>
      <c r="P6518">
        <v>0.99853950000000002</v>
      </c>
      <c r="Q6518">
        <v>3.9104390000000003E-2</v>
      </c>
      <c r="R6518">
        <v>3.728099E-2</v>
      </c>
      <c r="S6518">
        <v>2.992645</v>
      </c>
      <c r="T6518">
        <v>0.193804</v>
      </c>
      <c r="U6518">
        <v>0.11022949999999999</v>
      </c>
      <c r="V6518">
        <v>-2.5686530000000002E-3</v>
      </c>
      <c r="W6518">
        <v>4.6253219999999998E-2</v>
      </c>
      <c r="X6518">
        <v>0.99892650000000005</v>
      </c>
      <c r="Y6518">
        <v>-2.1718050000000002E-3</v>
      </c>
      <c r="Z6518">
        <v>2.1735349999999999E-3</v>
      </c>
      <c r="AA6518">
        <v>0.99999530000000003</v>
      </c>
      <c r="AB6518">
        <v>27</v>
      </c>
      <c r="AC6518">
        <v>78.521699999999896</v>
      </c>
      <c r="AD6518">
        <v>5.0935930000000003</v>
      </c>
      <c r="AE6518">
        <v>2.8926799999999901</v>
      </c>
      <c r="AF6518">
        <v>-0.165065319491455</v>
      </c>
      <c r="AG6518">
        <v>5.0935930000000003</v>
      </c>
      <c r="AH6518">
        <v>78.245981343819693</v>
      </c>
      <c r="AI6518">
        <v>86.275469552443695</v>
      </c>
      <c r="AJ6518">
        <v>90.120869237740493</v>
      </c>
      <c r="AK6518">
        <v>78.411769095377096</v>
      </c>
      <c r="AL6518">
        <v>87.348940016242096</v>
      </c>
      <c r="AM6518">
        <v>90.147330811183295</v>
      </c>
      <c r="AN6518">
        <v>1.00000005537042</v>
      </c>
    </row>
    <row r="6519" spans="1:40" x14ac:dyDescent="0.25">
      <c r="A6519" t="str">
        <f>"20190312160501292"</f>
        <v>20190312160501292</v>
      </c>
      <c r="B6519" t="str">
        <f>"1552377901281940"</f>
        <v>1552377901281940</v>
      </c>
      <c r="C6519" t="s">
        <v>40</v>
      </c>
      <c r="D6519">
        <v>5.8160040000000004</v>
      </c>
      <c r="E6519">
        <v>0.49807980000000002</v>
      </c>
      <c r="F6519" t="s">
        <v>87</v>
      </c>
      <c r="G6519">
        <v>-274.15660000000003</v>
      </c>
      <c r="H6519">
        <v>6.1360749999999999</v>
      </c>
      <c r="I6519">
        <v>20.56223</v>
      </c>
      <c r="J6519">
        <v>-352.54570000000001</v>
      </c>
      <c r="K6519">
        <v>1.1091390000000001</v>
      </c>
      <c r="L6519">
        <v>17.42435</v>
      </c>
      <c r="M6519">
        <v>0.99937920000000002</v>
      </c>
      <c r="N6519">
        <v>0</v>
      </c>
      <c r="O6519">
        <v>3.4501850000000001E-2</v>
      </c>
      <c r="P6519">
        <v>0.99854500000000002</v>
      </c>
      <c r="Q6519">
        <v>3.9274049999999998E-2</v>
      </c>
      <c r="R6519">
        <v>3.6958459999999999E-2</v>
      </c>
      <c r="S6519">
        <v>2.9924010000000001</v>
      </c>
      <c r="T6519">
        <v>0.19157250000000001</v>
      </c>
      <c r="U6519">
        <v>0.119751</v>
      </c>
      <c r="V6519">
        <v>-2.4490760000000001E-3</v>
      </c>
      <c r="W6519">
        <v>4.6425170000000002E-2</v>
      </c>
      <c r="X6519">
        <v>0.9989188</v>
      </c>
      <c r="Y6519">
        <v>-5.5465489999999996E-3</v>
      </c>
      <c r="Z6519">
        <v>2.0277139999999999E-3</v>
      </c>
      <c r="AA6519">
        <v>0.9999825</v>
      </c>
      <c r="AB6519">
        <v>27</v>
      </c>
      <c r="AC6519">
        <v>78.3890999999999</v>
      </c>
      <c r="AD6519">
        <v>5.0269360000000001</v>
      </c>
      <c r="AE6519">
        <v>3.1378799999999898</v>
      </c>
      <c r="AF6519">
        <v>-0.429610097100252</v>
      </c>
      <c r="AG6519">
        <v>5.0269360000000001</v>
      </c>
      <c r="AH6519">
        <v>78.129905425721205</v>
      </c>
      <c r="AI6519">
        <v>86.318676972710506</v>
      </c>
      <c r="AJ6519">
        <v>90.315047064133793</v>
      </c>
      <c r="AK6519">
        <v>78.292635491569499</v>
      </c>
      <c r="AL6519">
        <v>87.339077349648605</v>
      </c>
      <c r="AM6519">
        <v>90.140473317101893</v>
      </c>
      <c r="AN6519">
        <v>1.0000000316881099</v>
      </c>
    </row>
    <row r="6520" spans="1:40" x14ac:dyDescent="0.25">
      <c r="A6520" t="str">
        <f>"20190312160501303"</f>
        <v>20190312160501303</v>
      </c>
      <c r="B6520" t="str">
        <f>"1552377901291699"</f>
        <v>1552377901291699</v>
      </c>
      <c r="C6520" t="s">
        <v>40</v>
      </c>
      <c r="D6520">
        <v>5.8529220000000004</v>
      </c>
      <c r="E6520">
        <v>0.49746560000000001</v>
      </c>
      <c r="F6520" t="s">
        <v>87</v>
      </c>
      <c r="G6520">
        <v>-274.15660000000003</v>
      </c>
      <c r="H6520">
        <v>6.0795960000000004</v>
      </c>
      <c r="I6520">
        <v>20.7742</v>
      </c>
      <c r="J6520">
        <v>-352.41460000000001</v>
      </c>
      <c r="K6520">
        <v>1.1091310000000001</v>
      </c>
      <c r="L6520">
        <v>17.42868</v>
      </c>
      <c r="M6520">
        <v>0.999386</v>
      </c>
      <c r="N6520">
        <v>0</v>
      </c>
      <c r="O6520">
        <v>3.4297689999999999E-2</v>
      </c>
      <c r="P6520">
        <v>0.99855450000000001</v>
      </c>
      <c r="Q6520">
        <v>3.9136700000000003E-2</v>
      </c>
      <c r="R6520">
        <v>3.6843809999999998E-2</v>
      </c>
      <c r="S6520">
        <v>2.9922179999999998</v>
      </c>
      <c r="T6520">
        <v>0.18972929999999999</v>
      </c>
      <c r="U6520">
        <v>0.1278687</v>
      </c>
      <c r="V6520">
        <v>-2.5372110000000002E-3</v>
      </c>
      <c r="W6520">
        <v>4.6290369999999997E-2</v>
      </c>
      <c r="X6520">
        <v>0.99892479999999995</v>
      </c>
      <c r="Y6520">
        <v>-8.4541129999999992E-3</v>
      </c>
      <c r="Z6520">
        <v>1.9032669999999999E-3</v>
      </c>
      <c r="AA6520">
        <v>0.99996240000000003</v>
      </c>
      <c r="AB6520">
        <v>27</v>
      </c>
      <c r="AC6520">
        <v>78.257999999999896</v>
      </c>
      <c r="AD6520">
        <v>4.9704649999999999</v>
      </c>
      <c r="AE6520">
        <v>3.34552</v>
      </c>
      <c r="AF6520">
        <v>-0.65676955877473298</v>
      </c>
      <c r="AG6520">
        <v>4.9704649999999999</v>
      </c>
      <c r="AH6520">
        <v>78.012572859678798</v>
      </c>
      <c r="AI6520">
        <v>86.354533835853601</v>
      </c>
      <c r="AJ6520">
        <v>90.482348337832505</v>
      </c>
      <c r="AK6520">
        <v>78.173514650143801</v>
      </c>
      <c r="AL6520">
        <v>87.346809037967702</v>
      </c>
      <c r="AM6520">
        <v>90.145527640742699</v>
      </c>
      <c r="AN6520">
        <v>0.999999995924717</v>
      </c>
    </row>
    <row r="6521" spans="1:40" x14ac:dyDescent="0.25">
      <c r="A6521" t="str">
        <f>"20190312160501315"</f>
        <v>20190312160501315</v>
      </c>
      <c r="B6521" t="str">
        <f>"1552377901311220"</f>
        <v>1552377901311220</v>
      </c>
      <c r="C6521" t="s">
        <v>40</v>
      </c>
      <c r="D6521">
        <v>5.8532799999999998</v>
      </c>
      <c r="E6521">
        <v>0.49651099999999998</v>
      </c>
      <c r="F6521" t="s">
        <v>87</v>
      </c>
      <c r="G6521">
        <v>-274.15660000000003</v>
      </c>
      <c r="H6521">
        <v>5.5951399999999998</v>
      </c>
      <c r="I6521">
        <v>20.88092</v>
      </c>
      <c r="J6521">
        <v>-352.27370000000002</v>
      </c>
      <c r="K6521">
        <v>1.109119</v>
      </c>
      <c r="L6521">
        <v>17.43329</v>
      </c>
      <c r="M6521">
        <v>0.99939389999999995</v>
      </c>
      <c r="N6521">
        <v>0</v>
      </c>
      <c r="O6521">
        <v>3.4070990000000002E-2</v>
      </c>
      <c r="P6521">
        <v>0.9985695</v>
      </c>
      <c r="Q6521">
        <v>3.8990549999999999E-2</v>
      </c>
      <c r="R6521">
        <v>3.6590860000000003E-2</v>
      </c>
      <c r="S6521">
        <v>2.9927060000000001</v>
      </c>
      <c r="T6521">
        <v>0.17155190000000001</v>
      </c>
      <c r="U6521">
        <v>0.132019</v>
      </c>
      <c r="V6521">
        <v>-2.5096010000000002E-3</v>
      </c>
      <c r="W6521">
        <v>4.6147470000000003E-2</v>
      </c>
      <c r="X6521">
        <v>0.99893149999999997</v>
      </c>
      <c r="Y6521">
        <v>-1.0045729999999999E-2</v>
      </c>
      <c r="Z6521">
        <v>1.6623639999999999E-3</v>
      </c>
      <c r="AA6521">
        <v>0.99994810000000001</v>
      </c>
      <c r="AB6521">
        <v>27</v>
      </c>
      <c r="AC6521">
        <v>78.117099999999994</v>
      </c>
      <c r="AD6521">
        <v>4.486021</v>
      </c>
      <c r="AE6521">
        <v>3.4476300000000002</v>
      </c>
      <c r="AF6521">
        <v>-0.78146132264674295</v>
      </c>
      <c r="AG6521">
        <v>4.486021</v>
      </c>
      <c r="AH6521">
        <v>77.932700839951295</v>
      </c>
      <c r="AI6521">
        <v>86.705697802855695</v>
      </c>
      <c r="AJ6521">
        <v>90.5745076788196</v>
      </c>
      <c r="AK6521">
        <v>78.065619362306904</v>
      </c>
      <c r="AL6521">
        <v>87.355005412900994</v>
      </c>
      <c r="AM6521">
        <v>90.143943046194806</v>
      </c>
      <c r="AN6521">
        <v>1.00000001438841</v>
      </c>
    </row>
    <row r="6522" spans="1:40" x14ac:dyDescent="0.25">
      <c r="A6522" t="str">
        <f>"20190312160501325"</f>
        <v>20190312160501325</v>
      </c>
      <c r="B6522" t="str">
        <f>"1552377901321955"</f>
        <v>1552377901321955</v>
      </c>
      <c r="C6522" t="s">
        <v>40</v>
      </c>
      <c r="D6522">
        <v>5.8773669999999996</v>
      </c>
      <c r="E6522">
        <v>0.49619619999999998</v>
      </c>
      <c r="F6522" t="s">
        <v>107</v>
      </c>
      <c r="G6522">
        <v>-276.81420000000003</v>
      </c>
      <c r="H6522">
        <v>4.6999969999999998</v>
      </c>
      <c r="I6522">
        <v>20.91638</v>
      </c>
      <c r="J6522">
        <v>-352.13729999999998</v>
      </c>
      <c r="K6522">
        <v>1.109108</v>
      </c>
      <c r="L6522">
        <v>17.437739999999899</v>
      </c>
      <c r="M6522">
        <v>0.99940130000000005</v>
      </c>
      <c r="N6522">
        <v>0</v>
      </c>
      <c r="O6522">
        <v>3.384881E-2</v>
      </c>
      <c r="P6522">
        <v>0.99857989999999996</v>
      </c>
      <c r="Q6522">
        <v>3.8997820000000002E-2</v>
      </c>
      <c r="R6522">
        <v>3.6300159999999998E-2</v>
      </c>
      <c r="S6522">
        <v>2.9936829999999999</v>
      </c>
      <c r="T6522">
        <v>0.1424598</v>
      </c>
      <c r="U6522">
        <v>0.13818359999999999</v>
      </c>
      <c r="V6522">
        <v>-2.4400559999999999E-3</v>
      </c>
      <c r="W6522">
        <v>4.6157469999999999E-2</v>
      </c>
      <c r="X6522">
        <v>0.99893120000000002</v>
      </c>
      <c r="Y6522">
        <v>-1.229352E-2</v>
      </c>
      <c r="Z6522">
        <v>1.31630299999999E-3</v>
      </c>
      <c r="AA6522">
        <v>0.99992360000000002</v>
      </c>
      <c r="AB6522">
        <v>27</v>
      </c>
      <c r="AC6522">
        <v>75.323099999999897</v>
      </c>
      <c r="AD6522">
        <v>3.5908890000000002</v>
      </c>
      <c r="AE6522">
        <v>3.47864</v>
      </c>
      <c r="AF6522">
        <v>-0.92488627320251404</v>
      </c>
      <c r="AG6522">
        <v>3.5908890000000002</v>
      </c>
      <c r="AH6522">
        <v>75.227078987300402</v>
      </c>
      <c r="AI6522">
        <v>87.267324162626394</v>
      </c>
      <c r="AJ6522">
        <v>90.704392765188203</v>
      </c>
      <c r="AK6522">
        <v>75.318412831061494</v>
      </c>
      <c r="AL6522">
        <v>87.354431816742604</v>
      </c>
      <c r="AM6522">
        <v>90.139954215587906</v>
      </c>
      <c r="AN6522">
        <v>1.00000000412176</v>
      </c>
    </row>
    <row r="6523" spans="1:40" x14ac:dyDescent="0.25">
      <c r="A6523" t="str">
        <f>"20190312160501338"</f>
        <v>20190312160501338</v>
      </c>
      <c r="B6523" t="str">
        <f>"1552377901331715"</f>
        <v>1552377901331715</v>
      </c>
      <c r="C6523" t="s">
        <v>40</v>
      </c>
      <c r="D6523">
        <v>5.8444260000000003</v>
      </c>
      <c r="E6523">
        <v>0.49580590000000002</v>
      </c>
      <c r="F6523" t="s">
        <v>107</v>
      </c>
      <c r="G6523">
        <v>-276.73790000000002</v>
      </c>
      <c r="H6523">
        <v>4.4007990000000001</v>
      </c>
      <c r="I6523">
        <v>20.952179999999998</v>
      </c>
      <c r="J6523">
        <v>-351.99220000000003</v>
      </c>
      <c r="K6523">
        <v>1.1090930000000001</v>
      </c>
      <c r="L6523">
        <v>17.442409999999999</v>
      </c>
      <c r="M6523">
        <v>0.99940969999999996</v>
      </c>
      <c r="N6523">
        <v>0</v>
      </c>
      <c r="O6523">
        <v>3.3600810000000002E-2</v>
      </c>
      <c r="P6523">
        <v>0.99858800000000003</v>
      </c>
      <c r="Q6523">
        <v>3.8993159999999999E-2</v>
      </c>
      <c r="R6523">
        <v>3.6081780000000001E-2</v>
      </c>
      <c r="S6523">
        <v>2.9940799999999999</v>
      </c>
      <c r="T6523">
        <v>0.13071189999999999</v>
      </c>
      <c r="U6523">
        <v>0.13955689999999901</v>
      </c>
      <c r="V6523">
        <v>-2.4686360000000002E-3</v>
      </c>
      <c r="W6523">
        <v>4.6156040000000002E-2</v>
      </c>
      <c r="X6523">
        <v>0.99893120000000002</v>
      </c>
      <c r="Y6523">
        <v>-1.298845E-2</v>
      </c>
      <c r="Z6523">
        <v>1.181727E-3</v>
      </c>
      <c r="AA6523">
        <v>0.99991490000000005</v>
      </c>
      <c r="AB6523">
        <v>27</v>
      </c>
      <c r="AC6523">
        <v>75.254300000000001</v>
      </c>
      <c r="AD6523">
        <v>3.2917059999999898</v>
      </c>
      <c r="AE6523">
        <v>3.5097700000000001</v>
      </c>
      <c r="AF6523">
        <v>-0.97725212807620199</v>
      </c>
      <c r="AG6523">
        <v>3.2917059999999898</v>
      </c>
      <c r="AH6523">
        <v>75.186198042194505</v>
      </c>
      <c r="AI6523">
        <v>87.493361742258301</v>
      </c>
      <c r="AJ6523">
        <v>90.744674835059499</v>
      </c>
      <c r="AK6523">
        <v>75.264564877187397</v>
      </c>
      <c r="AL6523">
        <v>87.354513848086398</v>
      </c>
      <c r="AM6523">
        <v>90.141593471117403</v>
      </c>
      <c r="AN6523">
        <v>1.00000000826281</v>
      </c>
    </row>
    <row r="6524" spans="1:40" x14ac:dyDescent="0.25">
      <c r="A6524" t="str">
        <f>"20190312160501350"</f>
        <v>20190312160501350</v>
      </c>
      <c r="B6524" t="str">
        <f>"1552377901341478"</f>
        <v>1552377901341478</v>
      </c>
      <c r="C6524" t="s">
        <v>40</v>
      </c>
      <c r="D6524">
        <v>5.8776570000000001</v>
      </c>
      <c r="E6524">
        <v>0.49558570000000002</v>
      </c>
      <c r="F6524" t="s">
        <v>107</v>
      </c>
      <c r="G6524">
        <v>-276.66160000000002</v>
      </c>
      <c r="H6524">
        <v>4.1057800000000002</v>
      </c>
      <c r="I6524">
        <v>21.007680000000001</v>
      </c>
      <c r="J6524">
        <v>-351.84309999999999</v>
      </c>
      <c r="K6524">
        <v>1.1090869999999999</v>
      </c>
      <c r="L6524">
        <v>17.44717</v>
      </c>
      <c r="M6524">
        <v>0.99941829999999998</v>
      </c>
      <c r="N6524">
        <v>0</v>
      </c>
      <c r="O6524">
        <v>3.3340809999999999E-2</v>
      </c>
      <c r="P6524">
        <v>0.99859089999999995</v>
      </c>
      <c r="Q6524">
        <v>3.8922480000000002E-2</v>
      </c>
      <c r="R6524">
        <v>3.6071970000000002E-2</v>
      </c>
      <c r="S6524">
        <v>2.9944760000000001</v>
      </c>
      <c r="T6524">
        <v>0.1191218</v>
      </c>
      <c r="U6524">
        <v>0.14172360000000001</v>
      </c>
      <c r="V6524">
        <v>-2.717288E-3</v>
      </c>
      <c r="W6524">
        <v>4.6088879999999999E-2</v>
      </c>
      <c r="X6524">
        <v>0.99893370000000004</v>
      </c>
      <c r="Y6524">
        <v>-1.396005E-2</v>
      </c>
      <c r="Z6524">
        <v>1.047234E-3</v>
      </c>
      <c r="AA6524">
        <v>0.99990199999999996</v>
      </c>
      <c r="AB6524">
        <v>27</v>
      </c>
      <c r="AC6524">
        <v>75.1814999999999</v>
      </c>
      <c r="AD6524">
        <v>2.9966930000000001</v>
      </c>
      <c r="AE6524">
        <v>3.5605099999999998</v>
      </c>
      <c r="AF6524">
        <v>-1.0501890239455101</v>
      </c>
      <c r="AG6524">
        <v>2.9966930000000001</v>
      </c>
      <c r="AH6524">
        <v>75.139301004177099</v>
      </c>
      <c r="AI6524">
        <v>87.716372485268707</v>
      </c>
      <c r="AJ6524">
        <v>90.800745819729102</v>
      </c>
      <c r="AK6524">
        <v>75.206366893492401</v>
      </c>
      <c r="AL6524">
        <v>87.358366049636402</v>
      </c>
      <c r="AM6524">
        <v>90.155854938240495</v>
      </c>
      <c r="AN6524">
        <v>1.0000000527546999</v>
      </c>
    </row>
    <row r="6525" spans="1:40" x14ac:dyDescent="0.25">
      <c r="A6525" t="str">
        <f>"20190312160501361"</f>
        <v>20190312160501361</v>
      </c>
      <c r="B6525" t="str">
        <f>"1552377901351236"</f>
        <v>1552377901351236</v>
      </c>
      <c r="C6525" t="s">
        <v>40</v>
      </c>
      <c r="D6525">
        <v>5.861243</v>
      </c>
      <c r="E6525">
        <v>0.49525740000000001</v>
      </c>
      <c r="F6525" t="s">
        <v>107</v>
      </c>
      <c r="G6525">
        <v>-276.59440000000001</v>
      </c>
      <c r="H6525">
        <v>3.8437800000000002</v>
      </c>
      <c r="I6525">
        <v>21.045809999999999</v>
      </c>
      <c r="J6525">
        <v>-351.69400000000002</v>
      </c>
      <c r="K6525">
        <v>1.1090739999999999</v>
      </c>
      <c r="L6525">
        <v>17.45187</v>
      </c>
      <c r="M6525">
        <v>0.99942739999999997</v>
      </c>
      <c r="N6525">
        <v>0</v>
      </c>
      <c r="O6525">
        <v>3.3068630000000002E-2</v>
      </c>
      <c r="P6525">
        <v>0.99861949999999999</v>
      </c>
      <c r="Q6525">
        <v>3.8781499999999997E-2</v>
      </c>
      <c r="R6525">
        <v>3.543226E-2</v>
      </c>
      <c r="S6525">
        <v>2.9947509999999999</v>
      </c>
      <c r="T6525">
        <v>0.1088355</v>
      </c>
      <c r="U6525">
        <v>0.14321900000000001</v>
      </c>
      <c r="V6525">
        <v>-2.348148E-3</v>
      </c>
      <c r="W6525">
        <v>4.5951220000000001E-2</v>
      </c>
      <c r="X6525">
        <v>0.99894090000000002</v>
      </c>
      <c r="Y6525">
        <v>-1.472296E-2</v>
      </c>
      <c r="Z6525">
        <v>9.3303959999999997E-4</v>
      </c>
      <c r="AA6525">
        <v>0.99989119999999998</v>
      </c>
      <c r="AB6525">
        <v>27</v>
      </c>
      <c r="AC6525">
        <v>75.099599999999995</v>
      </c>
      <c r="AD6525">
        <v>2.7347060000000001</v>
      </c>
      <c r="AE6525">
        <v>3.5939399999999999</v>
      </c>
      <c r="AF6525">
        <v>-1.10700513472508</v>
      </c>
      <c r="AG6525">
        <v>2.7347060000000001</v>
      </c>
      <c r="AH6525">
        <v>75.078047794038199</v>
      </c>
      <c r="AI6525">
        <v>87.914159081666398</v>
      </c>
      <c r="AJ6525">
        <v>90.844749272430093</v>
      </c>
      <c r="AK6525">
        <v>75.135992292899303</v>
      </c>
      <c r="AL6525">
        <v>87.366261546818293</v>
      </c>
      <c r="AM6525">
        <v>90.134681363306498</v>
      </c>
      <c r="AN6525">
        <v>0.99999997505566296</v>
      </c>
    </row>
    <row r="6526" spans="1:40" x14ac:dyDescent="0.25">
      <c r="A6526" t="str">
        <f>"20190312160501374"</f>
        <v>20190312160501374</v>
      </c>
      <c r="B6526" t="str">
        <f>"1552377901371732"</f>
        <v>1552377901371732</v>
      </c>
      <c r="C6526" t="s">
        <v>40</v>
      </c>
      <c r="D6526">
        <v>5.9015009999999997</v>
      </c>
      <c r="E6526">
        <v>0.49444549999999998</v>
      </c>
      <c r="F6526" t="s">
        <v>107</v>
      </c>
      <c r="G6526">
        <v>-276.53379999999999</v>
      </c>
      <c r="H6526">
        <v>3.6021740000000002</v>
      </c>
      <c r="I6526">
        <v>21.057259999999999</v>
      </c>
      <c r="J6526">
        <v>-351.54579999999999</v>
      </c>
      <c r="K6526">
        <v>1.1090580000000001</v>
      </c>
      <c r="L6526">
        <v>17.456510000000002</v>
      </c>
      <c r="M6526">
        <v>0.99943669999999996</v>
      </c>
      <c r="N6526">
        <v>0</v>
      </c>
      <c r="O6526">
        <v>3.2788640000000001E-2</v>
      </c>
      <c r="P6526">
        <v>0.99863900000000005</v>
      </c>
      <c r="Q6526">
        <v>3.8652569999999997E-2</v>
      </c>
      <c r="R6526">
        <v>3.5021289999999997E-2</v>
      </c>
      <c r="S6526">
        <v>2.9951780000000001</v>
      </c>
      <c r="T6526">
        <v>9.9351529999999993E-2</v>
      </c>
      <c r="U6526">
        <v>0.14367679999999999</v>
      </c>
      <c r="V6526">
        <v>-2.2152629999999999E-3</v>
      </c>
      <c r="W6526">
        <v>4.5825949999999997E-2</v>
      </c>
      <c r="X6526">
        <v>0.99894700000000003</v>
      </c>
      <c r="Y6526">
        <v>-1.5146339999999999E-2</v>
      </c>
      <c r="Z6526">
        <v>8.353681E-4</v>
      </c>
      <c r="AA6526">
        <v>0.99988500000000002</v>
      </c>
      <c r="AB6526">
        <v>27</v>
      </c>
      <c r="AC6526">
        <v>75.012</v>
      </c>
      <c r="AD6526">
        <v>2.4931160000000001</v>
      </c>
      <c r="AE6526">
        <v>3.6007499999999899</v>
      </c>
      <c r="AF6526">
        <v>-1.1379552421150001</v>
      </c>
      <c r="AG6526">
        <v>2.4931160000000001</v>
      </c>
      <c r="AH6526">
        <v>75.007065456262495</v>
      </c>
      <c r="AI6526">
        <v>88.0964988341413</v>
      </c>
      <c r="AJ6526">
        <v>90.869185197546898</v>
      </c>
      <c r="AK6526">
        <v>75.057114505438804</v>
      </c>
      <c r="AL6526">
        <v>87.373446668356607</v>
      </c>
      <c r="AM6526">
        <v>90.127058805272199</v>
      </c>
      <c r="AN6526">
        <v>1.0000000169462799</v>
      </c>
    </row>
    <row r="6527" spans="1:40" x14ac:dyDescent="0.25">
      <c r="A6527" t="str">
        <f>"20190312160501387"</f>
        <v>20190312160501387</v>
      </c>
      <c r="B6527" t="str">
        <f>"1552377901381491"</f>
        <v>1552377901381491</v>
      </c>
      <c r="C6527" t="s">
        <v>40</v>
      </c>
      <c r="D6527">
        <v>5.8558320000000004</v>
      </c>
      <c r="E6527">
        <v>0.49419829999999998</v>
      </c>
      <c r="F6527" t="s">
        <v>107</v>
      </c>
      <c r="G6527">
        <v>-276.49599999999998</v>
      </c>
      <c r="H6527">
        <v>3.4791150000000002</v>
      </c>
      <c r="I6527">
        <v>21.185110000000002</v>
      </c>
      <c r="J6527">
        <v>-351.38780000000003</v>
      </c>
      <c r="K6527">
        <v>1.109043</v>
      </c>
      <c r="L6527">
        <v>17.46143</v>
      </c>
      <c r="M6527">
        <v>0.99944659999999996</v>
      </c>
      <c r="N6527">
        <v>0</v>
      </c>
      <c r="O6527">
        <v>3.2483239999999997E-2</v>
      </c>
      <c r="P6527">
        <v>0.99866120000000003</v>
      </c>
      <c r="Q6527">
        <v>3.8565059999999998E-2</v>
      </c>
      <c r="R6527">
        <v>3.4475989999999998E-2</v>
      </c>
      <c r="S6527">
        <v>2.9951479999999999</v>
      </c>
      <c r="T6527">
        <v>9.4586130000000004E-2</v>
      </c>
      <c r="U6527">
        <v>0.14880370000000001</v>
      </c>
      <c r="V6527">
        <v>-1.9728160000000001E-3</v>
      </c>
      <c r="W6527">
        <v>4.5742100000000001E-2</v>
      </c>
      <c r="X6527">
        <v>0.99895129999999999</v>
      </c>
      <c r="Y6527">
        <v>-1.7157760000000001E-2</v>
      </c>
      <c r="Z6527">
        <v>7.5392619999999999E-4</v>
      </c>
      <c r="AA6527">
        <v>0.99985250000000003</v>
      </c>
      <c r="AB6527">
        <v>27</v>
      </c>
      <c r="AC6527">
        <v>74.891800000000003</v>
      </c>
      <c r="AD6527">
        <v>2.370072</v>
      </c>
      <c r="AE6527">
        <v>3.7236799999999999</v>
      </c>
      <c r="AF6527">
        <v>-1.2876376849528699</v>
      </c>
      <c r="AG6527">
        <v>2.370072</v>
      </c>
      <c r="AH6527">
        <v>74.898409994654202</v>
      </c>
      <c r="AI6527">
        <v>88.187814914569302</v>
      </c>
      <c r="AJ6527">
        <v>90.984919944369196</v>
      </c>
      <c r="AK6527">
        <v>74.946961725077401</v>
      </c>
      <c r="AL6527">
        <v>87.3782558282645</v>
      </c>
      <c r="AM6527">
        <v>90.113152546680894</v>
      </c>
      <c r="AN6527">
        <v>0.999999965743534</v>
      </c>
    </row>
    <row r="6528" spans="1:40" x14ac:dyDescent="0.25">
      <c r="A6528" t="str">
        <f>"20190312160501399"</f>
        <v>20190312160501399</v>
      </c>
      <c r="B6528" t="str">
        <f>"1552377901391251"</f>
        <v>1552377901391251</v>
      </c>
      <c r="C6528" t="s">
        <v>40</v>
      </c>
      <c r="D6528">
        <v>5.9540620000000004</v>
      </c>
      <c r="E6528">
        <v>0.4937491</v>
      </c>
      <c r="F6528" t="s">
        <v>107</v>
      </c>
      <c r="G6528">
        <v>-276.44569999999999</v>
      </c>
      <c r="H6528">
        <v>3.27719</v>
      </c>
      <c r="I6528">
        <v>21.187999999999999</v>
      </c>
      <c r="J6528">
        <v>-351.2355</v>
      </c>
      <c r="K6528">
        <v>1.1090340000000001</v>
      </c>
      <c r="L6528">
        <v>17.466059999999999</v>
      </c>
      <c r="M6528">
        <v>0.99945660000000003</v>
      </c>
      <c r="N6528">
        <v>0</v>
      </c>
      <c r="O6528">
        <v>3.2169419999999997E-2</v>
      </c>
      <c r="P6528">
        <v>0.99868279999999998</v>
      </c>
      <c r="Q6528">
        <v>3.8093250000000002E-2</v>
      </c>
      <c r="R6528">
        <v>3.4373939999999999E-2</v>
      </c>
      <c r="S6528">
        <v>2.9955440000000002</v>
      </c>
      <c r="T6528">
        <v>8.6663599999999993E-2</v>
      </c>
      <c r="U6528">
        <v>0.14895630000000001</v>
      </c>
      <c r="V6528">
        <v>-2.1824510000000002E-3</v>
      </c>
      <c r="W6528">
        <v>4.527482E-2</v>
      </c>
      <c r="X6528">
        <v>0.99897219999999998</v>
      </c>
      <c r="Y6528">
        <v>-1.7514439999999999E-2</v>
      </c>
      <c r="Z6528">
        <v>6.7649300000000002E-4</v>
      </c>
      <c r="AA6528">
        <v>0.99984640000000002</v>
      </c>
      <c r="AB6528">
        <v>27</v>
      </c>
      <c r="AC6528">
        <v>74.7898</v>
      </c>
      <c r="AD6528">
        <v>2.1681560000000002</v>
      </c>
      <c r="AE6528">
        <v>3.72194</v>
      </c>
      <c r="AF6528">
        <v>-1.31290626686392</v>
      </c>
      <c r="AG6528">
        <v>2.1681560000000002</v>
      </c>
      <c r="AH6528">
        <v>74.808109903709607</v>
      </c>
      <c r="AI6528">
        <v>88.340122335602402</v>
      </c>
      <c r="AJ6528">
        <v>91.005456041744594</v>
      </c>
      <c r="AK6528">
        <v>74.851038273837005</v>
      </c>
      <c r="AL6528">
        <v>87.405056894640296</v>
      </c>
      <c r="AM6528">
        <v>90.125173685866201</v>
      </c>
      <c r="AN6528">
        <v>1.00000001439561</v>
      </c>
    </row>
    <row r="6529" spans="1:40" x14ac:dyDescent="0.25">
      <c r="A6529" t="str">
        <f>"20190312160501416"</f>
        <v>20190312160501416</v>
      </c>
      <c r="B6529" t="str">
        <f>"1552377901411747"</f>
        <v>1552377901411747</v>
      </c>
      <c r="C6529" t="s">
        <v>40</v>
      </c>
      <c r="D6529">
        <v>5.8813009999999997</v>
      </c>
      <c r="E6529">
        <v>0.4929444</v>
      </c>
      <c r="F6529" t="s">
        <v>107</v>
      </c>
      <c r="G6529">
        <v>-276.44319999999999</v>
      </c>
      <c r="H6529">
        <v>3.2854260000000002</v>
      </c>
      <c r="I6529">
        <v>21.267620000000001</v>
      </c>
      <c r="J6529">
        <v>-351.03129999999999</v>
      </c>
      <c r="K6529">
        <v>1.1090120000000001</v>
      </c>
      <c r="L6529">
        <v>17.472200000000001</v>
      </c>
      <c r="M6529">
        <v>0.99947050000000004</v>
      </c>
      <c r="N6529">
        <v>0</v>
      </c>
      <c r="O6529">
        <v>3.1732990000000003E-2</v>
      </c>
      <c r="P6529">
        <v>0.99868699999999999</v>
      </c>
      <c r="Q6529">
        <v>3.8190689999999999E-2</v>
      </c>
      <c r="R6529">
        <v>3.4142760000000001E-2</v>
      </c>
      <c r="S6529">
        <v>2.995422</v>
      </c>
      <c r="T6529">
        <v>8.7164279999999997E-2</v>
      </c>
      <c r="U6529">
        <v>0.1522522</v>
      </c>
      <c r="V6529">
        <v>-2.3848879999999999E-3</v>
      </c>
      <c r="W6529">
        <v>4.5378189999999999E-2</v>
      </c>
      <c r="X6529">
        <v>0.9989671</v>
      </c>
      <c r="Y6529">
        <v>-1.9049650000000001E-2</v>
      </c>
      <c r="Z6529">
        <v>6.4540759999999996E-4</v>
      </c>
      <c r="AA6529">
        <v>0.99981830000000005</v>
      </c>
      <c r="AB6529">
        <v>28</v>
      </c>
      <c r="AC6529">
        <v>74.588099999999997</v>
      </c>
      <c r="AD6529">
        <v>2.1764139999999998</v>
      </c>
      <c r="AE6529">
        <v>3.7954199999999898</v>
      </c>
      <c r="AF6529">
        <v>-1.4253333732564499</v>
      </c>
      <c r="AG6529">
        <v>2.1764139999999998</v>
      </c>
      <c r="AH6529">
        <v>74.607618898010898</v>
      </c>
      <c r="AI6529">
        <v>88.329376357456198</v>
      </c>
      <c r="AJ6529">
        <v>91.094468027398705</v>
      </c>
      <c r="AK6529">
        <v>74.652964782084496</v>
      </c>
      <c r="AL6529">
        <v>87.399128274393604</v>
      </c>
      <c r="AM6529">
        <v>90.136785042683897</v>
      </c>
      <c r="AN6529">
        <v>1.0000000673504199</v>
      </c>
    </row>
    <row r="6530" spans="1:40" x14ac:dyDescent="0.25">
      <c r="A6530" t="str">
        <f>"20190312160501428"</f>
        <v>20190312160501428</v>
      </c>
      <c r="B6530" t="str">
        <f>"1552377901421508"</f>
        <v>1552377901421508</v>
      </c>
      <c r="C6530" t="s">
        <v>40</v>
      </c>
      <c r="D6530">
        <v>5.9335649999999998</v>
      </c>
      <c r="E6530">
        <v>0.49256290000000003</v>
      </c>
      <c r="F6530" t="s">
        <v>107</v>
      </c>
      <c r="G6530">
        <v>-276.45310000000001</v>
      </c>
      <c r="H6530">
        <v>3.356897</v>
      </c>
      <c r="I6530">
        <v>21.40692</v>
      </c>
      <c r="J6530">
        <v>-350.88670000000002</v>
      </c>
      <c r="K6530">
        <v>1.108994</v>
      </c>
      <c r="L6530">
        <v>17.476500000000001</v>
      </c>
      <c r="M6530">
        <v>0.9994807</v>
      </c>
      <c r="N6530">
        <v>0</v>
      </c>
      <c r="O6530">
        <v>3.1412719999999998E-2</v>
      </c>
      <c r="P6530">
        <v>0.99869669999999999</v>
      </c>
      <c r="Q6530">
        <v>3.7984669999999998E-2</v>
      </c>
      <c r="R6530">
        <v>3.4088380000000001E-2</v>
      </c>
      <c r="S6530">
        <v>2.9950869999999998</v>
      </c>
      <c r="T6530">
        <v>9.0275759999999997E-2</v>
      </c>
      <c r="U6530">
        <v>0.15801999999999999</v>
      </c>
      <c r="V6530">
        <v>-2.648807E-3</v>
      </c>
      <c r="W6530">
        <v>4.5176210000000001E-2</v>
      </c>
      <c r="X6530">
        <v>0.99897550000000002</v>
      </c>
      <c r="Y6530">
        <v>-2.1295140000000001E-2</v>
      </c>
      <c r="Z6530">
        <v>6.250238E-4</v>
      </c>
      <c r="AA6530">
        <v>0.99977300000000002</v>
      </c>
      <c r="AB6530">
        <v>28</v>
      </c>
      <c r="AC6530">
        <v>74.433599999999998</v>
      </c>
      <c r="AD6530">
        <v>2.247903</v>
      </c>
      <c r="AE6530">
        <v>3.93041999999999</v>
      </c>
      <c r="AF6530">
        <v>-1.58881306138504</v>
      </c>
      <c r="AG6530">
        <v>2.247903</v>
      </c>
      <c r="AH6530">
        <v>74.452617941581707</v>
      </c>
      <c r="AI6530">
        <v>88.271021834904701</v>
      </c>
      <c r="AJ6530">
        <v>91.222501917024104</v>
      </c>
      <c r="AK6530">
        <v>74.503487926382107</v>
      </c>
      <c r="AL6530">
        <v>87.410712523644406</v>
      </c>
      <c r="AM6530">
        <v>90.151920748987294</v>
      </c>
      <c r="AN6530">
        <v>0.99999997786436801</v>
      </c>
    </row>
    <row r="6531" spans="1:40" x14ac:dyDescent="0.25">
      <c r="A6531" t="str">
        <f>"20190312160501440"</f>
        <v>20190312160501440</v>
      </c>
      <c r="B6531" t="str">
        <f>"1552377901431268"</f>
        <v>1552377901431268</v>
      </c>
      <c r="C6531" t="s">
        <v>40</v>
      </c>
      <c r="D6531">
        <v>5.9084490000000001</v>
      </c>
      <c r="E6531">
        <v>0.49245319999999998</v>
      </c>
      <c r="F6531" t="s">
        <v>107</v>
      </c>
      <c r="G6531">
        <v>-276.44940000000003</v>
      </c>
      <c r="H6531">
        <v>3.3580990000000002</v>
      </c>
      <c r="I6531">
        <v>21.47672</v>
      </c>
      <c r="J6531">
        <v>-350.73559999999998</v>
      </c>
      <c r="K6531">
        <v>1.108975</v>
      </c>
      <c r="L6531">
        <v>17.480899999999998</v>
      </c>
      <c r="M6531">
        <v>0.99949180000000004</v>
      </c>
      <c r="N6531">
        <v>0</v>
      </c>
      <c r="O6531">
        <v>3.1058470000000001E-2</v>
      </c>
      <c r="P6531">
        <v>0.99870619999999999</v>
      </c>
      <c r="Q6531">
        <v>3.8119449999999999E-2</v>
      </c>
      <c r="R6531">
        <v>3.3661240000000002E-2</v>
      </c>
      <c r="S6531">
        <v>2.9949949999999999</v>
      </c>
      <c r="T6531">
        <v>9.0493199999999996E-2</v>
      </c>
      <c r="U6531">
        <v>0.1609497</v>
      </c>
      <c r="V6531">
        <v>-2.5735269999999999E-3</v>
      </c>
      <c r="W6531">
        <v>4.531483E-2</v>
      </c>
      <c r="X6531">
        <v>0.99896940000000001</v>
      </c>
      <c r="Y6531">
        <v>-2.2625550000000001E-2</v>
      </c>
      <c r="Z6531">
        <v>5.9576239999999895E-4</v>
      </c>
      <c r="AA6531">
        <v>0.99974379999999996</v>
      </c>
      <c r="AB6531">
        <v>28</v>
      </c>
      <c r="AC6531">
        <v>74.286199999999894</v>
      </c>
      <c r="AD6531">
        <v>2.2491240000000001</v>
      </c>
      <c r="AE6531">
        <v>3.9958200000000001</v>
      </c>
      <c r="AF6531">
        <v>-1.6850768579920199</v>
      </c>
      <c r="AG6531">
        <v>2.2491240000000001</v>
      </c>
      <c r="AH6531">
        <v>74.3065497809541</v>
      </c>
      <c r="AI6531">
        <v>88.266735722591903</v>
      </c>
      <c r="AJ6531">
        <v>91.299094725701906</v>
      </c>
      <c r="AK6531">
        <v>74.359675786908298</v>
      </c>
      <c r="AL6531">
        <v>87.402761992657304</v>
      </c>
      <c r="AM6531">
        <v>90.147604030078199</v>
      </c>
      <c r="AN6531">
        <v>0.999999959497753</v>
      </c>
    </row>
    <row r="6532" spans="1:40" x14ac:dyDescent="0.25">
      <c r="A6532" t="str">
        <f>"20190312160501451"</f>
        <v>20190312160501451</v>
      </c>
      <c r="B6532" t="str">
        <f>"1552377901442004"</f>
        <v>1552377901442004</v>
      </c>
      <c r="C6532" t="s">
        <v>40</v>
      </c>
      <c r="D6532">
        <v>6.0437099999999999</v>
      </c>
      <c r="E6532">
        <v>0.49259059999999999</v>
      </c>
      <c r="F6532" t="s">
        <v>107</v>
      </c>
      <c r="G6532">
        <v>-276.41570000000002</v>
      </c>
      <c r="H6532">
        <v>3.2184159999999999</v>
      </c>
      <c r="I6532">
        <v>21.459389999999999</v>
      </c>
      <c r="J6532">
        <v>-350.59480000000002</v>
      </c>
      <c r="K6532">
        <v>1.1089580000000001</v>
      </c>
      <c r="L6532">
        <v>17.484950000000001</v>
      </c>
      <c r="M6532">
        <v>0.99950220000000001</v>
      </c>
      <c r="N6532">
        <v>0</v>
      </c>
      <c r="O6532">
        <v>3.0721999999999999E-2</v>
      </c>
      <c r="P6532">
        <v>0.9987317</v>
      </c>
      <c r="Q6532">
        <v>3.7779609999999998E-2</v>
      </c>
      <c r="R6532">
        <v>3.3286419999999997E-2</v>
      </c>
      <c r="S6532">
        <v>2.995209</v>
      </c>
      <c r="T6532">
        <v>8.5013870000000005E-2</v>
      </c>
      <c r="U6532">
        <v>0.16033939999999999</v>
      </c>
      <c r="V6532">
        <v>-2.533553E-3</v>
      </c>
      <c r="W6532">
        <v>4.497901E-2</v>
      </c>
      <c r="X6532">
        <v>0.99898469999999995</v>
      </c>
      <c r="Y6532">
        <v>-2.2754509999999999E-2</v>
      </c>
      <c r="Z6532">
        <v>5.4830519999999998E-4</v>
      </c>
      <c r="AA6532">
        <v>0.99974099999999999</v>
      </c>
      <c r="AB6532">
        <v>28</v>
      </c>
      <c r="AC6532">
        <v>74.179100000000005</v>
      </c>
      <c r="AD6532">
        <v>2.1094580000000001</v>
      </c>
      <c r="AE6532">
        <v>3.9744399999999902</v>
      </c>
      <c r="AF6532">
        <v>-1.6922102873909399</v>
      </c>
      <c r="AG6532">
        <v>2.1094580000000001</v>
      </c>
      <c r="AH6532">
        <v>74.206351489398799</v>
      </c>
      <c r="AI6532">
        <v>88.372118972398695</v>
      </c>
      <c r="AJ6532">
        <v>91.306353218041096</v>
      </c>
      <c r="AK6532">
        <v>74.255612515679402</v>
      </c>
      <c r="AL6532">
        <v>87.422022755497693</v>
      </c>
      <c r="AM6532">
        <v>90.145309115194095</v>
      </c>
      <c r="AN6532">
        <v>0.99999998053273598</v>
      </c>
    </row>
    <row r="6533" spans="1:40" x14ac:dyDescent="0.25">
      <c r="A6533" t="str">
        <f>"20190312160501462"</f>
        <v>20190312160501462</v>
      </c>
      <c r="B6533" t="str">
        <f>"1552377901451764"</f>
        <v>1552377901451764</v>
      </c>
      <c r="C6533" t="s">
        <v>40</v>
      </c>
      <c r="D6533">
        <v>5.9956259999999997</v>
      </c>
      <c r="E6533">
        <v>0.49284070000000002</v>
      </c>
      <c r="F6533" t="s">
        <v>107</v>
      </c>
      <c r="G6533">
        <v>-276.42930000000001</v>
      </c>
      <c r="H6533">
        <v>3.260281</v>
      </c>
      <c r="I6533">
        <v>21.403040000000001</v>
      </c>
      <c r="J6533">
        <v>-350.45240000000001</v>
      </c>
      <c r="K6533">
        <v>1.10894</v>
      </c>
      <c r="L6533">
        <v>17.488979999999898</v>
      </c>
      <c r="M6533">
        <v>0.99951279999999998</v>
      </c>
      <c r="N6533">
        <v>0</v>
      </c>
      <c r="O6533">
        <v>3.0370629999999999E-2</v>
      </c>
      <c r="P6533">
        <v>0.99875890000000001</v>
      </c>
      <c r="Q6533">
        <v>3.7496210000000002E-2</v>
      </c>
      <c r="R6533">
        <v>3.2785000000000002E-2</v>
      </c>
      <c r="S6533">
        <v>2.995209</v>
      </c>
      <c r="T6533">
        <v>8.6882349999999997E-2</v>
      </c>
      <c r="U6533">
        <v>0.1582336</v>
      </c>
      <c r="V6533">
        <v>-2.3806729999999998E-3</v>
      </c>
      <c r="W6533">
        <v>4.4699849999999999E-2</v>
      </c>
      <c r="X6533">
        <v>0.99899760000000004</v>
      </c>
      <c r="Y6533">
        <v>-2.2405230000000002E-2</v>
      </c>
      <c r="Z6533">
        <v>5.5524980000000001E-4</v>
      </c>
      <c r="AA6533">
        <v>0.99974879999999999</v>
      </c>
      <c r="AB6533">
        <v>28</v>
      </c>
      <c r="AC6533">
        <v>74.023099999999999</v>
      </c>
      <c r="AD6533">
        <v>2.1513409999999999</v>
      </c>
      <c r="AE6533">
        <v>3.9140600000000001</v>
      </c>
      <c r="AF6533">
        <v>-1.6626674981651</v>
      </c>
      <c r="AG6533">
        <v>2.1513409999999999</v>
      </c>
      <c r="AH6533">
        <v>74.045458213598806</v>
      </c>
      <c r="AI6533">
        <v>88.336197000106395</v>
      </c>
      <c r="AJ6533">
        <v>91.286342558124602</v>
      </c>
      <c r="AK6533">
        <v>74.095361618454504</v>
      </c>
      <c r="AL6533">
        <v>87.438033533749703</v>
      </c>
      <c r="AM6533">
        <v>90.136539123910197</v>
      </c>
      <c r="AN6533">
        <v>0.999999974499857</v>
      </c>
    </row>
    <row r="6534" spans="1:40" x14ac:dyDescent="0.25">
      <c r="A6534" t="str">
        <f>"20190312160501483"</f>
        <v>20190312160501483</v>
      </c>
      <c r="B6534" t="str">
        <f>"1552377901471284"</f>
        <v>1552377901471284</v>
      </c>
      <c r="C6534" t="s">
        <v>40</v>
      </c>
      <c r="D6534">
        <v>5.7776269999999998</v>
      </c>
      <c r="E6534">
        <v>0.53598310000000005</v>
      </c>
      <c r="F6534" t="s">
        <v>107</v>
      </c>
      <c r="G6534">
        <v>-276.44260000000003</v>
      </c>
      <c r="H6534">
        <v>3.2936000000000001</v>
      </c>
      <c r="I6534">
        <v>21.31419</v>
      </c>
      <c r="J6534">
        <v>-350.1961</v>
      </c>
      <c r="K6534">
        <v>1.108919</v>
      </c>
      <c r="L6534">
        <v>17.496089999999999</v>
      </c>
      <c r="M6534">
        <v>0.99953250000000005</v>
      </c>
      <c r="N6534">
        <v>0</v>
      </c>
      <c r="O6534">
        <v>2.9716650000000001E-2</v>
      </c>
      <c r="P6534">
        <v>0.99879090000000004</v>
      </c>
      <c r="Q6534">
        <v>3.7540869999999997E-2</v>
      </c>
      <c r="R6534">
        <v>3.1750880000000002E-2</v>
      </c>
      <c r="S6534">
        <v>2.9953609999999999</v>
      </c>
      <c r="T6534">
        <v>8.84186E-2</v>
      </c>
      <c r="U6534">
        <v>0.1548157</v>
      </c>
      <c r="V6534">
        <v>-1.9976759999999999E-3</v>
      </c>
      <c r="W6534">
        <v>4.4750829999999998E-2</v>
      </c>
      <c r="X6534">
        <v>0.9989962</v>
      </c>
      <c r="Y6534">
        <v>-2.1919029999999999E-2</v>
      </c>
      <c r="Z6534">
        <v>5.5295099999999999E-4</v>
      </c>
      <c r="AA6534">
        <v>0.99975959999999997</v>
      </c>
      <c r="AB6534">
        <v>28</v>
      </c>
      <c r="AC6534">
        <v>73.753499999999903</v>
      </c>
      <c r="AD6534">
        <v>2.1846809999999999</v>
      </c>
      <c r="AE6534">
        <v>3.8180999999999998</v>
      </c>
      <c r="AF6534">
        <v>-1.6232296339036401</v>
      </c>
      <c r="AG6534">
        <v>2.1846809999999999</v>
      </c>
      <c r="AH6534">
        <v>73.769835491993106</v>
      </c>
      <c r="AI6534">
        <v>88.304101396091497</v>
      </c>
      <c r="AJ6534">
        <v>91.260531500990098</v>
      </c>
      <c r="AK6534">
        <v>73.820026646106399</v>
      </c>
      <c r="AL6534">
        <v>87.435109779490901</v>
      </c>
      <c r="AM6534">
        <v>90.114573259710099</v>
      </c>
      <c r="AN6534">
        <v>1.0000000175547601</v>
      </c>
    </row>
    <row r="6535" spans="1:40" x14ac:dyDescent="0.25">
      <c r="A6535" t="str">
        <f>"20190312160501494"</f>
        <v>20190312160501494</v>
      </c>
      <c r="B6535" t="str">
        <f>"1552377901491780"</f>
        <v>1552377901491780</v>
      </c>
      <c r="C6535" t="s">
        <v>40</v>
      </c>
      <c r="D6535">
        <v>5.8070659999999998</v>
      </c>
      <c r="E6535">
        <v>0.53642860000000003</v>
      </c>
      <c r="F6535" t="s">
        <v>43</v>
      </c>
      <c r="G6535">
        <v>-308.92500000000001</v>
      </c>
      <c r="H6535">
        <v>-0.05</v>
      </c>
      <c r="I6535">
        <v>14.79907</v>
      </c>
      <c r="J6535">
        <v>-350.0557</v>
      </c>
      <c r="K6535">
        <v>1.108905</v>
      </c>
      <c r="L6535">
        <v>17.49991</v>
      </c>
      <c r="M6535">
        <v>0.99954319999999997</v>
      </c>
      <c r="N6535">
        <v>0</v>
      </c>
      <c r="O6535">
        <v>2.9347970000000001E-2</v>
      </c>
      <c r="P6535">
        <v>0.99878849999999997</v>
      </c>
      <c r="Q6535">
        <v>3.7920669999999997E-2</v>
      </c>
      <c r="R6535">
        <v>3.1361649999999998E-2</v>
      </c>
      <c r="S6535">
        <v>3.0130309999999998</v>
      </c>
      <c r="T6535">
        <v>-8.4607719999999997E-2</v>
      </c>
      <c r="U6535">
        <v>-0.1968994</v>
      </c>
      <c r="V6535">
        <v>-1.9747760000000001E-3</v>
      </c>
      <c r="W6535">
        <v>4.5134290000000001E-2</v>
      </c>
      <c r="X6535">
        <v>0.99897899999999995</v>
      </c>
      <c r="Y6535">
        <v>9.4419760000000005E-2</v>
      </c>
      <c r="Z6535">
        <v>-2.1472079999999998E-3</v>
      </c>
      <c r="AA6535">
        <v>0.99553020000000003</v>
      </c>
      <c r="AB6535">
        <v>28</v>
      </c>
      <c r="AC6535">
        <v>41.130699999999898</v>
      </c>
      <c r="AD6535">
        <v>-1.1589049999999901</v>
      </c>
      <c r="AE6535">
        <v>-2.7008399999999901</v>
      </c>
      <c r="AF6535">
        <v>3.9037247115853502</v>
      </c>
      <c r="AG6535">
        <v>-1.1589049999999901</v>
      </c>
      <c r="AH6535">
        <v>41.001305011394798</v>
      </c>
      <c r="AI6535">
        <v>91.611753651854499</v>
      </c>
      <c r="AJ6535">
        <v>84.561276451786199</v>
      </c>
      <c r="AK6535">
        <v>41.203023433484802</v>
      </c>
      <c r="AL6535">
        <v>87.413116932444794</v>
      </c>
      <c r="AM6535">
        <v>90.113261823224306</v>
      </c>
      <c r="AN6535">
        <v>1.0000000231575199</v>
      </c>
    </row>
    <row r="6536" spans="1:40" x14ac:dyDescent="0.25">
      <c r="A6536" t="str">
        <f>"20190312160501505"</f>
        <v>20190312160501505</v>
      </c>
      <c r="B6536" t="str">
        <f>"1552377901501539"</f>
        <v>1552377901501539</v>
      </c>
      <c r="C6536" t="s">
        <v>40</v>
      </c>
      <c r="D6536">
        <v>5.8218779999999999</v>
      </c>
      <c r="E6536">
        <v>0.53700669999999995</v>
      </c>
      <c r="F6536" t="s">
        <v>43</v>
      </c>
      <c r="G6536">
        <v>-310.04629999999997</v>
      </c>
      <c r="H6536">
        <v>-0.05</v>
      </c>
      <c r="I6536">
        <v>14.82034</v>
      </c>
      <c r="J6536">
        <v>-349.91430000000003</v>
      </c>
      <c r="K6536">
        <v>1.108895</v>
      </c>
      <c r="L6536">
        <v>17.503689999999999</v>
      </c>
      <c r="M6536">
        <v>0.99955419999999995</v>
      </c>
      <c r="N6536">
        <v>0</v>
      </c>
      <c r="O6536">
        <v>2.897257E-2</v>
      </c>
      <c r="P6536">
        <v>0.99878670000000003</v>
      </c>
      <c r="Q6536">
        <v>3.8296030000000002E-2</v>
      </c>
      <c r="R6536">
        <v>3.0968550000000001E-2</v>
      </c>
      <c r="S6536">
        <v>3.013306</v>
      </c>
      <c r="T6536">
        <v>-8.7282899999999997E-2</v>
      </c>
      <c r="U6536">
        <v>-0.20181270000000001</v>
      </c>
      <c r="V6536">
        <v>-1.9561650000000002E-3</v>
      </c>
      <c r="W6536">
        <v>4.5512990000000003E-2</v>
      </c>
      <c r="X6536">
        <v>0.99896180000000001</v>
      </c>
      <c r="Y6536">
        <v>9.5652619999999994E-2</v>
      </c>
      <c r="Z6536">
        <v>-2.2217270000000002E-3</v>
      </c>
      <c r="AA6536">
        <v>0.99541230000000003</v>
      </c>
      <c r="AB6536">
        <v>28</v>
      </c>
      <c r="AC6536">
        <v>39.868000000000002</v>
      </c>
      <c r="AD6536">
        <v>-1.158895</v>
      </c>
      <c r="AE6536">
        <v>-2.6833499999999901</v>
      </c>
      <c r="AF6536">
        <v>3.8341068584486302</v>
      </c>
      <c r="AG6536">
        <v>-1.158895</v>
      </c>
      <c r="AH6536">
        <v>39.740089656318197</v>
      </c>
      <c r="AI6536">
        <v>91.662662205282899</v>
      </c>
      <c r="AJ6536">
        <v>84.489184243185903</v>
      </c>
      <c r="AK6536">
        <v>39.941433861533298</v>
      </c>
      <c r="AL6536">
        <v>87.391396557374904</v>
      </c>
      <c r="AM6536">
        <v>90.112196337510696</v>
      </c>
      <c r="AN6536">
        <v>0.99999996834974303</v>
      </c>
    </row>
    <row r="6537" spans="1:40" x14ac:dyDescent="0.25">
      <c r="A6537" t="str">
        <f>"20190312160501517"</f>
        <v>20190312160501517</v>
      </c>
      <c r="B6537" t="str">
        <f>"1552377901511300"</f>
        <v>1552377901511300</v>
      </c>
      <c r="C6537" t="s">
        <v>40</v>
      </c>
      <c r="D6537">
        <v>5.8116139999999996</v>
      </c>
      <c r="E6537">
        <v>0.53741879999999997</v>
      </c>
      <c r="F6537" t="s">
        <v>43</v>
      </c>
      <c r="G6537">
        <v>-308.98450000000003</v>
      </c>
      <c r="H6537">
        <v>-0.05</v>
      </c>
      <c r="I6537">
        <v>14.68379</v>
      </c>
      <c r="J6537">
        <v>-349.779</v>
      </c>
      <c r="K6537">
        <v>1.1088880000000001</v>
      </c>
      <c r="L6537">
        <v>17.507259999999999</v>
      </c>
      <c r="M6537">
        <v>0.99956480000000003</v>
      </c>
      <c r="N6537">
        <v>0</v>
      </c>
      <c r="O6537">
        <v>2.8606980000000001E-2</v>
      </c>
      <c r="P6537">
        <v>0.9987762</v>
      </c>
      <c r="Q6537">
        <v>3.8718570000000001E-2</v>
      </c>
      <c r="R6537">
        <v>3.077918E-2</v>
      </c>
      <c r="S6537">
        <v>3.0133969999999999</v>
      </c>
      <c r="T6537">
        <v>-8.532178E-2</v>
      </c>
      <c r="U6537">
        <v>-0.20761109999999999</v>
      </c>
      <c r="V6537">
        <v>-2.1304649999999998E-3</v>
      </c>
      <c r="W6537">
        <v>4.5939800000000003E-2</v>
      </c>
      <c r="X6537">
        <v>0.998942</v>
      </c>
      <c r="Y6537">
        <v>9.7194820000000001E-2</v>
      </c>
      <c r="Z6537">
        <v>-2.1830899999999999E-3</v>
      </c>
      <c r="AA6537">
        <v>0.99526300000000001</v>
      </c>
      <c r="AB6537">
        <v>28</v>
      </c>
      <c r="AC6537">
        <v>40.7944999999999</v>
      </c>
      <c r="AD6537">
        <v>-1.1588879999999999</v>
      </c>
      <c r="AE6537">
        <v>-2.8234699999999999</v>
      </c>
      <c r="AF6537">
        <v>3.9861505664695698</v>
      </c>
      <c r="AG6537">
        <v>-1.1588879999999999</v>
      </c>
      <c r="AH6537">
        <v>40.6643702336196</v>
      </c>
      <c r="AI6537">
        <v>91.624639542326605</v>
      </c>
      <c r="AJ6537">
        <v>84.401431578622194</v>
      </c>
      <c r="AK6537">
        <v>40.875707018129901</v>
      </c>
      <c r="AL6537">
        <v>87.366916784754807</v>
      </c>
      <c r="AM6537">
        <v>90.122195750931894</v>
      </c>
      <c r="AN6537">
        <v>1.0000000617345699</v>
      </c>
    </row>
    <row r="6538" spans="1:40" x14ac:dyDescent="0.25">
      <c r="A6538" t="str">
        <f>"20190312160501528"</f>
        <v>20190312160501528</v>
      </c>
      <c r="B6538" t="str">
        <f>"1552377901522036"</f>
        <v>1552377901522036</v>
      </c>
      <c r="C6538" t="s">
        <v>40</v>
      </c>
      <c r="D6538">
        <v>5.852125</v>
      </c>
      <c r="E6538">
        <v>0.53731909999999905</v>
      </c>
      <c r="F6538" t="s">
        <v>43</v>
      </c>
      <c r="G6538">
        <v>-310.8596</v>
      </c>
      <c r="H6538">
        <v>-0.05</v>
      </c>
      <c r="I6538">
        <v>14.774089999999999</v>
      </c>
      <c r="J6538">
        <v>-349.63400000000001</v>
      </c>
      <c r="K6538">
        <v>1.1088789999999999</v>
      </c>
      <c r="L6538">
        <v>17.51108</v>
      </c>
      <c r="M6538">
        <v>0.99957589999999996</v>
      </c>
      <c r="N6538">
        <v>0</v>
      </c>
      <c r="O6538">
        <v>2.821355E-2</v>
      </c>
      <c r="P6538">
        <v>0.99875999999999998</v>
      </c>
      <c r="Q6538">
        <v>3.9228470000000001E-2</v>
      </c>
      <c r="R6538">
        <v>3.0655829999999998E-2</v>
      </c>
      <c r="S6538">
        <v>3.0136720000000001</v>
      </c>
      <c r="T6538">
        <v>-8.9736940000000001E-2</v>
      </c>
      <c r="U6538">
        <v>-0.21163940000000001</v>
      </c>
      <c r="V6538">
        <v>-2.3995359999999999E-3</v>
      </c>
      <c r="W6538">
        <v>4.6453750000000002E-2</v>
      </c>
      <c r="X6538">
        <v>0.99891759999999996</v>
      </c>
      <c r="Y6538">
        <v>9.8115240000000006E-2</v>
      </c>
      <c r="Z6538">
        <v>-2.297683E-3</v>
      </c>
      <c r="AA6538">
        <v>0.99517239999999996</v>
      </c>
      <c r="AB6538">
        <v>28</v>
      </c>
      <c r="AC6538">
        <v>38.7744</v>
      </c>
      <c r="AD6538">
        <v>-1.158879</v>
      </c>
      <c r="AE6538">
        <v>-2.73699</v>
      </c>
      <c r="AF6538">
        <v>3.8264911555095198</v>
      </c>
      <c r="AG6538">
        <v>-1.158879</v>
      </c>
      <c r="AH6538">
        <v>38.6473899625054</v>
      </c>
      <c r="AI6538">
        <v>91.7092018912996</v>
      </c>
      <c r="AJ6538">
        <v>84.345554363251495</v>
      </c>
      <c r="AK6538">
        <v>38.853645723584201</v>
      </c>
      <c r="AL6538">
        <v>87.337438090193501</v>
      </c>
      <c r="AM6538">
        <v>90.137631994022897</v>
      </c>
      <c r="AN6538">
        <v>1.0000000401259099</v>
      </c>
    </row>
    <row r="6539" spans="1:40" x14ac:dyDescent="0.25">
      <c r="A6539" t="str">
        <f>"20190312160501538"</f>
        <v>20190312160501538</v>
      </c>
      <c r="B6539" t="str">
        <f>"1552377901531796"</f>
        <v>1552377901531796</v>
      </c>
      <c r="C6539" t="s">
        <v>40</v>
      </c>
      <c r="D6539">
        <v>5.8119560000000003</v>
      </c>
      <c r="E6539">
        <v>0.53736830000000002</v>
      </c>
      <c r="F6539" t="s">
        <v>43</v>
      </c>
      <c r="G6539">
        <v>-312.18369999999999</v>
      </c>
      <c r="H6539">
        <v>-0.05</v>
      </c>
      <c r="I6539">
        <v>14.88397</v>
      </c>
      <c r="J6539">
        <v>-349.49360000000001</v>
      </c>
      <c r="K6539">
        <v>1.108873</v>
      </c>
      <c r="L6539">
        <v>17.51465</v>
      </c>
      <c r="M6539">
        <v>0.99958650000000004</v>
      </c>
      <c r="N6539">
        <v>0</v>
      </c>
      <c r="O6539">
        <v>2.7828909999999998E-2</v>
      </c>
      <c r="P6539">
        <v>0.99874249999999998</v>
      </c>
      <c r="Q6539">
        <v>3.9718200000000002E-2</v>
      </c>
      <c r="R6539">
        <v>3.0590639999999999E-2</v>
      </c>
      <c r="S6539">
        <v>3.0139469999999999</v>
      </c>
      <c r="T6539">
        <v>-9.3264940000000005E-2</v>
      </c>
      <c r="U6539">
        <v>-0.2114258</v>
      </c>
      <c r="V6539">
        <v>-2.7176549999999998E-3</v>
      </c>
      <c r="W6539">
        <v>4.6947679999999999E-2</v>
      </c>
      <c r="X6539">
        <v>0.9988937</v>
      </c>
      <c r="Y6539">
        <v>9.7651710000000003E-2</v>
      </c>
      <c r="Z6539">
        <v>-2.3687130000000002E-3</v>
      </c>
      <c r="AA6539">
        <v>0.99521789999999999</v>
      </c>
      <c r="AB6539">
        <v>28</v>
      </c>
      <c r="AC6539">
        <v>37.309899999999999</v>
      </c>
      <c r="AD6539">
        <v>-1.158873</v>
      </c>
      <c r="AE6539">
        <v>-2.6306799999999901</v>
      </c>
      <c r="AF6539">
        <v>3.6644642563356502</v>
      </c>
      <c r="AG6539">
        <v>-1.158873</v>
      </c>
      <c r="AH6539">
        <v>37.186539319622597</v>
      </c>
      <c r="AI6539">
        <v>91.776376653011695</v>
      </c>
      <c r="AJ6539">
        <v>84.372085709199197</v>
      </c>
      <c r="AK6539">
        <v>37.384622393250503</v>
      </c>
      <c r="AL6539">
        <v>87.309107094231905</v>
      </c>
      <c r="AM6539">
        <v>90.155882229995598</v>
      </c>
      <c r="AN6539">
        <v>1.00000004710288</v>
      </c>
    </row>
    <row r="6540" spans="1:40" x14ac:dyDescent="0.25">
      <c r="A6540" t="str">
        <f>"20190312160501552"</f>
        <v>20190312160501552</v>
      </c>
      <c r="B6540" t="str">
        <f>"1552377901541555"</f>
        <v>1552377901541555</v>
      </c>
      <c r="C6540" t="s">
        <v>40</v>
      </c>
      <c r="D6540">
        <v>6.0109309999999896</v>
      </c>
      <c r="E6540">
        <v>0.53736830000000002</v>
      </c>
      <c r="F6540" t="s">
        <v>43</v>
      </c>
      <c r="G6540">
        <v>-311.64190000000002</v>
      </c>
      <c r="H6540">
        <v>-0.05</v>
      </c>
      <c r="I6540">
        <v>14.85252</v>
      </c>
      <c r="J6540">
        <v>-349.33960000000002</v>
      </c>
      <c r="K6540">
        <v>1.108867</v>
      </c>
      <c r="L6540">
        <v>17.518519999999999</v>
      </c>
      <c r="M6540">
        <v>0.99959810000000004</v>
      </c>
      <c r="N6540">
        <v>0</v>
      </c>
      <c r="O6540">
        <v>2.7406420000000001E-2</v>
      </c>
      <c r="P6540">
        <v>0.99873469999999998</v>
      </c>
      <c r="Q6540">
        <v>3.994085E-2</v>
      </c>
      <c r="R6540">
        <v>3.0560980000000001E-2</v>
      </c>
      <c r="S6540">
        <v>3.0139770000000001</v>
      </c>
      <c r="T6540">
        <v>-9.2276449999999996E-2</v>
      </c>
      <c r="U6540">
        <v>-0.2119751</v>
      </c>
      <c r="V6540">
        <v>-3.1096240000000001E-3</v>
      </c>
      <c r="W6540">
        <v>4.7175370000000001E-2</v>
      </c>
      <c r="X6540">
        <v>0.99888180000000004</v>
      </c>
      <c r="Y6540">
        <v>9.7412429999999994E-2</v>
      </c>
      <c r="Z6540">
        <v>-2.327005E-3</v>
      </c>
      <c r="AA6540">
        <v>0.99524140000000005</v>
      </c>
      <c r="AB6540">
        <v>28</v>
      </c>
      <c r="AC6540">
        <v>37.697699999999998</v>
      </c>
      <c r="AD6540">
        <v>-1.1588670000000001</v>
      </c>
      <c r="AE6540">
        <v>-2.6659999999999999</v>
      </c>
      <c r="AF6540">
        <v>3.69471049031598</v>
      </c>
      <c r="AG6540">
        <v>-1.1588670000000001</v>
      </c>
      <c r="AH6540">
        <v>37.575139306744198</v>
      </c>
      <c r="AI6540">
        <v>91.758044641270303</v>
      </c>
      <c r="AJ6540">
        <v>84.384239007351098</v>
      </c>
      <c r="AK6540">
        <v>37.774130727948901</v>
      </c>
      <c r="AL6540">
        <v>87.296046868841799</v>
      </c>
      <c r="AM6540">
        <v>90.178367205717095</v>
      </c>
      <c r="AN6540">
        <v>1.0000000178336399</v>
      </c>
    </row>
    <row r="6541" spans="1:40" x14ac:dyDescent="0.25">
      <c r="A6541" t="str">
        <f>"20190312160501650"</f>
        <v>20190312160501650</v>
      </c>
      <c r="B6541" t="str">
        <f>"1552377901642084"</f>
        <v>1552377901642084</v>
      </c>
      <c r="C6541" t="s">
        <v>40</v>
      </c>
      <c r="D6541">
        <v>5.9474109999999998</v>
      </c>
      <c r="E6541">
        <v>0.53736830000000002</v>
      </c>
      <c r="F6541" t="s">
        <v>43</v>
      </c>
      <c r="G6541">
        <v>-311.2131</v>
      </c>
      <c r="H6541">
        <v>-0.05</v>
      </c>
      <c r="I6541">
        <v>14.83592</v>
      </c>
      <c r="J6541">
        <v>-348.08030000000002</v>
      </c>
      <c r="K6541">
        <v>1.108846</v>
      </c>
      <c r="L6541">
        <v>17.547789999999999</v>
      </c>
      <c r="M6541">
        <v>0.99968670000000004</v>
      </c>
      <c r="N6541">
        <v>0</v>
      </c>
      <c r="O6541">
        <v>2.3955290000000001E-2</v>
      </c>
      <c r="P6541">
        <v>0.9987975</v>
      </c>
      <c r="Q6541">
        <v>4.0035210000000002E-2</v>
      </c>
      <c r="R6541">
        <v>2.83056E-2</v>
      </c>
      <c r="S6541">
        <v>3.014008</v>
      </c>
      <c r="T6541">
        <v>-9.1611499999999998E-2</v>
      </c>
      <c r="U6541">
        <v>-0.2120667</v>
      </c>
      <c r="V6541">
        <v>-4.3008300000000003E-3</v>
      </c>
      <c r="W6541">
        <v>4.7307299999999997E-2</v>
      </c>
      <c r="X6541">
        <v>0.99887110000000001</v>
      </c>
      <c r="Y6541">
        <v>9.4009319999999993E-2</v>
      </c>
      <c r="Z6541">
        <v>-2.1538080000000001E-3</v>
      </c>
      <c r="AA6541">
        <v>0.99556900000000004</v>
      </c>
      <c r="AB6541">
        <v>28</v>
      </c>
      <c r="AC6541">
        <v>36.867199999999997</v>
      </c>
      <c r="AD6541">
        <v>-1.1588459999999901</v>
      </c>
      <c r="AE6541">
        <v>-2.71186999999999</v>
      </c>
      <c r="AF6541">
        <v>3.59075076703671</v>
      </c>
      <c r="AG6541">
        <v>-1.1588459999999901</v>
      </c>
      <c r="AH6541">
        <v>36.755534134554203</v>
      </c>
      <c r="AI6541">
        <v>91.797299849852095</v>
      </c>
      <c r="AJ6541">
        <v>84.420320952102898</v>
      </c>
      <c r="AK6541">
        <v>36.948690161344999</v>
      </c>
      <c r="AL6541">
        <v>87.288479274460698</v>
      </c>
      <c r="AM6541">
        <v>90.246696380176203</v>
      </c>
      <c r="AN6541">
        <v>0.99999997609359403</v>
      </c>
    </row>
    <row r="6542" spans="1:40" x14ac:dyDescent="0.25">
      <c r="A6542" t="str">
        <f>"20190312160501660"</f>
        <v>20190312160501660</v>
      </c>
      <c r="B6542" t="str">
        <f>"1552377901651844"</f>
        <v>1552377901651844</v>
      </c>
      <c r="C6542" t="s">
        <v>40</v>
      </c>
      <c r="D6542">
        <v>6.1033019999999896</v>
      </c>
      <c r="E6542">
        <v>0.53537599999999996</v>
      </c>
      <c r="F6542" t="s">
        <v>43</v>
      </c>
      <c r="G6542">
        <v>-310.0292</v>
      </c>
      <c r="H6542">
        <v>-0.05</v>
      </c>
      <c r="I6542">
        <v>14.78796</v>
      </c>
      <c r="J6542">
        <v>-347.94069999999999</v>
      </c>
      <c r="K6542">
        <v>1.108843</v>
      </c>
      <c r="L6542">
        <v>17.550750000000001</v>
      </c>
      <c r="M6542">
        <v>0.99969560000000002</v>
      </c>
      <c r="N6542">
        <v>0</v>
      </c>
      <c r="O6542">
        <v>2.357629E-2</v>
      </c>
      <c r="P6542">
        <v>0.9988129</v>
      </c>
      <c r="Q6542">
        <v>4.001068E-2</v>
      </c>
      <c r="R6542">
        <v>2.778895E-2</v>
      </c>
      <c r="S6542">
        <v>3.0134889999999999</v>
      </c>
      <c r="T6542">
        <v>-9.1775659999999995E-2</v>
      </c>
      <c r="U6542">
        <v>-0.21856690000000001</v>
      </c>
      <c r="V6542">
        <v>-4.1627089999999997E-3</v>
      </c>
      <c r="W6542">
        <v>4.7286340000000003E-2</v>
      </c>
      <c r="X6542">
        <v>0.99887269999999995</v>
      </c>
      <c r="Y6542">
        <v>9.5779459999999997E-2</v>
      </c>
      <c r="Z6542">
        <v>-2.1732600000000002E-3</v>
      </c>
      <c r="AA6542">
        <v>0.99540019999999996</v>
      </c>
      <c r="AB6542">
        <v>29</v>
      </c>
      <c r="AC6542">
        <v>37.911499999999897</v>
      </c>
      <c r="AD6542">
        <v>-1.1588430000000001</v>
      </c>
      <c r="AE6542">
        <v>-2.7627899999999999</v>
      </c>
      <c r="AF6542">
        <v>3.6524635283492901</v>
      </c>
      <c r="AG6542">
        <v>-1.1588430000000001</v>
      </c>
      <c r="AH6542">
        <v>37.800691217682697</v>
      </c>
      <c r="AI6542">
        <v>91.747812401293601</v>
      </c>
      <c r="AJ6542">
        <v>84.480971256499799</v>
      </c>
      <c r="AK6542">
        <v>37.994416214217097</v>
      </c>
      <c r="AL6542">
        <v>87.289681600148995</v>
      </c>
      <c r="AM6542">
        <v>90.238773445629207</v>
      </c>
      <c r="AN6542">
        <v>0.99999999845105203</v>
      </c>
    </row>
    <row r="6543" spans="1:40" x14ac:dyDescent="0.25">
      <c r="A6543" t="str">
        <f>"20190312160501672"</f>
        <v>20190312160501672</v>
      </c>
      <c r="B6543" t="str">
        <f>"1552377901661604"</f>
        <v>1552377901661604</v>
      </c>
      <c r="C6543" t="s">
        <v>40</v>
      </c>
      <c r="D6543">
        <v>6.2714249999999998</v>
      </c>
      <c r="E6543">
        <v>0.5337324</v>
      </c>
      <c r="F6543" t="s">
        <v>41</v>
      </c>
      <c r="G6543">
        <v>-320.67689999999999</v>
      </c>
      <c r="H6543" s="1">
        <v>-5.0828080000000001E-6</v>
      </c>
      <c r="I6543">
        <v>15.696879999999901</v>
      </c>
      <c r="J6543">
        <v>-347.80419999999998</v>
      </c>
      <c r="K6543">
        <v>1.108841</v>
      </c>
      <c r="L6543">
        <v>17.553650000000001</v>
      </c>
      <c r="M6543">
        <v>0.99970429999999999</v>
      </c>
      <c r="N6543">
        <v>0</v>
      </c>
      <c r="O6543">
        <v>2.3206419999999998E-2</v>
      </c>
      <c r="P6543">
        <v>0.99882890000000002</v>
      </c>
      <c r="Q6543">
        <v>4.0074819999999997E-2</v>
      </c>
      <c r="R6543">
        <v>2.7114309999999999E-2</v>
      </c>
      <c r="S6543">
        <v>3.01416</v>
      </c>
      <c r="T6543">
        <v>-0.1225893</v>
      </c>
      <c r="U6543">
        <v>-0.2049561</v>
      </c>
      <c r="V6543">
        <v>-3.8573879999999998E-3</v>
      </c>
      <c r="W6543">
        <v>4.7353979999999997E-2</v>
      </c>
      <c r="X6543">
        <v>0.9988707</v>
      </c>
      <c r="Y6543">
        <v>9.0882439999999995E-2</v>
      </c>
      <c r="Z6543">
        <v>-2.7877560000000002E-3</v>
      </c>
      <c r="AA6543">
        <v>0.99585769999999996</v>
      </c>
      <c r="AB6543">
        <v>29</v>
      </c>
      <c r="AC6543">
        <v>27.127299999999899</v>
      </c>
      <c r="AD6543">
        <v>-1.108846082808</v>
      </c>
      <c r="AE6543">
        <v>-1.85677</v>
      </c>
      <c r="AF6543">
        <v>2.4816869508556598</v>
      </c>
      <c r="AG6543">
        <v>-1.108846082808</v>
      </c>
      <c r="AH6543">
        <v>27.031949086814201</v>
      </c>
      <c r="AI6543">
        <v>92.339120816286396</v>
      </c>
      <c r="AJ6543">
        <v>84.754624509515196</v>
      </c>
      <c r="AK6543">
        <v>27.1682642284986</v>
      </c>
      <c r="AL6543">
        <v>87.285801709307407</v>
      </c>
      <c r="AM6543">
        <v>90.221260823543503</v>
      </c>
      <c r="AN6543">
        <v>0.99999997709125599</v>
      </c>
    </row>
    <row r="6544" spans="1:40" x14ac:dyDescent="0.25">
      <c r="A6544" t="str">
        <f>"20190312160501683"</f>
        <v>20190312160501683</v>
      </c>
      <c r="B6544" t="str">
        <f>"1552377901671364"</f>
        <v>1552377901671364</v>
      </c>
      <c r="C6544" t="s">
        <v>40</v>
      </c>
      <c r="D6544">
        <v>5.9636170000000002</v>
      </c>
      <c r="E6544">
        <v>0.53236530000000004</v>
      </c>
      <c r="F6544" t="s">
        <v>41</v>
      </c>
      <c r="G6544">
        <v>-320.35910000000001</v>
      </c>
      <c r="H6544" s="1">
        <v>-5.2167709999999996E-6</v>
      </c>
      <c r="I6544">
        <v>15.78857</v>
      </c>
      <c r="J6544">
        <v>-347.66230000000002</v>
      </c>
      <c r="K6544">
        <v>1.108838</v>
      </c>
      <c r="L6544">
        <v>17.556550000000001</v>
      </c>
      <c r="M6544">
        <v>0.99971310000000002</v>
      </c>
      <c r="N6544">
        <v>0</v>
      </c>
      <c r="O6544">
        <v>2.2822470000000001E-2</v>
      </c>
      <c r="P6544">
        <v>0.99885239999999997</v>
      </c>
      <c r="Q6544">
        <v>4.002153E-2</v>
      </c>
      <c r="R6544">
        <v>2.6306010000000001E-2</v>
      </c>
      <c r="S6544">
        <v>3.0136409999999998</v>
      </c>
      <c r="T6544">
        <v>-0.12175800000000001</v>
      </c>
      <c r="U6544">
        <v>-0.19381709999999999</v>
      </c>
      <c r="V6544">
        <v>-3.4320610000000001E-3</v>
      </c>
      <c r="W6544">
        <v>4.7303959999999999E-2</v>
      </c>
      <c r="X6544">
        <v>0.9988747</v>
      </c>
      <c r="Y6544">
        <v>8.6850860000000002E-2</v>
      </c>
      <c r="Z6544">
        <v>-2.6728519999999999E-3</v>
      </c>
      <c r="AA6544">
        <v>0.99621769999999998</v>
      </c>
      <c r="AB6544">
        <v>29</v>
      </c>
      <c r="AC6544">
        <v>27.3032</v>
      </c>
      <c r="AD6544">
        <v>-1.1088432167710001</v>
      </c>
      <c r="AE6544">
        <v>-1.7679799999999899</v>
      </c>
      <c r="AF6544">
        <v>2.3867422671835601</v>
      </c>
      <c r="AG6544">
        <v>-1.1088432167710001</v>
      </c>
      <c r="AH6544">
        <v>27.2110441450798</v>
      </c>
      <c r="AI6544">
        <v>92.324582537698703</v>
      </c>
      <c r="AJ6544">
        <v>84.987286243284203</v>
      </c>
      <c r="AK6544">
        <v>27.3380137426775</v>
      </c>
      <c r="AL6544">
        <v>87.288671070919094</v>
      </c>
      <c r="AM6544">
        <v>90.196863366855794</v>
      </c>
      <c r="AN6544">
        <v>1.0000000549872301</v>
      </c>
    </row>
    <row r="6545" spans="1:40" x14ac:dyDescent="0.25">
      <c r="A6545" t="str">
        <f>"20190312160501694"</f>
        <v>20190312160501694</v>
      </c>
      <c r="B6545" t="str">
        <f>"1552377901691860"</f>
        <v>1552377901691860</v>
      </c>
      <c r="C6545" t="s">
        <v>40</v>
      </c>
      <c r="D6545">
        <v>5.988213</v>
      </c>
      <c r="E6545">
        <v>0.531281</v>
      </c>
      <c r="F6545" t="s">
        <v>43</v>
      </c>
      <c r="G6545">
        <v>-314.22269999999997</v>
      </c>
      <c r="H6545">
        <v>-0.05</v>
      </c>
      <c r="I6545">
        <v>15.504379999999999</v>
      </c>
      <c r="J6545">
        <v>-347.5104</v>
      </c>
      <c r="K6545">
        <v>1.1088370000000001</v>
      </c>
      <c r="L6545">
        <v>17.559629999999999</v>
      </c>
      <c r="M6545">
        <v>0.99972240000000001</v>
      </c>
      <c r="N6545">
        <v>0</v>
      </c>
      <c r="O6545">
        <v>2.2411589999999999E-2</v>
      </c>
      <c r="P6545">
        <v>0.99887979999999998</v>
      </c>
      <c r="Q6545">
        <v>3.997216E-2</v>
      </c>
      <c r="R6545">
        <v>2.5335280000000002E-2</v>
      </c>
      <c r="S6545">
        <v>3.0124819999999999</v>
      </c>
      <c r="T6545">
        <v>-0.104396699999999</v>
      </c>
      <c r="U6545">
        <v>-0.1848755</v>
      </c>
      <c r="V6545">
        <v>-2.8714610000000001E-3</v>
      </c>
      <c r="W6545">
        <v>4.7258719999999997E-2</v>
      </c>
      <c r="X6545">
        <v>0.9988785</v>
      </c>
      <c r="Y6545">
        <v>8.3545889999999998E-2</v>
      </c>
      <c r="Z6545">
        <v>-2.2216470000000002E-3</v>
      </c>
      <c r="AA6545">
        <v>0.99650139999999998</v>
      </c>
      <c r="AB6545">
        <v>29</v>
      </c>
      <c r="AC6545">
        <v>33.287700000000001</v>
      </c>
      <c r="AD6545">
        <v>-1.1588369999999999</v>
      </c>
      <c r="AE6545">
        <v>-2.0552499999999898</v>
      </c>
      <c r="AF6545">
        <v>2.7974063670560301</v>
      </c>
      <c r="AG6545">
        <v>-1.1588369999999999</v>
      </c>
      <c r="AH6545">
        <v>33.193200979032603</v>
      </c>
      <c r="AI6545">
        <v>91.992433790423505</v>
      </c>
      <c r="AJ6545">
        <v>85.182696476231499</v>
      </c>
      <c r="AK6545">
        <v>33.331021238621901</v>
      </c>
      <c r="AL6545">
        <v>87.2912657354168</v>
      </c>
      <c r="AM6545">
        <v>90.164706861889499</v>
      </c>
      <c r="AN6545">
        <v>0.99999994483327903</v>
      </c>
    </row>
    <row r="6546" spans="1:40" x14ac:dyDescent="0.25">
      <c r="A6546" t="str">
        <f>"20190312160501705"</f>
        <v>20190312160501705</v>
      </c>
      <c r="B6546" t="str">
        <f>"1552377901701657"</f>
        <v>1552377901701657</v>
      </c>
      <c r="C6546" t="s">
        <v>40</v>
      </c>
      <c r="D6546">
        <v>6.2019599999999997</v>
      </c>
      <c r="E6546">
        <v>0.52921870000000004</v>
      </c>
      <c r="F6546" t="s">
        <v>43</v>
      </c>
      <c r="G6546">
        <v>-292.49889999999999</v>
      </c>
      <c r="H6546">
        <v>-0.05</v>
      </c>
      <c r="I6546">
        <v>14.305020000000001</v>
      </c>
      <c r="J6546">
        <v>-347.36790000000002</v>
      </c>
      <c r="K6546">
        <v>1.108843</v>
      </c>
      <c r="L6546">
        <v>17.562470000000001</v>
      </c>
      <c r="M6546">
        <v>0.99973080000000003</v>
      </c>
      <c r="N6546">
        <v>0</v>
      </c>
      <c r="O6546">
        <v>2.2026159999999999E-2</v>
      </c>
      <c r="P6546">
        <v>0.9988901</v>
      </c>
      <c r="Q6546">
        <v>4.0210049999999997E-2</v>
      </c>
      <c r="R6546">
        <v>2.453617E-2</v>
      </c>
      <c r="S6546">
        <v>3.0103759999999999</v>
      </c>
      <c r="T6546">
        <v>-6.3414570000000003E-2</v>
      </c>
      <c r="U6546">
        <v>-0.1781006</v>
      </c>
      <c r="V6546">
        <v>-2.4570490000000002E-3</v>
      </c>
      <c r="W6546">
        <v>4.7499729999999997E-2</v>
      </c>
      <c r="X6546">
        <v>0.99886819999999998</v>
      </c>
      <c r="Y6546">
        <v>8.1010150000000003E-2</v>
      </c>
      <c r="Z6546">
        <v>-1.316004E-3</v>
      </c>
      <c r="AA6546">
        <v>0.99671240000000005</v>
      </c>
      <c r="AB6546">
        <v>29</v>
      </c>
      <c r="AC6546">
        <v>54.869</v>
      </c>
      <c r="AD6546">
        <v>-1.1588430000000001</v>
      </c>
      <c r="AE6546">
        <v>-3.25745</v>
      </c>
      <c r="AF6546">
        <v>4.46326129216407</v>
      </c>
      <c r="AG6546">
        <v>-1.1588430000000001</v>
      </c>
      <c r="AH6546">
        <v>54.7595963794762</v>
      </c>
      <c r="AI6546">
        <v>91.208327888162401</v>
      </c>
      <c r="AJ6546">
        <v>85.340323711074205</v>
      </c>
      <c r="AK6546">
        <v>54.953407665984798</v>
      </c>
      <c r="AL6546">
        <v>87.277441425512094</v>
      </c>
      <c r="AM6546">
        <v>90.140937767182805</v>
      </c>
      <c r="AN6546">
        <v>0.99999997120554995</v>
      </c>
    </row>
    <row r="6547" spans="1:40" x14ac:dyDescent="0.25">
      <c r="A6547" t="str">
        <f>"20190312160501718"</f>
        <v>20190312160501718</v>
      </c>
      <c r="B6547" t="str">
        <f>"1552377901711416"</f>
        <v>1552377901711416</v>
      </c>
      <c r="C6547" t="s">
        <v>40</v>
      </c>
      <c r="D6547">
        <v>6.0136900000000004</v>
      </c>
      <c r="E6547">
        <v>0.52948269999999997</v>
      </c>
      <c r="F6547" t="s">
        <v>116</v>
      </c>
      <c r="G6547">
        <v>-279.68</v>
      </c>
      <c r="H6547">
        <v>0.3610681</v>
      </c>
      <c r="I6547">
        <v>13.88862</v>
      </c>
      <c r="J6547">
        <v>-347.21589999999998</v>
      </c>
      <c r="K6547">
        <v>1.1088420000000001</v>
      </c>
      <c r="L6547">
        <v>17.5654</v>
      </c>
      <c r="M6547">
        <v>0.99973970000000001</v>
      </c>
      <c r="N6547">
        <v>0</v>
      </c>
      <c r="O6547">
        <v>2.161563E-2</v>
      </c>
      <c r="P6547">
        <v>0.99889930000000005</v>
      </c>
      <c r="Q6547">
        <v>4.050132E-2</v>
      </c>
      <c r="R6547">
        <v>2.3658760000000001E-2</v>
      </c>
      <c r="S6547">
        <v>3.008667</v>
      </c>
      <c r="T6547">
        <v>-3.3238410000000003E-2</v>
      </c>
      <c r="U6547">
        <v>-0.16329959999999999</v>
      </c>
      <c r="V6547">
        <v>-1.9892970000000001E-3</v>
      </c>
      <c r="W6547">
        <v>4.7795030000000002E-2</v>
      </c>
      <c r="X6547">
        <v>0.99885520000000005</v>
      </c>
      <c r="Y6547">
        <v>7.5762469999999998E-2</v>
      </c>
      <c r="Z6547">
        <v>-6.5681889999999997E-4</v>
      </c>
      <c r="AA6547">
        <v>0.9971257</v>
      </c>
      <c r="AB6547">
        <v>29</v>
      </c>
      <c r="AC6547">
        <v>67.535899999999899</v>
      </c>
      <c r="AD6547">
        <v>-0.74777389999999999</v>
      </c>
      <c r="AE6547">
        <v>-3.6767799999999902</v>
      </c>
      <c r="AF6547">
        <v>5.1351631399732298</v>
      </c>
      <c r="AG6547">
        <v>-0.74777389999999999</v>
      </c>
      <c r="AH6547">
        <v>67.432399281829902</v>
      </c>
      <c r="AI6547">
        <v>90.633506349742106</v>
      </c>
      <c r="AJ6547">
        <v>85.645173657781598</v>
      </c>
      <c r="AK6547">
        <v>67.6317790626847</v>
      </c>
      <c r="AL6547">
        <v>87.260502866483193</v>
      </c>
      <c r="AM6547">
        <v>90.114108803362697</v>
      </c>
      <c r="AN6547">
        <v>1.00000001638114</v>
      </c>
    </row>
    <row r="6548" spans="1:40" x14ac:dyDescent="0.25">
      <c r="A6548" t="str">
        <f>"20190312160501728"</f>
        <v>20190312160501728</v>
      </c>
      <c r="B6548" t="str">
        <f>"1552377901722153"</f>
        <v>1552377901722153</v>
      </c>
      <c r="C6548" t="s">
        <v>40</v>
      </c>
      <c r="D6548">
        <v>6.1082320000000001</v>
      </c>
      <c r="E6548">
        <v>0.52978249999999905</v>
      </c>
      <c r="F6548" t="s">
        <v>116</v>
      </c>
      <c r="G6548">
        <v>-279.68</v>
      </c>
      <c r="H6548">
        <v>0.56272440000000001</v>
      </c>
      <c r="I6548">
        <v>13.79651</v>
      </c>
      <c r="J6548">
        <v>-347.07089999999999</v>
      </c>
      <c r="K6548">
        <v>1.10884</v>
      </c>
      <c r="L6548">
        <v>17.568179999999899</v>
      </c>
      <c r="M6548">
        <v>0.99974819999999998</v>
      </c>
      <c r="N6548">
        <v>0</v>
      </c>
      <c r="O6548">
        <v>2.1223700000000002E-2</v>
      </c>
      <c r="P6548">
        <v>0.99891050000000003</v>
      </c>
      <c r="Q6548">
        <v>4.063597E-2</v>
      </c>
      <c r="R6548">
        <v>2.2957930000000001E-2</v>
      </c>
      <c r="S6548">
        <v>3.0082399999999998</v>
      </c>
      <c r="T6548">
        <v>-2.4326090000000002E-2</v>
      </c>
      <c r="U6548">
        <v>-0.1678772</v>
      </c>
      <c r="V6548">
        <v>-1.6801730000000001E-3</v>
      </c>
      <c r="W6548">
        <v>4.7933629999999998E-2</v>
      </c>
      <c r="X6548">
        <v>0.99884910000000005</v>
      </c>
      <c r="Y6548">
        <v>7.6894649999999995E-2</v>
      </c>
      <c r="Z6548">
        <v>-4.8216619999999998E-4</v>
      </c>
      <c r="AA6548">
        <v>0.99703909999999996</v>
      </c>
      <c r="AB6548">
        <v>29</v>
      </c>
      <c r="AC6548">
        <v>67.390899999999903</v>
      </c>
      <c r="AD6548">
        <v>-0.54611560000000003</v>
      </c>
      <c r="AE6548">
        <v>-3.7716699999999901</v>
      </c>
      <c r="AF6548">
        <v>5.2008021370585498</v>
      </c>
      <c r="AG6548">
        <v>-0.54611560000000003</v>
      </c>
      <c r="AH6548">
        <v>67.291263389841404</v>
      </c>
      <c r="AI6548">
        <v>90.463602533912805</v>
      </c>
      <c r="AJ6548">
        <v>85.580513920828594</v>
      </c>
      <c r="AK6548">
        <v>67.494153181726801</v>
      </c>
      <c r="AL6548">
        <v>87.2525524873558</v>
      </c>
      <c r="AM6548">
        <v>90.096377651996306</v>
      </c>
      <c r="AN6548">
        <v>0.99999999021854802</v>
      </c>
    </row>
    <row r="6549" spans="1:40" x14ac:dyDescent="0.25">
      <c r="A6549" t="str">
        <f>"20190312160501739"</f>
        <v>20190312160501739</v>
      </c>
      <c r="B6549" t="str">
        <f>"1552377901731913"</f>
        <v>1552377901731913</v>
      </c>
      <c r="C6549" t="s">
        <v>40</v>
      </c>
      <c r="D6549">
        <v>5.787477</v>
      </c>
      <c r="E6549">
        <v>0.52959480000000003</v>
      </c>
      <c r="F6549" t="s">
        <v>116</v>
      </c>
      <c r="G6549">
        <v>-279.68</v>
      </c>
      <c r="H6549">
        <v>0.74184269999999997</v>
      </c>
      <c r="I6549">
        <v>13.70926</v>
      </c>
      <c r="J6549">
        <v>-346.92790000000002</v>
      </c>
      <c r="K6549">
        <v>1.1088359999999999</v>
      </c>
      <c r="L6549">
        <v>17.570799999999998</v>
      </c>
      <c r="M6549">
        <v>0.99975630000000004</v>
      </c>
      <c r="N6549">
        <v>0</v>
      </c>
      <c r="O6549">
        <v>2.083749E-2</v>
      </c>
      <c r="P6549">
        <v>0.99890699999999999</v>
      </c>
      <c r="Q6549">
        <v>4.095596E-2</v>
      </c>
      <c r="R6549">
        <v>2.2533669999999999E-2</v>
      </c>
      <c r="S6549">
        <v>3.007965</v>
      </c>
      <c r="T6549">
        <v>-1.6381260000000002E-2</v>
      </c>
      <c r="U6549">
        <v>-0.17224120000000001</v>
      </c>
      <c r="V6549">
        <v>-1.6410909999999999E-3</v>
      </c>
      <c r="W6549">
        <v>4.8257979999999999E-2</v>
      </c>
      <c r="X6549">
        <v>0.99883350000000004</v>
      </c>
      <c r="Y6549">
        <v>7.7958150000000004E-2</v>
      </c>
      <c r="Z6549">
        <v>-3.255035E-4</v>
      </c>
      <c r="AA6549">
        <v>0.99695659999999997</v>
      </c>
      <c r="AB6549">
        <v>29</v>
      </c>
      <c r="AC6549">
        <v>67.247900000000001</v>
      </c>
      <c r="AD6549">
        <v>-0.36699330000000002</v>
      </c>
      <c r="AE6549">
        <v>-3.86153999999999</v>
      </c>
      <c r="AF6549">
        <v>5.2618600036288701</v>
      </c>
      <c r="AG6549">
        <v>-0.36699330000000002</v>
      </c>
      <c r="AH6549">
        <v>67.150837810953007</v>
      </c>
      <c r="AI6549">
        <v>90.312173335759695</v>
      </c>
      <c r="AJ6549">
        <v>85.519525900637802</v>
      </c>
      <c r="AK6549">
        <v>67.357678652793197</v>
      </c>
      <c r="AL6549">
        <v>87.233946939491702</v>
      </c>
      <c r="AM6549">
        <v>90.094137314666199</v>
      </c>
      <c r="AN6549">
        <v>0.99999994326779795</v>
      </c>
    </row>
    <row r="6550" spans="1:40" x14ac:dyDescent="0.25">
      <c r="A6550" t="str">
        <f>"20190312160501751"</f>
        <v>20190312160501751</v>
      </c>
      <c r="B6550" t="str">
        <f>"1552377901741672"</f>
        <v>1552377901741672</v>
      </c>
      <c r="C6550" t="s">
        <v>40</v>
      </c>
      <c r="D6550">
        <v>6.0801590000000001</v>
      </c>
      <c r="E6550">
        <v>0.5298948</v>
      </c>
      <c r="F6550" t="s">
        <v>116</v>
      </c>
      <c r="G6550">
        <v>-279.68</v>
      </c>
      <c r="H6550">
        <v>0.715423699999999</v>
      </c>
      <c r="I6550">
        <v>13.72269</v>
      </c>
      <c r="J6550">
        <v>-346.78710000000001</v>
      </c>
      <c r="K6550">
        <v>1.108835</v>
      </c>
      <c r="L6550">
        <v>17.57339</v>
      </c>
      <c r="M6550">
        <v>0.99976399999999999</v>
      </c>
      <c r="N6550">
        <v>0</v>
      </c>
      <c r="O6550">
        <v>2.0457599999999999E-2</v>
      </c>
      <c r="P6550">
        <v>0.99891220000000003</v>
      </c>
      <c r="Q6550">
        <v>4.1107820000000003E-2</v>
      </c>
      <c r="R6550">
        <v>2.2018079999999999E-2</v>
      </c>
      <c r="S6550">
        <v>3.0078740000000002</v>
      </c>
      <c r="T6550">
        <v>-1.7597080000000001E-2</v>
      </c>
      <c r="U6550">
        <v>-0.1721191</v>
      </c>
      <c r="V6550">
        <v>-1.504387E-3</v>
      </c>
      <c r="W6550">
        <v>4.8413240000000003E-2</v>
      </c>
      <c r="X6550">
        <v>0.99882629999999994</v>
      </c>
      <c r="Y6550">
        <v>7.7540520000000002E-2</v>
      </c>
      <c r="Z6550">
        <v>-3.4623129999999898E-4</v>
      </c>
      <c r="AA6550">
        <v>0.99698909999999996</v>
      </c>
      <c r="AB6550">
        <v>29</v>
      </c>
      <c r="AC6550">
        <v>67.107100000000003</v>
      </c>
      <c r="AD6550">
        <v>-0.39341130000000002</v>
      </c>
      <c r="AE6550">
        <v>-3.8506999999999998</v>
      </c>
      <c r="AF6550">
        <v>5.2226020722389297</v>
      </c>
      <c r="AG6550">
        <v>-0.39341130000000002</v>
      </c>
      <c r="AH6550">
        <v>67.011981462256102</v>
      </c>
      <c r="AI6550">
        <v>90.335349063851694</v>
      </c>
      <c r="AJ6550">
        <v>85.543641456385004</v>
      </c>
      <c r="AK6550">
        <v>67.216337332181894</v>
      </c>
      <c r="AL6550">
        <v>87.225041058495705</v>
      </c>
      <c r="AM6550">
        <v>90.086296246581099</v>
      </c>
      <c r="AN6550">
        <v>1.00000004127961</v>
      </c>
    </row>
    <row r="6551" spans="1:40" x14ac:dyDescent="0.25">
      <c r="A6551" t="str">
        <f>"20190312160501765"</f>
        <v>20190312160501765</v>
      </c>
      <c r="B6551" t="str">
        <f>"1552377901751433"</f>
        <v>1552377901751433</v>
      </c>
      <c r="C6551" t="s">
        <v>40</v>
      </c>
      <c r="D6551">
        <v>6.0832050000000004</v>
      </c>
      <c r="E6551">
        <v>0.52996089999999996</v>
      </c>
      <c r="F6551" t="s">
        <v>116</v>
      </c>
      <c r="G6551">
        <v>-279.68</v>
      </c>
      <c r="H6551">
        <v>0.95073039999999998</v>
      </c>
      <c r="I6551">
        <v>13.650399999999999</v>
      </c>
      <c r="J6551">
        <v>-346.62450000000001</v>
      </c>
      <c r="K6551">
        <v>1.108833</v>
      </c>
      <c r="L6551">
        <v>17.57629</v>
      </c>
      <c r="M6551">
        <v>0.99977289999999996</v>
      </c>
      <c r="N6551">
        <v>0</v>
      </c>
      <c r="O6551">
        <v>2.0018339999999999E-2</v>
      </c>
      <c r="P6551">
        <v>0.99891560000000001</v>
      </c>
      <c r="Q6551">
        <v>4.1222179999999997E-2</v>
      </c>
      <c r="R6551">
        <v>2.1642109999999999E-2</v>
      </c>
      <c r="S6551">
        <v>3.0074459999999998</v>
      </c>
      <c r="T6551">
        <v>-7.0860389999999997E-3</v>
      </c>
      <c r="U6551">
        <v>-0.17581179999999999</v>
      </c>
      <c r="V6551">
        <v>-1.5672469999999999E-3</v>
      </c>
      <c r="W6551">
        <v>4.8533270000000003E-2</v>
      </c>
      <c r="X6551">
        <v>0.99882040000000005</v>
      </c>
      <c r="Y6551">
        <v>7.8331979999999996E-2</v>
      </c>
      <c r="Z6551">
        <v>-1.3933470000000001E-4</v>
      </c>
      <c r="AA6551">
        <v>0.99692729999999996</v>
      </c>
      <c r="AB6551">
        <v>29</v>
      </c>
      <c r="AC6551">
        <v>66.944500000000005</v>
      </c>
      <c r="AD6551">
        <v>-0.15810259999999901</v>
      </c>
      <c r="AE6551">
        <v>-3.9258899999999999</v>
      </c>
      <c r="AF6551">
        <v>5.2652275481512696</v>
      </c>
      <c r="AG6551">
        <v>-0.15810259999999901</v>
      </c>
      <c r="AH6551">
        <v>66.852120975784004</v>
      </c>
      <c r="AI6551">
        <v>90.135083666150294</v>
      </c>
      <c r="AJ6551">
        <v>85.496719377798797</v>
      </c>
      <c r="AK6551">
        <v>67.059329675495505</v>
      </c>
      <c r="AL6551">
        <v>87.218155813044902</v>
      </c>
      <c r="AM6551">
        <v>90.0899026139829</v>
      </c>
      <c r="AN6551">
        <v>1.0000000630081001</v>
      </c>
    </row>
    <row r="6552" spans="1:40" x14ac:dyDescent="0.25">
      <c r="A6552" t="str">
        <f>"20190312160501777"</f>
        <v>20190312160501777</v>
      </c>
      <c r="B6552" t="str">
        <f>"1552377901771928"</f>
        <v>1552377901771928</v>
      </c>
      <c r="C6552" t="s">
        <v>40</v>
      </c>
      <c r="D6552">
        <v>6.0119899999999999</v>
      </c>
      <c r="E6552">
        <v>0.53014169999999905</v>
      </c>
      <c r="F6552" t="s">
        <v>116</v>
      </c>
      <c r="G6552">
        <v>-279.68</v>
      </c>
      <c r="H6552">
        <v>1.1314310000000001</v>
      </c>
      <c r="I6552">
        <v>13.629</v>
      </c>
      <c r="J6552">
        <v>-346.44589999999999</v>
      </c>
      <c r="K6552">
        <v>1.10884</v>
      </c>
      <c r="L6552">
        <v>17.57938</v>
      </c>
      <c r="M6552">
        <v>0.99978239999999996</v>
      </c>
      <c r="N6552">
        <v>0</v>
      </c>
      <c r="O6552">
        <v>1.953628E-2</v>
      </c>
      <c r="P6552">
        <v>0.99891280000000005</v>
      </c>
      <c r="Q6552">
        <v>4.1454770000000002E-2</v>
      </c>
      <c r="R6552">
        <v>2.133268E-2</v>
      </c>
      <c r="S6552">
        <v>3.00705</v>
      </c>
      <c r="T6552">
        <v>1.0145899999999999E-3</v>
      </c>
      <c r="U6552">
        <v>-0.1773071</v>
      </c>
      <c r="V6552">
        <v>-1.739162E-3</v>
      </c>
      <c r="W6552">
        <v>4.8771410000000001E-2</v>
      </c>
      <c r="X6552">
        <v>0.99880840000000004</v>
      </c>
      <c r="Y6552">
        <v>7.8353270000000003E-2</v>
      </c>
      <c r="Z6552" s="1">
        <v>1.9793589999999999E-5</v>
      </c>
      <c r="AA6552">
        <v>0.99692570000000003</v>
      </c>
      <c r="AB6552">
        <v>29</v>
      </c>
      <c r="AC6552">
        <v>66.765899999999903</v>
      </c>
      <c r="AD6552">
        <v>2.2590999999999799E-2</v>
      </c>
      <c r="AE6552">
        <v>-3.9503799999999898</v>
      </c>
      <c r="AF6552">
        <v>5.2540176259142504</v>
      </c>
      <c r="AG6552">
        <v>2.2590999999999799E-2</v>
      </c>
      <c r="AH6552">
        <v>66.675971556735405</v>
      </c>
      <c r="AI6552">
        <v>89.980647166953403</v>
      </c>
      <c r="AJ6552">
        <v>85.494444716500993</v>
      </c>
      <c r="AK6552">
        <v>66.882661389939301</v>
      </c>
      <c r="AL6552">
        <v>87.204494896586894</v>
      </c>
      <c r="AM6552">
        <v>90.099765422260404</v>
      </c>
      <c r="AN6552">
        <v>0.99999994751420396</v>
      </c>
    </row>
    <row r="6553" spans="1:40" x14ac:dyDescent="0.25">
      <c r="A6553" t="str">
        <f>"20190312160501790"</f>
        <v>20190312160501790</v>
      </c>
      <c r="B6553" t="str">
        <f>"1552377901781689"</f>
        <v>1552377901781689</v>
      </c>
      <c r="C6553" t="s">
        <v>40</v>
      </c>
      <c r="D6553">
        <v>6.1992669999999999</v>
      </c>
      <c r="E6553">
        <v>0.53001860000000001</v>
      </c>
      <c r="F6553" t="s">
        <v>87</v>
      </c>
      <c r="G6553">
        <v>-274.49669999999998</v>
      </c>
      <c r="H6553">
        <v>1.491703</v>
      </c>
      <c r="I6553">
        <v>13.28942</v>
      </c>
      <c r="J6553">
        <v>-346.27749999999997</v>
      </c>
      <c r="K6553">
        <v>1.108838</v>
      </c>
      <c r="L6553">
        <v>17.582239999999999</v>
      </c>
      <c r="M6553">
        <v>0.99979110000000004</v>
      </c>
      <c r="N6553">
        <v>0</v>
      </c>
      <c r="O6553">
        <v>1.908164E-2</v>
      </c>
      <c r="P6553">
        <v>0.99892289999999995</v>
      </c>
      <c r="Q6553">
        <v>4.1531650000000003E-2</v>
      </c>
      <c r="R6553">
        <v>2.0698919999999999E-2</v>
      </c>
      <c r="S6553">
        <v>3.0064700000000002</v>
      </c>
      <c r="T6553">
        <v>1.5998479999999999E-2</v>
      </c>
      <c r="U6553">
        <v>-0.17926029999999901</v>
      </c>
      <c r="V6553">
        <v>-1.5591260000000001E-3</v>
      </c>
      <c r="W6553">
        <v>4.8853319999999999E-2</v>
      </c>
      <c r="X6553">
        <v>0.99880469999999999</v>
      </c>
      <c r="Y6553">
        <v>7.8555230000000004E-2</v>
      </c>
      <c r="Z6553">
        <v>3.1028499999999999E-4</v>
      </c>
      <c r="AA6553">
        <v>0.99690970000000001</v>
      </c>
      <c r="AB6553">
        <v>29</v>
      </c>
      <c r="AC6553">
        <v>71.780799999999999</v>
      </c>
      <c r="AD6553">
        <v>0.38286500000000001</v>
      </c>
      <c r="AE6553">
        <v>-4.2928199999999901</v>
      </c>
      <c r="AF6553">
        <v>5.6616099900299002</v>
      </c>
      <c r="AG6553">
        <v>0.38286500000000001</v>
      </c>
      <c r="AH6553">
        <v>71.683781748471802</v>
      </c>
      <c r="AI6553">
        <v>89.694934601248306</v>
      </c>
      <c r="AJ6553">
        <v>85.484133690971305</v>
      </c>
      <c r="AK6553">
        <v>71.908031394622199</v>
      </c>
      <c r="AL6553">
        <v>87.199796214092103</v>
      </c>
      <c r="AM6553">
        <v>90.089438172418895</v>
      </c>
      <c r="AN6553">
        <v>0.99999995324549695</v>
      </c>
    </row>
    <row r="6554" spans="1:40" x14ac:dyDescent="0.25">
      <c r="A6554" t="str">
        <f>"20190312160501808"</f>
        <v>20190312160501808</v>
      </c>
      <c r="B6554" t="str">
        <f>"1552377901802184"</f>
        <v>1552377901802184</v>
      </c>
      <c r="C6554" t="s">
        <v>40</v>
      </c>
      <c r="D6554">
        <v>6.1676349999999998</v>
      </c>
      <c r="E6554">
        <v>0.52856550000000002</v>
      </c>
      <c r="F6554" t="s">
        <v>87</v>
      </c>
      <c r="G6554">
        <v>-274.49669999999998</v>
      </c>
      <c r="H6554">
        <v>1.6097109999999999</v>
      </c>
      <c r="I6554">
        <v>13.282859999999999</v>
      </c>
      <c r="J6554">
        <v>-346.05079999999998</v>
      </c>
      <c r="K6554">
        <v>1.1088359999999999</v>
      </c>
      <c r="L6554">
        <v>17.58597</v>
      </c>
      <c r="M6554">
        <v>0.99980259999999999</v>
      </c>
      <c r="N6554">
        <v>0</v>
      </c>
      <c r="O6554">
        <v>1.8469869999999999E-2</v>
      </c>
      <c r="P6554">
        <v>0.99892650000000005</v>
      </c>
      <c r="Q6554">
        <v>4.1717440000000001E-2</v>
      </c>
      <c r="R6554">
        <v>2.014608E-2</v>
      </c>
      <c r="S6554">
        <v>3.0061040000000001</v>
      </c>
      <c r="T6554">
        <v>2.0976069999999999E-2</v>
      </c>
      <c r="U6554">
        <v>-0.18005370000000001</v>
      </c>
      <c r="V6554">
        <v>-1.617215E-3</v>
      </c>
      <c r="W6554">
        <v>4.9045739999999997E-2</v>
      </c>
      <c r="X6554">
        <v>0.99879519999999999</v>
      </c>
      <c r="Y6554">
        <v>7.8213669999999999E-2</v>
      </c>
      <c r="Z6554">
        <v>4.0141139999999998E-4</v>
      </c>
      <c r="AA6554">
        <v>0.99693659999999995</v>
      </c>
      <c r="AB6554">
        <v>29</v>
      </c>
      <c r="AC6554">
        <v>71.554100000000005</v>
      </c>
      <c r="AD6554">
        <v>0.50087499999999996</v>
      </c>
      <c r="AE6554">
        <v>-4.3031099999999904</v>
      </c>
      <c r="AF6554">
        <v>5.6237317207625201</v>
      </c>
      <c r="AG6554">
        <v>0.50087499999999996</v>
      </c>
      <c r="AH6554">
        <v>71.458924629654504</v>
      </c>
      <c r="AI6554">
        <v>89.599642757660305</v>
      </c>
      <c r="AJ6554">
        <v>85.5001654414028</v>
      </c>
      <c r="AK6554">
        <v>71.681623471147603</v>
      </c>
      <c r="AL6554">
        <v>87.1887581911664</v>
      </c>
      <c r="AM6554">
        <v>90.092771283933104</v>
      </c>
      <c r="AN6554">
        <v>0.99999997576977095</v>
      </c>
    </row>
    <row r="6555" spans="1:40" x14ac:dyDescent="0.25">
      <c r="A6555" t="str">
        <f>"20190312160501818"</f>
        <v>20190312160501818</v>
      </c>
      <c r="B6555" t="str">
        <f>"1552377901811945"</f>
        <v>1552377901811945</v>
      </c>
      <c r="C6555" t="s">
        <v>40</v>
      </c>
      <c r="D6555">
        <v>6.301304</v>
      </c>
      <c r="E6555">
        <v>0.52792519999999998</v>
      </c>
      <c r="F6555" t="s">
        <v>87</v>
      </c>
      <c r="G6555">
        <v>-274.49669999999998</v>
      </c>
      <c r="H6555">
        <v>1.9425330000000001</v>
      </c>
      <c r="I6555">
        <v>13.54374</v>
      </c>
      <c r="J6555">
        <v>-345.9</v>
      </c>
      <c r="K6555">
        <v>1.108835</v>
      </c>
      <c r="L6555">
        <v>17.588379999999901</v>
      </c>
      <c r="M6555">
        <v>0.99981010000000003</v>
      </c>
      <c r="N6555">
        <v>0</v>
      </c>
      <c r="O6555">
        <v>1.8063269999999999E-2</v>
      </c>
      <c r="P6555">
        <v>0.9989266</v>
      </c>
      <c r="Q6555">
        <v>4.1945969999999999E-2</v>
      </c>
      <c r="R6555">
        <v>1.9659619999999999E-2</v>
      </c>
      <c r="S6555">
        <v>3.005188</v>
      </c>
      <c r="T6555">
        <v>3.5014389999999999E-2</v>
      </c>
      <c r="U6555">
        <v>-0.16976930000000001</v>
      </c>
      <c r="V6555">
        <v>-1.5371849999999999E-3</v>
      </c>
      <c r="W6555">
        <v>4.9279099999999999E-2</v>
      </c>
      <c r="X6555">
        <v>0.99878389999999995</v>
      </c>
      <c r="Y6555">
        <v>7.4421689999999999E-2</v>
      </c>
      <c r="Z6555">
        <v>6.4350520000000001E-4</v>
      </c>
      <c r="AA6555">
        <v>0.99722670000000002</v>
      </c>
      <c r="AB6555">
        <v>29</v>
      </c>
      <c r="AC6555">
        <v>71.403300000000002</v>
      </c>
      <c r="AD6555">
        <v>0.83369799999999905</v>
      </c>
      <c r="AE6555">
        <v>-4.0446399999999896</v>
      </c>
      <c r="AF6555">
        <v>5.3330669289508199</v>
      </c>
      <c r="AG6555">
        <v>0.83369799999999905</v>
      </c>
      <c r="AH6555">
        <v>71.308898037640404</v>
      </c>
      <c r="AI6555">
        <v>89.332030228701797</v>
      </c>
      <c r="AJ6555">
        <v>85.722911990948703</v>
      </c>
      <c r="AK6555">
        <v>71.512905091084605</v>
      </c>
      <c r="AL6555">
        <v>87.175371630037702</v>
      </c>
      <c r="AM6555">
        <v>90.088181380667606</v>
      </c>
      <c r="AN6555">
        <v>1.0000000357668699</v>
      </c>
    </row>
    <row r="6556" spans="1:40" x14ac:dyDescent="0.25">
      <c r="A6556" t="str">
        <f>"20190312160501830"</f>
        <v>20190312160501830</v>
      </c>
      <c r="B6556" t="str">
        <f>"1552377901821706"</f>
        <v>1552377901821706</v>
      </c>
      <c r="C6556" t="s">
        <v>40</v>
      </c>
      <c r="D6556">
        <v>6.0576699999999999</v>
      </c>
      <c r="E6556">
        <v>0.52731149999999904</v>
      </c>
      <c r="F6556" t="s">
        <v>87</v>
      </c>
      <c r="G6556">
        <v>-274.49669999999998</v>
      </c>
      <c r="H6556">
        <v>2.1289340000000001</v>
      </c>
      <c r="I6556">
        <v>13.6447</v>
      </c>
      <c r="J6556">
        <v>-345.75540000000001</v>
      </c>
      <c r="K6556">
        <v>1.1088340000000001</v>
      </c>
      <c r="L6556">
        <v>17.59064</v>
      </c>
      <c r="M6556">
        <v>0.99981690000000001</v>
      </c>
      <c r="N6556">
        <v>0</v>
      </c>
      <c r="O6556">
        <v>1.7673310000000001E-2</v>
      </c>
      <c r="P6556">
        <v>0.99892639999999999</v>
      </c>
      <c r="Q6556">
        <v>4.2089679999999997E-2</v>
      </c>
      <c r="R6556">
        <v>1.9359970000000001E-2</v>
      </c>
      <c r="S6556">
        <v>3.0047299999999999</v>
      </c>
      <c r="T6556">
        <v>4.2927029999999998E-2</v>
      </c>
      <c r="U6556">
        <v>-0.16595460000000001</v>
      </c>
      <c r="V6556">
        <v>-1.6262339999999901E-3</v>
      </c>
      <c r="W6556">
        <v>4.9426739999999997E-2</v>
      </c>
      <c r="X6556">
        <v>0.99877640000000001</v>
      </c>
      <c r="Y6556">
        <v>7.2776140000000003E-2</v>
      </c>
      <c r="Z6556">
        <v>7.7174729999999895E-4</v>
      </c>
      <c r="AA6556">
        <v>0.99734800000000001</v>
      </c>
      <c r="AB6556">
        <v>29</v>
      </c>
      <c r="AC6556">
        <v>71.258700000000005</v>
      </c>
      <c r="AD6556">
        <v>1.0201</v>
      </c>
      <c r="AE6556">
        <v>-3.9459399999999998</v>
      </c>
      <c r="AF6556">
        <v>5.2036715178575701</v>
      </c>
      <c r="AG6556">
        <v>1.0201</v>
      </c>
      <c r="AH6556">
        <v>71.1632911023476</v>
      </c>
      <c r="AI6556">
        <v>89.180928559905496</v>
      </c>
      <c r="AJ6556">
        <v>85.817805601027501</v>
      </c>
      <c r="AK6556">
        <v>71.360582969824705</v>
      </c>
      <c r="AL6556">
        <v>87.166901980417094</v>
      </c>
      <c r="AM6556">
        <v>90.093290412508907</v>
      </c>
      <c r="AN6556">
        <v>0.99999997223050396</v>
      </c>
    </row>
    <row r="6557" spans="1:40" x14ac:dyDescent="0.25">
      <c r="A6557" t="str">
        <f>"20190312160501840"</f>
        <v>20190312160501840</v>
      </c>
      <c r="B6557" t="str">
        <f>"1552377901831464"</f>
        <v>1552377901831464</v>
      </c>
      <c r="C6557" t="s">
        <v>40</v>
      </c>
      <c r="D6557">
        <v>5.9367970000000003</v>
      </c>
      <c r="E6557">
        <v>0.52680930000000004</v>
      </c>
      <c r="F6557" t="s">
        <v>87</v>
      </c>
      <c r="G6557">
        <v>-274.49669999999998</v>
      </c>
      <c r="H6557">
        <v>2.2938179999999999</v>
      </c>
      <c r="I6557">
        <v>13.75351</v>
      </c>
      <c r="J6557">
        <v>-345.61590000000001</v>
      </c>
      <c r="K6557">
        <v>1.1088340000000001</v>
      </c>
      <c r="L6557">
        <v>17.592739999999999</v>
      </c>
      <c r="M6557">
        <v>0.99982349999999998</v>
      </c>
      <c r="N6557">
        <v>0</v>
      </c>
      <c r="O6557">
        <v>1.729729E-2</v>
      </c>
      <c r="P6557">
        <v>0.99893180000000004</v>
      </c>
      <c r="Q6557">
        <v>4.2164100000000003E-2</v>
      </c>
      <c r="R6557">
        <v>1.891143E-2</v>
      </c>
      <c r="S6557">
        <v>3.0042719999999998</v>
      </c>
      <c r="T6557">
        <v>4.9959179999999999E-2</v>
      </c>
      <c r="U6557">
        <v>-0.16177369999999999</v>
      </c>
      <c r="V6557">
        <v>-1.5533599999999999E-3</v>
      </c>
      <c r="W6557">
        <v>4.9505319999999998E-2</v>
      </c>
      <c r="X6557">
        <v>0.99877269999999896</v>
      </c>
      <c r="Y6557">
        <v>7.1022500000000002E-2</v>
      </c>
      <c r="Z6557">
        <v>8.7750739999999995E-4</v>
      </c>
      <c r="AA6557">
        <v>0.99747430000000004</v>
      </c>
      <c r="AB6557">
        <v>29</v>
      </c>
      <c r="AC6557">
        <v>71.119200000000006</v>
      </c>
      <c r="AD6557">
        <v>1.18498399999999</v>
      </c>
      <c r="AE6557">
        <v>-3.8392299999999899</v>
      </c>
      <c r="AF6557">
        <v>5.06745534681738</v>
      </c>
      <c r="AG6557">
        <v>1.18498399999999</v>
      </c>
      <c r="AH6557">
        <v>71.0224892794146</v>
      </c>
      <c r="AI6557">
        <v>89.046553157983695</v>
      </c>
      <c r="AJ6557">
        <v>85.918861613108504</v>
      </c>
      <c r="AK6557">
        <v>71.212901037781094</v>
      </c>
      <c r="AL6557">
        <v>87.162394374531004</v>
      </c>
      <c r="AM6557">
        <v>90.089110265332806</v>
      </c>
      <c r="AN6557">
        <v>1.0000000479504301</v>
      </c>
    </row>
    <row r="6558" spans="1:40" x14ac:dyDescent="0.25">
      <c r="A6558" t="str">
        <f>"20190312160501851"</f>
        <v>20190312160501851</v>
      </c>
      <c r="B6558" t="str">
        <f>"1552377901842201"</f>
        <v>1552377901842201</v>
      </c>
      <c r="C6558" t="s">
        <v>40</v>
      </c>
      <c r="D6558">
        <v>6.3067120000000001</v>
      </c>
      <c r="E6558">
        <v>0.52686669999999902</v>
      </c>
      <c r="F6558" t="s">
        <v>87</v>
      </c>
      <c r="G6558">
        <v>-274.49669999999998</v>
      </c>
      <c r="H6558">
        <v>2.456515</v>
      </c>
      <c r="I6558">
        <v>13.829739999999999</v>
      </c>
      <c r="J6558">
        <v>-345.47340000000003</v>
      </c>
      <c r="K6558">
        <v>1.108832</v>
      </c>
      <c r="L6558">
        <v>17.594850000000001</v>
      </c>
      <c r="M6558">
        <v>0.99982990000000005</v>
      </c>
      <c r="N6558">
        <v>0</v>
      </c>
      <c r="O6558">
        <v>1.6912799999999999E-2</v>
      </c>
      <c r="P6558">
        <v>0.99892519999999996</v>
      </c>
      <c r="Q6558">
        <v>4.2523129999999999E-2</v>
      </c>
      <c r="R6558">
        <v>1.8444729999999999E-2</v>
      </c>
      <c r="S6558">
        <v>3.0038149999999999</v>
      </c>
      <c r="T6558">
        <v>5.6921239999999998E-2</v>
      </c>
      <c r="U6558">
        <v>-0.15893550000000001</v>
      </c>
      <c r="V6558">
        <v>-1.4704659999999999E-3</v>
      </c>
      <c r="W6558">
        <v>4.9868700000000002E-2</v>
      </c>
      <c r="X6558">
        <v>0.9987547</v>
      </c>
      <c r="Y6558">
        <v>6.9703899999999999E-2</v>
      </c>
      <c r="Z6558">
        <v>9.8018379999999998E-4</v>
      </c>
      <c r="AA6558">
        <v>0.99756719999999999</v>
      </c>
      <c r="AB6558">
        <v>29</v>
      </c>
      <c r="AC6558">
        <v>70.976699999999994</v>
      </c>
      <c r="AD6558">
        <v>1.347683</v>
      </c>
      <c r="AE6558">
        <v>-3.76511</v>
      </c>
      <c r="AF6558">
        <v>4.9632342784420898</v>
      </c>
      <c r="AG6558">
        <v>1.347683</v>
      </c>
      <c r="AH6558">
        <v>70.877385397317397</v>
      </c>
      <c r="AI6558">
        <v>88.913353163678707</v>
      </c>
      <c r="AJ6558">
        <v>85.994365157833101</v>
      </c>
      <c r="AK6558">
        <v>71.063729881924004</v>
      </c>
      <c r="AL6558">
        <v>87.141548350228007</v>
      </c>
      <c r="AM6558">
        <v>90.084356483970694</v>
      </c>
      <c r="AN6558">
        <v>1.0000000001410101</v>
      </c>
    </row>
    <row r="6559" spans="1:40" x14ac:dyDescent="0.25">
      <c r="A6559" t="str">
        <f>"20190312160501861"</f>
        <v>20190312160501861</v>
      </c>
      <c r="B6559" t="str">
        <f>"1552377901851974"</f>
        <v>1552377901851974</v>
      </c>
      <c r="C6559" t="s">
        <v>40</v>
      </c>
      <c r="D6559">
        <v>6.055472</v>
      </c>
      <c r="E6559">
        <v>0.52643379999999995</v>
      </c>
      <c r="F6559" t="s">
        <v>87</v>
      </c>
      <c r="G6559">
        <v>-274.49669999999998</v>
      </c>
      <c r="H6559">
        <v>2.5379640000000001</v>
      </c>
      <c r="I6559">
        <v>13.7973</v>
      </c>
      <c r="J6559">
        <v>-345.3313</v>
      </c>
      <c r="K6559">
        <v>1.1088309999999999</v>
      </c>
      <c r="L6559">
        <v>17.59686</v>
      </c>
      <c r="M6559">
        <v>0.99983630000000001</v>
      </c>
      <c r="N6559">
        <v>0</v>
      </c>
      <c r="O6559">
        <v>1.652963E-2</v>
      </c>
      <c r="P6559">
        <v>0.99894090000000002</v>
      </c>
      <c r="Q6559">
        <v>4.2455430000000002E-2</v>
      </c>
      <c r="R6559">
        <v>1.7745E-2</v>
      </c>
      <c r="S6559">
        <v>3.0036010000000002</v>
      </c>
      <c r="T6559">
        <v>6.0478329999999997E-2</v>
      </c>
      <c r="U6559">
        <v>-0.1607056</v>
      </c>
      <c r="V6559">
        <v>-1.153292E-3</v>
      </c>
      <c r="W6559">
        <v>4.9804880000000003E-2</v>
      </c>
      <c r="X6559">
        <v>0.99875829999999999</v>
      </c>
      <c r="Y6559">
        <v>6.9909579999999999E-2</v>
      </c>
      <c r="Z6559">
        <v>1.0358419999999999E-3</v>
      </c>
      <c r="AA6559">
        <v>0.99755280000000002</v>
      </c>
      <c r="AB6559">
        <v>29</v>
      </c>
      <c r="AC6559">
        <v>70.834599999999995</v>
      </c>
      <c r="AD6559">
        <v>1.429133</v>
      </c>
      <c r="AE6559">
        <v>-3.79956</v>
      </c>
      <c r="AF6559">
        <v>4.9679258672189901</v>
      </c>
      <c r="AG6559">
        <v>1.429133</v>
      </c>
      <c r="AH6559">
        <v>70.733404903962295</v>
      </c>
      <c r="AI6559">
        <v>88.845368528677199</v>
      </c>
      <c r="AJ6559">
        <v>85.982456496669101</v>
      </c>
      <c r="AK6559">
        <v>70.922050716697001</v>
      </c>
      <c r="AL6559">
        <v>87.145209513034303</v>
      </c>
      <c r="AM6559">
        <v>90.0661608867496</v>
      </c>
      <c r="AN6559">
        <v>0.99999999898656999</v>
      </c>
    </row>
    <row r="6560" spans="1:40" x14ac:dyDescent="0.25">
      <c r="A6560" t="str">
        <f>"20190312160501874"</f>
        <v>20190312160501874</v>
      </c>
      <c r="B6560" t="str">
        <f>"1552377901861722"</f>
        <v>1552377901861722</v>
      </c>
      <c r="C6560" t="s">
        <v>40</v>
      </c>
      <c r="D6560">
        <v>5.9376030000000002</v>
      </c>
      <c r="E6560">
        <v>0.52596129999999996</v>
      </c>
      <c r="F6560" t="s">
        <v>87</v>
      </c>
      <c r="G6560">
        <v>-274.49669999999998</v>
      </c>
      <c r="H6560">
        <v>2.6510630000000002</v>
      </c>
      <c r="I6560">
        <v>13.8402799999999</v>
      </c>
      <c r="J6560">
        <v>-345.17880000000002</v>
      </c>
      <c r="K6560">
        <v>1.108822</v>
      </c>
      <c r="L6560">
        <v>17.599</v>
      </c>
      <c r="M6560">
        <v>0.99984289999999998</v>
      </c>
      <c r="N6560">
        <v>0</v>
      </c>
      <c r="O6560">
        <v>1.6117610000000001E-2</v>
      </c>
      <c r="P6560">
        <v>0.9989555</v>
      </c>
      <c r="Q6560">
        <v>4.2348730000000001E-2</v>
      </c>
      <c r="R6560">
        <v>1.7159899999999999E-2</v>
      </c>
      <c r="S6560">
        <v>3.0032350000000001</v>
      </c>
      <c r="T6560">
        <v>6.5387490000000006E-2</v>
      </c>
      <c r="U6560">
        <v>-0.1592712</v>
      </c>
      <c r="V6560">
        <v>-9.7946709999999996E-4</v>
      </c>
      <c r="W6560">
        <v>4.9702959999999997E-2</v>
      </c>
      <c r="X6560">
        <v>0.99876359999999997</v>
      </c>
      <c r="Y6560">
        <v>6.9027229999999995E-2</v>
      </c>
      <c r="Z6560">
        <v>1.1014919999999999E-3</v>
      </c>
      <c r="AA6560">
        <v>0.99761409999999995</v>
      </c>
      <c r="AB6560">
        <v>29</v>
      </c>
      <c r="AC6560">
        <v>70.682100000000005</v>
      </c>
      <c r="AD6560">
        <v>1.542241</v>
      </c>
      <c r="AE6560">
        <v>-3.7587199999999998</v>
      </c>
      <c r="AF6560">
        <v>4.8951652865791297</v>
      </c>
      <c r="AG6560">
        <v>1.542241</v>
      </c>
      <c r="AH6560">
        <v>70.578828015647105</v>
      </c>
      <c r="AI6560">
        <v>88.751209502654703</v>
      </c>
      <c r="AJ6560">
        <v>86.0324663980916</v>
      </c>
      <c r="AK6560">
        <v>70.765189991600394</v>
      </c>
      <c r="AL6560">
        <v>87.151056446072602</v>
      </c>
      <c r="AM6560">
        <v>90.056188784824897</v>
      </c>
      <c r="AN6560">
        <v>1.00000003613676</v>
      </c>
    </row>
    <row r="6561" spans="1:40" x14ac:dyDescent="0.25">
      <c r="A6561" t="str">
        <f>"20190312160501884"</f>
        <v>20190312160501884</v>
      </c>
      <c r="B6561" t="str">
        <f>"1552377901871481"</f>
        <v>1552377901871481</v>
      </c>
      <c r="C6561" t="s">
        <v>40</v>
      </c>
      <c r="D6561">
        <v>5.9716180000000003</v>
      </c>
      <c r="E6561">
        <v>0.52548539999999999</v>
      </c>
      <c r="F6561" t="s">
        <v>87</v>
      </c>
      <c r="G6561">
        <v>-274.49669999999998</v>
      </c>
      <c r="H6561">
        <v>2.7559800000000001</v>
      </c>
      <c r="I6561">
        <v>13.90033</v>
      </c>
      <c r="J6561">
        <v>-345.03699999999998</v>
      </c>
      <c r="K6561">
        <v>1.108819</v>
      </c>
      <c r="L6561">
        <v>17.600919999999999</v>
      </c>
      <c r="M6561">
        <v>0.99984910000000005</v>
      </c>
      <c r="N6561">
        <v>0</v>
      </c>
      <c r="O6561">
        <v>1.5733770000000001E-2</v>
      </c>
      <c r="P6561">
        <v>0.99895409999999996</v>
      </c>
      <c r="Q6561">
        <v>4.2510619999999999E-2</v>
      </c>
      <c r="R6561">
        <v>1.6843029999999998E-2</v>
      </c>
      <c r="S6561">
        <v>3.002869</v>
      </c>
      <c r="T6561">
        <v>6.9978239999999997E-2</v>
      </c>
      <c r="U6561">
        <v>-0.157135</v>
      </c>
      <c r="V6561">
        <v>-1.0461330000000001E-3</v>
      </c>
      <c r="W6561">
        <v>4.9869650000000001E-2</v>
      </c>
      <c r="X6561">
        <v>0.99875519999999995</v>
      </c>
      <c r="Y6561">
        <v>6.7940379999999995E-2</v>
      </c>
      <c r="Z6561">
        <v>1.157379E-3</v>
      </c>
      <c r="AA6561">
        <v>0.99768869999999998</v>
      </c>
      <c r="AB6561">
        <v>29</v>
      </c>
      <c r="AC6561">
        <v>70.540300000000002</v>
      </c>
      <c r="AD6561">
        <v>1.6471610000000001</v>
      </c>
      <c r="AE6561">
        <v>-3.70059</v>
      </c>
      <c r="AF6561">
        <v>4.8074127936051401</v>
      </c>
      <c r="AG6561">
        <v>1.6471610000000001</v>
      </c>
      <c r="AH6561">
        <v>70.435042532814506</v>
      </c>
      <c r="AI6561">
        <v>88.663460221794494</v>
      </c>
      <c r="AJ6561">
        <v>86.095438767596406</v>
      </c>
      <c r="AK6561">
        <v>70.618124966097895</v>
      </c>
      <c r="AL6561">
        <v>87.141493888090594</v>
      </c>
      <c r="AM6561">
        <v>90.060013688829002</v>
      </c>
      <c r="AN6561">
        <v>1.0000000129561999</v>
      </c>
    </row>
    <row r="6562" spans="1:40" x14ac:dyDescent="0.25">
      <c r="A6562" t="str">
        <f>"20190312160501895"</f>
        <v>20190312160501895</v>
      </c>
      <c r="B6562" t="str">
        <f>"1552377901891977"</f>
        <v>1552377901891977</v>
      </c>
      <c r="C6562" t="s">
        <v>40</v>
      </c>
      <c r="D6562">
        <v>5.9890249999999998</v>
      </c>
      <c r="E6562">
        <v>0.52465740000000005</v>
      </c>
      <c r="F6562" t="s">
        <v>87</v>
      </c>
      <c r="G6562">
        <v>-274.49669999999998</v>
      </c>
      <c r="H6562">
        <v>2.8675120000000001</v>
      </c>
      <c r="I6562">
        <v>13.978120000000001</v>
      </c>
      <c r="J6562">
        <v>-344.8895</v>
      </c>
      <c r="K6562">
        <v>1.1088169999999999</v>
      </c>
      <c r="L6562">
        <v>17.60284</v>
      </c>
      <c r="M6562">
        <v>0.99985550000000001</v>
      </c>
      <c r="N6562">
        <v>0</v>
      </c>
      <c r="O6562">
        <v>1.5332760000000001E-2</v>
      </c>
      <c r="P6562">
        <v>0.99898489999999995</v>
      </c>
      <c r="Q6562">
        <v>4.1867000000000001E-2</v>
      </c>
      <c r="R6562">
        <v>1.662313E-2</v>
      </c>
      <c r="S6562">
        <v>3.0025629999999999</v>
      </c>
      <c r="T6562">
        <v>7.4859259999999997E-2</v>
      </c>
      <c r="U6562">
        <v>-0.15420529999999999</v>
      </c>
      <c r="V6562">
        <v>-1.226668E-3</v>
      </c>
      <c r="W6562">
        <v>4.923052E-2</v>
      </c>
      <c r="X6562">
        <v>0.99878670000000003</v>
      </c>
      <c r="Y6562">
        <v>6.6571870000000005E-2</v>
      </c>
      <c r="Z6562">
        <v>1.2112010000000001E-3</v>
      </c>
      <c r="AA6562">
        <v>0.99778089999999997</v>
      </c>
      <c r="AB6562">
        <v>29</v>
      </c>
      <c r="AC6562">
        <v>70.392799999999994</v>
      </c>
      <c r="AD6562">
        <v>1.7586949999999999</v>
      </c>
      <c r="AE6562">
        <v>-3.6247199999999902</v>
      </c>
      <c r="AF6562">
        <v>4.7007124362267998</v>
      </c>
      <c r="AG6562">
        <v>1.7586949999999999</v>
      </c>
      <c r="AH6562">
        <v>70.2851900842128</v>
      </c>
      <c r="AI6562">
        <v>88.569822337315799</v>
      </c>
      <c r="AJ6562">
        <v>86.173724734412602</v>
      </c>
      <c r="AK6562">
        <v>70.464158624687002</v>
      </c>
      <c r="AL6562">
        <v>87.178158369929605</v>
      </c>
      <c r="AM6562">
        <v>90.070368241713794</v>
      </c>
      <c r="AN6562">
        <v>1.0000000104553699</v>
      </c>
    </row>
    <row r="6563" spans="1:40" x14ac:dyDescent="0.25">
      <c r="A6563" t="str">
        <f>"20190312160501907"</f>
        <v>20190312160501907</v>
      </c>
      <c r="B6563" t="str">
        <f>"1552377901901737"</f>
        <v>1552377901901737</v>
      </c>
      <c r="C6563" t="s">
        <v>40</v>
      </c>
      <c r="D6563">
        <v>6.4736699999999896</v>
      </c>
      <c r="E6563">
        <v>0.52426010000000001</v>
      </c>
      <c r="F6563" t="s">
        <v>87</v>
      </c>
      <c r="G6563">
        <v>-274.15660000000003</v>
      </c>
      <c r="H6563">
        <v>3.0398619999999998</v>
      </c>
      <c r="I6563">
        <v>14.11556</v>
      </c>
      <c r="J6563">
        <v>-344.73050000000001</v>
      </c>
      <c r="K6563">
        <v>1.1088119999999999</v>
      </c>
      <c r="L6563">
        <v>17.60492</v>
      </c>
      <c r="M6563">
        <v>0.99986180000000002</v>
      </c>
      <c r="N6563">
        <v>0</v>
      </c>
      <c r="O6563">
        <v>1.4899920000000001E-2</v>
      </c>
      <c r="P6563">
        <v>0.99899300000000002</v>
      </c>
      <c r="Q6563">
        <v>4.1883579999999997E-2</v>
      </c>
      <c r="R6563">
        <v>1.6079949999999999E-2</v>
      </c>
      <c r="S6563">
        <v>3.0021059999999999</v>
      </c>
      <c r="T6563">
        <v>8.1959130000000005E-2</v>
      </c>
      <c r="U6563">
        <v>-0.14801029999999901</v>
      </c>
      <c r="V6563">
        <v>-1.1156989999999999E-3</v>
      </c>
      <c r="W6563">
        <v>4.9252440000000001E-2</v>
      </c>
      <c r="X6563">
        <v>0.9987857</v>
      </c>
      <c r="Y6563">
        <v>6.4089750000000001E-2</v>
      </c>
      <c r="Z6563">
        <v>1.28064E-3</v>
      </c>
      <c r="AA6563">
        <v>0.99794329999999998</v>
      </c>
      <c r="AB6563">
        <v>29</v>
      </c>
      <c r="AC6563">
        <v>70.573899999999895</v>
      </c>
      <c r="AD6563">
        <v>1.9310499999999999</v>
      </c>
      <c r="AE6563">
        <v>-3.48936</v>
      </c>
      <c r="AF6563">
        <v>4.5371580625518</v>
      </c>
      <c r="AG6563">
        <v>1.9310499999999999</v>
      </c>
      <c r="AH6563">
        <v>70.461447825197197</v>
      </c>
      <c r="AI6563">
        <v>88.433401021833404</v>
      </c>
      <c r="AJ6563">
        <v>86.3156930040183</v>
      </c>
      <c r="AK6563">
        <v>70.63377653085</v>
      </c>
      <c r="AL6563">
        <v>87.176900781535807</v>
      </c>
      <c r="AM6563">
        <v>90.064002535597197</v>
      </c>
      <c r="AN6563">
        <v>0.99999996107735001</v>
      </c>
    </row>
    <row r="6564" spans="1:40" x14ac:dyDescent="0.25">
      <c r="A6564" t="str">
        <f>"20190312160501918"</f>
        <v>20190312160501918</v>
      </c>
      <c r="B6564" t="str">
        <f>"1552377901911498"</f>
        <v>1552377901911498</v>
      </c>
      <c r="C6564" t="s">
        <v>40</v>
      </c>
      <c r="D6564">
        <v>6.0055860000000001</v>
      </c>
      <c r="E6564">
        <v>0.52388009999999996</v>
      </c>
      <c r="F6564" t="s">
        <v>87</v>
      </c>
      <c r="G6564">
        <v>-274.15660000000003</v>
      </c>
      <c r="H6564">
        <v>3.119875</v>
      </c>
      <c r="I6564">
        <v>14.163869999999999</v>
      </c>
      <c r="J6564">
        <v>-344.58409999999998</v>
      </c>
      <c r="K6564">
        <v>1.1088089999999999</v>
      </c>
      <c r="L6564">
        <v>17.60669</v>
      </c>
      <c r="M6564">
        <v>0.99986779999999997</v>
      </c>
      <c r="N6564">
        <v>0</v>
      </c>
      <c r="O6564">
        <v>1.4497350000000001E-2</v>
      </c>
      <c r="P6564">
        <v>0.99900659999999997</v>
      </c>
      <c r="Q6564">
        <v>4.1705020000000002E-2</v>
      </c>
      <c r="R6564">
        <v>1.5712219999999999E-2</v>
      </c>
      <c r="S6564">
        <v>3.0018009999999999</v>
      </c>
      <c r="T6564">
        <v>8.5538980000000001E-2</v>
      </c>
      <c r="U6564">
        <v>-0.146362299999999</v>
      </c>
      <c r="V6564">
        <v>-1.149523E-3</v>
      </c>
      <c r="W6564">
        <v>4.90786E-2</v>
      </c>
      <c r="X6564">
        <v>0.99879430000000002</v>
      </c>
      <c r="Y6564">
        <v>6.31443E-2</v>
      </c>
      <c r="Z6564">
        <v>1.311783E-3</v>
      </c>
      <c r="AA6564">
        <v>0.99800350000000004</v>
      </c>
      <c r="AB6564">
        <v>30</v>
      </c>
      <c r="AC6564">
        <v>70.427499999999895</v>
      </c>
      <c r="AD6564">
        <v>2.011066</v>
      </c>
      <c r="AE6564">
        <v>-3.44281999999999</v>
      </c>
      <c r="AF6564">
        <v>4.4598700729830201</v>
      </c>
      <c r="AG6564">
        <v>2.011066</v>
      </c>
      <c r="AH6564">
        <v>70.312988919978494</v>
      </c>
      <c r="AI6564">
        <v>88.364977965508999</v>
      </c>
      <c r="AJ6564">
        <v>86.370658185326306</v>
      </c>
      <c r="AK6564">
        <v>70.482985453123803</v>
      </c>
      <c r="AL6564">
        <v>87.186873368334702</v>
      </c>
      <c r="AM6564">
        <v>90.065942293896398</v>
      </c>
      <c r="AN6564">
        <v>1.0000000420467801</v>
      </c>
    </row>
    <row r="6565" spans="1:40" x14ac:dyDescent="0.25">
      <c r="A6565" t="str">
        <f>"20190312160501930"</f>
        <v>20190312160501930</v>
      </c>
      <c r="B6565" t="str">
        <f>"1552377901922233"</f>
        <v>1552377901922233</v>
      </c>
      <c r="C6565" t="s">
        <v>40</v>
      </c>
      <c r="D6565">
        <v>5.9571209999999999</v>
      </c>
      <c r="E6565">
        <v>0.52395729999999996</v>
      </c>
      <c r="F6565" t="s">
        <v>87</v>
      </c>
      <c r="G6565">
        <v>-274.15660000000003</v>
      </c>
      <c r="H6565">
        <v>3.179459</v>
      </c>
      <c r="I6565">
        <v>14.220470000000001</v>
      </c>
      <c r="J6565">
        <v>-344.43979999999999</v>
      </c>
      <c r="K6565">
        <v>1.108806</v>
      </c>
      <c r="L6565">
        <v>17.608429999999998</v>
      </c>
      <c r="M6565">
        <v>0.99987329999999996</v>
      </c>
      <c r="N6565">
        <v>0</v>
      </c>
      <c r="O6565">
        <v>1.4099779999999999E-2</v>
      </c>
      <c r="P6565">
        <v>0.9990156</v>
      </c>
      <c r="Q6565">
        <v>4.1580770000000003E-2</v>
      </c>
      <c r="R6565">
        <v>1.5458599999999999E-2</v>
      </c>
      <c r="S6565">
        <v>3.0015559999999999</v>
      </c>
      <c r="T6565">
        <v>8.8249330000000001E-2</v>
      </c>
      <c r="U6565">
        <v>-0.14431759999999999</v>
      </c>
      <c r="V6565">
        <v>-1.292886E-3</v>
      </c>
      <c r="W6565">
        <v>4.8958580000000002E-2</v>
      </c>
      <c r="X6565">
        <v>0.99880000000000002</v>
      </c>
      <c r="Y6565">
        <v>6.2071729999999999E-2</v>
      </c>
      <c r="Z6565">
        <v>1.326025E-3</v>
      </c>
      <c r="AA6565">
        <v>0.99807080000000004</v>
      </c>
      <c r="AB6565">
        <v>30</v>
      </c>
      <c r="AC6565">
        <v>70.283199999999894</v>
      </c>
      <c r="AD6565">
        <v>2.0706530000000001</v>
      </c>
      <c r="AE6565">
        <v>-3.3879599999999899</v>
      </c>
      <c r="AF6565">
        <v>4.3748394115021298</v>
      </c>
      <c r="AG6565">
        <v>2.0706530000000001</v>
      </c>
      <c r="AH6565">
        <v>70.167678981234801</v>
      </c>
      <c r="AI6565">
        <v>88.312962131603797</v>
      </c>
      <c r="AJ6565">
        <v>86.432320474286101</v>
      </c>
      <c r="AK6565">
        <v>70.334415454572905</v>
      </c>
      <c r="AL6565">
        <v>87.193758241990594</v>
      </c>
      <c r="AM6565">
        <v>90.074165868860405</v>
      </c>
      <c r="AN6565">
        <v>1.0000000270549101</v>
      </c>
    </row>
    <row r="6566" spans="1:40" x14ac:dyDescent="0.25">
      <c r="A6566" t="str">
        <f>"20190312160501940"</f>
        <v>20190312160501940</v>
      </c>
      <c r="B6566" t="str">
        <f>"1552377901931993"</f>
        <v>1552377901931993</v>
      </c>
      <c r="C6566" t="s">
        <v>40</v>
      </c>
      <c r="D6566">
        <v>6.0519569999999998</v>
      </c>
      <c r="E6566">
        <v>0.52364940000000004</v>
      </c>
      <c r="F6566" t="s">
        <v>87</v>
      </c>
      <c r="G6566">
        <v>-274.15660000000003</v>
      </c>
      <c r="H6566">
        <v>3.0582240000000001</v>
      </c>
      <c r="I6566">
        <v>14.19434</v>
      </c>
      <c r="J6566">
        <v>-344.29020000000003</v>
      </c>
      <c r="K6566">
        <v>1.1088020000000001</v>
      </c>
      <c r="L6566">
        <v>17.610109999999999</v>
      </c>
      <c r="M6566">
        <v>0.99987919999999997</v>
      </c>
      <c r="N6566">
        <v>0</v>
      </c>
      <c r="O6566">
        <v>1.368252E-2</v>
      </c>
      <c r="P6566">
        <v>0.99899729999999998</v>
      </c>
      <c r="Q6566">
        <v>4.2142300000000001E-2</v>
      </c>
      <c r="R6566">
        <v>1.512457E-2</v>
      </c>
      <c r="S6566">
        <v>3.0017399999999999</v>
      </c>
      <c r="T6566">
        <v>8.3258150000000003E-2</v>
      </c>
      <c r="U6566">
        <v>-0.145813</v>
      </c>
      <c r="V6566">
        <v>-1.3747640000000001E-3</v>
      </c>
      <c r="W6566">
        <v>4.9525319999999998E-2</v>
      </c>
      <c r="X6566">
        <v>0.99877190000000005</v>
      </c>
      <c r="Y6566">
        <v>6.215209E-2</v>
      </c>
      <c r="Z6566">
        <v>1.240515E-3</v>
      </c>
      <c r="AA6566">
        <v>0.99806589999999995</v>
      </c>
      <c r="AB6566">
        <v>30</v>
      </c>
      <c r="AC6566">
        <v>70.133600000000001</v>
      </c>
      <c r="AD6566">
        <v>1.949422</v>
      </c>
      <c r="AE6566">
        <v>-3.41576999999999</v>
      </c>
      <c r="AF6566">
        <v>4.3717110786740196</v>
      </c>
      <c r="AG6566">
        <v>1.949422</v>
      </c>
      <c r="AH6566">
        <v>70.026321923043497</v>
      </c>
      <c r="AI6566">
        <v>88.408484810824902</v>
      </c>
      <c r="AJ6566">
        <v>86.427686984155201</v>
      </c>
      <c r="AK6566">
        <v>70.189727638445802</v>
      </c>
      <c r="AL6566">
        <v>87.161246852241604</v>
      </c>
      <c r="AM6566">
        <v>90.078864979362294</v>
      </c>
      <c r="AN6566">
        <v>0.99999997776338301</v>
      </c>
    </row>
    <row r="6567" spans="1:40" x14ac:dyDescent="0.25">
      <c r="A6567" t="str">
        <f>"20190312160501951"</f>
        <v>20190312160501951</v>
      </c>
      <c r="B6567" t="str">
        <f>"1552377901941752"</f>
        <v>1552377901941752</v>
      </c>
      <c r="C6567" t="s">
        <v>40</v>
      </c>
      <c r="D6567">
        <v>6.1011259999999998</v>
      </c>
      <c r="E6567">
        <v>0.52333099999999999</v>
      </c>
      <c r="F6567" t="s">
        <v>87</v>
      </c>
      <c r="G6567">
        <v>-274.15660000000003</v>
      </c>
      <c r="H6567">
        <v>3.171052</v>
      </c>
      <c r="I6567">
        <v>14.2386</v>
      </c>
      <c r="J6567">
        <v>-344.1454</v>
      </c>
      <c r="K6567">
        <v>1.108795</v>
      </c>
      <c r="L6567">
        <v>17.61176</v>
      </c>
      <c r="M6567">
        <v>0.99988460000000001</v>
      </c>
      <c r="N6567">
        <v>0</v>
      </c>
      <c r="O6567">
        <v>1.327569E-2</v>
      </c>
      <c r="P6567">
        <v>0.99900029999999995</v>
      </c>
      <c r="Q6567">
        <v>4.2112709999999998E-2</v>
      </c>
      <c r="R6567">
        <v>1.4999169999999999E-2</v>
      </c>
      <c r="S6567">
        <v>3.0014340000000002</v>
      </c>
      <c r="T6567">
        <v>8.8256119999999993E-2</v>
      </c>
      <c r="U6567">
        <v>-0.1442871</v>
      </c>
      <c r="V6567">
        <v>-1.654326E-3</v>
      </c>
      <c r="W6567">
        <v>4.9500089999999997E-2</v>
      </c>
      <c r="X6567">
        <v>0.99877269999999896</v>
      </c>
      <c r="Y6567">
        <v>6.1241650000000002E-2</v>
      </c>
      <c r="Z6567">
        <v>1.289772E-3</v>
      </c>
      <c r="AA6567">
        <v>0.99812219999999996</v>
      </c>
      <c r="AB6567">
        <v>30</v>
      </c>
      <c r="AC6567">
        <v>69.988799999999898</v>
      </c>
      <c r="AD6567">
        <v>2.0622569999999998</v>
      </c>
      <c r="AE6567">
        <v>-3.3731599999999999</v>
      </c>
      <c r="AF6567">
        <v>4.29831445073021</v>
      </c>
      <c r="AG6567">
        <v>2.0622569999999998</v>
      </c>
      <c r="AH6567">
        <v>69.877321483827899</v>
      </c>
      <c r="AI6567">
        <v>88.312734135867103</v>
      </c>
      <c r="AJ6567">
        <v>86.480040170662505</v>
      </c>
      <c r="AK6567">
        <v>70.039763483364496</v>
      </c>
      <c r="AL6567">
        <v>87.162694123931004</v>
      </c>
      <c r="AM6567">
        <v>90.094902284630294</v>
      </c>
      <c r="AN6567">
        <v>0.99999995098490402</v>
      </c>
    </row>
    <row r="6568" spans="1:40" x14ac:dyDescent="0.25">
      <c r="A6568" t="str">
        <f>"20190312160501962"</f>
        <v>20190312160501962</v>
      </c>
      <c r="B6568" t="str">
        <f>"1552377901951513"</f>
        <v>1552377901951513</v>
      </c>
      <c r="C6568" t="s">
        <v>40</v>
      </c>
      <c r="D6568">
        <v>5.9479199999999999</v>
      </c>
      <c r="E6568">
        <v>0.52346700000000002</v>
      </c>
      <c r="F6568" t="s">
        <v>87</v>
      </c>
      <c r="G6568">
        <v>-274.15660000000003</v>
      </c>
      <c r="H6568">
        <v>3.2473420000000002</v>
      </c>
      <c r="I6568">
        <v>14.2997</v>
      </c>
      <c r="J6568">
        <v>-343.99700000000001</v>
      </c>
      <c r="K6568">
        <v>1.108784</v>
      </c>
      <c r="L6568">
        <v>17.613309999999998</v>
      </c>
      <c r="M6568">
        <v>0.99988999999999995</v>
      </c>
      <c r="N6568">
        <v>0</v>
      </c>
      <c r="O6568">
        <v>1.285388E-2</v>
      </c>
      <c r="P6568">
        <v>0.99901229999999996</v>
      </c>
      <c r="Q6568">
        <v>4.1894750000000001E-2</v>
      </c>
      <c r="R6568">
        <v>1.481506E-2</v>
      </c>
      <c r="S6568">
        <v>3.0012819999999998</v>
      </c>
      <c r="T6568">
        <v>9.1706040000000003E-2</v>
      </c>
      <c r="U6568">
        <v>-0.14202879999999901</v>
      </c>
      <c r="V6568">
        <v>-1.8910439999999999E-3</v>
      </c>
      <c r="W6568">
        <v>4.9287669999999999E-2</v>
      </c>
      <c r="X6568">
        <v>0.99878279999999997</v>
      </c>
      <c r="Y6568">
        <v>6.0071819999999998E-2</v>
      </c>
      <c r="Z6568">
        <v>1.3095190000000001E-3</v>
      </c>
      <c r="AA6568">
        <v>0.9981932</v>
      </c>
      <c r="AB6568">
        <v>30</v>
      </c>
      <c r="AC6568">
        <v>69.840399999999903</v>
      </c>
      <c r="AD6568">
        <v>2.1385580000000002</v>
      </c>
      <c r="AE6568">
        <v>-3.3136100000000002</v>
      </c>
      <c r="AF6568">
        <v>4.2071450770402201</v>
      </c>
      <c r="AG6568">
        <v>2.1385580000000002</v>
      </c>
      <c r="AH6568">
        <v>69.726805266267704</v>
      </c>
      <c r="AI6568">
        <v>88.246445957926696</v>
      </c>
      <c r="AJ6568">
        <v>86.547098820408294</v>
      </c>
      <c r="AK6568">
        <v>69.886342533134794</v>
      </c>
      <c r="AL6568">
        <v>87.174879810616105</v>
      </c>
      <c r="AM6568">
        <v>90.108480753378302</v>
      </c>
      <c r="AN6568">
        <v>0.99999996601863805</v>
      </c>
    </row>
    <row r="6569" spans="1:40" x14ac:dyDescent="0.25">
      <c r="A6569" t="str">
        <f>"20190312160501974"</f>
        <v>20190312160501974</v>
      </c>
      <c r="B6569" t="str">
        <f>"1552377901972009"</f>
        <v>1552377901972009</v>
      </c>
      <c r="C6569" t="s">
        <v>40</v>
      </c>
      <c r="D6569">
        <v>6.2278379999999904</v>
      </c>
      <c r="E6569">
        <v>0.52344950000000001</v>
      </c>
      <c r="F6569" t="s">
        <v>87</v>
      </c>
      <c r="G6569">
        <v>-274.15660000000003</v>
      </c>
      <c r="H6569">
        <v>3.050354</v>
      </c>
      <c r="I6569">
        <v>14.26529</v>
      </c>
      <c r="J6569">
        <v>-343.83960000000002</v>
      </c>
      <c r="K6569">
        <v>1.10877</v>
      </c>
      <c r="L6569">
        <v>17.614899999999999</v>
      </c>
      <c r="M6569">
        <v>0.9998958</v>
      </c>
      <c r="N6569">
        <v>0</v>
      </c>
      <c r="O6569">
        <v>1.239759E-2</v>
      </c>
      <c r="P6569">
        <v>0.99903249999999999</v>
      </c>
      <c r="Q6569">
        <v>4.1472549999999997E-2</v>
      </c>
      <c r="R6569">
        <v>1.4632539999999999E-2</v>
      </c>
      <c r="S6569">
        <v>3.0015869999999998</v>
      </c>
      <c r="T6569">
        <v>8.3444480000000001E-2</v>
      </c>
      <c r="U6569">
        <v>-0.1438904</v>
      </c>
      <c r="V6569">
        <v>-2.1639820000000001E-3</v>
      </c>
      <c r="W6569">
        <v>4.8870940000000002E-2</v>
      </c>
      <c r="X6569">
        <v>0.99880279999999999</v>
      </c>
      <c r="Y6569">
        <v>6.0235150000000001E-2</v>
      </c>
      <c r="Z6569">
        <v>1.181049E-3</v>
      </c>
      <c r="AA6569">
        <v>0.9981835</v>
      </c>
      <c r="AB6569">
        <v>30</v>
      </c>
      <c r="AC6569">
        <v>69.682999999999893</v>
      </c>
      <c r="AD6569">
        <v>1.941584</v>
      </c>
      <c r="AE6569">
        <v>-3.34960999999999</v>
      </c>
      <c r="AF6569">
        <v>4.2100165259526801</v>
      </c>
      <c r="AG6569">
        <v>1.941584</v>
      </c>
      <c r="AH6569">
        <v>69.582220364272303</v>
      </c>
      <c r="AI6569">
        <v>88.404580865365801</v>
      </c>
      <c r="AJ6569">
        <v>86.537585643433601</v>
      </c>
      <c r="AK6569">
        <v>69.736499613903703</v>
      </c>
      <c r="AL6569">
        <v>87.198785705146804</v>
      </c>
      <c r="AM6569">
        <v>90.1241354565108</v>
      </c>
      <c r="AN6569">
        <v>1.0000000424412001</v>
      </c>
    </row>
    <row r="6570" spans="1:40" x14ac:dyDescent="0.25">
      <c r="A6570" t="str">
        <f>"20190312160501988"</f>
        <v>20190312160501988</v>
      </c>
      <c r="B6570" t="str">
        <f>"1552377901981769"</f>
        <v>1552377901981769</v>
      </c>
      <c r="C6570" t="s">
        <v>40</v>
      </c>
      <c r="D6570">
        <v>6.1415480000000002</v>
      </c>
      <c r="E6570">
        <v>0.55680969999999996</v>
      </c>
      <c r="F6570" t="s">
        <v>87</v>
      </c>
      <c r="G6570">
        <v>-274.15660000000003</v>
      </c>
      <c r="H6570">
        <v>3.134998</v>
      </c>
      <c r="I6570">
        <v>14.267139999999999</v>
      </c>
      <c r="J6570">
        <v>-343.66239999999999</v>
      </c>
      <c r="K6570">
        <v>1.108752</v>
      </c>
      <c r="L6570">
        <v>17.61664</v>
      </c>
      <c r="M6570">
        <v>0.99990210000000002</v>
      </c>
      <c r="N6570">
        <v>0</v>
      </c>
      <c r="O6570">
        <v>1.187683E-2</v>
      </c>
      <c r="P6570">
        <v>0.99907590000000002</v>
      </c>
      <c r="Q6570">
        <v>4.0705169999999999E-2</v>
      </c>
      <c r="R6570">
        <v>1.380754E-2</v>
      </c>
      <c r="S6570">
        <v>3.001404</v>
      </c>
      <c r="T6570">
        <v>8.7274309999999994E-2</v>
      </c>
      <c r="U6570">
        <v>-0.14419560000000001</v>
      </c>
      <c r="V6570">
        <v>-1.8582889999999999E-3</v>
      </c>
      <c r="W6570">
        <v>4.8108900000000003E-2</v>
      </c>
      <c r="X6570">
        <v>0.99884039999999996</v>
      </c>
      <c r="Y6570">
        <v>5.9817219999999997E-2</v>
      </c>
      <c r="Z6570">
        <v>1.2141020000000001E-3</v>
      </c>
      <c r="AA6570">
        <v>0.9982086</v>
      </c>
      <c r="AB6570">
        <v>30</v>
      </c>
      <c r="AC6570">
        <v>69.505799999999894</v>
      </c>
      <c r="AD6570">
        <v>2.026246</v>
      </c>
      <c r="AE6570">
        <v>-3.3494999999999999</v>
      </c>
      <c r="AF6570">
        <v>4.1712581719858504</v>
      </c>
      <c r="AG6570">
        <v>2.026246</v>
      </c>
      <c r="AH6570">
        <v>69.402269955806801</v>
      </c>
      <c r="AI6570">
        <v>88.330696790669805</v>
      </c>
      <c r="AJ6570">
        <v>86.560511142579998</v>
      </c>
      <c r="AK6570">
        <v>69.557027988612006</v>
      </c>
      <c r="AL6570">
        <v>87.242498772536393</v>
      </c>
      <c r="AM6570">
        <v>90.106595602233597</v>
      </c>
      <c r="AN6570">
        <v>1.00000003208468</v>
      </c>
    </row>
    <row r="6571" spans="1:40" x14ac:dyDescent="0.25">
      <c r="A6571" t="str">
        <f>"20190312160502001"</f>
        <v>20190312160502001</v>
      </c>
      <c r="B6571" t="str">
        <f>"1552377901991529"</f>
        <v>1552377901991529</v>
      </c>
      <c r="C6571" t="s">
        <v>40</v>
      </c>
      <c r="D6571">
        <v>6.1284000000000001</v>
      </c>
      <c r="E6571">
        <v>0.55940849999999998</v>
      </c>
      <c r="F6571" t="s">
        <v>90</v>
      </c>
      <c r="G6571">
        <v>-241.47579999999999</v>
      </c>
      <c r="H6571">
        <v>14.930630000000001</v>
      </c>
      <c r="I6571">
        <v>3.8215710000000001</v>
      </c>
      <c r="J6571">
        <v>-343.4796</v>
      </c>
      <c r="K6571">
        <v>1.1087279999999999</v>
      </c>
      <c r="L6571">
        <v>17.618259999999999</v>
      </c>
      <c r="M6571">
        <v>0.99990849999999998</v>
      </c>
      <c r="N6571">
        <v>0</v>
      </c>
      <c r="O6571">
        <v>1.131865E-2</v>
      </c>
      <c r="P6571">
        <v>0.99910220000000005</v>
      </c>
      <c r="Q6571">
        <v>4.0244509999999997E-2</v>
      </c>
      <c r="R6571">
        <v>1.3224919999999999E-2</v>
      </c>
      <c r="S6571">
        <v>2.9918819999999999</v>
      </c>
      <c r="T6571">
        <v>0.40468510000000002</v>
      </c>
      <c r="U6571">
        <v>-0.40390009999999998</v>
      </c>
      <c r="V6571">
        <v>-1.831657E-3</v>
      </c>
      <c r="W6571">
        <v>4.7654519999999999E-2</v>
      </c>
      <c r="X6571">
        <v>0.99886220000000003</v>
      </c>
      <c r="Y6571">
        <v>0.1436075</v>
      </c>
      <c r="Z6571">
        <v>1.114271E-2</v>
      </c>
      <c r="AA6571">
        <v>0.98957200000000001</v>
      </c>
      <c r="AB6571">
        <v>30</v>
      </c>
      <c r="AC6571">
        <v>102.0038</v>
      </c>
      <c r="AD6571">
        <v>13.8219019999999</v>
      </c>
      <c r="AE6571">
        <v>-13.796689000000001</v>
      </c>
      <c r="AF6571">
        <v>14.6855804985896</v>
      </c>
      <c r="AG6571">
        <v>13.8219019999999</v>
      </c>
      <c r="AH6571">
        <v>100.037288388257</v>
      </c>
      <c r="AI6571">
        <v>82.2157825123073</v>
      </c>
      <c r="AJ6571">
        <v>81.648570248243203</v>
      </c>
      <c r="AK6571">
        <v>102.049842320081</v>
      </c>
      <c r="AL6571">
        <v>87.268562639397302</v>
      </c>
      <c r="AM6571">
        <v>90.105065641671601</v>
      </c>
      <c r="AN6571">
        <v>1.00000000141631</v>
      </c>
    </row>
    <row r="6572" spans="1:40" x14ac:dyDescent="0.25">
      <c r="A6572" t="str">
        <f>"20190312160502014"</f>
        <v>20190312160502014</v>
      </c>
      <c r="B6572" t="str">
        <f>"1552377902001929"</f>
        <v>1552377902001929</v>
      </c>
      <c r="C6572" t="s">
        <v>40</v>
      </c>
      <c r="D6572">
        <v>6.0886040000000001</v>
      </c>
      <c r="E6572">
        <v>0.56087909999999996</v>
      </c>
      <c r="F6572" t="s">
        <v>104</v>
      </c>
      <c r="G6572">
        <v>-252.1525</v>
      </c>
      <c r="H6572">
        <v>13.415319999999999</v>
      </c>
      <c r="I6572">
        <v>4.6043969999999996</v>
      </c>
      <c r="J6572">
        <v>-343.31810000000002</v>
      </c>
      <c r="K6572">
        <v>1.1087100000000001</v>
      </c>
      <c r="L6572">
        <v>17.619599999999998</v>
      </c>
      <c r="M6572">
        <v>0.99991410000000003</v>
      </c>
      <c r="N6572">
        <v>0</v>
      </c>
      <c r="O6572">
        <v>1.0815129999999999E-2</v>
      </c>
      <c r="P6572">
        <v>0.99913790000000002</v>
      </c>
      <c r="Q6572">
        <v>3.9615400000000002E-2</v>
      </c>
      <c r="R6572">
        <v>1.2415890000000001E-2</v>
      </c>
      <c r="S6572">
        <v>2.9920650000000002</v>
      </c>
      <c r="T6572">
        <v>0.40318949999999998</v>
      </c>
      <c r="U6572">
        <v>-0.42636109999999999</v>
      </c>
      <c r="V6572">
        <v>-1.5249679999999901E-3</v>
      </c>
      <c r="W6572">
        <v>4.7030559999999999E-2</v>
      </c>
      <c r="X6572">
        <v>0.99889229999999996</v>
      </c>
      <c r="Y6572">
        <v>0.150342899999999</v>
      </c>
      <c r="Z6572">
        <v>1.1477909999999999E-2</v>
      </c>
      <c r="AA6572">
        <v>0.98856730000000004</v>
      </c>
      <c r="AB6572">
        <v>30</v>
      </c>
      <c r="AC6572">
        <v>91.165599999999998</v>
      </c>
      <c r="AD6572">
        <v>12.306609999999999</v>
      </c>
      <c r="AE6572">
        <v>-13.0152029999999</v>
      </c>
      <c r="AF6572">
        <v>13.754792538525599</v>
      </c>
      <c r="AG6572">
        <v>12.306609999999999</v>
      </c>
      <c r="AH6572">
        <v>89.422524063160097</v>
      </c>
      <c r="AI6572">
        <v>82.253972614609296</v>
      </c>
      <c r="AJ6572">
        <v>81.255414337200193</v>
      </c>
      <c r="AK6572">
        <v>91.307364310314099</v>
      </c>
      <c r="AL6572">
        <v>87.304353077207296</v>
      </c>
      <c r="AM6572">
        <v>90.087471054098501</v>
      </c>
      <c r="AN6572">
        <v>1.0000000130503</v>
      </c>
    </row>
    <row r="6573" spans="1:40" x14ac:dyDescent="0.25">
      <c r="A6573" t="str">
        <f>"20190312160502031"</f>
        <v>20190312160502031</v>
      </c>
      <c r="B6573" t="str">
        <f>"1552377902021448"</f>
        <v>1552377902021448</v>
      </c>
      <c r="C6573" t="s">
        <v>40</v>
      </c>
      <c r="D6573">
        <v>6.123507</v>
      </c>
      <c r="E6573">
        <v>0.56266050000000001</v>
      </c>
      <c r="F6573" t="s">
        <v>104</v>
      </c>
      <c r="G6573">
        <v>-254.88329999999999</v>
      </c>
      <c r="H6573">
        <v>13.29867</v>
      </c>
      <c r="I6573">
        <v>4.6043589999999996</v>
      </c>
      <c r="J6573">
        <v>-343.08600000000001</v>
      </c>
      <c r="K6573">
        <v>1.1086750000000001</v>
      </c>
      <c r="L6573">
        <v>17.621400000000001</v>
      </c>
      <c r="M6573">
        <v>0.99992170000000002</v>
      </c>
      <c r="N6573">
        <v>0</v>
      </c>
      <c r="O6573">
        <v>1.0071220000000001E-2</v>
      </c>
      <c r="P6573">
        <v>0.99916260000000001</v>
      </c>
      <c r="Q6573">
        <v>3.9405000000000003E-2</v>
      </c>
      <c r="R6573">
        <v>1.1023959999999999E-2</v>
      </c>
      <c r="S6573">
        <v>2.9917600000000002</v>
      </c>
      <c r="T6573">
        <v>0.41238829999999999</v>
      </c>
      <c r="U6573">
        <v>-0.44030760000000002</v>
      </c>
      <c r="V6573">
        <v>-8.7290909999999998E-4</v>
      </c>
      <c r="W6573">
        <v>4.6826710000000001E-2</v>
      </c>
      <c r="X6573">
        <v>0.99890259999999997</v>
      </c>
      <c r="Y6573">
        <v>0.15404219999999999</v>
      </c>
      <c r="Z6573">
        <v>1.188559E-2</v>
      </c>
      <c r="AA6573">
        <v>0.9879928</v>
      </c>
      <c r="AB6573">
        <v>30</v>
      </c>
      <c r="AC6573">
        <v>88.202699999999993</v>
      </c>
      <c r="AD6573">
        <v>12.189995</v>
      </c>
      <c r="AE6573">
        <v>-13.017041000000001</v>
      </c>
      <c r="AF6573">
        <v>13.6495588731654</v>
      </c>
      <c r="AG6573">
        <v>12.189995</v>
      </c>
      <c r="AH6573">
        <v>86.451070095323502</v>
      </c>
      <c r="AI6573">
        <v>82.070896678765294</v>
      </c>
      <c r="AJ6573">
        <v>81.027767889261199</v>
      </c>
      <c r="AK6573">
        <v>88.366814790160703</v>
      </c>
      <c r="AL6573">
        <v>87.316045544230903</v>
      </c>
      <c r="AM6573">
        <v>90.050068940252601</v>
      </c>
      <c r="AN6573">
        <v>0.999999953513239</v>
      </c>
    </row>
    <row r="6574" spans="1:40" x14ac:dyDescent="0.25">
      <c r="A6574" t="str">
        <f>"20190312160502040"</f>
        <v>20190312160502040</v>
      </c>
      <c r="B6574" t="str">
        <f>"1552377902032174"</f>
        <v>1552377902032174</v>
      </c>
      <c r="C6574" t="s">
        <v>40</v>
      </c>
      <c r="D6574">
        <v>6.1194509999999998</v>
      </c>
      <c r="E6574">
        <v>0.56353929999999997</v>
      </c>
      <c r="F6574" t="s">
        <v>104</v>
      </c>
      <c r="G6574">
        <v>-258.14749999999998</v>
      </c>
      <c r="H6574">
        <v>12.80688</v>
      </c>
      <c r="I6574">
        <v>4.6041949999999998</v>
      </c>
      <c r="J6574">
        <v>-342.94159999999999</v>
      </c>
      <c r="K6574">
        <v>1.1086530000000001</v>
      </c>
      <c r="L6574">
        <v>17.622440000000001</v>
      </c>
      <c r="M6574">
        <v>0.99992630000000005</v>
      </c>
      <c r="N6574">
        <v>0</v>
      </c>
      <c r="O6574">
        <v>9.5918259999999995E-3</v>
      </c>
      <c r="P6574">
        <v>0.99916680000000002</v>
      </c>
      <c r="Q6574">
        <v>3.9464720000000002E-2</v>
      </c>
      <c r="R6574">
        <v>1.0396600000000001E-2</v>
      </c>
      <c r="S6574">
        <v>2.991333</v>
      </c>
      <c r="T6574">
        <v>0.41198299999999999</v>
      </c>
      <c r="U6574">
        <v>-0.45843509999999998</v>
      </c>
      <c r="V6574">
        <v>-7.2239159999999995E-4</v>
      </c>
      <c r="W6574">
        <v>4.6891009999999997E-2</v>
      </c>
      <c r="X6574">
        <v>0.9988998</v>
      </c>
      <c r="Y6574">
        <v>0.15940090000000001</v>
      </c>
      <c r="Z6574">
        <v>1.217026E-2</v>
      </c>
      <c r="AA6574">
        <v>0.98713890000000004</v>
      </c>
      <c r="AB6574">
        <v>30</v>
      </c>
      <c r="AC6574">
        <v>84.7941</v>
      </c>
      <c r="AD6574">
        <v>11.698226999999999</v>
      </c>
      <c r="AE6574">
        <v>-13.018245</v>
      </c>
      <c r="AF6574">
        <v>13.578509532160499</v>
      </c>
      <c r="AG6574">
        <v>11.698226999999999</v>
      </c>
      <c r="AH6574">
        <v>83.1197340118255</v>
      </c>
      <c r="AI6574">
        <v>82.092308505943393</v>
      </c>
      <c r="AJ6574">
        <v>80.722066756431005</v>
      </c>
      <c r="AK6574">
        <v>85.030080667109303</v>
      </c>
      <c r="AL6574">
        <v>87.312357632369199</v>
      </c>
      <c r="AM6574">
        <v>90.041435570034196</v>
      </c>
      <c r="AN6574">
        <v>1.00000004955424</v>
      </c>
    </row>
    <row r="6575" spans="1:40" x14ac:dyDescent="0.25">
      <c r="A6575" t="str">
        <f>"20190312160502052"</f>
        <v>20190312160502052</v>
      </c>
      <c r="B6575" t="str">
        <f>"1552377902041933"</f>
        <v>1552377902041933</v>
      </c>
      <c r="C6575" t="s">
        <v>40</v>
      </c>
      <c r="D6575">
        <v>6.1211799999999998</v>
      </c>
      <c r="E6575">
        <v>0.56405959999999999</v>
      </c>
      <c r="F6575" t="s">
        <v>104</v>
      </c>
      <c r="G6575">
        <v>-259.57060000000001</v>
      </c>
      <c r="H6575">
        <v>12.630990000000001</v>
      </c>
      <c r="I6575">
        <v>4.604139</v>
      </c>
      <c r="J6575">
        <v>-342.79680000000002</v>
      </c>
      <c r="K6575">
        <v>1.1086320000000001</v>
      </c>
      <c r="L6575">
        <v>17.623349999999999</v>
      </c>
      <c r="M6575">
        <v>0.99993100000000001</v>
      </c>
      <c r="N6575">
        <v>0</v>
      </c>
      <c r="O6575">
        <v>9.1013399999999994E-3</v>
      </c>
      <c r="P6575">
        <v>0.99917699999999998</v>
      </c>
      <c r="Q6575">
        <v>3.9363919999999997E-2</v>
      </c>
      <c r="R6575">
        <v>9.8002929999999999E-3</v>
      </c>
      <c r="S6575">
        <v>2.9909970000000001</v>
      </c>
      <c r="T6575">
        <v>0.41337200000000002</v>
      </c>
      <c r="U6575">
        <v>-0.46704099999999998</v>
      </c>
      <c r="V6575">
        <v>-6.1474769999999895E-4</v>
      </c>
      <c r="W6575">
        <v>4.6794790000000003E-2</v>
      </c>
      <c r="X6575">
        <v>0.99890429999999997</v>
      </c>
      <c r="Y6575">
        <v>0.1616802</v>
      </c>
      <c r="Z6575">
        <v>1.2298369999999999E-2</v>
      </c>
      <c r="AA6575">
        <v>0.98676660000000005</v>
      </c>
      <c r="AB6575">
        <v>30</v>
      </c>
      <c r="AC6575">
        <v>83.226200000000006</v>
      </c>
      <c r="AD6575">
        <v>11.522358000000001</v>
      </c>
      <c r="AE6575">
        <v>-13.019211</v>
      </c>
      <c r="AF6575">
        <v>13.5231507165664</v>
      </c>
      <c r="AG6575">
        <v>11.522358000000001</v>
      </c>
      <c r="AH6575">
        <v>81.577971317213297</v>
      </c>
      <c r="AI6575">
        <v>82.067371981598995</v>
      </c>
      <c r="AJ6575">
        <v>80.587691970605505</v>
      </c>
      <c r="AK6575">
        <v>83.490153571635105</v>
      </c>
      <c r="AL6575">
        <v>87.317876464626707</v>
      </c>
      <c r="AM6575">
        <v>90.035261079793699</v>
      </c>
      <c r="AN6575">
        <v>0.99999996542218295</v>
      </c>
    </row>
    <row r="6576" spans="1:40" x14ac:dyDescent="0.25">
      <c r="A6576" t="str">
        <f>"20190312160502062"</f>
        <v>20190312160502062</v>
      </c>
      <c r="B6576" t="str">
        <f>"1552377902051693"</f>
        <v>1552377902051693</v>
      </c>
      <c r="C6576" t="s">
        <v>40</v>
      </c>
      <c r="D6576">
        <v>6.1188269999999996</v>
      </c>
      <c r="E6576">
        <v>0.56424090000000005</v>
      </c>
      <c r="F6576" t="s">
        <v>104</v>
      </c>
      <c r="G6576">
        <v>-260.43119999999999</v>
      </c>
      <c r="H6576">
        <v>12.50407</v>
      </c>
      <c r="I6576">
        <v>4.6040939999999999</v>
      </c>
      <c r="J6576">
        <v>-342.65100000000001</v>
      </c>
      <c r="K6576">
        <v>1.1086119999999999</v>
      </c>
      <c r="L6576">
        <v>17.62424</v>
      </c>
      <c r="M6576">
        <v>0.99993549999999998</v>
      </c>
      <c r="N6576">
        <v>0</v>
      </c>
      <c r="O6576">
        <v>8.5958860000000005E-3</v>
      </c>
      <c r="P6576">
        <v>0.99920710000000001</v>
      </c>
      <c r="Q6576">
        <v>3.8737800000000003E-2</v>
      </c>
      <c r="R6576">
        <v>9.2095230000000007E-3</v>
      </c>
      <c r="S6576">
        <v>2.9908139999999999</v>
      </c>
      <c r="T6576">
        <v>0.4137846</v>
      </c>
      <c r="U6576">
        <v>-0.4727478</v>
      </c>
      <c r="V6576">
        <v>-5.271211E-4</v>
      </c>
      <c r="W6576">
        <v>4.6174140000000002E-2</v>
      </c>
      <c r="X6576">
        <v>0.99893330000000002</v>
      </c>
      <c r="Y6576">
        <v>0.16301760000000001</v>
      </c>
      <c r="Z6576">
        <v>1.23318E-2</v>
      </c>
      <c r="AA6576">
        <v>0.98654609999999998</v>
      </c>
      <c r="AB6576">
        <v>30</v>
      </c>
      <c r="AC6576">
        <v>82.219800000000006</v>
      </c>
      <c r="AD6576">
        <v>11.395458</v>
      </c>
      <c r="AE6576">
        <v>-13.020146</v>
      </c>
      <c r="AF6576">
        <v>13.473943701551001</v>
      </c>
      <c r="AG6576">
        <v>11.395458</v>
      </c>
      <c r="AH6576">
        <v>80.594551154412798</v>
      </c>
      <c r="AI6576">
        <v>82.060908299335907</v>
      </c>
      <c r="AJ6576">
        <v>80.508961843625301</v>
      </c>
      <c r="AK6576">
        <v>82.5038501991488</v>
      </c>
      <c r="AL6576">
        <v>87.353475754343407</v>
      </c>
      <c r="AM6576">
        <v>90.030234062193102</v>
      </c>
      <c r="AN6576">
        <v>1.00000003345514</v>
      </c>
    </row>
    <row r="6577" spans="1:40" x14ac:dyDescent="0.25">
      <c r="A6577" t="str">
        <f>"20190312160502074"</f>
        <v>20190312160502074</v>
      </c>
      <c r="B6577" t="str">
        <f>"1552377902061453"</f>
        <v>1552377902061453</v>
      </c>
      <c r="C6577" t="s">
        <v>40</v>
      </c>
      <c r="D6577">
        <v>6.063739</v>
      </c>
      <c r="E6577">
        <v>0.56417799999999996</v>
      </c>
      <c r="F6577" t="s">
        <v>104</v>
      </c>
      <c r="G6577">
        <v>-260.82440000000003</v>
      </c>
      <c r="H6577">
        <v>12.37898</v>
      </c>
      <c r="I6577">
        <v>4.6040530000000004</v>
      </c>
      <c r="J6577">
        <v>-342.50569999999999</v>
      </c>
      <c r="K6577">
        <v>1.1085860000000001</v>
      </c>
      <c r="L6577">
        <v>17.624970000000001</v>
      </c>
      <c r="M6577">
        <v>0.99993969999999999</v>
      </c>
      <c r="N6577">
        <v>0</v>
      </c>
      <c r="O6577">
        <v>8.0779059999999993E-3</v>
      </c>
      <c r="P6577">
        <v>0.99922350000000004</v>
      </c>
      <c r="Q6577">
        <v>3.8517259999999998E-2</v>
      </c>
      <c r="R6577">
        <v>8.3200040000000006E-3</v>
      </c>
      <c r="S6577">
        <v>2.9907840000000001</v>
      </c>
      <c r="T6577">
        <v>0.41193489999999999</v>
      </c>
      <c r="U6577">
        <v>-0.47589110000000001</v>
      </c>
      <c r="V6577">
        <v>-1.5368099999999999E-4</v>
      </c>
      <c r="W6577">
        <v>4.5957409999999997E-2</v>
      </c>
      <c r="X6577">
        <v>0.99894340000000004</v>
      </c>
      <c r="Y6577">
        <v>0.16353409999999999</v>
      </c>
      <c r="Z6577">
        <v>1.2240900000000001E-2</v>
      </c>
      <c r="AA6577">
        <v>0.98646180000000006</v>
      </c>
      <c r="AB6577">
        <v>30</v>
      </c>
      <c r="AC6577">
        <v>81.681299999999894</v>
      </c>
      <c r="AD6577">
        <v>11.270394</v>
      </c>
      <c r="AE6577">
        <v>-13.020916999999899</v>
      </c>
      <c r="AF6577">
        <v>13.430955841101699</v>
      </c>
      <c r="AG6577">
        <v>11.270394</v>
      </c>
      <c r="AH6577">
        <v>80.086508620583402</v>
      </c>
      <c r="AI6577">
        <v>82.098421806758296</v>
      </c>
      <c r="AJ6577">
        <v>80.479769993502003</v>
      </c>
      <c r="AK6577">
        <v>81.983298413491795</v>
      </c>
      <c r="AL6577">
        <v>87.365906607651198</v>
      </c>
      <c r="AM6577">
        <v>90.008814586113502</v>
      </c>
      <c r="AN6577">
        <v>1.00000001177765</v>
      </c>
    </row>
    <row r="6578" spans="1:40" x14ac:dyDescent="0.25">
      <c r="A6578" t="str">
        <f>"20190312160502084"</f>
        <v>20190312160502084</v>
      </c>
      <c r="B6578" t="str">
        <f>"1552377902081949"</f>
        <v>1552377902081949</v>
      </c>
      <c r="C6578" t="s">
        <v>40</v>
      </c>
      <c r="D6578">
        <v>6.077172</v>
      </c>
      <c r="E6578">
        <v>0.56471169999999904</v>
      </c>
      <c r="F6578" t="s">
        <v>104</v>
      </c>
      <c r="G6578">
        <v>-261.06299999999999</v>
      </c>
      <c r="H6578">
        <v>12.279350000000001</v>
      </c>
      <c r="I6578">
        <v>4.6040190000000001</v>
      </c>
      <c r="J6578">
        <v>-342.34930000000003</v>
      </c>
      <c r="K6578">
        <v>1.1085640000000001</v>
      </c>
      <c r="L6578">
        <v>17.625729999999901</v>
      </c>
      <c r="M6578">
        <v>0.99994400000000006</v>
      </c>
      <c r="N6578">
        <v>0</v>
      </c>
      <c r="O6578">
        <v>7.5104869999999997E-3</v>
      </c>
      <c r="P6578">
        <v>0.99925169999999996</v>
      </c>
      <c r="Q6578">
        <v>3.8008029999999998E-2</v>
      </c>
      <c r="R6578">
        <v>7.1699750000000003E-3</v>
      </c>
      <c r="S6578">
        <v>2.9905089999999999</v>
      </c>
      <c r="T6578">
        <v>0.41018149999999998</v>
      </c>
      <c r="U6578">
        <v>-0.47811890000000001</v>
      </c>
      <c r="V6578">
        <v>4.311041E-4</v>
      </c>
      <c r="W6578">
        <v>4.5452489999999998E-2</v>
      </c>
      <c r="X6578">
        <v>0.99896640000000003</v>
      </c>
      <c r="Y6578">
        <v>0.1637219</v>
      </c>
      <c r="Z6578">
        <v>1.212541E-2</v>
      </c>
      <c r="AA6578">
        <v>0.98643199999999998</v>
      </c>
      <c r="AB6578">
        <v>30</v>
      </c>
      <c r="AC6578">
        <v>81.286299999999997</v>
      </c>
      <c r="AD6578">
        <v>11.170786</v>
      </c>
      <c r="AE6578">
        <v>-13.0217109999999</v>
      </c>
      <c r="AF6578">
        <v>13.3853930623296</v>
      </c>
      <c r="AG6578">
        <v>11.170786</v>
      </c>
      <c r="AH6578">
        <v>79.718339004338006</v>
      </c>
      <c r="AI6578">
        <v>82.131921019573497</v>
      </c>
      <c r="AJ6578">
        <v>80.4684585468965</v>
      </c>
      <c r="AK6578">
        <v>81.602504746492997</v>
      </c>
      <c r="AL6578">
        <v>87.394866603534695</v>
      </c>
      <c r="AM6578">
        <v>89.975273999278201</v>
      </c>
      <c r="AN6578">
        <v>0.99999999151345198</v>
      </c>
    </row>
    <row r="6579" spans="1:40" x14ac:dyDescent="0.25">
      <c r="A6579" t="str">
        <f>"20190312160502097"</f>
        <v>20190312160502097</v>
      </c>
      <c r="B6579" t="str">
        <f>"1552377902091709"</f>
        <v>1552377902091709</v>
      </c>
      <c r="C6579" t="s">
        <v>40</v>
      </c>
      <c r="D6579">
        <v>6.079815</v>
      </c>
      <c r="E6579">
        <v>0.56503359999999903</v>
      </c>
      <c r="F6579" t="s">
        <v>104</v>
      </c>
      <c r="G6579">
        <v>-264.98669999999998</v>
      </c>
      <c r="H6579">
        <v>11.71519</v>
      </c>
      <c r="I6579">
        <v>5.0509550000000001</v>
      </c>
      <c r="J6579">
        <v>-342.18810000000002</v>
      </c>
      <c r="K6579">
        <v>1.1085419999999999</v>
      </c>
      <c r="L6579">
        <v>17.626339999999999</v>
      </c>
      <c r="M6579">
        <v>0.99994839999999996</v>
      </c>
      <c r="N6579">
        <v>0</v>
      </c>
      <c r="O6579">
        <v>6.9039569999999996E-3</v>
      </c>
      <c r="P6579">
        <v>0.99927259999999996</v>
      </c>
      <c r="Q6579">
        <v>3.7659190000000002E-2</v>
      </c>
      <c r="R6579">
        <v>6.0358149999999999E-3</v>
      </c>
      <c r="S6579">
        <v>2.9901119999999999</v>
      </c>
      <c r="T6579">
        <v>0.40995280000000001</v>
      </c>
      <c r="U6579">
        <v>-0.48602289999999998</v>
      </c>
      <c r="V6579">
        <v>9.6107449999999997E-4</v>
      </c>
      <c r="W6579">
        <v>4.5107620000000001E-2</v>
      </c>
      <c r="X6579">
        <v>0.99898169999999997</v>
      </c>
      <c r="Y6579">
        <v>0.16567509999999999</v>
      </c>
      <c r="Z6579">
        <v>1.216794E-2</v>
      </c>
      <c r="AA6579">
        <v>0.98610529999999996</v>
      </c>
      <c r="AB6579">
        <v>30</v>
      </c>
      <c r="AC6579">
        <v>77.201400000000007</v>
      </c>
      <c r="AD6579">
        <v>10.606648</v>
      </c>
      <c r="AE6579">
        <v>-12.575385000000001</v>
      </c>
      <c r="AF6579">
        <v>12.8714164915854</v>
      </c>
      <c r="AG6579">
        <v>10.606648</v>
      </c>
      <c r="AH6579">
        <v>75.720396150432506</v>
      </c>
      <c r="AI6579">
        <v>82.137436716723201</v>
      </c>
      <c r="AJ6579">
        <v>80.352727506762506</v>
      </c>
      <c r="AK6579">
        <v>77.535493404467303</v>
      </c>
      <c r="AL6579">
        <v>87.414646583826695</v>
      </c>
      <c r="AM6579">
        <v>89.944878373989098</v>
      </c>
      <c r="AN6579">
        <v>1.0000000289905699</v>
      </c>
    </row>
    <row r="6580" spans="1:40" x14ac:dyDescent="0.25">
      <c r="A6580" t="str">
        <f>"20190312160502107"</f>
        <v>20190312160502107</v>
      </c>
      <c r="B6580" t="str">
        <f>"1552377902102023"</f>
        <v>1552377902102023</v>
      </c>
      <c r="C6580" t="s">
        <v>40</v>
      </c>
      <c r="D6580">
        <v>6.1098699999999999</v>
      </c>
      <c r="E6580">
        <v>0.56515360000000003</v>
      </c>
      <c r="F6580" t="s">
        <v>104</v>
      </c>
      <c r="G6580">
        <v>-265.7654</v>
      </c>
      <c r="H6580">
        <v>11.608449999999999</v>
      </c>
      <c r="I6580">
        <v>5.0488910000000002</v>
      </c>
      <c r="J6580">
        <v>-342.04180000000002</v>
      </c>
      <c r="K6580">
        <v>1.1085229999999999</v>
      </c>
      <c r="L6580">
        <v>17.62689</v>
      </c>
      <c r="M6580">
        <v>0.99995210000000001</v>
      </c>
      <c r="N6580">
        <v>0</v>
      </c>
      <c r="O6580">
        <v>6.3488919999999897E-3</v>
      </c>
      <c r="P6580">
        <v>0.99927359999999998</v>
      </c>
      <c r="Q6580">
        <v>3.7786779999999999E-2</v>
      </c>
      <c r="R6580">
        <v>4.9625379999999998E-3</v>
      </c>
      <c r="S6580">
        <v>2.9896850000000001</v>
      </c>
      <c r="T6580">
        <v>0.41076049999999997</v>
      </c>
      <c r="U6580">
        <v>-0.4920349</v>
      </c>
      <c r="V6580">
        <v>1.482286E-3</v>
      </c>
      <c r="W6580">
        <v>4.5239090000000003E-2</v>
      </c>
      <c r="X6580">
        <v>0.9989751</v>
      </c>
      <c r="Y6580">
        <v>0.16706770000000001</v>
      </c>
      <c r="Z6580">
        <v>1.221062E-2</v>
      </c>
      <c r="AA6580">
        <v>0.98586980000000002</v>
      </c>
      <c r="AB6580">
        <v>30</v>
      </c>
      <c r="AC6580">
        <v>76.276399999999995</v>
      </c>
      <c r="AD6580">
        <v>10.499927</v>
      </c>
      <c r="AE6580">
        <v>-12.577998999999901</v>
      </c>
      <c r="AF6580">
        <v>12.825430780005</v>
      </c>
      <c r="AG6580">
        <v>10.499927</v>
      </c>
      <c r="AH6580">
        <v>74.814847616375303</v>
      </c>
      <c r="AI6580">
        <v>82.124388499439704</v>
      </c>
      <c r="AJ6580">
        <v>80.272400370805698</v>
      </c>
      <c r="AK6580">
        <v>76.628986457863903</v>
      </c>
      <c r="AL6580">
        <v>87.4071061648457</v>
      </c>
      <c r="AM6580">
        <v>89.914984197801601</v>
      </c>
      <c r="AN6580">
        <v>1.00000001142791</v>
      </c>
    </row>
    <row r="6581" spans="1:40" x14ac:dyDescent="0.25">
      <c r="A6581" t="str">
        <f>"20190312160502118"</f>
        <v>20190312160502118</v>
      </c>
      <c r="B6581" t="str">
        <f>"1552377902111768"</f>
        <v>1552377902111768</v>
      </c>
      <c r="C6581" t="s">
        <v>40</v>
      </c>
      <c r="D6581">
        <v>6.1123329999999996</v>
      </c>
      <c r="E6581">
        <v>0.56541960000000002</v>
      </c>
      <c r="F6581" t="s">
        <v>104</v>
      </c>
      <c r="G6581">
        <v>-265.7654</v>
      </c>
      <c r="H6581">
        <v>11.54387</v>
      </c>
      <c r="I6581">
        <v>4.9585400000000002</v>
      </c>
      <c r="J6581">
        <v>-341.88889999999998</v>
      </c>
      <c r="K6581">
        <v>1.1085039999999999</v>
      </c>
      <c r="L6581">
        <v>17.62726</v>
      </c>
      <c r="M6581">
        <v>0.99995579999999995</v>
      </c>
      <c r="N6581">
        <v>0</v>
      </c>
      <c r="O6581">
        <v>5.7496029999999998E-3</v>
      </c>
      <c r="P6581">
        <v>0.99927379999999999</v>
      </c>
      <c r="Q6581">
        <v>3.7897750000000001E-2</v>
      </c>
      <c r="R6581">
        <v>3.9860829999999996E-3</v>
      </c>
      <c r="S6581">
        <v>2.9891969999999999</v>
      </c>
      <c r="T6581">
        <v>0.40895090000000001</v>
      </c>
      <c r="U6581">
        <v>-0.49646000000000001</v>
      </c>
      <c r="V6581">
        <v>1.862404E-3</v>
      </c>
      <c r="W6581">
        <v>4.5353890000000001E-2</v>
      </c>
      <c r="X6581">
        <v>0.99896929999999995</v>
      </c>
      <c r="Y6581">
        <v>0.1679348</v>
      </c>
      <c r="Z6581">
        <v>1.2135379999999999E-2</v>
      </c>
      <c r="AA6581">
        <v>0.98572340000000003</v>
      </c>
      <c r="AB6581">
        <v>30</v>
      </c>
      <c r="AC6581">
        <v>76.123499999999893</v>
      </c>
      <c r="AD6581">
        <v>10.435366</v>
      </c>
      <c r="AE6581">
        <v>-12.66872</v>
      </c>
      <c r="AF6581">
        <v>12.870849392522601</v>
      </c>
      <c r="AG6581">
        <v>10.435366</v>
      </c>
      <c r="AH6581">
        <v>74.683750726104194</v>
      </c>
      <c r="AI6581">
        <v>82.159816582176006</v>
      </c>
      <c r="AJ6581">
        <v>80.221809418012896</v>
      </c>
      <c r="AK6581">
        <v>76.499792484410193</v>
      </c>
      <c r="AL6581">
        <v>87.400521959643797</v>
      </c>
      <c r="AM6581">
        <v>89.8931821375091</v>
      </c>
      <c r="AN6581">
        <v>1.00000005311463</v>
      </c>
    </row>
    <row r="6582" spans="1:40" x14ac:dyDescent="0.25">
      <c r="A6582" t="str">
        <f>"20190312160502130"</f>
        <v>20190312160502130</v>
      </c>
      <c r="B6582" t="str">
        <f>"1552377902121529"</f>
        <v>1552377902121529</v>
      </c>
      <c r="C6582" t="s">
        <v>40</v>
      </c>
      <c r="D6582">
        <v>6.1152499999999996</v>
      </c>
      <c r="E6582">
        <v>0.56554530000000003</v>
      </c>
      <c r="F6582" t="s">
        <v>104</v>
      </c>
      <c r="G6582">
        <v>-265.7654</v>
      </c>
      <c r="H6582">
        <v>11.526009999999999</v>
      </c>
      <c r="I6582">
        <v>4.8515300000000003</v>
      </c>
      <c r="J6582">
        <v>-341.73750000000001</v>
      </c>
      <c r="K6582">
        <v>1.108487</v>
      </c>
      <c r="L6582">
        <v>17.627589999999898</v>
      </c>
      <c r="M6582">
        <v>0.99995880000000004</v>
      </c>
      <c r="N6582">
        <v>0</v>
      </c>
      <c r="O6582">
        <v>5.1527109999999999E-3</v>
      </c>
      <c r="P6582">
        <v>0.9992626</v>
      </c>
      <c r="Q6582">
        <v>3.823998E-2</v>
      </c>
      <c r="R6582">
        <v>3.4070210000000001E-3</v>
      </c>
      <c r="S6582">
        <v>2.9886780000000002</v>
      </c>
      <c r="T6582">
        <v>0.409001</v>
      </c>
      <c r="U6582">
        <v>-0.50158689999999995</v>
      </c>
      <c r="V6582">
        <v>1.847932E-3</v>
      </c>
      <c r="W6582">
        <v>4.5701619999999998E-2</v>
      </c>
      <c r="X6582">
        <v>0.99895339999999999</v>
      </c>
      <c r="Y6582">
        <v>0.16901440000000001</v>
      </c>
      <c r="Z6582">
        <v>1.212949E-2</v>
      </c>
      <c r="AA6582">
        <v>0.98553900000000005</v>
      </c>
      <c r="AB6582">
        <v>30</v>
      </c>
      <c r="AC6582">
        <v>75.972099999999998</v>
      </c>
      <c r="AD6582">
        <v>10.417522999999999</v>
      </c>
      <c r="AE6582">
        <v>-12.7760599999999</v>
      </c>
      <c r="AF6582">
        <v>12.930914123494301</v>
      </c>
      <c r="AG6582">
        <v>10.417522999999999</v>
      </c>
      <c r="AH6582">
        <v>74.5422095007617</v>
      </c>
      <c r="AI6582">
        <v>82.159851681549696</v>
      </c>
      <c r="AJ6582">
        <v>80.158776699221505</v>
      </c>
      <c r="AK6582">
        <v>76.369328416453698</v>
      </c>
      <c r="AL6582">
        <v>87.380577611605005</v>
      </c>
      <c r="AM6582">
        <v>89.894010487721701</v>
      </c>
      <c r="AN6582">
        <v>0.99999997414743003</v>
      </c>
    </row>
    <row r="6583" spans="1:40" x14ac:dyDescent="0.25">
      <c r="A6583" t="str">
        <f>"20190312160502141"</f>
        <v>20190312160502141</v>
      </c>
      <c r="B6583" t="str">
        <f>"1552377902132265"</f>
        <v>1552377902132265</v>
      </c>
      <c r="C6583" t="s">
        <v>40</v>
      </c>
      <c r="D6583">
        <v>6.1115830000000004</v>
      </c>
      <c r="E6583">
        <v>0.56576269999999995</v>
      </c>
      <c r="F6583" t="s">
        <v>104</v>
      </c>
      <c r="G6583">
        <v>-265.7654</v>
      </c>
      <c r="H6583">
        <v>11.50658</v>
      </c>
      <c r="I6583">
        <v>4.8080790000000002</v>
      </c>
      <c r="J6583">
        <v>-341.59039999999999</v>
      </c>
      <c r="K6583">
        <v>1.1084780000000001</v>
      </c>
      <c r="L6583">
        <v>17.62781</v>
      </c>
      <c r="M6583">
        <v>0.99996180000000001</v>
      </c>
      <c r="N6583">
        <v>0</v>
      </c>
      <c r="O6583">
        <v>4.5625300000000004E-3</v>
      </c>
      <c r="P6583">
        <v>0.99924420000000003</v>
      </c>
      <c r="Q6583">
        <v>3.8770930000000002E-2</v>
      </c>
      <c r="R6583">
        <v>2.9024839999999999E-3</v>
      </c>
      <c r="S6583">
        <v>2.9882810000000002</v>
      </c>
      <c r="T6583">
        <v>0.40899799999999997</v>
      </c>
      <c r="U6583">
        <v>-0.50424190000000002</v>
      </c>
      <c r="V6583">
        <v>1.7655920000000001E-3</v>
      </c>
      <c r="W6583">
        <v>4.6237489999999999E-2</v>
      </c>
      <c r="X6583">
        <v>0.99892890000000001</v>
      </c>
      <c r="Y6583">
        <v>0.169308399999999</v>
      </c>
      <c r="Z6583">
        <v>1.207012E-2</v>
      </c>
      <c r="AA6583">
        <v>0.98548919999999995</v>
      </c>
      <c r="AB6583">
        <v>30</v>
      </c>
      <c r="AC6583">
        <v>75.824999999999903</v>
      </c>
      <c r="AD6583">
        <v>10.398102</v>
      </c>
      <c r="AE6583">
        <v>-12.8197309999999</v>
      </c>
      <c r="AF6583">
        <v>12.9291791120132</v>
      </c>
      <c r="AG6583">
        <v>10.398102</v>
      </c>
      <c r="AH6583">
        <v>74.405378307281694</v>
      </c>
      <c r="AI6583">
        <v>82.160459699357403</v>
      </c>
      <c r="AJ6583">
        <v>80.142330419669506</v>
      </c>
      <c r="AK6583">
        <v>76.232830976965801</v>
      </c>
      <c r="AL6583">
        <v>87.349842057530097</v>
      </c>
      <c r="AM6583">
        <v>89.898730665816302</v>
      </c>
      <c r="AN6583">
        <v>0.99999998502591003</v>
      </c>
    </row>
    <row r="6584" spans="1:40" x14ac:dyDescent="0.25">
      <c r="A6584" t="str">
        <f>"20190312160502152"</f>
        <v>20190312160502152</v>
      </c>
      <c r="B6584" t="str">
        <f>"1552377902142025"</f>
        <v>1552377902142025</v>
      </c>
      <c r="C6584" t="s">
        <v>40</v>
      </c>
      <c r="D6584">
        <v>6.060117</v>
      </c>
      <c r="E6584">
        <v>0.56586309999999995</v>
      </c>
      <c r="F6584" t="s">
        <v>104</v>
      </c>
      <c r="G6584">
        <v>-265.7654</v>
      </c>
      <c r="H6584">
        <v>11.526529999999999</v>
      </c>
      <c r="I6584">
        <v>4.7529240000000001</v>
      </c>
      <c r="J6584">
        <v>-341.43939999999998</v>
      </c>
      <c r="K6584">
        <v>1.1084639999999999</v>
      </c>
      <c r="L6584">
        <v>17.627929999999999</v>
      </c>
      <c r="M6584">
        <v>0.99996430000000003</v>
      </c>
      <c r="N6584">
        <v>0</v>
      </c>
      <c r="O6584">
        <v>3.9517989999999998E-3</v>
      </c>
      <c r="P6584">
        <v>0.99921550000000003</v>
      </c>
      <c r="Q6584">
        <v>3.9522259999999997E-2</v>
      </c>
      <c r="R6584">
        <v>2.5314479999999999E-3</v>
      </c>
      <c r="S6584">
        <v>2.9878230000000001</v>
      </c>
      <c r="T6584">
        <v>0.41051510000000002</v>
      </c>
      <c r="U6584">
        <v>-0.5073242</v>
      </c>
      <c r="V6584">
        <v>1.5299650000000001E-3</v>
      </c>
      <c r="W6584">
        <v>4.6993890000000003E-2</v>
      </c>
      <c r="X6584">
        <v>0.99889399999999995</v>
      </c>
      <c r="Y6584">
        <v>0.16970979999999999</v>
      </c>
      <c r="Z6584">
        <v>1.205959E-2</v>
      </c>
      <c r="AA6584">
        <v>0.98542030000000003</v>
      </c>
      <c r="AB6584">
        <v>30</v>
      </c>
      <c r="AC6584">
        <v>75.673999999999893</v>
      </c>
      <c r="AD6584">
        <v>10.418066</v>
      </c>
      <c r="AE6584">
        <v>-12.875006000000001</v>
      </c>
      <c r="AF6584">
        <v>12.9356878278965</v>
      </c>
      <c r="AG6584">
        <v>10.418066</v>
      </c>
      <c r="AH6584">
        <v>74.254761019618698</v>
      </c>
      <c r="AI6584">
        <v>82.130441018875402</v>
      </c>
      <c r="AJ6584">
        <v>80.117854339405895</v>
      </c>
      <c r="AK6584">
        <v>76.089668502641203</v>
      </c>
      <c r="AL6584">
        <v>87.306456390048098</v>
      </c>
      <c r="AM6584">
        <v>89.912242471420498</v>
      </c>
      <c r="AN6584">
        <v>0.99999999486311597</v>
      </c>
    </row>
    <row r="6585" spans="1:40" x14ac:dyDescent="0.25">
      <c r="A6585" t="str">
        <f>"20190312160502162"</f>
        <v>20190312160502162</v>
      </c>
      <c r="B6585" t="str">
        <f>"1552377902151784"</f>
        <v>1552377902151784</v>
      </c>
      <c r="C6585" t="s">
        <v>40</v>
      </c>
      <c r="D6585">
        <v>6.028124</v>
      </c>
      <c r="E6585">
        <v>0.56607649999999998</v>
      </c>
      <c r="F6585" t="s">
        <v>104</v>
      </c>
      <c r="G6585">
        <v>-265.7654</v>
      </c>
      <c r="H6585">
        <v>11.55303</v>
      </c>
      <c r="I6585">
        <v>4.7271190000000001</v>
      </c>
      <c r="J6585">
        <v>-341.28829999999999</v>
      </c>
      <c r="K6585">
        <v>1.1084510000000001</v>
      </c>
      <c r="L6585">
        <v>17.627960000000002</v>
      </c>
      <c r="M6585">
        <v>0.99996640000000003</v>
      </c>
      <c r="N6585">
        <v>0</v>
      </c>
      <c r="O6585">
        <v>3.3357299999999999E-3</v>
      </c>
      <c r="P6585">
        <v>0.99921059999999995</v>
      </c>
      <c r="Q6585">
        <v>3.968646E-2</v>
      </c>
      <c r="R6585">
        <v>1.849393E-3</v>
      </c>
      <c r="S6585">
        <v>2.9873349999999999</v>
      </c>
      <c r="T6585">
        <v>0.4123136</v>
      </c>
      <c r="U6585">
        <v>-0.50927730000000004</v>
      </c>
      <c r="V6585">
        <v>1.5980879999999999E-3</v>
      </c>
      <c r="W6585">
        <v>4.7162500000000003E-2</v>
      </c>
      <c r="X6585">
        <v>0.99888589999999999</v>
      </c>
      <c r="Y6585">
        <v>0.169746799999999</v>
      </c>
      <c r="Z6585">
        <v>1.2031689999999999E-2</v>
      </c>
      <c r="AA6585">
        <v>0.98541429999999997</v>
      </c>
      <c r="AB6585">
        <v>30</v>
      </c>
      <c r="AC6585">
        <v>75.522899999999893</v>
      </c>
      <c r="AD6585">
        <v>10.444578999999999</v>
      </c>
      <c r="AE6585">
        <v>-12.900841</v>
      </c>
      <c r="AF6585">
        <v>12.912733250472201</v>
      </c>
      <c r="AG6585">
        <v>10.444578999999999</v>
      </c>
      <c r="AH6585">
        <v>74.102345236414095</v>
      </c>
      <c r="AI6585">
        <v>82.094707623125402</v>
      </c>
      <c r="AJ6585">
        <v>80.115154864424994</v>
      </c>
      <c r="AK6585">
        <v>75.940670789912005</v>
      </c>
      <c r="AL6585">
        <v>87.296784898977094</v>
      </c>
      <c r="AM6585">
        <v>89.908334255625206</v>
      </c>
      <c r="AN6585">
        <v>0.99999994825515603</v>
      </c>
    </row>
    <row r="6586" spans="1:40" x14ac:dyDescent="0.25">
      <c r="A6586" t="str">
        <f>"20190312160502175"</f>
        <v>20190312160502175</v>
      </c>
      <c r="B6586" t="str">
        <f>"1552377902171304"</f>
        <v>1552377902171304</v>
      </c>
      <c r="C6586" t="s">
        <v>40</v>
      </c>
      <c r="D6586">
        <v>6.0821079999999998</v>
      </c>
      <c r="E6586">
        <v>0.56639309999999998</v>
      </c>
      <c r="F6586" t="s">
        <v>104</v>
      </c>
      <c r="G6586">
        <v>-265.7654</v>
      </c>
      <c r="H6586">
        <v>11.56484</v>
      </c>
      <c r="I6586">
        <v>4.6547409999999996</v>
      </c>
      <c r="J6586">
        <v>-341.12400000000002</v>
      </c>
      <c r="K6586">
        <v>1.108444</v>
      </c>
      <c r="L6586">
        <v>17.627870000000001</v>
      </c>
      <c r="M6586">
        <v>0.99996830000000003</v>
      </c>
      <c r="N6586">
        <v>0</v>
      </c>
      <c r="O6586">
        <v>2.6607290000000001E-3</v>
      </c>
      <c r="P6586">
        <v>0.99918010000000002</v>
      </c>
      <c r="Q6586">
        <v>4.0463369999999999E-2</v>
      </c>
      <c r="R6586">
        <v>1.2704579999999999E-3</v>
      </c>
      <c r="S6586">
        <v>2.9869379999999999</v>
      </c>
      <c r="T6586">
        <v>0.4135511</v>
      </c>
      <c r="U6586">
        <v>-0.51309199999999999</v>
      </c>
      <c r="V6586">
        <v>1.5056959999999999E-3</v>
      </c>
      <c r="W6586">
        <v>4.7944580000000001E-2</v>
      </c>
      <c r="X6586">
        <v>0.99884890000000004</v>
      </c>
      <c r="Y6586">
        <v>0.17031749999999901</v>
      </c>
      <c r="Z6586">
        <v>1.2014449999999999E-2</v>
      </c>
      <c r="AA6586">
        <v>0.98531599999999997</v>
      </c>
      <c r="AB6586">
        <v>30</v>
      </c>
      <c r="AC6586">
        <v>75.358599999999996</v>
      </c>
      <c r="AD6586">
        <v>10.456396</v>
      </c>
      <c r="AE6586">
        <v>-12.973129</v>
      </c>
      <c r="AF6586">
        <v>12.931788155622799</v>
      </c>
      <c r="AG6586">
        <v>10.456396</v>
      </c>
      <c r="AH6586">
        <v>73.941199949232498</v>
      </c>
      <c r="AI6586">
        <v>82.069693861522197</v>
      </c>
      <c r="AJ6586">
        <v>80.079710692135194</v>
      </c>
      <c r="AK6586">
        <v>75.788313163330798</v>
      </c>
      <c r="AL6586">
        <v>87.251924506299105</v>
      </c>
      <c r="AM6586">
        <v>89.913630619521498</v>
      </c>
      <c r="AN6586">
        <v>1.0000000374515099</v>
      </c>
    </row>
    <row r="6587" spans="1:40" x14ac:dyDescent="0.25">
      <c r="A6587" t="str">
        <f>"20190312160502186"</f>
        <v>20190312160502186</v>
      </c>
      <c r="B6587" t="str">
        <f>"1552377902182041"</f>
        <v>1552377902182041</v>
      </c>
      <c r="C6587" t="s">
        <v>40</v>
      </c>
      <c r="D6587">
        <v>6.0259989999999997</v>
      </c>
      <c r="E6587">
        <v>0.56651940000000001</v>
      </c>
      <c r="F6587" t="s">
        <v>104</v>
      </c>
      <c r="G6587">
        <v>-265.97539999999998</v>
      </c>
      <c r="H6587">
        <v>11.59722</v>
      </c>
      <c r="I6587">
        <v>4.6037939999999997</v>
      </c>
      <c r="J6587">
        <v>-340.96</v>
      </c>
      <c r="K6587">
        <v>1.108436</v>
      </c>
      <c r="L6587">
        <v>17.62772</v>
      </c>
      <c r="M6587">
        <v>0.99997000000000003</v>
      </c>
      <c r="N6587">
        <v>0</v>
      </c>
      <c r="O6587">
        <v>1.9843719999999999E-3</v>
      </c>
      <c r="P6587">
        <v>0.99918589999999996</v>
      </c>
      <c r="Q6587">
        <v>4.0340630000000002E-2</v>
      </c>
      <c r="R6587">
        <v>5.084388E-4</v>
      </c>
      <c r="S6587">
        <v>2.986237</v>
      </c>
      <c r="T6587">
        <v>0.41680050000000002</v>
      </c>
      <c r="U6587">
        <v>-0.5175476</v>
      </c>
      <c r="V6587">
        <v>1.592862E-3</v>
      </c>
      <c r="W6587">
        <v>4.7826929999999997E-2</v>
      </c>
      <c r="X6587">
        <v>0.99885429999999997</v>
      </c>
      <c r="Y6587">
        <v>0.1710911</v>
      </c>
      <c r="Z6587">
        <v>1.20693E-2</v>
      </c>
      <c r="AA6587">
        <v>0.98518130000000004</v>
      </c>
      <c r="AB6587">
        <v>31</v>
      </c>
      <c r="AC6587">
        <v>74.9846</v>
      </c>
      <c r="AD6587">
        <v>10.4887839999999</v>
      </c>
      <c r="AE6587">
        <v>-13.023925999999999</v>
      </c>
      <c r="AF6587">
        <v>12.9271734050138</v>
      </c>
      <c r="AG6587">
        <v>10.4887839999999</v>
      </c>
      <c r="AH6587">
        <v>73.561439765359196</v>
      </c>
      <c r="AI6587">
        <v>82.006036181333997</v>
      </c>
      <c r="AJ6587">
        <v>80.033009040887094</v>
      </c>
      <c r="AK6587">
        <v>75.421560726323605</v>
      </c>
      <c r="AL6587">
        <v>87.258672808533802</v>
      </c>
      <c r="AM6587">
        <v>89.908631126096907</v>
      </c>
      <c r="AN6587">
        <v>0.99999993253552999</v>
      </c>
    </row>
    <row r="6588" spans="1:40" x14ac:dyDescent="0.25">
      <c r="A6588" t="str">
        <f>"20190312160502199"</f>
        <v>20190312160502199</v>
      </c>
      <c r="B6588" t="str">
        <f>"1552377902191800"</f>
        <v>1552377902191800</v>
      </c>
      <c r="C6588" t="s">
        <v>40</v>
      </c>
      <c r="D6588">
        <v>6.0077170000000004</v>
      </c>
      <c r="E6588">
        <v>0.56667719999999999</v>
      </c>
      <c r="F6588" t="s">
        <v>104</v>
      </c>
      <c r="G6588">
        <v>-266.31790000000001</v>
      </c>
      <c r="H6588">
        <v>11.50179</v>
      </c>
      <c r="I6588">
        <v>4.6037619999999997</v>
      </c>
      <c r="J6588">
        <v>-340.7989</v>
      </c>
      <c r="K6588">
        <v>1.1084270000000001</v>
      </c>
      <c r="L6588">
        <v>17.627379999999999</v>
      </c>
      <c r="M6588">
        <v>0.99997100000000005</v>
      </c>
      <c r="N6588">
        <v>0</v>
      </c>
      <c r="O6588">
        <v>1.3163389999999999E-3</v>
      </c>
      <c r="P6588">
        <v>0.99917420000000001</v>
      </c>
      <c r="Q6588">
        <v>4.0633610000000001E-2</v>
      </c>
      <c r="R6588">
        <v>-3.0787620000000002E-4</v>
      </c>
      <c r="S6588">
        <v>2.9859010000000001</v>
      </c>
      <c r="T6588">
        <v>0.41576419999999997</v>
      </c>
      <c r="U6588">
        <v>-0.52099609999999996</v>
      </c>
      <c r="V6588">
        <v>1.7430799999999999E-3</v>
      </c>
      <c r="W6588">
        <v>4.812462E-2</v>
      </c>
      <c r="X6588">
        <v>0.99883980000000006</v>
      </c>
      <c r="Y6588">
        <v>0.1715661</v>
      </c>
      <c r="Z6588">
        <v>1.19805E-2</v>
      </c>
      <c r="AA6588">
        <v>0.98509979999999997</v>
      </c>
      <c r="AB6588">
        <v>31</v>
      </c>
      <c r="AC6588">
        <v>74.480999999999995</v>
      </c>
      <c r="AD6588">
        <v>10.393363000000001</v>
      </c>
      <c r="AE6588">
        <v>-13.023618000000001</v>
      </c>
      <c r="AF6588">
        <v>12.8783189525616</v>
      </c>
      <c r="AG6588">
        <v>10.393363000000001</v>
      </c>
      <c r="AH6588">
        <v>73.082907374745304</v>
      </c>
      <c r="AI6588">
        <v>82.027273199499007</v>
      </c>
      <c r="AJ6588">
        <v>80.006211702575698</v>
      </c>
      <c r="AK6588">
        <v>74.933199877219195</v>
      </c>
      <c r="AL6588">
        <v>87.241596899418298</v>
      </c>
      <c r="AM6588">
        <v>89.900012969074993</v>
      </c>
      <c r="AN6588">
        <v>0.99999998172103499</v>
      </c>
    </row>
    <row r="6589" spans="1:40" x14ac:dyDescent="0.25">
      <c r="A6589" t="str">
        <f>"20190312160502220"</f>
        <v>20190312160502220</v>
      </c>
      <c r="B6589" t="str">
        <f>"1552377902212082"</f>
        <v>1552377902212082</v>
      </c>
      <c r="C6589" t="s">
        <v>40</v>
      </c>
      <c r="D6589">
        <v>6.0283629999999997</v>
      </c>
      <c r="E6589">
        <v>0.56686590000000003</v>
      </c>
      <c r="F6589" t="s">
        <v>104</v>
      </c>
      <c r="G6589">
        <v>-266.7296</v>
      </c>
      <c r="H6589">
        <v>11.411860000000001</v>
      </c>
      <c r="I6589">
        <v>4.6037330000000001</v>
      </c>
      <c r="J6589">
        <v>-340.50409999999999</v>
      </c>
      <c r="K6589">
        <v>1.108412</v>
      </c>
      <c r="L6589">
        <v>17.626560000000001</v>
      </c>
      <c r="M6589">
        <v>0.99997190000000002</v>
      </c>
      <c r="N6589">
        <v>0</v>
      </c>
      <c r="O6589" s="1">
        <v>9.2847830000000004E-5</v>
      </c>
      <c r="P6589">
        <v>0.99916669999999996</v>
      </c>
      <c r="Q6589">
        <v>4.080458E-2</v>
      </c>
      <c r="R6589">
        <v>-1.118438E-3</v>
      </c>
      <c r="S6589">
        <v>2.9854430000000001</v>
      </c>
      <c r="T6589">
        <v>0.41529149999999998</v>
      </c>
      <c r="U6589">
        <v>-0.52493290000000004</v>
      </c>
      <c r="V6589">
        <v>1.3329710000000001E-3</v>
      </c>
      <c r="W6589">
        <v>4.8305140000000003E-2</v>
      </c>
      <c r="X6589">
        <v>0.99883169999999999</v>
      </c>
      <c r="Y6589">
        <v>0.17166120000000001</v>
      </c>
      <c r="Z6589">
        <v>1.1805889999999999E-2</v>
      </c>
      <c r="AA6589">
        <v>0.98508530000000005</v>
      </c>
      <c r="AB6589">
        <v>31</v>
      </c>
      <c r="AC6589">
        <v>73.774499999999904</v>
      </c>
      <c r="AD6589">
        <v>10.303447999999999</v>
      </c>
      <c r="AE6589">
        <v>-13.022826999999999</v>
      </c>
      <c r="AF6589">
        <v>12.7877847407561</v>
      </c>
      <c r="AG6589">
        <v>10.303447999999999</v>
      </c>
      <c r="AH6589">
        <v>72.403710626673401</v>
      </c>
      <c r="AI6589">
        <v>82.022713127312699</v>
      </c>
      <c r="AJ6589">
        <v>79.983840023531897</v>
      </c>
      <c r="AK6589">
        <v>74.242749085521297</v>
      </c>
      <c r="AL6589">
        <v>87.231241773294897</v>
      </c>
      <c r="AM6589">
        <v>89.923537101221697</v>
      </c>
      <c r="AN6589">
        <v>0.99999996414349701</v>
      </c>
    </row>
    <row r="6590" spans="1:40" x14ac:dyDescent="0.25">
      <c r="A6590" t="str">
        <f>"20190312160502231"</f>
        <v>20190312160502231</v>
      </c>
      <c r="B6590" t="str">
        <f>"1552377902221843"</f>
        <v>1552377902221843</v>
      </c>
      <c r="C6590" t="s">
        <v>40</v>
      </c>
      <c r="D6590">
        <v>6.150398</v>
      </c>
      <c r="E6590">
        <v>0.56686590000000003</v>
      </c>
      <c r="F6590" t="s">
        <v>104</v>
      </c>
      <c r="G6590">
        <v>-267.03320000000002</v>
      </c>
      <c r="H6590">
        <v>11.32957</v>
      </c>
      <c r="I6590">
        <v>4.6037039999999996</v>
      </c>
      <c r="J6590">
        <v>-340.35509999999999</v>
      </c>
      <c r="K6590">
        <v>1.108409</v>
      </c>
      <c r="L6590">
        <v>17.62604</v>
      </c>
      <c r="M6590">
        <v>0.99997159999999996</v>
      </c>
      <c r="N6590">
        <v>0</v>
      </c>
      <c r="O6590">
        <v>-5.2544460000000001E-4</v>
      </c>
      <c r="P6590">
        <v>0.99917330000000004</v>
      </c>
      <c r="Q6590">
        <v>4.0611639999999997E-2</v>
      </c>
      <c r="R6590">
        <v>-1.820627E-3</v>
      </c>
      <c r="S6590">
        <v>2.9849239999999999</v>
      </c>
      <c r="T6590">
        <v>0.41525820000000002</v>
      </c>
      <c r="U6590">
        <v>-0.52908330000000003</v>
      </c>
      <c r="V6590">
        <v>1.417516E-3</v>
      </c>
      <c r="W6590">
        <v>4.8117E-2</v>
      </c>
      <c r="X6590">
        <v>0.99884070000000003</v>
      </c>
      <c r="Y6590">
        <v>0.1724088</v>
      </c>
      <c r="Z6590">
        <v>1.177195E-2</v>
      </c>
      <c r="AA6590">
        <v>0.98495509999999997</v>
      </c>
      <c r="AB6590">
        <v>31</v>
      </c>
      <c r="AC6590">
        <v>73.3218999999999</v>
      </c>
      <c r="AD6590">
        <v>10.221161</v>
      </c>
      <c r="AE6590">
        <v>-13.022335999999999</v>
      </c>
      <c r="AF6590">
        <v>12.743734147594401</v>
      </c>
      <c r="AG6590">
        <v>10.221161</v>
      </c>
      <c r="AH6590">
        <v>71.9728742300655</v>
      </c>
      <c r="AI6590">
        <v>82.039441434079805</v>
      </c>
      <c r="AJ6590">
        <v>79.959105097483501</v>
      </c>
      <c r="AK6590">
        <v>73.803587427369095</v>
      </c>
      <c r="AL6590">
        <v>87.242034048732094</v>
      </c>
      <c r="AM6590">
        <v>89.918688105452901</v>
      </c>
      <c r="AN6590">
        <v>0.99999999950855001</v>
      </c>
    </row>
    <row r="6591" spans="1:40" x14ac:dyDescent="0.25">
      <c r="A6591" t="str">
        <f>"20190312160502241"</f>
        <v>20190312160502241</v>
      </c>
      <c r="B6591" t="str">
        <f>"1552377902231604"</f>
        <v>1552377902231604</v>
      </c>
      <c r="C6591" t="s">
        <v>40</v>
      </c>
      <c r="D6591">
        <v>5.9697630000000004</v>
      </c>
      <c r="E6591">
        <v>0.56462900000000005</v>
      </c>
      <c r="F6591" t="s">
        <v>104</v>
      </c>
      <c r="G6591">
        <v>-267.17579999999998</v>
      </c>
      <c r="H6591">
        <v>11.278090000000001</v>
      </c>
      <c r="I6591">
        <v>4.6036869999999999</v>
      </c>
      <c r="J6591">
        <v>-340.20800000000003</v>
      </c>
      <c r="K6591">
        <v>1.108409</v>
      </c>
      <c r="L6591">
        <v>17.62537</v>
      </c>
      <c r="M6591">
        <v>0.9999711</v>
      </c>
      <c r="N6591">
        <v>0</v>
      </c>
      <c r="O6591">
        <v>-1.1353859999999999E-3</v>
      </c>
      <c r="P6591">
        <v>0.99916210000000005</v>
      </c>
      <c r="Q6591">
        <v>4.0869019999999999E-2</v>
      </c>
      <c r="R6591">
        <v>-2.1784579999999999E-3</v>
      </c>
      <c r="S6591">
        <v>2.98468</v>
      </c>
      <c r="T6591">
        <v>0.41477930000000002</v>
      </c>
      <c r="U6591">
        <v>-0.53112789999999999</v>
      </c>
      <c r="V6591">
        <v>1.1671380000000001E-3</v>
      </c>
      <c r="W6591">
        <v>4.8379430000000001E-2</v>
      </c>
      <c r="X6591">
        <v>0.99882839999999995</v>
      </c>
      <c r="Y6591">
        <v>0.17248479999999999</v>
      </c>
      <c r="Z6591">
        <v>1.168026E-2</v>
      </c>
      <c r="AA6591">
        <v>0.98494289999999995</v>
      </c>
      <c r="AB6591">
        <v>31</v>
      </c>
      <c r="AC6591">
        <v>73.032200000000003</v>
      </c>
      <c r="AD6591">
        <v>10.169681000000001</v>
      </c>
      <c r="AE6591">
        <v>-13.021682999999999</v>
      </c>
      <c r="AF6591">
        <v>12.7000809999818</v>
      </c>
      <c r="AG6591">
        <v>10.169681000000001</v>
      </c>
      <c r="AH6591">
        <v>71.699495547879195</v>
      </c>
      <c r="AI6591">
        <v>82.0492989145488</v>
      </c>
      <c r="AJ6591">
        <v>79.955423120189906</v>
      </c>
      <c r="AK6591">
        <v>73.5223240306522</v>
      </c>
      <c r="AL6591">
        <v>87.226980531235498</v>
      </c>
      <c r="AM6591">
        <v>89.933049509732101</v>
      </c>
      <c r="AN6591">
        <v>1.00000005205239</v>
      </c>
    </row>
    <row r="6592" spans="1:40" x14ac:dyDescent="0.25">
      <c r="A6592" t="str">
        <f>"20190312160502255"</f>
        <v>20190312160502255</v>
      </c>
      <c r="B6592" t="str">
        <f>"1552377902252098"</f>
        <v>1552377902252098</v>
      </c>
      <c r="C6592" t="s">
        <v>40</v>
      </c>
      <c r="D6592">
        <v>5.9925750000000004</v>
      </c>
      <c r="E6592">
        <v>0.50085789999999997</v>
      </c>
      <c r="F6592" t="s">
        <v>104</v>
      </c>
      <c r="G6592">
        <v>-265.7654</v>
      </c>
      <c r="H6592">
        <v>11.283239999999999</v>
      </c>
      <c r="I6592">
        <v>4.7923929999999997</v>
      </c>
      <c r="J6592">
        <v>-340.0462</v>
      </c>
      <c r="K6592">
        <v>1.108406</v>
      </c>
      <c r="L6592">
        <v>17.624600000000001</v>
      </c>
      <c r="M6592">
        <v>0.99997020000000003</v>
      </c>
      <c r="N6592">
        <v>0</v>
      </c>
      <c r="O6592">
        <v>-1.8057699999999999E-3</v>
      </c>
      <c r="P6592">
        <v>0.99915739999999997</v>
      </c>
      <c r="Q6592">
        <v>4.0956039999999999E-2</v>
      </c>
      <c r="R6592">
        <v>-2.6844830000000001E-3</v>
      </c>
      <c r="S6592">
        <v>2.9847109999999999</v>
      </c>
      <c r="T6592">
        <v>0.40795049999999999</v>
      </c>
      <c r="U6592">
        <v>-0.51452640000000005</v>
      </c>
      <c r="V6592">
        <v>1.0041550000000001E-3</v>
      </c>
      <c r="W6592">
        <v>4.847183E-2</v>
      </c>
      <c r="X6592">
        <v>0.99882409999999999</v>
      </c>
      <c r="Y6592">
        <v>0.1666136</v>
      </c>
      <c r="Z6592">
        <v>1.1007950000000001E-2</v>
      </c>
      <c r="AA6592">
        <v>0.98596079999999997</v>
      </c>
      <c r="AB6592">
        <v>31</v>
      </c>
      <c r="AC6592">
        <v>74.280799999999999</v>
      </c>
      <c r="AD6592">
        <v>10.174834000000001</v>
      </c>
      <c r="AE6592">
        <v>-12.832207</v>
      </c>
      <c r="AF6592">
        <v>12.470839029870101</v>
      </c>
      <c r="AG6592">
        <v>10.174834000000001</v>
      </c>
      <c r="AH6592">
        <v>72.974314883811999</v>
      </c>
      <c r="AI6592">
        <v>82.174416708447197</v>
      </c>
      <c r="AJ6592">
        <v>80.3022039554332</v>
      </c>
      <c r="AK6592">
        <v>74.728172102616199</v>
      </c>
      <c r="AL6592">
        <v>87.221680190388696</v>
      </c>
      <c r="AM6592">
        <v>89.942398442234406</v>
      </c>
      <c r="AN6592">
        <v>1.0000000546858001</v>
      </c>
    </row>
    <row r="6593" spans="1:40" x14ac:dyDescent="0.25">
      <c r="A6593" t="str">
        <f>"20190312160502264"</f>
        <v>20190312160502264</v>
      </c>
      <c r="B6593" t="str">
        <f>"1552377902261859"</f>
        <v>1552377902261859</v>
      </c>
      <c r="C6593" t="s">
        <v>40</v>
      </c>
      <c r="D6593">
        <v>5.9512559999999999</v>
      </c>
      <c r="E6593">
        <v>0.50359900000000002</v>
      </c>
      <c r="F6593" t="s">
        <v>87</v>
      </c>
      <c r="G6593">
        <v>-274.15660000000003</v>
      </c>
      <c r="H6593">
        <v>6.0361949999999904</v>
      </c>
      <c r="I6593">
        <v>17.355889999999999</v>
      </c>
      <c r="J6593">
        <v>-339.89249999999998</v>
      </c>
      <c r="K6593">
        <v>1.108401</v>
      </c>
      <c r="L6593">
        <v>17.623750000000001</v>
      </c>
      <c r="M6593">
        <v>0.99996870000000004</v>
      </c>
      <c r="N6593">
        <v>0</v>
      </c>
      <c r="O6593">
        <v>-2.4420539999999999E-3</v>
      </c>
      <c r="P6593">
        <v>0.99915889999999996</v>
      </c>
      <c r="Q6593">
        <v>4.0880880000000001E-2</v>
      </c>
      <c r="R6593">
        <v>-3.2596299999999999E-3</v>
      </c>
      <c r="S6593">
        <v>2.9932560000000001</v>
      </c>
      <c r="T6593">
        <v>0.22386130000000001</v>
      </c>
      <c r="U6593">
        <v>-1.2207030000000001E-2</v>
      </c>
      <c r="V6593">
        <v>9.4351839999999999E-4</v>
      </c>
      <c r="W6593">
        <v>4.8401810000000003E-2</v>
      </c>
      <c r="X6593">
        <v>0.99882749999999998</v>
      </c>
      <c r="Y6593">
        <v>1.638275E-3</v>
      </c>
      <c r="Z6593">
        <v>-1.212106E-4</v>
      </c>
      <c r="AA6593">
        <v>0.99999859999999896</v>
      </c>
      <c r="AB6593">
        <v>31</v>
      </c>
      <c r="AC6593">
        <v>65.735899999999901</v>
      </c>
      <c r="AD6593">
        <v>4.9277939999999996</v>
      </c>
      <c r="AE6593">
        <v>-0.26786000000000199</v>
      </c>
      <c r="AF6593">
        <v>0.106724307348951</v>
      </c>
      <c r="AG6593">
        <v>4.9277939999999996</v>
      </c>
      <c r="AH6593">
        <v>65.369021158743095</v>
      </c>
      <c r="AI6593">
        <v>85.688960818962101</v>
      </c>
      <c r="AJ6593">
        <v>89.906456501243696</v>
      </c>
      <c r="AK6593">
        <v>65.554583905600495</v>
      </c>
      <c r="AL6593">
        <v>87.225696603536704</v>
      </c>
      <c r="AM6593">
        <v>89.945876934572297</v>
      </c>
      <c r="AN6593">
        <v>1.00000000009724</v>
      </c>
    </row>
    <row r="6594" spans="1:40" x14ac:dyDescent="0.25">
      <c r="A6594" t="str">
        <f>"20190312160502275"</f>
        <v>20190312160502275</v>
      </c>
      <c r="B6594" t="str">
        <f>"1552377902271619"</f>
        <v>1552377902271619</v>
      </c>
      <c r="C6594" t="s">
        <v>40</v>
      </c>
      <c r="D6594">
        <v>5.6583220000000001</v>
      </c>
      <c r="E6594">
        <v>0.50490729999999995</v>
      </c>
      <c r="F6594" t="s">
        <v>105</v>
      </c>
      <c r="G6594">
        <v>-277.17849999999999</v>
      </c>
      <c r="H6594">
        <v>5.7185379999999997</v>
      </c>
      <c r="I6594">
        <v>16.87115</v>
      </c>
      <c r="J6594">
        <v>-339.74529999999999</v>
      </c>
      <c r="K6594">
        <v>1.1084000000000001</v>
      </c>
      <c r="L6594">
        <v>17.622800000000002</v>
      </c>
      <c r="M6594">
        <v>0.99996700000000005</v>
      </c>
      <c r="N6594">
        <v>0</v>
      </c>
      <c r="O6594">
        <v>-3.0499609999999999E-3</v>
      </c>
      <c r="P6594">
        <v>0.99914400000000003</v>
      </c>
      <c r="Q6594">
        <v>4.1169869999999997E-2</v>
      </c>
      <c r="R6594">
        <v>-4.1014950000000001E-3</v>
      </c>
      <c r="S6594">
        <v>2.9934080000000001</v>
      </c>
      <c r="T6594">
        <v>0.22004689999999999</v>
      </c>
      <c r="U6594">
        <v>-3.5919189999999997E-2</v>
      </c>
      <c r="V6594">
        <v>1.179175E-3</v>
      </c>
      <c r="W6594">
        <v>4.8694250000000001E-2</v>
      </c>
      <c r="X6594">
        <v>0.99881299999999995</v>
      </c>
      <c r="Y6594">
        <v>8.9328110000000006E-3</v>
      </c>
      <c r="Z6594">
        <v>1.0397440000000001E-4</v>
      </c>
      <c r="AA6594">
        <v>0.99996010000000002</v>
      </c>
      <c r="AB6594">
        <v>31</v>
      </c>
      <c r="AC6594">
        <v>62.566800000000001</v>
      </c>
      <c r="AD6594">
        <v>4.6101379999999903</v>
      </c>
      <c r="AE6594">
        <v>-0.75165000000000104</v>
      </c>
      <c r="AF6594">
        <v>0.55778686583703496</v>
      </c>
      <c r="AG6594">
        <v>4.6101379999999903</v>
      </c>
      <c r="AH6594">
        <v>62.230982641022301</v>
      </c>
      <c r="AI6594">
        <v>85.763375909888097</v>
      </c>
      <c r="AJ6594">
        <v>89.4864619499062</v>
      </c>
      <c r="AK6594">
        <v>62.404003870216201</v>
      </c>
      <c r="AL6594">
        <v>87.208921146173097</v>
      </c>
      <c r="AM6594">
        <v>89.9323579895145</v>
      </c>
      <c r="AN6594">
        <v>0.999999964702871</v>
      </c>
    </row>
    <row r="6595" spans="1:40" x14ac:dyDescent="0.25">
      <c r="A6595" t="str">
        <f>"20190312160502286"</f>
        <v>20190312160502286</v>
      </c>
      <c r="B6595" t="str">
        <f>"1552377902281380"</f>
        <v>1552377902281380</v>
      </c>
      <c r="C6595" t="s">
        <v>40</v>
      </c>
      <c r="D6595">
        <v>5.7044579999999998</v>
      </c>
      <c r="E6595">
        <v>0.5056022</v>
      </c>
      <c r="F6595" t="s">
        <v>105</v>
      </c>
      <c r="G6595">
        <v>-277.00009999999997</v>
      </c>
      <c r="H6595">
        <v>5.6780559999999998</v>
      </c>
      <c r="I6595">
        <v>16.596679999999999</v>
      </c>
      <c r="J6595">
        <v>-339.58850000000001</v>
      </c>
      <c r="K6595">
        <v>1.1083959999999999</v>
      </c>
      <c r="L6595">
        <v>17.621770000000001</v>
      </c>
      <c r="M6595">
        <v>0.99996479999999999</v>
      </c>
      <c r="N6595">
        <v>0</v>
      </c>
      <c r="O6595">
        <v>-3.6973309999999999E-3</v>
      </c>
      <c r="P6595">
        <v>0.99913249999999998</v>
      </c>
      <c r="Q6595">
        <v>4.1372880000000001E-2</v>
      </c>
      <c r="R6595">
        <v>-4.8095739999999996E-3</v>
      </c>
      <c r="S6595">
        <v>2.9933779999999999</v>
      </c>
      <c r="T6595">
        <v>0.218004</v>
      </c>
      <c r="U6595">
        <v>-4.8950199999999902E-2</v>
      </c>
      <c r="V6595">
        <v>1.241383E-3</v>
      </c>
      <c r="W6595">
        <v>4.8901899999999998E-2</v>
      </c>
      <c r="X6595">
        <v>0.99880279999999999</v>
      </c>
      <c r="Y6595">
        <v>1.2629939999999999E-2</v>
      </c>
      <c r="Z6595">
        <v>1.9036939999999999E-4</v>
      </c>
      <c r="AA6595">
        <v>0.99992020000000004</v>
      </c>
      <c r="AB6595">
        <v>31</v>
      </c>
      <c r="AC6595">
        <v>62.5884</v>
      </c>
      <c r="AD6595">
        <v>4.5696599999999998</v>
      </c>
      <c r="AE6595">
        <v>-1.0250900000000001</v>
      </c>
      <c r="AF6595">
        <v>0.78945919613758397</v>
      </c>
      <c r="AG6595">
        <v>4.5696599999999998</v>
      </c>
      <c r="AH6595">
        <v>62.259965368233203</v>
      </c>
      <c r="AI6595">
        <v>85.802556871807894</v>
      </c>
      <c r="AJ6595">
        <v>89.273525839934194</v>
      </c>
      <c r="AK6595">
        <v>62.432430082382403</v>
      </c>
      <c r="AL6595">
        <v>87.1970095434679</v>
      </c>
      <c r="AM6595">
        <v>89.928788775886602</v>
      </c>
      <c r="AN6595">
        <v>0.99999998507160104</v>
      </c>
    </row>
    <row r="6596" spans="1:40" x14ac:dyDescent="0.25">
      <c r="A6596" t="str">
        <f>"20190312160502297"</f>
        <v>20190312160502297</v>
      </c>
      <c r="B6596" t="str">
        <f>"1552377902292115"</f>
        <v>1552377902292115</v>
      </c>
      <c r="C6596" t="s">
        <v>40</v>
      </c>
      <c r="D6596">
        <v>6.3919839999999999</v>
      </c>
      <c r="E6596">
        <v>0.50614139999999996</v>
      </c>
      <c r="F6596" t="s">
        <v>105</v>
      </c>
      <c r="G6596">
        <v>-276.88979999999998</v>
      </c>
      <c r="H6596">
        <v>5.5679689999999997</v>
      </c>
      <c r="I6596">
        <v>16.431529999999999</v>
      </c>
      <c r="J6596">
        <v>-339.43130000000002</v>
      </c>
      <c r="K6596">
        <v>1.108393</v>
      </c>
      <c r="L6596">
        <v>17.620509999999999</v>
      </c>
      <c r="M6596">
        <v>0.99996220000000002</v>
      </c>
      <c r="N6596">
        <v>0</v>
      </c>
      <c r="O6596">
        <v>-4.3450559999999999E-3</v>
      </c>
      <c r="P6596">
        <v>0.99913180000000001</v>
      </c>
      <c r="Q6596">
        <v>4.1290779999999999E-2</v>
      </c>
      <c r="R6596">
        <v>-5.5505700000000003E-3</v>
      </c>
      <c r="S6596">
        <v>2.9935</v>
      </c>
      <c r="T6596">
        <v>0.21291860000000001</v>
      </c>
      <c r="U6596">
        <v>-5.6823730000000003E-2</v>
      </c>
      <c r="V6596">
        <v>1.3355649999999999E-3</v>
      </c>
      <c r="W6596">
        <v>4.8824270000000003E-2</v>
      </c>
      <c r="X6596">
        <v>0.99880650000000004</v>
      </c>
      <c r="Y6596">
        <v>1.460846E-2</v>
      </c>
      <c r="Z6596">
        <v>2.1018799999999999E-4</v>
      </c>
      <c r="AA6596">
        <v>0.99989320000000004</v>
      </c>
      <c r="AB6596">
        <v>31</v>
      </c>
      <c r="AC6596">
        <v>62.541499999999999</v>
      </c>
      <c r="AD6596">
        <v>4.4595760000000002</v>
      </c>
      <c r="AE6596">
        <v>-1.1889799999999999</v>
      </c>
      <c r="AF6596">
        <v>0.91257640595011702</v>
      </c>
      <c r="AG6596">
        <v>4.4595760000000002</v>
      </c>
      <c r="AH6596">
        <v>62.229781234589602</v>
      </c>
      <c r="AI6596">
        <v>85.901456109815896</v>
      </c>
      <c r="AJ6596">
        <v>89.159839101493802</v>
      </c>
      <c r="AK6596">
        <v>62.396043835337402</v>
      </c>
      <c r="AL6596">
        <v>87.201462800639504</v>
      </c>
      <c r="AM6596">
        <v>89.923386369473704</v>
      </c>
      <c r="AN6596">
        <v>1.0000000087585701</v>
      </c>
    </row>
    <row r="6597" spans="1:40" x14ac:dyDescent="0.25">
      <c r="A6597" t="str">
        <f>"20190312160502309"</f>
        <v>20190312160502309</v>
      </c>
      <c r="B6597" t="str">
        <f>"1552377902301875"</f>
        <v>1552377902301875</v>
      </c>
      <c r="C6597" t="s">
        <v>40</v>
      </c>
      <c r="D6597">
        <v>5.764106</v>
      </c>
      <c r="E6597">
        <v>0.50684960000000001</v>
      </c>
      <c r="F6597" t="s">
        <v>105</v>
      </c>
      <c r="G6597">
        <v>-276.79840000000002</v>
      </c>
      <c r="H6597">
        <v>5.505719</v>
      </c>
      <c r="I6597">
        <v>16.293009999999999</v>
      </c>
      <c r="J6597">
        <v>-339.27480000000003</v>
      </c>
      <c r="K6597">
        <v>1.1083879999999999</v>
      </c>
      <c r="L6597">
        <v>17.619289999999999</v>
      </c>
      <c r="M6597">
        <v>0.99995909999999999</v>
      </c>
      <c r="N6597">
        <v>0</v>
      </c>
      <c r="O6597">
        <v>-4.9895620000000003E-3</v>
      </c>
      <c r="P6597">
        <v>0.99912109999999998</v>
      </c>
      <c r="Q6597">
        <v>4.144925E-2</v>
      </c>
      <c r="R6597">
        <v>-6.2567319999999897E-3</v>
      </c>
      <c r="S6597">
        <v>2.9935909999999999</v>
      </c>
      <c r="T6597">
        <v>0.21017369999999999</v>
      </c>
      <c r="U6597">
        <v>-6.3446039999999995E-2</v>
      </c>
      <c r="V6597">
        <v>1.3986560000000001E-3</v>
      </c>
      <c r="W6597">
        <v>4.8987629999999997E-2</v>
      </c>
      <c r="X6597">
        <v>0.99879839999999998</v>
      </c>
      <c r="Y6597">
        <v>1.6172840000000001E-2</v>
      </c>
      <c r="Z6597">
        <v>2.1712810000000001E-4</v>
      </c>
      <c r="AA6597">
        <v>0.99986920000000001</v>
      </c>
      <c r="AB6597">
        <v>31</v>
      </c>
      <c r="AC6597">
        <v>62.476399999999998</v>
      </c>
      <c r="AD6597">
        <v>4.3973309999999897</v>
      </c>
      <c r="AE6597">
        <v>-1.3262799999999999</v>
      </c>
      <c r="AF6597">
        <v>1.00952592155066</v>
      </c>
      <c r="AG6597">
        <v>4.3973309999999897</v>
      </c>
      <c r="AH6597">
        <v>62.174373755582003</v>
      </c>
      <c r="AI6597">
        <v>85.954979279796504</v>
      </c>
      <c r="AJ6597">
        <v>89.069769604464895</v>
      </c>
      <c r="AK6597">
        <v>62.337856992429998</v>
      </c>
      <c r="AL6597">
        <v>87.192091707147299</v>
      </c>
      <c r="AM6597">
        <v>89.919766558087005</v>
      </c>
      <c r="AN6597">
        <v>0.99999999398709105</v>
      </c>
    </row>
    <row r="6598" spans="1:40" x14ac:dyDescent="0.25">
      <c r="A6598" t="str">
        <f>"20190312160502320"</f>
        <v>20190312160502320</v>
      </c>
      <c r="B6598" t="str">
        <f>"1552377902311326"</f>
        <v>1552377902311326</v>
      </c>
      <c r="C6598" t="s">
        <v>40</v>
      </c>
      <c r="D6598">
        <v>6.0744220000000002</v>
      </c>
      <c r="E6598">
        <v>0.5073434</v>
      </c>
      <c r="F6598" t="s">
        <v>105</v>
      </c>
      <c r="G6598">
        <v>-276.84500000000003</v>
      </c>
      <c r="H6598">
        <v>5.0789559999999998</v>
      </c>
      <c r="I6598">
        <v>16.123329999999999</v>
      </c>
      <c r="J6598">
        <v>-339.11630000000002</v>
      </c>
      <c r="K6598">
        <v>1.108385</v>
      </c>
      <c r="L6598">
        <v>17.617889999999999</v>
      </c>
      <c r="M6598">
        <v>0.9999555</v>
      </c>
      <c r="N6598">
        <v>0</v>
      </c>
      <c r="O6598">
        <v>-5.6414569999999999E-3</v>
      </c>
      <c r="P6598">
        <v>0.99910929999999998</v>
      </c>
      <c r="Q6598">
        <v>4.1587150000000003E-2</v>
      </c>
      <c r="R6598">
        <v>-7.1464759999999997E-3</v>
      </c>
      <c r="S6598">
        <v>2.9942929999999999</v>
      </c>
      <c r="T6598">
        <v>0.19043850000000001</v>
      </c>
      <c r="U6598">
        <v>-7.1746829999999998E-2</v>
      </c>
      <c r="V6598">
        <v>1.637887E-3</v>
      </c>
      <c r="W6598">
        <v>4.9129550000000001E-2</v>
      </c>
      <c r="X6598">
        <v>0.99879110000000004</v>
      </c>
      <c r="Y6598">
        <v>1.82884E-2</v>
      </c>
      <c r="Z6598">
        <v>2.2251669999999999E-4</v>
      </c>
      <c r="AA6598">
        <v>0.99983270000000002</v>
      </c>
      <c r="AB6598">
        <v>31</v>
      </c>
      <c r="AC6598">
        <v>62.271299999999997</v>
      </c>
      <c r="AD6598">
        <v>3.9705710000000001</v>
      </c>
      <c r="AE6598">
        <v>-1.4945600000000001</v>
      </c>
      <c r="AF6598">
        <v>1.13859883133583</v>
      </c>
      <c r="AG6598">
        <v>3.9705710000000001</v>
      </c>
      <c r="AH6598">
        <v>62.026707001732397</v>
      </c>
      <c r="AI6598">
        <v>86.337886918001701</v>
      </c>
      <c r="AJ6598">
        <v>88.948362975834399</v>
      </c>
      <c r="AK6598">
        <v>62.164091104459303</v>
      </c>
      <c r="AL6598">
        <v>87.183950584221193</v>
      </c>
      <c r="AM6598">
        <v>89.906042486463207</v>
      </c>
      <c r="AN6598">
        <v>1.0000000283981101</v>
      </c>
    </row>
    <row r="6599" spans="1:40" x14ac:dyDescent="0.25">
      <c r="A6599" t="str">
        <f>"20190312160502330"</f>
        <v>20190312160502330</v>
      </c>
      <c r="B6599" t="str">
        <f>"1552377902322063"</f>
        <v>1552377902322063</v>
      </c>
      <c r="C6599" t="s">
        <v>40</v>
      </c>
      <c r="D6599">
        <v>5.5852849999999998</v>
      </c>
      <c r="E6599">
        <v>0.50726899999999997</v>
      </c>
      <c r="F6599" t="s">
        <v>105</v>
      </c>
      <c r="G6599">
        <v>-276.88569999999999</v>
      </c>
      <c r="H6599">
        <v>4.7311500000000004</v>
      </c>
      <c r="I6599">
        <v>15.980510000000001</v>
      </c>
      <c r="J6599">
        <v>-338.97030000000001</v>
      </c>
      <c r="K6599">
        <v>1.108382</v>
      </c>
      <c r="L6599">
        <v>17.616520000000001</v>
      </c>
      <c r="M6599">
        <v>0.99995210000000001</v>
      </c>
      <c r="N6599">
        <v>0</v>
      </c>
      <c r="O6599">
        <v>-6.2419669999999898E-3</v>
      </c>
      <c r="P6599">
        <v>0.99910129999999997</v>
      </c>
      <c r="Q6599">
        <v>4.1646170000000003E-2</v>
      </c>
      <c r="R6599">
        <v>-7.9025239999999993E-3</v>
      </c>
      <c r="S6599">
        <v>2.9948730000000001</v>
      </c>
      <c r="T6599">
        <v>0.1743468</v>
      </c>
      <c r="U6599">
        <v>-7.8796389999999994E-2</v>
      </c>
      <c r="V6599">
        <v>1.7945770000000001E-3</v>
      </c>
      <c r="W6599">
        <v>4.9192890000000003E-2</v>
      </c>
      <c r="X6599">
        <v>0.99878769999999994</v>
      </c>
      <c r="Y6599">
        <v>2.0037490000000002E-2</v>
      </c>
      <c r="Z6599">
        <v>2.1964040000000001E-4</v>
      </c>
      <c r="AA6599">
        <v>0.9997992</v>
      </c>
      <c r="AB6599">
        <v>31</v>
      </c>
      <c r="AC6599">
        <v>62.084600000000002</v>
      </c>
      <c r="AD6599">
        <v>3.6227680000000002</v>
      </c>
      <c r="AE6599">
        <v>-1.63601</v>
      </c>
      <c r="AF6599">
        <v>1.24420355316305</v>
      </c>
      <c r="AG6599">
        <v>3.6227680000000002</v>
      </c>
      <c r="AH6599">
        <v>61.883038986656402</v>
      </c>
      <c r="AI6599">
        <v>86.650279590604697</v>
      </c>
      <c r="AJ6599">
        <v>88.848181825384302</v>
      </c>
      <c r="AK6599">
        <v>62.0014758266895</v>
      </c>
      <c r="AL6599">
        <v>87.180317039259805</v>
      </c>
      <c r="AM6599">
        <v>89.897053620640193</v>
      </c>
      <c r="AN6599">
        <v>1.0000000153022199</v>
      </c>
    </row>
    <row r="6600" spans="1:40" x14ac:dyDescent="0.25">
      <c r="A6600" t="str">
        <f>"20190312160502341"</f>
        <v>20190312160502341</v>
      </c>
      <c r="B6600" t="str">
        <f>"1552377902331823"</f>
        <v>1552377902331823</v>
      </c>
      <c r="C6600" t="s">
        <v>40</v>
      </c>
      <c r="D6600">
        <v>5.6465699999999996</v>
      </c>
      <c r="E6600">
        <v>0.50726899999999997</v>
      </c>
      <c r="F6600" t="s">
        <v>105</v>
      </c>
      <c r="G6600">
        <v>-277.10489999999999</v>
      </c>
      <c r="H6600">
        <v>4.3902890000000001</v>
      </c>
      <c r="I6600">
        <v>15.9468</v>
      </c>
      <c r="J6600">
        <v>-338.81580000000002</v>
      </c>
      <c r="K6600">
        <v>1.1083809999999901</v>
      </c>
      <c r="L6600">
        <v>17.61496</v>
      </c>
      <c r="M6600">
        <v>0.9999479</v>
      </c>
      <c r="N6600">
        <v>0</v>
      </c>
      <c r="O6600">
        <v>-6.87705E-3</v>
      </c>
      <c r="P6600">
        <v>0.99908580000000002</v>
      </c>
      <c r="Q6600">
        <v>4.1854549999999997E-2</v>
      </c>
      <c r="R6600">
        <v>-8.7222340000000006E-3</v>
      </c>
      <c r="S6600">
        <v>2.9953919999999998</v>
      </c>
      <c r="T6600">
        <v>0.15890290000000001</v>
      </c>
      <c r="U6600">
        <v>-8.0841060000000006E-2</v>
      </c>
      <c r="V6600">
        <v>1.9806490000000001E-3</v>
      </c>
      <c r="W6600">
        <v>4.9404839999999998E-2</v>
      </c>
      <c r="X6600">
        <v>0.99877689999999997</v>
      </c>
      <c r="Y6600">
        <v>2.008472E-2</v>
      </c>
      <c r="Z6600">
        <v>1.677684E-4</v>
      </c>
      <c r="AA6600">
        <v>0.99979819999999997</v>
      </c>
      <c r="AB6600">
        <v>31</v>
      </c>
      <c r="AC6600">
        <v>61.710900000000002</v>
      </c>
      <c r="AD6600">
        <v>3.281908</v>
      </c>
      <c r="AE6600">
        <v>-1.6681600000000001</v>
      </c>
      <c r="AF6600">
        <v>1.2402143646688399</v>
      </c>
      <c r="AG6600">
        <v>3.281908</v>
      </c>
      <c r="AH6600">
        <v>61.5469653675475</v>
      </c>
      <c r="AI6600">
        <v>86.948289845798996</v>
      </c>
      <c r="AJ6600">
        <v>88.845606231805903</v>
      </c>
      <c r="AK6600">
        <v>61.646881492455798</v>
      </c>
      <c r="AL6600">
        <v>87.168158452570594</v>
      </c>
      <c r="AM6600">
        <v>89.886378349722605</v>
      </c>
      <c r="AN6600">
        <v>1.0000000285797399</v>
      </c>
    </row>
    <row r="6601" spans="1:40" x14ac:dyDescent="0.25">
      <c r="A6601" t="str">
        <f>"20190312160502375"</f>
        <v>20190312160502375</v>
      </c>
      <c r="B6601" t="str">
        <f>"1552377902371838"</f>
        <v>1552377902371838</v>
      </c>
      <c r="C6601" t="s">
        <v>40</v>
      </c>
      <c r="D6601">
        <v>5.8076650000000001</v>
      </c>
      <c r="E6601">
        <v>0.52178429999999998</v>
      </c>
      <c r="F6601" t="s">
        <v>105</v>
      </c>
      <c r="G6601">
        <v>-277.04520000000002</v>
      </c>
      <c r="H6601">
        <v>4.3977839999999997</v>
      </c>
      <c r="I6601">
        <v>15.896789999999999</v>
      </c>
      <c r="J6601">
        <v>-338.34249999999997</v>
      </c>
      <c r="K6601">
        <v>1.1083719999999999</v>
      </c>
      <c r="L6601">
        <v>17.60962</v>
      </c>
      <c r="M6601">
        <v>0.9999325</v>
      </c>
      <c r="N6601">
        <v>0</v>
      </c>
      <c r="O6601">
        <v>-8.8212759999999994E-3</v>
      </c>
      <c r="P6601">
        <v>0.9990253</v>
      </c>
      <c r="Q6601">
        <v>4.2529619999999997E-2</v>
      </c>
      <c r="R6601">
        <v>-1.1838680000000001E-2</v>
      </c>
      <c r="S6601">
        <v>2.9953310000000002</v>
      </c>
      <c r="T6601">
        <v>0.15950699999999901</v>
      </c>
      <c r="U6601">
        <v>-8.3312990000000003E-2</v>
      </c>
      <c r="V6601">
        <v>3.1576899999999999E-3</v>
      </c>
      <c r="W6601">
        <v>5.0091579999999997E-2</v>
      </c>
      <c r="X6601">
        <v>0.99873970000000001</v>
      </c>
      <c r="Y6601">
        <v>1.8969969999999999E-2</v>
      </c>
      <c r="Z6601" s="1">
        <v>3.5317320000000003E-5</v>
      </c>
      <c r="AA6601">
        <v>0.99982009999999999</v>
      </c>
      <c r="AB6601">
        <v>31</v>
      </c>
      <c r="AC6601">
        <v>61.2972999999999</v>
      </c>
      <c r="AD6601">
        <v>3.289412</v>
      </c>
      <c r="AE6601">
        <v>-1.7128300000000001</v>
      </c>
      <c r="AF6601">
        <v>1.1686646625769399</v>
      </c>
      <c r="AG6601">
        <v>3.289412</v>
      </c>
      <c r="AH6601">
        <v>61.134111449037199</v>
      </c>
      <c r="AI6601">
        <v>86.920646660915097</v>
      </c>
      <c r="AJ6601">
        <v>88.904843850159295</v>
      </c>
      <c r="AK6601">
        <v>61.233696532731003</v>
      </c>
      <c r="AL6601">
        <v>87.128762467268402</v>
      </c>
      <c r="AM6601">
        <v>89.818849989471801</v>
      </c>
      <c r="AN6601">
        <v>1.00000006287455</v>
      </c>
    </row>
    <row r="6602" spans="1:40" x14ac:dyDescent="0.25">
      <c r="A6602" t="str">
        <f>"20190312160502389"</f>
        <v>20190312160502389</v>
      </c>
      <c r="B6602" t="str">
        <f>"1552377902381599"</f>
        <v>1552377902381599</v>
      </c>
      <c r="C6602" t="s">
        <v>40</v>
      </c>
      <c r="D6602">
        <v>4.8177079999999997</v>
      </c>
      <c r="E6602">
        <v>0.52178429999999998</v>
      </c>
      <c r="F6602" t="s">
        <v>116</v>
      </c>
      <c r="G6602">
        <v>-279.68</v>
      </c>
      <c r="H6602">
        <v>9.4323870000000004E-2</v>
      </c>
      <c r="I6602">
        <v>13.43657</v>
      </c>
      <c r="J6602">
        <v>-338.16149999999999</v>
      </c>
      <c r="K6602">
        <v>1.1083700000000001</v>
      </c>
      <c r="L6602">
        <v>17.60736</v>
      </c>
      <c r="M6602">
        <v>0.99992559999999997</v>
      </c>
      <c r="N6602">
        <v>0</v>
      </c>
      <c r="O6602">
        <v>-9.5642469999999997E-3</v>
      </c>
      <c r="P6602">
        <v>0.99900160000000005</v>
      </c>
      <c r="Q6602">
        <v>4.2776910000000001E-2</v>
      </c>
      <c r="R6602">
        <v>-1.288807E-2</v>
      </c>
      <c r="S6602">
        <v>3.0025629999999999</v>
      </c>
      <c r="T6602">
        <v>-5.1903249999999998E-2</v>
      </c>
      <c r="U6602">
        <v>-0.21359249999999999</v>
      </c>
      <c r="V6602">
        <v>3.4659500000000002E-3</v>
      </c>
      <c r="W6602">
        <v>5.0343989999999998E-2</v>
      </c>
      <c r="X6602">
        <v>0.998726</v>
      </c>
      <c r="Y6602">
        <v>6.1406049999999997E-2</v>
      </c>
      <c r="Z6602">
        <v>-3.649344E-4</v>
      </c>
      <c r="AA6602">
        <v>0.99811280000000002</v>
      </c>
      <c r="AB6602">
        <v>31</v>
      </c>
      <c r="AC6602">
        <v>58.481499999999897</v>
      </c>
      <c r="AD6602">
        <v>-1.0140461300000001</v>
      </c>
      <c r="AE6602">
        <v>-4.1707899999999896</v>
      </c>
      <c r="AF6602">
        <v>3.6101717333766401</v>
      </c>
      <c r="AG6602">
        <v>-1.0140461300000001</v>
      </c>
      <c r="AH6602">
        <v>58.501216524641698</v>
      </c>
      <c r="AI6602">
        <v>90.991166786293206</v>
      </c>
      <c r="AJ6602">
        <v>86.468695213966498</v>
      </c>
      <c r="AK6602">
        <v>58.621275697149898</v>
      </c>
      <c r="AL6602">
        <v>87.114282210176896</v>
      </c>
      <c r="AM6602">
        <v>89.8011631720872</v>
      </c>
      <c r="AN6602">
        <v>1.0000000766072501</v>
      </c>
    </row>
    <row r="6603" spans="1:40" x14ac:dyDescent="0.25">
      <c r="A6603" t="str">
        <f>"20190312160502455"</f>
        <v>20190312160502455</v>
      </c>
      <c r="B6603" t="str">
        <f>"1552377902451870"</f>
        <v>1552377902451870</v>
      </c>
      <c r="C6603" t="s">
        <v>40</v>
      </c>
      <c r="D6603">
        <v>5.5311659999999998</v>
      </c>
      <c r="E6603">
        <v>0.53435900000000003</v>
      </c>
      <c r="F6603" t="s">
        <v>116</v>
      </c>
      <c r="G6603">
        <v>-279.68</v>
      </c>
      <c r="H6603">
        <v>0.1114221</v>
      </c>
      <c r="I6603">
        <v>13.38575</v>
      </c>
      <c r="J6603">
        <v>-337.22109999999998</v>
      </c>
      <c r="K6603">
        <v>1.1083529999999999</v>
      </c>
      <c r="L6603">
        <v>17.593319999999999</v>
      </c>
      <c r="M6603">
        <v>0.99988100000000002</v>
      </c>
      <c r="N6603">
        <v>0</v>
      </c>
      <c r="O6603">
        <v>-1.3423579999999999E-2</v>
      </c>
      <c r="P6603">
        <v>0.99887870000000001</v>
      </c>
      <c r="Q6603">
        <v>4.4127800000000002E-2</v>
      </c>
      <c r="R6603">
        <v>-1.7156669999999999E-2</v>
      </c>
      <c r="S6603">
        <v>3.0024109999999999</v>
      </c>
      <c r="T6603">
        <v>-5.1183340000000001E-2</v>
      </c>
      <c r="U6603">
        <v>-0.21673580000000001</v>
      </c>
      <c r="V6603">
        <v>3.8853830000000001E-3</v>
      </c>
      <c r="W6603">
        <v>5.1722629999999999E-2</v>
      </c>
      <c r="X6603">
        <v>0.99865389999999998</v>
      </c>
      <c r="Y6603">
        <v>5.8597780000000002E-2</v>
      </c>
      <c r="Z6603">
        <v>-2.7028799999999998E-4</v>
      </c>
      <c r="AA6603">
        <v>0.99828170000000005</v>
      </c>
      <c r="AB6603">
        <v>32</v>
      </c>
      <c r="AC6603">
        <v>57.541099999999901</v>
      </c>
      <c r="AD6603">
        <v>-0.99693089999999995</v>
      </c>
      <c r="AE6603">
        <v>-4.2075699999999996</v>
      </c>
      <c r="AF6603">
        <v>3.43373575660828</v>
      </c>
      <c r="AG6603">
        <v>-0.99693089999999995</v>
      </c>
      <c r="AH6603">
        <v>57.575206823075703</v>
      </c>
      <c r="AI6603">
        <v>90.990234274470595</v>
      </c>
      <c r="AJ6603">
        <v>86.586971733510893</v>
      </c>
      <c r="AK6603">
        <v>57.686123575653198</v>
      </c>
      <c r="AL6603">
        <v>87.035188575671299</v>
      </c>
      <c r="AM6603">
        <v>89.777085009670202</v>
      </c>
      <c r="AN6603">
        <v>0.99999996932019097</v>
      </c>
    </row>
    <row r="6604" spans="1:40" x14ac:dyDescent="0.25">
      <c r="A6604" t="str">
        <f>"20190312160502466"</f>
        <v>20190312160502466</v>
      </c>
      <c r="B6604" t="str">
        <f>"1552377902461631"</f>
        <v>1552377902461631</v>
      </c>
      <c r="C6604" t="s">
        <v>40</v>
      </c>
      <c r="D6604">
        <v>6.0063129999999996</v>
      </c>
      <c r="E6604">
        <v>0.53435900000000003</v>
      </c>
      <c r="F6604" t="s">
        <v>49</v>
      </c>
      <c r="G6604">
        <v>-336.43610000000001</v>
      </c>
      <c r="H6604">
        <v>0.78740359999999998</v>
      </c>
      <c r="I6604">
        <v>17.50037</v>
      </c>
      <c r="J6604">
        <v>-337.06290000000001</v>
      </c>
      <c r="K6604">
        <v>1.1083499999999999</v>
      </c>
      <c r="L6604">
        <v>17.590669999999999</v>
      </c>
      <c r="M6604">
        <v>0.99987210000000004</v>
      </c>
      <c r="N6604">
        <v>0</v>
      </c>
      <c r="O6604">
        <v>-1.4072009999999999E-2</v>
      </c>
      <c r="P6604">
        <v>0.99886799999999998</v>
      </c>
      <c r="Q6604">
        <v>4.4100779999999999E-2</v>
      </c>
      <c r="R6604">
        <v>-1.7835589999999998E-2</v>
      </c>
      <c r="S6604">
        <v>3.0522770000000001</v>
      </c>
      <c r="T6604">
        <v>-1.2478320000000001</v>
      </c>
      <c r="U6604">
        <v>-0.35971069999999999</v>
      </c>
      <c r="V6604">
        <v>3.9168270000000003E-3</v>
      </c>
      <c r="W6604">
        <v>5.1700250000000003E-2</v>
      </c>
      <c r="X6604">
        <v>0.99865499999999996</v>
      </c>
      <c r="Y6604">
        <v>9.6519129999999995E-2</v>
      </c>
      <c r="Z6604">
        <v>-1.339661E-2</v>
      </c>
      <c r="AA6604">
        <v>0.99524100000000004</v>
      </c>
      <c r="AB6604">
        <v>32</v>
      </c>
      <c r="AC6604">
        <v>0.62680000000000202</v>
      </c>
      <c r="AD6604">
        <v>-0.32094640000000002</v>
      </c>
      <c r="AE6604">
        <v>-9.0300000000002698E-2</v>
      </c>
      <c r="AF6604">
        <v>6.4820969381145802E-2</v>
      </c>
      <c r="AG6604">
        <v>-0.32094640000000002</v>
      </c>
      <c r="AH6604">
        <v>0.49966732807967801</v>
      </c>
      <c r="AI6604">
        <v>122.496423352059</v>
      </c>
      <c r="AJ6604">
        <v>82.608399619411202</v>
      </c>
      <c r="AK6604">
        <v>0.59739081721663201</v>
      </c>
      <c r="AL6604">
        <v>87.0364727626486</v>
      </c>
      <c r="AM6604">
        <v>89.775281247815201</v>
      </c>
      <c r="AN6604">
        <v>1.0000000332043999</v>
      </c>
    </row>
    <row r="6605" spans="1:40" x14ac:dyDescent="0.25">
      <c r="A6605" t="str">
        <f>"20190312160502478"</f>
        <v>20190312160502478</v>
      </c>
      <c r="B6605" t="str">
        <f>"1552377902471391"</f>
        <v>1552377902471391</v>
      </c>
      <c r="C6605" t="s">
        <v>40</v>
      </c>
      <c r="D6605">
        <v>5.9680499999999999</v>
      </c>
      <c r="E6605">
        <v>0.53495119999999996</v>
      </c>
      <c r="F6605" t="s">
        <v>49</v>
      </c>
      <c r="G6605">
        <v>-336.41419999999999</v>
      </c>
      <c r="H6605">
        <v>0.84302659999999996</v>
      </c>
      <c r="I6605">
        <v>17.51332</v>
      </c>
      <c r="J6605">
        <v>-336.90320000000003</v>
      </c>
      <c r="K6605">
        <v>1.108352</v>
      </c>
      <c r="L6605">
        <v>17.587769999999999</v>
      </c>
      <c r="M6605">
        <v>0.99986260000000005</v>
      </c>
      <c r="N6605">
        <v>0</v>
      </c>
      <c r="O6605">
        <v>-1.4726639999999999E-2</v>
      </c>
      <c r="P6605">
        <v>0.99883489999999997</v>
      </c>
      <c r="Q6605">
        <v>4.4570060000000002E-2</v>
      </c>
      <c r="R6605">
        <v>-1.8506789999999999E-2</v>
      </c>
      <c r="S6605">
        <v>3.0520320000000001</v>
      </c>
      <c r="T6605">
        <v>-1.247916</v>
      </c>
      <c r="U6605">
        <v>-0.3617554</v>
      </c>
      <c r="V6605">
        <v>3.9359030000000001E-3</v>
      </c>
      <c r="W6605">
        <v>5.2174529999999997E-2</v>
      </c>
      <c r="X6605">
        <v>0.99863020000000002</v>
      </c>
      <c r="Y6605">
        <v>9.6580620000000006E-2</v>
      </c>
      <c r="Z6605">
        <v>-1.315362E-2</v>
      </c>
      <c r="AA6605">
        <v>0.99523819999999996</v>
      </c>
      <c r="AB6605">
        <v>32</v>
      </c>
      <c r="AC6605">
        <v>0.48900000000003202</v>
      </c>
      <c r="AD6605">
        <v>-0.26532539999999999</v>
      </c>
      <c r="AE6605">
        <v>-7.4450000000002306E-2</v>
      </c>
      <c r="AF6605">
        <v>5.2216143155259402E-2</v>
      </c>
      <c r="AG6605">
        <v>-0.26532539999999999</v>
      </c>
      <c r="AH6605">
        <v>0.380547704448288</v>
      </c>
      <c r="AI6605">
        <v>124.63468516091601</v>
      </c>
      <c r="AJ6605">
        <v>82.1870553453018</v>
      </c>
      <c r="AK6605">
        <v>0.46684113877424299</v>
      </c>
      <c r="AL6605">
        <v>87.009261620183196</v>
      </c>
      <c r="AM6605">
        <v>89.774181210622004</v>
      </c>
      <c r="AN6605">
        <v>0.99999997463259205</v>
      </c>
    </row>
    <row r="6606" spans="1:40" x14ac:dyDescent="0.25">
      <c r="A6606" t="str">
        <f>"20190312160502489"</f>
        <v>20190312160502489</v>
      </c>
      <c r="B6606" t="str">
        <f>"1552377902482127"</f>
        <v>1552377902482127</v>
      </c>
      <c r="C6606" t="s">
        <v>40</v>
      </c>
      <c r="D6606">
        <v>6.0265510000000004</v>
      </c>
      <c r="E6606">
        <v>0.53429179999999998</v>
      </c>
      <c r="F6606" t="s">
        <v>49</v>
      </c>
      <c r="G6606">
        <v>-336.08359999999999</v>
      </c>
      <c r="H6606">
        <v>0.95211449999999997</v>
      </c>
      <c r="I6606">
        <v>17.492270000000001</v>
      </c>
      <c r="J6606">
        <v>-336.7398</v>
      </c>
      <c r="K6606">
        <v>1.1083499999999999</v>
      </c>
      <c r="L6606">
        <v>17.584810000000001</v>
      </c>
      <c r="M6606">
        <v>0.99985250000000003</v>
      </c>
      <c r="N6606">
        <v>0</v>
      </c>
      <c r="O6606">
        <v>-1.5396170000000001E-2</v>
      </c>
      <c r="P6606">
        <v>0.99881799999999998</v>
      </c>
      <c r="Q6606">
        <v>4.4665290000000003E-2</v>
      </c>
      <c r="R6606">
        <v>-1.9175330000000001E-2</v>
      </c>
      <c r="S6606">
        <v>3.022675</v>
      </c>
      <c r="T6606">
        <v>-0.57610479999999997</v>
      </c>
      <c r="U6606">
        <v>-0.35198970000000002</v>
      </c>
      <c r="V6606">
        <v>3.9362540000000001E-3</v>
      </c>
      <c r="W6606">
        <v>5.2275009999999997E-2</v>
      </c>
      <c r="X6606">
        <v>0.99862499999999998</v>
      </c>
      <c r="Y6606">
        <v>9.8878969999999997E-2</v>
      </c>
      <c r="Z6606">
        <v>-6.4101430000000001E-3</v>
      </c>
      <c r="AA6606">
        <v>0.99507880000000004</v>
      </c>
      <c r="AB6606">
        <v>32</v>
      </c>
      <c r="AC6606">
        <v>0.656200000000012</v>
      </c>
      <c r="AD6606">
        <v>-0.156235499999999</v>
      </c>
      <c r="AE6606">
        <v>-9.2539999999999595E-2</v>
      </c>
      <c r="AF6606">
        <v>7.8085612549135805E-2</v>
      </c>
      <c r="AG6606">
        <v>-0.156235499999999</v>
      </c>
      <c r="AH6606">
        <v>0.62292364408479095</v>
      </c>
      <c r="AI6606">
        <v>103.974881876284</v>
      </c>
      <c r="AJ6606">
        <v>82.855046270450501</v>
      </c>
      <c r="AK6606">
        <v>0.64694726269403102</v>
      </c>
      <c r="AL6606">
        <v>87.0034968411519</v>
      </c>
      <c r="AM6606">
        <v>89.774159896563503</v>
      </c>
      <c r="AN6606">
        <v>1.0000000306955199</v>
      </c>
    </row>
    <row r="6607" spans="1:40" x14ac:dyDescent="0.25">
      <c r="A6607" t="str">
        <f>"20190312160502500"</f>
        <v>20190312160502500</v>
      </c>
      <c r="B6607" t="str">
        <f>"1552377902491887"</f>
        <v>1552377902491887</v>
      </c>
      <c r="C6607" t="s">
        <v>40</v>
      </c>
      <c r="D6607">
        <v>5.7660549999999997</v>
      </c>
      <c r="E6607">
        <v>0.53461559999999997</v>
      </c>
      <c r="F6607" t="s">
        <v>49</v>
      </c>
      <c r="G6607">
        <v>-335.79230000000001</v>
      </c>
      <c r="H6607">
        <v>0.96582040000000002</v>
      </c>
      <c r="I6607">
        <v>17.475939999999898</v>
      </c>
      <c r="J6607">
        <v>-336.57839999999999</v>
      </c>
      <c r="K6607">
        <v>1.1083419999999999</v>
      </c>
      <c r="L6607">
        <v>17.581700000000001</v>
      </c>
      <c r="M6607">
        <v>0.99984200000000001</v>
      </c>
      <c r="N6607">
        <v>0</v>
      </c>
      <c r="O6607">
        <v>-1.6057720000000001E-2</v>
      </c>
      <c r="P6607">
        <v>0.99878529999999999</v>
      </c>
      <c r="Q6607">
        <v>4.5068770000000001E-2</v>
      </c>
      <c r="R6607">
        <v>-1.9925539999999999E-2</v>
      </c>
      <c r="S6607">
        <v>3.017242</v>
      </c>
      <c r="T6607">
        <v>-0.45377489999999998</v>
      </c>
      <c r="U6607">
        <v>-0.34576420000000002</v>
      </c>
      <c r="V6607">
        <v>4.0273619999999996E-3</v>
      </c>
      <c r="W6607">
        <v>5.2682619999999999E-2</v>
      </c>
      <c r="X6607">
        <v>0.99860320000000002</v>
      </c>
      <c r="Y6607">
        <v>9.6984570000000006E-2</v>
      </c>
      <c r="Z6607">
        <v>-4.8356809999999997E-3</v>
      </c>
      <c r="AA6607">
        <v>0.99527410000000005</v>
      </c>
      <c r="AB6607">
        <v>32</v>
      </c>
      <c r="AC6607">
        <v>0.78609999999997604</v>
      </c>
      <c r="AD6607">
        <v>-0.142521599999999</v>
      </c>
      <c r="AE6607">
        <v>-0.105760000000003</v>
      </c>
      <c r="AF6607">
        <v>9.0210480681745295E-2</v>
      </c>
      <c r="AG6607">
        <v>-0.142521599999999</v>
      </c>
      <c r="AH6607">
        <v>0.763060720920956</v>
      </c>
      <c r="AI6607">
        <v>100.508057934878</v>
      </c>
      <c r="AJ6607">
        <v>83.257679587040897</v>
      </c>
      <c r="AK6607">
        <v>0.781480646659788</v>
      </c>
      <c r="AL6607">
        <v>86.980110234487498</v>
      </c>
      <c r="AM6607">
        <v>89.768927644007604</v>
      </c>
      <c r="AN6607">
        <v>1.0000000145724901</v>
      </c>
    </row>
    <row r="6608" spans="1:40" x14ac:dyDescent="0.25">
      <c r="A6608" t="str">
        <f>"20190312160502511"</f>
        <v>20190312160502511</v>
      </c>
      <c r="B6608" t="str">
        <f>"1552377902501647"</f>
        <v>1552377902501647</v>
      </c>
      <c r="C6608" t="s">
        <v>40</v>
      </c>
      <c r="D6608">
        <v>5.5966079999999998</v>
      </c>
      <c r="E6608">
        <v>0.53410349999999995</v>
      </c>
      <c r="F6608" t="s">
        <v>49</v>
      </c>
      <c r="G6608">
        <v>-335.7681</v>
      </c>
      <c r="H6608">
        <v>1.0153019999999999</v>
      </c>
      <c r="I6608">
        <v>17.487819999999999</v>
      </c>
      <c r="J6608">
        <v>-336.42680000000001</v>
      </c>
      <c r="K6608">
        <v>1.1083369999999999</v>
      </c>
      <c r="L6608">
        <v>17.578700000000001</v>
      </c>
      <c r="M6608">
        <v>0.99983169999999999</v>
      </c>
      <c r="N6608">
        <v>0</v>
      </c>
      <c r="O6608">
        <v>-1.6678720000000001E-2</v>
      </c>
      <c r="P6608">
        <v>0.99876319999999996</v>
      </c>
      <c r="Q6608">
        <v>4.543312E-2</v>
      </c>
      <c r="R6608">
        <v>-2.0202350000000001E-2</v>
      </c>
      <c r="S6608">
        <v>3.0122990000000001</v>
      </c>
      <c r="T6608">
        <v>-0.34585830000000001</v>
      </c>
      <c r="U6608">
        <v>-0.34793089999999999</v>
      </c>
      <c r="V6608">
        <v>3.6851980000000002E-3</v>
      </c>
      <c r="W6608">
        <v>5.3053080000000002E-2</v>
      </c>
      <c r="X6608">
        <v>0.9985849</v>
      </c>
      <c r="Y6608">
        <v>9.7631010000000004E-2</v>
      </c>
      <c r="Z6608">
        <v>-3.6661160000000001E-3</v>
      </c>
      <c r="AA6608">
        <v>0.99521599999999999</v>
      </c>
      <c r="AB6608">
        <v>32</v>
      </c>
      <c r="AC6608">
        <v>0.65870000000001006</v>
      </c>
      <c r="AD6608">
        <v>-9.3034999999999896E-2</v>
      </c>
      <c r="AE6608">
        <v>-9.0879999999998504E-2</v>
      </c>
      <c r="AF6608">
        <v>7.8347028071181199E-2</v>
      </c>
      <c r="AG6608">
        <v>-9.3034999999999896E-2</v>
      </c>
      <c r="AH6608">
        <v>0.64744958105665196</v>
      </c>
      <c r="AI6608">
        <v>98.118691897892106</v>
      </c>
      <c r="AJ6608">
        <v>83.100259927183103</v>
      </c>
      <c r="AK6608">
        <v>0.65877517260672602</v>
      </c>
      <c r="AL6608">
        <v>86.958854689371506</v>
      </c>
      <c r="AM6608">
        <v>89.788555451289199</v>
      </c>
      <c r="AN6608">
        <v>1.0000000062448899</v>
      </c>
    </row>
    <row r="6609" spans="1:40" x14ac:dyDescent="0.25">
      <c r="A6609" t="str">
        <f>"20190312160502522"</f>
        <v>20190312160502522</v>
      </c>
      <c r="B6609" t="str">
        <f>"1552377902511406"</f>
        <v>1552377902511406</v>
      </c>
      <c r="C6609" t="s">
        <v>40</v>
      </c>
      <c r="D6609">
        <v>6.292065</v>
      </c>
      <c r="E6609">
        <v>0.53291739999999999</v>
      </c>
      <c r="F6609" t="s">
        <v>49</v>
      </c>
      <c r="G6609">
        <v>-335.47680000000003</v>
      </c>
      <c r="H6609">
        <v>1.0277480000000001</v>
      </c>
      <c r="I6609">
        <v>17.470279999999999</v>
      </c>
      <c r="J6609">
        <v>-336.26889999999997</v>
      </c>
      <c r="K6609">
        <v>1.1083339999999999</v>
      </c>
      <c r="L6609">
        <v>17.575500000000002</v>
      </c>
      <c r="M6609">
        <v>0.99982079999999995</v>
      </c>
      <c r="N6609">
        <v>0</v>
      </c>
      <c r="O6609">
        <v>-1.732537E-2</v>
      </c>
      <c r="P6609">
        <v>0.99874220000000002</v>
      </c>
      <c r="Q6609">
        <v>4.5758460000000001E-2</v>
      </c>
      <c r="R6609">
        <v>-2.0503649999999998E-2</v>
      </c>
      <c r="S6609">
        <v>3.008362</v>
      </c>
      <c r="T6609">
        <v>-0.25515290000000002</v>
      </c>
      <c r="U6609">
        <v>-0.34252929999999998</v>
      </c>
      <c r="V6609">
        <v>3.3421810000000001E-3</v>
      </c>
      <c r="W6609">
        <v>5.3384010000000003E-2</v>
      </c>
      <c r="X6609">
        <v>0.99856849999999997</v>
      </c>
      <c r="Y6609">
        <v>9.561915E-2</v>
      </c>
      <c r="Z6609">
        <v>-2.5729759999999998E-3</v>
      </c>
      <c r="AA6609">
        <v>0.99541469999999999</v>
      </c>
      <c r="AB6609">
        <v>32</v>
      </c>
      <c r="AC6609">
        <v>0.79209999999994796</v>
      </c>
      <c r="AD6609">
        <v>-8.0586000000000005E-2</v>
      </c>
      <c r="AE6609">
        <v>-0.10522000000000201</v>
      </c>
      <c r="AF6609">
        <v>9.0559304617129799E-2</v>
      </c>
      <c r="AG6609">
        <v>-8.0586000000000005E-2</v>
      </c>
      <c r="AH6609">
        <v>0.78581165973863898</v>
      </c>
      <c r="AI6609">
        <v>95.817053197810907</v>
      </c>
      <c r="AJ6609">
        <v>83.426062002417297</v>
      </c>
      <c r="AK6609">
        <v>0.79510694603300602</v>
      </c>
      <c r="AL6609">
        <v>86.939866980242996</v>
      </c>
      <c r="AM6609">
        <v>89.808233335394505</v>
      </c>
      <c r="AN6609">
        <v>1.00000003594488</v>
      </c>
    </row>
    <row r="6610" spans="1:40" x14ac:dyDescent="0.25">
      <c r="A6610" t="str">
        <f>"20190312160502531"</f>
        <v>20190312160502531</v>
      </c>
      <c r="B6610" t="str">
        <f>"1552377902522143"</f>
        <v>1552377902522143</v>
      </c>
      <c r="C6610" t="s">
        <v>40</v>
      </c>
      <c r="D6610">
        <v>5.8892689999999996</v>
      </c>
      <c r="E6610">
        <v>0.53606009999999904</v>
      </c>
      <c r="F6610" t="s">
        <v>43</v>
      </c>
      <c r="G6610">
        <v>-316.16379999999998</v>
      </c>
      <c r="H6610">
        <v>-0.05</v>
      </c>
      <c r="I6610">
        <v>15.35416</v>
      </c>
      <c r="J6610">
        <v>-336.13240000000002</v>
      </c>
      <c r="K6610">
        <v>1.1083270000000001</v>
      </c>
      <c r="L6610">
        <v>17.57263</v>
      </c>
      <c r="M6610">
        <v>0.99981089999999995</v>
      </c>
      <c r="N6610">
        <v>0</v>
      </c>
      <c r="O6610">
        <v>-1.7884029999999999E-2</v>
      </c>
      <c r="P6610">
        <v>0.9987338</v>
      </c>
      <c r="Q6610">
        <v>4.5840890000000002E-2</v>
      </c>
      <c r="R6610">
        <v>-2.0728480000000001E-2</v>
      </c>
      <c r="S6610">
        <v>3.004883</v>
      </c>
      <c r="T6610">
        <v>-0.17312359999999999</v>
      </c>
      <c r="U6610">
        <v>-0.33200069999999998</v>
      </c>
      <c r="V6610">
        <v>3.0092890000000001E-3</v>
      </c>
      <c r="W6610">
        <v>5.3472579999999999E-2</v>
      </c>
      <c r="X6610">
        <v>0.99856480000000003</v>
      </c>
      <c r="Y6610">
        <v>9.1903670000000007E-2</v>
      </c>
      <c r="Z6610">
        <v>-1.611136E-3</v>
      </c>
      <c r="AA6610">
        <v>0.99576659999999995</v>
      </c>
      <c r="AB6610">
        <v>32</v>
      </c>
      <c r="AC6610">
        <v>19.968599999999999</v>
      </c>
      <c r="AD6610">
        <v>-1.1583270000000001</v>
      </c>
      <c r="AE6610">
        <v>-2.2184699999999999</v>
      </c>
      <c r="AF6610">
        <v>1.8548205993931901</v>
      </c>
      <c r="AG6610">
        <v>-1.1583270000000001</v>
      </c>
      <c r="AH6610">
        <v>19.938809209794702</v>
      </c>
      <c r="AI6610">
        <v>93.310547766306897</v>
      </c>
      <c r="AJ6610">
        <v>84.685318579672696</v>
      </c>
      <c r="AK6610">
        <v>20.058369664543001</v>
      </c>
      <c r="AL6610">
        <v>86.934784974099699</v>
      </c>
      <c r="AM6610">
        <v>89.827333151464998</v>
      </c>
      <c r="AN6610">
        <v>1.00000001621559</v>
      </c>
    </row>
    <row r="6611" spans="1:40" x14ac:dyDescent="0.25">
      <c r="A6611" t="str">
        <f>"20190312160502542"</f>
        <v>20190312160502542</v>
      </c>
      <c r="B6611" t="str">
        <f>"1552377902531903"</f>
        <v>1552377902531903</v>
      </c>
      <c r="C6611" t="s">
        <v>40</v>
      </c>
      <c r="D6611">
        <v>5.7179929999999999</v>
      </c>
      <c r="E6611">
        <v>0.53873019999999905</v>
      </c>
      <c r="F6611" t="s">
        <v>43</v>
      </c>
      <c r="G6611">
        <v>-313.1388</v>
      </c>
      <c r="H6611">
        <v>-0.05</v>
      </c>
      <c r="I6611">
        <v>14.837619999999999</v>
      </c>
      <c r="J6611">
        <v>-335.9701</v>
      </c>
      <c r="K6611">
        <v>1.1083270000000001</v>
      </c>
      <c r="L6611">
        <v>17.56915</v>
      </c>
      <c r="M6611">
        <v>0.99979870000000004</v>
      </c>
      <c r="N6611">
        <v>0</v>
      </c>
      <c r="O6611">
        <v>-1.854892E-2</v>
      </c>
      <c r="P6611">
        <v>0.99871129999999997</v>
      </c>
      <c r="Q6611">
        <v>4.6182000000000001E-2</v>
      </c>
      <c r="R6611">
        <v>-2.1056490000000001E-2</v>
      </c>
      <c r="S6611">
        <v>3.0033569999999998</v>
      </c>
      <c r="T6611">
        <v>-0.15129690000000001</v>
      </c>
      <c r="U6611">
        <v>-0.35723880000000002</v>
      </c>
      <c r="V6611">
        <v>2.6747329999999999E-3</v>
      </c>
      <c r="W6611">
        <v>5.3822080000000001E-2</v>
      </c>
      <c r="X6611">
        <v>0.99854699999999996</v>
      </c>
      <c r="Y6611">
        <v>9.9572679999999997E-2</v>
      </c>
      <c r="Z6611">
        <v>-1.567372E-3</v>
      </c>
      <c r="AA6611">
        <v>0.99502900000000005</v>
      </c>
      <c r="AB6611">
        <v>32</v>
      </c>
      <c r="AC6611">
        <v>22.831299999999999</v>
      </c>
      <c r="AD6611">
        <v>-1.1583270000000001</v>
      </c>
      <c r="AE6611">
        <v>-2.7315299999999998</v>
      </c>
      <c r="AF6611">
        <v>2.3017107821662899</v>
      </c>
      <c r="AG6611">
        <v>-1.1583270000000001</v>
      </c>
      <c r="AH6611">
        <v>22.820131033074301</v>
      </c>
      <c r="AI6611">
        <v>92.891138513723106</v>
      </c>
      <c r="AJ6611">
        <v>84.240444658679905</v>
      </c>
      <c r="AK6611">
        <v>22.9651469477195</v>
      </c>
      <c r="AL6611">
        <v>86.914731296956205</v>
      </c>
      <c r="AM6611">
        <v>89.846526457243101</v>
      </c>
      <c r="AN6611">
        <v>1.00000004085057</v>
      </c>
    </row>
    <row r="6612" spans="1:40" x14ac:dyDescent="0.25">
      <c r="A6612" t="str">
        <f>"20190312160502554"</f>
        <v>20190312160502554</v>
      </c>
      <c r="B6612" t="str">
        <f>"1552377902551422"</f>
        <v>1552377902551422</v>
      </c>
      <c r="C6612" t="s">
        <v>40</v>
      </c>
      <c r="D6612">
        <v>7.2593750000000004</v>
      </c>
      <c r="E6612">
        <v>0.53808409999999995</v>
      </c>
      <c r="F6612" t="s">
        <v>43</v>
      </c>
      <c r="G6612">
        <v>-306.82240000000002</v>
      </c>
      <c r="H6612">
        <v>-0.05</v>
      </c>
      <c r="I6612">
        <v>13.89099</v>
      </c>
      <c r="J6612">
        <v>-335.81220000000002</v>
      </c>
      <c r="K6612">
        <v>1.1083240000000001</v>
      </c>
      <c r="L6612">
        <v>17.56561</v>
      </c>
      <c r="M6612">
        <v>0.99978639999999996</v>
      </c>
      <c r="N6612">
        <v>0</v>
      </c>
      <c r="O6612">
        <v>-1.91951E-2</v>
      </c>
      <c r="P6612">
        <v>0.99870349999999997</v>
      </c>
      <c r="Q6612">
        <v>4.6244899999999999E-2</v>
      </c>
      <c r="R6612">
        <v>-2.1279289999999999E-2</v>
      </c>
      <c r="S6612">
        <v>3.0014340000000002</v>
      </c>
      <c r="T6612">
        <v>-0.11927699999999999</v>
      </c>
      <c r="U6612">
        <v>-0.37875370000000003</v>
      </c>
      <c r="V6612">
        <v>2.2524509999999999E-3</v>
      </c>
      <c r="W6612">
        <v>5.3894459999999998E-2</v>
      </c>
      <c r="X6612">
        <v>0.99854410000000005</v>
      </c>
      <c r="Y6612">
        <v>0.1060629</v>
      </c>
      <c r="Z6612">
        <v>-1.3390639999999901E-3</v>
      </c>
      <c r="AA6612">
        <v>0.99435850000000003</v>
      </c>
      <c r="AB6612">
        <v>32</v>
      </c>
      <c r="AC6612">
        <v>28.989799999999999</v>
      </c>
      <c r="AD6612">
        <v>-1.1583239999999999</v>
      </c>
      <c r="AE6612">
        <v>-3.67462</v>
      </c>
      <c r="AF6612">
        <v>3.1125738394113598</v>
      </c>
      <c r="AG6612">
        <v>-1.1583239999999999</v>
      </c>
      <c r="AH6612">
        <v>29.009414034293101</v>
      </c>
      <c r="AI6612">
        <v>92.273527062371798</v>
      </c>
      <c r="AJ6612">
        <v>83.875861256683606</v>
      </c>
      <c r="AK6612">
        <v>29.198902941854001</v>
      </c>
      <c r="AL6612">
        <v>86.910578083707605</v>
      </c>
      <c r="AM6612">
        <v>89.870756116863404</v>
      </c>
      <c r="AN6612">
        <v>1.0000000029995</v>
      </c>
    </row>
    <row r="6613" spans="1:40" x14ac:dyDescent="0.25">
      <c r="A6613" t="str">
        <f>"20190312160502566"</f>
        <v>20190312160502566</v>
      </c>
      <c r="B6613" t="str">
        <f>"1552377902562158"</f>
        <v>1552377902562158</v>
      </c>
      <c r="C6613" t="s">
        <v>40</v>
      </c>
      <c r="D6613">
        <v>5.7515080000000003</v>
      </c>
      <c r="E6613">
        <v>0.53776059999999903</v>
      </c>
      <c r="F6613" t="s">
        <v>43</v>
      </c>
      <c r="G6613">
        <v>-268.47000000000003</v>
      </c>
      <c r="H6613">
        <v>-0.05</v>
      </c>
      <c r="I6613">
        <v>9.1985469999999996</v>
      </c>
      <c r="J6613">
        <v>-335.64339999999999</v>
      </c>
      <c r="K6613">
        <v>1.1083190000000001</v>
      </c>
      <c r="L6613">
        <v>17.561800000000002</v>
      </c>
      <c r="M6613">
        <v>0.99977280000000002</v>
      </c>
      <c r="N6613">
        <v>0</v>
      </c>
      <c r="O6613">
        <v>-1.9886000000000001E-2</v>
      </c>
      <c r="P6613">
        <v>0.99870599999999998</v>
      </c>
      <c r="Q6613">
        <v>4.5947540000000002E-2</v>
      </c>
      <c r="R6613">
        <v>-2.180402E-2</v>
      </c>
      <c r="S6613">
        <v>2.998291</v>
      </c>
      <c r="T6613">
        <v>-5.1572319999999998E-2</v>
      </c>
      <c r="U6613">
        <v>-0.37252809999999997</v>
      </c>
      <c r="V6613">
        <v>2.086306E-3</v>
      </c>
      <c r="W6613">
        <v>5.3607330000000002E-2</v>
      </c>
      <c r="X6613">
        <v>0.99855989999999994</v>
      </c>
      <c r="Y6613">
        <v>0.1035273</v>
      </c>
      <c r="Z6613">
        <v>-5.4628589999999996E-4</v>
      </c>
      <c r="AA6613">
        <v>0.99462649999999997</v>
      </c>
      <c r="AB6613">
        <v>32</v>
      </c>
      <c r="AC6613">
        <v>67.173399999999901</v>
      </c>
      <c r="AD6613">
        <v>-1.1583190000000001</v>
      </c>
      <c r="AE6613">
        <v>-8.3632530000000003</v>
      </c>
      <c r="AF6613">
        <v>7.0236929454594401</v>
      </c>
      <c r="AG6613">
        <v>-1.1583190000000001</v>
      </c>
      <c r="AH6613">
        <v>67.306724612168495</v>
      </c>
      <c r="AI6613">
        <v>90.980613961339699</v>
      </c>
      <c r="AJ6613">
        <v>84.042546741188701</v>
      </c>
      <c r="AK6613">
        <v>67.682118343888604</v>
      </c>
      <c r="AL6613">
        <v>86.927053186081295</v>
      </c>
      <c r="AM6613">
        <v>89.880291252794905</v>
      </c>
      <c r="AN6613">
        <v>0.999999986195232</v>
      </c>
    </row>
    <row r="6614" spans="1:40" x14ac:dyDescent="0.25">
      <c r="A6614" t="str">
        <f>"20190312160502576"</f>
        <v>20190312160502576</v>
      </c>
      <c r="B6614" t="str">
        <f>"1552377902571919"</f>
        <v>1552377902571919</v>
      </c>
      <c r="C6614" t="s">
        <v>40</v>
      </c>
      <c r="D6614">
        <v>4.1032219999999997</v>
      </c>
      <c r="E6614">
        <v>0.53776059999999903</v>
      </c>
      <c r="F6614" t="s">
        <v>43</v>
      </c>
      <c r="G6614">
        <v>-295.96050000000002</v>
      </c>
      <c r="H6614">
        <v>-0.05</v>
      </c>
      <c r="I6614">
        <v>12.63495</v>
      </c>
      <c r="J6614">
        <v>-335.48719999999997</v>
      </c>
      <c r="K6614">
        <v>1.1083190000000001</v>
      </c>
      <c r="L6614">
        <v>17.558070000000001</v>
      </c>
      <c r="M6614">
        <v>0.99975990000000003</v>
      </c>
      <c r="N6614">
        <v>0</v>
      </c>
      <c r="O6614">
        <v>-2.0524810000000001E-2</v>
      </c>
      <c r="P6614">
        <v>0.99871770000000004</v>
      </c>
      <c r="Q6614">
        <v>4.567864E-2</v>
      </c>
      <c r="R6614">
        <v>-2.1831730000000001E-2</v>
      </c>
      <c r="S6614">
        <v>2.9997560000000001</v>
      </c>
      <c r="T6614">
        <v>-8.7561009999999995E-2</v>
      </c>
      <c r="U6614">
        <v>-0.3724365</v>
      </c>
      <c r="V6614">
        <v>1.47525E-3</v>
      </c>
      <c r="W6614">
        <v>5.3351160000000002E-2</v>
      </c>
      <c r="X6614">
        <v>0.99857470000000004</v>
      </c>
      <c r="Y6614">
        <v>0.1027802</v>
      </c>
      <c r="Z6614">
        <v>-8.9750750000000003E-4</v>
      </c>
      <c r="AA6614">
        <v>0.99470369999999997</v>
      </c>
      <c r="AB6614">
        <v>32</v>
      </c>
      <c r="AC6614">
        <v>39.526699999999899</v>
      </c>
      <c r="AD6614">
        <v>-1.1583190000000001</v>
      </c>
      <c r="AE6614">
        <v>-4.9231199999999999</v>
      </c>
      <c r="AF6614">
        <v>4.1073076263303596</v>
      </c>
      <c r="AG6614">
        <v>-1.1583190000000001</v>
      </c>
      <c r="AH6614">
        <v>39.585946264645401</v>
      </c>
      <c r="AI6614">
        <v>91.667101353751093</v>
      </c>
      <c r="AJ6614">
        <v>84.076374465308206</v>
      </c>
      <c r="AK6614">
        <v>39.815308871217702</v>
      </c>
      <c r="AL6614">
        <v>86.941751652307303</v>
      </c>
      <c r="AM6614">
        <v>89.9153538165626</v>
      </c>
      <c r="AN6614">
        <v>0.99999997705799804</v>
      </c>
    </row>
    <row r="6615" spans="1:40" x14ac:dyDescent="0.25">
      <c r="A6615" t="str">
        <f>"20190312160502822"</f>
        <v>20190312160502822</v>
      </c>
      <c r="B6615" t="str">
        <f>"1552377902812014"</f>
        <v>1552377902812014</v>
      </c>
      <c r="C6615" t="s">
        <v>40</v>
      </c>
      <c r="D6615">
        <v>7.6713679999999904</v>
      </c>
      <c r="E6615">
        <v>0.53776059999999903</v>
      </c>
      <c r="F6615" t="s">
        <v>43</v>
      </c>
      <c r="G6615">
        <v>-296.13600000000002</v>
      </c>
      <c r="H6615">
        <v>-0.05</v>
      </c>
      <c r="I6615">
        <v>12.671200000000001</v>
      </c>
      <c r="J6615">
        <v>-331.90980000000002</v>
      </c>
      <c r="K6615">
        <v>1.108284</v>
      </c>
      <c r="L6615">
        <v>17.446719999999999</v>
      </c>
      <c r="M6615">
        <v>0.99935099999999999</v>
      </c>
      <c r="N6615">
        <v>0</v>
      </c>
      <c r="O6615">
        <v>-3.512407E-2</v>
      </c>
      <c r="P6615">
        <v>0.99838329999999997</v>
      </c>
      <c r="Q6615">
        <v>4.3846179999999998E-2</v>
      </c>
      <c r="R6615">
        <v>-3.6177859999999999E-2</v>
      </c>
      <c r="S6615">
        <v>2.9997560000000001</v>
      </c>
      <c r="T6615">
        <v>-8.8299160000000002E-2</v>
      </c>
      <c r="U6615">
        <v>-0.37252809999999997</v>
      </c>
      <c r="V6615">
        <v>1.2369760000000001E-3</v>
      </c>
      <c r="W6615">
        <v>5.1844059999999997E-2</v>
      </c>
      <c r="X6615">
        <v>0.99865440000000005</v>
      </c>
      <c r="Y6615">
        <v>8.8283340000000002E-2</v>
      </c>
      <c r="Z6615">
        <v>-2.6504959999999999E-4</v>
      </c>
      <c r="AA6615">
        <v>0.99609539999999996</v>
      </c>
      <c r="AB6615">
        <v>33</v>
      </c>
      <c r="AC6615">
        <v>35.773800000000001</v>
      </c>
      <c r="AD6615">
        <v>-1.1582840000000001</v>
      </c>
      <c r="AE6615">
        <v>-4.7755200000000002</v>
      </c>
      <c r="AF6615">
        <v>3.5123938362260798</v>
      </c>
      <c r="AG6615">
        <v>-1.1582840000000001</v>
      </c>
      <c r="AH6615">
        <v>35.8825074854972</v>
      </c>
      <c r="AI6615">
        <v>91.840072070115198</v>
      </c>
      <c r="AJ6615">
        <v>84.409357873610205</v>
      </c>
      <c r="AK6615">
        <v>36.072605613293</v>
      </c>
      <c r="AL6615">
        <v>87.028221814811005</v>
      </c>
      <c r="AM6615">
        <v>89.929031036248901</v>
      </c>
      <c r="AN6615">
        <v>0.99999997365313298</v>
      </c>
    </row>
    <row r="6616" spans="1:40" x14ac:dyDescent="0.25">
      <c r="A6616" t="str">
        <f>"20190312160502834"</f>
        <v>20190312160502834</v>
      </c>
      <c r="B6616" t="str">
        <f>"1552377902831534"</f>
        <v>1552377902831534</v>
      </c>
      <c r="C6616" t="s">
        <v>40</v>
      </c>
      <c r="D6616">
        <v>5.7447679999999997</v>
      </c>
      <c r="E6616">
        <v>0.59500620000000004</v>
      </c>
      <c r="F6616" t="s">
        <v>43</v>
      </c>
      <c r="G6616">
        <v>-294.57990000000001</v>
      </c>
      <c r="H6616">
        <v>-0.05</v>
      </c>
      <c r="I6616">
        <v>12.25615</v>
      </c>
      <c r="J6616">
        <v>-331.74639999999999</v>
      </c>
      <c r="K6616">
        <v>1.108282</v>
      </c>
      <c r="L6616">
        <v>17.440370000000001</v>
      </c>
      <c r="M6616">
        <v>0.99932719999999997</v>
      </c>
      <c r="N6616">
        <v>0</v>
      </c>
      <c r="O6616">
        <v>-3.5789580000000001E-2</v>
      </c>
      <c r="P6616">
        <v>0.99835240000000003</v>
      </c>
      <c r="Q6616">
        <v>4.3907479999999999E-2</v>
      </c>
      <c r="R6616">
        <v>-3.6945909999999998E-2</v>
      </c>
      <c r="S6616">
        <v>2.9938959999999999</v>
      </c>
      <c r="T6616">
        <v>-9.2895630000000007E-2</v>
      </c>
      <c r="U6616">
        <v>-0.4162903</v>
      </c>
      <c r="V6616">
        <v>1.340691E-3</v>
      </c>
      <c r="W6616">
        <v>5.1915969999999999E-2</v>
      </c>
      <c r="X6616">
        <v>0.99865060000000005</v>
      </c>
      <c r="Y6616">
        <v>0.1021521</v>
      </c>
      <c r="Z6616">
        <v>-4.7275630000000001E-4</v>
      </c>
      <c r="AA6616">
        <v>0.99476869999999995</v>
      </c>
      <c r="AB6616">
        <v>33</v>
      </c>
      <c r="AC6616">
        <v>37.1664999999999</v>
      </c>
      <c r="AD6616">
        <v>-1.158282</v>
      </c>
      <c r="AE6616">
        <v>-5.1842199999999998</v>
      </c>
      <c r="AF6616">
        <v>3.84701728612613</v>
      </c>
      <c r="AG6616">
        <v>-1.158282</v>
      </c>
      <c r="AH6616">
        <v>37.292705888559198</v>
      </c>
      <c r="AI6616">
        <v>91.769605131029195</v>
      </c>
      <c r="AJ6616">
        <v>84.110350837436897</v>
      </c>
      <c r="AK6616">
        <v>37.508493327269903</v>
      </c>
      <c r="AL6616">
        <v>87.024096326189493</v>
      </c>
      <c r="AM6616">
        <v>89.923080314794305</v>
      </c>
      <c r="AN6616">
        <v>1.0000000431368701</v>
      </c>
    </row>
    <row r="6617" spans="1:40" x14ac:dyDescent="0.25">
      <c r="A6617" t="str">
        <f>"20190312160502844"</f>
        <v>20190312160502844</v>
      </c>
      <c r="B6617" t="str">
        <f>"1552377902841294"</f>
        <v>1552377902841294</v>
      </c>
      <c r="C6617" t="s">
        <v>40</v>
      </c>
      <c r="D6617">
        <v>6.0582469999999997</v>
      </c>
      <c r="E6617">
        <v>0.59500620000000004</v>
      </c>
      <c r="F6617" t="s">
        <v>104</v>
      </c>
      <c r="G6617">
        <v>-279.02</v>
      </c>
      <c r="H6617">
        <v>1.4306270000000001</v>
      </c>
      <c r="I6617">
        <v>1.9734750000000001</v>
      </c>
      <c r="J6617">
        <v>-331.58659999999998</v>
      </c>
      <c r="K6617">
        <v>1.108276</v>
      </c>
      <c r="L6617">
        <v>17.434079999999899</v>
      </c>
      <c r="M6617">
        <v>0.99930350000000001</v>
      </c>
      <c r="N6617">
        <v>0</v>
      </c>
      <c r="O6617">
        <v>-3.6439699999999998E-2</v>
      </c>
      <c r="P6617">
        <v>0.99831829999999999</v>
      </c>
      <c r="Q6617">
        <v>4.3776530000000001E-2</v>
      </c>
      <c r="R6617">
        <v>-3.8002830000000001E-2</v>
      </c>
      <c r="S6617">
        <v>2.971832</v>
      </c>
      <c r="T6617">
        <v>1.8168449999999999E-2</v>
      </c>
      <c r="U6617">
        <v>-0.87176509999999996</v>
      </c>
      <c r="V6617">
        <v>1.7483259999999999E-3</v>
      </c>
      <c r="W6617">
        <v>5.179454E-2</v>
      </c>
      <c r="X6617">
        <v>0.99865619999999999</v>
      </c>
      <c r="Y6617">
        <v>0.24632380000000001</v>
      </c>
      <c r="Z6617">
        <v>5.1955049999999998E-4</v>
      </c>
      <c r="AA6617">
        <v>0.96918740000000003</v>
      </c>
      <c r="AB6617">
        <v>33</v>
      </c>
      <c r="AC6617">
        <v>52.566600000000001</v>
      </c>
      <c r="AD6617">
        <v>0.322351</v>
      </c>
      <c r="AE6617">
        <v>-15.4606049999999</v>
      </c>
      <c r="AF6617">
        <v>13.5342947339365</v>
      </c>
      <c r="AG6617">
        <v>0.322351</v>
      </c>
      <c r="AH6617">
        <v>53.093246265746401</v>
      </c>
      <c r="AI6617">
        <v>89.662917472910607</v>
      </c>
      <c r="AJ6617">
        <v>75.698990782194301</v>
      </c>
      <c r="AK6617">
        <v>54.792096539076297</v>
      </c>
      <c r="AL6617">
        <v>87.031062903388602</v>
      </c>
      <c r="AM6617">
        <v>89.899693609597307</v>
      </c>
      <c r="AN6617">
        <v>0.99999996840802596</v>
      </c>
    </row>
    <row r="6618" spans="1:40" x14ac:dyDescent="0.25">
      <c r="A6618" t="str">
        <f>"20190312160502856"</f>
        <v>20190312160502856</v>
      </c>
      <c r="B6618" t="str">
        <f>"1552377902852031"</f>
        <v>1552377902852031</v>
      </c>
      <c r="C6618" t="s">
        <v>40</v>
      </c>
      <c r="D6618">
        <v>5.5994900000000003</v>
      </c>
      <c r="E6618">
        <v>0.5861227</v>
      </c>
      <c r="F6618" t="s">
        <v>104</v>
      </c>
      <c r="G6618">
        <v>-279.02</v>
      </c>
      <c r="H6618">
        <v>1.424596</v>
      </c>
      <c r="I6618">
        <v>1.954914</v>
      </c>
      <c r="J6618">
        <v>-331.4169</v>
      </c>
      <c r="K6618">
        <v>1.1082700000000001</v>
      </c>
      <c r="L6618">
        <v>17.42728</v>
      </c>
      <c r="M6618">
        <v>0.99927809999999995</v>
      </c>
      <c r="N6618">
        <v>0</v>
      </c>
      <c r="O6618">
        <v>-3.71306E-2</v>
      </c>
      <c r="P6618">
        <v>0.99827030000000005</v>
      </c>
      <c r="Q6618">
        <v>4.3895740000000003E-2</v>
      </c>
      <c r="R6618">
        <v>-3.9108709999999998E-2</v>
      </c>
      <c r="S6618">
        <v>2.9709469999999998</v>
      </c>
      <c r="T6618">
        <v>1.78777E-2</v>
      </c>
      <c r="U6618">
        <v>-0.87484740000000005</v>
      </c>
      <c r="V6618">
        <v>2.1651930000000002E-3</v>
      </c>
      <c r="W6618">
        <v>5.1923110000000001E-2</v>
      </c>
      <c r="X6618">
        <v>0.9986488</v>
      </c>
      <c r="Y6618">
        <v>0.2466574</v>
      </c>
      <c r="Z6618">
        <v>5.0823429999999998E-4</v>
      </c>
      <c r="AA6618">
        <v>0.96910260000000004</v>
      </c>
      <c r="AB6618">
        <v>33</v>
      </c>
      <c r="AC6618">
        <v>52.396900000000002</v>
      </c>
      <c r="AD6618">
        <v>0.316325999999999</v>
      </c>
      <c r="AE6618">
        <v>-15.472365999999999</v>
      </c>
      <c r="AF6618">
        <v>13.515651630611501</v>
      </c>
      <c r="AG6618">
        <v>0.316325999999999</v>
      </c>
      <c r="AH6618">
        <v>52.933508159144502</v>
      </c>
      <c r="AI6618">
        <v>89.668252634698405</v>
      </c>
      <c r="AJ6618">
        <v>75.676555112660395</v>
      </c>
      <c r="AK6618">
        <v>54.632675087099202</v>
      </c>
      <c r="AL6618">
        <v>87.023686736775602</v>
      </c>
      <c r="AM6618">
        <v>89.875775922080393</v>
      </c>
      <c r="AN6618">
        <v>1.0000000615771101</v>
      </c>
    </row>
    <row r="6619" spans="1:40" x14ac:dyDescent="0.25">
      <c r="A6619" t="str">
        <f>"20190312160502866"</f>
        <v>20190312160502866</v>
      </c>
      <c r="B6619" t="str">
        <f>"1552377902861790"</f>
        <v>1552377902861790</v>
      </c>
      <c r="C6619" t="s">
        <v>40</v>
      </c>
      <c r="D6619">
        <v>5.7674250000000002</v>
      </c>
      <c r="E6619">
        <v>0.5861227</v>
      </c>
      <c r="F6619" t="s">
        <v>104</v>
      </c>
      <c r="G6619">
        <v>-279.55990000000003</v>
      </c>
      <c r="H6619">
        <v>8.8383120000000002</v>
      </c>
      <c r="I6619">
        <v>3.486221</v>
      </c>
      <c r="J6619">
        <v>-331.25360000000001</v>
      </c>
      <c r="K6619">
        <v>1.108266</v>
      </c>
      <c r="L6619">
        <v>17.420679999999901</v>
      </c>
      <c r="M6619">
        <v>0.99925319999999995</v>
      </c>
      <c r="N6619">
        <v>0</v>
      </c>
      <c r="O6619">
        <v>-3.7795389999999998E-2</v>
      </c>
      <c r="P6619">
        <v>0.99823309999999998</v>
      </c>
      <c r="Q6619">
        <v>4.3842190000000003E-2</v>
      </c>
      <c r="R6619">
        <v>-4.0108230000000002E-2</v>
      </c>
      <c r="S6619">
        <v>2.954742</v>
      </c>
      <c r="T6619">
        <v>0.44044709999999998</v>
      </c>
      <c r="U6619">
        <v>-0.79434199999999999</v>
      </c>
      <c r="V6619">
        <v>2.5008840000000001E-3</v>
      </c>
      <c r="W6619">
        <v>5.1878340000000002E-2</v>
      </c>
      <c r="X6619">
        <v>0.99865029999999999</v>
      </c>
      <c r="Y6619">
        <v>0.22104779999999999</v>
      </c>
      <c r="Z6619">
        <v>1.0604189999999999E-2</v>
      </c>
      <c r="AA6619">
        <v>0.97520530000000005</v>
      </c>
      <c r="AB6619">
        <v>33</v>
      </c>
      <c r="AC6619">
        <v>51.6936999999999</v>
      </c>
      <c r="AD6619">
        <v>7.7300459999999998</v>
      </c>
      <c r="AE6619">
        <v>-13.934458999999899</v>
      </c>
      <c r="AF6619">
        <v>11.7262090611794</v>
      </c>
      <c r="AG6619">
        <v>7.7300459999999998</v>
      </c>
      <c r="AH6619">
        <v>51.117827034817701</v>
      </c>
      <c r="AI6619">
        <v>81.615439118728801</v>
      </c>
      <c r="AJ6619">
        <v>77.080124782939507</v>
      </c>
      <c r="AK6619">
        <v>53.012166819232498</v>
      </c>
      <c r="AL6619">
        <v>87.026255204168194</v>
      </c>
      <c r="AM6619">
        <v>89.856516541663595</v>
      </c>
      <c r="AN6619">
        <v>1.0000000191360101</v>
      </c>
    </row>
    <row r="6620" spans="1:40" x14ac:dyDescent="0.25">
      <c r="A6620" t="str">
        <f>"20190312160502879"</f>
        <v>20190312160502879</v>
      </c>
      <c r="B6620" t="str">
        <f>"1552377902871550"</f>
        <v>1552377902871550</v>
      </c>
      <c r="C6620" t="s">
        <v>40</v>
      </c>
      <c r="D6620">
        <v>5.943746</v>
      </c>
      <c r="E6620">
        <v>0.58723239999999999</v>
      </c>
      <c r="F6620" t="s">
        <v>104</v>
      </c>
      <c r="G6620">
        <v>-279.55990000000003</v>
      </c>
      <c r="H6620">
        <v>8.8171959999999991</v>
      </c>
      <c r="I6620">
        <v>3.4673189999999998</v>
      </c>
      <c r="J6620">
        <v>-331.07799999999997</v>
      </c>
      <c r="K6620">
        <v>1.1082650000000001</v>
      </c>
      <c r="L6620">
        <v>17.413360000000001</v>
      </c>
      <c r="M6620">
        <v>0.99922580000000005</v>
      </c>
      <c r="N6620">
        <v>0</v>
      </c>
      <c r="O6620">
        <v>-3.8509769999999999E-2</v>
      </c>
      <c r="P6620">
        <v>0.99820540000000002</v>
      </c>
      <c r="Q6620">
        <v>4.3627140000000002E-2</v>
      </c>
      <c r="R6620">
        <v>-4.1019979999999998E-2</v>
      </c>
      <c r="S6620">
        <v>2.9539179999999998</v>
      </c>
      <c r="T6620">
        <v>0.44050899999999998</v>
      </c>
      <c r="U6620">
        <v>-0.79733279999999995</v>
      </c>
      <c r="V6620">
        <v>2.6987299999999999E-3</v>
      </c>
      <c r="W6620">
        <v>5.1673110000000001E-2</v>
      </c>
      <c r="X6620">
        <v>0.9986604</v>
      </c>
      <c r="Y6620">
        <v>0.22134309999999999</v>
      </c>
      <c r="Z6620">
        <v>1.052489E-2</v>
      </c>
      <c r="AA6620">
        <v>0.97513919999999998</v>
      </c>
      <c r="AB6620">
        <v>33</v>
      </c>
      <c r="AC6620">
        <v>51.518099999999997</v>
      </c>
      <c r="AD6620">
        <v>7.7089309999999998</v>
      </c>
      <c r="AE6620">
        <v>-13.946040999999999</v>
      </c>
      <c r="AF6620">
        <v>11.7074404642982</v>
      </c>
      <c r="AG6620">
        <v>7.7089309999999998</v>
      </c>
      <c r="AH6620">
        <v>50.953957662317798</v>
      </c>
      <c r="AI6620">
        <v>81.612173507968805</v>
      </c>
      <c r="AJ6620">
        <v>77.060019484416202</v>
      </c>
      <c r="AK6620">
        <v>52.846925935584203</v>
      </c>
      <c r="AL6620">
        <v>87.038029735063105</v>
      </c>
      <c r="AM6620">
        <v>89.845167123226403</v>
      </c>
      <c r="AN6620">
        <v>0.99999999398442196</v>
      </c>
    </row>
    <row r="6621" spans="1:40" x14ac:dyDescent="0.25">
      <c r="A6621" t="str">
        <f>"20190312160502890"</f>
        <v>20190312160502890</v>
      </c>
      <c r="B6621" t="str">
        <f>"1552377902881310"</f>
        <v>1552377902881310</v>
      </c>
      <c r="C6621" t="s">
        <v>40</v>
      </c>
      <c r="D6621">
        <v>5.8703729999999998</v>
      </c>
      <c r="E6621">
        <v>0.59023059999999905</v>
      </c>
      <c r="F6621" t="s">
        <v>104</v>
      </c>
      <c r="G6621">
        <v>-279.02</v>
      </c>
      <c r="H6621">
        <v>7.4274899999999997</v>
      </c>
      <c r="I6621">
        <v>3.1266250000000002</v>
      </c>
      <c r="J6621">
        <v>-330.91829999999999</v>
      </c>
      <c r="K6621">
        <v>1.1082609999999999</v>
      </c>
      <c r="L6621">
        <v>17.406649999999999</v>
      </c>
      <c r="M6621">
        <v>0.99920050000000005</v>
      </c>
      <c r="N6621">
        <v>0</v>
      </c>
      <c r="O6621">
        <v>-3.9159649999999997E-2</v>
      </c>
      <c r="P6621">
        <v>0.99818180000000001</v>
      </c>
      <c r="Q6621">
        <v>4.3216959999999999E-2</v>
      </c>
      <c r="R6621">
        <v>-4.2018920000000001E-2</v>
      </c>
      <c r="S6621">
        <v>2.9563600000000001</v>
      </c>
      <c r="T6621">
        <v>0.35886699999999999</v>
      </c>
      <c r="U6621">
        <v>-0.81134030000000001</v>
      </c>
      <c r="V6621">
        <v>3.046951E-3</v>
      </c>
      <c r="W6621">
        <v>5.1271190000000001E-2</v>
      </c>
      <c r="X6621">
        <v>0.99868009999999996</v>
      </c>
      <c r="Y6621">
        <v>0.22541739999999999</v>
      </c>
      <c r="Z6621">
        <v>8.7424010000000003E-3</v>
      </c>
      <c r="AA6621">
        <v>0.97422310000000001</v>
      </c>
      <c r="AB6621">
        <v>33</v>
      </c>
      <c r="AC6621">
        <v>51.898299999999999</v>
      </c>
      <c r="AD6621">
        <v>6.319229</v>
      </c>
      <c r="AE6621">
        <v>-14.280024999999901</v>
      </c>
      <c r="AF6621">
        <v>12.070327004244501</v>
      </c>
      <c r="AG6621">
        <v>6.319229</v>
      </c>
      <c r="AH6621">
        <v>51.705085204270397</v>
      </c>
      <c r="AI6621">
        <v>83.212767809668307</v>
      </c>
      <c r="AJ6621">
        <v>76.859875079342004</v>
      </c>
      <c r="AK6621">
        <v>53.470003601315597</v>
      </c>
      <c r="AL6621">
        <v>87.061088581513104</v>
      </c>
      <c r="AM6621">
        <v>89.825192380419395</v>
      </c>
      <c r="AN6621">
        <v>0.99999998048521099</v>
      </c>
    </row>
    <row r="6622" spans="1:40" x14ac:dyDescent="0.25">
      <c r="A6622" t="str">
        <f>"20190312160502900"</f>
        <v>20190312160502900</v>
      </c>
      <c r="B6622" t="str">
        <f>"1552377902892047"</f>
        <v>1552377902892047</v>
      </c>
      <c r="C6622" t="s">
        <v>40</v>
      </c>
      <c r="D6622">
        <v>5.9353480000000003</v>
      </c>
      <c r="E6622">
        <v>0.58728740000000001</v>
      </c>
      <c r="F6622" t="s">
        <v>104</v>
      </c>
      <c r="G6622">
        <v>-279.02</v>
      </c>
      <c r="H6622">
        <v>5.5439679999999996</v>
      </c>
      <c r="I6622">
        <v>2.6481479999999999</v>
      </c>
      <c r="J6622">
        <v>-330.75349999999997</v>
      </c>
      <c r="K6622">
        <v>1.108255</v>
      </c>
      <c r="L6622">
        <v>17.3996</v>
      </c>
      <c r="M6622">
        <v>0.9991738</v>
      </c>
      <c r="N6622">
        <v>0</v>
      </c>
      <c r="O6622">
        <v>-3.9829549999999998E-2</v>
      </c>
      <c r="P6622">
        <v>0.99815620000000005</v>
      </c>
      <c r="Q6622">
        <v>4.2827410000000003E-2</v>
      </c>
      <c r="R6622">
        <v>-4.3010590000000001E-2</v>
      </c>
      <c r="S6622">
        <v>2.9591059999999998</v>
      </c>
      <c r="T6622">
        <v>0.25291259999999999</v>
      </c>
      <c r="U6622">
        <v>-0.84149169999999995</v>
      </c>
      <c r="V6622">
        <v>3.368322E-3</v>
      </c>
      <c r="W6622">
        <v>5.0889740000000003E-2</v>
      </c>
      <c r="X6622">
        <v>0.99869859999999999</v>
      </c>
      <c r="Y6622">
        <v>0.23434540000000001</v>
      </c>
      <c r="Z6622">
        <v>6.475995E-3</v>
      </c>
      <c r="AA6622">
        <v>0.97213179999999999</v>
      </c>
      <c r="AB6622">
        <v>33</v>
      </c>
      <c r="AC6622">
        <v>51.7334999999999</v>
      </c>
      <c r="AD6622">
        <v>4.4357129999999998</v>
      </c>
      <c r="AE6622">
        <v>-14.751451999999899</v>
      </c>
      <c r="AF6622">
        <v>12.593535133361501</v>
      </c>
      <c r="AG6622">
        <v>4.4357129999999998</v>
      </c>
      <c r="AH6622">
        <v>51.9269663716005</v>
      </c>
      <c r="AI6622">
        <v>85.254436473376998</v>
      </c>
      <c r="AJ6622">
        <v>76.367607316452293</v>
      </c>
      <c r="AK6622">
        <v>53.616065815489598</v>
      </c>
      <c r="AL6622">
        <v>87.082972689980807</v>
      </c>
      <c r="AM6622">
        <v>89.806758612780399</v>
      </c>
      <c r="AN6622">
        <v>1.0000000024361599</v>
      </c>
    </row>
    <row r="6623" spans="1:40" x14ac:dyDescent="0.25">
      <c r="A6623" t="str">
        <f>"20190312160502911"</f>
        <v>20190312160502911</v>
      </c>
      <c r="B6623" t="str">
        <f>"1552377902901807"</f>
        <v>1552377902901807</v>
      </c>
      <c r="C6623" t="s">
        <v>40</v>
      </c>
      <c r="D6623">
        <v>5.8918679999999997</v>
      </c>
      <c r="E6623">
        <v>0.58530340000000003</v>
      </c>
      <c r="F6623" t="s">
        <v>104</v>
      </c>
      <c r="G6623">
        <v>-279.02</v>
      </c>
      <c r="H6623">
        <v>5.2232430000000001</v>
      </c>
      <c r="I6623">
        <v>3.0429249999999999</v>
      </c>
      <c r="J6623">
        <v>-330.59750000000003</v>
      </c>
      <c r="K6623">
        <v>1.1082479999999999</v>
      </c>
      <c r="L6623">
        <v>17.39282</v>
      </c>
      <c r="M6623">
        <v>0.99914840000000005</v>
      </c>
      <c r="N6623">
        <v>0</v>
      </c>
      <c r="O6623">
        <v>-4.0464170000000001E-2</v>
      </c>
      <c r="P6623">
        <v>0.99813839999999998</v>
      </c>
      <c r="Q6623">
        <v>4.229103E-2</v>
      </c>
      <c r="R6623">
        <v>-4.39511E-2</v>
      </c>
      <c r="S6623">
        <v>2.9600219999999999</v>
      </c>
      <c r="T6623">
        <v>0.23544609999999999</v>
      </c>
      <c r="U6623">
        <v>-0.82144169999999905</v>
      </c>
      <c r="V6623">
        <v>3.6726789999999999E-3</v>
      </c>
      <c r="W6623">
        <v>5.0361129999999997E-2</v>
      </c>
      <c r="X6623">
        <v>0.99872430000000001</v>
      </c>
      <c r="Y6623">
        <v>0.22764770000000001</v>
      </c>
      <c r="Z6623">
        <v>5.7232890000000003E-3</v>
      </c>
      <c r="AA6623">
        <v>0.97372669999999995</v>
      </c>
      <c r="AB6623">
        <v>33</v>
      </c>
      <c r="AC6623">
        <v>51.577500000000001</v>
      </c>
      <c r="AD6623">
        <v>4.1149949999999897</v>
      </c>
      <c r="AE6623">
        <v>-14.349895</v>
      </c>
      <c r="AF6623">
        <v>12.1790791663341</v>
      </c>
      <c r="AG6623">
        <v>4.1149949999999897</v>
      </c>
      <c r="AH6623">
        <v>51.809839135823701</v>
      </c>
      <c r="AI6623">
        <v>85.578832562789103</v>
      </c>
      <c r="AJ6623">
        <v>76.771501051096905</v>
      </c>
      <c r="AK6623">
        <v>53.380919666766601</v>
      </c>
      <c r="AL6623">
        <v>87.113298633300204</v>
      </c>
      <c r="AM6623">
        <v>89.789303156369996</v>
      </c>
      <c r="AN6623">
        <v>0.99999997969820098</v>
      </c>
    </row>
    <row r="6624" spans="1:40" x14ac:dyDescent="0.25">
      <c r="A6624" t="str">
        <f>"20190312160502922"</f>
        <v>20190312160502922</v>
      </c>
      <c r="B6624" t="str">
        <f>"1552377902911567"</f>
        <v>1552377902911567</v>
      </c>
      <c r="C6624" t="s">
        <v>40</v>
      </c>
      <c r="D6624">
        <v>5.8059180000000001</v>
      </c>
      <c r="E6624">
        <v>0.58733630000000003</v>
      </c>
      <c r="F6624" t="s">
        <v>104</v>
      </c>
      <c r="G6624">
        <v>-279.02</v>
      </c>
      <c r="H6624">
        <v>5.471902</v>
      </c>
      <c r="I6624">
        <v>3.3147720000000001</v>
      </c>
      <c r="J6624">
        <v>-330.43079999999998</v>
      </c>
      <c r="K6624">
        <v>1.1082430000000001</v>
      </c>
      <c r="L6624">
        <v>17.3855</v>
      </c>
      <c r="M6624">
        <v>0.99912049999999997</v>
      </c>
      <c r="N6624">
        <v>0</v>
      </c>
      <c r="O6624">
        <v>-4.1142060000000001E-2</v>
      </c>
      <c r="P6624">
        <v>0.99810869999999996</v>
      </c>
      <c r="Q6624">
        <v>4.2020540000000002E-2</v>
      </c>
      <c r="R6624">
        <v>-4.4871149999999999E-2</v>
      </c>
      <c r="S6624">
        <v>2.9594119999999999</v>
      </c>
      <c r="T6624">
        <v>0.25037749999999998</v>
      </c>
      <c r="U6624">
        <v>-0.80776979999999998</v>
      </c>
      <c r="V6624">
        <v>3.9148589999999997E-3</v>
      </c>
      <c r="W6624">
        <v>5.0098240000000002E-2</v>
      </c>
      <c r="X6624">
        <v>0.99873659999999997</v>
      </c>
      <c r="Y6624">
        <v>0.2228001</v>
      </c>
      <c r="Z6624">
        <v>5.8327589999999999E-3</v>
      </c>
      <c r="AA6624">
        <v>0.97484669999999896</v>
      </c>
      <c r="AB6624">
        <v>33</v>
      </c>
      <c r="AC6624">
        <v>51.410800000000002</v>
      </c>
      <c r="AD6624">
        <v>4.3636589999999904</v>
      </c>
      <c r="AE6624">
        <v>-14.0707279999999</v>
      </c>
      <c r="AF6624">
        <v>11.864081810509299</v>
      </c>
      <c r="AG6624">
        <v>4.3636589999999904</v>
      </c>
      <c r="AH6624">
        <v>51.600346290857303</v>
      </c>
      <c r="AI6624">
        <v>85.288554328161396</v>
      </c>
      <c r="AJ6624">
        <v>77.051451628886795</v>
      </c>
      <c r="AK6624">
        <v>53.126205345489602</v>
      </c>
      <c r="AL6624">
        <v>87.128380153696696</v>
      </c>
      <c r="AM6624">
        <v>89.775412506870694</v>
      </c>
      <c r="AN6624">
        <v>0.99999997797582296</v>
      </c>
    </row>
    <row r="6625" spans="1:40" x14ac:dyDescent="0.25">
      <c r="A6625" t="str">
        <f>"20190312160502934"</f>
        <v>20190312160502934</v>
      </c>
      <c r="B6625" t="str">
        <f>"1552377902921327"</f>
        <v>1552377902921327</v>
      </c>
      <c r="C6625" t="s">
        <v>40</v>
      </c>
      <c r="D6625">
        <v>5.9962299999999997</v>
      </c>
      <c r="E6625">
        <v>0.58717419999999998</v>
      </c>
      <c r="F6625" t="s">
        <v>104</v>
      </c>
      <c r="G6625">
        <v>-279.55990000000003</v>
      </c>
      <c r="H6625">
        <v>4.7845559999999896</v>
      </c>
      <c r="I6625">
        <v>3.1542340000000002</v>
      </c>
      <c r="J6625">
        <v>-330.26819999999998</v>
      </c>
      <c r="K6625">
        <v>1.1082399999999999</v>
      </c>
      <c r="L6625">
        <v>17.3782</v>
      </c>
      <c r="M6625">
        <v>0.99909309999999996</v>
      </c>
      <c r="N6625">
        <v>0</v>
      </c>
      <c r="O6625">
        <v>-4.1803020000000003E-2</v>
      </c>
      <c r="P6625">
        <v>0.99808680000000005</v>
      </c>
      <c r="Q6625">
        <v>4.1517859999999997E-2</v>
      </c>
      <c r="R6625">
        <v>-4.5817120000000003E-2</v>
      </c>
      <c r="S6625">
        <v>2.9594420000000001</v>
      </c>
      <c r="T6625">
        <v>0.21387149999999999</v>
      </c>
      <c r="U6625">
        <v>-0.82791139999999996</v>
      </c>
      <c r="V6625">
        <v>4.1990999999999999E-3</v>
      </c>
      <c r="W6625">
        <v>4.960295E-2</v>
      </c>
      <c r="X6625">
        <v>0.99876019999999999</v>
      </c>
      <c r="Y6625">
        <v>0.22846449999999999</v>
      </c>
      <c r="Z6625">
        <v>5.1341499999999997E-3</v>
      </c>
      <c r="AA6625">
        <v>0.97353869999999998</v>
      </c>
      <c r="AB6625">
        <v>33</v>
      </c>
      <c r="AC6625">
        <v>50.708299999999902</v>
      </c>
      <c r="AD6625">
        <v>3.6763159999999999</v>
      </c>
      <c r="AE6625">
        <v>-14.223966000000001</v>
      </c>
      <c r="AF6625">
        <v>12.033068070409</v>
      </c>
      <c r="AG6625">
        <v>3.6763159999999999</v>
      </c>
      <c r="AH6625">
        <v>51.010036911730197</v>
      </c>
      <c r="AI6625">
        <v>85.987549399558006</v>
      </c>
      <c r="AJ6625">
        <v>76.726803534954897</v>
      </c>
      <c r="AK6625">
        <v>52.538879815380803</v>
      </c>
      <c r="AL6625">
        <v>87.156793602214506</v>
      </c>
      <c r="AM6625">
        <v>89.759112056939699</v>
      </c>
      <c r="AN6625">
        <v>1.0000000110967699</v>
      </c>
    </row>
    <row r="6626" spans="1:40" x14ac:dyDescent="0.25">
      <c r="A6626" t="str">
        <f>"20190312160502944"</f>
        <v>20190312160502944</v>
      </c>
      <c r="B6626" t="str">
        <f>"1552377902941823"</f>
        <v>1552377902941823</v>
      </c>
      <c r="C6626" t="s">
        <v>40</v>
      </c>
      <c r="D6626">
        <v>5.9762409999999999</v>
      </c>
      <c r="E6626">
        <v>0.58565149999999999</v>
      </c>
      <c r="F6626" t="s">
        <v>104</v>
      </c>
      <c r="G6626">
        <v>-279.55990000000003</v>
      </c>
      <c r="H6626">
        <v>4.8251140000000001</v>
      </c>
      <c r="I6626">
        <v>3.1657519999999999</v>
      </c>
      <c r="J6626">
        <v>-330.0985</v>
      </c>
      <c r="K6626">
        <v>1.108239</v>
      </c>
      <c r="L6626">
        <v>17.370539999999998</v>
      </c>
      <c r="M6626">
        <v>0.9990639</v>
      </c>
      <c r="N6626">
        <v>0</v>
      </c>
      <c r="O6626">
        <v>-4.2492349999999998E-2</v>
      </c>
      <c r="P6626">
        <v>0.99807109999999999</v>
      </c>
      <c r="Q6626">
        <v>4.1329810000000002E-2</v>
      </c>
      <c r="R6626">
        <v>-4.6322889999999999E-2</v>
      </c>
      <c r="S6626">
        <v>2.9586790000000001</v>
      </c>
      <c r="T6626">
        <v>0.21686849999999999</v>
      </c>
      <c r="U6626">
        <v>-0.82925419999999905</v>
      </c>
      <c r="V6626">
        <v>4.0153400000000001E-3</v>
      </c>
      <c r="W6626">
        <v>4.9423410000000001E-2</v>
      </c>
      <c r="X6626">
        <v>0.99876980000000004</v>
      </c>
      <c r="Y6626">
        <v>0.22825709999999999</v>
      </c>
      <c r="Z6626">
        <v>5.1501170000000001E-3</v>
      </c>
      <c r="AA6626">
        <v>0.97358730000000004</v>
      </c>
      <c r="AB6626">
        <v>33</v>
      </c>
      <c r="AC6626">
        <v>50.538599999999903</v>
      </c>
      <c r="AD6626">
        <v>3.7168749999999999</v>
      </c>
      <c r="AE6626">
        <v>-14.204788000000001</v>
      </c>
      <c r="AF6626">
        <v>11.984306791471001</v>
      </c>
      <c r="AG6626">
        <v>3.7168749999999999</v>
      </c>
      <c r="AH6626">
        <v>50.841700846763899</v>
      </c>
      <c r="AI6626">
        <v>85.929881472077199</v>
      </c>
      <c r="AJ6626">
        <v>76.736466708300796</v>
      </c>
      <c r="AK6626">
        <v>52.367139639563597</v>
      </c>
      <c r="AL6626">
        <v>87.167092959705599</v>
      </c>
      <c r="AM6626">
        <v>89.769655834760201</v>
      </c>
      <c r="AN6626">
        <v>0.99999995490169002</v>
      </c>
    </row>
    <row r="6627" spans="1:40" x14ac:dyDescent="0.25">
      <c r="A6627" t="str">
        <f>"20190312160502956"</f>
        <v>20190312160502956</v>
      </c>
      <c r="B6627" t="str">
        <f>"1552377902951583"</f>
        <v>1552377902951583</v>
      </c>
      <c r="C6627" t="s">
        <v>40</v>
      </c>
      <c r="D6627">
        <v>6.077159</v>
      </c>
      <c r="E6627">
        <v>0.58503689999999997</v>
      </c>
      <c r="F6627" t="s">
        <v>104</v>
      </c>
      <c r="G6627">
        <v>-279.02</v>
      </c>
      <c r="H6627">
        <v>5.3432399999999998</v>
      </c>
      <c r="I6627">
        <v>3.2482950000000002</v>
      </c>
      <c r="J6627">
        <v>-329.93060000000003</v>
      </c>
      <c r="K6627">
        <v>1.1082369999999999</v>
      </c>
      <c r="L6627">
        <v>17.362760000000002</v>
      </c>
      <c r="M6627">
        <v>0.99903459999999999</v>
      </c>
      <c r="N6627">
        <v>0</v>
      </c>
      <c r="O6627">
        <v>-4.3174299999999999E-2</v>
      </c>
      <c r="P6627">
        <v>0.99803410000000004</v>
      </c>
      <c r="Q6627">
        <v>4.1234489999999999E-2</v>
      </c>
      <c r="R6627">
        <v>-4.7197309999999999E-2</v>
      </c>
      <c r="S6627">
        <v>2.957703</v>
      </c>
      <c r="T6627">
        <v>0.2452278</v>
      </c>
      <c r="U6627">
        <v>-0.81774899999999995</v>
      </c>
      <c r="V6627">
        <v>4.2084879999999998E-3</v>
      </c>
      <c r="W6627">
        <v>4.9335299999999999E-2</v>
      </c>
      <c r="X6627">
        <v>0.99877340000000003</v>
      </c>
      <c r="Y6627">
        <v>0.22404550000000001</v>
      </c>
      <c r="Z6627">
        <v>5.5999630000000003E-3</v>
      </c>
      <c r="AA6627">
        <v>0.97456259999999995</v>
      </c>
      <c r="AB6627">
        <v>33</v>
      </c>
      <c r="AC6627">
        <v>50.910600000000002</v>
      </c>
      <c r="AD6627">
        <v>4.2350029999999999</v>
      </c>
      <c r="AE6627">
        <v>-14.114464999999999</v>
      </c>
      <c r="AF6627">
        <v>11.8272014050644</v>
      </c>
      <c r="AG6627">
        <v>4.2350029999999999</v>
      </c>
      <c r="AH6627">
        <v>51.143884580241497</v>
      </c>
      <c r="AI6627">
        <v>85.387564691121497</v>
      </c>
      <c r="AJ6627">
        <v>76.979043304135999</v>
      </c>
      <c r="AK6627">
        <v>52.664170680292997</v>
      </c>
      <c r="AL6627">
        <v>87.1721475673653</v>
      </c>
      <c r="AM6627">
        <v>89.758576696700899</v>
      </c>
      <c r="AN6627">
        <v>0.99999999387244798</v>
      </c>
    </row>
    <row r="6628" spans="1:40" x14ac:dyDescent="0.25">
      <c r="A6628" t="str">
        <f>"20190312160502968"</f>
        <v>20190312160502968</v>
      </c>
      <c r="B6628" t="str">
        <f>"1552377902961342"</f>
        <v>1552377902961342</v>
      </c>
      <c r="C6628" t="s">
        <v>40</v>
      </c>
      <c r="D6628">
        <v>6.0023269999999904</v>
      </c>
      <c r="E6628">
        <v>0.58420229999999995</v>
      </c>
      <c r="F6628" t="s">
        <v>104</v>
      </c>
      <c r="G6628">
        <v>-279.02</v>
      </c>
      <c r="H6628">
        <v>5.3939209999999997</v>
      </c>
      <c r="I6628">
        <v>3.3265880000000001</v>
      </c>
      <c r="J6628">
        <v>-329.75080000000003</v>
      </c>
      <c r="K6628">
        <v>1.1082339999999999</v>
      </c>
      <c r="L6628">
        <v>17.354369999999999</v>
      </c>
      <c r="M6628">
        <v>0.99900259999999996</v>
      </c>
      <c r="N6628">
        <v>0</v>
      </c>
      <c r="O6628">
        <v>-4.3905119999999999E-2</v>
      </c>
      <c r="P6628">
        <v>0.99799959999999999</v>
      </c>
      <c r="Q6628">
        <v>4.1426699999999997E-2</v>
      </c>
      <c r="R6628">
        <v>-4.7758809999999999E-2</v>
      </c>
      <c r="S6628">
        <v>2.9570919999999998</v>
      </c>
      <c r="T6628">
        <v>0.2489297</v>
      </c>
      <c r="U6628">
        <v>-0.81527709999999998</v>
      </c>
      <c r="V6628">
        <v>4.0408620000000001E-3</v>
      </c>
      <c r="W6628">
        <v>4.9535799999999998E-2</v>
      </c>
      <c r="X6628">
        <v>0.99876419999999999</v>
      </c>
      <c r="Y6628">
        <v>0.22261639999999999</v>
      </c>
      <c r="Z6628">
        <v>5.5669229999999997E-3</v>
      </c>
      <c r="AA6628">
        <v>0.97489020000000004</v>
      </c>
      <c r="AB6628">
        <v>33</v>
      </c>
      <c r="AC6628">
        <v>50.730800000000002</v>
      </c>
      <c r="AD6628">
        <v>4.2856869999999896</v>
      </c>
      <c r="AE6628">
        <v>-14.027782</v>
      </c>
      <c r="AF6628">
        <v>11.7092090995602</v>
      </c>
      <c r="AG6628">
        <v>4.2856869999999896</v>
      </c>
      <c r="AH6628">
        <v>50.959935636335103</v>
      </c>
      <c r="AI6628">
        <v>85.314321565219004</v>
      </c>
      <c r="AJ6628">
        <v>77.059597531900593</v>
      </c>
      <c r="AK6628">
        <v>52.463203589359701</v>
      </c>
      <c r="AL6628">
        <v>87.160645790560096</v>
      </c>
      <c r="AM6628">
        <v>89.768190454830702</v>
      </c>
      <c r="AN6628">
        <v>1.0000000256244901</v>
      </c>
    </row>
    <row r="6629" spans="1:40" x14ac:dyDescent="0.25">
      <c r="A6629" t="str">
        <f>"20190312160502978"</f>
        <v>20190312160502978</v>
      </c>
      <c r="B6629" t="str">
        <f>"1552377902972079"</f>
        <v>1552377902972079</v>
      </c>
      <c r="C6629" t="s">
        <v>40</v>
      </c>
      <c r="D6629">
        <v>6.0167000000000002</v>
      </c>
      <c r="E6629">
        <v>0.5841326</v>
      </c>
      <c r="F6629" t="s">
        <v>104</v>
      </c>
      <c r="G6629">
        <v>-279.02</v>
      </c>
      <c r="H6629">
        <v>5.5587119999999999</v>
      </c>
      <c r="I6629">
        <v>3.456528</v>
      </c>
      <c r="J6629">
        <v>-329.58850000000001</v>
      </c>
      <c r="K6629">
        <v>1.1082299999999901</v>
      </c>
      <c r="L6629">
        <v>17.34665</v>
      </c>
      <c r="M6629">
        <v>0.99897349999999996</v>
      </c>
      <c r="N6629">
        <v>0</v>
      </c>
      <c r="O6629">
        <v>-4.456512E-2</v>
      </c>
      <c r="P6629">
        <v>0.99795250000000002</v>
      </c>
      <c r="Q6629">
        <v>4.1694309999999998E-2</v>
      </c>
      <c r="R6629">
        <v>-4.8504760000000001E-2</v>
      </c>
      <c r="S6629">
        <v>2.9564819999999998</v>
      </c>
      <c r="T6629">
        <v>0.25936439999999999</v>
      </c>
      <c r="U6629">
        <v>-0.80993649999999995</v>
      </c>
      <c r="V6629">
        <v>4.1291590000000003E-3</v>
      </c>
      <c r="W6629">
        <v>4.9810590000000002E-2</v>
      </c>
      <c r="X6629">
        <v>0.99875020000000003</v>
      </c>
      <c r="Y6629">
        <v>0.22034580000000001</v>
      </c>
      <c r="Z6629">
        <v>5.6477599999999999E-3</v>
      </c>
      <c r="AA6629">
        <v>0.97540550000000004</v>
      </c>
      <c r="AB6629">
        <v>33</v>
      </c>
      <c r="AC6629">
        <v>50.5685</v>
      </c>
      <c r="AD6629">
        <v>4.450482</v>
      </c>
      <c r="AE6629">
        <v>-13.890122</v>
      </c>
      <c r="AF6629">
        <v>11.539545535171801</v>
      </c>
      <c r="AG6629">
        <v>4.450482</v>
      </c>
      <c r="AH6629">
        <v>50.7716246905768</v>
      </c>
      <c r="AI6629">
        <v>85.114409638508704</v>
      </c>
      <c r="AJ6629">
        <v>77.195154558680699</v>
      </c>
      <c r="AK6629">
        <v>52.256346742873397</v>
      </c>
      <c r="AL6629">
        <v>87.144882103095398</v>
      </c>
      <c r="AM6629">
        <v>89.763121914061699</v>
      </c>
      <c r="AN6629">
        <v>1.0000000534151099</v>
      </c>
    </row>
    <row r="6630" spans="1:40" x14ac:dyDescent="0.25">
      <c r="A6630" t="str">
        <f>"20190312160502990"</f>
        <v>20190312160502990</v>
      </c>
      <c r="B6630" t="str">
        <f>"1552377902981839"</f>
        <v>1552377902981839</v>
      </c>
      <c r="C6630" t="s">
        <v>40</v>
      </c>
      <c r="D6630">
        <v>5.9703400000000002</v>
      </c>
      <c r="E6630">
        <v>0.58389290000000005</v>
      </c>
      <c r="F6630" t="s">
        <v>104</v>
      </c>
      <c r="G6630">
        <v>-279.02</v>
      </c>
      <c r="H6630">
        <v>5.7188319999999999</v>
      </c>
      <c r="I6630">
        <v>3.4666060000000001</v>
      </c>
      <c r="J6630">
        <v>-329.41629999999998</v>
      </c>
      <c r="K6630">
        <v>1.108225</v>
      </c>
      <c r="L6630">
        <v>17.338379999999901</v>
      </c>
      <c r="M6630">
        <v>0.99894190000000005</v>
      </c>
      <c r="N6630">
        <v>0</v>
      </c>
      <c r="O6630">
        <v>-4.5266029999999999E-2</v>
      </c>
      <c r="P6630">
        <v>0.99789600000000001</v>
      </c>
      <c r="Q6630">
        <v>4.2086369999999998E-2</v>
      </c>
      <c r="R6630">
        <v>-4.9321190000000001E-2</v>
      </c>
      <c r="S6630">
        <v>2.9554749999999999</v>
      </c>
      <c r="T6630">
        <v>0.2694665</v>
      </c>
      <c r="U6630">
        <v>-0.81121829999999995</v>
      </c>
      <c r="V6630">
        <v>4.2479370000000002E-3</v>
      </c>
      <c r="W6630">
        <v>5.0209690000000001E-2</v>
      </c>
      <c r="X6630">
        <v>0.9987296</v>
      </c>
      <c r="Y6630">
        <v>0.22009329999999999</v>
      </c>
      <c r="Z6630">
        <v>5.7948309999999899E-3</v>
      </c>
      <c r="AA6630">
        <v>0.97546160000000004</v>
      </c>
      <c r="AB6630">
        <v>33</v>
      </c>
      <c r="AC6630">
        <v>50.396299999999997</v>
      </c>
      <c r="AD6630">
        <v>4.6106069999999999</v>
      </c>
      <c r="AE6630">
        <v>-13.871773999999901</v>
      </c>
      <c r="AF6630">
        <v>11.4868659070737</v>
      </c>
      <c r="AG6630">
        <v>4.6106069999999999</v>
      </c>
      <c r="AH6630">
        <v>50.579054632610799</v>
      </c>
      <c r="AI6630">
        <v>84.920168240865294</v>
      </c>
      <c r="AJ6630">
        <v>77.204754145736004</v>
      </c>
      <c r="AK6630">
        <v>52.071552241162998</v>
      </c>
      <c r="AL6630">
        <v>87.121986371372302</v>
      </c>
      <c r="AM6630">
        <v>89.756303013302897</v>
      </c>
      <c r="AN6630">
        <v>0.99999993592740399</v>
      </c>
    </row>
    <row r="6631" spans="1:40" x14ac:dyDescent="0.25">
      <c r="A6631" t="str">
        <f>"20190312160503002"</f>
        <v>20190312160503002</v>
      </c>
      <c r="B6631" t="str">
        <f>"1552377902991599"</f>
        <v>1552377902991599</v>
      </c>
      <c r="C6631" t="s">
        <v>40</v>
      </c>
      <c r="D6631">
        <v>6.0171970000000004</v>
      </c>
      <c r="E6631">
        <v>0.58382440000000002</v>
      </c>
      <c r="F6631" t="s">
        <v>104</v>
      </c>
      <c r="G6631">
        <v>-279.02</v>
      </c>
      <c r="H6631">
        <v>5.8716189999999999</v>
      </c>
      <c r="I6631">
        <v>3.4984320000000002</v>
      </c>
      <c r="J6631">
        <v>-329.23340000000002</v>
      </c>
      <c r="K6631">
        <v>1.108223</v>
      </c>
      <c r="L6631">
        <v>17.329439999999899</v>
      </c>
      <c r="M6631">
        <v>0.99890760000000001</v>
      </c>
      <c r="N6631">
        <v>0</v>
      </c>
      <c r="O6631">
        <v>-4.6011429999999999E-2</v>
      </c>
      <c r="P6631">
        <v>0.99787429999999999</v>
      </c>
      <c r="Q6631">
        <v>4.1864409999999998E-2</v>
      </c>
      <c r="R6631">
        <v>-4.994237E-2</v>
      </c>
      <c r="S6631">
        <v>2.9544980000000001</v>
      </c>
      <c r="T6631">
        <v>0.27925539999999999</v>
      </c>
      <c r="U6631">
        <v>-0.81137079999999995</v>
      </c>
      <c r="V6631">
        <v>4.1239079999999999E-3</v>
      </c>
      <c r="W6631">
        <v>4.9998710000000002E-2</v>
      </c>
      <c r="X6631">
        <v>0.99874079999999998</v>
      </c>
      <c r="Y6631">
        <v>0.21945029999999999</v>
      </c>
      <c r="Z6631">
        <v>5.9077979999999997E-3</v>
      </c>
      <c r="AA6631">
        <v>0.97560579999999997</v>
      </c>
      <c r="AB6631">
        <v>33</v>
      </c>
      <c r="AC6631">
        <v>50.2134</v>
      </c>
      <c r="AD6631">
        <v>4.7633960000000002</v>
      </c>
      <c r="AE6631">
        <v>-13.831008000000001</v>
      </c>
      <c r="AF6631">
        <v>11.410450070711301</v>
      </c>
      <c r="AG6631">
        <v>4.7633960000000002</v>
      </c>
      <c r="AH6631">
        <v>50.375263243043499</v>
      </c>
      <c r="AI6631">
        <v>84.730970183354103</v>
      </c>
      <c r="AJ6631">
        <v>77.237350380706303</v>
      </c>
      <c r="AK6631">
        <v>51.870564476154897</v>
      </c>
      <c r="AL6631">
        <v>87.134090112160706</v>
      </c>
      <c r="AM6631">
        <v>89.763420918942302</v>
      </c>
      <c r="AN6631">
        <v>1.0000000316017399</v>
      </c>
    </row>
    <row r="6632" spans="1:40" x14ac:dyDescent="0.25">
      <c r="A6632" t="str">
        <f>"20190312160503014"</f>
        <v>20190312160503014</v>
      </c>
      <c r="B6632" t="str">
        <f>"1552377903001360"</f>
        <v>1552377903001360</v>
      </c>
      <c r="C6632" t="s">
        <v>40</v>
      </c>
      <c r="D6632">
        <v>5.8659939999999997</v>
      </c>
      <c r="E6632">
        <v>0.58340400000000003</v>
      </c>
      <c r="F6632" t="s">
        <v>104</v>
      </c>
      <c r="G6632">
        <v>-279.02</v>
      </c>
      <c r="H6632">
        <v>5.9786229999999998</v>
      </c>
      <c r="I6632">
        <v>3.5185170000000001</v>
      </c>
      <c r="J6632">
        <v>-329.07199999999898</v>
      </c>
      <c r="K6632">
        <v>1.1082240000000001</v>
      </c>
      <c r="L6632">
        <v>17.32141</v>
      </c>
      <c r="M6632">
        <v>0.99887689999999996</v>
      </c>
      <c r="N6632">
        <v>0</v>
      </c>
      <c r="O6632">
        <v>-4.6671589999999999E-2</v>
      </c>
      <c r="P6632">
        <v>0.99784430000000002</v>
      </c>
      <c r="Q6632">
        <v>4.2024529999999997E-2</v>
      </c>
      <c r="R6632">
        <v>-5.0402379999999997E-2</v>
      </c>
      <c r="S6632">
        <v>2.953735</v>
      </c>
      <c r="T6632">
        <v>0.28649459999999999</v>
      </c>
      <c r="U6632">
        <v>-0.81240840000000003</v>
      </c>
      <c r="V6632">
        <v>3.9255649999999998E-3</v>
      </c>
      <c r="W6632">
        <v>5.0168730000000002E-2</v>
      </c>
      <c r="X6632">
        <v>0.99873299999999998</v>
      </c>
      <c r="Y6632">
        <v>0.21915490000000001</v>
      </c>
      <c r="Z6632">
        <v>5.9850009999999898E-3</v>
      </c>
      <c r="AA6632">
        <v>0.97567170000000003</v>
      </c>
      <c r="AB6632">
        <v>33</v>
      </c>
      <c r="AC6632">
        <v>50.0519999999999</v>
      </c>
      <c r="AD6632">
        <v>4.8703989999999999</v>
      </c>
      <c r="AE6632">
        <v>-13.802892999999999</v>
      </c>
      <c r="AF6632">
        <v>11.351876584889199</v>
      </c>
      <c r="AG6632">
        <v>4.8703989999999999</v>
      </c>
      <c r="AH6632">
        <v>50.199948254762603</v>
      </c>
      <c r="AI6632">
        <v>84.594161833743101</v>
      </c>
      <c r="AJ6632">
        <v>77.257830735806095</v>
      </c>
      <c r="AK6632">
        <v>51.697395419872002</v>
      </c>
      <c r="AL6632">
        <v>87.124336232742095</v>
      </c>
      <c r="AM6632">
        <v>89.774797520010907</v>
      </c>
      <c r="AN6632">
        <v>0.99999995840969003</v>
      </c>
    </row>
    <row r="6633" spans="1:40" x14ac:dyDescent="0.25">
      <c r="A6633" t="str">
        <f>"20190312160503026"</f>
        <v>20190312160503026</v>
      </c>
      <c r="B6633" t="str">
        <f>"1552377903021854"</f>
        <v>1552377903021854</v>
      </c>
      <c r="C6633" t="s">
        <v>40</v>
      </c>
      <c r="D6633">
        <v>5.9664760000000001</v>
      </c>
      <c r="E6633">
        <v>0.58314809999999995</v>
      </c>
      <c r="F6633" t="s">
        <v>104</v>
      </c>
      <c r="G6633">
        <v>-279.02</v>
      </c>
      <c r="H6633">
        <v>6.0974640000000004</v>
      </c>
      <c r="I6633">
        <v>3.5937060000000001</v>
      </c>
      <c r="J6633">
        <v>-328.875</v>
      </c>
      <c r="K6633">
        <v>1.1082179999999999</v>
      </c>
      <c r="L6633">
        <v>17.311520000000002</v>
      </c>
      <c r="M6633">
        <v>0.99883880000000003</v>
      </c>
      <c r="N6633">
        <v>0</v>
      </c>
      <c r="O6633">
        <v>-4.7479609999999998E-2</v>
      </c>
      <c r="P6633">
        <v>0.99781640000000005</v>
      </c>
      <c r="Q6633">
        <v>4.1695509999999998E-2</v>
      </c>
      <c r="R6633">
        <v>-5.1223749999999998E-2</v>
      </c>
      <c r="S6633">
        <v>2.9531860000000001</v>
      </c>
      <c r="T6633">
        <v>0.2943769</v>
      </c>
      <c r="U6633">
        <v>-0.80996699999999999</v>
      </c>
      <c r="V6633">
        <v>3.93882E-3</v>
      </c>
      <c r="W6633">
        <v>4.9852510000000003E-2</v>
      </c>
      <c r="X6633">
        <v>0.99874879999999999</v>
      </c>
      <c r="Y6633">
        <v>0.2176305</v>
      </c>
      <c r="Z6633">
        <v>5.9976259999999998E-3</v>
      </c>
      <c r="AA6633">
        <v>0.97601280000000001</v>
      </c>
      <c r="AB6633">
        <v>33</v>
      </c>
      <c r="AC6633">
        <v>49.854999999999997</v>
      </c>
      <c r="AD6633">
        <v>4.9892459999999996</v>
      </c>
      <c r="AE6633">
        <v>-13.717814000000001</v>
      </c>
      <c r="AF6633">
        <v>11.2306083825437</v>
      </c>
      <c r="AG6633">
        <v>4.9892459999999996</v>
      </c>
      <c r="AH6633">
        <v>49.984742276203903</v>
      </c>
      <c r="AI6633">
        <v>84.437647388791902</v>
      </c>
      <c r="AJ6633">
        <v>77.337029072015099</v>
      </c>
      <c r="AK6633">
        <v>51.473231885214901</v>
      </c>
      <c r="AL6633">
        <v>87.142477055876498</v>
      </c>
      <c r="AM6633">
        <v>89.774040687439197</v>
      </c>
      <c r="AN6633">
        <v>0.99999997627886505</v>
      </c>
    </row>
    <row r="6634" spans="1:40" x14ac:dyDescent="0.25">
      <c r="A6634" t="str">
        <f>"20190312160503040"</f>
        <v>20190312160503040</v>
      </c>
      <c r="B6634" t="str">
        <f>"1552377903031615"</f>
        <v>1552377903031615</v>
      </c>
      <c r="C6634" t="s">
        <v>40</v>
      </c>
      <c r="D6634">
        <v>6.1031680000000001</v>
      </c>
      <c r="E6634">
        <v>0.582916199999999</v>
      </c>
      <c r="F6634" t="s">
        <v>104</v>
      </c>
      <c r="G6634">
        <v>-279.33690000000001</v>
      </c>
      <c r="H6634">
        <v>6.216882</v>
      </c>
      <c r="I6634">
        <v>3.7205520000000001</v>
      </c>
      <c r="J6634">
        <v>-328.67360000000002</v>
      </c>
      <c r="K6634">
        <v>1.1082110000000001</v>
      </c>
      <c r="L6634">
        <v>17.301179999999999</v>
      </c>
      <c r="M6634">
        <v>0.99879870000000004</v>
      </c>
      <c r="N6634">
        <v>0</v>
      </c>
      <c r="O6634">
        <v>-4.831332E-2</v>
      </c>
      <c r="P6634">
        <v>0.99776549999999997</v>
      </c>
      <c r="Q6634">
        <v>4.1582139999999997E-2</v>
      </c>
      <c r="R6634">
        <v>-5.2301019999999997E-2</v>
      </c>
      <c r="S6634">
        <v>2.9522710000000001</v>
      </c>
      <c r="T6634">
        <v>0.3044558</v>
      </c>
      <c r="U6634">
        <v>-0.80996699999999999</v>
      </c>
      <c r="V6634">
        <v>4.1839590000000001E-3</v>
      </c>
      <c r="W6634">
        <v>4.975392E-2</v>
      </c>
      <c r="X6634">
        <v>0.9987528</v>
      </c>
      <c r="Y6634">
        <v>0.21684629999999999</v>
      </c>
      <c r="Z6634">
        <v>6.0803419999999999E-3</v>
      </c>
      <c r="AA6634">
        <v>0.97618680000000002</v>
      </c>
      <c r="AB6634">
        <v>33</v>
      </c>
      <c r="AC6634">
        <v>49.3367</v>
      </c>
      <c r="AD6634">
        <v>5.1086710000000002</v>
      </c>
      <c r="AE6634">
        <v>-13.580628000000001</v>
      </c>
      <c r="AF6634">
        <v>11.070728452684801</v>
      </c>
      <c r="AG6634">
        <v>5.1086710000000002</v>
      </c>
      <c r="AH6634">
        <v>49.442446043434003</v>
      </c>
      <c r="AI6634">
        <v>84.242386946738705</v>
      </c>
      <c r="AJ6634">
        <v>77.378995816984499</v>
      </c>
      <c r="AK6634">
        <v>50.923619457155702</v>
      </c>
      <c r="AL6634">
        <v>87.148133095284095</v>
      </c>
      <c r="AM6634">
        <v>89.759978855579703</v>
      </c>
      <c r="AN6634">
        <v>1.00000005678805</v>
      </c>
    </row>
    <row r="6635" spans="1:40" x14ac:dyDescent="0.25">
      <c r="A6635" t="str">
        <f>"20190312160503053"</f>
        <v>20190312160503053</v>
      </c>
      <c r="B6635" t="str">
        <f>"1552377903041375"</f>
        <v>1552377903041375</v>
      </c>
      <c r="C6635" t="s">
        <v>40</v>
      </c>
      <c r="D6635">
        <v>5.9669800000000004</v>
      </c>
      <c r="E6635">
        <v>0.58272270000000004</v>
      </c>
      <c r="F6635" t="s">
        <v>104</v>
      </c>
      <c r="G6635">
        <v>-279.33690000000001</v>
      </c>
      <c r="H6635">
        <v>6.2743900000000004</v>
      </c>
      <c r="I6635">
        <v>3.7398319999999998</v>
      </c>
      <c r="J6635">
        <v>-328.49029999999999</v>
      </c>
      <c r="K6635">
        <v>1.108196</v>
      </c>
      <c r="L6635">
        <v>17.29166</v>
      </c>
      <c r="M6635">
        <v>0.99876120000000002</v>
      </c>
      <c r="N6635">
        <v>0</v>
      </c>
      <c r="O6635">
        <v>-4.9077540000000003E-2</v>
      </c>
      <c r="P6635">
        <v>0.99771379999999998</v>
      </c>
      <c r="Q6635">
        <v>4.1410049999999997E-2</v>
      </c>
      <c r="R6635">
        <v>-5.340748E-2</v>
      </c>
      <c r="S6635">
        <v>2.951355</v>
      </c>
      <c r="T6635">
        <v>0.3090444</v>
      </c>
      <c r="U6635">
        <v>-0.81124879999999999</v>
      </c>
      <c r="V6635">
        <v>4.5278890000000002E-3</v>
      </c>
      <c r="W6635">
        <v>4.9597719999999998E-2</v>
      </c>
      <c r="X6635">
        <v>0.99875899999999995</v>
      </c>
      <c r="Y6635">
        <v>0.21655079999999999</v>
      </c>
      <c r="Z6635">
        <v>6.0798270000000003E-3</v>
      </c>
      <c r="AA6635">
        <v>0.97625240000000002</v>
      </c>
      <c r="AB6635">
        <v>34</v>
      </c>
      <c r="AC6635">
        <v>49.153399999999898</v>
      </c>
      <c r="AD6635">
        <v>5.166194</v>
      </c>
      <c r="AE6635">
        <v>-13.551828</v>
      </c>
      <c r="AF6635">
        <v>11.010053992969199</v>
      </c>
      <c r="AG6635">
        <v>5.166194</v>
      </c>
      <c r="AH6635">
        <v>49.253621884452599</v>
      </c>
      <c r="AI6635">
        <v>84.155372327815698</v>
      </c>
      <c r="AJ6635">
        <v>77.399373887917903</v>
      </c>
      <c r="AK6635">
        <v>50.7329293271182</v>
      </c>
      <c r="AL6635">
        <v>87.157093562268201</v>
      </c>
      <c r="AM6635">
        <v>89.740250498369605</v>
      </c>
      <c r="AN6635">
        <v>0.99999998784449695</v>
      </c>
    </row>
    <row r="6636" spans="1:40" x14ac:dyDescent="0.25">
      <c r="A6636" t="str">
        <f>"20190312160503063"</f>
        <v>20190312160503063</v>
      </c>
      <c r="B6636" t="str">
        <f>"1552377903052110"</f>
        <v>1552377903052110</v>
      </c>
      <c r="C6636" t="s">
        <v>40</v>
      </c>
      <c r="D6636">
        <v>6.0188899999999999</v>
      </c>
      <c r="E6636">
        <v>0.58274899999999996</v>
      </c>
      <c r="F6636" t="s">
        <v>104</v>
      </c>
      <c r="G6636">
        <v>-279.33690000000001</v>
      </c>
      <c r="H6636">
        <v>6.3141509999999998</v>
      </c>
      <c r="I6636">
        <v>3.7503069999999998</v>
      </c>
      <c r="J6636">
        <v>-328.32060000000001</v>
      </c>
      <c r="K6636">
        <v>1.108188</v>
      </c>
      <c r="L6636">
        <v>17.282710000000002</v>
      </c>
      <c r="M6636">
        <v>0.9987258</v>
      </c>
      <c r="N6636">
        <v>0</v>
      </c>
      <c r="O6636">
        <v>-4.9791009999999997E-2</v>
      </c>
      <c r="P6636">
        <v>0.99765950000000003</v>
      </c>
      <c r="Q6636">
        <v>4.1381639999999997E-2</v>
      </c>
      <c r="R6636">
        <v>-5.4436470000000001E-2</v>
      </c>
      <c r="S6636">
        <v>2.9503780000000002</v>
      </c>
      <c r="T6636">
        <v>0.31248199999999998</v>
      </c>
      <c r="U6636">
        <v>-0.81280520000000001</v>
      </c>
      <c r="V6636">
        <v>4.8458529999999998E-3</v>
      </c>
      <c r="W6636">
        <v>4.9585320000000002E-2</v>
      </c>
      <c r="X6636">
        <v>0.99875809999999998</v>
      </c>
      <c r="Y6636">
        <v>0.21640000000000001</v>
      </c>
      <c r="Z6636">
        <v>6.0671559999999998E-3</v>
      </c>
      <c r="AA6636">
        <v>0.97628590000000004</v>
      </c>
      <c r="AB6636">
        <v>34</v>
      </c>
      <c r="AC6636">
        <v>48.983699999999999</v>
      </c>
      <c r="AD6636">
        <v>5.2059629999999997</v>
      </c>
      <c r="AE6636">
        <v>-13.532403</v>
      </c>
      <c r="AF6636">
        <v>10.961551943013999</v>
      </c>
      <c r="AG6636">
        <v>5.2059629999999997</v>
      </c>
      <c r="AH6636">
        <v>49.081672217015999</v>
      </c>
      <c r="AI6636">
        <v>84.089953302520399</v>
      </c>
      <c r="AJ6636">
        <v>77.410564391717202</v>
      </c>
      <c r="AK6636">
        <v>50.5595512180969</v>
      </c>
      <c r="AL6636">
        <v>87.157804838169994</v>
      </c>
      <c r="AM6636">
        <v>89.722010017839594</v>
      </c>
      <c r="AN6636">
        <v>0.99999996428320403</v>
      </c>
    </row>
    <row r="6637" spans="1:40" x14ac:dyDescent="0.25">
      <c r="A6637" t="str">
        <f>"20190312160503075"</f>
        <v>20190312160503075</v>
      </c>
      <c r="B6637" t="str">
        <f>"1552377903071631"</f>
        <v>1552377903071631</v>
      </c>
      <c r="C6637" t="s">
        <v>40</v>
      </c>
      <c r="D6637">
        <v>6.0310610000000002</v>
      </c>
      <c r="E6637">
        <v>0.58267269999999904</v>
      </c>
      <c r="F6637" t="s">
        <v>104</v>
      </c>
      <c r="G6637">
        <v>-279.33690000000001</v>
      </c>
      <c r="H6637">
        <v>6.3491239999999998</v>
      </c>
      <c r="I6637">
        <v>3.73028</v>
      </c>
      <c r="J6637">
        <v>-328.15230000000003</v>
      </c>
      <c r="K6637">
        <v>1.1081780000000001</v>
      </c>
      <c r="L6637">
        <v>17.273679999999999</v>
      </c>
      <c r="M6637">
        <v>0.99868970000000001</v>
      </c>
      <c r="N6637">
        <v>0</v>
      </c>
      <c r="O6637">
        <v>-5.0507490000000002E-2</v>
      </c>
      <c r="P6637">
        <v>0.99759200000000003</v>
      </c>
      <c r="Q6637">
        <v>4.1459259999999998E-2</v>
      </c>
      <c r="R6637">
        <v>-5.5602800000000001E-2</v>
      </c>
      <c r="S6637">
        <v>2.9493710000000002</v>
      </c>
      <c r="T6637">
        <v>0.3155636</v>
      </c>
      <c r="U6637">
        <v>-0.81600950000000005</v>
      </c>
      <c r="V6637">
        <v>5.2990119999999996E-3</v>
      </c>
      <c r="W6637">
        <v>4.9681530000000002E-2</v>
      </c>
      <c r="X6637">
        <v>0.99875100000000006</v>
      </c>
      <c r="Y6637">
        <v>0.21675520000000001</v>
      </c>
      <c r="Z6637">
        <v>6.0717289999999997E-3</v>
      </c>
      <c r="AA6637">
        <v>0.97620709999999999</v>
      </c>
      <c r="AB6637">
        <v>34</v>
      </c>
      <c r="AC6637">
        <v>48.815399999999997</v>
      </c>
      <c r="AD6637">
        <v>5.2409459999999903</v>
      </c>
      <c r="AE6637">
        <v>-13.543399999999901</v>
      </c>
      <c r="AF6637">
        <v>10.943360671127101</v>
      </c>
      <c r="AG6637">
        <v>5.2409459999999903</v>
      </c>
      <c r="AH6637">
        <v>48.913641378537797</v>
      </c>
      <c r="AI6637">
        <v>84.030731045523297</v>
      </c>
      <c r="AJ6637">
        <v>77.388993217803105</v>
      </c>
      <c r="AK6637">
        <v>50.396120591385703</v>
      </c>
      <c r="AL6637">
        <v>87.152285559258203</v>
      </c>
      <c r="AM6637">
        <v>89.696012144795006</v>
      </c>
      <c r="AN6637">
        <v>0.99999994697615702</v>
      </c>
    </row>
    <row r="6638" spans="1:40" x14ac:dyDescent="0.25">
      <c r="A6638" t="str">
        <f>"20190312160503090"</f>
        <v>20190312160503090</v>
      </c>
      <c r="B6638" t="str">
        <f>"1552377903081390"</f>
        <v>1552377903081390</v>
      </c>
      <c r="C6638" t="s">
        <v>40</v>
      </c>
      <c r="D6638">
        <v>6.021604</v>
      </c>
      <c r="E6638">
        <v>0.58280589999999999</v>
      </c>
      <c r="F6638" t="s">
        <v>104</v>
      </c>
      <c r="G6638">
        <v>-279.33690000000001</v>
      </c>
      <c r="H6638">
        <v>6.4174040000000003</v>
      </c>
      <c r="I6638">
        <v>3.7179530000000001</v>
      </c>
      <c r="J6638">
        <v>-327.91759999999999</v>
      </c>
      <c r="K6638">
        <v>1.108163</v>
      </c>
      <c r="L6638">
        <v>17.26089</v>
      </c>
      <c r="M6638">
        <v>0.99863789999999997</v>
      </c>
      <c r="N6638">
        <v>0</v>
      </c>
      <c r="O6638">
        <v>-5.1517640000000003E-2</v>
      </c>
      <c r="P6638">
        <v>0.99747129999999995</v>
      </c>
      <c r="Q6638">
        <v>4.1816480000000003E-2</v>
      </c>
      <c r="R6638">
        <v>-5.7469010000000001E-2</v>
      </c>
      <c r="S6638">
        <v>2.9483030000000001</v>
      </c>
      <c r="T6638">
        <v>0.32066149999999999</v>
      </c>
      <c r="U6638">
        <v>-0.81872559999999905</v>
      </c>
      <c r="V6638">
        <v>6.1621019999999896E-3</v>
      </c>
      <c r="W6638">
        <v>5.006729E-2</v>
      </c>
      <c r="X6638">
        <v>0.99872680000000003</v>
      </c>
      <c r="Y6638">
        <v>0.21667120000000001</v>
      </c>
      <c r="Z6638">
        <v>6.0591849999999999E-3</v>
      </c>
      <c r="AA6638">
        <v>0.97622589999999998</v>
      </c>
      <c r="AB6638">
        <v>34</v>
      </c>
      <c r="AC6638">
        <v>48.580699999999901</v>
      </c>
      <c r="AD6638">
        <v>5.3092410000000001</v>
      </c>
      <c r="AE6638">
        <v>-13.542937</v>
      </c>
      <c r="AF6638">
        <v>10.9012909513054</v>
      </c>
      <c r="AG6638">
        <v>5.3092410000000001</v>
      </c>
      <c r="AH6638">
        <v>48.674478378149999</v>
      </c>
      <c r="AI6638">
        <v>83.924332067017104</v>
      </c>
      <c r="AJ6638">
        <v>77.376171984600106</v>
      </c>
      <c r="AK6638">
        <v>50.162047703279498</v>
      </c>
      <c r="AL6638">
        <v>87.130155643361704</v>
      </c>
      <c r="AM6638">
        <v>89.646491956098302</v>
      </c>
      <c r="AN6638">
        <v>0.99999996303362004</v>
      </c>
    </row>
    <row r="6639" spans="1:40" x14ac:dyDescent="0.25">
      <c r="A6639" t="str">
        <f>"20190312160503100"</f>
        <v>20190312160503100</v>
      </c>
      <c r="B6639" t="str">
        <f>"1552377903092127"</f>
        <v>1552377903092127</v>
      </c>
      <c r="C6639" t="s">
        <v>40</v>
      </c>
      <c r="D6639">
        <v>6.0226550000000003</v>
      </c>
      <c r="E6639">
        <v>0.58281110000000003</v>
      </c>
      <c r="F6639" t="s">
        <v>104</v>
      </c>
      <c r="G6639">
        <v>-279.02</v>
      </c>
      <c r="H6639">
        <v>6.5034549999999998</v>
      </c>
      <c r="I6639">
        <v>3.567698</v>
      </c>
      <c r="J6639">
        <v>-327.75450000000001</v>
      </c>
      <c r="K6639">
        <v>1.10815</v>
      </c>
      <c r="L6639">
        <v>17.251860000000001</v>
      </c>
      <c r="M6639">
        <v>0.9986005</v>
      </c>
      <c r="N6639">
        <v>0</v>
      </c>
      <c r="O6639">
        <v>-5.2232430000000003E-2</v>
      </c>
      <c r="P6639">
        <v>0.99739619999999996</v>
      </c>
      <c r="Q6639">
        <v>4.1993219999999998E-2</v>
      </c>
      <c r="R6639">
        <v>-5.8631259999999998E-2</v>
      </c>
      <c r="S6639">
        <v>2.9465029999999999</v>
      </c>
      <c r="T6639">
        <v>0.32511329999999999</v>
      </c>
      <c r="U6639">
        <v>-0.82513429999999999</v>
      </c>
      <c r="V6639">
        <v>6.6141300000000002E-3</v>
      </c>
      <c r="W6639">
        <v>5.0268739999999999E-2</v>
      </c>
      <c r="X6639">
        <v>0.99871390000000004</v>
      </c>
      <c r="Y6639">
        <v>0.21806680000000001</v>
      </c>
      <c r="Z6639">
        <v>6.1432719999999904E-3</v>
      </c>
      <c r="AA6639">
        <v>0.97591450000000002</v>
      </c>
      <c r="AB6639">
        <v>34</v>
      </c>
      <c r="AC6639">
        <v>48.734499999999997</v>
      </c>
      <c r="AD6639">
        <v>5.3953049999999996</v>
      </c>
      <c r="AE6639">
        <v>-13.684161999999899</v>
      </c>
      <c r="AF6639">
        <v>10.994963051738701</v>
      </c>
      <c r="AG6639">
        <v>5.3953049999999996</v>
      </c>
      <c r="AH6639">
        <v>48.828037178467603</v>
      </c>
      <c r="AI6639">
        <v>83.847448927343805</v>
      </c>
      <c r="AJ6639">
        <v>77.309950648393695</v>
      </c>
      <c r="AK6639">
        <v>50.340597366876203</v>
      </c>
      <c r="AL6639">
        <v>87.118599174287894</v>
      </c>
      <c r="AM6639">
        <v>89.620555802873497</v>
      </c>
      <c r="AN6639">
        <v>1.0000000734950201</v>
      </c>
    </row>
    <row r="6640" spans="1:40" x14ac:dyDescent="0.25">
      <c r="A6640" t="str">
        <f>"20190312160503112"</f>
        <v>20190312160503112</v>
      </c>
      <c r="B6640" t="str">
        <f>"1552377903101887"</f>
        <v>1552377903101887</v>
      </c>
      <c r="C6640" t="s">
        <v>40</v>
      </c>
      <c r="D6640">
        <v>6.1749900000000002</v>
      </c>
      <c r="E6640">
        <v>0.58314509999999997</v>
      </c>
      <c r="F6640" t="s">
        <v>104</v>
      </c>
      <c r="G6640">
        <v>-279.02</v>
      </c>
      <c r="H6640">
        <v>6.4639410000000002</v>
      </c>
      <c r="I6640">
        <v>3.5426060000000001</v>
      </c>
      <c r="J6640">
        <v>-327.5847</v>
      </c>
      <c r="K6640">
        <v>1.1081379999999901</v>
      </c>
      <c r="L6640">
        <v>17.24231</v>
      </c>
      <c r="M6640">
        <v>0.99856049999999996</v>
      </c>
      <c r="N6640">
        <v>0</v>
      </c>
      <c r="O6640">
        <v>-5.2985650000000002E-2</v>
      </c>
      <c r="P6640">
        <v>0.99730739999999996</v>
      </c>
      <c r="Q6640">
        <v>4.2253699999999998E-2</v>
      </c>
      <c r="R6640">
        <v>-5.993863E-2</v>
      </c>
      <c r="S6640">
        <v>2.9454959999999999</v>
      </c>
      <c r="T6640">
        <v>0.32370209999999999</v>
      </c>
      <c r="U6640">
        <v>-0.82858279999999995</v>
      </c>
      <c r="V6640">
        <v>7.1740550000000004E-3</v>
      </c>
      <c r="W6640">
        <v>5.0558289999999999E-2</v>
      </c>
      <c r="X6640">
        <v>0.99869540000000001</v>
      </c>
      <c r="Y6640">
        <v>0.21848619999999999</v>
      </c>
      <c r="Z6640">
        <v>6.0598049999999997E-3</v>
      </c>
      <c r="AA6640">
        <v>0.97582120000000006</v>
      </c>
      <c r="AB6640">
        <v>34</v>
      </c>
      <c r="AC6640">
        <v>48.564700000000002</v>
      </c>
      <c r="AD6640">
        <v>5.3558029999999999</v>
      </c>
      <c r="AE6640">
        <v>-13.699704000000001</v>
      </c>
      <c r="AF6640">
        <v>10.9834020732514</v>
      </c>
      <c r="AG6640">
        <v>5.3558029999999999</v>
      </c>
      <c r="AH6640">
        <v>48.674045370996197</v>
      </c>
      <c r="AI6640">
        <v>83.873595924863196</v>
      </c>
      <c r="AJ6640">
        <v>77.284057536647197</v>
      </c>
      <c r="AK6640">
        <v>50.1844840528953</v>
      </c>
      <c r="AL6640">
        <v>87.101988006274397</v>
      </c>
      <c r="AM6640">
        <v>89.588427058389001</v>
      </c>
      <c r="AN6640">
        <v>1.00000005486701</v>
      </c>
    </row>
    <row r="6641" spans="1:40" x14ac:dyDescent="0.25">
      <c r="A6641" t="str">
        <f>"20190312160503123"</f>
        <v>20190312160503123</v>
      </c>
      <c r="B6641" t="str">
        <f>"1552377903111647"</f>
        <v>1552377903111647</v>
      </c>
      <c r="C6641" t="s">
        <v>40</v>
      </c>
      <c r="D6641">
        <v>6.034294</v>
      </c>
      <c r="E6641">
        <v>0.58309259999999996</v>
      </c>
      <c r="F6641" t="s">
        <v>104</v>
      </c>
      <c r="G6641">
        <v>-279.02</v>
      </c>
      <c r="H6641">
        <v>6.4334980000000002</v>
      </c>
      <c r="I6641">
        <v>3.468798</v>
      </c>
      <c r="J6641">
        <v>-327.41410000000002</v>
      </c>
      <c r="K6641">
        <v>1.1081240000000001</v>
      </c>
      <c r="L6641">
        <v>17.23264</v>
      </c>
      <c r="M6641">
        <v>0.9985193</v>
      </c>
      <c r="N6641">
        <v>0</v>
      </c>
      <c r="O6641">
        <v>-5.3752870000000001E-2</v>
      </c>
      <c r="P6641">
        <v>0.99723519999999999</v>
      </c>
      <c r="Q6641">
        <v>4.2132450000000002E-2</v>
      </c>
      <c r="R6641">
        <v>-6.121501E-2</v>
      </c>
      <c r="S6641">
        <v>2.9442439999999999</v>
      </c>
      <c r="T6641">
        <v>0.3228511</v>
      </c>
      <c r="U6641">
        <v>-0.83502199999999904</v>
      </c>
      <c r="V6641">
        <v>7.6866850000000004E-3</v>
      </c>
      <c r="W6641">
        <v>5.0468760000000001E-2</v>
      </c>
      <c r="X6641">
        <v>0.99869609999999998</v>
      </c>
      <c r="Y6641">
        <v>0.2198225</v>
      </c>
      <c r="Z6641">
        <v>6.0345199999999998E-3</v>
      </c>
      <c r="AA6641">
        <v>0.97552119999999998</v>
      </c>
      <c r="AB6641">
        <v>34</v>
      </c>
      <c r="AC6641">
        <v>48.394100000000002</v>
      </c>
      <c r="AD6641">
        <v>5.3253740000000001</v>
      </c>
      <c r="AE6641">
        <v>-13.763842</v>
      </c>
      <c r="AF6641">
        <v>11.019082535028099</v>
      </c>
      <c r="AG6641">
        <v>5.3253740000000001</v>
      </c>
      <c r="AH6641">
        <v>48.520428291459297</v>
      </c>
      <c r="AI6641">
        <v>83.890892465274803</v>
      </c>
      <c r="AJ6641">
        <v>77.205040014902707</v>
      </c>
      <c r="AK6641">
        <v>50.040101416167097</v>
      </c>
      <c r="AL6641">
        <v>87.107124212613797</v>
      </c>
      <c r="AM6641">
        <v>89.559019092387501</v>
      </c>
      <c r="AN6641">
        <v>1.0000000405087099</v>
      </c>
    </row>
    <row r="6642" spans="1:40" x14ac:dyDescent="0.25">
      <c r="A6642" t="str">
        <f>"20190312160503135"</f>
        <v>20190312160503135</v>
      </c>
      <c r="B6642" t="str">
        <f>"1552377903132143"</f>
        <v>1552377903132143</v>
      </c>
      <c r="C6642" t="s">
        <v>40</v>
      </c>
      <c r="D6642">
        <v>5.932131</v>
      </c>
      <c r="E6642">
        <v>0.58295549999999996</v>
      </c>
      <c r="F6642" t="s">
        <v>104</v>
      </c>
      <c r="G6642">
        <v>-279.02</v>
      </c>
      <c r="H6642">
        <v>6.4450229999999999</v>
      </c>
      <c r="I6642">
        <v>3.4475380000000002</v>
      </c>
      <c r="J6642">
        <v>-327.24369999999999</v>
      </c>
      <c r="K6642">
        <v>1.108109</v>
      </c>
      <c r="L6642">
        <v>17.222750000000001</v>
      </c>
      <c r="M6642">
        <v>0.99847629999999998</v>
      </c>
      <c r="N6642">
        <v>0</v>
      </c>
      <c r="O6642">
        <v>-5.453711E-2</v>
      </c>
      <c r="P6642">
        <v>0.99717560000000005</v>
      </c>
      <c r="Q6642">
        <v>4.171308E-2</v>
      </c>
      <c r="R6642">
        <v>-6.2458260000000002E-2</v>
      </c>
      <c r="S6642">
        <v>2.9431150000000001</v>
      </c>
      <c r="T6642">
        <v>0.32456649999999998</v>
      </c>
      <c r="U6642">
        <v>-0.83834839999999999</v>
      </c>
      <c r="V6642">
        <v>8.1483440000000001E-3</v>
      </c>
      <c r="W6642">
        <v>5.0090639999999999E-2</v>
      </c>
      <c r="X6642">
        <v>0.99871140000000003</v>
      </c>
      <c r="Y6642">
        <v>0.22016730000000001</v>
      </c>
      <c r="Z6642">
        <v>6.0021930000000003E-3</v>
      </c>
      <c r="AA6642">
        <v>0.97544370000000002</v>
      </c>
      <c r="AB6642">
        <v>34</v>
      </c>
      <c r="AC6642">
        <v>48.223700000000001</v>
      </c>
      <c r="AD6642">
        <v>5.3369140000000002</v>
      </c>
      <c r="AE6642">
        <v>-13.775212</v>
      </c>
      <c r="AF6642">
        <v>11.0000721249872</v>
      </c>
      <c r="AG6642">
        <v>5.3369140000000002</v>
      </c>
      <c r="AH6642">
        <v>48.3556409566254</v>
      </c>
      <c r="AI6642">
        <v>83.8575519602105</v>
      </c>
      <c r="AJ6642">
        <v>77.184294388856401</v>
      </c>
      <c r="AK6642">
        <v>49.877372125287302</v>
      </c>
      <c r="AL6642">
        <v>87.128816109178004</v>
      </c>
      <c r="AM6642">
        <v>89.532542271613295</v>
      </c>
      <c r="AN6642">
        <v>0.99999996410775505</v>
      </c>
    </row>
    <row r="6643" spans="1:40" x14ac:dyDescent="0.25">
      <c r="A6643" t="str">
        <f>"20190312160503146"</f>
        <v>20190312160503146</v>
      </c>
      <c r="B6643" t="str">
        <f>"1552377903141903"</f>
        <v>1552377903141903</v>
      </c>
      <c r="C6643" t="s">
        <v>40</v>
      </c>
      <c r="D6643">
        <v>5.9890119999999998</v>
      </c>
      <c r="E6643">
        <v>0.58282819999999902</v>
      </c>
      <c r="F6643" t="s">
        <v>104</v>
      </c>
      <c r="G6643">
        <v>-279.02</v>
      </c>
      <c r="H6643">
        <v>6.4454820000000002</v>
      </c>
      <c r="I6643">
        <v>3.442266</v>
      </c>
      <c r="J6643">
        <v>-327.06619999999998</v>
      </c>
      <c r="K6643">
        <v>1.10809</v>
      </c>
      <c r="L6643">
        <v>17.21237</v>
      </c>
      <c r="M6643">
        <v>0.99843040000000005</v>
      </c>
      <c r="N6643">
        <v>0</v>
      </c>
      <c r="O6643">
        <v>-5.536195E-2</v>
      </c>
      <c r="P6643">
        <v>0.99711070000000002</v>
      </c>
      <c r="Q6643">
        <v>4.1369860000000001E-2</v>
      </c>
      <c r="R6643">
        <v>-6.3705919999999999E-2</v>
      </c>
      <c r="S6643">
        <v>2.9421689999999998</v>
      </c>
      <c r="T6643">
        <v>0.32563779999999998</v>
      </c>
      <c r="U6643">
        <v>-0.84075929999999999</v>
      </c>
      <c r="V6643">
        <v>8.5742590000000007E-3</v>
      </c>
      <c r="W6643">
        <v>4.9794869999999998E-2</v>
      </c>
      <c r="X6643">
        <v>0.99872269999999996</v>
      </c>
      <c r="Y6643">
        <v>0.22018160000000001</v>
      </c>
      <c r="Z6643">
        <v>5.9350840000000002E-3</v>
      </c>
      <c r="AA6643">
        <v>0.97544090000000006</v>
      </c>
      <c r="AB6643">
        <v>34</v>
      </c>
      <c r="AC6643">
        <v>48.046199999999999</v>
      </c>
      <c r="AD6643">
        <v>5.3373919999999897</v>
      </c>
      <c r="AE6643">
        <v>-13.770104</v>
      </c>
      <c r="AF6643">
        <v>10.963924768459</v>
      </c>
      <c r="AG6643">
        <v>5.3373919999999897</v>
      </c>
      <c r="AH6643">
        <v>48.185370767915003</v>
      </c>
      <c r="AI6643">
        <v>83.835536693817403</v>
      </c>
      <c r="AJ6643">
        <v>77.181370592652002</v>
      </c>
      <c r="AK6643">
        <v>49.704379643362699</v>
      </c>
      <c r="AL6643">
        <v>87.145783871302299</v>
      </c>
      <c r="AM6643">
        <v>89.508114931350903</v>
      </c>
      <c r="AN6643">
        <v>1.0000000392455</v>
      </c>
    </row>
    <row r="6644" spans="1:40" x14ac:dyDescent="0.25">
      <c r="A6644" t="str">
        <f>"20190312160503158"</f>
        <v>20190312160503158</v>
      </c>
      <c r="B6644" t="str">
        <f>"1552377903151662"</f>
        <v>1552377903151662</v>
      </c>
      <c r="C6644" t="s">
        <v>40</v>
      </c>
      <c r="D6644">
        <v>6.1721360000000001</v>
      </c>
      <c r="E6644">
        <v>0.58268009999999903</v>
      </c>
      <c r="F6644" t="s">
        <v>104</v>
      </c>
      <c r="G6644">
        <v>-279.02</v>
      </c>
      <c r="H6644">
        <v>6.4318650000000002</v>
      </c>
      <c r="I6644">
        <v>3.4366249999999998</v>
      </c>
      <c r="J6644">
        <v>-326.89400000000001</v>
      </c>
      <c r="K6644">
        <v>1.1080760000000001</v>
      </c>
      <c r="L6644">
        <v>17.202059999999999</v>
      </c>
      <c r="M6644">
        <v>0.99838360000000004</v>
      </c>
      <c r="N6644">
        <v>0</v>
      </c>
      <c r="O6644">
        <v>-5.619093E-2</v>
      </c>
      <c r="P6644">
        <v>0.99706260000000002</v>
      </c>
      <c r="Q6644">
        <v>4.0820990000000001E-2</v>
      </c>
      <c r="R6644">
        <v>-6.4808470000000007E-2</v>
      </c>
      <c r="S6644">
        <v>2.941284</v>
      </c>
      <c r="T6644">
        <v>0.32591039999999999</v>
      </c>
      <c r="U6644">
        <v>-0.84332280000000004</v>
      </c>
      <c r="V6644">
        <v>8.8499449999999997E-3</v>
      </c>
      <c r="W6644">
        <v>4.9320530000000001E-2</v>
      </c>
      <c r="X6644">
        <v>0.99874379999999996</v>
      </c>
      <c r="Y6644">
        <v>0.22023770000000001</v>
      </c>
      <c r="Z6644">
        <v>5.8547790000000001E-3</v>
      </c>
      <c r="AA6644">
        <v>0.97542870000000004</v>
      </c>
      <c r="AB6644">
        <v>34</v>
      </c>
      <c r="AC6644">
        <v>47.874000000000002</v>
      </c>
      <c r="AD6644">
        <v>5.3237889999999997</v>
      </c>
      <c r="AE6644">
        <v>-13.765435</v>
      </c>
      <c r="AF6644">
        <v>10.9286743893436</v>
      </c>
      <c r="AG6644">
        <v>5.3237889999999997</v>
      </c>
      <c r="AH6644">
        <v>48.023351685597198</v>
      </c>
      <c r="AI6644">
        <v>83.830586533336898</v>
      </c>
      <c r="AJ6644">
        <v>77.179538789044898</v>
      </c>
      <c r="AK6644">
        <v>49.538075864362902</v>
      </c>
      <c r="AL6644">
        <v>87.172994894980803</v>
      </c>
      <c r="AM6644">
        <v>89.492311014391902</v>
      </c>
      <c r="AN6644">
        <v>1.0000000071222099</v>
      </c>
    </row>
    <row r="6645" spans="1:40" x14ac:dyDescent="0.25">
      <c r="A6645" t="str">
        <f>"20190312160503169"</f>
        <v>20190312160503169</v>
      </c>
      <c r="B6645" t="str">
        <f>"1552377903161423"</f>
        <v>1552377903161423</v>
      </c>
      <c r="C6645" t="s">
        <v>40</v>
      </c>
      <c r="D6645">
        <v>6.0821420000000002</v>
      </c>
      <c r="E6645">
        <v>0.58249849999999903</v>
      </c>
      <c r="F6645" t="s">
        <v>104</v>
      </c>
      <c r="G6645">
        <v>-279.02</v>
      </c>
      <c r="H6645">
        <v>6.407572</v>
      </c>
      <c r="I6645">
        <v>3.4394550000000002</v>
      </c>
      <c r="J6645">
        <v>-326.72980000000001</v>
      </c>
      <c r="K6645">
        <v>1.108063</v>
      </c>
      <c r="L6645">
        <v>17.192170000000001</v>
      </c>
      <c r="M6645">
        <v>0.99833769999999999</v>
      </c>
      <c r="N6645">
        <v>0</v>
      </c>
      <c r="O6645">
        <v>-5.6988009999999999E-2</v>
      </c>
      <c r="P6645">
        <v>0.99698699999999996</v>
      </c>
      <c r="Q6645">
        <v>4.0284069999999998E-2</v>
      </c>
      <c r="R6645">
        <v>-6.6287460000000006E-2</v>
      </c>
      <c r="S6645">
        <v>2.9405519999999998</v>
      </c>
      <c r="T6645">
        <v>0.32550980000000002</v>
      </c>
      <c r="U6645">
        <v>-0.84533689999999995</v>
      </c>
      <c r="V6645">
        <v>9.5348440000000007E-3</v>
      </c>
      <c r="W6645">
        <v>4.8860939999999999E-2</v>
      </c>
      <c r="X6645">
        <v>0.99876010000000004</v>
      </c>
      <c r="Y6645">
        <v>0.2201477</v>
      </c>
      <c r="Z6645">
        <v>5.7578430000000003E-3</v>
      </c>
      <c r="AA6645">
        <v>0.97544960000000003</v>
      </c>
      <c r="AB6645">
        <v>34</v>
      </c>
      <c r="AC6645">
        <v>47.709800000000001</v>
      </c>
      <c r="AD6645">
        <v>5.2995089999999996</v>
      </c>
      <c r="AE6645">
        <v>-13.752715</v>
      </c>
      <c r="AF6645">
        <v>10.887349857059499</v>
      </c>
      <c r="AG6645">
        <v>5.2995089999999996</v>
      </c>
      <c r="AH6645">
        <v>47.870697082290903</v>
      </c>
      <c r="AI6645">
        <v>83.838891530189002</v>
      </c>
      <c r="AJ6645">
        <v>77.187032350570107</v>
      </c>
      <c r="AK6645">
        <v>49.378363902579302</v>
      </c>
      <c r="AL6645">
        <v>87.199359288209095</v>
      </c>
      <c r="AM6645">
        <v>89.453032090691195</v>
      </c>
      <c r="AN6645">
        <v>1.0000000210298901</v>
      </c>
    </row>
    <row r="6646" spans="1:40" x14ac:dyDescent="0.25">
      <c r="A6646" t="str">
        <f>"20190312160503178"</f>
        <v>20190312160503178</v>
      </c>
      <c r="B6646" t="str">
        <f>"1552377903172158"</f>
        <v>1552377903172158</v>
      </c>
      <c r="C6646" t="s">
        <v>40</v>
      </c>
      <c r="D6646">
        <v>6.1410349999999996</v>
      </c>
      <c r="E6646">
        <v>0.58239039999999997</v>
      </c>
      <c r="F6646" t="s">
        <v>104</v>
      </c>
      <c r="G6646">
        <v>-279.02</v>
      </c>
      <c r="H6646">
        <v>6.3876629999999999</v>
      </c>
      <c r="I6646">
        <v>3.4237479999999998</v>
      </c>
      <c r="J6646">
        <v>-326.56599999999997</v>
      </c>
      <c r="K6646">
        <v>1.1080570000000001</v>
      </c>
      <c r="L6646">
        <v>17.182040000000001</v>
      </c>
      <c r="M6646">
        <v>0.99828919999999999</v>
      </c>
      <c r="N6646">
        <v>0</v>
      </c>
      <c r="O6646">
        <v>-5.7811960000000003E-2</v>
      </c>
      <c r="P6646">
        <v>0.99691549999999995</v>
      </c>
      <c r="Q6646">
        <v>3.9462919999999999E-2</v>
      </c>
      <c r="R6646">
        <v>-6.7840639999999994E-2</v>
      </c>
      <c r="S6646">
        <v>2.9394840000000002</v>
      </c>
      <c r="T6646">
        <v>0.32528570000000001</v>
      </c>
      <c r="U6646">
        <v>-0.84829709999999903</v>
      </c>
      <c r="V6646">
        <v>1.0266239999999999E-2</v>
      </c>
      <c r="W6646">
        <v>4.8152239999999999E-2</v>
      </c>
      <c r="X6646">
        <v>0.99878719999999999</v>
      </c>
      <c r="Y6646">
        <v>0.2203483</v>
      </c>
      <c r="Z6646">
        <v>5.6773750000000001E-3</v>
      </c>
      <c r="AA6646">
        <v>0.97540470000000001</v>
      </c>
      <c r="AB6646">
        <v>34</v>
      </c>
      <c r="AC6646">
        <v>47.5459999999999</v>
      </c>
      <c r="AD6646">
        <v>5.2796059999999896</v>
      </c>
      <c r="AE6646">
        <v>-13.758292000000001</v>
      </c>
      <c r="AF6646">
        <v>10.862853134146899</v>
      </c>
      <c r="AG6646">
        <v>5.2796059999999896</v>
      </c>
      <c r="AH6646">
        <v>47.718967469255901</v>
      </c>
      <c r="AI6646">
        <v>83.842763273987401</v>
      </c>
      <c r="AJ6646">
        <v>77.175603323655906</v>
      </c>
      <c r="AK6646">
        <v>49.2237308019332</v>
      </c>
      <c r="AL6646">
        <v>87.240012472175295</v>
      </c>
      <c r="AM6646">
        <v>89.41109426557</v>
      </c>
      <c r="AN6646">
        <v>0.999999952392296</v>
      </c>
    </row>
    <row r="6647" spans="1:40" x14ac:dyDescent="0.25">
      <c r="A6647" t="str">
        <f>"20190312160503191"</f>
        <v>20190312160503191</v>
      </c>
      <c r="B6647" t="str">
        <f>"1552377903181919"</f>
        <v>1552377903181919</v>
      </c>
      <c r="C6647" t="s">
        <v>40</v>
      </c>
      <c r="D6647">
        <v>5.9919469999999997</v>
      </c>
      <c r="E6647">
        <v>0.58230479999999996</v>
      </c>
      <c r="F6647" t="s">
        <v>104</v>
      </c>
      <c r="G6647">
        <v>-279.02</v>
      </c>
      <c r="H6647">
        <v>6.3331109999999997</v>
      </c>
      <c r="I6647">
        <v>3.3955839999999902</v>
      </c>
      <c r="J6647">
        <v>-326.39569999999998</v>
      </c>
      <c r="K6647">
        <v>1.1080479999999999</v>
      </c>
      <c r="L6647">
        <v>17.17145</v>
      </c>
      <c r="M6647">
        <v>0.99823759999999995</v>
      </c>
      <c r="N6647">
        <v>0</v>
      </c>
      <c r="O6647">
        <v>-5.8680290000000003E-2</v>
      </c>
      <c r="P6647">
        <v>0.99683339999999998</v>
      </c>
      <c r="Q6647">
        <v>3.8876170000000002E-2</v>
      </c>
      <c r="R6647">
        <v>-6.9370539999999994E-2</v>
      </c>
      <c r="S6647">
        <v>2.938507</v>
      </c>
      <c r="T6647">
        <v>0.32292659999999901</v>
      </c>
      <c r="U6647">
        <v>-0.8520508</v>
      </c>
      <c r="V6647">
        <v>1.093155E-2</v>
      </c>
      <c r="W6647">
        <v>4.7693100000000002E-2</v>
      </c>
      <c r="X6647">
        <v>0.99880219999999997</v>
      </c>
      <c r="Y6647">
        <v>0.2207517</v>
      </c>
      <c r="Z6647">
        <v>5.5662230000000004E-3</v>
      </c>
      <c r="AA6647">
        <v>0.97531409999999996</v>
      </c>
      <c r="AB6647">
        <v>34</v>
      </c>
      <c r="AC6647">
        <v>47.375700000000002</v>
      </c>
      <c r="AD6647">
        <v>5.2250629999999996</v>
      </c>
      <c r="AE6647">
        <v>-13.775866000000001</v>
      </c>
      <c r="AF6647">
        <v>10.8503049455651</v>
      </c>
      <c r="AG6647">
        <v>5.2250629999999996</v>
      </c>
      <c r="AH6647">
        <v>47.568947872385699</v>
      </c>
      <c r="AI6647">
        <v>83.887414783649604</v>
      </c>
      <c r="AJ6647">
        <v>77.150867819455598</v>
      </c>
      <c r="AK6647">
        <v>49.0696973951488</v>
      </c>
      <c r="AL6647">
        <v>87.2663496006234</v>
      </c>
      <c r="AM6647">
        <v>89.372942238379096</v>
      </c>
      <c r="AN6647">
        <v>0.99999998264892598</v>
      </c>
    </row>
    <row r="6648" spans="1:40" x14ac:dyDescent="0.25">
      <c r="A6648" t="str">
        <f>"20190312160503202"</f>
        <v>20190312160503202</v>
      </c>
      <c r="B6648" t="str">
        <f>"1552377903191678"</f>
        <v>1552377903191678</v>
      </c>
      <c r="C6648" t="s">
        <v>40</v>
      </c>
      <c r="D6648">
        <v>6.0932629999999897</v>
      </c>
      <c r="E6648">
        <v>0.58229730000000002</v>
      </c>
      <c r="F6648" t="s">
        <v>104</v>
      </c>
      <c r="G6648">
        <v>-279.02</v>
      </c>
      <c r="H6648">
        <v>6.3001480000000001</v>
      </c>
      <c r="I6648">
        <v>3.369192</v>
      </c>
      <c r="J6648">
        <v>-326.2201</v>
      </c>
      <c r="K6648">
        <v>1.1080399999999999</v>
      </c>
      <c r="L6648">
        <v>17.16028</v>
      </c>
      <c r="M6648">
        <v>0.9981816</v>
      </c>
      <c r="N6648">
        <v>0</v>
      </c>
      <c r="O6648">
        <v>-5.9599279999999998E-2</v>
      </c>
      <c r="P6648">
        <v>0.99673319999999999</v>
      </c>
      <c r="Q6648">
        <v>3.8432220000000003E-2</v>
      </c>
      <c r="R6648">
        <v>-7.1034349999999996E-2</v>
      </c>
      <c r="S6648">
        <v>2.937408</v>
      </c>
      <c r="T6648">
        <v>0.32192300000000001</v>
      </c>
      <c r="U6648">
        <v>-0.85577389999999998</v>
      </c>
      <c r="V6648">
        <v>1.16819E-2</v>
      </c>
      <c r="W6648">
        <v>4.7402550000000002E-2</v>
      </c>
      <c r="X6648">
        <v>0.99880749999999996</v>
      </c>
      <c r="Y6648">
        <v>0.22109980000000001</v>
      </c>
      <c r="Z6648">
        <v>5.4708830000000002E-3</v>
      </c>
      <c r="AA6648">
        <v>0.97523579999999999</v>
      </c>
      <c r="AB6648">
        <v>34</v>
      </c>
      <c r="AC6648">
        <v>47.200099999999999</v>
      </c>
      <c r="AD6648">
        <v>5.1921080000000002</v>
      </c>
      <c r="AE6648">
        <v>-13.791088</v>
      </c>
      <c r="AF6648">
        <v>10.8325951264291</v>
      </c>
      <c r="AG6648">
        <v>5.1921080000000002</v>
      </c>
      <c r="AH6648">
        <v>47.409607457089699</v>
      </c>
      <c r="AI6648">
        <v>83.905932230742806</v>
      </c>
      <c r="AJ6648">
        <v>77.129462341556007</v>
      </c>
      <c r="AK6648">
        <v>48.907811051938701</v>
      </c>
      <c r="AL6648">
        <v>87.283015638171406</v>
      </c>
      <c r="AM6648">
        <v>89.329907865489105</v>
      </c>
      <c r="AN6648">
        <v>0.99999994529517899</v>
      </c>
    </row>
    <row r="6649" spans="1:40" x14ac:dyDescent="0.25">
      <c r="A6649" t="str">
        <f>"20190312160503215"</f>
        <v>20190312160503215</v>
      </c>
      <c r="B6649" t="str">
        <f>"1552377903201439"</f>
        <v>1552377903201439</v>
      </c>
      <c r="C6649" t="s">
        <v>40</v>
      </c>
      <c r="D6649">
        <v>6.0691199999999998</v>
      </c>
      <c r="E6649">
        <v>0.58234419999999898</v>
      </c>
      <c r="F6649" t="s">
        <v>104</v>
      </c>
      <c r="G6649">
        <v>-279.02</v>
      </c>
      <c r="H6649">
        <v>6.2678909999999997</v>
      </c>
      <c r="I6649">
        <v>3.3251900000000001</v>
      </c>
      <c r="J6649">
        <v>-326.04199999999997</v>
      </c>
      <c r="K6649">
        <v>1.108034</v>
      </c>
      <c r="L6649">
        <v>17.148769999999999</v>
      </c>
      <c r="M6649">
        <v>0.99812259999999997</v>
      </c>
      <c r="N6649">
        <v>0</v>
      </c>
      <c r="O6649">
        <v>-6.055352E-2</v>
      </c>
      <c r="P6649">
        <v>0.99661540000000004</v>
      </c>
      <c r="Q6649">
        <v>3.825866E-2</v>
      </c>
      <c r="R6649">
        <v>-7.2760370000000005E-2</v>
      </c>
      <c r="S6649">
        <v>2.9361269999999999</v>
      </c>
      <c r="T6649">
        <v>0.32097389999999998</v>
      </c>
      <c r="U6649">
        <v>-0.86062619999999901</v>
      </c>
      <c r="V6649">
        <v>1.246121E-2</v>
      </c>
      <c r="W6649">
        <v>4.7405419999999997E-2</v>
      </c>
      <c r="X6649">
        <v>0.99879799999999996</v>
      </c>
      <c r="Y6649">
        <v>0.22177330000000001</v>
      </c>
      <c r="Z6649">
        <v>5.3905949999999998E-3</v>
      </c>
      <c r="AA6649">
        <v>0.97508340000000004</v>
      </c>
      <c r="AB6649">
        <v>34</v>
      </c>
      <c r="AC6649">
        <v>47.021999999999998</v>
      </c>
      <c r="AD6649">
        <v>5.1598569999999997</v>
      </c>
      <c r="AE6649">
        <v>-13.82358</v>
      </c>
      <c r="AF6649">
        <v>10.8307018104357</v>
      </c>
      <c r="AG6649">
        <v>5.1598569999999997</v>
      </c>
      <c r="AH6649">
        <v>47.249125417581197</v>
      </c>
      <c r="AI6649">
        <v>83.9240515905758</v>
      </c>
      <c r="AJ6649">
        <v>77.089391647228496</v>
      </c>
      <c r="AK6649">
        <v>48.748416165998101</v>
      </c>
      <c r="AL6649">
        <v>87.282851163506805</v>
      </c>
      <c r="AM6649">
        <v>89.285203114810599</v>
      </c>
      <c r="AN6649">
        <v>1.00000000020202</v>
      </c>
    </row>
    <row r="6650" spans="1:40" x14ac:dyDescent="0.25">
      <c r="A6650" t="str">
        <f>"20190312160503226"</f>
        <v>20190312160503226</v>
      </c>
      <c r="B6650" t="str">
        <f>"1552377903221975"</f>
        <v>1552377903221975</v>
      </c>
      <c r="C6650" t="s">
        <v>40</v>
      </c>
      <c r="D6650">
        <v>5.9444780000000002</v>
      </c>
      <c r="E6650">
        <v>0.58223819999999904</v>
      </c>
      <c r="F6650" t="s">
        <v>104</v>
      </c>
      <c r="G6650">
        <v>-279.02</v>
      </c>
      <c r="H6650">
        <v>6.2569739999999996</v>
      </c>
      <c r="I6650">
        <v>3.2718090000000002</v>
      </c>
      <c r="J6650">
        <v>-325.85300000000001</v>
      </c>
      <c r="K6650">
        <v>1.108028</v>
      </c>
      <c r="L6650">
        <v>17.136410000000001</v>
      </c>
      <c r="M6650">
        <v>0.99805759999999999</v>
      </c>
      <c r="N6650">
        <v>0</v>
      </c>
      <c r="O6650">
        <v>-6.1582280000000003E-2</v>
      </c>
      <c r="P6650">
        <v>0.9964904</v>
      </c>
      <c r="Q6650">
        <v>3.8223590000000002E-2</v>
      </c>
      <c r="R6650">
        <v>-7.4471830000000003E-2</v>
      </c>
      <c r="S6650">
        <v>2.934631</v>
      </c>
      <c r="T6650">
        <v>0.32134430000000003</v>
      </c>
      <c r="U6650">
        <v>-0.86605829999999995</v>
      </c>
      <c r="V6650">
        <v>1.315288E-2</v>
      </c>
      <c r="W6650">
        <v>4.7571639999999998E-2</v>
      </c>
      <c r="X6650">
        <v>0.99878120000000004</v>
      </c>
      <c r="Y6650">
        <v>0.2225626</v>
      </c>
      <c r="Z6650">
        <v>5.3309480000000003E-3</v>
      </c>
      <c r="AA6650">
        <v>0.97490379999999999</v>
      </c>
      <c r="AB6650">
        <v>34</v>
      </c>
      <c r="AC6650">
        <v>46.832999999999998</v>
      </c>
      <c r="AD6650">
        <v>5.1489459999999996</v>
      </c>
      <c r="AE6650">
        <v>-13.864601</v>
      </c>
      <c r="AF6650">
        <v>10.833674097245501</v>
      </c>
      <c r="AG6650">
        <v>5.1489459999999996</v>
      </c>
      <c r="AH6650">
        <v>47.074794221514203</v>
      </c>
      <c r="AI6650">
        <v>83.915720082486303</v>
      </c>
      <c r="AJ6650">
        <v>77.039754927810705</v>
      </c>
      <c r="AK6650">
        <v>48.578970659680998</v>
      </c>
      <c r="AL6650">
        <v>87.273316626030294</v>
      </c>
      <c r="AM6650">
        <v>89.2455194857218</v>
      </c>
      <c r="AN6650">
        <v>0.99999997232901106</v>
      </c>
    </row>
    <row r="6651" spans="1:40" x14ac:dyDescent="0.25">
      <c r="A6651" t="str">
        <f>"20190312160503239"</f>
        <v>20190312160503239</v>
      </c>
      <c r="B6651" t="str">
        <f>"1552377903231734"</f>
        <v>1552377903231734</v>
      </c>
      <c r="C6651" t="s">
        <v>40</v>
      </c>
      <c r="D6651">
        <v>5.9166489999999996</v>
      </c>
      <c r="E6651">
        <v>0.58225830000000001</v>
      </c>
      <c r="F6651" t="s">
        <v>104</v>
      </c>
      <c r="G6651">
        <v>-279.02</v>
      </c>
      <c r="H6651">
        <v>6.1911740000000002</v>
      </c>
      <c r="I6651">
        <v>3.2421419999999999</v>
      </c>
      <c r="J6651">
        <v>-325.66359999999997</v>
      </c>
      <c r="K6651">
        <v>1.108026</v>
      </c>
      <c r="L6651">
        <v>17.12369</v>
      </c>
      <c r="M6651">
        <v>0.99798830000000005</v>
      </c>
      <c r="N6651">
        <v>0</v>
      </c>
      <c r="O6651">
        <v>-6.2660270000000004E-2</v>
      </c>
      <c r="P6651">
        <v>0.99636550000000002</v>
      </c>
      <c r="Q6651">
        <v>3.8018639999999999E-2</v>
      </c>
      <c r="R6651">
        <v>-7.6229710000000006E-2</v>
      </c>
      <c r="S6651">
        <v>2.9332889999999998</v>
      </c>
      <c r="T6651">
        <v>0.3183725</v>
      </c>
      <c r="U6651">
        <v>-0.87023930000000005</v>
      </c>
      <c r="V6651">
        <v>1.384119E-2</v>
      </c>
      <c r="W6651">
        <v>4.7610699999999999E-2</v>
      </c>
      <c r="X6651">
        <v>0.99877009999999999</v>
      </c>
      <c r="Y6651">
        <v>0.22292809999999999</v>
      </c>
      <c r="Z6651">
        <v>5.1890629999999998E-3</v>
      </c>
      <c r="AA6651">
        <v>0.9748211</v>
      </c>
      <c r="AB6651">
        <v>34</v>
      </c>
      <c r="AC6651">
        <v>46.6435999999999</v>
      </c>
      <c r="AD6651">
        <v>5.0831480000000004</v>
      </c>
      <c r="AE6651">
        <v>-13.881548</v>
      </c>
      <c r="AF6651">
        <v>10.813455717082499</v>
      </c>
      <c r="AG6651">
        <v>5.0831480000000004</v>
      </c>
      <c r="AH6651">
        <v>46.910006801270903</v>
      </c>
      <c r="AI6651">
        <v>83.972445554693294</v>
      </c>
      <c r="AJ6651">
        <v>77.019219047258304</v>
      </c>
      <c r="AK6651">
        <v>48.407829493073599</v>
      </c>
      <c r="AL6651">
        <v>87.271076285176804</v>
      </c>
      <c r="AM6651">
        <v>89.206032491137094</v>
      </c>
      <c r="AN6651">
        <v>1.0000000349745499</v>
      </c>
    </row>
    <row r="6652" spans="1:40" x14ac:dyDescent="0.25">
      <c r="A6652" t="str">
        <f>"20190312160503252"</f>
        <v>20190312160503252</v>
      </c>
      <c r="B6652" t="str">
        <f>"1552377903241494"</f>
        <v>1552377903241494</v>
      </c>
      <c r="C6652" t="s">
        <v>40</v>
      </c>
      <c r="D6652">
        <v>5.7128259999999997</v>
      </c>
      <c r="E6652">
        <v>0.58214719999999998</v>
      </c>
      <c r="F6652" t="s">
        <v>104</v>
      </c>
      <c r="G6652">
        <v>-279.02</v>
      </c>
      <c r="H6652">
        <v>6.118004</v>
      </c>
      <c r="I6652">
        <v>3.1941549999999999</v>
      </c>
      <c r="J6652">
        <v>-325.46940000000001</v>
      </c>
      <c r="K6652">
        <v>1.1080270000000001</v>
      </c>
      <c r="L6652">
        <v>17.110469999999999</v>
      </c>
      <c r="M6652">
        <v>0.99791379999999996</v>
      </c>
      <c r="N6652">
        <v>0</v>
      </c>
      <c r="O6652">
        <v>-6.3793199999999994E-2</v>
      </c>
      <c r="P6652">
        <v>0.99622960000000005</v>
      </c>
      <c r="Q6652">
        <v>3.7906879999999997E-2</v>
      </c>
      <c r="R6652">
        <v>-7.8037869999999995E-2</v>
      </c>
      <c r="S6652">
        <v>2.931915</v>
      </c>
      <c r="T6652">
        <v>0.31491629999999998</v>
      </c>
      <c r="U6652">
        <v>-0.87557980000000002</v>
      </c>
      <c r="V6652">
        <v>1.4525949999999999E-2</v>
      </c>
      <c r="W6652">
        <v>4.7758830000000002E-2</v>
      </c>
      <c r="X6652">
        <v>0.99875320000000001</v>
      </c>
      <c r="Y6652">
        <v>0.22359789999999999</v>
      </c>
      <c r="Z6652">
        <v>5.051163E-3</v>
      </c>
      <c r="AA6652">
        <v>0.97466839999999999</v>
      </c>
      <c r="AB6652">
        <v>34</v>
      </c>
      <c r="AC6652">
        <v>46.449399999999997</v>
      </c>
      <c r="AD6652">
        <v>5.0099769999999904</v>
      </c>
      <c r="AE6652">
        <v>-13.916315000000001</v>
      </c>
      <c r="AF6652">
        <v>10.8092726503394</v>
      </c>
      <c r="AG6652">
        <v>5.0099769999999904</v>
      </c>
      <c r="AH6652">
        <v>46.743588051051098</v>
      </c>
      <c r="AI6652">
        <v>84.038533857217004</v>
      </c>
      <c r="AJ6652">
        <v>76.979444556706795</v>
      </c>
      <c r="AK6652">
        <v>48.237985744185799</v>
      </c>
      <c r="AL6652">
        <v>87.262579113200303</v>
      </c>
      <c r="AM6652">
        <v>89.166744144590695</v>
      </c>
      <c r="AN6652">
        <v>0.99999993178830304</v>
      </c>
    </row>
    <row r="6653" spans="1:40" x14ac:dyDescent="0.25">
      <c r="A6653" t="str">
        <f>"20190312160503262"</f>
        <v>20190312160503262</v>
      </c>
      <c r="B6653" t="str">
        <f>"1552377903252230"</f>
        <v>1552377903252230</v>
      </c>
      <c r="C6653" t="s">
        <v>40</v>
      </c>
      <c r="D6653">
        <v>6.0642199999999997</v>
      </c>
      <c r="E6653">
        <v>0.58194639999999997</v>
      </c>
      <c r="F6653" t="s">
        <v>104</v>
      </c>
      <c r="G6653">
        <v>-279.02</v>
      </c>
      <c r="H6653">
        <v>6.0893920000000001</v>
      </c>
      <c r="I6653">
        <v>3.1623610000000002</v>
      </c>
      <c r="J6653">
        <v>-325.30020000000002</v>
      </c>
      <c r="K6653">
        <v>1.1080219999999901</v>
      </c>
      <c r="L6653">
        <v>17.09872</v>
      </c>
      <c r="M6653">
        <v>0.99784539999999999</v>
      </c>
      <c r="N6653">
        <v>0</v>
      </c>
      <c r="O6653">
        <v>-6.4815579999999998E-2</v>
      </c>
      <c r="P6653">
        <v>0.99611649999999996</v>
      </c>
      <c r="Q6653">
        <v>3.7568200000000003E-2</v>
      </c>
      <c r="R6653">
        <v>-7.962611E-2</v>
      </c>
      <c r="S6653">
        <v>2.93045</v>
      </c>
      <c r="T6653">
        <v>0.31426999999999999</v>
      </c>
      <c r="U6653">
        <v>-0.87997440000000005</v>
      </c>
      <c r="V6653">
        <v>1.5099390000000001E-2</v>
      </c>
      <c r="W6653">
        <v>4.7658810000000003E-2</v>
      </c>
      <c r="X6653">
        <v>0.99874960000000002</v>
      </c>
      <c r="Y6653">
        <v>0.2240801</v>
      </c>
      <c r="Z6653">
        <v>4.9611719999999998E-3</v>
      </c>
      <c r="AA6653">
        <v>0.97455809999999998</v>
      </c>
      <c r="AB6653">
        <v>34</v>
      </c>
      <c r="AC6653">
        <v>46.280200000000001</v>
      </c>
      <c r="AD6653">
        <v>4.9813700000000001</v>
      </c>
      <c r="AE6653">
        <v>-13.936358999999999</v>
      </c>
      <c r="AF6653">
        <v>10.7925784044499</v>
      </c>
      <c r="AG6653">
        <v>4.9813700000000001</v>
      </c>
      <c r="AH6653">
        <v>46.591317330695098</v>
      </c>
      <c r="AI6653">
        <v>84.053611968803494</v>
      </c>
      <c r="AJ6653">
        <v>76.957830107752301</v>
      </c>
      <c r="AK6653">
        <v>48.0837253787872</v>
      </c>
      <c r="AL6653">
        <v>87.2683167172965</v>
      </c>
      <c r="AM6653">
        <v>89.133851551001797</v>
      </c>
      <c r="AN6653">
        <v>1.0000000586245701</v>
      </c>
    </row>
    <row r="6654" spans="1:40" x14ac:dyDescent="0.25">
      <c r="A6654" t="str">
        <f>"20190312160503273"</f>
        <v>20190312160503273</v>
      </c>
      <c r="B6654" t="str">
        <f>"1552377903261990"</f>
        <v>1552377903261990</v>
      </c>
      <c r="C6654" t="s">
        <v>40</v>
      </c>
      <c r="D6654">
        <v>5.8882570000000003</v>
      </c>
      <c r="E6654">
        <v>0.58196639999999999</v>
      </c>
      <c r="F6654" t="s">
        <v>104</v>
      </c>
      <c r="G6654">
        <v>-279.02</v>
      </c>
      <c r="H6654">
        <v>6.0514830000000002</v>
      </c>
      <c r="I6654">
        <v>3.1457730000000002</v>
      </c>
      <c r="J6654">
        <v>-325.15159999999997</v>
      </c>
      <c r="K6654">
        <v>1.108015</v>
      </c>
      <c r="L6654">
        <v>17.088200000000001</v>
      </c>
      <c r="M6654">
        <v>0.99778259999999996</v>
      </c>
      <c r="N6654">
        <v>0</v>
      </c>
      <c r="O6654">
        <v>-6.5745490000000004E-2</v>
      </c>
      <c r="P6654">
        <v>0.99603269999999999</v>
      </c>
      <c r="Q6654">
        <v>3.7259430000000003E-2</v>
      </c>
      <c r="R6654">
        <v>-8.0814659999999996E-2</v>
      </c>
      <c r="S6654">
        <v>2.9292910000000001</v>
      </c>
      <c r="T6654">
        <v>0.31289509999999998</v>
      </c>
      <c r="U6654">
        <v>-0.88314820000000005</v>
      </c>
      <c r="V6654">
        <v>1.5363709999999999E-2</v>
      </c>
      <c r="W6654">
        <v>4.7559270000000001E-2</v>
      </c>
      <c r="X6654">
        <v>0.99875029999999998</v>
      </c>
      <c r="Y6654">
        <v>0.22425729999999999</v>
      </c>
      <c r="Z6654">
        <v>4.8536810000000003E-3</v>
      </c>
      <c r="AA6654">
        <v>0.97451790000000005</v>
      </c>
      <c r="AB6654">
        <v>34</v>
      </c>
      <c r="AC6654">
        <v>46.131599999999899</v>
      </c>
      <c r="AD6654">
        <v>4.9434680000000002</v>
      </c>
      <c r="AE6654">
        <v>-13.942426999999901</v>
      </c>
      <c r="AF6654">
        <v>10.7658705359195</v>
      </c>
      <c r="AG6654">
        <v>4.9434680000000002</v>
      </c>
      <c r="AH6654">
        <v>46.459625531417203</v>
      </c>
      <c r="AI6654">
        <v>84.082032236981703</v>
      </c>
      <c r="AJ6654">
        <v>76.953385244112397</v>
      </c>
      <c r="AK6654">
        <v>47.946205780882302</v>
      </c>
      <c r="AL6654">
        <v>87.274026375532003</v>
      </c>
      <c r="AM6654">
        <v>89.118692313848499</v>
      </c>
      <c r="AN6654">
        <v>1.0000000447489901</v>
      </c>
    </row>
    <row r="6655" spans="1:40" x14ac:dyDescent="0.25">
      <c r="A6655" t="str">
        <f>"20190312160503283"</f>
        <v>20190312160503283</v>
      </c>
      <c r="B6655" t="str">
        <f>"1552377903271750"</f>
        <v>1552377903271750</v>
      </c>
      <c r="C6655" t="s">
        <v>40</v>
      </c>
      <c r="D6655">
        <v>5.7670219999999999</v>
      </c>
      <c r="E6655">
        <v>0.58183989999999997</v>
      </c>
      <c r="F6655" t="s">
        <v>104</v>
      </c>
      <c r="G6655">
        <v>-279.02</v>
      </c>
      <c r="H6655">
        <v>5.9726150000000002</v>
      </c>
      <c r="I6655">
        <v>3.1173320000000002</v>
      </c>
      <c r="J6655">
        <v>-324.99209999999999</v>
      </c>
      <c r="K6655">
        <v>1.1080030000000001</v>
      </c>
      <c r="L6655">
        <v>17.076779999999999</v>
      </c>
      <c r="M6655">
        <v>0.9977123</v>
      </c>
      <c r="N6655">
        <v>0</v>
      </c>
      <c r="O6655">
        <v>-6.6765989999999997E-2</v>
      </c>
      <c r="P6655">
        <v>0.99587550000000002</v>
      </c>
      <c r="Q6655">
        <v>3.7036439999999997E-2</v>
      </c>
      <c r="R6655">
        <v>-8.2827639999999994E-2</v>
      </c>
      <c r="S6655">
        <v>2.928436</v>
      </c>
      <c r="T6655">
        <v>0.3088052</v>
      </c>
      <c r="U6655">
        <v>-0.88687130000000003</v>
      </c>
      <c r="V6655">
        <v>1.6365879999999999E-2</v>
      </c>
      <c r="W6655">
        <v>4.7556880000000003E-2</v>
      </c>
      <c r="X6655">
        <v>0.99873449999999997</v>
      </c>
      <c r="Y6655">
        <v>0.2244997</v>
      </c>
      <c r="Z6655">
        <v>4.6992620000000001E-3</v>
      </c>
      <c r="AA6655">
        <v>0.97446279999999996</v>
      </c>
      <c r="AB6655">
        <v>34</v>
      </c>
      <c r="AC6655">
        <v>45.972099999999998</v>
      </c>
      <c r="AD6655">
        <v>4.8646120000000002</v>
      </c>
      <c r="AE6655">
        <v>-13.959448</v>
      </c>
      <c r="AF6655">
        <v>10.748557774653399</v>
      </c>
      <c r="AG6655">
        <v>4.8646120000000002</v>
      </c>
      <c r="AH6655">
        <v>46.326642080267298</v>
      </c>
      <c r="AI6655">
        <v>84.159547508237495</v>
      </c>
      <c r="AJ6655">
        <v>76.937537245828906</v>
      </c>
      <c r="AK6655">
        <v>47.805373239613999</v>
      </c>
      <c r="AL6655">
        <v>87.274163482368706</v>
      </c>
      <c r="AM6655">
        <v>89.061200013492893</v>
      </c>
      <c r="AN6655">
        <v>1.00000005017687</v>
      </c>
    </row>
    <row r="6656" spans="1:40" x14ac:dyDescent="0.25">
      <c r="A6656" t="str">
        <f>"20190312160503294"</f>
        <v>20190312160503294</v>
      </c>
      <c r="B6656" t="str">
        <f>"1552377903281510"</f>
        <v>1552377903281510</v>
      </c>
      <c r="C6656" t="s">
        <v>40</v>
      </c>
      <c r="D6656">
        <v>5.745965</v>
      </c>
      <c r="E6656">
        <v>0.58173299999999994</v>
      </c>
      <c r="F6656" t="s">
        <v>104</v>
      </c>
      <c r="G6656">
        <v>-279.02</v>
      </c>
      <c r="H6656">
        <v>5.9354589999999998</v>
      </c>
      <c r="I6656">
        <v>3.0669650000000002</v>
      </c>
      <c r="J6656">
        <v>-324.84539999999998</v>
      </c>
      <c r="K6656">
        <v>1.1079859999999999</v>
      </c>
      <c r="L6656">
        <v>17.06607</v>
      </c>
      <c r="M6656">
        <v>0.99764459999999999</v>
      </c>
      <c r="N6656">
        <v>0</v>
      </c>
      <c r="O6656">
        <v>-6.7739030000000006E-2</v>
      </c>
      <c r="P6656">
        <v>0.99573590000000001</v>
      </c>
      <c r="Q6656">
        <v>3.6704899999999999E-2</v>
      </c>
      <c r="R6656">
        <v>-8.4633449999999999E-2</v>
      </c>
      <c r="S6656">
        <v>2.9268190000000001</v>
      </c>
      <c r="T6656">
        <v>0.30734070000000002</v>
      </c>
      <c r="U6656">
        <v>-0.89193729999999904</v>
      </c>
      <c r="V6656">
        <v>1.7207030000000002E-2</v>
      </c>
      <c r="W6656">
        <v>4.7420660000000003E-2</v>
      </c>
      <c r="X6656">
        <v>0.99872680000000003</v>
      </c>
      <c r="Y6656">
        <v>0.22525110000000001</v>
      </c>
      <c r="Z6656">
        <v>4.6179790000000004E-3</v>
      </c>
      <c r="AA6656">
        <v>0.97428979999999998</v>
      </c>
      <c r="AB6656">
        <v>34</v>
      </c>
      <c r="AC6656">
        <v>45.825400000000002</v>
      </c>
      <c r="AD6656">
        <v>4.8274730000000003</v>
      </c>
      <c r="AE6656">
        <v>-13.999104999999901</v>
      </c>
      <c r="AF6656">
        <v>10.7534464077076</v>
      </c>
      <c r="AG6656">
        <v>4.8274730000000003</v>
      </c>
      <c r="AH6656">
        <v>46.199532293303101</v>
      </c>
      <c r="AI6656">
        <v>84.188940744812996</v>
      </c>
      <c r="AJ6656">
        <v>76.897084185508106</v>
      </c>
      <c r="AK6656">
        <v>47.679533233129703</v>
      </c>
      <c r="AL6656">
        <v>87.281977021962902</v>
      </c>
      <c r="AM6656">
        <v>89.012950624059798</v>
      </c>
      <c r="AN6656">
        <v>1.00000001095724</v>
      </c>
    </row>
    <row r="6657" spans="1:40" x14ac:dyDescent="0.25">
      <c r="A6657" t="str">
        <f>"20190312160503303"</f>
        <v>20190312160503303</v>
      </c>
      <c r="B6657" t="str">
        <f>"1552377903292247"</f>
        <v>1552377903292247</v>
      </c>
      <c r="C6657" t="s">
        <v>40</v>
      </c>
      <c r="D6657">
        <v>6.0568379999999999</v>
      </c>
      <c r="E6657">
        <v>0.58159150000000004</v>
      </c>
      <c r="F6657" t="s">
        <v>104</v>
      </c>
      <c r="G6657">
        <v>-279.02</v>
      </c>
      <c r="H6657">
        <v>5.8985059999999896</v>
      </c>
      <c r="I6657">
        <v>3.0252669999999999</v>
      </c>
      <c r="J6657">
        <v>-324.68220000000002</v>
      </c>
      <c r="K6657">
        <v>1.107961</v>
      </c>
      <c r="L6657">
        <v>17.054020000000001</v>
      </c>
      <c r="M6657">
        <v>0.99756650000000002</v>
      </c>
      <c r="N6657">
        <v>0</v>
      </c>
      <c r="O6657">
        <v>-6.8843409999999994E-2</v>
      </c>
      <c r="P6657">
        <v>0.99559019999999998</v>
      </c>
      <c r="Q6657">
        <v>3.6323389999999997E-2</v>
      </c>
      <c r="R6657">
        <v>-8.6492440000000004E-2</v>
      </c>
      <c r="S6657">
        <v>2.9253849999999999</v>
      </c>
      <c r="T6657">
        <v>0.30581550000000002</v>
      </c>
      <c r="U6657">
        <v>-0.89633180000000001</v>
      </c>
      <c r="V6657">
        <v>1.797052E-2</v>
      </c>
      <c r="W6657">
        <v>4.7252530000000001E-2</v>
      </c>
      <c r="X6657">
        <v>0.99872130000000003</v>
      </c>
      <c r="Y6657">
        <v>0.2256553</v>
      </c>
      <c r="Z6657">
        <v>4.505205E-3</v>
      </c>
      <c r="AA6657">
        <v>0.97419679999999997</v>
      </c>
      <c r="AB6657">
        <v>34</v>
      </c>
      <c r="AC6657">
        <v>45.662199999999999</v>
      </c>
      <c r="AD6657">
        <v>4.7905449999999998</v>
      </c>
      <c r="AE6657">
        <v>-14.028753</v>
      </c>
      <c r="AF6657">
        <v>10.743679517495901</v>
      </c>
      <c r="AG6657">
        <v>4.7905449999999998</v>
      </c>
      <c r="AH6657">
        <v>46.056491250224099</v>
      </c>
      <c r="AI6657">
        <v>84.215951198548893</v>
      </c>
      <c r="AJ6657">
        <v>76.869322596661405</v>
      </c>
      <c r="AK6657">
        <v>47.535001391118698</v>
      </c>
      <c r="AL6657">
        <v>87.291620910315103</v>
      </c>
      <c r="AM6657">
        <v>88.969158009737797</v>
      </c>
      <c r="AN6657">
        <v>0.99999998812708002</v>
      </c>
    </row>
    <row r="6658" spans="1:40" x14ac:dyDescent="0.25">
      <c r="A6658" t="str">
        <f>"20190312160503313"</f>
        <v>20190312160503313</v>
      </c>
      <c r="B6658" t="str">
        <f>"1552377903302006"</f>
        <v>1552377903302006</v>
      </c>
      <c r="C6658" t="s">
        <v>40</v>
      </c>
      <c r="D6658">
        <v>5.7556690000000001</v>
      </c>
      <c r="E6658">
        <v>0.5814781</v>
      </c>
      <c r="F6658" t="s">
        <v>104</v>
      </c>
      <c r="G6658">
        <v>-279.02</v>
      </c>
      <c r="H6658">
        <v>5.8544479999999997</v>
      </c>
      <c r="I6658">
        <v>2.9858259999999999</v>
      </c>
      <c r="J6658">
        <v>-324.53989999999999</v>
      </c>
      <c r="K6658">
        <v>1.107926</v>
      </c>
      <c r="L6658">
        <v>17.043240000000001</v>
      </c>
      <c r="M6658">
        <v>0.99749500000000002</v>
      </c>
      <c r="N6658">
        <v>0</v>
      </c>
      <c r="O6658">
        <v>-6.9844009999999998E-2</v>
      </c>
      <c r="P6658">
        <v>0.99543510000000002</v>
      </c>
      <c r="Q6658">
        <v>3.5937759999999999E-2</v>
      </c>
      <c r="R6658">
        <v>-8.8417469999999998E-2</v>
      </c>
      <c r="S6658">
        <v>2.92395</v>
      </c>
      <c r="T6658">
        <v>0.3039386</v>
      </c>
      <c r="U6658">
        <v>-0.90084839999999999</v>
      </c>
      <c r="V6658">
        <v>1.8904270000000001E-2</v>
      </c>
      <c r="W6658">
        <v>4.7042E-2</v>
      </c>
      <c r="X6658">
        <v>0.99871399999999999</v>
      </c>
      <c r="Y6658">
        <v>0.2261985</v>
      </c>
      <c r="Z6658">
        <v>4.4057020000000001E-3</v>
      </c>
      <c r="AA6658">
        <v>0.97407129999999997</v>
      </c>
      <c r="AB6658">
        <v>34</v>
      </c>
      <c r="AC6658">
        <v>45.5199</v>
      </c>
      <c r="AD6658">
        <v>4.7465219999999997</v>
      </c>
      <c r="AE6658">
        <v>-14.057414</v>
      </c>
      <c r="AF6658">
        <v>10.7370096040287</v>
      </c>
      <c r="AG6658">
        <v>4.7465219999999997</v>
      </c>
      <c r="AH6658">
        <v>45.934649230690802</v>
      </c>
      <c r="AI6658">
        <v>84.254246503992903</v>
      </c>
      <c r="AJ6658">
        <v>76.843593068173604</v>
      </c>
      <c r="AK6658">
        <v>47.411020304145403</v>
      </c>
      <c r="AL6658">
        <v>87.303696818251495</v>
      </c>
      <c r="AM6658">
        <v>88.915599907554594</v>
      </c>
      <c r="AN6658">
        <v>0.99999998749211605</v>
      </c>
    </row>
    <row r="6659" spans="1:40" x14ac:dyDescent="0.25">
      <c r="A6659" t="str">
        <f>"20190312160503324"</f>
        <v>20190312160503324</v>
      </c>
      <c r="B6659" t="str">
        <f>"1552377903311766"</f>
        <v>1552377903311766</v>
      </c>
      <c r="C6659" t="s">
        <v>40</v>
      </c>
      <c r="D6659">
        <v>6.069528</v>
      </c>
      <c r="E6659">
        <v>0.58135829999999999</v>
      </c>
      <c r="F6659" t="s">
        <v>104</v>
      </c>
      <c r="G6659">
        <v>-279.02</v>
      </c>
      <c r="H6659">
        <v>5.8139789999999998</v>
      </c>
      <c r="I6659">
        <v>2.9378929999999999</v>
      </c>
      <c r="J6659">
        <v>-324.37630000000001</v>
      </c>
      <c r="K6659">
        <v>1.10789</v>
      </c>
      <c r="L6659">
        <v>17.030760000000001</v>
      </c>
      <c r="M6659">
        <v>0.99741009999999997</v>
      </c>
      <c r="N6659">
        <v>0</v>
      </c>
      <c r="O6659">
        <v>-7.1014179999999996E-2</v>
      </c>
      <c r="P6659">
        <v>0.99529069999999997</v>
      </c>
      <c r="Q6659">
        <v>3.5763160000000002E-2</v>
      </c>
      <c r="R6659">
        <v>-9.0098529999999996E-2</v>
      </c>
      <c r="S6659">
        <v>2.9224239999999999</v>
      </c>
      <c r="T6659">
        <v>0.30213379999999901</v>
      </c>
      <c r="U6659">
        <v>-0.90557860000000001</v>
      </c>
      <c r="V6659">
        <v>1.9425930000000001E-2</v>
      </c>
      <c r="W6659">
        <v>4.7066289999999997E-2</v>
      </c>
      <c r="X6659">
        <v>0.99870289999999995</v>
      </c>
      <c r="Y6659">
        <v>0.2266503</v>
      </c>
      <c r="Z6659">
        <v>4.2866029999999999E-3</v>
      </c>
      <c r="AA6659">
        <v>0.97396680000000002</v>
      </c>
      <c r="AB6659">
        <v>34</v>
      </c>
      <c r="AC6659">
        <v>45.356299999999997</v>
      </c>
      <c r="AD6659">
        <v>4.7060890000000004</v>
      </c>
      <c r="AE6659">
        <v>-14.092867</v>
      </c>
      <c r="AF6659">
        <v>10.7307783920863</v>
      </c>
      <c r="AG6659">
        <v>4.7060890000000004</v>
      </c>
      <c r="AH6659">
        <v>45.793040759636099</v>
      </c>
      <c r="AI6659">
        <v>84.286105941519097</v>
      </c>
      <c r="AJ6659">
        <v>76.811720511575501</v>
      </c>
      <c r="AK6659">
        <v>47.268376961660998</v>
      </c>
      <c r="AL6659">
        <v>87.302303708835296</v>
      </c>
      <c r="AM6659">
        <v>88.885671140034802</v>
      </c>
      <c r="AN6659">
        <v>1.0000000424395601</v>
      </c>
    </row>
    <row r="6660" spans="1:40" x14ac:dyDescent="0.25">
      <c r="A6660" t="str">
        <f>"20190312160503336"</f>
        <v>20190312160503336</v>
      </c>
      <c r="B6660" t="str">
        <f>"1552377903331286"</f>
        <v>1552377903331286</v>
      </c>
      <c r="C6660" t="s">
        <v>40</v>
      </c>
      <c r="D6660">
        <v>6.0370689999999998</v>
      </c>
      <c r="E6660">
        <v>0.58117379999999996</v>
      </c>
      <c r="F6660" t="s">
        <v>104</v>
      </c>
      <c r="G6660">
        <v>-279.02</v>
      </c>
      <c r="H6660">
        <v>5.7813739999999996</v>
      </c>
      <c r="I6660">
        <v>2.905205</v>
      </c>
      <c r="J6660">
        <v>-324.20490000000001</v>
      </c>
      <c r="K6660">
        <v>1.107847</v>
      </c>
      <c r="L6660">
        <v>17.017329999999902</v>
      </c>
      <c r="M6660">
        <v>0.99731579999999997</v>
      </c>
      <c r="N6660">
        <v>0</v>
      </c>
      <c r="O6660">
        <v>-7.2293449999999995E-2</v>
      </c>
      <c r="P6660">
        <v>0.99510149999999997</v>
      </c>
      <c r="Q6660">
        <v>3.5794310000000003E-2</v>
      </c>
      <c r="R6660">
        <v>-9.2152339999999999E-2</v>
      </c>
      <c r="S6660">
        <v>2.9210820000000002</v>
      </c>
      <c r="T6660">
        <v>0.30098659999999999</v>
      </c>
      <c r="U6660">
        <v>-0.90972900000000001</v>
      </c>
      <c r="V6660">
        <v>2.0214869999999999E-2</v>
      </c>
      <c r="W6660">
        <v>4.7291100000000003E-2</v>
      </c>
      <c r="X6660">
        <v>0.99867660000000003</v>
      </c>
      <c r="Y6660">
        <v>0.22680059999999999</v>
      </c>
      <c r="Z6660">
        <v>4.1515019999999996E-3</v>
      </c>
      <c r="AA6660">
        <v>0.97393240000000003</v>
      </c>
      <c r="AB6660">
        <v>34</v>
      </c>
      <c r="AC6660">
        <v>45.184899999999999</v>
      </c>
      <c r="AD6660">
        <v>4.673527</v>
      </c>
      <c r="AE6660">
        <v>-14.112124999999899</v>
      </c>
      <c r="AF6660">
        <v>10.704066736926499</v>
      </c>
      <c r="AG6660">
        <v>4.673527</v>
      </c>
      <c r="AH6660">
        <v>45.642052955824902</v>
      </c>
      <c r="AI6660">
        <v>84.306971875805004</v>
      </c>
      <c r="AJ6660">
        <v>76.801404218016003</v>
      </c>
      <c r="AK6660">
        <v>47.1127997188729</v>
      </c>
      <c r="AL6660">
        <v>87.289408625912003</v>
      </c>
      <c r="AM6660">
        <v>88.8403967925383</v>
      </c>
      <c r="AN6660">
        <v>1.00000002024794</v>
      </c>
    </row>
    <row r="6661" spans="1:40" x14ac:dyDescent="0.25">
      <c r="A6661" t="str">
        <f>"20190312160503348"</f>
        <v>20190312160503348</v>
      </c>
      <c r="B6661" t="str">
        <f>"1552377903342025"</f>
        <v>1552377903342025</v>
      </c>
      <c r="C6661" t="s">
        <v>40</v>
      </c>
      <c r="D6661">
        <v>6.0388859999999998</v>
      </c>
      <c r="E6661">
        <v>0.58111290000000004</v>
      </c>
      <c r="F6661" t="s">
        <v>104</v>
      </c>
      <c r="G6661">
        <v>-279.02</v>
      </c>
      <c r="H6661">
        <v>5.7485169999999997</v>
      </c>
      <c r="I6661">
        <v>2.866241</v>
      </c>
      <c r="J6661">
        <v>-324.02760000000001</v>
      </c>
      <c r="K6661">
        <v>1.1078030000000001</v>
      </c>
      <c r="L6661">
        <v>17.003299999999999</v>
      </c>
      <c r="M6661">
        <v>0.99721510000000002</v>
      </c>
      <c r="N6661">
        <v>0</v>
      </c>
      <c r="O6661">
        <v>-7.3637129999999995E-2</v>
      </c>
      <c r="P6661">
        <v>0.99490210000000001</v>
      </c>
      <c r="Q6661">
        <v>3.6013660000000003E-2</v>
      </c>
      <c r="R6661">
        <v>-9.4196680000000005E-2</v>
      </c>
      <c r="S6661">
        <v>2.9193120000000001</v>
      </c>
      <c r="T6661">
        <v>0.29982520000000001</v>
      </c>
      <c r="U6661">
        <v>-0.91427610000000004</v>
      </c>
      <c r="V6661">
        <v>2.0931930000000001E-2</v>
      </c>
      <c r="W6661">
        <v>4.7706909999999998E-2</v>
      </c>
      <c r="X6661">
        <v>0.99864200000000003</v>
      </c>
      <c r="Y6661">
        <v>0.22704869999999999</v>
      </c>
      <c r="Z6661">
        <v>4.0160769999999998E-3</v>
      </c>
      <c r="AA6661">
        <v>0.97387509999999999</v>
      </c>
      <c r="AB6661">
        <v>34</v>
      </c>
      <c r="AC6661">
        <v>45.007599999999996</v>
      </c>
      <c r="AD6661">
        <v>4.6407139999999902</v>
      </c>
      <c r="AE6661">
        <v>-14.137059000000001</v>
      </c>
      <c r="AF6661">
        <v>10.6808540245878</v>
      </c>
      <c r="AG6661">
        <v>4.6407139999999902</v>
      </c>
      <c r="AH6661">
        <v>45.486312641665997</v>
      </c>
      <c r="AI6661">
        <v>84.327819488771198</v>
      </c>
      <c r="AJ6661">
        <v>76.785511490783406</v>
      </c>
      <c r="AK6661">
        <v>46.953397181244803</v>
      </c>
      <c r="AL6661">
        <v>87.265557408369304</v>
      </c>
      <c r="AM6661">
        <v>88.799233701405001</v>
      </c>
      <c r="AN6661">
        <v>0.99999996955963599</v>
      </c>
    </row>
    <row r="6662" spans="1:40" x14ac:dyDescent="0.25">
      <c r="A6662" t="str">
        <f>"20190312160503358"</f>
        <v>20190312160503358</v>
      </c>
      <c r="B6662" t="str">
        <f>"1552377903351783"</f>
        <v>1552377903351783</v>
      </c>
      <c r="C6662" t="s">
        <v>40</v>
      </c>
      <c r="D6662">
        <v>6.0460129999999896</v>
      </c>
      <c r="E6662">
        <v>0.5810573</v>
      </c>
      <c r="F6662" t="s">
        <v>104</v>
      </c>
      <c r="G6662">
        <v>-279.02</v>
      </c>
      <c r="H6662">
        <v>5.7381479999999998</v>
      </c>
      <c r="I6662">
        <v>2.8158660000000002</v>
      </c>
      <c r="J6662">
        <v>-323.85759999999999</v>
      </c>
      <c r="K6662">
        <v>1.1077520000000001</v>
      </c>
      <c r="L6662">
        <v>16.989409999999999</v>
      </c>
      <c r="M6662">
        <v>0.99711139999999998</v>
      </c>
      <c r="N6662">
        <v>0</v>
      </c>
      <c r="O6662">
        <v>-7.4998419999999996E-2</v>
      </c>
      <c r="P6662">
        <v>0.9946834</v>
      </c>
      <c r="Q6662">
        <v>3.6105749999999999E-2</v>
      </c>
      <c r="R6662">
        <v>-9.6444290000000002E-2</v>
      </c>
      <c r="S6662">
        <v>2.9174500000000001</v>
      </c>
      <c r="T6662">
        <v>0.30014489999999999</v>
      </c>
      <c r="U6662">
        <v>-0.9196472</v>
      </c>
      <c r="V6662">
        <v>2.1834949999999999E-2</v>
      </c>
      <c r="W6662">
        <v>4.7969829999999998E-2</v>
      </c>
      <c r="X6662">
        <v>0.99861009999999995</v>
      </c>
      <c r="Y6662">
        <v>0.2275305</v>
      </c>
      <c r="Z6662">
        <v>3.9105939999999999E-3</v>
      </c>
      <c r="AA6662">
        <v>0.97376309999999999</v>
      </c>
      <c r="AB6662">
        <v>34</v>
      </c>
      <c r="AC6662">
        <v>44.837600000000002</v>
      </c>
      <c r="AD6662">
        <v>4.6303960000000002</v>
      </c>
      <c r="AE6662">
        <v>-14.173544</v>
      </c>
      <c r="AF6662">
        <v>10.667200918793901</v>
      </c>
      <c r="AG6662">
        <v>4.6303960000000002</v>
      </c>
      <c r="AH6662">
        <v>45.334811184898598</v>
      </c>
      <c r="AI6662">
        <v>84.322166230340798</v>
      </c>
      <c r="AJ6662">
        <v>76.759256717665195</v>
      </c>
      <c r="AK6662">
        <v>46.802508989680703</v>
      </c>
      <c r="AL6662">
        <v>87.250476020343498</v>
      </c>
      <c r="AM6662">
        <v>88.747407857005896</v>
      </c>
      <c r="AN6662">
        <v>1.0000000007268699</v>
      </c>
    </row>
    <row r="6663" spans="1:40" x14ac:dyDescent="0.25">
      <c r="A6663" t="str">
        <f>"20190312160503370"</f>
        <v>20190312160503370</v>
      </c>
      <c r="B6663" t="str">
        <f>"1552377903361542"</f>
        <v>1552377903361542</v>
      </c>
      <c r="C6663" t="s">
        <v>40</v>
      </c>
      <c r="D6663">
        <v>5.7946900000000001</v>
      </c>
      <c r="E6663">
        <v>0.58097949999999998</v>
      </c>
      <c r="F6663" t="s">
        <v>104</v>
      </c>
      <c r="G6663">
        <v>-279.02</v>
      </c>
      <c r="H6663">
        <v>5.7150239999999997</v>
      </c>
      <c r="I6663">
        <v>2.7483499999999998</v>
      </c>
      <c r="J6663">
        <v>-323.69670000000002</v>
      </c>
      <c r="K6663">
        <v>1.107701</v>
      </c>
      <c r="L6663">
        <v>16.976099999999999</v>
      </c>
      <c r="M6663">
        <v>0.99701059999999997</v>
      </c>
      <c r="N6663">
        <v>0</v>
      </c>
      <c r="O6663">
        <v>-7.6303190000000007E-2</v>
      </c>
      <c r="P6663">
        <v>0.99447940000000001</v>
      </c>
      <c r="Q6663">
        <v>3.6240609999999999E-2</v>
      </c>
      <c r="R6663">
        <v>-9.8475240000000006E-2</v>
      </c>
      <c r="S6663">
        <v>2.915375</v>
      </c>
      <c r="T6663">
        <v>0.29956840000000001</v>
      </c>
      <c r="U6663">
        <v>-0.92596440000000002</v>
      </c>
      <c r="V6663">
        <v>2.2577110000000001E-2</v>
      </c>
      <c r="W6663">
        <v>4.8262739999999998E-2</v>
      </c>
      <c r="X6663">
        <v>0.99857949999999995</v>
      </c>
      <c r="Y6663">
        <v>0.22837750000000001</v>
      </c>
      <c r="Z6663">
        <v>3.8175219999999998E-3</v>
      </c>
      <c r="AA6663">
        <v>0.97356520000000002</v>
      </c>
      <c r="AB6663">
        <v>34</v>
      </c>
      <c r="AC6663">
        <v>44.676699999999997</v>
      </c>
      <c r="AD6663">
        <v>4.6073229999999903</v>
      </c>
      <c r="AE6663">
        <v>-14.22775</v>
      </c>
      <c r="AF6663">
        <v>10.6739740687929</v>
      </c>
      <c r="AG6663">
        <v>4.6073229999999903</v>
      </c>
      <c r="AH6663">
        <v>45.195739784316501</v>
      </c>
      <c r="AI6663">
        <v>84.334102013243694</v>
      </c>
      <c r="AJ6663">
        <v>76.711822122871297</v>
      </c>
      <c r="AK6663">
        <v>46.6670766418816</v>
      </c>
      <c r="AL6663">
        <v>87.233674100011299</v>
      </c>
      <c r="AM6663">
        <v>88.704807409737796</v>
      </c>
      <c r="AN6663">
        <v>1.0000000178942501</v>
      </c>
    </row>
    <row r="6664" spans="1:40" x14ac:dyDescent="0.25">
      <c r="A6664" t="str">
        <f>"20190312160503381"</f>
        <v>20190312160503381</v>
      </c>
      <c r="B6664" t="str">
        <f>"1552377903371303"</f>
        <v>1552377903371303</v>
      </c>
      <c r="C6664" t="s">
        <v>40</v>
      </c>
      <c r="D6664">
        <v>5.8489129999999996</v>
      </c>
      <c r="E6664">
        <v>0.58084829999999998</v>
      </c>
      <c r="F6664" t="s">
        <v>104</v>
      </c>
      <c r="G6664">
        <v>-279.02</v>
      </c>
      <c r="H6664">
        <v>5.702534</v>
      </c>
      <c r="I6664">
        <v>2.6965889999999999</v>
      </c>
      <c r="J6664">
        <v>-323.5308</v>
      </c>
      <c r="K6664">
        <v>1.10765</v>
      </c>
      <c r="L6664">
        <v>16.962070000000001</v>
      </c>
      <c r="M6664">
        <v>0.99690029999999996</v>
      </c>
      <c r="N6664">
        <v>0</v>
      </c>
      <c r="O6664">
        <v>-7.7703690000000006E-2</v>
      </c>
      <c r="P6664">
        <v>0.9942377</v>
      </c>
      <c r="Q6664">
        <v>3.6450839999999998E-2</v>
      </c>
      <c r="R6664">
        <v>-0.1008111</v>
      </c>
      <c r="S6664">
        <v>2.913513</v>
      </c>
      <c r="T6664">
        <v>0.29964390000000002</v>
      </c>
      <c r="U6664">
        <v>-0.93121339999999997</v>
      </c>
      <c r="V6664">
        <v>2.3530820000000001E-2</v>
      </c>
      <c r="W6664">
        <v>4.8622329999999998E-2</v>
      </c>
      <c r="X6664">
        <v>0.99853999999999998</v>
      </c>
      <c r="Y6664">
        <v>0.22878570000000001</v>
      </c>
      <c r="Z6664">
        <v>3.701275E-3</v>
      </c>
      <c r="AA6664">
        <v>0.97346980000000005</v>
      </c>
      <c r="AB6664">
        <v>34</v>
      </c>
      <c r="AC6664">
        <v>44.510800000000003</v>
      </c>
      <c r="AD6664">
        <v>4.5948839999999898</v>
      </c>
      <c r="AE6664">
        <v>-14.265480999999999</v>
      </c>
      <c r="AF6664">
        <v>10.660405026913301</v>
      </c>
      <c r="AG6664">
        <v>4.5948839999999898</v>
      </c>
      <c r="AH6664">
        <v>45.0494108923901</v>
      </c>
      <c r="AI6664">
        <v>84.331652177840596</v>
      </c>
      <c r="AJ6664">
        <v>76.686539421678404</v>
      </c>
      <c r="AK6664">
        <v>46.5210341250352</v>
      </c>
      <c r="AL6664">
        <v>87.213046791166605</v>
      </c>
      <c r="AM6664">
        <v>88.650061896590003</v>
      </c>
      <c r="AN6664">
        <v>0.99999998103224996</v>
      </c>
    </row>
    <row r="6665" spans="1:40" x14ac:dyDescent="0.25">
      <c r="A6665" t="str">
        <f>"20190312160503392"</f>
        <v>20190312160503392</v>
      </c>
      <c r="B6665" t="str">
        <f>"1552377903382038"</f>
        <v>1552377903382038</v>
      </c>
      <c r="C6665" t="s">
        <v>40</v>
      </c>
      <c r="D6665">
        <v>6.2083219999999999</v>
      </c>
      <c r="E6665">
        <v>0.58076549999999905</v>
      </c>
      <c r="F6665" t="s">
        <v>104</v>
      </c>
      <c r="G6665">
        <v>-279.02</v>
      </c>
      <c r="H6665">
        <v>5.6843120000000003</v>
      </c>
      <c r="I6665">
        <v>2.635262</v>
      </c>
      <c r="J6665">
        <v>-323.37079999999997</v>
      </c>
      <c r="K6665">
        <v>1.10759599999999</v>
      </c>
      <c r="L6665">
        <v>16.948329999999999</v>
      </c>
      <c r="M6665">
        <v>0.99679010000000001</v>
      </c>
      <c r="N6665">
        <v>0</v>
      </c>
      <c r="O6665">
        <v>-7.9083219999999996E-2</v>
      </c>
      <c r="P6665">
        <v>0.99398969999999998</v>
      </c>
      <c r="Q6665">
        <v>3.6524620000000001E-2</v>
      </c>
      <c r="R6665">
        <v>-0.1032011</v>
      </c>
      <c r="S6665">
        <v>2.9114070000000001</v>
      </c>
      <c r="T6665">
        <v>0.29935539999999999</v>
      </c>
      <c r="U6665">
        <v>-0.93710329999999997</v>
      </c>
      <c r="V6665">
        <v>2.4558859999999998E-2</v>
      </c>
      <c r="W6665">
        <v>4.883332E-2</v>
      </c>
      <c r="X6665">
        <v>0.99850499999999998</v>
      </c>
      <c r="Y6665">
        <v>0.22943269999999999</v>
      </c>
      <c r="Z6665">
        <v>3.5948009999999999E-3</v>
      </c>
      <c r="AA6665">
        <v>0.97331789999999996</v>
      </c>
      <c r="AB6665">
        <v>34</v>
      </c>
      <c r="AC6665">
        <v>44.3507999999999</v>
      </c>
      <c r="AD6665">
        <v>4.5767160000000002</v>
      </c>
      <c r="AE6665">
        <v>-14.3130679999999</v>
      </c>
      <c r="AF6665">
        <v>10.6577681061849</v>
      </c>
      <c r="AG6665">
        <v>4.5767160000000002</v>
      </c>
      <c r="AH6665">
        <v>44.910745288904003</v>
      </c>
      <c r="AI6665">
        <v>84.337448151015295</v>
      </c>
      <c r="AJ6665">
        <v>76.650087967317802</v>
      </c>
      <c r="AK6665">
        <v>46.384365822491198</v>
      </c>
      <c r="AL6665">
        <v>87.200943722170294</v>
      </c>
      <c r="AM6665">
        <v>88.591058244702793</v>
      </c>
      <c r="AN6665">
        <v>1.00000003288586</v>
      </c>
    </row>
    <row r="6666" spans="1:40" x14ac:dyDescent="0.25">
      <c r="A6666" t="str">
        <f>"20190312160503404"</f>
        <v>20190312160503404</v>
      </c>
      <c r="B6666" t="str">
        <f>"1552377903391799"</f>
        <v>1552377903391799</v>
      </c>
      <c r="C6666" t="s">
        <v>40</v>
      </c>
      <c r="D6666">
        <v>5.94252</v>
      </c>
      <c r="E6666">
        <v>0.58079040000000004</v>
      </c>
      <c r="F6666" t="s">
        <v>104</v>
      </c>
      <c r="G6666">
        <v>-279.02</v>
      </c>
      <c r="H6666">
        <v>5.658785</v>
      </c>
      <c r="I6666">
        <v>2.5629960000000001</v>
      </c>
      <c r="J6666">
        <v>-323.17110000000002</v>
      </c>
      <c r="K6666">
        <v>1.1075299999999999</v>
      </c>
      <c r="L6666">
        <v>16.930820000000001</v>
      </c>
      <c r="M6666">
        <v>0.99664560000000002</v>
      </c>
      <c r="N6666">
        <v>0</v>
      </c>
      <c r="O6666">
        <v>-8.0857460000000006E-2</v>
      </c>
      <c r="P6666">
        <v>0.99368069999999997</v>
      </c>
      <c r="Q6666">
        <v>3.6546580000000002E-2</v>
      </c>
      <c r="R6666">
        <v>-0.1061288</v>
      </c>
      <c r="S6666">
        <v>2.9091800000000001</v>
      </c>
      <c r="T6666">
        <v>0.29853439999999998</v>
      </c>
      <c r="U6666">
        <v>-0.94360350000000004</v>
      </c>
      <c r="V6666">
        <v>2.573367E-2</v>
      </c>
      <c r="W6666">
        <v>4.9015250000000003E-2</v>
      </c>
      <c r="X6666">
        <v>0.99846650000000003</v>
      </c>
      <c r="Y6666">
        <v>0.2298964</v>
      </c>
      <c r="Z6666">
        <v>3.4341340000000001E-3</v>
      </c>
      <c r="AA6666">
        <v>0.97320899999999999</v>
      </c>
      <c r="AB6666">
        <v>34</v>
      </c>
      <c r="AC6666">
        <v>44.1511</v>
      </c>
      <c r="AD6666">
        <v>4.5512550000000003</v>
      </c>
      <c r="AE6666">
        <v>-14.367823999999899</v>
      </c>
      <c r="AF6666">
        <v>10.648225547049501</v>
      </c>
      <c r="AG6666">
        <v>4.5512550000000003</v>
      </c>
      <c r="AH6666">
        <v>44.7384732288061</v>
      </c>
      <c r="AI6666">
        <v>84.348087931892493</v>
      </c>
      <c r="AJ6666">
        <v>76.612098013055302</v>
      </c>
      <c r="AK6666">
        <v>46.212872841021898</v>
      </c>
      <c r="AL6666">
        <v>87.190507407048997</v>
      </c>
      <c r="AM6666">
        <v>88.523631643896906</v>
      </c>
      <c r="AN6666">
        <v>1.00000003406324</v>
      </c>
    </row>
    <row r="6667" spans="1:40" x14ac:dyDescent="0.25">
      <c r="A6667" t="str">
        <f>"20190312160503417"</f>
        <v>20190312160503417</v>
      </c>
      <c r="B6667" t="str">
        <f>"1552377903411319"</f>
        <v>1552377903411319</v>
      </c>
      <c r="C6667" t="s">
        <v>40</v>
      </c>
      <c r="D6667">
        <v>5.9052100000000003</v>
      </c>
      <c r="E6667">
        <v>0.58052999999999999</v>
      </c>
      <c r="F6667" t="s">
        <v>104</v>
      </c>
      <c r="G6667">
        <v>-279.02</v>
      </c>
      <c r="H6667">
        <v>5.6285720000000001</v>
      </c>
      <c r="I6667">
        <v>2.4630299999999998</v>
      </c>
      <c r="J6667">
        <v>-322.99549999999999</v>
      </c>
      <c r="K6667">
        <v>1.1074660000000001</v>
      </c>
      <c r="L6667">
        <v>16.91498</v>
      </c>
      <c r="M6667">
        <v>0.99651040000000002</v>
      </c>
      <c r="N6667">
        <v>0</v>
      </c>
      <c r="O6667">
        <v>-8.2484879999999997E-2</v>
      </c>
      <c r="P6667">
        <v>0.99338570000000004</v>
      </c>
      <c r="Q6667">
        <v>3.6812949999999997E-2</v>
      </c>
      <c r="R6667">
        <v>-0.1087656</v>
      </c>
      <c r="S6667">
        <v>2.9064030000000001</v>
      </c>
      <c r="T6667">
        <v>0.29761339999999997</v>
      </c>
      <c r="U6667">
        <v>-0.95239260000000003</v>
      </c>
      <c r="V6667">
        <v>2.676504E-2</v>
      </c>
      <c r="W6667">
        <v>4.9409120000000001E-2</v>
      </c>
      <c r="X6667">
        <v>0.99841990000000003</v>
      </c>
      <c r="Y6667">
        <v>0.23124520000000001</v>
      </c>
      <c r="Z6667">
        <v>3.331938E-3</v>
      </c>
      <c r="AA6667">
        <v>0.97288980000000003</v>
      </c>
      <c r="AB6667">
        <v>34</v>
      </c>
      <c r="AC6667">
        <v>43.975499999999997</v>
      </c>
      <c r="AD6667">
        <v>4.5211059999999996</v>
      </c>
      <c r="AE6667">
        <v>-14.45195</v>
      </c>
      <c r="AF6667">
        <v>10.6732662589505</v>
      </c>
      <c r="AG6667">
        <v>4.5211059999999996</v>
      </c>
      <c r="AH6667">
        <v>44.592394761163298</v>
      </c>
      <c r="AI6667">
        <v>84.368707965061802</v>
      </c>
      <c r="AJ6667">
        <v>76.539392788079297</v>
      </c>
      <c r="AK6667">
        <v>46.074295248360599</v>
      </c>
      <c r="AL6667">
        <v>87.167912739805502</v>
      </c>
      <c r="AM6667">
        <v>88.464416985254203</v>
      </c>
      <c r="AN6667">
        <v>0.99999996261069202</v>
      </c>
    </row>
    <row r="6668" spans="1:40" x14ac:dyDescent="0.25">
      <c r="A6668" t="str">
        <f>"20190312160503430"</f>
        <v>20190312160503430</v>
      </c>
      <c r="B6668" t="str">
        <f>"1552377903422054"</f>
        <v>1552377903422054</v>
      </c>
      <c r="C6668" t="s">
        <v>40</v>
      </c>
      <c r="D6668">
        <v>6.0405629999999997</v>
      </c>
      <c r="E6668">
        <v>0.58042130000000003</v>
      </c>
      <c r="F6668" t="s">
        <v>104</v>
      </c>
      <c r="G6668">
        <v>-279.02</v>
      </c>
      <c r="H6668">
        <v>5.5974649999999997</v>
      </c>
      <c r="I6668">
        <v>2.4059179999999998</v>
      </c>
      <c r="J6668">
        <v>-322.79329999999999</v>
      </c>
      <c r="K6668">
        <v>1.107394</v>
      </c>
      <c r="L6668">
        <v>16.89648</v>
      </c>
      <c r="M6668">
        <v>0.99634820000000002</v>
      </c>
      <c r="N6668">
        <v>0</v>
      </c>
      <c r="O6668">
        <v>-8.4396819999999997E-2</v>
      </c>
      <c r="P6668">
        <v>0.99307809999999996</v>
      </c>
      <c r="Q6668">
        <v>3.7086569999999999E-2</v>
      </c>
      <c r="R6668">
        <v>-0.1114464</v>
      </c>
      <c r="S6668">
        <v>2.904083</v>
      </c>
      <c r="T6668">
        <v>0.296514</v>
      </c>
      <c r="U6668">
        <v>-0.95816040000000002</v>
      </c>
      <c r="V6668">
        <v>2.7557740000000001E-2</v>
      </c>
      <c r="W6668">
        <v>4.982487E-2</v>
      </c>
      <c r="X6668">
        <v>0.99837770000000003</v>
      </c>
      <c r="Y6668">
        <v>0.23136519999999999</v>
      </c>
      <c r="Z6668">
        <v>3.1393290000000002E-3</v>
      </c>
      <c r="AA6668">
        <v>0.97286189999999995</v>
      </c>
      <c r="AB6668">
        <v>33</v>
      </c>
      <c r="AC6668">
        <v>43.773299999999999</v>
      </c>
      <c r="AD6668">
        <v>4.4900709999999897</v>
      </c>
      <c r="AE6668">
        <v>-14.490561999999899</v>
      </c>
      <c r="AF6668">
        <v>10.643291574615301</v>
      </c>
      <c r="AG6668">
        <v>4.4900709999999897</v>
      </c>
      <c r="AH6668">
        <v>44.418953287576997</v>
      </c>
      <c r="AI6668">
        <v>84.385746992605903</v>
      </c>
      <c r="AJ6668">
        <v>76.525316221714107</v>
      </c>
      <c r="AK6668">
        <v>45.896446532289097</v>
      </c>
      <c r="AL6668">
        <v>87.144062718912096</v>
      </c>
      <c r="AM6668">
        <v>88.418893591146897</v>
      </c>
      <c r="AN6668">
        <v>0.99999998928085698</v>
      </c>
    </row>
    <row r="6669" spans="1:40" x14ac:dyDescent="0.25">
      <c r="A6669" t="str">
        <f>"20190312160503443"</f>
        <v>20190312160503443</v>
      </c>
      <c r="B6669" t="str">
        <f>"1552377903431815"</f>
        <v>1552377903431815</v>
      </c>
      <c r="C6669" t="s">
        <v>40</v>
      </c>
      <c r="D6669">
        <v>5.9163620000000003</v>
      </c>
      <c r="E6669">
        <v>0.58033380000000001</v>
      </c>
      <c r="F6669" t="s">
        <v>104</v>
      </c>
      <c r="G6669">
        <v>-279.02</v>
      </c>
      <c r="H6669">
        <v>5.5814570000000003</v>
      </c>
      <c r="I6669">
        <v>2.3345340000000001</v>
      </c>
      <c r="J6669">
        <v>-322.60210000000001</v>
      </c>
      <c r="K6669">
        <v>1.1073230000000001</v>
      </c>
      <c r="L6669">
        <v>16.87848</v>
      </c>
      <c r="M6669">
        <v>0.99618549999999995</v>
      </c>
      <c r="N6669">
        <v>0</v>
      </c>
      <c r="O6669">
        <v>-8.6278060000000004E-2</v>
      </c>
      <c r="P6669">
        <v>0.99276439999999999</v>
      </c>
      <c r="Q6669">
        <v>3.7087670000000003E-2</v>
      </c>
      <c r="R6669">
        <v>-0.1142088</v>
      </c>
      <c r="S6669">
        <v>2.9015200000000001</v>
      </c>
      <c r="T6669">
        <v>0.29656389999999999</v>
      </c>
      <c r="U6669">
        <v>-0.96524049999999995</v>
      </c>
      <c r="V6669">
        <v>2.8460840000000001E-2</v>
      </c>
      <c r="W6669">
        <v>4.9945860000000002E-2</v>
      </c>
      <c r="X6669">
        <v>0.99834630000000002</v>
      </c>
      <c r="Y6669">
        <v>0.23192850000000001</v>
      </c>
      <c r="Z6669">
        <v>2.9844699999999999E-3</v>
      </c>
      <c r="AA6669">
        <v>0.97272829999999999</v>
      </c>
      <c r="AB6669">
        <v>33</v>
      </c>
      <c r="AC6669">
        <v>43.582099999999997</v>
      </c>
      <c r="AD6669">
        <v>4.4741339999999896</v>
      </c>
      <c r="AE6669">
        <v>-14.543946</v>
      </c>
      <c r="AF6669">
        <v>10.628414943545801</v>
      </c>
      <c r="AG6669">
        <v>4.4741339999999896</v>
      </c>
      <c r="AH6669">
        <v>44.254821462789899</v>
      </c>
      <c r="AI6669">
        <v>84.385630404779306</v>
      </c>
      <c r="AJ6669">
        <v>76.495382301325904</v>
      </c>
      <c r="AK6669">
        <v>45.732595618066</v>
      </c>
      <c r="AL6669">
        <v>87.137121809906404</v>
      </c>
      <c r="AM6669">
        <v>88.367055126010001</v>
      </c>
      <c r="AN6669">
        <v>0.99999997153416698</v>
      </c>
    </row>
    <row r="6670" spans="1:40" x14ac:dyDescent="0.25">
      <c r="A6670" t="str">
        <f>"20190312160503455"</f>
        <v>20190312160503455</v>
      </c>
      <c r="B6670" t="str">
        <f>"1552377903451335"</f>
        <v>1552377903451335</v>
      </c>
      <c r="C6670" t="s">
        <v>40</v>
      </c>
      <c r="D6670">
        <v>6.005458</v>
      </c>
      <c r="E6670">
        <v>0.58033679999999999</v>
      </c>
      <c r="F6670" t="s">
        <v>104</v>
      </c>
      <c r="G6670">
        <v>-279.02</v>
      </c>
      <c r="H6670">
        <v>5.5507080000000002</v>
      </c>
      <c r="I6670">
        <v>2.254772</v>
      </c>
      <c r="J6670">
        <v>-322.42239999999998</v>
      </c>
      <c r="K6670">
        <v>1.1072470000000001</v>
      </c>
      <c r="L6670">
        <v>16.86121</v>
      </c>
      <c r="M6670">
        <v>0.99602469999999999</v>
      </c>
      <c r="N6670">
        <v>0</v>
      </c>
      <c r="O6670">
        <v>-8.809649E-2</v>
      </c>
      <c r="P6670">
        <v>0.99248639999999999</v>
      </c>
      <c r="Q6670">
        <v>3.7142010000000003E-2</v>
      </c>
      <c r="R6670">
        <v>-0.1165823</v>
      </c>
      <c r="S6670">
        <v>2.8989259999999999</v>
      </c>
      <c r="T6670">
        <v>0.29555819999999999</v>
      </c>
      <c r="U6670">
        <v>-0.97271730000000001</v>
      </c>
      <c r="V6670">
        <v>2.90359E-2</v>
      </c>
      <c r="W6670">
        <v>5.0106820000000003E-2</v>
      </c>
      <c r="X6670">
        <v>0.99832169999999998</v>
      </c>
      <c r="Y6670">
        <v>0.23267940000000001</v>
      </c>
      <c r="Z6670">
        <v>2.8348750000000002E-3</v>
      </c>
      <c r="AA6670">
        <v>0.97254940000000001</v>
      </c>
      <c r="AB6670">
        <v>33</v>
      </c>
      <c r="AC6670">
        <v>43.4024</v>
      </c>
      <c r="AD6670">
        <v>4.4434610000000001</v>
      </c>
      <c r="AE6670">
        <v>-14.606438000000001</v>
      </c>
      <c r="AF6670">
        <v>10.625665447316401</v>
      </c>
      <c r="AG6670">
        <v>4.4434610000000001</v>
      </c>
      <c r="AH6670">
        <v>44.105256590801901</v>
      </c>
      <c r="AI6670">
        <v>84.406038308602803</v>
      </c>
      <c r="AJ6670">
        <v>76.454648248820604</v>
      </c>
      <c r="AK6670">
        <v>45.584238183798703</v>
      </c>
      <c r="AL6670">
        <v>87.127887991809899</v>
      </c>
      <c r="AM6670">
        <v>88.334038355120299</v>
      </c>
      <c r="AN6670">
        <v>0.99999999679510598</v>
      </c>
    </row>
    <row r="6671" spans="1:40" x14ac:dyDescent="0.25">
      <c r="A6671" t="str">
        <f>"20190312160503470"</f>
        <v>20190312160503470</v>
      </c>
      <c r="B6671" t="str">
        <f>"1552377903462070"</f>
        <v>1552377903462070</v>
      </c>
      <c r="C6671" t="s">
        <v>40</v>
      </c>
      <c r="D6671">
        <v>5.9518139999999997</v>
      </c>
      <c r="E6671">
        <v>0.58003749999999998</v>
      </c>
      <c r="F6671" t="s">
        <v>104</v>
      </c>
      <c r="G6671">
        <v>-279.02</v>
      </c>
      <c r="H6671">
        <v>5.4964870000000001</v>
      </c>
      <c r="I6671">
        <v>2.1832470000000002</v>
      </c>
      <c r="J6671">
        <v>-322.19290000000001</v>
      </c>
      <c r="K6671">
        <v>1.107156</v>
      </c>
      <c r="L6671">
        <v>16.838650000000001</v>
      </c>
      <c r="M6671">
        <v>0.99580950000000001</v>
      </c>
      <c r="N6671">
        <v>0</v>
      </c>
      <c r="O6671">
        <v>-9.0477539999999995E-2</v>
      </c>
      <c r="P6671">
        <v>0.99197579999999996</v>
      </c>
      <c r="Q6671">
        <v>3.7155889999999997E-2</v>
      </c>
      <c r="R6671">
        <v>-0.1208463</v>
      </c>
      <c r="S6671">
        <v>2.8966980000000002</v>
      </c>
      <c r="T6671">
        <v>0.29293999999999998</v>
      </c>
      <c r="U6671">
        <v>-0.97961430000000005</v>
      </c>
      <c r="V6671">
        <v>3.0952779999999999E-2</v>
      </c>
      <c r="W6671">
        <v>5.023826E-2</v>
      </c>
      <c r="X6671">
        <v>0.99825750000000002</v>
      </c>
      <c r="Y6671">
        <v>0.23268179999999999</v>
      </c>
      <c r="Z6671">
        <v>2.5798689999999998E-3</v>
      </c>
      <c r="AA6671">
        <v>0.97254949999999996</v>
      </c>
      <c r="AB6671">
        <v>33</v>
      </c>
      <c r="AC6671">
        <v>43.172899999999998</v>
      </c>
      <c r="AD6671">
        <v>4.3893309999999897</v>
      </c>
      <c r="AE6671">
        <v>-14.655403</v>
      </c>
      <c r="AF6671">
        <v>10.5906002287349</v>
      </c>
      <c r="AG6671">
        <v>4.3893309999999897</v>
      </c>
      <c r="AH6671">
        <v>43.914872505197401</v>
      </c>
      <c r="AI6671">
        <v>84.450259613814495</v>
      </c>
      <c r="AJ6671">
        <v>76.441329508520198</v>
      </c>
      <c r="AK6671">
        <v>45.386595675157103</v>
      </c>
      <c r="AL6671">
        <v>87.120347537915606</v>
      </c>
      <c r="AM6671">
        <v>88.224009700203098</v>
      </c>
      <c r="AN6671">
        <v>0.99999999683190299</v>
      </c>
    </row>
    <row r="6672" spans="1:40" x14ac:dyDescent="0.25">
      <c r="A6672" t="str">
        <f>"20190312160503493"</f>
        <v>20190312160503493</v>
      </c>
      <c r="B6672" t="str">
        <f>"1552377903481592"</f>
        <v>1552377903481592</v>
      </c>
      <c r="C6672" t="s">
        <v>40</v>
      </c>
      <c r="D6672">
        <v>6.0609479999999998</v>
      </c>
      <c r="E6672">
        <v>0.5798603</v>
      </c>
      <c r="F6672" t="s">
        <v>104</v>
      </c>
      <c r="G6672">
        <v>-279.02</v>
      </c>
      <c r="H6672">
        <v>5.4935989999999997</v>
      </c>
      <c r="I6672">
        <v>2.0658439999999998</v>
      </c>
      <c r="J6672">
        <v>-321.85640000000001</v>
      </c>
      <c r="K6672">
        <v>1.1070260000000001</v>
      </c>
      <c r="L6672">
        <v>16.804320000000001</v>
      </c>
      <c r="M6672">
        <v>0.99546829999999997</v>
      </c>
      <c r="N6672">
        <v>0</v>
      </c>
      <c r="O6672">
        <v>-9.4130309999999995E-2</v>
      </c>
      <c r="P6672">
        <v>0.99131349999999996</v>
      </c>
      <c r="Q6672">
        <v>3.7049989999999998E-2</v>
      </c>
      <c r="R6672">
        <v>-0.12619420000000001</v>
      </c>
      <c r="S6672">
        <v>2.8926699999999999</v>
      </c>
      <c r="T6672">
        <v>0.293900299999999</v>
      </c>
      <c r="U6672">
        <v>-0.98980710000000005</v>
      </c>
      <c r="V6672">
        <v>3.2692430000000001E-2</v>
      </c>
      <c r="W6672">
        <v>5.0287310000000002E-2</v>
      </c>
      <c r="X6672">
        <v>0.99819959999999996</v>
      </c>
      <c r="Y6672">
        <v>0.23260829999999999</v>
      </c>
      <c r="Z6672">
        <v>2.2308330000000002E-3</v>
      </c>
      <c r="AA6672">
        <v>0.97256799999999999</v>
      </c>
      <c r="AB6672">
        <v>33</v>
      </c>
      <c r="AC6672">
        <v>42.836399999999998</v>
      </c>
      <c r="AD6672">
        <v>4.3865729999999896</v>
      </c>
      <c r="AE6672">
        <v>-14.738476</v>
      </c>
      <c r="AF6672">
        <v>10.541610050480999</v>
      </c>
      <c r="AG6672">
        <v>4.3865729999999896</v>
      </c>
      <c r="AH6672">
        <v>43.6245896860652</v>
      </c>
      <c r="AI6672">
        <v>84.417661451333998</v>
      </c>
      <c r="AJ6672">
        <v>76.415248621187004</v>
      </c>
      <c r="AK6672">
        <v>45.094039411193599</v>
      </c>
      <c r="AL6672">
        <v>87.117533704424105</v>
      </c>
      <c r="AM6672">
        <v>88.124153777752497</v>
      </c>
      <c r="AN6672">
        <v>1.0000000249832499</v>
      </c>
    </row>
    <row r="6673" spans="1:40" x14ac:dyDescent="0.25">
      <c r="A6673" t="str">
        <f>"20190312160503504"</f>
        <v>20190312160503504</v>
      </c>
      <c r="B6673" t="str">
        <f>"1552377903492327"</f>
        <v>1552377903492327</v>
      </c>
      <c r="C6673" t="s">
        <v>40</v>
      </c>
      <c r="D6673">
        <v>6.0478769999999997</v>
      </c>
      <c r="E6673">
        <v>0.57977460000000003</v>
      </c>
      <c r="F6673" t="s">
        <v>104</v>
      </c>
      <c r="G6673">
        <v>-279.02</v>
      </c>
      <c r="H6673">
        <v>5.4327379999999996</v>
      </c>
      <c r="I6673">
        <v>1.908331</v>
      </c>
      <c r="J6673">
        <v>-321.69220000000001</v>
      </c>
      <c r="K6673">
        <v>1.1069610000000001</v>
      </c>
      <c r="L6673">
        <v>16.787140000000001</v>
      </c>
      <c r="M6673">
        <v>0.99529199999999995</v>
      </c>
      <c r="N6673">
        <v>0</v>
      </c>
      <c r="O6673">
        <v>-9.5965220000000004E-2</v>
      </c>
      <c r="P6673">
        <v>0.99094859999999896</v>
      </c>
      <c r="Q6673">
        <v>3.7250199999999997E-2</v>
      </c>
      <c r="R6673">
        <v>-0.128971</v>
      </c>
      <c r="S6673">
        <v>2.887543</v>
      </c>
      <c r="T6673">
        <v>0.29159079999999998</v>
      </c>
      <c r="U6673">
        <v>-1.0041199999999999</v>
      </c>
      <c r="V6673">
        <v>3.3660549999999997E-2</v>
      </c>
      <c r="W6673">
        <v>5.0554000000000002E-2</v>
      </c>
      <c r="X6673">
        <v>0.99815390000000004</v>
      </c>
      <c r="Y6673">
        <v>0.23565430000000001</v>
      </c>
      <c r="Z6673">
        <v>2.1873869999999998E-3</v>
      </c>
      <c r="AA6673">
        <v>0.97183450000000005</v>
      </c>
      <c r="AB6673">
        <v>33</v>
      </c>
      <c r="AC6673">
        <v>42.672199999999997</v>
      </c>
      <c r="AD6673">
        <v>4.3257770000000004</v>
      </c>
      <c r="AE6673">
        <v>-14.878809</v>
      </c>
      <c r="AF6673">
        <v>10.6174199052132</v>
      </c>
      <c r="AG6673">
        <v>4.3257770000000004</v>
      </c>
      <c r="AH6673">
        <v>43.504591130554601</v>
      </c>
      <c r="AI6673">
        <v>84.482489841669803</v>
      </c>
      <c r="AJ6673">
        <v>76.284904682680406</v>
      </c>
      <c r="AK6673">
        <v>44.989903328792401</v>
      </c>
      <c r="AL6673">
        <v>87.102233884806196</v>
      </c>
      <c r="AM6673">
        <v>88.068557503028998</v>
      </c>
      <c r="AN6673">
        <v>0.99999997381375505</v>
      </c>
    </row>
    <row r="6674" spans="1:40" x14ac:dyDescent="0.25">
      <c r="A6674" t="str">
        <f>"20190312160503515"</f>
        <v>20190312160503515</v>
      </c>
      <c r="B6674" t="str">
        <f>"1552377903511846"</f>
        <v>1552377903511846</v>
      </c>
      <c r="C6674" t="s">
        <v>40</v>
      </c>
      <c r="D6674">
        <v>6.0147529999999998</v>
      </c>
      <c r="E6674">
        <v>0.57965699999999998</v>
      </c>
      <c r="F6674" t="s">
        <v>104</v>
      </c>
      <c r="G6674">
        <v>-279.02</v>
      </c>
      <c r="H6674">
        <v>5.416893</v>
      </c>
      <c r="I6674">
        <v>1.8204899999999999</v>
      </c>
      <c r="J6674">
        <v>-321.5378</v>
      </c>
      <c r="K6674">
        <v>1.1069059999999999</v>
      </c>
      <c r="L6674">
        <v>16.770569999999999</v>
      </c>
      <c r="M6674">
        <v>0.99511890000000003</v>
      </c>
      <c r="N6674">
        <v>0</v>
      </c>
      <c r="O6674">
        <v>-9.7735649999999993E-2</v>
      </c>
      <c r="P6674">
        <v>0.99060490000000001</v>
      </c>
      <c r="Q6674">
        <v>3.762563E-2</v>
      </c>
      <c r="R6674">
        <v>-0.1314777</v>
      </c>
      <c r="S6674">
        <v>2.884735</v>
      </c>
      <c r="T6674">
        <v>0.29136119999999999</v>
      </c>
      <c r="U6674">
        <v>-1.0117799999999999</v>
      </c>
      <c r="V6674">
        <v>3.4423049999999997E-2</v>
      </c>
      <c r="W6674">
        <v>5.0987369999999997E-2</v>
      </c>
      <c r="X6674">
        <v>0.99810589999999999</v>
      </c>
      <c r="Y6674">
        <v>0.23652339999999999</v>
      </c>
      <c r="Z6674">
        <v>2.0583450000000001E-3</v>
      </c>
      <c r="AA6674">
        <v>0.97162360000000003</v>
      </c>
      <c r="AB6674">
        <v>33</v>
      </c>
      <c r="AC6674">
        <v>42.517800000000001</v>
      </c>
      <c r="AD6674">
        <v>4.3099869999999996</v>
      </c>
      <c r="AE6674">
        <v>-14.95008</v>
      </c>
      <c r="AF6674">
        <v>10.6254304519759</v>
      </c>
      <c r="AG6674">
        <v>4.3099869999999996</v>
      </c>
      <c r="AH6674">
        <v>43.378796088979101</v>
      </c>
      <c r="AI6674">
        <v>84.487790103465102</v>
      </c>
      <c r="AJ6674">
        <v>76.236658165742995</v>
      </c>
      <c r="AK6674">
        <v>44.868649526804099</v>
      </c>
      <c r="AL6674">
        <v>87.077371691669001</v>
      </c>
      <c r="AM6674">
        <v>88.024744609148001</v>
      </c>
      <c r="AN6674">
        <v>1.0000000229428101</v>
      </c>
    </row>
    <row r="6675" spans="1:40" x14ac:dyDescent="0.25">
      <c r="A6675" t="str">
        <f>"20190312160503525"</f>
        <v>20190312160503525</v>
      </c>
      <c r="B6675" t="str">
        <f>"1552377903521606"</f>
        <v>1552377903521606</v>
      </c>
      <c r="C6675" t="s">
        <v>40</v>
      </c>
      <c r="D6675">
        <v>5.8870800000000001</v>
      </c>
      <c r="E6675">
        <v>0.57969589999999904</v>
      </c>
      <c r="F6675" t="s">
        <v>104</v>
      </c>
      <c r="G6675">
        <v>-279.02</v>
      </c>
      <c r="H6675">
        <v>5.4023770000000004</v>
      </c>
      <c r="I6675">
        <v>1.750275</v>
      </c>
      <c r="J6675">
        <v>-321.37329999999997</v>
      </c>
      <c r="K6675">
        <v>1.1068450000000001</v>
      </c>
      <c r="L6675">
        <v>16.75272</v>
      </c>
      <c r="M6675">
        <v>0.99492849999999999</v>
      </c>
      <c r="N6675">
        <v>0</v>
      </c>
      <c r="O6675">
        <v>-9.9643190000000006E-2</v>
      </c>
      <c r="P6675">
        <v>0.99025810000000003</v>
      </c>
      <c r="Q6675">
        <v>3.8249159999999997E-2</v>
      </c>
      <c r="R6675">
        <v>-0.13388699999999901</v>
      </c>
      <c r="S6675">
        <v>2.882263</v>
      </c>
      <c r="T6675">
        <v>0.291188</v>
      </c>
      <c r="U6675">
        <v>-1.018219</v>
      </c>
      <c r="V6675">
        <v>3.4954020000000002E-2</v>
      </c>
      <c r="W6675">
        <v>5.1671670000000003E-2</v>
      </c>
      <c r="X6675">
        <v>0.99805219999999994</v>
      </c>
      <c r="Y6675">
        <v>0.23685980000000001</v>
      </c>
      <c r="Z6675">
        <v>1.8903660000000001E-3</v>
      </c>
      <c r="AA6675">
        <v>0.97154200000000002</v>
      </c>
      <c r="AB6675">
        <v>33</v>
      </c>
      <c r="AC6675">
        <v>42.353299999999898</v>
      </c>
      <c r="AD6675">
        <v>4.2955319999999997</v>
      </c>
      <c r="AE6675">
        <v>-15.002445</v>
      </c>
      <c r="AF6675">
        <v>10.610179282566101</v>
      </c>
      <c r="AG6675">
        <v>4.2955319999999997</v>
      </c>
      <c r="AH6675">
        <v>43.2422953139802</v>
      </c>
      <c r="AI6675">
        <v>84.489460965186197</v>
      </c>
      <c r="AJ6675">
        <v>76.213930379906998</v>
      </c>
      <c r="AK6675">
        <v>44.731684560193997</v>
      </c>
      <c r="AL6675">
        <v>87.038112278650004</v>
      </c>
      <c r="AM6675">
        <v>87.994193480858101</v>
      </c>
      <c r="AN6675">
        <v>0.99999996945979397</v>
      </c>
    </row>
    <row r="6676" spans="1:40" x14ac:dyDescent="0.25">
      <c r="A6676" t="str">
        <f>"20190312160503538"</f>
        <v>20190312160503538</v>
      </c>
      <c r="B6676" t="str">
        <f>"1552377903531366"</f>
        <v>1552377903531366</v>
      </c>
      <c r="C6676" t="s">
        <v>40</v>
      </c>
      <c r="D6676">
        <v>5.8468239999999998</v>
      </c>
      <c r="E6676">
        <v>0.579704199999999</v>
      </c>
      <c r="F6676" t="s">
        <v>104</v>
      </c>
      <c r="G6676">
        <v>-279.02</v>
      </c>
      <c r="H6676">
        <v>5.3824100000000001</v>
      </c>
      <c r="I6676">
        <v>1.6669389999999999</v>
      </c>
      <c r="J6676">
        <v>-321.1841</v>
      </c>
      <c r="K6676">
        <v>1.1067499999999999</v>
      </c>
      <c r="L6676">
        <v>16.73169</v>
      </c>
      <c r="M6676">
        <v>0.99463970000000002</v>
      </c>
      <c r="N6676">
        <v>0</v>
      </c>
      <c r="O6676">
        <v>-0.1025127</v>
      </c>
      <c r="P6676">
        <v>0.98973860000000002</v>
      </c>
      <c r="Q6676">
        <v>3.9168700000000001E-2</v>
      </c>
      <c r="R6676">
        <v>-0.13741709999999999</v>
      </c>
      <c r="S6676">
        <v>2.8796390000000001</v>
      </c>
      <c r="T6676">
        <v>0.290699599999999</v>
      </c>
      <c r="U6676">
        <v>-1.0256959999999999</v>
      </c>
      <c r="V6676">
        <v>3.5647459999999999E-2</v>
      </c>
      <c r="W6676">
        <v>5.2391199999999902E-2</v>
      </c>
      <c r="X6676">
        <v>0.99799020000000005</v>
      </c>
      <c r="Y6676">
        <v>0.2365922</v>
      </c>
      <c r="Z6676">
        <v>1.5983989999999999E-3</v>
      </c>
      <c r="AA6676">
        <v>0.97160769999999996</v>
      </c>
      <c r="AB6676">
        <v>33</v>
      </c>
      <c r="AC6676">
        <v>42.164099999999998</v>
      </c>
      <c r="AD6676">
        <v>4.2756600000000002</v>
      </c>
      <c r="AE6676">
        <v>-15.064750999999999</v>
      </c>
      <c r="AF6676">
        <v>10.5662662790778</v>
      </c>
      <c r="AG6676">
        <v>4.2756600000000002</v>
      </c>
      <c r="AH6676">
        <v>43.093429159942701</v>
      </c>
      <c r="AI6676">
        <v>84.495748608436898</v>
      </c>
      <c r="AJ6676">
        <v>76.223193744605496</v>
      </c>
      <c r="AK6676">
        <v>44.575451632922103</v>
      </c>
      <c r="AL6676">
        <v>86.996830445345395</v>
      </c>
      <c r="AM6676">
        <v>87.954307524095398</v>
      </c>
      <c r="AN6676">
        <v>1.00000000926896</v>
      </c>
    </row>
    <row r="6677" spans="1:40" x14ac:dyDescent="0.25">
      <c r="A6677" t="str">
        <f>"20190312160503548"</f>
        <v>20190312160503548</v>
      </c>
      <c r="B6677" t="str">
        <f>"1552377903542102"</f>
        <v>1552377903542102</v>
      </c>
      <c r="C6677" t="s">
        <v>40</v>
      </c>
      <c r="D6677">
        <v>5.8504809999999896</v>
      </c>
      <c r="E6677">
        <v>0.57962049999999998</v>
      </c>
      <c r="F6677" t="s">
        <v>104</v>
      </c>
      <c r="G6677">
        <v>-279.02</v>
      </c>
      <c r="H6677">
        <v>5.3847239999999896</v>
      </c>
      <c r="I6677">
        <v>1.542416</v>
      </c>
      <c r="J6677">
        <v>-321.02480000000003</v>
      </c>
      <c r="K6677">
        <v>1.1066389999999999</v>
      </c>
      <c r="L6677">
        <v>16.71378</v>
      </c>
      <c r="M6677">
        <v>0.9943845</v>
      </c>
      <c r="N6677">
        <v>0</v>
      </c>
      <c r="O6677">
        <v>-0.1049876</v>
      </c>
      <c r="P6677">
        <v>0.98932949999999997</v>
      </c>
      <c r="Q6677">
        <v>3.9969440000000002E-2</v>
      </c>
      <c r="R6677">
        <v>-0.14010729999999999</v>
      </c>
      <c r="S6677">
        <v>2.8757929999999998</v>
      </c>
      <c r="T6677">
        <v>0.29177819999999999</v>
      </c>
      <c r="U6677">
        <v>-1.0359799999999999</v>
      </c>
      <c r="V6677">
        <v>3.5890289999999998E-2</v>
      </c>
      <c r="W6677">
        <v>5.2972610000000003E-2</v>
      </c>
      <c r="X6677">
        <v>0.99795080000000003</v>
      </c>
      <c r="Y6677">
        <v>0.23766590000000001</v>
      </c>
      <c r="Z6677">
        <v>1.4188219999999999E-3</v>
      </c>
      <c r="AA6677">
        <v>0.97134600000000004</v>
      </c>
      <c r="AB6677">
        <v>33</v>
      </c>
      <c r="AC6677">
        <v>42.004800000000003</v>
      </c>
      <c r="AD6677">
        <v>4.2780849999999901</v>
      </c>
      <c r="AE6677">
        <v>-15.171364000000001</v>
      </c>
      <c r="AF6677">
        <v>10.580049904443699</v>
      </c>
      <c r="AG6677">
        <v>4.2780849999999901</v>
      </c>
      <c r="AH6677">
        <v>42.971266545857297</v>
      </c>
      <c r="AI6677">
        <v>84.478380194347693</v>
      </c>
      <c r="AJ6677">
        <v>76.168196863721107</v>
      </c>
      <c r="AK6677">
        <v>44.460872863708602</v>
      </c>
      <c r="AL6677">
        <v>86.9634717686518</v>
      </c>
      <c r="AM6677">
        <v>87.940303011060806</v>
      </c>
      <c r="AN6677">
        <v>1.00000000477356</v>
      </c>
    </row>
    <row r="6678" spans="1:40" x14ac:dyDescent="0.25">
      <c r="A6678" t="str">
        <f>"20190312160503559"</f>
        <v>20190312160503559</v>
      </c>
      <c r="B6678" t="str">
        <f>"1552377903551862"</f>
        <v>1552377903551862</v>
      </c>
      <c r="C6678" t="s">
        <v>40</v>
      </c>
      <c r="D6678">
        <v>6.0550959999999998</v>
      </c>
      <c r="E6678">
        <v>0.57955290000000004</v>
      </c>
      <c r="F6678" t="s">
        <v>104</v>
      </c>
      <c r="G6678">
        <v>-279.02</v>
      </c>
      <c r="H6678">
        <v>5.40076</v>
      </c>
      <c r="I6678">
        <v>1.4626429999999999</v>
      </c>
      <c r="J6678">
        <v>-320.8544</v>
      </c>
      <c r="K6678">
        <v>1.1063689999999999</v>
      </c>
      <c r="L6678">
        <v>16.694089999999999</v>
      </c>
      <c r="M6678">
        <v>0.99412210000000001</v>
      </c>
      <c r="N6678">
        <v>0</v>
      </c>
      <c r="O6678">
        <v>-0.1074837</v>
      </c>
      <c r="P6678">
        <v>0.98891249999999997</v>
      </c>
      <c r="Q6678">
        <v>4.0259530000000002E-2</v>
      </c>
      <c r="R6678">
        <v>-0.14293739999999999</v>
      </c>
      <c r="S6678">
        <v>2.8728030000000002</v>
      </c>
      <c r="T6678">
        <v>0.29368480000000002</v>
      </c>
      <c r="U6678">
        <v>-1.0430600000000001</v>
      </c>
      <c r="V6678">
        <v>3.6261639999999998E-2</v>
      </c>
      <c r="W6678">
        <v>5.2914030000000001E-2</v>
      </c>
      <c r="X6678">
        <v>0.99794050000000001</v>
      </c>
      <c r="Y6678">
        <v>0.2376703</v>
      </c>
      <c r="Z6678">
        <v>1.186086E-3</v>
      </c>
      <c r="AA6678">
        <v>0.97134509999999996</v>
      </c>
      <c r="AB6678">
        <v>33</v>
      </c>
      <c r="AC6678">
        <v>41.834400000000002</v>
      </c>
      <c r="AD6678">
        <v>4.2943910000000001</v>
      </c>
      <c r="AE6678">
        <v>-15.231446999999999</v>
      </c>
      <c r="AF6678">
        <v>10.5481578374068</v>
      </c>
      <c r="AG6678">
        <v>4.2943910000000001</v>
      </c>
      <c r="AH6678">
        <v>42.830774216329203</v>
      </c>
      <c r="AI6678">
        <v>84.439479367707193</v>
      </c>
      <c r="AJ6678">
        <v>76.164792935557799</v>
      </c>
      <c r="AK6678">
        <v>44.319077695659502</v>
      </c>
      <c r="AL6678">
        <v>86.966832919525004</v>
      </c>
      <c r="AM6678">
        <v>87.918988899899702</v>
      </c>
      <c r="AN6678">
        <v>1.00000002132329</v>
      </c>
    </row>
    <row r="6679" spans="1:40" x14ac:dyDescent="0.25">
      <c r="A6679" t="str">
        <f>"20190312160503570"</f>
        <v>20190312160503570</v>
      </c>
      <c r="B6679" t="str">
        <f>"1552377903561623"</f>
        <v>1552377903561623</v>
      </c>
      <c r="C6679" t="s">
        <v>40</v>
      </c>
      <c r="D6679">
        <v>5.7443</v>
      </c>
      <c r="E6679">
        <v>0.57948880000000003</v>
      </c>
      <c r="F6679" t="s">
        <v>104</v>
      </c>
      <c r="G6679">
        <v>-279.02</v>
      </c>
      <c r="H6679">
        <v>5.3943989999999999</v>
      </c>
      <c r="I6679">
        <v>1.3778919999999999</v>
      </c>
      <c r="J6679">
        <v>-320.70100000000002</v>
      </c>
      <c r="K6679">
        <v>1.1060950000000001</v>
      </c>
      <c r="L6679">
        <v>16.67615</v>
      </c>
      <c r="M6679">
        <v>0.99388829999999995</v>
      </c>
      <c r="N6679">
        <v>0</v>
      </c>
      <c r="O6679">
        <v>-0.10965080000000001</v>
      </c>
      <c r="P6679">
        <v>0.98853179999999996</v>
      </c>
      <c r="Q6679">
        <v>4.0683740000000003E-2</v>
      </c>
      <c r="R6679">
        <v>-0.14542869999999999</v>
      </c>
      <c r="S6679">
        <v>2.8697509999999999</v>
      </c>
      <c r="T6679">
        <v>0.29414990000000002</v>
      </c>
      <c r="U6679">
        <v>-1.050659</v>
      </c>
      <c r="V6679">
        <v>3.6625079999999997E-2</v>
      </c>
      <c r="W6679">
        <v>5.3099750000000001E-2</v>
      </c>
      <c r="X6679">
        <v>0.99791739999999995</v>
      </c>
      <c r="Y6679">
        <v>0.23815990000000001</v>
      </c>
      <c r="Z6679">
        <v>1.001617E-3</v>
      </c>
      <c r="AA6679">
        <v>0.97122540000000002</v>
      </c>
      <c r="AB6679">
        <v>33</v>
      </c>
      <c r="AC6679">
        <v>41.680999999999898</v>
      </c>
      <c r="AD6679">
        <v>4.2883040000000001</v>
      </c>
      <c r="AE6679">
        <v>-15.298257999999899</v>
      </c>
      <c r="AF6679">
        <v>10.5369765569479</v>
      </c>
      <c r="AG6679">
        <v>4.2883040000000001</v>
      </c>
      <c r="AH6679">
        <v>42.708825689603501</v>
      </c>
      <c r="AI6679">
        <v>84.432123922773201</v>
      </c>
      <c r="AJ6679">
        <v>76.140951280184296</v>
      </c>
      <c r="AK6679">
        <v>44.197977532269697</v>
      </c>
      <c r="AL6679">
        <v>86.956177080364895</v>
      </c>
      <c r="AM6679">
        <v>87.898101527635205</v>
      </c>
      <c r="AN6679">
        <v>1.0000000585789099</v>
      </c>
    </row>
    <row r="6680" spans="1:40" x14ac:dyDescent="0.25">
      <c r="A6680" t="str">
        <f>"20190312160503582"</f>
        <v>20190312160503582</v>
      </c>
      <c r="B6680" t="str">
        <f>"1552377903571383"</f>
        <v>1552377903571383</v>
      </c>
      <c r="C6680" t="s">
        <v>40</v>
      </c>
      <c r="D6680">
        <v>5.9295960000000001</v>
      </c>
      <c r="E6680">
        <v>0.57936399999999999</v>
      </c>
      <c r="F6680" t="s">
        <v>104</v>
      </c>
      <c r="G6680">
        <v>-279.02</v>
      </c>
      <c r="H6680">
        <v>5.3917330000000003</v>
      </c>
      <c r="I6680">
        <v>1.3040830000000001</v>
      </c>
      <c r="J6680">
        <v>-320.52999999999997</v>
      </c>
      <c r="K6680">
        <v>1.1057330000000001</v>
      </c>
      <c r="L6680">
        <v>16.655609999999999</v>
      </c>
      <c r="M6680">
        <v>0.99364079999999999</v>
      </c>
      <c r="N6680">
        <v>0</v>
      </c>
      <c r="O6680">
        <v>-0.11187809999999999</v>
      </c>
      <c r="P6680">
        <v>0.98811749999999998</v>
      </c>
      <c r="Q6680">
        <v>4.0748760000000002E-2</v>
      </c>
      <c r="R6680">
        <v>-0.14820050000000001</v>
      </c>
      <c r="S6680">
        <v>2.8671259999999998</v>
      </c>
      <c r="T6680">
        <v>0.2947977</v>
      </c>
      <c r="U6680">
        <v>-1.057404</v>
      </c>
      <c r="V6680">
        <v>3.7217609999999998E-2</v>
      </c>
      <c r="W6680">
        <v>5.3075940000000002E-2</v>
      </c>
      <c r="X6680">
        <v>0.99789669999999997</v>
      </c>
      <c r="Y6680">
        <v>0.2382898</v>
      </c>
      <c r="Z6680">
        <v>7.9307429999999897E-4</v>
      </c>
      <c r="AA6680">
        <v>0.9711938</v>
      </c>
      <c r="AB6680">
        <v>34</v>
      </c>
      <c r="AC6680">
        <v>41.509999999999899</v>
      </c>
      <c r="AD6680">
        <v>4.2859999999999996</v>
      </c>
      <c r="AE6680">
        <v>-15.351527000000001</v>
      </c>
      <c r="AF6680">
        <v>10.512113117994801</v>
      </c>
      <c r="AG6680">
        <v>4.2859999999999996</v>
      </c>
      <c r="AH6680">
        <v>42.567779049046699</v>
      </c>
      <c r="AI6680">
        <v>84.417075105041903</v>
      </c>
      <c r="AJ6680">
        <v>76.128346684160405</v>
      </c>
      <c r="AK6680">
        <v>44.055534628171003</v>
      </c>
      <c r="AL6680">
        <v>86.957543086202094</v>
      </c>
      <c r="AM6680">
        <v>87.864083451089002</v>
      </c>
      <c r="AN6680">
        <v>1.00000001488594</v>
      </c>
    </row>
    <row r="6681" spans="1:40" x14ac:dyDescent="0.25">
      <c r="A6681" t="str">
        <f>"20190312160503592"</f>
        <v>20190312160503592</v>
      </c>
      <c r="B6681" t="str">
        <f>"1552377903582118"</f>
        <v>1552377903582118</v>
      </c>
      <c r="C6681" t="s">
        <v>40</v>
      </c>
      <c r="D6681">
        <v>6.317971</v>
      </c>
      <c r="E6681">
        <v>0.57933970000000001</v>
      </c>
      <c r="F6681" t="s">
        <v>104</v>
      </c>
      <c r="G6681">
        <v>-279.02</v>
      </c>
      <c r="H6681">
        <v>5.3726339999999997</v>
      </c>
      <c r="I6681">
        <v>1.229914</v>
      </c>
      <c r="J6681">
        <v>-320.37259999999998</v>
      </c>
      <c r="K6681">
        <v>1.1053789999999999</v>
      </c>
      <c r="L6681">
        <v>16.63635</v>
      </c>
      <c r="M6681">
        <v>0.99340989999999996</v>
      </c>
      <c r="N6681">
        <v>0</v>
      </c>
      <c r="O6681">
        <v>-0.11390169999999999</v>
      </c>
      <c r="P6681">
        <v>0.98775170000000001</v>
      </c>
      <c r="Q6681">
        <v>4.0609329999999999E-2</v>
      </c>
      <c r="R6681">
        <v>-0.15065700000000001</v>
      </c>
      <c r="S6681">
        <v>2.8643190000000001</v>
      </c>
      <c r="T6681">
        <v>0.29442990000000002</v>
      </c>
      <c r="U6681">
        <v>-1.0644229999999999</v>
      </c>
      <c r="V6681">
        <v>3.7692320000000001E-2</v>
      </c>
      <c r="W6681">
        <v>5.2980699999999999E-2</v>
      </c>
      <c r="X6681">
        <v>0.99788390000000005</v>
      </c>
      <c r="Y6681">
        <v>0.23872209999999999</v>
      </c>
      <c r="Z6681">
        <v>6.1647220000000003E-4</v>
      </c>
      <c r="AA6681">
        <v>0.97108779999999995</v>
      </c>
      <c r="AB6681">
        <v>34</v>
      </c>
      <c r="AC6681">
        <v>41.352600000000002</v>
      </c>
      <c r="AD6681">
        <v>4.2672549999999996</v>
      </c>
      <c r="AE6681">
        <v>-15.406435999999999</v>
      </c>
      <c r="AF6681">
        <v>10.497480575363401</v>
      </c>
      <c r="AG6681">
        <v>4.2672549999999996</v>
      </c>
      <c r="AH6681">
        <v>42.441539621951897</v>
      </c>
      <c r="AI6681">
        <v>84.425412076088904</v>
      </c>
      <c r="AJ6681">
        <v>76.107300246251697</v>
      </c>
      <c r="AK6681">
        <v>43.928246597683199</v>
      </c>
      <c r="AL6681">
        <v>86.963007493501394</v>
      </c>
      <c r="AM6681">
        <v>87.836837868021505</v>
      </c>
      <c r="AN6681">
        <v>0.99999997171933996</v>
      </c>
    </row>
    <row r="6682" spans="1:40" x14ac:dyDescent="0.25">
      <c r="A6682" t="str">
        <f>"20190312160503604"</f>
        <v>20190312160503604</v>
      </c>
      <c r="B6682" t="str">
        <f>"1552377903591878"</f>
        <v>1552377903591878</v>
      </c>
      <c r="C6682" t="s">
        <v>40</v>
      </c>
      <c r="D6682">
        <v>5.8602019999999904</v>
      </c>
      <c r="E6682">
        <v>0.57932709999999998</v>
      </c>
      <c r="F6682" t="s">
        <v>104</v>
      </c>
      <c r="G6682">
        <v>-279.02</v>
      </c>
      <c r="H6682">
        <v>5.3451510000000004</v>
      </c>
      <c r="I6682">
        <v>1.1546540000000001</v>
      </c>
      <c r="J6682">
        <v>-320.1884</v>
      </c>
      <c r="K6682">
        <v>1.104948</v>
      </c>
      <c r="L6682">
        <v>16.61337</v>
      </c>
      <c r="M6682">
        <v>0.99313600000000002</v>
      </c>
      <c r="N6682">
        <v>0</v>
      </c>
      <c r="O6682">
        <v>-0.11624039999999999</v>
      </c>
      <c r="P6682">
        <v>0.98730589999999996</v>
      </c>
      <c r="Q6682">
        <v>4.0402689999999998E-2</v>
      </c>
      <c r="R6682">
        <v>-0.15360550000000001</v>
      </c>
      <c r="S6682">
        <v>2.8617249999999999</v>
      </c>
      <c r="T6682">
        <v>0.29340519999999998</v>
      </c>
      <c r="U6682">
        <v>-1.0713809999999999</v>
      </c>
      <c r="V6682">
        <v>3.8352629999999999E-2</v>
      </c>
      <c r="W6682">
        <v>5.2973100000000002E-2</v>
      </c>
      <c r="X6682">
        <v>0.99785919999999895</v>
      </c>
      <c r="Y6682">
        <v>0.23880950000000001</v>
      </c>
      <c r="Z6682">
        <v>3.9143389999999999E-4</v>
      </c>
      <c r="AA6682">
        <v>0.9710664</v>
      </c>
      <c r="AB6682">
        <v>34</v>
      </c>
      <c r="AC6682">
        <v>41.168399999999998</v>
      </c>
      <c r="AD6682">
        <v>4.2402030000000002</v>
      </c>
      <c r="AE6682">
        <v>-15.458716000000001</v>
      </c>
      <c r="AF6682">
        <v>10.4707193589783</v>
      </c>
      <c r="AG6682">
        <v>4.2402030000000002</v>
      </c>
      <c r="AH6682">
        <v>42.293141142122003</v>
      </c>
      <c r="AI6682">
        <v>84.441518760814901</v>
      </c>
      <c r="AJ6682">
        <v>76.094606611590706</v>
      </c>
      <c r="AK6682">
        <v>43.775850340606098</v>
      </c>
      <c r="AL6682">
        <v>86.963443725716104</v>
      </c>
      <c r="AM6682">
        <v>87.798925201196397</v>
      </c>
      <c r="AN6682">
        <v>1.0000000282880801</v>
      </c>
    </row>
    <row r="6683" spans="1:40" x14ac:dyDescent="0.25">
      <c r="A6683" t="str">
        <f>"20190312160503617"</f>
        <v>20190312160503617</v>
      </c>
      <c r="B6683" t="str">
        <f>"1552377903611398"</f>
        <v>1552377903611398</v>
      </c>
      <c r="C6683" t="s">
        <v>40</v>
      </c>
      <c r="D6683">
        <v>5.95967</v>
      </c>
      <c r="E6683">
        <v>0.57936940000000003</v>
      </c>
      <c r="F6683" t="s">
        <v>104</v>
      </c>
      <c r="G6683">
        <v>-279.02</v>
      </c>
      <c r="H6683">
        <v>5.3016420000000002</v>
      </c>
      <c r="I6683">
        <v>1.0621320000000001</v>
      </c>
      <c r="J6683">
        <v>-320.01440000000002</v>
      </c>
      <c r="K6683">
        <v>1.104479</v>
      </c>
      <c r="L6683">
        <v>16.59113</v>
      </c>
      <c r="M6683">
        <v>0.99286050000000003</v>
      </c>
      <c r="N6683">
        <v>0</v>
      </c>
      <c r="O6683">
        <v>-0.1185312</v>
      </c>
      <c r="P6683">
        <v>0.98686649999999998</v>
      </c>
      <c r="Q6683">
        <v>4.0444529999999999E-2</v>
      </c>
      <c r="R6683">
        <v>-0.1563937</v>
      </c>
      <c r="S6683">
        <v>2.8586119999999999</v>
      </c>
      <c r="T6683">
        <v>0.29140650000000001</v>
      </c>
      <c r="U6683">
        <v>-1.079834</v>
      </c>
      <c r="V6683">
        <v>3.8901060000000001E-2</v>
      </c>
      <c r="W6683">
        <v>5.3347829999999999E-2</v>
      </c>
      <c r="X6683">
        <v>0.99781799999999998</v>
      </c>
      <c r="Y6683">
        <v>0.2394462</v>
      </c>
      <c r="Z6683">
        <v>1.9903109999999999E-4</v>
      </c>
      <c r="AA6683">
        <v>0.97090960000000004</v>
      </c>
      <c r="AB6683">
        <v>34</v>
      </c>
      <c r="AC6683">
        <v>40.994399999999999</v>
      </c>
      <c r="AD6683">
        <v>4.1971629999999998</v>
      </c>
      <c r="AE6683">
        <v>-15.528998</v>
      </c>
      <c r="AF6683">
        <v>10.464031200655199</v>
      </c>
      <c r="AG6683">
        <v>4.1971629999999998</v>
      </c>
      <c r="AH6683">
        <v>42.1597072572537</v>
      </c>
      <c r="AI6683">
        <v>84.481084866067206</v>
      </c>
      <c r="AJ6683">
        <v>76.060873779136202</v>
      </c>
      <c r="AK6683">
        <v>43.641185160742197</v>
      </c>
      <c r="AL6683">
        <v>86.941942857776894</v>
      </c>
      <c r="AM6683">
        <v>87.767390091489105</v>
      </c>
      <c r="AN6683">
        <v>1.0000000222794101</v>
      </c>
    </row>
    <row r="6684" spans="1:40" x14ac:dyDescent="0.25">
      <c r="A6684" t="str">
        <f>"20190312160503629"</f>
        <v>20190312160503629</v>
      </c>
      <c r="B6684" t="str">
        <f>"1552377903622134"</f>
        <v>1552377903622134</v>
      </c>
      <c r="C6684" t="s">
        <v>40</v>
      </c>
      <c r="D6684">
        <v>5.9014280000000001</v>
      </c>
      <c r="E6684">
        <v>0.57940959999999997</v>
      </c>
      <c r="F6684" t="s">
        <v>104</v>
      </c>
      <c r="G6684">
        <v>-279.02</v>
      </c>
      <c r="H6684">
        <v>5.2564900000000003</v>
      </c>
      <c r="I6684">
        <v>0.96933360000000002</v>
      </c>
      <c r="J6684">
        <v>-319.81979999999999</v>
      </c>
      <c r="K6684">
        <v>1.1039099999999999</v>
      </c>
      <c r="L6684">
        <v>16.565829999999998</v>
      </c>
      <c r="M6684">
        <v>0.99254379999999998</v>
      </c>
      <c r="N6684">
        <v>0</v>
      </c>
      <c r="O6684">
        <v>-0.1210994</v>
      </c>
      <c r="P6684">
        <v>0.98639770000000004</v>
      </c>
      <c r="Q6684">
        <v>4.0073739999999997E-2</v>
      </c>
      <c r="R6684">
        <v>-0.159417</v>
      </c>
      <c r="S6684">
        <v>2.8556210000000002</v>
      </c>
      <c r="T6684">
        <v>0.28922429999999999</v>
      </c>
      <c r="U6684">
        <v>-1.0881959999999999</v>
      </c>
      <c r="V6684">
        <v>3.9406339999999998E-2</v>
      </c>
      <c r="W6684">
        <v>5.3438300000000001E-2</v>
      </c>
      <c r="X6684">
        <v>0.99779329999999999</v>
      </c>
      <c r="Y6684">
        <v>0.23977270000000001</v>
      </c>
      <c r="Z6684" s="1">
        <v>-3.2649379999999998E-5</v>
      </c>
      <c r="AA6684">
        <v>0.9708291</v>
      </c>
      <c r="AB6684">
        <v>33</v>
      </c>
      <c r="AC6684">
        <v>40.799799999999998</v>
      </c>
      <c r="AD6684">
        <v>4.1525800000000004</v>
      </c>
      <c r="AE6684">
        <v>-15.5964963999999</v>
      </c>
      <c r="AF6684">
        <v>10.4459713492824</v>
      </c>
      <c r="AG6684">
        <v>4.1525800000000004</v>
      </c>
      <c r="AH6684">
        <v>42.0086921504491</v>
      </c>
      <c r="AI6684">
        <v>84.5204297867717</v>
      </c>
      <c r="AJ6684">
        <v>76.035923822298798</v>
      </c>
      <c r="AK6684">
        <v>43.486692841346702</v>
      </c>
      <c r="AL6684">
        <v>86.936751806858794</v>
      </c>
      <c r="AM6684">
        <v>87.738365050735894</v>
      </c>
      <c r="AN6684">
        <v>0.99999999053198696</v>
      </c>
    </row>
    <row r="6685" spans="1:40" x14ac:dyDescent="0.25">
      <c r="A6685" t="str">
        <f>"20190312160503641"</f>
        <v>20190312160503641</v>
      </c>
      <c r="B6685" t="str">
        <f>"1552377903631894"</f>
        <v>1552377903631894</v>
      </c>
      <c r="C6685" t="s">
        <v>40</v>
      </c>
      <c r="D6685">
        <v>5.7352600000000002</v>
      </c>
      <c r="E6685">
        <v>0.57936290000000001</v>
      </c>
      <c r="F6685" t="s">
        <v>104</v>
      </c>
      <c r="G6685">
        <v>-279.02</v>
      </c>
      <c r="H6685">
        <v>5.198817</v>
      </c>
      <c r="I6685">
        <v>0.86987499999999995</v>
      </c>
      <c r="J6685">
        <v>-319.63339999999999</v>
      </c>
      <c r="K6685">
        <v>1.103291</v>
      </c>
      <c r="L6685">
        <v>16.540890000000001</v>
      </c>
      <c r="M6685">
        <v>0.9922417</v>
      </c>
      <c r="N6685">
        <v>0</v>
      </c>
      <c r="O6685">
        <v>-0.1234725</v>
      </c>
      <c r="P6685">
        <v>0.98586609999999997</v>
      </c>
      <c r="Q6685">
        <v>3.9635749999999997E-2</v>
      </c>
      <c r="R6685">
        <v>-0.16278000000000001</v>
      </c>
      <c r="S6685">
        <v>2.8523559999999999</v>
      </c>
      <c r="T6685">
        <v>0.28627930000000001</v>
      </c>
      <c r="U6685">
        <v>-1.097321</v>
      </c>
      <c r="V6685">
        <v>4.0450090000000001E-2</v>
      </c>
      <c r="W6685">
        <v>5.3643999999999997E-2</v>
      </c>
      <c r="X6685">
        <v>0.99774050000000003</v>
      </c>
      <c r="Y6685">
        <v>0.2405456</v>
      </c>
      <c r="Z6685">
        <v>-2.201181E-4</v>
      </c>
      <c r="AA6685">
        <v>0.9706378</v>
      </c>
      <c r="AB6685">
        <v>33</v>
      </c>
      <c r="AC6685">
        <v>40.613399999999999</v>
      </c>
      <c r="AD6685">
        <v>4.0955260000000004</v>
      </c>
      <c r="AE6685">
        <v>-15.671014999999899</v>
      </c>
      <c r="AF6685">
        <v>10.4434703335371</v>
      </c>
      <c r="AG6685">
        <v>4.0955260000000004</v>
      </c>
      <c r="AH6685">
        <v>41.867128234470798</v>
      </c>
      <c r="AI6685">
        <v>84.578088143728195</v>
      </c>
      <c r="AJ6685">
        <v>75.993786287538498</v>
      </c>
      <c r="AK6685">
        <v>43.343924977161102</v>
      </c>
      <c r="AL6685">
        <v>86.924949155335995</v>
      </c>
      <c r="AM6685">
        <v>87.678403432682998</v>
      </c>
      <c r="AN6685">
        <v>0.99999999692862895</v>
      </c>
    </row>
    <row r="6686" spans="1:40" x14ac:dyDescent="0.25">
      <c r="A6686" t="str">
        <f>"20190312160503654"</f>
        <v>20190312160503654</v>
      </c>
      <c r="B6686" t="str">
        <f>"1552377903641654"</f>
        <v>1552377903641654</v>
      </c>
      <c r="C6686" t="s">
        <v>40</v>
      </c>
      <c r="D6686">
        <v>5.7222499999999998</v>
      </c>
      <c r="E6686">
        <v>0.57926319999999998</v>
      </c>
      <c r="F6686" t="s">
        <v>104</v>
      </c>
      <c r="G6686">
        <v>-279.02</v>
      </c>
      <c r="H6686">
        <v>5.1570229999999997</v>
      </c>
      <c r="I6686">
        <v>0.76342200000000005</v>
      </c>
      <c r="J6686">
        <v>-319.45030000000003</v>
      </c>
      <c r="K6686">
        <v>1.1026320000000001</v>
      </c>
      <c r="L6686">
        <v>16.515899999999998</v>
      </c>
      <c r="M6686">
        <v>0.99194700000000002</v>
      </c>
      <c r="N6686">
        <v>0</v>
      </c>
      <c r="O6686">
        <v>-0.12572739999999999</v>
      </c>
      <c r="P6686">
        <v>0.9853845</v>
      </c>
      <c r="Q6686">
        <v>3.9270079999999999E-2</v>
      </c>
      <c r="R6686">
        <v>-0.16575680000000001</v>
      </c>
      <c r="S6686">
        <v>2.848846</v>
      </c>
      <c r="T6686">
        <v>0.28435149999999998</v>
      </c>
      <c r="U6686">
        <v>-1.1067199999999999</v>
      </c>
      <c r="V6686">
        <v>4.122236E-2</v>
      </c>
      <c r="W6686">
        <v>5.4018719999999999E-2</v>
      </c>
      <c r="X6686">
        <v>0.99768869999999998</v>
      </c>
      <c r="Y6686">
        <v>0.24153640000000001</v>
      </c>
      <c r="Z6686">
        <v>-3.8363129999999999E-4</v>
      </c>
      <c r="AA6686">
        <v>0.97039169999999997</v>
      </c>
      <c r="AB6686">
        <v>33</v>
      </c>
      <c r="AC6686">
        <v>40.430300000000003</v>
      </c>
      <c r="AD6686">
        <v>4.0543909999999999</v>
      </c>
      <c r="AE6686">
        <v>-15.752477999999901</v>
      </c>
      <c r="AF6686">
        <v>10.452400472292201</v>
      </c>
      <c r="AG6686">
        <v>4.0543909999999999</v>
      </c>
      <c r="AH6686">
        <v>41.725848970245302</v>
      </c>
      <c r="AI6686">
        <v>84.615490859939001</v>
      </c>
      <c r="AJ6686">
        <v>75.936699686353293</v>
      </c>
      <c r="AK6686">
        <v>43.205754643354801</v>
      </c>
      <c r="AL6686">
        <v>86.903448187647498</v>
      </c>
      <c r="AM6686">
        <v>87.634006888208901</v>
      </c>
      <c r="AN6686">
        <v>1.00000002359104</v>
      </c>
    </row>
    <row r="6687" spans="1:40" x14ac:dyDescent="0.25">
      <c r="A6687" t="str">
        <f>"20190312160503665"</f>
        <v>20190312160503665</v>
      </c>
      <c r="B6687" t="str">
        <f>"1552377903662150"</f>
        <v>1552377903662150</v>
      </c>
      <c r="C6687" t="s">
        <v>40</v>
      </c>
      <c r="D6687">
        <v>6.0195860000000003</v>
      </c>
      <c r="E6687">
        <v>0.57907069999999905</v>
      </c>
      <c r="F6687" t="s">
        <v>104</v>
      </c>
      <c r="G6687">
        <v>-279.02</v>
      </c>
      <c r="H6687">
        <v>5.1148239999999996</v>
      </c>
      <c r="I6687">
        <v>0.6804886</v>
      </c>
      <c r="J6687">
        <v>-319.28739999999999</v>
      </c>
      <c r="K6687">
        <v>1.1020129999999999</v>
      </c>
      <c r="L6687">
        <v>16.49335</v>
      </c>
      <c r="M6687">
        <v>0.99168500000000004</v>
      </c>
      <c r="N6687">
        <v>0</v>
      </c>
      <c r="O6687">
        <v>-0.12768469999999901</v>
      </c>
      <c r="P6687">
        <v>0.98490860000000002</v>
      </c>
      <c r="Q6687">
        <v>3.9100849999999999E-2</v>
      </c>
      <c r="R6687">
        <v>-0.16860169999999999</v>
      </c>
      <c r="S6687">
        <v>2.8457340000000002</v>
      </c>
      <c r="T6687">
        <v>0.28240279999999901</v>
      </c>
      <c r="U6687">
        <v>-1.1145940000000001</v>
      </c>
      <c r="V6687">
        <v>4.2160410000000002E-2</v>
      </c>
      <c r="W6687">
        <v>5.457294E-2</v>
      </c>
      <c r="X6687">
        <v>0.99761929999999999</v>
      </c>
      <c r="Y6687">
        <v>0.2423197</v>
      </c>
      <c r="Z6687">
        <v>-5.2701219999999995E-4</v>
      </c>
      <c r="AA6687">
        <v>0.97019630000000001</v>
      </c>
      <c r="AB6687">
        <v>33</v>
      </c>
      <c r="AC6687">
        <v>40.267400000000002</v>
      </c>
      <c r="AD6687">
        <v>4.0128109999999904</v>
      </c>
      <c r="AE6687">
        <v>-15.812861399999999</v>
      </c>
      <c r="AF6687">
        <v>10.4512799071943</v>
      </c>
      <c r="AG6687">
        <v>4.0128109999999904</v>
      </c>
      <c r="AH6687">
        <v>41.599116110459697</v>
      </c>
      <c r="AI6687">
        <v>84.655172878064505</v>
      </c>
      <c r="AJ6687">
        <v>75.897014788381398</v>
      </c>
      <c r="AK6687">
        <v>43.079210357105602</v>
      </c>
      <c r="AL6687">
        <v>86.871646695568202</v>
      </c>
      <c r="AM6687">
        <v>87.580061848955793</v>
      </c>
      <c r="AN6687">
        <v>0.99999998684205005</v>
      </c>
    </row>
    <row r="6688" spans="1:40" x14ac:dyDescent="0.25">
      <c r="A6688" t="str">
        <f>"20190312160503675"</f>
        <v>20190312160503675</v>
      </c>
      <c r="B6688" t="str">
        <f>"1552377903671910"</f>
        <v>1552377903671910</v>
      </c>
      <c r="C6688" t="s">
        <v>40</v>
      </c>
      <c r="D6688">
        <v>6.0006539999999999</v>
      </c>
      <c r="E6688">
        <v>0.57896159999999997</v>
      </c>
      <c r="F6688" t="s">
        <v>104</v>
      </c>
      <c r="G6688">
        <v>-279.55990000000003</v>
      </c>
      <c r="H6688">
        <v>5.0232080000000003</v>
      </c>
      <c r="I6688">
        <v>0.82237629999999995</v>
      </c>
      <c r="J6688">
        <v>-319.13479999999998</v>
      </c>
      <c r="K6688">
        <v>1.101415</v>
      </c>
      <c r="L6688">
        <v>16.471589999999999</v>
      </c>
      <c r="M6688">
        <v>0.99142399999999997</v>
      </c>
      <c r="N6688">
        <v>0</v>
      </c>
      <c r="O6688">
        <v>-0.12959100000000001</v>
      </c>
      <c r="P6688">
        <v>0.98444319999999996</v>
      </c>
      <c r="Q6688">
        <v>3.8730630000000002E-2</v>
      </c>
      <c r="R6688">
        <v>-0.17138149999999999</v>
      </c>
      <c r="S6688">
        <v>2.8428650000000002</v>
      </c>
      <c r="T6688">
        <v>0.28059669999999998</v>
      </c>
      <c r="U6688">
        <v>-1.121399</v>
      </c>
      <c r="V6688">
        <v>4.307391E-2</v>
      </c>
      <c r="W6688">
        <v>5.5000019999999997E-2</v>
      </c>
      <c r="X6688">
        <v>0.99755680000000002</v>
      </c>
      <c r="Y6688">
        <v>0.24280840000000001</v>
      </c>
      <c r="Z6688">
        <v>-6.7810339999999905E-4</v>
      </c>
      <c r="AA6688">
        <v>0.97007399999999999</v>
      </c>
      <c r="AB6688">
        <v>33</v>
      </c>
      <c r="AC6688">
        <v>39.5748999999999</v>
      </c>
      <c r="AD6688">
        <v>3.9217930000000001</v>
      </c>
      <c r="AE6688">
        <v>-15.649213700000001</v>
      </c>
      <c r="AF6688">
        <v>10.300457304124199</v>
      </c>
      <c r="AG6688">
        <v>3.9217930000000001</v>
      </c>
      <c r="AH6688">
        <v>40.921848954738898</v>
      </c>
      <c r="AI6688">
        <v>84.690342069562305</v>
      </c>
      <c r="AJ6688">
        <v>75.871556569770902</v>
      </c>
      <c r="AK6688">
        <v>42.380155767568901</v>
      </c>
      <c r="AL6688">
        <v>86.847139942808298</v>
      </c>
      <c r="AM6688">
        <v>87.527538118399505</v>
      </c>
      <c r="AN6688">
        <v>0.999999966574463</v>
      </c>
    </row>
    <row r="6689" spans="1:40" x14ac:dyDescent="0.25">
      <c r="A6689" t="str">
        <f>"20190312160503686"</f>
        <v>20190312160503686</v>
      </c>
      <c r="B6689" t="str">
        <f>"1552377903681670"</f>
        <v>1552377903681670</v>
      </c>
      <c r="C6689" t="s">
        <v>40</v>
      </c>
      <c r="D6689">
        <v>5.9902739999999897</v>
      </c>
      <c r="E6689">
        <v>0.57870480000000002</v>
      </c>
      <c r="F6689" t="s">
        <v>104</v>
      </c>
      <c r="G6689">
        <v>-279.55990000000003</v>
      </c>
      <c r="H6689">
        <v>4.9867410000000003</v>
      </c>
      <c r="I6689">
        <v>0.744112</v>
      </c>
      <c r="J6689">
        <v>-318.97280000000001</v>
      </c>
      <c r="K6689">
        <v>1.1007709999999999</v>
      </c>
      <c r="L6689">
        <v>16.44839</v>
      </c>
      <c r="M6689">
        <v>0.99113989999999996</v>
      </c>
      <c r="N6689">
        <v>0</v>
      </c>
      <c r="O6689">
        <v>-0.13162989999999999</v>
      </c>
      <c r="P6689">
        <v>0.98397349999999995</v>
      </c>
      <c r="Q6689">
        <v>3.8191740000000002E-2</v>
      </c>
      <c r="R6689">
        <v>-0.17417829999999901</v>
      </c>
      <c r="S6689">
        <v>2.839966</v>
      </c>
      <c r="T6689">
        <v>0.27881800000000001</v>
      </c>
      <c r="U6689">
        <v>-1.1286320000000001</v>
      </c>
      <c r="V6689">
        <v>4.3868949999999997E-2</v>
      </c>
      <c r="W6689">
        <v>5.5336639999999999E-2</v>
      </c>
      <c r="X6689">
        <v>0.99750360000000005</v>
      </c>
      <c r="Y6689">
        <v>0.24329690000000001</v>
      </c>
      <c r="Z6689">
        <v>-8.3962360000000005E-4</v>
      </c>
      <c r="AA6689">
        <v>0.96995149999999997</v>
      </c>
      <c r="AB6689">
        <v>33</v>
      </c>
      <c r="AC6689">
        <v>39.412899999999901</v>
      </c>
      <c r="AD6689">
        <v>3.8859699999999999</v>
      </c>
      <c r="AE6689">
        <v>-15.704278</v>
      </c>
      <c r="AF6689">
        <v>10.292509598931501</v>
      </c>
      <c r="AG6689">
        <v>3.8859699999999999</v>
      </c>
      <c r="AH6689">
        <v>40.795092868765302</v>
      </c>
      <c r="AI6689">
        <v>84.723043274400595</v>
      </c>
      <c r="AJ6689">
        <v>75.839917216927105</v>
      </c>
      <c r="AK6689">
        <v>42.252527958172898</v>
      </c>
      <c r="AL6689">
        <v>86.827823821541202</v>
      </c>
      <c r="AM6689">
        <v>87.481826548971398</v>
      </c>
      <c r="AN6689">
        <v>1.00000003025677</v>
      </c>
    </row>
    <row r="6690" spans="1:40" x14ac:dyDescent="0.25">
      <c r="A6690" t="str">
        <f>"20190312160503697"</f>
        <v>20190312160503697</v>
      </c>
      <c r="B6690" t="str">
        <f>"1552377903691430"</f>
        <v>1552377903691430</v>
      </c>
      <c r="C6690" t="s">
        <v>40</v>
      </c>
      <c r="D6690">
        <v>4.5498750000000001</v>
      </c>
      <c r="E6690">
        <v>0.57870480000000002</v>
      </c>
      <c r="F6690" t="s">
        <v>104</v>
      </c>
      <c r="G6690">
        <v>-279.55990000000003</v>
      </c>
      <c r="H6690">
        <v>4.9573919999999996</v>
      </c>
      <c r="I6690">
        <v>0.68491550000000001</v>
      </c>
      <c r="J6690">
        <v>-318.8252</v>
      </c>
      <c r="K6690">
        <v>1.1001669999999999</v>
      </c>
      <c r="L6690">
        <v>16.42651</v>
      </c>
      <c r="M6690">
        <v>0.99084289999999997</v>
      </c>
      <c r="N6690">
        <v>0</v>
      </c>
      <c r="O6690">
        <v>-0.13372500000000001</v>
      </c>
      <c r="P6690">
        <v>0.98347309999999999</v>
      </c>
      <c r="Q6690">
        <v>3.7736069999999997E-2</v>
      </c>
      <c r="R6690">
        <v>-0.1770777</v>
      </c>
      <c r="S6690">
        <v>2.8372190000000002</v>
      </c>
      <c r="T6690">
        <v>0.277626599999999</v>
      </c>
      <c r="U6690">
        <v>-1.1347659999999999</v>
      </c>
      <c r="V6690">
        <v>4.4705500000000002E-2</v>
      </c>
      <c r="W6690">
        <v>5.575227E-2</v>
      </c>
      <c r="X6690">
        <v>0.99744330000000003</v>
      </c>
      <c r="Y6690">
        <v>0.24338750000000001</v>
      </c>
      <c r="Z6690">
        <v>-1.0252010000000001E-3</v>
      </c>
      <c r="AA6690">
        <v>0.96992860000000003</v>
      </c>
      <c r="AB6690">
        <v>33</v>
      </c>
      <c r="AC6690">
        <v>39.265299999999897</v>
      </c>
      <c r="AD6690">
        <v>3.8572250000000001</v>
      </c>
      <c r="AE6690">
        <v>-15.7415945</v>
      </c>
      <c r="AF6690">
        <v>10.263168886545801</v>
      </c>
      <c r="AG6690">
        <v>3.8572250000000001</v>
      </c>
      <c r="AH6690">
        <v>40.6797196550786</v>
      </c>
      <c r="AI6690">
        <v>84.747079470977894</v>
      </c>
      <c r="AJ6690">
        <v>75.840224837877699</v>
      </c>
      <c r="AK6690">
        <v>42.131347136190399</v>
      </c>
      <c r="AL6690">
        <v>86.803973114631603</v>
      </c>
      <c r="AM6690">
        <v>87.4337154173719</v>
      </c>
      <c r="AN6690">
        <v>1.00000001702764</v>
      </c>
    </row>
    <row r="6691" spans="1:40" x14ac:dyDescent="0.25">
      <c r="A6691" t="str">
        <f>"20190312160503708"</f>
        <v>20190312160503708</v>
      </c>
      <c r="B6691" t="str">
        <f>"1552377903702166"</f>
        <v>1552377903702166</v>
      </c>
      <c r="C6691" t="s">
        <v>40</v>
      </c>
      <c r="D6691">
        <v>5.7959860000000001</v>
      </c>
      <c r="E6691">
        <v>0.578574699999999</v>
      </c>
      <c r="F6691" t="s">
        <v>104</v>
      </c>
      <c r="G6691">
        <v>-279.55990000000003</v>
      </c>
      <c r="H6691">
        <v>4.9238559999999998</v>
      </c>
      <c r="I6691">
        <v>0.58864399999999995</v>
      </c>
      <c r="J6691">
        <v>-318.65809999999999</v>
      </c>
      <c r="K6691">
        <v>1.0994790000000001</v>
      </c>
      <c r="L6691">
        <v>16.401730000000001</v>
      </c>
      <c r="M6691">
        <v>0.99049240000000005</v>
      </c>
      <c r="N6691">
        <v>0</v>
      </c>
      <c r="O6691">
        <v>-0.1361571</v>
      </c>
      <c r="P6691">
        <v>0.98291550000000005</v>
      </c>
      <c r="Q6691">
        <v>3.68239E-2</v>
      </c>
      <c r="R6691">
        <v>-0.18033669999999999</v>
      </c>
      <c r="S6691">
        <v>2.8340450000000001</v>
      </c>
      <c r="T6691">
        <v>0.2759819</v>
      </c>
      <c r="U6691">
        <v>-1.143127</v>
      </c>
      <c r="V6691">
        <v>4.5560539999999997E-2</v>
      </c>
      <c r="W6691">
        <v>5.5821780000000001E-2</v>
      </c>
      <c r="X6691">
        <v>0.99740070000000003</v>
      </c>
      <c r="Y6691">
        <v>0.2438553</v>
      </c>
      <c r="Z6691">
        <v>-1.220399E-3</v>
      </c>
      <c r="AA6691">
        <v>0.96981079999999997</v>
      </c>
      <c r="AB6691">
        <v>33</v>
      </c>
      <c r="AC6691">
        <v>39.098199999999899</v>
      </c>
      <c r="AD6691">
        <v>3.8243770000000001</v>
      </c>
      <c r="AE6691">
        <v>-15.813085999999901</v>
      </c>
      <c r="AF6691">
        <v>10.2569011273107</v>
      </c>
      <c r="AG6691">
        <v>3.8243770000000001</v>
      </c>
      <c r="AH6691">
        <v>40.553964888930203</v>
      </c>
      <c r="AI6691">
        <v>84.776278818279494</v>
      </c>
      <c r="AJ6691">
        <v>75.8064129438566</v>
      </c>
      <c r="AK6691">
        <v>42.005403799822503</v>
      </c>
      <c r="AL6691">
        <v>86.799984203106405</v>
      </c>
      <c r="AM6691">
        <v>87.384588472108703</v>
      </c>
      <c r="AN6691">
        <v>0.99999999514397497</v>
      </c>
    </row>
    <row r="6692" spans="1:40" x14ac:dyDescent="0.25">
      <c r="A6692" t="str">
        <f>"20190312160503718"</f>
        <v>20190312160503718</v>
      </c>
      <c r="B6692" t="str">
        <f>"1552377903711927"</f>
        <v>1552377903711927</v>
      </c>
      <c r="C6692" t="s">
        <v>40</v>
      </c>
      <c r="D6692">
        <v>6.0686650000000002</v>
      </c>
      <c r="E6692">
        <v>0.57841560000000003</v>
      </c>
      <c r="F6692" t="s">
        <v>104</v>
      </c>
      <c r="G6692">
        <v>-279.55990000000003</v>
      </c>
      <c r="H6692">
        <v>4.8671199999999999</v>
      </c>
      <c r="I6692">
        <v>0.49466709999999903</v>
      </c>
      <c r="J6692">
        <v>-318.49599999999998</v>
      </c>
      <c r="K6692">
        <v>1.098768</v>
      </c>
      <c r="L6692">
        <v>16.376950000000001</v>
      </c>
      <c r="M6692">
        <v>0.99006689999999997</v>
      </c>
      <c r="N6692">
        <v>0</v>
      </c>
      <c r="O6692">
        <v>-0.1390943</v>
      </c>
      <c r="P6692">
        <v>0.98228190000000004</v>
      </c>
      <c r="Q6692">
        <v>3.6028360000000002E-2</v>
      </c>
      <c r="R6692">
        <v>-0.18391279999999999</v>
      </c>
      <c r="S6692">
        <v>2.8305660000000001</v>
      </c>
      <c r="T6692">
        <v>0.27276289999999997</v>
      </c>
      <c r="U6692">
        <v>-1.1516109999999999</v>
      </c>
      <c r="V6692">
        <v>4.6223819999999999E-2</v>
      </c>
      <c r="W6692">
        <v>5.5864160000000003E-2</v>
      </c>
      <c r="X6692">
        <v>0.99736780000000003</v>
      </c>
      <c r="Y6692">
        <v>0.24390780000000001</v>
      </c>
      <c r="Z6692">
        <v>-1.470231E-3</v>
      </c>
      <c r="AA6692">
        <v>0.96979729999999997</v>
      </c>
      <c r="AB6692">
        <v>33</v>
      </c>
      <c r="AC6692">
        <v>38.936099999999897</v>
      </c>
      <c r="AD6692">
        <v>3.7683519999999899</v>
      </c>
      <c r="AE6692">
        <v>-15.8822829</v>
      </c>
      <c r="AF6692">
        <v>10.2287557360526</v>
      </c>
      <c r="AG6692">
        <v>3.7683519999999899</v>
      </c>
      <c r="AH6692">
        <v>40.4422661285789</v>
      </c>
      <c r="AI6692">
        <v>84.838251809728106</v>
      </c>
      <c r="AJ6692">
        <v>75.806272547570998</v>
      </c>
      <c r="AK6692">
        <v>41.885615792519197</v>
      </c>
      <c r="AL6692">
        <v>86.797552187502205</v>
      </c>
      <c r="AM6692">
        <v>87.346479381709798</v>
      </c>
      <c r="AN6692">
        <v>0.99999998719236805</v>
      </c>
    </row>
    <row r="6693" spans="1:40" x14ac:dyDescent="0.25">
      <c r="A6693" t="str">
        <f>"20190312160503728"</f>
        <v>20190312160503728</v>
      </c>
      <c r="B6693" t="str">
        <f>"1552377903721686"</f>
        <v>1552377903721686</v>
      </c>
      <c r="C6693" t="s">
        <v>40</v>
      </c>
      <c r="D6693">
        <v>5.9763080000000004</v>
      </c>
      <c r="E6693">
        <v>0.57831379999999999</v>
      </c>
      <c r="F6693" t="s">
        <v>104</v>
      </c>
      <c r="G6693">
        <v>-279.55990000000003</v>
      </c>
      <c r="H6693">
        <v>4.8142500000000004</v>
      </c>
      <c r="I6693">
        <v>0.3898411</v>
      </c>
      <c r="J6693">
        <v>-318.35840000000002</v>
      </c>
      <c r="K6693">
        <v>1.098149</v>
      </c>
      <c r="L6693">
        <v>16.355899999999998</v>
      </c>
      <c r="M6693">
        <v>0.98969629999999997</v>
      </c>
      <c r="N6693">
        <v>0</v>
      </c>
      <c r="O6693">
        <v>-0.1416056</v>
      </c>
      <c r="P6693">
        <v>0.98164899999999999</v>
      </c>
      <c r="Q6693">
        <v>3.5587019999999997E-2</v>
      </c>
      <c r="R6693">
        <v>-0.1873476</v>
      </c>
      <c r="S6693">
        <v>2.8269350000000002</v>
      </c>
      <c r="T6693">
        <v>0.26976060000000002</v>
      </c>
      <c r="U6693">
        <v>-1.160736</v>
      </c>
      <c r="V6693">
        <v>4.717996E-2</v>
      </c>
      <c r="W6693">
        <v>5.6108390000000001E-2</v>
      </c>
      <c r="X6693">
        <v>0.99730929999999995</v>
      </c>
      <c r="Y6693">
        <v>0.24457809999999999</v>
      </c>
      <c r="Z6693">
        <v>-1.6488259999999999E-3</v>
      </c>
      <c r="AA6693">
        <v>0.96962820000000005</v>
      </c>
      <c r="AB6693">
        <v>33</v>
      </c>
      <c r="AC6693">
        <v>38.798499999999898</v>
      </c>
      <c r="AD6693">
        <v>3.7161010000000001</v>
      </c>
      <c r="AE6693">
        <v>-15.966058899999901</v>
      </c>
      <c r="AF6693">
        <v>10.2295272204407</v>
      </c>
      <c r="AG6693">
        <v>3.7161010000000001</v>
      </c>
      <c r="AH6693">
        <v>40.352177688275603</v>
      </c>
      <c r="AI6693">
        <v>84.898844516066006</v>
      </c>
      <c r="AJ6693">
        <v>75.774839704692198</v>
      </c>
      <c r="AK6693">
        <v>41.794148848638002</v>
      </c>
      <c r="AL6693">
        <v>86.7835368010645</v>
      </c>
      <c r="AM6693">
        <v>87.291513561279501</v>
      </c>
      <c r="AN6693">
        <v>0.99999996996024099</v>
      </c>
    </row>
    <row r="6694" spans="1:40" x14ac:dyDescent="0.25">
      <c r="A6694" t="str">
        <f>"20190312160503739"</f>
        <v>20190312160503739</v>
      </c>
      <c r="B6694" t="str">
        <f>"1552377903731447"</f>
        <v>1552377903731447</v>
      </c>
      <c r="C6694" t="s">
        <v>40</v>
      </c>
      <c r="D6694">
        <v>6.3345050000000001</v>
      </c>
      <c r="E6694">
        <v>0.57819560000000003</v>
      </c>
      <c r="F6694" t="s">
        <v>104</v>
      </c>
      <c r="G6694">
        <v>-279.55990000000003</v>
      </c>
      <c r="H6694">
        <v>4.7776610000000002</v>
      </c>
      <c r="I6694">
        <v>0.27732659999999998</v>
      </c>
      <c r="J6694">
        <v>-318.19850000000002</v>
      </c>
      <c r="K6694">
        <v>1.0972770000000001</v>
      </c>
      <c r="L6694">
        <v>16.330719999999999</v>
      </c>
      <c r="M6694">
        <v>0.98923499999999998</v>
      </c>
      <c r="N6694">
        <v>0</v>
      </c>
      <c r="O6694">
        <v>-0.14469570000000001</v>
      </c>
      <c r="P6694">
        <v>0.98095500000000002</v>
      </c>
      <c r="Q6694">
        <v>3.567377E-2</v>
      </c>
      <c r="R6694">
        <v>-0.1909312</v>
      </c>
      <c r="S6694">
        <v>2.8230900000000001</v>
      </c>
      <c r="T6694">
        <v>0.26773170000000002</v>
      </c>
      <c r="U6694">
        <v>-1.1699219999999999</v>
      </c>
      <c r="V6694">
        <v>4.7722309999999997E-2</v>
      </c>
      <c r="W6694">
        <v>5.6836780000000003E-2</v>
      </c>
      <c r="X6694">
        <v>0.99724230000000003</v>
      </c>
      <c r="Y6694">
        <v>0.24472469999999999</v>
      </c>
      <c r="Z6694">
        <v>-1.9051610000000001E-3</v>
      </c>
      <c r="AA6694">
        <v>0.96959070000000003</v>
      </c>
      <c r="AB6694">
        <v>33</v>
      </c>
      <c r="AC6694">
        <v>38.638599999999997</v>
      </c>
      <c r="AD6694">
        <v>3.6803839999999899</v>
      </c>
      <c r="AE6694">
        <v>-16.053393400000001</v>
      </c>
      <c r="AF6694">
        <v>10.213173905422</v>
      </c>
      <c r="AG6694">
        <v>3.6803839999999899</v>
      </c>
      <c r="AH6694">
        <v>40.243815317196301</v>
      </c>
      <c r="AI6694">
        <v>84.934417042687897</v>
      </c>
      <c r="AJ6694">
        <v>75.759968673801694</v>
      </c>
      <c r="AK6694">
        <v>41.682356206126997</v>
      </c>
      <c r="AL6694">
        <v>86.741736587570301</v>
      </c>
      <c r="AM6694">
        <v>87.260241955900796</v>
      </c>
      <c r="AN6694">
        <v>1.00000002167089</v>
      </c>
    </row>
    <row r="6695" spans="1:40" x14ac:dyDescent="0.25">
      <c r="A6695" t="str">
        <f>"20190312160503749"</f>
        <v>20190312160503749</v>
      </c>
      <c r="B6695" t="str">
        <f>"1552377903742182"</f>
        <v>1552377903742182</v>
      </c>
      <c r="C6695" t="s">
        <v>40</v>
      </c>
      <c r="D6695">
        <v>6.0551009999999996</v>
      </c>
      <c r="E6695">
        <v>0.57806689999999905</v>
      </c>
      <c r="F6695" t="s">
        <v>104</v>
      </c>
      <c r="G6695">
        <v>-279.55990000000003</v>
      </c>
      <c r="H6695">
        <v>4.7622479999999996</v>
      </c>
      <c r="I6695">
        <v>0.16659740000000001</v>
      </c>
      <c r="J6695">
        <v>-318.04610000000002</v>
      </c>
      <c r="K6695">
        <v>1.0964050000000001</v>
      </c>
      <c r="L6695">
        <v>16.30649</v>
      </c>
      <c r="M6695">
        <v>0.98878980000000005</v>
      </c>
      <c r="N6695">
        <v>0</v>
      </c>
      <c r="O6695">
        <v>-0.14761740000000001</v>
      </c>
      <c r="P6695">
        <v>0.9802457</v>
      </c>
      <c r="Q6695">
        <v>3.5713000000000002E-2</v>
      </c>
      <c r="R6695">
        <v>-0.1945335</v>
      </c>
      <c r="S6695">
        <v>2.8189700000000002</v>
      </c>
      <c r="T6695">
        <v>0.26738630000000002</v>
      </c>
      <c r="U6695">
        <v>-1.1792910000000001</v>
      </c>
      <c r="V6695">
        <v>4.845671E-2</v>
      </c>
      <c r="W6695">
        <v>5.7456140000000003E-2</v>
      </c>
      <c r="X6695">
        <v>0.99717129999999998</v>
      </c>
      <c r="Y6695">
        <v>0.24511559999999999</v>
      </c>
      <c r="Z6695">
        <v>-2.1452530000000002E-3</v>
      </c>
      <c r="AA6695">
        <v>0.96949149999999995</v>
      </c>
      <c r="AB6695">
        <v>33</v>
      </c>
      <c r="AC6695">
        <v>38.486199999999997</v>
      </c>
      <c r="AD6695">
        <v>3.6658430000000002</v>
      </c>
      <c r="AE6695">
        <v>-16.1398926</v>
      </c>
      <c r="AF6695">
        <v>10.2016054245632</v>
      </c>
      <c r="AG6695">
        <v>3.6658430000000002</v>
      </c>
      <c r="AH6695">
        <v>40.137788346301797</v>
      </c>
      <c r="AI6695">
        <v>84.941526778517897</v>
      </c>
      <c r="AJ6695">
        <v>75.739398966377294</v>
      </c>
      <c r="AK6695">
        <v>41.575872949003198</v>
      </c>
      <c r="AL6695">
        <v>86.706191488190498</v>
      </c>
      <c r="AM6695">
        <v>87.217947708623399</v>
      </c>
      <c r="AN6695">
        <v>0.99999993115570396</v>
      </c>
    </row>
    <row r="6696" spans="1:40" x14ac:dyDescent="0.25">
      <c r="A6696" t="str">
        <f>"20190312160503760"</f>
        <v>20190312160503760</v>
      </c>
      <c r="B6696" t="str">
        <f>"1552377903751943"</f>
        <v>1552377903751943</v>
      </c>
      <c r="C6696" t="s">
        <v>40</v>
      </c>
      <c r="D6696">
        <v>6.0568099999999996</v>
      </c>
      <c r="E6696">
        <v>0.57790819999999998</v>
      </c>
      <c r="F6696" t="s">
        <v>104</v>
      </c>
      <c r="G6696">
        <v>-279.55990000000003</v>
      </c>
      <c r="H6696">
        <v>4.7485929999999996</v>
      </c>
      <c r="I6696">
        <v>5.5076600000000003E-2</v>
      </c>
      <c r="J6696">
        <v>-317.88490000000002</v>
      </c>
      <c r="K6696">
        <v>1.095321</v>
      </c>
      <c r="L6696">
        <v>16.28021</v>
      </c>
      <c r="M6696">
        <v>0.98832399999999998</v>
      </c>
      <c r="N6696">
        <v>0</v>
      </c>
      <c r="O6696">
        <v>-0.15062310000000001</v>
      </c>
      <c r="P6696">
        <v>0.97954019999999997</v>
      </c>
      <c r="Q6696">
        <v>3.5588269999999998E-2</v>
      </c>
      <c r="R6696">
        <v>-0.1980777</v>
      </c>
      <c r="S6696">
        <v>2.81488</v>
      </c>
      <c r="T6696">
        <v>0.26712129999999901</v>
      </c>
      <c r="U6696">
        <v>-1.1886289999999999</v>
      </c>
      <c r="V6696">
        <v>4.905872E-2</v>
      </c>
      <c r="W6696">
        <v>5.784268E-2</v>
      </c>
      <c r="X6696">
        <v>0.99711959999999999</v>
      </c>
      <c r="Y6696">
        <v>0.24541109999999999</v>
      </c>
      <c r="Z6696">
        <v>-2.3973060000000001E-3</v>
      </c>
      <c r="AA6696">
        <v>0.9694161</v>
      </c>
      <c r="AB6696">
        <v>33</v>
      </c>
      <c r="AC6696">
        <v>38.324999999999903</v>
      </c>
      <c r="AD6696">
        <v>3.6532719999999999</v>
      </c>
      <c r="AE6696">
        <v>-16.225133400000001</v>
      </c>
      <c r="AF6696">
        <v>10.187272716851099</v>
      </c>
      <c r="AG6696">
        <v>3.6532719999999999</v>
      </c>
      <c r="AH6696">
        <v>40.023651050026999</v>
      </c>
      <c r="AI6696">
        <v>84.9449225765796</v>
      </c>
      <c r="AJ6696">
        <v>75.719664858186107</v>
      </c>
      <c r="AK6696">
        <v>41.4610608292625</v>
      </c>
      <c r="AL6696">
        <v>86.684007760365205</v>
      </c>
      <c r="AM6696">
        <v>87.183293932121202</v>
      </c>
      <c r="AN6696">
        <v>1.0000000151708901</v>
      </c>
    </row>
    <row r="6697" spans="1:40" x14ac:dyDescent="0.25">
      <c r="A6697" t="str">
        <f>"20190312160503771"</f>
        <v>20190312160503771</v>
      </c>
      <c r="B6697" t="str">
        <f>"1552377903761703"</f>
        <v>1552377903761703</v>
      </c>
      <c r="C6697" t="s">
        <v>40</v>
      </c>
      <c r="D6697">
        <v>5.6960119999999996</v>
      </c>
      <c r="E6697">
        <v>0.57790819999999998</v>
      </c>
      <c r="F6697" t="s">
        <v>104</v>
      </c>
      <c r="G6697">
        <v>-279.55990000000003</v>
      </c>
      <c r="H6697">
        <v>4.7313049999999999</v>
      </c>
      <c r="I6697">
        <v>-4.6617510000000001E-2</v>
      </c>
      <c r="J6697">
        <v>-317.72590000000002</v>
      </c>
      <c r="K6697">
        <v>1.0941920000000001</v>
      </c>
      <c r="L6697">
        <v>16.25385</v>
      </c>
      <c r="M6697">
        <v>0.98786430000000003</v>
      </c>
      <c r="N6697">
        <v>0</v>
      </c>
      <c r="O6697">
        <v>-0.1535329</v>
      </c>
      <c r="P6697">
        <v>0.97887860000000004</v>
      </c>
      <c r="Q6697">
        <v>3.5520360000000001E-2</v>
      </c>
      <c r="R6697">
        <v>-0.2013335</v>
      </c>
      <c r="S6697">
        <v>2.8108520000000001</v>
      </c>
      <c r="T6697">
        <v>0.26667180000000001</v>
      </c>
      <c r="U6697">
        <v>-1.197449</v>
      </c>
      <c r="V6697">
        <v>4.9468940000000003E-2</v>
      </c>
      <c r="W6697">
        <v>5.8243499999999997E-2</v>
      </c>
      <c r="X6697">
        <v>0.99707599999999996</v>
      </c>
      <c r="Y6697">
        <v>0.24564079999999999</v>
      </c>
      <c r="Z6697">
        <v>-2.6417160000000001E-3</v>
      </c>
      <c r="AA6697">
        <v>0.96935729999999998</v>
      </c>
      <c r="AB6697">
        <v>33</v>
      </c>
      <c r="AC6697">
        <v>38.165999999999997</v>
      </c>
      <c r="AD6697">
        <v>3.6371129999999998</v>
      </c>
      <c r="AE6697">
        <v>-16.300467510000001</v>
      </c>
      <c r="AF6697">
        <v>10.167647167064199</v>
      </c>
      <c r="AG6697">
        <v>3.6371129999999998</v>
      </c>
      <c r="AH6697">
        <v>39.910052406463798</v>
      </c>
      <c r="AI6697">
        <v>84.953194947946997</v>
      </c>
      <c r="AJ6697">
        <v>75.7071416296574</v>
      </c>
      <c r="AK6697">
        <v>41.345155979574699</v>
      </c>
      <c r="AL6697">
        <v>86.661003684405998</v>
      </c>
      <c r="AM6697">
        <v>87.159655566058007</v>
      </c>
      <c r="AN6697">
        <v>1.0000000155464801</v>
      </c>
    </row>
    <row r="6698" spans="1:40" x14ac:dyDescent="0.25">
      <c r="A6698" t="str">
        <f>"20190312160503782"</f>
        <v>20190312160503782</v>
      </c>
      <c r="B6698" t="str">
        <f>"1552377903771463"</f>
        <v>1552377903771463</v>
      </c>
      <c r="C6698" t="s">
        <v>40</v>
      </c>
      <c r="D6698">
        <v>6.06867</v>
      </c>
      <c r="E6698">
        <v>0.57798450000000001</v>
      </c>
      <c r="F6698" t="s">
        <v>104</v>
      </c>
      <c r="G6698">
        <v>-279.55990000000003</v>
      </c>
      <c r="H6698">
        <v>4.7231719999999999</v>
      </c>
      <c r="I6698">
        <v>-0.153862</v>
      </c>
      <c r="J6698">
        <v>-317.5659</v>
      </c>
      <c r="K6698">
        <v>1.0929599999999999</v>
      </c>
      <c r="L6698">
        <v>16.226679999999899</v>
      </c>
      <c r="M6698">
        <v>0.98740930000000005</v>
      </c>
      <c r="N6698">
        <v>0</v>
      </c>
      <c r="O6698">
        <v>-0.15636520000000001</v>
      </c>
      <c r="P6698">
        <v>0.97827929999999996</v>
      </c>
      <c r="Q6698">
        <v>3.5162619999999999E-2</v>
      </c>
      <c r="R6698">
        <v>-0.20428850000000001</v>
      </c>
      <c r="S6698">
        <v>2.8068240000000002</v>
      </c>
      <c r="T6698">
        <v>0.26688460000000003</v>
      </c>
      <c r="U6698">
        <v>-1.2066650000000001</v>
      </c>
      <c r="V6698">
        <v>4.9651599999999997E-2</v>
      </c>
      <c r="W6698">
        <v>5.8297769999999999E-2</v>
      </c>
      <c r="X6698">
        <v>0.99706379999999994</v>
      </c>
      <c r="Y6698">
        <v>0.24605879999999999</v>
      </c>
      <c r="Z6698">
        <v>-2.8770139999999998E-3</v>
      </c>
      <c r="AA6698">
        <v>0.96925059999999996</v>
      </c>
      <c r="AB6698">
        <v>33</v>
      </c>
      <c r="AC6698">
        <v>38.005999999999901</v>
      </c>
      <c r="AD6698">
        <v>3.6302120000000002</v>
      </c>
      <c r="AE6698">
        <v>-16.380541999999998</v>
      </c>
      <c r="AF6698">
        <v>10.1562709985377</v>
      </c>
      <c r="AG6698">
        <v>3.6302120000000002</v>
      </c>
      <c r="AH6698">
        <v>39.794127387720899</v>
      </c>
      <c r="AI6698">
        <v>84.9486720054107</v>
      </c>
      <c r="AJ6698">
        <v>75.682594643690194</v>
      </c>
      <c r="AK6698">
        <v>41.229853920561503</v>
      </c>
      <c r="AL6698">
        <v>86.657889119898101</v>
      </c>
      <c r="AM6698">
        <v>87.149150271728601</v>
      </c>
      <c r="AN6698">
        <v>1.00000006631998</v>
      </c>
    </row>
    <row r="6699" spans="1:40" x14ac:dyDescent="0.25">
      <c r="A6699" t="str">
        <f>"20190312160503793"</f>
        <v>20190312160503793</v>
      </c>
      <c r="B6699" t="str">
        <f>"1552377903782200"</f>
        <v>1552377903782200</v>
      </c>
      <c r="C6699" t="s">
        <v>40</v>
      </c>
      <c r="D6699">
        <v>5.9387179999999997</v>
      </c>
      <c r="E6699">
        <v>0.57795769999999902</v>
      </c>
      <c r="F6699" t="s">
        <v>104</v>
      </c>
      <c r="G6699">
        <v>-279.55990000000003</v>
      </c>
      <c r="H6699">
        <v>4.6903220000000001</v>
      </c>
      <c r="I6699">
        <v>-0.25857350000000001</v>
      </c>
      <c r="J6699">
        <v>-317.40140000000002</v>
      </c>
      <c r="K6699">
        <v>1.0916360000000001</v>
      </c>
      <c r="L6699">
        <v>16.198119999999999</v>
      </c>
      <c r="M6699">
        <v>0.98693839999999999</v>
      </c>
      <c r="N6699">
        <v>0</v>
      </c>
      <c r="O6699">
        <v>-0.1592517</v>
      </c>
      <c r="P6699">
        <v>0.97765800000000003</v>
      </c>
      <c r="Q6699">
        <v>3.505378E-2</v>
      </c>
      <c r="R6699">
        <v>-0.207259</v>
      </c>
      <c r="S6699">
        <v>2.8031619999999999</v>
      </c>
      <c r="T6699">
        <v>0.26532600000000001</v>
      </c>
      <c r="U6699">
        <v>-1.215881</v>
      </c>
      <c r="V6699">
        <v>4.9803279999999998E-2</v>
      </c>
      <c r="W6699">
        <v>5.8548160000000002E-2</v>
      </c>
      <c r="X6699">
        <v>0.99704150000000002</v>
      </c>
      <c r="Y6699">
        <v>0.2463814</v>
      </c>
      <c r="Z6699">
        <v>-3.1009140000000002E-3</v>
      </c>
      <c r="AA6699">
        <v>0.96916800000000003</v>
      </c>
      <c r="AB6699">
        <v>33</v>
      </c>
      <c r="AC6699">
        <v>37.841500000000003</v>
      </c>
      <c r="AD6699">
        <v>3.5986859999999998</v>
      </c>
      <c r="AE6699">
        <v>-16.4566935</v>
      </c>
      <c r="AF6699">
        <v>10.141313001596099</v>
      </c>
      <c r="AG6699">
        <v>3.5986859999999998</v>
      </c>
      <c r="AH6699">
        <v>39.678042884168399</v>
      </c>
      <c r="AI6699">
        <v>84.978182356696493</v>
      </c>
      <c r="AJ6699">
        <v>75.662709321847402</v>
      </c>
      <c r="AK6699">
        <v>41.1113592263846</v>
      </c>
      <c r="AL6699">
        <v>86.643518072040294</v>
      </c>
      <c r="AM6699">
        <v>87.140391831410099</v>
      </c>
      <c r="AN6699">
        <v>1.0000000032301899</v>
      </c>
    </row>
    <row r="6700" spans="1:40" x14ac:dyDescent="0.25">
      <c r="A6700" t="str">
        <f>"20190312160503804"</f>
        <v>20190312160503804</v>
      </c>
      <c r="B6700" t="str">
        <f>"1552377903791959"</f>
        <v>1552377903791959</v>
      </c>
      <c r="C6700" t="s">
        <v>40</v>
      </c>
      <c r="D6700">
        <v>5.9794390000000002</v>
      </c>
      <c r="E6700">
        <v>0.57796700000000001</v>
      </c>
      <c r="F6700" t="s">
        <v>104</v>
      </c>
      <c r="G6700">
        <v>-279.55990000000003</v>
      </c>
      <c r="H6700">
        <v>4.6572940000000003</v>
      </c>
      <c r="I6700">
        <v>-0.3464718</v>
      </c>
      <c r="J6700">
        <v>-317.23070000000001</v>
      </c>
      <c r="K6700">
        <v>1.090214</v>
      </c>
      <c r="L6700">
        <v>16.167999999999999</v>
      </c>
      <c r="M6700">
        <v>0.98644569999999998</v>
      </c>
      <c r="N6700">
        <v>0</v>
      </c>
      <c r="O6700">
        <v>-0.16222220000000001</v>
      </c>
      <c r="P6700">
        <v>0.9770124</v>
      </c>
      <c r="Q6700">
        <v>3.4825340000000003E-2</v>
      </c>
      <c r="R6700">
        <v>-0.2103199</v>
      </c>
      <c r="S6700">
        <v>2.799652</v>
      </c>
      <c r="T6700">
        <v>0.26380049999999999</v>
      </c>
      <c r="U6700">
        <v>-1.22403</v>
      </c>
      <c r="V6700">
        <v>4.9962050000000001E-2</v>
      </c>
      <c r="W6700">
        <v>5.8637649999999999E-2</v>
      </c>
      <c r="X6700">
        <v>0.99702829999999998</v>
      </c>
      <c r="Y6700">
        <v>0.24629119999999999</v>
      </c>
      <c r="Z6700">
        <v>-3.348523E-3</v>
      </c>
      <c r="AA6700">
        <v>0.96919010000000005</v>
      </c>
      <c r="AB6700">
        <v>33</v>
      </c>
      <c r="AC6700">
        <v>37.6707999999999</v>
      </c>
      <c r="AD6700">
        <v>3.5670799999999998</v>
      </c>
      <c r="AE6700">
        <v>-16.514471799999999</v>
      </c>
      <c r="AF6700">
        <v>10.1066781677302</v>
      </c>
      <c r="AG6700">
        <v>3.5670799999999998</v>
      </c>
      <c r="AH6700">
        <v>39.553863618307702</v>
      </c>
      <c r="AI6700">
        <v>85.006428058942305</v>
      </c>
      <c r="AJ6700">
        <v>75.666646949259004</v>
      </c>
      <c r="AK6700">
        <v>40.980204128922502</v>
      </c>
      <c r="AL6700">
        <v>86.638381856885601</v>
      </c>
      <c r="AM6700">
        <v>87.131252851829203</v>
      </c>
      <c r="AN6700">
        <v>1.0000000057192999</v>
      </c>
    </row>
    <row r="6701" spans="1:40" x14ac:dyDescent="0.25">
      <c r="A6701" t="str">
        <f>"20190312160503817"</f>
        <v>20190312160503817</v>
      </c>
      <c r="B6701" t="str">
        <f>"1552377903812039"</f>
        <v>1552377903812039</v>
      </c>
      <c r="C6701" t="s">
        <v>40</v>
      </c>
      <c r="D6701">
        <v>5.8061429999999996</v>
      </c>
      <c r="E6701">
        <v>0.57776930000000004</v>
      </c>
      <c r="F6701" t="s">
        <v>104</v>
      </c>
      <c r="G6701">
        <v>-279.55990000000003</v>
      </c>
      <c r="H6701">
        <v>4.6129939999999996</v>
      </c>
      <c r="I6701">
        <v>-0.44234279999999998</v>
      </c>
      <c r="J6701">
        <v>-317.04489999999998</v>
      </c>
      <c r="K6701">
        <v>1.088611</v>
      </c>
      <c r="L6701">
        <v>16.134119999999999</v>
      </c>
      <c r="M6701">
        <v>0.98589210000000005</v>
      </c>
      <c r="N6701">
        <v>0</v>
      </c>
      <c r="O6701">
        <v>-0.16551469999999999</v>
      </c>
      <c r="P6701">
        <v>0.97627920000000001</v>
      </c>
      <c r="Q6701">
        <v>3.4446490000000003E-2</v>
      </c>
      <c r="R6701">
        <v>-0.213759</v>
      </c>
      <c r="S6701">
        <v>2.7959290000000001</v>
      </c>
      <c r="T6701">
        <v>0.26146049999999998</v>
      </c>
      <c r="U6701">
        <v>-1.2328190000000001</v>
      </c>
      <c r="V6701">
        <v>5.0177729999999997E-2</v>
      </c>
      <c r="W6701">
        <v>5.8481039999999998E-2</v>
      </c>
      <c r="X6701">
        <v>0.99702670000000004</v>
      </c>
      <c r="Y6701">
        <v>0.2460996</v>
      </c>
      <c r="Z6701">
        <v>-3.6144789999999999E-3</v>
      </c>
      <c r="AA6701">
        <v>0.96923780000000004</v>
      </c>
      <c r="AB6701">
        <v>33</v>
      </c>
      <c r="AC6701">
        <v>37.4849999999999</v>
      </c>
      <c r="AD6701">
        <v>3.5243829999999998</v>
      </c>
      <c r="AE6701">
        <v>-16.576462799999899</v>
      </c>
      <c r="AF6701">
        <v>10.067002109738199</v>
      </c>
      <c r="AG6701">
        <v>3.5243829999999998</v>
      </c>
      <c r="AH6701">
        <v>39.420681121208098</v>
      </c>
      <c r="AI6701">
        <v>85.049146658468402</v>
      </c>
      <c r="AJ6701">
        <v>75.674350002014293</v>
      </c>
      <c r="AK6701">
        <v>40.8381672834144</v>
      </c>
      <c r="AL6701">
        <v>86.647370484067807</v>
      </c>
      <c r="AM6701">
        <v>87.118885029540905</v>
      </c>
      <c r="AN6701">
        <v>1.00000003857016</v>
      </c>
    </row>
    <row r="6702" spans="1:40" x14ac:dyDescent="0.25">
      <c r="A6702" t="str">
        <f>"20190312160503830"</f>
        <v>20190312160503830</v>
      </c>
      <c r="B6702" t="str">
        <f>"1552377903821775"</f>
        <v>1552377903821775</v>
      </c>
      <c r="C6702" t="s">
        <v>40</v>
      </c>
      <c r="D6702">
        <v>5.809374</v>
      </c>
      <c r="E6702">
        <v>0.5776308</v>
      </c>
      <c r="F6702" t="s">
        <v>104</v>
      </c>
      <c r="G6702">
        <v>-279.55990000000003</v>
      </c>
      <c r="H6702">
        <v>4.5556020000000004</v>
      </c>
      <c r="I6702">
        <v>-0.52684589999999998</v>
      </c>
      <c r="J6702">
        <v>-316.86799999999999</v>
      </c>
      <c r="K6702">
        <v>1.0870649999999999</v>
      </c>
      <c r="L6702">
        <v>16.101410000000001</v>
      </c>
      <c r="M6702">
        <v>0.98535309999999998</v>
      </c>
      <c r="N6702">
        <v>0</v>
      </c>
      <c r="O6702">
        <v>-0.1686636</v>
      </c>
      <c r="P6702">
        <v>0.97562000000000004</v>
      </c>
      <c r="Q6702">
        <v>3.3855179999999999E-2</v>
      </c>
      <c r="R6702">
        <v>-0.21684030000000001</v>
      </c>
      <c r="S6702">
        <v>2.792084</v>
      </c>
      <c r="T6702">
        <v>0.25823970000000002</v>
      </c>
      <c r="U6702">
        <v>-1.2409969999999999</v>
      </c>
      <c r="V6702">
        <v>5.0164439999999998E-2</v>
      </c>
      <c r="W6702">
        <v>5.8062130000000003E-2</v>
      </c>
      <c r="X6702">
        <v>0.99705180000000004</v>
      </c>
      <c r="Y6702">
        <v>0.24588699999999999</v>
      </c>
      <c r="Z6702">
        <v>-3.8510570000000002E-3</v>
      </c>
      <c r="AA6702">
        <v>0.96929089999999996</v>
      </c>
      <c r="AB6702">
        <v>33</v>
      </c>
      <c r="AC6702">
        <v>37.308099999999897</v>
      </c>
      <c r="AD6702">
        <v>3.4685369999999902</v>
      </c>
      <c r="AE6702">
        <v>-16.628255899999999</v>
      </c>
      <c r="AF6702">
        <v>10.0230986146699</v>
      </c>
      <c r="AG6702">
        <v>3.4685369999999902</v>
      </c>
      <c r="AH6702">
        <v>39.295381366011298</v>
      </c>
      <c r="AI6702">
        <v>85.111399546742604</v>
      </c>
      <c r="AJ6702">
        <v>75.690647215736007</v>
      </c>
      <c r="AK6702">
        <v>40.701600109332702</v>
      </c>
      <c r="AL6702">
        <v>86.671412940252196</v>
      </c>
      <c r="AM6702">
        <v>87.119719220776702</v>
      </c>
      <c r="AN6702">
        <v>0.99999998693194503</v>
      </c>
    </row>
    <row r="6703" spans="1:40" x14ac:dyDescent="0.25">
      <c r="A6703" t="str">
        <f>"20190312160503842"</f>
        <v>20190312160503842</v>
      </c>
      <c r="B6703" t="str">
        <f>"1552377903831535"</f>
        <v>1552377903831535</v>
      </c>
      <c r="C6703" t="s">
        <v>40</v>
      </c>
      <c r="D6703">
        <v>6.2530580000000002</v>
      </c>
      <c r="E6703">
        <v>0.57750889999999999</v>
      </c>
      <c r="F6703" t="s">
        <v>104</v>
      </c>
      <c r="G6703">
        <v>-279.55990000000003</v>
      </c>
      <c r="H6703">
        <v>4.5093030000000001</v>
      </c>
      <c r="I6703">
        <v>-0.60809329999999995</v>
      </c>
      <c r="J6703">
        <v>-316.69290000000001</v>
      </c>
      <c r="K6703">
        <v>1.085507</v>
      </c>
      <c r="L6703">
        <v>16.068079999999998</v>
      </c>
      <c r="M6703">
        <v>0.98480860000000003</v>
      </c>
      <c r="N6703">
        <v>0</v>
      </c>
      <c r="O6703">
        <v>-0.17179529999999901</v>
      </c>
      <c r="P6703">
        <v>0.97490220000000005</v>
      </c>
      <c r="Q6703">
        <v>3.3580310000000002E-2</v>
      </c>
      <c r="R6703">
        <v>-0.2200878</v>
      </c>
      <c r="S6703">
        <v>2.7884829999999998</v>
      </c>
      <c r="T6703">
        <v>0.25578489999999998</v>
      </c>
      <c r="U6703">
        <v>-1.248901</v>
      </c>
      <c r="V6703">
        <v>5.0341570000000002E-2</v>
      </c>
      <c r="W6703">
        <v>5.7888380000000003E-2</v>
      </c>
      <c r="X6703">
        <v>0.99705299999999997</v>
      </c>
      <c r="Y6703">
        <v>0.24557709999999999</v>
      </c>
      <c r="Z6703">
        <v>-4.0955089999999998E-3</v>
      </c>
      <c r="AA6703">
        <v>0.96936840000000002</v>
      </c>
      <c r="AB6703">
        <v>33</v>
      </c>
      <c r="AC6703">
        <v>37.132999999999903</v>
      </c>
      <c r="AD6703">
        <v>3.4237959999999998</v>
      </c>
      <c r="AE6703">
        <v>-16.676173299999999</v>
      </c>
      <c r="AF6703">
        <v>9.9761933148061601</v>
      </c>
      <c r="AG6703">
        <v>3.4237959999999998</v>
      </c>
      <c r="AH6703">
        <v>39.169270133909002</v>
      </c>
      <c r="AI6703">
        <v>85.158260648409893</v>
      </c>
      <c r="AJ6703">
        <v>75.710890504771498</v>
      </c>
      <c r="AK6703">
        <v>40.5644984552643</v>
      </c>
      <c r="AL6703">
        <v>86.681384936295899</v>
      </c>
      <c r="AM6703">
        <v>87.109569675010206</v>
      </c>
      <c r="AN6703">
        <v>1.0000000115090399</v>
      </c>
    </row>
    <row r="6704" spans="1:40" x14ac:dyDescent="0.25">
      <c r="A6704" t="str">
        <f>"20190312160503853"</f>
        <v>20190312160503853</v>
      </c>
      <c r="B6704" t="str">
        <f>"1552377903842272"</f>
        <v>1552377903842272</v>
      </c>
      <c r="C6704" t="s">
        <v>40</v>
      </c>
      <c r="D6704">
        <v>5.9058789999999997</v>
      </c>
      <c r="E6704">
        <v>0.57735349999999996</v>
      </c>
      <c r="F6704" t="s">
        <v>104</v>
      </c>
      <c r="G6704">
        <v>-279.55990000000003</v>
      </c>
      <c r="H6704">
        <v>4.4767330000000003</v>
      </c>
      <c r="I6704">
        <v>-0.69746969999999997</v>
      </c>
      <c r="J6704">
        <v>-316.52640000000002</v>
      </c>
      <c r="K6704">
        <v>1.084025</v>
      </c>
      <c r="L6704">
        <v>16.035799999999998</v>
      </c>
      <c r="M6704">
        <v>0.98427880000000001</v>
      </c>
      <c r="N6704">
        <v>0</v>
      </c>
      <c r="O6704">
        <v>-0.17479220000000001</v>
      </c>
      <c r="P6704">
        <v>0.97426199999999996</v>
      </c>
      <c r="Q6704">
        <v>3.341044E-2</v>
      </c>
      <c r="R6704">
        <v>-0.22292880000000001</v>
      </c>
      <c r="S6704">
        <v>2.784637</v>
      </c>
      <c r="T6704">
        <v>0.25431100000000001</v>
      </c>
      <c r="U6704">
        <v>-1.257263</v>
      </c>
      <c r="V6704">
        <v>5.023623E-2</v>
      </c>
      <c r="W6704">
        <v>5.7780320000000003E-2</v>
      </c>
      <c r="X6704">
        <v>0.99706459999999997</v>
      </c>
      <c r="Y6704">
        <v>0.245559</v>
      </c>
      <c r="Z6704">
        <v>-4.3274539999999997E-3</v>
      </c>
      <c r="AA6704">
        <v>0.96937200000000001</v>
      </c>
      <c r="AB6704">
        <v>33</v>
      </c>
      <c r="AC6704">
        <v>36.966500000000003</v>
      </c>
      <c r="AD6704">
        <v>3.3927079999999998</v>
      </c>
      <c r="AE6704">
        <v>-16.733269699999902</v>
      </c>
      <c r="AF6704">
        <v>9.9424603596283205</v>
      </c>
      <c r="AG6704">
        <v>3.3927079999999998</v>
      </c>
      <c r="AH6704">
        <v>39.049841924337699</v>
      </c>
      <c r="AI6704">
        <v>85.187315014732903</v>
      </c>
      <c r="AJ6704">
        <v>75.7154585829702</v>
      </c>
      <c r="AK6704">
        <v>40.438263314487202</v>
      </c>
      <c r="AL6704">
        <v>86.687586761287207</v>
      </c>
      <c r="AM6704">
        <v>87.115641192123803</v>
      </c>
      <c r="AN6704">
        <v>1.0000000303785299</v>
      </c>
    </row>
    <row r="6705" spans="1:40" x14ac:dyDescent="0.25">
      <c r="A6705" t="str">
        <f>"20190312160503865"</f>
        <v>20190312160503865</v>
      </c>
      <c r="B6705" t="str">
        <f>"1552377903861791"</f>
        <v>1552377903861791</v>
      </c>
      <c r="C6705" t="s">
        <v>40</v>
      </c>
      <c r="D6705">
        <v>5.6973320000000003</v>
      </c>
      <c r="E6705">
        <v>0.57708009999999998</v>
      </c>
      <c r="F6705" t="s">
        <v>104</v>
      </c>
      <c r="G6705">
        <v>-279.55990000000003</v>
      </c>
      <c r="H6705">
        <v>4.4496250000000002</v>
      </c>
      <c r="I6705">
        <v>-0.76638980000000001</v>
      </c>
      <c r="J6705">
        <v>-316.34140000000002</v>
      </c>
      <c r="K6705">
        <v>1.082381</v>
      </c>
      <c r="L6705">
        <v>15.999359999999999</v>
      </c>
      <c r="M6705">
        <v>0.98367740000000004</v>
      </c>
      <c r="N6705">
        <v>0</v>
      </c>
      <c r="O6705">
        <v>-0.178138299999999</v>
      </c>
      <c r="P6705">
        <v>0.97359839999999997</v>
      </c>
      <c r="Q6705">
        <v>3.2880180000000002E-2</v>
      </c>
      <c r="R6705">
        <v>-0.22588730000000001</v>
      </c>
      <c r="S6705">
        <v>2.7812809999999999</v>
      </c>
      <c r="T6705">
        <v>0.25322040000000001</v>
      </c>
      <c r="U6705">
        <v>-1.26416</v>
      </c>
      <c r="V6705">
        <v>4.9886850000000003E-2</v>
      </c>
      <c r="W6705">
        <v>5.7286660000000003E-2</v>
      </c>
      <c r="X6705">
        <v>0.99711059999999996</v>
      </c>
      <c r="Y6705">
        <v>0.24471109999999999</v>
      </c>
      <c r="Z6705">
        <v>-4.6285559999999998E-3</v>
      </c>
      <c r="AA6705">
        <v>0.96958500000000003</v>
      </c>
      <c r="AB6705">
        <v>33</v>
      </c>
      <c r="AC6705">
        <v>36.781500000000001</v>
      </c>
      <c r="AD6705">
        <v>3.3672439999999999</v>
      </c>
      <c r="AE6705">
        <v>-16.765749799999998</v>
      </c>
      <c r="AF6705">
        <v>9.8745839687892705</v>
      </c>
      <c r="AG6705">
        <v>3.3672439999999999</v>
      </c>
      <c r="AH6705">
        <v>38.910395851755098</v>
      </c>
      <c r="AI6705">
        <v>85.205281891903596</v>
      </c>
      <c r="AJ6705">
        <v>75.760233572357194</v>
      </c>
      <c r="AK6705">
        <v>40.284794228747003</v>
      </c>
      <c r="AL6705">
        <v>86.715918237314099</v>
      </c>
      <c r="AM6705">
        <v>87.135799560862097</v>
      </c>
      <c r="AN6705">
        <v>1.00000000392461</v>
      </c>
    </row>
    <row r="6706" spans="1:40" x14ac:dyDescent="0.25">
      <c r="A6706" t="str">
        <f>"20190312160503877"</f>
        <v>20190312160503877</v>
      </c>
      <c r="B6706" t="str">
        <f>"1552377903871550"</f>
        <v>1552377903871550</v>
      </c>
      <c r="C6706" t="s">
        <v>40</v>
      </c>
      <c r="D6706">
        <v>5.6995649999999998</v>
      </c>
      <c r="E6706">
        <v>0.57694799999999902</v>
      </c>
      <c r="F6706" t="s">
        <v>104</v>
      </c>
      <c r="G6706">
        <v>-279.19940000000003</v>
      </c>
      <c r="H6706">
        <v>4.4290070000000004</v>
      </c>
      <c r="I6706">
        <v>-0.98576739999999996</v>
      </c>
      <c r="J6706">
        <v>-316.19159999999999</v>
      </c>
      <c r="K6706">
        <v>1.0810690000000001</v>
      </c>
      <c r="L6706">
        <v>15.96893</v>
      </c>
      <c r="M6706">
        <v>0.98316809999999999</v>
      </c>
      <c r="N6706">
        <v>0</v>
      </c>
      <c r="O6706">
        <v>-0.18093409999999999</v>
      </c>
      <c r="P6706">
        <v>0.97289789999999998</v>
      </c>
      <c r="Q6706">
        <v>3.321644E-2</v>
      </c>
      <c r="R6706">
        <v>-0.22883729999999999</v>
      </c>
      <c r="S6706">
        <v>2.7781370000000001</v>
      </c>
      <c r="T6706">
        <v>0.25031959999999998</v>
      </c>
      <c r="U6706">
        <v>-1.2704470000000001</v>
      </c>
      <c r="V6706">
        <v>5.0096340000000003E-2</v>
      </c>
      <c r="W6706">
        <v>5.7569910000000002E-2</v>
      </c>
      <c r="X6706">
        <v>0.99708379999999996</v>
      </c>
      <c r="Y6706">
        <v>0.2442001</v>
      </c>
      <c r="Z6706">
        <v>-4.8315629999999997E-3</v>
      </c>
      <c r="AA6706">
        <v>0.96971289999999999</v>
      </c>
      <c r="AB6706">
        <v>33</v>
      </c>
      <c r="AC6706">
        <v>36.992199999999897</v>
      </c>
      <c r="AD6706">
        <v>3.3479379999999899</v>
      </c>
      <c r="AE6706">
        <v>-16.954697399999901</v>
      </c>
      <c r="AF6706">
        <v>9.9122815222303693</v>
      </c>
      <c r="AG6706">
        <v>3.3479379999999899</v>
      </c>
      <c r="AH6706">
        <v>39.184684507964</v>
      </c>
      <c r="AI6706">
        <v>85.264950163663599</v>
      </c>
      <c r="AJ6706">
        <v>75.804078699935403</v>
      </c>
      <c r="AK6706">
        <v>40.557385441081699</v>
      </c>
      <c r="AL6706">
        <v>86.699662436149296</v>
      </c>
      <c r="AM6706">
        <v>87.123714891202695</v>
      </c>
      <c r="AN6706">
        <v>1.0000000210206199</v>
      </c>
    </row>
    <row r="6707" spans="1:40" x14ac:dyDescent="0.25">
      <c r="A6707" t="str">
        <f>"20190312160503888"</f>
        <v>20190312160503888</v>
      </c>
      <c r="B6707" t="str">
        <f>"1552377903882287"</f>
        <v>1552377903882287</v>
      </c>
      <c r="C6707" t="s">
        <v>40</v>
      </c>
      <c r="D6707">
        <v>5.9246460000000001</v>
      </c>
      <c r="E6707">
        <v>0.57677149999999999</v>
      </c>
      <c r="F6707" t="s">
        <v>104</v>
      </c>
      <c r="G6707">
        <v>-279.14429999999999</v>
      </c>
      <c r="H6707">
        <v>4.4290419999999999</v>
      </c>
      <c r="I6707">
        <v>-1.0940110000000001</v>
      </c>
      <c r="J6707">
        <v>-316.03050000000002</v>
      </c>
      <c r="K6707">
        <v>1.0796650000000001</v>
      </c>
      <c r="L6707">
        <v>15.936070000000001</v>
      </c>
      <c r="M6707">
        <v>0.98260879999999995</v>
      </c>
      <c r="N6707">
        <v>0</v>
      </c>
      <c r="O6707">
        <v>-0.18395510000000001</v>
      </c>
      <c r="P6707">
        <v>0.97221040000000003</v>
      </c>
      <c r="Q6707">
        <v>3.3402220000000003E-2</v>
      </c>
      <c r="R6707">
        <v>-0.2317147</v>
      </c>
      <c r="S6707">
        <v>2.7744450000000001</v>
      </c>
      <c r="T6707">
        <v>0.25072739999999999</v>
      </c>
      <c r="U6707">
        <v>-1.2778320000000001</v>
      </c>
      <c r="V6707">
        <v>4.999878E-2</v>
      </c>
      <c r="W6707">
        <v>5.7691300000000001E-2</v>
      </c>
      <c r="X6707">
        <v>0.99708160000000001</v>
      </c>
      <c r="Y6707">
        <v>0.2438497</v>
      </c>
      <c r="Z6707">
        <v>-5.1079080000000004E-3</v>
      </c>
      <c r="AA6707">
        <v>0.96979959999999998</v>
      </c>
      <c r="AB6707">
        <v>33</v>
      </c>
      <c r="AC6707">
        <v>36.886200000000002</v>
      </c>
      <c r="AD6707">
        <v>3.3493769999999898</v>
      </c>
      <c r="AE6707">
        <v>-17.030080999999999</v>
      </c>
      <c r="AF6707">
        <v>9.8845106330271495</v>
      </c>
      <c r="AG6707">
        <v>3.3493769999999898</v>
      </c>
      <c r="AH6707">
        <v>39.124185427584202</v>
      </c>
      <c r="AI6707">
        <v>85.255274927519594</v>
      </c>
      <c r="AJ6707">
        <v>75.821239174059698</v>
      </c>
      <c r="AK6707">
        <v>40.492267929995599</v>
      </c>
      <c r="AL6707">
        <v>86.692695456423806</v>
      </c>
      <c r="AM6707">
        <v>87.129300603863896</v>
      </c>
      <c r="AN6707">
        <v>0.99999994057786701</v>
      </c>
    </row>
    <row r="6708" spans="1:40" x14ac:dyDescent="0.25">
      <c r="A6708" t="str">
        <f>"20190312160503897"</f>
        <v>20190312160503897</v>
      </c>
      <c r="B6708" t="str">
        <f>"1552377903892047"</f>
        <v>1552377903892047</v>
      </c>
      <c r="C6708" t="s">
        <v>40</v>
      </c>
      <c r="D6708">
        <v>5.9636820000000004</v>
      </c>
      <c r="E6708">
        <v>0.57659890000000003</v>
      </c>
      <c r="F6708" t="s">
        <v>104</v>
      </c>
      <c r="G6708">
        <v>-279.02</v>
      </c>
      <c r="H6708">
        <v>4.4272839999999896</v>
      </c>
      <c r="I6708">
        <v>-1.2236370000000001</v>
      </c>
      <c r="J6708">
        <v>-315.87740000000002</v>
      </c>
      <c r="K6708">
        <v>1.0783750000000001</v>
      </c>
      <c r="L6708">
        <v>15.90381</v>
      </c>
      <c r="M6708">
        <v>0.98204369999999996</v>
      </c>
      <c r="N6708">
        <v>0</v>
      </c>
      <c r="O6708">
        <v>-0.18696699999999999</v>
      </c>
      <c r="P6708">
        <v>0.97145429999999999</v>
      </c>
      <c r="Q6708">
        <v>3.3643819999999998E-2</v>
      </c>
      <c r="R6708">
        <v>-0.23482990000000001</v>
      </c>
      <c r="S6708">
        <v>2.7709350000000001</v>
      </c>
      <c r="T6708">
        <v>0.25063279999999999</v>
      </c>
      <c r="U6708">
        <v>-1.284729</v>
      </c>
      <c r="V6708">
        <v>5.0147249999999997E-2</v>
      </c>
      <c r="W6708">
        <v>5.7785549999999998E-2</v>
      </c>
      <c r="X6708">
        <v>0.99706879999999998</v>
      </c>
      <c r="Y6708">
        <v>0.24334359999999999</v>
      </c>
      <c r="Z6708">
        <v>-5.3803050000000002E-3</v>
      </c>
      <c r="AA6708">
        <v>0.96992520000000004</v>
      </c>
      <c r="AB6708">
        <v>33</v>
      </c>
      <c r="AC6708">
        <v>36.857399999999998</v>
      </c>
      <c r="AD6708">
        <v>3.3489089999999901</v>
      </c>
      <c r="AE6708">
        <v>-17.127447</v>
      </c>
      <c r="AF6708">
        <v>9.8649512693757604</v>
      </c>
      <c r="AG6708">
        <v>3.3489089999999901</v>
      </c>
      <c r="AH6708">
        <v>39.144554137136197</v>
      </c>
      <c r="AI6708">
        <v>85.257685436013503</v>
      </c>
      <c r="AJ6708">
        <v>75.855235845954894</v>
      </c>
      <c r="AK6708">
        <v>40.507142254578099</v>
      </c>
      <c r="AL6708">
        <v>86.687286681865601</v>
      </c>
      <c r="AM6708">
        <v>87.120753563457697</v>
      </c>
      <c r="AN6708">
        <v>1.0000000542023999</v>
      </c>
    </row>
    <row r="6709" spans="1:40" x14ac:dyDescent="0.25">
      <c r="A6709" t="str">
        <f>"20190312160503908"</f>
        <v>20190312160503908</v>
      </c>
      <c r="B6709" t="str">
        <f>"1552377903901808"</f>
        <v>1552377903901808</v>
      </c>
      <c r="C6709" t="s">
        <v>40</v>
      </c>
      <c r="D6709">
        <v>6.107882</v>
      </c>
      <c r="E6709">
        <v>0.57644709999999999</v>
      </c>
      <c r="F6709" t="s">
        <v>104</v>
      </c>
      <c r="G6709">
        <v>-279.02</v>
      </c>
      <c r="H6709">
        <v>4.4143829999999999</v>
      </c>
      <c r="I6709">
        <v>-1.310082</v>
      </c>
      <c r="J6709">
        <v>-315.7355</v>
      </c>
      <c r="K6709">
        <v>1.077186</v>
      </c>
      <c r="L6709">
        <v>15.87384</v>
      </c>
      <c r="M6709">
        <v>0.98150769999999998</v>
      </c>
      <c r="N6709">
        <v>0</v>
      </c>
      <c r="O6709">
        <v>-0.18977810000000001</v>
      </c>
      <c r="P6709">
        <v>0.97070120000000004</v>
      </c>
      <c r="Q6709">
        <v>3.4042839999999998E-2</v>
      </c>
      <c r="R6709">
        <v>-0.2378663</v>
      </c>
      <c r="S6709">
        <v>2.7671199999999998</v>
      </c>
      <c r="T6709">
        <v>0.2504557</v>
      </c>
      <c r="U6709">
        <v>-1.2923579999999999</v>
      </c>
      <c r="V6709">
        <v>5.042261E-2</v>
      </c>
      <c r="W6709">
        <v>5.8038340000000001E-2</v>
      </c>
      <c r="X6709">
        <v>0.99704020000000004</v>
      </c>
      <c r="Y6709">
        <v>0.24328440000000001</v>
      </c>
      <c r="Z6709">
        <v>-5.6150360000000003E-3</v>
      </c>
      <c r="AA6709">
        <v>0.96993879999999999</v>
      </c>
      <c r="AB6709">
        <v>33</v>
      </c>
      <c r="AC6709">
        <v>36.715499999999999</v>
      </c>
      <c r="AD6709">
        <v>3.3371970000000002</v>
      </c>
      <c r="AE6709">
        <v>-17.183921999999999</v>
      </c>
      <c r="AF6709">
        <v>9.8348067579135297</v>
      </c>
      <c r="AG6709">
        <v>3.3371970000000002</v>
      </c>
      <c r="AH6709">
        <v>39.045387972256201</v>
      </c>
      <c r="AI6709">
        <v>85.262099947257099</v>
      </c>
      <c r="AJ6709">
        <v>75.862346523346304</v>
      </c>
      <c r="AK6709">
        <v>40.403002731063502</v>
      </c>
      <c r="AL6709">
        <v>86.672778434350107</v>
      </c>
      <c r="AM6709">
        <v>87.104887457947299</v>
      </c>
      <c r="AN6709">
        <v>1.0000000244625999</v>
      </c>
    </row>
    <row r="6710" spans="1:40" x14ac:dyDescent="0.25">
      <c r="A6710" t="str">
        <f>"20190312160503917"</f>
        <v>20190312160503917</v>
      </c>
      <c r="B6710" t="str">
        <f>"1552377903912158"</f>
        <v>1552377903912158</v>
      </c>
      <c r="C6710" t="s">
        <v>40</v>
      </c>
      <c r="D6710">
        <v>5.8175800000000004</v>
      </c>
      <c r="E6710">
        <v>0.57626299999999997</v>
      </c>
      <c r="F6710" t="s">
        <v>104</v>
      </c>
      <c r="G6710">
        <v>-279.02</v>
      </c>
      <c r="H6710">
        <v>4.4074849999999897</v>
      </c>
      <c r="I6710">
        <v>-1.3979839999999999</v>
      </c>
      <c r="J6710">
        <v>-315.59539999999998</v>
      </c>
      <c r="K6710">
        <v>1.076065</v>
      </c>
      <c r="L6710">
        <v>15.84341</v>
      </c>
      <c r="M6710">
        <v>0.98094020000000004</v>
      </c>
      <c r="N6710">
        <v>0</v>
      </c>
      <c r="O6710">
        <v>-0.19271460000000001</v>
      </c>
      <c r="P6710">
        <v>0.96988750000000001</v>
      </c>
      <c r="Q6710">
        <v>3.4664090000000002E-2</v>
      </c>
      <c r="R6710">
        <v>-0.2410747</v>
      </c>
      <c r="S6710">
        <v>2.763245</v>
      </c>
      <c r="T6710">
        <v>0.25064189999999997</v>
      </c>
      <c r="U6710">
        <v>-1.2998959999999999</v>
      </c>
      <c r="V6710">
        <v>5.0747250000000001E-2</v>
      </c>
      <c r="W6710">
        <v>5.8466289999999997E-2</v>
      </c>
      <c r="X6710">
        <v>0.99699870000000002</v>
      </c>
      <c r="Y6710">
        <v>0.24308260000000001</v>
      </c>
      <c r="Z6710">
        <v>-5.8746379999999997E-3</v>
      </c>
      <c r="AA6710">
        <v>0.96998779999999996</v>
      </c>
      <c r="AB6710">
        <v>33</v>
      </c>
      <c r="AC6710">
        <v>36.575400000000002</v>
      </c>
      <c r="AD6710">
        <v>3.33142</v>
      </c>
      <c r="AE6710">
        <v>-17.241394</v>
      </c>
      <c r="AF6710">
        <v>9.8006835344774892</v>
      </c>
      <c r="AG6710">
        <v>3.33142</v>
      </c>
      <c r="AH6710">
        <v>38.948676625168801</v>
      </c>
      <c r="AI6710">
        <v>85.2582936657315</v>
      </c>
      <c r="AJ6710">
        <v>75.875853047503895</v>
      </c>
      <c r="AK6710">
        <v>40.300758898702497</v>
      </c>
      <c r="AL6710">
        <v>86.648216912928802</v>
      </c>
      <c r="AM6710">
        <v>87.086158562118399</v>
      </c>
      <c r="AN6710">
        <v>0.99999999912530801</v>
      </c>
    </row>
    <row r="6711" spans="1:40" x14ac:dyDescent="0.25">
      <c r="A6711" t="str">
        <f>"20190312160503928"</f>
        <v>20190312160503928</v>
      </c>
      <c r="B6711" t="str">
        <f>"1552377903921901"</f>
        <v>1552377903921901</v>
      </c>
      <c r="C6711" t="s">
        <v>40</v>
      </c>
      <c r="D6711">
        <v>4.756227</v>
      </c>
      <c r="E6711">
        <v>0.57608199999999998</v>
      </c>
      <c r="F6711" t="s">
        <v>104</v>
      </c>
      <c r="G6711">
        <v>-279.02</v>
      </c>
      <c r="H6711">
        <v>4.4124080000000001</v>
      </c>
      <c r="I6711">
        <v>-1.4909539999999999</v>
      </c>
      <c r="J6711">
        <v>-315.45060000000001</v>
      </c>
      <c r="K6711">
        <v>1.0749150000000001</v>
      </c>
      <c r="L6711">
        <v>15.8118</v>
      </c>
      <c r="M6711">
        <v>0.98033990000000004</v>
      </c>
      <c r="N6711">
        <v>0</v>
      </c>
      <c r="O6711">
        <v>-0.19577049999999999</v>
      </c>
      <c r="P6711">
        <v>0.96899020000000002</v>
      </c>
      <c r="Q6711">
        <v>3.5015860000000003E-2</v>
      </c>
      <c r="R6711">
        <v>-0.2446055</v>
      </c>
      <c r="S6711">
        <v>2.759125</v>
      </c>
      <c r="T6711">
        <v>0.25168279999999998</v>
      </c>
      <c r="U6711">
        <v>-1.3076479999999999</v>
      </c>
      <c r="V6711">
        <v>5.127545E-2</v>
      </c>
      <c r="W6711">
        <v>5.8611940000000001E-2</v>
      </c>
      <c r="X6711">
        <v>0.99696309999999999</v>
      </c>
      <c r="Y6711">
        <v>0.2428555</v>
      </c>
      <c r="Z6711">
        <v>-6.1669250000000002E-3</v>
      </c>
      <c r="AA6711">
        <v>0.97004290000000004</v>
      </c>
      <c r="AB6711">
        <v>33</v>
      </c>
      <c r="AC6711">
        <v>36.430599999999998</v>
      </c>
      <c r="AD6711">
        <v>3.3374929999999998</v>
      </c>
      <c r="AE6711">
        <v>-17.302754</v>
      </c>
      <c r="AF6711">
        <v>9.7666486903154297</v>
      </c>
      <c r="AG6711">
        <v>3.3374929999999998</v>
      </c>
      <c r="AH6711">
        <v>38.8475936620776</v>
      </c>
      <c r="AI6711">
        <v>85.237137353176294</v>
      </c>
      <c r="AJ6711">
        <v>75.887781371684</v>
      </c>
      <c r="AK6711">
        <v>40.195295987204503</v>
      </c>
      <c r="AL6711">
        <v>86.639857372756197</v>
      </c>
      <c r="AM6711">
        <v>87.055778140153095</v>
      </c>
      <c r="AN6711">
        <v>0.99999997702243704</v>
      </c>
    </row>
    <row r="6712" spans="1:40" x14ac:dyDescent="0.25">
      <c r="A6712" t="str">
        <f>"20190312160503939"</f>
        <v>20190312160503939</v>
      </c>
      <c r="B6712" t="str">
        <f>"1552377903931660"</f>
        <v>1552377903931660</v>
      </c>
      <c r="C6712" t="s">
        <v>40</v>
      </c>
      <c r="D6712">
        <v>5.6158140000000003</v>
      </c>
      <c r="E6712">
        <v>0.57596269999999905</v>
      </c>
      <c r="F6712" t="s">
        <v>104</v>
      </c>
      <c r="G6712">
        <v>-279.02</v>
      </c>
      <c r="H6712">
        <v>4.408442</v>
      </c>
      <c r="I6712">
        <v>-1.5970949999999999</v>
      </c>
      <c r="J6712">
        <v>-315.28890000000001</v>
      </c>
      <c r="K6712">
        <v>1.0736889999999999</v>
      </c>
      <c r="L6712">
        <v>15.775539999999999</v>
      </c>
      <c r="M6712">
        <v>0.97961160000000003</v>
      </c>
      <c r="N6712">
        <v>0</v>
      </c>
      <c r="O6712">
        <v>-0.19941390000000001</v>
      </c>
      <c r="P6712">
        <v>0.9679219</v>
      </c>
      <c r="Q6712">
        <v>3.5585180000000001E-2</v>
      </c>
      <c r="R6712">
        <v>-0.248719</v>
      </c>
      <c r="S6712">
        <v>2.754578</v>
      </c>
      <c r="T6712">
        <v>0.25205349999999999</v>
      </c>
      <c r="U6712">
        <v>-1.3163149999999999</v>
      </c>
      <c r="V6712">
        <v>5.1806730000000002E-2</v>
      </c>
      <c r="W6712">
        <v>5.892468E-2</v>
      </c>
      <c r="X6712">
        <v>0.99691719999999895</v>
      </c>
      <c r="Y6712">
        <v>0.24237040000000001</v>
      </c>
      <c r="Z6712">
        <v>-6.5049629999999999E-3</v>
      </c>
      <c r="AA6712">
        <v>0.97016199999999997</v>
      </c>
      <c r="AB6712">
        <v>33</v>
      </c>
      <c r="AC6712">
        <v>36.268900000000002</v>
      </c>
      <c r="AD6712">
        <v>3.3347530000000001</v>
      </c>
      <c r="AE6712">
        <v>-17.372634999999999</v>
      </c>
      <c r="AF6712">
        <v>9.7219747549694606</v>
      </c>
      <c r="AG6712">
        <v>3.3347530000000001</v>
      </c>
      <c r="AH6712">
        <v>38.739010370461102</v>
      </c>
      <c r="AI6712">
        <v>85.227248546785702</v>
      </c>
      <c r="AJ6712">
        <v>75.9119542994531</v>
      </c>
      <c r="AK6712">
        <v>40.079275133040603</v>
      </c>
      <c r="AL6712">
        <v>86.621907674909096</v>
      </c>
      <c r="AM6712">
        <v>87.025189987596605</v>
      </c>
      <c r="AN6712">
        <v>0.99999997942111696</v>
      </c>
    </row>
    <row r="6713" spans="1:40" x14ac:dyDescent="0.25">
      <c r="A6713" t="str">
        <f>"20190312160503951"</f>
        <v>20190312160503951</v>
      </c>
      <c r="B6713" t="str">
        <f>"1552377903941421"</f>
        <v>1552377903941421</v>
      </c>
      <c r="C6713" t="s">
        <v>40</v>
      </c>
      <c r="D6713">
        <v>5.9937139999999998</v>
      </c>
      <c r="E6713">
        <v>0.57584159999999995</v>
      </c>
      <c r="F6713" t="s">
        <v>104</v>
      </c>
      <c r="G6713">
        <v>-279.02</v>
      </c>
      <c r="H6713">
        <v>4.4041829999999997</v>
      </c>
      <c r="I6713">
        <v>-1.7348570000000001</v>
      </c>
      <c r="J6713">
        <v>-315.12979999999999</v>
      </c>
      <c r="K6713">
        <v>1.072506</v>
      </c>
      <c r="L6713">
        <v>15.73944</v>
      </c>
      <c r="M6713">
        <v>0.97886740000000005</v>
      </c>
      <c r="N6713">
        <v>0</v>
      </c>
      <c r="O6713">
        <v>-0.20306669999999999</v>
      </c>
      <c r="P6713">
        <v>0.966893</v>
      </c>
      <c r="Q6713">
        <v>3.606169E-2</v>
      </c>
      <c r="R6713">
        <v>-0.25262230000000002</v>
      </c>
      <c r="S6713">
        <v>2.7490839999999999</v>
      </c>
      <c r="T6713">
        <v>0.25244240000000001</v>
      </c>
      <c r="U6713">
        <v>-1.32724</v>
      </c>
      <c r="V6713">
        <v>5.2110770000000001E-2</v>
      </c>
      <c r="W6713">
        <v>5.9144599999999999E-2</v>
      </c>
      <c r="X6713">
        <v>0.99688829999999995</v>
      </c>
      <c r="Y6713">
        <v>0.24264859999999999</v>
      </c>
      <c r="Z6713">
        <v>-6.8127939999999996E-3</v>
      </c>
      <c r="AA6713">
        <v>0.97009029999999996</v>
      </c>
      <c r="AB6713">
        <v>33</v>
      </c>
      <c r="AC6713">
        <v>36.1098</v>
      </c>
      <c r="AD6713">
        <v>3.3316769999999898</v>
      </c>
      <c r="AE6713">
        <v>-17.474297</v>
      </c>
      <c r="AF6713">
        <v>9.7082061195423694</v>
      </c>
      <c r="AG6713">
        <v>3.3316769999999898</v>
      </c>
      <c r="AH6713">
        <v>38.639965051066703</v>
      </c>
      <c r="AI6713">
        <v>85.219787052587805</v>
      </c>
      <c r="AJ6713">
        <v>75.896488277308706</v>
      </c>
      <c r="AK6713">
        <v>39.979947934427202</v>
      </c>
      <c r="AL6713">
        <v>86.609285070303997</v>
      </c>
      <c r="AM6713">
        <v>87.007676660510597</v>
      </c>
      <c r="AN6713">
        <v>0.99999994936801995</v>
      </c>
    </row>
    <row r="6714" spans="1:40" x14ac:dyDescent="0.25">
      <c r="A6714" t="str">
        <f>"20190312160503960"</f>
        <v>20190312160503960</v>
      </c>
      <c r="B6714" t="str">
        <f>"1552377903952157"</f>
        <v>1552377903952157</v>
      </c>
      <c r="C6714" t="s">
        <v>40</v>
      </c>
      <c r="D6714">
        <v>6.4376160000000002</v>
      </c>
      <c r="E6714">
        <v>0.57572599999999996</v>
      </c>
      <c r="F6714" t="s">
        <v>104</v>
      </c>
      <c r="G6714">
        <v>-279.02</v>
      </c>
      <c r="H6714">
        <v>4.3990859999999996</v>
      </c>
      <c r="I6714">
        <v>-1.860009</v>
      </c>
      <c r="J6714">
        <v>-314.97919999999999</v>
      </c>
      <c r="K6714">
        <v>1.07142</v>
      </c>
      <c r="L6714">
        <v>15.704560000000001</v>
      </c>
      <c r="M6714">
        <v>0.97812109999999997</v>
      </c>
      <c r="N6714">
        <v>0</v>
      </c>
      <c r="O6714">
        <v>-0.2066616</v>
      </c>
      <c r="P6714">
        <v>0.9657443</v>
      </c>
      <c r="Q6714">
        <v>3.6516640000000003E-2</v>
      </c>
      <c r="R6714">
        <v>-0.25691380000000003</v>
      </c>
      <c r="S6714">
        <v>2.7438959999999999</v>
      </c>
      <c r="T6714">
        <v>0.25277909999999998</v>
      </c>
      <c r="U6714">
        <v>-1.3373409999999999</v>
      </c>
      <c r="V6714">
        <v>5.2876489999999998E-2</v>
      </c>
      <c r="W6714">
        <v>5.9330239999999999E-2</v>
      </c>
      <c r="X6714">
        <v>0.99683699999999997</v>
      </c>
      <c r="Y6714">
        <v>0.2427049</v>
      </c>
      <c r="Z6714">
        <v>-7.1248509999999998E-3</v>
      </c>
      <c r="AA6714">
        <v>0.97007399999999999</v>
      </c>
      <c r="AB6714">
        <v>32</v>
      </c>
      <c r="AC6714">
        <v>35.959200000000003</v>
      </c>
      <c r="AD6714">
        <v>3.3276659999999998</v>
      </c>
      <c r="AE6714">
        <v>-17.564568999999999</v>
      </c>
      <c r="AF6714">
        <v>9.6847094572145291</v>
      </c>
      <c r="AG6714">
        <v>3.3276659999999998</v>
      </c>
      <c r="AH6714">
        <v>38.546924844241801</v>
      </c>
      <c r="AI6714">
        <v>85.214041158135601</v>
      </c>
      <c r="AJ6714">
        <v>75.896656773770204</v>
      </c>
      <c r="AK6714">
        <v>39.883986425956003</v>
      </c>
      <c r="AL6714">
        <v>86.598630151229699</v>
      </c>
      <c r="AM6714">
        <v>86.963632927101102</v>
      </c>
      <c r="AN6714">
        <v>1.00000000257108</v>
      </c>
    </row>
    <row r="6715" spans="1:40" x14ac:dyDescent="0.25">
      <c r="A6715" t="str">
        <f>"20190312160503972"</f>
        <v>20190312160503972</v>
      </c>
      <c r="B6715" t="str">
        <f>"1552377903961916"</f>
        <v>1552377903961916</v>
      </c>
      <c r="C6715" t="s">
        <v>40</v>
      </c>
      <c r="D6715">
        <v>6.107316</v>
      </c>
      <c r="E6715">
        <v>0.57556890000000005</v>
      </c>
      <c r="F6715" t="s">
        <v>104</v>
      </c>
      <c r="G6715">
        <v>-279.02</v>
      </c>
      <c r="H6715">
        <v>4.3934810000000004</v>
      </c>
      <c r="I6715">
        <v>-2.0074969999999999</v>
      </c>
      <c r="J6715">
        <v>-314.82319999999999</v>
      </c>
      <c r="K6715">
        <v>1.0703119999999999</v>
      </c>
      <c r="L6715">
        <v>15.667909999999999</v>
      </c>
      <c r="M6715">
        <v>0.977321</v>
      </c>
      <c r="N6715">
        <v>0</v>
      </c>
      <c r="O6715">
        <v>-0.21044499999999999</v>
      </c>
      <c r="P6715">
        <v>0.96458509999999997</v>
      </c>
      <c r="Q6715">
        <v>3.7107059999999997E-2</v>
      </c>
      <c r="R6715">
        <v>-0.26114939999999998</v>
      </c>
      <c r="S6715">
        <v>2.7380680000000002</v>
      </c>
      <c r="T6715">
        <v>0.25295440000000002</v>
      </c>
      <c r="U6715">
        <v>-1.3486629999999999</v>
      </c>
      <c r="V6715">
        <v>5.3399429999999998E-2</v>
      </c>
      <c r="W6715">
        <v>5.9635349999999997E-2</v>
      </c>
      <c r="X6715">
        <v>0.99679090000000004</v>
      </c>
      <c r="Y6715">
        <v>0.2430099</v>
      </c>
      <c r="Z6715">
        <v>-7.4386219999999998E-3</v>
      </c>
      <c r="AA6715">
        <v>0.9699953</v>
      </c>
      <c r="AB6715">
        <v>32</v>
      </c>
      <c r="AC6715">
        <v>35.803199999999997</v>
      </c>
      <c r="AD6715">
        <v>3.3231689999999898</v>
      </c>
      <c r="AE6715">
        <v>-17.675407</v>
      </c>
      <c r="AF6715">
        <v>9.6756316523649009</v>
      </c>
      <c r="AG6715">
        <v>3.3231689999999898</v>
      </c>
      <c r="AH6715">
        <v>38.455321859325302</v>
      </c>
      <c r="AI6715">
        <v>85.209555387169502</v>
      </c>
      <c r="AJ6715">
        <v>75.877126287638902</v>
      </c>
      <c r="AK6715">
        <v>39.792877244289699</v>
      </c>
      <c r="AL6715">
        <v>86.581117571025004</v>
      </c>
      <c r="AM6715">
        <v>86.933519227423403</v>
      </c>
      <c r="AN6715">
        <v>0.99999998620837804</v>
      </c>
    </row>
    <row r="6716" spans="1:40" x14ac:dyDescent="0.25">
      <c r="A6716" t="str">
        <f>"20190312160503984"</f>
        <v>20190312160503984</v>
      </c>
      <c r="B6716" t="str">
        <f>"1552377903971676"</f>
        <v>1552377903971676</v>
      </c>
      <c r="C6716" t="s">
        <v>40</v>
      </c>
      <c r="D6716">
        <v>5.8587360000000004</v>
      </c>
      <c r="E6716">
        <v>0.57544649999999997</v>
      </c>
      <c r="F6716" t="s">
        <v>104</v>
      </c>
      <c r="G6716">
        <v>-279.02</v>
      </c>
      <c r="H6716">
        <v>4.3967850000000004</v>
      </c>
      <c r="I6716">
        <v>-2.1487240000000001</v>
      </c>
      <c r="J6716">
        <v>-314.65069999999997</v>
      </c>
      <c r="K6716">
        <v>1.069102</v>
      </c>
      <c r="L6716">
        <v>15.626620000000001</v>
      </c>
      <c r="M6716">
        <v>0.97640039999999995</v>
      </c>
      <c r="N6716">
        <v>0</v>
      </c>
      <c r="O6716">
        <v>-0.21471029999999999</v>
      </c>
      <c r="P6716">
        <v>0.96331670000000003</v>
      </c>
      <c r="Q6716">
        <v>3.7552139999999998E-2</v>
      </c>
      <c r="R6716">
        <v>-0.26572669999999998</v>
      </c>
      <c r="S6716">
        <v>2.7323300000000001</v>
      </c>
      <c r="T6716">
        <v>0.25386059999999999</v>
      </c>
      <c r="U6716">
        <v>-1.35968</v>
      </c>
      <c r="V6716">
        <v>5.3783329999999997E-2</v>
      </c>
      <c r="W6716">
        <v>5.9752909999999999E-2</v>
      </c>
      <c r="X6716">
        <v>0.99676319999999996</v>
      </c>
      <c r="Y6716">
        <v>0.24273700000000001</v>
      </c>
      <c r="Z6716">
        <v>-7.8409710000000004E-3</v>
      </c>
      <c r="AA6716">
        <v>0.97006049999999999</v>
      </c>
      <c r="AB6716">
        <v>32</v>
      </c>
      <c r="AC6716">
        <v>35.630699999999898</v>
      </c>
      <c r="AD6716">
        <v>3.3276829999999902</v>
      </c>
      <c r="AE6716">
        <v>-17.775344</v>
      </c>
      <c r="AF6716">
        <v>9.6408712361617592</v>
      </c>
      <c r="AG6716">
        <v>3.3276829999999902</v>
      </c>
      <c r="AH6716">
        <v>38.349004753919601</v>
      </c>
      <c r="AI6716">
        <v>85.189605655899996</v>
      </c>
      <c r="AJ6716">
        <v>75.888382163672802</v>
      </c>
      <c r="AK6716">
        <v>39.682061916650497</v>
      </c>
      <c r="AL6716">
        <v>86.574369779603401</v>
      </c>
      <c r="AM6716">
        <v>86.911430502300902</v>
      </c>
      <c r="AN6716">
        <v>0.99999996685679804</v>
      </c>
    </row>
    <row r="6717" spans="1:40" x14ac:dyDescent="0.25">
      <c r="A6717" t="str">
        <f>"20190312160503997"</f>
        <v>20190312160503997</v>
      </c>
      <c r="B6717" t="str">
        <f>"1552377903992173"</f>
        <v>1552377903992173</v>
      </c>
      <c r="C6717" t="s">
        <v>40</v>
      </c>
      <c r="D6717">
        <v>6.2036119999999997</v>
      </c>
      <c r="E6717">
        <v>0.57530999999999999</v>
      </c>
      <c r="F6717" t="s">
        <v>104</v>
      </c>
      <c r="G6717">
        <v>-279.02</v>
      </c>
      <c r="H6717">
        <v>4.3896739999999896</v>
      </c>
      <c r="I6717">
        <v>-2.303007</v>
      </c>
      <c r="J6717">
        <v>-314.48140000000001</v>
      </c>
      <c r="K6717">
        <v>1.0679459999999901</v>
      </c>
      <c r="L6717">
        <v>15.58508</v>
      </c>
      <c r="M6717">
        <v>0.97546520000000003</v>
      </c>
      <c r="N6717">
        <v>0</v>
      </c>
      <c r="O6717">
        <v>-0.21895529999999999</v>
      </c>
      <c r="P6717">
        <v>0.96198490000000003</v>
      </c>
      <c r="Q6717">
        <v>3.8293340000000002E-2</v>
      </c>
      <c r="R6717">
        <v>-0.27040550000000002</v>
      </c>
      <c r="S6717">
        <v>2.7259220000000002</v>
      </c>
      <c r="T6717">
        <v>0.25403999999999999</v>
      </c>
      <c r="U6717">
        <v>-1.371704</v>
      </c>
      <c r="V6717">
        <v>5.4307670000000002E-2</v>
      </c>
      <c r="W6717">
        <v>6.0152740000000003E-2</v>
      </c>
      <c r="X6717">
        <v>0.99671080000000001</v>
      </c>
      <c r="Y6717">
        <v>0.2428621</v>
      </c>
      <c r="Z6717">
        <v>-8.2044209999999999E-3</v>
      </c>
      <c r="AA6717">
        <v>0.9700261</v>
      </c>
      <c r="AB6717">
        <v>32</v>
      </c>
      <c r="AC6717">
        <v>35.461399999999998</v>
      </c>
      <c r="AD6717">
        <v>3.3217279999999998</v>
      </c>
      <c r="AE6717">
        <v>-17.888086999999999</v>
      </c>
      <c r="AF6717">
        <v>9.6200063566741196</v>
      </c>
      <c r="AG6717">
        <v>3.3217279999999998</v>
      </c>
      <c r="AH6717">
        <v>38.250642623102898</v>
      </c>
      <c r="AI6717">
        <v>85.185998162110295</v>
      </c>
      <c r="AJ6717">
        <v>75.882939599533501</v>
      </c>
      <c r="AK6717">
        <v>39.581435803780202</v>
      </c>
      <c r="AL6717">
        <v>86.551420201923307</v>
      </c>
      <c r="AM6717">
        <v>86.881215194786506</v>
      </c>
      <c r="AN6717">
        <v>1.00000004699348</v>
      </c>
    </row>
    <row r="6718" spans="1:40" x14ac:dyDescent="0.25">
      <c r="A6718" t="str">
        <f>"20190312160504007"</f>
        <v>20190312160504007</v>
      </c>
      <c r="B6718" t="str">
        <f>"1552377904001933"</f>
        <v>1552377904001933</v>
      </c>
      <c r="C6718" t="s">
        <v>40</v>
      </c>
      <c r="D6718">
        <v>6.1089289999999998</v>
      </c>
      <c r="E6718">
        <v>0.55758569999999996</v>
      </c>
      <c r="F6718" t="s">
        <v>104</v>
      </c>
      <c r="G6718">
        <v>-279.02</v>
      </c>
      <c r="H6718">
        <v>4.3954510000000004</v>
      </c>
      <c r="I6718">
        <v>-2.4618030000000002</v>
      </c>
      <c r="J6718">
        <v>-314.31810000000002</v>
      </c>
      <c r="K6718">
        <v>1.0668439999999999</v>
      </c>
      <c r="L6718">
        <v>15.544589999999999</v>
      </c>
      <c r="M6718">
        <v>0.97453909999999999</v>
      </c>
      <c r="N6718">
        <v>0</v>
      </c>
      <c r="O6718">
        <v>-0.2230742</v>
      </c>
      <c r="P6718">
        <v>0.96072769999999996</v>
      </c>
      <c r="Q6718">
        <v>3.8859669999999999E-2</v>
      </c>
      <c r="R6718">
        <v>-0.27475840000000001</v>
      </c>
      <c r="S6718">
        <v>2.7193909999999999</v>
      </c>
      <c r="T6718">
        <v>0.25517269999999997</v>
      </c>
      <c r="U6718">
        <v>-1.383942</v>
      </c>
      <c r="V6718">
        <v>5.462264E-2</v>
      </c>
      <c r="W6718">
        <v>6.0387389999999999E-2</v>
      </c>
      <c r="X6718">
        <v>0.99667939999999999</v>
      </c>
      <c r="Y6718">
        <v>0.24318590000000001</v>
      </c>
      <c r="Z6718">
        <v>-8.5812559999999902E-3</v>
      </c>
      <c r="AA6718">
        <v>0.96994170000000002</v>
      </c>
      <c r="AB6718">
        <v>32</v>
      </c>
      <c r="AC6718">
        <v>35.298099999999998</v>
      </c>
      <c r="AD6718">
        <v>3.3286069999999999</v>
      </c>
      <c r="AE6718">
        <v>-18.006392999999999</v>
      </c>
      <c r="AF6718">
        <v>9.6085133041933695</v>
      </c>
      <c r="AG6718">
        <v>3.3286069999999999</v>
      </c>
      <c r="AH6718">
        <v>38.156724569615001</v>
      </c>
      <c r="AI6718">
        <v>85.164620545320503</v>
      </c>
      <c r="AJ6718">
        <v>75.8658140089954</v>
      </c>
      <c r="AK6718">
        <v>39.488463914905203</v>
      </c>
      <c r="AL6718">
        <v>86.537951266362498</v>
      </c>
      <c r="AM6718">
        <v>86.863064466251899</v>
      </c>
      <c r="AN6718">
        <v>1.0000000480279601</v>
      </c>
    </row>
    <row r="6719" spans="1:40" x14ac:dyDescent="0.25">
      <c r="A6719" t="str">
        <f>"20190312160504021"</f>
        <v>20190312160504021</v>
      </c>
      <c r="B6719" t="str">
        <f>"1552377904012260"</f>
        <v>1552377904012260</v>
      </c>
      <c r="C6719" t="s">
        <v>40</v>
      </c>
      <c r="D6719">
        <v>5.9636449999999996</v>
      </c>
      <c r="E6719">
        <v>0.55601559999999906</v>
      </c>
      <c r="F6719" t="s">
        <v>104</v>
      </c>
      <c r="G6719">
        <v>-279.02</v>
      </c>
      <c r="H6719">
        <v>3.2157399999999998</v>
      </c>
      <c r="I6719">
        <v>-0.65275000000000005</v>
      </c>
      <c r="J6719">
        <v>-314.11759999999998</v>
      </c>
      <c r="K6719">
        <v>1.0655600000000001</v>
      </c>
      <c r="L6719">
        <v>15.49335</v>
      </c>
      <c r="M6719">
        <v>0.97335959999999999</v>
      </c>
      <c r="N6719">
        <v>0</v>
      </c>
      <c r="O6719">
        <v>-0.22820560000000001</v>
      </c>
      <c r="P6719">
        <v>0.95916900000000005</v>
      </c>
      <c r="Q6719">
        <v>3.9526470000000001E-2</v>
      </c>
      <c r="R6719">
        <v>-0.28005780000000002</v>
      </c>
      <c r="S6719">
        <v>2.7543950000000001</v>
      </c>
      <c r="T6719">
        <v>0.16768339999999901</v>
      </c>
      <c r="U6719">
        <v>-1.263916</v>
      </c>
      <c r="V6719">
        <v>5.4892059999999999E-2</v>
      </c>
      <c r="W6719">
        <v>6.0636799999999998E-2</v>
      </c>
      <c r="X6719">
        <v>0.99664940000000002</v>
      </c>
      <c r="Y6719">
        <v>0.19862630000000001</v>
      </c>
      <c r="Z6719">
        <v>-7.2203500000000004E-3</v>
      </c>
      <c r="AA6719">
        <v>0.98004869999999999</v>
      </c>
      <c r="AB6719">
        <v>32</v>
      </c>
      <c r="AC6719">
        <v>35.0976</v>
      </c>
      <c r="AD6719">
        <v>2.15017999999999</v>
      </c>
      <c r="AE6719">
        <v>-16.146100000000001</v>
      </c>
      <c r="AF6719">
        <v>7.6845903290214297</v>
      </c>
      <c r="AG6719">
        <v>2.15017999999999</v>
      </c>
      <c r="AH6719">
        <v>37.739652630522798</v>
      </c>
      <c r="AI6719">
        <v>86.804584534105899</v>
      </c>
      <c r="AJ6719">
        <v>78.490712078193596</v>
      </c>
      <c r="AK6719">
        <v>38.574053238282097</v>
      </c>
      <c r="AL6719">
        <v>86.523634700338803</v>
      </c>
      <c r="AM6719">
        <v>86.847528318084201</v>
      </c>
      <c r="AN6719">
        <v>0.99999999314282095</v>
      </c>
    </row>
    <row r="6720" spans="1:40" x14ac:dyDescent="0.25">
      <c r="A6720" t="str">
        <f>"20190312160504033"</f>
        <v>20190312160504033</v>
      </c>
      <c r="B6720" t="str">
        <f>"1552377904021999"</f>
        <v>1552377904021999</v>
      </c>
      <c r="C6720" t="s">
        <v>40</v>
      </c>
      <c r="D6720">
        <v>6.5535489999999896</v>
      </c>
      <c r="E6720">
        <v>0.55493530000000002</v>
      </c>
      <c r="F6720" t="s">
        <v>104</v>
      </c>
      <c r="G6720">
        <v>-279.02</v>
      </c>
      <c r="H6720">
        <v>3.240113</v>
      </c>
      <c r="I6720">
        <v>-0.67293930000000002</v>
      </c>
      <c r="J6720">
        <v>-313.96010000000001</v>
      </c>
      <c r="K6720">
        <v>1.0645960000000001</v>
      </c>
      <c r="L6720">
        <v>15.452299999999999</v>
      </c>
      <c r="M6720">
        <v>0.97240329999999997</v>
      </c>
      <c r="N6720">
        <v>0</v>
      </c>
      <c r="O6720">
        <v>-0.23227729999999999</v>
      </c>
      <c r="P6720">
        <v>0.95791919999999997</v>
      </c>
      <c r="Q6720">
        <v>4.0020640000000003E-2</v>
      </c>
      <c r="R6720">
        <v>-0.28423419999999999</v>
      </c>
      <c r="S6720">
        <v>2.750702</v>
      </c>
      <c r="T6720">
        <v>0.17042599999999999</v>
      </c>
      <c r="U6720">
        <v>-1.2669979999999901</v>
      </c>
      <c r="V6720">
        <v>5.5077670000000002E-2</v>
      </c>
      <c r="W6720">
        <v>6.0802429999999998E-2</v>
      </c>
      <c r="X6720">
        <v>0.99662910000000005</v>
      </c>
      <c r="Y6720">
        <v>0.1959418</v>
      </c>
      <c r="Z6720">
        <v>-7.6532019999999996E-3</v>
      </c>
      <c r="AA6720">
        <v>0.9805857</v>
      </c>
      <c r="AB6720">
        <v>32</v>
      </c>
      <c r="AC6720">
        <v>34.940100000000001</v>
      </c>
      <c r="AD6720">
        <v>2.1755169999999899</v>
      </c>
      <c r="AE6720">
        <v>-16.1252393</v>
      </c>
      <c r="AF6720">
        <v>7.5421510779708401</v>
      </c>
      <c r="AG6720">
        <v>2.1755169999999899</v>
      </c>
      <c r="AH6720">
        <v>37.610229015446201</v>
      </c>
      <c r="AI6720">
        <v>86.753968205828002</v>
      </c>
      <c r="AJ6720">
        <v>78.660620011216196</v>
      </c>
      <c r="AK6720">
        <v>38.420648663115202</v>
      </c>
      <c r="AL6720">
        <v>86.514127365791794</v>
      </c>
      <c r="AM6720">
        <v>86.836825977673698</v>
      </c>
      <c r="AN6720">
        <v>1.00000002409667</v>
      </c>
    </row>
    <row r="6721" spans="1:40" x14ac:dyDescent="0.25">
      <c r="A6721" t="str">
        <f>"20190312160504046"</f>
        <v>20190312160504046</v>
      </c>
      <c r="B6721" t="str">
        <f>"1552377904041519"</f>
        <v>1552377904041519</v>
      </c>
      <c r="C6721" t="s">
        <v>40</v>
      </c>
      <c r="D6721">
        <v>5.9009099999999997</v>
      </c>
      <c r="E6721">
        <v>0.55413469999999998</v>
      </c>
      <c r="F6721" t="s">
        <v>104</v>
      </c>
      <c r="G6721">
        <v>-279.02</v>
      </c>
      <c r="H6721">
        <v>3.2479269999999998</v>
      </c>
      <c r="I6721">
        <v>-0.70792769999999905</v>
      </c>
      <c r="J6721">
        <v>-313.77800000000002</v>
      </c>
      <c r="K6721">
        <v>1.0635190000000001</v>
      </c>
      <c r="L6721">
        <v>15.40424</v>
      </c>
      <c r="M6721">
        <v>0.97126789999999996</v>
      </c>
      <c r="N6721">
        <v>0</v>
      </c>
      <c r="O6721">
        <v>-0.23701439999999999</v>
      </c>
      <c r="P6721">
        <v>0.95646600000000004</v>
      </c>
      <c r="Q6721">
        <v>4.0693649999999998E-2</v>
      </c>
      <c r="R6721">
        <v>-0.28899249999999999</v>
      </c>
      <c r="S6721">
        <v>2.7475589999999999</v>
      </c>
      <c r="T6721">
        <v>0.17168939999999999</v>
      </c>
      <c r="U6721">
        <v>-1.2707820000000001</v>
      </c>
      <c r="V6721">
        <v>5.5194380000000001E-2</v>
      </c>
      <c r="W6721">
        <v>6.1098470000000002E-2</v>
      </c>
      <c r="X6721">
        <v>0.9966045</v>
      </c>
      <c r="Y6721">
        <v>0.192715</v>
      </c>
      <c r="Z6721">
        <v>-8.0792699999999995E-3</v>
      </c>
      <c r="AA6721">
        <v>0.98122149999999997</v>
      </c>
      <c r="AB6721">
        <v>32</v>
      </c>
      <c r="AC6721">
        <v>34.758000000000003</v>
      </c>
      <c r="AD6721">
        <v>2.1844079999999999</v>
      </c>
      <c r="AE6721">
        <v>-16.112167700000001</v>
      </c>
      <c r="AF6721">
        <v>7.3887791240944498</v>
      </c>
      <c r="AG6721">
        <v>2.1844079999999999</v>
      </c>
      <c r="AH6721">
        <v>37.465043921897497</v>
      </c>
      <c r="AI6721">
        <v>86.726055593887807</v>
      </c>
      <c r="AJ6721">
        <v>78.843418220158696</v>
      </c>
      <c r="AK6721">
        <v>38.249120399361097</v>
      </c>
      <c r="AL6721">
        <v>86.497133795712301</v>
      </c>
      <c r="AM6721">
        <v>86.830058757728906</v>
      </c>
      <c r="AN6721">
        <v>0.99999998602008699</v>
      </c>
    </row>
    <row r="6722" spans="1:40" x14ac:dyDescent="0.25">
      <c r="A6722" t="str">
        <f>"20190312160504059"</f>
        <v>20190312160504059</v>
      </c>
      <c r="B6722" t="str">
        <f>"1552377904052256"</f>
        <v>1552377904052256</v>
      </c>
      <c r="C6722" t="s">
        <v>40</v>
      </c>
      <c r="D6722">
        <v>5.7720750000000001</v>
      </c>
      <c r="E6722">
        <v>0.55363879999999999</v>
      </c>
      <c r="F6722" t="s">
        <v>104</v>
      </c>
      <c r="G6722">
        <v>-279.02</v>
      </c>
      <c r="H6722">
        <v>3.2334170000000002</v>
      </c>
      <c r="I6722">
        <v>-0.79455379999999998</v>
      </c>
      <c r="J6722">
        <v>-313.60270000000003</v>
      </c>
      <c r="K6722">
        <v>1.062573</v>
      </c>
      <c r="L6722">
        <v>15.356479999999999</v>
      </c>
      <c r="M6722">
        <v>0.97012580000000004</v>
      </c>
      <c r="N6722">
        <v>0</v>
      </c>
      <c r="O6722">
        <v>-0.241677</v>
      </c>
      <c r="P6722">
        <v>0.95491879999999996</v>
      </c>
      <c r="Q6722">
        <v>4.1206010000000001E-2</v>
      </c>
      <c r="R6722">
        <v>-0.29399330000000001</v>
      </c>
      <c r="S6722">
        <v>2.743042</v>
      </c>
      <c r="T6722">
        <v>0.1712447</v>
      </c>
      <c r="U6722">
        <v>-1.278381</v>
      </c>
      <c r="V6722">
        <v>5.5637970000000002E-2</v>
      </c>
      <c r="W6722">
        <v>6.1249339999999999E-2</v>
      </c>
      <c r="X6722">
        <v>0.99657059999999997</v>
      </c>
      <c r="Y6722">
        <v>0.19086359999999999</v>
      </c>
      <c r="Z6722">
        <v>-8.3828719999999995E-3</v>
      </c>
      <c r="AA6722">
        <v>0.98158080000000003</v>
      </c>
      <c r="AB6722">
        <v>32</v>
      </c>
      <c r="AC6722">
        <v>34.582700000000003</v>
      </c>
      <c r="AD6722">
        <v>2.1708440000000002</v>
      </c>
      <c r="AE6722">
        <v>-16.1510338</v>
      </c>
      <c r="AF6722">
        <v>7.2887522449019002</v>
      </c>
      <c r="AG6722">
        <v>2.1708440000000002</v>
      </c>
      <c r="AH6722">
        <v>37.340507924418802</v>
      </c>
      <c r="AI6722">
        <v>86.734269171830505</v>
      </c>
      <c r="AJ6722">
        <v>78.954921864216502</v>
      </c>
      <c r="AK6722">
        <v>38.1071122628504</v>
      </c>
      <c r="AL6722">
        <v>86.488473456504394</v>
      </c>
      <c r="AM6722">
        <v>86.804526467693094</v>
      </c>
      <c r="AN6722">
        <v>1.00000001307025</v>
      </c>
    </row>
    <row r="6723" spans="1:40" x14ac:dyDescent="0.25">
      <c r="A6723" t="str">
        <f>"20190312160504072"</f>
        <v>20190312160504072</v>
      </c>
      <c r="B6723" t="str">
        <f>"1552377904062016"</f>
        <v>1552377904062016</v>
      </c>
      <c r="C6723" t="s">
        <v>40</v>
      </c>
      <c r="D6723">
        <v>5.9784249999999997</v>
      </c>
      <c r="E6723">
        <v>0.55376890000000001</v>
      </c>
      <c r="F6723" t="s">
        <v>104</v>
      </c>
      <c r="G6723">
        <v>-279.02</v>
      </c>
      <c r="H6723">
        <v>3.2269230000000002</v>
      </c>
      <c r="I6723">
        <v>-0.92876820000000004</v>
      </c>
      <c r="J6723">
        <v>-313.40940000000001</v>
      </c>
      <c r="K6723">
        <v>1.0615810000000001</v>
      </c>
      <c r="L6723">
        <v>15.303039999999999</v>
      </c>
      <c r="M6723">
        <v>0.96882330000000005</v>
      </c>
      <c r="N6723">
        <v>0</v>
      </c>
      <c r="O6723">
        <v>-0.2468786</v>
      </c>
      <c r="P6723">
        <v>0.95315669999999997</v>
      </c>
      <c r="Q6723">
        <v>4.196718E-2</v>
      </c>
      <c r="R6723">
        <v>-0.29955150000000003</v>
      </c>
      <c r="S6723">
        <v>2.7373349999999999</v>
      </c>
      <c r="T6723">
        <v>0.17131559999999901</v>
      </c>
      <c r="U6723">
        <v>-1.289032</v>
      </c>
      <c r="V6723">
        <v>5.6121200000000003E-2</v>
      </c>
      <c r="W6723">
        <v>6.1620580000000001E-2</v>
      </c>
      <c r="X6723">
        <v>0.99652059999999998</v>
      </c>
      <c r="Y6723">
        <v>0.18952250000000001</v>
      </c>
      <c r="Z6723">
        <v>-8.7272600000000006E-3</v>
      </c>
      <c r="AA6723">
        <v>0.98183759999999998</v>
      </c>
      <c r="AB6723">
        <v>32</v>
      </c>
      <c r="AC6723">
        <v>34.389400000000002</v>
      </c>
      <c r="AD6723">
        <v>2.1653419999999999</v>
      </c>
      <c r="AE6723">
        <v>-16.2318082</v>
      </c>
      <c r="AF6723">
        <v>7.2139220868979397</v>
      </c>
      <c r="AG6723">
        <v>2.1653419999999999</v>
      </c>
      <c r="AH6723">
        <v>37.2119571678178</v>
      </c>
      <c r="AI6723">
        <v>86.730482335420405</v>
      </c>
      <c r="AJ6723">
        <v>79.0287110233931</v>
      </c>
      <c r="AK6723">
        <v>37.966552834202702</v>
      </c>
      <c r="AL6723">
        <v>86.467162655570604</v>
      </c>
      <c r="AM6723">
        <v>86.776669847260607</v>
      </c>
      <c r="AN6723">
        <v>0.99999999559666797</v>
      </c>
    </row>
    <row r="6724" spans="1:40" x14ac:dyDescent="0.25">
      <c r="A6724" t="str">
        <f>"20190312160504083"</f>
        <v>20190312160504083</v>
      </c>
      <c r="B6724" t="str">
        <f>"1552377904071776"</f>
        <v>1552377904071776</v>
      </c>
      <c r="C6724" t="s">
        <v>40</v>
      </c>
      <c r="D6724">
        <v>5.8003729999999996</v>
      </c>
      <c r="E6724">
        <v>0.55376890000000001</v>
      </c>
      <c r="F6724" t="s">
        <v>104</v>
      </c>
      <c r="G6724">
        <v>-279.02</v>
      </c>
      <c r="H6724">
        <v>3.203303</v>
      </c>
      <c r="I6724">
        <v>-1.152657</v>
      </c>
      <c r="J6724">
        <v>-313.25729999999999</v>
      </c>
      <c r="K6724">
        <v>1.0608470000000001</v>
      </c>
      <c r="L6724">
        <v>15.260129999999901</v>
      </c>
      <c r="M6724">
        <v>0.9677597</v>
      </c>
      <c r="N6724">
        <v>0</v>
      </c>
      <c r="O6724">
        <v>-0.2510387</v>
      </c>
      <c r="P6724">
        <v>0.95176070000000002</v>
      </c>
      <c r="Q6724">
        <v>4.2014549999999998E-2</v>
      </c>
      <c r="R6724">
        <v>-0.30395080000000002</v>
      </c>
      <c r="S6724">
        <v>2.729492</v>
      </c>
      <c r="T6724">
        <v>0.1699889</v>
      </c>
      <c r="U6724">
        <v>-1.3060909999999999</v>
      </c>
      <c r="V6724">
        <v>5.6445349999999998E-2</v>
      </c>
      <c r="W6724">
        <v>6.1370710000000002E-2</v>
      </c>
      <c r="X6724">
        <v>0.99651769999999995</v>
      </c>
      <c r="Y6724">
        <v>0.1913994</v>
      </c>
      <c r="Z6724">
        <v>-8.8459139999999999E-3</v>
      </c>
      <c r="AA6724">
        <v>0.98147240000000002</v>
      </c>
      <c r="AB6724">
        <v>32</v>
      </c>
      <c r="AC6724">
        <v>34.237299999999998</v>
      </c>
      <c r="AD6724">
        <v>2.1424560000000001</v>
      </c>
      <c r="AE6724">
        <v>-16.412786999999899</v>
      </c>
      <c r="AF6724">
        <v>7.2671409952122596</v>
      </c>
      <c r="AG6724">
        <v>2.1424560000000001</v>
      </c>
      <c r="AH6724">
        <v>37.143295163073098</v>
      </c>
      <c r="AI6724">
        <v>86.760084152843802</v>
      </c>
      <c r="AJ6724">
        <v>78.929835232450898</v>
      </c>
      <c r="AK6724">
        <v>37.9081235558738</v>
      </c>
      <c r="AL6724">
        <v>86.481506258709601</v>
      </c>
      <c r="AM6724">
        <v>86.758082422935004</v>
      </c>
      <c r="AN6724">
        <v>0.99999998399790802</v>
      </c>
    </row>
    <row r="6725" spans="1:40" x14ac:dyDescent="0.25">
      <c r="A6725" t="str">
        <f>"20190312160504095"</f>
        <v>20190312160504095</v>
      </c>
      <c r="B6725" t="str">
        <f>"1552377904092272"</f>
        <v>1552377904092272</v>
      </c>
      <c r="C6725" t="s">
        <v>40</v>
      </c>
      <c r="D6725">
        <v>5.7840989999999897</v>
      </c>
      <c r="E6725">
        <v>0.54729119999999998</v>
      </c>
      <c r="F6725" t="s">
        <v>104</v>
      </c>
      <c r="G6725">
        <v>-279.02</v>
      </c>
      <c r="H6725">
        <v>3.199659</v>
      </c>
      <c r="I6725">
        <v>-1.317739</v>
      </c>
      <c r="J6725">
        <v>-313.09559999999999</v>
      </c>
      <c r="K6725">
        <v>1.0601210000000001</v>
      </c>
      <c r="L6725">
        <v>15.21359</v>
      </c>
      <c r="M6725">
        <v>0.96658820000000001</v>
      </c>
      <c r="N6725">
        <v>0</v>
      </c>
      <c r="O6725">
        <v>-0.25553609999999999</v>
      </c>
      <c r="P6725">
        <v>0.95024299999999995</v>
      </c>
      <c r="Q6725">
        <v>4.2346759999999997E-2</v>
      </c>
      <c r="R6725">
        <v>-0.30861840000000001</v>
      </c>
      <c r="S6725">
        <v>2.7234189999999998</v>
      </c>
      <c r="T6725">
        <v>0.1701329</v>
      </c>
      <c r="U6725">
        <v>-1.318695</v>
      </c>
      <c r="V6725">
        <v>5.671412E-2</v>
      </c>
      <c r="W6725">
        <v>6.1401650000000002E-2</v>
      </c>
      <c r="X6725">
        <v>0.99650059999999996</v>
      </c>
      <c r="Y6725">
        <v>0.19138169999999999</v>
      </c>
      <c r="Z6725">
        <v>-9.112897E-3</v>
      </c>
      <c r="AA6725">
        <v>0.98147340000000005</v>
      </c>
      <c r="AB6725">
        <v>32</v>
      </c>
      <c r="AC6725">
        <v>34.075600000000001</v>
      </c>
      <c r="AD6725">
        <v>2.1395379999999999</v>
      </c>
      <c r="AE6725">
        <v>-16.531328999999999</v>
      </c>
      <c r="AF6725">
        <v>7.2497915872464898</v>
      </c>
      <c r="AG6725">
        <v>2.1395379999999999</v>
      </c>
      <c r="AH6725">
        <v>37.050779604811503</v>
      </c>
      <c r="AI6725">
        <v>86.756438043274699</v>
      </c>
      <c r="AJ6725">
        <v>78.928716104345199</v>
      </c>
      <c r="AK6725">
        <v>37.813983792193397</v>
      </c>
      <c r="AL6725">
        <v>86.4797304100735</v>
      </c>
      <c r="AM6725">
        <v>86.7426231043397</v>
      </c>
      <c r="AN6725">
        <v>1.00000004991522</v>
      </c>
    </row>
    <row r="6726" spans="1:40" x14ac:dyDescent="0.25">
      <c r="A6726" t="str">
        <f>"20190312160504105"</f>
        <v>20190312160504105</v>
      </c>
      <c r="B6726" t="str">
        <f>"1552377904102032"</f>
        <v>1552377904102032</v>
      </c>
      <c r="C6726" t="s">
        <v>40</v>
      </c>
      <c r="D6726">
        <v>5.706855</v>
      </c>
      <c r="E6726">
        <v>0.54829159999999999</v>
      </c>
      <c r="F6726" t="s">
        <v>104</v>
      </c>
      <c r="G6726">
        <v>-279.02</v>
      </c>
      <c r="H6726">
        <v>2.2843640000000001</v>
      </c>
      <c r="I6726">
        <v>-0.80696299999999999</v>
      </c>
      <c r="J6726">
        <v>-312.93869999999998</v>
      </c>
      <c r="K6726">
        <v>1.0594380000000001</v>
      </c>
      <c r="L6726">
        <v>15.167909999999999</v>
      </c>
      <c r="M6726">
        <v>0.96541969999999999</v>
      </c>
      <c r="N6726">
        <v>0</v>
      </c>
      <c r="O6726">
        <v>-0.25993769999999999</v>
      </c>
      <c r="P6726">
        <v>0.9487506</v>
      </c>
      <c r="Q6726">
        <v>4.2640619999999997E-2</v>
      </c>
      <c r="R6726">
        <v>-0.31313629999999998</v>
      </c>
      <c r="S6726">
        <v>2.735077</v>
      </c>
      <c r="T6726">
        <v>9.8263859999999995E-2</v>
      </c>
      <c r="U6726">
        <v>-1.2858889999999901</v>
      </c>
      <c r="V6726">
        <v>5.6926020000000001E-2</v>
      </c>
      <c r="W6726">
        <v>6.1409739999999997E-2</v>
      </c>
      <c r="X6726">
        <v>0.99648800000000004</v>
      </c>
      <c r="Y6726">
        <v>0.17559659999999999</v>
      </c>
      <c r="Z6726">
        <v>-5.6734630000000001E-3</v>
      </c>
      <c r="AA6726">
        <v>0.98444589999999998</v>
      </c>
      <c r="AB6726">
        <v>32</v>
      </c>
      <c r="AC6726">
        <v>33.918700000000001</v>
      </c>
      <c r="AD6726">
        <v>1.224926</v>
      </c>
      <c r="AE6726">
        <v>-15.974873000000001</v>
      </c>
      <c r="AF6726">
        <v>6.5999755640859004</v>
      </c>
      <c r="AG6726">
        <v>1.224926</v>
      </c>
      <c r="AH6726">
        <v>36.8662312987775</v>
      </c>
      <c r="AI6726">
        <v>88.1267376556127</v>
      </c>
      <c r="AJ6726">
        <v>79.8501479262099</v>
      </c>
      <c r="AK6726">
        <v>37.472378244874797</v>
      </c>
      <c r="AL6726">
        <v>86.479265944301105</v>
      </c>
      <c r="AM6726">
        <v>86.730437725327803</v>
      </c>
      <c r="AN6726">
        <v>1.0000000310319499</v>
      </c>
    </row>
    <row r="6727" spans="1:40" x14ac:dyDescent="0.25">
      <c r="A6727" t="str">
        <f>"20190312160504119"</f>
        <v>20190312160504119</v>
      </c>
      <c r="B6727" t="str">
        <f>"1552377904111792"</f>
        <v>1552377904111792</v>
      </c>
      <c r="C6727" t="s">
        <v>40</v>
      </c>
      <c r="D6727">
        <v>5.6998259999999998</v>
      </c>
      <c r="E6727">
        <v>0.54797949999999995</v>
      </c>
      <c r="F6727" t="s">
        <v>104</v>
      </c>
      <c r="G6727">
        <v>-279.02</v>
      </c>
      <c r="H6727">
        <v>2.3895490000000001</v>
      </c>
      <c r="I6727">
        <v>-1.08234599999999</v>
      </c>
      <c r="J6727">
        <v>-312.76569999999998</v>
      </c>
      <c r="K6727">
        <v>1.058759</v>
      </c>
      <c r="L6727">
        <v>15.11609</v>
      </c>
      <c r="M6727">
        <v>0.96407469999999995</v>
      </c>
      <c r="N6727">
        <v>0</v>
      </c>
      <c r="O6727">
        <v>-0.26490340000000001</v>
      </c>
      <c r="P6727">
        <v>0.94699279999999997</v>
      </c>
      <c r="Q6727">
        <v>4.3157689999999999E-2</v>
      </c>
      <c r="R6727">
        <v>-0.31834269999999998</v>
      </c>
      <c r="S6727">
        <v>2.7262270000000002</v>
      </c>
      <c r="T6727">
        <v>0.1069083</v>
      </c>
      <c r="U6727">
        <v>-1.306122</v>
      </c>
      <c r="V6727">
        <v>5.7289800000000002E-2</v>
      </c>
      <c r="W6727">
        <v>6.1629620000000003E-2</v>
      </c>
      <c r="X6727">
        <v>0.99645349999999999</v>
      </c>
      <c r="Y6727">
        <v>0.177729</v>
      </c>
      <c r="Z6727">
        <v>-6.3133979999999996E-3</v>
      </c>
      <c r="AA6727">
        <v>0.98405920000000002</v>
      </c>
      <c r="AB6727">
        <v>32</v>
      </c>
      <c r="AC6727">
        <v>33.745699999999999</v>
      </c>
      <c r="AD6727">
        <v>1.3307899999999999</v>
      </c>
      <c r="AE6727">
        <v>-16.198435999999901</v>
      </c>
      <c r="AF6727">
        <v>6.6700106865025797</v>
      </c>
      <c r="AG6727">
        <v>1.3307899999999999</v>
      </c>
      <c r="AH6727">
        <v>36.785013997808498</v>
      </c>
      <c r="AI6727">
        <v>87.961300148505998</v>
      </c>
      <c r="AJ6727">
        <v>79.722557129650795</v>
      </c>
      <c r="AK6727">
        <v>37.408519075220298</v>
      </c>
      <c r="AL6727">
        <v>86.466643569850007</v>
      </c>
      <c r="AM6727">
        <v>86.709476007332597</v>
      </c>
      <c r="AN6727">
        <v>0.99999995445381595</v>
      </c>
    </row>
    <row r="6728" spans="1:40" x14ac:dyDescent="0.25">
      <c r="A6728" t="str">
        <f>"20190312160504130"</f>
        <v>20190312160504130</v>
      </c>
      <c r="B6728" t="str">
        <f>"1552377904121384"</f>
        <v>1552377904121384</v>
      </c>
      <c r="C6728" t="s">
        <v>40</v>
      </c>
      <c r="D6728">
        <v>5.6276199999999896</v>
      </c>
      <c r="E6728">
        <v>0.54785649999999997</v>
      </c>
      <c r="F6728" t="s">
        <v>104</v>
      </c>
      <c r="G6728">
        <v>-279.02</v>
      </c>
      <c r="H6728">
        <v>2.4305210000000002</v>
      </c>
      <c r="I6728">
        <v>-1.2465109999999999</v>
      </c>
      <c r="J6728">
        <v>-312.61930000000001</v>
      </c>
      <c r="K6728">
        <v>1.0582020000000001</v>
      </c>
      <c r="L6728">
        <v>15.071809999999999</v>
      </c>
      <c r="M6728">
        <v>0.96290750000000003</v>
      </c>
      <c r="N6728">
        <v>0</v>
      </c>
      <c r="O6728">
        <v>-0.2691325</v>
      </c>
      <c r="P6728">
        <v>0.94541949999999997</v>
      </c>
      <c r="Q6728">
        <v>4.3458900000000002E-2</v>
      </c>
      <c r="R6728">
        <v>-0.32294529999999999</v>
      </c>
      <c r="S6728">
        <v>2.7196349999999998</v>
      </c>
      <c r="T6728">
        <v>0.110553</v>
      </c>
      <c r="U6728">
        <v>-1.318695</v>
      </c>
      <c r="V6728">
        <v>5.777533E-2</v>
      </c>
      <c r="W6728">
        <v>6.1680069999999997E-2</v>
      </c>
      <c r="X6728">
        <v>0.99642240000000004</v>
      </c>
      <c r="Y6728">
        <v>0.17803569999999999</v>
      </c>
      <c r="Z6728">
        <v>-6.6824320000000003E-3</v>
      </c>
      <c r="AA6728">
        <v>0.98400129999999997</v>
      </c>
      <c r="AB6728">
        <v>32</v>
      </c>
      <c r="AC6728">
        <v>33.599299999999999</v>
      </c>
      <c r="AD6728">
        <v>1.3723189999999901</v>
      </c>
      <c r="AE6728">
        <v>-16.318320999999901</v>
      </c>
      <c r="AF6728">
        <v>6.6626339625421496</v>
      </c>
      <c r="AG6728">
        <v>1.3723189999999901</v>
      </c>
      <c r="AH6728">
        <v>36.702192890823198</v>
      </c>
      <c r="AI6728">
        <v>87.893073478012397</v>
      </c>
      <c r="AJ6728">
        <v>79.711009282606597</v>
      </c>
      <c r="AK6728">
        <v>37.327267697378801</v>
      </c>
      <c r="AL6728">
        <v>86.463747682861893</v>
      </c>
      <c r="AM6728">
        <v>86.681547595372905</v>
      </c>
      <c r="AN6728">
        <v>1.00000000950678</v>
      </c>
    </row>
    <row r="6729" spans="1:40" x14ac:dyDescent="0.25">
      <c r="A6729" t="str">
        <f>"20190312160504140"</f>
        <v>20190312160504140</v>
      </c>
      <c r="B6729" t="str">
        <f>"1552377904132122"</f>
        <v>1552377904132122</v>
      </c>
      <c r="C6729" t="s">
        <v>40</v>
      </c>
      <c r="D6729">
        <v>5.6947419999999997</v>
      </c>
      <c r="E6729">
        <v>0.54818140000000004</v>
      </c>
      <c r="F6729" t="s">
        <v>104</v>
      </c>
      <c r="G6729">
        <v>-279.02</v>
      </c>
      <c r="H6729">
        <v>2.4431219999999998</v>
      </c>
      <c r="I6729">
        <v>-1.4096519999999999</v>
      </c>
      <c r="J6729">
        <v>-312.46440000000001</v>
      </c>
      <c r="K6729">
        <v>1.0576639999999999</v>
      </c>
      <c r="L6729">
        <v>15.0238</v>
      </c>
      <c r="M6729">
        <v>0.96162510000000001</v>
      </c>
      <c r="N6729">
        <v>0</v>
      </c>
      <c r="O6729">
        <v>-0.27369549999999998</v>
      </c>
      <c r="P6729">
        <v>0.94377230000000001</v>
      </c>
      <c r="Q6729">
        <v>4.3967270000000003E-2</v>
      </c>
      <c r="R6729">
        <v>-0.32766020000000001</v>
      </c>
      <c r="S6729">
        <v>2.7133790000000002</v>
      </c>
      <c r="T6729">
        <v>0.111842</v>
      </c>
      <c r="U6729">
        <v>-1.330994</v>
      </c>
      <c r="V6729">
        <v>5.8044989999999998E-2</v>
      </c>
      <c r="W6729">
        <v>6.194326E-2</v>
      </c>
      <c r="X6729">
        <v>0.99639040000000001</v>
      </c>
      <c r="Y6729">
        <v>0.17786689999999999</v>
      </c>
      <c r="Z6729">
        <v>-6.9369369999999998E-3</v>
      </c>
      <c r="AA6729">
        <v>0.98403010000000002</v>
      </c>
      <c r="AB6729">
        <v>32</v>
      </c>
      <c r="AC6729">
        <v>33.444400000000002</v>
      </c>
      <c r="AD6729">
        <v>1.3854580000000001</v>
      </c>
      <c r="AE6729">
        <v>-16.433451999999999</v>
      </c>
      <c r="AF6729">
        <v>6.6412812541992299</v>
      </c>
      <c r="AG6729">
        <v>1.3854580000000001</v>
      </c>
      <c r="AH6729">
        <v>36.614868251494698</v>
      </c>
      <c r="AI6729">
        <v>87.867795042229105</v>
      </c>
      <c r="AJ6729">
        <v>79.719342160529607</v>
      </c>
      <c r="AK6729">
        <v>37.238081148757601</v>
      </c>
      <c r="AL6729">
        <v>86.448639113989501</v>
      </c>
      <c r="AM6729">
        <v>86.665987109862797</v>
      </c>
      <c r="AN6729">
        <v>1.00000000876784</v>
      </c>
    </row>
    <row r="6730" spans="1:40" x14ac:dyDescent="0.25">
      <c r="A6730" t="str">
        <f>"20190312160504151"</f>
        <v>20190312160504151</v>
      </c>
      <c r="B6730" t="str">
        <f>"1552377904141880"</f>
        <v>1552377904141880</v>
      </c>
      <c r="C6730" t="s">
        <v>40</v>
      </c>
      <c r="D6730">
        <v>5.6928850000000004</v>
      </c>
      <c r="E6730">
        <v>0.54867010000000005</v>
      </c>
      <c r="F6730" t="s">
        <v>104</v>
      </c>
      <c r="G6730">
        <v>-279.02</v>
      </c>
      <c r="H6730">
        <v>2.4262510000000002</v>
      </c>
      <c r="I6730">
        <v>-1.624619</v>
      </c>
      <c r="J6730">
        <v>-312.32229999999998</v>
      </c>
      <c r="K6730">
        <v>1.057185</v>
      </c>
      <c r="L6730">
        <v>14.979279999999999</v>
      </c>
      <c r="M6730">
        <v>0.96041980000000005</v>
      </c>
      <c r="N6730">
        <v>0</v>
      </c>
      <c r="O6730">
        <v>-0.27790979999999998</v>
      </c>
      <c r="P6730">
        <v>0.9422682</v>
      </c>
      <c r="Q6730">
        <v>4.412659E-2</v>
      </c>
      <c r="R6730">
        <v>-0.33193869999999998</v>
      </c>
      <c r="S6730">
        <v>2.705902</v>
      </c>
      <c r="T6730">
        <v>0.1107292</v>
      </c>
      <c r="U6730">
        <v>-1.3469850000000001</v>
      </c>
      <c r="V6730">
        <v>5.8206019999999997E-2</v>
      </c>
      <c r="W6730">
        <v>6.1886620000000003E-2</v>
      </c>
      <c r="X6730">
        <v>0.99638450000000001</v>
      </c>
      <c r="Y6730">
        <v>0.17929899999999999</v>
      </c>
      <c r="Z6730">
        <v>-6.9995689999999998E-3</v>
      </c>
      <c r="AA6730">
        <v>0.98376969999999997</v>
      </c>
      <c r="AB6730">
        <v>32</v>
      </c>
      <c r="AC6730">
        <v>33.302300000000002</v>
      </c>
      <c r="AD6730">
        <v>1.3690659999999899</v>
      </c>
      <c r="AE6730">
        <v>-16.603898999999998</v>
      </c>
      <c r="AF6730">
        <v>6.68383540376559</v>
      </c>
      <c r="AG6730">
        <v>1.3690659999999899</v>
      </c>
      <c r="AH6730">
        <v>36.555682262062497</v>
      </c>
      <c r="AI6730">
        <v>87.890132708433597</v>
      </c>
      <c r="AJ6730">
        <v>79.638499742230707</v>
      </c>
      <c r="AK6730">
        <v>37.186904994391</v>
      </c>
      <c r="AL6730">
        <v>86.451890494148003</v>
      </c>
      <c r="AM6730">
        <v>86.656738999677401</v>
      </c>
      <c r="AN6730">
        <v>0.99999998316975702</v>
      </c>
    </row>
    <row r="6731" spans="1:40" x14ac:dyDescent="0.25">
      <c r="A6731" t="str">
        <f>"20190312160504162"</f>
        <v>20190312160504162</v>
      </c>
      <c r="B6731" t="str">
        <f>"1552377904151640"</f>
        <v>1552377904151640</v>
      </c>
      <c r="C6731" t="s">
        <v>40</v>
      </c>
      <c r="D6731">
        <v>5.958475</v>
      </c>
      <c r="E6731">
        <v>0.54867010000000005</v>
      </c>
      <c r="F6731" t="s">
        <v>104</v>
      </c>
      <c r="G6731">
        <v>-279.02</v>
      </c>
      <c r="H6731">
        <v>2.3960669999999999</v>
      </c>
      <c r="I6731">
        <v>-1.8420879999999999</v>
      </c>
      <c r="J6731">
        <v>-312.1703</v>
      </c>
      <c r="K6731">
        <v>1.056705</v>
      </c>
      <c r="L6731">
        <v>14.93069</v>
      </c>
      <c r="M6731">
        <v>0.95908950000000004</v>
      </c>
      <c r="N6731">
        <v>0</v>
      </c>
      <c r="O6731">
        <v>-0.28248040000000002</v>
      </c>
      <c r="P6731">
        <v>0.94059490000000001</v>
      </c>
      <c r="Q6731">
        <v>4.4375209999999998E-2</v>
      </c>
      <c r="R6731">
        <v>-0.3366188</v>
      </c>
      <c r="S6731">
        <v>2.698547</v>
      </c>
      <c r="T6731">
        <v>0.1084923</v>
      </c>
      <c r="U6731">
        <v>-1.3630679999999999</v>
      </c>
      <c r="V6731">
        <v>5.8427769999999997E-2</v>
      </c>
      <c r="W6731">
        <v>6.1914700000000003E-2</v>
      </c>
      <c r="X6731">
        <v>0.99636979999999997</v>
      </c>
      <c r="Y6731">
        <v>0.1803661</v>
      </c>
      <c r="Z6731">
        <v>-7.0062809999999996E-3</v>
      </c>
      <c r="AA6731">
        <v>0.98357459999999997</v>
      </c>
      <c r="AB6731">
        <v>32</v>
      </c>
      <c r="AC6731">
        <v>33.150300000000001</v>
      </c>
      <c r="AD6731">
        <v>1.3393619999999999</v>
      </c>
      <c r="AE6731">
        <v>-16.772777999999999</v>
      </c>
      <c r="AF6731">
        <v>6.7147422813675597</v>
      </c>
      <c r="AG6731">
        <v>1.3393619999999999</v>
      </c>
      <c r="AH6731">
        <v>36.491093559564497</v>
      </c>
      <c r="AI6731">
        <v>87.932648304950305</v>
      </c>
      <c r="AJ6731">
        <v>79.573612744695595</v>
      </c>
      <c r="AK6731">
        <v>37.1279081506772</v>
      </c>
      <c r="AL6731">
        <v>86.450278619859006</v>
      </c>
      <c r="AM6731">
        <v>86.643981690505598</v>
      </c>
      <c r="AN6731">
        <v>1.00000000636765</v>
      </c>
    </row>
    <row r="6732" spans="1:40" x14ac:dyDescent="0.25">
      <c r="A6732" t="str">
        <f>"20190312160504174"</f>
        <v>20190312160504174</v>
      </c>
      <c r="B6732" t="str">
        <f>"1552377904161400"</f>
        <v>1552377904161400</v>
      </c>
      <c r="C6732" t="s">
        <v>40</v>
      </c>
      <c r="D6732">
        <v>5.9154220000000004</v>
      </c>
      <c r="E6732">
        <v>0.56072469999999996</v>
      </c>
      <c r="F6732" t="s">
        <v>104</v>
      </c>
      <c r="G6732">
        <v>-279.02</v>
      </c>
      <c r="H6732">
        <v>2.4028510000000001</v>
      </c>
      <c r="I6732">
        <v>-2.021226</v>
      </c>
      <c r="J6732">
        <v>-312.02100000000002</v>
      </c>
      <c r="K6732">
        <v>1.056262</v>
      </c>
      <c r="L6732">
        <v>14.88217</v>
      </c>
      <c r="M6732">
        <v>0.95774440000000005</v>
      </c>
      <c r="N6732">
        <v>0</v>
      </c>
      <c r="O6732">
        <v>-0.2870202</v>
      </c>
      <c r="P6732">
        <v>0.93891939999999996</v>
      </c>
      <c r="Q6732">
        <v>4.4485379999999998E-2</v>
      </c>
      <c r="R6732">
        <v>-0.3412501</v>
      </c>
      <c r="S6732">
        <v>2.691681</v>
      </c>
      <c r="T6732">
        <v>0.1093022</v>
      </c>
      <c r="U6732">
        <v>-1.3764339999999999</v>
      </c>
      <c r="V6732">
        <v>5.8627859999999997E-2</v>
      </c>
      <c r="W6732">
        <v>6.1818570000000003E-2</v>
      </c>
      <c r="X6732">
        <v>0.99636400000000003</v>
      </c>
      <c r="Y6732">
        <v>0.18060039999999999</v>
      </c>
      <c r="Z6732">
        <v>-7.2230339999999997E-3</v>
      </c>
      <c r="AA6732">
        <v>0.98353000000000002</v>
      </c>
      <c r="AB6732">
        <v>32</v>
      </c>
      <c r="AC6732">
        <v>33.000999999999898</v>
      </c>
      <c r="AD6732">
        <v>1.34658899999999</v>
      </c>
      <c r="AE6732">
        <v>-16.903396000000001</v>
      </c>
      <c r="AF6732">
        <v>6.70948889930877</v>
      </c>
      <c r="AG6732">
        <v>1.34658899999999</v>
      </c>
      <c r="AH6732">
        <v>36.416398979373</v>
      </c>
      <c r="AI6732">
        <v>87.917329840168804</v>
      </c>
      <c r="AJ6732">
        <v>79.560691181877701</v>
      </c>
      <c r="AK6732">
        <v>37.053807602589899</v>
      </c>
      <c r="AL6732">
        <v>86.455796979619294</v>
      </c>
      <c r="AM6732">
        <v>86.632495616417103</v>
      </c>
      <c r="AN6732">
        <v>0.99999999103051196</v>
      </c>
    </row>
    <row r="6733" spans="1:40" x14ac:dyDescent="0.25">
      <c r="A6733" t="str">
        <f>"20190312160504185"</f>
        <v>20190312160504185</v>
      </c>
      <c r="B6733" t="str">
        <f>"1552377904181896"</f>
        <v>1552377904181896</v>
      </c>
      <c r="C6733" t="s">
        <v>40</v>
      </c>
      <c r="D6733">
        <v>6.5132320000000004</v>
      </c>
      <c r="E6733">
        <v>0.562007699999999</v>
      </c>
      <c r="F6733" t="s">
        <v>104</v>
      </c>
      <c r="G6733">
        <v>-279.02</v>
      </c>
      <c r="H6733">
        <v>0.62388520000000003</v>
      </c>
      <c r="I6733">
        <v>-3.5826340000000001</v>
      </c>
      <c r="J6733">
        <v>-311.8501</v>
      </c>
      <c r="K6733">
        <v>1.055779</v>
      </c>
      <c r="L6733">
        <v>14.825839999999999</v>
      </c>
      <c r="M6733">
        <v>0.95616100000000004</v>
      </c>
      <c r="N6733">
        <v>0</v>
      </c>
      <c r="O6733">
        <v>-0.29226600000000003</v>
      </c>
      <c r="P6733">
        <v>0.93698559999999997</v>
      </c>
      <c r="Q6733">
        <v>4.4491860000000001E-2</v>
      </c>
      <c r="R6733">
        <v>-0.34652460000000002</v>
      </c>
      <c r="S6733">
        <v>2.6565859999999999</v>
      </c>
      <c r="T6733">
        <v>-3.4806370000000003E-2</v>
      </c>
      <c r="U6733">
        <v>-1.4864200000000001</v>
      </c>
      <c r="V6733">
        <v>5.8776139999999998E-2</v>
      </c>
      <c r="W6733">
        <v>6.1599170000000002E-2</v>
      </c>
      <c r="X6733">
        <v>0.9963689</v>
      </c>
      <c r="Y6733">
        <v>0.21186479999999999</v>
      </c>
      <c r="Z6733">
        <v>2.1705969999999998E-3</v>
      </c>
      <c r="AA6733">
        <v>0.97729659999999996</v>
      </c>
      <c r="AB6733">
        <v>32</v>
      </c>
      <c r="AC6733">
        <v>32.830100000000002</v>
      </c>
      <c r="AD6733">
        <v>-0.43189379999999999</v>
      </c>
      <c r="AE6733">
        <v>-18.408473999999998</v>
      </c>
      <c r="AF6733">
        <v>8.00663700234945</v>
      </c>
      <c r="AG6733">
        <v>-0.43189379999999999</v>
      </c>
      <c r="AH6733">
        <v>36.772383035238903</v>
      </c>
      <c r="AI6733">
        <v>90.657507488335497</v>
      </c>
      <c r="AJ6733">
        <v>77.716420699897398</v>
      </c>
      <c r="AK6733">
        <v>37.636430787631703</v>
      </c>
      <c r="AL6733">
        <v>86.468391845187796</v>
      </c>
      <c r="AM6733">
        <v>86.624014854263507</v>
      </c>
      <c r="AN6733">
        <v>1.00000003863259</v>
      </c>
    </row>
    <row r="6734" spans="1:40" x14ac:dyDescent="0.25">
      <c r="A6734" t="str">
        <f>"20190312160504195"</f>
        <v>20190312160504195</v>
      </c>
      <c r="B6734" t="str">
        <f>"1552377904191656"</f>
        <v>1552377904191656</v>
      </c>
      <c r="C6734" t="s">
        <v>40</v>
      </c>
      <c r="D6734">
        <v>5.9340519999999897</v>
      </c>
      <c r="E6734">
        <v>0.56095890000000004</v>
      </c>
      <c r="F6734" t="s">
        <v>104</v>
      </c>
      <c r="G6734">
        <v>-279.02</v>
      </c>
      <c r="H6734">
        <v>0.57623919999999995</v>
      </c>
      <c r="I6734">
        <v>-3.9310809999999998</v>
      </c>
      <c r="J6734">
        <v>-311.71010000000001</v>
      </c>
      <c r="K6734">
        <v>1.055417</v>
      </c>
      <c r="L6734">
        <v>14.77844</v>
      </c>
      <c r="M6734">
        <v>0.95481519999999998</v>
      </c>
      <c r="N6734">
        <v>0</v>
      </c>
      <c r="O6734">
        <v>-0.29664249999999998</v>
      </c>
      <c r="P6734">
        <v>0.9352916</v>
      </c>
      <c r="Q6734">
        <v>4.4564090000000001E-2</v>
      </c>
      <c r="R6734">
        <v>-0.35106159999999997</v>
      </c>
      <c r="S6734">
        <v>2.6447750000000001</v>
      </c>
      <c r="T6734">
        <v>-3.8631440000000003E-2</v>
      </c>
      <c r="U6734">
        <v>-1.511047</v>
      </c>
      <c r="V6734">
        <v>5.9050310000000002E-2</v>
      </c>
      <c r="W6734">
        <v>6.1496839999999997E-2</v>
      </c>
      <c r="X6734">
        <v>0.99635899999999999</v>
      </c>
      <c r="Y6734">
        <v>0.2161344</v>
      </c>
      <c r="Z6734">
        <v>2.4382179999999998E-3</v>
      </c>
      <c r="AA6734">
        <v>0.97636060000000002</v>
      </c>
      <c r="AB6734">
        <v>32</v>
      </c>
      <c r="AC6734">
        <v>32.690100000000001</v>
      </c>
      <c r="AD6734">
        <v>-0.47917779999999999</v>
      </c>
      <c r="AE6734">
        <v>-18.709520999999999</v>
      </c>
      <c r="AF6734">
        <v>8.1668928635834099</v>
      </c>
      <c r="AG6734">
        <v>-0.47917779999999999</v>
      </c>
      <c r="AH6734">
        <v>36.7631821765778</v>
      </c>
      <c r="AI6734">
        <v>90.728991723231303</v>
      </c>
      <c r="AJ6734">
        <v>77.475207023763502</v>
      </c>
      <c r="AK6734">
        <v>37.6624390362269</v>
      </c>
      <c r="AL6734">
        <v>86.474266023657705</v>
      </c>
      <c r="AM6734">
        <v>86.608270128402793</v>
      </c>
      <c r="AN6734">
        <v>1.00000002866104</v>
      </c>
    </row>
    <row r="6735" spans="1:40" x14ac:dyDescent="0.25">
      <c r="A6735" t="str">
        <f>"20190312160504208"</f>
        <v>20190312160504208</v>
      </c>
      <c r="B6735" t="str">
        <f>"1552377904201415"</f>
        <v>1552377904201415</v>
      </c>
      <c r="C6735" t="s">
        <v>40</v>
      </c>
      <c r="D6735">
        <v>5.761539</v>
      </c>
      <c r="E6735">
        <v>0.56095890000000004</v>
      </c>
      <c r="F6735" t="s">
        <v>104</v>
      </c>
      <c r="G6735">
        <v>-279.02</v>
      </c>
      <c r="H6735">
        <v>0.53801980000000005</v>
      </c>
      <c r="I6735">
        <v>-3.9920010000000001</v>
      </c>
      <c r="J6735">
        <v>-311.54250000000002</v>
      </c>
      <c r="K6735">
        <v>1.0549980000000001</v>
      </c>
      <c r="L6735">
        <v>14.72134</v>
      </c>
      <c r="M6735">
        <v>0.95316920000000005</v>
      </c>
      <c r="N6735">
        <v>0</v>
      </c>
      <c r="O6735">
        <v>-0.30190090000000003</v>
      </c>
      <c r="P6735">
        <v>0.93333200000000005</v>
      </c>
      <c r="Q6735">
        <v>4.4828560000000003E-2</v>
      </c>
      <c r="R6735">
        <v>-0.35620479999999999</v>
      </c>
      <c r="S6735">
        <v>2.6404719999999999</v>
      </c>
      <c r="T6735">
        <v>-4.1791679999999998E-2</v>
      </c>
      <c r="U6735">
        <v>-1.5161439999999999</v>
      </c>
      <c r="V6735">
        <v>5.9060319999999999E-2</v>
      </c>
      <c r="W6735">
        <v>6.1562520000000003E-2</v>
      </c>
      <c r="X6735">
        <v>0.99635430000000003</v>
      </c>
      <c r="Y6735">
        <v>0.21285760000000001</v>
      </c>
      <c r="Z6735">
        <v>2.7355470000000001E-3</v>
      </c>
      <c r="AA6735">
        <v>0.97707940000000004</v>
      </c>
      <c r="AB6735">
        <v>32</v>
      </c>
      <c r="AC6735">
        <v>32.522500000000001</v>
      </c>
      <c r="AD6735">
        <v>-0.51697819999999906</v>
      </c>
      <c r="AE6735">
        <v>-18.713341</v>
      </c>
      <c r="AF6735">
        <v>8.0181867250992802</v>
      </c>
      <c r="AG6735">
        <v>-0.51697819999999906</v>
      </c>
      <c r="AH6735">
        <v>36.648007292685598</v>
      </c>
      <c r="AI6735">
        <v>90.789520797528695</v>
      </c>
      <c r="AJ6735">
        <v>77.658771507343801</v>
      </c>
      <c r="AK6735">
        <v>37.518462433081801</v>
      </c>
      <c r="AL6735">
        <v>86.470495514813393</v>
      </c>
      <c r="AM6735">
        <v>86.607680552133402</v>
      </c>
      <c r="AN6735">
        <v>0.99999997819787101</v>
      </c>
    </row>
    <row r="6736" spans="1:40" x14ac:dyDescent="0.25">
      <c r="A6736" t="str">
        <f>"20190312160504218"</f>
        <v>20190312160504218</v>
      </c>
      <c r="B6736" t="str">
        <f>"1552377904212154"</f>
        <v>1552377904212154</v>
      </c>
      <c r="C6736" t="s">
        <v>40</v>
      </c>
      <c r="D6736">
        <v>5.9650080000000001</v>
      </c>
      <c r="E6736">
        <v>0.56024719999999995</v>
      </c>
      <c r="F6736" t="s">
        <v>104</v>
      </c>
      <c r="G6736">
        <v>-279.02</v>
      </c>
      <c r="H6736">
        <v>0.54595539999999998</v>
      </c>
      <c r="I6736">
        <v>-4.190931</v>
      </c>
      <c r="J6736">
        <v>-311.4024</v>
      </c>
      <c r="K6736">
        <v>1.0546789999999999</v>
      </c>
      <c r="L6736">
        <v>14.67221</v>
      </c>
      <c r="M6736">
        <v>0.95173940000000001</v>
      </c>
      <c r="N6736">
        <v>0</v>
      </c>
      <c r="O6736">
        <v>-0.30638680000000001</v>
      </c>
      <c r="P6736">
        <v>0.93146589999999996</v>
      </c>
      <c r="Q6736">
        <v>4.5086090000000002E-2</v>
      </c>
      <c r="R6736">
        <v>-0.36102469999999998</v>
      </c>
      <c r="S6736">
        <v>2.6321110000000001</v>
      </c>
      <c r="T6736">
        <v>-4.1197900000000003E-2</v>
      </c>
      <c r="U6736">
        <v>-1.5306090000000001</v>
      </c>
      <c r="V6736">
        <v>5.9535280000000003E-2</v>
      </c>
      <c r="W6736">
        <v>6.1658169999999998E-2</v>
      </c>
      <c r="X6736">
        <v>0.99632010000000004</v>
      </c>
      <c r="Y6736">
        <v>0.21361830000000001</v>
      </c>
      <c r="Z6736">
        <v>2.7543950000000002E-3</v>
      </c>
      <c r="AA6736">
        <v>0.97691329999999998</v>
      </c>
      <c r="AB6736">
        <v>32</v>
      </c>
      <c r="AC6736">
        <v>32.382399999999997</v>
      </c>
      <c r="AD6736">
        <v>-0.50872360000000005</v>
      </c>
      <c r="AE6736">
        <v>-18.863140999999999</v>
      </c>
      <c r="AF6736">
        <v>8.0310569488477199</v>
      </c>
      <c r="AG6736">
        <v>-0.50872360000000005</v>
      </c>
      <c r="AH6736">
        <v>36.5981227122641</v>
      </c>
      <c r="AI6736">
        <v>90.777869210889193</v>
      </c>
      <c r="AJ6736">
        <v>77.623241875442403</v>
      </c>
      <c r="AK6736">
        <v>37.472379981511303</v>
      </c>
      <c r="AL6736">
        <v>86.465004680076504</v>
      </c>
      <c r="AM6736">
        <v>86.580347074118507</v>
      </c>
      <c r="AN6736">
        <v>0.99999996057821705</v>
      </c>
    </row>
    <row r="6737" spans="1:40" x14ac:dyDescent="0.25">
      <c r="A6737" t="str">
        <f>"20190312160504230"</f>
        <v>20190312160504230</v>
      </c>
      <c r="B6737" t="str">
        <f>"1552377904221912"</f>
        <v>1552377904221912</v>
      </c>
      <c r="C6737" t="s">
        <v>40</v>
      </c>
      <c r="D6737">
        <v>6.101953</v>
      </c>
      <c r="E6737">
        <v>0.56033840000000001</v>
      </c>
      <c r="F6737" t="s">
        <v>104</v>
      </c>
      <c r="G6737">
        <v>-279.02</v>
      </c>
      <c r="H6737">
        <v>0.52526070000000002</v>
      </c>
      <c r="I6737">
        <v>-4.3042619999999996</v>
      </c>
      <c r="J6737">
        <v>-311.24540000000002</v>
      </c>
      <c r="K6737">
        <v>1.0543279999999999</v>
      </c>
      <c r="L6737">
        <v>14.616759999999999</v>
      </c>
      <c r="M6737">
        <v>0.95010190000000005</v>
      </c>
      <c r="N6737">
        <v>0</v>
      </c>
      <c r="O6737">
        <v>-0.31143660000000001</v>
      </c>
      <c r="P6737">
        <v>0.92946759999999995</v>
      </c>
      <c r="Q6737">
        <v>4.5584090000000001E-2</v>
      </c>
      <c r="R6737">
        <v>-0.36607669999999998</v>
      </c>
      <c r="S6737">
        <v>2.6262819999999998</v>
      </c>
      <c r="T6737">
        <v>-4.2936920000000003E-2</v>
      </c>
      <c r="U6737">
        <v>-1.539032</v>
      </c>
      <c r="V6737">
        <v>5.9680530000000002E-2</v>
      </c>
      <c r="W6737">
        <v>6.198704E-2</v>
      </c>
      <c r="X6737">
        <v>0.99629100000000004</v>
      </c>
      <c r="Y6737">
        <v>0.21170939999999999</v>
      </c>
      <c r="Z6737">
        <v>2.9583579999999999E-3</v>
      </c>
      <c r="AA6737">
        <v>0.97732819999999998</v>
      </c>
      <c r="AB6737">
        <v>32</v>
      </c>
      <c r="AC6737">
        <v>32.2254</v>
      </c>
      <c r="AD6737">
        <v>-0.52906730000000002</v>
      </c>
      <c r="AE6737">
        <v>-18.921022000000001</v>
      </c>
      <c r="AF6737">
        <v>7.9403838575650196</v>
      </c>
      <c r="AG6737">
        <v>-0.52906730000000002</v>
      </c>
      <c r="AH6737">
        <v>36.508521289362797</v>
      </c>
      <c r="AI6737">
        <v>90.811285993482102</v>
      </c>
      <c r="AJ6737">
        <v>77.729608596063002</v>
      </c>
      <c r="AK6737">
        <v>37.365782940402397</v>
      </c>
      <c r="AL6737">
        <v>86.446125693530306</v>
      </c>
      <c r="AM6737">
        <v>86.5719240293366</v>
      </c>
      <c r="AN6737">
        <v>0.99999995773502004</v>
      </c>
    </row>
    <row r="6738" spans="1:40" x14ac:dyDescent="0.25">
      <c r="A6738" t="str">
        <f>"20190312160504242"</f>
        <v>20190312160504242</v>
      </c>
      <c r="B6738" t="str">
        <f>"1552377904231672"</f>
        <v>1552377904231672</v>
      </c>
      <c r="C6738" t="s">
        <v>40</v>
      </c>
      <c r="D6738">
        <v>6.0333399999999999</v>
      </c>
      <c r="E6738">
        <v>0.56016449999999995</v>
      </c>
      <c r="F6738" t="s">
        <v>104</v>
      </c>
      <c r="G6738">
        <v>-279.02</v>
      </c>
      <c r="H6738">
        <v>0.56711849999999997</v>
      </c>
      <c r="I6738">
        <v>-4.5130429999999997</v>
      </c>
      <c r="J6738">
        <v>-311.07369999999997</v>
      </c>
      <c r="K6738">
        <v>1.0539780000000001</v>
      </c>
      <c r="L6738">
        <v>14.554690000000001</v>
      </c>
      <c r="M6738">
        <v>0.94824920000000001</v>
      </c>
      <c r="N6738">
        <v>0</v>
      </c>
      <c r="O6738">
        <v>-0.31704139999999997</v>
      </c>
      <c r="P6738">
        <v>0.92723630000000001</v>
      </c>
      <c r="Q6738">
        <v>4.5945390000000003E-2</v>
      </c>
      <c r="R6738">
        <v>-0.37164740000000002</v>
      </c>
      <c r="S6738">
        <v>2.6175839999999999</v>
      </c>
      <c r="T6738">
        <v>-3.9574739999999997E-2</v>
      </c>
      <c r="U6738">
        <v>-1.5538639999999999</v>
      </c>
      <c r="V6738">
        <v>5.979868E-2</v>
      </c>
      <c r="W6738">
        <v>6.2177879999999998E-2</v>
      </c>
      <c r="X6738">
        <v>0.99627209999999999</v>
      </c>
      <c r="Y6738">
        <v>0.2114586</v>
      </c>
      <c r="Z6738">
        <v>2.8037330000000001E-3</v>
      </c>
      <c r="AA6738">
        <v>0.977383</v>
      </c>
      <c r="AB6738">
        <v>32</v>
      </c>
      <c r="AC6738">
        <v>32.0536999999999</v>
      </c>
      <c r="AD6738">
        <v>-0.4868595</v>
      </c>
      <c r="AE6738">
        <v>-19.067733</v>
      </c>
      <c r="AF6738">
        <v>7.9184838766264596</v>
      </c>
      <c r="AG6738">
        <v>-0.4868595</v>
      </c>
      <c r="AH6738">
        <v>36.439563599803201</v>
      </c>
      <c r="AI6738">
        <v>90.748013111004099</v>
      </c>
      <c r="AJ6738">
        <v>77.739971347010396</v>
      </c>
      <c r="AK6738">
        <v>37.2931791943411</v>
      </c>
      <c r="AL6738">
        <v>86.4351705061178</v>
      </c>
      <c r="AM6738">
        <v>86.5650886683854</v>
      </c>
      <c r="AN6738">
        <v>1.0000000340647199</v>
      </c>
    </row>
    <row r="6739" spans="1:40" x14ac:dyDescent="0.25">
      <c r="A6739" t="str">
        <f>"20190312160504256"</f>
        <v>20190312160504256</v>
      </c>
      <c r="B6739" t="str">
        <f>"1552377904252168"</f>
        <v>1552377904252168</v>
      </c>
      <c r="C6739" t="s">
        <v>40</v>
      </c>
      <c r="D6739">
        <v>5.9274769999999997</v>
      </c>
      <c r="E6739">
        <v>0.55936280000000005</v>
      </c>
      <c r="F6739" t="s">
        <v>104</v>
      </c>
      <c r="G6739">
        <v>-279.02</v>
      </c>
      <c r="H6739">
        <v>0.55442480000000005</v>
      </c>
      <c r="I6739">
        <v>-4.7161499999999998</v>
      </c>
      <c r="J6739">
        <v>-310.90519999999998</v>
      </c>
      <c r="K6739">
        <v>1.0536570000000001</v>
      </c>
      <c r="L6739">
        <v>14.492520000000001</v>
      </c>
      <c r="M6739">
        <v>0.9463703</v>
      </c>
      <c r="N6739">
        <v>0</v>
      </c>
      <c r="O6739">
        <v>-0.32261450000000003</v>
      </c>
      <c r="P6739">
        <v>0.9250408</v>
      </c>
      <c r="Q6739">
        <v>4.6170929999999999E-2</v>
      </c>
      <c r="R6739">
        <v>-0.37705129999999998</v>
      </c>
      <c r="S6739">
        <v>2.6087950000000002</v>
      </c>
      <c r="T6739">
        <v>-4.0657760000000001E-2</v>
      </c>
      <c r="U6739">
        <v>-1.5684199999999999</v>
      </c>
      <c r="V6739">
        <v>5.9768809999999999E-2</v>
      </c>
      <c r="W6739">
        <v>6.224975E-2</v>
      </c>
      <c r="X6739">
        <v>0.99626930000000002</v>
      </c>
      <c r="Y6739">
        <v>0.21117</v>
      </c>
      <c r="Z6739">
        <v>2.9595379999999998E-3</v>
      </c>
      <c r="AA6739">
        <v>0.97744489999999995</v>
      </c>
      <c r="AB6739">
        <v>32</v>
      </c>
      <c r="AC6739">
        <v>31.885200000000001</v>
      </c>
      <c r="AD6739">
        <v>-0.49923220000000001</v>
      </c>
      <c r="AE6739">
        <v>-19.208670000000001</v>
      </c>
      <c r="AF6739">
        <v>7.8916639174548502</v>
      </c>
      <c r="AG6739">
        <v>-0.49923220000000001</v>
      </c>
      <c r="AH6739">
        <v>36.371173911477399</v>
      </c>
      <c r="AI6739">
        <v>90.768514804440002</v>
      </c>
      <c r="AJ6739">
        <v>77.757961531412903</v>
      </c>
      <c r="AK6739">
        <v>37.220825942938298</v>
      </c>
      <c r="AL6739">
        <v>86.431044294567997</v>
      </c>
      <c r="AM6739">
        <v>86.566790707812004</v>
      </c>
      <c r="AN6739">
        <v>0.999999930073181</v>
      </c>
    </row>
    <row r="6740" spans="1:40" x14ac:dyDescent="0.25">
      <c r="A6740" t="str">
        <f>"20190312160504267"</f>
        <v>20190312160504267</v>
      </c>
      <c r="B6740" t="str">
        <f>"1552377904261928"</f>
        <v>1552377904261928</v>
      </c>
      <c r="C6740" t="s">
        <v>40</v>
      </c>
      <c r="D6740">
        <v>5.9835229999999999</v>
      </c>
      <c r="E6740">
        <v>0.55900509999999903</v>
      </c>
      <c r="F6740" t="s">
        <v>104</v>
      </c>
      <c r="G6740">
        <v>-279.02</v>
      </c>
      <c r="H6740">
        <v>0.52914659999999902</v>
      </c>
      <c r="I6740">
        <v>-4.843712</v>
      </c>
      <c r="J6740">
        <v>-310.7355</v>
      </c>
      <c r="K6740">
        <v>1.0533490000000001</v>
      </c>
      <c r="L6740">
        <v>14.4292</v>
      </c>
      <c r="M6740">
        <v>0.94442930000000003</v>
      </c>
      <c r="N6740">
        <v>0</v>
      </c>
      <c r="O6740">
        <v>-0.32826070000000002</v>
      </c>
      <c r="P6740">
        <v>0.922705</v>
      </c>
      <c r="Q6740">
        <v>4.6401619999999998E-2</v>
      </c>
      <c r="R6740">
        <v>-0.38270490000000001</v>
      </c>
      <c r="S6740">
        <v>2.6020509999999999</v>
      </c>
      <c r="T6740">
        <v>-4.2803760000000003E-2</v>
      </c>
      <c r="U6740">
        <v>-1.5779719999999999</v>
      </c>
      <c r="V6740">
        <v>5.9933790000000001E-2</v>
      </c>
      <c r="W6740">
        <v>6.2327790000000001E-2</v>
      </c>
      <c r="X6740">
        <v>0.99625459999999999</v>
      </c>
      <c r="Y6740">
        <v>0.20908009999999999</v>
      </c>
      <c r="Z6740">
        <v>3.2132829999999999E-3</v>
      </c>
      <c r="AA6740">
        <v>0.97789320000000002</v>
      </c>
      <c r="AB6740">
        <v>32</v>
      </c>
      <c r="AC6740">
        <v>31.715499999999999</v>
      </c>
      <c r="AD6740">
        <v>-0.52420239999999996</v>
      </c>
      <c r="AE6740">
        <v>-19.272912000000002</v>
      </c>
      <c r="AF6740">
        <v>7.7905581973467797</v>
      </c>
      <c r="AG6740">
        <v>-0.52420239999999996</v>
      </c>
      <c r="AH6740">
        <v>36.277759968002897</v>
      </c>
      <c r="AI6740">
        <v>90.809398247744298</v>
      </c>
      <c r="AJ6740">
        <v>77.879948625014094</v>
      </c>
      <c r="AK6740">
        <v>37.108536126859697</v>
      </c>
      <c r="AL6740">
        <v>86.426564554954993</v>
      </c>
      <c r="AM6740">
        <v>86.5572860975998</v>
      </c>
      <c r="AN6740">
        <v>1.0000000203056001</v>
      </c>
    </row>
    <row r="6741" spans="1:40" x14ac:dyDescent="0.25">
      <c r="A6741" t="str">
        <f>"20190312160504280"</f>
        <v>20190312160504280</v>
      </c>
      <c r="B6741" t="str">
        <f>"1552377904271688"</f>
        <v>1552377904271688</v>
      </c>
      <c r="C6741" t="s">
        <v>40</v>
      </c>
      <c r="D6741">
        <v>5.7019900000000003</v>
      </c>
      <c r="E6741">
        <v>0.55900509999999903</v>
      </c>
      <c r="F6741" t="s">
        <v>104</v>
      </c>
      <c r="G6741">
        <v>-279.02</v>
      </c>
      <c r="H6741">
        <v>0.49690420000000002</v>
      </c>
      <c r="I6741">
        <v>-5.0318670000000001</v>
      </c>
      <c r="J6741">
        <v>-310.56349999999998</v>
      </c>
      <c r="K6741">
        <v>1.0530649999999999</v>
      </c>
      <c r="L6741">
        <v>14.3631299999999</v>
      </c>
      <c r="M6741">
        <v>0.94238100000000002</v>
      </c>
      <c r="N6741">
        <v>0</v>
      </c>
      <c r="O6741">
        <v>-0.33410190000000001</v>
      </c>
      <c r="P6741">
        <v>0.92035999999999996</v>
      </c>
      <c r="Q6741">
        <v>4.6679869999999998E-2</v>
      </c>
      <c r="R6741">
        <v>-0.38827679999999998</v>
      </c>
      <c r="S6741">
        <v>2.5935359999999998</v>
      </c>
      <c r="T6741">
        <v>-4.5503380000000003E-2</v>
      </c>
      <c r="U6741">
        <v>-1.591431</v>
      </c>
      <c r="V6741">
        <v>5.9810820000000001E-2</v>
      </c>
      <c r="W6741">
        <v>6.2471520000000003E-2</v>
      </c>
      <c r="X6741">
        <v>0.99625300000000006</v>
      </c>
      <c r="Y6741">
        <v>0.208145</v>
      </c>
      <c r="Z6741">
        <v>3.513609E-3</v>
      </c>
      <c r="AA6741">
        <v>0.97809170000000001</v>
      </c>
      <c r="AB6741">
        <v>32</v>
      </c>
      <c r="AC6741">
        <v>31.543499999999899</v>
      </c>
      <c r="AD6741">
        <v>-0.55616079999999901</v>
      </c>
      <c r="AE6741">
        <v>-19.394997</v>
      </c>
      <c r="AF6741">
        <v>7.7381255018059401</v>
      </c>
      <c r="AG6741">
        <v>-0.55616079999999901</v>
      </c>
      <c r="AH6741">
        <v>36.203056420642497</v>
      </c>
      <c r="AI6741">
        <v>90.860685527542202</v>
      </c>
      <c r="AJ6741">
        <v>77.935013216394594</v>
      </c>
      <c r="AK6741">
        <v>37.024980692950798</v>
      </c>
      <c r="AL6741">
        <v>86.418313396886404</v>
      </c>
      <c r="AM6741">
        <v>86.564327292561501</v>
      </c>
      <c r="AN6741">
        <v>1.0000000325045899</v>
      </c>
    </row>
    <row r="6742" spans="1:40" x14ac:dyDescent="0.25">
      <c r="A6742" t="str">
        <f>"20190312160504291"</f>
        <v>20190312160504291</v>
      </c>
      <c r="B6742" t="str">
        <f>"1552377904281449"</f>
        <v>1552377904281449</v>
      </c>
      <c r="C6742" t="s">
        <v>40</v>
      </c>
      <c r="D6742">
        <v>5.7603039999999996</v>
      </c>
      <c r="E6742">
        <v>0.55730570000000001</v>
      </c>
      <c r="F6742" t="s">
        <v>104</v>
      </c>
      <c r="G6742">
        <v>-279.02</v>
      </c>
      <c r="H6742">
        <v>0.50953599999999999</v>
      </c>
      <c r="I6742">
        <v>-5.2559899999999997</v>
      </c>
      <c r="J6742">
        <v>-310.423</v>
      </c>
      <c r="K6742">
        <v>1.0528409999999999</v>
      </c>
      <c r="L6742">
        <v>14.308529999999999</v>
      </c>
      <c r="M6742">
        <v>0.94066669999999997</v>
      </c>
      <c r="N6742">
        <v>0</v>
      </c>
      <c r="O6742">
        <v>-0.33890290000000001</v>
      </c>
      <c r="P6742">
        <v>0.91836510000000005</v>
      </c>
      <c r="Q6742">
        <v>4.687595E-2</v>
      </c>
      <c r="R6742">
        <v>-0.39294820000000003</v>
      </c>
      <c r="S6742">
        <v>2.5838619999999999</v>
      </c>
      <c r="T6742">
        <v>-4.4522760000000002E-2</v>
      </c>
      <c r="U6742">
        <v>-1.607086</v>
      </c>
      <c r="V6742">
        <v>5.980941E-2</v>
      </c>
      <c r="W6742">
        <v>6.2560519999999994E-2</v>
      </c>
      <c r="X6742">
        <v>0.99624749999999995</v>
      </c>
      <c r="Y6742">
        <v>0.20907329999999999</v>
      </c>
      <c r="Z6742">
        <v>3.5041819999999998E-3</v>
      </c>
      <c r="AA6742">
        <v>0.97789369999999998</v>
      </c>
      <c r="AB6742">
        <v>32</v>
      </c>
      <c r="AC6742">
        <v>31.402999999999999</v>
      </c>
      <c r="AD6742">
        <v>-0.54330499999999904</v>
      </c>
      <c r="AE6742">
        <v>-19.564520000000002</v>
      </c>
      <c r="AF6742">
        <v>7.7605807083650404</v>
      </c>
      <c r="AG6742">
        <v>-0.54330499999999904</v>
      </c>
      <c r="AH6742">
        <v>36.1676937217158</v>
      </c>
      <c r="AI6742">
        <v>90.841472432836696</v>
      </c>
      <c r="AJ6742">
        <v>77.889551422001702</v>
      </c>
      <c r="AK6742">
        <v>36.994916710298398</v>
      </c>
      <c r="AL6742">
        <v>86.413204079426393</v>
      </c>
      <c r="AM6742">
        <v>86.564389170741606</v>
      </c>
      <c r="AN6742">
        <v>1.00000003272173</v>
      </c>
    </row>
    <row r="6743" spans="1:40" x14ac:dyDescent="0.25">
      <c r="A6743" t="str">
        <f>"20190312160504301"</f>
        <v>20190312160504301</v>
      </c>
      <c r="B6743" t="str">
        <f>"1552377904292184"</f>
        <v>1552377904292184</v>
      </c>
      <c r="C6743" t="s">
        <v>40</v>
      </c>
      <c r="D6743">
        <v>5.7545210000000004</v>
      </c>
      <c r="E6743">
        <v>0.5569501</v>
      </c>
      <c r="F6743" t="s">
        <v>43</v>
      </c>
      <c r="G6743">
        <v>-297.34829999999999</v>
      </c>
      <c r="H6743">
        <v>-0.05</v>
      </c>
      <c r="I6743">
        <v>6.1402590000000004</v>
      </c>
      <c r="J6743">
        <v>-310.27609999999999</v>
      </c>
      <c r="K6743">
        <v>1.0526199999999999</v>
      </c>
      <c r="L6743">
        <v>14.25037</v>
      </c>
      <c r="M6743">
        <v>0.93882200000000005</v>
      </c>
      <c r="N6743">
        <v>0</v>
      </c>
      <c r="O6743">
        <v>-0.3439854</v>
      </c>
      <c r="P6743">
        <v>0.91622959999999998</v>
      </c>
      <c r="Q6743">
        <v>4.73436E-2</v>
      </c>
      <c r="R6743">
        <v>-0.39784710000000001</v>
      </c>
      <c r="S6743">
        <v>2.5864259999999999</v>
      </c>
      <c r="T6743">
        <v>-0.21816340000000001</v>
      </c>
      <c r="U6743">
        <v>-1.615845</v>
      </c>
      <c r="V6743">
        <v>5.9769879999999997E-2</v>
      </c>
      <c r="W6743">
        <v>6.292412E-2</v>
      </c>
      <c r="X6743">
        <v>0.99622699999999997</v>
      </c>
      <c r="Y6743">
        <v>0.2060304</v>
      </c>
      <c r="Z6743">
        <v>1.7591240000000001E-2</v>
      </c>
      <c r="AA6743">
        <v>0.97838749999999997</v>
      </c>
      <c r="AB6743">
        <v>32</v>
      </c>
      <c r="AC6743">
        <v>12.9277999999999</v>
      </c>
      <c r="AD6743">
        <v>-1.1026199999999999</v>
      </c>
      <c r="AE6743">
        <v>-8.1101109999999998</v>
      </c>
      <c r="AF6743">
        <v>3.1509827648517201</v>
      </c>
      <c r="AG6743">
        <v>-1.1026199999999999</v>
      </c>
      <c r="AH6743">
        <v>14.851282329556501</v>
      </c>
      <c r="AI6743">
        <v>94.153950110061501</v>
      </c>
      <c r="AJ6743">
        <v>78.021243576903899</v>
      </c>
      <c r="AK6743">
        <v>15.221860927002</v>
      </c>
      <c r="AL6743">
        <v>86.392330304687306</v>
      </c>
      <c r="AM6743">
        <v>86.566583963802501</v>
      </c>
      <c r="AN6743">
        <v>1.0000000594809899</v>
      </c>
    </row>
    <row r="6744" spans="1:40" x14ac:dyDescent="0.25">
      <c r="A6744" t="str">
        <f>"20190312160504312"</f>
        <v>20190312160504312</v>
      </c>
      <c r="B6744" t="str">
        <f>"1552377904301944"</f>
        <v>1552377904301944</v>
      </c>
      <c r="C6744" t="s">
        <v>40</v>
      </c>
      <c r="D6744">
        <v>6.0144449999999896</v>
      </c>
      <c r="E6744">
        <v>0.5569501</v>
      </c>
      <c r="F6744" t="s">
        <v>43</v>
      </c>
      <c r="G6744">
        <v>-296.8329</v>
      </c>
      <c r="H6744">
        <v>-0.05</v>
      </c>
      <c r="I6744">
        <v>5.767792</v>
      </c>
      <c r="J6744">
        <v>-310.14389999999997</v>
      </c>
      <c r="K6744">
        <v>1.052427</v>
      </c>
      <c r="L6744">
        <v>14.1972</v>
      </c>
      <c r="M6744">
        <v>0.93711979999999995</v>
      </c>
      <c r="N6744">
        <v>0</v>
      </c>
      <c r="O6744">
        <v>-0.34859970000000001</v>
      </c>
      <c r="P6744">
        <v>0.91417780000000004</v>
      </c>
      <c r="Q6744">
        <v>4.7530309999999999E-2</v>
      </c>
      <c r="R6744">
        <v>-0.40251710000000002</v>
      </c>
      <c r="S6744">
        <v>2.5786739999999999</v>
      </c>
      <c r="T6744">
        <v>-0.2115059</v>
      </c>
      <c r="U6744">
        <v>-1.6271359999999999</v>
      </c>
      <c r="V6744">
        <v>5.9968859999999999E-2</v>
      </c>
      <c r="W6744">
        <v>6.3016420000000004E-2</v>
      </c>
      <c r="X6744">
        <v>0.99620909999999996</v>
      </c>
      <c r="Y6744">
        <v>0.2056</v>
      </c>
      <c r="Z6744">
        <v>1.740533E-2</v>
      </c>
      <c r="AA6744">
        <v>0.9784813</v>
      </c>
      <c r="AB6744">
        <v>32</v>
      </c>
      <c r="AC6744">
        <v>13.3109999999999</v>
      </c>
      <c r="AD6744">
        <v>-1.102427</v>
      </c>
      <c r="AE6744">
        <v>-8.4294080000000005</v>
      </c>
      <c r="AF6744">
        <v>3.2437376232858299</v>
      </c>
      <c r="AG6744">
        <v>-1.102427</v>
      </c>
      <c r="AH6744">
        <v>15.3395844360483</v>
      </c>
      <c r="AI6744">
        <v>94.0220322338036</v>
      </c>
      <c r="AJ6744">
        <v>78.060021808382999</v>
      </c>
      <c r="AK6744">
        <v>15.717507109262099</v>
      </c>
      <c r="AL6744">
        <v>86.387031000009202</v>
      </c>
      <c r="AM6744">
        <v>86.555119505364701</v>
      </c>
      <c r="AN6744">
        <v>0.99999995214106097</v>
      </c>
    </row>
    <row r="6745" spans="1:40" x14ac:dyDescent="0.25">
      <c r="A6745" t="str">
        <f>"20190312160504323"</f>
        <v>20190312160504323</v>
      </c>
      <c r="B6745" t="str">
        <f>"1552377904311704"</f>
        <v>1552377904311704</v>
      </c>
      <c r="C6745" t="s">
        <v>40</v>
      </c>
      <c r="D6745">
        <v>5.9945389999999996</v>
      </c>
      <c r="E6745">
        <v>0.55452760000000001</v>
      </c>
      <c r="F6745" t="s">
        <v>43</v>
      </c>
      <c r="G6745">
        <v>-296.70310000000001</v>
      </c>
      <c r="H6745">
        <v>-0.05</v>
      </c>
      <c r="I6745">
        <v>5.6203609999999999</v>
      </c>
      <c r="J6745">
        <v>-309.9853</v>
      </c>
      <c r="K6745">
        <v>1.052211</v>
      </c>
      <c r="L6745">
        <v>14.132540000000001</v>
      </c>
      <c r="M6745">
        <v>0.93502589999999997</v>
      </c>
      <c r="N6745">
        <v>0</v>
      </c>
      <c r="O6745">
        <v>-0.35418230000000001</v>
      </c>
      <c r="P6745">
        <v>0.91168890000000002</v>
      </c>
      <c r="Q6745">
        <v>4.7560270000000002E-2</v>
      </c>
      <c r="R6745">
        <v>-0.40812009999999899</v>
      </c>
      <c r="S6745">
        <v>2.5704039999999999</v>
      </c>
      <c r="T6745">
        <v>-0.2108274</v>
      </c>
      <c r="U6745">
        <v>-1.64022799999999</v>
      </c>
      <c r="V6745">
        <v>6.0153770000000002E-2</v>
      </c>
      <c r="W6745">
        <v>6.2941230000000001E-2</v>
      </c>
      <c r="X6745">
        <v>0.99620280000000005</v>
      </c>
      <c r="Y6745">
        <v>0.20474510000000001</v>
      </c>
      <c r="Z6745">
        <v>1.77784E-2</v>
      </c>
      <c r="AA6745">
        <v>0.97865380000000002</v>
      </c>
      <c r="AB6745">
        <v>32</v>
      </c>
      <c r="AC6745">
        <v>13.2821999999999</v>
      </c>
      <c r="AD6745">
        <v>-1.1022110000000001</v>
      </c>
      <c r="AE6745">
        <v>-8.5121789999999997</v>
      </c>
      <c r="AF6745">
        <v>3.23943266882825</v>
      </c>
      <c r="AG6745">
        <v>-1.1022110000000001</v>
      </c>
      <c r="AH6745">
        <v>15.361251312775501</v>
      </c>
      <c r="AI6745">
        <v>94.016061538059105</v>
      </c>
      <c r="AJ6745">
        <v>78.0917531010478</v>
      </c>
      <c r="AK6745">
        <v>15.7377519042156</v>
      </c>
      <c r="AL6745">
        <v>86.391347980330295</v>
      </c>
      <c r="AM6745">
        <v>86.544501343891099</v>
      </c>
      <c r="AN6745">
        <v>1.00000004660348</v>
      </c>
    </row>
    <row r="6746" spans="1:40" x14ac:dyDescent="0.25">
      <c r="A6746" t="str">
        <f>"20190312160504336"</f>
        <v>20190312160504336</v>
      </c>
      <c r="B6746" t="str">
        <f>"1552377904332200"</f>
        <v>1552377904332200</v>
      </c>
      <c r="C6746" t="s">
        <v>40</v>
      </c>
      <c r="D6746">
        <v>5.8135719999999997</v>
      </c>
      <c r="E6746">
        <v>0.55275059999999998</v>
      </c>
      <c r="F6746" t="s">
        <v>104</v>
      </c>
      <c r="G6746">
        <v>-279.02</v>
      </c>
      <c r="H6746">
        <v>0.19078010000000001</v>
      </c>
      <c r="I6746">
        <v>-5.5755350000000004</v>
      </c>
      <c r="J6746">
        <v>-309.84249999999997</v>
      </c>
      <c r="K6746">
        <v>1.052028</v>
      </c>
      <c r="L6746">
        <v>14.073029999999999</v>
      </c>
      <c r="M6746">
        <v>0.93307949999999995</v>
      </c>
      <c r="N6746">
        <v>0</v>
      </c>
      <c r="O6746">
        <v>-0.35928179999999998</v>
      </c>
      <c r="P6746">
        <v>0.90942909999999999</v>
      </c>
      <c r="Q6746">
        <v>4.7705459999999998E-2</v>
      </c>
      <c r="R6746">
        <v>-0.41311419999999999</v>
      </c>
      <c r="S6746">
        <v>2.5638429999999999</v>
      </c>
      <c r="T6746">
        <v>-7.1324170000000006E-2</v>
      </c>
      <c r="U6746">
        <v>-1.631775</v>
      </c>
      <c r="V6746">
        <v>6.0194770000000002E-2</v>
      </c>
      <c r="W6746">
        <v>6.3001189999999999E-2</v>
      </c>
      <c r="X6746">
        <v>0.99619650000000004</v>
      </c>
      <c r="Y6746">
        <v>0.1979667</v>
      </c>
      <c r="Z6746">
        <v>6.2426440000000003E-3</v>
      </c>
      <c r="AA6746">
        <v>0.98018879999999997</v>
      </c>
      <c r="AB6746">
        <v>32</v>
      </c>
      <c r="AC6746">
        <v>30.822499999999899</v>
      </c>
      <c r="AD6746">
        <v>-0.86124789999999996</v>
      </c>
      <c r="AE6746">
        <v>-19.648565000000001</v>
      </c>
      <c r="AF6746">
        <v>7.2566950779248298</v>
      </c>
      <c r="AG6746">
        <v>-0.86124789999999996</v>
      </c>
      <c r="AH6746">
        <v>35.8043395124377</v>
      </c>
      <c r="AI6746">
        <v>91.350495452287902</v>
      </c>
      <c r="AJ6746">
        <v>78.542694539527403</v>
      </c>
      <c r="AK6746">
        <v>36.542469803245901</v>
      </c>
      <c r="AL6746">
        <v>86.387905573863804</v>
      </c>
      <c r="AM6746">
        <v>86.5421300206838</v>
      </c>
      <c r="AN6746">
        <v>1.0000000134445</v>
      </c>
    </row>
    <row r="6747" spans="1:40" x14ac:dyDescent="0.25">
      <c r="A6747" t="str">
        <f>"20190312160504346"</f>
        <v>20190312160504346</v>
      </c>
      <c r="B6747" t="str">
        <f>"1552377904341960"</f>
        <v>1552377904341960</v>
      </c>
      <c r="C6747" t="s">
        <v>40</v>
      </c>
      <c r="D6747">
        <v>6.1182589999999903</v>
      </c>
      <c r="E6747">
        <v>0.53899189999999997</v>
      </c>
      <c r="F6747" t="s">
        <v>43</v>
      </c>
      <c r="G6747">
        <v>-272.97050000000002</v>
      </c>
      <c r="H6747">
        <v>-0.05</v>
      </c>
      <c r="I6747">
        <v>-9.4424440000000001</v>
      </c>
      <c r="J6747">
        <v>-309.68819999999999</v>
      </c>
      <c r="K6747">
        <v>1.051828</v>
      </c>
      <c r="L6747">
        <v>14.008179999999999</v>
      </c>
      <c r="M6747">
        <v>0.93093119999999996</v>
      </c>
      <c r="N6747">
        <v>0</v>
      </c>
      <c r="O6747">
        <v>-0.36481570000000002</v>
      </c>
      <c r="P6747">
        <v>0.90687700000000004</v>
      </c>
      <c r="Q6747">
        <v>4.7511060000000001E-2</v>
      </c>
      <c r="R6747">
        <v>-0.41870829999999998</v>
      </c>
      <c r="S6747">
        <v>2.5608520000000001</v>
      </c>
      <c r="T6747">
        <v>-7.6538620000000002E-2</v>
      </c>
      <c r="U6747">
        <v>-1.6332089999999999</v>
      </c>
      <c r="V6747">
        <v>6.041941E-2</v>
      </c>
      <c r="W6747">
        <v>6.2713270000000002E-2</v>
      </c>
      <c r="X6747">
        <v>0.996201</v>
      </c>
      <c r="Y6747">
        <v>0.19306200000000001</v>
      </c>
      <c r="Z6747">
        <v>6.9068159999999997E-3</v>
      </c>
      <c r="AA6747">
        <v>0.98116230000000004</v>
      </c>
      <c r="AB6747">
        <v>32</v>
      </c>
      <c r="AC6747">
        <v>36.717699999999901</v>
      </c>
      <c r="AD6747">
        <v>-1.101828</v>
      </c>
      <c r="AE6747">
        <v>-23.450624000000001</v>
      </c>
      <c r="AF6747">
        <v>8.4314983140710495</v>
      </c>
      <c r="AG6747">
        <v>-1.101828</v>
      </c>
      <c r="AH6747">
        <v>42.715399717624003</v>
      </c>
      <c r="AI6747">
        <v>91.449637649715001</v>
      </c>
      <c r="AJ6747">
        <v>78.8340517218587</v>
      </c>
      <c r="AK6747">
        <v>43.553525251099501</v>
      </c>
      <c r="AL6747">
        <v>86.404434617431505</v>
      </c>
      <c r="AM6747">
        <v>86.529272771115899</v>
      </c>
      <c r="AN6747">
        <v>0.99999994586991903</v>
      </c>
    </row>
    <row r="6748" spans="1:40" x14ac:dyDescent="0.25">
      <c r="A6748" t="str">
        <f>"20190312160504357"</f>
        <v>20190312160504357</v>
      </c>
      <c r="B6748" t="str">
        <f>"1552377904351720"</f>
        <v>1552377904351720</v>
      </c>
      <c r="C6748" t="s">
        <v>40</v>
      </c>
      <c r="D6748">
        <v>6.0912839999999999</v>
      </c>
      <c r="E6748">
        <v>0.53831859999999998</v>
      </c>
      <c r="F6748" t="s">
        <v>104</v>
      </c>
      <c r="G6748">
        <v>-279.02</v>
      </c>
      <c r="H6748">
        <v>1.5470429999999999</v>
      </c>
      <c r="I6748">
        <v>-4.2456750000000003</v>
      </c>
      <c r="J6748">
        <v>-309.54689999999999</v>
      </c>
      <c r="K6748">
        <v>1.051663</v>
      </c>
      <c r="L6748">
        <v>13.94708</v>
      </c>
      <c r="M6748">
        <v>0.92889259999999996</v>
      </c>
      <c r="N6748">
        <v>0</v>
      </c>
      <c r="O6748">
        <v>-0.36997829999999998</v>
      </c>
      <c r="P6748">
        <v>0.90456219999999998</v>
      </c>
      <c r="Q6748">
        <v>4.7729059999999997E-2</v>
      </c>
      <c r="R6748">
        <v>-0.42366150000000002</v>
      </c>
      <c r="S6748">
        <v>2.5932010000000001</v>
      </c>
      <c r="T6748">
        <v>4.1873809999999997E-2</v>
      </c>
      <c r="U6748">
        <v>-1.543488</v>
      </c>
      <c r="V6748">
        <v>6.0356369999999999E-2</v>
      </c>
      <c r="W6748">
        <v>6.2860799999999994E-2</v>
      </c>
      <c r="X6748">
        <v>0.99619559999999996</v>
      </c>
      <c r="Y6748">
        <v>0.15720990000000001</v>
      </c>
      <c r="Z6748">
        <v>-4.1145549999999998E-3</v>
      </c>
      <c r="AA6748">
        <v>0.98755660000000001</v>
      </c>
      <c r="AB6748">
        <v>32</v>
      </c>
      <c r="AC6748">
        <v>30.526900000000001</v>
      </c>
      <c r="AD6748">
        <v>0.49537999999999899</v>
      </c>
      <c r="AE6748">
        <v>-18.192754999999998</v>
      </c>
      <c r="AF6748">
        <v>5.6045055430986999</v>
      </c>
      <c r="AG6748">
        <v>0.49537999999999899</v>
      </c>
      <c r="AH6748">
        <v>35.085136682806301</v>
      </c>
      <c r="AI6748">
        <v>89.201199415665599</v>
      </c>
      <c r="AJ6748">
        <v>80.924239478195901</v>
      </c>
      <c r="AK6748">
        <v>35.533402592183897</v>
      </c>
      <c r="AL6748">
        <v>86.395965336338605</v>
      </c>
      <c r="AM6748">
        <v>86.532866448927507</v>
      </c>
      <c r="AN6748">
        <v>1.0000000225177801</v>
      </c>
    </row>
    <row r="6749" spans="1:40" x14ac:dyDescent="0.25">
      <c r="A6749" t="str">
        <f>"20190312160504369"</f>
        <v>20190312160504369</v>
      </c>
      <c r="B6749" t="str">
        <f>"1552377904361480"</f>
        <v>1552377904361480</v>
      </c>
      <c r="C6749" t="s">
        <v>40</v>
      </c>
      <c r="D6749">
        <v>6.0161809999999996</v>
      </c>
      <c r="E6749">
        <v>0.53716519999999901</v>
      </c>
      <c r="F6749" t="s">
        <v>104</v>
      </c>
      <c r="G6749">
        <v>-279.02</v>
      </c>
      <c r="H6749">
        <v>1.571901</v>
      </c>
      <c r="I6749">
        <v>-4.3766879999999997</v>
      </c>
      <c r="J6749">
        <v>-309.39550000000003</v>
      </c>
      <c r="K6749">
        <v>1.05149</v>
      </c>
      <c r="L6749">
        <v>13.88123</v>
      </c>
      <c r="M6749">
        <v>0.9266662</v>
      </c>
      <c r="N6749">
        <v>0</v>
      </c>
      <c r="O6749">
        <v>-0.375523</v>
      </c>
      <c r="P6749">
        <v>0.90191949999999999</v>
      </c>
      <c r="Q6749">
        <v>4.7730250000000002E-2</v>
      </c>
      <c r="R6749">
        <v>-0.4292589</v>
      </c>
      <c r="S6749">
        <v>2.5869140000000002</v>
      </c>
      <c r="T6749">
        <v>4.4086100000000003E-2</v>
      </c>
      <c r="U6749">
        <v>-1.5527949999999999</v>
      </c>
      <c r="V6749">
        <v>6.0587580000000002E-2</v>
      </c>
      <c r="W6749">
        <v>6.2780379999999997E-2</v>
      </c>
      <c r="X6749">
        <v>0.99618660000000003</v>
      </c>
      <c r="Y6749">
        <v>0.15498110000000001</v>
      </c>
      <c r="Z6749">
        <v>-4.4317640000000004E-3</v>
      </c>
      <c r="AA6749">
        <v>0.98790750000000005</v>
      </c>
      <c r="AB6749">
        <v>32</v>
      </c>
      <c r="AC6749">
        <v>30.375499999999999</v>
      </c>
      <c r="AD6749">
        <v>0.52041099999999996</v>
      </c>
      <c r="AE6749">
        <v>-18.257918</v>
      </c>
      <c r="AF6749">
        <v>5.5118585820370898</v>
      </c>
      <c r="AG6749">
        <v>0.52041099999999996</v>
      </c>
      <c r="AH6749">
        <v>35.001435753955903</v>
      </c>
      <c r="AI6749">
        <v>89.158541334804895</v>
      </c>
      <c r="AJ6749">
        <v>81.050827112574297</v>
      </c>
      <c r="AK6749">
        <v>35.436590093794301</v>
      </c>
      <c r="AL6749">
        <v>86.400582052005703</v>
      </c>
      <c r="AM6749">
        <v>86.519585955994501</v>
      </c>
      <c r="AN6749">
        <v>0.99999998649138</v>
      </c>
    </row>
    <row r="6750" spans="1:40" x14ac:dyDescent="0.25">
      <c r="A6750" t="str">
        <f>"20190312160504379"</f>
        <v>20190312160504379</v>
      </c>
      <c r="B6750" t="str">
        <f>"1552377904372215"</f>
        <v>1552377904372215</v>
      </c>
      <c r="C6750" t="s">
        <v>40</v>
      </c>
      <c r="D6750">
        <v>6.0435530000000002</v>
      </c>
      <c r="E6750">
        <v>0.53683369999999997</v>
      </c>
      <c r="F6750" t="s">
        <v>104</v>
      </c>
      <c r="G6750">
        <v>-279.02</v>
      </c>
      <c r="H6750">
        <v>1.5421530000000001</v>
      </c>
      <c r="I6750">
        <v>-4.4838139999999997</v>
      </c>
      <c r="J6750">
        <v>-309.2525</v>
      </c>
      <c r="K6750">
        <v>1.0513380000000001</v>
      </c>
      <c r="L6750">
        <v>13.81747</v>
      </c>
      <c r="M6750">
        <v>0.92449159999999997</v>
      </c>
      <c r="N6750">
        <v>0</v>
      </c>
      <c r="O6750">
        <v>-0.38084709999999999</v>
      </c>
      <c r="P6750">
        <v>0.89945419999999998</v>
      </c>
      <c r="Q6750">
        <v>4.790026E-2</v>
      </c>
      <c r="R6750">
        <v>-0.43438199999999999</v>
      </c>
      <c r="S6750">
        <v>2.5812680000000001</v>
      </c>
      <c r="T6750">
        <v>4.1695950000000002E-2</v>
      </c>
      <c r="U6750">
        <v>-1.560638</v>
      </c>
      <c r="V6750">
        <v>6.0541930000000001E-2</v>
      </c>
      <c r="W6750">
        <v>6.2887460000000006E-2</v>
      </c>
      <c r="X6750">
        <v>0.99618260000000003</v>
      </c>
      <c r="Y6750">
        <v>0.15245069999999999</v>
      </c>
      <c r="Z6750">
        <v>-4.285021E-3</v>
      </c>
      <c r="AA6750">
        <v>0.98830180000000001</v>
      </c>
      <c r="AB6750">
        <v>31</v>
      </c>
      <c r="AC6750">
        <v>30.232500000000002</v>
      </c>
      <c r="AD6750">
        <v>0.490815</v>
      </c>
      <c r="AE6750">
        <v>-18.301283999999999</v>
      </c>
      <c r="AF6750">
        <v>5.4051127790229598</v>
      </c>
      <c r="AG6750">
        <v>0.490815</v>
      </c>
      <c r="AH6750">
        <v>34.917676737957599</v>
      </c>
      <c r="AI6750">
        <v>89.204160817196396</v>
      </c>
      <c r="AJ6750">
        <v>81.200687745829597</v>
      </c>
      <c r="AK6750">
        <v>35.336953636309502</v>
      </c>
      <c r="AL6750">
        <v>86.394434595841204</v>
      </c>
      <c r="AM6750">
        <v>86.522187921489405</v>
      </c>
      <c r="AN6750">
        <v>0.999999965228067</v>
      </c>
    </row>
    <row r="6751" spans="1:40" x14ac:dyDescent="0.25">
      <c r="A6751" t="str">
        <f>"20190312160504390"</f>
        <v>20190312160504390</v>
      </c>
      <c r="B6751" t="str">
        <f>"1552377904381977"</f>
        <v>1552377904381977</v>
      </c>
      <c r="C6751" t="s">
        <v>40</v>
      </c>
      <c r="D6751">
        <v>5.775296</v>
      </c>
      <c r="E6751">
        <v>0.53609799999999996</v>
      </c>
      <c r="F6751" t="s">
        <v>104</v>
      </c>
      <c r="G6751">
        <v>-279.02</v>
      </c>
      <c r="H6751">
        <v>1.516194</v>
      </c>
      <c r="I6751">
        <v>-4.6594509999999998</v>
      </c>
      <c r="J6751">
        <v>-309.11559999999997</v>
      </c>
      <c r="K6751">
        <v>1.051193</v>
      </c>
      <c r="L6751">
        <v>13.75583</v>
      </c>
      <c r="M6751">
        <v>0.92236569999999996</v>
      </c>
      <c r="N6751">
        <v>0</v>
      </c>
      <c r="O6751">
        <v>-0.38596950000000002</v>
      </c>
      <c r="P6751">
        <v>0.8969241</v>
      </c>
      <c r="Q6751">
        <v>4.8261070000000003E-2</v>
      </c>
      <c r="R6751">
        <v>-0.43954339999999997</v>
      </c>
      <c r="S6751">
        <v>2.573639</v>
      </c>
      <c r="T6751">
        <v>3.9572360000000001E-2</v>
      </c>
      <c r="U6751">
        <v>-1.5729059999999999</v>
      </c>
      <c r="V6751">
        <v>6.0766880000000002E-2</v>
      </c>
      <c r="W6751">
        <v>6.3182989999999994E-2</v>
      </c>
      <c r="X6751">
        <v>0.99615030000000004</v>
      </c>
      <c r="Y6751">
        <v>0.15170059999999999</v>
      </c>
      <c r="Z6751">
        <v>-4.1409680000000001E-3</v>
      </c>
      <c r="AA6751">
        <v>0.98841780000000001</v>
      </c>
      <c r="AB6751">
        <v>31</v>
      </c>
      <c r="AC6751">
        <v>30.095599999999902</v>
      </c>
      <c r="AD6751">
        <v>0.465001</v>
      </c>
      <c r="AE6751">
        <v>-18.415281</v>
      </c>
      <c r="AF6751">
        <v>5.3694297537474602</v>
      </c>
      <c r="AG6751">
        <v>0.465001</v>
      </c>
      <c r="AH6751">
        <v>34.865521630599702</v>
      </c>
      <c r="AI6751">
        <v>89.244794413883497</v>
      </c>
      <c r="AJ6751">
        <v>81.245003199936704</v>
      </c>
      <c r="AK6751">
        <v>35.279620184807001</v>
      </c>
      <c r="AL6751">
        <v>86.377468583753398</v>
      </c>
      <c r="AM6751">
        <v>86.509184727562797</v>
      </c>
      <c r="AN6751">
        <v>1.0000000620601801</v>
      </c>
    </row>
    <row r="6752" spans="1:40" x14ac:dyDescent="0.25">
      <c r="A6752" t="str">
        <f>"20190312160504400"</f>
        <v>20190312160504400</v>
      </c>
      <c r="B6752" t="str">
        <f>"1552377904391736"</f>
        <v>1552377904391736</v>
      </c>
      <c r="C6752" t="s">
        <v>40</v>
      </c>
      <c r="D6752">
        <v>6.0386430000000004</v>
      </c>
      <c r="E6752">
        <v>0.53542440000000002</v>
      </c>
      <c r="F6752" t="s">
        <v>104</v>
      </c>
      <c r="G6752">
        <v>-279.02</v>
      </c>
      <c r="H6752">
        <v>1.504753</v>
      </c>
      <c r="I6752">
        <v>-4.7978839999999998</v>
      </c>
      <c r="J6752">
        <v>-308.98039999999997</v>
      </c>
      <c r="K6752">
        <v>1.0510569999999999</v>
      </c>
      <c r="L6752">
        <v>13.69373</v>
      </c>
      <c r="M6752">
        <v>0.9202072</v>
      </c>
      <c r="N6752">
        <v>0</v>
      </c>
      <c r="O6752">
        <v>-0.39108949999999998</v>
      </c>
      <c r="P6752">
        <v>0.89446329999999996</v>
      </c>
      <c r="Q6752">
        <v>4.8297769999999997E-2</v>
      </c>
      <c r="R6752">
        <v>-0.44452530000000001</v>
      </c>
      <c r="S6752">
        <v>2.5671689999999998</v>
      </c>
      <c r="T6752">
        <v>3.8688899999999998E-2</v>
      </c>
      <c r="U6752">
        <v>-1.5826420000000001</v>
      </c>
      <c r="V6752">
        <v>6.0783480000000001E-2</v>
      </c>
      <c r="W6752">
        <v>6.3165849999999996E-2</v>
      </c>
      <c r="X6752">
        <v>0.99615030000000004</v>
      </c>
      <c r="Y6752">
        <v>0.15003549999999999</v>
      </c>
      <c r="Z6752">
        <v>-4.1268920000000001E-3</v>
      </c>
      <c r="AA6752">
        <v>0.988672</v>
      </c>
      <c r="AB6752">
        <v>31</v>
      </c>
      <c r="AC6752">
        <v>29.9604</v>
      </c>
      <c r="AD6752">
        <v>0.45369599999999999</v>
      </c>
      <c r="AE6752">
        <v>-18.491613999999998</v>
      </c>
      <c r="AF6752">
        <v>5.2987480204020097</v>
      </c>
      <c r="AG6752">
        <v>0.45369599999999999</v>
      </c>
      <c r="AH6752">
        <v>34.800532299119702</v>
      </c>
      <c r="AI6752">
        <v>89.261584279069396</v>
      </c>
      <c r="AJ6752">
        <v>81.342606957038598</v>
      </c>
      <c r="AK6752">
        <v>35.204539749103397</v>
      </c>
      <c r="AL6752">
        <v>86.378452330781997</v>
      </c>
      <c r="AM6752">
        <v>86.508233482733402</v>
      </c>
      <c r="AN6752">
        <v>0.99999998811861102</v>
      </c>
    </row>
    <row r="6753" spans="1:40" x14ac:dyDescent="0.25">
      <c r="A6753" t="str">
        <f>"20190312160504411"</f>
        <v>20190312160504411</v>
      </c>
      <c r="B6753" t="str">
        <f>"1552377904401497"</f>
        <v>1552377904401497</v>
      </c>
      <c r="C6753" t="s">
        <v>40</v>
      </c>
      <c r="D6753">
        <v>6.0620159999999998</v>
      </c>
      <c r="E6753">
        <v>0.5348446</v>
      </c>
      <c r="F6753" t="s">
        <v>104</v>
      </c>
      <c r="G6753">
        <v>-279.02</v>
      </c>
      <c r="H6753">
        <v>1.493285</v>
      </c>
      <c r="I6753">
        <v>-4.9346829999999997</v>
      </c>
      <c r="J6753">
        <v>-308.84840000000003</v>
      </c>
      <c r="K6753">
        <v>1.0509299999999999</v>
      </c>
      <c r="L6753">
        <v>13.63245</v>
      </c>
      <c r="M6753">
        <v>0.91805630000000005</v>
      </c>
      <c r="N6753">
        <v>0</v>
      </c>
      <c r="O6753">
        <v>-0.39611400000000002</v>
      </c>
      <c r="P6753">
        <v>0.89201209999999898</v>
      </c>
      <c r="Q6753">
        <v>4.8253039999999997E-2</v>
      </c>
      <c r="R6753">
        <v>-0.44942880000000002</v>
      </c>
      <c r="S6753">
        <v>2.5606990000000001</v>
      </c>
      <c r="T6753">
        <v>3.7797089999999998E-2</v>
      </c>
      <c r="U6753">
        <v>-1.592163</v>
      </c>
      <c r="V6753">
        <v>6.0814229999999997E-2</v>
      </c>
      <c r="W6753">
        <v>6.3070669999999995E-2</v>
      </c>
      <c r="X6753">
        <v>0.99615450000000005</v>
      </c>
      <c r="Y6753">
        <v>0.14840130000000001</v>
      </c>
      <c r="Z6753">
        <v>-4.107009E-3</v>
      </c>
      <c r="AA6753">
        <v>0.98891870000000004</v>
      </c>
      <c r="AB6753">
        <v>31</v>
      </c>
      <c r="AC6753">
        <v>29.828399999999998</v>
      </c>
      <c r="AD6753">
        <v>0.442355</v>
      </c>
      <c r="AE6753">
        <v>-18.567132999999998</v>
      </c>
      <c r="AF6753">
        <v>5.2300941758435302</v>
      </c>
      <c r="AG6753">
        <v>0.442355</v>
      </c>
      <c r="AH6753">
        <v>34.737972399830397</v>
      </c>
      <c r="AI6753">
        <v>89.2785622628939</v>
      </c>
      <c r="AJ6753">
        <v>81.437945997060197</v>
      </c>
      <c r="AK6753">
        <v>35.132268493303897</v>
      </c>
      <c r="AL6753">
        <v>86.383916804543105</v>
      </c>
      <c r="AM6753">
        <v>86.506486085717299</v>
      </c>
      <c r="AN6753">
        <v>1.0000000339274899</v>
      </c>
    </row>
    <row r="6754" spans="1:40" x14ac:dyDescent="0.25">
      <c r="A6754" t="str">
        <f>"20190312160504421"</f>
        <v>20190312160504421</v>
      </c>
      <c r="B6754" t="str">
        <f>"1552377904412231"</f>
        <v>1552377904412231</v>
      </c>
      <c r="C6754" t="s">
        <v>40</v>
      </c>
      <c r="D6754">
        <v>6.3647109999999998</v>
      </c>
      <c r="E6754">
        <v>0.53492109999999904</v>
      </c>
      <c r="F6754" t="s">
        <v>104</v>
      </c>
      <c r="G6754">
        <v>-279.02</v>
      </c>
      <c r="H6754">
        <v>1.4799690000000001</v>
      </c>
      <c r="I6754">
        <v>-5.0782920000000003</v>
      </c>
      <c r="J6754">
        <v>-308.70319999999998</v>
      </c>
      <c r="K6754">
        <v>1.0507959999999901</v>
      </c>
      <c r="L6754">
        <v>13.563750000000001</v>
      </c>
      <c r="M6754">
        <v>0.9156244</v>
      </c>
      <c r="N6754">
        <v>0</v>
      </c>
      <c r="O6754">
        <v>-0.40170489999999998</v>
      </c>
      <c r="P6754">
        <v>0.88911719999999905</v>
      </c>
      <c r="Q6754">
        <v>4.8269060000000003E-2</v>
      </c>
      <c r="R6754">
        <v>-0.45512740000000002</v>
      </c>
      <c r="S6754">
        <v>2.5540159999999998</v>
      </c>
      <c r="T6754">
        <v>3.673589E-2</v>
      </c>
      <c r="U6754">
        <v>-1.6020810000000001</v>
      </c>
      <c r="V6754">
        <v>6.1125680000000002E-2</v>
      </c>
      <c r="W6754">
        <v>6.3027840000000002E-2</v>
      </c>
      <c r="X6754">
        <v>0.99613810000000003</v>
      </c>
      <c r="Y6754">
        <v>0.14629059999999999</v>
      </c>
      <c r="Z6754">
        <v>-4.0745670000000003E-3</v>
      </c>
      <c r="AA6754">
        <v>0.98923329999999998</v>
      </c>
      <c r="AB6754">
        <v>31</v>
      </c>
      <c r="AC6754">
        <v>29.683199999999999</v>
      </c>
      <c r="AD6754">
        <v>0.42917300000000003</v>
      </c>
      <c r="AE6754">
        <v>-18.642042</v>
      </c>
      <c r="AF6754">
        <v>5.14513251152436</v>
      </c>
      <c r="AG6754">
        <v>0.42917300000000003</v>
      </c>
      <c r="AH6754">
        <v>34.666661326164999</v>
      </c>
      <c r="AI6754">
        <v>89.298399376420406</v>
      </c>
      <c r="AJ6754">
        <v>81.557941113387002</v>
      </c>
      <c r="AK6754">
        <v>35.049022604462202</v>
      </c>
      <c r="AL6754">
        <v>86.386375500754596</v>
      </c>
      <c r="AM6754">
        <v>86.488581619180593</v>
      </c>
      <c r="AN6754">
        <v>0.99999998582106897</v>
      </c>
    </row>
    <row r="6755" spans="1:40" x14ac:dyDescent="0.25">
      <c r="A6755" t="str">
        <f>"20190312160504450"</f>
        <v>20190312160504450</v>
      </c>
      <c r="B6755" t="str">
        <f>"1552377904441512"</f>
        <v>1552377904441512</v>
      </c>
      <c r="C6755" t="s">
        <v>40</v>
      </c>
      <c r="D6755">
        <v>5.8557560000000004</v>
      </c>
      <c r="E6755">
        <v>0.53441939999999999</v>
      </c>
      <c r="F6755" t="s">
        <v>104</v>
      </c>
      <c r="G6755">
        <v>-279.02</v>
      </c>
      <c r="H6755">
        <v>1.4454549999999999</v>
      </c>
      <c r="I6755">
        <v>-5.3311080000000004</v>
      </c>
      <c r="J6755">
        <v>-308.3492</v>
      </c>
      <c r="K6755">
        <v>1.050494</v>
      </c>
      <c r="L6755">
        <v>13.39175</v>
      </c>
      <c r="M6755">
        <v>0.90943289999999999</v>
      </c>
      <c r="N6755">
        <v>0</v>
      </c>
      <c r="O6755">
        <v>-0.4155353</v>
      </c>
      <c r="P6755">
        <v>0.88183500000000004</v>
      </c>
      <c r="Q6755">
        <v>4.8515929999999999E-2</v>
      </c>
      <c r="R6755">
        <v>-0.46905609999999998</v>
      </c>
      <c r="S6755">
        <v>2.5435180000000002</v>
      </c>
      <c r="T6755">
        <v>3.3817890000000003E-2</v>
      </c>
      <c r="U6755">
        <v>-1.6190800000000001</v>
      </c>
      <c r="V6755">
        <v>6.1736100000000002E-2</v>
      </c>
      <c r="W6755">
        <v>6.3148250000000003E-2</v>
      </c>
      <c r="X6755">
        <v>0.99609289999999995</v>
      </c>
      <c r="Y6755">
        <v>0.13784660000000001</v>
      </c>
      <c r="Z6755">
        <v>-3.9546570000000003E-3</v>
      </c>
      <c r="AA6755">
        <v>0.99044569999999998</v>
      </c>
      <c r="AB6755">
        <v>31</v>
      </c>
      <c r="AC6755">
        <v>29.3292</v>
      </c>
      <c r="AD6755">
        <v>0.39496099999999901</v>
      </c>
      <c r="AE6755">
        <v>-18.722857999999999</v>
      </c>
      <c r="AF6755">
        <v>4.8398762179008203</v>
      </c>
      <c r="AG6755">
        <v>0.39496099999999901</v>
      </c>
      <c r="AH6755">
        <v>34.453026781773701</v>
      </c>
      <c r="AI6755">
        <v>89.349589756513893</v>
      </c>
      <c r="AJ6755">
        <v>82.003556682746705</v>
      </c>
      <c r="AK6755">
        <v>34.793554725289802</v>
      </c>
      <c r="AL6755">
        <v>86.379463001540898</v>
      </c>
      <c r="AM6755">
        <v>86.453444044078097</v>
      </c>
      <c r="AN6755">
        <v>1.00000005647583</v>
      </c>
    </row>
    <row r="6756" spans="1:40" x14ac:dyDescent="0.25">
      <c r="A6756" t="str">
        <f>"20190312160504463"</f>
        <v>20190312160504463</v>
      </c>
      <c r="B6756" t="str">
        <f>"1552377904452248"</f>
        <v>1552377904452248</v>
      </c>
      <c r="C6756" t="s">
        <v>40</v>
      </c>
      <c r="D6756">
        <v>6.0898459999999996</v>
      </c>
      <c r="E6756">
        <v>0.53441939999999999</v>
      </c>
      <c r="F6756" t="s">
        <v>104</v>
      </c>
      <c r="G6756">
        <v>-279.02</v>
      </c>
      <c r="H6756">
        <v>1.428801</v>
      </c>
      <c r="I6756">
        <v>-5.8799320000000002</v>
      </c>
      <c r="J6756">
        <v>-308.16980000000001</v>
      </c>
      <c r="K6756">
        <v>1.050349</v>
      </c>
      <c r="L6756">
        <v>13.301819999999999</v>
      </c>
      <c r="M6756">
        <v>0.90613949999999999</v>
      </c>
      <c r="N6756">
        <v>0</v>
      </c>
      <c r="O6756">
        <v>-0.4226702</v>
      </c>
      <c r="P6756">
        <v>0.87793639999999995</v>
      </c>
      <c r="Q6756">
        <v>4.8730839999999997E-2</v>
      </c>
      <c r="R6756">
        <v>-0.47629120000000003</v>
      </c>
      <c r="S6756">
        <v>2.5195919999999998</v>
      </c>
      <c r="T6756">
        <v>3.2499309999999997E-2</v>
      </c>
      <c r="U6756">
        <v>-1.6555789999999999</v>
      </c>
      <c r="V6756">
        <v>6.2121719999999998E-2</v>
      </c>
      <c r="W6756">
        <v>6.3304819999999998E-2</v>
      </c>
      <c r="X6756">
        <v>0.99605889999999997</v>
      </c>
      <c r="Y6756">
        <v>0.14439469999999999</v>
      </c>
      <c r="Z6756">
        <v>-3.847718E-3</v>
      </c>
      <c r="AA6756">
        <v>0.98951270000000002</v>
      </c>
      <c r="AB6756">
        <v>31</v>
      </c>
      <c r="AC6756">
        <v>29.149799999999999</v>
      </c>
      <c r="AD6756">
        <v>0.37845200000000001</v>
      </c>
      <c r="AE6756">
        <v>-19.181751999999999</v>
      </c>
      <c r="AF6756">
        <v>5.0606569228816696</v>
      </c>
      <c r="AG6756">
        <v>0.37845200000000001</v>
      </c>
      <c r="AH6756">
        <v>34.521787323929601</v>
      </c>
      <c r="AI6756">
        <v>89.378550031898499</v>
      </c>
      <c r="AJ6756">
        <v>81.660232968055894</v>
      </c>
      <c r="AK6756">
        <v>34.892796884830602</v>
      </c>
      <c r="AL6756">
        <v>86.370473903895103</v>
      </c>
      <c r="AM6756">
        <v>86.431226889920296</v>
      </c>
      <c r="AN6756">
        <v>0.99999997030010002</v>
      </c>
    </row>
    <row r="6757" spans="1:40" x14ac:dyDescent="0.25">
      <c r="A6757" t="str">
        <f>"20190312160504479"</f>
        <v>20190312160504479</v>
      </c>
      <c r="B6757" t="str">
        <f>"1552377904471768"</f>
        <v>1552377904471768</v>
      </c>
      <c r="C6757" t="s">
        <v>40</v>
      </c>
      <c r="D6757">
        <v>5.3193769999999896</v>
      </c>
      <c r="E6757">
        <v>0.60969899999999999</v>
      </c>
      <c r="F6757" t="s">
        <v>104</v>
      </c>
      <c r="G6757">
        <v>-279.02</v>
      </c>
      <c r="H6757">
        <v>1.437651</v>
      </c>
      <c r="I6757">
        <v>-6.1995239999999896</v>
      </c>
      <c r="J6757">
        <v>-307.98590000000002</v>
      </c>
      <c r="K6757">
        <v>1.050208</v>
      </c>
      <c r="L6757">
        <v>13.207520000000001</v>
      </c>
      <c r="M6757">
        <v>0.90264889999999998</v>
      </c>
      <c r="N6757">
        <v>0</v>
      </c>
      <c r="O6757">
        <v>-0.43007529999999999</v>
      </c>
      <c r="P6757">
        <v>0.87390909999999999</v>
      </c>
      <c r="Q6757">
        <v>4.8750920000000003E-2</v>
      </c>
      <c r="R6757">
        <v>-0.48363859999999997</v>
      </c>
      <c r="S6757">
        <v>2.505798</v>
      </c>
      <c r="T6757">
        <v>3.32936E-2</v>
      </c>
      <c r="U6757">
        <v>-1.6763920000000001</v>
      </c>
      <c r="V6757">
        <v>6.233611E-2</v>
      </c>
      <c r="W6757">
        <v>6.3274830000000004E-2</v>
      </c>
      <c r="X6757">
        <v>0.99604740000000003</v>
      </c>
      <c r="Y6757">
        <v>0.14448910000000001</v>
      </c>
      <c r="Z6757">
        <v>-4.0258459999999996E-3</v>
      </c>
      <c r="AA6757">
        <v>0.98949819999999999</v>
      </c>
      <c r="AB6757">
        <v>31</v>
      </c>
      <c r="AC6757">
        <v>28.965900000000001</v>
      </c>
      <c r="AD6757">
        <v>0.38744299999999998</v>
      </c>
      <c r="AE6757">
        <v>-19.407043999999999</v>
      </c>
      <c r="AF6757">
        <v>5.0602623971850802</v>
      </c>
      <c r="AG6757">
        <v>0.38744299999999998</v>
      </c>
      <c r="AH6757">
        <v>34.492757146138203</v>
      </c>
      <c r="AI6757">
        <v>89.363262073648499</v>
      </c>
      <c r="AJ6757">
        <v>81.653954340055506</v>
      </c>
      <c r="AK6757">
        <v>34.8641171284902</v>
      </c>
      <c r="AL6757">
        <v>86.372195614690796</v>
      </c>
      <c r="AM6757">
        <v>86.418901354561598</v>
      </c>
      <c r="AN6757">
        <v>0.99999995888410897</v>
      </c>
    </row>
    <row r="6758" spans="1:40" x14ac:dyDescent="0.25">
      <c r="A6758" t="str">
        <f>"20190312160504494"</f>
        <v>20190312160504494</v>
      </c>
      <c r="B6758" t="str">
        <f>"1552377904482505"</f>
        <v>1552377904482505</v>
      </c>
      <c r="C6758" t="s">
        <v>40</v>
      </c>
      <c r="D6758">
        <v>5.7109649999999998</v>
      </c>
      <c r="E6758">
        <v>0.61536539999999995</v>
      </c>
      <c r="F6758" t="s">
        <v>104</v>
      </c>
      <c r="G6758">
        <v>-279.02</v>
      </c>
      <c r="H6758">
        <v>3.2611590000000001</v>
      </c>
      <c r="I6758">
        <v>-15.99977</v>
      </c>
      <c r="J6758">
        <v>-307.8057</v>
      </c>
      <c r="K6758">
        <v>1.0500750000000001</v>
      </c>
      <c r="L6758">
        <v>13.1134</v>
      </c>
      <c r="M6758">
        <v>0.8991228</v>
      </c>
      <c r="N6758">
        <v>0</v>
      </c>
      <c r="O6758">
        <v>-0.43740000000000001</v>
      </c>
      <c r="P6758">
        <v>0.86996219999999902</v>
      </c>
      <c r="Q6758">
        <v>4.8962650000000003E-2</v>
      </c>
      <c r="R6758">
        <v>-0.4906817</v>
      </c>
      <c r="S6758">
        <v>2.197327</v>
      </c>
      <c r="T6758">
        <v>0.1677206</v>
      </c>
      <c r="U6758">
        <v>-2.2156370000000001</v>
      </c>
      <c r="V6758">
        <v>6.2307460000000002E-2</v>
      </c>
      <c r="W6758">
        <v>6.3447569999999995E-2</v>
      </c>
      <c r="X6758">
        <v>0.99603830000000004</v>
      </c>
      <c r="Y6758">
        <v>0.33055580000000001</v>
      </c>
      <c r="Z6758">
        <v>-1.5280180000000001E-2</v>
      </c>
      <c r="AA6758">
        <v>0.94366280000000002</v>
      </c>
      <c r="AB6758">
        <v>31</v>
      </c>
      <c r="AC6758">
        <v>28.785699999999999</v>
      </c>
      <c r="AD6758">
        <v>2.211084</v>
      </c>
      <c r="AE6758">
        <v>-29.11317</v>
      </c>
      <c r="AF6758">
        <v>13.547698245695299</v>
      </c>
      <c r="AG6758">
        <v>2.211084</v>
      </c>
      <c r="AH6758">
        <v>38.508672935973699</v>
      </c>
      <c r="AI6758">
        <v>86.899679959859995</v>
      </c>
      <c r="AJ6758">
        <v>70.617668407707399</v>
      </c>
      <c r="AK6758">
        <v>40.882109919881401</v>
      </c>
      <c r="AL6758">
        <v>86.362278762180395</v>
      </c>
      <c r="AM6758">
        <v>86.420510348357297</v>
      </c>
      <c r="AN6758">
        <v>1.00000005438872</v>
      </c>
    </row>
    <row r="6759" spans="1:40" x14ac:dyDescent="0.25">
      <c r="A6759" t="str">
        <f>"20190312160504509"</f>
        <v>20190312160504509</v>
      </c>
      <c r="B6759" t="str">
        <f>"1552377904502024"</f>
        <v>1552377904502024</v>
      </c>
      <c r="C6759" t="s">
        <v>40</v>
      </c>
      <c r="D6759">
        <v>5.7125879999999896</v>
      </c>
      <c r="E6759">
        <v>0.62131459999999905</v>
      </c>
      <c r="F6759" t="s">
        <v>104</v>
      </c>
      <c r="G6759">
        <v>-279.55990000000003</v>
      </c>
      <c r="H6759">
        <v>4.5588490000000004</v>
      </c>
      <c r="I6759">
        <v>-16.612739999999999</v>
      </c>
      <c r="J6759">
        <v>-307.60500000000002</v>
      </c>
      <c r="K6759">
        <v>1.0499270000000001</v>
      </c>
      <c r="L6759">
        <v>13.006500000000001</v>
      </c>
      <c r="M6759">
        <v>0.89506640000000004</v>
      </c>
      <c r="N6759">
        <v>0</v>
      </c>
      <c r="O6759">
        <v>-0.44564310000000001</v>
      </c>
      <c r="P6759">
        <v>0.86548219999999998</v>
      </c>
      <c r="Q6759">
        <v>4.9327099999999999E-2</v>
      </c>
      <c r="R6759">
        <v>-0.49850559999999999</v>
      </c>
      <c r="S6759">
        <v>2.15448</v>
      </c>
      <c r="T6759">
        <v>0.26763569999999998</v>
      </c>
      <c r="U6759">
        <v>-2.267395</v>
      </c>
      <c r="V6759">
        <v>6.2169879999999997E-2</v>
      </c>
      <c r="W6759">
        <v>6.377497E-2</v>
      </c>
      <c r="X6759">
        <v>0.99602590000000002</v>
      </c>
      <c r="Y6759">
        <v>0.34218409999999999</v>
      </c>
      <c r="Z6759">
        <v>-2.4570580000000002E-2</v>
      </c>
      <c r="AA6759">
        <v>0.93931160000000002</v>
      </c>
      <c r="AB6759">
        <v>31</v>
      </c>
      <c r="AC6759">
        <v>28.045099999999898</v>
      </c>
      <c r="AD6759">
        <v>3.5089219999999899</v>
      </c>
      <c r="AE6759">
        <v>-29.619240000000001</v>
      </c>
      <c r="AF6759">
        <v>13.9119416682777</v>
      </c>
      <c r="AG6759">
        <v>3.5089219999999899</v>
      </c>
      <c r="AH6759">
        <v>38.0253927618066</v>
      </c>
      <c r="AI6759">
        <v>85.047088214162997</v>
      </c>
      <c r="AJ6759">
        <v>69.904486271461707</v>
      </c>
      <c r="AK6759">
        <v>40.642159751584302</v>
      </c>
      <c r="AL6759">
        <v>86.343481737405895</v>
      </c>
      <c r="AM6759">
        <v>86.428349324815301</v>
      </c>
      <c r="AN6759">
        <v>0.99999996712426198</v>
      </c>
    </row>
    <row r="6760" spans="1:40" x14ac:dyDescent="0.25">
      <c r="A6760" t="str">
        <f>"20190312160504522"</f>
        <v>20190312160504522</v>
      </c>
      <c r="B6760" t="str">
        <f>"1552377904511785"</f>
        <v>1552377904511785</v>
      </c>
      <c r="C6760" t="s">
        <v>40</v>
      </c>
      <c r="D6760">
        <v>5.7192170000000004</v>
      </c>
      <c r="E6760">
        <v>0.62277850000000001</v>
      </c>
      <c r="F6760" t="s">
        <v>49</v>
      </c>
      <c r="G6760">
        <v>-307.06830000000002</v>
      </c>
      <c r="H6760">
        <v>1.143567</v>
      </c>
      <c r="I6760">
        <v>12.415139999999999</v>
      </c>
      <c r="J6760">
        <v>-307.44569999999999</v>
      </c>
      <c r="K6760">
        <v>1.0498160000000001</v>
      </c>
      <c r="L6760">
        <v>12.91943</v>
      </c>
      <c r="M6760">
        <v>0.89172969999999896</v>
      </c>
      <c r="N6760">
        <v>0</v>
      </c>
      <c r="O6760">
        <v>-0.4522832</v>
      </c>
      <c r="P6760">
        <v>0.86177499999999996</v>
      </c>
      <c r="Q6760">
        <v>4.965398E-2</v>
      </c>
      <c r="R6760">
        <v>-0.50485500000000005</v>
      </c>
      <c r="S6760">
        <v>2.1078489999999999</v>
      </c>
      <c r="T6760">
        <v>0.36769059999999998</v>
      </c>
      <c r="U6760">
        <v>-2.3220519999999998</v>
      </c>
      <c r="V6760">
        <v>6.2118859999999998E-2</v>
      </c>
      <c r="W6760">
        <v>6.4076190000000005E-2</v>
      </c>
      <c r="X6760">
        <v>0.99600979999999995</v>
      </c>
      <c r="Y6760">
        <v>0.3567322</v>
      </c>
      <c r="Z6760">
        <v>-3.3611439999999999E-2</v>
      </c>
      <c r="AA6760">
        <v>0.93360189999999998</v>
      </c>
      <c r="AB6760">
        <v>31</v>
      </c>
      <c r="AC6760">
        <v>0.37739999999996598</v>
      </c>
      <c r="AD6760">
        <v>9.3750999999999904E-2</v>
      </c>
      <c r="AE6760">
        <v>-0.50429000000000102</v>
      </c>
      <c r="AF6760">
        <v>0.272987016330554</v>
      </c>
      <c r="AG6760">
        <v>9.3750999999999904E-2</v>
      </c>
      <c r="AH6760">
        <v>0.55245462048226102</v>
      </c>
      <c r="AI6760">
        <v>81.349432347310696</v>
      </c>
      <c r="AJ6760">
        <v>63.7044230965653</v>
      </c>
      <c r="AK6760">
        <v>0.62331153428944097</v>
      </c>
      <c r="AL6760">
        <v>86.326187910975193</v>
      </c>
      <c r="AM6760">
        <v>86.431215300787201</v>
      </c>
      <c r="AN6760">
        <v>1.0000000162943199</v>
      </c>
    </row>
    <row r="6761" spans="1:40" x14ac:dyDescent="0.25">
      <c r="A6761" t="str">
        <f>"20190312160504534"</f>
        <v>20190312160504534</v>
      </c>
      <c r="B6761" t="str">
        <f>"1552377904521545"</f>
        <v>1552377904521545</v>
      </c>
      <c r="C6761" t="s">
        <v>40</v>
      </c>
      <c r="D6761">
        <v>5.7627129999999998</v>
      </c>
      <c r="E6761">
        <v>0.62390389999999996</v>
      </c>
      <c r="F6761" t="s">
        <v>104</v>
      </c>
      <c r="G6761">
        <v>-279.02</v>
      </c>
      <c r="H6761">
        <v>6.4578989999999896</v>
      </c>
      <c r="I6761">
        <v>-19.07545</v>
      </c>
      <c r="J6761">
        <v>-307.3</v>
      </c>
      <c r="K6761">
        <v>1.0497179999999999</v>
      </c>
      <c r="L6761">
        <v>12.83859</v>
      </c>
      <c r="M6761">
        <v>0.88860189999999994</v>
      </c>
      <c r="N6761">
        <v>0</v>
      </c>
      <c r="O6761">
        <v>-0.45839839999999998</v>
      </c>
      <c r="P6761">
        <v>0.8583828</v>
      </c>
      <c r="Q6761">
        <v>4.948632E-2</v>
      </c>
      <c r="R6761">
        <v>-0.51061809999999996</v>
      </c>
      <c r="S6761">
        <v>2.0841059999999998</v>
      </c>
      <c r="T6761">
        <v>0.39650869999999999</v>
      </c>
      <c r="U6761">
        <v>-2.3457949999999999</v>
      </c>
      <c r="V6761">
        <v>6.1952670000000001E-2</v>
      </c>
      <c r="W6761">
        <v>6.3890130000000003E-2</v>
      </c>
      <c r="X6761">
        <v>0.99603209999999998</v>
      </c>
      <c r="Y6761">
        <v>0.36037059999999999</v>
      </c>
      <c r="Z6761">
        <v>-3.6816599999999998E-2</v>
      </c>
      <c r="AA6761">
        <v>0.93208239999999998</v>
      </c>
      <c r="AB6761">
        <v>31</v>
      </c>
      <c r="AC6761">
        <v>28.28</v>
      </c>
      <c r="AD6761">
        <v>5.4081809999999901</v>
      </c>
      <c r="AE6761">
        <v>-31.91404</v>
      </c>
      <c r="AF6761">
        <v>15.153593686324299</v>
      </c>
      <c r="AG6761">
        <v>5.4081809999999901</v>
      </c>
      <c r="AH6761">
        <v>39.134612430677201</v>
      </c>
      <c r="AI6761">
        <v>82.6567434850338</v>
      </c>
      <c r="AJ6761">
        <v>68.832741441528199</v>
      </c>
      <c r="AK6761">
        <v>42.3130915136</v>
      </c>
      <c r="AL6761">
        <v>86.336870240296605</v>
      </c>
      <c r="AM6761">
        <v>86.440817972462398</v>
      </c>
      <c r="AN6761">
        <v>1.0000000131309701</v>
      </c>
    </row>
    <row r="6762" spans="1:40" x14ac:dyDescent="0.25">
      <c r="A6762" t="str">
        <f>"20190312160504552"</f>
        <v>20190312160504552</v>
      </c>
      <c r="B6762" t="str">
        <f>"1552377904542040"</f>
        <v>1552377904542040</v>
      </c>
      <c r="C6762" t="s">
        <v>40</v>
      </c>
      <c r="D6762">
        <v>5.8098919999999996</v>
      </c>
      <c r="E6762">
        <v>0.62392590000000003</v>
      </c>
      <c r="F6762" t="s">
        <v>49</v>
      </c>
      <c r="G6762">
        <v>-306.79020000000003</v>
      </c>
      <c r="H6762">
        <v>1.152347</v>
      </c>
      <c r="I6762">
        <v>12.2537</v>
      </c>
      <c r="J6762">
        <v>-307.06659999999999</v>
      </c>
      <c r="K6762">
        <v>1.049563</v>
      </c>
      <c r="L6762">
        <v>12.70621</v>
      </c>
      <c r="M6762">
        <v>0.88342240000000005</v>
      </c>
      <c r="N6762">
        <v>0</v>
      </c>
      <c r="O6762">
        <v>-0.46830300000000002</v>
      </c>
      <c r="P6762">
        <v>0.85259110000000005</v>
      </c>
      <c r="Q6762">
        <v>4.9115649999999997E-2</v>
      </c>
      <c r="R6762">
        <v>-0.52026519999999998</v>
      </c>
      <c r="S6762">
        <v>2.0633849999999998</v>
      </c>
      <c r="T6762">
        <v>0.41529189999999999</v>
      </c>
      <c r="U6762">
        <v>-2.3662719999999999</v>
      </c>
      <c r="V6762">
        <v>6.2049060000000003E-2</v>
      </c>
      <c r="W6762">
        <v>6.3484219999999994E-2</v>
      </c>
      <c r="X6762">
        <v>0.99605200000000005</v>
      </c>
      <c r="Y6762">
        <v>0.35870259999999998</v>
      </c>
      <c r="Z6762">
        <v>-4.0058450000000002E-2</v>
      </c>
      <c r="AA6762">
        <v>0.93259199999999998</v>
      </c>
      <c r="AB6762">
        <v>31</v>
      </c>
      <c r="AC6762">
        <v>0.27639999999996601</v>
      </c>
      <c r="AD6762">
        <v>0.102784</v>
      </c>
      <c r="AE6762">
        <v>-0.45251000000000002</v>
      </c>
      <c r="AF6762">
        <v>0.26056275269034002</v>
      </c>
      <c r="AG6762">
        <v>0.102784</v>
      </c>
      <c r="AH6762">
        <v>0.439629508812382</v>
      </c>
      <c r="AI6762">
        <v>78.628095629278903</v>
      </c>
      <c r="AJ6762">
        <v>59.345323297473897</v>
      </c>
      <c r="AK6762">
        <v>0.52127881576387103</v>
      </c>
      <c r="AL6762">
        <v>86.360174283744399</v>
      </c>
      <c r="AM6762">
        <v>86.435365668286707</v>
      </c>
      <c r="AN6762">
        <v>0.99999995936994501</v>
      </c>
    </row>
    <row r="6763" spans="1:40" x14ac:dyDescent="0.25">
      <c r="A6763" t="str">
        <f>"20190312160504564"</f>
        <v>20190312160504564</v>
      </c>
      <c r="B6763" t="str">
        <f>"1552377904551800"</f>
        <v>1552377904551800</v>
      </c>
      <c r="C6763" t="s">
        <v>40</v>
      </c>
      <c r="D6763">
        <v>5.813415</v>
      </c>
      <c r="E6763">
        <v>0.62365380000000004</v>
      </c>
      <c r="F6763" t="s">
        <v>49</v>
      </c>
      <c r="G6763">
        <v>-306.56150000000002</v>
      </c>
      <c r="H6763">
        <v>1.155348</v>
      </c>
      <c r="I6763">
        <v>12.11374</v>
      </c>
      <c r="J6763">
        <v>-306.92770000000002</v>
      </c>
      <c r="K6763">
        <v>1.0494760000000001</v>
      </c>
      <c r="L6763">
        <v>12.62589</v>
      </c>
      <c r="M6763">
        <v>0.88024190000000002</v>
      </c>
      <c r="N6763">
        <v>0</v>
      </c>
      <c r="O6763">
        <v>-0.47425430000000002</v>
      </c>
      <c r="P6763">
        <v>0.8492094</v>
      </c>
      <c r="Q6763">
        <v>4.90962E-2</v>
      </c>
      <c r="R6763">
        <v>-0.52576919999999905</v>
      </c>
      <c r="S6763">
        <v>2.0363769999999999</v>
      </c>
      <c r="T6763">
        <v>0.42656159999999999</v>
      </c>
      <c r="U6763">
        <v>-2.3888850000000001</v>
      </c>
      <c r="V6763">
        <v>6.177904E-2</v>
      </c>
      <c r="W6763">
        <v>6.345518E-2</v>
      </c>
      <c r="X6763">
        <v>0.99607069999999998</v>
      </c>
      <c r="Y6763">
        <v>0.36290699999999998</v>
      </c>
      <c r="Z6763">
        <v>-4.1745600000000001E-2</v>
      </c>
      <c r="AA6763">
        <v>0.93088979999999999</v>
      </c>
      <c r="AB6763">
        <v>31</v>
      </c>
      <c r="AC6763">
        <v>0.36619999999999198</v>
      </c>
      <c r="AD6763">
        <v>0.10587199999999899</v>
      </c>
      <c r="AE6763">
        <v>-0.51214999999999999</v>
      </c>
      <c r="AF6763">
        <v>0.26955740190368699</v>
      </c>
      <c r="AG6763">
        <v>0.10587199999999899</v>
      </c>
      <c r="AH6763">
        <v>0.54976116189048196</v>
      </c>
      <c r="AI6763">
        <v>80.189893772326698</v>
      </c>
      <c r="AJ6763">
        <v>63.880488318412098</v>
      </c>
      <c r="AK6763">
        <v>0.62137541665907503</v>
      </c>
      <c r="AL6763">
        <v>86.361841752141999</v>
      </c>
      <c r="AM6763">
        <v>86.450904674247397</v>
      </c>
      <c r="AN6763">
        <v>1.00000002452532</v>
      </c>
    </row>
    <row r="6764" spans="1:40" x14ac:dyDescent="0.25">
      <c r="A6764" t="str">
        <f>"20190312160504575"</f>
        <v>20190312160504575</v>
      </c>
      <c r="B6764" t="str">
        <f>"1552377904572297"</f>
        <v>1552377904572297</v>
      </c>
      <c r="C6764" t="s">
        <v>40</v>
      </c>
      <c r="D6764">
        <v>5.8270010000000001</v>
      </c>
      <c r="E6764">
        <v>0.62316859999999996</v>
      </c>
      <c r="F6764" t="s">
        <v>104</v>
      </c>
      <c r="G6764">
        <v>-279.02</v>
      </c>
      <c r="H6764">
        <v>6.9937310000000004</v>
      </c>
      <c r="I6764">
        <v>-20.500830000000001</v>
      </c>
      <c r="J6764">
        <v>-306.79640000000001</v>
      </c>
      <c r="K6764">
        <v>1.0493969999999999</v>
      </c>
      <c r="L6764">
        <v>12.54837</v>
      </c>
      <c r="M6764">
        <v>0.87715270000000001</v>
      </c>
      <c r="N6764">
        <v>0</v>
      </c>
      <c r="O6764">
        <v>-0.47994409999999998</v>
      </c>
      <c r="P6764">
        <v>0.8458909</v>
      </c>
      <c r="Q6764">
        <v>4.9119780000000002E-2</v>
      </c>
      <c r="R6764">
        <v>-0.53108949999999999</v>
      </c>
      <c r="S6764">
        <v>2.021881</v>
      </c>
      <c r="T6764">
        <v>0.4306548</v>
      </c>
      <c r="U6764">
        <v>-2.399994</v>
      </c>
      <c r="V6764">
        <v>6.1592880000000003E-2</v>
      </c>
      <c r="W6764">
        <v>6.3469949999999997E-2</v>
      </c>
      <c r="X6764">
        <v>0.99608129999999995</v>
      </c>
      <c r="Y6764">
        <v>0.36234</v>
      </c>
      <c r="Z6764">
        <v>-4.304554E-2</v>
      </c>
      <c r="AA6764">
        <v>0.93105150000000003</v>
      </c>
      <c r="AB6764">
        <v>31</v>
      </c>
      <c r="AC6764">
        <v>27.776399999999999</v>
      </c>
      <c r="AD6764">
        <v>5.9443339999999996</v>
      </c>
      <c r="AE6764">
        <v>-33.049199999999999</v>
      </c>
      <c r="AF6764">
        <v>15.3687133256502</v>
      </c>
      <c r="AG6764">
        <v>5.9443339999999996</v>
      </c>
      <c r="AH6764">
        <v>39.482534986151201</v>
      </c>
      <c r="AI6764">
        <v>82.013439595409693</v>
      </c>
      <c r="AJ6764">
        <v>68.731352426809593</v>
      </c>
      <c r="AK6764">
        <v>42.7832096145465</v>
      </c>
      <c r="AL6764">
        <v>86.3609938289637</v>
      </c>
      <c r="AM6764">
        <v>86.461609579904007</v>
      </c>
      <c r="AN6764">
        <v>1.00000003681469</v>
      </c>
    </row>
    <row r="6765" spans="1:40" x14ac:dyDescent="0.25">
      <c r="A6765" t="str">
        <f>"20190312160504587"</f>
        <v>20190312160504587</v>
      </c>
      <c r="B6765" t="str">
        <f>"1552377904582057"</f>
        <v>1552377904582057</v>
      </c>
      <c r="C6765" t="s">
        <v>40</v>
      </c>
      <c r="D6765">
        <v>5.8274739999999996</v>
      </c>
      <c r="E6765">
        <v>0.62287930000000002</v>
      </c>
      <c r="F6765" t="s">
        <v>49</v>
      </c>
      <c r="G6765">
        <v>-306.29849999999999</v>
      </c>
      <c r="H6765">
        <v>1.156682</v>
      </c>
      <c r="I6765">
        <v>11.95088</v>
      </c>
      <c r="J6765">
        <v>-306.64580000000001</v>
      </c>
      <c r="K6765">
        <v>1.049304</v>
      </c>
      <c r="L6765">
        <v>12.458679999999999</v>
      </c>
      <c r="M6765">
        <v>0.87354200000000004</v>
      </c>
      <c r="N6765">
        <v>0</v>
      </c>
      <c r="O6765">
        <v>-0.48648520000000001</v>
      </c>
      <c r="P6765">
        <v>0.8420204</v>
      </c>
      <c r="Q6765">
        <v>4.9216219999999998E-2</v>
      </c>
      <c r="R6765">
        <v>-0.53719609999999995</v>
      </c>
      <c r="S6765">
        <v>2.0088200000000001</v>
      </c>
      <c r="T6765">
        <v>0.4327087</v>
      </c>
      <c r="U6765">
        <v>-2.4092099999999999</v>
      </c>
      <c r="V6765">
        <v>6.137368E-2</v>
      </c>
      <c r="W6765">
        <v>6.355703E-2</v>
      </c>
      <c r="X6765">
        <v>0.99608920000000001</v>
      </c>
      <c r="Y6765">
        <v>0.36017110000000002</v>
      </c>
      <c r="Z6765">
        <v>-4.4399099999999997E-2</v>
      </c>
      <c r="AA6765">
        <v>0.93182909999999997</v>
      </c>
      <c r="AB6765">
        <v>31</v>
      </c>
      <c r="AC6765">
        <v>0.34730000000001798</v>
      </c>
      <c r="AD6765">
        <v>0.107377999999999</v>
      </c>
      <c r="AE6765">
        <v>-0.50780000000000103</v>
      </c>
      <c r="AF6765">
        <v>0.26654351295423601</v>
      </c>
      <c r="AG6765">
        <v>0.107377999999999</v>
      </c>
      <c r="AH6765">
        <v>0.53421451282633303</v>
      </c>
      <c r="AI6765">
        <v>79.803951591341303</v>
      </c>
      <c r="AJ6765">
        <v>63.483339501098101</v>
      </c>
      <c r="AK6765">
        <v>0.60659758068777503</v>
      </c>
      <c r="AL6765">
        <v>86.355994136670802</v>
      </c>
      <c r="AM6765">
        <v>86.474198260543304</v>
      </c>
      <c r="AN6765">
        <v>0.99999995950790099</v>
      </c>
    </row>
    <row r="6766" spans="1:40" x14ac:dyDescent="0.25">
      <c r="A6766" t="str">
        <f>"20190312160504598"</f>
        <v>20190312160504598</v>
      </c>
      <c r="B6766" t="str">
        <f>"1552377904591816"</f>
        <v>1552377904591816</v>
      </c>
      <c r="C6766" t="s">
        <v>40</v>
      </c>
      <c r="D6766">
        <v>5.9250590000000001</v>
      </c>
      <c r="E6766">
        <v>0.62263230000000003</v>
      </c>
      <c r="F6766" t="s">
        <v>49</v>
      </c>
      <c r="G6766">
        <v>-306.13850000000002</v>
      </c>
      <c r="H6766">
        <v>1.1596059999999999</v>
      </c>
      <c r="I6766">
        <v>11.842090000000001</v>
      </c>
      <c r="J6766">
        <v>-306.5102</v>
      </c>
      <c r="K6766">
        <v>1.0492220000000001</v>
      </c>
      <c r="L6766">
        <v>12.3757</v>
      </c>
      <c r="M6766">
        <v>0.87018039999999997</v>
      </c>
      <c r="N6766">
        <v>0</v>
      </c>
      <c r="O6766">
        <v>-0.49247269999999999</v>
      </c>
      <c r="P6766">
        <v>0.83854059999999897</v>
      </c>
      <c r="Q6766">
        <v>4.9206470000000002E-2</v>
      </c>
      <c r="R6766">
        <v>-0.54261280000000001</v>
      </c>
      <c r="S6766">
        <v>1.992645</v>
      </c>
      <c r="T6766">
        <v>0.43322959999999999</v>
      </c>
      <c r="U6766">
        <v>-2.4215089999999999</v>
      </c>
      <c r="V6766">
        <v>6.0963749999999997E-2</v>
      </c>
      <c r="W6766">
        <v>6.3547999999999993E-2</v>
      </c>
      <c r="X6766">
        <v>0.99611499999999997</v>
      </c>
      <c r="Y6766">
        <v>0.35984280000000002</v>
      </c>
      <c r="Z6766">
        <v>-4.5392429999999998E-2</v>
      </c>
      <c r="AA6766">
        <v>0.93190810000000002</v>
      </c>
      <c r="AB6766">
        <v>31</v>
      </c>
      <c r="AC6766">
        <v>0.37169999999997499</v>
      </c>
      <c r="AD6766">
        <v>0.110384</v>
      </c>
      <c r="AE6766">
        <v>-0.53361000000000103</v>
      </c>
      <c r="AF6766">
        <v>0.273442534405546</v>
      </c>
      <c r="AG6766">
        <v>0.110384</v>
      </c>
      <c r="AH6766">
        <v>0.56988997927236995</v>
      </c>
      <c r="AI6766">
        <v>80.094231344747996</v>
      </c>
      <c r="AJ6766">
        <v>64.367546399555593</v>
      </c>
      <c r="AK6766">
        <v>0.641661932448226</v>
      </c>
      <c r="AL6766">
        <v>86.356512750428706</v>
      </c>
      <c r="AM6766">
        <v>86.497779634663303</v>
      </c>
      <c r="AN6766">
        <v>1.0000000101715301</v>
      </c>
    </row>
    <row r="6767" spans="1:40" x14ac:dyDescent="0.25">
      <c r="A6767" t="str">
        <f>"20190312160504609"</f>
        <v>20190312160504609</v>
      </c>
      <c r="B6767" t="str">
        <f>"1552377904601576"</f>
        <v>1552377904601576</v>
      </c>
      <c r="C6767" t="s">
        <v>40</v>
      </c>
      <c r="D6767">
        <v>5.9260390000000003</v>
      </c>
      <c r="E6767">
        <v>0.62231479999999995</v>
      </c>
      <c r="F6767" t="s">
        <v>117</v>
      </c>
      <c r="G6767">
        <v>-282.41449999999998</v>
      </c>
      <c r="H6767">
        <v>6.3374319999999997</v>
      </c>
      <c r="I6767">
        <v>-17.25919</v>
      </c>
      <c r="J6767">
        <v>-306.38010000000003</v>
      </c>
      <c r="K6767">
        <v>1.04914</v>
      </c>
      <c r="L6767">
        <v>12.295529999999999</v>
      </c>
      <c r="M6767">
        <v>0.86690210000000001</v>
      </c>
      <c r="N6767">
        <v>0</v>
      </c>
      <c r="O6767">
        <v>-0.49822129999999998</v>
      </c>
      <c r="P6767">
        <v>0.83502009999999904</v>
      </c>
      <c r="Q6767">
        <v>4.9148589999999999E-2</v>
      </c>
      <c r="R6767">
        <v>-0.54802019999999996</v>
      </c>
      <c r="S6767">
        <v>1.977997</v>
      </c>
      <c r="T6767">
        <v>0.43410470000000001</v>
      </c>
      <c r="U6767">
        <v>-2.432709</v>
      </c>
      <c r="V6767">
        <v>6.0814519999999997E-2</v>
      </c>
      <c r="W6767">
        <v>6.3484219999999994E-2</v>
      </c>
      <c r="X6767">
        <v>0.99612820000000002</v>
      </c>
      <c r="Y6767">
        <v>0.3591934</v>
      </c>
      <c r="Z6767">
        <v>-4.6408440000000002E-2</v>
      </c>
      <c r="AA6767">
        <v>0.93210859999999995</v>
      </c>
      <c r="AB6767">
        <v>31</v>
      </c>
      <c r="AC6767">
        <v>23.965599999999998</v>
      </c>
      <c r="AD6767">
        <v>5.2882920000000002</v>
      </c>
      <c r="AE6767">
        <v>-29.55472</v>
      </c>
      <c r="AF6767">
        <v>13.4233471106956</v>
      </c>
      <c r="AG6767">
        <v>5.2882920000000002</v>
      </c>
      <c r="AH6767">
        <v>34.8323549758043</v>
      </c>
      <c r="AI6767">
        <v>81.936799519359397</v>
      </c>
      <c r="AJ6767">
        <v>68.924830366167399</v>
      </c>
      <c r="AK6767">
        <v>37.702058738110402</v>
      </c>
      <c r="AL6767">
        <v>86.360174509949402</v>
      </c>
      <c r="AM6767">
        <v>86.506377459207997</v>
      </c>
      <c r="AN6767">
        <v>1.0000000214335301</v>
      </c>
    </row>
    <row r="6768" spans="1:40" x14ac:dyDescent="0.25">
      <c r="A6768" t="str">
        <f>"20190312160504620"</f>
        <v>20190312160504620</v>
      </c>
      <c r="B6768" t="str">
        <f>"1552377904612312"</f>
        <v>1552377904612312</v>
      </c>
      <c r="C6768" t="s">
        <v>40</v>
      </c>
      <c r="D6768">
        <v>5.8423819999999997</v>
      </c>
      <c r="E6768">
        <v>0.62195990000000001</v>
      </c>
      <c r="F6768" t="s">
        <v>49</v>
      </c>
      <c r="G6768">
        <v>-305.88069999999999</v>
      </c>
      <c r="H6768">
        <v>1.1594869999999999</v>
      </c>
      <c r="I6768">
        <v>11.67384</v>
      </c>
      <c r="J6768">
        <v>-306.24549999999999</v>
      </c>
      <c r="K6768">
        <v>1.0490699999999999</v>
      </c>
      <c r="L6768">
        <v>12.21082</v>
      </c>
      <c r="M6768">
        <v>0.86341699999999999</v>
      </c>
      <c r="N6768">
        <v>0</v>
      </c>
      <c r="O6768">
        <v>-0.50423660000000003</v>
      </c>
      <c r="P6768">
        <v>0.83211279999999999</v>
      </c>
      <c r="Q6768">
        <v>4.857421E-2</v>
      </c>
      <c r="R6768">
        <v>-0.55247590000000002</v>
      </c>
      <c r="S6768">
        <v>1.9637450000000001</v>
      </c>
      <c r="T6768">
        <v>0.43377450000000001</v>
      </c>
      <c r="U6768">
        <v>-2.4432070000000001</v>
      </c>
      <c r="V6768">
        <v>5.9189520000000002E-2</v>
      </c>
      <c r="W6768">
        <v>6.2947890000000006E-2</v>
      </c>
      <c r="X6768">
        <v>0.99626009999999998</v>
      </c>
      <c r="Y6768">
        <v>0.35801139999999998</v>
      </c>
      <c r="Z6768">
        <v>-4.737794E-2</v>
      </c>
      <c r="AA6768">
        <v>0.93251439999999997</v>
      </c>
      <c r="AB6768">
        <v>31</v>
      </c>
      <c r="AC6768">
        <v>0.36480000000000201</v>
      </c>
      <c r="AD6768">
        <v>0.110417</v>
      </c>
      <c r="AE6768">
        <v>-0.53697999999999901</v>
      </c>
      <c r="AF6768">
        <v>0.27186300650509299</v>
      </c>
      <c r="AG6768">
        <v>0.110417</v>
      </c>
      <c r="AH6768">
        <v>0.56934347156772702</v>
      </c>
      <c r="AI6768">
        <v>80.073243362428798</v>
      </c>
      <c r="AJ6768">
        <v>64.475401814942501</v>
      </c>
      <c r="AK6768">
        <v>0.64051026284656798</v>
      </c>
      <c r="AL6768">
        <v>86.390965505385907</v>
      </c>
      <c r="AM6768">
        <v>86.599956219972896</v>
      </c>
      <c r="AN6768">
        <v>1.00000001149264</v>
      </c>
    </row>
    <row r="6769" spans="1:40" x14ac:dyDescent="0.25">
      <c r="A6769" t="str">
        <f>"20190312160504631"</f>
        <v>20190312160504631</v>
      </c>
      <c r="B6769" t="str">
        <f>"1552377904622074"</f>
        <v>1552377904622074</v>
      </c>
      <c r="C6769" t="s">
        <v>40</v>
      </c>
      <c r="D6769">
        <v>5.839995</v>
      </c>
      <c r="E6769">
        <v>0.62195990000000001</v>
      </c>
      <c r="F6769" t="s">
        <v>117</v>
      </c>
      <c r="G6769">
        <v>-282.82339999999999</v>
      </c>
      <c r="H6769">
        <v>6.2293820000000002</v>
      </c>
      <c r="I6769">
        <v>-17.194089999999999</v>
      </c>
      <c r="J6769">
        <v>-306.11959999999999</v>
      </c>
      <c r="K6769">
        <v>1.048997</v>
      </c>
      <c r="L6769">
        <v>12.13058</v>
      </c>
      <c r="M6769">
        <v>0.86008809999999902</v>
      </c>
      <c r="N6769">
        <v>0</v>
      </c>
      <c r="O6769">
        <v>-0.50989379999999995</v>
      </c>
      <c r="P6769">
        <v>0.82854899999999998</v>
      </c>
      <c r="Q6769">
        <v>4.845551E-2</v>
      </c>
      <c r="R6769">
        <v>-0.55781619999999998</v>
      </c>
      <c r="S6769">
        <v>1.952545</v>
      </c>
      <c r="T6769">
        <v>0.4318476</v>
      </c>
      <c r="U6769">
        <v>-2.4512939999999999</v>
      </c>
      <c r="V6769">
        <v>5.9059420000000001E-2</v>
      </c>
      <c r="W6769">
        <v>6.2826069999999998E-2</v>
      </c>
      <c r="X6769">
        <v>0.99627549999999998</v>
      </c>
      <c r="Y6769">
        <v>0.3560314</v>
      </c>
      <c r="Z6769">
        <v>-4.8167059999999998E-2</v>
      </c>
      <c r="AA6769">
        <v>0.93323179999999994</v>
      </c>
      <c r="AB6769">
        <v>31</v>
      </c>
      <c r="AC6769">
        <v>23.296199999999999</v>
      </c>
      <c r="AD6769">
        <v>5.1803850000000002</v>
      </c>
      <c r="AE6769">
        <v>-29.324670000000001</v>
      </c>
      <c r="AF6769">
        <v>13.0943947762379</v>
      </c>
      <c r="AG6769">
        <v>5.1803850000000002</v>
      </c>
      <c r="AH6769">
        <v>34.336791204373498</v>
      </c>
      <c r="AI6769">
        <v>81.976043060219695</v>
      </c>
      <c r="AJ6769">
        <v>69.125563303020101</v>
      </c>
      <c r="AK6769">
        <v>37.112191979414703</v>
      </c>
      <c r="AL6769">
        <v>86.397959082214399</v>
      </c>
      <c r="AM6769">
        <v>86.607464442430796</v>
      </c>
      <c r="AN6769">
        <v>1.0000000010313099</v>
      </c>
    </row>
    <row r="6770" spans="1:40" x14ac:dyDescent="0.25">
      <c r="A6770" t="str">
        <f>"20190312160504644"</f>
        <v>20190312160504644</v>
      </c>
      <c r="B6770" t="str">
        <f>"1552377904631832"</f>
        <v>1552377904631832</v>
      </c>
      <c r="C6770" t="s">
        <v>40</v>
      </c>
      <c r="D6770">
        <v>5.8150940000000002</v>
      </c>
      <c r="E6770">
        <v>0.61028389999999999</v>
      </c>
      <c r="F6770" t="s">
        <v>49</v>
      </c>
      <c r="G6770">
        <v>-305.62569999999999</v>
      </c>
      <c r="H6770">
        <v>1.1590940000000001</v>
      </c>
      <c r="I6770">
        <v>11.50226</v>
      </c>
      <c r="J6770">
        <v>-305.97089999999997</v>
      </c>
      <c r="K6770">
        <v>1.048916</v>
      </c>
      <c r="L6770">
        <v>12.0343</v>
      </c>
      <c r="M6770">
        <v>0.85606280000000001</v>
      </c>
      <c r="N6770">
        <v>0</v>
      </c>
      <c r="O6770">
        <v>-0.51662339999999995</v>
      </c>
      <c r="P6770">
        <v>0.82418789999999997</v>
      </c>
      <c r="Q6770">
        <v>4.8277180000000003E-2</v>
      </c>
      <c r="R6770">
        <v>-0.56425539999999996</v>
      </c>
      <c r="S6770">
        <v>1.9368289999999999</v>
      </c>
      <c r="T6770">
        <v>0.43171549999999997</v>
      </c>
      <c r="U6770">
        <v>-2.4637449999999999</v>
      </c>
      <c r="V6770">
        <v>5.9009640000000002E-2</v>
      </c>
      <c r="W6770">
        <v>6.2643320000000002E-2</v>
      </c>
      <c r="X6770">
        <v>0.99629000000000001</v>
      </c>
      <c r="Y6770">
        <v>0.35472730000000002</v>
      </c>
      <c r="Z6770">
        <v>-4.925798E-2</v>
      </c>
      <c r="AA6770">
        <v>0.93367140000000004</v>
      </c>
      <c r="AB6770">
        <v>31</v>
      </c>
      <c r="AC6770">
        <v>0.34519999999997703</v>
      </c>
      <c r="AD6770">
        <v>0.110178</v>
      </c>
      <c r="AE6770">
        <v>-0.53203999999999996</v>
      </c>
      <c r="AF6770">
        <v>0.26903735403411999</v>
      </c>
      <c r="AG6770">
        <v>0.110178</v>
      </c>
      <c r="AH6770">
        <v>0.55373872686610903</v>
      </c>
      <c r="AI6770">
        <v>79.853413162104005</v>
      </c>
      <c r="AJ6770">
        <v>64.086916695848402</v>
      </c>
      <c r="AK6770">
        <v>0.62541735439702895</v>
      </c>
      <c r="AL6770">
        <v>86.408450704795598</v>
      </c>
      <c r="AM6770">
        <v>86.610366490599503</v>
      </c>
      <c r="AN6770">
        <v>1.00000004362677</v>
      </c>
    </row>
    <row r="6771" spans="1:40" x14ac:dyDescent="0.25">
      <c r="A6771" t="str">
        <f>"20190312160504657"</f>
        <v>20190312160504657</v>
      </c>
      <c r="B6771" t="str">
        <f>"1552377904652328"</f>
        <v>1552377904652328</v>
      </c>
      <c r="C6771" t="s">
        <v>40</v>
      </c>
      <c r="D6771">
        <v>5.8857410000000003</v>
      </c>
      <c r="E6771">
        <v>0.61385889999999999</v>
      </c>
      <c r="F6771" t="s">
        <v>104</v>
      </c>
      <c r="G6771">
        <v>-279.55990000000003</v>
      </c>
      <c r="H6771">
        <v>4.9369829999999997</v>
      </c>
      <c r="I6771">
        <v>-20.235220000000002</v>
      </c>
      <c r="J6771">
        <v>-305.82589999999999</v>
      </c>
      <c r="K6771">
        <v>1.048834</v>
      </c>
      <c r="L6771">
        <v>11.93829</v>
      </c>
      <c r="M6771">
        <v>0.85202169999999899</v>
      </c>
      <c r="N6771">
        <v>0</v>
      </c>
      <c r="O6771">
        <v>-0.52326099999999998</v>
      </c>
      <c r="P6771">
        <v>0.82048120000000002</v>
      </c>
      <c r="Q6771">
        <v>4.8179029999999998E-2</v>
      </c>
      <c r="R6771">
        <v>-0.56963999999999904</v>
      </c>
      <c r="S6771">
        <v>1.9727479999999999</v>
      </c>
      <c r="T6771">
        <v>0.29041529999999999</v>
      </c>
      <c r="U6771">
        <v>-2.410339</v>
      </c>
      <c r="V6771">
        <v>5.7794600000000002E-2</v>
      </c>
      <c r="W6771">
        <v>6.2575270000000002E-2</v>
      </c>
      <c r="X6771">
        <v>0.99636539999999996</v>
      </c>
      <c r="Y6771">
        <v>0.32853310000000002</v>
      </c>
      <c r="Z6771">
        <v>-3.5272240000000003E-2</v>
      </c>
      <c r="AA6771">
        <v>0.94383360000000005</v>
      </c>
      <c r="AB6771">
        <v>31</v>
      </c>
      <c r="AC6771">
        <v>26.265999999999899</v>
      </c>
      <c r="AD6771">
        <v>3.8881489999999999</v>
      </c>
      <c r="AE6771">
        <v>-32.17351</v>
      </c>
      <c r="AF6771">
        <v>13.5515500038419</v>
      </c>
      <c r="AG6771">
        <v>3.8881489999999999</v>
      </c>
      <c r="AH6771">
        <v>38.878663245743397</v>
      </c>
      <c r="AI6771">
        <v>84.605270687154203</v>
      </c>
      <c r="AJ6771">
        <v>70.783484562918801</v>
      </c>
      <c r="AK6771">
        <v>41.355926611898603</v>
      </c>
      <c r="AL6771">
        <v>86.412356993445897</v>
      </c>
      <c r="AM6771">
        <v>86.680253775318604</v>
      </c>
      <c r="AN6771">
        <v>0.99999994526094405</v>
      </c>
    </row>
    <row r="6772" spans="1:40" x14ac:dyDescent="0.25">
      <c r="A6772" t="str">
        <f>"20190312160504670"</f>
        <v>20190312160504670</v>
      </c>
      <c r="B6772" t="str">
        <f>"1552377904662088"</f>
        <v>1552377904662088</v>
      </c>
      <c r="C6772" t="s">
        <v>40</v>
      </c>
      <c r="D6772">
        <v>5.9349069999999999</v>
      </c>
      <c r="E6772">
        <v>0.61392990000000003</v>
      </c>
      <c r="F6772" t="s">
        <v>117</v>
      </c>
      <c r="G6772">
        <v>-282.62389999999999</v>
      </c>
      <c r="H6772">
        <v>5.8170109999999999</v>
      </c>
      <c r="I6772">
        <v>-17.25919</v>
      </c>
      <c r="J6772">
        <v>-305.66539999999998</v>
      </c>
      <c r="K6772">
        <v>1.0487470000000001</v>
      </c>
      <c r="L6772">
        <v>11.830719999999999</v>
      </c>
      <c r="M6772">
        <v>0.84744710000000001</v>
      </c>
      <c r="N6772">
        <v>0</v>
      </c>
      <c r="O6772">
        <v>-0.53063769999999999</v>
      </c>
      <c r="P6772">
        <v>0.81554219999999999</v>
      </c>
      <c r="Q6772">
        <v>4.7844280000000003E-2</v>
      </c>
      <c r="R6772">
        <v>-0.57671709999999998</v>
      </c>
      <c r="S6772">
        <v>1.938965</v>
      </c>
      <c r="T6772">
        <v>0.3984704</v>
      </c>
      <c r="U6772">
        <v>-2.4400019999999998</v>
      </c>
      <c r="V6772">
        <v>5.775682E-2</v>
      </c>
      <c r="W6772">
        <v>6.2237849999999997E-2</v>
      </c>
      <c r="X6772">
        <v>0.99638879999999996</v>
      </c>
      <c r="Y6772">
        <v>0.33442860000000002</v>
      </c>
      <c r="Z6772">
        <v>-4.8937069999999999E-2</v>
      </c>
      <c r="AA6772">
        <v>0.94114969999999998</v>
      </c>
      <c r="AB6772">
        <v>31</v>
      </c>
      <c r="AC6772">
        <v>23.0414999999999</v>
      </c>
      <c r="AD6772">
        <v>4.7682640000000003</v>
      </c>
      <c r="AE6772">
        <v>-29.0899099999999</v>
      </c>
      <c r="AF6772">
        <v>12.2252311809726</v>
      </c>
      <c r="AG6772">
        <v>4.7682640000000003</v>
      </c>
      <c r="AH6772">
        <v>34.399221821001703</v>
      </c>
      <c r="AI6772">
        <v>82.558594893323701</v>
      </c>
      <c r="AJ6772">
        <v>70.4351599923599</v>
      </c>
      <c r="AK6772">
        <v>36.817103102938503</v>
      </c>
      <c r="AL6772">
        <v>86.431727762102</v>
      </c>
      <c r="AM6772">
        <v>86.682496764374903</v>
      </c>
      <c r="AN6772">
        <v>1.0000000204972801</v>
      </c>
    </row>
    <row r="6773" spans="1:40" x14ac:dyDescent="0.25">
      <c r="A6773" t="str">
        <f>"20190312160504684"</f>
        <v>20190312160504684</v>
      </c>
      <c r="B6773" t="str">
        <f>"1552377904671848"</f>
        <v>1552377904671848</v>
      </c>
      <c r="C6773" t="s">
        <v>40</v>
      </c>
      <c r="D6773">
        <v>5.9475819999999997</v>
      </c>
      <c r="E6773">
        <v>0.61351619999999996</v>
      </c>
      <c r="F6773" t="s">
        <v>117</v>
      </c>
      <c r="G6773">
        <v>-283.01170000000002</v>
      </c>
      <c r="H6773">
        <v>5.7481519999999904</v>
      </c>
      <c r="I6773">
        <v>-17.194089999999999</v>
      </c>
      <c r="J6773">
        <v>-305.5059</v>
      </c>
      <c r="K6773">
        <v>1.0486599999999999</v>
      </c>
      <c r="L6773">
        <v>11.72137</v>
      </c>
      <c r="M6773">
        <v>0.84276109999999904</v>
      </c>
      <c r="N6773">
        <v>0</v>
      </c>
      <c r="O6773">
        <v>-0.53804839999999998</v>
      </c>
      <c r="P6773">
        <v>0.81032340000000003</v>
      </c>
      <c r="Q6773">
        <v>4.7975160000000003E-2</v>
      </c>
      <c r="R6773">
        <v>-0.58401559999999997</v>
      </c>
      <c r="S6773">
        <v>1.9177249999999999</v>
      </c>
      <c r="T6773">
        <v>0.3978217</v>
      </c>
      <c r="U6773">
        <v>-2.4570620000000001</v>
      </c>
      <c r="V6773">
        <v>5.7984729999999998E-2</v>
      </c>
      <c r="W6773">
        <v>6.2360159999999998E-2</v>
      </c>
      <c r="X6773">
        <v>0.99636789999999997</v>
      </c>
      <c r="Y6773">
        <v>0.33442939999999999</v>
      </c>
      <c r="Z6773">
        <v>-4.9895759999999997E-2</v>
      </c>
      <c r="AA6773">
        <v>0.94109900000000002</v>
      </c>
      <c r="AB6773">
        <v>31</v>
      </c>
      <c r="AC6773">
        <v>22.4941999999999</v>
      </c>
      <c r="AD6773">
        <v>4.6994919999999896</v>
      </c>
      <c r="AE6773">
        <v>-28.9154599999999</v>
      </c>
      <c r="AF6773">
        <v>12.0688345491549</v>
      </c>
      <c r="AG6773">
        <v>4.6994919999999896</v>
      </c>
      <c r="AH6773">
        <v>33.960749319492699</v>
      </c>
      <c r="AI6773">
        <v>82.571049872791505</v>
      </c>
      <c r="AJ6773">
        <v>70.436008900525707</v>
      </c>
      <c r="AK6773">
        <v>36.3465883787511</v>
      </c>
      <c r="AL6773">
        <v>86.424706222055306</v>
      </c>
      <c r="AM6773">
        <v>86.669365512195597</v>
      </c>
      <c r="AN6773">
        <v>1.0000000053094</v>
      </c>
    </row>
    <row r="6774" spans="1:40" x14ac:dyDescent="0.25">
      <c r="A6774" t="str">
        <f>"20190312160504699"</f>
        <v>20190312160504699</v>
      </c>
      <c r="B6774" t="str">
        <f>"1552377904691368"</f>
        <v>1552377904691368</v>
      </c>
      <c r="C6774" t="s">
        <v>40</v>
      </c>
      <c r="D6774">
        <v>5.8127440000000004</v>
      </c>
      <c r="E6774">
        <v>0.61421250000000005</v>
      </c>
      <c r="F6774" t="s">
        <v>117</v>
      </c>
      <c r="G6774">
        <v>-283.30509999999998</v>
      </c>
      <c r="H6774">
        <v>5.6512190000000002</v>
      </c>
      <c r="I6774">
        <v>-17.194089999999999</v>
      </c>
      <c r="J6774">
        <v>-305.34050000000002</v>
      </c>
      <c r="K6774">
        <v>1.048573</v>
      </c>
      <c r="L6774">
        <v>11.60553</v>
      </c>
      <c r="M6774">
        <v>0.83775509999999997</v>
      </c>
      <c r="N6774">
        <v>0</v>
      </c>
      <c r="O6774">
        <v>-0.54581029999999997</v>
      </c>
      <c r="P6774">
        <v>0.80552000000000001</v>
      </c>
      <c r="Q6774">
        <v>4.7556340000000002E-2</v>
      </c>
      <c r="R6774">
        <v>-0.59065749999999995</v>
      </c>
      <c r="S6774">
        <v>1.8976139999999999</v>
      </c>
      <c r="T6774">
        <v>0.39340399999999998</v>
      </c>
      <c r="U6774">
        <v>-2.4715579999999999</v>
      </c>
      <c r="V6774">
        <v>5.6957559999999997E-2</v>
      </c>
      <c r="W6774">
        <v>6.1970860000000003E-2</v>
      </c>
      <c r="X6774">
        <v>0.99645139999999999</v>
      </c>
      <c r="Y6774">
        <v>0.33323239999999998</v>
      </c>
      <c r="Z6774">
        <v>-5.051079E-2</v>
      </c>
      <c r="AA6774">
        <v>0.94149079999999996</v>
      </c>
      <c r="AB6774">
        <v>31</v>
      </c>
      <c r="AC6774">
        <v>22.035399999999999</v>
      </c>
      <c r="AD6774">
        <v>4.602646</v>
      </c>
      <c r="AE6774">
        <v>-28.799620000000001</v>
      </c>
      <c r="AF6774">
        <v>11.9095745704431</v>
      </c>
      <c r="AG6774">
        <v>4.602646</v>
      </c>
      <c r="AH6774">
        <v>33.641827890086901</v>
      </c>
      <c r="AI6774">
        <v>82.651120173360496</v>
      </c>
      <c r="AJ6774">
        <v>70.505480740862296</v>
      </c>
      <c r="AK6774">
        <v>35.983258613367603</v>
      </c>
      <c r="AL6774">
        <v>86.447054575201193</v>
      </c>
      <c r="AM6774">
        <v>86.7285102521721</v>
      </c>
      <c r="AN6774">
        <v>0.99999997184612599</v>
      </c>
    </row>
    <row r="6775" spans="1:40" x14ac:dyDescent="0.25">
      <c r="A6775" t="str">
        <f>"20190312160504709"</f>
        <v>20190312160504709</v>
      </c>
      <c r="B6775" t="str">
        <f>"1552377904702104"</f>
        <v>1552377904702104</v>
      </c>
      <c r="C6775" t="s">
        <v>40</v>
      </c>
      <c r="D6775">
        <v>5.8352170000000001</v>
      </c>
      <c r="E6775">
        <v>0.6123459</v>
      </c>
      <c r="F6775" t="s">
        <v>117</v>
      </c>
      <c r="G6775">
        <v>-283.67059999999998</v>
      </c>
      <c r="H6775">
        <v>5.6921839999999904</v>
      </c>
      <c r="I6775">
        <v>-17.194089999999999</v>
      </c>
      <c r="J6775">
        <v>-305.20859999999999</v>
      </c>
      <c r="K6775">
        <v>1.048505</v>
      </c>
      <c r="L6775">
        <v>11.51187</v>
      </c>
      <c r="M6775">
        <v>0.83367169999999902</v>
      </c>
      <c r="N6775">
        <v>0</v>
      </c>
      <c r="O6775">
        <v>-0.55202659999999903</v>
      </c>
      <c r="P6775">
        <v>0.80099609999999899</v>
      </c>
      <c r="Q6775">
        <v>4.7431470000000003E-2</v>
      </c>
      <c r="R6775">
        <v>-0.59678790000000004</v>
      </c>
      <c r="S6775">
        <v>1.8741760000000001</v>
      </c>
      <c r="T6775">
        <v>0.40161429999999998</v>
      </c>
      <c r="U6775">
        <v>-2.4908139999999999</v>
      </c>
      <c r="V6775">
        <v>5.7151979999999998E-2</v>
      </c>
      <c r="W6775">
        <v>6.1839980000000003E-2</v>
      </c>
      <c r="X6775">
        <v>0.99644849999999996</v>
      </c>
      <c r="Y6775">
        <v>0.33544259999999998</v>
      </c>
      <c r="Z6775">
        <v>-5.2290660000000003E-2</v>
      </c>
      <c r="AA6775">
        <v>0.94060829999999995</v>
      </c>
      <c r="AB6775">
        <v>31</v>
      </c>
      <c r="AC6775">
        <v>21.538</v>
      </c>
      <c r="AD6775">
        <v>4.6436789999999899</v>
      </c>
      <c r="AE6775">
        <v>-28.705960000000001</v>
      </c>
      <c r="AF6775">
        <v>11.845029324508699</v>
      </c>
      <c r="AG6775">
        <v>4.6436789999999899</v>
      </c>
      <c r="AH6775">
        <v>33.249733893038403</v>
      </c>
      <c r="AI6775">
        <v>82.505115127269704</v>
      </c>
      <c r="AJ6775">
        <v>70.391846777818799</v>
      </c>
      <c r="AK6775">
        <v>35.600748283026</v>
      </c>
      <c r="AL6775">
        <v>86.454568214853893</v>
      </c>
      <c r="AM6775">
        <v>86.717358134542707</v>
      </c>
      <c r="AN6775">
        <v>1.0000000725482801</v>
      </c>
    </row>
    <row r="6776" spans="1:40" x14ac:dyDescent="0.25">
      <c r="A6776" t="str">
        <f>"20190312160504721"</f>
        <v>20190312160504721</v>
      </c>
      <c r="B6776" t="str">
        <f>"1552377904711865"</f>
        <v>1552377904711865</v>
      </c>
      <c r="C6776" t="s">
        <v>40</v>
      </c>
      <c r="D6776">
        <v>5.8584040000000002</v>
      </c>
      <c r="E6776">
        <v>0.61221749999999997</v>
      </c>
      <c r="F6776" t="s">
        <v>117</v>
      </c>
      <c r="G6776">
        <v>-283.7681</v>
      </c>
      <c r="H6776">
        <v>4.4234660000000003</v>
      </c>
      <c r="I6776">
        <v>-17.223220000000001</v>
      </c>
      <c r="J6776">
        <v>-305.0727</v>
      </c>
      <c r="K6776">
        <v>1.0484370000000001</v>
      </c>
      <c r="L6776">
        <v>11.41342</v>
      </c>
      <c r="M6776">
        <v>0.82935490000000001</v>
      </c>
      <c r="N6776">
        <v>0</v>
      </c>
      <c r="O6776">
        <v>-0.55849110000000002</v>
      </c>
      <c r="P6776">
        <v>0.79668090000000003</v>
      </c>
      <c r="Q6776">
        <v>4.714053E-2</v>
      </c>
      <c r="R6776">
        <v>-0.60255930000000002</v>
      </c>
      <c r="S6776">
        <v>1.865326</v>
      </c>
      <c r="T6776">
        <v>0.29362300000000002</v>
      </c>
      <c r="U6776">
        <v>-2.4999690000000001</v>
      </c>
      <c r="V6776">
        <v>5.659517E-2</v>
      </c>
      <c r="W6776">
        <v>6.1567280000000002E-2</v>
      </c>
      <c r="X6776">
        <v>0.99649710000000002</v>
      </c>
      <c r="Y6776">
        <v>0.33141090000000001</v>
      </c>
      <c r="Z6776">
        <v>-3.9149870000000003E-2</v>
      </c>
      <c r="AA6776">
        <v>0.94267389999999995</v>
      </c>
      <c r="AB6776">
        <v>31</v>
      </c>
      <c r="AC6776">
        <v>21.304599999999901</v>
      </c>
      <c r="AD6776">
        <v>3.3750290000000001</v>
      </c>
      <c r="AE6776">
        <v>-28.63664</v>
      </c>
      <c r="AF6776">
        <v>11.7479948029347</v>
      </c>
      <c r="AG6776">
        <v>3.3750290000000001</v>
      </c>
      <c r="AH6776">
        <v>33.368369080538102</v>
      </c>
      <c r="AI6776">
        <v>84.550224939078007</v>
      </c>
      <c r="AJ6776">
        <v>70.604373560190396</v>
      </c>
      <c r="AK6776">
        <v>35.536660756683801</v>
      </c>
      <c r="AL6776">
        <v>86.470222369556495</v>
      </c>
      <c r="AM6776">
        <v>86.749428942613605</v>
      </c>
      <c r="AN6776">
        <v>1.0000000067711601</v>
      </c>
    </row>
    <row r="6777" spans="1:40" x14ac:dyDescent="0.25">
      <c r="A6777" t="str">
        <f>"20190312160504734"</f>
        <v>20190312160504734</v>
      </c>
      <c r="B6777" t="str">
        <f>"1552377904721624"</f>
        <v>1552377904721624</v>
      </c>
      <c r="C6777" t="s">
        <v>40</v>
      </c>
      <c r="D6777">
        <v>5.8276680000000001</v>
      </c>
      <c r="E6777">
        <v>0.6115391</v>
      </c>
      <c r="F6777" t="s">
        <v>117</v>
      </c>
      <c r="G6777">
        <v>-284.00979999999998</v>
      </c>
      <c r="H6777">
        <v>4.3988800000000001</v>
      </c>
      <c r="I6777">
        <v>-17.223220000000001</v>
      </c>
      <c r="J6777">
        <v>-304.93639999999999</v>
      </c>
      <c r="K6777">
        <v>1.048373</v>
      </c>
      <c r="L6777">
        <v>11.31293</v>
      </c>
      <c r="M6777">
        <v>0.82491919999999996</v>
      </c>
      <c r="N6777">
        <v>0</v>
      </c>
      <c r="O6777">
        <v>-0.56502209999999997</v>
      </c>
      <c r="P6777">
        <v>0.79164440000000003</v>
      </c>
      <c r="Q6777">
        <v>4.6985329999999999E-2</v>
      </c>
      <c r="R6777">
        <v>-0.60917279999999996</v>
      </c>
      <c r="S6777">
        <v>1.847961</v>
      </c>
      <c r="T6777">
        <v>0.29395209999999999</v>
      </c>
      <c r="U6777">
        <v>-2.512451</v>
      </c>
      <c r="V6777">
        <v>5.7025430000000002E-2</v>
      </c>
      <c r="W6777">
        <v>6.1401650000000002E-2</v>
      </c>
      <c r="X6777">
        <v>0.9964828</v>
      </c>
      <c r="Y6777">
        <v>0.33044780000000001</v>
      </c>
      <c r="Z6777">
        <v>-3.9922190000000003E-2</v>
      </c>
      <c r="AA6777">
        <v>0.94297960000000003</v>
      </c>
      <c r="AB6777">
        <v>31</v>
      </c>
      <c r="AC6777">
        <v>20.926600000000001</v>
      </c>
      <c r="AD6777">
        <v>3.3505069999999999</v>
      </c>
      <c r="AE6777">
        <v>-28.536149999999999</v>
      </c>
      <c r="AF6777">
        <v>11.6134293763801</v>
      </c>
      <c r="AG6777">
        <v>3.3505069999999999</v>
      </c>
      <c r="AH6777">
        <v>33.0939458156152</v>
      </c>
      <c r="AI6777">
        <v>84.543045166365602</v>
      </c>
      <c r="AJ6777">
        <v>70.662850595010397</v>
      </c>
      <c r="AK6777">
        <v>35.232185408857298</v>
      </c>
      <c r="AL6777">
        <v>86.479730292268599</v>
      </c>
      <c r="AM6777">
        <v>86.724723448686404</v>
      </c>
      <c r="AN6777">
        <v>1.0000000164926199</v>
      </c>
    </row>
    <row r="6778" spans="1:40" x14ac:dyDescent="0.25">
      <c r="A6778" t="str">
        <f>"20190312160504747"</f>
        <v>20190312160504747</v>
      </c>
      <c r="B6778" t="str">
        <f>"1552377904742120"</f>
        <v>1552377904742120</v>
      </c>
      <c r="C6778" t="s">
        <v>40</v>
      </c>
      <c r="D6778">
        <v>5.8602040000000004</v>
      </c>
      <c r="E6778">
        <v>0.610649199999999</v>
      </c>
      <c r="F6778" t="s">
        <v>117</v>
      </c>
      <c r="G6778">
        <v>-284.2405</v>
      </c>
      <c r="H6778">
        <v>4.3325069999999997</v>
      </c>
      <c r="I6778">
        <v>-17.223220000000001</v>
      </c>
      <c r="J6778">
        <v>-304.7901</v>
      </c>
      <c r="K6778">
        <v>1.0483009999999999</v>
      </c>
      <c r="L6778">
        <v>11.20383</v>
      </c>
      <c r="M6778">
        <v>0.82006039999999902</v>
      </c>
      <c r="N6778">
        <v>0</v>
      </c>
      <c r="O6778">
        <v>-0.57205079999999997</v>
      </c>
      <c r="P6778">
        <v>0.78641719999999904</v>
      </c>
      <c r="Q6778">
        <v>4.7365249999999998E-2</v>
      </c>
      <c r="R6778">
        <v>-0.61587700000000001</v>
      </c>
      <c r="S6778">
        <v>1.830322</v>
      </c>
      <c r="T6778">
        <v>0.29044560000000003</v>
      </c>
      <c r="U6778">
        <v>-2.5237120000000002</v>
      </c>
      <c r="V6778">
        <v>5.7009789999999998E-2</v>
      </c>
      <c r="W6778">
        <v>6.1783820000000003E-2</v>
      </c>
      <c r="X6778">
        <v>0.99646009999999996</v>
      </c>
      <c r="Y6778">
        <v>0.328708099999999</v>
      </c>
      <c r="Z6778">
        <v>-4.0266360000000001E-2</v>
      </c>
      <c r="AA6778">
        <v>0.94357279999999999</v>
      </c>
      <c r="AB6778">
        <v>31</v>
      </c>
      <c r="AC6778">
        <v>20.549600000000002</v>
      </c>
      <c r="AD6778">
        <v>3.2842060000000002</v>
      </c>
      <c r="AE6778">
        <v>-28.427050000000001</v>
      </c>
      <c r="AF6778">
        <v>11.457537556233101</v>
      </c>
      <c r="AG6778">
        <v>3.2842060000000002</v>
      </c>
      <c r="AH6778">
        <v>32.830114682784497</v>
      </c>
      <c r="AI6778">
        <v>84.604434429630302</v>
      </c>
      <c r="AJ6778">
        <v>70.7612810126613</v>
      </c>
      <c r="AK6778">
        <v>34.9267462840115</v>
      </c>
      <c r="AL6778">
        <v>86.4577920080702</v>
      </c>
      <c r="AM6778">
        <v>86.725545352820006</v>
      </c>
      <c r="AN6778">
        <v>1.0000000437308201</v>
      </c>
    </row>
    <row r="6779" spans="1:40" x14ac:dyDescent="0.25">
      <c r="A6779" t="str">
        <f>"20190312160504759"</f>
        <v>20190312160504759</v>
      </c>
      <c r="B6779" t="str">
        <f>"1552377904751880"</f>
        <v>1552377904751880</v>
      </c>
      <c r="C6779" t="s">
        <v>40</v>
      </c>
      <c r="D6779">
        <v>5.8317259999999997</v>
      </c>
      <c r="E6779">
        <v>0.61421210000000004</v>
      </c>
      <c r="F6779" t="s">
        <v>117</v>
      </c>
      <c r="G6779">
        <v>-284.44810000000001</v>
      </c>
      <c r="H6779">
        <v>4.2880949999999904</v>
      </c>
      <c r="I6779">
        <v>-17.223220000000001</v>
      </c>
      <c r="J6779">
        <v>-304.64940000000001</v>
      </c>
      <c r="K6779">
        <v>1.0482370000000001</v>
      </c>
      <c r="L6779">
        <v>11.096069999999999</v>
      </c>
      <c r="M6779">
        <v>0.81523959999999995</v>
      </c>
      <c r="N6779">
        <v>0</v>
      </c>
      <c r="O6779">
        <v>-0.57889979999999996</v>
      </c>
      <c r="P6779">
        <v>0.78156250000000005</v>
      </c>
      <c r="Q6779">
        <v>4.735603E-2</v>
      </c>
      <c r="R6779">
        <v>-0.6220272</v>
      </c>
      <c r="S6779">
        <v>1.81311</v>
      </c>
      <c r="T6779">
        <v>0.28876790000000002</v>
      </c>
      <c r="U6779">
        <v>-2.5337519999999998</v>
      </c>
      <c r="V6779">
        <v>5.6487809999999999E-2</v>
      </c>
      <c r="W6779">
        <v>6.1794300000000003E-2</v>
      </c>
      <c r="X6779">
        <v>0.99648910000000002</v>
      </c>
      <c r="Y6779">
        <v>0.32681929999999998</v>
      </c>
      <c r="Z6779">
        <v>-4.0844600000000002E-2</v>
      </c>
      <c r="AA6779">
        <v>0.94420389999999998</v>
      </c>
      <c r="AB6779">
        <v>31</v>
      </c>
      <c r="AC6779">
        <v>20.2013</v>
      </c>
      <c r="AD6779">
        <v>3.2398579999999901</v>
      </c>
      <c r="AE6779">
        <v>-28.319289999999999</v>
      </c>
      <c r="AF6779">
        <v>11.2959702686768</v>
      </c>
      <c r="AG6779">
        <v>3.2398579999999901</v>
      </c>
      <c r="AH6779">
        <v>32.584542896357199</v>
      </c>
      <c r="AI6779">
        <v>84.633134041532301</v>
      </c>
      <c r="AJ6779">
        <v>70.880280894046095</v>
      </c>
      <c r="AK6779">
        <v>34.638823016025498</v>
      </c>
      <c r="AL6779">
        <v>86.457190127682594</v>
      </c>
      <c r="AM6779">
        <v>86.755556039799202</v>
      </c>
      <c r="AN6779">
        <v>0.999999967304947</v>
      </c>
    </row>
    <row r="6780" spans="1:40" x14ac:dyDescent="0.25">
      <c r="A6780" t="str">
        <f>"20190312160504772"</f>
        <v>20190312160504772</v>
      </c>
      <c r="B6780" t="str">
        <f>"1552377904761641"</f>
        <v>1552377904761641</v>
      </c>
      <c r="C6780" t="s">
        <v>40</v>
      </c>
      <c r="D6780">
        <v>5.7478220000000002</v>
      </c>
      <c r="E6780">
        <v>0.61739750000000004</v>
      </c>
      <c r="F6780" t="s">
        <v>117</v>
      </c>
      <c r="G6780">
        <v>-285.05450000000002</v>
      </c>
      <c r="H6780">
        <v>5.6434509999999998</v>
      </c>
      <c r="I6780">
        <v>-17.19408</v>
      </c>
      <c r="J6780">
        <v>-304.51100000000002</v>
      </c>
      <c r="K6780">
        <v>1.0481769999999999</v>
      </c>
      <c r="L6780">
        <v>10.98856</v>
      </c>
      <c r="M6780">
        <v>0.81039329999999998</v>
      </c>
      <c r="N6780">
        <v>0</v>
      </c>
      <c r="O6780">
        <v>-0.58566470000000004</v>
      </c>
      <c r="P6780">
        <v>0.77650339999999995</v>
      </c>
      <c r="Q6780">
        <v>4.7677150000000001E-2</v>
      </c>
      <c r="R6780">
        <v>-0.628306699999999</v>
      </c>
      <c r="S6780">
        <v>1.774384</v>
      </c>
      <c r="T6780">
        <v>0.4161108</v>
      </c>
      <c r="U6780">
        <v>-2.5617679999999998</v>
      </c>
      <c r="V6780">
        <v>5.6256180000000003E-2</v>
      </c>
      <c r="W6780">
        <v>6.2126010000000002E-2</v>
      </c>
      <c r="X6780">
        <v>0.99648159999999997</v>
      </c>
      <c r="Y6780">
        <v>0.33413500000000002</v>
      </c>
      <c r="Z6780">
        <v>-5.9236949999999997E-2</v>
      </c>
      <c r="AA6780">
        <v>0.94066179999999999</v>
      </c>
      <c r="AB6780">
        <v>31</v>
      </c>
      <c r="AC6780">
        <v>19.456499999999899</v>
      </c>
      <c r="AD6780">
        <v>4.5952739999999999</v>
      </c>
      <c r="AE6780">
        <v>-28.182639999999999</v>
      </c>
      <c r="AF6780">
        <v>11.2430912146736</v>
      </c>
      <c r="AG6780">
        <v>4.5952739999999999</v>
      </c>
      <c r="AH6780">
        <v>31.706312200294199</v>
      </c>
      <c r="AI6780">
        <v>82.221617429733797</v>
      </c>
      <c r="AJ6780">
        <v>70.475440702400505</v>
      </c>
      <c r="AK6780">
        <v>33.9531129138268</v>
      </c>
      <c r="AL6780">
        <v>86.438148034228206</v>
      </c>
      <c r="AM6780">
        <v>86.768807466824001</v>
      </c>
      <c r="AN6780">
        <v>0.99999998902263598</v>
      </c>
    </row>
    <row r="6781" spans="1:40" x14ac:dyDescent="0.25">
      <c r="A6781" t="str">
        <f>"20190312160504785"</f>
        <v>20190312160504785</v>
      </c>
      <c r="B6781" t="str">
        <f>"1552377904782136"</f>
        <v>1552377904782136</v>
      </c>
      <c r="C6781" t="s">
        <v>40</v>
      </c>
      <c r="D6781">
        <v>5.7595280000000004</v>
      </c>
      <c r="E6781">
        <v>0.61934529999999999</v>
      </c>
      <c r="F6781" t="s">
        <v>117</v>
      </c>
      <c r="G6781">
        <v>-285.63560000000001</v>
      </c>
      <c r="H6781">
        <v>5.7797599999999996</v>
      </c>
      <c r="I6781">
        <v>-17.19408</v>
      </c>
      <c r="J6781">
        <v>-304.37259999999998</v>
      </c>
      <c r="K6781">
        <v>1.048119</v>
      </c>
      <c r="L6781">
        <v>10.879429999999999</v>
      </c>
      <c r="M6781">
        <v>0.80543989999999999</v>
      </c>
      <c r="N6781">
        <v>0</v>
      </c>
      <c r="O6781">
        <v>-0.59245819999999905</v>
      </c>
      <c r="P6781">
        <v>0.77139230000000003</v>
      </c>
      <c r="Q6781">
        <v>4.7996169999999998E-2</v>
      </c>
      <c r="R6781">
        <v>-0.6345478</v>
      </c>
      <c r="S6781">
        <v>1.737549</v>
      </c>
      <c r="T6781">
        <v>0.43556080000000003</v>
      </c>
      <c r="U6781">
        <v>-2.5943299999999998</v>
      </c>
      <c r="V6781">
        <v>5.5941539999999998E-2</v>
      </c>
      <c r="W6781">
        <v>6.245962E-2</v>
      </c>
      <c r="X6781">
        <v>0.99647850000000004</v>
      </c>
      <c r="Y6781">
        <v>0.34103129999999998</v>
      </c>
      <c r="Z6781">
        <v>-6.2484890000000001E-2</v>
      </c>
      <c r="AA6781">
        <v>0.93797299999999995</v>
      </c>
      <c r="AB6781">
        <v>31</v>
      </c>
      <c r="AC6781">
        <v>18.736999999999899</v>
      </c>
      <c r="AD6781">
        <v>4.7316409999999998</v>
      </c>
      <c r="AE6781">
        <v>-28.073509999999999</v>
      </c>
      <c r="AF6781">
        <v>11.2902465103998</v>
      </c>
      <c r="AG6781">
        <v>4.7316409999999998</v>
      </c>
      <c r="AH6781">
        <v>31.116504325669599</v>
      </c>
      <c r="AI6781">
        <v>81.865044066358905</v>
      </c>
      <c r="AJ6781">
        <v>70.057310465134194</v>
      </c>
      <c r="AK6781">
        <v>33.437926584462303</v>
      </c>
      <c r="AL6781">
        <v>86.418996543553206</v>
      </c>
      <c r="AM6781">
        <v>86.786831531666905</v>
      </c>
      <c r="AN6781">
        <v>1.0000000304951799</v>
      </c>
    </row>
    <row r="6782" spans="1:40" x14ac:dyDescent="0.25">
      <c r="A6782" t="str">
        <f>"20190312160504798"</f>
        <v>20190312160504798</v>
      </c>
      <c r="B6782" t="str">
        <f>"1552377904791896"</f>
        <v>1552377904791896</v>
      </c>
      <c r="C6782" t="s">
        <v>40</v>
      </c>
      <c r="D6782">
        <v>5.7534070000000002</v>
      </c>
      <c r="E6782">
        <v>0.62023349999999999</v>
      </c>
      <c r="F6782" t="s">
        <v>117</v>
      </c>
      <c r="G6782">
        <v>-285.86779999999999</v>
      </c>
      <c r="H6782">
        <v>5.6357860000000004</v>
      </c>
      <c r="I6782">
        <v>-17.536989999999999</v>
      </c>
      <c r="J6782">
        <v>-304.22669999999999</v>
      </c>
      <c r="K6782">
        <v>1.0480579999999999</v>
      </c>
      <c r="L6782">
        <v>10.761659999999999</v>
      </c>
      <c r="M6782">
        <v>0.80006650000000001</v>
      </c>
      <c r="N6782">
        <v>0</v>
      </c>
      <c r="O6782">
        <v>-0.59969410000000001</v>
      </c>
      <c r="P6782">
        <v>0.76624349999999997</v>
      </c>
      <c r="Q6782">
        <v>4.8328259999999998E-2</v>
      </c>
      <c r="R6782">
        <v>-0.64073040000000003</v>
      </c>
      <c r="S6782">
        <v>1.7067570000000001</v>
      </c>
      <c r="T6782">
        <v>0.42313719999999999</v>
      </c>
      <c r="U6782">
        <v>-2.6209410000000002</v>
      </c>
      <c r="V6782">
        <v>5.5003290000000003E-2</v>
      </c>
      <c r="W6782">
        <v>6.2825599999999995E-2</v>
      </c>
      <c r="X6782">
        <v>0.9965077</v>
      </c>
      <c r="Y6782">
        <v>0.34460639999999998</v>
      </c>
      <c r="Z6782">
        <v>-6.151094E-2</v>
      </c>
      <c r="AA6782">
        <v>0.93672979999999995</v>
      </c>
      <c r="AB6782">
        <v>31</v>
      </c>
      <c r="AC6782">
        <v>18.358899999999998</v>
      </c>
      <c r="AD6782">
        <v>4.5877280000000003</v>
      </c>
      <c r="AE6782">
        <v>-28.298649999999999</v>
      </c>
      <c r="AF6782">
        <v>11.421331198355899</v>
      </c>
      <c r="AG6782">
        <v>4.5877280000000003</v>
      </c>
      <c r="AH6782">
        <v>31.087960513473298</v>
      </c>
      <c r="AI6782">
        <v>82.113573086392606</v>
      </c>
      <c r="AJ6782">
        <v>69.827293905592697</v>
      </c>
      <c r="AK6782">
        <v>33.435839206333704</v>
      </c>
      <c r="AL6782">
        <v>86.397986086215994</v>
      </c>
      <c r="AM6782">
        <v>86.840704993448696</v>
      </c>
      <c r="AN6782">
        <v>1.00000000704273</v>
      </c>
    </row>
    <row r="6783" spans="1:40" x14ac:dyDescent="0.25">
      <c r="A6783" t="str">
        <f>"20190312160504811"</f>
        <v>20190312160504811</v>
      </c>
      <c r="B6783" t="str">
        <f>"1552377904801657"</f>
        <v>1552377904801657</v>
      </c>
      <c r="C6783" t="s">
        <v>40</v>
      </c>
      <c r="D6783">
        <v>5.8454670000000002</v>
      </c>
      <c r="E6783">
        <v>0.6214229</v>
      </c>
      <c r="F6783" t="s">
        <v>117</v>
      </c>
      <c r="G6783">
        <v>-282.32900000000001</v>
      </c>
      <c r="H6783">
        <v>6.4718289999999996</v>
      </c>
      <c r="I6783">
        <v>-23.63673</v>
      </c>
      <c r="J6783">
        <v>-304.09350000000001</v>
      </c>
      <c r="K6783">
        <v>1.0480039999999999</v>
      </c>
      <c r="L6783">
        <v>10.65268</v>
      </c>
      <c r="M6783">
        <v>0.79505439999999905</v>
      </c>
      <c r="N6783">
        <v>0</v>
      </c>
      <c r="O6783">
        <v>-0.60632319999999995</v>
      </c>
      <c r="P6783">
        <v>0.76115440000000001</v>
      </c>
      <c r="Q6783">
        <v>4.8228930000000003E-2</v>
      </c>
      <c r="R6783">
        <v>-0.64677510000000005</v>
      </c>
      <c r="S6783">
        <v>1.680939</v>
      </c>
      <c r="T6783">
        <v>0.41634559999999998</v>
      </c>
      <c r="U6783">
        <v>-2.640533</v>
      </c>
      <c r="V6783">
        <v>5.4609030000000003E-2</v>
      </c>
      <c r="W6783">
        <v>6.2743740000000006E-2</v>
      </c>
      <c r="X6783">
        <v>0.99653449999999999</v>
      </c>
      <c r="Y6783">
        <v>0.34645939999999997</v>
      </c>
      <c r="Z6783">
        <v>-6.1372780000000002E-2</v>
      </c>
      <c r="AA6783">
        <v>0.93605510000000003</v>
      </c>
      <c r="AB6783">
        <v>30</v>
      </c>
      <c r="AC6783">
        <v>21.764500000000002</v>
      </c>
      <c r="AD6783">
        <v>5.4238249999999999</v>
      </c>
      <c r="AE6783">
        <v>-34.289409999999997</v>
      </c>
      <c r="AF6783">
        <v>13.820963374678</v>
      </c>
      <c r="AG6783">
        <v>5.4238249999999999</v>
      </c>
      <c r="AH6783">
        <v>37.431800591785702</v>
      </c>
      <c r="AI6783">
        <v>82.259277168378702</v>
      </c>
      <c r="AJ6783">
        <v>69.734314856415295</v>
      </c>
      <c r="AK6783">
        <v>40.268804325159998</v>
      </c>
      <c r="AL6783">
        <v>86.402685443888998</v>
      </c>
      <c r="AM6783">
        <v>86.863389418732893</v>
      </c>
      <c r="AN6783">
        <v>0.99999996637848798</v>
      </c>
    </row>
    <row r="6784" spans="1:40" x14ac:dyDescent="0.25">
      <c r="A6784" t="str">
        <f>"20190312160504823"</f>
        <v>20190312160504823</v>
      </c>
      <c r="B6784" t="str">
        <f>"1552377904812393"</f>
        <v>1552377904812393</v>
      </c>
      <c r="C6784" t="s">
        <v>40</v>
      </c>
      <c r="D6784">
        <v>5.7261470000000001</v>
      </c>
      <c r="E6784">
        <v>0.62204729999999997</v>
      </c>
      <c r="F6784" t="s">
        <v>49</v>
      </c>
      <c r="G6784">
        <v>-303.66219999999998</v>
      </c>
      <c r="H6784">
        <v>1.155402</v>
      </c>
      <c r="I6784">
        <v>9.9588450000000002</v>
      </c>
      <c r="J6784">
        <v>-303.96100000000001</v>
      </c>
      <c r="K6784">
        <v>1.0479529999999999</v>
      </c>
      <c r="L6784">
        <v>10.542109999999999</v>
      </c>
      <c r="M6784">
        <v>0.78994160000000002</v>
      </c>
      <c r="N6784">
        <v>0</v>
      </c>
      <c r="O6784">
        <v>-0.61296879999999998</v>
      </c>
      <c r="P6784">
        <v>0.75570680000000001</v>
      </c>
      <c r="Q6784">
        <v>4.8251019999999999E-2</v>
      </c>
      <c r="R6784">
        <v>-0.6531304</v>
      </c>
      <c r="S6784">
        <v>1.65405299999999</v>
      </c>
      <c r="T6784">
        <v>0.41187289999999999</v>
      </c>
      <c r="U6784">
        <v>-2.6611020000000001</v>
      </c>
      <c r="V6784">
        <v>5.461191E-2</v>
      </c>
      <c r="W6784">
        <v>6.2771339999999995E-2</v>
      </c>
      <c r="X6784">
        <v>0.99653259999999999</v>
      </c>
      <c r="Y6784">
        <v>0.34866170000000002</v>
      </c>
      <c r="Z6784">
        <v>-6.1522489999999999E-2</v>
      </c>
      <c r="AA6784">
        <v>0.93522720000000004</v>
      </c>
      <c r="AB6784">
        <v>30</v>
      </c>
      <c r="AC6784">
        <v>0.29880000000002799</v>
      </c>
      <c r="AD6784">
        <v>0.107448999999999</v>
      </c>
      <c r="AE6784">
        <v>-0.58326500000000003</v>
      </c>
      <c r="AF6784">
        <v>0.27035871906444697</v>
      </c>
      <c r="AG6784">
        <v>0.107448999999999</v>
      </c>
      <c r="AH6784">
        <v>0.57809504813597701</v>
      </c>
      <c r="AI6784">
        <v>80.4430286058668</v>
      </c>
      <c r="AJ6784">
        <v>64.935836423320794</v>
      </c>
      <c r="AK6784">
        <v>0.64717309064461803</v>
      </c>
      <c r="AL6784">
        <v>86.401100942471203</v>
      </c>
      <c r="AM6784">
        <v>86.863218360161397</v>
      </c>
      <c r="AN6784">
        <v>0.99999996235100097</v>
      </c>
    </row>
    <row r="6785" spans="1:40" x14ac:dyDescent="0.25">
      <c r="A6785" t="str">
        <f>"20190312160504835"</f>
        <v>20190312160504835</v>
      </c>
      <c r="B6785" t="str">
        <f>"1552377904831913"</f>
        <v>1552377904831913</v>
      </c>
      <c r="C6785" t="s">
        <v>40</v>
      </c>
      <c r="D6785">
        <v>5.7813420000000004</v>
      </c>
      <c r="E6785">
        <v>0.62237209999999998</v>
      </c>
      <c r="F6785" t="s">
        <v>117</v>
      </c>
      <c r="G6785">
        <v>-282.32900000000001</v>
      </c>
      <c r="H6785">
        <v>6.4406530000000002</v>
      </c>
      <c r="I6785">
        <v>-25.04824</v>
      </c>
      <c r="J6785">
        <v>-303.83420000000001</v>
      </c>
      <c r="K6785">
        <v>1.0479039999999999</v>
      </c>
      <c r="L6785">
        <v>10.434329999999999</v>
      </c>
      <c r="M6785">
        <v>0.78493299999999999</v>
      </c>
      <c r="N6785">
        <v>0</v>
      </c>
      <c r="O6785">
        <v>-0.61936969999999902</v>
      </c>
      <c r="P6785">
        <v>0.75060959999999999</v>
      </c>
      <c r="Q6785">
        <v>4.8113089999999997E-2</v>
      </c>
      <c r="R6785">
        <v>-0.65899229999999998</v>
      </c>
      <c r="S6785">
        <v>1.628387</v>
      </c>
      <c r="T6785">
        <v>0.40594599999999997</v>
      </c>
      <c r="U6785">
        <v>-2.679138</v>
      </c>
      <c r="V6785">
        <v>5.4265029999999999E-2</v>
      </c>
      <c r="W6785">
        <v>6.2650460000000005E-2</v>
      </c>
      <c r="X6785">
        <v>0.99655919999999998</v>
      </c>
      <c r="Y6785">
        <v>0.35037160000000001</v>
      </c>
      <c r="Z6785">
        <v>-6.145333E-2</v>
      </c>
      <c r="AA6785">
        <v>0.93459250000000005</v>
      </c>
      <c r="AB6785">
        <v>30</v>
      </c>
      <c r="AC6785">
        <v>21.505199999999999</v>
      </c>
      <c r="AD6785">
        <v>5.3927490000000002</v>
      </c>
      <c r="AE6785">
        <v>-35.482570000000003</v>
      </c>
      <c r="AF6785">
        <v>14.292226076904599</v>
      </c>
      <c r="AG6785">
        <v>5.3927490000000002</v>
      </c>
      <c r="AH6785">
        <v>38.216443419615402</v>
      </c>
      <c r="AI6785">
        <v>82.470840245291299</v>
      </c>
      <c r="AJ6785">
        <v>69.4951551519069</v>
      </c>
      <c r="AK6785">
        <v>41.156360573488797</v>
      </c>
      <c r="AL6785">
        <v>86.408040673779794</v>
      </c>
      <c r="AM6785">
        <v>86.883185965509398</v>
      </c>
      <c r="AN6785">
        <v>1.0000000063618699</v>
      </c>
    </row>
    <row r="6786" spans="1:40" x14ac:dyDescent="0.25">
      <c r="A6786" t="str">
        <f>"20190312160504848"</f>
        <v>20190312160504848</v>
      </c>
      <c r="B6786" t="str">
        <f>"1552377904841672"</f>
        <v>1552377904841672</v>
      </c>
      <c r="C6786" t="s">
        <v>40</v>
      </c>
      <c r="D6786">
        <v>5.7811629999999896</v>
      </c>
      <c r="E6786">
        <v>0.62229429999999997</v>
      </c>
      <c r="F6786" t="s">
        <v>117</v>
      </c>
      <c r="G6786">
        <v>-282.32900000000001</v>
      </c>
      <c r="H6786">
        <v>6.3867560000000001</v>
      </c>
      <c r="I6786">
        <v>-25.640830000000001</v>
      </c>
      <c r="J6786">
        <v>-303.70639999999997</v>
      </c>
      <c r="K6786">
        <v>1.0478540000000001</v>
      </c>
      <c r="L6786">
        <v>10.32452</v>
      </c>
      <c r="M6786">
        <v>0.77979119999999902</v>
      </c>
      <c r="N6786">
        <v>0</v>
      </c>
      <c r="O6786">
        <v>-0.6258302</v>
      </c>
      <c r="P6786">
        <v>0.74530369999999901</v>
      </c>
      <c r="Q6786">
        <v>4.8579499999999998E-2</v>
      </c>
      <c r="R6786">
        <v>-0.66495309999999996</v>
      </c>
      <c r="S6786">
        <v>1.605988</v>
      </c>
      <c r="T6786">
        <v>0.3986999</v>
      </c>
      <c r="U6786">
        <v>-2.694061</v>
      </c>
      <c r="V6786">
        <v>5.4017540000000003E-2</v>
      </c>
      <c r="W6786">
        <v>6.3130160000000005E-2</v>
      </c>
      <c r="X6786">
        <v>0.99654240000000005</v>
      </c>
      <c r="Y6786">
        <v>0.3506359</v>
      </c>
      <c r="Z6786">
        <v>-6.1263129999999999E-2</v>
      </c>
      <c r="AA6786">
        <v>0.9345059</v>
      </c>
      <c r="AB6786">
        <v>30</v>
      </c>
      <c r="AC6786">
        <v>21.377399999999898</v>
      </c>
      <c r="AD6786">
        <v>5.338902</v>
      </c>
      <c r="AE6786">
        <v>-35.965350000000001</v>
      </c>
      <c r="AF6786">
        <v>14.4337358956793</v>
      </c>
      <c r="AG6786">
        <v>5.338902</v>
      </c>
      <c r="AH6786">
        <v>38.555439731155403</v>
      </c>
      <c r="AI6786">
        <v>82.610904599817204</v>
      </c>
      <c r="AJ6786">
        <v>69.475951635466004</v>
      </c>
      <c r="AK6786">
        <v>41.513353747132797</v>
      </c>
      <c r="AL6786">
        <v>86.380501470560404</v>
      </c>
      <c r="AM6786">
        <v>86.897320980225601</v>
      </c>
      <c r="AN6786">
        <v>1.00000003336351</v>
      </c>
    </row>
    <row r="6787" spans="1:40" x14ac:dyDescent="0.25">
      <c r="A6787" t="str">
        <f>"20190312160504866"</f>
        <v>20190312160504866</v>
      </c>
      <c r="B6787" t="str">
        <f>"1552377904862169"</f>
        <v>1552377904862169</v>
      </c>
      <c r="C6787" t="s">
        <v>40</v>
      </c>
      <c r="D6787">
        <v>5.7995809999999999</v>
      </c>
      <c r="E6787">
        <v>0.62210109999999996</v>
      </c>
      <c r="F6787" t="s">
        <v>49</v>
      </c>
      <c r="G6787">
        <v>-303.29050000000001</v>
      </c>
      <c r="H6787">
        <v>1.15123</v>
      </c>
      <c r="I6787">
        <v>9.6138530000000006</v>
      </c>
      <c r="J6787">
        <v>-303.51729999999998</v>
      </c>
      <c r="K6787">
        <v>1.047782</v>
      </c>
      <c r="L6787">
        <v>10.15765</v>
      </c>
      <c r="M6787">
        <v>0.77193509999999999</v>
      </c>
      <c r="N6787">
        <v>0</v>
      </c>
      <c r="O6787">
        <v>-0.63549500000000003</v>
      </c>
      <c r="P6787">
        <v>0.73768420000000001</v>
      </c>
      <c r="Q6787">
        <v>4.9261180000000002E-2</v>
      </c>
      <c r="R6787">
        <v>-0.67334649999999996</v>
      </c>
      <c r="S6787">
        <v>1.584625</v>
      </c>
      <c r="T6787">
        <v>0.39378429999999998</v>
      </c>
      <c r="U6787">
        <v>-2.7067260000000002</v>
      </c>
      <c r="V6787">
        <v>5.2943379999999998E-2</v>
      </c>
      <c r="W6787">
        <v>6.385586E-2</v>
      </c>
      <c r="X6787">
        <v>0.99655380000000005</v>
      </c>
      <c r="Y6787">
        <v>0.34640029999999999</v>
      </c>
      <c r="Z6787">
        <v>-6.2121389999999999E-2</v>
      </c>
      <c r="AA6787">
        <v>0.93602759999999996</v>
      </c>
      <c r="AB6787">
        <v>30</v>
      </c>
      <c r="AC6787">
        <v>0.226799999999968</v>
      </c>
      <c r="AD6787">
        <v>0.103447999999999</v>
      </c>
      <c r="AE6787">
        <v>-0.54379699999999898</v>
      </c>
      <c r="AF6787">
        <v>0.26743774274496801</v>
      </c>
      <c r="AG6787">
        <v>0.103447999999999</v>
      </c>
      <c r="AH6787">
        <v>0.50515145541819995</v>
      </c>
      <c r="AI6787">
        <v>79.741270494485207</v>
      </c>
      <c r="AJ6787">
        <v>62.102319736128798</v>
      </c>
      <c r="AK6787">
        <v>0.580863519133066</v>
      </c>
      <c r="AL6787">
        <v>86.338837825304296</v>
      </c>
      <c r="AM6787">
        <v>86.958936711857106</v>
      </c>
      <c r="AN6787">
        <v>1.0000000243183</v>
      </c>
    </row>
    <row r="6788" spans="1:40" x14ac:dyDescent="0.25">
      <c r="A6788" t="str">
        <f>"20190312160504889"</f>
        <v>20190312160504889</v>
      </c>
      <c r="B6788" t="str">
        <f>"1552377904881689"</f>
        <v>1552377904881689</v>
      </c>
      <c r="C6788" t="s">
        <v>40</v>
      </c>
      <c r="D6788">
        <v>5.8321610000000002</v>
      </c>
      <c r="E6788">
        <v>0.62168880000000004</v>
      </c>
      <c r="F6788" t="s">
        <v>117</v>
      </c>
      <c r="G6788">
        <v>-282.32900000000001</v>
      </c>
      <c r="H6788">
        <v>6.308287</v>
      </c>
      <c r="I6788">
        <v>-26.960509999999999</v>
      </c>
      <c r="J6788">
        <v>-303.2903</v>
      </c>
      <c r="K6788">
        <v>1.0477000000000001</v>
      </c>
      <c r="L6788">
        <v>9.9515689999999992</v>
      </c>
      <c r="M6788">
        <v>0.76214709999999997</v>
      </c>
      <c r="N6788">
        <v>0</v>
      </c>
      <c r="O6788">
        <v>-0.64720029999999995</v>
      </c>
      <c r="P6788">
        <v>0.72783019999999998</v>
      </c>
      <c r="Q6788">
        <v>4.994933E-2</v>
      </c>
      <c r="R6788">
        <v>-0.68393590000000004</v>
      </c>
      <c r="S6788">
        <v>1.55481</v>
      </c>
      <c r="T6788">
        <v>0.38601819999999998</v>
      </c>
      <c r="U6788">
        <v>-2.7237550000000001</v>
      </c>
      <c r="V6788">
        <v>5.2199669999999997E-2</v>
      </c>
      <c r="W6788">
        <v>6.4580579999999999E-2</v>
      </c>
      <c r="X6788">
        <v>0.9965463</v>
      </c>
      <c r="Y6788">
        <v>0.34234910000000002</v>
      </c>
      <c r="Z6788">
        <v>-6.2764E-2</v>
      </c>
      <c r="AA6788">
        <v>0.93747409999999998</v>
      </c>
      <c r="AB6788">
        <v>30</v>
      </c>
      <c r="AC6788">
        <v>20.961299999999898</v>
      </c>
      <c r="AD6788">
        <v>5.2605870000000001</v>
      </c>
      <c r="AE6788">
        <v>-36.912078999999999</v>
      </c>
      <c r="AF6788">
        <v>14.347835959074899</v>
      </c>
      <c r="AG6788">
        <v>5.2605870000000001</v>
      </c>
      <c r="AH6788">
        <v>39.267278667806202</v>
      </c>
      <c r="AI6788">
        <v>82.828055382623404</v>
      </c>
      <c r="AJ6788">
        <v>69.928247003199203</v>
      </c>
      <c r="AK6788">
        <v>42.136128752749002</v>
      </c>
      <c r="AL6788">
        <v>86.297228423346695</v>
      </c>
      <c r="AM6788">
        <v>87.001554320736602</v>
      </c>
      <c r="AN6788">
        <v>0.99999999245246696</v>
      </c>
    </row>
    <row r="6789" spans="1:40" x14ac:dyDescent="0.25">
      <c r="A6789" t="str">
        <f>"20190312160504909"</f>
        <v>20190312160504909</v>
      </c>
      <c r="B6789" t="str">
        <f>"1552377904902184"</f>
        <v>1552377904902184</v>
      </c>
      <c r="C6789" t="s">
        <v>40</v>
      </c>
      <c r="D6789">
        <v>4.0395580000000004</v>
      </c>
      <c r="E6789">
        <v>0.62146000000000001</v>
      </c>
      <c r="F6789" t="s">
        <v>49</v>
      </c>
      <c r="G6789">
        <v>-302.8886</v>
      </c>
      <c r="H6789">
        <v>1.148064</v>
      </c>
      <c r="I6789">
        <v>9.2249649999999992</v>
      </c>
      <c r="J6789">
        <v>-303.06869999999998</v>
      </c>
      <c r="K6789">
        <v>1.0476299999999901</v>
      </c>
      <c r="L6789">
        <v>9.7439579999999992</v>
      </c>
      <c r="M6789">
        <v>0.75219349999999996</v>
      </c>
      <c r="N6789">
        <v>0</v>
      </c>
      <c r="O6789">
        <v>-0.65874180000000004</v>
      </c>
      <c r="P6789">
        <v>0.71755669999999905</v>
      </c>
      <c r="Q6789">
        <v>5.0818309999999998E-2</v>
      </c>
      <c r="R6789">
        <v>-0.69464389999999998</v>
      </c>
      <c r="S6789">
        <v>1.5174259999999999</v>
      </c>
      <c r="T6789">
        <v>0.37904979999999999</v>
      </c>
      <c r="U6789">
        <v>-2.7438660000000001</v>
      </c>
      <c r="V6789">
        <v>5.1852490000000001E-2</v>
      </c>
      <c r="W6789">
        <v>6.5473729999999994E-2</v>
      </c>
      <c r="X6789">
        <v>0.99650620000000001</v>
      </c>
      <c r="Y6789">
        <v>0.34072629999999998</v>
      </c>
      <c r="Z6789">
        <v>-6.3334189999999999E-2</v>
      </c>
      <c r="AA6789">
        <v>0.93802680000000005</v>
      </c>
      <c r="AB6789">
        <v>30</v>
      </c>
      <c r="AC6789">
        <v>0.180099999999981</v>
      </c>
      <c r="AD6789">
        <v>0.100434</v>
      </c>
      <c r="AE6789">
        <v>-0.51899300000000104</v>
      </c>
      <c r="AF6789">
        <v>0.26298953050451301</v>
      </c>
      <c r="AG6789">
        <v>0.100434</v>
      </c>
      <c r="AH6789">
        <v>0.46197451121183097</v>
      </c>
      <c r="AI6789">
        <v>79.301068238906495</v>
      </c>
      <c r="AJ6789">
        <v>60.3483170327927</v>
      </c>
      <c r="AK6789">
        <v>0.54099069356172402</v>
      </c>
      <c r="AL6789">
        <v>86.245946366671703</v>
      </c>
      <c r="AM6789">
        <v>87.021341310191303</v>
      </c>
      <c r="AN6789">
        <v>1.00000004833887</v>
      </c>
    </row>
    <row r="6790" spans="1:40" x14ac:dyDescent="0.25">
      <c r="A6790" t="str">
        <f>"20190312160504923"</f>
        <v>20190312160504923</v>
      </c>
      <c r="B6790" t="str">
        <f>"1552377904911945"</f>
        <v>1552377904911945</v>
      </c>
      <c r="C6790" t="s">
        <v>40</v>
      </c>
      <c r="D6790">
        <v>5.8936099999999998</v>
      </c>
      <c r="E6790">
        <v>0.6214094</v>
      </c>
      <c r="F6790" t="s">
        <v>49</v>
      </c>
      <c r="G6790">
        <v>-302.67919999999998</v>
      </c>
      <c r="H6790">
        <v>1.1470899999999999</v>
      </c>
      <c r="I6790">
        <v>9.0147659999999998</v>
      </c>
      <c r="J6790">
        <v>-302.9384</v>
      </c>
      <c r="K6790">
        <v>1.04759</v>
      </c>
      <c r="L6790">
        <v>9.618805</v>
      </c>
      <c r="M6790">
        <v>0.74615330000000002</v>
      </c>
      <c r="N6790">
        <v>0</v>
      </c>
      <c r="O6790">
        <v>-0.66557559999999905</v>
      </c>
      <c r="P6790">
        <v>0.71134259999999905</v>
      </c>
      <c r="Q6790">
        <v>5.0964469999999998E-2</v>
      </c>
      <c r="R6790">
        <v>-0.70099549999999999</v>
      </c>
      <c r="S6790">
        <v>1.477295</v>
      </c>
      <c r="T6790">
        <v>0.37716450000000001</v>
      </c>
      <c r="U6790">
        <v>-2.7651059999999998</v>
      </c>
      <c r="V6790">
        <v>5.1639549999999999E-2</v>
      </c>
      <c r="W6790">
        <v>6.5635509999999994E-2</v>
      </c>
      <c r="X6790">
        <v>0.99650660000000002</v>
      </c>
      <c r="Y6790">
        <v>0.34572649999999999</v>
      </c>
      <c r="Z6790">
        <v>-6.3729960000000002E-2</v>
      </c>
      <c r="AA6790">
        <v>0.93616860000000002</v>
      </c>
      <c r="AB6790">
        <v>30</v>
      </c>
      <c r="AC6790">
        <v>0.25920000000002102</v>
      </c>
      <c r="AD6790">
        <v>9.9499999999999894E-2</v>
      </c>
      <c r="AE6790">
        <v>-0.60403899999999999</v>
      </c>
      <c r="AF6790">
        <v>0.271992644580624</v>
      </c>
      <c r="AG6790">
        <v>9.9499999999999894E-2</v>
      </c>
      <c r="AH6790">
        <v>0.58217490907844105</v>
      </c>
      <c r="AI6790">
        <v>81.197950804726204</v>
      </c>
      <c r="AJ6790">
        <v>64.957976031084101</v>
      </c>
      <c r="AK6790">
        <v>0.65023678261572804</v>
      </c>
      <c r="AL6790">
        <v>86.236657018812295</v>
      </c>
      <c r="AM6790">
        <v>87.033552912938603</v>
      </c>
      <c r="AN6790">
        <v>1.00000003357036</v>
      </c>
    </row>
    <row r="6791" spans="1:40" x14ac:dyDescent="0.25">
      <c r="A6791" t="str">
        <f>"20190312160504936"</f>
        <v>20190312160504936</v>
      </c>
      <c r="B6791" t="str">
        <f>"1552377904931465"</f>
        <v>1552377904931465</v>
      </c>
      <c r="C6791" t="s">
        <v>40</v>
      </c>
      <c r="D6791">
        <v>5.6576250000000003</v>
      </c>
      <c r="E6791">
        <v>0.62216179999999999</v>
      </c>
      <c r="F6791" t="s">
        <v>117</v>
      </c>
      <c r="G6791">
        <v>-282.98149999999998</v>
      </c>
      <c r="H6791">
        <v>6.2765409999999999</v>
      </c>
      <c r="I6791">
        <v>-28.53312</v>
      </c>
      <c r="J6791">
        <v>-302.81959999999998</v>
      </c>
      <c r="K6791">
        <v>1.0475540000000001</v>
      </c>
      <c r="L6791">
        <v>9.5025019999999998</v>
      </c>
      <c r="M6791">
        <v>0.7405138</v>
      </c>
      <c r="N6791">
        <v>0</v>
      </c>
      <c r="O6791">
        <v>-0.67184390000000005</v>
      </c>
      <c r="P6791">
        <v>0.70561949999999996</v>
      </c>
      <c r="Q6791">
        <v>5.1372019999999997E-2</v>
      </c>
      <c r="R6791">
        <v>-0.70672650000000004</v>
      </c>
      <c r="S6791">
        <v>1.4529110000000001</v>
      </c>
      <c r="T6791">
        <v>0.3806851</v>
      </c>
      <c r="U6791">
        <v>-2.7775569999999998</v>
      </c>
      <c r="V6791">
        <v>5.1334659999999997E-2</v>
      </c>
      <c r="W6791">
        <v>6.6060389999999997E-2</v>
      </c>
      <c r="X6791">
        <v>0.9964942</v>
      </c>
      <c r="Y6791">
        <v>0.3460355</v>
      </c>
      <c r="Z6791">
        <v>-6.5187679999999998E-2</v>
      </c>
      <c r="AA6791">
        <v>0.93595399999999995</v>
      </c>
      <c r="AB6791">
        <v>30</v>
      </c>
      <c r="AC6791">
        <v>19.838100000000001</v>
      </c>
      <c r="AD6791">
        <v>5.2289870000000001</v>
      </c>
      <c r="AE6791">
        <v>-38.035621999999996</v>
      </c>
      <c r="AF6791">
        <v>14.6225044384604</v>
      </c>
      <c r="AG6791">
        <v>5.2289870000000001</v>
      </c>
      <c r="AH6791">
        <v>39.660453191703098</v>
      </c>
      <c r="AI6791">
        <v>82.948114766676397</v>
      </c>
      <c r="AJ6791">
        <v>69.761456890858099</v>
      </c>
      <c r="AK6791">
        <v>42.592387682193099</v>
      </c>
      <c r="AL6791">
        <v>86.212259947349693</v>
      </c>
      <c r="AM6791">
        <v>87.050999758964096</v>
      </c>
      <c r="AN6791">
        <v>0.99999995653895202</v>
      </c>
    </row>
    <row r="6792" spans="1:40" x14ac:dyDescent="0.25">
      <c r="A6792" t="str">
        <f>"20190312160504948"</f>
        <v>20190312160504948</v>
      </c>
      <c r="B6792" t="str">
        <f>"1552377904942200"</f>
        <v>1552377904942200</v>
      </c>
      <c r="C6792" t="s">
        <v>40</v>
      </c>
      <c r="D6792">
        <v>5.4963129999999998</v>
      </c>
      <c r="E6792">
        <v>0.62216179999999999</v>
      </c>
      <c r="F6792" t="s">
        <v>117</v>
      </c>
      <c r="G6792">
        <v>-283.36840000000001</v>
      </c>
      <c r="H6792">
        <v>6.3087119999999999</v>
      </c>
      <c r="I6792">
        <v>-28.593229999999998</v>
      </c>
      <c r="J6792">
        <v>-302.702</v>
      </c>
      <c r="K6792">
        <v>1.0475209999999999</v>
      </c>
      <c r="L6792">
        <v>9.386139</v>
      </c>
      <c r="M6792">
        <v>0.73483609999999999</v>
      </c>
      <c r="N6792">
        <v>0</v>
      </c>
      <c r="O6792">
        <v>-0.67804909999999996</v>
      </c>
      <c r="P6792">
        <v>0.69959309999999997</v>
      </c>
      <c r="Q6792">
        <v>5.139225E-2</v>
      </c>
      <c r="R6792">
        <v>-0.71269099999999996</v>
      </c>
      <c r="S6792">
        <v>1.426086</v>
      </c>
      <c r="T6792">
        <v>0.38572650000000003</v>
      </c>
      <c r="U6792">
        <v>-2.7930299999999999</v>
      </c>
      <c r="V6792">
        <v>5.1419079999999999E-2</v>
      </c>
      <c r="W6792">
        <v>6.6085610000000003E-2</v>
      </c>
      <c r="X6792">
        <v>0.99648820000000005</v>
      </c>
      <c r="Y6792">
        <v>0.34742830000000002</v>
      </c>
      <c r="Z6792">
        <v>-6.6823450000000006E-2</v>
      </c>
      <c r="AA6792">
        <v>0.93532249999999995</v>
      </c>
      <c r="AB6792">
        <v>30</v>
      </c>
      <c r="AC6792">
        <v>19.333599999999901</v>
      </c>
      <c r="AD6792">
        <v>5.2611910000000002</v>
      </c>
      <c r="AE6792">
        <v>-37.979368999999998</v>
      </c>
      <c r="AF6792">
        <v>14.5792498093377</v>
      </c>
      <c r="AG6792">
        <v>5.2611910000000002</v>
      </c>
      <c r="AH6792">
        <v>39.364274588893402</v>
      </c>
      <c r="AI6792">
        <v>82.856145077488705</v>
      </c>
      <c r="AJ6792">
        <v>69.677005436407498</v>
      </c>
      <c r="AK6792">
        <v>42.305800661981898</v>
      </c>
      <c r="AL6792">
        <v>86.210811876723994</v>
      </c>
      <c r="AM6792">
        <v>87.046140946799198</v>
      </c>
      <c r="AN6792">
        <v>0.99999998118817901</v>
      </c>
    </row>
    <row r="6793" spans="1:40" x14ac:dyDescent="0.25">
      <c r="A6793" t="str">
        <f>"20190312160504959"</f>
        <v>20190312160504959</v>
      </c>
      <c r="B6793" t="str">
        <f>"1552377904951961"</f>
        <v>1552377904951961</v>
      </c>
      <c r="C6793" t="s">
        <v>40</v>
      </c>
      <c r="D6793">
        <v>5.5916100000000002</v>
      </c>
      <c r="E6793">
        <v>0.65529469999999901</v>
      </c>
      <c r="F6793" t="s">
        <v>49</v>
      </c>
      <c r="G6793">
        <v>-302.32940000000002</v>
      </c>
      <c r="H6793">
        <v>1.150021</v>
      </c>
      <c r="I6793">
        <v>8.6410110000000007</v>
      </c>
      <c r="J6793">
        <v>-302.58229999999998</v>
      </c>
      <c r="K6793">
        <v>1.0474859999999999</v>
      </c>
      <c r="L6793">
        <v>9.2644350000000006</v>
      </c>
      <c r="M6793">
        <v>0.72888390000000003</v>
      </c>
      <c r="N6793">
        <v>0</v>
      </c>
      <c r="O6793">
        <v>-0.68444340000000004</v>
      </c>
      <c r="P6793">
        <v>0.69341249999999999</v>
      </c>
      <c r="Q6793">
        <v>5.1482739999999999E-2</v>
      </c>
      <c r="R6793">
        <v>-0.71869959999999999</v>
      </c>
      <c r="S6793">
        <v>1.4024350000000001</v>
      </c>
      <c r="T6793">
        <v>0.38582689999999997</v>
      </c>
      <c r="U6793">
        <v>-2.8049010000000001</v>
      </c>
      <c r="V6793">
        <v>5.1322130000000001E-2</v>
      </c>
      <c r="W6793">
        <v>6.6186960000000003E-2</v>
      </c>
      <c r="X6793">
        <v>0.99648650000000005</v>
      </c>
      <c r="Y6793">
        <v>0.34715559999999901</v>
      </c>
      <c r="Z6793">
        <v>-6.7766030000000005E-2</v>
      </c>
      <c r="AA6793">
        <v>0.93535599999999997</v>
      </c>
      <c r="AB6793">
        <v>30</v>
      </c>
      <c r="AC6793">
        <v>0.25289999999995399</v>
      </c>
      <c r="AD6793">
        <v>0.102534999999999</v>
      </c>
      <c r="AE6793">
        <v>-0.62342399999999998</v>
      </c>
      <c r="AF6793">
        <v>0.27495855430577798</v>
      </c>
      <c r="AG6793">
        <v>0.102534999999999</v>
      </c>
      <c r="AH6793">
        <v>0.59724149872974097</v>
      </c>
      <c r="AI6793">
        <v>81.136234538390397</v>
      </c>
      <c r="AJ6793">
        <v>65.279561794095301</v>
      </c>
      <c r="AK6793">
        <v>0.665441988918546</v>
      </c>
      <c r="AL6793">
        <v>86.2049923161008</v>
      </c>
      <c r="AM6793">
        <v>87.051695552787805</v>
      </c>
      <c r="AN6793">
        <v>1.0000000096920101</v>
      </c>
    </row>
    <row r="6794" spans="1:40" x14ac:dyDescent="0.25">
      <c r="A6794" t="str">
        <f>"20190312160504971"</f>
        <v>20190312160504971</v>
      </c>
      <c r="B6794" t="str">
        <f>"1552377904961720"</f>
        <v>1552377904961720</v>
      </c>
      <c r="C6794" t="s">
        <v>40</v>
      </c>
      <c r="D6794">
        <v>5.3204029999999998</v>
      </c>
      <c r="E6794">
        <v>0.6562846</v>
      </c>
      <c r="F6794" t="s">
        <v>49</v>
      </c>
      <c r="G6794">
        <v>-302.33780000000002</v>
      </c>
      <c r="H6794">
        <v>1.1725190000000001</v>
      </c>
      <c r="I6794">
        <v>8.6499050000000004</v>
      </c>
      <c r="J6794">
        <v>-302.46879999999999</v>
      </c>
      <c r="K6794">
        <v>1.0474509999999999</v>
      </c>
      <c r="L6794">
        <v>9.1476749999999996</v>
      </c>
      <c r="M6794">
        <v>0.72313640000000001</v>
      </c>
      <c r="N6794">
        <v>0</v>
      </c>
      <c r="O6794">
        <v>-0.69051249999999997</v>
      </c>
      <c r="P6794">
        <v>0.68742499999999995</v>
      </c>
      <c r="Q6794">
        <v>5.1643130000000002E-2</v>
      </c>
      <c r="R6794">
        <v>-0.72441719999999998</v>
      </c>
      <c r="S6794">
        <v>1.1875610000000001</v>
      </c>
      <c r="T6794">
        <v>0.6072843</v>
      </c>
      <c r="U6794">
        <v>-2.9849549999999998</v>
      </c>
      <c r="V6794">
        <v>5.1262559999999999E-2</v>
      </c>
      <c r="W6794">
        <v>6.6356810000000002E-2</v>
      </c>
      <c r="X6794">
        <v>0.99647830000000004</v>
      </c>
      <c r="Y6794">
        <v>0.41855890000000001</v>
      </c>
      <c r="Z6794">
        <v>-9.9223839999999994E-2</v>
      </c>
      <c r="AA6794">
        <v>0.90275309999999998</v>
      </c>
      <c r="AB6794">
        <v>30</v>
      </c>
      <c r="AC6794">
        <v>0.130999999999971</v>
      </c>
      <c r="AD6794">
        <v>0.12506799999999901</v>
      </c>
      <c r="AE6794">
        <v>-0.49776999999999899</v>
      </c>
      <c r="AF6794">
        <v>0.25450801939055701</v>
      </c>
      <c r="AG6794">
        <v>0.12506799999999901</v>
      </c>
      <c r="AH6794">
        <v>0.41405930205595398</v>
      </c>
      <c r="AI6794">
        <v>75.569234510476207</v>
      </c>
      <c r="AJ6794">
        <v>58.422387091077503</v>
      </c>
      <c r="AK6794">
        <v>0.50185799005014198</v>
      </c>
      <c r="AL6794">
        <v>86.195239299710096</v>
      </c>
      <c r="AM6794">
        <v>87.055087454941201</v>
      </c>
      <c r="AN6794">
        <v>1.000000039331</v>
      </c>
    </row>
    <row r="6795" spans="1:40" x14ac:dyDescent="0.25">
      <c r="A6795" t="str">
        <f>"20190312160504985"</f>
        <v>20190312160504985</v>
      </c>
      <c r="B6795" t="str">
        <f>"1552377904982217"</f>
        <v>1552377904982217</v>
      </c>
      <c r="C6795" t="s">
        <v>40</v>
      </c>
      <c r="D6795">
        <v>4.9745330000000001</v>
      </c>
      <c r="E6795">
        <v>0.6551129</v>
      </c>
      <c r="F6795" t="s">
        <v>49</v>
      </c>
      <c r="G6795">
        <v>-302.20370000000003</v>
      </c>
      <c r="H6795">
        <v>1.1871100000000001</v>
      </c>
      <c r="I6795">
        <v>8.4601249999999997</v>
      </c>
      <c r="J6795">
        <v>-302.33969999999999</v>
      </c>
      <c r="K6795">
        <v>1.0474139999999901</v>
      </c>
      <c r="L6795">
        <v>9.0125729999999997</v>
      </c>
      <c r="M6795">
        <v>0.71645419999999904</v>
      </c>
      <c r="N6795">
        <v>0</v>
      </c>
      <c r="O6795">
        <v>-0.69744289999999998</v>
      </c>
      <c r="P6795">
        <v>0.68024640000000003</v>
      </c>
      <c r="Q6795">
        <v>5.15824E-2</v>
      </c>
      <c r="R6795">
        <v>-0.73116639999999999</v>
      </c>
      <c r="S6795">
        <v>1.1571039999999999</v>
      </c>
      <c r="T6795">
        <v>0.60941339999999999</v>
      </c>
      <c r="U6795">
        <v>-2.9998170000000002</v>
      </c>
      <c r="V6795">
        <v>5.1504170000000002E-2</v>
      </c>
      <c r="W6795">
        <v>6.6297809999999999E-2</v>
      </c>
      <c r="X6795">
        <v>0.99646970000000001</v>
      </c>
      <c r="Y6795">
        <v>0.41936420000000002</v>
      </c>
      <c r="Z6795">
        <v>-0.1009784</v>
      </c>
      <c r="AA6795">
        <v>0.9021846</v>
      </c>
      <c r="AB6795">
        <v>30</v>
      </c>
      <c r="AC6795">
        <v>0.13599999999996701</v>
      </c>
      <c r="AD6795">
        <v>0.13969599999999999</v>
      </c>
      <c r="AE6795">
        <v>-0.55244799999999905</v>
      </c>
      <c r="AF6795">
        <v>0.283877167554138</v>
      </c>
      <c r="AG6795">
        <v>0.13969599999999999</v>
      </c>
      <c r="AH6795">
        <v>0.45535083532896298</v>
      </c>
      <c r="AI6795">
        <v>75.407566009177103</v>
      </c>
      <c r="AJ6795">
        <v>58.059548412088702</v>
      </c>
      <c r="AK6795">
        <v>0.55447777404450105</v>
      </c>
      <c r="AL6795">
        <v>86.1986269511861</v>
      </c>
      <c r="AM6795">
        <v>87.041206648060196</v>
      </c>
      <c r="AN6795">
        <v>0.99999997107813698</v>
      </c>
    </row>
    <row r="6796" spans="1:40" x14ac:dyDescent="0.25">
      <c r="A6796" t="str">
        <f>"20190312160504999"</f>
        <v>20190312160504999</v>
      </c>
      <c r="B6796" t="str">
        <f>"1552377904992281"</f>
        <v>1552377904992281</v>
      </c>
      <c r="C6796" t="s">
        <v>40</v>
      </c>
      <c r="D6796">
        <v>5.3447659999999999</v>
      </c>
      <c r="E6796">
        <v>0.65511399999999997</v>
      </c>
      <c r="F6796" t="s">
        <v>118</v>
      </c>
      <c r="G6796">
        <v>-264.36989999999997</v>
      </c>
      <c r="H6796">
        <v>21.581440000000001</v>
      </c>
      <c r="I6796">
        <v>-91.564989999999995</v>
      </c>
      <c r="J6796">
        <v>-302.20530000000002</v>
      </c>
      <c r="K6796">
        <v>1.0473760000000001</v>
      </c>
      <c r="L6796">
        <v>8.8682859999999994</v>
      </c>
      <c r="M6796">
        <v>0.70928849999999999</v>
      </c>
      <c r="N6796">
        <v>0</v>
      </c>
      <c r="O6796">
        <v>-0.70472880000000004</v>
      </c>
      <c r="P6796">
        <v>0.67262549999999999</v>
      </c>
      <c r="Q6796">
        <v>5.1712370000000001E-2</v>
      </c>
      <c r="R6796">
        <v>-0.738174</v>
      </c>
      <c r="S6796">
        <v>1.134247</v>
      </c>
      <c r="T6796">
        <v>0.61339949999999999</v>
      </c>
      <c r="U6796">
        <v>-3.004486</v>
      </c>
      <c r="V6796">
        <v>5.1660209999999998E-2</v>
      </c>
      <c r="W6796">
        <v>6.6431970000000007E-2</v>
      </c>
      <c r="X6796">
        <v>0.99645269999999997</v>
      </c>
      <c r="Y6796">
        <v>0.4166591</v>
      </c>
      <c r="Z6796">
        <v>-0.1036049</v>
      </c>
      <c r="AA6796">
        <v>0.90313969999999999</v>
      </c>
      <c r="AB6796">
        <v>30</v>
      </c>
      <c r="AC6796">
        <v>37.8354</v>
      </c>
      <c r="AD6796">
        <v>20.534064000000001</v>
      </c>
      <c r="AE6796">
        <v>-100.43327600000001</v>
      </c>
      <c r="AF6796">
        <v>43.004190099052899</v>
      </c>
      <c r="AG6796">
        <v>20.534064000000001</v>
      </c>
      <c r="AH6796">
        <v>94.179874154857103</v>
      </c>
      <c r="AI6796">
        <v>78.781971685344004</v>
      </c>
      <c r="AJ6796">
        <v>65.457725526711002</v>
      </c>
      <c r="AK6796">
        <v>105.55025744287001</v>
      </c>
      <c r="AL6796">
        <v>86.190923213476097</v>
      </c>
      <c r="AM6796">
        <v>87.032207977201594</v>
      </c>
      <c r="AN6796">
        <v>0.99999998363630704</v>
      </c>
    </row>
    <row r="6797" spans="1:40" x14ac:dyDescent="0.25">
      <c r="A6797" t="str">
        <f>"20190312160505014"</f>
        <v>20190312160505014</v>
      </c>
      <c r="B6797" t="str">
        <f>"1552377905001736"</f>
        <v>1552377905001736</v>
      </c>
      <c r="C6797" t="s">
        <v>40</v>
      </c>
      <c r="D6797">
        <v>5.4304829999999997</v>
      </c>
      <c r="E6797">
        <v>0.65396619999999905</v>
      </c>
      <c r="F6797" t="s">
        <v>49</v>
      </c>
      <c r="G6797">
        <v>-301.97809999999998</v>
      </c>
      <c r="H6797">
        <v>1.174131</v>
      </c>
      <c r="I6797">
        <v>8.24683999999999</v>
      </c>
      <c r="J6797">
        <v>-302.077</v>
      </c>
      <c r="K6797">
        <v>1.0473399999999999</v>
      </c>
      <c r="L6797">
        <v>8.7281189999999995</v>
      </c>
      <c r="M6797">
        <v>0.70228619999999997</v>
      </c>
      <c r="N6797">
        <v>0</v>
      </c>
      <c r="O6797">
        <v>-0.71170690000000003</v>
      </c>
      <c r="P6797">
        <v>0.66536549999999905</v>
      </c>
      <c r="Q6797">
        <v>5.1536039999999998E-2</v>
      </c>
      <c r="R6797">
        <v>-0.74473699999999998</v>
      </c>
      <c r="S6797">
        <v>1.103119</v>
      </c>
      <c r="T6797">
        <v>0.61516949999999904</v>
      </c>
      <c r="U6797">
        <v>-3.0158390000000002</v>
      </c>
      <c r="V6797">
        <v>5.1574599999999998E-2</v>
      </c>
      <c r="W6797">
        <v>6.6268300000000002E-2</v>
      </c>
      <c r="X6797">
        <v>0.99646809999999997</v>
      </c>
      <c r="Y6797">
        <v>0.41705500000000001</v>
      </c>
      <c r="Z6797">
        <v>-0.1054682</v>
      </c>
      <c r="AA6797">
        <v>0.90274109999999996</v>
      </c>
      <c r="AB6797">
        <v>30</v>
      </c>
      <c r="AC6797">
        <v>9.8900000000014601E-2</v>
      </c>
      <c r="AD6797">
        <v>0.12679099999999999</v>
      </c>
      <c r="AE6797">
        <v>-0.48127900000000001</v>
      </c>
      <c r="AF6797">
        <v>0.25093347477171501</v>
      </c>
      <c r="AG6797">
        <v>0.12679099999999999</v>
      </c>
      <c r="AH6797">
        <v>0.38631536748713702</v>
      </c>
      <c r="AI6797">
        <v>74.611071707663598</v>
      </c>
      <c r="AJ6797">
        <v>56.9940185703353</v>
      </c>
      <c r="AK6797">
        <v>0.477789838316732</v>
      </c>
      <c r="AL6797">
        <v>86.200321778916106</v>
      </c>
      <c r="AM6797">
        <v>87.037163065554296</v>
      </c>
      <c r="AN6797">
        <v>1.00000005063382</v>
      </c>
    </row>
    <row r="6798" spans="1:40" x14ac:dyDescent="0.25">
      <c r="A6798" t="str">
        <f>"20190312160505027"</f>
        <v>20190312160505027</v>
      </c>
      <c r="B6798" t="str">
        <f>"1552377905022232"</f>
        <v>1552377905022232</v>
      </c>
      <c r="C6798" t="s">
        <v>40</v>
      </c>
      <c r="D6798">
        <v>5.5048059999999897</v>
      </c>
      <c r="E6798">
        <v>0.65254609999999902</v>
      </c>
      <c r="F6798" t="s">
        <v>49</v>
      </c>
      <c r="G6798">
        <v>-301.83920000000001</v>
      </c>
      <c r="H6798">
        <v>1.1825139999999901</v>
      </c>
      <c r="I6798">
        <v>8.0627859999999991</v>
      </c>
      <c r="J6798">
        <v>-301.9547</v>
      </c>
      <c r="K6798">
        <v>1.047304</v>
      </c>
      <c r="L6798">
        <v>8.5924379999999996</v>
      </c>
      <c r="M6798">
        <v>0.695465</v>
      </c>
      <c r="N6798">
        <v>0</v>
      </c>
      <c r="O6798">
        <v>-0.71837340000000005</v>
      </c>
      <c r="P6798">
        <v>0.65810449999999998</v>
      </c>
      <c r="Q6798">
        <v>5.1932510000000001E-2</v>
      </c>
      <c r="R6798">
        <v>-0.75113350000000001</v>
      </c>
      <c r="S6798">
        <v>1.080292</v>
      </c>
      <c r="T6798">
        <v>0.61382219999999998</v>
      </c>
      <c r="U6798">
        <v>-3.0206909999999998</v>
      </c>
      <c r="V6798">
        <v>5.1741870000000002E-2</v>
      </c>
      <c r="W6798">
        <v>6.6667969999999993E-2</v>
      </c>
      <c r="X6798">
        <v>0.99643269999999995</v>
      </c>
      <c r="Y6798">
        <v>0.4149525</v>
      </c>
      <c r="Z6798">
        <v>-0.1070334</v>
      </c>
      <c r="AA6798">
        <v>0.90352540000000003</v>
      </c>
      <c r="AB6798">
        <v>30</v>
      </c>
      <c r="AC6798">
        <v>0.11549999999999699</v>
      </c>
      <c r="AD6798">
        <v>0.135209999999999</v>
      </c>
      <c r="AE6798">
        <v>-0.52965200000000001</v>
      </c>
      <c r="AF6798">
        <v>0.268704459350606</v>
      </c>
      <c r="AG6798">
        <v>0.135209999999999</v>
      </c>
      <c r="AH6798">
        <v>0.43388397799566503</v>
      </c>
      <c r="AI6798">
        <v>75.161215863839701</v>
      </c>
      <c r="AJ6798">
        <v>58.230056295600399</v>
      </c>
      <c r="AK6798">
        <v>0.527957514328799</v>
      </c>
      <c r="AL6798">
        <v>86.177371361658501</v>
      </c>
      <c r="AM6798">
        <v>87.027465598874301</v>
      </c>
      <c r="AN6798">
        <v>0.99999998248215305</v>
      </c>
    </row>
    <row r="6799" spans="1:40" x14ac:dyDescent="0.25">
      <c r="A6799" t="str">
        <f>"20190312160505039"</f>
        <v>20190312160505039</v>
      </c>
      <c r="B6799" t="str">
        <f>"1552377905031993"</f>
        <v>1552377905031993</v>
      </c>
      <c r="C6799" t="s">
        <v>40</v>
      </c>
      <c r="D6799">
        <v>5.4924039999999996</v>
      </c>
      <c r="E6799">
        <v>0.65143719999999905</v>
      </c>
      <c r="F6799" t="s">
        <v>118</v>
      </c>
      <c r="G6799">
        <v>-266.87299999999999</v>
      </c>
      <c r="H6799">
        <v>21.03838</v>
      </c>
      <c r="I6799">
        <v>-91.564989999999995</v>
      </c>
      <c r="J6799">
        <v>-301.8374</v>
      </c>
      <c r="K6799">
        <v>1.047272</v>
      </c>
      <c r="L6799">
        <v>8.4584349999999997</v>
      </c>
      <c r="M6799">
        <v>0.6887143</v>
      </c>
      <c r="N6799">
        <v>0</v>
      </c>
      <c r="O6799">
        <v>-0.72484769999999998</v>
      </c>
      <c r="P6799">
        <v>0.65125829999999996</v>
      </c>
      <c r="Q6799">
        <v>5.2170469999999997E-2</v>
      </c>
      <c r="R6799">
        <v>-0.75706079999999998</v>
      </c>
      <c r="S6799">
        <v>1.0592649999999999</v>
      </c>
      <c r="T6799">
        <v>0.60361430000000005</v>
      </c>
      <c r="U6799">
        <v>-3.0241699999999998</v>
      </c>
      <c r="V6799">
        <v>5.1468060000000003E-2</v>
      </c>
      <c r="W6799">
        <v>6.6924410000000004E-2</v>
      </c>
      <c r="X6799">
        <v>0.99642969999999997</v>
      </c>
      <c r="Y6799">
        <v>0.41236460000000003</v>
      </c>
      <c r="Z6799">
        <v>-0.10707750000000001</v>
      </c>
      <c r="AA6799">
        <v>0.90470430000000002</v>
      </c>
      <c r="AB6799">
        <v>30</v>
      </c>
      <c r="AC6799">
        <v>34.964399999999998</v>
      </c>
      <c r="AD6799">
        <v>19.991107999999901</v>
      </c>
      <c r="AE6799">
        <v>-100.023425</v>
      </c>
      <c r="AF6799">
        <v>42.052633555820599</v>
      </c>
      <c r="AG6799">
        <v>19.991107999999901</v>
      </c>
      <c r="AH6799">
        <v>93.274971350274996</v>
      </c>
      <c r="AI6799">
        <v>78.944531170779001</v>
      </c>
      <c r="AJ6799">
        <v>65.731965137605599</v>
      </c>
      <c r="AK6799">
        <v>104.25108473508701</v>
      </c>
      <c r="AL6799">
        <v>86.162645581915797</v>
      </c>
      <c r="AM6799">
        <v>87.043158918345597</v>
      </c>
      <c r="AN6799">
        <v>0.99999999244805005</v>
      </c>
    </row>
    <row r="6800" spans="1:40" x14ac:dyDescent="0.25">
      <c r="A6800" t="str">
        <f>"20190312160505053"</f>
        <v>20190312160505053</v>
      </c>
      <c r="B6800" t="str">
        <f>"1552377905041752"</f>
        <v>1552377905041752</v>
      </c>
      <c r="C6800" t="s">
        <v>40</v>
      </c>
      <c r="D6800">
        <v>5.3405589999999998</v>
      </c>
      <c r="E6800">
        <v>0.65028160000000002</v>
      </c>
      <c r="F6800" t="s">
        <v>49</v>
      </c>
      <c r="G6800">
        <v>-301.61869999999999</v>
      </c>
      <c r="H6800">
        <v>1.1735690000000001</v>
      </c>
      <c r="I6800">
        <v>7.8209970000000002</v>
      </c>
      <c r="J6800">
        <v>-301.72089999999997</v>
      </c>
      <c r="K6800">
        <v>1.047234</v>
      </c>
      <c r="L6800">
        <v>8.3235779999999995</v>
      </c>
      <c r="M6800">
        <v>0.68188359999999903</v>
      </c>
      <c r="N6800">
        <v>0</v>
      </c>
      <c r="O6800">
        <v>-0.73127690000000001</v>
      </c>
      <c r="P6800">
        <v>0.64418509999999995</v>
      </c>
      <c r="Q6800">
        <v>5.2517250000000001E-2</v>
      </c>
      <c r="R6800">
        <v>-0.76306490000000005</v>
      </c>
      <c r="S6800">
        <v>1.0386959999999901</v>
      </c>
      <c r="T6800">
        <v>0.59992690000000004</v>
      </c>
      <c r="U6800">
        <v>-3.0278320000000001</v>
      </c>
      <c r="V6800">
        <v>5.1392559999999997E-2</v>
      </c>
      <c r="W6800">
        <v>6.7282179999999997E-2</v>
      </c>
      <c r="X6800">
        <v>0.99640949999999995</v>
      </c>
      <c r="Y6800">
        <v>0.4096939</v>
      </c>
      <c r="Z6800">
        <v>-0.1081918</v>
      </c>
      <c r="AA6800">
        <v>0.90578440000000005</v>
      </c>
      <c r="AB6800">
        <v>30</v>
      </c>
      <c r="AC6800">
        <v>0.102199999999982</v>
      </c>
      <c r="AD6800">
        <v>0.126335</v>
      </c>
      <c r="AE6800">
        <v>-0.50258099999999895</v>
      </c>
      <c r="AF6800">
        <v>0.25266955164148602</v>
      </c>
      <c r="AG6800">
        <v>0.126335</v>
      </c>
      <c r="AH6800">
        <v>0.41225779984934002</v>
      </c>
      <c r="AI6800">
        <v>75.3572151620357</v>
      </c>
      <c r="AJ6800">
        <v>58.496196374378002</v>
      </c>
      <c r="AK6800">
        <v>0.49975886994462398</v>
      </c>
      <c r="AL6800">
        <v>86.142100550783397</v>
      </c>
      <c r="AM6800">
        <v>87.047428964958698</v>
      </c>
      <c r="AN6800">
        <v>0.99999998932957701</v>
      </c>
    </row>
    <row r="6801" spans="1:40" x14ac:dyDescent="0.25">
      <c r="A6801" t="str">
        <f>"20190312160505069"</f>
        <v>20190312160505069</v>
      </c>
      <c r="B6801" t="str">
        <f>"1552377905062249"</f>
        <v>1552377905062249</v>
      </c>
      <c r="C6801" t="s">
        <v>40</v>
      </c>
      <c r="D6801">
        <v>5.644056</v>
      </c>
      <c r="E6801">
        <v>0.64907720000000002</v>
      </c>
      <c r="F6801" t="s">
        <v>49</v>
      </c>
      <c r="G6801">
        <v>-301.4948</v>
      </c>
      <c r="H6801">
        <v>1.179257</v>
      </c>
      <c r="I6801">
        <v>7.6490689999999999</v>
      </c>
      <c r="J6801">
        <v>-301.58109999999999</v>
      </c>
      <c r="K6801">
        <v>1.0471969999999999</v>
      </c>
      <c r="L6801">
        <v>8.1585079999999994</v>
      </c>
      <c r="M6801">
        <v>0.67347849999999998</v>
      </c>
      <c r="N6801">
        <v>0</v>
      </c>
      <c r="O6801">
        <v>-0.73902449999999997</v>
      </c>
      <c r="P6801">
        <v>0.63560839999999996</v>
      </c>
      <c r="Q6801">
        <v>5.2856649999999998E-2</v>
      </c>
      <c r="R6801">
        <v>-0.77020049999999995</v>
      </c>
      <c r="S6801">
        <v>1.017487</v>
      </c>
      <c r="T6801">
        <v>0.593503</v>
      </c>
      <c r="U6801">
        <v>-3.0317080000000001</v>
      </c>
      <c r="V6801">
        <v>5.1148689999999997E-2</v>
      </c>
      <c r="W6801">
        <v>6.7640420000000007E-2</v>
      </c>
      <c r="X6801">
        <v>0.9963978</v>
      </c>
      <c r="Y6801">
        <v>0.40534900000000001</v>
      </c>
      <c r="Z6801">
        <v>-0.1092103</v>
      </c>
      <c r="AA6801">
        <v>0.90761510000000001</v>
      </c>
      <c r="AB6801">
        <v>30</v>
      </c>
      <c r="AC6801">
        <v>8.6299999999994201E-2</v>
      </c>
      <c r="AD6801">
        <v>0.13206000000000001</v>
      </c>
      <c r="AE6801">
        <v>-0.50943899999999898</v>
      </c>
      <c r="AF6801">
        <v>0.26222644552193902</v>
      </c>
      <c r="AG6801">
        <v>0.13206000000000001</v>
      </c>
      <c r="AH6801">
        <v>0.40801464911915403</v>
      </c>
      <c r="AI6801">
        <v>74.768696541926005</v>
      </c>
      <c r="AJ6801">
        <v>57.2715990791216</v>
      </c>
      <c r="AK6801">
        <v>0.50267137000917095</v>
      </c>
      <c r="AL6801">
        <v>86.121528067483993</v>
      </c>
      <c r="AM6801">
        <v>87.061380560995303</v>
      </c>
      <c r="AN6801">
        <v>0.99999999537566597</v>
      </c>
    </row>
    <row r="6802" spans="1:40" x14ac:dyDescent="0.25">
      <c r="A6802" t="str">
        <f>"20190312160505090"</f>
        <v>20190312160505090</v>
      </c>
      <c r="B6802" t="str">
        <f>"1552377905081770"</f>
        <v>1552377905081770</v>
      </c>
      <c r="C6802" t="s">
        <v>40</v>
      </c>
      <c r="D6802">
        <v>5.4890129999999999</v>
      </c>
      <c r="E6802">
        <v>0.64737359999999999</v>
      </c>
      <c r="F6802" t="s">
        <v>49</v>
      </c>
      <c r="G6802">
        <v>-301.34210000000002</v>
      </c>
      <c r="H6802">
        <v>1.1882539999999999</v>
      </c>
      <c r="I6802">
        <v>7.4257390000000001</v>
      </c>
      <c r="J6802">
        <v>-301.40039999999999</v>
      </c>
      <c r="K6802">
        <v>1.047158</v>
      </c>
      <c r="L6802">
        <v>7.9384459999999999</v>
      </c>
      <c r="M6802">
        <v>0.66221869999999905</v>
      </c>
      <c r="N6802">
        <v>0</v>
      </c>
      <c r="O6802">
        <v>-0.74913059999999998</v>
      </c>
      <c r="P6802">
        <v>0.62433139999999998</v>
      </c>
      <c r="Q6802">
        <v>5.2574919999999997E-2</v>
      </c>
      <c r="R6802">
        <v>-0.77938869999999905</v>
      </c>
      <c r="S6802">
        <v>0.99072269999999896</v>
      </c>
      <c r="T6802">
        <v>0.58467899999999995</v>
      </c>
      <c r="U6802">
        <v>-3.0373540000000001</v>
      </c>
      <c r="V6802">
        <v>5.0583400000000001E-2</v>
      </c>
      <c r="W6802">
        <v>6.7391129999999994E-2</v>
      </c>
      <c r="X6802">
        <v>0.99644359999999998</v>
      </c>
      <c r="Y6802">
        <v>0.39928259999999899</v>
      </c>
      <c r="Z6802">
        <v>-0.1103842</v>
      </c>
      <c r="AA6802">
        <v>0.91015860000000004</v>
      </c>
      <c r="AB6802">
        <v>30</v>
      </c>
      <c r="AC6802">
        <v>5.8299999999974199E-2</v>
      </c>
      <c r="AD6802">
        <v>0.141096</v>
      </c>
      <c r="AE6802">
        <v>-0.51270700000000002</v>
      </c>
      <c r="AF6802">
        <v>0.27530589046692899</v>
      </c>
      <c r="AG6802">
        <v>0.141096</v>
      </c>
      <c r="AH6802">
        <v>0.393339923241801</v>
      </c>
      <c r="AI6802">
        <v>73.622987726905706</v>
      </c>
      <c r="AJ6802">
        <v>55.011113748201701</v>
      </c>
      <c r="AK6802">
        <v>0.50041753542182599</v>
      </c>
      <c r="AL6802">
        <v>86.135844195804907</v>
      </c>
      <c r="AM6802">
        <v>87.093935240666596</v>
      </c>
      <c r="AN6802">
        <v>1.0000000463695899</v>
      </c>
    </row>
    <row r="6803" spans="1:40" x14ac:dyDescent="0.25">
      <c r="A6803" t="str">
        <f>"20190312160505111"</f>
        <v>20190312160505111</v>
      </c>
      <c r="B6803" t="str">
        <f>"1552377905102265"</f>
        <v>1552377905102265</v>
      </c>
      <c r="C6803" t="s">
        <v>40</v>
      </c>
      <c r="D6803">
        <v>5.7028629999999998</v>
      </c>
      <c r="E6803">
        <v>0.6466693</v>
      </c>
      <c r="F6803" t="s">
        <v>49</v>
      </c>
      <c r="G6803">
        <v>-301.17380000000003</v>
      </c>
      <c r="H6803">
        <v>1.18293</v>
      </c>
      <c r="I6803">
        <v>7.2176739999999997</v>
      </c>
      <c r="J6803">
        <v>-301.2199</v>
      </c>
      <c r="K6803">
        <v>1.0471250000000001</v>
      </c>
      <c r="L6803">
        <v>7.7116699999999998</v>
      </c>
      <c r="M6803">
        <v>0.65055090000000004</v>
      </c>
      <c r="N6803">
        <v>0</v>
      </c>
      <c r="O6803">
        <v>-0.75928469999999904</v>
      </c>
      <c r="P6803">
        <v>0.61272079999999995</v>
      </c>
      <c r="Q6803">
        <v>5.2697760000000003E-2</v>
      </c>
      <c r="R6803">
        <v>-0.78854080000000004</v>
      </c>
      <c r="S6803">
        <v>0.95690920000000002</v>
      </c>
      <c r="T6803">
        <v>0.57343169999999899</v>
      </c>
      <c r="U6803">
        <v>-3.0439449999999999</v>
      </c>
      <c r="V6803">
        <v>4.9929460000000002E-2</v>
      </c>
      <c r="W6803">
        <v>6.75486E-2</v>
      </c>
      <c r="X6803">
        <v>0.99646590000000002</v>
      </c>
      <c r="Y6803">
        <v>0.39487299999999997</v>
      </c>
      <c r="Z6803">
        <v>-0.1109561</v>
      </c>
      <c r="AA6803">
        <v>0.91201100000000002</v>
      </c>
      <c r="AB6803">
        <v>30</v>
      </c>
      <c r="AC6803">
        <v>4.6099999999967098E-2</v>
      </c>
      <c r="AD6803">
        <v>0.13580499999999901</v>
      </c>
      <c r="AE6803">
        <v>-0.49399599999999899</v>
      </c>
      <c r="AF6803">
        <v>0.266442389872728</v>
      </c>
      <c r="AG6803">
        <v>0.13580499999999901</v>
      </c>
      <c r="AH6803">
        <v>0.37689072660769801</v>
      </c>
      <c r="AI6803">
        <v>73.604531458905498</v>
      </c>
      <c r="AJ6803">
        <v>54.741650984604298</v>
      </c>
      <c r="AK6803">
        <v>0.48112489537434</v>
      </c>
      <c r="AL6803">
        <v>86.126801148960297</v>
      </c>
      <c r="AM6803">
        <v>87.131505649239003</v>
      </c>
      <c r="AN6803">
        <v>1.00000002710033</v>
      </c>
    </row>
    <row r="6804" spans="1:40" x14ac:dyDescent="0.25">
      <c r="A6804" t="str">
        <f>"20190312160505133"</f>
        <v>20190312160505133</v>
      </c>
      <c r="B6804" t="str">
        <f>"1552377905121939"</f>
        <v>1552377905121939</v>
      </c>
      <c r="C6804" t="s">
        <v>40</v>
      </c>
      <c r="D6804">
        <v>5.7906899999999997</v>
      </c>
      <c r="E6804">
        <v>0.64621589999999995</v>
      </c>
      <c r="F6804" t="s">
        <v>49</v>
      </c>
      <c r="G6804">
        <v>-301.00889999999998</v>
      </c>
      <c r="H6804">
        <v>1.1767510000000001</v>
      </c>
      <c r="I6804">
        <v>7.007396</v>
      </c>
      <c r="J6804">
        <v>-301.0378</v>
      </c>
      <c r="K6804">
        <v>1.047104</v>
      </c>
      <c r="L6804">
        <v>7.4750059999999996</v>
      </c>
      <c r="M6804">
        <v>0.63831349999999998</v>
      </c>
      <c r="N6804">
        <v>0</v>
      </c>
      <c r="O6804">
        <v>-0.76960059999999997</v>
      </c>
      <c r="P6804">
        <v>0.60066750000000002</v>
      </c>
      <c r="Q6804">
        <v>5.2989319999999999E-2</v>
      </c>
      <c r="R6804">
        <v>-0.79774140000000004</v>
      </c>
      <c r="S6804">
        <v>0.91622919999999997</v>
      </c>
      <c r="T6804">
        <v>0.56235029999999997</v>
      </c>
      <c r="U6804">
        <v>-3.0549930000000001</v>
      </c>
      <c r="V6804">
        <v>4.912176E-2</v>
      </c>
      <c r="W6804">
        <v>6.7879250000000002E-2</v>
      </c>
      <c r="X6804">
        <v>0.99648360000000002</v>
      </c>
      <c r="Y6804">
        <v>0.3922177</v>
      </c>
      <c r="Z6804">
        <v>-0.1112993</v>
      </c>
      <c r="AA6804">
        <v>0.91311430000000005</v>
      </c>
      <c r="AB6804">
        <v>30</v>
      </c>
      <c r="AC6804">
        <v>2.8900000000021402E-2</v>
      </c>
      <c r="AD6804">
        <v>0.12964700000000001</v>
      </c>
      <c r="AE6804">
        <v>-0.46760999999999803</v>
      </c>
      <c r="AF6804">
        <v>0.25662593415150098</v>
      </c>
      <c r="AG6804">
        <v>0.12964700000000001</v>
      </c>
      <c r="AH6804">
        <v>0.35145765272325902</v>
      </c>
      <c r="AI6804">
        <v>73.410279688181703</v>
      </c>
      <c r="AJ6804">
        <v>53.863978934537002</v>
      </c>
      <c r="AK6804">
        <v>0.454078953868018</v>
      </c>
      <c r="AL6804">
        <v>86.107812816153896</v>
      </c>
      <c r="AM6804">
        <v>87.177883186988595</v>
      </c>
      <c r="AN6804">
        <v>1.0000000524774999</v>
      </c>
    </row>
    <row r="6805" spans="1:40" x14ac:dyDescent="0.25">
      <c r="A6805" t="str">
        <f>"20190312160505147"</f>
        <v>20190312160505147</v>
      </c>
      <c r="B6805" t="str">
        <f>"1552377905141460"</f>
        <v>1552377905141460</v>
      </c>
      <c r="C6805" t="s">
        <v>40</v>
      </c>
      <c r="D6805">
        <v>5.603281</v>
      </c>
      <c r="E6805">
        <v>0.63173059999999903</v>
      </c>
      <c r="F6805" t="s">
        <v>49</v>
      </c>
      <c r="G6805">
        <v>-300.84289999999999</v>
      </c>
      <c r="H6805">
        <v>1.171651</v>
      </c>
      <c r="I6805">
        <v>6.7894490000000003</v>
      </c>
      <c r="J6805">
        <v>-300.92090000000002</v>
      </c>
      <c r="K6805">
        <v>1.047091</v>
      </c>
      <c r="L6805">
        <v>7.3196719999999997</v>
      </c>
      <c r="M6805">
        <v>0.63024009999999997</v>
      </c>
      <c r="N6805">
        <v>0</v>
      </c>
      <c r="O6805">
        <v>-0.77622579999999997</v>
      </c>
      <c r="P6805">
        <v>0.59266759999999996</v>
      </c>
      <c r="Q6805">
        <v>5.3107759999999997E-2</v>
      </c>
      <c r="R6805">
        <v>-0.80369469999999898</v>
      </c>
      <c r="S6805">
        <v>0.87252809999999903</v>
      </c>
      <c r="T6805">
        <v>0.5572203</v>
      </c>
      <c r="U6805">
        <v>-3.0666199999999999</v>
      </c>
      <c r="V6805">
        <v>4.8669379999999998E-2</v>
      </c>
      <c r="W6805">
        <v>6.8020079999999997E-2</v>
      </c>
      <c r="X6805">
        <v>0.9964961</v>
      </c>
      <c r="Y6805">
        <v>0.3955419</v>
      </c>
      <c r="Z6805">
        <v>-0.1115599</v>
      </c>
      <c r="AA6805">
        <v>0.9116474</v>
      </c>
      <c r="AB6805">
        <v>30</v>
      </c>
      <c r="AC6805">
        <v>7.8000000000031294E-2</v>
      </c>
      <c r="AD6805">
        <v>0.124559999999999</v>
      </c>
      <c r="AE6805">
        <v>-0.530222999999999</v>
      </c>
      <c r="AF6805">
        <v>0.25963422654194501</v>
      </c>
      <c r="AG6805">
        <v>0.124559999999999</v>
      </c>
      <c r="AH6805">
        <v>0.43717824656952398</v>
      </c>
      <c r="AI6805">
        <v>76.235130800071204</v>
      </c>
      <c r="AJ6805">
        <v>59.294498549850701</v>
      </c>
      <c r="AK6805">
        <v>0.52349779795681795</v>
      </c>
      <c r="AL6805">
        <v>86.099724792535298</v>
      </c>
      <c r="AM6805">
        <v>87.203866659890593</v>
      </c>
      <c r="AN6805">
        <v>0.99999995857399904</v>
      </c>
    </row>
    <row r="6806" spans="1:40" x14ac:dyDescent="0.25">
      <c r="A6806" t="str">
        <f>"20190312160505160"</f>
        <v>20190312160505160</v>
      </c>
      <c r="B6806" t="str">
        <f>"1552377905152196"</f>
        <v>1552377905152196</v>
      </c>
      <c r="C6806" t="s">
        <v>40</v>
      </c>
      <c r="D6806">
        <v>5.715211</v>
      </c>
      <c r="E6806">
        <v>0.6316581</v>
      </c>
      <c r="F6806" t="s">
        <v>49</v>
      </c>
      <c r="G6806">
        <v>-300.68689999999998</v>
      </c>
      <c r="H6806">
        <v>1.1555470000000001</v>
      </c>
      <c r="I6806">
        <v>6.5635139999999996</v>
      </c>
      <c r="J6806">
        <v>-300.81529999999998</v>
      </c>
      <c r="K6806">
        <v>1.047088</v>
      </c>
      <c r="L6806">
        <v>7.1750179999999997</v>
      </c>
      <c r="M6806">
        <v>0.62271840000000001</v>
      </c>
      <c r="N6806">
        <v>0</v>
      </c>
      <c r="O6806">
        <v>-0.78227239999999998</v>
      </c>
      <c r="P6806">
        <v>0.58508719999999903</v>
      </c>
      <c r="Q6806">
        <v>5.3563619999999999E-2</v>
      </c>
      <c r="R6806">
        <v>-0.80919980000000002</v>
      </c>
      <c r="S6806">
        <v>0.93368530000000005</v>
      </c>
      <c r="T6806">
        <v>0.43255149999999998</v>
      </c>
      <c r="U6806">
        <v>-3.015625</v>
      </c>
      <c r="V6806">
        <v>4.841438E-2</v>
      </c>
      <c r="W6806">
        <v>6.8490099999999998E-2</v>
      </c>
      <c r="X6806">
        <v>0.99647640000000004</v>
      </c>
      <c r="Y6806">
        <v>0.36484440000000001</v>
      </c>
      <c r="Z6806">
        <v>-9.0373079999999995E-2</v>
      </c>
      <c r="AA6806">
        <v>0.92667219999999995</v>
      </c>
      <c r="AB6806">
        <v>30</v>
      </c>
      <c r="AC6806">
        <v>0.12839999999999899</v>
      </c>
      <c r="AD6806">
        <v>0.108458999999999</v>
      </c>
      <c r="AE6806">
        <v>-0.61150400000000005</v>
      </c>
      <c r="AF6806">
        <v>0.27218815642173799</v>
      </c>
      <c r="AG6806">
        <v>0.108458999999999</v>
      </c>
      <c r="AH6806">
        <v>0.54206338853133795</v>
      </c>
      <c r="AI6806">
        <v>79.862136571408598</v>
      </c>
      <c r="AJ6806">
        <v>63.337242405563998</v>
      </c>
      <c r="AK6806">
        <v>0.616183791058594</v>
      </c>
      <c r="AL6806">
        <v>86.072731962670105</v>
      </c>
      <c r="AM6806">
        <v>87.218438845163405</v>
      </c>
      <c r="AN6806">
        <v>1.00000003087287</v>
      </c>
    </row>
    <row r="6807" spans="1:40" x14ac:dyDescent="0.25">
      <c r="A6807" t="str">
        <f>"20190312160505178"</f>
        <v>20190312160505178</v>
      </c>
      <c r="B6807" t="str">
        <f>"1552377905171715"</f>
        <v>1552377905171715</v>
      </c>
      <c r="C6807" t="s">
        <v>40</v>
      </c>
      <c r="D6807">
        <v>5.6590499999999997</v>
      </c>
      <c r="E6807">
        <v>0.63106139999999999</v>
      </c>
      <c r="F6807" t="s">
        <v>118</v>
      </c>
      <c r="G6807">
        <v>-274.81439999999998</v>
      </c>
      <c r="H6807">
        <v>13.216850000000001</v>
      </c>
      <c r="I6807">
        <v>-79.671169999999904</v>
      </c>
      <c r="J6807">
        <v>-300.67869999999999</v>
      </c>
      <c r="K6807">
        <v>1.047088</v>
      </c>
      <c r="L6807">
        <v>6.98407</v>
      </c>
      <c r="M6807">
        <v>0.61275190000000002</v>
      </c>
      <c r="N6807">
        <v>0</v>
      </c>
      <c r="O6807">
        <v>-0.79010329999999995</v>
      </c>
      <c r="P6807">
        <v>0.57473999999999903</v>
      </c>
      <c r="Q6807">
        <v>5.3981080000000001E-2</v>
      </c>
      <c r="R6807">
        <v>-0.81655369999999905</v>
      </c>
      <c r="S6807">
        <v>0.90551760000000003</v>
      </c>
      <c r="T6807">
        <v>0.42382880000000001</v>
      </c>
      <c r="U6807">
        <v>-3.0245359999999999</v>
      </c>
      <c r="V6807">
        <v>4.84635E-2</v>
      </c>
      <c r="W6807">
        <v>6.8913929999999998E-2</v>
      </c>
      <c r="X6807">
        <v>0.99644480000000002</v>
      </c>
      <c r="Y6807">
        <v>0.36169590000000001</v>
      </c>
      <c r="Z6807">
        <v>-9.0001319999999996E-2</v>
      </c>
      <c r="AA6807">
        <v>0.92794169999999998</v>
      </c>
      <c r="AB6807">
        <v>30</v>
      </c>
      <c r="AC6807">
        <v>25.8643</v>
      </c>
      <c r="AD6807">
        <v>12.169762</v>
      </c>
      <c r="AE6807">
        <v>-86.655239999999907</v>
      </c>
      <c r="AF6807">
        <v>32.086065114442697</v>
      </c>
      <c r="AG6807">
        <v>12.169762</v>
      </c>
      <c r="AH6807">
        <v>82.826488429563398</v>
      </c>
      <c r="AI6807">
        <v>82.198507742933401</v>
      </c>
      <c r="AJ6807">
        <v>68.824183498647201</v>
      </c>
      <c r="AK6807">
        <v>89.654034305420396</v>
      </c>
      <c r="AL6807">
        <v>86.048390816453306</v>
      </c>
      <c r="AM6807">
        <v>87.215533021371598</v>
      </c>
      <c r="AN6807">
        <v>1.0000000400136599</v>
      </c>
    </row>
    <row r="6808" spans="1:40" x14ac:dyDescent="0.25">
      <c r="A6808" t="str">
        <f>"20190312160505193"</f>
        <v>20190312160505193</v>
      </c>
      <c r="B6808" t="str">
        <f>"1552377905181476"</f>
        <v>1552377905181476</v>
      </c>
      <c r="C6808" t="s">
        <v>40</v>
      </c>
      <c r="D6808">
        <v>5.6642020000000004</v>
      </c>
      <c r="E6808">
        <v>0.63050550000000005</v>
      </c>
      <c r="F6808" t="s">
        <v>44</v>
      </c>
      <c r="G6808">
        <v>-285.39510000000001</v>
      </c>
      <c r="H6808">
        <v>8.40240399999999</v>
      </c>
      <c r="I6808">
        <v>-46.249420000000001</v>
      </c>
      <c r="J6808">
        <v>-300.56389999999999</v>
      </c>
      <c r="K6808">
        <v>1.0470870000000001</v>
      </c>
      <c r="L6808">
        <v>6.8198550000000004</v>
      </c>
      <c r="M6808">
        <v>0.60415659999999904</v>
      </c>
      <c r="N6808">
        <v>0</v>
      </c>
      <c r="O6808">
        <v>-0.79669499999999904</v>
      </c>
      <c r="P6808">
        <v>0.56586650000000005</v>
      </c>
      <c r="Q6808">
        <v>5.4136120000000003E-2</v>
      </c>
      <c r="R6808">
        <v>-0.82271799999999995</v>
      </c>
      <c r="S6808">
        <v>0.87088009999999905</v>
      </c>
      <c r="T6808">
        <v>0.41911709999999902</v>
      </c>
      <c r="U6808">
        <v>-3.033325</v>
      </c>
      <c r="V6808">
        <v>4.8455070000000003E-2</v>
      </c>
      <c r="W6808">
        <v>6.9075189999999995E-2</v>
      </c>
      <c r="X6808">
        <v>0.99643400000000004</v>
      </c>
      <c r="Y6808">
        <v>0.36208859999999998</v>
      </c>
      <c r="Z6808">
        <v>-9.0111460000000004E-2</v>
      </c>
      <c r="AA6808">
        <v>0.92777790000000004</v>
      </c>
      <c r="AB6808">
        <v>30</v>
      </c>
      <c r="AC6808">
        <v>15.1687999999999</v>
      </c>
      <c r="AD6808">
        <v>7.3553169999999897</v>
      </c>
      <c r="AE6808">
        <v>-53.069274999999998</v>
      </c>
      <c r="AF6808">
        <v>19.6313357491338</v>
      </c>
      <c r="AG6808">
        <v>7.3553169999999897</v>
      </c>
      <c r="AH6808">
        <v>50.553587665062103</v>
      </c>
      <c r="AI6808">
        <v>82.276208745413498</v>
      </c>
      <c r="AJ6808">
        <v>68.777451921582198</v>
      </c>
      <c r="AK6808">
        <v>54.728011632753798</v>
      </c>
      <c r="AL6808">
        <v>86.039129054847706</v>
      </c>
      <c r="AM6808">
        <v>87.2159864772253</v>
      </c>
      <c r="AN6808">
        <v>0.99999999601912004</v>
      </c>
    </row>
    <row r="6809" spans="1:40" x14ac:dyDescent="0.25">
      <c r="A6809" t="str">
        <f>"20190312160505210"</f>
        <v>20190312160505210</v>
      </c>
      <c r="B6809" t="str">
        <f>"1552377905201972"</f>
        <v>1552377905201972</v>
      </c>
      <c r="C6809" t="s">
        <v>40</v>
      </c>
      <c r="D6809">
        <v>5.6600380000000001</v>
      </c>
      <c r="E6809">
        <v>0.62955150000000004</v>
      </c>
      <c r="F6809" t="s">
        <v>49</v>
      </c>
      <c r="G6809">
        <v>-300.35489999999999</v>
      </c>
      <c r="H6809">
        <v>1.150126</v>
      </c>
      <c r="I6809">
        <v>6.0653040000000003</v>
      </c>
      <c r="J6809">
        <v>-300.42520000000002</v>
      </c>
      <c r="K6809">
        <v>1.0470839999999999</v>
      </c>
      <c r="L6809">
        <v>6.6161500000000002</v>
      </c>
      <c r="M6809">
        <v>0.59346909999999997</v>
      </c>
      <c r="N6809">
        <v>0</v>
      </c>
      <c r="O6809">
        <v>-0.80468759999999995</v>
      </c>
      <c r="P6809">
        <v>0.55476349999999996</v>
      </c>
      <c r="Q6809">
        <v>5.4205070000000001E-2</v>
      </c>
      <c r="R6809">
        <v>-0.830240599999999</v>
      </c>
      <c r="S6809">
        <v>0.84167479999999995</v>
      </c>
      <c r="T6809">
        <v>0.41514590000000001</v>
      </c>
      <c r="U6809">
        <v>-3.040222</v>
      </c>
      <c r="V6809">
        <v>4.8540260000000002E-2</v>
      </c>
      <c r="W6809">
        <v>6.9147500000000001E-2</v>
      </c>
      <c r="X6809">
        <v>0.99642489999999995</v>
      </c>
      <c r="Y6809">
        <v>0.35847259999999997</v>
      </c>
      <c r="Z6809">
        <v>-9.0762460000000003E-2</v>
      </c>
      <c r="AA6809">
        <v>0.92911759999999999</v>
      </c>
      <c r="AB6809">
        <v>30</v>
      </c>
      <c r="AC6809">
        <v>7.0300000000031504E-2</v>
      </c>
      <c r="AD6809">
        <v>0.10304199999999999</v>
      </c>
      <c r="AE6809">
        <v>-0.55084599999999995</v>
      </c>
      <c r="AF6809">
        <v>0.26137781404221599</v>
      </c>
      <c r="AG6809">
        <v>0.10304199999999999</v>
      </c>
      <c r="AH6809">
        <v>0.46890105851320701</v>
      </c>
      <c r="AI6809">
        <v>79.134498993492898</v>
      </c>
      <c r="AJ6809">
        <v>60.863551876348602</v>
      </c>
      <c r="AK6809">
        <v>0.54662987305149502</v>
      </c>
      <c r="AL6809">
        <v>86.034976311060404</v>
      </c>
      <c r="AM6809">
        <v>87.211074128462002</v>
      </c>
      <c r="AN6809">
        <v>1.0000000574685599</v>
      </c>
    </row>
    <row r="6810" spans="1:40" x14ac:dyDescent="0.25">
      <c r="A6810" t="str">
        <f>"20190312160505228"</f>
        <v>20190312160505228</v>
      </c>
      <c r="B6810" t="str">
        <f>"1552377905221491"</f>
        <v>1552377905221491</v>
      </c>
      <c r="C6810" t="s">
        <v>40</v>
      </c>
      <c r="D6810">
        <v>5.7750890000000004</v>
      </c>
      <c r="E6810">
        <v>0.62358389999999997</v>
      </c>
      <c r="F6810" t="s">
        <v>49</v>
      </c>
      <c r="G6810">
        <v>-300.22269999999997</v>
      </c>
      <c r="H6810">
        <v>1.148339</v>
      </c>
      <c r="I6810">
        <v>5.8504430000000003</v>
      </c>
      <c r="J6810">
        <v>-300.29660000000001</v>
      </c>
      <c r="K6810">
        <v>1.0470889999999999</v>
      </c>
      <c r="L6810">
        <v>6.4219359999999996</v>
      </c>
      <c r="M6810">
        <v>0.58325519999999997</v>
      </c>
      <c r="N6810">
        <v>0</v>
      </c>
      <c r="O6810">
        <v>-0.81212130000000005</v>
      </c>
      <c r="P6810">
        <v>0.54443109999999995</v>
      </c>
      <c r="Q6810">
        <v>5.4251529999999999E-2</v>
      </c>
      <c r="R6810">
        <v>-0.83704909999999999</v>
      </c>
      <c r="S6810">
        <v>0.80676269999999894</v>
      </c>
      <c r="T6810">
        <v>0.40308430000000001</v>
      </c>
      <c r="U6810">
        <v>-3.0480040000000002</v>
      </c>
      <c r="V6810">
        <v>4.8299219999999997E-2</v>
      </c>
      <c r="W6810">
        <v>6.9206980000000001E-2</v>
      </c>
      <c r="X6810">
        <v>0.9964324</v>
      </c>
      <c r="Y6810">
        <v>0.35716569999999997</v>
      </c>
      <c r="Z6810">
        <v>-8.9440160000000005E-2</v>
      </c>
      <c r="AA6810">
        <v>0.92974900000000005</v>
      </c>
      <c r="AB6810">
        <v>29</v>
      </c>
      <c r="AC6810">
        <v>7.3900000000037297E-2</v>
      </c>
      <c r="AD6810">
        <v>0.10125000000000001</v>
      </c>
      <c r="AE6810">
        <v>-0.57149299999999903</v>
      </c>
      <c r="AF6810">
        <v>0.26516162791926801</v>
      </c>
      <c r="AG6810">
        <v>0.10125000000000001</v>
      </c>
      <c r="AH6810">
        <v>0.49210108622002802</v>
      </c>
      <c r="AI6810">
        <v>79.733382190885294</v>
      </c>
      <c r="AJ6810">
        <v>61.682628040416198</v>
      </c>
      <c r="AK6810">
        <v>0.56808954442035597</v>
      </c>
      <c r="AL6810">
        <v>86.031559843773394</v>
      </c>
      <c r="AM6810">
        <v>87.224922458369505</v>
      </c>
      <c r="AN6810">
        <v>0.99999997425154397</v>
      </c>
    </row>
    <row r="6811" spans="1:40" x14ac:dyDescent="0.25">
      <c r="A6811" t="str">
        <f>"20190312160505244"</f>
        <v>20190312160505244</v>
      </c>
      <c r="B6811" t="str">
        <f>"1552377905241987"</f>
        <v>1552377905241987</v>
      </c>
      <c r="C6811" t="s">
        <v>40</v>
      </c>
      <c r="D6811">
        <v>5.6039510000000003</v>
      </c>
      <c r="E6811">
        <v>0.62681200000000004</v>
      </c>
      <c r="F6811" t="s">
        <v>49</v>
      </c>
      <c r="G6811">
        <v>-300.08269999999999</v>
      </c>
      <c r="H6811">
        <v>1.1313470000000001</v>
      </c>
      <c r="I6811">
        <v>5.6177390000000003</v>
      </c>
      <c r="J6811">
        <v>-300.17669999999998</v>
      </c>
      <c r="K6811">
        <v>1.047099</v>
      </c>
      <c r="L6811">
        <v>6.2354129999999897</v>
      </c>
      <c r="M6811">
        <v>0.57343379999999999</v>
      </c>
      <c r="N6811">
        <v>0</v>
      </c>
      <c r="O6811">
        <v>-0.81908549999999902</v>
      </c>
      <c r="P6811">
        <v>0.53489940000000002</v>
      </c>
      <c r="Q6811">
        <v>5.4218809999999999E-2</v>
      </c>
      <c r="R6811">
        <v>-0.84317450000000005</v>
      </c>
      <c r="S6811">
        <v>0.80813599999999997</v>
      </c>
      <c r="T6811">
        <v>0.31828669999999998</v>
      </c>
      <c r="U6811">
        <v>-3.0377809999999998</v>
      </c>
      <c r="V6811">
        <v>4.7604149999999998E-2</v>
      </c>
      <c r="W6811">
        <v>6.9201260000000001E-2</v>
      </c>
      <c r="X6811">
        <v>0.99646630000000003</v>
      </c>
      <c r="Y6811">
        <v>0.34434730000000002</v>
      </c>
      <c r="Z6811">
        <v>-7.2313849999999999E-2</v>
      </c>
      <c r="AA6811">
        <v>0.93605320000000003</v>
      </c>
      <c r="AB6811">
        <v>29</v>
      </c>
      <c r="AC6811">
        <v>9.3999999999994005E-2</v>
      </c>
      <c r="AD6811">
        <v>8.4247999999999795E-2</v>
      </c>
      <c r="AE6811">
        <v>-0.61767399999999895</v>
      </c>
      <c r="AF6811">
        <v>0.27228798948145</v>
      </c>
      <c r="AG6811">
        <v>8.4247999999999795E-2</v>
      </c>
      <c r="AH6811">
        <v>0.54990813669549399</v>
      </c>
      <c r="AI6811">
        <v>82.182460607750798</v>
      </c>
      <c r="AJ6811">
        <v>63.657605806161399</v>
      </c>
      <c r="AK6811">
        <v>0.61938472173905001</v>
      </c>
      <c r="AL6811">
        <v>86.031888577911104</v>
      </c>
      <c r="AM6811">
        <v>87.264890187531606</v>
      </c>
      <c r="AN6811">
        <v>1.0000000282592401</v>
      </c>
    </row>
    <row r="6812" spans="1:40" x14ac:dyDescent="0.25">
      <c r="A6812" t="str">
        <f>"20190312160505261"</f>
        <v>20190312160505261</v>
      </c>
      <c r="B6812" t="str">
        <f>"1552377905251748"</f>
        <v>1552377905251748</v>
      </c>
      <c r="C6812" t="s">
        <v>40</v>
      </c>
      <c r="D6812">
        <v>5.5484419999999997</v>
      </c>
      <c r="E6812">
        <v>0.62915909999999997</v>
      </c>
      <c r="F6812" t="s">
        <v>118</v>
      </c>
      <c r="G6812">
        <v>-276.38990000000001</v>
      </c>
      <c r="H6812">
        <v>12.875959999999999</v>
      </c>
      <c r="I6812">
        <v>-90.409210000000002</v>
      </c>
      <c r="J6812">
        <v>-300.06200000000001</v>
      </c>
      <c r="K6812">
        <v>1.0471079999999999</v>
      </c>
      <c r="L6812">
        <v>6.0521240000000001</v>
      </c>
      <c r="M6812">
        <v>0.56376649999999995</v>
      </c>
      <c r="N6812">
        <v>0</v>
      </c>
      <c r="O6812">
        <v>-0.82576939999999999</v>
      </c>
      <c r="P6812">
        <v>0.52524499999999996</v>
      </c>
      <c r="Q6812">
        <v>5.4323820000000002E-2</v>
      </c>
      <c r="R6812">
        <v>-0.84921559999999996</v>
      </c>
      <c r="S6812">
        <v>0.75231930000000002</v>
      </c>
      <c r="T6812">
        <v>0.37411939999999999</v>
      </c>
      <c r="U6812">
        <v>-3.0566409999999999</v>
      </c>
      <c r="V6812">
        <v>4.7257420000000001E-2</v>
      </c>
      <c r="W6812">
        <v>6.9320660000000006E-2</v>
      </c>
      <c r="X6812">
        <v>0.99647450000000004</v>
      </c>
      <c r="Y6812">
        <v>0.35103659999999998</v>
      </c>
      <c r="Z6812">
        <v>-8.5482619999999995E-2</v>
      </c>
      <c r="AA6812">
        <v>0.93245160000000005</v>
      </c>
      <c r="AB6812">
        <v>29</v>
      </c>
      <c r="AC6812">
        <v>23.6721</v>
      </c>
      <c r="AD6812">
        <v>11.828851999999999</v>
      </c>
      <c r="AE6812">
        <v>-96.461333999999994</v>
      </c>
      <c r="AF6812">
        <v>34.351493357561203</v>
      </c>
      <c r="AG6812">
        <v>11.828851999999999</v>
      </c>
      <c r="AH6812">
        <v>91.712222633925293</v>
      </c>
      <c r="AI6812">
        <v>83.1129847127293</v>
      </c>
      <c r="AJ6812">
        <v>69.466189729892903</v>
      </c>
      <c r="AK6812">
        <v>98.646229608572298</v>
      </c>
      <c r="AL6812">
        <v>86.025030974712806</v>
      </c>
      <c r="AM6812">
        <v>87.284804045554694</v>
      </c>
      <c r="AN6812">
        <v>1.00000002339907</v>
      </c>
    </row>
    <row r="6813" spans="1:40" x14ac:dyDescent="0.25">
      <c r="A6813" t="str">
        <f>"20190312160505279"</f>
        <v>20190312160505279</v>
      </c>
      <c r="B6813" t="str">
        <f>"1552377905272244"</f>
        <v>1552377905272244</v>
      </c>
      <c r="C6813" t="s">
        <v>40</v>
      </c>
      <c r="D6813">
        <v>5.5156919999999996</v>
      </c>
      <c r="E6813">
        <v>0.63324740000000002</v>
      </c>
      <c r="F6813" t="s">
        <v>118</v>
      </c>
      <c r="G6813">
        <v>-278.02109999999999</v>
      </c>
      <c r="H6813">
        <v>13.832689999999999</v>
      </c>
      <c r="I6813">
        <v>-90.409210000000002</v>
      </c>
      <c r="J6813">
        <v>-299.9366</v>
      </c>
      <c r="K6813">
        <v>1.0471239999999999</v>
      </c>
      <c r="L6813">
        <v>5.8460999999999999</v>
      </c>
      <c r="M6813">
        <v>0.55288110000000001</v>
      </c>
      <c r="N6813">
        <v>0</v>
      </c>
      <c r="O6813">
        <v>-0.83309659999999996</v>
      </c>
      <c r="P6813">
        <v>0.51480839999999894</v>
      </c>
      <c r="Q6813">
        <v>5.3897670000000002E-2</v>
      </c>
      <c r="R6813">
        <v>-0.85560970000000003</v>
      </c>
      <c r="S6813">
        <v>0.70202640000000005</v>
      </c>
      <c r="T6813">
        <v>0.40723369999999998</v>
      </c>
      <c r="U6813">
        <v>-3.0723880000000001</v>
      </c>
      <c r="V6813">
        <v>4.6379150000000001E-2</v>
      </c>
      <c r="W6813">
        <v>6.8925829999999993E-2</v>
      </c>
      <c r="X6813">
        <v>0.99654310000000002</v>
      </c>
      <c r="Y6813">
        <v>0.35447269999999997</v>
      </c>
      <c r="Z6813">
        <v>-9.3890619999999994E-2</v>
      </c>
      <c r="AA6813">
        <v>0.93034059999999996</v>
      </c>
      <c r="AB6813">
        <v>29</v>
      </c>
      <c r="AC6813">
        <v>21.915500000000002</v>
      </c>
      <c r="AD6813">
        <v>12.785565999999999</v>
      </c>
      <c r="AE6813">
        <v>-96.255309999999994</v>
      </c>
      <c r="AF6813">
        <v>34.387948399337297</v>
      </c>
      <c r="AG6813">
        <v>12.785565999999999</v>
      </c>
      <c r="AH6813">
        <v>90.796186658914706</v>
      </c>
      <c r="AI6813">
        <v>82.498017335698506</v>
      </c>
      <c r="AJ6813">
        <v>69.256428808671799</v>
      </c>
      <c r="AK6813">
        <v>97.928286030422896</v>
      </c>
      <c r="AL6813">
        <v>86.047707105841695</v>
      </c>
      <c r="AM6813">
        <v>87.335375186188102</v>
      </c>
      <c r="AN6813">
        <v>0.99999997287676001</v>
      </c>
    </row>
    <row r="6814" spans="1:40" x14ac:dyDescent="0.25">
      <c r="A6814" t="str">
        <f>"20190312160505301"</f>
        <v>20190312160505301</v>
      </c>
      <c r="B6814" t="str">
        <f>"1552377905291763"</f>
        <v>1552377905291763</v>
      </c>
      <c r="C6814" t="s">
        <v>40</v>
      </c>
      <c r="D6814">
        <v>5.6068530000000001</v>
      </c>
      <c r="E6814">
        <v>0.63559919999999903</v>
      </c>
      <c r="F6814" t="s">
        <v>118</v>
      </c>
      <c r="G6814">
        <v>-277.17500000000001</v>
      </c>
      <c r="H6814">
        <v>17.106069999999999</v>
      </c>
      <c r="I6814">
        <v>-104.669</v>
      </c>
      <c r="J6814">
        <v>-299.78530000000001</v>
      </c>
      <c r="K6814">
        <v>1.0471410000000001</v>
      </c>
      <c r="L6814">
        <v>5.5894170000000001</v>
      </c>
      <c r="M6814">
        <v>0.5392922</v>
      </c>
      <c r="N6814">
        <v>0</v>
      </c>
      <c r="O6814">
        <v>-0.84195679999999995</v>
      </c>
      <c r="P6814">
        <v>0.50115799999999999</v>
      </c>
      <c r="Q6814">
        <v>5.3591989999999999E-2</v>
      </c>
      <c r="R6814">
        <v>-0.86369479999999998</v>
      </c>
      <c r="S6814">
        <v>0.63732909999999998</v>
      </c>
      <c r="T6814">
        <v>0.44965509999999997</v>
      </c>
      <c r="U6814">
        <v>-3.094452</v>
      </c>
      <c r="V6814">
        <v>4.6031330000000002E-2</v>
      </c>
      <c r="W6814">
        <v>6.8634689999999998E-2</v>
      </c>
      <c r="X6814">
        <v>0.99657929999999995</v>
      </c>
      <c r="Y6814">
        <v>0.35952139999999999</v>
      </c>
      <c r="Z6814">
        <v>-0.1046362</v>
      </c>
      <c r="AA6814">
        <v>0.92725159999999995</v>
      </c>
      <c r="AB6814">
        <v>29</v>
      </c>
      <c r="AC6814">
        <v>22.610299999999899</v>
      </c>
      <c r="AD6814">
        <v>16.058928999999999</v>
      </c>
      <c r="AE6814">
        <v>-110.25841699999999</v>
      </c>
      <c r="AF6814">
        <v>39.623493542093897</v>
      </c>
      <c r="AG6814">
        <v>16.058928999999999</v>
      </c>
      <c r="AH6814">
        <v>102.945021481873</v>
      </c>
      <c r="AI6814">
        <v>81.716868101297706</v>
      </c>
      <c r="AJ6814">
        <v>68.948306443689503</v>
      </c>
      <c r="AK6814">
        <v>111.47012105946</v>
      </c>
      <c r="AL6814">
        <v>86.064427717055594</v>
      </c>
      <c r="AM6814">
        <v>87.355425965344395</v>
      </c>
      <c r="AN6814">
        <v>0.99999995260072605</v>
      </c>
    </row>
    <row r="6815" spans="1:40" x14ac:dyDescent="0.25">
      <c r="A6815" t="str">
        <f>"20190312160505322"</f>
        <v>20190312160505322</v>
      </c>
      <c r="B6815" t="str">
        <f>"1552377905312259"</f>
        <v>1552377905312259</v>
      </c>
      <c r="C6815" t="s">
        <v>40</v>
      </c>
      <c r="D6815">
        <v>5.6095230000000003</v>
      </c>
      <c r="E6815">
        <v>0.63588080000000002</v>
      </c>
      <c r="F6815" t="s">
        <v>44</v>
      </c>
      <c r="G6815">
        <v>-290.28980000000001</v>
      </c>
      <c r="H6815">
        <v>8.8035339999999902</v>
      </c>
      <c r="I6815">
        <v>-46.072220000000002</v>
      </c>
      <c r="J6815">
        <v>-299.64100000000002</v>
      </c>
      <c r="K6815">
        <v>1.0471629999999901</v>
      </c>
      <c r="L6815">
        <v>5.3354799999999996</v>
      </c>
      <c r="M6815">
        <v>0.52582269999999998</v>
      </c>
      <c r="N6815">
        <v>0</v>
      </c>
      <c r="O6815">
        <v>-0.85043389999999996</v>
      </c>
      <c r="P6815">
        <v>0.48762080000000002</v>
      </c>
      <c r="Q6815">
        <v>5.3267799999999997E-2</v>
      </c>
      <c r="R6815">
        <v>-0.87142909999999996</v>
      </c>
      <c r="S6815">
        <v>0.57208249999999905</v>
      </c>
      <c r="T6815">
        <v>0.46730359999999999</v>
      </c>
      <c r="U6815">
        <v>-3.1124879999999999</v>
      </c>
      <c r="V6815">
        <v>4.5714869999999998E-2</v>
      </c>
      <c r="W6815">
        <v>6.8323110000000006E-2</v>
      </c>
      <c r="X6815">
        <v>0.99661540000000004</v>
      </c>
      <c r="Y6815">
        <v>0.3645409</v>
      </c>
      <c r="Z6815">
        <v>-0.1098737</v>
      </c>
      <c r="AA6815">
        <v>0.92468249999999996</v>
      </c>
      <c r="AB6815">
        <v>29</v>
      </c>
      <c r="AC6815">
        <v>9.35119999999994</v>
      </c>
      <c r="AD6815">
        <v>7.7563709999999997</v>
      </c>
      <c r="AE6815">
        <v>-51.407699999999998</v>
      </c>
      <c r="AF6815">
        <v>18.6699576056455</v>
      </c>
      <c r="AG6815">
        <v>7.7563709999999997</v>
      </c>
      <c r="AH6815">
        <v>47.593802157756301</v>
      </c>
      <c r="AI6815">
        <v>81.373176582240802</v>
      </c>
      <c r="AJ6815">
        <v>68.581061050453002</v>
      </c>
      <c r="AK6815">
        <v>51.709753547255403</v>
      </c>
      <c r="AL6815">
        <v>86.082322427110796</v>
      </c>
      <c r="AM6815">
        <v>87.373676558203897</v>
      </c>
      <c r="AN6815">
        <v>1.00000007610817</v>
      </c>
    </row>
    <row r="6816" spans="1:40" x14ac:dyDescent="0.25">
      <c r="A6816" t="str">
        <f>"20190312160505345"</f>
        <v>20190312160505345</v>
      </c>
      <c r="B6816" t="str">
        <f>"1552377905341543"</f>
        <v>1552377905341543</v>
      </c>
      <c r="C6816" t="s">
        <v>40</v>
      </c>
      <c r="D6816">
        <v>5.5581459999999998</v>
      </c>
      <c r="E6816">
        <v>0.63609799999999905</v>
      </c>
      <c r="F6816" t="s">
        <v>44</v>
      </c>
      <c r="G6816">
        <v>-291.0222</v>
      </c>
      <c r="H6816">
        <v>8.7829770000000007</v>
      </c>
      <c r="I6816">
        <v>-46.28631</v>
      </c>
      <c r="J6816">
        <v>-299.49680000000001</v>
      </c>
      <c r="K6816">
        <v>1.047185</v>
      </c>
      <c r="L6816">
        <v>5.0717470000000002</v>
      </c>
      <c r="M6816">
        <v>0.51181009999999905</v>
      </c>
      <c r="N6816">
        <v>0</v>
      </c>
      <c r="O6816">
        <v>-0.85894009999999998</v>
      </c>
      <c r="P6816">
        <v>0.47334920000000003</v>
      </c>
      <c r="Q6816">
        <v>5.2971329999999997E-2</v>
      </c>
      <c r="R6816">
        <v>-0.87928079999999997</v>
      </c>
      <c r="S6816">
        <v>0.52130129999999997</v>
      </c>
      <c r="T6816">
        <v>0.46789150000000002</v>
      </c>
      <c r="U6816">
        <v>-3.1222840000000001</v>
      </c>
      <c r="V6816">
        <v>4.5619760000000002E-2</v>
      </c>
      <c r="W6816">
        <v>6.8030530000000006E-2</v>
      </c>
      <c r="X6816">
        <v>0.99663970000000002</v>
      </c>
      <c r="Y6816">
        <v>0.36440640000000002</v>
      </c>
      <c r="Z6816">
        <v>-0.11160879999999999</v>
      </c>
      <c r="AA6816">
        <v>0.92452769999999995</v>
      </c>
      <c r="AB6816">
        <v>29</v>
      </c>
      <c r="AC6816">
        <v>8.4746000000000095</v>
      </c>
      <c r="AD6816">
        <v>7.735792</v>
      </c>
      <c r="AE6816">
        <v>-51.358057000000002</v>
      </c>
      <c r="AF6816">
        <v>18.598218870173099</v>
      </c>
      <c r="AG6816">
        <v>7.735792</v>
      </c>
      <c r="AH6816">
        <v>47.410353884441903</v>
      </c>
      <c r="AI6816">
        <v>81.362943673617195</v>
      </c>
      <c r="AJ6816">
        <v>68.580826637994093</v>
      </c>
      <c r="AK6816">
        <v>51.511919770652497</v>
      </c>
      <c r="AL6816">
        <v>86.099124837245597</v>
      </c>
      <c r="AM6816">
        <v>87.379196822298496</v>
      </c>
      <c r="AN6816">
        <v>1.00000000356531</v>
      </c>
    </row>
    <row r="6817" spans="1:40" x14ac:dyDescent="0.25">
      <c r="A6817" t="str">
        <f>"20190312160505367"</f>
        <v>20190312160505367</v>
      </c>
      <c r="B6817" t="str">
        <f>"1552377905362039"</f>
        <v>1552377905362039</v>
      </c>
      <c r="C6817" t="s">
        <v>40</v>
      </c>
      <c r="D6817">
        <v>5.7074780000000001</v>
      </c>
      <c r="E6817">
        <v>0.63566409999999995</v>
      </c>
      <c r="F6817" t="s">
        <v>119</v>
      </c>
      <c r="G6817">
        <v>-286.80509999999998</v>
      </c>
      <c r="H6817">
        <v>13.78115</v>
      </c>
      <c r="I6817">
        <v>-79.671169999999904</v>
      </c>
      <c r="J6817">
        <v>-299.3578</v>
      </c>
      <c r="K6817">
        <v>1.0472129999999999</v>
      </c>
      <c r="L6817">
        <v>4.80722</v>
      </c>
      <c r="M6817">
        <v>0.4977355</v>
      </c>
      <c r="N6817">
        <v>0</v>
      </c>
      <c r="O6817">
        <v>-0.8671719</v>
      </c>
      <c r="P6817">
        <v>0.45921309999999899</v>
      </c>
      <c r="Q6817">
        <v>5.3016359999999998E-2</v>
      </c>
      <c r="R6817">
        <v>-0.88674279999999905</v>
      </c>
      <c r="S6817">
        <v>0.46893309999999999</v>
      </c>
      <c r="T6817">
        <v>0.47049390000000002</v>
      </c>
      <c r="U6817">
        <v>-3.1310730000000002</v>
      </c>
      <c r="V6817">
        <v>4.5317009999999998E-2</v>
      </c>
      <c r="W6817">
        <v>6.8085240000000005E-2</v>
      </c>
      <c r="X6817">
        <v>0.99664980000000003</v>
      </c>
      <c r="Y6817">
        <v>0.36475629999999998</v>
      </c>
      <c r="Z6817">
        <v>-0.1137799</v>
      </c>
      <c r="AA6817">
        <v>0.92412499999999997</v>
      </c>
      <c r="AB6817">
        <v>29</v>
      </c>
      <c r="AC6817">
        <v>12.5527</v>
      </c>
      <c r="AD6817">
        <v>12.733936999999999</v>
      </c>
      <c r="AE6817">
        <v>-84.478389999999905</v>
      </c>
      <c r="AF6817">
        <v>30.4890018034462</v>
      </c>
      <c r="AG6817">
        <v>12.733936999999999</v>
      </c>
      <c r="AH6817">
        <v>77.786795152683396</v>
      </c>
      <c r="AI6817">
        <v>81.334038066918495</v>
      </c>
      <c r="AJ6817">
        <v>68.597005365227304</v>
      </c>
      <c r="AK6817">
        <v>84.513418358365101</v>
      </c>
      <c r="AL6817">
        <v>86.095982994045201</v>
      </c>
      <c r="AM6817">
        <v>87.396591801481605</v>
      </c>
      <c r="AN6817">
        <v>1.00000002757061</v>
      </c>
    </row>
    <row r="6818" spans="1:40" x14ac:dyDescent="0.25">
      <c r="A6818" t="str">
        <f>"20190312160505390"</f>
        <v>20190312160505390</v>
      </c>
      <c r="B6818" t="str">
        <f>"1552377905381555"</f>
        <v>1552377905381555</v>
      </c>
      <c r="C6818" t="s">
        <v>40</v>
      </c>
      <c r="D6818">
        <v>5.6279240000000001</v>
      </c>
      <c r="E6818">
        <v>0.63518830000000004</v>
      </c>
      <c r="F6818" t="s">
        <v>49</v>
      </c>
      <c r="G6818">
        <v>-299.25409999999999</v>
      </c>
      <c r="H6818">
        <v>1.16245</v>
      </c>
      <c r="I6818">
        <v>4.0351429999999997</v>
      </c>
      <c r="J6818">
        <v>-299.2244</v>
      </c>
      <c r="K6818">
        <v>1.0472440000000001</v>
      </c>
      <c r="L6818">
        <v>4.5422669999999998</v>
      </c>
      <c r="M6818">
        <v>0.48362260000000001</v>
      </c>
      <c r="N6818">
        <v>0</v>
      </c>
      <c r="O6818">
        <v>-0.87512109999999999</v>
      </c>
      <c r="P6818">
        <v>0.44517950000000001</v>
      </c>
      <c r="Q6818">
        <v>5.2521470000000001E-2</v>
      </c>
      <c r="R6818">
        <v>-0.89389969999999996</v>
      </c>
      <c r="S6818">
        <v>0.42169190000000001</v>
      </c>
      <c r="T6818">
        <v>0.46819440000000001</v>
      </c>
      <c r="U6818">
        <v>-3.1368100000000001</v>
      </c>
      <c r="V6818">
        <v>4.4874280000000002E-2</v>
      </c>
      <c r="W6818">
        <v>6.7604269999999994E-2</v>
      </c>
      <c r="X6818">
        <v>0.99670259999999999</v>
      </c>
      <c r="Y6818">
        <v>0.3635757</v>
      </c>
      <c r="Z6818">
        <v>-0.1148617</v>
      </c>
      <c r="AA6818">
        <v>0.92445639999999996</v>
      </c>
      <c r="AB6818">
        <v>29</v>
      </c>
      <c r="AC6818">
        <v>-2.9699999999991102E-2</v>
      </c>
      <c r="AD6818">
        <v>0.115205999999999</v>
      </c>
      <c r="AE6818">
        <v>-0.50712400000000002</v>
      </c>
      <c r="AF6818">
        <v>0.25801441371348399</v>
      </c>
      <c r="AG6818">
        <v>0.115205999999999</v>
      </c>
      <c r="AH6818">
        <v>0.40848073850208799</v>
      </c>
      <c r="AI6818">
        <v>76.588227951231005</v>
      </c>
      <c r="AJ6818">
        <v>57.721690725825603</v>
      </c>
      <c r="AK6818">
        <v>0.496689413866577</v>
      </c>
      <c r="AL6818">
        <v>86.123604295657003</v>
      </c>
      <c r="AM6818">
        <v>87.4221280138064</v>
      </c>
      <c r="AN6818">
        <v>1.0000000555872499</v>
      </c>
    </row>
    <row r="6819" spans="1:40" x14ac:dyDescent="0.25">
      <c r="A6819" t="str">
        <f>"20190312160505412"</f>
        <v>20190312160505412</v>
      </c>
      <c r="B6819" t="str">
        <f>"1552377905402052"</f>
        <v>1552377905402052</v>
      </c>
      <c r="C6819" t="s">
        <v>40</v>
      </c>
      <c r="D6819">
        <v>5.7224570000000003</v>
      </c>
      <c r="E6819">
        <v>0.63469229999999999</v>
      </c>
      <c r="F6819" t="s">
        <v>49</v>
      </c>
      <c r="G6819">
        <v>-299.13249999999999</v>
      </c>
      <c r="H6819">
        <v>1.1604460000000001</v>
      </c>
      <c r="I6819">
        <v>3.772224</v>
      </c>
      <c r="J6819">
        <v>-299.09699999999998</v>
      </c>
      <c r="K6819">
        <v>1.0472760000000001</v>
      </c>
      <c r="L6819">
        <v>4.2786869999999997</v>
      </c>
      <c r="M6819">
        <v>0.4695587</v>
      </c>
      <c r="N6819">
        <v>0</v>
      </c>
      <c r="O6819">
        <v>-0.88274739999999996</v>
      </c>
      <c r="P6819">
        <v>0.4312069</v>
      </c>
      <c r="Q6819">
        <v>5.2215610000000003E-2</v>
      </c>
      <c r="R6819">
        <v>-0.90074129999999997</v>
      </c>
      <c r="S6819">
        <v>0.37561040000000001</v>
      </c>
      <c r="T6819">
        <v>0.4618989</v>
      </c>
      <c r="U6819">
        <v>-3.1418759999999999</v>
      </c>
      <c r="V6819">
        <v>4.4439659999999999E-2</v>
      </c>
      <c r="W6819">
        <v>6.7311679999999999E-2</v>
      </c>
      <c r="X6819">
        <v>0.99674180000000001</v>
      </c>
      <c r="Y6819">
        <v>0.36221019999999998</v>
      </c>
      <c r="Z6819">
        <v>-0.11490350000000001</v>
      </c>
      <c r="AA6819">
        <v>0.924987</v>
      </c>
      <c r="AB6819">
        <v>29</v>
      </c>
      <c r="AC6819">
        <v>-3.5500000000013097E-2</v>
      </c>
      <c r="AD6819">
        <v>0.11316999999999899</v>
      </c>
      <c r="AE6819">
        <v>-0.506463000000001</v>
      </c>
      <c r="AF6819">
        <v>0.25644628091392202</v>
      </c>
      <c r="AG6819">
        <v>0.11316999999999899</v>
      </c>
      <c r="AH6819">
        <v>0.41009198888962001</v>
      </c>
      <c r="AI6819">
        <v>76.8308383365395</v>
      </c>
      <c r="AJ6819">
        <v>57.980675060058601</v>
      </c>
      <c r="AK6819">
        <v>0.49673693565712101</v>
      </c>
      <c r="AL6819">
        <v>86.140406451668795</v>
      </c>
      <c r="AM6819">
        <v>87.447162503219602</v>
      </c>
      <c r="AN6819">
        <v>0.99999998075628804</v>
      </c>
    </row>
    <row r="6820" spans="1:40" x14ac:dyDescent="0.25">
      <c r="A6820" t="str">
        <f>"20190312160505446"</f>
        <v>20190312160505446</v>
      </c>
      <c r="B6820" t="str">
        <f>"1552377905442067"</f>
        <v>1552377905442067</v>
      </c>
      <c r="C6820" t="s">
        <v>40</v>
      </c>
      <c r="D6820">
        <v>5.7929409999999999</v>
      </c>
      <c r="E6820">
        <v>0.63322109999999998</v>
      </c>
      <c r="F6820" t="s">
        <v>49</v>
      </c>
      <c r="G6820">
        <v>-299.01639999999998</v>
      </c>
      <c r="H6820">
        <v>1.158571</v>
      </c>
      <c r="I6820">
        <v>3.5098729999999998</v>
      </c>
      <c r="J6820">
        <v>-298.90859999999998</v>
      </c>
      <c r="K6820">
        <v>1.0473209999999999</v>
      </c>
      <c r="L6820">
        <v>3.869049</v>
      </c>
      <c r="M6820">
        <v>0.4476541</v>
      </c>
      <c r="N6820">
        <v>0</v>
      </c>
      <c r="O6820">
        <v>-0.89405480000000004</v>
      </c>
      <c r="P6820">
        <v>0.41009859999999998</v>
      </c>
      <c r="Q6820">
        <v>5.1324460000000002E-2</v>
      </c>
      <c r="R6820">
        <v>-0.91059610000000002</v>
      </c>
      <c r="S6820">
        <v>0.33010859999999997</v>
      </c>
      <c r="T6820">
        <v>0.45546540000000002</v>
      </c>
      <c r="U6820">
        <v>-3.1461489999999999</v>
      </c>
      <c r="V6820">
        <v>4.3081630000000003E-2</v>
      </c>
      <c r="W6820">
        <v>6.6461969999999995E-2</v>
      </c>
      <c r="X6820">
        <v>0.99685849999999998</v>
      </c>
      <c r="Y6820">
        <v>0.35258979999999901</v>
      </c>
      <c r="Z6820">
        <v>-0.1158906</v>
      </c>
      <c r="AA6820">
        <v>0.92857409999999996</v>
      </c>
      <c r="AB6820">
        <v>29</v>
      </c>
      <c r="AC6820">
        <v>-0.107799999999997</v>
      </c>
      <c r="AD6820">
        <v>0.11125</v>
      </c>
      <c r="AE6820">
        <v>-0.359175999999999</v>
      </c>
      <c r="AF6820">
        <v>0.23639570563495199</v>
      </c>
      <c r="AG6820">
        <v>0.11125</v>
      </c>
      <c r="AH6820">
        <v>0.25082787618708002</v>
      </c>
      <c r="AI6820">
        <v>72.111357339074999</v>
      </c>
      <c r="AJ6820">
        <v>46.696676379125698</v>
      </c>
      <c r="AK6820">
        <v>0.36217967311152</v>
      </c>
      <c r="AL6820">
        <v>86.189200765762095</v>
      </c>
      <c r="AM6820">
        <v>87.525365418578701</v>
      </c>
      <c r="AN6820">
        <v>1.00000004466099</v>
      </c>
    </row>
    <row r="6821" spans="1:40" x14ac:dyDescent="0.25">
      <c r="A6821" t="str">
        <f>"20190312160505469"</f>
        <v>20190312160505469</v>
      </c>
      <c r="B6821" t="str">
        <f>"1552377905461588"</f>
        <v>1552377905461588</v>
      </c>
      <c r="C6821" t="s">
        <v>40</v>
      </c>
      <c r="D6821">
        <v>5.8654599999999997</v>
      </c>
      <c r="E6821">
        <v>0.63284459999999998</v>
      </c>
      <c r="F6821" t="s">
        <v>119</v>
      </c>
      <c r="G6821">
        <v>-291.79270000000002</v>
      </c>
      <c r="H6821">
        <v>12.64978</v>
      </c>
      <c r="I6821">
        <v>-80.047519999999906</v>
      </c>
      <c r="J6821">
        <v>-298.78859999999997</v>
      </c>
      <c r="K6821">
        <v>1.047356</v>
      </c>
      <c r="L6821">
        <v>3.5922239999999999</v>
      </c>
      <c r="M6821">
        <v>0.43282910000000002</v>
      </c>
      <c r="N6821">
        <v>0</v>
      </c>
      <c r="O6821">
        <v>-0.90132540000000005</v>
      </c>
      <c r="P6821">
        <v>0.39652730000000003</v>
      </c>
      <c r="Q6821">
        <v>5.112365E-2</v>
      </c>
      <c r="R6821">
        <v>-0.91659840000000004</v>
      </c>
      <c r="S6821">
        <v>0.26708979999999999</v>
      </c>
      <c r="T6821">
        <v>0.4354864</v>
      </c>
      <c r="U6821">
        <v>-3.1497190000000002</v>
      </c>
      <c r="V6821">
        <v>4.1419200000000003E-2</v>
      </c>
      <c r="W6821">
        <v>6.6312079999999995E-2</v>
      </c>
      <c r="X6821">
        <v>0.99693889999999996</v>
      </c>
      <c r="Y6821">
        <v>0.35562270000000001</v>
      </c>
      <c r="Z6821">
        <v>-0.1122356</v>
      </c>
      <c r="AA6821">
        <v>0.92786619999999997</v>
      </c>
      <c r="AB6821">
        <v>29</v>
      </c>
      <c r="AC6821">
        <v>6.9958999999999403</v>
      </c>
      <c r="AD6821">
        <v>11.602423999999999</v>
      </c>
      <c r="AE6821">
        <v>-83.639743999999993</v>
      </c>
      <c r="AF6821">
        <v>29.339534602217299</v>
      </c>
      <c r="AG6821">
        <v>11.602423999999999</v>
      </c>
      <c r="AH6821">
        <v>76.954751882959897</v>
      </c>
      <c r="AI6821">
        <v>81.981062368356305</v>
      </c>
      <c r="AJ6821">
        <v>69.130304137460399</v>
      </c>
      <c r="AK6821">
        <v>83.171259282990306</v>
      </c>
      <c r="AL6821">
        <v>86.197807670957602</v>
      </c>
      <c r="AM6821">
        <v>87.620936114260999</v>
      </c>
      <c r="AN6821">
        <v>1.00000000620788</v>
      </c>
    </row>
    <row r="6822" spans="1:40" x14ac:dyDescent="0.25">
      <c r="A6822" t="str">
        <f>"20190312160505490"</f>
        <v>20190312160505490</v>
      </c>
      <c r="B6822" t="str">
        <f>"1552377905482084"</f>
        <v>1552377905482084</v>
      </c>
      <c r="C6822" t="s">
        <v>40</v>
      </c>
      <c r="D6822">
        <v>5.8994169999999997</v>
      </c>
      <c r="E6822">
        <v>0.6204324</v>
      </c>
      <c r="F6822" t="s">
        <v>49</v>
      </c>
      <c r="G6822">
        <v>-298.73230000000001</v>
      </c>
      <c r="H6822">
        <v>1.1559469999999901</v>
      </c>
      <c r="I6822">
        <v>2.7964690000000001</v>
      </c>
      <c r="J6822">
        <v>-298.67849999999999</v>
      </c>
      <c r="K6822">
        <v>1.047391</v>
      </c>
      <c r="L6822">
        <v>3.3267820000000001</v>
      </c>
      <c r="M6822">
        <v>0.41859479999999999</v>
      </c>
      <c r="N6822">
        <v>0</v>
      </c>
      <c r="O6822">
        <v>-0.90802389999999999</v>
      </c>
      <c r="P6822">
        <v>0.38304159999999998</v>
      </c>
      <c r="Q6822">
        <v>4.9775819999999998E-2</v>
      </c>
      <c r="R6822">
        <v>-0.92238940000000003</v>
      </c>
      <c r="S6822">
        <v>0.22293089999999999</v>
      </c>
      <c r="T6822">
        <v>0.43020330000000001</v>
      </c>
      <c r="U6822">
        <v>-3.1525270000000001</v>
      </c>
      <c r="V6822">
        <v>4.0338230000000003E-2</v>
      </c>
      <c r="W6822">
        <v>6.4996470000000001E-2</v>
      </c>
      <c r="X6822">
        <v>0.99706980000000001</v>
      </c>
      <c r="Y6822">
        <v>0.3539079</v>
      </c>
      <c r="Z6822">
        <v>-0.112224</v>
      </c>
      <c r="AA6822">
        <v>0.92852299999999999</v>
      </c>
      <c r="AB6822">
        <v>29</v>
      </c>
      <c r="AC6822">
        <v>-5.3800000000023801E-2</v>
      </c>
      <c r="AD6822">
        <v>0.108555999999999</v>
      </c>
      <c r="AE6822">
        <v>-0.53031300000000003</v>
      </c>
      <c r="AF6822">
        <v>0.26008729073276499</v>
      </c>
      <c r="AG6822">
        <v>0.108555999999999</v>
      </c>
      <c r="AH6822">
        <v>0.440796248201765</v>
      </c>
      <c r="AI6822">
        <v>78.024851930517698</v>
      </c>
      <c r="AJ6822">
        <v>59.457707433109697</v>
      </c>
      <c r="AK6822">
        <v>0.52319321131438801</v>
      </c>
      <c r="AL6822">
        <v>86.273349353591101</v>
      </c>
      <c r="AM6822">
        <v>87.683260880548104</v>
      </c>
      <c r="AN6822">
        <v>0.99999994999201502</v>
      </c>
    </row>
    <row r="6823" spans="1:40" x14ac:dyDescent="0.25">
      <c r="A6823" t="str">
        <f>"20190312160505513"</f>
        <v>20190312160505513</v>
      </c>
      <c r="B6823" t="str">
        <f>"1552377905501604"</f>
        <v>1552377905501604</v>
      </c>
      <c r="C6823" t="s">
        <v>40</v>
      </c>
      <c r="D6823">
        <v>5.5192819999999996</v>
      </c>
      <c r="E6823">
        <v>0.61944449999999995</v>
      </c>
      <c r="F6823" t="s">
        <v>119</v>
      </c>
      <c r="G6823">
        <v>-291.53280000000001</v>
      </c>
      <c r="H6823">
        <v>9.3115410000000001</v>
      </c>
      <c r="I6823">
        <v>-80.916469999999904</v>
      </c>
      <c r="J6823">
        <v>-298.5684</v>
      </c>
      <c r="K6823">
        <v>1.047415</v>
      </c>
      <c r="L6823">
        <v>3.0482480000000001</v>
      </c>
      <c r="M6823">
        <v>0.40363880000000002</v>
      </c>
      <c r="N6823">
        <v>0</v>
      </c>
      <c r="O6823">
        <v>-0.91477010000000003</v>
      </c>
      <c r="P6823">
        <v>0.36822749999999999</v>
      </c>
      <c r="Q6823">
        <v>4.7849570000000001E-2</v>
      </c>
      <c r="R6823">
        <v>-0.92850379999999999</v>
      </c>
      <c r="S6823">
        <v>0.2651367</v>
      </c>
      <c r="T6823">
        <v>0.30663659999999998</v>
      </c>
      <c r="U6823">
        <v>-3.1257929999999998</v>
      </c>
      <c r="V6823">
        <v>3.9913160000000003E-2</v>
      </c>
      <c r="W6823">
        <v>6.308163E-2</v>
      </c>
      <c r="X6823">
        <v>0.99720989999999998</v>
      </c>
      <c r="Y6823">
        <v>0.3251829</v>
      </c>
      <c r="Z6823">
        <v>-8.2462439999999998E-2</v>
      </c>
      <c r="AA6823">
        <v>0.94204880000000002</v>
      </c>
      <c r="AB6823">
        <v>29</v>
      </c>
      <c r="AC6823">
        <v>7.0355999999999801</v>
      </c>
      <c r="AD6823">
        <v>8.2641259999999992</v>
      </c>
      <c r="AE6823">
        <v>-83.964717999999905</v>
      </c>
      <c r="AF6823">
        <v>27.197555369826802</v>
      </c>
      <c r="AG6823">
        <v>8.2641259999999992</v>
      </c>
      <c r="AH6823">
        <v>78.900069306247303</v>
      </c>
      <c r="AI6823">
        <v>84.344803133855606</v>
      </c>
      <c r="AJ6823">
        <v>70.980472218953906</v>
      </c>
      <c r="AK6823">
        <v>83.864317401200495</v>
      </c>
      <c r="AL6823">
        <v>86.383287353006594</v>
      </c>
      <c r="AM6823">
        <v>87.707969389125097</v>
      </c>
      <c r="AN6823">
        <v>0.999999968521325</v>
      </c>
    </row>
    <row r="6824" spans="1:40" x14ac:dyDescent="0.25">
      <c r="A6824" t="str">
        <f>"20190312160505536"</f>
        <v>20190312160505536</v>
      </c>
      <c r="B6824" t="str">
        <f>"1552377905532106"</f>
        <v>1552377905532106</v>
      </c>
      <c r="C6824" t="s">
        <v>40</v>
      </c>
      <c r="D6824">
        <v>5.7061279999999996</v>
      </c>
      <c r="E6824">
        <v>0.6257973</v>
      </c>
      <c r="F6824" t="s">
        <v>119</v>
      </c>
      <c r="G6824">
        <v>-292.60359999999997</v>
      </c>
      <c r="H6824">
        <v>8.8889289999999992</v>
      </c>
      <c r="I6824">
        <v>-80.916469999999904</v>
      </c>
      <c r="J6824">
        <v>-298.46710000000002</v>
      </c>
      <c r="K6824">
        <v>1.0474429999999999</v>
      </c>
      <c r="L6824">
        <v>2.779785</v>
      </c>
      <c r="M6824">
        <v>0.38920080000000001</v>
      </c>
      <c r="N6824">
        <v>0</v>
      </c>
      <c r="O6824">
        <v>-0.92100579999999999</v>
      </c>
      <c r="P6824">
        <v>0.35296060000000001</v>
      </c>
      <c r="Q6824">
        <v>4.6276629999999999E-2</v>
      </c>
      <c r="R6824">
        <v>-0.93449309999999997</v>
      </c>
      <c r="S6824">
        <v>0.22219849999999999</v>
      </c>
      <c r="T6824">
        <v>0.29211120000000002</v>
      </c>
      <c r="U6824">
        <v>-3.1278380000000001</v>
      </c>
      <c r="V6824">
        <v>4.0548920000000002E-2</v>
      </c>
      <c r="W6824">
        <v>6.1485890000000001E-2</v>
      </c>
      <c r="X6824">
        <v>0.9972839</v>
      </c>
      <c r="Y6824">
        <v>0.32319910000000002</v>
      </c>
      <c r="Z6824">
        <v>-7.9460619999999996E-2</v>
      </c>
      <c r="AA6824">
        <v>0.94298910000000002</v>
      </c>
      <c r="AB6824">
        <v>29</v>
      </c>
      <c r="AC6824">
        <v>5.8635000000000401</v>
      </c>
      <c r="AD6824">
        <v>7.84148599999999</v>
      </c>
      <c r="AE6824">
        <v>-83.696254999999994</v>
      </c>
      <c r="AF6824">
        <v>26.942673682910499</v>
      </c>
      <c r="AG6824">
        <v>7.84148599999999</v>
      </c>
      <c r="AH6824">
        <v>78.690221751992993</v>
      </c>
      <c r="AI6824">
        <v>84.614238497209897</v>
      </c>
      <c r="AJ6824">
        <v>71.099355481405695</v>
      </c>
      <c r="AK6824">
        <v>83.543686579237303</v>
      </c>
      <c r="AL6824">
        <v>86.474894336266004</v>
      </c>
      <c r="AM6824">
        <v>87.671673053149505</v>
      </c>
      <c r="AN6824">
        <v>0.999999953390733</v>
      </c>
    </row>
    <row r="6825" spans="1:40" x14ac:dyDescent="0.25">
      <c r="A6825" t="str">
        <f>"20190312160505557"</f>
        <v>20190312160505557</v>
      </c>
      <c r="B6825" t="str">
        <f>"1552377905551625"</f>
        <v>1552377905551625</v>
      </c>
      <c r="C6825" t="s">
        <v>40</v>
      </c>
      <c r="D6825">
        <v>5.4386929999999998</v>
      </c>
      <c r="E6825">
        <v>0.62404510000000002</v>
      </c>
      <c r="F6825" t="s">
        <v>119</v>
      </c>
      <c r="G6825">
        <v>-295.09460000000001</v>
      </c>
      <c r="H6825">
        <v>12.84206</v>
      </c>
      <c r="I6825">
        <v>-79.671169999999904</v>
      </c>
      <c r="J6825">
        <v>-298.36660000000001</v>
      </c>
      <c r="K6825">
        <v>1.0474730000000001</v>
      </c>
      <c r="L6825">
        <v>2.4998170000000002</v>
      </c>
      <c r="M6825">
        <v>0.3741295</v>
      </c>
      <c r="N6825">
        <v>0</v>
      </c>
      <c r="O6825">
        <v>-0.92723040000000001</v>
      </c>
      <c r="P6825">
        <v>0.33788620000000003</v>
      </c>
      <c r="Q6825">
        <v>4.5493579999999999E-2</v>
      </c>
      <c r="R6825">
        <v>-0.94008700000000001</v>
      </c>
      <c r="S6825">
        <v>0.128418</v>
      </c>
      <c r="T6825">
        <v>0.44911430000000002</v>
      </c>
      <c r="U6825">
        <v>-3.1395569999999999</v>
      </c>
      <c r="V6825">
        <v>4.0308330000000003E-2</v>
      </c>
      <c r="W6825">
        <v>6.0707249999999997E-2</v>
      </c>
      <c r="X6825">
        <v>0.99734140000000004</v>
      </c>
      <c r="Y6825">
        <v>0.33618239999999999</v>
      </c>
      <c r="Z6825">
        <v>-0.1221019</v>
      </c>
      <c r="AA6825">
        <v>0.93384829999999996</v>
      </c>
      <c r="AB6825">
        <v>29</v>
      </c>
      <c r="AC6825">
        <v>3.27199999999999</v>
      </c>
      <c r="AD6825">
        <v>11.794587</v>
      </c>
      <c r="AE6825">
        <v>-82.170986999999897</v>
      </c>
      <c r="AF6825">
        <v>27.153883115801499</v>
      </c>
      <c r="AG6825">
        <v>11.794587</v>
      </c>
      <c r="AH6825">
        <v>75.865501706676497</v>
      </c>
      <c r="AI6825">
        <v>81.672540021458801</v>
      </c>
      <c r="AJ6825">
        <v>70.3066268680805</v>
      </c>
      <c r="AK6825">
        <v>81.437215079918602</v>
      </c>
      <c r="AL6825">
        <v>86.519590786311099</v>
      </c>
      <c r="AM6825">
        <v>87.685606004291799</v>
      </c>
      <c r="AN6825">
        <v>0.99999999991195498</v>
      </c>
    </row>
    <row r="6826" spans="1:40" x14ac:dyDescent="0.25">
      <c r="A6826" t="str">
        <f>"20190312160505579"</f>
        <v>20190312160505579</v>
      </c>
      <c r="B6826" t="str">
        <f>"1552377905572125"</f>
        <v>1552377905572125</v>
      </c>
      <c r="C6826" t="s">
        <v>40</v>
      </c>
      <c r="D6826">
        <v>5.7683970000000002</v>
      </c>
      <c r="E6826">
        <v>0.61684559999999999</v>
      </c>
      <c r="F6826" t="s">
        <v>119</v>
      </c>
      <c r="G6826">
        <v>-295.94889999999998</v>
      </c>
      <c r="H6826">
        <v>12.49164</v>
      </c>
      <c r="I6826">
        <v>-80.916469999999904</v>
      </c>
      <c r="J6826">
        <v>-298.2724</v>
      </c>
      <c r="K6826">
        <v>1.0475030000000001</v>
      </c>
      <c r="L6826">
        <v>2.2234799999999999</v>
      </c>
      <c r="M6826">
        <v>0.3592323</v>
      </c>
      <c r="N6826">
        <v>0</v>
      </c>
      <c r="O6826">
        <v>-0.93310329999999997</v>
      </c>
      <c r="P6826">
        <v>0.32322719999999999</v>
      </c>
      <c r="Q6826">
        <v>4.5403190000000003E-2</v>
      </c>
      <c r="R6826">
        <v>-0.94523190000000001</v>
      </c>
      <c r="S6826">
        <v>9.0942380000000003E-2</v>
      </c>
      <c r="T6826">
        <v>0.43046760000000001</v>
      </c>
      <c r="U6826">
        <v>-3.1376650000000001</v>
      </c>
      <c r="V6826">
        <v>3.9837409999999997E-2</v>
      </c>
      <c r="W6826">
        <v>6.062824E-2</v>
      </c>
      <c r="X6826">
        <v>0.9973651</v>
      </c>
      <c r="Y6826">
        <v>0.33221260000000002</v>
      </c>
      <c r="Z6826">
        <v>-0.1184907</v>
      </c>
      <c r="AA6826">
        <v>0.93573220000000001</v>
      </c>
      <c r="AB6826">
        <v>29</v>
      </c>
      <c r="AC6826">
        <v>2.3235000000000201</v>
      </c>
      <c r="AD6826">
        <v>11.444137</v>
      </c>
      <c r="AE6826">
        <v>-83.139949999999899</v>
      </c>
      <c r="AF6826">
        <v>27.187508377906202</v>
      </c>
      <c r="AG6826">
        <v>11.444137</v>
      </c>
      <c r="AH6826">
        <v>76.966278423871103</v>
      </c>
      <c r="AI6826">
        <v>82.019130172457906</v>
      </c>
      <c r="AJ6826">
        <v>70.544781375610597</v>
      </c>
      <c r="AK6826">
        <v>82.425341357463296</v>
      </c>
      <c r="AL6826">
        <v>86.524125985121998</v>
      </c>
      <c r="AM6826">
        <v>87.712670348382304</v>
      </c>
      <c r="AN6826">
        <v>0.99999997270950702</v>
      </c>
    </row>
    <row r="6827" spans="1:40" x14ac:dyDescent="0.25">
      <c r="A6827" t="str">
        <f>"20190312160505602"</f>
        <v>20190312160505602</v>
      </c>
      <c r="B6827" t="str">
        <f>"1552377905591642"</f>
        <v>1552377905591642</v>
      </c>
      <c r="C6827" t="s">
        <v>40</v>
      </c>
      <c r="D6827">
        <v>5.6338650000000001</v>
      </c>
      <c r="E6827">
        <v>0.61519619999999997</v>
      </c>
      <c r="F6827" t="s">
        <v>119</v>
      </c>
      <c r="G6827">
        <v>-295.76870000000002</v>
      </c>
      <c r="H6827">
        <v>10.653700000000001</v>
      </c>
      <c r="I6827">
        <v>-80.916469999999904</v>
      </c>
      <c r="J6827">
        <v>-298.18299999999999</v>
      </c>
      <c r="K6827">
        <v>1.0475460000000001</v>
      </c>
      <c r="L6827">
        <v>1.9468080000000001</v>
      </c>
      <c r="M6827">
        <v>0.34430450000000001</v>
      </c>
      <c r="N6827">
        <v>0</v>
      </c>
      <c r="O6827">
        <v>-0.9387141</v>
      </c>
      <c r="P6827">
        <v>0.30934489999999998</v>
      </c>
      <c r="Q6827">
        <v>4.470296E-2</v>
      </c>
      <c r="R6827">
        <v>-0.94989900000000005</v>
      </c>
      <c r="S6827">
        <v>9.408569E-2</v>
      </c>
      <c r="T6827">
        <v>0.36098970000000002</v>
      </c>
      <c r="U6827">
        <v>-3.124298</v>
      </c>
      <c r="V6827">
        <v>3.8524919999999997E-2</v>
      </c>
      <c r="W6827">
        <v>5.9964730000000001E-2</v>
      </c>
      <c r="X6827">
        <v>0.99745680000000003</v>
      </c>
      <c r="Y6827">
        <v>0.31603989999999998</v>
      </c>
      <c r="Z6827">
        <v>-0.1013281</v>
      </c>
      <c r="AA6827">
        <v>0.94331940000000003</v>
      </c>
      <c r="AB6827">
        <v>29</v>
      </c>
      <c r="AC6827">
        <v>2.4142999999999599</v>
      </c>
      <c r="AD6827">
        <v>9.6061540000000001</v>
      </c>
      <c r="AE6827">
        <v>-82.863277999999994</v>
      </c>
      <c r="AF6827">
        <v>25.919370354843998</v>
      </c>
      <c r="AG6827">
        <v>9.6061540000000001</v>
      </c>
      <c r="AH6827">
        <v>77.585007407100093</v>
      </c>
      <c r="AI6827">
        <v>83.302171265646507</v>
      </c>
      <c r="AJ6827">
        <v>71.526709123155101</v>
      </c>
      <c r="AK6827">
        <v>82.362159567504406</v>
      </c>
      <c r="AL6827">
        <v>86.562211710429807</v>
      </c>
      <c r="AM6827">
        <v>87.788156120878597</v>
      </c>
      <c r="AN6827">
        <v>1.0000000030856</v>
      </c>
    </row>
    <row r="6828" spans="1:40" x14ac:dyDescent="0.25">
      <c r="A6828" t="str">
        <f>"20190312160505624"</f>
        <v>20190312160505624</v>
      </c>
      <c r="B6828" t="str">
        <f>"1552377905621898"</f>
        <v>1552377905621898</v>
      </c>
      <c r="C6828" t="s">
        <v>40</v>
      </c>
      <c r="D6828">
        <v>5.8991150000000001</v>
      </c>
      <c r="E6828">
        <v>0.61310509999999996</v>
      </c>
      <c r="F6828" t="s">
        <v>119</v>
      </c>
      <c r="G6828">
        <v>-296.57589999999999</v>
      </c>
      <c r="H6828">
        <v>10.496320000000001</v>
      </c>
      <c r="I6828">
        <v>-80.916469999999904</v>
      </c>
      <c r="J6828">
        <v>-298.09840000000003</v>
      </c>
      <c r="K6828">
        <v>1.047598</v>
      </c>
      <c r="L6828">
        <v>1.6699520000000001</v>
      </c>
      <c r="M6828">
        <v>0.32935449999999999</v>
      </c>
      <c r="N6828">
        <v>0</v>
      </c>
      <c r="O6828">
        <v>-0.94406319999999999</v>
      </c>
      <c r="P6828">
        <v>0.29504619999999998</v>
      </c>
      <c r="Q6828">
        <v>4.3640810000000002E-2</v>
      </c>
      <c r="R6828">
        <v>-0.95448630000000001</v>
      </c>
      <c r="S6828">
        <v>6.0546879999999997E-2</v>
      </c>
      <c r="T6828">
        <v>0.35597060000000003</v>
      </c>
      <c r="U6828">
        <v>-3.1217649999999999</v>
      </c>
      <c r="V6828">
        <v>3.76405E-2</v>
      </c>
      <c r="W6828">
        <v>5.8925640000000001E-2</v>
      </c>
      <c r="X6828">
        <v>0.99755249999999995</v>
      </c>
      <c r="Y6828">
        <v>0.31107859999999998</v>
      </c>
      <c r="Z6828">
        <v>-0.10102129999999999</v>
      </c>
      <c r="AA6828">
        <v>0.9449999</v>
      </c>
      <c r="AB6828">
        <v>29</v>
      </c>
      <c r="AC6828">
        <v>1.5225000000000299</v>
      </c>
      <c r="AD6828">
        <v>9.4487219999999894</v>
      </c>
      <c r="AE6828">
        <v>-82.586421999999899</v>
      </c>
      <c r="AF6828">
        <v>25.433552095487801</v>
      </c>
      <c r="AG6828">
        <v>9.4487219999999894</v>
      </c>
      <c r="AH6828">
        <v>77.465200954445805</v>
      </c>
      <c r="AI6828">
        <v>83.3896220422927</v>
      </c>
      <c r="AJ6828">
        <v>71.823838980991695</v>
      </c>
      <c r="AK6828">
        <v>82.079237804330603</v>
      </c>
      <c r="AL6828">
        <v>86.621852693089807</v>
      </c>
      <c r="AM6828">
        <v>87.839092034757797</v>
      </c>
      <c r="AN6828">
        <v>1.0000000142729499</v>
      </c>
    </row>
    <row r="6829" spans="1:40" x14ac:dyDescent="0.25">
      <c r="A6829" t="str">
        <f>"20190312160505647"</f>
        <v>20190312160505647</v>
      </c>
      <c r="B6829" t="str">
        <f>"1552377905641455"</f>
        <v>1552377905641455</v>
      </c>
      <c r="C6829" t="s">
        <v>40</v>
      </c>
      <c r="D6829">
        <v>6.1296619999999997</v>
      </c>
      <c r="E6829">
        <v>0.60627039999999999</v>
      </c>
      <c r="F6829" t="s">
        <v>119</v>
      </c>
      <c r="G6829">
        <v>-297.33550000000002</v>
      </c>
      <c r="H6829">
        <v>9.9320400000000006</v>
      </c>
      <c r="I6829">
        <v>-80.916469999999904</v>
      </c>
      <c r="J6829">
        <v>-298.01650000000001</v>
      </c>
      <c r="K6829">
        <v>1.0476479999999999</v>
      </c>
      <c r="L6829">
        <v>1.3862000000000001</v>
      </c>
      <c r="M6829">
        <v>0.31402740000000001</v>
      </c>
      <c r="N6829">
        <v>0</v>
      </c>
      <c r="O6829">
        <v>-0.94927189999999995</v>
      </c>
      <c r="P6829">
        <v>0.28044790000000003</v>
      </c>
      <c r="Q6829">
        <v>4.3336100000000002E-2</v>
      </c>
      <c r="R6829">
        <v>-0.95889049999999998</v>
      </c>
      <c r="S6829">
        <v>2.8808589999999999E-2</v>
      </c>
      <c r="T6829">
        <v>0.33551370000000003</v>
      </c>
      <c r="U6829">
        <v>-3.118805</v>
      </c>
      <c r="V6829">
        <v>3.6699059999999999E-2</v>
      </c>
      <c r="W6829">
        <v>5.8644309999999998E-2</v>
      </c>
      <c r="X6829">
        <v>0.99760409999999999</v>
      </c>
      <c r="Y6829">
        <v>0.305288</v>
      </c>
      <c r="Z6829">
        <v>-9.6306559999999999E-2</v>
      </c>
      <c r="AA6829">
        <v>0.94737760000000004</v>
      </c>
      <c r="AB6829">
        <v>29</v>
      </c>
      <c r="AC6829">
        <v>0.68099999999998295</v>
      </c>
      <c r="AD6829">
        <v>8.8843919999999894</v>
      </c>
      <c r="AE6829">
        <v>-82.302669999999907</v>
      </c>
      <c r="AF6829">
        <v>24.911964997876201</v>
      </c>
      <c r="AG6829">
        <v>8.8843919999999894</v>
      </c>
      <c r="AH6829">
        <v>77.449592010221707</v>
      </c>
      <c r="AI6829">
        <v>83.767888756160403</v>
      </c>
      <c r="AJ6829">
        <v>72.169409303563</v>
      </c>
      <c r="AK6829">
        <v>81.841173768555393</v>
      </c>
      <c r="AL6829">
        <v>86.637999449319196</v>
      </c>
      <c r="AM6829">
        <v>87.893198822632399</v>
      </c>
      <c r="AN6829">
        <v>0.99999995821853405</v>
      </c>
    </row>
    <row r="6830" spans="1:40" x14ac:dyDescent="0.25">
      <c r="A6830" t="str">
        <f>"20190312160505669"</f>
        <v>20190312160505669</v>
      </c>
      <c r="B6830" t="str">
        <f>"1552377905661951"</f>
        <v>1552377905661951</v>
      </c>
      <c r="C6830" t="s">
        <v>40</v>
      </c>
      <c r="D6830">
        <v>6.1685019999999904</v>
      </c>
      <c r="E6830">
        <v>0.60402259999999997</v>
      </c>
      <c r="F6830" t="s">
        <v>119</v>
      </c>
      <c r="G6830">
        <v>-297.161</v>
      </c>
      <c r="H6830">
        <v>8.6759409999999999</v>
      </c>
      <c r="I6830">
        <v>-80.916469999999904</v>
      </c>
      <c r="J6830">
        <v>-297.94069999999999</v>
      </c>
      <c r="K6830">
        <v>1.04775</v>
      </c>
      <c r="L6830">
        <v>1.105286</v>
      </c>
      <c r="M6830">
        <v>0.29882199999999998</v>
      </c>
      <c r="N6830">
        <v>0</v>
      </c>
      <c r="O6830">
        <v>-0.95416710000000005</v>
      </c>
      <c r="P6830">
        <v>0.26689259999999998</v>
      </c>
      <c r="Q6830">
        <v>4.427648E-2</v>
      </c>
      <c r="R6830">
        <v>-0.96270860000000003</v>
      </c>
      <c r="S6830">
        <v>3.22876E-2</v>
      </c>
      <c r="T6830">
        <v>0.2878985</v>
      </c>
      <c r="U6830">
        <v>-3.1061709999999998</v>
      </c>
      <c r="V6830">
        <v>3.4838639999999997E-2</v>
      </c>
      <c r="W6830">
        <v>5.9675810000000003E-2</v>
      </c>
      <c r="X6830">
        <v>0.99760970000000004</v>
      </c>
      <c r="Y6830">
        <v>0.28893790000000003</v>
      </c>
      <c r="Z6830">
        <v>-8.4005369999999996E-2</v>
      </c>
      <c r="AA6830">
        <v>0.95365509999999998</v>
      </c>
      <c r="AB6830">
        <v>29</v>
      </c>
      <c r="AC6830">
        <v>0.77969999999999096</v>
      </c>
      <c r="AD6830">
        <v>7.6281910000000002</v>
      </c>
      <c r="AE6830">
        <v>-82.021755999999996</v>
      </c>
      <c r="AF6830">
        <v>23.565349511607501</v>
      </c>
      <c r="AG6830">
        <v>7.6281910000000002</v>
      </c>
      <c r="AH6830">
        <v>77.832927736655606</v>
      </c>
      <c r="AI6830">
        <v>84.641213383669907</v>
      </c>
      <c r="AJ6830">
        <v>73.155347108017693</v>
      </c>
      <c r="AK6830">
        <v>81.679126070227696</v>
      </c>
      <c r="AL6830">
        <v>86.578795374911607</v>
      </c>
      <c r="AM6830">
        <v>87.999923040303599</v>
      </c>
      <c r="AN6830">
        <v>1.00000002333514</v>
      </c>
    </row>
    <row r="6831" spans="1:40" x14ac:dyDescent="0.25">
      <c r="A6831" t="str">
        <f>"20190312160505693"</f>
        <v>20190312160505693</v>
      </c>
      <c r="B6831" t="str">
        <f>"1552377905681468"</f>
        <v>1552377905681468</v>
      </c>
      <c r="C6831" t="s">
        <v>40</v>
      </c>
      <c r="D6831">
        <v>5.7641410000000004</v>
      </c>
      <c r="E6831">
        <v>0.60284190000000004</v>
      </c>
      <c r="F6831" t="s">
        <v>119</v>
      </c>
      <c r="G6831">
        <v>-297.79770000000002</v>
      </c>
      <c r="H6831">
        <v>8.3645390000000006</v>
      </c>
      <c r="I6831">
        <v>-79.671169999999904</v>
      </c>
      <c r="J6831">
        <v>-297.86799999999999</v>
      </c>
      <c r="K6831">
        <v>1.048257</v>
      </c>
      <c r="L6831">
        <v>0.81964110000000001</v>
      </c>
      <c r="M6831">
        <v>0.28274389999999999</v>
      </c>
      <c r="N6831">
        <v>0</v>
      </c>
      <c r="O6831">
        <v>-0.9590476</v>
      </c>
      <c r="P6831">
        <v>0.2522277</v>
      </c>
      <c r="Q6831">
        <v>4.386636E-2</v>
      </c>
      <c r="R6831">
        <v>-0.96667309999999995</v>
      </c>
      <c r="S6831">
        <v>5.493164E-3</v>
      </c>
      <c r="T6831">
        <v>0.28095890000000001</v>
      </c>
      <c r="U6831">
        <v>-3.1017459999999999</v>
      </c>
      <c r="V6831">
        <v>3.3191940000000003E-2</v>
      </c>
      <c r="W6831">
        <v>5.9728169999999997E-2</v>
      </c>
      <c r="X6831">
        <v>0.99766270000000001</v>
      </c>
      <c r="Y6831">
        <v>0.28106740000000002</v>
      </c>
      <c r="Z6831">
        <v>-8.2877900000000004E-2</v>
      </c>
      <c r="AA6831">
        <v>0.95610269999999997</v>
      </c>
      <c r="AB6831">
        <v>28</v>
      </c>
      <c r="AC6831">
        <v>7.0299999999974702E-2</v>
      </c>
      <c r="AD6831">
        <v>7.3162820000000002</v>
      </c>
      <c r="AE6831">
        <v>-80.490811099999902</v>
      </c>
      <c r="AF6831">
        <v>22.508119651206002</v>
      </c>
      <c r="AG6831">
        <v>7.3162820000000002</v>
      </c>
      <c r="AH6831">
        <v>76.592535443057201</v>
      </c>
      <c r="AI6831">
        <v>84.763651721523004</v>
      </c>
      <c r="AJ6831">
        <v>73.623608613771296</v>
      </c>
      <c r="AK6831">
        <v>80.165827620829205</v>
      </c>
      <c r="AL6831">
        <v>86.575789965085306</v>
      </c>
      <c r="AM6831">
        <v>88.094489376778995</v>
      </c>
      <c r="AN6831">
        <v>1.0000000110719001</v>
      </c>
    </row>
    <row r="6832" spans="1:40" x14ac:dyDescent="0.25">
      <c r="A6832" t="str">
        <f>"20190312160505714"</f>
        <v>20190312160505714</v>
      </c>
      <c r="B6832" t="str">
        <f>"1552377905701963"</f>
        <v>1552377905701963</v>
      </c>
      <c r="C6832" t="s">
        <v>40</v>
      </c>
      <c r="D6832">
        <v>5.87859</v>
      </c>
      <c r="E6832">
        <v>0.59496949999999904</v>
      </c>
      <c r="F6832" t="s">
        <v>119</v>
      </c>
      <c r="G6832">
        <v>-298.72289999999998</v>
      </c>
      <c r="H6832">
        <v>7.9244770000000004</v>
      </c>
      <c r="I6832">
        <v>-79.671169999999904</v>
      </c>
      <c r="J6832">
        <v>-297.80090000000001</v>
      </c>
      <c r="K6832">
        <v>1.048675</v>
      </c>
      <c r="L6832">
        <v>0.54156490000000002</v>
      </c>
      <c r="M6832">
        <v>0.26680609999999999</v>
      </c>
      <c r="N6832">
        <v>0</v>
      </c>
      <c r="O6832">
        <v>-0.9635956</v>
      </c>
      <c r="P6832">
        <v>0.23638229999999999</v>
      </c>
      <c r="Q6832">
        <v>4.2155669999999999E-2</v>
      </c>
      <c r="R6832">
        <v>-0.97074530000000003</v>
      </c>
      <c r="S6832">
        <v>-3.2928470000000001E-2</v>
      </c>
      <c r="T6832">
        <v>0.2648298</v>
      </c>
      <c r="U6832">
        <v>-3.100006</v>
      </c>
      <c r="V6832">
        <v>3.2946059999999999E-2</v>
      </c>
      <c r="W6832">
        <v>5.845914E-2</v>
      </c>
      <c r="X6832">
        <v>0.99774600000000002</v>
      </c>
      <c r="Y6832">
        <v>0.27701350000000002</v>
      </c>
      <c r="Z6832">
        <v>-7.8824399999999906E-2</v>
      </c>
      <c r="AA6832">
        <v>0.95762740000000002</v>
      </c>
      <c r="AB6832">
        <v>28</v>
      </c>
      <c r="AC6832">
        <v>-0.92199999999996796</v>
      </c>
      <c r="AD6832">
        <v>6.8758020000000002</v>
      </c>
      <c r="AE6832">
        <v>-80.212734899999901</v>
      </c>
      <c r="AF6832">
        <v>22.1304148821743</v>
      </c>
      <c r="AG6832">
        <v>6.8758020000000002</v>
      </c>
      <c r="AH6832">
        <v>76.496119167484494</v>
      </c>
      <c r="AI6832">
        <v>85.065112660531994</v>
      </c>
      <c r="AJ6832">
        <v>73.8647830644789</v>
      </c>
      <c r="AK6832">
        <v>79.929269755743107</v>
      </c>
      <c r="AL6832">
        <v>86.648627273245907</v>
      </c>
      <c r="AM6832">
        <v>88.108752565600199</v>
      </c>
      <c r="AN6832">
        <v>0.99999999721753097</v>
      </c>
    </row>
    <row r="6833" spans="1:40" x14ac:dyDescent="0.25">
      <c r="A6833" t="str">
        <f>"20190312160505737"</f>
        <v>20190312160505737</v>
      </c>
      <c r="B6833" t="str">
        <f>"1552377905732219"</f>
        <v>1552377905732219</v>
      </c>
      <c r="C6833" t="s">
        <v>40</v>
      </c>
      <c r="D6833">
        <v>5.9617139999999997</v>
      </c>
      <c r="E6833">
        <v>0.59568359999999998</v>
      </c>
      <c r="F6833" t="s">
        <v>119</v>
      </c>
      <c r="G6833">
        <v>-298.43209999999999</v>
      </c>
      <c r="H6833">
        <v>6.7010789999999902</v>
      </c>
      <c r="I6833">
        <v>-79.671169999999904</v>
      </c>
      <c r="J6833">
        <v>-297.73899999999998</v>
      </c>
      <c r="K6833">
        <v>1.0488999999999999</v>
      </c>
      <c r="L6833">
        <v>0.26812740000000002</v>
      </c>
      <c r="M6833">
        <v>0.25306050000000002</v>
      </c>
      <c r="N6833">
        <v>0</v>
      </c>
      <c r="O6833">
        <v>-0.96729149999999997</v>
      </c>
      <c r="P6833">
        <v>0.22278809999999999</v>
      </c>
      <c r="Q6833">
        <v>4.0773789999999997E-2</v>
      </c>
      <c r="R6833">
        <v>-0.97401389999999999</v>
      </c>
      <c r="S6833">
        <v>-2.4291989999999999E-2</v>
      </c>
      <c r="T6833">
        <v>0.217526</v>
      </c>
      <c r="U6833">
        <v>-3.086884</v>
      </c>
      <c r="V6833">
        <v>3.272502E-2</v>
      </c>
      <c r="W6833">
        <v>5.7327589999999998E-2</v>
      </c>
      <c r="X6833">
        <v>0.99781889999999995</v>
      </c>
      <c r="Y6833">
        <v>0.26067610000000002</v>
      </c>
      <c r="Z6833">
        <v>-6.5645789999999996E-2</v>
      </c>
      <c r="AA6833">
        <v>0.96319189999999999</v>
      </c>
      <c r="AB6833">
        <v>28</v>
      </c>
      <c r="AC6833">
        <v>-0.69309999999995797</v>
      </c>
      <c r="AD6833">
        <v>5.6521789999999896</v>
      </c>
      <c r="AE6833">
        <v>-79.939297399999901</v>
      </c>
      <c r="AF6833">
        <v>20.799148962276099</v>
      </c>
      <c r="AG6833">
        <v>5.6521789999999896</v>
      </c>
      <c r="AH6833">
        <v>76.777267054795601</v>
      </c>
      <c r="AI6833">
        <v>85.935583878500097</v>
      </c>
      <c r="AJ6833">
        <v>74.842243093070095</v>
      </c>
      <c r="AK6833">
        <v>79.745222185447602</v>
      </c>
      <c r="AL6833">
        <v>86.713569143719596</v>
      </c>
      <c r="AM6833">
        <v>88.121569251335501</v>
      </c>
      <c r="AN6833">
        <v>0.99999996835320804</v>
      </c>
    </row>
    <row r="6834" spans="1:40" x14ac:dyDescent="0.25">
      <c r="A6834" t="str">
        <f>"20190312160505758"</f>
        <v>20190312160505758</v>
      </c>
      <c r="B6834" t="str">
        <f>"1552377905751739"</f>
        <v>1552377905751739</v>
      </c>
      <c r="C6834" t="s">
        <v>40</v>
      </c>
      <c r="D6834">
        <v>5.9214710000000004</v>
      </c>
      <c r="E6834">
        <v>0.59529860000000001</v>
      </c>
      <c r="F6834" t="s">
        <v>119</v>
      </c>
      <c r="G6834">
        <v>-299.77429999999998</v>
      </c>
      <c r="H6834">
        <v>6.6740869999999903</v>
      </c>
      <c r="I6834">
        <v>-85.513819999999996</v>
      </c>
      <c r="J6834">
        <v>-297.68169999999998</v>
      </c>
      <c r="K6834">
        <v>1.0490600000000001</v>
      </c>
      <c r="L6834">
        <v>-7.1105959999999899E-3</v>
      </c>
      <c r="M6834">
        <v>0.24056810000000001</v>
      </c>
      <c r="N6834">
        <v>0</v>
      </c>
      <c r="O6834">
        <v>-0.97048610000000002</v>
      </c>
      <c r="P6834">
        <v>0.21088170000000001</v>
      </c>
      <c r="Q6834">
        <v>4.1846469999999997E-2</v>
      </c>
      <c r="R6834">
        <v>-0.97661569999999998</v>
      </c>
      <c r="S6834">
        <v>-7.3272710000000005E-2</v>
      </c>
      <c r="T6834">
        <v>0.20251820000000001</v>
      </c>
      <c r="U6834">
        <v>-3.0883180000000001</v>
      </c>
      <c r="V6834">
        <v>3.2119139999999997E-2</v>
      </c>
      <c r="W6834">
        <v>5.7686059999999997E-2</v>
      </c>
      <c r="X6834">
        <v>0.99781790000000004</v>
      </c>
      <c r="Y6834">
        <v>0.263501599999999</v>
      </c>
      <c r="Z6834">
        <v>-6.1385870000000002E-2</v>
      </c>
      <c r="AA6834">
        <v>0.96270389999999995</v>
      </c>
      <c r="AB6834">
        <v>28</v>
      </c>
      <c r="AC6834">
        <v>-2.0926</v>
      </c>
      <c r="AD6834">
        <v>5.6250269999999896</v>
      </c>
      <c r="AE6834">
        <v>-85.506709403999906</v>
      </c>
      <c r="AF6834">
        <v>22.506889782000801</v>
      </c>
      <c r="AG6834">
        <v>5.6250269999999896</v>
      </c>
      <c r="AH6834">
        <v>82.136122209082401</v>
      </c>
      <c r="AI6834">
        <v>86.221138535478403</v>
      </c>
      <c r="AJ6834">
        <v>74.675996619622794</v>
      </c>
      <c r="AK6834">
        <v>85.349537713775504</v>
      </c>
      <c r="AL6834">
        <v>86.692996188940199</v>
      </c>
      <c r="AM6834">
        <v>88.156320959220906</v>
      </c>
      <c r="AN6834">
        <v>0.99999994111653401</v>
      </c>
    </row>
    <row r="6835" spans="1:40" x14ac:dyDescent="0.25">
      <c r="A6835" t="str">
        <f>"20190312160505781"</f>
        <v>20190312160505781</v>
      </c>
      <c r="B6835" t="str">
        <f>"1552377905772236"</f>
        <v>1552377905772236</v>
      </c>
      <c r="C6835" t="s">
        <v>40</v>
      </c>
      <c r="D6835">
        <v>5.8137420000000004</v>
      </c>
      <c r="E6835">
        <v>0.59592900000000004</v>
      </c>
      <c r="F6835" t="s">
        <v>119</v>
      </c>
      <c r="G6835">
        <v>-300.74759999999998</v>
      </c>
      <c r="H6835">
        <v>6.6740880000000002</v>
      </c>
      <c r="I6835">
        <v>-87.408169999999998</v>
      </c>
      <c r="J6835">
        <v>-297.62950000000001</v>
      </c>
      <c r="K6835">
        <v>1.049555</v>
      </c>
      <c r="L6835">
        <v>-0.28359990000000002</v>
      </c>
      <c r="M6835">
        <v>0.2278685</v>
      </c>
      <c r="N6835">
        <v>0</v>
      </c>
      <c r="O6835">
        <v>-0.97357400000000005</v>
      </c>
      <c r="P6835">
        <v>0.19861280000000001</v>
      </c>
      <c r="Q6835">
        <v>4.4049070000000003E-2</v>
      </c>
      <c r="R6835">
        <v>-0.97908779999999995</v>
      </c>
      <c r="S6835">
        <v>-0.10827639999999999</v>
      </c>
      <c r="T6835">
        <v>0.19865679999999999</v>
      </c>
      <c r="U6835">
        <v>-3.0867</v>
      </c>
      <c r="V6835">
        <v>3.1643190000000002E-2</v>
      </c>
      <c r="W6835">
        <v>5.8186849999999998E-2</v>
      </c>
      <c r="X6835">
        <v>0.99780409999999997</v>
      </c>
      <c r="Y6835">
        <v>0.26181460000000001</v>
      </c>
      <c r="Z6835">
        <v>-6.0550329999999999E-2</v>
      </c>
      <c r="AA6835">
        <v>0.96321690000000004</v>
      </c>
      <c r="AB6835">
        <v>28</v>
      </c>
      <c r="AC6835">
        <v>-3.1180999999999699</v>
      </c>
      <c r="AD6835">
        <v>5.6245329999999996</v>
      </c>
      <c r="AE6835">
        <v>-87.1245700999999</v>
      </c>
      <c r="AF6835">
        <v>22.796388490120201</v>
      </c>
      <c r="AG6835">
        <v>5.6245329999999996</v>
      </c>
      <c r="AH6835">
        <v>83.7726688155403</v>
      </c>
      <c r="AI6835">
        <v>86.293295733951993</v>
      </c>
      <c r="AJ6835">
        <v>74.777163464133295</v>
      </c>
      <c r="AK6835">
        <v>87.000981259631601</v>
      </c>
      <c r="AL6835">
        <v>86.664254990738399</v>
      </c>
      <c r="AM6835">
        <v>88.183597545281401</v>
      </c>
      <c r="AN6835">
        <v>1.0000000114815499</v>
      </c>
    </row>
    <row r="6836" spans="1:40" x14ac:dyDescent="0.25">
      <c r="A6836" t="str">
        <f>"20190312160505803"</f>
        <v>20190312160505803</v>
      </c>
      <c r="B6836" t="str">
        <f>"1552377905791755"</f>
        <v>1552377905791755</v>
      </c>
      <c r="C6836" t="s">
        <v>40</v>
      </c>
      <c r="D6836">
        <v>5.7246610000000002</v>
      </c>
      <c r="E6836">
        <v>0.59547589999999995</v>
      </c>
      <c r="F6836" t="s">
        <v>119</v>
      </c>
      <c r="G6836">
        <v>-301.74270000000001</v>
      </c>
      <c r="H6836">
        <v>6.6740880000000002</v>
      </c>
      <c r="I6836">
        <v>-83.910569999999893</v>
      </c>
      <c r="J6836">
        <v>-297.58139999999997</v>
      </c>
      <c r="K6836">
        <v>1.050816</v>
      </c>
      <c r="L6836">
        <v>-0.56454469999999901</v>
      </c>
      <c r="M6836">
        <v>0.2142086</v>
      </c>
      <c r="N6836">
        <v>0</v>
      </c>
      <c r="O6836">
        <v>-0.97670009999999996</v>
      </c>
      <c r="P6836">
        <v>0.18530840000000001</v>
      </c>
      <c r="Q6836">
        <v>4.5670969999999998E-2</v>
      </c>
      <c r="R6836">
        <v>-0.98161860000000001</v>
      </c>
      <c r="S6836">
        <v>-0.15176389999999901</v>
      </c>
      <c r="T6836">
        <v>0.20752599999999999</v>
      </c>
      <c r="U6836">
        <v>-3.0855410000000001</v>
      </c>
      <c r="V6836">
        <v>3.1154589999999999E-2</v>
      </c>
      <c r="W6836">
        <v>5.7786509999999999E-2</v>
      </c>
      <c r="X6836">
        <v>0.99784269999999997</v>
      </c>
      <c r="Y6836">
        <v>0.26184380000000002</v>
      </c>
      <c r="Z6836">
        <v>-6.3557359999999993E-2</v>
      </c>
      <c r="AA6836">
        <v>0.96301519999999996</v>
      </c>
      <c r="AB6836">
        <v>28</v>
      </c>
      <c r="AC6836">
        <v>-4.1613000000000397</v>
      </c>
      <c r="AD6836">
        <v>5.623272</v>
      </c>
      <c r="AE6836">
        <v>-83.346025299999994</v>
      </c>
      <c r="AF6836">
        <v>21.820576525040099</v>
      </c>
      <c r="AG6836">
        <v>5.623272</v>
      </c>
      <c r="AH6836">
        <v>80.155627208731602</v>
      </c>
      <c r="AI6836">
        <v>86.127497162391194</v>
      </c>
      <c r="AJ6836">
        <v>74.771530130446394</v>
      </c>
      <c r="AK6836">
        <v>83.262736689927905</v>
      </c>
      <c r="AL6836">
        <v>86.6872313118389</v>
      </c>
      <c r="AM6836">
        <v>88.2116952521787</v>
      </c>
      <c r="AN6836">
        <v>0.99999997157966802</v>
      </c>
    </row>
    <row r="6837" spans="1:40" x14ac:dyDescent="0.25">
      <c r="A6837" t="str">
        <f>"20190312160505825"</f>
        <v>20190312160505825</v>
      </c>
      <c r="B6837" t="str">
        <f>"1552377905822015"</f>
        <v>1552377905822015</v>
      </c>
      <c r="C6837" t="s">
        <v>40</v>
      </c>
      <c r="D6837">
        <v>6.0462689999999997</v>
      </c>
      <c r="E6837">
        <v>0.59533849999999999</v>
      </c>
      <c r="F6837" t="s">
        <v>119</v>
      </c>
      <c r="G6837">
        <v>-302.45699999999999</v>
      </c>
      <c r="H6837">
        <v>6.6877800000000001</v>
      </c>
      <c r="I6837">
        <v>-79.671169999999904</v>
      </c>
      <c r="J6837">
        <v>-297.53699999999998</v>
      </c>
      <c r="K6837">
        <v>1.0528740000000001</v>
      </c>
      <c r="L6837">
        <v>-0.84902949999999999</v>
      </c>
      <c r="M6837">
        <v>0.199522</v>
      </c>
      <c r="N6837">
        <v>0</v>
      </c>
      <c r="O6837">
        <v>-0.97982939999999996</v>
      </c>
      <c r="P6837">
        <v>0.17068539999999999</v>
      </c>
      <c r="Q6837">
        <v>4.6449909999999997E-2</v>
      </c>
      <c r="R6837">
        <v>-0.98423020000000006</v>
      </c>
      <c r="S6837">
        <v>-0.18994140000000001</v>
      </c>
      <c r="T6837">
        <v>0.2196041</v>
      </c>
      <c r="U6837">
        <v>-3.0818180000000002</v>
      </c>
      <c r="V6837">
        <v>3.088803E-2</v>
      </c>
      <c r="W6837">
        <v>5.6705390000000001E-2</v>
      </c>
      <c r="X6837">
        <v>0.9979131</v>
      </c>
      <c r="Y6837">
        <v>0.25928329999999999</v>
      </c>
      <c r="Z6837">
        <v>-6.7651379999999997E-2</v>
      </c>
      <c r="AA6837">
        <v>0.96342899999999998</v>
      </c>
      <c r="AB6837">
        <v>28</v>
      </c>
      <c r="AC6837">
        <v>-4.9199999999999502</v>
      </c>
      <c r="AD6837">
        <v>5.634906</v>
      </c>
      <c r="AE6837">
        <v>-78.822140499999904</v>
      </c>
      <c r="AF6837">
        <v>20.444718901786899</v>
      </c>
      <c r="AG6837">
        <v>5.634906</v>
      </c>
      <c r="AH6837">
        <v>75.869144150136606</v>
      </c>
      <c r="AI6837">
        <v>85.898155803364006</v>
      </c>
      <c r="AJ6837">
        <v>74.918548593934503</v>
      </c>
      <c r="AK6837">
        <v>78.777317361510399</v>
      </c>
      <c r="AL6837">
        <v>86.7492769764429</v>
      </c>
      <c r="AM6837">
        <v>88.227111257052499</v>
      </c>
      <c r="AN6837">
        <v>1.0000000634019599</v>
      </c>
    </row>
    <row r="6838" spans="1:40" x14ac:dyDescent="0.25">
      <c r="A6838" t="str">
        <f>"20190312160505848"</f>
        <v>20190312160505848</v>
      </c>
      <c r="B6838" t="str">
        <f>"1552377905841535"</f>
        <v>1552377905841535</v>
      </c>
      <c r="C6838" t="s">
        <v>40</v>
      </c>
      <c r="D6838">
        <v>5.5554540000000001</v>
      </c>
      <c r="E6838">
        <v>0.59461980000000003</v>
      </c>
      <c r="F6838" t="s">
        <v>119</v>
      </c>
      <c r="G6838">
        <v>-303.524</v>
      </c>
      <c r="H6838">
        <v>7.203411</v>
      </c>
      <c r="I6838">
        <v>-79.671169999999904</v>
      </c>
      <c r="J6838">
        <v>-297.49680000000001</v>
      </c>
      <c r="K6838">
        <v>1.0552889999999999</v>
      </c>
      <c r="L6838">
        <v>-1.1324160000000001</v>
      </c>
      <c r="M6838">
        <v>0.1842435</v>
      </c>
      <c r="N6838">
        <v>0</v>
      </c>
      <c r="O6838">
        <v>-0.98283520000000002</v>
      </c>
      <c r="P6838">
        <v>0.15561659999999999</v>
      </c>
      <c r="Q6838">
        <v>4.7756359999999998E-2</v>
      </c>
      <c r="R6838">
        <v>-0.98666259999999995</v>
      </c>
      <c r="S6838">
        <v>-0.2337341</v>
      </c>
      <c r="T6838">
        <v>0.24012169999999999</v>
      </c>
      <c r="U6838">
        <v>-3.0772710000000001</v>
      </c>
      <c r="V6838">
        <v>3.0473779999999999E-2</v>
      </c>
      <c r="W6838">
        <v>5.6356429999999999E-2</v>
      </c>
      <c r="X6838">
        <v>0.99794550000000004</v>
      </c>
      <c r="Y6838">
        <v>0.2579399</v>
      </c>
      <c r="Z6838">
        <v>-7.4370220000000001E-2</v>
      </c>
      <c r="AA6838">
        <v>0.9632944</v>
      </c>
      <c r="AB6838">
        <v>28</v>
      </c>
      <c r="AC6838">
        <v>-6.0271999999999899</v>
      </c>
      <c r="AD6838">
        <v>6.1481219999999999</v>
      </c>
      <c r="AE6838">
        <v>-78.538753999999898</v>
      </c>
      <c r="AF6838">
        <v>20.2714145093491</v>
      </c>
      <c r="AG6838">
        <v>6.1481219999999999</v>
      </c>
      <c r="AH6838">
        <v>75.622875037904393</v>
      </c>
      <c r="AI6838">
        <v>85.509926774760302</v>
      </c>
      <c r="AJ6838">
        <v>74.994114374861795</v>
      </c>
      <c r="AK6838">
        <v>78.533743571379802</v>
      </c>
      <c r="AL6838">
        <v>86.769302599694797</v>
      </c>
      <c r="AM6838">
        <v>88.250929960969899</v>
      </c>
      <c r="AN6838">
        <v>0.99999995972003997</v>
      </c>
    </row>
    <row r="6839" spans="1:40" x14ac:dyDescent="0.25">
      <c r="A6839" t="str">
        <f>"20190312160505870"</f>
        <v>20190312160505870</v>
      </c>
      <c r="B6839" t="str">
        <f>"1552377905862028"</f>
        <v>1552377905862028</v>
      </c>
      <c r="C6839" t="s">
        <v>40</v>
      </c>
      <c r="D6839">
        <v>6.045369</v>
      </c>
      <c r="E6839">
        <v>0.59383390000000003</v>
      </c>
      <c r="F6839" t="s">
        <v>119</v>
      </c>
      <c r="G6839">
        <v>-304.5317</v>
      </c>
      <c r="H6839">
        <v>7.5072529999999897</v>
      </c>
      <c r="I6839">
        <v>-79.671169999999904</v>
      </c>
      <c r="J6839">
        <v>-297.46030000000002</v>
      </c>
      <c r="K6839">
        <v>1.0576890000000001</v>
      </c>
      <c r="L6839">
        <v>-1.416382</v>
      </c>
      <c r="M6839">
        <v>0.168655</v>
      </c>
      <c r="N6839">
        <v>0</v>
      </c>
      <c r="O6839">
        <v>-0.98564379999999996</v>
      </c>
      <c r="P6839">
        <v>0.14067199999999999</v>
      </c>
      <c r="Q6839">
        <v>4.9133719999999999E-2</v>
      </c>
      <c r="R6839">
        <v>-0.98883650000000001</v>
      </c>
      <c r="S6839">
        <v>-0.27514650000000002</v>
      </c>
      <c r="T6839">
        <v>0.25234469999999998</v>
      </c>
      <c r="U6839">
        <v>-3.0717469999999998</v>
      </c>
      <c r="V6839">
        <v>2.9646749999999999E-2</v>
      </c>
      <c r="W6839">
        <v>5.6217879999999998E-2</v>
      </c>
      <c r="X6839">
        <v>0.99797829999999998</v>
      </c>
      <c r="Y6839">
        <v>0.25563629999999998</v>
      </c>
      <c r="Z6839">
        <v>-7.8595040000000005E-2</v>
      </c>
      <c r="AA6839">
        <v>0.96357300000000001</v>
      </c>
      <c r="AB6839">
        <v>28</v>
      </c>
      <c r="AC6839">
        <v>-7.0713999999999801</v>
      </c>
      <c r="AD6839">
        <v>6.4495639999999996</v>
      </c>
      <c r="AE6839">
        <v>-78.254787999999905</v>
      </c>
      <c r="AF6839">
        <v>20.033587113547</v>
      </c>
      <c r="AG6839">
        <v>6.4495639999999996</v>
      </c>
      <c r="AH6839">
        <v>75.432827610157901</v>
      </c>
      <c r="AI6839">
        <v>85.276033774539002</v>
      </c>
      <c r="AJ6839">
        <v>75.126629376791399</v>
      </c>
      <c r="AK6839">
        <v>78.313810848981007</v>
      </c>
      <c r="AL6839">
        <v>86.777253773684507</v>
      </c>
      <c r="AM6839">
        <v>88.298425689786598</v>
      </c>
      <c r="AN6839">
        <v>1.00000003354407</v>
      </c>
    </row>
    <row r="6840" spans="1:40" x14ac:dyDescent="0.25">
      <c r="A6840" t="str">
        <f>"20190312160505893"</f>
        <v>20190312160505893</v>
      </c>
      <c r="B6840" t="str">
        <f>"1552377905881548"</f>
        <v>1552377905881548</v>
      </c>
      <c r="C6840" t="s">
        <v>40</v>
      </c>
      <c r="D6840">
        <v>6.1469310000000004</v>
      </c>
      <c r="E6840">
        <v>0.59265519999999905</v>
      </c>
      <c r="F6840" t="s">
        <v>119</v>
      </c>
      <c r="G6840">
        <v>-305.51220000000001</v>
      </c>
      <c r="H6840">
        <v>7.5207829999999998</v>
      </c>
      <c r="I6840">
        <v>-79.671169999999904</v>
      </c>
      <c r="J6840">
        <v>-297.4271</v>
      </c>
      <c r="K6840">
        <v>1.0601739999999999</v>
      </c>
      <c r="L6840">
        <v>-1.6973879999999999</v>
      </c>
      <c r="M6840">
        <v>0.15239849999999999</v>
      </c>
      <c r="N6840">
        <v>0</v>
      </c>
      <c r="O6840">
        <v>-0.98829540000000005</v>
      </c>
      <c r="P6840">
        <v>0.12572259999999999</v>
      </c>
      <c r="Q6840">
        <v>5.02569E-2</v>
      </c>
      <c r="R6840">
        <v>-0.99079189999999995</v>
      </c>
      <c r="S6840">
        <v>-0.31549070000000001</v>
      </c>
      <c r="T6840">
        <v>0.25323610000000002</v>
      </c>
      <c r="U6840">
        <v>-3.0661619999999998</v>
      </c>
      <c r="V6840">
        <v>2.8178749999999999E-2</v>
      </c>
      <c r="W6840">
        <v>5.6408319999999998E-2</v>
      </c>
      <c r="X6840">
        <v>0.99800999999999995</v>
      </c>
      <c r="Y6840">
        <v>0.25242530000000002</v>
      </c>
      <c r="Z6840">
        <v>-7.9324069999999997E-2</v>
      </c>
      <c r="AA6840">
        <v>0.96435950000000004</v>
      </c>
      <c r="AB6840">
        <v>28</v>
      </c>
      <c r="AC6840">
        <v>-8.0851000000000095</v>
      </c>
      <c r="AD6840">
        <v>6.4606089999999998</v>
      </c>
      <c r="AE6840">
        <v>-77.9737819999999</v>
      </c>
      <c r="AF6840">
        <v>19.739944552538699</v>
      </c>
      <c r="AG6840">
        <v>6.4606089999999998</v>
      </c>
      <c r="AH6840">
        <v>75.319174411715807</v>
      </c>
      <c r="AI6840">
        <v>85.2568006739846</v>
      </c>
      <c r="AJ6840">
        <v>75.314001151372395</v>
      </c>
      <c r="AK6840">
        <v>78.130550450196196</v>
      </c>
      <c r="AL6840">
        <v>86.766324754145401</v>
      </c>
      <c r="AM6840">
        <v>88.382686933932405</v>
      </c>
      <c r="AN6840">
        <v>0.99999995030839095</v>
      </c>
    </row>
    <row r="6841" spans="1:40" x14ac:dyDescent="0.25">
      <c r="A6841" t="str">
        <f>"20190312160505915"</f>
        <v>20190312160505915</v>
      </c>
      <c r="B6841" t="str">
        <f>"1552377905911804"</f>
        <v>1552377905911804</v>
      </c>
      <c r="C6841" t="s">
        <v>40</v>
      </c>
      <c r="D6841">
        <v>6.0645949999999997</v>
      </c>
      <c r="E6841">
        <v>0.56851739999999995</v>
      </c>
      <c r="F6841" t="s">
        <v>119</v>
      </c>
      <c r="G6841">
        <v>-306.41699999999997</v>
      </c>
      <c r="H6841">
        <v>7.4724009999999996</v>
      </c>
      <c r="I6841">
        <v>-79.671169999999904</v>
      </c>
      <c r="J6841">
        <v>-297.3972</v>
      </c>
      <c r="K6841">
        <v>1.0626639999999901</v>
      </c>
      <c r="L6841">
        <v>-1.9778439999999999</v>
      </c>
      <c r="M6841">
        <v>0.13633789999999901</v>
      </c>
      <c r="N6841">
        <v>0</v>
      </c>
      <c r="O6841">
        <v>-0.99063959999999995</v>
      </c>
      <c r="P6841">
        <v>0.1108097</v>
      </c>
      <c r="Q6841">
        <v>5.0864109999999997E-2</v>
      </c>
      <c r="R6841">
        <v>-0.99253950000000002</v>
      </c>
      <c r="S6841">
        <v>-0.35278320000000002</v>
      </c>
      <c r="T6841">
        <v>0.25163150000000001</v>
      </c>
      <c r="U6841">
        <v>-3.0598749999999999</v>
      </c>
      <c r="V6841">
        <v>2.6953580000000001E-2</v>
      </c>
      <c r="W6841">
        <v>5.6941520000000002E-2</v>
      </c>
      <c r="X6841">
        <v>0.99801359999999995</v>
      </c>
      <c r="Y6841">
        <v>0.24853800000000001</v>
      </c>
      <c r="Z6841">
        <v>-7.9261769999999995E-2</v>
      </c>
      <c r="AA6841">
        <v>0.9653737</v>
      </c>
      <c r="AB6841">
        <v>28</v>
      </c>
      <c r="AC6841">
        <v>-9.0198000000000302</v>
      </c>
      <c r="AD6841">
        <v>6.4097369999999998</v>
      </c>
      <c r="AE6841">
        <v>-77.6933259999999</v>
      </c>
      <c r="AF6841">
        <v>19.3980830135039</v>
      </c>
      <c r="AG6841">
        <v>6.4097369999999998</v>
      </c>
      <c r="AH6841">
        <v>75.232805460280005</v>
      </c>
      <c r="AI6841">
        <v>85.283754229859895</v>
      </c>
      <c r="AJ6841">
        <v>75.541726862981903</v>
      </c>
      <c r="AK6841">
        <v>77.957330447061196</v>
      </c>
      <c r="AL6841">
        <v>86.735725586285596</v>
      </c>
      <c r="AM6841">
        <v>88.452975922606498</v>
      </c>
      <c r="AN6841">
        <v>0.99999998897984299</v>
      </c>
    </row>
    <row r="6842" spans="1:40" x14ac:dyDescent="0.25">
      <c r="A6842" t="str">
        <f>"20190312160505938"</f>
        <v>20190312160505938</v>
      </c>
      <c r="B6842" t="str">
        <f>"1552377905932302"</f>
        <v>1552377905932302</v>
      </c>
      <c r="C6842" t="s">
        <v>40</v>
      </c>
      <c r="D6842">
        <v>6.0913839999999997</v>
      </c>
      <c r="E6842">
        <v>0.5676061</v>
      </c>
      <c r="F6842" t="s">
        <v>119</v>
      </c>
      <c r="G6842">
        <v>-303.00479999999999</v>
      </c>
      <c r="H6842">
        <v>6.6740880000000002</v>
      </c>
      <c r="I6842">
        <v>-83.395930000000007</v>
      </c>
      <c r="J6842">
        <v>-297.37139999999999</v>
      </c>
      <c r="K6842">
        <v>1.0649390000000001</v>
      </c>
      <c r="L6842">
        <v>-2.255798</v>
      </c>
      <c r="M6842">
        <v>0.121562</v>
      </c>
      <c r="N6842">
        <v>0</v>
      </c>
      <c r="O6842">
        <v>-0.99256</v>
      </c>
      <c r="P6842">
        <v>9.6807030000000002E-2</v>
      </c>
      <c r="Q6842">
        <v>5.098606E-2</v>
      </c>
      <c r="R6842">
        <v>-0.99399669999999896</v>
      </c>
      <c r="S6842">
        <v>-0.20904539999999999</v>
      </c>
      <c r="T6842">
        <v>0.20918680000000001</v>
      </c>
      <c r="U6842">
        <v>-3.0351560000000002</v>
      </c>
      <c r="V6842">
        <v>2.6189549999999999E-2</v>
      </c>
      <c r="W6842">
        <v>5.7224770000000001E-2</v>
      </c>
      <c r="X6842">
        <v>0.99801770000000001</v>
      </c>
      <c r="Y6842">
        <v>0.1893204</v>
      </c>
      <c r="Z6842">
        <v>-6.729135E-2</v>
      </c>
      <c r="AA6842">
        <v>0.97960689999999995</v>
      </c>
      <c r="AB6842">
        <v>27</v>
      </c>
      <c r="AC6842">
        <v>-5.6333999999999902</v>
      </c>
      <c r="AD6842">
        <v>5.6091489999999897</v>
      </c>
      <c r="AE6842">
        <v>-81.140131999999994</v>
      </c>
      <c r="AF6842">
        <v>15.382253259416199</v>
      </c>
      <c r="AG6842">
        <v>5.6091489999999897</v>
      </c>
      <c r="AH6842">
        <v>79.475552632205506</v>
      </c>
      <c r="AI6842">
        <v>86.036246218337396</v>
      </c>
      <c r="AJ6842">
        <v>79.046015022039597</v>
      </c>
      <c r="AK6842">
        <v>81.144560717496603</v>
      </c>
      <c r="AL6842">
        <v>86.719469916663499</v>
      </c>
      <c r="AM6842">
        <v>88.496813845864807</v>
      </c>
      <c r="AN6842">
        <v>0.99999994817202098</v>
      </c>
    </row>
    <row r="6843" spans="1:40" x14ac:dyDescent="0.25">
      <c r="A6843" t="str">
        <f>"20190312160505959"</f>
        <v>20190312160505959</v>
      </c>
      <c r="B6843" t="str">
        <f>"1552377905951820"</f>
        <v>1552377905951820</v>
      </c>
      <c r="C6843" t="s">
        <v>40</v>
      </c>
      <c r="D6843">
        <v>6.153143</v>
      </c>
      <c r="E6843">
        <v>0.56610039999999995</v>
      </c>
      <c r="F6843" t="s">
        <v>119</v>
      </c>
      <c r="G6843">
        <v>-304.43860000000001</v>
      </c>
      <c r="H6843">
        <v>6.674086</v>
      </c>
      <c r="I6843">
        <v>-89.696240000000003</v>
      </c>
      <c r="J6843">
        <v>-297.35000000000002</v>
      </c>
      <c r="K6843">
        <v>1.0673549999999901</v>
      </c>
      <c r="L6843">
        <v>-2.5317379999999998</v>
      </c>
      <c r="M6843">
        <v>0.1076918</v>
      </c>
      <c r="N6843">
        <v>0</v>
      </c>
      <c r="O6843">
        <v>-0.99416079999999996</v>
      </c>
      <c r="P6843">
        <v>8.4679969999999993E-2</v>
      </c>
      <c r="Q6843">
        <v>5.122902E-2</v>
      </c>
      <c r="R6843">
        <v>-0.99509060000000005</v>
      </c>
      <c r="S6843">
        <v>-0.2450562</v>
      </c>
      <c r="T6843">
        <v>0.1944987</v>
      </c>
      <c r="U6843">
        <v>-3.0320130000000001</v>
      </c>
      <c r="V6843">
        <v>2.4459870000000002E-2</v>
      </c>
      <c r="W6843">
        <v>5.7455180000000002E-2</v>
      </c>
      <c r="X6843">
        <v>0.99804839999999995</v>
      </c>
      <c r="Y6843">
        <v>0.1872742</v>
      </c>
      <c r="Z6843">
        <v>-6.2789339999999999E-2</v>
      </c>
      <c r="AA6843">
        <v>0.98029889999999997</v>
      </c>
      <c r="AB6843">
        <v>27</v>
      </c>
      <c r="AC6843">
        <v>-7.08859999999998</v>
      </c>
      <c r="AD6843">
        <v>5.6067309999999999</v>
      </c>
      <c r="AE6843">
        <v>-87.164501999999999</v>
      </c>
      <c r="AF6843">
        <v>16.3672199981985</v>
      </c>
      <c r="AG6843">
        <v>5.6067309999999999</v>
      </c>
      <c r="AH6843">
        <v>85.542547427695297</v>
      </c>
      <c r="AI6843">
        <v>86.316642534638902</v>
      </c>
      <c r="AJ6843">
        <v>79.168267140044804</v>
      </c>
      <c r="AK6843">
        <v>87.274559542831796</v>
      </c>
      <c r="AL6843">
        <v>86.706246796464896</v>
      </c>
      <c r="AM6843">
        <v>88.596093298687293</v>
      </c>
      <c r="AN6843">
        <v>0.99999999584590404</v>
      </c>
    </row>
    <row r="6844" spans="1:40" x14ac:dyDescent="0.25">
      <c r="A6844" t="str">
        <f>"20190312160505983"</f>
        <v>20190312160505983</v>
      </c>
      <c r="B6844" t="str">
        <f>"1552377905972315"</f>
        <v>1552377905972315</v>
      </c>
      <c r="C6844" t="s">
        <v>40</v>
      </c>
      <c r="D6844">
        <v>6.0767220000000002</v>
      </c>
      <c r="E6844">
        <v>0.56484290000000004</v>
      </c>
      <c r="F6844" t="s">
        <v>119</v>
      </c>
      <c r="G6844">
        <v>-305.29880000000003</v>
      </c>
      <c r="H6844">
        <v>6.5358850000000004</v>
      </c>
      <c r="I6844">
        <v>-91.564989999999995</v>
      </c>
      <c r="J6844">
        <v>-297.33210000000003</v>
      </c>
      <c r="K6844">
        <v>1.0702389999999999</v>
      </c>
      <c r="L6844">
        <v>-2.8176570000000001</v>
      </c>
      <c r="M6844">
        <v>9.3561900000000003E-2</v>
      </c>
      <c r="N6844">
        <v>0</v>
      </c>
      <c r="O6844">
        <v>-0.9955908</v>
      </c>
      <c r="P6844">
        <v>7.2556220000000005E-2</v>
      </c>
      <c r="Q6844">
        <v>5.1506679999999999E-2</v>
      </c>
      <c r="R6844">
        <v>-0.99603370000000002</v>
      </c>
      <c r="S6844">
        <v>-0.27035520000000002</v>
      </c>
      <c r="T6844">
        <v>0.185998</v>
      </c>
      <c r="U6844">
        <v>-3.0282290000000001</v>
      </c>
      <c r="V6844">
        <v>2.243902E-2</v>
      </c>
      <c r="W6844">
        <v>5.7665590000000003E-2</v>
      </c>
      <c r="X6844">
        <v>0.99808379999999997</v>
      </c>
      <c r="Y6844">
        <v>0.18156410000000001</v>
      </c>
      <c r="Z6844">
        <v>-6.0273E-2</v>
      </c>
      <c r="AA6844">
        <v>0.98153020000000002</v>
      </c>
      <c r="AB6844">
        <v>27</v>
      </c>
      <c r="AC6844">
        <v>-7.9667000000000003</v>
      </c>
      <c r="AD6844">
        <v>5.4656459999999996</v>
      </c>
      <c r="AE6844">
        <v>-88.747332999999998</v>
      </c>
      <c r="AF6844">
        <v>16.174450873929199</v>
      </c>
      <c r="AG6844">
        <v>5.4656459999999996</v>
      </c>
      <c r="AH6844">
        <v>87.284211108984806</v>
      </c>
      <c r="AI6844">
        <v>86.476704311176803</v>
      </c>
      <c r="AJ6844">
        <v>79.501727118238307</v>
      </c>
      <c r="AK6844">
        <v>88.938291282148498</v>
      </c>
      <c r="AL6844">
        <v>86.694171352412297</v>
      </c>
      <c r="AM6844">
        <v>88.712087504257894</v>
      </c>
      <c r="AN6844">
        <v>1.00000005085552</v>
      </c>
    </row>
    <row r="6845" spans="1:40" x14ac:dyDescent="0.25">
      <c r="A6845" t="str">
        <f>"20190312160506005"</f>
        <v>20190312160506005</v>
      </c>
      <c r="B6845" t="str">
        <f>"1552377905991835"</f>
        <v>1552377905991835</v>
      </c>
      <c r="C6845" t="s">
        <v>40</v>
      </c>
      <c r="D6845">
        <v>6.1302719999999997</v>
      </c>
      <c r="E6845">
        <v>0.56354159999999998</v>
      </c>
      <c r="F6845" t="s">
        <v>119</v>
      </c>
      <c r="G6845">
        <v>-306.06619999999998</v>
      </c>
      <c r="H6845">
        <v>6.3617229999999996</v>
      </c>
      <c r="I6845">
        <v>-91.564989999999995</v>
      </c>
      <c r="J6845">
        <v>-297.31849999999997</v>
      </c>
      <c r="K6845">
        <v>1.0732950000000001</v>
      </c>
      <c r="L6845">
        <v>-3.095764</v>
      </c>
      <c r="M6845">
        <v>8.0050780000000002E-2</v>
      </c>
      <c r="N6845">
        <v>0</v>
      </c>
      <c r="O6845">
        <v>-0.99676779999999998</v>
      </c>
      <c r="P6845">
        <v>6.0771039999999998E-2</v>
      </c>
      <c r="Q6845">
        <v>5.1456160000000001E-2</v>
      </c>
      <c r="R6845">
        <v>-0.99682470000000001</v>
      </c>
      <c r="S6845">
        <v>-0.29763790000000001</v>
      </c>
      <c r="T6845">
        <v>0.18032129999999999</v>
      </c>
      <c r="U6845">
        <v>-3.024292</v>
      </c>
      <c r="V6845">
        <v>2.068149E-2</v>
      </c>
      <c r="W6845">
        <v>5.772414E-2</v>
      </c>
      <c r="X6845">
        <v>0.99811830000000001</v>
      </c>
      <c r="Y6845">
        <v>0.1771259</v>
      </c>
      <c r="Z6845">
        <v>-5.8620029999999997E-2</v>
      </c>
      <c r="AA6845">
        <v>0.98244089999999995</v>
      </c>
      <c r="AB6845">
        <v>28</v>
      </c>
      <c r="AC6845">
        <v>-8.7477</v>
      </c>
      <c r="AD6845">
        <v>5.2884279999999997</v>
      </c>
      <c r="AE6845">
        <v>-88.469226000000006</v>
      </c>
      <c r="AF6845">
        <v>15.746097642154499</v>
      </c>
      <c r="AG6845">
        <v>5.2884279999999997</v>
      </c>
      <c r="AH6845">
        <v>87.176528850343999</v>
      </c>
      <c r="AI6845">
        <v>86.583642722165294</v>
      </c>
      <c r="AJ6845">
        <v>79.761447696873901</v>
      </c>
      <c r="AK6845">
        <v>88.744882917621297</v>
      </c>
      <c r="AL6845">
        <v>86.690810821438902</v>
      </c>
      <c r="AM6845">
        <v>88.812973821321194</v>
      </c>
      <c r="AN6845">
        <v>0.999999970581124</v>
      </c>
    </row>
    <row r="6846" spans="1:40" x14ac:dyDescent="0.25">
      <c r="A6846" t="str">
        <f>"20190312160506027"</f>
        <v>20190312160506027</v>
      </c>
      <c r="B6846" t="str">
        <f>"1552377906022095"</f>
        <v>1552377906022095</v>
      </c>
      <c r="C6846" t="s">
        <v>40</v>
      </c>
      <c r="D6846">
        <v>6.4509629999999998</v>
      </c>
      <c r="E6846">
        <v>0.55351450000000002</v>
      </c>
      <c r="F6846" t="s">
        <v>119</v>
      </c>
      <c r="G6846">
        <v>-306.78750000000002</v>
      </c>
      <c r="H6846">
        <v>6.1261989999999997</v>
      </c>
      <c r="I6846">
        <v>-91.564989999999995</v>
      </c>
      <c r="J6846">
        <v>-297.30849999999998</v>
      </c>
      <c r="K6846">
        <v>1.076508</v>
      </c>
      <c r="L6846">
        <v>-3.3821409999999998</v>
      </c>
      <c r="M6846">
        <v>6.6411849999999994E-2</v>
      </c>
      <c r="N6846">
        <v>0</v>
      </c>
      <c r="O6846">
        <v>-0.99776739999999997</v>
      </c>
      <c r="P6846">
        <v>4.8965729999999999E-2</v>
      </c>
      <c r="Q6846">
        <v>5.19415999999999E-2</v>
      </c>
      <c r="R6846">
        <v>-0.99744949999999999</v>
      </c>
      <c r="S6846">
        <v>-0.32327270000000002</v>
      </c>
      <c r="T6846">
        <v>0.17250750000000001</v>
      </c>
      <c r="U6846">
        <v>-3.0203549999999999</v>
      </c>
      <c r="V6846">
        <v>1.8832649999999999E-2</v>
      </c>
      <c r="W6846">
        <v>5.8581960000000002E-2</v>
      </c>
      <c r="X6846">
        <v>0.99810489999999996</v>
      </c>
      <c r="Y6846">
        <v>0.17205519999999999</v>
      </c>
      <c r="Z6846">
        <v>-5.6247640000000002E-2</v>
      </c>
      <c r="AA6846">
        <v>0.98348020000000003</v>
      </c>
      <c r="AB6846">
        <v>28</v>
      </c>
      <c r="AC6846">
        <v>-9.4790000000000401</v>
      </c>
      <c r="AD6846">
        <v>5.0496909999999904</v>
      </c>
      <c r="AE6846">
        <v>-88.182849000000004</v>
      </c>
      <c r="AF6846">
        <v>15.265118914303599</v>
      </c>
      <c r="AG6846">
        <v>5.0496909999999904</v>
      </c>
      <c r="AH6846">
        <v>87.076349262712995</v>
      </c>
      <c r="AI6846">
        <v>86.730792072870599</v>
      </c>
      <c r="AJ6846">
        <v>80.056672074395394</v>
      </c>
      <c r="AK6846">
        <v>88.548370033475393</v>
      </c>
      <c r="AL6846">
        <v>86.641577976356402</v>
      </c>
      <c r="AM6846">
        <v>88.919048149854007</v>
      </c>
      <c r="AN6846">
        <v>0.99999995307373502</v>
      </c>
    </row>
    <row r="6847" spans="1:40" x14ac:dyDescent="0.25">
      <c r="A6847" t="str">
        <f>"20190312160506050"</f>
        <v>20190312160506050</v>
      </c>
      <c r="B6847" t="str">
        <f>"1552377906041612"</f>
        <v>1552377906041612</v>
      </c>
      <c r="C6847" t="s">
        <v>40</v>
      </c>
      <c r="D6847">
        <v>6.1390560000000001</v>
      </c>
      <c r="E6847">
        <v>0.55166019999999905</v>
      </c>
      <c r="F6847" t="s">
        <v>119</v>
      </c>
      <c r="G6847">
        <v>-305.53160000000003</v>
      </c>
      <c r="H6847">
        <v>4.8590260000000001</v>
      </c>
      <c r="I6847">
        <v>-91.564989999999995</v>
      </c>
      <c r="J6847">
        <v>-297.30270000000002</v>
      </c>
      <c r="K6847">
        <v>1.0795490000000001</v>
      </c>
      <c r="L6847">
        <v>-3.6638489999999999</v>
      </c>
      <c r="M6847">
        <v>5.3279600000000003E-2</v>
      </c>
      <c r="N6847">
        <v>0</v>
      </c>
      <c r="O6847">
        <v>-0.99855070000000001</v>
      </c>
      <c r="P6847">
        <v>3.745209E-2</v>
      </c>
      <c r="Q6847">
        <v>5.1740689999999999E-2</v>
      </c>
      <c r="R6847">
        <v>-0.99795820000000002</v>
      </c>
      <c r="S6847">
        <v>-0.28112789999999999</v>
      </c>
      <c r="T6847">
        <v>0.12931480000000001</v>
      </c>
      <c r="U6847">
        <v>-3.0147400000000002</v>
      </c>
      <c r="V6847">
        <v>1.7196309999999999E-2</v>
      </c>
      <c r="W6847">
        <v>5.8936580000000002E-2</v>
      </c>
      <c r="X6847">
        <v>0.99811360000000005</v>
      </c>
      <c r="Y6847">
        <v>0.14568339999999999</v>
      </c>
      <c r="Z6847">
        <v>-4.2442859999999999E-2</v>
      </c>
      <c r="AA6847">
        <v>0.98842039999999998</v>
      </c>
      <c r="AB6847">
        <v>28</v>
      </c>
      <c r="AC6847">
        <v>-8.2289000000000101</v>
      </c>
      <c r="AD6847">
        <v>3.7794769999999902</v>
      </c>
      <c r="AE6847">
        <v>-87.901140999999996</v>
      </c>
      <c r="AF6847">
        <v>12.8770847375363</v>
      </c>
      <c r="AG6847">
        <v>3.7794769999999902</v>
      </c>
      <c r="AH6847">
        <v>87.178067911931507</v>
      </c>
      <c r="AI6847">
        <v>87.544193206184104</v>
      </c>
      <c r="AJ6847">
        <v>81.597589501749994</v>
      </c>
      <c r="AK6847">
        <v>88.204984454329804</v>
      </c>
      <c r="AL6847">
        <v>86.621224724264707</v>
      </c>
      <c r="AM6847">
        <v>89.012959530418101</v>
      </c>
      <c r="AN6847">
        <v>0.99999999602233602</v>
      </c>
    </row>
    <row r="6848" spans="1:40" x14ac:dyDescent="0.25">
      <c r="A6848" t="str">
        <f>"20190312160506071"</f>
        <v>20190312160506071</v>
      </c>
      <c r="B6848" t="str">
        <f>"1552377906062108"</f>
        <v>1552377906062108</v>
      </c>
      <c r="C6848" t="s">
        <v>40</v>
      </c>
      <c r="D6848">
        <v>6.13537</v>
      </c>
      <c r="E6848">
        <v>0.56179899999999905</v>
      </c>
      <c r="F6848" t="s">
        <v>119</v>
      </c>
      <c r="G6848">
        <v>-306.09359999999998</v>
      </c>
      <c r="H6848">
        <v>4.7615089999999904</v>
      </c>
      <c r="I6848">
        <v>-91.564989999999995</v>
      </c>
      <c r="J6848">
        <v>-297.30059999999997</v>
      </c>
      <c r="K6848">
        <v>1.082336</v>
      </c>
      <c r="L6848">
        <v>-3.9400330000000001</v>
      </c>
      <c r="M6848">
        <v>4.0660010000000003E-2</v>
      </c>
      <c r="N6848">
        <v>0</v>
      </c>
      <c r="O6848">
        <v>-0.99913960000000002</v>
      </c>
      <c r="P6848">
        <v>2.6481129999999999E-2</v>
      </c>
      <c r="Q6848">
        <v>5.0849529999999997E-2</v>
      </c>
      <c r="R6848">
        <v>-0.99835529999999995</v>
      </c>
      <c r="S6848">
        <v>-0.30111690000000002</v>
      </c>
      <c r="T6848">
        <v>0.12611939999999999</v>
      </c>
      <c r="U6848">
        <v>-3.0108950000000001</v>
      </c>
      <c r="V6848">
        <v>1.55231E-2</v>
      </c>
      <c r="W6848">
        <v>5.8658589999999997E-2</v>
      </c>
      <c r="X6848">
        <v>0.99815739999999997</v>
      </c>
      <c r="Y6848">
        <v>0.13980399999999901</v>
      </c>
      <c r="Z6848">
        <v>-4.1490190000000003E-2</v>
      </c>
      <c r="AA6848">
        <v>0.98930949999999995</v>
      </c>
      <c r="AB6848">
        <v>28</v>
      </c>
      <c r="AC6848">
        <v>-8.7929999999999993</v>
      </c>
      <c r="AD6848">
        <v>3.679173</v>
      </c>
      <c r="AE6848">
        <v>-87.624956999999995</v>
      </c>
      <c r="AF6848">
        <v>12.3271629738957</v>
      </c>
      <c r="AG6848">
        <v>3.679173</v>
      </c>
      <c r="AH6848">
        <v>87.043030033104998</v>
      </c>
      <c r="AI6848">
        <v>87.603522618265302</v>
      </c>
      <c r="AJ6848">
        <v>81.939291765023398</v>
      </c>
      <c r="AK6848">
        <v>87.988546631325406</v>
      </c>
      <c r="AL6848">
        <v>86.637179981819301</v>
      </c>
      <c r="AM6848">
        <v>89.1090218615429</v>
      </c>
      <c r="AN6848">
        <v>0.99999999599457901</v>
      </c>
    </row>
    <row r="6849" spans="1:40" x14ac:dyDescent="0.25">
      <c r="A6849" t="str">
        <f>"20190312160506094"</f>
        <v>20190312160506094</v>
      </c>
      <c r="B6849" t="str">
        <f>"1552377906081628"</f>
        <v>1552377906081628</v>
      </c>
      <c r="C6849" t="s">
        <v>40</v>
      </c>
      <c r="D6849">
        <v>6.1877420000000001</v>
      </c>
      <c r="E6849">
        <v>0.56081619999999999</v>
      </c>
      <c r="F6849" t="s">
        <v>119</v>
      </c>
      <c r="G6849">
        <v>-309.55340000000001</v>
      </c>
      <c r="H6849">
        <v>0.32836530000000003</v>
      </c>
      <c r="I6849">
        <v>-91.564989999999995</v>
      </c>
      <c r="J6849">
        <v>-297.30220000000003</v>
      </c>
      <c r="K6849">
        <v>1.0849679999999999</v>
      </c>
      <c r="L6849">
        <v>-4.2256769999999904</v>
      </c>
      <c r="M6849">
        <v>2.786808E-2</v>
      </c>
      <c r="N6849">
        <v>0</v>
      </c>
      <c r="O6849">
        <v>-0.99957300000000004</v>
      </c>
      <c r="P6849">
        <v>1.477214E-2</v>
      </c>
      <c r="Q6849">
        <v>5.0171130000000001E-2</v>
      </c>
      <c r="R6849">
        <v>-0.9986313</v>
      </c>
      <c r="S6849">
        <v>-0.42193599999999998</v>
      </c>
      <c r="T6849">
        <v>-2.596331E-2</v>
      </c>
      <c r="U6849">
        <v>-3.0174560000000001</v>
      </c>
      <c r="V6849">
        <v>1.442715E-2</v>
      </c>
      <c r="W6849">
        <v>5.861719E-2</v>
      </c>
      <c r="X6849">
        <v>0.99817630000000002</v>
      </c>
      <c r="Y6849">
        <v>0.16602620000000001</v>
      </c>
      <c r="Z6849">
        <v>8.4979930000000006E-3</v>
      </c>
      <c r="AA6849">
        <v>0.98608470000000004</v>
      </c>
      <c r="AB6849">
        <v>28</v>
      </c>
      <c r="AC6849">
        <v>-12.2511999999999</v>
      </c>
      <c r="AD6849">
        <v>-0.75660269999999996</v>
      </c>
      <c r="AE6849">
        <v>-87.339313000000004</v>
      </c>
      <c r="AF6849">
        <v>14.679433941440699</v>
      </c>
      <c r="AG6849">
        <v>-0.75660269999999996</v>
      </c>
      <c r="AH6849">
        <v>86.957558308617806</v>
      </c>
      <c r="AI6849">
        <v>90.491553673515497</v>
      </c>
      <c r="AJ6849">
        <v>80.418152214493006</v>
      </c>
      <c r="AK6849">
        <v>88.191128666569597</v>
      </c>
      <c r="AL6849">
        <v>86.639556202323206</v>
      </c>
      <c r="AM6849">
        <v>89.171932601894099</v>
      </c>
      <c r="AN6849">
        <v>1.00000002175115</v>
      </c>
    </row>
    <row r="6850" spans="1:40" x14ac:dyDescent="0.25">
      <c r="A6850" t="str">
        <f>"20190312160506117"</f>
        <v>20190312160506117</v>
      </c>
      <c r="B6850" t="str">
        <f>"1552377906111883"</f>
        <v>1552377906111883</v>
      </c>
      <c r="C6850" t="s">
        <v>40</v>
      </c>
      <c r="D6850">
        <v>6.1052540000000004</v>
      </c>
      <c r="E6850">
        <v>0.55746980000000002</v>
      </c>
      <c r="F6850" t="s">
        <v>119</v>
      </c>
      <c r="G6850">
        <v>-310.32769999999999</v>
      </c>
      <c r="H6850">
        <v>0.18155859999999999</v>
      </c>
      <c r="I6850">
        <v>-91.564989999999995</v>
      </c>
      <c r="J6850">
        <v>-297.3075</v>
      </c>
      <c r="K6850">
        <v>1.0873679999999999</v>
      </c>
      <c r="L6850">
        <v>-4.5124209999999998</v>
      </c>
      <c r="M6850">
        <v>1.5272900000000001E-2</v>
      </c>
      <c r="N6850">
        <v>0</v>
      </c>
      <c r="O6850">
        <v>-0.99983940000000004</v>
      </c>
      <c r="P6850">
        <v>3.8894480000000002E-3</v>
      </c>
      <c r="Q6850">
        <v>4.9941260000000001E-2</v>
      </c>
      <c r="R6850">
        <v>-0.99874470000000004</v>
      </c>
      <c r="S6850">
        <v>-0.44924930000000002</v>
      </c>
      <c r="T6850">
        <v>-3.1158089999999999E-2</v>
      </c>
      <c r="U6850">
        <v>-3.0123289999999998</v>
      </c>
      <c r="V6850">
        <v>1.271359E-2</v>
      </c>
      <c r="W6850">
        <v>5.9033210000000003E-2</v>
      </c>
      <c r="X6850">
        <v>0.99817509999999998</v>
      </c>
      <c r="Y6850">
        <v>0.16258710000000001</v>
      </c>
      <c r="Z6850">
        <v>1.021586E-2</v>
      </c>
      <c r="AA6850">
        <v>0.98664130000000005</v>
      </c>
      <c r="AB6850">
        <v>28</v>
      </c>
      <c r="AC6850">
        <v>-13.0201999999999</v>
      </c>
      <c r="AD6850">
        <v>-0.90580939999999999</v>
      </c>
      <c r="AE6850">
        <v>-87.052568999999906</v>
      </c>
      <c r="AF6850">
        <v>14.346765504887401</v>
      </c>
      <c r="AG6850">
        <v>-0.90580939999999999</v>
      </c>
      <c r="AH6850">
        <v>86.834353664814699</v>
      </c>
      <c r="AI6850">
        <v>90.589663715218904</v>
      </c>
      <c r="AJ6850">
        <v>80.618348459206601</v>
      </c>
      <c r="AK6850">
        <v>88.016220934027103</v>
      </c>
      <c r="AL6850">
        <v>86.615678734880007</v>
      </c>
      <c r="AM6850">
        <v>89.270272657872894</v>
      </c>
      <c r="AN6850">
        <v>1.0000000427568001</v>
      </c>
    </row>
    <row r="6851" spans="1:40" x14ac:dyDescent="0.25">
      <c r="A6851" t="str">
        <f>"20190312160506139"</f>
        <v>20190312160506139</v>
      </c>
      <c r="B6851" t="str">
        <f>"1552377906132381"</f>
        <v>1552377906132381</v>
      </c>
      <c r="C6851" t="s">
        <v>40</v>
      </c>
      <c r="D6851">
        <v>5.9913319999999999</v>
      </c>
      <c r="E6851">
        <v>0.55478539999999998</v>
      </c>
      <c r="F6851" t="s">
        <v>81</v>
      </c>
      <c r="G6851">
        <v>-306.96710000000002</v>
      </c>
      <c r="H6851" s="1">
        <v>-7.9063820000000002E-6</v>
      </c>
      <c r="I6851">
        <v>-68.184169999999995</v>
      </c>
      <c r="J6851">
        <v>-297.31580000000002</v>
      </c>
      <c r="K6851">
        <v>1.0894469999999901</v>
      </c>
      <c r="L6851">
        <v>-4.7875059999999996</v>
      </c>
      <c r="M6851">
        <v>3.4033499999999999E-3</v>
      </c>
      <c r="N6851">
        <v>0</v>
      </c>
      <c r="O6851">
        <v>-0.99994490000000003</v>
      </c>
      <c r="P6851">
        <v>-6.0203540000000003E-3</v>
      </c>
      <c r="Q6851">
        <v>5.0071940000000002E-2</v>
      </c>
      <c r="R6851">
        <v>-0.99872780000000005</v>
      </c>
      <c r="S6851">
        <v>-0.45635989999999999</v>
      </c>
      <c r="T6851">
        <v>-5.1372170000000002E-2</v>
      </c>
      <c r="U6851">
        <v>-3.0081180000000001</v>
      </c>
      <c r="V6851">
        <v>1.0758810000000001E-2</v>
      </c>
      <c r="W6851">
        <v>5.9764820000000003E-2</v>
      </c>
      <c r="X6851">
        <v>0.99815449999999994</v>
      </c>
      <c r="Y6851">
        <v>0.1533359</v>
      </c>
      <c r="Z6851">
        <v>1.6877710000000001E-2</v>
      </c>
      <c r="AA6851">
        <v>0.98802999999999996</v>
      </c>
      <c r="AB6851">
        <v>28</v>
      </c>
      <c r="AC6851">
        <v>-9.6512999999999902</v>
      </c>
      <c r="AD6851">
        <v>-1.0894549063819901</v>
      </c>
      <c r="AE6851">
        <v>-63.396664000000001</v>
      </c>
      <c r="AF6851">
        <v>9.8641687206541899</v>
      </c>
      <c r="AG6851">
        <v>-1.0894549063819901</v>
      </c>
      <c r="AH6851">
        <v>63.345165378335501</v>
      </c>
      <c r="AI6851">
        <v>90.973584920614698</v>
      </c>
      <c r="AJ6851">
        <v>81.148933695372094</v>
      </c>
      <c r="AK6851">
        <v>64.117850192838205</v>
      </c>
      <c r="AL6851">
        <v>86.573686264359296</v>
      </c>
      <c r="AM6851">
        <v>89.382449776350896</v>
      </c>
      <c r="AN6851">
        <v>0.99999999578624899</v>
      </c>
    </row>
    <row r="6852" spans="1:40" x14ac:dyDescent="0.25">
      <c r="A6852" t="str">
        <f>"20190312160506160"</f>
        <v>20190312160506160</v>
      </c>
      <c r="B6852" t="str">
        <f>"1552377906151900"</f>
        <v>1552377906151900</v>
      </c>
      <c r="C6852" t="s">
        <v>40</v>
      </c>
      <c r="D6852">
        <v>6.1010770000000001</v>
      </c>
      <c r="E6852">
        <v>0.55086359999999901</v>
      </c>
      <c r="F6852" t="s">
        <v>81</v>
      </c>
      <c r="G6852">
        <v>-304.38740000000001</v>
      </c>
      <c r="H6852" s="1">
        <v>-5.9979720000000001E-6</v>
      </c>
      <c r="I6852">
        <v>-50.424509999999998</v>
      </c>
      <c r="J6852">
        <v>-297.3272</v>
      </c>
      <c r="K6852">
        <v>1.0913250000000001</v>
      </c>
      <c r="L6852">
        <v>-5.0612180000000002</v>
      </c>
      <c r="M6852">
        <v>-8.2140140000000004E-3</v>
      </c>
      <c r="N6852">
        <v>0</v>
      </c>
      <c r="O6852">
        <v>-0.99991180000000002</v>
      </c>
      <c r="P6852">
        <v>-1.5583130000000001E-2</v>
      </c>
      <c r="Q6852">
        <v>4.9628850000000002E-2</v>
      </c>
      <c r="R6852">
        <v>-0.99864620000000004</v>
      </c>
      <c r="S6852">
        <v>-0.4655762</v>
      </c>
      <c r="T6852">
        <v>-7.1726440000000002E-2</v>
      </c>
      <c r="U6852">
        <v>-3.0046080000000002</v>
      </c>
      <c r="V6852">
        <v>8.6923169999999998E-3</v>
      </c>
      <c r="W6852">
        <v>5.9885720000000003E-2</v>
      </c>
      <c r="X6852">
        <v>0.99816740000000004</v>
      </c>
      <c r="Y6852">
        <v>0.14496120000000001</v>
      </c>
      <c r="Z6852">
        <v>2.3597369999999999E-2</v>
      </c>
      <c r="AA6852">
        <v>0.98915589999999998</v>
      </c>
      <c r="AB6852">
        <v>27</v>
      </c>
      <c r="AC6852">
        <v>-7.0602</v>
      </c>
      <c r="AD6852">
        <v>-1.0913309979719901</v>
      </c>
      <c r="AE6852">
        <v>-45.363292000000001</v>
      </c>
      <c r="AF6852">
        <v>6.68355004804007</v>
      </c>
      <c r="AG6852">
        <v>-1.0913309979719901</v>
      </c>
      <c r="AH6852">
        <v>45.394105946611802</v>
      </c>
      <c r="AI6852">
        <v>91.362513453611001</v>
      </c>
      <c r="AJ6852">
        <v>81.624296816651594</v>
      </c>
      <c r="AK6852">
        <v>45.896467176505098</v>
      </c>
      <c r="AL6852">
        <v>86.566746814005</v>
      </c>
      <c r="AM6852">
        <v>89.5010651624454</v>
      </c>
      <c r="AN6852">
        <v>1.00000000712875</v>
      </c>
    </row>
    <row r="6853" spans="1:40" x14ac:dyDescent="0.25">
      <c r="A6853" t="str">
        <f>"20190312160506183"</f>
        <v>20190312160506183</v>
      </c>
      <c r="B6853" t="str">
        <f>"1552377906172395"</f>
        <v>1552377906172395</v>
      </c>
      <c r="C6853" t="s">
        <v>40</v>
      </c>
      <c r="D6853">
        <v>6.0336040000000004</v>
      </c>
      <c r="E6853">
        <v>0.54821999999999904</v>
      </c>
      <c r="F6853" t="s">
        <v>81</v>
      </c>
      <c r="G6853">
        <v>-306.22969999999998</v>
      </c>
      <c r="H6853" s="1">
        <v>-8.7594499999999996E-6</v>
      </c>
      <c r="I6853">
        <v>-62.8125</v>
      </c>
      <c r="J6853">
        <v>-297.34210000000002</v>
      </c>
      <c r="K6853">
        <v>1.0930629999999999</v>
      </c>
      <c r="L6853">
        <v>-5.3407589999999896</v>
      </c>
      <c r="M6853">
        <v>-1.987446E-2</v>
      </c>
      <c r="N6853">
        <v>0</v>
      </c>
      <c r="O6853">
        <v>-0.99974289999999999</v>
      </c>
      <c r="P6853">
        <v>-2.5311799999999999E-2</v>
      </c>
      <c r="Q6853">
        <v>4.9061979999999998E-2</v>
      </c>
      <c r="R6853">
        <v>-0.99847520000000001</v>
      </c>
      <c r="S6853">
        <v>-0.46240229999999999</v>
      </c>
      <c r="T6853">
        <v>-5.668509E-2</v>
      </c>
      <c r="U6853">
        <v>-2.9996640000000001</v>
      </c>
      <c r="V6853">
        <v>6.7408629999999997E-3</v>
      </c>
      <c r="W6853">
        <v>5.9847160000000003E-2</v>
      </c>
      <c r="X6853">
        <v>0.99818479999999998</v>
      </c>
      <c r="Y6853">
        <v>0.13265150000000001</v>
      </c>
      <c r="Z6853">
        <v>1.8694329999999999E-2</v>
      </c>
      <c r="AA6853">
        <v>0.99098640000000005</v>
      </c>
      <c r="AB6853">
        <v>27</v>
      </c>
      <c r="AC6853">
        <v>-8.88759999999996</v>
      </c>
      <c r="AD6853">
        <v>-1.0930717594499999</v>
      </c>
      <c r="AE6853">
        <v>-57.471741000000002</v>
      </c>
      <c r="AF6853">
        <v>7.7408217620068998</v>
      </c>
      <c r="AG6853">
        <v>-1.0930717594499999</v>
      </c>
      <c r="AH6853">
        <v>57.616679700945902</v>
      </c>
      <c r="AI6853">
        <v>91.077177688172796</v>
      </c>
      <c r="AJ6853">
        <v>82.348110682069105</v>
      </c>
      <c r="AK6853">
        <v>58.144620621204901</v>
      </c>
      <c r="AL6853">
        <v>86.568960113294295</v>
      </c>
      <c r="AM6853">
        <v>89.613080534637703</v>
      </c>
      <c r="AN6853">
        <v>1.00000000837254</v>
      </c>
    </row>
    <row r="6854" spans="1:40" x14ac:dyDescent="0.25">
      <c r="A6854" t="str">
        <f>"20190312160506206"</f>
        <v>20190312160506206</v>
      </c>
      <c r="B6854" t="str">
        <f>"1552377906201676"</f>
        <v>1552377906201676</v>
      </c>
      <c r="C6854" t="s">
        <v>40</v>
      </c>
      <c r="D6854">
        <v>5.9814819999999997</v>
      </c>
      <c r="E6854">
        <v>0.54333500000000001</v>
      </c>
      <c r="F6854" t="s">
        <v>81</v>
      </c>
      <c r="G6854">
        <v>-307.45549999999997</v>
      </c>
      <c r="H6854" s="1">
        <v>-7.5696700000000002E-6</v>
      </c>
      <c r="I6854">
        <v>-69.777209999999997</v>
      </c>
      <c r="J6854">
        <v>-297.36</v>
      </c>
      <c r="K6854">
        <v>1.094627</v>
      </c>
      <c r="L6854">
        <v>-5.6223140000000003</v>
      </c>
      <c r="M6854">
        <v>-3.139815E-2</v>
      </c>
      <c r="N6854">
        <v>0</v>
      </c>
      <c r="O6854">
        <v>-0.99944219999999895</v>
      </c>
      <c r="P6854">
        <v>-3.4603040000000002E-2</v>
      </c>
      <c r="Q6854">
        <v>4.828172E-2</v>
      </c>
      <c r="R6854">
        <v>-0.99823419999999896</v>
      </c>
      <c r="S6854">
        <v>-0.47009279999999998</v>
      </c>
      <c r="T6854">
        <v>-5.0808310000000002E-2</v>
      </c>
      <c r="U6854">
        <v>-2.9951479999999999</v>
      </c>
      <c r="V6854">
        <v>4.479167E-3</v>
      </c>
      <c r="W6854">
        <v>5.9558720000000002E-2</v>
      </c>
      <c r="X6854">
        <v>0.99821479999999996</v>
      </c>
      <c r="Y6854">
        <v>0.12393460000000001</v>
      </c>
      <c r="Z6854">
        <v>1.6780509999999998E-2</v>
      </c>
      <c r="AA6854">
        <v>0.99214849999999999</v>
      </c>
      <c r="AB6854">
        <v>27</v>
      </c>
      <c r="AC6854">
        <v>-10.0954999999999</v>
      </c>
      <c r="AD6854">
        <v>-1.0946345696699999</v>
      </c>
      <c r="AE6854">
        <v>-64.154895999999994</v>
      </c>
      <c r="AF6854">
        <v>8.0737527314627702</v>
      </c>
      <c r="AG6854">
        <v>-1.0946345696699999</v>
      </c>
      <c r="AH6854">
        <v>64.421959679856002</v>
      </c>
      <c r="AI6854">
        <v>90.965900902752296</v>
      </c>
      <c r="AJ6854">
        <v>82.856587885897696</v>
      </c>
      <c r="AK6854">
        <v>64.935141464409796</v>
      </c>
      <c r="AL6854">
        <v>86.5855161674383</v>
      </c>
      <c r="AM6854">
        <v>89.742905392295299</v>
      </c>
      <c r="AN6854">
        <v>1.0000000455020399</v>
      </c>
    </row>
    <row r="6855" spans="1:40" x14ac:dyDescent="0.25">
      <c r="A6855" t="str">
        <f>"20190312160506228"</f>
        <v>20190312160506228</v>
      </c>
      <c r="B6855" t="str">
        <f>"1552377906222176"</f>
        <v>1552377906222176</v>
      </c>
      <c r="C6855" t="s">
        <v>40</v>
      </c>
      <c r="D6855">
        <v>5.9901210000000003</v>
      </c>
      <c r="E6855">
        <v>0.54038520000000001</v>
      </c>
      <c r="F6855" t="s">
        <v>43</v>
      </c>
      <c r="G6855">
        <v>-309.56299999999999</v>
      </c>
      <c r="H6855">
        <v>-0.05</v>
      </c>
      <c r="I6855">
        <v>-85.272639999999996</v>
      </c>
      <c r="J6855">
        <v>-297.38029999999998</v>
      </c>
      <c r="K6855">
        <v>1.0959669999999999</v>
      </c>
      <c r="L6855">
        <v>-5.893707</v>
      </c>
      <c r="M6855">
        <v>-4.2260939999999997E-2</v>
      </c>
      <c r="N6855">
        <v>0</v>
      </c>
      <c r="O6855">
        <v>-0.99903739999999996</v>
      </c>
      <c r="P6855">
        <v>-4.2926069999999997E-2</v>
      </c>
      <c r="Q6855">
        <v>4.7925889999999999E-2</v>
      </c>
      <c r="R6855">
        <v>-0.99792840000000005</v>
      </c>
      <c r="S6855">
        <v>-0.45831300000000003</v>
      </c>
      <c r="T6855">
        <v>-4.2989609999999998E-2</v>
      </c>
      <c r="U6855">
        <v>-2.9914860000000001</v>
      </c>
      <c r="V6855">
        <v>1.915693E-3</v>
      </c>
      <c r="W6855">
        <v>5.9638679999999999E-2</v>
      </c>
      <c r="X6855">
        <v>0.99821819999999895</v>
      </c>
      <c r="Y6855">
        <v>0.10951180000000001</v>
      </c>
      <c r="Z6855">
        <v>1.422376E-2</v>
      </c>
      <c r="AA6855">
        <v>0.99388370000000004</v>
      </c>
      <c r="AB6855">
        <v>27</v>
      </c>
      <c r="AC6855">
        <v>-12.182700000000001</v>
      </c>
      <c r="AD6855">
        <v>-1.145967</v>
      </c>
      <c r="AE6855">
        <v>-79.378932999999904</v>
      </c>
      <c r="AF6855">
        <v>8.81515930949279</v>
      </c>
      <c r="AG6855">
        <v>-1.145967</v>
      </c>
      <c r="AH6855">
        <v>79.806644279276497</v>
      </c>
      <c r="AI6855">
        <v>90.817697944475597</v>
      </c>
      <c r="AJ6855">
        <v>83.696862305717104</v>
      </c>
      <c r="AK6855">
        <v>80.300191438973599</v>
      </c>
      <c r="AL6855">
        <v>86.580926511919301</v>
      </c>
      <c r="AM6855">
        <v>89.890043089784101</v>
      </c>
      <c r="AN6855">
        <v>1.0000000084215199</v>
      </c>
    </row>
    <row r="6856" spans="1:40" x14ac:dyDescent="0.25">
      <c r="A6856" t="str">
        <f>"20190312160506250"</f>
        <v>20190312160506250</v>
      </c>
      <c r="B6856" t="str">
        <f>"1552377906241692"</f>
        <v>1552377906241692</v>
      </c>
      <c r="C6856" t="s">
        <v>40</v>
      </c>
      <c r="D6856">
        <v>5.925961</v>
      </c>
      <c r="E6856">
        <v>0.53791089999999997</v>
      </c>
      <c r="F6856" t="s">
        <v>43</v>
      </c>
      <c r="G6856">
        <v>-310.55090000000001</v>
      </c>
      <c r="H6856">
        <v>-0.05</v>
      </c>
      <c r="I6856">
        <v>-91.486019999999996</v>
      </c>
      <c r="J6856">
        <v>-297.40390000000002</v>
      </c>
      <c r="K6856">
        <v>1.0971690000000001</v>
      </c>
      <c r="L6856">
        <v>-6.1700439999999999</v>
      </c>
      <c r="M6856">
        <v>-5.304582E-2</v>
      </c>
      <c r="N6856">
        <v>0</v>
      </c>
      <c r="O6856">
        <v>-0.99851880000000004</v>
      </c>
      <c r="P6856">
        <v>-5.0865220000000003E-2</v>
      </c>
      <c r="Q6856">
        <v>4.7935899999999997E-2</v>
      </c>
      <c r="R6856">
        <v>-0.99755450000000001</v>
      </c>
      <c r="S6856">
        <v>-0.45983889999999999</v>
      </c>
      <c r="T6856">
        <v>-4.0010329999999997E-2</v>
      </c>
      <c r="U6856">
        <v>-2.9883730000000002</v>
      </c>
      <c r="V6856">
        <v>-9.5082670000000002E-4</v>
      </c>
      <c r="W6856">
        <v>6.0048980000000002E-2</v>
      </c>
      <c r="X6856">
        <v>0.99819500000000005</v>
      </c>
      <c r="Y6856">
        <v>9.94258999999999E-2</v>
      </c>
      <c r="Z6856">
        <v>1.324812E-2</v>
      </c>
      <c r="AA6856">
        <v>0.99495679999999997</v>
      </c>
      <c r="AB6856">
        <v>27</v>
      </c>
      <c r="AC6856">
        <v>-13.146999999999901</v>
      </c>
      <c r="AD6856">
        <v>-1.1471690000000001</v>
      </c>
      <c r="AE6856">
        <v>-85.315975999999907</v>
      </c>
      <c r="AF6856">
        <v>8.6009812836231099</v>
      </c>
      <c r="AG6856">
        <v>-1.1471690000000001</v>
      </c>
      <c r="AH6856">
        <v>85.878118251571905</v>
      </c>
      <c r="AI6856">
        <v>90.761508326246798</v>
      </c>
      <c r="AJ6856">
        <v>84.2807076476183</v>
      </c>
      <c r="AK6856">
        <v>86.315375630224494</v>
      </c>
      <c r="AL6856">
        <v>86.557375888498797</v>
      </c>
      <c r="AM6856">
        <v>90.054576851698798</v>
      </c>
      <c r="AN6856">
        <v>1.00000002104772</v>
      </c>
    </row>
    <row r="6857" spans="1:40" x14ac:dyDescent="0.25">
      <c r="A6857" t="str">
        <f>"20190312160506271"</f>
        <v>20190312160506271</v>
      </c>
      <c r="B6857" t="str">
        <f>"1552377906262188"</f>
        <v>1552377906262188</v>
      </c>
      <c r="C6857" t="s">
        <v>40</v>
      </c>
      <c r="D6857">
        <v>6.1692720000000003</v>
      </c>
      <c r="E6857">
        <v>0.53699430000000004</v>
      </c>
      <c r="F6857" t="s">
        <v>43</v>
      </c>
      <c r="G6857">
        <v>-311.18020000000001</v>
      </c>
      <c r="H6857">
        <v>-0.05</v>
      </c>
      <c r="I6857">
        <v>-94.861509999999996</v>
      </c>
      <c r="J6857">
        <v>-297.42989999999998</v>
      </c>
      <c r="K6857">
        <v>1.098203</v>
      </c>
      <c r="L6857">
        <v>-6.4439390000000003</v>
      </c>
      <c r="M6857">
        <v>-6.3509280000000001E-2</v>
      </c>
      <c r="N6857">
        <v>0</v>
      </c>
      <c r="O6857">
        <v>-0.99790420000000002</v>
      </c>
      <c r="P6857">
        <v>-5.9033679999999998E-2</v>
      </c>
      <c r="Q6857">
        <v>4.7333189999999997E-2</v>
      </c>
      <c r="R6857">
        <v>-0.9971333</v>
      </c>
      <c r="S6857">
        <v>-0.46374510000000002</v>
      </c>
      <c r="T6857">
        <v>-3.8616419999999999E-2</v>
      </c>
      <c r="U6857">
        <v>-2.9855649999999998</v>
      </c>
      <c r="V6857">
        <v>-3.2788740000000002E-3</v>
      </c>
      <c r="W6857">
        <v>5.9792900000000003E-2</v>
      </c>
      <c r="X6857">
        <v>0.99820540000000002</v>
      </c>
      <c r="Y6857">
        <v>9.0404499999999999E-2</v>
      </c>
      <c r="Z6857">
        <v>1.279103E-2</v>
      </c>
      <c r="AA6857">
        <v>0.99582300000000001</v>
      </c>
      <c r="AB6857">
        <v>27</v>
      </c>
      <c r="AC6857">
        <v>-13.750299999999999</v>
      </c>
      <c r="AD6857">
        <v>-1.1482030000000001</v>
      </c>
      <c r="AE6857">
        <v>-88.417570999999995</v>
      </c>
      <c r="AF6857">
        <v>8.1054345756668802</v>
      </c>
      <c r="AG6857">
        <v>-1.1482030000000001</v>
      </c>
      <c r="AH6857">
        <v>89.097718561179803</v>
      </c>
      <c r="AI6857">
        <v>90.735294254783497</v>
      </c>
      <c r="AJ6857">
        <v>84.801972682731801</v>
      </c>
      <c r="AK6857">
        <v>89.473012090779804</v>
      </c>
      <c r="AL6857">
        <v>86.572074466587594</v>
      </c>
      <c r="AM6857">
        <v>90.188202714679605</v>
      </c>
      <c r="AN6857">
        <v>0.99999998124713796</v>
      </c>
    </row>
    <row r="6858" spans="1:40" x14ac:dyDescent="0.25">
      <c r="A6858" t="str">
        <f>"20190312160506296"</f>
        <v>20190312160506296</v>
      </c>
      <c r="B6858" t="str">
        <f>"1552377906292444"</f>
        <v>1552377906292444</v>
      </c>
      <c r="C6858" t="s">
        <v>40</v>
      </c>
      <c r="D6858">
        <v>5.9534549999999999</v>
      </c>
      <c r="E6858">
        <v>0.51868709999999996</v>
      </c>
      <c r="F6858" t="s">
        <v>119</v>
      </c>
      <c r="G6858">
        <v>-311.14510000000001</v>
      </c>
      <c r="H6858">
        <v>4.6673060000000002E-2</v>
      </c>
      <c r="I6858">
        <v>-91.564989999999995</v>
      </c>
      <c r="J6858">
        <v>-297.45920000000001</v>
      </c>
      <c r="K6858">
        <v>1.099116</v>
      </c>
      <c r="L6858">
        <v>-6.7234800000000003</v>
      </c>
      <c r="M6858">
        <v>-7.3937390000000006E-2</v>
      </c>
      <c r="N6858">
        <v>0</v>
      </c>
      <c r="O6858">
        <v>-0.99718240000000002</v>
      </c>
      <c r="P6858">
        <v>-6.7141499999999896E-2</v>
      </c>
      <c r="Q6858">
        <v>4.6269030000000003E-2</v>
      </c>
      <c r="R6858">
        <v>-0.99667030000000001</v>
      </c>
      <c r="S6858">
        <v>-0.48046879999999997</v>
      </c>
      <c r="T6858">
        <v>-3.6836389999999997E-2</v>
      </c>
      <c r="U6858">
        <v>-2.9819339999999999</v>
      </c>
      <c r="V6858">
        <v>-5.6452159999999998E-3</v>
      </c>
      <c r="W6858">
        <v>5.9046540000000002E-2</v>
      </c>
      <c r="X6858">
        <v>0.99823930000000005</v>
      </c>
      <c r="Y6858">
        <v>8.5625779999999999E-2</v>
      </c>
      <c r="Z6858">
        <v>1.2200280000000001E-2</v>
      </c>
      <c r="AA6858">
        <v>0.99625269999999999</v>
      </c>
      <c r="AB6858">
        <v>27</v>
      </c>
      <c r="AC6858">
        <v>-13.6859</v>
      </c>
      <c r="AD6858">
        <v>-1.0524429399999999</v>
      </c>
      <c r="AE6858">
        <v>-84.84151</v>
      </c>
      <c r="AF6858">
        <v>7.3738648385959804</v>
      </c>
      <c r="AG6858">
        <v>-1.0524429399999999</v>
      </c>
      <c r="AH6858">
        <v>85.608393403962793</v>
      </c>
      <c r="AI6858">
        <v>90.701742879077003</v>
      </c>
      <c r="AJ6858">
        <v>85.076988444107002</v>
      </c>
      <c r="AK6858">
        <v>85.931824954480703</v>
      </c>
      <c r="AL6858">
        <v>86.614913608430498</v>
      </c>
      <c r="AM6858">
        <v>90.324014094871202</v>
      </c>
      <c r="AN6858">
        <v>1.00000003120707</v>
      </c>
    </row>
    <row r="6859" spans="1:40" x14ac:dyDescent="0.25">
      <c r="A6859" t="str">
        <f>"20190312160506317"</f>
        <v>20190312160506317</v>
      </c>
      <c r="B6859" t="str">
        <f>"1552377906311964"</f>
        <v>1552377906311964</v>
      </c>
      <c r="C6859" t="s">
        <v>40</v>
      </c>
      <c r="D6859">
        <v>6.003628</v>
      </c>
      <c r="E6859">
        <v>0.51804969999999995</v>
      </c>
      <c r="F6859" t="s">
        <v>119</v>
      </c>
      <c r="G6859">
        <v>-307.49079999999998</v>
      </c>
      <c r="H6859">
        <v>3.5153470000000002</v>
      </c>
      <c r="I6859">
        <v>-91.564989999999995</v>
      </c>
      <c r="J6859">
        <v>-297.49090000000001</v>
      </c>
      <c r="K6859">
        <v>1.0999129999999999</v>
      </c>
      <c r="L6859">
        <v>-7.0015869999999998</v>
      </c>
      <c r="M6859">
        <v>-8.4033739999999996E-2</v>
      </c>
      <c r="N6859">
        <v>0</v>
      </c>
      <c r="O6859">
        <v>-0.99637920000000002</v>
      </c>
      <c r="P6859">
        <v>-7.5077829999999998E-2</v>
      </c>
      <c r="Q6859">
        <v>4.5613019999999997E-2</v>
      </c>
      <c r="R6859">
        <v>-0.99613390000000002</v>
      </c>
      <c r="S6859">
        <v>-0.35263060000000002</v>
      </c>
      <c r="T6859">
        <v>8.493531E-2</v>
      </c>
      <c r="U6859">
        <v>-2.9823300000000001</v>
      </c>
      <c r="V6859">
        <v>-7.8459140000000007E-3</v>
      </c>
      <c r="W6859">
        <v>5.8667160000000003E-2</v>
      </c>
      <c r="X6859">
        <v>0.99824679999999999</v>
      </c>
      <c r="Y6859">
        <v>3.3500330000000002E-2</v>
      </c>
      <c r="Z6859">
        <v>-2.8211030000000002E-2</v>
      </c>
      <c r="AA6859">
        <v>0.9990405</v>
      </c>
      <c r="AB6859">
        <v>27</v>
      </c>
      <c r="AC6859">
        <v>-9.9998999999999594</v>
      </c>
      <c r="AD6859">
        <v>2.4154339999999999</v>
      </c>
      <c r="AE6859">
        <v>-84.563402999999994</v>
      </c>
      <c r="AF6859">
        <v>2.8554541418657502</v>
      </c>
      <c r="AG6859">
        <v>2.4154339999999999</v>
      </c>
      <c r="AH6859">
        <v>85.036221306187997</v>
      </c>
      <c r="AI6859">
        <v>88.373880284034996</v>
      </c>
      <c r="AJ6859">
        <v>88.076772251651903</v>
      </c>
      <c r="AK6859">
        <v>85.118428520500999</v>
      </c>
      <c r="AL6859">
        <v>86.636688237442101</v>
      </c>
      <c r="AM6859">
        <v>90.450317999783607</v>
      </c>
      <c r="AN6859">
        <v>1.00000003386959</v>
      </c>
    </row>
    <row r="6860" spans="1:40" x14ac:dyDescent="0.25">
      <c r="A6860" t="str">
        <f>"20190312160506340"</f>
        <v>20190312160506340</v>
      </c>
      <c r="B6860" t="str">
        <f>"1552377906332460"</f>
        <v>1552377906332460</v>
      </c>
      <c r="C6860" t="s">
        <v>40</v>
      </c>
      <c r="D6860">
        <v>6.0008689999999998</v>
      </c>
      <c r="E6860">
        <v>0.51779399999999998</v>
      </c>
      <c r="F6860" t="s">
        <v>119</v>
      </c>
      <c r="G6860">
        <v>-308.03190000000001</v>
      </c>
      <c r="H6860">
        <v>3.3800460000000001</v>
      </c>
      <c r="I6860">
        <v>-91.564989999999995</v>
      </c>
      <c r="J6860">
        <v>-297.5247</v>
      </c>
      <c r="K6860">
        <v>1.1006260000000001</v>
      </c>
      <c r="L6860">
        <v>-7.2753300000000003</v>
      </c>
      <c r="M6860">
        <v>-9.366737E-2</v>
      </c>
      <c r="N6860">
        <v>0</v>
      </c>
      <c r="O6860">
        <v>-0.99551719999999999</v>
      </c>
      <c r="P6860">
        <v>-8.2581470000000004E-2</v>
      </c>
      <c r="Q6860">
        <v>4.4303599999999999E-2</v>
      </c>
      <c r="R6860">
        <v>-0.99559929999999996</v>
      </c>
      <c r="S6860">
        <v>-0.37146000000000001</v>
      </c>
      <c r="T6860">
        <v>8.0351469999999994E-2</v>
      </c>
      <c r="U6860">
        <v>-2.9799799999999999</v>
      </c>
      <c r="V6860">
        <v>-1.0037559999999999E-2</v>
      </c>
      <c r="W6860">
        <v>5.759562E-2</v>
      </c>
      <c r="X6860">
        <v>0.99828950000000005</v>
      </c>
      <c r="Y6860">
        <v>3.0150420000000001E-2</v>
      </c>
      <c r="Z6860">
        <v>-2.666733E-2</v>
      </c>
      <c r="AA6860">
        <v>0.99918960000000001</v>
      </c>
      <c r="AB6860">
        <v>27</v>
      </c>
      <c r="AC6860">
        <v>-10.507199999999999</v>
      </c>
      <c r="AD6860">
        <v>2.27942</v>
      </c>
      <c r="AE6860">
        <v>-84.289659999999998</v>
      </c>
      <c r="AF6860">
        <v>2.5632822071897299</v>
      </c>
      <c r="AG6860">
        <v>2.27942</v>
      </c>
      <c r="AH6860">
        <v>84.842190694885701</v>
      </c>
      <c r="AI6860">
        <v>88.461729791483606</v>
      </c>
      <c r="AJ6860">
        <v>88.2694860905995</v>
      </c>
      <c r="AK6860">
        <v>84.911503891507195</v>
      </c>
      <c r="AL6860">
        <v>86.698186734619</v>
      </c>
      <c r="AM6860">
        <v>90.576075822628795</v>
      </c>
      <c r="AN6860">
        <v>0.99999996693209303</v>
      </c>
    </row>
    <row r="6861" spans="1:40" x14ac:dyDescent="0.25">
      <c r="A6861" t="str">
        <f>"20190312160506361"</f>
        <v>20190312160506361</v>
      </c>
      <c r="B6861" t="str">
        <f>"1552377906351980"</f>
        <v>1552377906351980</v>
      </c>
      <c r="C6861" t="s">
        <v>40</v>
      </c>
      <c r="D6861">
        <v>5.9331490000000002</v>
      </c>
      <c r="E6861">
        <v>0.51783690000000004</v>
      </c>
      <c r="F6861" t="s">
        <v>119</v>
      </c>
      <c r="G6861">
        <v>-308.62520000000001</v>
      </c>
      <c r="H6861">
        <v>3.1489699999999998</v>
      </c>
      <c r="I6861">
        <v>-91.564989999999995</v>
      </c>
      <c r="J6861">
        <v>-297.55939999999998</v>
      </c>
      <c r="K6861">
        <v>1.1012740000000001</v>
      </c>
      <c r="L6861">
        <v>-7.5390319999999997</v>
      </c>
      <c r="M6861">
        <v>-0.10263460000000001</v>
      </c>
      <c r="N6861">
        <v>0</v>
      </c>
      <c r="O6861">
        <v>-0.99463029999999997</v>
      </c>
      <c r="P6861">
        <v>-8.9428279999999999E-2</v>
      </c>
      <c r="Q6861">
        <v>4.4288660000000001E-2</v>
      </c>
      <c r="R6861">
        <v>-0.99500809999999995</v>
      </c>
      <c r="S6861">
        <v>-0.39212039999999998</v>
      </c>
      <c r="T6861">
        <v>7.2357649999999996E-2</v>
      </c>
      <c r="U6861">
        <v>-2.977509</v>
      </c>
      <c r="V6861">
        <v>-1.219901E-2</v>
      </c>
      <c r="W6861">
        <v>5.777794E-2</v>
      </c>
      <c r="X6861">
        <v>0.99825489999999995</v>
      </c>
      <c r="Y6861">
        <v>2.807434E-2</v>
      </c>
      <c r="Z6861">
        <v>-2.3993919999999998E-2</v>
      </c>
      <c r="AA6861">
        <v>0.99931780000000003</v>
      </c>
      <c r="AB6861">
        <v>27</v>
      </c>
      <c r="AC6861">
        <v>-11.065799999999999</v>
      </c>
      <c r="AD6861">
        <v>2.04769599999999</v>
      </c>
      <c r="AE6861">
        <v>-84.025958000000003</v>
      </c>
      <c r="AF6861">
        <v>2.3812298315146401</v>
      </c>
      <c r="AG6861">
        <v>2.04769599999999</v>
      </c>
      <c r="AH6861">
        <v>84.668556806370702</v>
      </c>
      <c r="AI6861">
        <v>88.615127845063995</v>
      </c>
      <c r="AJ6861">
        <v>88.389030474837298</v>
      </c>
      <c r="AK6861">
        <v>84.726783404615006</v>
      </c>
      <c r="AL6861">
        <v>86.687723172399203</v>
      </c>
      <c r="AM6861">
        <v>90.700138809562702</v>
      </c>
      <c r="AN6861">
        <v>0.99999997578481603</v>
      </c>
    </row>
    <row r="6862" spans="1:40" x14ac:dyDescent="0.25">
      <c r="A6862" t="str">
        <f>"20190312160506384"</f>
        <v>20190312160506384</v>
      </c>
      <c r="B6862" t="str">
        <f>"1552377906371500"</f>
        <v>1552377906371500</v>
      </c>
      <c r="C6862" t="s">
        <v>40</v>
      </c>
      <c r="D6862">
        <v>5.818702</v>
      </c>
      <c r="E6862">
        <v>0.51762750000000002</v>
      </c>
      <c r="F6862" t="s">
        <v>119</v>
      </c>
      <c r="G6862">
        <v>-309.22210000000001</v>
      </c>
      <c r="H6862">
        <v>3.2131810000000001</v>
      </c>
      <c r="I6862">
        <v>-91.564989999999995</v>
      </c>
      <c r="J6862">
        <v>-297.59719999999999</v>
      </c>
      <c r="K6862">
        <v>1.101907</v>
      </c>
      <c r="L6862">
        <v>-7.8093570000000003</v>
      </c>
      <c r="M6862">
        <v>-0.11148280000000001</v>
      </c>
      <c r="N6862">
        <v>0</v>
      </c>
      <c r="O6862">
        <v>-0.99367559999999999</v>
      </c>
      <c r="P6862">
        <v>-9.6225149999999995E-2</v>
      </c>
      <c r="Q6862">
        <v>4.3551430000000002E-2</v>
      </c>
      <c r="R6862">
        <v>-0.99440640000000002</v>
      </c>
      <c r="S6862">
        <v>-0.41287230000000003</v>
      </c>
      <c r="T6862">
        <v>7.4764250000000004E-2</v>
      </c>
      <c r="U6862">
        <v>-2.9746090000000001</v>
      </c>
      <c r="V6862">
        <v>-1.431672E-2</v>
      </c>
      <c r="W6862">
        <v>5.7211909999999998E-2</v>
      </c>
      <c r="X6862">
        <v>0.99825940000000002</v>
      </c>
      <c r="Y6862">
        <v>2.6147090000000001E-2</v>
      </c>
      <c r="Z6862">
        <v>-2.476894E-2</v>
      </c>
      <c r="AA6862">
        <v>0.9993512</v>
      </c>
      <c r="AB6862">
        <v>27</v>
      </c>
      <c r="AC6862">
        <v>-11.6249</v>
      </c>
      <c r="AD6862">
        <v>2.1112739999999999</v>
      </c>
      <c r="AE6862">
        <v>-83.755632999999904</v>
      </c>
      <c r="AF6862">
        <v>2.2128871836156301</v>
      </c>
      <c r="AG6862">
        <v>2.1112739999999999</v>
      </c>
      <c r="AH6862">
        <v>84.476865847070499</v>
      </c>
      <c r="AI6862">
        <v>88.568833538508002</v>
      </c>
      <c r="AJ6862">
        <v>88.49946957137</v>
      </c>
      <c r="AK6862">
        <v>84.532214042543799</v>
      </c>
      <c r="AL6862">
        <v>86.720208121047605</v>
      </c>
      <c r="AM6862">
        <v>90.821661583582795</v>
      </c>
      <c r="AN6862">
        <v>1.00000000040288</v>
      </c>
    </row>
    <row r="6863" spans="1:40" x14ac:dyDescent="0.25">
      <c r="A6863" t="str">
        <f>"20190312160506407"</f>
        <v>20190312160506407</v>
      </c>
      <c r="B6863" t="str">
        <f>"1552377906401756"</f>
        <v>1552377906401756</v>
      </c>
      <c r="C6863" t="s">
        <v>40</v>
      </c>
      <c r="D6863">
        <v>5.9337429999999998</v>
      </c>
      <c r="E6863">
        <v>0.51826709999999998</v>
      </c>
      <c r="F6863" t="s">
        <v>119</v>
      </c>
      <c r="G6863">
        <v>-309.75479999999999</v>
      </c>
      <c r="H6863">
        <v>3.1409470000000002</v>
      </c>
      <c r="I6863">
        <v>-91.564989999999995</v>
      </c>
      <c r="J6863">
        <v>-297.63810000000001</v>
      </c>
      <c r="K6863">
        <v>1.1025199999999999</v>
      </c>
      <c r="L6863">
        <v>-8.0874629999999996</v>
      </c>
      <c r="M6863">
        <v>-0.12019249999999999</v>
      </c>
      <c r="N6863">
        <v>0</v>
      </c>
      <c r="O6863">
        <v>-0.99265809999999999</v>
      </c>
      <c r="P6863">
        <v>-0.1030319</v>
      </c>
      <c r="Q6863">
        <v>4.2672580000000002E-2</v>
      </c>
      <c r="R6863">
        <v>-0.99376240000000005</v>
      </c>
      <c r="S6863">
        <v>-0.43139650000000002</v>
      </c>
      <c r="T6863">
        <v>7.2353009999999995E-2</v>
      </c>
      <c r="U6863">
        <v>-2.9719540000000002</v>
      </c>
      <c r="V6863">
        <v>-1.6297559999999999E-2</v>
      </c>
      <c r="W6863">
        <v>5.6478300000000002E-2</v>
      </c>
      <c r="X6863">
        <v>0.99827080000000001</v>
      </c>
      <c r="Y6863">
        <v>2.3610409999999998E-2</v>
      </c>
      <c r="Z6863">
        <v>-2.3945379999999999E-2</v>
      </c>
      <c r="AA6863">
        <v>0.99943439999999995</v>
      </c>
      <c r="AB6863">
        <v>27</v>
      </c>
      <c r="AC6863">
        <v>-12.1166999999999</v>
      </c>
      <c r="AD6863">
        <v>2.038427</v>
      </c>
      <c r="AE6863">
        <v>-83.477526999999995</v>
      </c>
      <c r="AF6863">
        <v>1.9933868100290499</v>
      </c>
      <c r="AG6863">
        <v>2.038427</v>
      </c>
      <c r="AH6863">
        <v>84.279506682384707</v>
      </c>
      <c r="AI6863">
        <v>88.614872502282097</v>
      </c>
      <c r="AJ6863">
        <v>88.645087458151394</v>
      </c>
      <c r="AK6863">
        <v>84.327717994944294</v>
      </c>
      <c r="AL6863">
        <v>86.762308952452997</v>
      </c>
      <c r="AM6863">
        <v>90.935315805015705</v>
      </c>
      <c r="AN6863">
        <v>0.99999999948274099</v>
      </c>
    </row>
    <row r="6864" spans="1:40" x14ac:dyDescent="0.25">
      <c r="A6864" t="str">
        <f>"20190312160506430"</f>
        <v>20190312160506430</v>
      </c>
      <c r="B6864" t="str">
        <f>"1552377906422253"</f>
        <v>1552377906422253</v>
      </c>
      <c r="C6864" t="s">
        <v>40</v>
      </c>
      <c r="D6864">
        <v>5.9157190000000002</v>
      </c>
      <c r="E6864">
        <v>0.51928940000000001</v>
      </c>
      <c r="F6864" t="s">
        <v>119</v>
      </c>
      <c r="G6864">
        <v>-310.49880000000002</v>
      </c>
      <c r="H6864">
        <v>2.7160000000000002</v>
      </c>
      <c r="I6864">
        <v>-91.564989999999995</v>
      </c>
      <c r="J6864">
        <v>-297.68009999999998</v>
      </c>
      <c r="K6864">
        <v>1.1030899999999999</v>
      </c>
      <c r="L6864">
        <v>-8.3579410000000003</v>
      </c>
      <c r="M6864">
        <v>-0.1282103</v>
      </c>
      <c r="N6864">
        <v>0</v>
      </c>
      <c r="O6864">
        <v>-0.99165300000000001</v>
      </c>
      <c r="P6864">
        <v>-0.1092767</v>
      </c>
      <c r="Q6864">
        <v>4.2297130000000002E-2</v>
      </c>
      <c r="R6864">
        <v>-0.99311119999999997</v>
      </c>
      <c r="S6864">
        <v>-0.45739750000000001</v>
      </c>
      <c r="T6864">
        <v>5.738497E-2</v>
      </c>
      <c r="U6864">
        <v>-2.9689329999999998</v>
      </c>
      <c r="V6864">
        <v>-1.8141399999999998E-2</v>
      </c>
      <c r="W6864">
        <v>5.6217410000000002E-2</v>
      </c>
      <c r="X6864">
        <v>0.99825370000000002</v>
      </c>
      <c r="Y6864">
        <v>2.4253159999999999E-2</v>
      </c>
      <c r="Z6864">
        <v>-1.8971700000000001E-2</v>
      </c>
      <c r="AA6864">
        <v>0.99952580000000002</v>
      </c>
      <c r="AB6864">
        <v>27</v>
      </c>
      <c r="AC6864">
        <v>-12.8187</v>
      </c>
      <c r="AD6864">
        <v>1.6129100000000001</v>
      </c>
      <c r="AE6864">
        <v>-83.207048999999998</v>
      </c>
      <c r="AF6864">
        <v>2.0431422297122199</v>
      </c>
      <c r="AG6864">
        <v>1.6129100000000001</v>
      </c>
      <c r="AH6864">
        <v>84.132975393763203</v>
      </c>
      <c r="AI6864">
        <v>88.902043005011606</v>
      </c>
      <c r="AJ6864">
        <v>88.608863863990194</v>
      </c>
      <c r="AK6864">
        <v>84.173234804458502</v>
      </c>
      <c r="AL6864">
        <v>86.777280568009303</v>
      </c>
      <c r="AM6864">
        <v>91.041129373455405</v>
      </c>
      <c r="AN6864">
        <v>0.99999997857237799</v>
      </c>
    </row>
    <row r="6865" spans="1:40" x14ac:dyDescent="0.25">
      <c r="A6865" t="str">
        <f>"20190312160506451"</f>
        <v>20190312160506451</v>
      </c>
      <c r="B6865" t="str">
        <f>"1552377906441773"</f>
        <v>1552377906441773</v>
      </c>
      <c r="C6865" t="s">
        <v>40</v>
      </c>
      <c r="D6865">
        <v>5.9326739999999996</v>
      </c>
      <c r="E6865">
        <v>0.51867429999999903</v>
      </c>
      <c r="F6865" t="s">
        <v>119</v>
      </c>
      <c r="G6865">
        <v>-311.27859999999998</v>
      </c>
      <c r="H6865">
        <v>2.291185</v>
      </c>
      <c r="I6865">
        <v>-91.564989999999995</v>
      </c>
      <c r="J6865">
        <v>-297.72329999999999</v>
      </c>
      <c r="K6865">
        <v>1.103626</v>
      </c>
      <c r="L6865">
        <v>-8.6260680000000001</v>
      </c>
      <c r="M6865">
        <v>-0.13572519999999999</v>
      </c>
      <c r="N6865">
        <v>0</v>
      </c>
      <c r="O6865">
        <v>-0.99065139999999996</v>
      </c>
      <c r="P6865">
        <v>-0.11393349999999999</v>
      </c>
      <c r="Q6865">
        <v>4.2057669999999998E-2</v>
      </c>
      <c r="R6865">
        <v>-0.99259790000000003</v>
      </c>
      <c r="S6865">
        <v>-0.48468020000000001</v>
      </c>
      <c r="T6865">
        <v>4.2346599999999998E-2</v>
      </c>
      <c r="U6865">
        <v>-2.965668</v>
      </c>
      <c r="V6865">
        <v>-2.1078429999999999E-2</v>
      </c>
      <c r="W6865">
        <v>5.6084589999999997E-2</v>
      </c>
      <c r="X6865">
        <v>0.99820350000000002</v>
      </c>
      <c r="Y6865">
        <v>2.5821150000000001E-2</v>
      </c>
      <c r="Z6865">
        <v>-1.398489E-2</v>
      </c>
      <c r="AA6865">
        <v>0.99956880000000004</v>
      </c>
      <c r="AB6865">
        <v>27</v>
      </c>
      <c r="AC6865">
        <v>-13.5552999999999</v>
      </c>
      <c r="AD6865">
        <v>1.187559</v>
      </c>
      <c r="AE6865">
        <v>-82.938921999999906</v>
      </c>
      <c r="AF6865">
        <v>2.1714462221075701</v>
      </c>
      <c r="AG6865">
        <v>1.187559</v>
      </c>
      <c r="AH6865">
        <v>83.994499901952906</v>
      </c>
      <c r="AI6865">
        <v>89.190246221308399</v>
      </c>
      <c r="AJ6865">
        <v>88.519105439324093</v>
      </c>
      <c r="AK6865">
        <v>84.030955539331799</v>
      </c>
      <c r="AL6865">
        <v>86.7849027022352</v>
      </c>
      <c r="AM6865">
        <v>91.209698844153806</v>
      </c>
      <c r="AN6865">
        <v>1.0000000044294901</v>
      </c>
    </row>
    <row r="6866" spans="1:40" x14ac:dyDescent="0.25">
      <c r="A6866" t="str">
        <f>"20190312160506484"</f>
        <v>20190312160506484</v>
      </c>
      <c r="B6866" t="str">
        <f>"1552377906481789"</f>
        <v>1552377906481789</v>
      </c>
      <c r="C6866" t="s">
        <v>40</v>
      </c>
      <c r="D6866">
        <v>5.9393960000000003</v>
      </c>
      <c r="E6866">
        <v>0.51599030000000001</v>
      </c>
      <c r="F6866" t="s">
        <v>119</v>
      </c>
      <c r="G6866">
        <v>-311.55520000000001</v>
      </c>
      <c r="H6866">
        <v>2.0030239999999999</v>
      </c>
      <c r="I6866">
        <v>-91.564989999999995</v>
      </c>
      <c r="J6866">
        <v>-297.79090000000002</v>
      </c>
      <c r="K6866">
        <v>1.1043149999999999</v>
      </c>
      <c r="L6866">
        <v>-9.0265500000000003</v>
      </c>
      <c r="M6866">
        <v>-0.146283</v>
      </c>
      <c r="N6866">
        <v>0</v>
      </c>
      <c r="O6866">
        <v>-0.98914599999999997</v>
      </c>
      <c r="P6866">
        <v>-0.12188359999999999</v>
      </c>
      <c r="Q6866">
        <v>4.2477809999999998E-2</v>
      </c>
      <c r="R6866">
        <v>-0.9916353</v>
      </c>
      <c r="S6866">
        <v>-0.49435420000000002</v>
      </c>
      <c r="T6866">
        <v>3.2145260000000002E-2</v>
      </c>
      <c r="U6866">
        <v>-2.964264</v>
      </c>
      <c r="V6866">
        <v>-2.377835E-2</v>
      </c>
      <c r="W6866">
        <v>5.6613980000000001E-2</v>
      </c>
      <c r="X6866">
        <v>0.99811289999999997</v>
      </c>
      <c r="Y6866">
        <v>1.8416169999999999E-2</v>
      </c>
      <c r="Z6866">
        <v>-1.059526E-2</v>
      </c>
      <c r="AA6866">
        <v>0.9997743</v>
      </c>
      <c r="AB6866">
        <v>27</v>
      </c>
      <c r="AC6866">
        <v>-13.764299999999899</v>
      </c>
      <c r="AD6866">
        <v>0.89870899999999998</v>
      </c>
      <c r="AE6866">
        <v>-82.538439999999994</v>
      </c>
      <c r="AF6866">
        <v>1.5409014740109499</v>
      </c>
      <c r="AG6866">
        <v>0.89870899999999998</v>
      </c>
      <c r="AH6866">
        <v>83.654411590116297</v>
      </c>
      <c r="AI6866">
        <v>89.384592890017402</v>
      </c>
      <c r="AJ6866">
        <v>88.944739835527997</v>
      </c>
      <c r="AK6866">
        <v>83.6734284806586</v>
      </c>
      <c r="AL6866">
        <v>86.754522464479294</v>
      </c>
      <c r="AM6866">
        <v>91.364716800410406</v>
      </c>
      <c r="AN6866">
        <v>0.99999995690328503</v>
      </c>
    </row>
    <row r="6867" spans="1:40" x14ac:dyDescent="0.25">
      <c r="A6867" t="str">
        <f>"20190312160506509"</f>
        <v>20190312160506509</v>
      </c>
      <c r="B6867" t="str">
        <f>"1552377906502284"</f>
        <v>1552377906502284</v>
      </c>
      <c r="C6867" t="s">
        <v>40</v>
      </c>
      <c r="D6867">
        <v>5.8183920000000002</v>
      </c>
      <c r="E6867">
        <v>0.51475280000000001</v>
      </c>
      <c r="F6867" t="s">
        <v>119</v>
      </c>
      <c r="G6867">
        <v>-311.6234</v>
      </c>
      <c r="H6867">
        <v>2.109448</v>
      </c>
      <c r="I6867">
        <v>-91.564989999999995</v>
      </c>
      <c r="J6867">
        <v>-297.83960000000002</v>
      </c>
      <c r="K6867">
        <v>1.104741</v>
      </c>
      <c r="L6867">
        <v>-9.3023679999999995</v>
      </c>
      <c r="M6867">
        <v>-0.15305839999999901</v>
      </c>
      <c r="N6867">
        <v>0</v>
      </c>
      <c r="O6867">
        <v>-0.98811939999999998</v>
      </c>
      <c r="P6867">
        <v>-0.12745919999999999</v>
      </c>
      <c r="Q6867">
        <v>4.2927769999999997E-2</v>
      </c>
      <c r="R6867">
        <v>-0.99091459999999998</v>
      </c>
      <c r="S6867">
        <v>-0.49652099999999999</v>
      </c>
      <c r="T6867">
        <v>3.6080000000000001E-2</v>
      </c>
      <c r="U6867">
        <v>-2.9627379999999999</v>
      </c>
      <c r="V6867">
        <v>-2.503551E-2</v>
      </c>
      <c r="W6867">
        <v>5.7116229999999997E-2</v>
      </c>
      <c r="X6867">
        <v>0.99805359999999999</v>
      </c>
      <c r="Y6867">
        <v>1.235609E-2</v>
      </c>
      <c r="Z6867">
        <v>-1.18794E-2</v>
      </c>
      <c r="AA6867">
        <v>0.99985310000000005</v>
      </c>
      <c r="AB6867">
        <v>27</v>
      </c>
      <c r="AC6867">
        <v>-13.7837999999999</v>
      </c>
      <c r="AD6867">
        <v>1.004707</v>
      </c>
      <c r="AE6867">
        <v>-82.262621999999993</v>
      </c>
      <c r="AF6867">
        <v>1.02900498998165</v>
      </c>
      <c r="AG6867">
        <v>1.004707</v>
      </c>
      <c r="AH6867">
        <v>83.390975749641598</v>
      </c>
      <c r="AI6867">
        <v>89.309777782585797</v>
      </c>
      <c r="AJ6867">
        <v>89.293033204200398</v>
      </c>
      <c r="AK6867">
        <v>83.403375974252796</v>
      </c>
      <c r="AL6867">
        <v>86.725699206340096</v>
      </c>
      <c r="AM6867">
        <v>91.436925146618904</v>
      </c>
      <c r="AN6867">
        <v>1.0000000144816601</v>
      </c>
    </row>
    <row r="6868" spans="1:40" x14ac:dyDescent="0.25">
      <c r="A6868" t="str">
        <f>"20190312160506529"</f>
        <v>20190312160506529</v>
      </c>
      <c r="B6868" t="str">
        <f>"1552377906521804"</f>
        <v>1552377906521804</v>
      </c>
      <c r="C6868" t="s">
        <v>40</v>
      </c>
      <c r="D6868">
        <v>5.7888330000000003</v>
      </c>
      <c r="E6868">
        <v>0.51404570000000005</v>
      </c>
      <c r="F6868" t="s">
        <v>119</v>
      </c>
      <c r="G6868">
        <v>-311.81959999999998</v>
      </c>
      <c r="H6868">
        <v>2.1342560000000002</v>
      </c>
      <c r="I6868">
        <v>-91.564989999999995</v>
      </c>
      <c r="J6868">
        <v>-297.88659999999999</v>
      </c>
      <c r="K6868">
        <v>1.105143</v>
      </c>
      <c r="L6868">
        <v>-9.5611270000000008</v>
      </c>
      <c r="M6868">
        <v>-0.15895429999999999</v>
      </c>
      <c r="N6868">
        <v>0</v>
      </c>
      <c r="O6868">
        <v>-0.98718760000000005</v>
      </c>
      <c r="P6868">
        <v>-0.13194339999999999</v>
      </c>
      <c r="Q6868">
        <v>4.4025969999999998E-2</v>
      </c>
      <c r="R6868">
        <v>-0.99027920000000003</v>
      </c>
      <c r="S6868">
        <v>-0.50323490000000004</v>
      </c>
      <c r="T6868">
        <v>3.7059660000000001E-2</v>
      </c>
      <c r="U6868">
        <v>-2.961182</v>
      </c>
      <c r="V6868">
        <v>-2.649717E-2</v>
      </c>
      <c r="W6868">
        <v>5.8249219999999997E-2</v>
      </c>
      <c r="X6868">
        <v>0.99795040000000002</v>
      </c>
      <c r="Y6868">
        <v>8.6759100000000002E-3</v>
      </c>
      <c r="Z6868">
        <v>-1.218895E-2</v>
      </c>
      <c r="AA6868">
        <v>0.99988809999999995</v>
      </c>
      <c r="AB6868">
        <v>27</v>
      </c>
      <c r="AC6868">
        <v>-13.9329999999999</v>
      </c>
      <c r="AD6868">
        <v>1.0291129999999999</v>
      </c>
      <c r="AE6868">
        <v>-82.003862999999996</v>
      </c>
      <c r="AF6868">
        <v>0.719577917964207</v>
      </c>
      <c r="AG6868">
        <v>1.0291129999999999</v>
      </c>
      <c r="AH6868">
        <v>83.163252597861401</v>
      </c>
      <c r="AI6868">
        <v>89.291049670693297</v>
      </c>
      <c r="AJ6868">
        <v>89.504255213794096</v>
      </c>
      <c r="AK6868">
        <v>83.172732602713594</v>
      </c>
      <c r="AL6868">
        <v>86.660675464424699</v>
      </c>
      <c r="AM6868">
        <v>91.520936707997393</v>
      </c>
      <c r="AN6868">
        <v>1.0000000362543799</v>
      </c>
    </row>
    <row r="6869" spans="1:40" x14ac:dyDescent="0.25">
      <c r="A6869" t="str">
        <f>"20190312160506552"</f>
        <v>20190312160506552</v>
      </c>
      <c r="B6869" t="str">
        <f>"1552377906542300"</f>
        <v>1552377906542300</v>
      </c>
      <c r="C6869" t="s">
        <v>40</v>
      </c>
      <c r="D6869">
        <v>5.788424</v>
      </c>
      <c r="E6869">
        <v>0.46850900000000001</v>
      </c>
      <c r="F6869" t="s">
        <v>119</v>
      </c>
      <c r="G6869">
        <v>-312.03800000000001</v>
      </c>
      <c r="H6869">
        <v>2.205492</v>
      </c>
      <c r="I6869">
        <v>-91.564989999999995</v>
      </c>
      <c r="J6869">
        <v>-297.93549999999999</v>
      </c>
      <c r="K6869">
        <v>1.105532</v>
      </c>
      <c r="L6869">
        <v>-9.8231199999999994</v>
      </c>
      <c r="M6869">
        <v>-0.16456889999999999</v>
      </c>
      <c r="N6869">
        <v>0</v>
      </c>
      <c r="O6869">
        <v>-0.9862668</v>
      </c>
      <c r="P6869">
        <v>-0.135407</v>
      </c>
      <c r="Q6869">
        <v>4.4019830000000003E-2</v>
      </c>
      <c r="R6869">
        <v>-0.98981209999999997</v>
      </c>
      <c r="S6869">
        <v>-0.51074220000000004</v>
      </c>
      <c r="T6869">
        <v>3.9713499999999999E-2</v>
      </c>
      <c r="U6869">
        <v>-2.959625</v>
      </c>
      <c r="V6869">
        <v>-2.8728360000000001E-2</v>
      </c>
      <c r="W6869">
        <v>5.8274439999999997E-2</v>
      </c>
      <c r="X6869">
        <v>0.99788710000000003</v>
      </c>
      <c r="Y6869">
        <v>5.5348530000000002E-3</v>
      </c>
      <c r="Z6869">
        <v>-1.304755E-2</v>
      </c>
      <c r="AA6869">
        <v>0.9998996</v>
      </c>
      <c r="AB6869">
        <v>27</v>
      </c>
      <c r="AC6869">
        <v>-14.102499999999999</v>
      </c>
      <c r="AD6869">
        <v>1.09996</v>
      </c>
      <c r="AE6869">
        <v>-81.741869999999906</v>
      </c>
      <c r="AF6869">
        <v>0.45662212549534498</v>
      </c>
      <c r="AG6869">
        <v>1.09996</v>
      </c>
      <c r="AH6869">
        <v>82.933624831515004</v>
      </c>
      <c r="AI6869">
        <v>89.240134317044607</v>
      </c>
      <c r="AJ6869">
        <v>89.684539819501595</v>
      </c>
      <c r="AK6869">
        <v>82.942175902622495</v>
      </c>
      <c r="AL6869">
        <v>86.659227706606799</v>
      </c>
      <c r="AM6869">
        <v>91.649043522119598</v>
      </c>
      <c r="AN6869">
        <v>0.999999946686005</v>
      </c>
    </row>
    <row r="6870" spans="1:40" x14ac:dyDescent="0.25">
      <c r="A6870" t="str">
        <f>"20190312160506574"</f>
        <v>20190312160506574</v>
      </c>
      <c r="B6870" t="str">
        <f>"1552377906561821"</f>
        <v>1552377906561821</v>
      </c>
      <c r="C6870" t="s">
        <v>40</v>
      </c>
      <c r="D6870">
        <v>5.3085630000000004</v>
      </c>
      <c r="E6870">
        <v>0.4147247</v>
      </c>
      <c r="F6870" t="s">
        <v>43</v>
      </c>
      <c r="G6870">
        <v>-302.3048</v>
      </c>
      <c r="H6870">
        <v>-0.05</v>
      </c>
      <c r="I6870">
        <v>-89.621219999999994</v>
      </c>
      <c r="J6870">
        <v>-297.9864</v>
      </c>
      <c r="K6870">
        <v>1.1059129999999999</v>
      </c>
      <c r="L6870">
        <v>-10.08981</v>
      </c>
      <c r="M6870">
        <v>-0.16992160000000001</v>
      </c>
      <c r="N6870">
        <v>0</v>
      </c>
      <c r="O6870">
        <v>-0.98535830000000002</v>
      </c>
      <c r="P6870">
        <v>-0.1387573</v>
      </c>
      <c r="Q6870">
        <v>4.3447760000000002E-2</v>
      </c>
      <c r="R6870">
        <v>-0.9893729</v>
      </c>
      <c r="S6870">
        <v>-0.16482539999999901</v>
      </c>
      <c r="T6870">
        <v>-4.3591020000000001E-2</v>
      </c>
      <c r="U6870">
        <v>-3.010284</v>
      </c>
      <c r="V6870">
        <v>-3.0822929999999998E-2</v>
      </c>
      <c r="W6870">
        <v>5.7722710000000003E-2</v>
      </c>
      <c r="X6870">
        <v>0.99785670000000004</v>
      </c>
      <c r="Y6870">
        <v>-0.1158126</v>
      </c>
      <c r="Z6870">
        <v>1.4104510000000001E-2</v>
      </c>
      <c r="AA6870">
        <v>0.99317089999999997</v>
      </c>
      <c r="AB6870">
        <v>27</v>
      </c>
      <c r="AC6870">
        <v>-4.3183999999999898</v>
      </c>
      <c r="AD6870">
        <v>-1.155913</v>
      </c>
      <c r="AE6870">
        <v>-79.531409999999994</v>
      </c>
      <c r="AF6870">
        <v>-9.2578892643855202</v>
      </c>
      <c r="AG6870">
        <v>-1.155913</v>
      </c>
      <c r="AH6870">
        <v>79.091806249398303</v>
      </c>
      <c r="AI6870">
        <v>90.831631230750403</v>
      </c>
      <c r="AJ6870">
        <v>96.676230708067195</v>
      </c>
      <c r="AK6870">
        <v>79.640181217068701</v>
      </c>
      <c r="AL6870">
        <v>86.690892919135507</v>
      </c>
      <c r="AM6870">
        <v>91.769254488520701</v>
      </c>
      <c r="AN6870">
        <v>0.999999978999209</v>
      </c>
    </row>
    <row r="6871" spans="1:40" x14ac:dyDescent="0.25">
      <c r="A6871" t="str">
        <f>"20190312160506596"</f>
        <v>20190312160506596</v>
      </c>
      <c r="B6871" t="str">
        <f>"1552377906592080"</f>
        <v>1552377906592080</v>
      </c>
      <c r="C6871" t="s">
        <v>40</v>
      </c>
      <c r="D6871">
        <v>5.8418039999999998</v>
      </c>
      <c r="E6871">
        <v>0.41605029999999998</v>
      </c>
      <c r="F6871" t="s">
        <v>81</v>
      </c>
      <c r="G6871">
        <v>-295.12909999999999</v>
      </c>
      <c r="H6871" s="1">
        <v>-4.298668E-6</v>
      </c>
      <c r="I6871">
        <v>-45.484650000000002</v>
      </c>
      <c r="J6871">
        <v>-298.03859999999997</v>
      </c>
      <c r="K6871">
        <v>1.10629</v>
      </c>
      <c r="L6871">
        <v>-10.35788</v>
      </c>
      <c r="M6871">
        <v>-0.17490039999999901</v>
      </c>
      <c r="N6871">
        <v>0</v>
      </c>
      <c r="O6871">
        <v>-0.98448659999999999</v>
      </c>
      <c r="P6871">
        <v>-0.14250160000000001</v>
      </c>
      <c r="Q6871">
        <v>4.2340330000000002E-2</v>
      </c>
      <c r="R6871">
        <v>-0.98888889999999996</v>
      </c>
      <c r="S6871">
        <v>0.2479248</v>
      </c>
      <c r="T6871">
        <v>-9.5960019999999993E-2</v>
      </c>
      <c r="U6871">
        <v>-3.0711979999999999</v>
      </c>
      <c r="V6871">
        <v>-3.2153420000000002E-2</v>
      </c>
      <c r="W6871">
        <v>5.6621119999999997E-2</v>
      </c>
      <c r="X6871">
        <v>0.99787780000000004</v>
      </c>
      <c r="Y6871">
        <v>-0.25353589999999998</v>
      </c>
      <c r="Z6871">
        <v>2.9947189999999999E-2</v>
      </c>
      <c r="AA6871">
        <v>0.96686229999999995</v>
      </c>
      <c r="AB6871">
        <v>27</v>
      </c>
      <c r="AC6871">
        <v>2.9094999999999702</v>
      </c>
      <c r="AD6871">
        <v>-1.106294298668</v>
      </c>
      <c r="AE6871">
        <v>-35.12677</v>
      </c>
      <c r="AF6871">
        <v>-9.0000664582354304</v>
      </c>
      <c r="AG6871">
        <v>-1.106294298668</v>
      </c>
      <c r="AH6871">
        <v>34.042764323935998</v>
      </c>
      <c r="AI6871">
        <v>91.799513949110803</v>
      </c>
      <c r="AJ6871">
        <v>104.80877849575501</v>
      </c>
      <c r="AK6871">
        <v>35.229744338313999</v>
      </c>
      <c r="AL6871">
        <v>86.7541126886467</v>
      </c>
      <c r="AM6871">
        <v>91.845534683049706</v>
      </c>
      <c r="AN6871">
        <v>0.99999994869029396</v>
      </c>
    </row>
    <row r="6872" spans="1:40" x14ac:dyDescent="0.25">
      <c r="A6872" t="str">
        <f>"20190312160506619"</f>
        <v>20190312160506619</v>
      </c>
      <c r="B6872" t="str">
        <f>"1552377906611596"</f>
        <v>1552377906611596</v>
      </c>
      <c r="C6872" t="s">
        <v>40</v>
      </c>
      <c r="D6872">
        <v>5.7582570000000004</v>
      </c>
      <c r="E6872">
        <v>0.41614839999999997</v>
      </c>
      <c r="F6872" t="s">
        <v>81</v>
      </c>
      <c r="G6872">
        <v>-295.5317</v>
      </c>
      <c r="H6872" s="1">
        <v>-3.6159450000000002E-6</v>
      </c>
      <c r="I6872">
        <v>-44.392710000000001</v>
      </c>
      <c r="J6872">
        <v>-298.09179999999998</v>
      </c>
      <c r="K6872">
        <v>1.1066689999999999</v>
      </c>
      <c r="L6872">
        <v>-10.62646</v>
      </c>
      <c r="M6872">
        <v>-0.17945800000000001</v>
      </c>
      <c r="N6872">
        <v>0</v>
      </c>
      <c r="O6872">
        <v>-0.98366600000000004</v>
      </c>
      <c r="P6872">
        <v>-0.14583399999999999</v>
      </c>
      <c r="Q6872">
        <v>4.2642069999999997E-2</v>
      </c>
      <c r="R6872">
        <v>-0.98838990000000004</v>
      </c>
      <c r="S6872">
        <v>0.2261658</v>
      </c>
      <c r="T6872">
        <v>-9.9808690000000005E-2</v>
      </c>
      <c r="U6872">
        <v>-3.0705870000000002</v>
      </c>
      <c r="V6872">
        <v>-3.3452299999999997E-2</v>
      </c>
      <c r="W6872">
        <v>5.6917710000000003E-2</v>
      </c>
      <c r="X6872">
        <v>0.99781830000000005</v>
      </c>
      <c r="Y6872">
        <v>-0.25121680000000002</v>
      </c>
      <c r="Z6872">
        <v>3.1131590000000001E-2</v>
      </c>
      <c r="AA6872">
        <v>0.96743009999999996</v>
      </c>
      <c r="AB6872">
        <v>27</v>
      </c>
      <c r="AC6872">
        <v>2.5600999999999701</v>
      </c>
      <c r="AD6872">
        <v>-1.106672615945</v>
      </c>
      <c r="AE6872">
        <v>-33.766249999999999</v>
      </c>
      <c r="AF6872">
        <v>-8.5695953102192206</v>
      </c>
      <c r="AG6872">
        <v>-1.106672615945</v>
      </c>
      <c r="AH6872">
        <v>32.723542859517003</v>
      </c>
      <c r="AI6872">
        <v>91.873799013461806</v>
      </c>
      <c r="AJ6872">
        <v>104.674989921657</v>
      </c>
      <c r="AK6872">
        <v>33.845131781963303</v>
      </c>
      <c r="AL6872">
        <v>86.737092119324103</v>
      </c>
      <c r="AM6872">
        <v>91.920147188098696</v>
      </c>
      <c r="AN6872">
        <v>1.0000000209509099</v>
      </c>
    </row>
    <row r="6873" spans="1:40" x14ac:dyDescent="0.25">
      <c r="A6873" t="str">
        <f>"20190312160506640"</f>
        <v>20190312160506640</v>
      </c>
      <c r="B6873" t="str">
        <f>"1552377906632092"</f>
        <v>1552377906632092</v>
      </c>
      <c r="C6873" t="s">
        <v>40</v>
      </c>
      <c r="D6873">
        <v>5.7348999999999997</v>
      </c>
      <c r="E6873">
        <v>0.41571849999999999</v>
      </c>
      <c r="F6873" t="s">
        <v>81</v>
      </c>
      <c r="G6873">
        <v>-295.73410000000001</v>
      </c>
      <c r="H6873" s="1">
        <v>-3.496166E-6</v>
      </c>
      <c r="I6873">
        <v>-44.255740000000003</v>
      </c>
      <c r="J6873">
        <v>-298.14210000000003</v>
      </c>
      <c r="K6873">
        <v>1.1070260000000001</v>
      </c>
      <c r="L6873">
        <v>-10.876429999999999</v>
      </c>
      <c r="M6873">
        <v>-0.1832955</v>
      </c>
      <c r="N6873">
        <v>0</v>
      </c>
      <c r="O6873">
        <v>-0.982958</v>
      </c>
      <c r="P6873">
        <v>-0.14813280000000001</v>
      </c>
      <c r="Q6873">
        <v>4.3019910000000001E-2</v>
      </c>
      <c r="R6873">
        <v>-0.98803189999999996</v>
      </c>
      <c r="S6873">
        <v>0.215332</v>
      </c>
      <c r="T6873">
        <v>-0.101073</v>
      </c>
      <c r="U6873">
        <v>-3.0713810000000001</v>
      </c>
      <c r="V6873">
        <v>-3.5063520000000001E-2</v>
      </c>
      <c r="W6873">
        <v>5.7286179999999999E-2</v>
      </c>
      <c r="X6873">
        <v>0.99774189999999996</v>
      </c>
      <c r="Y6873">
        <v>-0.25158019999999998</v>
      </c>
      <c r="Z6873">
        <v>3.1484949999999998E-2</v>
      </c>
      <c r="AA6873">
        <v>0.96732419999999997</v>
      </c>
      <c r="AB6873">
        <v>27</v>
      </c>
      <c r="AC6873">
        <v>2.4080000000000101</v>
      </c>
      <c r="AD6873">
        <v>-1.1070294961660001</v>
      </c>
      <c r="AE6873">
        <v>-33.379309999999997</v>
      </c>
      <c r="AF6873">
        <v>-8.4767976738719799</v>
      </c>
      <c r="AG6873">
        <v>-1.1070294961660001</v>
      </c>
      <c r="AH6873">
        <v>32.336878170141397</v>
      </c>
      <c r="AI6873">
        <v>91.896677940016403</v>
      </c>
      <c r="AJ6873">
        <v>104.689019361229</v>
      </c>
      <c r="AK6873">
        <v>33.447799672021901</v>
      </c>
      <c r="AL6873">
        <v>86.715945863463403</v>
      </c>
      <c r="AM6873">
        <v>92.012710174550804</v>
      </c>
      <c r="AN6873">
        <v>1.0000000279346899</v>
      </c>
    </row>
    <row r="6874" spans="1:40" x14ac:dyDescent="0.25">
      <c r="A6874" t="str">
        <f>"20190312160506663"</f>
        <v>20190312160506663</v>
      </c>
      <c r="B6874" t="str">
        <f>"1552377906651612"</f>
        <v>1552377906651612</v>
      </c>
      <c r="C6874" t="s">
        <v>40</v>
      </c>
      <c r="D6874">
        <v>5.7148830000000004</v>
      </c>
      <c r="E6874">
        <v>0.41521400000000003</v>
      </c>
      <c r="F6874" t="s">
        <v>81</v>
      </c>
      <c r="G6874">
        <v>-295.83019999999999</v>
      </c>
      <c r="H6874" s="1">
        <v>-3.5989399999999998E-6</v>
      </c>
      <c r="I6874">
        <v>-44.482590000000002</v>
      </c>
      <c r="J6874">
        <v>-298.19600000000003</v>
      </c>
      <c r="K6874">
        <v>1.107394</v>
      </c>
      <c r="L6874">
        <v>-11.141690000000001</v>
      </c>
      <c r="M6874">
        <v>-0.18694540000000001</v>
      </c>
      <c r="N6874">
        <v>0</v>
      </c>
      <c r="O6874">
        <v>-0.98227039999999999</v>
      </c>
      <c r="P6874">
        <v>-0.1506448</v>
      </c>
      <c r="Q6874">
        <v>4.2036879999999999E-2</v>
      </c>
      <c r="R6874">
        <v>-0.98769399999999996</v>
      </c>
      <c r="S6874">
        <v>0.21136469999999999</v>
      </c>
      <c r="T6874">
        <v>-0.10121040000000001</v>
      </c>
      <c r="U6874">
        <v>-3.0724490000000002</v>
      </c>
      <c r="V6874">
        <v>-3.6294930000000003E-2</v>
      </c>
      <c r="W6874">
        <v>5.6284540000000001E-2</v>
      </c>
      <c r="X6874">
        <v>0.9977549</v>
      </c>
      <c r="Y6874">
        <v>-0.25390780000000002</v>
      </c>
      <c r="Z6874">
        <v>3.1474170000000003E-2</v>
      </c>
      <c r="AA6874">
        <v>0.96671620000000003</v>
      </c>
      <c r="AB6874">
        <v>27</v>
      </c>
      <c r="AC6874">
        <v>2.3657999999999801</v>
      </c>
      <c r="AD6874">
        <v>-1.10739759894</v>
      </c>
      <c r="AE6874">
        <v>-33.340899999999998</v>
      </c>
      <c r="AF6874">
        <v>-8.5482399436648393</v>
      </c>
      <c r="AG6874">
        <v>-1.10739759894</v>
      </c>
      <c r="AH6874">
        <v>32.275247324223002</v>
      </c>
      <c r="AI6874">
        <v>91.899658635108395</v>
      </c>
      <c r="AJ6874">
        <v>104.834429714468</v>
      </c>
      <c r="AK6874">
        <v>33.406441376123396</v>
      </c>
      <c r="AL6874">
        <v>86.773428452509904</v>
      </c>
      <c r="AM6874">
        <v>92.083307008818494</v>
      </c>
      <c r="AN6874">
        <v>1.0000000559303599</v>
      </c>
    </row>
    <row r="6875" spans="1:40" x14ac:dyDescent="0.25">
      <c r="A6875" t="str">
        <f>"20190312160506685"</f>
        <v>20190312160506685</v>
      </c>
      <c r="B6875" t="str">
        <f>"1552377906681868"</f>
        <v>1552377906681868</v>
      </c>
      <c r="C6875" t="s">
        <v>40</v>
      </c>
      <c r="D6875">
        <v>5.4372720000000001</v>
      </c>
      <c r="E6875">
        <v>0.41431249999999997</v>
      </c>
      <c r="F6875" t="s">
        <v>81</v>
      </c>
      <c r="G6875">
        <v>-296.0163</v>
      </c>
      <c r="H6875" s="1">
        <v>-2.9710859999999998E-6</v>
      </c>
      <c r="I6875">
        <v>-43.410499999999999</v>
      </c>
      <c r="J6875">
        <v>-298.25029999999998</v>
      </c>
      <c r="K6875">
        <v>1.107758</v>
      </c>
      <c r="L6875">
        <v>-11.40591</v>
      </c>
      <c r="M6875">
        <v>-0.19014790000000001</v>
      </c>
      <c r="N6875">
        <v>0</v>
      </c>
      <c r="O6875">
        <v>-0.98165539999999996</v>
      </c>
      <c r="P6875">
        <v>-0.1541247</v>
      </c>
      <c r="Q6875">
        <v>4.127683E-2</v>
      </c>
      <c r="R6875">
        <v>-0.98718890000000004</v>
      </c>
      <c r="S6875">
        <v>0.20761109999999999</v>
      </c>
      <c r="T6875">
        <v>-0.1054766</v>
      </c>
      <c r="U6875">
        <v>-3.0735169999999998</v>
      </c>
      <c r="V6875">
        <v>-3.6089570000000001E-2</v>
      </c>
      <c r="W6875">
        <v>5.549279E-2</v>
      </c>
      <c r="X6875">
        <v>0.99780670000000005</v>
      </c>
      <c r="Y6875">
        <v>-0.25586059999999999</v>
      </c>
      <c r="Z6875">
        <v>3.2748890000000003E-2</v>
      </c>
      <c r="AA6875">
        <v>0.96615879999999998</v>
      </c>
      <c r="AB6875">
        <v>27</v>
      </c>
      <c r="AC6875">
        <v>2.23399999999998</v>
      </c>
      <c r="AD6875">
        <v>-1.1077609710859999</v>
      </c>
      <c r="AE6875">
        <v>-32.00459</v>
      </c>
      <c r="AF6875">
        <v>-8.2695778752365303</v>
      </c>
      <c r="AG6875">
        <v>-1.1077609710859999</v>
      </c>
      <c r="AH6875">
        <v>30.958823171657102</v>
      </c>
      <c r="AI6875">
        <v>91.979910326185902</v>
      </c>
      <c r="AJ6875">
        <v>104.955417131621</v>
      </c>
      <c r="AK6875">
        <v>32.063402576420302</v>
      </c>
      <c r="AL6875">
        <v>86.818863407864697</v>
      </c>
      <c r="AM6875">
        <v>92.071422320541799</v>
      </c>
      <c r="AN6875">
        <v>1.0000000586848199</v>
      </c>
    </row>
    <row r="6876" spans="1:40" x14ac:dyDescent="0.25">
      <c r="A6876" t="str">
        <f>"20190312160506709"</f>
        <v>20190312160506709</v>
      </c>
      <c r="B6876" t="str">
        <f>"1552377906702364"</f>
        <v>1552377906702364</v>
      </c>
      <c r="C6876" t="s">
        <v>40</v>
      </c>
      <c r="D6876">
        <v>5.6579059999999997</v>
      </c>
      <c r="E6876">
        <v>0.4135491</v>
      </c>
      <c r="F6876" t="s">
        <v>81</v>
      </c>
      <c r="G6876">
        <v>-296.15370000000001</v>
      </c>
      <c r="H6876" s="1">
        <v>-2.6987559999999999E-6</v>
      </c>
      <c r="I6876">
        <v>-43.039549999999998</v>
      </c>
      <c r="J6876">
        <v>-298.30500000000001</v>
      </c>
      <c r="K6876">
        <v>1.1080920000000001</v>
      </c>
      <c r="L6876">
        <v>-11.670199999999999</v>
      </c>
      <c r="M6876">
        <v>-0.19290119999999999</v>
      </c>
      <c r="N6876">
        <v>0</v>
      </c>
      <c r="O6876">
        <v>-0.9811183</v>
      </c>
      <c r="P6876">
        <v>-0.15722269999999999</v>
      </c>
      <c r="Q6876">
        <v>4.0336650000000002E-2</v>
      </c>
      <c r="R6876">
        <v>-0.98673960000000005</v>
      </c>
      <c r="S6876">
        <v>0.20382690000000001</v>
      </c>
      <c r="T6876">
        <v>-0.1076907</v>
      </c>
      <c r="U6876">
        <v>-3.075256</v>
      </c>
      <c r="V6876">
        <v>-3.5813150000000002E-2</v>
      </c>
      <c r="W6876">
        <v>5.452009E-2</v>
      </c>
      <c r="X6876">
        <v>0.99787020000000004</v>
      </c>
      <c r="Y6876">
        <v>-0.25735039999999998</v>
      </c>
      <c r="Z6876">
        <v>3.3382889999999998E-2</v>
      </c>
      <c r="AA6876">
        <v>0.96574130000000002</v>
      </c>
      <c r="AB6876">
        <v>27</v>
      </c>
      <c r="AC6876">
        <v>2.1512999999999902</v>
      </c>
      <c r="AD6876">
        <v>-1.1080946987559901</v>
      </c>
      <c r="AE6876">
        <v>-31.369350000000001</v>
      </c>
      <c r="AF6876">
        <v>-8.1525400054608799</v>
      </c>
      <c r="AG6876">
        <v>-1.1080946987559901</v>
      </c>
      <c r="AH6876">
        <v>30.327365895633299</v>
      </c>
      <c r="AI6876">
        <v>92.020849636695104</v>
      </c>
      <c r="AJ6876">
        <v>105.046431108224</v>
      </c>
      <c r="AK6876">
        <v>31.423572434872401</v>
      </c>
      <c r="AL6876">
        <v>86.874679267819999</v>
      </c>
      <c r="AM6876">
        <v>92.055439691779299</v>
      </c>
      <c r="AN6876">
        <v>0.99999997898728499</v>
      </c>
    </row>
    <row r="6877" spans="1:40" x14ac:dyDescent="0.25">
      <c r="A6877" t="str">
        <f>"20190312160506731"</f>
        <v>20190312160506731</v>
      </c>
      <c r="B6877" t="str">
        <f>"1552377906721885"</f>
        <v>1552377906721885</v>
      </c>
      <c r="C6877" t="s">
        <v>40</v>
      </c>
      <c r="D6877">
        <v>5.7059550000000003</v>
      </c>
      <c r="E6877">
        <v>0.41276659999999998</v>
      </c>
      <c r="F6877" t="s">
        <v>81</v>
      </c>
      <c r="G6877">
        <v>-296.286</v>
      </c>
      <c r="H6877" s="1">
        <v>-2.4377380000000002E-6</v>
      </c>
      <c r="I6877">
        <v>-42.68432</v>
      </c>
      <c r="J6877">
        <v>-298.35919999999999</v>
      </c>
      <c r="K6877">
        <v>1.108417</v>
      </c>
      <c r="L6877">
        <v>-11.93069</v>
      </c>
      <c r="M6877">
        <v>-0.19519790000000001</v>
      </c>
      <c r="N6877">
        <v>0</v>
      </c>
      <c r="O6877">
        <v>-0.98066399999999998</v>
      </c>
      <c r="P6877">
        <v>-0.15904289999999999</v>
      </c>
      <c r="Q6877">
        <v>3.856557E-2</v>
      </c>
      <c r="R6877">
        <v>-0.98651840000000002</v>
      </c>
      <c r="S6877">
        <v>0.20028689999999999</v>
      </c>
      <c r="T6877">
        <v>-0.10992730000000001</v>
      </c>
      <c r="U6877">
        <v>-3.076721</v>
      </c>
      <c r="V6877">
        <v>-3.6371479999999998E-2</v>
      </c>
      <c r="W6877">
        <v>5.2721200000000003E-2</v>
      </c>
      <c r="X6877">
        <v>0.99794669999999996</v>
      </c>
      <c r="Y6877">
        <v>-0.25847439999999999</v>
      </c>
      <c r="Z6877">
        <v>3.403076E-2</v>
      </c>
      <c r="AA6877">
        <v>0.96541849999999996</v>
      </c>
      <c r="AB6877">
        <v>27</v>
      </c>
      <c r="AC6877">
        <v>2.0731999999999799</v>
      </c>
      <c r="AD6877">
        <v>-1.1084194377379999</v>
      </c>
      <c r="AE6877">
        <v>-30.753629999999902</v>
      </c>
      <c r="AF6877">
        <v>-8.0265643616537599</v>
      </c>
      <c r="AG6877">
        <v>-1.1084194377379999</v>
      </c>
      <c r="AH6877">
        <v>29.718777762546601</v>
      </c>
      <c r="AI6877">
        <v>92.062146159085998</v>
      </c>
      <c r="AJ6877">
        <v>105.114057241582</v>
      </c>
      <c r="AK6877">
        <v>30.803572533090399</v>
      </c>
      <c r="AL6877">
        <v>86.977896681683305</v>
      </c>
      <c r="AM6877">
        <v>92.087296159257804</v>
      </c>
      <c r="AN6877">
        <v>1.00000001276386</v>
      </c>
    </row>
    <row r="6878" spans="1:40" x14ac:dyDescent="0.25">
      <c r="A6878" t="str">
        <f>"20190312160506753"</f>
        <v>20190312160506753</v>
      </c>
      <c r="B6878" t="str">
        <f>"1552377906742381"</f>
        <v>1552377906742381</v>
      </c>
      <c r="C6878" t="s">
        <v>40</v>
      </c>
      <c r="D6878">
        <v>5.688993</v>
      </c>
      <c r="E6878">
        <v>0.41198410000000002</v>
      </c>
      <c r="F6878" t="s">
        <v>81</v>
      </c>
      <c r="G6878">
        <v>-296.4196</v>
      </c>
      <c r="H6878" s="1">
        <v>-1.754275E-6</v>
      </c>
      <c r="I6878">
        <v>-41.664960000000001</v>
      </c>
      <c r="J6878">
        <v>-298.41210000000001</v>
      </c>
      <c r="K6878">
        <v>1.108692</v>
      </c>
      <c r="L6878">
        <v>-12.184200000000001</v>
      </c>
      <c r="M6878">
        <v>-0.19713320000000001</v>
      </c>
      <c r="N6878">
        <v>0</v>
      </c>
      <c r="O6878">
        <v>-0.9802765</v>
      </c>
      <c r="P6878">
        <v>-0.16048579999999901</v>
      </c>
      <c r="Q6878">
        <v>3.8151640000000001E-2</v>
      </c>
      <c r="R6878">
        <v>-0.98630050000000002</v>
      </c>
      <c r="S6878">
        <v>0.20077510000000001</v>
      </c>
      <c r="T6878">
        <v>-0.1147345</v>
      </c>
      <c r="U6878">
        <v>-3.0778500000000002</v>
      </c>
      <c r="V6878">
        <v>-3.6919090000000002E-2</v>
      </c>
      <c r="W6878">
        <v>5.2282160000000001E-2</v>
      </c>
      <c r="X6878">
        <v>0.99794970000000005</v>
      </c>
      <c r="Y6878">
        <v>-0.26050669999999998</v>
      </c>
      <c r="Z6878">
        <v>3.547194E-2</v>
      </c>
      <c r="AA6878">
        <v>0.96482020000000002</v>
      </c>
      <c r="AB6878">
        <v>27</v>
      </c>
      <c r="AC6878">
        <v>1.9924999999999999</v>
      </c>
      <c r="AD6878">
        <v>-1.1086937542749999</v>
      </c>
      <c r="AE6878">
        <v>-29.480759999999901</v>
      </c>
      <c r="AF6878">
        <v>-7.7546827475351403</v>
      </c>
      <c r="AG6878">
        <v>-1.1086937542749999</v>
      </c>
      <c r="AH6878">
        <v>28.4692279526395</v>
      </c>
      <c r="AI6878">
        <v>92.151853238853107</v>
      </c>
      <c r="AJ6878">
        <v>105.237036542301</v>
      </c>
      <c r="AK6878">
        <v>29.5272966350636</v>
      </c>
      <c r="AL6878">
        <v>87.003086594075597</v>
      </c>
      <c r="AM6878">
        <v>92.118687756041496</v>
      </c>
      <c r="AN6878">
        <v>1.0000000235953901</v>
      </c>
    </row>
    <row r="6879" spans="1:40" x14ac:dyDescent="0.25">
      <c r="A6879" t="str">
        <f>"20190312160506775"</f>
        <v>20190312160506775</v>
      </c>
      <c r="B6879" t="str">
        <f>"1552377906771660"</f>
        <v>1552377906771660</v>
      </c>
      <c r="C6879" t="s">
        <v>40</v>
      </c>
      <c r="D6879">
        <v>5.4997530000000001</v>
      </c>
      <c r="E6879">
        <v>0.41142000000000001</v>
      </c>
      <c r="F6879" t="s">
        <v>81</v>
      </c>
      <c r="G6879">
        <v>-296.44940000000003</v>
      </c>
      <c r="H6879" s="1">
        <v>-1.949756E-6</v>
      </c>
      <c r="I6879">
        <v>-41.984999999999999</v>
      </c>
      <c r="J6879">
        <v>-298.46699999999998</v>
      </c>
      <c r="K6879">
        <v>1.1089389999999999</v>
      </c>
      <c r="L6879">
        <v>-12.44608</v>
      </c>
      <c r="M6879">
        <v>-0.19883729999999999</v>
      </c>
      <c r="N6879">
        <v>0</v>
      </c>
      <c r="O6879">
        <v>-0.97993249999999998</v>
      </c>
      <c r="P6879">
        <v>-0.16219410000000001</v>
      </c>
      <c r="Q6879">
        <v>3.828347E-2</v>
      </c>
      <c r="R6879">
        <v>-0.986016</v>
      </c>
      <c r="S6879">
        <v>0.20278930000000001</v>
      </c>
      <c r="T6879">
        <v>-0.1145534</v>
      </c>
      <c r="U6879">
        <v>-3.0791019999999998</v>
      </c>
      <c r="V6879">
        <v>-3.6952190000000003E-2</v>
      </c>
      <c r="W6879">
        <v>5.2388820000000003E-2</v>
      </c>
      <c r="X6879">
        <v>0.99794289999999997</v>
      </c>
      <c r="Y6879">
        <v>-0.26278759999999901</v>
      </c>
      <c r="Z6879">
        <v>3.5370180000000001E-2</v>
      </c>
      <c r="AA6879">
        <v>0.96420519999999998</v>
      </c>
      <c r="AB6879">
        <v>27</v>
      </c>
      <c r="AC6879">
        <v>2.0175999999999501</v>
      </c>
      <c r="AD6879">
        <v>-1.1089409497560001</v>
      </c>
      <c r="AE6879">
        <v>-29.538920000000001</v>
      </c>
      <c r="AF6879">
        <v>-7.8403218012866702</v>
      </c>
      <c r="AG6879">
        <v>-1.1089409497560001</v>
      </c>
      <c r="AH6879">
        <v>28.507780065444901</v>
      </c>
      <c r="AI6879">
        <v>92.1479839170009</v>
      </c>
      <c r="AJ6879">
        <v>105.377526102741</v>
      </c>
      <c r="AK6879">
        <v>29.587056633561101</v>
      </c>
      <c r="AL6879">
        <v>86.996967095910094</v>
      </c>
      <c r="AM6879">
        <v>92.120599979530795</v>
      </c>
      <c r="AN6879">
        <v>1.00000004223359</v>
      </c>
    </row>
    <row r="6880" spans="1:40" x14ac:dyDescent="0.25">
      <c r="A6880" t="str">
        <f>"20190312160506798"</f>
        <v>20190312160506798</v>
      </c>
      <c r="B6880" t="str">
        <f>"1552377906792156"</f>
        <v>1552377906792156</v>
      </c>
      <c r="C6880" t="s">
        <v>40</v>
      </c>
      <c r="D6880">
        <v>5.7989160000000002</v>
      </c>
      <c r="E6880">
        <v>0.46589570000000002</v>
      </c>
      <c r="F6880" t="s">
        <v>81</v>
      </c>
      <c r="G6880">
        <v>-296.45119999999997</v>
      </c>
      <c r="H6880" s="1">
        <v>-2.7056410000000001E-6</v>
      </c>
      <c r="I6880">
        <v>-43.174939999999999</v>
      </c>
      <c r="J6880">
        <v>-298.52190000000002</v>
      </c>
      <c r="K6880">
        <v>1.1091569999999999</v>
      </c>
      <c r="L6880">
        <v>-12.70688</v>
      </c>
      <c r="M6880">
        <v>-0.20024739999999999</v>
      </c>
      <c r="N6880">
        <v>0</v>
      </c>
      <c r="O6880">
        <v>-0.97964549999999995</v>
      </c>
      <c r="P6880">
        <v>-0.16377910000000001</v>
      </c>
      <c r="Q6880">
        <v>3.8829610000000001E-2</v>
      </c>
      <c r="R6880">
        <v>-0.98573290000000002</v>
      </c>
      <c r="S6880">
        <v>0.20205690000000001</v>
      </c>
      <c r="T6880">
        <v>-0.1111548</v>
      </c>
      <c r="U6880">
        <v>-3.0801090000000002</v>
      </c>
      <c r="V6880">
        <v>-3.6804129999999997E-2</v>
      </c>
      <c r="W6880">
        <v>5.2909749999999998E-2</v>
      </c>
      <c r="X6880">
        <v>0.9979209</v>
      </c>
      <c r="Y6880">
        <v>-0.26392959999999999</v>
      </c>
      <c r="Z6880">
        <v>3.4290080000000001E-2</v>
      </c>
      <c r="AA6880">
        <v>0.96393220000000002</v>
      </c>
      <c r="AB6880">
        <v>26</v>
      </c>
      <c r="AC6880">
        <v>2.07070000000004</v>
      </c>
      <c r="AD6880">
        <v>-1.1091597056410001</v>
      </c>
      <c r="AE6880">
        <v>-30.468059999999902</v>
      </c>
      <c r="AF6880">
        <v>-8.1197859438705002</v>
      </c>
      <c r="AG6880">
        <v>-1.1091597056410001</v>
      </c>
      <c r="AH6880">
        <v>29.397345874297599</v>
      </c>
      <c r="AI6880">
        <v>92.082823126907499</v>
      </c>
      <c r="AJ6880">
        <v>105.440585354289</v>
      </c>
      <c r="AK6880">
        <v>30.518274909961399</v>
      </c>
      <c r="AL6880">
        <v>86.967078589088302</v>
      </c>
      <c r="AM6880">
        <v>92.112157393537998</v>
      </c>
      <c r="AN6880">
        <v>1.0000000541434599</v>
      </c>
    </row>
    <row r="6881" spans="1:40" x14ac:dyDescent="0.25">
      <c r="A6881" t="str">
        <f>"20190312160506820"</f>
        <v>20190312160506820</v>
      </c>
      <c r="B6881" t="str">
        <f>"1552377906811676"</f>
        <v>1552377906811676</v>
      </c>
      <c r="C6881" t="s">
        <v>40</v>
      </c>
      <c r="D6881">
        <v>5.6040679999999998</v>
      </c>
      <c r="E6881">
        <v>0.47740080000000001</v>
      </c>
      <c r="F6881" t="s">
        <v>81</v>
      </c>
      <c r="G6881">
        <v>-301.52730000000003</v>
      </c>
      <c r="H6881" s="1">
        <v>-6.4318549999999996E-6</v>
      </c>
      <c r="I6881">
        <v>-51.89734</v>
      </c>
      <c r="J6881">
        <v>-298.57650000000001</v>
      </c>
      <c r="K6881">
        <v>1.109367</v>
      </c>
      <c r="L6881">
        <v>-12.96597</v>
      </c>
      <c r="M6881">
        <v>-0.2013771</v>
      </c>
      <c r="N6881">
        <v>0</v>
      </c>
      <c r="O6881">
        <v>-0.97941369999999905</v>
      </c>
      <c r="P6881">
        <v>-0.16456999999999999</v>
      </c>
      <c r="Q6881">
        <v>3.8367600000000002E-2</v>
      </c>
      <c r="R6881">
        <v>-0.98561860000000001</v>
      </c>
      <c r="S6881">
        <v>-0.2307129</v>
      </c>
      <c r="T6881">
        <v>-8.5144880000000006E-2</v>
      </c>
      <c r="U6881">
        <v>-3.0084529999999998</v>
      </c>
      <c r="V6881">
        <v>-3.7185759999999998E-2</v>
      </c>
      <c r="W6881">
        <v>5.2424999999999999E-2</v>
      </c>
      <c r="X6881">
        <v>0.99793229999999999</v>
      </c>
      <c r="Y6881">
        <v>-0.125939</v>
      </c>
      <c r="Z6881">
        <v>2.7270800000000001E-2</v>
      </c>
      <c r="AA6881">
        <v>0.99166310000000002</v>
      </c>
      <c r="AB6881">
        <v>26</v>
      </c>
      <c r="AC6881">
        <v>-2.9508000000000099</v>
      </c>
      <c r="AD6881">
        <v>-1.1093734318549999</v>
      </c>
      <c r="AE6881">
        <v>-38.931370000000001</v>
      </c>
      <c r="AF6881">
        <v>-4.9463242920995096</v>
      </c>
      <c r="AG6881">
        <v>-1.1093734318549999</v>
      </c>
      <c r="AH6881">
        <v>38.696695279703</v>
      </c>
      <c r="AI6881">
        <v>91.6288843827287</v>
      </c>
      <c r="AJ6881">
        <v>97.284213274074304</v>
      </c>
      <c r="AK6881">
        <v>39.027311705831202</v>
      </c>
      <c r="AL6881">
        <v>86.994891210384296</v>
      </c>
      <c r="AM6881">
        <v>92.134014309382906</v>
      </c>
      <c r="AN6881">
        <v>1.0000000183775299</v>
      </c>
    </row>
    <row r="6882" spans="1:40" x14ac:dyDescent="0.25">
      <c r="A6882" t="str">
        <f>"20190312160506841"</f>
        <v>20190312160506841</v>
      </c>
      <c r="B6882" t="str">
        <f>"1552377906832176"</f>
        <v>1552377906832176</v>
      </c>
      <c r="C6882" t="s">
        <v>40</v>
      </c>
      <c r="D6882">
        <v>5.8446930000000004</v>
      </c>
      <c r="E6882">
        <v>0.48256359999999898</v>
      </c>
      <c r="F6882" t="s">
        <v>81</v>
      </c>
      <c r="G6882">
        <v>-302.96190000000001</v>
      </c>
      <c r="H6882" s="1">
        <v>-7.1763950000000001E-6</v>
      </c>
      <c r="I6882">
        <v>-53.520899999999997</v>
      </c>
      <c r="J6882">
        <v>-298.62939999999998</v>
      </c>
      <c r="K6882">
        <v>1.10959599999999</v>
      </c>
      <c r="L6882">
        <v>-13.2171</v>
      </c>
      <c r="M6882">
        <v>-0.20221629999999999</v>
      </c>
      <c r="N6882">
        <v>0</v>
      </c>
      <c r="O6882">
        <v>-0.97924120000000003</v>
      </c>
      <c r="P6882">
        <v>-0.16514760000000001</v>
      </c>
      <c r="Q6882">
        <v>3.7612479999999997E-2</v>
      </c>
      <c r="R6882">
        <v>-0.98555190000000004</v>
      </c>
      <c r="S6882">
        <v>-0.32363890000000001</v>
      </c>
      <c r="T6882">
        <v>-8.1870910000000005E-2</v>
      </c>
      <c r="U6882">
        <v>-2.9929199999999998</v>
      </c>
      <c r="V6882">
        <v>-3.7489450000000001E-2</v>
      </c>
      <c r="W6882">
        <v>5.1645959999999998E-2</v>
      </c>
      <c r="X6882">
        <v>0.99796149999999995</v>
      </c>
      <c r="Y6882">
        <v>-9.5815259999999999E-2</v>
      </c>
      <c r="Z6882">
        <v>2.6360660000000001E-2</v>
      </c>
      <c r="AA6882">
        <v>0.99504999999999999</v>
      </c>
      <c r="AB6882">
        <v>26</v>
      </c>
      <c r="AC6882">
        <v>-4.3325000000000298</v>
      </c>
      <c r="AD6882">
        <v>-1.1096031763949901</v>
      </c>
      <c r="AE6882">
        <v>-40.303800000000003</v>
      </c>
      <c r="AF6882">
        <v>-3.9049783349535701</v>
      </c>
      <c r="AG6882">
        <v>-1.1096031763949901</v>
      </c>
      <c r="AH6882">
        <v>40.316973117506798</v>
      </c>
      <c r="AI6882">
        <v>91.569156230884005</v>
      </c>
      <c r="AJ6882">
        <v>95.532236709716102</v>
      </c>
      <c r="AK6882">
        <v>40.520839038244098</v>
      </c>
      <c r="AL6882">
        <v>87.039587293947704</v>
      </c>
      <c r="AM6882">
        <v>92.151363252088004</v>
      </c>
      <c r="AN6882">
        <v>0.99999995976393596</v>
      </c>
    </row>
    <row r="6883" spans="1:40" x14ac:dyDescent="0.25">
      <c r="A6883" t="str">
        <f>"20190312160506864"</f>
        <v>20190312160506864</v>
      </c>
      <c r="B6883" t="str">
        <f>"1552377906851694"</f>
        <v>1552377906851694</v>
      </c>
      <c r="C6883" t="s">
        <v>40</v>
      </c>
      <c r="D6883">
        <v>5.5865479999999996</v>
      </c>
      <c r="E6883">
        <v>0.48535610000000001</v>
      </c>
      <c r="F6883" t="s">
        <v>81</v>
      </c>
      <c r="G6883">
        <v>-303.5942</v>
      </c>
      <c r="H6883" s="1">
        <v>-7.2997050000000001E-6</v>
      </c>
      <c r="I6883">
        <v>-53.733539999999998</v>
      </c>
      <c r="J6883">
        <v>-298.68369999999999</v>
      </c>
      <c r="K6883">
        <v>1.1098319999999999</v>
      </c>
      <c r="L6883">
        <v>-13.47537</v>
      </c>
      <c r="M6883">
        <v>-0.20281189999999999</v>
      </c>
      <c r="N6883">
        <v>0</v>
      </c>
      <c r="O6883">
        <v>-0.97911820000000005</v>
      </c>
      <c r="P6883">
        <v>-0.1654899</v>
      </c>
      <c r="Q6883">
        <v>3.731752E-2</v>
      </c>
      <c r="R6883">
        <v>-0.98550559999999998</v>
      </c>
      <c r="S6883">
        <v>-0.36587520000000001</v>
      </c>
      <c r="T6883">
        <v>-8.1770060000000006E-2</v>
      </c>
      <c r="U6883">
        <v>-2.985779</v>
      </c>
      <c r="V6883">
        <v>-3.7780830000000001E-2</v>
      </c>
      <c r="W6883">
        <v>5.1325950000000002E-2</v>
      </c>
      <c r="X6883">
        <v>0.9979671</v>
      </c>
      <c r="Y6883">
        <v>-8.2267580000000007E-2</v>
      </c>
      <c r="Z6883">
        <v>2.6381379999999999E-2</v>
      </c>
      <c r="AA6883">
        <v>0.99626110000000001</v>
      </c>
      <c r="AB6883">
        <v>26</v>
      </c>
      <c r="AC6883">
        <v>-4.9105000000000096</v>
      </c>
      <c r="AD6883">
        <v>-1.1098392997049999</v>
      </c>
      <c r="AE6883">
        <v>-40.25817</v>
      </c>
      <c r="AF6883">
        <v>-3.3546909945543799</v>
      </c>
      <c r="AG6883">
        <v>-1.1098392997049999</v>
      </c>
      <c r="AH6883">
        <v>40.387109183776303</v>
      </c>
      <c r="AI6883">
        <v>91.5686944459854</v>
      </c>
      <c r="AJ6883">
        <v>94.748282518463199</v>
      </c>
      <c r="AK6883">
        <v>40.541389753711996</v>
      </c>
      <c r="AL6883">
        <v>87.057947098889997</v>
      </c>
      <c r="AM6883">
        <v>92.168056285801796</v>
      </c>
      <c r="AN6883">
        <v>1.00000003847065</v>
      </c>
    </row>
    <row r="6884" spans="1:40" x14ac:dyDescent="0.25">
      <c r="A6884" t="str">
        <f>"20190312160506886"</f>
        <v>20190312160506886</v>
      </c>
      <c r="B6884" t="str">
        <f>"1552377906881948"</f>
        <v>1552377906881948</v>
      </c>
      <c r="C6884" t="s">
        <v>40</v>
      </c>
      <c r="D6884">
        <v>5.6389069999999997</v>
      </c>
      <c r="E6884">
        <v>0.48691600000000002</v>
      </c>
      <c r="F6884" t="s">
        <v>81</v>
      </c>
      <c r="G6884">
        <v>-303.9042</v>
      </c>
      <c r="H6884" s="1">
        <v>-7.238124E-6</v>
      </c>
      <c r="I6884">
        <v>-53.538170000000001</v>
      </c>
      <c r="J6884">
        <v>-298.73809999999997</v>
      </c>
      <c r="K6884">
        <v>1.1100639999999999</v>
      </c>
      <c r="L6884">
        <v>-13.735110000000001</v>
      </c>
      <c r="M6884">
        <v>-0.20314170000000001</v>
      </c>
      <c r="N6884">
        <v>0</v>
      </c>
      <c r="O6884">
        <v>-0.97904959999999996</v>
      </c>
      <c r="P6884">
        <v>-0.16530810000000001</v>
      </c>
      <c r="Q6884">
        <v>3.7273760000000003E-2</v>
      </c>
      <c r="R6884">
        <v>-0.98553760000000001</v>
      </c>
      <c r="S6884">
        <v>-0.38858029999999999</v>
      </c>
      <c r="T6884">
        <v>-8.2608699999999993E-2</v>
      </c>
      <c r="U6884">
        <v>-2.981995</v>
      </c>
      <c r="V6884">
        <v>-3.8330099999999999E-2</v>
      </c>
      <c r="W6884">
        <v>5.1256900000000001E-2</v>
      </c>
      <c r="X6884">
        <v>0.99794970000000005</v>
      </c>
      <c r="Y6884">
        <v>-7.4983599999999997E-2</v>
      </c>
      <c r="Z6884">
        <v>2.6677940000000001E-2</v>
      </c>
      <c r="AA6884">
        <v>0.99682780000000004</v>
      </c>
      <c r="AB6884">
        <v>26</v>
      </c>
      <c r="AC6884">
        <v>-5.1661000000000197</v>
      </c>
      <c r="AD6884">
        <v>-1.1100712381240001</v>
      </c>
      <c r="AE6884">
        <v>-39.803060000000002</v>
      </c>
      <c r="AF6884">
        <v>-3.0257744256610501</v>
      </c>
      <c r="AG6884">
        <v>-1.1100712381240001</v>
      </c>
      <c r="AH6884">
        <v>39.9919388406135</v>
      </c>
      <c r="AI6884">
        <v>91.585443132908907</v>
      </c>
      <c r="AJ6884">
        <v>94.326732848123896</v>
      </c>
      <c r="AK6884">
        <v>40.121599435466997</v>
      </c>
      <c r="AL6884">
        <v>87.061908576638501</v>
      </c>
      <c r="AM6884">
        <v>92.199583769120807</v>
      </c>
      <c r="AN6884">
        <v>1.0000000350468501</v>
      </c>
    </row>
    <row r="6885" spans="1:40" x14ac:dyDescent="0.25">
      <c r="A6885" t="str">
        <f>"20190312160506910"</f>
        <v>20190312160506910</v>
      </c>
      <c r="B6885" t="str">
        <f>"1552377906901468"</f>
        <v>1552377906901468</v>
      </c>
      <c r="C6885" t="s">
        <v>40</v>
      </c>
      <c r="D6885">
        <v>6.664936</v>
      </c>
      <c r="E6885">
        <v>0.48808000000000001</v>
      </c>
      <c r="F6885" t="s">
        <v>81</v>
      </c>
      <c r="G6885">
        <v>-303.99790000000002</v>
      </c>
      <c r="H6885" s="1">
        <v>-6.9892059999999997E-6</v>
      </c>
      <c r="I6885">
        <v>-52.913679999999999</v>
      </c>
      <c r="J6885">
        <v>-298.79219999999998</v>
      </c>
      <c r="K6885">
        <v>1.1102920000000001</v>
      </c>
      <c r="L6885">
        <v>-13.99478</v>
      </c>
      <c r="M6885">
        <v>-0.2031714</v>
      </c>
      <c r="N6885">
        <v>0</v>
      </c>
      <c r="O6885">
        <v>-0.97904369999999996</v>
      </c>
      <c r="P6885">
        <v>-0.1642005</v>
      </c>
      <c r="Q6885">
        <v>3.7852829999999997E-2</v>
      </c>
      <c r="R6885">
        <v>-0.98570100000000005</v>
      </c>
      <c r="S6885">
        <v>-0.40008539999999998</v>
      </c>
      <c r="T6885">
        <v>-8.4437129999999999E-2</v>
      </c>
      <c r="U6885">
        <v>-2.9801030000000002</v>
      </c>
      <c r="V6885">
        <v>-3.9504789999999998E-2</v>
      </c>
      <c r="W6885">
        <v>5.1811679999999999E-2</v>
      </c>
      <c r="X6885">
        <v>0.99787519999999996</v>
      </c>
      <c r="Y6885">
        <v>-7.1152140000000003E-2</v>
      </c>
      <c r="Z6885">
        <v>2.728206E-2</v>
      </c>
      <c r="AA6885">
        <v>0.99709230000000004</v>
      </c>
      <c r="AB6885">
        <v>26</v>
      </c>
      <c r="AC6885">
        <v>-5.2057000000000304</v>
      </c>
      <c r="AD6885">
        <v>-1.110298989206</v>
      </c>
      <c r="AE6885">
        <v>-38.918900000000001</v>
      </c>
      <c r="AF6885">
        <v>-2.8086277254005698</v>
      </c>
      <c r="AG6885">
        <v>-1.110298989206</v>
      </c>
      <c r="AH6885">
        <v>39.133478330061997</v>
      </c>
      <c r="AI6885">
        <v>91.620998363488198</v>
      </c>
      <c r="AJ6885">
        <v>94.105105619585203</v>
      </c>
      <c r="AK6885">
        <v>39.249844327777303</v>
      </c>
      <c r="AL6885">
        <v>87.030079617431795</v>
      </c>
      <c r="AM6885">
        <v>92.2670934765586</v>
      </c>
      <c r="AN6885">
        <v>0.99999999669620299</v>
      </c>
    </row>
    <row r="6886" spans="1:40" x14ac:dyDescent="0.25">
      <c r="A6886" t="str">
        <f>"20190312160506931"</f>
        <v>20190312160506931</v>
      </c>
      <c r="B6886" t="str">
        <f>"1552377906921964"</f>
        <v>1552377906921964</v>
      </c>
      <c r="C6886" t="s">
        <v>40</v>
      </c>
      <c r="D6886">
        <v>5.6272669999999998</v>
      </c>
      <c r="E6886">
        <v>0.48869629999999997</v>
      </c>
      <c r="F6886" t="s">
        <v>81</v>
      </c>
      <c r="G6886">
        <v>-304.18520000000001</v>
      </c>
      <c r="H6886" s="1">
        <v>-7.2720680000000002E-6</v>
      </c>
      <c r="I6886">
        <v>-53.581470000000003</v>
      </c>
      <c r="J6886">
        <v>-298.8451</v>
      </c>
      <c r="K6886">
        <v>1.110492</v>
      </c>
      <c r="L6886">
        <v>-14.250209999999999</v>
      </c>
      <c r="M6886">
        <v>-0.20292260000000001</v>
      </c>
      <c r="N6886">
        <v>0</v>
      </c>
      <c r="O6886">
        <v>-0.9790953</v>
      </c>
      <c r="P6886">
        <v>-0.16258599999999901</v>
      </c>
      <c r="Q6886">
        <v>3.8015109999999998E-2</v>
      </c>
      <c r="R6886">
        <v>-0.98596240000000002</v>
      </c>
      <c r="S6886">
        <v>-0.40585329999999997</v>
      </c>
      <c r="T6886">
        <v>-8.3556409999999998E-2</v>
      </c>
      <c r="U6886">
        <v>-2.9791259999999999</v>
      </c>
      <c r="V6886">
        <v>-4.0909099999999997E-2</v>
      </c>
      <c r="W6886">
        <v>5.1949780000000001E-2</v>
      </c>
      <c r="X6886">
        <v>0.99781140000000001</v>
      </c>
      <c r="Y6886">
        <v>-6.8958580000000005E-2</v>
      </c>
      <c r="Z6886">
        <v>2.7007349999999999E-2</v>
      </c>
      <c r="AA6886">
        <v>0.99725390000000003</v>
      </c>
      <c r="AB6886">
        <v>26</v>
      </c>
      <c r="AC6886">
        <v>-5.3400999999999996</v>
      </c>
      <c r="AD6886">
        <v>-1.110499272068</v>
      </c>
      <c r="AE6886">
        <v>-39.331259999999901</v>
      </c>
      <c r="AF6886">
        <v>-2.75084964950379</v>
      </c>
      <c r="AG6886">
        <v>-1.110499272068</v>
      </c>
      <c r="AH6886">
        <v>39.565565622542103</v>
      </c>
      <c r="AI6886">
        <v>91.6038469949291</v>
      </c>
      <c r="AJ6886">
        <v>93.977166646483994</v>
      </c>
      <c r="AK6886">
        <v>39.676622404876198</v>
      </c>
      <c r="AL6886">
        <v>87.022156296655794</v>
      </c>
      <c r="AM6886">
        <v>92.347745070607004</v>
      </c>
      <c r="AN6886">
        <v>0.99999996203740804</v>
      </c>
    </row>
    <row r="6887" spans="1:40" x14ac:dyDescent="0.25">
      <c r="A6887" t="str">
        <f>"20190312160506955"</f>
        <v>20190312160506955</v>
      </c>
      <c r="B6887" t="str">
        <f>"1552377906941485"</f>
        <v>1552377906941485</v>
      </c>
      <c r="C6887" t="s">
        <v>40</v>
      </c>
      <c r="D6887">
        <v>5.6219349999999997</v>
      </c>
      <c r="E6887">
        <v>0.48891269999999998</v>
      </c>
      <c r="F6887" t="s">
        <v>81</v>
      </c>
      <c r="G6887">
        <v>-304.21629999999999</v>
      </c>
      <c r="H6887" s="1">
        <v>-7.3048459999999999E-6</v>
      </c>
      <c r="I6887">
        <v>-53.657510000000002</v>
      </c>
      <c r="J6887">
        <v>-298.9006</v>
      </c>
      <c r="K6887">
        <v>1.110665</v>
      </c>
      <c r="L6887">
        <v>-14.52014</v>
      </c>
      <c r="M6887">
        <v>-0.20241519999999999</v>
      </c>
      <c r="N6887">
        <v>0</v>
      </c>
      <c r="O6887">
        <v>-0.97920019999999997</v>
      </c>
      <c r="P6887">
        <v>-0.16095190000000001</v>
      </c>
      <c r="Q6887">
        <v>3.6454420000000001E-2</v>
      </c>
      <c r="R6887">
        <v>-0.98628899999999997</v>
      </c>
      <c r="S6887">
        <v>-0.40603640000000002</v>
      </c>
      <c r="T6887">
        <v>-8.3948490000000001E-2</v>
      </c>
      <c r="U6887">
        <v>-2.9790040000000002</v>
      </c>
      <c r="V6887">
        <v>-4.2079129999999999E-2</v>
      </c>
      <c r="W6887">
        <v>5.0367799999999997E-2</v>
      </c>
      <c r="X6887">
        <v>0.99784390000000001</v>
      </c>
      <c r="Y6887">
        <v>-6.8376530000000005E-2</v>
      </c>
      <c r="Z6887">
        <v>2.7139920000000001E-2</v>
      </c>
      <c r="AA6887">
        <v>0.99729040000000002</v>
      </c>
      <c r="AB6887">
        <v>26</v>
      </c>
      <c r="AC6887">
        <v>-5.3156999999999899</v>
      </c>
      <c r="AD6887">
        <v>-1.1106723048459901</v>
      </c>
      <c r="AE6887">
        <v>-39.137369999999997</v>
      </c>
      <c r="AF6887">
        <v>-2.7149821554594</v>
      </c>
      <c r="AG6887">
        <v>-1.1106723048459901</v>
      </c>
      <c r="AH6887">
        <v>39.372007903405901</v>
      </c>
      <c r="AI6887">
        <v>91.612041753757197</v>
      </c>
      <c r="AJ6887">
        <v>93.944710105339894</v>
      </c>
      <c r="AK6887">
        <v>39.481131283425398</v>
      </c>
      <c r="AL6887">
        <v>87.112916068375398</v>
      </c>
      <c r="AM6887">
        <v>92.414735342987001</v>
      </c>
      <c r="AN6887">
        <v>1.0000000086128</v>
      </c>
    </row>
    <row r="6888" spans="1:40" x14ac:dyDescent="0.25">
      <c r="A6888" t="str">
        <f>"20190312160506976"</f>
        <v>20190312160506976</v>
      </c>
      <c r="B6888" t="str">
        <f>"1552377906971741"</f>
        <v>1552377906971741</v>
      </c>
      <c r="C6888" t="s">
        <v>40</v>
      </c>
      <c r="D6888">
        <v>5.6301670000000001</v>
      </c>
      <c r="E6888">
        <v>0.48912820000000001</v>
      </c>
      <c r="F6888" t="s">
        <v>81</v>
      </c>
      <c r="G6888">
        <v>-303.93060000000003</v>
      </c>
      <c r="H6888" s="1">
        <v>-6.5029150000000002E-6</v>
      </c>
      <c r="I6888">
        <v>-51.729340000000001</v>
      </c>
      <c r="J6888">
        <v>-298.95060000000001</v>
      </c>
      <c r="K6888">
        <v>1.1108049999999901</v>
      </c>
      <c r="L6888">
        <v>-14.76498</v>
      </c>
      <c r="M6888">
        <v>-0.2017564</v>
      </c>
      <c r="N6888">
        <v>0</v>
      </c>
      <c r="O6888">
        <v>-0.9793364</v>
      </c>
      <c r="P6888">
        <v>-0.15808459999999999</v>
      </c>
      <c r="Q6888">
        <v>3.505287E-2</v>
      </c>
      <c r="R6888">
        <v>-0.9868034</v>
      </c>
      <c r="S6888">
        <v>-0.4027405</v>
      </c>
      <c r="T6888">
        <v>-8.8929649999999999E-2</v>
      </c>
      <c r="U6888">
        <v>-2.979279</v>
      </c>
      <c r="V6888">
        <v>-4.4335590000000001E-2</v>
      </c>
      <c r="W6888">
        <v>4.8945710000000003E-2</v>
      </c>
      <c r="X6888">
        <v>0.99781699999999995</v>
      </c>
      <c r="Y6888">
        <v>-6.8807090000000001E-2</v>
      </c>
      <c r="Z6888">
        <v>2.8753979999999998E-2</v>
      </c>
      <c r="AA6888">
        <v>0.99721550000000003</v>
      </c>
      <c r="AB6888">
        <v>26</v>
      </c>
      <c r="AC6888">
        <v>-4.9800000000000102</v>
      </c>
      <c r="AD6888">
        <v>-1.1108115029150001</v>
      </c>
      <c r="AE6888">
        <v>-36.964359999999999</v>
      </c>
      <c r="AF6888">
        <v>-2.5786648674275798</v>
      </c>
      <c r="AG6888">
        <v>-1.1108115029150001</v>
      </c>
      <c r="AH6888">
        <v>37.175936742672697</v>
      </c>
      <c r="AI6888">
        <v>91.707380189967196</v>
      </c>
      <c r="AJ6888">
        <v>93.967898465582294</v>
      </c>
      <c r="AK6888">
        <v>37.281814432625403</v>
      </c>
      <c r="AL6888">
        <v>87.194496577735407</v>
      </c>
      <c r="AM6888">
        <v>92.544126299305503</v>
      </c>
      <c r="AN6888">
        <v>1.0000000462785199</v>
      </c>
    </row>
    <row r="6889" spans="1:40" x14ac:dyDescent="0.25">
      <c r="A6889" t="str">
        <f>"20190312160506999"</f>
        <v>20190312160506999</v>
      </c>
      <c r="B6889" t="str">
        <f>"1552377906992237"</f>
        <v>1552377906992237</v>
      </c>
      <c r="C6889" t="s">
        <v>40</v>
      </c>
      <c r="D6889">
        <v>5.6857049999999996</v>
      </c>
      <c r="E6889">
        <v>0.48917650000000001</v>
      </c>
      <c r="F6889" t="s">
        <v>81</v>
      </c>
      <c r="G6889">
        <v>-303.57940000000002</v>
      </c>
      <c r="H6889" s="1">
        <v>-5.5443179999999997E-6</v>
      </c>
      <c r="I6889">
        <v>-49.618020000000001</v>
      </c>
      <c r="J6889">
        <v>-299.00150000000002</v>
      </c>
      <c r="K6889">
        <v>1.110957</v>
      </c>
      <c r="L6889">
        <v>-15.016019999999999</v>
      </c>
      <c r="M6889">
        <v>-0.20089099999999999</v>
      </c>
      <c r="N6889">
        <v>0</v>
      </c>
      <c r="O6889">
        <v>-0.9795142</v>
      </c>
      <c r="P6889">
        <v>-0.15589639999999999</v>
      </c>
      <c r="Q6889">
        <v>3.4685639999999997E-2</v>
      </c>
      <c r="R6889">
        <v>-0.98716470000000001</v>
      </c>
      <c r="S6889">
        <v>-0.39578249999999998</v>
      </c>
      <c r="T6889">
        <v>-9.4978690000000005E-2</v>
      </c>
      <c r="U6889">
        <v>-2.9800719999999998</v>
      </c>
      <c r="V6889">
        <v>-4.5685770000000001E-2</v>
      </c>
      <c r="W6889">
        <v>4.8558030000000002E-2</v>
      </c>
      <c r="X6889">
        <v>0.99777499999999997</v>
      </c>
      <c r="Y6889">
        <v>-7.0255819999999997E-2</v>
      </c>
      <c r="Z6889">
        <v>3.0711329999999998E-2</v>
      </c>
      <c r="AA6889">
        <v>0.9970561</v>
      </c>
      <c r="AB6889">
        <v>26</v>
      </c>
      <c r="AC6889">
        <v>-4.5778999999999996</v>
      </c>
      <c r="AD6889">
        <v>-1.110962544318</v>
      </c>
      <c r="AE6889">
        <v>-34.601999999999997</v>
      </c>
      <c r="AF6889">
        <v>-2.4648553896749599</v>
      </c>
      <c r="AG6889">
        <v>-1.110962544318</v>
      </c>
      <c r="AH6889">
        <v>34.780962191926903</v>
      </c>
      <c r="AI6889">
        <v>91.8249279332762</v>
      </c>
      <c r="AJ6889">
        <v>94.053657156478806</v>
      </c>
      <c r="AK6889">
        <v>34.8858865569321</v>
      </c>
      <c r="AL6889">
        <v>87.216735350835293</v>
      </c>
      <c r="AM6889">
        <v>92.621607905053196</v>
      </c>
      <c r="AN6889">
        <v>1.00000001124148</v>
      </c>
    </row>
    <row r="6890" spans="1:40" x14ac:dyDescent="0.25">
      <c r="A6890" t="str">
        <f>"20190312160507020"</f>
        <v>20190312160507020</v>
      </c>
      <c r="B6890" t="str">
        <f>"1552377907011757"</f>
        <v>1552377907011757</v>
      </c>
      <c r="C6890" t="s">
        <v>40</v>
      </c>
      <c r="D6890">
        <v>5.6335879999999996</v>
      </c>
      <c r="E6890">
        <v>0.48917240000000001</v>
      </c>
      <c r="F6890" t="s">
        <v>81</v>
      </c>
      <c r="G6890">
        <v>-303.45170000000002</v>
      </c>
      <c r="H6890" s="1">
        <v>-5.2765509999999997E-6</v>
      </c>
      <c r="I6890">
        <v>-49.107059999999997</v>
      </c>
      <c r="J6890">
        <v>-299.05220000000003</v>
      </c>
      <c r="K6890">
        <v>1.1111089999999999</v>
      </c>
      <c r="L6890">
        <v>-15.268549999999999</v>
      </c>
      <c r="M6890">
        <v>-0.1998318</v>
      </c>
      <c r="N6890">
        <v>0</v>
      </c>
      <c r="O6890">
        <v>-0.97973069999999896</v>
      </c>
      <c r="P6890">
        <v>-0.15412100000000001</v>
      </c>
      <c r="Q6890">
        <v>3.5093439999999997E-2</v>
      </c>
      <c r="R6890">
        <v>-0.98742859999999999</v>
      </c>
      <c r="S6890">
        <v>-0.38912960000000002</v>
      </c>
      <c r="T6890">
        <v>-9.7143770000000004E-2</v>
      </c>
      <c r="U6890">
        <v>-2.9809570000000001</v>
      </c>
      <c r="V6890">
        <v>-4.6417569999999998E-2</v>
      </c>
      <c r="W6890">
        <v>4.8945719999999998E-2</v>
      </c>
      <c r="X6890">
        <v>0.99772229999999995</v>
      </c>
      <c r="Y6890">
        <v>-7.1406029999999995E-2</v>
      </c>
      <c r="Z6890">
        <v>3.1415079999999998E-2</v>
      </c>
      <c r="AA6890">
        <v>0.99695250000000002</v>
      </c>
      <c r="AB6890">
        <v>26</v>
      </c>
      <c r="AC6890">
        <v>-4.3994999999999802</v>
      </c>
      <c r="AD6890">
        <v>-1.111114276551</v>
      </c>
      <c r="AE6890">
        <v>-33.838509999999999</v>
      </c>
      <c r="AF6890">
        <v>-2.4493272908637702</v>
      </c>
      <c r="AG6890">
        <v>-1.111114276551</v>
      </c>
      <c r="AH6890">
        <v>33.999057731254901</v>
      </c>
      <c r="AI6890">
        <v>91.866967142453504</v>
      </c>
      <c r="AJ6890">
        <v>94.120528675310098</v>
      </c>
      <c r="AK6890">
        <v>34.105273869689597</v>
      </c>
      <c r="AL6890">
        <v>87.194495961512402</v>
      </c>
      <c r="AM6890">
        <v>92.663681614045998</v>
      </c>
      <c r="AN6890">
        <v>1.0000000311141499</v>
      </c>
    </row>
    <row r="6891" spans="1:40" x14ac:dyDescent="0.25">
      <c r="A6891" t="str">
        <f>"20190312160507042"</f>
        <v>20190312160507042</v>
      </c>
      <c r="B6891" t="str">
        <f>"1552377907032068"</f>
        <v>1552377907032068</v>
      </c>
      <c r="C6891" t="s">
        <v>40</v>
      </c>
      <c r="D6891">
        <v>5.6770160000000001</v>
      </c>
      <c r="E6891">
        <v>0.48920570000000002</v>
      </c>
      <c r="F6891" t="s">
        <v>81</v>
      </c>
      <c r="G6891">
        <v>-303.6148</v>
      </c>
      <c r="H6891" s="1">
        <v>-6.0796489999999899E-6</v>
      </c>
      <c r="I6891">
        <v>-50.735140000000001</v>
      </c>
      <c r="J6891">
        <v>-299.10239999999999</v>
      </c>
      <c r="K6891">
        <v>1.111273</v>
      </c>
      <c r="L6891">
        <v>-15.521179999999999</v>
      </c>
      <c r="M6891">
        <v>-0.19858410000000001</v>
      </c>
      <c r="N6891">
        <v>0</v>
      </c>
      <c r="O6891">
        <v>-0.97998450000000004</v>
      </c>
      <c r="P6891">
        <v>-0.15296709999999999</v>
      </c>
      <c r="Q6891">
        <v>3.6914219999999998E-2</v>
      </c>
      <c r="R6891">
        <v>-0.98754200000000003</v>
      </c>
      <c r="S6891">
        <v>-0.38357540000000001</v>
      </c>
      <c r="T6891">
        <v>-9.3410969999999996E-2</v>
      </c>
      <c r="U6891">
        <v>-2.9816590000000001</v>
      </c>
      <c r="V6891">
        <v>-4.6321109999999999E-2</v>
      </c>
      <c r="W6891">
        <v>5.0748300000000003E-2</v>
      </c>
      <c r="X6891">
        <v>0.99763670000000004</v>
      </c>
      <c r="Y6891">
        <v>-7.1987679999999998E-2</v>
      </c>
      <c r="Z6891">
        <v>3.0216739999999999E-2</v>
      </c>
      <c r="AA6891">
        <v>0.99694769999999999</v>
      </c>
      <c r="AB6891">
        <v>26</v>
      </c>
      <c r="AC6891">
        <v>-4.5124000000000102</v>
      </c>
      <c r="AD6891">
        <v>-1.111279079649</v>
      </c>
      <c r="AE6891">
        <v>-35.21396</v>
      </c>
      <c r="AF6891">
        <v>-2.5685841182714602</v>
      </c>
      <c r="AG6891">
        <v>-1.111279079649</v>
      </c>
      <c r="AH6891">
        <v>35.374013783857599</v>
      </c>
      <c r="AI6891">
        <v>91.794640494533098</v>
      </c>
      <c r="AJ6891">
        <v>94.153082384945193</v>
      </c>
      <c r="AK6891">
        <v>35.4845518042154</v>
      </c>
      <c r="AL6891">
        <v>87.091087112372193</v>
      </c>
      <c r="AM6891">
        <v>92.658381934918694</v>
      </c>
      <c r="AN6891">
        <v>1.0000000101857001</v>
      </c>
    </row>
    <row r="6892" spans="1:40" x14ac:dyDescent="0.25">
      <c r="A6892" t="str">
        <f>"20190312160507065"</f>
        <v>20190312160507065</v>
      </c>
      <c r="B6892" t="str">
        <f>"1552377907062312"</f>
        <v>1552377907062312</v>
      </c>
      <c r="C6892" t="s">
        <v>40</v>
      </c>
      <c r="D6892">
        <v>5.6692039999999997</v>
      </c>
      <c r="E6892">
        <v>0.48962830000000002</v>
      </c>
      <c r="F6892" t="s">
        <v>81</v>
      </c>
      <c r="G6892">
        <v>-303.85629999999998</v>
      </c>
      <c r="H6892" s="1">
        <v>-6.9469759999999999E-6</v>
      </c>
      <c r="I6892">
        <v>-52.830170000000003</v>
      </c>
      <c r="J6892">
        <v>-299.15249999999997</v>
      </c>
      <c r="K6892">
        <v>1.1114280000000001</v>
      </c>
      <c r="L6892">
        <v>-15.776059999999999</v>
      </c>
      <c r="M6892">
        <v>-0.1971368</v>
      </c>
      <c r="N6892">
        <v>0</v>
      </c>
      <c r="O6892">
        <v>-0.9802767</v>
      </c>
      <c r="P6892">
        <v>-0.151651799999999</v>
      </c>
      <c r="Q6892">
        <v>3.9404649999999999E-2</v>
      </c>
      <c r="R6892">
        <v>-0.98764839999999998</v>
      </c>
      <c r="S6892">
        <v>-0.38000489999999998</v>
      </c>
      <c r="T6892">
        <v>-8.8830350000000002E-2</v>
      </c>
      <c r="U6892">
        <v>-2.9823</v>
      </c>
      <c r="V6892">
        <v>-4.6181960000000001E-2</v>
      </c>
      <c r="W6892">
        <v>5.3221169999999998E-2</v>
      </c>
      <c r="X6892">
        <v>0.99751420000000002</v>
      </c>
      <c r="Y6892">
        <v>-7.1710709999999997E-2</v>
      </c>
      <c r="Z6892">
        <v>2.874554E-2</v>
      </c>
      <c r="AA6892">
        <v>0.99701119999999999</v>
      </c>
      <c r="AB6892">
        <v>26</v>
      </c>
      <c r="AC6892">
        <v>-4.7038000000000002</v>
      </c>
      <c r="AD6892">
        <v>-1.1114349469760001</v>
      </c>
      <c r="AE6892">
        <v>-37.054110000000001</v>
      </c>
      <c r="AF6892">
        <v>-2.69158216706944</v>
      </c>
      <c r="AG6892">
        <v>-1.1114349469760001</v>
      </c>
      <c r="AH6892">
        <v>37.221242454911099</v>
      </c>
      <c r="AI6892">
        <v>91.705905286348397</v>
      </c>
      <c r="AJ6892">
        <v>94.1360341634403</v>
      </c>
      <c r="AK6892">
        <v>37.3349808101025</v>
      </c>
      <c r="AL6892">
        <v>86.949209961508004</v>
      </c>
      <c r="AM6892">
        <v>92.650732500380599</v>
      </c>
      <c r="AN6892">
        <v>0.99999992278362204</v>
      </c>
    </row>
    <row r="6893" spans="1:40" x14ac:dyDescent="0.25">
      <c r="A6893" t="str">
        <f>"20190312160507088"</f>
        <v>20190312160507088</v>
      </c>
      <c r="B6893" t="str">
        <f>"1552377907081832"</f>
        <v>1552377907081832</v>
      </c>
      <c r="C6893" t="s">
        <v>40</v>
      </c>
      <c r="D6893">
        <v>6.5110279999999996</v>
      </c>
      <c r="E6893">
        <v>0.48973519999999998</v>
      </c>
      <c r="F6893" t="s">
        <v>81</v>
      </c>
      <c r="G6893">
        <v>-304.15249999999997</v>
      </c>
      <c r="H6893" s="1">
        <v>-7.8767319999999995E-6</v>
      </c>
      <c r="I6893">
        <v>-55.070689999999999</v>
      </c>
      <c r="J6893">
        <v>-299.20209999999997</v>
      </c>
      <c r="K6893">
        <v>1.111564</v>
      </c>
      <c r="L6893">
        <v>-16.031679999999898</v>
      </c>
      <c r="M6893">
        <v>-0.19549830000000001</v>
      </c>
      <c r="N6893">
        <v>0</v>
      </c>
      <c r="O6893">
        <v>-0.9806047</v>
      </c>
      <c r="P6893">
        <v>-0.1502869</v>
      </c>
      <c r="Q6893">
        <v>4.0156699999999997E-2</v>
      </c>
      <c r="R6893">
        <v>-0.9878266</v>
      </c>
      <c r="S6893">
        <v>-0.37951659999999998</v>
      </c>
      <c r="T6893">
        <v>-8.4362030000000005E-2</v>
      </c>
      <c r="U6893">
        <v>-2.982605</v>
      </c>
      <c r="V6893">
        <v>-4.5906629999999997E-2</v>
      </c>
      <c r="W6893">
        <v>5.3958730000000003E-2</v>
      </c>
      <c r="X6893">
        <v>0.99748740000000002</v>
      </c>
      <c r="Y6893">
        <v>-7.0211979999999993E-2</v>
      </c>
      <c r="Z6893">
        <v>2.7313520000000001E-2</v>
      </c>
      <c r="AA6893">
        <v>0.99715810000000005</v>
      </c>
      <c r="AB6893">
        <v>26</v>
      </c>
      <c r="AC6893">
        <v>-4.9504000000000001</v>
      </c>
      <c r="AD6893">
        <v>-1.111571876732</v>
      </c>
      <c r="AE6893">
        <v>-39.039009999999998</v>
      </c>
      <c r="AF6893">
        <v>-2.7757304568934198</v>
      </c>
      <c r="AG6893">
        <v>-1.111571876732</v>
      </c>
      <c r="AH6893">
        <v>39.2221602260487</v>
      </c>
      <c r="AI6893">
        <v>91.619303272324103</v>
      </c>
      <c r="AJ6893">
        <v>94.048041485595306</v>
      </c>
      <c r="AK6893">
        <v>39.335964770224003</v>
      </c>
      <c r="AL6893">
        <v>86.906890426863896</v>
      </c>
      <c r="AM6893">
        <v>92.635022260231906</v>
      </c>
      <c r="AN6893">
        <v>1.0000000381899601</v>
      </c>
    </row>
    <row r="6894" spans="1:40" x14ac:dyDescent="0.25">
      <c r="A6894" t="str">
        <f>"20190312160507111"</f>
        <v>20190312160507111</v>
      </c>
      <c r="B6894" t="str">
        <f>"1552377907102329"</f>
        <v>1552377907102329</v>
      </c>
      <c r="C6894" t="s">
        <v>40</v>
      </c>
      <c r="D6894">
        <v>6.3065220000000002</v>
      </c>
      <c r="E6894">
        <v>0.48967719999999998</v>
      </c>
      <c r="F6894" t="s">
        <v>81</v>
      </c>
      <c r="G6894">
        <v>-304.27769999999998</v>
      </c>
      <c r="H6894" s="1">
        <v>-8.3712950000000003E-6</v>
      </c>
      <c r="I6894">
        <v>-56.253219999999999</v>
      </c>
      <c r="J6894">
        <v>-299.25130000000001</v>
      </c>
      <c r="K6894">
        <v>1.111675</v>
      </c>
      <c r="L6894">
        <v>-16.28903</v>
      </c>
      <c r="M6894">
        <v>-0.19367329999999999</v>
      </c>
      <c r="N6894">
        <v>0</v>
      </c>
      <c r="O6894">
        <v>-0.98096660000000002</v>
      </c>
      <c r="P6894">
        <v>-0.148290899999999</v>
      </c>
      <c r="Q6894">
        <v>3.93125E-2</v>
      </c>
      <c r="R6894">
        <v>-0.98816219999999999</v>
      </c>
      <c r="S6894">
        <v>-0.3764343</v>
      </c>
      <c r="T6894">
        <v>-8.2439780000000004E-2</v>
      </c>
      <c r="U6894">
        <v>-2.9830320000000001</v>
      </c>
      <c r="V6894">
        <v>-4.6083779999999998E-2</v>
      </c>
      <c r="W6894">
        <v>5.3102610000000001E-2</v>
      </c>
      <c r="X6894">
        <v>0.9975252</v>
      </c>
      <c r="Y6894">
        <v>-6.9385669999999997E-2</v>
      </c>
      <c r="Z6894">
        <v>2.670519E-2</v>
      </c>
      <c r="AA6894">
        <v>0.99723240000000002</v>
      </c>
      <c r="AB6894">
        <v>26</v>
      </c>
      <c r="AC6894">
        <v>-5.0263999999999598</v>
      </c>
      <c r="AD6894">
        <v>-1.1116833712950001</v>
      </c>
      <c r="AE6894">
        <v>-39.964190000000002</v>
      </c>
      <c r="AF6894">
        <v>-2.8074017444466901</v>
      </c>
      <c r="AG6894">
        <v>-1.1116833712950001</v>
      </c>
      <c r="AH6894">
        <v>40.150352628683798</v>
      </c>
      <c r="AI6894">
        <v>91.582139970899803</v>
      </c>
      <c r="AJ6894">
        <v>93.999738117070194</v>
      </c>
      <c r="AK6894">
        <v>40.263732572631497</v>
      </c>
      <c r="AL6894">
        <v>86.956012997315099</v>
      </c>
      <c r="AM6894">
        <v>92.645076091598199</v>
      </c>
      <c r="AN6894">
        <v>1.0000000633014601</v>
      </c>
    </row>
    <row r="6895" spans="1:40" x14ac:dyDescent="0.25">
      <c r="A6895" t="str">
        <f>"20190312160507133"</f>
        <v>20190312160507133</v>
      </c>
      <c r="B6895" t="str">
        <f>"1552377907121848"</f>
        <v>1552377907121848</v>
      </c>
      <c r="C6895" t="s">
        <v>40</v>
      </c>
      <c r="D6895">
        <v>5.956728</v>
      </c>
      <c r="E6895">
        <v>0.48953039999999998</v>
      </c>
      <c r="F6895" t="s">
        <v>81</v>
      </c>
      <c r="G6895">
        <v>-303.98919999999998</v>
      </c>
      <c r="H6895" s="1">
        <v>-7.6300359999999999E-6</v>
      </c>
      <c r="I6895">
        <v>-54.488269999999901</v>
      </c>
      <c r="J6895">
        <v>-299.29950000000002</v>
      </c>
      <c r="K6895">
        <v>1.1117549999999901</v>
      </c>
      <c r="L6895">
        <v>-16.544219999999999</v>
      </c>
      <c r="M6895">
        <v>-0.1917469</v>
      </c>
      <c r="N6895">
        <v>0</v>
      </c>
      <c r="O6895">
        <v>-0.98134500000000002</v>
      </c>
      <c r="P6895">
        <v>-0.14641460000000001</v>
      </c>
      <c r="Q6895">
        <v>3.7915989999999997E-2</v>
      </c>
      <c r="R6895">
        <v>-0.98849620000000005</v>
      </c>
      <c r="S6895">
        <v>-0.37008669999999999</v>
      </c>
      <c r="T6895">
        <v>-8.683681E-2</v>
      </c>
      <c r="U6895">
        <v>-2.9838559999999998</v>
      </c>
      <c r="V6895">
        <v>-4.6035329999999999E-2</v>
      </c>
      <c r="W6895">
        <v>5.1698340000000002E-2</v>
      </c>
      <c r="X6895">
        <v>0.99760119999999997</v>
      </c>
      <c r="Y6895">
        <v>-6.9554809999999995E-2</v>
      </c>
      <c r="Z6895">
        <v>2.8140510000000001E-2</v>
      </c>
      <c r="AA6895">
        <v>0.99718110000000004</v>
      </c>
      <c r="AB6895">
        <v>26</v>
      </c>
      <c r="AC6895">
        <v>-4.6896999999999496</v>
      </c>
      <c r="AD6895">
        <v>-1.11176263003599</v>
      </c>
      <c r="AE6895">
        <v>-37.944049999999898</v>
      </c>
      <c r="AF6895">
        <v>-2.67144226182418</v>
      </c>
      <c r="AG6895">
        <v>-1.11176263003599</v>
      </c>
      <c r="AH6895">
        <v>38.106937850599401</v>
      </c>
      <c r="AI6895">
        <v>91.667030379285805</v>
      </c>
      <c r="AJ6895">
        <v>94.010092864101495</v>
      </c>
      <c r="AK6895">
        <v>38.216636851680903</v>
      </c>
      <c r="AL6895">
        <v>87.036582429846007</v>
      </c>
      <c r="AM6895">
        <v>92.642098132199806</v>
      </c>
      <c r="AN6895">
        <v>1.0000000621042</v>
      </c>
    </row>
    <row r="6896" spans="1:40" x14ac:dyDescent="0.25">
      <c r="A6896" t="str">
        <f>"20190312160507155"</f>
        <v>20190312160507155</v>
      </c>
      <c r="B6896" t="str">
        <f>"1552377907151800"</f>
        <v>1552377907151800</v>
      </c>
      <c r="C6896" t="s">
        <v>40</v>
      </c>
      <c r="D6896">
        <v>6.6704809999999997</v>
      </c>
      <c r="E6896">
        <v>0.48936489999999999</v>
      </c>
      <c r="F6896" t="s">
        <v>81</v>
      </c>
      <c r="G6896">
        <v>-303.5849</v>
      </c>
      <c r="H6896" s="1">
        <v>-6.4997769999999996E-6</v>
      </c>
      <c r="I6896">
        <v>-51.770899999999997</v>
      </c>
      <c r="J6896">
        <v>-299.34589999999997</v>
      </c>
      <c r="K6896">
        <v>1.1118140000000001</v>
      </c>
      <c r="L6896">
        <v>-16.793489999999998</v>
      </c>
      <c r="M6896">
        <v>-0.1897818</v>
      </c>
      <c r="N6896">
        <v>0</v>
      </c>
      <c r="O6896">
        <v>-0.98172709999999996</v>
      </c>
      <c r="P6896">
        <v>-0.14350669999999999</v>
      </c>
      <c r="Q6896">
        <v>3.8915749999999999E-2</v>
      </c>
      <c r="R6896">
        <v>-0.98888390000000004</v>
      </c>
      <c r="S6896">
        <v>-0.36309809999999998</v>
      </c>
      <c r="T6896">
        <v>-9.4199060000000001E-2</v>
      </c>
      <c r="U6896">
        <v>-2.9847410000000001</v>
      </c>
      <c r="V6896">
        <v>-4.6975240000000001E-2</v>
      </c>
      <c r="W6896">
        <v>5.2686910000000003E-2</v>
      </c>
      <c r="X6896">
        <v>0.99750559999999999</v>
      </c>
      <c r="Y6896">
        <v>-6.9902489999999998E-2</v>
      </c>
      <c r="Z6896">
        <v>3.0536919999999999E-2</v>
      </c>
      <c r="AA6896">
        <v>0.99708629999999998</v>
      </c>
      <c r="AB6896">
        <v>26</v>
      </c>
      <c r="AC6896">
        <v>-4.2390000000000301</v>
      </c>
      <c r="AD6896">
        <v>-1.11182049977699</v>
      </c>
      <c r="AE6896">
        <v>-34.977409999999999</v>
      </c>
      <c r="AF6896">
        <v>-2.4743120034576198</v>
      </c>
      <c r="AG6896">
        <v>-1.11182049977699</v>
      </c>
      <c r="AH6896">
        <v>35.1112162939962</v>
      </c>
      <c r="AI6896">
        <v>91.809219862602006</v>
      </c>
      <c r="AJ6896">
        <v>94.031009699605093</v>
      </c>
      <c r="AK6896">
        <v>35.2158469209242</v>
      </c>
      <c r="AL6896">
        <v>86.979864058303306</v>
      </c>
      <c r="AM6896">
        <v>92.696221436966098</v>
      </c>
      <c r="AN6896">
        <v>1.0000000028448801</v>
      </c>
    </row>
    <row r="6897" spans="1:40" x14ac:dyDescent="0.25">
      <c r="A6897" t="str">
        <f>"20190312160507177"</f>
        <v>20190312160507177</v>
      </c>
      <c r="B6897" t="str">
        <f>"1552377907172296"</f>
        <v>1552377907172296</v>
      </c>
      <c r="C6897" t="s">
        <v>40</v>
      </c>
      <c r="D6897">
        <v>6.2147329999999998</v>
      </c>
      <c r="E6897">
        <v>0.48939729999999998</v>
      </c>
      <c r="F6897" t="s">
        <v>81</v>
      </c>
      <c r="G6897">
        <v>-303.43869999999998</v>
      </c>
      <c r="H6897" s="1">
        <v>-6.3383599999999999E-6</v>
      </c>
      <c r="I6897">
        <v>-51.395429999999998</v>
      </c>
      <c r="J6897">
        <v>-299.39229999999998</v>
      </c>
      <c r="K6897">
        <v>1.111853</v>
      </c>
      <c r="L6897">
        <v>-17.04523</v>
      </c>
      <c r="M6897">
        <v>-0.1877431</v>
      </c>
      <c r="N6897">
        <v>0</v>
      </c>
      <c r="O6897">
        <v>-0.98211899999999996</v>
      </c>
      <c r="P6897">
        <v>-0.14035989999999901</v>
      </c>
      <c r="Q6897">
        <v>4.099183E-2</v>
      </c>
      <c r="R6897">
        <v>-0.98925180000000001</v>
      </c>
      <c r="S6897">
        <v>-0.35321039999999998</v>
      </c>
      <c r="T6897">
        <v>-9.5952990000000002E-2</v>
      </c>
      <c r="U6897">
        <v>-2.986237</v>
      </c>
      <c r="V6897">
        <v>-4.8074310000000002E-2</v>
      </c>
      <c r="W6897">
        <v>5.4752910000000002E-2</v>
      </c>
      <c r="X6897">
        <v>0.9973419</v>
      </c>
      <c r="Y6897">
        <v>-7.1147749999999996E-2</v>
      </c>
      <c r="Z6897">
        <v>3.111278E-2</v>
      </c>
      <c r="AA6897">
        <v>0.99698039999999999</v>
      </c>
      <c r="AB6897">
        <v>26</v>
      </c>
      <c r="AC6897">
        <v>-4.0464000000000002</v>
      </c>
      <c r="AD6897">
        <v>-1.1118593383599999</v>
      </c>
      <c r="AE6897">
        <v>-34.350200000000001</v>
      </c>
      <c r="AF6897">
        <v>-2.4726526402287199</v>
      </c>
      <c r="AG6897">
        <v>-1.1118593383599999</v>
      </c>
      <c r="AH6897">
        <v>34.463414612099797</v>
      </c>
      <c r="AI6897">
        <v>91.843102148497493</v>
      </c>
      <c r="AJ6897">
        <v>94.103778346570707</v>
      </c>
      <c r="AK6897">
        <v>34.569888472383397</v>
      </c>
      <c r="AL6897">
        <v>86.861319595920605</v>
      </c>
      <c r="AM6897">
        <v>92.759660185396299</v>
      </c>
      <c r="AN6897">
        <v>0.99999994296552497</v>
      </c>
    </row>
    <row r="6898" spans="1:40" x14ac:dyDescent="0.25">
      <c r="A6898" t="str">
        <f>"20190312160507199"</f>
        <v>20190312160507199</v>
      </c>
      <c r="B6898" t="str">
        <f>"1552377907191816"</f>
        <v>1552377907191816</v>
      </c>
      <c r="C6898" t="s">
        <v>40</v>
      </c>
      <c r="D6898">
        <v>5.8746080000000003</v>
      </c>
      <c r="E6898">
        <v>0.48942400000000003</v>
      </c>
      <c r="F6898" t="s">
        <v>81</v>
      </c>
      <c r="G6898">
        <v>-303.62869999999998</v>
      </c>
      <c r="H6898" s="1">
        <v>-7.3227290000000004E-6</v>
      </c>
      <c r="I6898">
        <v>-53.785150000000002</v>
      </c>
      <c r="J6898">
        <v>-299.4375</v>
      </c>
      <c r="K6898">
        <v>1.111864</v>
      </c>
      <c r="L6898">
        <v>-17.29382</v>
      </c>
      <c r="M6898">
        <v>-0.18570429999999999</v>
      </c>
      <c r="N6898">
        <v>0</v>
      </c>
      <c r="O6898">
        <v>-0.98250660000000001</v>
      </c>
      <c r="P6898">
        <v>-0.13725560000000001</v>
      </c>
      <c r="Q6898">
        <v>4.0157789999999999E-2</v>
      </c>
      <c r="R6898">
        <v>-0.98972150000000003</v>
      </c>
      <c r="S6898">
        <v>-0.34448240000000002</v>
      </c>
      <c r="T6898">
        <v>-9.0409400000000001E-2</v>
      </c>
      <c r="U6898">
        <v>-2.987457</v>
      </c>
      <c r="V6898">
        <v>-4.9139429999999998E-2</v>
      </c>
      <c r="W6898">
        <v>5.3911590000000002E-2</v>
      </c>
      <c r="X6898">
        <v>0.99733590000000005</v>
      </c>
      <c r="Y6898">
        <v>-7.1992260000000002E-2</v>
      </c>
      <c r="Z6898">
        <v>2.9326430000000001E-2</v>
      </c>
      <c r="AA6898">
        <v>0.99697389999999997</v>
      </c>
      <c r="AB6898">
        <v>26</v>
      </c>
      <c r="AC6898">
        <v>-4.1911999999999798</v>
      </c>
      <c r="AD6898">
        <v>-1.111871322729</v>
      </c>
      <c r="AE6898">
        <v>-36.491329999999998</v>
      </c>
      <c r="AF6898">
        <v>-2.6565398976485799</v>
      </c>
      <c r="AG6898">
        <v>-1.111871322729</v>
      </c>
      <c r="AH6898">
        <v>36.6013250704085</v>
      </c>
      <c r="AI6898">
        <v>91.735428011482995</v>
      </c>
      <c r="AJ6898">
        <v>94.151272980561401</v>
      </c>
      <c r="AK6898">
        <v>36.714444827285902</v>
      </c>
      <c r="AL6898">
        <v>86.909595231468501</v>
      </c>
      <c r="AM6898">
        <v>92.820721654943199</v>
      </c>
      <c r="AN6898">
        <v>1.00000002027293</v>
      </c>
    </row>
    <row r="6899" spans="1:40" x14ac:dyDescent="0.25">
      <c r="A6899" t="str">
        <f>"20190312160507222"</f>
        <v>20190312160507222</v>
      </c>
      <c r="B6899" t="str">
        <f>"1552377907212313"</f>
        <v>1552377907212313</v>
      </c>
      <c r="C6899" t="s">
        <v>40</v>
      </c>
      <c r="D6899">
        <v>5.7115839999999896</v>
      </c>
      <c r="E6899">
        <v>0.48816110000000001</v>
      </c>
      <c r="F6899" t="s">
        <v>81</v>
      </c>
      <c r="G6899">
        <v>-303.46679999999998</v>
      </c>
      <c r="H6899" s="1">
        <v>-7.0775219999999998E-6</v>
      </c>
      <c r="I6899">
        <v>-53.206189999999999</v>
      </c>
      <c r="J6899">
        <v>-299.48309999999998</v>
      </c>
      <c r="K6899">
        <v>1.1118570000000001</v>
      </c>
      <c r="L6899">
        <v>-17.548029999999901</v>
      </c>
      <c r="M6899">
        <v>-0.18361559999999999</v>
      </c>
      <c r="N6899">
        <v>0</v>
      </c>
      <c r="O6899">
        <v>-0.98289910000000003</v>
      </c>
      <c r="P6899">
        <v>-0.13497990000000001</v>
      </c>
      <c r="Q6899">
        <v>3.8168510000000003E-2</v>
      </c>
      <c r="R6899">
        <v>-0.99011280000000002</v>
      </c>
      <c r="S6899">
        <v>-0.3352966</v>
      </c>
      <c r="T6899">
        <v>-9.2522980000000005E-2</v>
      </c>
      <c r="U6899">
        <v>-2.9884029999999999</v>
      </c>
      <c r="V6899">
        <v>-4.9319639999999998E-2</v>
      </c>
      <c r="W6899">
        <v>5.1920729999999998E-2</v>
      </c>
      <c r="X6899">
        <v>0.9974326</v>
      </c>
      <c r="Y6899">
        <v>-7.2935860000000005E-2</v>
      </c>
      <c r="Z6899">
        <v>3.0024080000000002E-2</v>
      </c>
      <c r="AA6899">
        <v>0.99688460000000001</v>
      </c>
      <c r="AB6899">
        <v>26</v>
      </c>
      <c r="AC6899">
        <v>-3.98369999999999</v>
      </c>
      <c r="AD6899">
        <v>-1.1118640775219999</v>
      </c>
      <c r="AE6899">
        <v>-35.658159999999903</v>
      </c>
      <c r="AF6899">
        <v>-2.62955039630575</v>
      </c>
      <c r="AG6899">
        <v>-1.1118640775219999</v>
      </c>
      <c r="AH6899">
        <v>35.748996886639802</v>
      </c>
      <c r="AI6899">
        <v>91.776640446435493</v>
      </c>
      <c r="AJ6899">
        <v>94.206867707110305</v>
      </c>
      <c r="AK6899">
        <v>35.862815776435902</v>
      </c>
      <c r="AL6899">
        <v>87.023823072635395</v>
      </c>
      <c r="AM6899">
        <v>92.830775324149698</v>
      </c>
      <c r="AN6899">
        <v>0.99999999031811104</v>
      </c>
    </row>
    <row r="6900" spans="1:40" x14ac:dyDescent="0.25">
      <c r="A6900" t="str">
        <f>"20190312160507244"</f>
        <v>20190312160507244</v>
      </c>
      <c r="B6900" t="str">
        <f>"1552377907231833"</f>
        <v>1552377907231833</v>
      </c>
      <c r="C6900" t="s">
        <v>40</v>
      </c>
      <c r="D6900">
        <v>5.7941830000000003</v>
      </c>
      <c r="E6900">
        <v>0.48677330000000002</v>
      </c>
      <c r="F6900" t="s">
        <v>81</v>
      </c>
      <c r="G6900">
        <v>-302.8818</v>
      </c>
      <c r="H6900" s="1">
        <v>-5.4182510000000004E-6</v>
      </c>
      <c r="I6900">
        <v>-49.450069999999997</v>
      </c>
      <c r="J6900">
        <v>-299.52789999999999</v>
      </c>
      <c r="K6900">
        <v>1.111853</v>
      </c>
      <c r="L6900">
        <v>-17.800450000000001</v>
      </c>
      <c r="M6900">
        <v>-0.1815495</v>
      </c>
      <c r="N6900">
        <v>0</v>
      </c>
      <c r="O6900">
        <v>-0.98328269999999995</v>
      </c>
      <c r="P6900">
        <v>-0.132663</v>
      </c>
      <c r="Q6900">
        <v>3.6932159999999999E-2</v>
      </c>
      <c r="R6900">
        <v>-0.99047289999999999</v>
      </c>
      <c r="S6900">
        <v>-0.31860349999999998</v>
      </c>
      <c r="T6900">
        <v>-0.104227399999999</v>
      </c>
      <c r="U6900">
        <v>-2.9905400000000002</v>
      </c>
      <c r="V6900">
        <v>-4.956108E-2</v>
      </c>
      <c r="W6900">
        <v>5.0682579999999998E-2</v>
      </c>
      <c r="X6900">
        <v>0.99748429999999999</v>
      </c>
      <c r="Y6900">
        <v>-7.6430120000000004E-2</v>
      </c>
      <c r="Z6900">
        <v>3.3819370000000001E-2</v>
      </c>
      <c r="AA6900">
        <v>0.99650119999999998</v>
      </c>
      <c r="AB6900">
        <v>26</v>
      </c>
      <c r="AC6900">
        <v>-3.3538999999999999</v>
      </c>
      <c r="AD6900">
        <v>-1.1118584182510001</v>
      </c>
      <c r="AE6900">
        <v>-31.649619999999999</v>
      </c>
      <c r="AF6900">
        <v>-2.4453950293215199</v>
      </c>
      <c r="AG6900">
        <v>-1.1118584182510001</v>
      </c>
      <c r="AH6900">
        <v>31.69383528469</v>
      </c>
      <c r="AI6900">
        <v>92.003232831958698</v>
      </c>
      <c r="AJ6900">
        <v>94.412017903988698</v>
      </c>
      <c r="AK6900">
        <v>31.8074736664943</v>
      </c>
      <c r="AL6900">
        <v>87.094857345345105</v>
      </c>
      <c r="AM6900">
        <v>92.8444632373362</v>
      </c>
      <c r="AN6900">
        <v>0.99999997665635598</v>
      </c>
    </row>
    <row r="6901" spans="1:40" x14ac:dyDescent="0.25">
      <c r="A6901" t="str">
        <f>"20190312160507266"</f>
        <v>20190312160507266</v>
      </c>
      <c r="B6901" t="str">
        <f>"1552377907262092"</f>
        <v>1552377907262092</v>
      </c>
      <c r="C6901" t="s">
        <v>40</v>
      </c>
      <c r="D6901">
        <v>5.7643550000000001</v>
      </c>
      <c r="E6901">
        <v>0.48531000000000002</v>
      </c>
      <c r="F6901" t="s">
        <v>81</v>
      </c>
      <c r="G6901">
        <v>-302.654</v>
      </c>
      <c r="H6901" s="1">
        <v>-5.1407660000000003E-6</v>
      </c>
      <c r="I6901">
        <v>-48.931440000000002</v>
      </c>
      <c r="J6901">
        <v>-299.57209999999998</v>
      </c>
      <c r="K6901">
        <v>1.1118429999999999</v>
      </c>
      <c r="L6901">
        <v>-18.052890000000001</v>
      </c>
      <c r="M6901">
        <v>-0.1794963</v>
      </c>
      <c r="N6901">
        <v>0</v>
      </c>
      <c r="O6901">
        <v>-0.98365979999999997</v>
      </c>
      <c r="P6901">
        <v>-0.13028729999999999</v>
      </c>
      <c r="Q6901">
        <v>3.6690979999999998E-2</v>
      </c>
      <c r="R6901">
        <v>-0.9907975</v>
      </c>
      <c r="S6901">
        <v>-0.30050660000000001</v>
      </c>
      <c r="T6901">
        <v>-0.1068815</v>
      </c>
      <c r="U6901">
        <v>-2.9925839999999999</v>
      </c>
      <c r="V6901">
        <v>-4.9870379999999999E-2</v>
      </c>
      <c r="W6901">
        <v>5.0439709999999999E-2</v>
      </c>
      <c r="X6901">
        <v>0.99748119999999996</v>
      </c>
      <c r="Y6901">
        <v>-8.0384800000000006E-2</v>
      </c>
      <c r="Z6901">
        <v>3.4681030000000002E-2</v>
      </c>
      <c r="AA6901">
        <v>0.99616039999999995</v>
      </c>
      <c r="AB6901">
        <v>26</v>
      </c>
      <c r="AC6901">
        <v>-3.0819000000000099</v>
      </c>
      <c r="AD6901">
        <v>-1.1118481407659999</v>
      </c>
      <c r="AE6901">
        <v>-30.878550000000001</v>
      </c>
      <c r="AF6901">
        <v>-2.5080688681942598</v>
      </c>
      <c r="AG6901">
        <v>-1.1118481407659999</v>
      </c>
      <c r="AH6901">
        <v>30.890530723887402</v>
      </c>
      <c r="AI6901">
        <v>92.054611674716796</v>
      </c>
      <c r="AJ6901">
        <v>94.641786074061201</v>
      </c>
      <c r="AK6901">
        <v>31.012118665759701</v>
      </c>
      <c r="AL6901">
        <v>87.108790607492907</v>
      </c>
      <c r="AM6901">
        <v>92.862194372312501</v>
      </c>
      <c r="AN6901">
        <v>0.99999998174983395</v>
      </c>
    </row>
    <row r="6902" spans="1:40" x14ac:dyDescent="0.25">
      <c r="A6902" t="str">
        <f>"20190312160507289"</f>
        <v>20190312160507289</v>
      </c>
      <c r="B6902" t="str">
        <f>"1552377907281608"</f>
        <v>1552377907281608</v>
      </c>
      <c r="C6902" t="s">
        <v>40</v>
      </c>
      <c r="D6902">
        <v>5.8889630000000004</v>
      </c>
      <c r="E6902">
        <v>0.48417280000000001</v>
      </c>
      <c r="F6902" t="s">
        <v>81</v>
      </c>
      <c r="G6902">
        <v>-302.1234</v>
      </c>
      <c r="H6902" s="1">
        <v>-3.3395110000000001E-6</v>
      </c>
      <c r="I6902">
        <v>-45.165640000000003</v>
      </c>
      <c r="J6902">
        <v>-299.61649999999997</v>
      </c>
      <c r="K6902">
        <v>1.1118399999999999</v>
      </c>
      <c r="L6902">
        <v>-18.31015</v>
      </c>
      <c r="M6902">
        <v>-0.1774183</v>
      </c>
      <c r="N6902">
        <v>0</v>
      </c>
      <c r="O6902">
        <v>-0.98403689999999999</v>
      </c>
      <c r="P6902">
        <v>-0.12778909999999999</v>
      </c>
      <c r="Q6902">
        <v>3.770577E-2</v>
      </c>
      <c r="R6902">
        <v>-0.99108470000000004</v>
      </c>
      <c r="S6902">
        <v>-0.28186040000000001</v>
      </c>
      <c r="T6902">
        <v>-0.12283330000000001</v>
      </c>
      <c r="U6902">
        <v>-2.9953310000000002</v>
      </c>
      <c r="V6902">
        <v>-5.0273499999999999E-2</v>
      </c>
      <c r="W6902">
        <v>5.145168E-2</v>
      </c>
      <c r="X6902">
        <v>0.99740930000000005</v>
      </c>
      <c r="Y6902">
        <v>-8.4530980000000006E-2</v>
      </c>
      <c r="Z6902">
        <v>3.9840529999999999E-2</v>
      </c>
      <c r="AA6902">
        <v>0.99562410000000001</v>
      </c>
      <c r="AB6902">
        <v>26</v>
      </c>
      <c r="AC6902">
        <v>-2.5069000000000199</v>
      </c>
      <c r="AD6902">
        <v>-1.1118433395109999</v>
      </c>
      <c r="AE6902">
        <v>-26.85549</v>
      </c>
      <c r="AF6902">
        <v>-2.29409812992288</v>
      </c>
      <c r="AG6902">
        <v>-1.1118433395109999</v>
      </c>
      <c r="AH6902">
        <v>26.828583652608401</v>
      </c>
      <c r="AI6902">
        <v>92.364502979989297</v>
      </c>
      <c r="AJ6902">
        <v>94.8874431041978</v>
      </c>
      <c r="AK6902">
        <v>26.9494338093834</v>
      </c>
      <c r="AL6902">
        <v>87.050733674000199</v>
      </c>
      <c r="AM6902">
        <v>92.885499208171197</v>
      </c>
      <c r="AN6902">
        <v>1.00000000595178</v>
      </c>
    </row>
    <row r="6903" spans="1:40" x14ac:dyDescent="0.25">
      <c r="A6903" t="str">
        <f>"20190312160507310"</f>
        <v>20190312160507310</v>
      </c>
      <c r="B6903" t="str">
        <f>"1552377907302105"</f>
        <v>1552377907302105</v>
      </c>
      <c r="C6903" t="s">
        <v>40</v>
      </c>
      <c r="D6903">
        <v>5.7943239999999996</v>
      </c>
      <c r="E6903">
        <v>0.48316969999999998</v>
      </c>
      <c r="F6903" t="s">
        <v>81</v>
      </c>
      <c r="G6903">
        <v>-302.0204</v>
      </c>
      <c r="H6903" s="1">
        <v>-3.4941000000000001E-6</v>
      </c>
      <c r="I6903">
        <v>-45.471080000000001</v>
      </c>
      <c r="J6903">
        <v>-299.6583</v>
      </c>
      <c r="K6903">
        <v>1.1118250000000001</v>
      </c>
      <c r="L6903">
        <v>-18.554469999999998</v>
      </c>
      <c r="M6903">
        <v>-0.17545549999999999</v>
      </c>
      <c r="N6903">
        <v>0</v>
      </c>
      <c r="O6903">
        <v>-0.9843885</v>
      </c>
      <c r="P6903">
        <v>-0.12479469999999999</v>
      </c>
      <c r="Q6903">
        <v>3.9966719999999997E-2</v>
      </c>
      <c r="R6903">
        <v>-0.99137730000000002</v>
      </c>
      <c r="S6903">
        <v>-0.26528930000000001</v>
      </c>
      <c r="T6903">
        <v>-0.1227012</v>
      </c>
      <c r="U6903">
        <v>-2.9974370000000001</v>
      </c>
      <c r="V6903">
        <v>-5.1288500000000001E-2</v>
      </c>
      <c r="W6903">
        <v>5.3705419999999997E-2</v>
      </c>
      <c r="X6903">
        <v>0.99723879999999998</v>
      </c>
      <c r="Y6903">
        <v>-8.8067049999999994E-2</v>
      </c>
      <c r="Z6903">
        <v>3.9794969999999999E-2</v>
      </c>
      <c r="AA6903">
        <v>0.99531930000000002</v>
      </c>
      <c r="AB6903">
        <v>26</v>
      </c>
      <c r="AC6903">
        <v>-2.3620999999999901</v>
      </c>
      <c r="AD6903">
        <v>-1.1118284941000001</v>
      </c>
      <c r="AE6903">
        <v>-26.916609999999999</v>
      </c>
      <c r="AF6903">
        <v>-2.39362371782518</v>
      </c>
      <c r="AG6903">
        <v>-1.1118284941000001</v>
      </c>
      <c r="AH6903">
        <v>26.867971929242</v>
      </c>
      <c r="AI6903">
        <v>92.360277935419305</v>
      </c>
      <c r="AJ6903">
        <v>95.090947262055195</v>
      </c>
      <c r="AK6903">
        <v>26.997287135809898</v>
      </c>
      <c r="AL6903">
        <v>86.921424987964897</v>
      </c>
      <c r="AM6903">
        <v>92.944157124595804</v>
      </c>
      <c r="AN6903">
        <v>1.00000000329753</v>
      </c>
    </row>
    <row r="6904" spans="1:40" x14ac:dyDescent="0.25">
      <c r="A6904" t="str">
        <f>"20190312160507334"</f>
        <v>20190312160507334</v>
      </c>
      <c r="B6904" t="str">
        <f>"1552377907321624"</f>
        <v>1552377907321624</v>
      </c>
      <c r="C6904" t="s">
        <v>40</v>
      </c>
      <c r="D6904">
        <v>5.8836110000000001</v>
      </c>
      <c r="E6904">
        <v>0.48223129999999997</v>
      </c>
      <c r="F6904" t="s">
        <v>81</v>
      </c>
      <c r="G6904">
        <v>-302.05790000000002</v>
      </c>
      <c r="H6904" s="1">
        <v>-4.3803040000000003E-6</v>
      </c>
      <c r="I6904">
        <v>-47.506880000000002</v>
      </c>
      <c r="J6904">
        <v>-299.70100000000002</v>
      </c>
      <c r="K6904">
        <v>1.111809</v>
      </c>
      <c r="L6904">
        <v>-18.80743</v>
      </c>
      <c r="M6904">
        <v>-0.173431</v>
      </c>
      <c r="N6904">
        <v>0</v>
      </c>
      <c r="O6904">
        <v>-0.98474740000000005</v>
      </c>
      <c r="P6904">
        <v>-0.1221444</v>
      </c>
      <c r="Q6904">
        <v>3.9202470000000003E-2</v>
      </c>
      <c r="R6904">
        <v>-0.99173829999999996</v>
      </c>
      <c r="S6904">
        <v>-0.24859619999999999</v>
      </c>
      <c r="T6904">
        <v>-0.1151837</v>
      </c>
      <c r="U6904">
        <v>-2.9994200000000002</v>
      </c>
      <c r="V6904">
        <v>-5.1904980000000003E-2</v>
      </c>
      <c r="W6904">
        <v>5.2938329999999999E-2</v>
      </c>
      <c r="X6904">
        <v>0.99724789999999996</v>
      </c>
      <c r="Y6904">
        <v>-9.1567140000000005E-2</v>
      </c>
      <c r="Z6904">
        <v>3.7359089999999998E-2</v>
      </c>
      <c r="AA6904">
        <v>0.99509789999999998</v>
      </c>
      <c r="AB6904">
        <v>26</v>
      </c>
      <c r="AC6904">
        <v>-2.3569000000000502</v>
      </c>
      <c r="AD6904">
        <v>-1.111813380304</v>
      </c>
      <c r="AE6904">
        <v>-28.699449999999899</v>
      </c>
      <c r="AF6904">
        <v>-2.6527267183343102</v>
      </c>
      <c r="AG6904">
        <v>-1.111813380304</v>
      </c>
      <c r="AH6904">
        <v>28.630572961468399</v>
      </c>
      <c r="AI6904">
        <v>92.214379203170793</v>
      </c>
      <c r="AJ6904">
        <v>95.293549049623806</v>
      </c>
      <c r="AK6904">
        <v>28.774690200534799</v>
      </c>
      <c r="AL6904">
        <v>86.965438564291802</v>
      </c>
      <c r="AM6904">
        <v>92.979454922461898</v>
      </c>
      <c r="AN6904">
        <v>0.999999983893199</v>
      </c>
    </row>
    <row r="6905" spans="1:40" x14ac:dyDescent="0.25">
      <c r="A6905" t="str">
        <f>"20190312160507356"</f>
        <v>20190312160507356</v>
      </c>
      <c r="B6905" t="str">
        <f>"1552377907351880"</f>
        <v>1552377907351880</v>
      </c>
      <c r="C6905" t="s">
        <v>40</v>
      </c>
      <c r="D6905">
        <v>5.7942309999999999</v>
      </c>
      <c r="E6905">
        <v>0.48109570000000001</v>
      </c>
      <c r="F6905" t="s">
        <v>81</v>
      </c>
      <c r="G6905">
        <v>-301.923</v>
      </c>
      <c r="H6905" s="1">
        <v>-4.3196169999999999E-6</v>
      </c>
      <c r="I6905">
        <v>-47.40314</v>
      </c>
      <c r="J6905">
        <v>-299.74340000000001</v>
      </c>
      <c r="K6905">
        <v>1.111785</v>
      </c>
      <c r="L6905">
        <v>-19.062159999999999</v>
      </c>
      <c r="M6905">
        <v>-0.1713971</v>
      </c>
      <c r="N6905">
        <v>0</v>
      </c>
      <c r="O6905">
        <v>-0.98510330000000002</v>
      </c>
      <c r="P6905">
        <v>-0.1195686</v>
      </c>
      <c r="Q6905">
        <v>3.5549810000000001E-2</v>
      </c>
      <c r="R6905">
        <v>-0.9921894</v>
      </c>
      <c r="S6905">
        <v>-0.2331848</v>
      </c>
      <c r="T6905">
        <v>-0.11667569999999999</v>
      </c>
      <c r="U6905">
        <v>-3.0008849999999998</v>
      </c>
      <c r="V6905">
        <v>-5.2445489999999997E-2</v>
      </c>
      <c r="W6905">
        <v>4.9284340000000003E-2</v>
      </c>
      <c r="X6905">
        <v>0.99740689999999999</v>
      </c>
      <c r="Y6905">
        <v>-9.462951E-2</v>
      </c>
      <c r="Z6905">
        <v>3.7846640000000001E-2</v>
      </c>
      <c r="AA6905">
        <v>0.99479289999999998</v>
      </c>
      <c r="AB6905">
        <v>26</v>
      </c>
      <c r="AC6905">
        <v>-2.17959999999999</v>
      </c>
      <c r="AD6905">
        <v>-1.1117893196169999</v>
      </c>
      <c r="AE6905">
        <v>-28.340979999999998</v>
      </c>
      <c r="AF6905">
        <v>-2.7065536170138</v>
      </c>
      <c r="AG6905">
        <v>-1.1117893196169999</v>
      </c>
      <c r="AH6905">
        <v>28.251900495468501</v>
      </c>
      <c r="AI6905">
        <v>92.243322019361997</v>
      </c>
      <c r="AJ6905">
        <v>95.472279021621006</v>
      </c>
      <c r="AK6905">
        <v>28.4030172618832</v>
      </c>
      <c r="AL6905">
        <v>87.175070933453398</v>
      </c>
      <c r="AM6905">
        <v>93.009945535709704</v>
      </c>
      <c r="AN6905">
        <v>0.99999999987909205</v>
      </c>
    </row>
    <row r="6906" spans="1:40" x14ac:dyDescent="0.25">
      <c r="A6906" t="str">
        <f>"20190312160507378"</f>
        <v>20190312160507378</v>
      </c>
      <c r="B6906" t="str">
        <f>"1552377907372376"</f>
        <v>1552377907372376</v>
      </c>
      <c r="C6906" t="s">
        <v>40</v>
      </c>
      <c r="D6906">
        <v>6.9747039999999902</v>
      </c>
      <c r="E6906">
        <v>0.4803751</v>
      </c>
      <c r="F6906" t="s">
        <v>81</v>
      </c>
      <c r="G6906">
        <v>-301.57810000000001</v>
      </c>
      <c r="H6906" s="1">
        <v>-2.8413179999999999E-6</v>
      </c>
      <c r="I6906">
        <v>-44.501300000000001</v>
      </c>
      <c r="J6906">
        <v>-299.78399999999999</v>
      </c>
      <c r="K6906">
        <v>1.1117840000000001</v>
      </c>
      <c r="L6906">
        <v>-19.30884</v>
      </c>
      <c r="M6906">
        <v>-0.16942960000000001</v>
      </c>
      <c r="N6906">
        <v>0</v>
      </c>
      <c r="O6906">
        <v>-0.98544379999999998</v>
      </c>
      <c r="P6906">
        <v>-0.1165461</v>
      </c>
      <c r="Q6906">
        <v>3.5677859999999999E-2</v>
      </c>
      <c r="R6906">
        <v>-0.9925446</v>
      </c>
      <c r="S6906">
        <v>-0.2165222</v>
      </c>
      <c r="T6906">
        <v>-0.13120889999999999</v>
      </c>
      <c r="U6906">
        <v>-3.0022280000000001</v>
      </c>
      <c r="V6906">
        <v>-5.3491450000000003E-2</v>
      </c>
      <c r="W6906">
        <v>4.9406739999999998E-2</v>
      </c>
      <c r="X6906">
        <v>0.99734529999999999</v>
      </c>
      <c r="Y6906">
        <v>-9.8179390000000005E-2</v>
      </c>
      <c r="Z6906">
        <v>4.255681E-2</v>
      </c>
      <c r="AA6906">
        <v>0.99425839999999999</v>
      </c>
      <c r="AB6906">
        <v>26</v>
      </c>
      <c r="AC6906">
        <v>-1.79410000000001</v>
      </c>
      <c r="AD6906">
        <v>-1.1117868413179901</v>
      </c>
      <c r="AE6906">
        <v>-25.192460000000001</v>
      </c>
      <c r="AF6906">
        <v>-2.4957701715401801</v>
      </c>
      <c r="AG6906">
        <v>-1.1117868413179901</v>
      </c>
      <c r="AH6906">
        <v>25.083560236380499</v>
      </c>
      <c r="AI6906">
        <v>92.525424825731704</v>
      </c>
      <c r="AJ6906">
        <v>95.682127806094499</v>
      </c>
      <c r="AK6906">
        <v>25.2319228926732</v>
      </c>
      <c r="AL6906">
        <v>87.168049388689298</v>
      </c>
      <c r="AM6906">
        <v>93.070050695251496</v>
      </c>
      <c r="AN6906">
        <v>1.00000000430631</v>
      </c>
    </row>
    <row r="6907" spans="1:40" x14ac:dyDescent="0.25">
      <c r="A6907" t="str">
        <f>"20190312160507400"</f>
        <v>20190312160507400</v>
      </c>
      <c r="B6907" t="str">
        <f>"1552377907391909"</f>
        <v>1552377907391909</v>
      </c>
      <c r="C6907" t="s">
        <v>40</v>
      </c>
      <c r="D6907">
        <v>5.8316939999999997</v>
      </c>
      <c r="E6907">
        <v>0.47971520000000001</v>
      </c>
      <c r="F6907" t="s">
        <v>81</v>
      </c>
      <c r="G6907">
        <v>-301.50650000000002</v>
      </c>
      <c r="H6907" s="1">
        <v>-3.1674209999999999E-6</v>
      </c>
      <c r="I6907">
        <v>-45.03004</v>
      </c>
      <c r="J6907">
        <v>-299.82409999999999</v>
      </c>
      <c r="K6907">
        <v>1.111777</v>
      </c>
      <c r="L6907">
        <v>-19.555209999999999</v>
      </c>
      <c r="M6907">
        <v>-0.16746429999999901</v>
      </c>
      <c r="N6907">
        <v>0</v>
      </c>
      <c r="O6907">
        <v>-0.98577979999999998</v>
      </c>
      <c r="P6907">
        <v>-0.1134067</v>
      </c>
      <c r="Q6907">
        <v>3.6659009999999999E-2</v>
      </c>
      <c r="R6907">
        <v>-0.99287250000000005</v>
      </c>
      <c r="S6907">
        <v>-0.2011414</v>
      </c>
      <c r="T6907">
        <v>-0.12982930000000001</v>
      </c>
      <c r="U6907">
        <v>-3.0036010000000002</v>
      </c>
      <c r="V6907">
        <v>-5.4653420000000001E-2</v>
      </c>
      <c r="W6907">
        <v>5.0380649999999999E-2</v>
      </c>
      <c r="X6907">
        <v>0.99723360000000005</v>
      </c>
      <c r="Y6907">
        <v>-0.1012926</v>
      </c>
      <c r="Z6907">
        <v>4.2113249999999998E-2</v>
      </c>
      <c r="AA6907">
        <v>0.99396490000000004</v>
      </c>
      <c r="AB6907">
        <v>26</v>
      </c>
      <c r="AC6907">
        <v>-1.6824000000000201</v>
      </c>
      <c r="AD6907">
        <v>-1.1117801674209999</v>
      </c>
      <c r="AE6907">
        <v>-25.474829999999901</v>
      </c>
      <c r="AF6907">
        <v>-2.6029652693324898</v>
      </c>
      <c r="AG6907">
        <v>-1.1117801674209999</v>
      </c>
      <c r="AH6907">
        <v>25.348706262127401</v>
      </c>
      <c r="AI6907">
        <v>92.498231585853404</v>
      </c>
      <c r="AJ6907">
        <v>95.862942937892797</v>
      </c>
      <c r="AK6907">
        <v>25.506242226122598</v>
      </c>
      <c r="AL6907">
        <v>87.112178942323496</v>
      </c>
      <c r="AM6907">
        <v>93.136958863676199</v>
      </c>
      <c r="AN6907">
        <v>1.00000002959053</v>
      </c>
    </row>
    <row r="6908" spans="1:40" x14ac:dyDescent="0.25">
      <c r="A6908" t="str">
        <f>"20190312160507423"</f>
        <v>20190312160507423</v>
      </c>
      <c r="B6908" t="str">
        <f>"1552377907412392"</f>
        <v>1552377907412392</v>
      </c>
      <c r="C6908" t="s">
        <v>40</v>
      </c>
      <c r="D6908">
        <v>5.8808989999999897</v>
      </c>
      <c r="E6908">
        <v>0.47928320000000002</v>
      </c>
      <c r="F6908" t="s">
        <v>81</v>
      </c>
      <c r="G6908">
        <v>-301.42230000000001</v>
      </c>
      <c r="H6908" s="1">
        <v>-3.3242759999999998E-6</v>
      </c>
      <c r="I6908">
        <v>-45.295250000000003</v>
      </c>
      <c r="J6908">
        <v>-299.86509999999998</v>
      </c>
      <c r="K6908">
        <v>1.111769</v>
      </c>
      <c r="L6908">
        <v>-19.811039999999998</v>
      </c>
      <c r="M6908">
        <v>-0.16542089999999901</v>
      </c>
      <c r="N6908">
        <v>0</v>
      </c>
      <c r="O6908">
        <v>-0.98612460000000002</v>
      </c>
      <c r="P6908">
        <v>-0.1105005</v>
      </c>
      <c r="Q6908">
        <v>3.6273519999999997E-2</v>
      </c>
      <c r="R6908">
        <v>-0.99321389999999998</v>
      </c>
      <c r="S6908">
        <v>-0.18658449999999999</v>
      </c>
      <c r="T6908">
        <v>-0.1297941</v>
      </c>
      <c r="U6908">
        <v>-3.0050050000000001</v>
      </c>
      <c r="V6908">
        <v>-5.5506149999999997E-2</v>
      </c>
      <c r="W6908">
        <v>4.9990140000000002E-2</v>
      </c>
      <c r="X6908">
        <v>0.99720620000000004</v>
      </c>
      <c r="Y6908">
        <v>-0.10405639999999899</v>
      </c>
      <c r="Z6908">
        <v>4.210477E-2</v>
      </c>
      <c r="AA6908">
        <v>0.9936798</v>
      </c>
      <c r="AB6908">
        <v>25</v>
      </c>
      <c r="AC6908">
        <v>-1.5572000000000199</v>
      </c>
      <c r="AD6908">
        <v>-1.111772324276</v>
      </c>
      <c r="AE6908">
        <v>-25.484210000000001</v>
      </c>
      <c r="AF6908">
        <v>-2.6752154062611302</v>
      </c>
      <c r="AG6908">
        <v>-1.111772324276</v>
      </c>
      <c r="AH6908">
        <v>25.342612171337901</v>
      </c>
      <c r="AI6908">
        <v>92.498074836862898</v>
      </c>
      <c r="AJ6908">
        <v>96.025937004357601</v>
      </c>
      <c r="AK6908">
        <v>25.507661728150701</v>
      </c>
      <c r="AL6908">
        <v>87.134581879246497</v>
      </c>
      <c r="AM6908">
        <v>93.185890574849594</v>
      </c>
      <c r="AN6908">
        <v>1.00000007605173</v>
      </c>
    </row>
    <row r="6909" spans="1:40" x14ac:dyDescent="0.25">
      <c r="A6909" t="str">
        <f>"20190312160507446"</f>
        <v>20190312160507446</v>
      </c>
      <c r="B6909" t="str">
        <f>"1552377907441674"</f>
        <v>1552377907441674</v>
      </c>
      <c r="C6909" t="s">
        <v>40</v>
      </c>
      <c r="D6909">
        <v>5.8701499999999998</v>
      </c>
      <c r="E6909">
        <v>0.47872239999999999</v>
      </c>
      <c r="F6909" t="s">
        <v>81</v>
      </c>
      <c r="G6909">
        <v>-301.27109999999999</v>
      </c>
      <c r="H6909" s="1">
        <v>-2.4891859999999999E-6</v>
      </c>
      <c r="I6909">
        <v>-44.014569999999999</v>
      </c>
      <c r="J6909">
        <v>-299.9051</v>
      </c>
      <c r="K6909">
        <v>1.111758</v>
      </c>
      <c r="L6909">
        <v>-20.06335</v>
      </c>
      <c r="M6909">
        <v>-0.16340389999999999</v>
      </c>
      <c r="N6909">
        <v>0</v>
      </c>
      <c r="O6909">
        <v>-0.98646089999999997</v>
      </c>
      <c r="P6909">
        <v>-0.1074461</v>
      </c>
      <c r="Q6909">
        <v>3.5301039999999999E-2</v>
      </c>
      <c r="R6909">
        <v>-0.99358420000000003</v>
      </c>
      <c r="S6909">
        <v>-0.17462159999999999</v>
      </c>
      <c r="T6909">
        <v>-0.13808319999999999</v>
      </c>
      <c r="U6909">
        <v>-3.0061040000000001</v>
      </c>
      <c r="V6909">
        <v>-5.6535009999999997E-2</v>
      </c>
      <c r="W6909">
        <v>4.9012399999999998E-2</v>
      </c>
      <c r="X6909">
        <v>0.99719690000000005</v>
      </c>
      <c r="Y6909">
        <v>-0.10599160000000001</v>
      </c>
      <c r="Z6909">
        <v>4.4795580000000002E-2</v>
      </c>
      <c r="AA6909">
        <v>0.9933575</v>
      </c>
      <c r="AB6909">
        <v>25</v>
      </c>
      <c r="AC6909">
        <v>-1.3659999999999799</v>
      </c>
      <c r="AD6909">
        <v>-1.111760489186</v>
      </c>
      <c r="AE6909">
        <v>-23.951219999999999</v>
      </c>
      <c r="AF6909">
        <v>-2.56096622760482</v>
      </c>
      <c r="AG6909">
        <v>-1.111760489186</v>
      </c>
      <c r="AH6909">
        <v>23.801350075029902</v>
      </c>
      <c r="AI6909">
        <v>92.659015135599404</v>
      </c>
      <c r="AJ6909">
        <v>96.141256903420896</v>
      </c>
      <c r="AK6909">
        <v>23.9645326430201</v>
      </c>
      <c r="AL6909">
        <v>87.190670913315799</v>
      </c>
      <c r="AM6909">
        <v>93.244849283081706</v>
      </c>
      <c r="AN6909">
        <v>1.0000000400395299</v>
      </c>
    </row>
    <row r="6910" spans="1:40" x14ac:dyDescent="0.25">
      <c r="A6910" t="str">
        <f>"20190312160507468"</f>
        <v>20190312160507468</v>
      </c>
      <c r="B6910" t="str">
        <f>"1552377907462169"</f>
        <v>1552377907462169</v>
      </c>
      <c r="C6910" t="s">
        <v>40</v>
      </c>
      <c r="D6910">
        <v>5.820182</v>
      </c>
      <c r="E6910">
        <v>0.47844140000000002</v>
      </c>
      <c r="F6910" t="s">
        <v>81</v>
      </c>
      <c r="G6910">
        <v>-301.0994</v>
      </c>
      <c r="H6910" s="1">
        <v>-1.4095579999999999E-6</v>
      </c>
      <c r="I6910">
        <v>-42.353650000000002</v>
      </c>
      <c r="J6910">
        <v>-299.9434</v>
      </c>
      <c r="K6910">
        <v>1.1117539999999999</v>
      </c>
      <c r="L6910">
        <v>-20.308199999999999</v>
      </c>
      <c r="M6910">
        <v>-0.16144549999999999</v>
      </c>
      <c r="N6910">
        <v>0</v>
      </c>
      <c r="O6910">
        <v>-0.98678350000000004</v>
      </c>
      <c r="P6910">
        <v>-0.10546469999999999</v>
      </c>
      <c r="Q6910">
        <v>3.4509650000000003E-2</v>
      </c>
      <c r="R6910">
        <v>-0.99382440000000005</v>
      </c>
      <c r="S6910">
        <v>-0.16113279999999999</v>
      </c>
      <c r="T6910">
        <v>-0.14999129999999899</v>
      </c>
      <c r="U6910">
        <v>-3.007263</v>
      </c>
      <c r="V6910">
        <v>-5.6545270000000002E-2</v>
      </c>
      <c r="W6910">
        <v>4.8219869999999998E-2</v>
      </c>
      <c r="X6910">
        <v>0.99723490000000004</v>
      </c>
      <c r="Y6910">
        <v>-0.108491</v>
      </c>
      <c r="Z6910">
        <v>4.865415E-2</v>
      </c>
      <c r="AA6910">
        <v>0.99290610000000001</v>
      </c>
      <c r="AB6910">
        <v>25</v>
      </c>
      <c r="AC6910">
        <v>-1.1559999999999999</v>
      </c>
      <c r="AD6910">
        <v>-1.111755409558</v>
      </c>
      <c r="AE6910">
        <v>-22.045449999999999</v>
      </c>
      <c r="AF6910">
        <v>-2.4125324701111199</v>
      </c>
      <c r="AG6910">
        <v>-1.111755409558</v>
      </c>
      <c r="AH6910">
        <v>21.887331066831099</v>
      </c>
      <c r="AI6910">
        <v>92.890334562066698</v>
      </c>
      <c r="AJ6910">
        <v>96.290039234758794</v>
      </c>
      <c r="AK6910">
        <v>22.0479380949579</v>
      </c>
      <c r="AL6910">
        <v>87.2361331410861</v>
      </c>
      <c r="AM6910">
        <v>93.245313496944704</v>
      </c>
      <c r="AN6910">
        <v>0.99999998460009898</v>
      </c>
    </row>
    <row r="6911" spans="1:40" x14ac:dyDescent="0.25">
      <c r="A6911" t="str">
        <f>"20190312160507490"</f>
        <v>20190312160507490</v>
      </c>
      <c r="B6911" t="str">
        <f>"1552377907481689"</f>
        <v>1552377907481689</v>
      </c>
      <c r="C6911" t="s">
        <v>40</v>
      </c>
      <c r="D6911">
        <v>5.8066269999999998</v>
      </c>
      <c r="E6911">
        <v>0.47822170000000003</v>
      </c>
      <c r="F6911" t="s">
        <v>81</v>
      </c>
      <c r="G6911">
        <v>-301.01519999999999</v>
      </c>
      <c r="H6911" s="1">
        <v>-8.212273E-7</v>
      </c>
      <c r="I6911">
        <v>-41.4465</v>
      </c>
      <c r="J6911">
        <v>-299.98160000000001</v>
      </c>
      <c r="K6911">
        <v>1.1117520000000001</v>
      </c>
      <c r="L6911">
        <v>-20.5564</v>
      </c>
      <c r="M6911">
        <v>-0.1594602</v>
      </c>
      <c r="N6911">
        <v>0</v>
      </c>
      <c r="O6911">
        <v>-0.98710629999999999</v>
      </c>
      <c r="P6911">
        <v>-0.10359989999999999</v>
      </c>
      <c r="Q6911">
        <v>3.3163060000000001E-2</v>
      </c>
      <c r="R6911">
        <v>-0.99406640000000002</v>
      </c>
      <c r="S6911">
        <v>-0.15252689999999999</v>
      </c>
      <c r="T6911">
        <v>-0.15820029999999999</v>
      </c>
      <c r="U6911">
        <v>-3.0079349999999998</v>
      </c>
      <c r="V6911">
        <v>-5.641289E-2</v>
      </c>
      <c r="W6911">
        <v>4.687243E-2</v>
      </c>
      <c r="X6911">
        <v>0.99730660000000004</v>
      </c>
      <c r="Y6911">
        <v>-0.109343</v>
      </c>
      <c r="Z6911">
        <v>5.1325099999999999E-2</v>
      </c>
      <c r="AA6911">
        <v>0.99267810000000001</v>
      </c>
      <c r="AB6911">
        <v>25</v>
      </c>
      <c r="AC6911">
        <v>-1.0335999999999701</v>
      </c>
      <c r="AD6911">
        <v>-1.1117528212273</v>
      </c>
      <c r="AE6911">
        <v>-20.8901</v>
      </c>
      <c r="AF6911">
        <v>-2.30457891180157</v>
      </c>
      <c r="AG6911">
        <v>-1.1117528212273</v>
      </c>
      <c r="AH6911">
        <v>20.729012793482202</v>
      </c>
      <c r="AI6911">
        <v>93.051222635291694</v>
      </c>
      <c r="AJ6911">
        <v>96.343892048778798</v>
      </c>
      <c r="AK6911">
        <v>20.886336435300901</v>
      </c>
      <c r="AL6911">
        <v>87.313423083000302</v>
      </c>
      <c r="AM6911">
        <v>93.237499692088093</v>
      </c>
      <c r="AN6911">
        <v>0.99999994662790703</v>
      </c>
    </row>
    <row r="6912" spans="1:40" x14ac:dyDescent="0.25">
      <c r="A6912" t="str">
        <f>"20190312160507511"</f>
        <v>20190312160507511</v>
      </c>
      <c r="B6912" t="str">
        <f>"1552377907502186"</f>
        <v>1552377907502186</v>
      </c>
      <c r="C6912" t="s">
        <v>40</v>
      </c>
      <c r="D6912">
        <v>5.7790980000000003</v>
      </c>
      <c r="E6912">
        <v>0.4780491</v>
      </c>
      <c r="F6912" t="s">
        <v>81</v>
      </c>
      <c r="G6912">
        <v>-300.94080000000002</v>
      </c>
      <c r="H6912" s="1">
        <v>-2.71133E-7</v>
      </c>
      <c r="I6912">
        <v>-40.412860000000002</v>
      </c>
      <c r="J6912">
        <v>-300.01900000000001</v>
      </c>
      <c r="K6912">
        <v>1.111748</v>
      </c>
      <c r="L6912">
        <v>-20.802610000000001</v>
      </c>
      <c r="M6912">
        <v>-0.15749070000000001</v>
      </c>
      <c r="N6912">
        <v>0</v>
      </c>
      <c r="O6912">
        <v>-0.98742229999999998</v>
      </c>
      <c r="P6912">
        <v>-0.1015329</v>
      </c>
      <c r="Q6912">
        <v>3.2625229999999998E-2</v>
      </c>
      <c r="R6912">
        <v>-0.99429719999999999</v>
      </c>
      <c r="S6912">
        <v>-0.1453247</v>
      </c>
      <c r="T6912">
        <v>-0.16843820000000001</v>
      </c>
      <c r="U6912">
        <v>-3.0083920000000002</v>
      </c>
      <c r="V6912">
        <v>-5.6497070000000003E-2</v>
      </c>
      <c r="W6912">
        <v>4.6332760000000001E-2</v>
      </c>
      <c r="X6912">
        <v>0.99732710000000002</v>
      </c>
      <c r="Y6912">
        <v>-0.10974689999999999</v>
      </c>
      <c r="Z6912">
        <v>5.4656669999999997E-2</v>
      </c>
      <c r="AA6912">
        <v>0.99245570000000005</v>
      </c>
      <c r="AB6912">
        <v>25</v>
      </c>
      <c r="AC6912">
        <v>-0.92180000000001805</v>
      </c>
      <c r="AD6912">
        <v>-1.111748271133</v>
      </c>
      <c r="AE6912">
        <v>-19.610249999999901</v>
      </c>
      <c r="AF6912">
        <v>-2.1714735705011798</v>
      </c>
      <c r="AG6912">
        <v>-1.111748271133</v>
      </c>
      <c r="AH6912">
        <v>19.4482954230877</v>
      </c>
      <c r="AI6912">
        <v>93.251551466933904</v>
      </c>
      <c r="AJ6912">
        <v>96.370897180111498</v>
      </c>
      <c r="AK6912">
        <v>19.600700919851</v>
      </c>
      <c r="AL6912">
        <v>87.344377655938104</v>
      </c>
      <c r="AM6912">
        <v>93.242253925479901</v>
      </c>
      <c r="AN6912">
        <v>0.99999999398110595</v>
      </c>
    </row>
    <row r="6913" spans="1:40" x14ac:dyDescent="0.25">
      <c r="A6913" t="str">
        <f>"20190312160507535"</f>
        <v>20190312160507535</v>
      </c>
      <c r="B6913" t="str">
        <f>"1552377907532441"</f>
        <v>1552377907532441</v>
      </c>
      <c r="C6913" t="s">
        <v>40</v>
      </c>
      <c r="D6913">
        <v>5.8208719999999996</v>
      </c>
      <c r="E6913">
        <v>0.47772360000000003</v>
      </c>
      <c r="F6913" t="s">
        <v>41</v>
      </c>
      <c r="G6913">
        <v>-300.88319999999999</v>
      </c>
      <c r="H6913" s="1">
        <v>-5.5129390000000002E-7</v>
      </c>
      <c r="I6913">
        <v>-39.673580000000001</v>
      </c>
      <c r="J6913">
        <v>-300.05700000000002</v>
      </c>
      <c r="K6913">
        <v>1.1117379999999999</v>
      </c>
      <c r="L6913">
        <v>-21.055540000000001</v>
      </c>
      <c r="M6913">
        <v>-0.15546869999999999</v>
      </c>
      <c r="N6913">
        <v>0</v>
      </c>
      <c r="O6913">
        <v>-0.98774260000000003</v>
      </c>
      <c r="P6913">
        <v>-9.9860619999999997E-2</v>
      </c>
      <c r="Q6913">
        <v>3.2056950000000001E-2</v>
      </c>
      <c r="R6913">
        <v>-0.9944849</v>
      </c>
      <c r="S6913">
        <v>-0.13778689999999999</v>
      </c>
      <c r="T6913">
        <v>-0.17726639999999999</v>
      </c>
      <c r="U6913">
        <v>-3.0089419999999998</v>
      </c>
      <c r="V6913">
        <v>-5.6132349999999998E-2</v>
      </c>
      <c r="W6913">
        <v>4.5764489999999998E-2</v>
      </c>
      <c r="X6913">
        <v>0.99737390000000004</v>
      </c>
      <c r="Y6913">
        <v>-0.11020870000000001</v>
      </c>
      <c r="Z6913">
        <v>5.7531270000000002E-2</v>
      </c>
      <c r="AA6913">
        <v>0.99224199999999996</v>
      </c>
      <c r="AB6913">
        <v>25</v>
      </c>
      <c r="AC6913">
        <v>-0.82619999999997096</v>
      </c>
      <c r="AD6913">
        <v>-1.11173855129389</v>
      </c>
      <c r="AE6913">
        <v>-18.618040000000001</v>
      </c>
      <c r="AF6913">
        <v>-2.0712802959218601</v>
      </c>
      <c r="AG6913">
        <v>-1.11173855129389</v>
      </c>
      <c r="AH6913">
        <v>18.454403953525301</v>
      </c>
      <c r="AI6913">
        <v>93.426011825850793</v>
      </c>
      <c r="AJ6913">
        <v>96.403946797771894</v>
      </c>
      <c r="AK6913">
        <v>18.603526277310898</v>
      </c>
      <c r="AL6913">
        <v>87.376971623222602</v>
      </c>
      <c r="AM6913">
        <v>93.221216758610595</v>
      </c>
      <c r="AN6913">
        <v>0.99999996283134496</v>
      </c>
    </row>
    <row r="6914" spans="1:40" x14ac:dyDescent="0.25">
      <c r="A6914" t="str">
        <f>"20190312160507557"</f>
        <v>20190312160507557</v>
      </c>
      <c r="B6914" t="str">
        <f>"1552377907551961"</f>
        <v>1552377907551961</v>
      </c>
      <c r="C6914" t="s">
        <v>40</v>
      </c>
      <c r="D6914">
        <v>5.8581849999999998</v>
      </c>
      <c r="E6914">
        <v>0.47741460000000002</v>
      </c>
      <c r="F6914" t="s">
        <v>41</v>
      </c>
      <c r="G6914">
        <v>-300.83620000000002</v>
      </c>
      <c r="H6914" s="1">
        <v>-8.2013839999999995E-7</v>
      </c>
      <c r="I6914">
        <v>-39.017760000000003</v>
      </c>
      <c r="J6914">
        <v>-300.09390000000002</v>
      </c>
      <c r="K6914">
        <v>1.1117300000000001</v>
      </c>
      <c r="L6914">
        <v>-21.30481</v>
      </c>
      <c r="M6914">
        <v>-0.15347659999999999</v>
      </c>
      <c r="N6914">
        <v>0</v>
      </c>
      <c r="O6914">
        <v>-0.98805430000000005</v>
      </c>
      <c r="P6914">
        <v>-9.819116E-2</v>
      </c>
      <c r="Q6914">
        <v>3.1965309999999997E-2</v>
      </c>
      <c r="R6914">
        <v>-0.9946545</v>
      </c>
      <c r="S6914">
        <v>-0.13055419999999901</v>
      </c>
      <c r="T6914">
        <v>-0.18626880000000001</v>
      </c>
      <c r="U6914">
        <v>-3.0095209999999999</v>
      </c>
      <c r="V6914">
        <v>-5.5794919999999998E-2</v>
      </c>
      <c r="W6914">
        <v>4.5672089999999999E-2</v>
      </c>
      <c r="X6914">
        <v>0.99739710000000004</v>
      </c>
      <c r="Y6914">
        <v>-0.1106005</v>
      </c>
      <c r="Z6914">
        <v>6.0461189999999998E-2</v>
      </c>
      <c r="AA6914">
        <v>0.99202420000000002</v>
      </c>
      <c r="AB6914">
        <v>25</v>
      </c>
      <c r="AC6914">
        <v>-0.74229999999999996</v>
      </c>
      <c r="AD6914">
        <v>-1.1117308201384</v>
      </c>
      <c r="AE6914">
        <v>-17.7129499999999</v>
      </c>
      <c r="AF6914">
        <v>-1.9775065462841399</v>
      </c>
      <c r="AG6914">
        <v>-1.1117308201384</v>
      </c>
      <c r="AH6914">
        <v>17.547982464219999</v>
      </c>
      <c r="AI6914">
        <v>93.602317994826507</v>
      </c>
      <c r="AJ6914">
        <v>96.429615321754596</v>
      </c>
      <c r="AK6914">
        <v>17.694014980258501</v>
      </c>
      <c r="AL6914">
        <v>87.382271376568497</v>
      </c>
      <c r="AM6914">
        <v>93.201819054750004</v>
      </c>
      <c r="AN6914">
        <v>0.99999999399559203</v>
      </c>
    </row>
    <row r="6915" spans="1:40" x14ac:dyDescent="0.25">
      <c r="A6915" t="str">
        <f>"20190312160507579"</f>
        <v>20190312160507579</v>
      </c>
      <c r="B6915" t="str">
        <f>"1552377907572456"</f>
        <v>1552377907572456</v>
      </c>
      <c r="C6915" t="s">
        <v>40</v>
      </c>
      <c r="D6915">
        <v>5.8884129999999999</v>
      </c>
      <c r="E6915">
        <v>0.47707450000000001</v>
      </c>
      <c r="F6915" t="s">
        <v>41</v>
      </c>
      <c r="G6915">
        <v>-300.84449999999998</v>
      </c>
      <c r="H6915" s="1">
        <v>-5.4484260000000001E-7</v>
      </c>
      <c r="I6915">
        <v>-39.664610000000003</v>
      </c>
      <c r="J6915">
        <v>-300.13</v>
      </c>
      <c r="K6915">
        <v>1.11172</v>
      </c>
      <c r="L6915">
        <v>-21.552150000000001</v>
      </c>
      <c r="M6915">
        <v>-0.15150089999999999</v>
      </c>
      <c r="N6915">
        <v>0</v>
      </c>
      <c r="O6915">
        <v>-0.98835899999999999</v>
      </c>
      <c r="P6915">
        <v>-9.5681230000000006E-2</v>
      </c>
      <c r="Q6915">
        <v>3.2134450000000002E-2</v>
      </c>
      <c r="R6915">
        <v>-0.99489300000000003</v>
      </c>
      <c r="S6915">
        <v>-0.1230469</v>
      </c>
      <c r="T6915">
        <v>-0.18225240000000001</v>
      </c>
      <c r="U6915">
        <v>-3.009827</v>
      </c>
      <c r="V6915">
        <v>-5.6317159999999998E-2</v>
      </c>
      <c r="W6915">
        <v>4.5837370000000002E-2</v>
      </c>
      <c r="X6915">
        <v>0.99736020000000003</v>
      </c>
      <c r="Y6915">
        <v>-0.11108469999999999</v>
      </c>
      <c r="Z6915">
        <v>5.9185260000000003E-2</v>
      </c>
      <c r="AA6915">
        <v>0.99204700000000001</v>
      </c>
      <c r="AB6915">
        <v>25</v>
      </c>
      <c r="AC6915">
        <v>-0.71449999999998604</v>
      </c>
      <c r="AD6915">
        <v>-1.1117205448426</v>
      </c>
      <c r="AE6915">
        <v>-18.112459999999899</v>
      </c>
      <c r="AF6915">
        <v>-2.0304316826374702</v>
      </c>
      <c r="AG6915">
        <v>-1.1117205448426</v>
      </c>
      <c r="AH6915">
        <v>17.944110362251301</v>
      </c>
      <c r="AI6915">
        <v>93.522783640775998</v>
      </c>
      <c r="AJ6915">
        <v>96.455736141976402</v>
      </c>
      <c r="AK6915">
        <v>18.092807191818999</v>
      </c>
      <c r="AL6915">
        <v>87.372791690730594</v>
      </c>
      <c r="AM6915">
        <v>93.231844138996806</v>
      </c>
      <c r="AN6915">
        <v>1.00000002777151</v>
      </c>
    </row>
    <row r="6916" spans="1:40" x14ac:dyDescent="0.25">
      <c r="A6916" t="str">
        <f>"20190312160507613"</f>
        <v>20190312160507613</v>
      </c>
      <c r="B6916" t="str">
        <f>"1552377907601736"</f>
        <v>1552377907601736</v>
      </c>
      <c r="C6916" t="s">
        <v>40</v>
      </c>
      <c r="D6916">
        <v>5.6246289999999997</v>
      </c>
      <c r="E6916">
        <v>0.47671740000000001</v>
      </c>
      <c r="F6916" t="s">
        <v>81</v>
      </c>
      <c r="G6916">
        <v>-300.8349</v>
      </c>
      <c r="H6916" s="1">
        <v>-2.3239359999999999E-7</v>
      </c>
      <c r="I6916">
        <v>-40.38523</v>
      </c>
      <c r="J6916">
        <v>-300.18329999999997</v>
      </c>
      <c r="K6916">
        <v>1.1117109999999999</v>
      </c>
      <c r="L6916">
        <v>-21.923950000000001</v>
      </c>
      <c r="M6916">
        <v>-0.1485321</v>
      </c>
      <c r="N6916">
        <v>0</v>
      </c>
      <c r="O6916">
        <v>-0.98880959999999996</v>
      </c>
      <c r="P6916">
        <v>-9.0356729999999996E-2</v>
      </c>
      <c r="Q6916">
        <v>3.3490979999999997E-2</v>
      </c>
      <c r="R6916">
        <v>-0.99534639999999996</v>
      </c>
      <c r="S6916">
        <v>-0.11267089999999901</v>
      </c>
      <c r="T6916">
        <v>-0.17769939999999901</v>
      </c>
      <c r="U6916">
        <v>-3.0103149999999999</v>
      </c>
      <c r="V6916">
        <v>-5.8656510000000002E-2</v>
      </c>
      <c r="W6916">
        <v>4.7180609999999998E-2</v>
      </c>
      <c r="X6916">
        <v>0.99716269999999996</v>
      </c>
      <c r="Y6916">
        <v>-0.1115177</v>
      </c>
      <c r="Z6916">
        <v>5.7744629999999998E-2</v>
      </c>
      <c r="AA6916">
        <v>0.99208339999999995</v>
      </c>
      <c r="AB6916">
        <v>25</v>
      </c>
      <c r="AC6916">
        <v>-0.65160000000003004</v>
      </c>
      <c r="AD6916">
        <v>-1.1117112323936</v>
      </c>
      <c r="AE6916">
        <v>-18.461279999999999</v>
      </c>
      <c r="AF6916">
        <v>-2.0904166587796902</v>
      </c>
      <c r="AG6916">
        <v>-1.1117112323936</v>
      </c>
      <c r="AH6916">
        <v>18.2870216308972</v>
      </c>
      <c r="AI6916">
        <v>93.456410079981097</v>
      </c>
      <c r="AJ6916">
        <v>96.521259448967101</v>
      </c>
      <c r="AK6916">
        <v>18.4396557397484</v>
      </c>
      <c r="AL6916">
        <v>87.295746318801704</v>
      </c>
      <c r="AM6916">
        <v>93.366453825831599</v>
      </c>
      <c r="AN6916">
        <v>1.0000000231983199</v>
      </c>
    </row>
    <row r="6917" spans="1:40" x14ac:dyDescent="0.25">
      <c r="A6917" t="str">
        <f>"20190312160507634"</f>
        <v>20190312160507634</v>
      </c>
      <c r="B6917" t="str">
        <f>"1552377907631993"</f>
        <v>1552377907631993</v>
      </c>
      <c r="C6917" t="s">
        <v>40</v>
      </c>
      <c r="D6917">
        <v>5.9161199999999896</v>
      </c>
      <c r="E6917">
        <v>0.47645850000000001</v>
      </c>
      <c r="F6917" t="s">
        <v>81</v>
      </c>
      <c r="G6917">
        <v>-300.77569999999997</v>
      </c>
      <c r="H6917" s="1">
        <v>-3.964227E-7</v>
      </c>
      <c r="I6917">
        <v>-40.830649999999999</v>
      </c>
      <c r="J6917">
        <v>-300.21749999999997</v>
      </c>
      <c r="K6917">
        <v>1.1117090000000001</v>
      </c>
      <c r="L6917">
        <v>-22.166720000000002</v>
      </c>
      <c r="M6917">
        <v>-0.14659449999999999</v>
      </c>
      <c r="N6917">
        <v>0</v>
      </c>
      <c r="O6917">
        <v>-0.98909879999999994</v>
      </c>
      <c r="P6917">
        <v>-8.6738170000000003E-2</v>
      </c>
      <c r="Q6917">
        <v>3.2919759999999999E-2</v>
      </c>
      <c r="R6917">
        <v>-0.99568730000000005</v>
      </c>
      <c r="S6917">
        <v>-9.4360349999999996E-2</v>
      </c>
      <c r="T6917">
        <v>-0.1770707</v>
      </c>
      <c r="U6917">
        <v>-3.0114139999999998</v>
      </c>
      <c r="V6917">
        <v>-6.0328449999999999E-2</v>
      </c>
      <c r="W6917">
        <v>4.6600929999999999E-2</v>
      </c>
      <c r="X6917">
        <v>0.99709020000000004</v>
      </c>
      <c r="Y6917">
        <v>-0.1156079</v>
      </c>
      <c r="Z6917">
        <v>5.7537610000000003E-2</v>
      </c>
      <c r="AA6917">
        <v>0.99162700000000004</v>
      </c>
      <c r="AB6917">
        <v>25</v>
      </c>
      <c r="AC6917">
        <v>-0.55819999999999903</v>
      </c>
      <c r="AD6917">
        <v>-1.1117093964227001</v>
      </c>
      <c r="AE6917">
        <v>-18.663930000000001</v>
      </c>
      <c r="AF6917">
        <v>-2.1764111109468698</v>
      </c>
      <c r="AG6917">
        <v>-1.1117093964227001</v>
      </c>
      <c r="AH6917">
        <v>18.478592762245999</v>
      </c>
      <c r="AI6917">
        <v>93.419301609823506</v>
      </c>
      <c r="AJ6917">
        <v>96.717357183449195</v>
      </c>
      <c r="AK6917">
        <v>18.639502503524</v>
      </c>
      <c r="AL6917">
        <v>87.328996095403397</v>
      </c>
      <c r="AM6917">
        <v>93.462431867967197</v>
      </c>
      <c r="AN6917">
        <v>1.0000000177461501</v>
      </c>
    </row>
    <row r="6918" spans="1:40" x14ac:dyDescent="0.25">
      <c r="A6918" t="str">
        <f>"20190312160507657"</f>
        <v>20190312160507657</v>
      </c>
      <c r="B6918" t="str">
        <f>"1552377907652488"</f>
        <v>1552377907652488</v>
      </c>
      <c r="C6918" t="s">
        <v>40</v>
      </c>
      <c r="D6918">
        <v>5.9218440000000001</v>
      </c>
      <c r="E6918">
        <v>0.476302</v>
      </c>
      <c r="F6918" t="s">
        <v>41</v>
      </c>
      <c r="G6918">
        <v>-300.70679999999999</v>
      </c>
      <c r="H6918" s="1">
        <v>-2.015977E-7</v>
      </c>
      <c r="I6918">
        <v>-40.379350000000002</v>
      </c>
      <c r="J6918">
        <v>-300.25200000000001</v>
      </c>
      <c r="K6918">
        <v>1.111694</v>
      </c>
      <c r="L6918">
        <v>-22.41525</v>
      </c>
      <c r="M6918">
        <v>-0.14461089999999999</v>
      </c>
      <c r="N6918">
        <v>0</v>
      </c>
      <c r="O6918">
        <v>-0.98939100000000002</v>
      </c>
      <c r="P6918">
        <v>-8.3952730000000003E-2</v>
      </c>
      <c r="Q6918">
        <v>3.1132880000000002E-2</v>
      </c>
      <c r="R6918">
        <v>-0.99598350000000002</v>
      </c>
      <c r="S6918">
        <v>-8.0932619999999997E-2</v>
      </c>
      <c r="T6918">
        <v>-0.18385570000000001</v>
      </c>
      <c r="U6918">
        <v>-3.0120239999999998</v>
      </c>
      <c r="V6918">
        <v>-6.112078E-2</v>
      </c>
      <c r="W6918">
        <v>4.4809420000000003E-2</v>
      </c>
      <c r="X6918">
        <v>0.99712409999999996</v>
      </c>
      <c r="Y6918">
        <v>-0.11804240000000001</v>
      </c>
      <c r="Z6918">
        <v>5.9743940000000002E-2</v>
      </c>
      <c r="AA6918">
        <v>0.99120969999999997</v>
      </c>
      <c r="AB6918">
        <v>25</v>
      </c>
      <c r="AC6918">
        <v>-0.454799999999977</v>
      </c>
      <c r="AD6918">
        <v>-1.1116942015977</v>
      </c>
      <c r="AE6918">
        <v>-17.964099999999998</v>
      </c>
      <c r="AF6918">
        <v>-2.1398474541257602</v>
      </c>
      <c r="AG6918">
        <v>-1.1116942015977</v>
      </c>
      <c r="AH6918">
        <v>17.772990023333001</v>
      </c>
      <c r="AI6918">
        <v>93.5535707710835</v>
      </c>
      <c r="AJ6918">
        <v>96.865300030762199</v>
      </c>
      <c r="AK6918">
        <v>17.935829657261099</v>
      </c>
      <c r="AL6918">
        <v>87.431749538353003</v>
      </c>
      <c r="AM6918">
        <v>93.507674306460999</v>
      </c>
      <c r="AN6918">
        <v>1.0000000523346699</v>
      </c>
    </row>
    <row r="6919" spans="1:40" x14ac:dyDescent="0.25">
      <c r="A6919" t="str">
        <f>"20190312160507679"</f>
        <v>20190312160507679</v>
      </c>
      <c r="B6919" t="str">
        <f>"1552377907672012"</f>
        <v>1552377907672012</v>
      </c>
      <c r="C6919" t="s">
        <v>40</v>
      </c>
      <c r="D6919">
        <v>5.9521509999999997</v>
      </c>
      <c r="E6919">
        <v>0.47608519999999999</v>
      </c>
      <c r="F6919" t="s">
        <v>41</v>
      </c>
      <c r="G6919">
        <v>-300.65940000000001</v>
      </c>
      <c r="H6919" s="1">
        <v>-4.5681119999999998E-7</v>
      </c>
      <c r="I6919">
        <v>-39.755020000000002</v>
      </c>
      <c r="J6919">
        <v>-300.28559999999999</v>
      </c>
      <c r="K6919">
        <v>1.111686</v>
      </c>
      <c r="L6919">
        <v>-22.660520000000002</v>
      </c>
      <c r="M6919">
        <v>-0.142653</v>
      </c>
      <c r="N6919">
        <v>0</v>
      </c>
      <c r="O6919">
        <v>-0.98967519999999998</v>
      </c>
      <c r="P6919">
        <v>-8.1720810000000005E-2</v>
      </c>
      <c r="Q6919">
        <v>2.8694250000000001E-2</v>
      </c>
      <c r="R6919">
        <v>-0.99624259999999998</v>
      </c>
      <c r="S6919">
        <v>-7.0770260000000001E-2</v>
      </c>
      <c r="T6919">
        <v>-0.19311800000000001</v>
      </c>
      <c r="U6919">
        <v>-3.0121769999999999</v>
      </c>
      <c r="V6919">
        <v>-6.1384069999999999E-2</v>
      </c>
      <c r="W6919">
        <v>4.2368429999999999E-2</v>
      </c>
      <c r="X6919">
        <v>0.99721459999999995</v>
      </c>
      <c r="Y6919">
        <v>-0.1194252</v>
      </c>
      <c r="Z6919">
        <v>6.2763120000000006E-2</v>
      </c>
      <c r="AA6919">
        <v>0.9908574</v>
      </c>
      <c r="AB6919">
        <v>25</v>
      </c>
      <c r="AC6919">
        <v>-0.37380000000001701</v>
      </c>
      <c r="AD6919">
        <v>-1.1116864568111999</v>
      </c>
      <c r="AE6919">
        <v>-17.0945</v>
      </c>
      <c r="AF6919">
        <v>-2.06013247581429</v>
      </c>
      <c r="AG6919">
        <v>-1.1116864568111999</v>
      </c>
      <c r="AH6919">
        <v>16.901520690572099</v>
      </c>
      <c r="AI6919">
        <v>93.7356028596747</v>
      </c>
      <c r="AJ6919">
        <v>96.949521663371698</v>
      </c>
      <c r="AK6919">
        <v>17.0628659447937</v>
      </c>
      <c r="AL6919">
        <v>87.571740974776802</v>
      </c>
      <c r="AM6919">
        <v>93.522427452506307</v>
      </c>
      <c r="AN6919">
        <v>1.00000002318179</v>
      </c>
    </row>
    <row r="6920" spans="1:40" x14ac:dyDescent="0.25">
      <c r="A6920" t="str">
        <f>"20190312160507702"</f>
        <v>20190312160507702</v>
      </c>
      <c r="B6920" t="str">
        <f>"1552377907691530"</f>
        <v>1552377907691530</v>
      </c>
      <c r="C6920" t="s">
        <v>40</v>
      </c>
      <c r="D6920">
        <v>5.9178689999999996</v>
      </c>
      <c r="E6920">
        <v>0.4756975</v>
      </c>
      <c r="F6920" t="s">
        <v>41</v>
      </c>
      <c r="G6920">
        <v>-300.62819999999999</v>
      </c>
      <c r="H6920" s="1">
        <v>-5.9937319999999896E-7</v>
      </c>
      <c r="I6920">
        <v>-39.403370000000002</v>
      </c>
      <c r="J6920">
        <v>-300.31869999999998</v>
      </c>
      <c r="K6920">
        <v>1.111675</v>
      </c>
      <c r="L6920">
        <v>-22.906099999999999</v>
      </c>
      <c r="M6920">
        <v>-0.14069189999999901</v>
      </c>
      <c r="N6920">
        <v>0</v>
      </c>
      <c r="O6920">
        <v>-0.98995580000000005</v>
      </c>
      <c r="P6920">
        <v>-7.8787220000000005E-2</v>
      </c>
      <c r="Q6920">
        <v>2.7732619999999999E-2</v>
      </c>
      <c r="R6920">
        <v>-0.99650559999999999</v>
      </c>
      <c r="S6920">
        <v>-6.1645510000000001E-2</v>
      </c>
      <c r="T6920">
        <v>-0.19999159999999999</v>
      </c>
      <c r="U6920">
        <v>-3.0120239999999998</v>
      </c>
      <c r="V6920">
        <v>-6.2345200000000003E-2</v>
      </c>
      <c r="W6920">
        <v>4.1401300000000002E-2</v>
      </c>
      <c r="X6920">
        <v>0.99719559999999996</v>
      </c>
      <c r="Y6920">
        <v>-0.12046</v>
      </c>
      <c r="Z6920">
        <v>6.501651E-2</v>
      </c>
      <c r="AA6920">
        <v>0.99058679999999999</v>
      </c>
      <c r="AB6920">
        <v>25</v>
      </c>
      <c r="AC6920">
        <v>-0.30950000000001399</v>
      </c>
      <c r="AD6920">
        <v>-1.1116755993731999</v>
      </c>
      <c r="AE6920">
        <v>-16.49727</v>
      </c>
      <c r="AF6920">
        <v>-2.0057312756964101</v>
      </c>
      <c r="AG6920">
        <v>-1.1116755993731999</v>
      </c>
      <c r="AH6920">
        <v>16.302694014478199</v>
      </c>
      <c r="AI6920">
        <v>93.871839215658298</v>
      </c>
      <c r="AJ6920">
        <v>97.013890851080305</v>
      </c>
      <c r="AK6920">
        <v>16.463189627719501</v>
      </c>
      <c r="AL6920">
        <v>87.627202124913296</v>
      </c>
      <c r="AM6920">
        <v>93.577506226216101</v>
      </c>
      <c r="AN6920">
        <v>1.00000002813204</v>
      </c>
    </row>
    <row r="6921" spans="1:40" x14ac:dyDescent="0.25">
      <c r="A6921" t="str">
        <f>"20190312160507724"</f>
        <v>20190312160507724</v>
      </c>
      <c r="B6921" t="str">
        <f>"1552377907712025"</f>
        <v>1552377907712025</v>
      </c>
      <c r="C6921" t="s">
        <v>40</v>
      </c>
      <c r="D6921">
        <v>5.886539</v>
      </c>
      <c r="E6921">
        <v>0.4750953</v>
      </c>
      <c r="F6921" t="s">
        <v>41</v>
      </c>
      <c r="G6921">
        <v>-300.58460000000002</v>
      </c>
      <c r="H6921" s="1">
        <v>-6.9241349999999998E-7</v>
      </c>
      <c r="I6921">
        <v>-39.15943</v>
      </c>
      <c r="J6921">
        <v>-300.3519</v>
      </c>
      <c r="K6921">
        <v>1.1116680000000001</v>
      </c>
      <c r="L6921">
        <v>-23.156189999999999</v>
      </c>
      <c r="M6921">
        <v>-0.13869409999999999</v>
      </c>
      <c r="N6921">
        <v>0</v>
      </c>
      <c r="O6921">
        <v>-0.9902377</v>
      </c>
      <c r="P6921">
        <v>-7.5358679999999997E-2</v>
      </c>
      <c r="Q6921">
        <v>2.8487720000000001E-2</v>
      </c>
      <c r="R6921">
        <v>-0.99674989999999997</v>
      </c>
      <c r="S6921">
        <v>-4.9285889999999999E-2</v>
      </c>
      <c r="T6921">
        <v>-0.20603569999999999</v>
      </c>
      <c r="U6921">
        <v>-3.0123600000000001</v>
      </c>
      <c r="V6921">
        <v>-6.3763459999999994E-2</v>
      </c>
      <c r="W6921">
        <v>4.2147850000000001E-2</v>
      </c>
      <c r="X6921">
        <v>0.99707460000000003</v>
      </c>
      <c r="Y6921">
        <v>-0.12252390000000001</v>
      </c>
      <c r="Z6921">
        <v>6.6987610000000003E-2</v>
      </c>
      <c r="AA6921">
        <v>0.99020220000000003</v>
      </c>
      <c r="AB6921">
        <v>25</v>
      </c>
      <c r="AC6921">
        <v>-0.232700000000022</v>
      </c>
      <c r="AD6921">
        <v>-1.1116686924135</v>
      </c>
      <c r="AE6921">
        <v>-16.003239999999899</v>
      </c>
      <c r="AF6921">
        <v>-1.97976769086653</v>
      </c>
      <c r="AG6921">
        <v>-1.1116686924135</v>
      </c>
      <c r="AH6921">
        <v>15.8045726556832</v>
      </c>
      <c r="AI6921">
        <v>93.992369035786993</v>
      </c>
      <c r="AJ6921">
        <v>97.139993839055506</v>
      </c>
      <c r="AK6921">
        <v>15.966834508451001</v>
      </c>
      <c r="AL6921">
        <v>87.584390494565895</v>
      </c>
      <c r="AM6921">
        <v>93.659113329529205</v>
      </c>
      <c r="AN6921">
        <v>0.99999998902797604</v>
      </c>
    </row>
    <row r="6922" spans="1:40" x14ac:dyDescent="0.25">
      <c r="A6922" t="str">
        <f>"20190312160507747"</f>
        <v>20190312160507747</v>
      </c>
      <c r="B6922" t="str">
        <f>"1552377907742281"</f>
        <v>1552377907742281</v>
      </c>
      <c r="C6922" t="s">
        <v>40</v>
      </c>
      <c r="D6922">
        <v>5.9539710000000001</v>
      </c>
      <c r="E6922">
        <v>0.47425489999999998</v>
      </c>
      <c r="F6922" t="s">
        <v>41</v>
      </c>
      <c r="G6922">
        <v>-300.541</v>
      </c>
      <c r="H6922" s="1">
        <v>-5.6221670000000001E-7</v>
      </c>
      <c r="I6922">
        <v>-39.435920000000003</v>
      </c>
      <c r="J6922">
        <v>-300.3843</v>
      </c>
      <c r="K6922">
        <v>1.111664</v>
      </c>
      <c r="L6922">
        <v>-23.40427</v>
      </c>
      <c r="M6922">
        <v>-0.13671179999999999</v>
      </c>
      <c r="N6922">
        <v>0</v>
      </c>
      <c r="O6922">
        <v>-0.99051359999999999</v>
      </c>
      <c r="P6922">
        <v>-7.2734220000000002E-2</v>
      </c>
      <c r="Q6922">
        <v>2.9120190000000001E-2</v>
      </c>
      <c r="R6922">
        <v>-0.99692650000000005</v>
      </c>
      <c r="S6922">
        <v>-3.5003659999999999E-2</v>
      </c>
      <c r="T6922">
        <v>-0.20574400000000001</v>
      </c>
      <c r="U6922">
        <v>-3.0129999999999999</v>
      </c>
      <c r="V6922">
        <v>-6.4392179999999993E-2</v>
      </c>
      <c r="W6922">
        <v>4.2775279999999999E-2</v>
      </c>
      <c r="X6922">
        <v>0.99700750000000005</v>
      </c>
      <c r="Y6922">
        <v>-0.12523310000000001</v>
      </c>
      <c r="Z6922">
        <v>6.6897760000000001E-2</v>
      </c>
      <c r="AA6922">
        <v>0.98986940000000001</v>
      </c>
      <c r="AB6922">
        <v>25</v>
      </c>
      <c r="AC6922">
        <v>-0.15670000000000001</v>
      </c>
      <c r="AD6922">
        <v>-1.1116645622167001</v>
      </c>
      <c r="AE6922">
        <v>-16.031649999999999</v>
      </c>
      <c r="AF6922">
        <v>-2.0269532271197201</v>
      </c>
      <c r="AG6922">
        <v>-1.1116645622167001</v>
      </c>
      <c r="AH6922">
        <v>15.826431435754801</v>
      </c>
      <c r="AI6922">
        <v>93.985466825723805</v>
      </c>
      <c r="AJ6922">
        <v>97.298363705501401</v>
      </c>
      <c r="AK6922">
        <v>15.9943824349197</v>
      </c>
      <c r="AL6922">
        <v>87.548409017674203</v>
      </c>
      <c r="AM6922">
        <v>93.695341416415999</v>
      </c>
      <c r="AN6922">
        <v>1.00000001624024</v>
      </c>
    </row>
    <row r="6923" spans="1:40" x14ac:dyDescent="0.25">
      <c r="A6923" t="str">
        <f>"20190312160507770"</f>
        <v>20190312160507770</v>
      </c>
      <c r="B6923" t="str">
        <f>"1552377907761802"</f>
        <v>1552377907761802</v>
      </c>
      <c r="C6923" t="s">
        <v>40</v>
      </c>
      <c r="D6923">
        <v>6.0492939999999997</v>
      </c>
      <c r="E6923">
        <v>0.47361170000000002</v>
      </c>
      <c r="F6923" t="s">
        <v>41</v>
      </c>
      <c r="G6923">
        <v>-300.49489999999997</v>
      </c>
      <c r="H6923" s="1">
        <v>-4.6645170000000002E-7</v>
      </c>
      <c r="I6923">
        <v>-39.630510000000001</v>
      </c>
      <c r="J6923">
        <v>-300.41640000000001</v>
      </c>
      <c r="K6923">
        <v>1.111666</v>
      </c>
      <c r="L6923">
        <v>-23.6539</v>
      </c>
      <c r="M6923">
        <v>-0.13471629999999901</v>
      </c>
      <c r="N6923">
        <v>0</v>
      </c>
      <c r="O6923">
        <v>-0.99078699999999997</v>
      </c>
      <c r="P6923">
        <v>-7.1330030000000003E-2</v>
      </c>
      <c r="Q6923">
        <v>2.7399050000000001E-2</v>
      </c>
      <c r="R6923">
        <v>-0.99707659999999998</v>
      </c>
      <c r="S6923">
        <v>-2.053833E-2</v>
      </c>
      <c r="T6923">
        <v>-0.20647589999999999</v>
      </c>
      <c r="U6923">
        <v>-3.0137939999999999</v>
      </c>
      <c r="V6923">
        <v>-6.3788719999999993E-2</v>
      </c>
      <c r="W6923">
        <v>4.1055410000000001E-2</v>
      </c>
      <c r="X6923">
        <v>0.99711859999999997</v>
      </c>
      <c r="Y6923">
        <v>-0.12798789999999999</v>
      </c>
      <c r="Z6923">
        <v>6.7134340000000001E-2</v>
      </c>
      <c r="AA6923">
        <v>0.98950090000000002</v>
      </c>
      <c r="AB6923">
        <v>25</v>
      </c>
      <c r="AC6923">
        <v>-7.8499999999962697E-2</v>
      </c>
      <c r="AD6923">
        <v>-1.1116664664517</v>
      </c>
      <c r="AE6923">
        <v>-15.976610000000001</v>
      </c>
      <c r="AF6923">
        <v>-2.0647366764075001</v>
      </c>
      <c r="AG6923">
        <v>-1.1116664664517</v>
      </c>
      <c r="AH6923">
        <v>15.765193336492599</v>
      </c>
      <c r="AI6923">
        <v>93.9994346366244</v>
      </c>
      <c r="AJ6923">
        <v>97.461448927646401</v>
      </c>
      <c r="AK6923">
        <v>15.9386404944878</v>
      </c>
      <c r="AL6923">
        <v>87.647037018830503</v>
      </c>
      <c r="AM6923">
        <v>93.660397861920401</v>
      </c>
      <c r="AN6923">
        <v>1.0000000249777301</v>
      </c>
    </row>
    <row r="6924" spans="1:40" x14ac:dyDescent="0.25">
      <c r="A6924" t="str">
        <f>"20190312160507791"</f>
        <v>20190312160507791</v>
      </c>
      <c r="B6924" t="str">
        <f>"1552377907782297"</f>
        <v>1552377907782297</v>
      </c>
      <c r="C6924" t="s">
        <v>40</v>
      </c>
      <c r="D6924">
        <v>5.8953639999999998</v>
      </c>
      <c r="E6924">
        <v>0.473084</v>
      </c>
      <c r="F6924" t="s">
        <v>41</v>
      </c>
      <c r="G6924">
        <v>-300.47019999999998</v>
      </c>
      <c r="H6924" s="1">
        <v>-4.9975869999999997E-7</v>
      </c>
      <c r="I6924">
        <v>-39.53754</v>
      </c>
      <c r="J6924">
        <v>-300.44639999999998</v>
      </c>
      <c r="K6924">
        <v>1.1116619999999999</v>
      </c>
      <c r="L6924">
        <v>-23.890720000000002</v>
      </c>
      <c r="M6924">
        <v>-0.132823</v>
      </c>
      <c r="N6924">
        <v>0</v>
      </c>
      <c r="O6924">
        <v>-0.99104230000000004</v>
      </c>
      <c r="P6924">
        <v>-6.9517170000000003E-2</v>
      </c>
      <c r="Q6924">
        <v>2.6269230000000001E-2</v>
      </c>
      <c r="R6924">
        <v>-0.99723490000000004</v>
      </c>
      <c r="S6924">
        <v>-1.019287E-2</v>
      </c>
      <c r="T6924">
        <v>-0.21093410000000001</v>
      </c>
      <c r="U6924">
        <v>-3.013855</v>
      </c>
      <c r="V6924">
        <v>-6.3696059999999999E-2</v>
      </c>
      <c r="W6924">
        <v>3.9924800000000003E-2</v>
      </c>
      <c r="X6924">
        <v>0.99717040000000001</v>
      </c>
      <c r="Y6924">
        <v>-0.12948970000000001</v>
      </c>
      <c r="Z6924">
        <v>6.8596019999999994E-2</v>
      </c>
      <c r="AA6924">
        <v>0.98920520000000001</v>
      </c>
      <c r="AB6924">
        <v>25</v>
      </c>
      <c r="AC6924">
        <v>-2.3799999999994201E-2</v>
      </c>
      <c r="AD6924">
        <v>-1.1116624997586999</v>
      </c>
      <c r="AE6924">
        <v>-15.6468199999999</v>
      </c>
      <c r="AF6924">
        <v>-2.0445490355400402</v>
      </c>
      <c r="AG6924">
        <v>-1.1116624997586999</v>
      </c>
      <c r="AH6924">
        <v>15.4334170979402</v>
      </c>
      <c r="AI6924">
        <v>94.084314453775704</v>
      </c>
      <c r="AJ6924">
        <v>97.546344012189095</v>
      </c>
      <c r="AK6924">
        <v>15.607893438612701</v>
      </c>
      <c r="AL6924">
        <v>87.711869293314393</v>
      </c>
      <c r="AM6924">
        <v>93.6549058068981</v>
      </c>
      <c r="AN6924">
        <v>0.99999999217536095</v>
      </c>
    </row>
    <row r="6925" spans="1:40" x14ac:dyDescent="0.25">
      <c r="A6925" t="str">
        <f>"20190312160507813"</f>
        <v>20190312160507813</v>
      </c>
      <c r="B6925" t="str">
        <f>"1552377907801817"</f>
        <v>1552377907801817</v>
      </c>
      <c r="C6925" t="s">
        <v>40</v>
      </c>
      <c r="D6925">
        <v>6.0711490000000001</v>
      </c>
      <c r="E6925">
        <v>0.47259020000000002</v>
      </c>
      <c r="F6925" t="s">
        <v>41</v>
      </c>
      <c r="G6925">
        <v>-300.44909999999999</v>
      </c>
      <c r="H6925" s="1">
        <v>-3.9700290000000001E-7</v>
      </c>
      <c r="I6925">
        <v>-39.764009999999999</v>
      </c>
      <c r="J6925">
        <v>-300.47710000000001</v>
      </c>
      <c r="K6925">
        <v>1.1116619999999999</v>
      </c>
      <c r="L6925">
        <v>-24.13757</v>
      </c>
      <c r="M6925">
        <v>-0.1308493</v>
      </c>
      <c r="N6925">
        <v>0</v>
      </c>
      <c r="O6925">
        <v>-0.9913052</v>
      </c>
      <c r="P6925">
        <v>-6.7696530000000005E-2</v>
      </c>
      <c r="Q6925">
        <v>2.651475E-2</v>
      </c>
      <c r="R6925">
        <v>-0.99735399999999996</v>
      </c>
      <c r="S6925">
        <v>-5.1879879999999995E-4</v>
      </c>
      <c r="T6925">
        <v>-0.2110708</v>
      </c>
      <c r="U6925">
        <v>-3.013855</v>
      </c>
      <c r="V6925">
        <v>-6.3530450000000002E-2</v>
      </c>
      <c r="W6925">
        <v>4.0168269999999999E-2</v>
      </c>
      <c r="X6925">
        <v>0.99717120000000004</v>
      </c>
      <c r="Y6925">
        <v>-0.13069030000000001</v>
      </c>
      <c r="Z6925">
        <v>6.8662360000000006E-2</v>
      </c>
      <c r="AA6925">
        <v>0.9890428</v>
      </c>
      <c r="AB6925">
        <v>25</v>
      </c>
      <c r="AC6925">
        <v>2.8000000000019998E-2</v>
      </c>
      <c r="AD6925">
        <v>-1.1116623970029</v>
      </c>
      <c r="AE6925">
        <v>-15.626440000000001</v>
      </c>
      <c r="AF6925">
        <v>-2.0622280963420301</v>
      </c>
      <c r="AG6925">
        <v>-1.1116623970029</v>
      </c>
      <c r="AH6925">
        <v>15.410408057658501</v>
      </c>
      <c r="AI6925">
        <v>94.089674354994102</v>
      </c>
      <c r="AJ6925">
        <v>97.622065137685397</v>
      </c>
      <c r="AK6925">
        <v>15.5874710748665</v>
      </c>
      <c r="AL6925">
        <v>87.697908320092097</v>
      </c>
      <c r="AM6925">
        <v>93.645425779051294</v>
      </c>
      <c r="AN6925">
        <v>1.0000000050507101</v>
      </c>
    </row>
    <row r="6926" spans="1:40" x14ac:dyDescent="0.25">
      <c r="A6926" t="str">
        <f>"20190312160507836"</f>
        <v>20190312160507836</v>
      </c>
      <c r="B6926" t="str">
        <f>"1552377907822313"</f>
        <v>1552377907822313</v>
      </c>
      <c r="C6926" t="s">
        <v>40</v>
      </c>
      <c r="D6926">
        <v>6.0946280000000002</v>
      </c>
      <c r="E6926">
        <v>0.47209669999999998</v>
      </c>
      <c r="F6926" t="s">
        <v>41</v>
      </c>
      <c r="G6926">
        <v>-300.42939999999999</v>
      </c>
      <c r="H6926" s="1">
        <v>-1.8127769999999999E-7</v>
      </c>
      <c r="I6926">
        <v>-40.254660000000001</v>
      </c>
      <c r="J6926">
        <v>-300.50740000000002</v>
      </c>
      <c r="K6926">
        <v>1.1116600000000001</v>
      </c>
      <c r="L6926">
        <v>-24.385280000000002</v>
      </c>
      <c r="M6926">
        <v>-0.1288716</v>
      </c>
      <c r="N6926">
        <v>0</v>
      </c>
      <c r="O6926">
        <v>-0.99156420000000001</v>
      </c>
      <c r="P6926">
        <v>-6.5629989999999999E-2</v>
      </c>
      <c r="Q6926">
        <v>2.792938E-2</v>
      </c>
      <c r="R6926">
        <v>-0.99745320000000004</v>
      </c>
      <c r="S6926">
        <v>8.9111329999999999E-3</v>
      </c>
      <c r="T6926">
        <v>-0.20789479999999999</v>
      </c>
      <c r="U6926">
        <v>-3.0140989999999999</v>
      </c>
      <c r="V6926">
        <v>-6.3606179999999998E-2</v>
      </c>
      <c r="W6926">
        <v>4.1579480000000002E-2</v>
      </c>
      <c r="X6926">
        <v>0.99710849999999995</v>
      </c>
      <c r="Y6926">
        <v>-0.13180710000000001</v>
      </c>
      <c r="Z6926">
        <v>6.7650059999999998E-2</v>
      </c>
      <c r="AA6926">
        <v>0.98896430000000002</v>
      </c>
      <c r="AB6926">
        <v>25</v>
      </c>
      <c r="AC6926">
        <v>7.8000000000031294E-2</v>
      </c>
      <c r="AD6926">
        <v>-1.1116601812776901</v>
      </c>
      <c r="AE6926">
        <v>-15.86938</v>
      </c>
      <c r="AF6926">
        <v>-2.1122937967729198</v>
      </c>
      <c r="AG6926">
        <v>-1.1116601812776901</v>
      </c>
      <c r="AH6926">
        <v>15.6501762746315</v>
      </c>
      <c r="AI6926">
        <v>94.026609618987194</v>
      </c>
      <c r="AJ6926">
        <v>97.686721920407805</v>
      </c>
      <c r="AK6926">
        <v>15.831158860600301</v>
      </c>
      <c r="AL6926">
        <v>87.616984250021403</v>
      </c>
      <c r="AM6926">
        <v>93.649988368866104</v>
      </c>
      <c r="AN6926">
        <v>0.99999998003175605</v>
      </c>
    </row>
    <row r="6927" spans="1:40" x14ac:dyDescent="0.25">
      <c r="A6927" t="str">
        <f>"20190312160507858"</f>
        <v>20190312160507858</v>
      </c>
      <c r="B6927" t="str">
        <f>"1552377907851594"</f>
        <v>1552377907851594</v>
      </c>
      <c r="C6927" t="s">
        <v>40</v>
      </c>
      <c r="D6927">
        <v>6.0185890000000004</v>
      </c>
      <c r="E6927">
        <v>0.47143160000000001</v>
      </c>
      <c r="F6927" t="s">
        <v>81</v>
      </c>
      <c r="G6927">
        <v>-300.4033</v>
      </c>
      <c r="H6927" s="1">
        <v>-4.7576249999999998E-7</v>
      </c>
      <c r="I6927">
        <v>-41.037050000000001</v>
      </c>
      <c r="J6927">
        <v>-300.53699999999998</v>
      </c>
      <c r="K6927">
        <v>1.1116469999999901</v>
      </c>
      <c r="L6927">
        <v>-24.629580000000001</v>
      </c>
      <c r="M6927">
        <v>-0.12692899999999999</v>
      </c>
      <c r="N6927">
        <v>0</v>
      </c>
      <c r="O6927">
        <v>-0.99181459999999999</v>
      </c>
      <c r="P6927">
        <v>-6.4200129999999994E-2</v>
      </c>
      <c r="Q6927">
        <v>2.902105E-2</v>
      </c>
      <c r="R6927">
        <v>-0.99751500000000004</v>
      </c>
      <c r="S6927">
        <v>1.8859859999999999E-2</v>
      </c>
      <c r="T6927">
        <v>-0.2012476</v>
      </c>
      <c r="U6927">
        <v>-3.014526</v>
      </c>
      <c r="V6927">
        <v>-6.3080739999999996E-2</v>
      </c>
      <c r="W6927">
        <v>4.2670939999999997E-2</v>
      </c>
      <c r="X6927">
        <v>0.99709579999999998</v>
      </c>
      <c r="Y6927">
        <v>-0.13312950000000001</v>
      </c>
      <c r="Z6927">
        <v>6.550607E-2</v>
      </c>
      <c r="AA6927">
        <v>0.98893149999999996</v>
      </c>
      <c r="AB6927">
        <v>25</v>
      </c>
      <c r="AC6927">
        <v>0.13370000000003299</v>
      </c>
      <c r="AD6927">
        <v>-1.1116474757624999</v>
      </c>
      <c r="AE6927">
        <v>-16.40747</v>
      </c>
      <c r="AF6927">
        <v>-2.2052805210509798</v>
      </c>
      <c r="AG6927">
        <v>-1.1116474757624999</v>
      </c>
      <c r="AH6927">
        <v>16.183481650387499</v>
      </c>
      <c r="AI6927">
        <v>93.893617796312299</v>
      </c>
      <c r="AJ6927">
        <v>97.759751119742702</v>
      </c>
      <c r="AK6927">
        <v>16.370830785739699</v>
      </c>
      <c r="AL6927">
        <v>87.554392711343993</v>
      </c>
      <c r="AM6927">
        <v>93.619962916197395</v>
      </c>
      <c r="AN6927">
        <v>1.0000000116285299</v>
      </c>
    </row>
    <row r="6928" spans="1:40" x14ac:dyDescent="0.25">
      <c r="A6928" t="str">
        <f>"20190312160507880"</f>
        <v>20190312160507880</v>
      </c>
      <c r="B6928" t="str">
        <f>"1552377907872089"</f>
        <v>1552377907872089</v>
      </c>
      <c r="C6928" t="s">
        <v>40</v>
      </c>
      <c r="D6928">
        <v>6.0449919999999997</v>
      </c>
      <c r="E6928">
        <v>0.47105380000000002</v>
      </c>
      <c r="F6928" t="s">
        <v>81</v>
      </c>
      <c r="G6928">
        <v>-300.37490000000003</v>
      </c>
      <c r="H6928" s="1">
        <v>-9.0653380000000003E-7</v>
      </c>
      <c r="I6928">
        <v>-41.720979999999997</v>
      </c>
      <c r="J6928">
        <v>-300.56549999999999</v>
      </c>
      <c r="K6928">
        <v>1.111642</v>
      </c>
      <c r="L6928">
        <v>-24.869599999999998</v>
      </c>
      <c r="M6928">
        <v>-0.12503310000000001</v>
      </c>
      <c r="N6928">
        <v>0</v>
      </c>
      <c r="O6928">
        <v>-0.99205540000000003</v>
      </c>
      <c r="P6928">
        <v>-6.1428169999999997E-2</v>
      </c>
      <c r="Q6928">
        <v>2.949301E-2</v>
      </c>
      <c r="R6928">
        <v>-0.9976758</v>
      </c>
      <c r="S6928">
        <v>2.8594970000000001E-2</v>
      </c>
      <c r="T6928">
        <v>-0.19610069999999999</v>
      </c>
      <c r="U6928">
        <v>-3.015015</v>
      </c>
      <c r="V6928">
        <v>-6.3944749999999995E-2</v>
      </c>
      <c r="W6928">
        <v>4.3138290000000003E-2</v>
      </c>
      <c r="X6928">
        <v>0.99702069999999998</v>
      </c>
      <c r="Y6928">
        <v>-0.1344282</v>
      </c>
      <c r="Z6928">
        <v>6.3844449999999997E-2</v>
      </c>
      <c r="AA6928">
        <v>0.98886450000000004</v>
      </c>
      <c r="AB6928">
        <v>25</v>
      </c>
      <c r="AC6928">
        <v>0.19059999999996</v>
      </c>
      <c r="AD6928">
        <v>-1.1116429065338</v>
      </c>
      <c r="AE6928">
        <v>-16.851379999999999</v>
      </c>
      <c r="AF6928">
        <v>-2.2863392150595399</v>
      </c>
      <c r="AG6928">
        <v>-1.1116429065338</v>
      </c>
      <c r="AH6928">
        <v>16.622951816078899</v>
      </c>
      <c r="AI6928">
        <v>93.790321797023097</v>
      </c>
      <c r="AJ6928">
        <v>97.831388121928299</v>
      </c>
      <c r="AK6928">
        <v>16.816230970037399</v>
      </c>
      <c r="AL6928">
        <v>87.527590967836005</v>
      </c>
      <c r="AM6928">
        <v>93.669686240111304</v>
      </c>
      <c r="AN6928">
        <v>1.00000005967258</v>
      </c>
    </row>
    <row r="6929" spans="1:40" x14ac:dyDescent="0.25">
      <c r="A6929" t="str">
        <f>"20190312160507903"</f>
        <v>20190312160507903</v>
      </c>
      <c r="B6929" t="str">
        <f>"1552377907891609"</f>
        <v>1552377907891609</v>
      </c>
      <c r="C6929" t="s">
        <v>40</v>
      </c>
      <c r="D6929">
        <v>5.9506329999999998</v>
      </c>
      <c r="E6929">
        <v>0.47062949999999998</v>
      </c>
      <c r="F6929" t="s">
        <v>81</v>
      </c>
      <c r="G6929">
        <v>-300.3381</v>
      </c>
      <c r="H6929" s="1">
        <v>-1.0833470000000001E-6</v>
      </c>
      <c r="I6929">
        <v>-42.007210000000001</v>
      </c>
      <c r="J6929">
        <v>-300.59399999999999</v>
      </c>
      <c r="K6929">
        <v>1.111623</v>
      </c>
      <c r="L6929">
        <v>-25.11365</v>
      </c>
      <c r="M6929">
        <v>-0.1231249</v>
      </c>
      <c r="N6929">
        <v>0</v>
      </c>
      <c r="O6929">
        <v>-0.99229440000000002</v>
      </c>
      <c r="P6929">
        <v>-5.8334999999999998E-2</v>
      </c>
      <c r="Q6929">
        <v>2.9523310000000001E-2</v>
      </c>
      <c r="R6929">
        <v>-0.99786059999999999</v>
      </c>
      <c r="S6929">
        <v>4.0008540000000002E-2</v>
      </c>
      <c r="T6929">
        <v>-0.19558490000000001</v>
      </c>
      <c r="U6929">
        <v>-3.015228</v>
      </c>
      <c r="V6929">
        <v>-6.5116540000000001E-2</v>
      </c>
      <c r="W6929">
        <v>4.3164019999999997E-2</v>
      </c>
      <c r="X6929">
        <v>0.99694369999999999</v>
      </c>
      <c r="Y6929">
        <v>-0.13626429999999901</v>
      </c>
      <c r="Z6929">
        <v>6.3686329999999999E-2</v>
      </c>
      <c r="AA6929">
        <v>0.98862329999999998</v>
      </c>
      <c r="AB6929">
        <v>25</v>
      </c>
      <c r="AC6929">
        <v>0.25589999999999602</v>
      </c>
      <c r="AD6929">
        <v>-1.1116240833469999</v>
      </c>
      <c r="AE6929">
        <v>-16.893560000000001</v>
      </c>
      <c r="AF6929">
        <v>-2.32410945752682</v>
      </c>
      <c r="AG6929">
        <v>-1.1116240833469999</v>
      </c>
      <c r="AH6929">
        <v>16.6613597529606</v>
      </c>
      <c r="AI6929">
        <v>93.780546756421899</v>
      </c>
      <c r="AJ6929">
        <v>97.941004532993404</v>
      </c>
      <c r="AK6929">
        <v>16.859362434291999</v>
      </c>
      <c r="AL6929">
        <v>87.526115271625102</v>
      </c>
      <c r="AM6929">
        <v>93.737032355516007</v>
      </c>
      <c r="AN6929">
        <v>1.00000001868691</v>
      </c>
    </row>
    <row r="6930" spans="1:40" x14ac:dyDescent="0.25">
      <c r="A6930" t="str">
        <f>"20190312160507925"</f>
        <v>20190312160507925</v>
      </c>
      <c r="B6930" t="str">
        <f>"1552377907912105"</f>
        <v>1552377907912105</v>
      </c>
      <c r="C6930" t="s">
        <v>40</v>
      </c>
      <c r="D6930">
        <v>5.8925210000000003</v>
      </c>
      <c r="E6930">
        <v>0.47027330000000001</v>
      </c>
      <c r="F6930" t="s">
        <v>81</v>
      </c>
      <c r="G6930">
        <v>-300.29570000000001</v>
      </c>
      <c r="H6930" s="1">
        <v>-1.2641009999999999E-6</v>
      </c>
      <c r="I6930">
        <v>-42.300870000000003</v>
      </c>
      <c r="J6930">
        <v>-300.62240000000003</v>
      </c>
      <c r="K6930">
        <v>1.111605</v>
      </c>
      <c r="L6930">
        <v>-25.360690000000002</v>
      </c>
      <c r="M6930">
        <v>-0.1212217</v>
      </c>
      <c r="N6930">
        <v>0</v>
      </c>
      <c r="O6930">
        <v>-0.99252850000000004</v>
      </c>
      <c r="P6930">
        <v>-5.5073320000000002E-2</v>
      </c>
      <c r="Q6930">
        <v>2.9703400000000001E-2</v>
      </c>
      <c r="R6930">
        <v>-0.9980405</v>
      </c>
      <c r="S6930">
        <v>5.2337649999999999E-2</v>
      </c>
      <c r="T6930">
        <v>-0.1950189</v>
      </c>
      <c r="U6930">
        <v>-3.0152589999999999</v>
      </c>
      <c r="V6930">
        <v>-6.6460829999999999E-2</v>
      </c>
      <c r="W6930">
        <v>4.3338849999999998E-2</v>
      </c>
      <c r="X6930">
        <v>0.99684740000000005</v>
      </c>
      <c r="Y6930">
        <v>-0.13840559999999999</v>
      </c>
      <c r="Z6930">
        <v>6.3513230000000004E-2</v>
      </c>
      <c r="AA6930">
        <v>0.98833700000000002</v>
      </c>
      <c r="AB6930">
        <v>25</v>
      </c>
      <c r="AC6930">
        <v>0.32670000000001598</v>
      </c>
      <c r="AD6930">
        <v>-1.1116062641010001</v>
      </c>
      <c r="AE6930">
        <v>-16.940180000000002</v>
      </c>
      <c r="AF6930">
        <v>-2.3678135202109001</v>
      </c>
      <c r="AG6930">
        <v>-1.1116062641010001</v>
      </c>
      <c r="AH6930">
        <v>16.703724690408201</v>
      </c>
      <c r="AI6930">
        <v>93.769752763845503</v>
      </c>
      <c r="AJ6930">
        <v>98.068130407585798</v>
      </c>
      <c r="AK6930">
        <v>16.907295108497799</v>
      </c>
      <c r="AL6930">
        <v>87.516088867348401</v>
      </c>
      <c r="AM6930">
        <v>93.8143229898144</v>
      </c>
      <c r="AN6930">
        <v>1.00000001836518</v>
      </c>
    </row>
    <row r="6931" spans="1:40" x14ac:dyDescent="0.25">
      <c r="A6931" t="str">
        <f>"20190312160507948"</f>
        <v>20190312160507948</v>
      </c>
      <c r="B6931" t="str">
        <f>"1552377907942361"</f>
        <v>1552377907942361</v>
      </c>
      <c r="C6931" t="s">
        <v>40</v>
      </c>
      <c r="D6931">
        <v>5.9089839999999896</v>
      </c>
      <c r="E6931">
        <v>0.46981669999999998</v>
      </c>
      <c r="F6931" t="s">
        <v>81</v>
      </c>
      <c r="G6931">
        <v>-300.25119999999998</v>
      </c>
      <c r="H6931" s="1">
        <v>-1.444904E-6</v>
      </c>
      <c r="I6931">
        <v>-42.59507</v>
      </c>
      <c r="J6931">
        <v>-300.64999999999998</v>
      </c>
      <c r="K6931">
        <v>1.111585</v>
      </c>
      <c r="L6931">
        <v>-25.604369999999999</v>
      </c>
      <c r="M6931">
        <v>-0.1193819</v>
      </c>
      <c r="N6931">
        <v>0</v>
      </c>
      <c r="O6931">
        <v>-0.99275150000000001</v>
      </c>
      <c r="P6931">
        <v>-5.1707389999999999E-2</v>
      </c>
      <c r="Q6931">
        <v>3.1335450000000001E-2</v>
      </c>
      <c r="R6931">
        <v>-0.99817080000000002</v>
      </c>
      <c r="S6931">
        <v>6.4941410000000005E-2</v>
      </c>
      <c r="T6931">
        <v>-0.19448219999999999</v>
      </c>
      <c r="U6931">
        <v>-3.0152589999999999</v>
      </c>
      <c r="V6931">
        <v>-6.7971229999999994E-2</v>
      </c>
      <c r="W6931">
        <v>4.4965669999999999E-2</v>
      </c>
      <c r="X6931">
        <v>0.99667349999999999</v>
      </c>
      <c r="Y6931">
        <v>-0.14069949999999901</v>
      </c>
      <c r="Z6931">
        <v>6.3347630000000002E-2</v>
      </c>
      <c r="AA6931">
        <v>0.9880236</v>
      </c>
      <c r="AB6931">
        <v>25</v>
      </c>
      <c r="AC6931">
        <v>0.39879999999999399</v>
      </c>
      <c r="AD6931">
        <v>-1.111586444904</v>
      </c>
      <c r="AE6931">
        <v>-16.9907</v>
      </c>
      <c r="AF6931">
        <v>-2.4141970689696</v>
      </c>
      <c r="AG6931">
        <v>-1.111586444904</v>
      </c>
      <c r="AH6931">
        <v>16.7498984786588</v>
      </c>
      <c r="AI6931">
        <v>93.758075145346695</v>
      </c>
      <c r="AJ6931">
        <v>98.201674948731906</v>
      </c>
      <c r="AK6931">
        <v>16.9594537340591</v>
      </c>
      <c r="AL6931">
        <v>87.422787989578694</v>
      </c>
      <c r="AM6931">
        <v>93.901421788002096</v>
      </c>
      <c r="AN6931">
        <v>1.00000003259425</v>
      </c>
    </row>
    <row r="6932" spans="1:40" x14ac:dyDescent="0.25">
      <c r="A6932" t="str">
        <f>"20190312160507970"</f>
        <v>20190312160507970</v>
      </c>
      <c r="B6932" t="str">
        <f>"1552377907961881"</f>
        <v>1552377907961881</v>
      </c>
      <c r="C6932" t="s">
        <v>40</v>
      </c>
      <c r="D6932">
        <v>5.940734</v>
      </c>
      <c r="E6932">
        <v>0.46953220000000001</v>
      </c>
      <c r="F6932" t="s">
        <v>81</v>
      </c>
      <c r="G6932">
        <v>-300.1936</v>
      </c>
      <c r="H6932" s="1">
        <v>-1.760634E-6</v>
      </c>
      <c r="I6932">
        <v>-43.104410000000001</v>
      </c>
      <c r="J6932">
        <v>-300.6773</v>
      </c>
      <c r="K6932">
        <v>1.1115630000000001</v>
      </c>
      <c r="L6932">
        <v>-25.84967</v>
      </c>
      <c r="M6932">
        <v>-0.11757330000000001</v>
      </c>
      <c r="N6932">
        <v>0</v>
      </c>
      <c r="O6932">
        <v>-0.9929675</v>
      </c>
      <c r="P6932">
        <v>-4.747854E-2</v>
      </c>
      <c r="Q6932">
        <v>3.2839779999999999E-2</v>
      </c>
      <c r="R6932">
        <v>-0.99833240000000001</v>
      </c>
      <c r="S6932">
        <v>7.86438E-2</v>
      </c>
      <c r="T6932">
        <v>-0.19154789999999999</v>
      </c>
      <c r="U6932">
        <v>-3.0155940000000001</v>
      </c>
      <c r="V6932">
        <v>-7.0374290000000006E-2</v>
      </c>
      <c r="W6932">
        <v>4.6461839999999997E-2</v>
      </c>
      <c r="X6932">
        <v>0.99643800000000005</v>
      </c>
      <c r="Y6932">
        <v>-0.1433816</v>
      </c>
      <c r="Z6932">
        <v>6.2393700000000003E-2</v>
      </c>
      <c r="AA6932">
        <v>0.98769870000000004</v>
      </c>
      <c r="AB6932">
        <v>25</v>
      </c>
      <c r="AC6932">
        <v>0.48369999999999802</v>
      </c>
      <c r="AD6932">
        <v>-1.11156476063399</v>
      </c>
      <c r="AE6932">
        <v>-17.254739999999899</v>
      </c>
      <c r="AF6932">
        <v>-2.4988737865242201</v>
      </c>
      <c r="AG6932">
        <v>-1.11156476063399</v>
      </c>
      <c r="AH6932">
        <v>17.007638930244902</v>
      </c>
      <c r="AI6932">
        <v>93.699741703364495</v>
      </c>
      <c r="AJ6932">
        <v>98.358467944739999</v>
      </c>
      <c r="AK6932">
        <v>17.226135039515999</v>
      </c>
      <c r="AL6932">
        <v>87.336973867604598</v>
      </c>
      <c r="AM6932">
        <v>94.039855624739303</v>
      </c>
      <c r="AN6932">
        <v>0.99999996555659398</v>
      </c>
    </row>
    <row r="6933" spans="1:40" x14ac:dyDescent="0.25">
      <c r="A6933" t="str">
        <f>"20190312160507994"</f>
        <v>20190312160507994</v>
      </c>
      <c r="B6933" t="str">
        <f>"1552377907982377"</f>
        <v>1552377907982377</v>
      </c>
      <c r="C6933" t="s">
        <v>40</v>
      </c>
      <c r="D6933">
        <v>5.8771509999999996</v>
      </c>
      <c r="E6933">
        <v>0.4692984</v>
      </c>
      <c r="F6933" t="s">
        <v>81</v>
      </c>
      <c r="G6933">
        <v>-300.12299999999999</v>
      </c>
      <c r="H6933" s="1">
        <v>-2.1381779999999999E-6</v>
      </c>
      <c r="I6933">
        <v>-43.713830000000002</v>
      </c>
      <c r="J6933">
        <v>-300.70429999999999</v>
      </c>
      <c r="K6933">
        <v>1.1115379999999999</v>
      </c>
      <c r="L6933">
        <v>-26.095829999999999</v>
      </c>
      <c r="M6933">
        <v>-0.1157942</v>
      </c>
      <c r="N6933">
        <v>0</v>
      </c>
      <c r="O6933">
        <v>-0.99317670000000002</v>
      </c>
      <c r="P6933">
        <v>-4.3130040000000001E-2</v>
      </c>
      <c r="Q6933">
        <v>3.438045E-2</v>
      </c>
      <c r="R6933">
        <v>-0.99847790000000003</v>
      </c>
      <c r="S6933">
        <v>9.356689E-2</v>
      </c>
      <c r="T6933">
        <v>-0.1876419</v>
      </c>
      <c r="U6933">
        <v>-3.015625</v>
      </c>
      <c r="V6933">
        <v>-7.2925019999999993E-2</v>
      </c>
      <c r="W6933">
        <v>4.799316E-2</v>
      </c>
      <c r="X6933">
        <v>0.99618200000000001</v>
      </c>
      <c r="Y6933">
        <v>-0.14649379999999901</v>
      </c>
      <c r="Z6933">
        <v>6.1126630000000001E-2</v>
      </c>
      <c r="AA6933">
        <v>0.98732120000000001</v>
      </c>
      <c r="AB6933">
        <v>25</v>
      </c>
      <c r="AC6933">
        <v>0.58129999999999804</v>
      </c>
      <c r="AD6933">
        <v>-1.1115401381779999</v>
      </c>
      <c r="AE6933">
        <v>-17.617999999999999</v>
      </c>
      <c r="AF6933">
        <v>-2.6072798263027801</v>
      </c>
      <c r="AG6933">
        <v>-1.1115401381779999</v>
      </c>
      <c r="AH6933">
        <v>17.363108673547099</v>
      </c>
      <c r="AI6933">
        <v>93.6224226529432</v>
      </c>
      <c r="AJ6933">
        <v>98.539845327217094</v>
      </c>
      <c r="AK6933">
        <v>17.592923929262898</v>
      </c>
      <c r="AL6933">
        <v>87.249137737635905</v>
      </c>
      <c r="AM6933">
        <v>94.186841443077597</v>
      </c>
      <c r="AN6933">
        <v>0.99999998953639302</v>
      </c>
    </row>
    <row r="6934" spans="1:40" x14ac:dyDescent="0.25">
      <c r="A6934" t="str">
        <f>"20190312160508014"</f>
        <v>20190312160508014</v>
      </c>
      <c r="B6934" t="str">
        <f>"1552377908001897"</f>
        <v>1552377908001897</v>
      </c>
      <c r="C6934" t="s">
        <v>40</v>
      </c>
      <c r="D6934">
        <v>5.9097499999999998</v>
      </c>
      <c r="E6934">
        <v>0.46905590000000003</v>
      </c>
      <c r="F6934" t="s">
        <v>81</v>
      </c>
      <c r="G6934">
        <v>-300.04790000000003</v>
      </c>
      <c r="H6934" s="1">
        <v>-2.4990180000000002E-6</v>
      </c>
      <c r="I6934">
        <v>-44.297989999999999</v>
      </c>
      <c r="J6934">
        <v>-300.72980000000001</v>
      </c>
      <c r="K6934">
        <v>1.1115189999999999</v>
      </c>
      <c r="L6934">
        <v>-26.331299999999999</v>
      </c>
      <c r="M6934">
        <v>-0.114122</v>
      </c>
      <c r="N6934">
        <v>0</v>
      </c>
      <c r="O6934">
        <v>-0.99337019999999998</v>
      </c>
      <c r="P6934">
        <v>-3.9494340000000003E-2</v>
      </c>
      <c r="Q6934">
        <v>3.6024790000000001E-2</v>
      </c>
      <c r="R6934">
        <v>-0.99857030000000002</v>
      </c>
      <c r="S6934">
        <v>0.1087646</v>
      </c>
      <c r="T6934">
        <v>-0.18415329999999999</v>
      </c>
      <c r="U6934">
        <v>-3.015625</v>
      </c>
      <c r="V6934">
        <v>-7.4871199999999999E-2</v>
      </c>
      <c r="W6934">
        <v>4.9630100000000003E-2</v>
      </c>
      <c r="X6934">
        <v>0.99595739999999999</v>
      </c>
      <c r="Y6934">
        <v>-0.1498003</v>
      </c>
      <c r="Z6934">
        <v>5.9991919999999997E-2</v>
      </c>
      <c r="AA6934">
        <v>0.98689450000000001</v>
      </c>
      <c r="AB6934">
        <v>25</v>
      </c>
      <c r="AC6934">
        <v>0.68189999999998396</v>
      </c>
      <c r="AD6934">
        <v>-1.111521499018</v>
      </c>
      <c r="AE6934">
        <v>-17.96669</v>
      </c>
      <c r="AF6934">
        <v>-2.7176489211252601</v>
      </c>
      <c r="AG6934">
        <v>-1.111521499018</v>
      </c>
      <c r="AH6934">
        <v>17.703797758257199</v>
      </c>
      <c r="AI6934">
        <v>93.551075644836303</v>
      </c>
      <c r="AJ6934">
        <v>98.727153335789396</v>
      </c>
      <c r="AK6934">
        <v>17.945627622530999</v>
      </c>
      <c r="AL6934">
        <v>87.155236052031398</v>
      </c>
      <c r="AM6934">
        <v>94.299129735891697</v>
      </c>
      <c r="AN6934">
        <v>0.999999993015105</v>
      </c>
    </row>
    <row r="6935" spans="1:40" x14ac:dyDescent="0.25">
      <c r="A6935" t="str">
        <f>"20190312160508037"</f>
        <v>20190312160508037</v>
      </c>
      <c r="B6935" t="str">
        <f>"1552377908032153"</f>
        <v>1552377908032153</v>
      </c>
      <c r="C6935" t="s">
        <v>40</v>
      </c>
      <c r="D6935">
        <v>6.1034169999999897</v>
      </c>
      <c r="E6935">
        <v>0.46876810000000002</v>
      </c>
      <c r="F6935" t="s">
        <v>81</v>
      </c>
      <c r="G6935">
        <v>-299.98219999999998</v>
      </c>
      <c r="H6935" s="1">
        <v>-2.8636640000000001E-6</v>
      </c>
      <c r="I6935">
        <v>-44.886040000000001</v>
      </c>
      <c r="J6935">
        <v>-300.75560000000002</v>
      </c>
      <c r="K6935">
        <v>1.1115010000000001</v>
      </c>
      <c r="L6935">
        <v>-26.574069999999999</v>
      </c>
      <c r="M6935">
        <v>-0.1124235</v>
      </c>
      <c r="N6935">
        <v>0</v>
      </c>
      <c r="O6935">
        <v>-0.9935638</v>
      </c>
      <c r="P6935">
        <v>-3.6020740000000002E-2</v>
      </c>
      <c r="Q6935">
        <v>3.6292419999999999E-2</v>
      </c>
      <c r="R6935">
        <v>-0.99869169999999996</v>
      </c>
      <c r="S6935">
        <v>0.1214905</v>
      </c>
      <c r="T6935">
        <v>-0.1806509</v>
      </c>
      <c r="U6935">
        <v>-3.015625</v>
      </c>
      <c r="V6935">
        <v>-7.6631050000000006E-2</v>
      </c>
      <c r="W6935">
        <v>4.9891079999999997E-2</v>
      </c>
      <c r="X6935">
        <v>0.99581050000000004</v>
      </c>
      <c r="Y6935">
        <v>-0.15227079999999901</v>
      </c>
      <c r="Z6935">
        <v>5.885638E-2</v>
      </c>
      <c r="AA6935">
        <v>0.98658480000000004</v>
      </c>
      <c r="AB6935">
        <v>25</v>
      </c>
      <c r="AC6935">
        <v>0.77340000000003695</v>
      </c>
      <c r="AD6935">
        <v>-1.111503863664</v>
      </c>
      <c r="AE6935">
        <v>-18.311969999999999</v>
      </c>
      <c r="AF6935">
        <v>-2.8170291240123699</v>
      </c>
      <c r="AG6935">
        <v>-1.111503863664</v>
      </c>
      <c r="AH6935">
        <v>18.042544785408701</v>
      </c>
      <c r="AI6935">
        <v>93.483135412889993</v>
      </c>
      <c r="AJ6935">
        <v>98.874091874221804</v>
      </c>
      <c r="AK6935">
        <v>18.2949314362736</v>
      </c>
      <c r="AL6935">
        <v>87.1402644572524</v>
      </c>
      <c r="AM6935">
        <v>94.4004351619283</v>
      </c>
      <c r="AN6935">
        <v>0.99999999479895896</v>
      </c>
    </row>
    <row r="6936" spans="1:40" x14ac:dyDescent="0.25">
      <c r="A6936" t="str">
        <f>"20190312160508059"</f>
        <v>20190312160508059</v>
      </c>
      <c r="B6936" t="str">
        <f>"1552377908051672"</f>
        <v>1552377908051672</v>
      </c>
      <c r="C6936" t="s">
        <v>40</v>
      </c>
      <c r="D6936">
        <v>6.0478740000000002</v>
      </c>
      <c r="E6936">
        <v>0.46860800000000002</v>
      </c>
      <c r="F6936" t="s">
        <v>81</v>
      </c>
      <c r="G6936">
        <v>-299.93270000000001</v>
      </c>
      <c r="H6936" s="1">
        <v>-2.958264E-6</v>
      </c>
      <c r="I6936">
        <v>-45.029719999999998</v>
      </c>
      <c r="J6936">
        <v>-300.78089999999997</v>
      </c>
      <c r="K6936">
        <v>1.11148</v>
      </c>
      <c r="L6936">
        <v>-26.81503</v>
      </c>
      <c r="M6936">
        <v>-0.1107561</v>
      </c>
      <c r="N6936">
        <v>0</v>
      </c>
      <c r="O6936">
        <v>-0.99375119999999895</v>
      </c>
      <c r="P6936">
        <v>-3.3048809999999998E-2</v>
      </c>
      <c r="Q6936">
        <v>3.4782220000000003E-2</v>
      </c>
      <c r="R6936">
        <v>-0.99884830000000002</v>
      </c>
      <c r="S6936">
        <v>0.13446040000000001</v>
      </c>
      <c r="T6936">
        <v>-0.18160319999999999</v>
      </c>
      <c r="U6936">
        <v>-3.0153810000000001</v>
      </c>
      <c r="V6936">
        <v>-7.7924099999999996E-2</v>
      </c>
      <c r="W6936">
        <v>4.8376089999999997E-2</v>
      </c>
      <c r="X6936">
        <v>0.99578489999999997</v>
      </c>
      <c r="Y6936">
        <v>-0.15485019999999999</v>
      </c>
      <c r="Z6936">
        <v>5.9169680000000002E-2</v>
      </c>
      <c r="AA6936">
        <v>0.9861645</v>
      </c>
      <c r="AB6936">
        <v>24</v>
      </c>
      <c r="AC6936">
        <v>0.84819999999996298</v>
      </c>
      <c r="AD6936">
        <v>-1.111482958264</v>
      </c>
      <c r="AE6936">
        <v>-18.214690000000001</v>
      </c>
      <c r="AF6936">
        <v>-2.8499727330244098</v>
      </c>
      <c r="AG6936">
        <v>-1.111482958264</v>
      </c>
      <c r="AH6936">
        <v>17.9419883031883</v>
      </c>
      <c r="AI6936">
        <v>93.501087211088105</v>
      </c>
      <c r="AJ6936">
        <v>99.025670760400303</v>
      </c>
      <c r="AK6936">
        <v>18.200897868436002</v>
      </c>
      <c r="AL6936">
        <v>87.227171949203395</v>
      </c>
      <c r="AM6936">
        <v>94.474502356075305</v>
      </c>
      <c r="AN6936">
        <v>0.999999989256253</v>
      </c>
    </row>
    <row r="6937" spans="1:40" x14ac:dyDescent="0.25">
      <c r="A6937" t="str">
        <f>"20190312160508081"</f>
        <v>20190312160508081</v>
      </c>
      <c r="B6937" t="str">
        <f>"1552377908072169"</f>
        <v>1552377908072169</v>
      </c>
      <c r="C6937" t="s">
        <v>40</v>
      </c>
      <c r="D6937">
        <v>5.8929109999999998</v>
      </c>
      <c r="E6937">
        <v>0.46850249999999999</v>
      </c>
      <c r="F6937" t="s">
        <v>81</v>
      </c>
      <c r="G6937">
        <v>-299.92250000000001</v>
      </c>
      <c r="H6937" s="1">
        <v>-2.74287E-6</v>
      </c>
      <c r="I6937">
        <v>-44.686610000000002</v>
      </c>
      <c r="J6937">
        <v>-300.80610000000001</v>
      </c>
      <c r="K6937">
        <v>1.111459</v>
      </c>
      <c r="L6937">
        <v>-27.057860000000002</v>
      </c>
      <c r="M6937">
        <v>-0.1090851</v>
      </c>
      <c r="N6937">
        <v>0</v>
      </c>
      <c r="O6937">
        <v>-0.99393609999999999</v>
      </c>
      <c r="P6937">
        <v>-3.0374749999999999E-2</v>
      </c>
      <c r="Q6937">
        <v>3.3455970000000002E-2</v>
      </c>
      <c r="R6937">
        <v>-0.9989787</v>
      </c>
      <c r="S6937">
        <v>0.14480589999999999</v>
      </c>
      <c r="T6937">
        <v>-0.18749689999999999</v>
      </c>
      <c r="U6937">
        <v>-3.0147710000000001</v>
      </c>
      <c r="V6937">
        <v>-7.8916230000000004E-2</v>
      </c>
      <c r="W6937">
        <v>4.7045330000000003E-2</v>
      </c>
      <c r="X6937">
        <v>0.9957705</v>
      </c>
      <c r="Y6937">
        <v>-0.15656900000000001</v>
      </c>
      <c r="Z6937">
        <v>6.1098939999999997E-2</v>
      </c>
      <c r="AA6937">
        <v>0.98577539999999997</v>
      </c>
      <c r="AB6937">
        <v>24</v>
      </c>
      <c r="AC6937">
        <v>0.88360000000000105</v>
      </c>
      <c r="AD6937">
        <v>-1.11146174287</v>
      </c>
      <c r="AE6937">
        <v>-17.628749999999901</v>
      </c>
      <c r="AF6937">
        <v>-2.7904795281313799</v>
      </c>
      <c r="AG6937">
        <v>-1.11146174287</v>
      </c>
      <c r="AH6937">
        <v>17.358304142575999</v>
      </c>
      <c r="AI6937">
        <v>93.617360853071602</v>
      </c>
      <c r="AJ6937">
        <v>99.132596393796405</v>
      </c>
      <c r="AK6937">
        <v>17.616266514473399</v>
      </c>
      <c r="AL6937">
        <v>87.303505741826399</v>
      </c>
      <c r="AM6937">
        <v>94.531301232316594</v>
      </c>
      <c r="AN6937">
        <v>0.99999996155123505</v>
      </c>
    </row>
    <row r="6938" spans="1:40" x14ac:dyDescent="0.25">
      <c r="A6938" t="str">
        <f>"20190312160508104"</f>
        <v>20190312160508104</v>
      </c>
      <c r="B6938" t="str">
        <f>"1552377908091689"</f>
        <v>1552377908091689</v>
      </c>
      <c r="C6938" t="s">
        <v>40</v>
      </c>
      <c r="D6938">
        <v>6.0030229999999998</v>
      </c>
      <c r="E6938">
        <v>0.46840300000000001</v>
      </c>
      <c r="F6938" t="s">
        <v>81</v>
      </c>
      <c r="G6938">
        <v>-299.92230000000001</v>
      </c>
      <c r="H6938" s="1">
        <v>-2.5786420000000001E-6</v>
      </c>
      <c r="I6938">
        <v>-44.428150000000002</v>
      </c>
      <c r="J6938">
        <v>-300.8304</v>
      </c>
      <c r="K6938">
        <v>1.1114599999999999</v>
      </c>
      <c r="L6938">
        <v>-27.296939999999999</v>
      </c>
      <c r="M6938">
        <v>-0.10744190000000001</v>
      </c>
      <c r="N6938">
        <v>0</v>
      </c>
      <c r="O6938">
        <v>-0.99411510000000003</v>
      </c>
      <c r="P6938">
        <v>-2.844008E-2</v>
      </c>
      <c r="Q6938">
        <v>3.4513450000000001E-2</v>
      </c>
      <c r="R6938">
        <v>-0.99899990000000005</v>
      </c>
      <c r="S6938">
        <v>0.15335079999999901</v>
      </c>
      <c r="T6938">
        <v>-0.19286719999999999</v>
      </c>
      <c r="U6938">
        <v>-3.0141909999999998</v>
      </c>
      <c r="V6938">
        <v>-7.9196680000000005E-2</v>
      </c>
      <c r="W6938">
        <v>4.8099370000000002E-2</v>
      </c>
      <c r="X6938">
        <v>0.99569790000000002</v>
      </c>
      <c r="Y6938">
        <v>-0.15772729999999999</v>
      </c>
      <c r="Z6938">
        <v>6.2860799999999994E-2</v>
      </c>
      <c r="AA6938">
        <v>0.98547989999999996</v>
      </c>
      <c r="AB6938">
        <v>24</v>
      </c>
      <c r="AC6938">
        <v>0.90809999999999003</v>
      </c>
      <c r="AD6938">
        <v>-1.111462578642</v>
      </c>
      <c r="AE6938">
        <v>-17.131209999999999</v>
      </c>
      <c r="AF6938">
        <v>-2.73215990554099</v>
      </c>
      <c r="AG6938">
        <v>-1.111462578642</v>
      </c>
      <c r="AH6938">
        <v>16.863661389935999</v>
      </c>
      <c r="AI6938">
        <v>93.722439416575995</v>
      </c>
      <c r="AJ6938">
        <v>99.202790116194507</v>
      </c>
      <c r="AK6938">
        <v>17.119670624389599</v>
      </c>
      <c r="AL6938">
        <v>87.243045306425202</v>
      </c>
      <c r="AM6938">
        <v>94.547667181184707</v>
      </c>
      <c r="AN6938">
        <v>0.99999998579091398</v>
      </c>
    </row>
    <row r="6939" spans="1:40" x14ac:dyDescent="0.25">
      <c r="A6939" t="str">
        <f>"20190312160508127"</f>
        <v>20190312160508127</v>
      </c>
      <c r="B6939" t="str">
        <f>"1552377908121950"</f>
        <v>1552377908121950</v>
      </c>
      <c r="C6939" t="s">
        <v>40</v>
      </c>
      <c r="D6939">
        <v>5.8683160000000001</v>
      </c>
      <c r="E6939">
        <v>0.46823700000000001</v>
      </c>
      <c r="F6939" t="s">
        <v>81</v>
      </c>
      <c r="G6939">
        <v>-299.89879999999999</v>
      </c>
      <c r="H6939" s="1">
        <v>-2.8629970000000001E-6</v>
      </c>
      <c r="I6939">
        <v>-44.865659999999998</v>
      </c>
      <c r="J6939">
        <v>-300.8553</v>
      </c>
      <c r="K6939">
        <v>1.111456</v>
      </c>
      <c r="L6939">
        <v>-27.546199999999999</v>
      </c>
      <c r="M6939">
        <v>-0.1057268</v>
      </c>
      <c r="N6939">
        <v>0</v>
      </c>
      <c r="O6939">
        <v>-0.99429889999999999</v>
      </c>
      <c r="P6939">
        <v>-2.741596E-2</v>
      </c>
      <c r="Q6939">
        <v>3.4636989999999999E-2</v>
      </c>
      <c r="R6939">
        <v>-0.99902389999999996</v>
      </c>
      <c r="S6939">
        <v>0.15982060000000001</v>
      </c>
      <c r="T6939">
        <v>-0.19068689999999999</v>
      </c>
      <c r="U6939">
        <v>-3.01416</v>
      </c>
      <c r="V6939">
        <v>-7.8498719999999994E-2</v>
      </c>
      <c r="W6939">
        <v>4.8223200000000001E-2</v>
      </c>
      <c r="X6939">
        <v>0.99574720000000005</v>
      </c>
      <c r="Y6939">
        <v>-0.15813629999999901</v>
      </c>
      <c r="Z6939">
        <v>6.216555E-2</v>
      </c>
      <c r="AA6939">
        <v>0.98545839999999996</v>
      </c>
      <c r="AB6939">
        <v>24</v>
      </c>
      <c r="AC6939">
        <v>0.95650000000000501</v>
      </c>
      <c r="AD6939">
        <v>-1.1114588629969999</v>
      </c>
      <c r="AE6939">
        <v>-17.319459999999999</v>
      </c>
      <c r="AF6939">
        <v>-2.7710670831617299</v>
      </c>
      <c r="AG6939">
        <v>-1.1114588629969999</v>
      </c>
      <c r="AH6939">
        <v>17.051223586227501</v>
      </c>
      <c r="AI6939">
        <v>93.681303815206604</v>
      </c>
      <c r="AJ6939">
        <v>99.230682587113094</v>
      </c>
      <c r="AK6939">
        <v>17.310643528506901</v>
      </c>
      <c r="AL6939">
        <v>87.235942183625596</v>
      </c>
      <c r="AM6939">
        <v>94.507532258080303</v>
      </c>
      <c r="AN6939">
        <v>1.0000000061838501</v>
      </c>
    </row>
    <row r="6940" spans="1:40" x14ac:dyDescent="0.25">
      <c r="A6940" t="str">
        <f>"20190312160508150"</f>
        <v>20190312160508150</v>
      </c>
      <c r="B6940" t="str">
        <f>"1552377908142440"</f>
        <v>1552377908142440</v>
      </c>
      <c r="C6940" t="s">
        <v>40</v>
      </c>
      <c r="D6940">
        <v>5.973096</v>
      </c>
      <c r="E6940">
        <v>0.4681401</v>
      </c>
      <c r="F6940" t="s">
        <v>81</v>
      </c>
      <c r="G6940">
        <v>-299.90449999999998</v>
      </c>
      <c r="H6940" s="1">
        <v>-2.9302619999999999E-6</v>
      </c>
      <c r="I6940">
        <v>-44.973889999999997</v>
      </c>
      <c r="J6940">
        <v>-300.87889999999999</v>
      </c>
      <c r="K6940">
        <v>1.1114489999999999</v>
      </c>
      <c r="L6940">
        <v>-27.786829999999998</v>
      </c>
      <c r="M6940">
        <v>-0.1040663</v>
      </c>
      <c r="N6940">
        <v>0</v>
      </c>
      <c r="O6940">
        <v>-0.99447430000000003</v>
      </c>
      <c r="P6940">
        <v>-2.6065029999999999E-2</v>
      </c>
      <c r="Q6940">
        <v>3.3043120000000002E-2</v>
      </c>
      <c r="R6940">
        <v>-0.99911450000000002</v>
      </c>
      <c r="S6940">
        <v>0.16442870000000001</v>
      </c>
      <c r="T6940">
        <v>-0.19222549999999999</v>
      </c>
      <c r="U6940">
        <v>-3.0140989999999999</v>
      </c>
      <c r="V6940">
        <v>-7.8184149999999994E-2</v>
      </c>
      <c r="W6940">
        <v>4.6629030000000002E-2</v>
      </c>
      <c r="X6940">
        <v>0.99584790000000001</v>
      </c>
      <c r="Y6940">
        <v>-0.15798909999999999</v>
      </c>
      <c r="Z6940">
        <v>6.2681290000000001E-2</v>
      </c>
      <c r="AA6940">
        <v>0.98544940000000003</v>
      </c>
      <c r="AB6940">
        <v>24</v>
      </c>
      <c r="AC6940">
        <v>0.97440000000000204</v>
      </c>
      <c r="AD6940">
        <v>-1.1114519302619901</v>
      </c>
      <c r="AE6940">
        <v>-17.187059999999999</v>
      </c>
      <c r="AF6940">
        <v>-2.7464243942487201</v>
      </c>
      <c r="AG6940">
        <v>-1.1114519302619901</v>
      </c>
      <c r="AH6940">
        <v>16.921771543615499</v>
      </c>
      <c r="AI6940">
        <v>93.709489185948001</v>
      </c>
      <c r="AJ6940">
        <v>99.2187904025119</v>
      </c>
      <c r="AK6940">
        <v>17.1791887038044</v>
      </c>
      <c r="AL6940">
        <v>87.327384374979204</v>
      </c>
      <c r="AM6940">
        <v>94.489090972154202</v>
      </c>
      <c r="AN6940">
        <v>1.0000000338421799</v>
      </c>
    </row>
    <row r="6941" spans="1:40" x14ac:dyDescent="0.25">
      <c r="A6941" t="str">
        <f>"20190312160508171"</f>
        <v>20190312160508171</v>
      </c>
      <c r="B6941" t="str">
        <f>"1552377908161961"</f>
        <v>1552377908161961</v>
      </c>
      <c r="C6941" t="s">
        <v>40</v>
      </c>
      <c r="D6941">
        <v>5.9058979999999996</v>
      </c>
      <c r="E6941">
        <v>0.46803689999999998</v>
      </c>
      <c r="F6941" t="s">
        <v>81</v>
      </c>
      <c r="G6941">
        <v>-299.9255</v>
      </c>
      <c r="H6941" s="1">
        <v>-2.7887850000000001E-6</v>
      </c>
      <c r="I6941">
        <v>-44.760080000000002</v>
      </c>
      <c r="J6941">
        <v>-300.90230000000003</v>
      </c>
      <c r="K6941">
        <v>1.1114409999999999</v>
      </c>
      <c r="L6941">
        <v>-28.02881</v>
      </c>
      <c r="M6941">
        <v>-0.1023922</v>
      </c>
      <c r="N6941">
        <v>0</v>
      </c>
      <c r="O6941">
        <v>-0.99464810000000003</v>
      </c>
      <c r="P6941">
        <v>-2.491312E-2</v>
      </c>
      <c r="Q6941">
        <v>3.1525589999999999E-2</v>
      </c>
      <c r="R6941">
        <v>-0.99919290000000005</v>
      </c>
      <c r="S6941">
        <v>0.16928099999999999</v>
      </c>
      <c r="T6941">
        <v>-0.19733899999999999</v>
      </c>
      <c r="U6941">
        <v>-3.013611</v>
      </c>
      <c r="V6941">
        <v>-7.7656299999999998E-2</v>
      </c>
      <c r="W6941">
        <v>4.5111430000000001E-2</v>
      </c>
      <c r="X6941">
        <v>0.99595900000000004</v>
      </c>
      <c r="Y6941">
        <v>-0.15791150000000001</v>
      </c>
      <c r="Z6941">
        <v>6.4366640000000003E-2</v>
      </c>
      <c r="AA6941">
        <v>0.98535320000000004</v>
      </c>
      <c r="AB6941">
        <v>24</v>
      </c>
      <c r="AC6941">
        <v>0.97680000000002498</v>
      </c>
      <c r="AD6941">
        <v>-1.1114437887849999</v>
      </c>
      <c r="AE6941">
        <v>-16.731269999999999</v>
      </c>
      <c r="AF6941">
        <v>-2.6732238174349199</v>
      </c>
      <c r="AG6941">
        <v>-1.1114437887849999</v>
      </c>
      <c r="AH6941">
        <v>16.470852949687799</v>
      </c>
      <c r="AI6941">
        <v>93.810720476701803</v>
      </c>
      <c r="AJ6941">
        <v>99.218736400833606</v>
      </c>
      <c r="AK6941">
        <v>16.723349836799098</v>
      </c>
      <c r="AL6941">
        <v>87.414427823520796</v>
      </c>
      <c r="AM6941">
        <v>94.458410709513601</v>
      </c>
      <c r="AN6941">
        <v>0.99999993586366498</v>
      </c>
    </row>
    <row r="6942" spans="1:40" x14ac:dyDescent="0.25">
      <c r="A6942" t="str">
        <f>"20190312160508194"</f>
        <v>20190312160508194</v>
      </c>
      <c r="B6942" t="str">
        <f>"1552377908182457"</f>
        <v>1552377908182457</v>
      </c>
      <c r="C6942" t="s">
        <v>40</v>
      </c>
      <c r="D6942">
        <v>5.8764310000000002</v>
      </c>
      <c r="E6942">
        <v>0.46795930000000002</v>
      </c>
      <c r="F6942" t="s">
        <v>81</v>
      </c>
      <c r="G6942">
        <v>-299.94729999999998</v>
      </c>
      <c r="H6942" s="1">
        <v>-2.6621100000000002E-6</v>
      </c>
      <c r="I6942">
        <v>-44.569929999999999</v>
      </c>
      <c r="J6942">
        <v>-300.92450000000002</v>
      </c>
      <c r="K6942">
        <v>1.111442</v>
      </c>
      <c r="L6942">
        <v>-28.2637</v>
      </c>
      <c r="M6942">
        <v>-0.1007632</v>
      </c>
      <c r="N6942">
        <v>0</v>
      </c>
      <c r="O6942">
        <v>-0.99481419999999998</v>
      </c>
      <c r="P6942">
        <v>-2.377013E-2</v>
      </c>
      <c r="Q6942">
        <v>3.1486119999999999E-2</v>
      </c>
      <c r="R6942">
        <v>-0.99922160000000004</v>
      </c>
      <c r="S6942">
        <v>0.1739502</v>
      </c>
      <c r="T6942">
        <v>-0.20246210000000001</v>
      </c>
      <c r="U6942">
        <v>-3.013153</v>
      </c>
      <c r="V6942">
        <v>-7.7163949999999995E-2</v>
      </c>
      <c r="W6942">
        <v>4.5070939999999997E-2</v>
      </c>
      <c r="X6942">
        <v>0.99599919999999997</v>
      </c>
      <c r="Y6942">
        <v>-0.15781829999999999</v>
      </c>
      <c r="Z6942">
        <v>6.605453E-2</v>
      </c>
      <c r="AA6942">
        <v>0.98525640000000003</v>
      </c>
      <c r="AB6942">
        <v>24</v>
      </c>
      <c r="AC6942">
        <v>0.97720000000003804</v>
      </c>
      <c r="AD6942">
        <v>-1.11144466211</v>
      </c>
      <c r="AE6942">
        <v>-16.306229999999999</v>
      </c>
      <c r="AF6942">
        <v>-2.60339896012287</v>
      </c>
      <c r="AG6942">
        <v>-1.11144466211</v>
      </c>
      <c r="AH6942">
        <v>16.050445553241399</v>
      </c>
      <c r="AI6942">
        <v>93.910292727669699</v>
      </c>
      <c r="AJ6942">
        <v>99.213196984107697</v>
      </c>
      <c r="AK6942">
        <v>16.2981532033562</v>
      </c>
      <c r="AL6942">
        <v>87.416750349654194</v>
      </c>
      <c r="AM6942">
        <v>94.430078655236798</v>
      </c>
      <c r="AN6942">
        <v>1.0000000356063601</v>
      </c>
    </row>
    <row r="6943" spans="1:40" x14ac:dyDescent="0.25">
      <c r="A6943" t="str">
        <f>"20190312160508215"</f>
        <v>20190312160508215</v>
      </c>
      <c r="B6943" t="str">
        <f>"1552377908211749"</f>
        <v>1552377908211749</v>
      </c>
      <c r="C6943" t="s">
        <v>40</v>
      </c>
      <c r="D6943">
        <v>5.8681559999999999</v>
      </c>
      <c r="E6943">
        <v>0.46786680000000003</v>
      </c>
      <c r="F6943" t="s">
        <v>81</v>
      </c>
      <c r="G6943">
        <v>-299.9572</v>
      </c>
      <c r="H6943" s="1">
        <v>-2.7049679999999999E-6</v>
      </c>
      <c r="I6943">
        <v>-44.641509999999997</v>
      </c>
      <c r="J6943">
        <v>-300.94670000000002</v>
      </c>
      <c r="K6943">
        <v>1.111453</v>
      </c>
      <c r="L6943">
        <v>-28.501429999999999</v>
      </c>
      <c r="M6943">
        <v>-9.9111859999999996E-2</v>
      </c>
      <c r="N6943">
        <v>0</v>
      </c>
      <c r="O6943">
        <v>-0.99498019999999998</v>
      </c>
      <c r="P6943">
        <v>-2.3332169999999999E-2</v>
      </c>
      <c r="Q6943">
        <v>3.2638859999999999E-2</v>
      </c>
      <c r="R6943">
        <v>-0.9991951</v>
      </c>
      <c r="S6943">
        <v>0.177948</v>
      </c>
      <c r="T6943">
        <v>-0.20447090000000001</v>
      </c>
      <c r="U6943">
        <v>-3.0129999999999999</v>
      </c>
      <c r="V6943">
        <v>-7.5946440000000004E-2</v>
      </c>
      <c r="W6943">
        <v>4.622511E-2</v>
      </c>
      <c r="X6943">
        <v>0.99603989999999998</v>
      </c>
      <c r="Y6943">
        <v>-0.1574825</v>
      </c>
      <c r="Z6943">
        <v>6.6726389999999997E-2</v>
      </c>
      <c r="AA6943">
        <v>0.9852649</v>
      </c>
      <c r="AB6943">
        <v>24</v>
      </c>
      <c r="AC6943">
        <v>0.98950000000002003</v>
      </c>
      <c r="AD6943">
        <v>-1.1114557049680001</v>
      </c>
      <c r="AE6943">
        <v>-16.140079999999902</v>
      </c>
      <c r="AF6943">
        <v>-2.5723009001574799</v>
      </c>
      <c r="AG6943">
        <v>-1.1114557049680001</v>
      </c>
      <c r="AH6943">
        <v>15.887457066479699</v>
      </c>
      <c r="AI6943">
        <v>93.950503386558907</v>
      </c>
      <c r="AJ6943">
        <v>99.196817358433805</v>
      </c>
      <c r="AK6943">
        <v>16.132679806662399</v>
      </c>
      <c r="AL6943">
        <v>87.350552317347507</v>
      </c>
      <c r="AM6943">
        <v>94.360274128636505</v>
      </c>
      <c r="AN6943">
        <v>1.0000000524675901</v>
      </c>
    </row>
    <row r="6944" spans="1:40" x14ac:dyDescent="0.25">
      <c r="A6944" t="str">
        <f>"20190312160508239"</f>
        <v>20190312160508239</v>
      </c>
      <c r="B6944" t="str">
        <f>"1552377908232239"</f>
        <v>1552377908232239</v>
      </c>
      <c r="C6944" t="s">
        <v>40</v>
      </c>
      <c r="D6944">
        <v>5.87575</v>
      </c>
      <c r="E6944">
        <v>0.46781630000000002</v>
      </c>
      <c r="F6944" t="s">
        <v>81</v>
      </c>
      <c r="G6944">
        <v>-299.95479999999998</v>
      </c>
      <c r="H6944" s="1">
        <v>-3.0261519999999999E-6</v>
      </c>
      <c r="I6944">
        <v>-45.145769999999999</v>
      </c>
      <c r="J6944">
        <v>-300.96899999999999</v>
      </c>
      <c r="K6944">
        <v>1.111461</v>
      </c>
      <c r="L6944">
        <v>-28.746030000000001</v>
      </c>
      <c r="M6944">
        <v>-9.7410369999999996E-2</v>
      </c>
      <c r="N6944">
        <v>0</v>
      </c>
      <c r="O6944">
        <v>-0.99514820000000004</v>
      </c>
      <c r="P6944">
        <v>-2.1963030000000001E-2</v>
      </c>
      <c r="Q6944">
        <v>3.4163539999999999E-2</v>
      </c>
      <c r="R6944">
        <v>-0.99917509999999998</v>
      </c>
      <c r="S6944">
        <v>0.17956539999999999</v>
      </c>
      <c r="T6944">
        <v>-0.20121069999999999</v>
      </c>
      <c r="U6944">
        <v>-3.0131839999999999</v>
      </c>
      <c r="V6944">
        <v>-7.5606629999999994E-2</v>
      </c>
      <c r="W6944">
        <v>4.7747879999999999E-2</v>
      </c>
      <c r="X6944">
        <v>0.99599389999999999</v>
      </c>
      <c r="Y6944">
        <v>-0.1563215</v>
      </c>
      <c r="Z6944">
        <v>6.5685129999999994E-2</v>
      </c>
      <c r="AA6944">
        <v>0.9855197</v>
      </c>
      <c r="AB6944">
        <v>24</v>
      </c>
      <c r="AC6944">
        <v>1.01420000000001</v>
      </c>
      <c r="AD6944">
        <v>-1.1114640261519999</v>
      </c>
      <c r="AE6944">
        <v>-16.399739999999898</v>
      </c>
      <c r="AF6944">
        <v>-2.5951586837079499</v>
      </c>
      <c r="AG6944">
        <v>-1.1114640261519999</v>
      </c>
      <c r="AH6944">
        <v>16.149036365862599</v>
      </c>
      <c r="AI6944">
        <v>93.887475978670295</v>
      </c>
      <c r="AJ6944">
        <v>99.129408114064404</v>
      </c>
      <c r="AK6944">
        <v>16.393949384483498</v>
      </c>
      <c r="AL6944">
        <v>87.2632075031742</v>
      </c>
      <c r="AM6944">
        <v>94.341039241241006</v>
      </c>
      <c r="AN6944">
        <v>1.0000000356908201</v>
      </c>
    </row>
    <row r="6945" spans="1:40" x14ac:dyDescent="0.25">
      <c r="A6945" t="str">
        <f>"20190312160508260"</f>
        <v>20190312160508260</v>
      </c>
      <c r="B6945" t="str">
        <f>"1552377908251753"</f>
        <v>1552377908251753</v>
      </c>
      <c r="C6945" t="s">
        <v>40</v>
      </c>
      <c r="D6945">
        <v>5.905246</v>
      </c>
      <c r="E6945">
        <v>0.46777020000000002</v>
      </c>
      <c r="F6945" t="s">
        <v>81</v>
      </c>
      <c r="G6945">
        <v>-299.9348</v>
      </c>
      <c r="H6945" s="1">
        <v>-3.3227509999999999E-6</v>
      </c>
      <c r="I6945">
        <v>-45.660589999999999</v>
      </c>
      <c r="J6945">
        <v>-300.99</v>
      </c>
      <c r="K6945">
        <v>1.111462</v>
      </c>
      <c r="L6945">
        <v>-28.979579999999999</v>
      </c>
      <c r="M6945">
        <v>-9.5784590000000003E-2</v>
      </c>
      <c r="N6945">
        <v>0</v>
      </c>
      <c r="O6945">
        <v>-0.99530609999999997</v>
      </c>
      <c r="P6945">
        <v>-2.010725E-2</v>
      </c>
      <c r="Q6945">
        <v>3.5296050000000002E-2</v>
      </c>
      <c r="R6945">
        <v>-0.99917469999999997</v>
      </c>
      <c r="S6945">
        <v>0.1842346</v>
      </c>
      <c r="T6945">
        <v>-0.19800580000000001</v>
      </c>
      <c r="U6945">
        <v>-3.013306</v>
      </c>
      <c r="V6945">
        <v>-7.5828569999999998E-2</v>
      </c>
      <c r="W6945">
        <v>4.887619E-2</v>
      </c>
      <c r="X6945">
        <v>0.99592230000000004</v>
      </c>
      <c r="Y6945">
        <v>-0.15623139999999999</v>
      </c>
      <c r="Z6945">
        <v>6.4653769999999999E-2</v>
      </c>
      <c r="AA6945">
        <v>0.98560219999999998</v>
      </c>
      <c r="AB6945">
        <v>24</v>
      </c>
      <c r="AC6945">
        <v>1.0552000000000099</v>
      </c>
      <c r="AD6945">
        <v>-1.1114653227509901</v>
      </c>
      <c r="AE6945">
        <v>-16.681010000000001</v>
      </c>
      <c r="AF6945">
        <v>-2.6366247343601801</v>
      </c>
      <c r="AG6945">
        <v>-1.1114653227509901</v>
      </c>
      <c r="AH6945">
        <v>16.430560953558601</v>
      </c>
      <c r="AI6945">
        <v>93.821207684636207</v>
      </c>
      <c r="AJ6945">
        <v>99.116574731827697</v>
      </c>
      <c r="AK6945">
        <v>16.677843937455499</v>
      </c>
      <c r="AL6945">
        <v>87.198484537838397</v>
      </c>
      <c r="AM6945">
        <v>94.354045050557403</v>
      </c>
      <c r="AN6945">
        <v>1.00000004080722</v>
      </c>
    </row>
    <row r="6946" spans="1:40" x14ac:dyDescent="0.25">
      <c r="A6946" t="str">
        <f>"20190312160508282"</f>
        <v>20190312160508282</v>
      </c>
      <c r="B6946" t="str">
        <f>"1552377908272249"</f>
        <v>1552377908272249</v>
      </c>
      <c r="C6946" t="s">
        <v>40</v>
      </c>
      <c r="D6946">
        <v>5.9872079999999999</v>
      </c>
      <c r="E6946">
        <v>0.46771499999999999</v>
      </c>
      <c r="F6946" t="s">
        <v>81</v>
      </c>
      <c r="G6946">
        <v>-299.90820000000002</v>
      </c>
      <c r="H6946" s="1">
        <v>-3.564771E-6</v>
      </c>
      <c r="I6946">
        <v>-46.123989999999999</v>
      </c>
      <c r="J6946">
        <v>-301.0111</v>
      </c>
      <c r="K6946">
        <v>1.111472</v>
      </c>
      <c r="L6946">
        <v>-29.219390000000001</v>
      </c>
      <c r="M6946">
        <v>-9.4115439999999995E-2</v>
      </c>
      <c r="N6946">
        <v>0</v>
      </c>
      <c r="O6946">
        <v>-0.99546539999999994</v>
      </c>
      <c r="P6946">
        <v>-1.8119010000000001E-2</v>
      </c>
      <c r="Q6946">
        <v>3.6520280000000002E-2</v>
      </c>
      <c r="R6946">
        <v>-0.99916859999999996</v>
      </c>
      <c r="S6946">
        <v>0.1901245</v>
      </c>
      <c r="T6946">
        <v>-0.19534550000000001</v>
      </c>
      <c r="U6946">
        <v>-3.0132140000000001</v>
      </c>
      <c r="V6946">
        <v>-7.613926E-2</v>
      </c>
      <c r="W6946">
        <v>5.0095859999999999E-2</v>
      </c>
      <c r="X6946">
        <v>0.99583790000000005</v>
      </c>
      <c r="Y6946">
        <v>-0.15649969999999999</v>
      </c>
      <c r="Z6946">
        <v>6.3800919999999997E-2</v>
      </c>
      <c r="AA6946">
        <v>0.98561520000000002</v>
      </c>
      <c r="AB6946">
        <v>24</v>
      </c>
      <c r="AC6946">
        <v>1.10289999999997</v>
      </c>
      <c r="AD6946">
        <v>-1.111475564771</v>
      </c>
      <c r="AE6946">
        <v>-16.904599999999999</v>
      </c>
      <c r="AF6946">
        <v>-2.6776129901396102</v>
      </c>
      <c r="AG6946">
        <v>-1.111475564771</v>
      </c>
      <c r="AH6946">
        <v>16.654050113652598</v>
      </c>
      <c r="AI6946">
        <v>93.769931352735099</v>
      </c>
      <c r="AJ6946">
        <v>99.133762324895898</v>
      </c>
      <c r="AK6946">
        <v>16.904507518531801</v>
      </c>
      <c r="AL6946">
        <v>87.128516616137404</v>
      </c>
      <c r="AM6946">
        <v>94.372184806334005</v>
      </c>
      <c r="AN6946">
        <v>0.99999995258944696</v>
      </c>
    </row>
    <row r="6947" spans="1:40" x14ac:dyDescent="0.25">
      <c r="A6947" t="str">
        <f>"20190312160508305"</f>
        <v>20190312160508305</v>
      </c>
      <c r="B6947" t="str">
        <f>"1552377908291769"</f>
        <v>1552377908291769</v>
      </c>
      <c r="C6947" t="s">
        <v>40</v>
      </c>
      <c r="D6947">
        <v>5.9272169999999997</v>
      </c>
      <c r="E6947">
        <v>0.46765240000000002</v>
      </c>
      <c r="F6947" t="s">
        <v>81</v>
      </c>
      <c r="G6947">
        <v>-299.86989999999997</v>
      </c>
      <c r="H6947" s="1">
        <v>-3.8717779999999997E-6</v>
      </c>
      <c r="I6947">
        <v>-46.709850000000003</v>
      </c>
      <c r="J6947">
        <v>-301.03179999999998</v>
      </c>
      <c r="K6947">
        <v>1.1114729999999999</v>
      </c>
      <c r="L6947">
        <v>-29.45786</v>
      </c>
      <c r="M6947">
        <v>-9.2455190000000007E-2</v>
      </c>
      <c r="N6947">
        <v>0</v>
      </c>
      <c r="O6947">
        <v>-0.99562099999999998</v>
      </c>
      <c r="P6947">
        <v>-1.6107380000000001E-2</v>
      </c>
      <c r="Q6947">
        <v>3.7068080000000003E-2</v>
      </c>
      <c r="R6947">
        <v>-0.99918320000000005</v>
      </c>
      <c r="S6947">
        <v>0.1965942</v>
      </c>
      <c r="T6947">
        <v>-0.19147249999999999</v>
      </c>
      <c r="U6947">
        <v>-3.0130620000000001</v>
      </c>
      <c r="V6947">
        <v>-7.6483350000000005E-2</v>
      </c>
      <c r="W6947">
        <v>5.0640200000000003E-2</v>
      </c>
      <c r="X6947">
        <v>0.995784</v>
      </c>
      <c r="Y6947">
        <v>-0.15696860000000001</v>
      </c>
      <c r="Z6947">
        <v>6.2552410000000003E-2</v>
      </c>
      <c r="AA6947">
        <v>0.98562059999999996</v>
      </c>
      <c r="AB6947">
        <v>24</v>
      </c>
      <c r="AC6947">
        <v>1.1618999999999999</v>
      </c>
      <c r="AD6947">
        <v>-1.1114768717779999</v>
      </c>
      <c r="AE6947">
        <v>-17.251989999999999</v>
      </c>
      <c r="AF6947">
        <v>-2.7407858613418901</v>
      </c>
      <c r="AG6947">
        <v>-1.1114768717779999</v>
      </c>
      <c r="AH6947">
        <v>17.000403862566099</v>
      </c>
      <c r="AI6947">
        <v>93.693090127580405</v>
      </c>
      <c r="AJ6947">
        <v>99.158356743243502</v>
      </c>
      <c r="AK6947">
        <v>17.2557532279695</v>
      </c>
      <c r="AL6947">
        <v>87.097288595842301</v>
      </c>
      <c r="AM6947">
        <v>94.392103328015196</v>
      </c>
      <c r="AN6947">
        <v>0.99999995366963002</v>
      </c>
    </row>
    <row r="6948" spans="1:40" x14ac:dyDescent="0.25">
      <c r="A6948" t="str">
        <f>"20190312160508330"</f>
        <v>20190312160508330</v>
      </c>
      <c r="B6948" t="str">
        <f>"1552377908322025"</f>
        <v>1552377908322025</v>
      </c>
      <c r="C6948" t="s">
        <v>40</v>
      </c>
      <c r="D6948">
        <v>5.8594480000000004</v>
      </c>
      <c r="E6948">
        <v>0.46762389999999998</v>
      </c>
      <c r="F6948" t="s">
        <v>81</v>
      </c>
      <c r="G6948">
        <v>-299.85739999999998</v>
      </c>
      <c r="H6948" s="1">
        <v>-3.9672540000000001E-6</v>
      </c>
      <c r="I6948">
        <v>-46.89179</v>
      </c>
      <c r="J6948">
        <v>-301.05489999999998</v>
      </c>
      <c r="K6948">
        <v>1.111459</v>
      </c>
      <c r="L6948">
        <v>-29.7316</v>
      </c>
      <c r="M6948">
        <v>-9.0549190000000002E-2</v>
      </c>
      <c r="N6948">
        <v>0</v>
      </c>
      <c r="O6948">
        <v>-0.99579629999999997</v>
      </c>
      <c r="P6948">
        <v>-1.408616E-2</v>
      </c>
      <c r="Q6948">
        <v>3.53015E-2</v>
      </c>
      <c r="R6948">
        <v>-0.99927779999999999</v>
      </c>
      <c r="S6948">
        <v>0.20294190000000001</v>
      </c>
      <c r="T6948">
        <v>-0.19208</v>
      </c>
      <c r="U6948">
        <v>-3.012848</v>
      </c>
      <c r="V6948">
        <v>-7.6591709999999993E-2</v>
      </c>
      <c r="W6948">
        <v>4.8871900000000003E-2</v>
      </c>
      <c r="X6948">
        <v>0.99586410000000003</v>
      </c>
      <c r="Y6948">
        <v>-0.15714929999999999</v>
      </c>
      <c r="Z6948">
        <v>6.2765909999999994E-2</v>
      </c>
      <c r="AA6948">
        <v>0.98557830000000002</v>
      </c>
      <c r="AB6948">
        <v>24</v>
      </c>
      <c r="AC6948">
        <v>1.19749999999999</v>
      </c>
      <c r="AD6948">
        <v>-1.111462967254</v>
      </c>
      <c r="AE6948">
        <v>-17.16019</v>
      </c>
      <c r="AF6948">
        <v>-2.7351503822352101</v>
      </c>
      <c r="AG6948">
        <v>-1.111462967254</v>
      </c>
      <c r="AH6948">
        <v>16.910640613845299</v>
      </c>
      <c r="AI6948">
        <v>93.712287969337794</v>
      </c>
      <c r="AJ6948">
        <v>99.187533786626204</v>
      </c>
      <c r="AK6948">
        <v>17.166425472755002</v>
      </c>
      <c r="AL6948">
        <v>87.198730598161603</v>
      </c>
      <c r="AM6948">
        <v>94.397949188371399</v>
      </c>
      <c r="AN6948">
        <v>1.0000000291595701</v>
      </c>
    </row>
    <row r="6949" spans="1:40" x14ac:dyDescent="0.25">
      <c r="A6949" t="str">
        <f>"20190312160508350"</f>
        <v>20190312160508350</v>
      </c>
      <c r="B6949" t="str">
        <f>"1552377908342522"</f>
        <v>1552377908342522</v>
      </c>
      <c r="C6949" t="s">
        <v>40</v>
      </c>
      <c r="D6949">
        <v>5.8693629999999999</v>
      </c>
      <c r="E6949">
        <v>0.46758490000000003</v>
      </c>
      <c r="F6949" t="s">
        <v>81</v>
      </c>
      <c r="G6949">
        <v>-299.88659999999999</v>
      </c>
      <c r="H6949" s="1">
        <v>-3.7893849999999999E-6</v>
      </c>
      <c r="I6949">
        <v>-46.555419999999998</v>
      </c>
      <c r="J6949">
        <v>-301.072</v>
      </c>
      <c r="K6949">
        <v>1.111448</v>
      </c>
      <c r="L6949">
        <v>-29.93777</v>
      </c>
      <c r="M6949">
        <v>-8.9113940000000003E-2</v>
      </c>
      <c r="N6949">
        <v>0</v>
      </c>
      <c r="O6949">
        <v>-0.99592570000000002</v>
      </c>
      <c r="P6949">
        <v>-1.2518609999999999E-2</v>
      </c>
      <c r="Q6949">
        <v>3.4746739999999998E-2</v>
      </c>
      <c r="R6949">
        <v>-0.99931820000000005</v>
      </c>
      <c r="S6949">
        <v>0.20916750000000001</v>
      </c>
      <c r="T6949">
        <v>-0.1989968</v>
      </c>
      <c r="U6949">
        <v>-3.012146</v>
      </c>
      <c r="V6949">
        <v>-7.671915E-2</v>
      </c>
      <c r="W6949">
        <v>4.8315129999999998E-2</v>
      </c>
      <c r="X6949">
        <v>0.99588140000000003</v>
      </c>
      <c r="Y6949">
        <v>-0.1577587</v>
      </c>
      <c r="Z6949">
        <v>6.5036549999999999E-2</v>
      </c>
      <c r="AA6949">
        <v>0.98533369999999998</v>
      </c>
      <c r="AB6949">
        <v>24</v>
      </c>
      <c r="AC6949">
        <v>1.18540000000001</v>
      </c>
      <c r="AD6949">
        <v>-1.111451789385</v>
      </c>
      <c r="AE6949">
        <v>-16.617649999999902</v>
      </c>
      <c r="AF6949">
        <v>-2.64989426156645</v>
      </c>
      <c r="AG6949">
        <v>-1.111451789385</v>
      </c>
      <c r="AH6949">
        <v>16.373004370696599</v>
      </c>
      <c r="AI6949">
        <v>93.833728575493794</v>
      </c>
      <c r="AJ6949">
        <v>99.193337528515201</v>
      </c>
      <c r="AK6949">
        <v>16.623252894679201</v>
      </c>
      <c r="AL6949">
        <v>87.2306687392051</v>
      </c>
      <c r="AM6949">
        <v>94.405161876212105</v>
      </c>
      <c r="AN6949">
        <v>0.99999997131479901</v>
      </c>
    </row>
    <row r="6950" spans="1:40" x14ac:dyDescent="0.25">
      <c r="A6950" t="str">
        <f>"20190312160508372"</f>
        <v>20190312160508372</v>
      </c>
      <c r="B6950" t="str">
        <f>"1552377908362041"</f>
        <v>1552377908362041</v>
      </c>
      <c r="C6950" t="s">
        <v>40</v>
      </c>
      <c r="D6950">
        <v>6.9553919999999998</v>
      </c>
      <c r="E6950">
        <v>0.467503</v>
      </c>
      <c r="F6950" t="s">
        <v>81</v>
      </c>
      <c r="G6950">
        <v>-299.89049999999997</v>
      </c>
      <c r="H6950" s="1">
        <v>-3.7928159999999999E-6</v>
      </c>
      <c r="I6950">
        <v>-46.563850000000002</v>
      </c>
      <c r="J6950">
        <v>-301.09120000000001</v>
      </c>
      <c r="K6950">
        <v>1.111442</v>
      </c>
      <c r="L6950">
        <v>-30.175419999999999</v>
      </c>
      <c r="M6950">
        <v>-8.7459659999999995E-2</v>
      </c>
      <c r="N6950">
        <v>0</v>
      </c>
      <c r="O6950">
        <v>-0.99607239999999997</v>
      </c>
      <c r="P6950">
        <v>-1.05246E-2</v>
      </c>
      <c r="Q6950">
        <v>3.4856430000000001E-2</v>
      </c>
      <c r="R6950">
        <v>-0.99933689999999997</v>
      </c>
      <c r="S6950">
        <v>0.21401980000000001</v>
      </c>
      <c r="T6950">
        <v>-0.20133529999999999</v>
      </c>
      <c r="U6950">
        <v>-3.011749</v>
      </c>
      <c r="V6950">
        <v>-7.7051629999999996E-2</v>
      </c>
      <c r="W6950">
        <v>4.8421819999999997E-2</v>
      </c>
      <c r="X6950">
        <v>0.99585060000000003</v>
      </c>
      <c r="Y6950">
        <v>-0.1577037</v>
      </c>
      <c r="Z6950">
        <v>6.5817329999999993E-2</v>
      </c>
      <c r="AA6950">
        <v>0.98529060000000002</v>
      </c>
      <c r="AB6950">
        <v>24</v>
      </c>
      <c r="AC6950">
        <v>1.2007000000000401</v>
      </c>
      <c r="AD6950">
        <v>-1.111445792816</v>
      </c>
      <c r="AE6950">
        <v>-16.38843</v>
      </c>
      <c r="AF6950">
        <v>-2.6175861661511002</v>
      </c>
      <c r="AG6950">
        <v>-1.111445792816</v>
      </c>
      <c r="AH6950">
        <v>16.146726875387898</v>
      </c>
      <c r="AI6950">
        <v>93.887105890510895</v>
      </c>
      <c r="AJ6950">
        <v>99.208253668125806</v>
      </c>
      <c r="AK6950">
        <v>16.395238878283202</v>
      </c>
      <c r="AL6950">
        <v>87.224548829748301</v>
      </c>
      <c r="AM6950">
        <v>94.424313311441097</v>
      </c>
      <c r="AN6950">
        <v>1.0000000219290599</v>
      </c>
    </row>
    <row r="6951" spans="1:40" x14ac:dyDescent="0.25">
      <c r="A6951" t="str">
        <f>"20190312160508397"</f>
        <v>20190312160508397</v>
      </c>
      <c r="B6951" t="str">
        <f>"1552377908392297"</f>
        <v>1552377908392297</v>
      </c>
      <c r="C6951" t="s">
        <v>40</v>
      </c>
      <c r="D6951">
        <v>5.9587050000000001</v>
      </c>
      <c r="E6951">
        <v>0.4673349</v>
      </c>
      <c r="F6951" t="s">
        <v>81</v>
      </c>
      <c r="G6951">
        <v>-299.86369999999999</v>
      </c>
      <c r="H6951" s="1">
        <v>-3.976178E-6</v>
      </c>
      <c r="I6951">
        <v>-46.912059999999997</v>
      </c>
      <c r="J6951">
        <v>-301.1121</v>
      </c>
      <c r="K6951">
        <v>1.1114379999999999</v>
      </c>
      <c r="L6951">
        <v>-30.437380000000001</v>
      </c>
      <c r="M6951">
        <v>-8.5636169999999998E-2</v>
      </c>
      <c r="N6951">
        <v>0</v>
      </c>
      <c r="O6951">
        <v>-0.99623079999999997</v>
      </c>
      <c r="P6951">
        <v>-8.5331769999999994E-3</v>
      </c>
      <c r="Q6951">
        <v>3.4054210000000001E-2</v>
      </c>
      <c r="R6951">
        <v>-0.99938389999999999</v>
      </c>
      <c r="S6951">
        <v>0.22085569999999999</v>
      </c>
      <c r="T6951">
        <v>-0.19997380000000001</v>
      </c>
      <c r="U6951">
        <v>-3.0112920000000001</v>
      </c>
      <c r="V6951">
        <v>-7.7213229999999994E-2</v>
      </c>
      <c r="W6951">
        <v>4.7617369999999999E-2</v>
      </c>
      <c r="X6951">
        <v>0.99587680000000001</v>
      </c>
      <c r="Y6951">
        <v>-0.15813389999999999</v>
      </c>
      <c r="Z6951">
        <v>6.5392199999999998E-2</v>
      </c>
      <c r="AA6951">
        <v>0.98524999999999996</v>
      </c>
      <c r="AB6951">
        <v>24</v>
      </c>
      <c r="AC6951">
        <v>1.2484</v>
      </c>
      <c r="AD6951">
        <v>-1.1114419761779999</v>
      </c>
      <c r="AE6951">
        <v>-16.474679999999999</v>
      </c>
      <c r="AF6951">
        <v>-2.64281640149713</v>
      </c>
      <c r="AG6951">
        <v>-1.1114419761779999</v>
      </c>
      <c r="AH6951">
        <v>16.233766308100101</v>
      </c>
      <c r="AI6951">
        <v>93.865896923884506</v>
      </c>
      <c r="AJ6951">
        <v>99.246491846572795</v>
      </c>
      <c r="AK6951">
        <v>16.484991669528899</v>
      </c>
      <c r="AL6951">
        <v>87.270693453015696</v>
      </c>
      <c r="AM6951">
        <v>94.433439269280598</v>
      </c>
      <c r="AN6951">
        <v>0.99999994879549303</v>
      </c>
    </row>
    <row r="6952" spans="1:40" x14ac:dyDescent="0.25">
      <c r="A6952" t="str">
        <f>"20190312160508417"</f>
        <v>20190312160508417</v>
      </c>
      <c r="B6952" t="str">
        <f>"1552377908411818"</f>
        <v>1552377908411818</v>
      </c>
      <c r="C6952" t="s">
        <v>40</v>
      </c>
      <c r="D6952">
        <v>5.9707499999999998</v>
      </c>
      <c r="E6952">
        <v>0.46722760000000002</v>
      </c>
      <c r="F6952" t="s">
        <v>81</v>
      </c>
      <c r="G6952">
        <v>-299.8408</v>
      </c>
      <c r="H6952" s="1">
        <v>-4.1192999999999997E-6</v>
      </c>
      <c r="I6952">
        <v>-47.182929999999999</v>
      </c>
      <c r="J6952">
        <v>-301.12869999999998</v>
      </c>
      <c r="K6952">
        <v>1.111434</v>
      </c>
      <c r="L6952">
        <v>-30.650210000000001</v>
      </c>
      <c r="M6952">
        <v>-8.4154779999999998E-2</v>
      </c>
      <c r="N6952">
        <v>0</v>
      </c>
      <c r="O6952">
        <v>-0.99635700000000005</v>
      </c>
      <c r="P6952">
        <v>-6.9836319999999896E-3</v>
      </c>
      <c r="Q6952">
        <v>3.389462E-2</v>
      </c>
      <c r="R6952">
        <v>-0.99940110000000004</v>
      </c>
      <c r="S6952">
        <v>0.22857669999999999</v>
      </c>
      <c r="T6952">
        <v>-0.1998219</v>
      </c>
      <c r="U6952">
        <v>-3.0106199999999999</v>
      </c>
      <c r="V6952">
        <v>-7.7276479999999995E-2</v>
      </c>
      <c r="W6952">
        <v>4.7455900000000002E-2</v>
      </c>
      <c r="X6952">
        <v>0.99587969999999904</v>
      </c>
      <c r="Y6952">
        <v>-0.15919459999999999</v>
      </c>
      <c r="Z6952">
        <v>6.5357910000000005E-2</v>
      </c>
      <c r="AA6952">
        <v>0.9850814</v>
      </c>
      <c r="AB6952">
        <v>24</v>
      </c>
      <c r="AC6952">
        <v>1.2878999999999701</v>
      </c>
      <c r="AD6952">
        <v>-1.1114381193</v>
      </c>
      <c r="AE6952">
        <v>-16.532720000000001</v>
      </c>
      <c r="AF6952">
        <v>-2.6628089061212599</v>
      </c>
      <c r="AG6952">
        <v>-1.1114381193</v>
      </c>
      <c r="AH6952">
        <v>16.292480615084401</v>
      </c>
      <c r="AI6952">
        <v>93.851603059749905</v>
      </c>
      <c r="AJ6952">
        <v>99.282233966609695</v>
      </c>
      <c r="AK6952">
        <v>16.546019779888201</v>
      </c>
      <c r="AL6952">
        <v>87.279955740661407</v>
      </c>
      <c r="AM6952">
        <v>94.437043600316301</v>
      </c>
      <c r="AN6952">
        <v>1.00000004683904</v>
      </c>
    </row>
    <row r="6953" spans="1:40" x14ac:dyDescent="0.25">
      <c r="A6953" t="str">
        <f>"20190312160508440"</f>
        <v>20190312160508440</v>
      </c>
      <c r="B6953" t="str">
        <f>"1552377908432315"</f>
        <v>1552377908432315</v>
      </c>
      <c r="C6953" t="s">
        <v>40</v>
      </c>
      <c r="D6953">
        <v>5.8307399999999996</v>
      </c>
      <c r="E6953">
        <v>0.46713969999999999</v>
      </c>
      <c r="F6953" t="s">
        <v>81</v>
      </c>
      <c r="G6953">
        <v>-299.81810000000002</v>
      </c>
      <c r="H6953" s="1">
        <v>-4.2757450000000002E-6</v>
      </c>
      <c r="I6953">
        <v>-47.480130000000003</v>
      </c>
      <c r="J6953">
        <v>-301.14690000000002</v>
      </c>
      <c r="K6953">
        <v>1.111432</v>
      </c>
      <c r="L6953">
        <v>-30.888549999999999</v>
      </c>
      <c r="M6953">
        <v>-8.2495349999999995E-2</v>
      </c>
      <c r="N6953">
        <v>0</v>
      </c>
      <c r="O6953">
        <v>-0.99649600000000005</v>
      </c>
      <c r="P6953">
        <v>-5.2510990000000004E-3</v>
      </c>
      <c r="Q6953">
        <v>3.4075199999999903E-2</v>
      </c>
      <c r="R6953">
        <v>-0.99940569999999895</v>
      </c>
      <c r="S6953">
        <v>0.23440549999999999</v>
      </c>
      <c r="T6953">
        <v>-0.1987913</v>
      </c>
      <c r="U6953">
        <v>-3.0101930000000001</v>
      </c>
      <c r="V6953">
        <v>-7.7343750000000003E-2</v>
      </c>
      <c r="W6953">
        <v>4.7634040000000002E-2</v>
      </c>
      <c r="X6953">
        <v>0.99586589999999997</v>
      </c>
      <c r="Y6953">
        <v>-0.15945899999999999</v>
      </c>
      <c r="Z6953">
        <v>6.5038929999999995E-2</v>
      </c>
      <c r="AA6953">
        <v>0.98505980000000004</v>
      </c>
      <c r="AB6953">
        <v>24</v>
      </c>
      <c r="AC6953">
        <v>1.3288</v>
      </c>
      <c r="AD6953">
        <v>-1.111436275745</v>
      </c>
      <c r="AE6953">
        <v>-16.591579999999901</v>
      </c>
      <c r="AF6953">
        <v>-2.6811734797418398</v>
      </c>
      <c r="AG6953">
        <v>-1.111436275745</v>
      </c>
      <c r="AH6953">
        <v>16.352473510970601</v>
      </c>
      <c r="AI6953">
        <v>93.837189230648207</v>
      </c>
      <c r="AJ6953">
        <v>99.311441892936699</v>
      </c>
      <c r="AK6953">
        <v>16.6080514134112</v>
      </c>
      <c r="AL6953">
        <v>87.269737316428802</v>
      </c>
      <c r="AM6953">
        <v>94.440951942542398</v>
      </c>
      <c r="AN6953">
        <v>0.99999997410679597</v>
      </c>
    </row>
    <row r="6954" spans="1:40" x14ac:dyDescent="0.25">
      <c r="A6954" t="str">
        <f>"20190312160508461"</f>
        <v>20190312160508461</v>
      </c>
      <c r="B6954" t="str">
        <f>"1552377908451835"</f>
        <v>1552377908451835</v>
      </c>
      <c r="C6954" t="s">
        <v>40</v>
      </c>
      <c r="D6954">
        <v>5.8921199999999896</v>
      </c>
      <c r="E6954">
        <v>0.4670571</v>
      </c>
      <c r="F6954" t="s">
        <v>81</v>
      </c>
      <c r="G6954">
        <v>-299.80200000000002</v>
      </c>
      <c r="H6954" s="1">
        <v>-4.4165669999999999E-6</v>
      </c>
      <c r="I6954">
        <v>-47.749459999999999</v>
      </c>
      <c r="J6954">
        <v>-301.16430000000003</v>
      </c>
      <c r="K6954">
        <v>1.1114329999999999</v>
      </c>
      <c r="L6954">
        <v>-31.121459999999999</v>
      </c>
      <c r="M6954">
        <v>-8.0874199999999993E-2</v>
      </c>
      <c r="N6954">
        <v>0</v>
      </c>
      <c r="O6954">
        <v>-0.99662890000000004</v>
      </c>
      <c r="P6954">
        <v>-2.781454E-3</v>
      </c>
      <c r="Q6954">
        <v>3.5998580000000002E-2</v>
      </c>
      <c r="R6954">
        <v>-0.99934829999999997</v>
      </c>
      <c r="S6954">
        <v>0.24008180000000001</v>
      </c>
      <c r="T6954">
        <v>-0.19840150000000001</v>
      </c>
      <c r="U6954">
        <v>-3.009827</v>
      </c>
      <c r="V6954">
        <v>-7.8184539999999997E-2</v>
      </c>
      <c r="W6954">
        <v>4.9551520000000002E-2</v>
      </c>
      <c r="X6954">
        <v>0.99570669999999994</v>
      </c>
      <c r="Y6954">
        <v>-0.1597093</v>
      </c>
      <c r="Z6954">
        <v>6.4926750000000005E-2</v>
      </c>
      <c r="AA6954">
        <v>0.98502659999999997</v>
      </c>
      <c r="AB6954">
        <v>24</v>
      </c>
      <c r="AC6954">
        <v>1.3623000000000001</v>
      </c>
      <c r="AD6954">
        <v>-1.11143741656699</v>
      </c>
      <c r="AE6954">
        <v>-16.628</v>
      </c>
      <c r="AF6954">
        <v>-2.6907990963792701</v>
      </c>
      <c r="AG6954">
        <v>-1.11143741656699</v>
      </c>
      <c r="AH6954">
        <v>16.390595140551898</v>
      </c>
      <c r="AI6954">
        <v>93.828169524610502</v>
      </c>
      <c r="AJ6954">
        <v>99.3229309588517</v>
      </c>
      <c r="AK6954">
        <v>16.647140954815701</v>
      </c>
      <c r="AL6954">
        <v>87.159743931808705</v>
      </c>
      <c r="AM6954">
        <v>94.489747266507393</v>
      </c>
      <c r="AN6954">
        <v>1.0000000039271</v>
      </c>
    </row>
    <row r="6955" spans="1:40" x14ac:dyDescent="0.25">
      <c r="A6955" t="str">
        <f>"20190312160508484"</f>
        <v>20190312160508484</v>
      </c>
      <c r="B6955" t="str">
        <f>"1552377908472330"</f>
        <v>1552377908472330</v>
      </c>
      <c r="C6955" t="s">
        <v>40</v>
      </c>
      <c r="D6955">
        <v>5.9302780000000004</v>
      </c>
      <c r="E6955">
        <v>0.42415449999999999</v>
      </c>
      <c r="F6955" t="s">
        <v>81</v>
      </c>
      <c r="G6955">
        <v>-299.74340000000001</v>
      </c>
      <c r="H6955" s="1">
        <v>-4.7389490000000004E-6</v>
      </c>
      <c r="I6955">
        <v>-48.356699999999996</v>
      </c>
      <c r="J6955">
        <v>-301.1816</v>
      </c>
      <c r="K6955">
        <v>1.1114299999999999</v>
      </c>
      <c r="L6955">
        <v>-31.359500000000001</v>
      </c>
      <c r="M6955">
        <v>-7.9216930000000005E-2</v>
      </c>
      <c r="N6955">
        <v>0</v>
      </c>
      <c r="O6955">
        <v>-0.99676200000000004</v>
      </c>
      <c r="P6955">
        <v>3.9234179999999999E-4</v>
      </c>
      <c r="Q6955">
        <v>3.7135029999999999E-2</v>
      </c>
      <c r="R6955">
        <v>-0.99931040000000004</v>
      </c>
      <c r="S6955">
        <v>0.24810789999999999</v>
      </c>
      <c r="T6955">
        <v>-0.1940809</v>
      </c>
      <c r="U6955">
        <v>-3.0096440000000002</v>
      </c>
      <c r="V6955">
        <v>-7.9690699999999906E-2</v>
      </c>
      <c r="W6955">
        <v>5.0679719999999998E-2</v>
      </c>
      <c r="X6955">
        <v>0.99553049999999998</v>
      </c>
      <c r="Y6955">
        <v>-0.16068979999999999</v>
      </c>
      <c r="Z6955">
        <v>6.3523499999999997E-2</v>
      </c>
      <c r="AA6955">
        <v>0.98495860000000002</v>
      </c>
      <c r="AB6955">
        <v>24</v>
      </c>
      <c r="AC6955">
        <v>1.4381999999999899</v>
      </c>
      <c r="AD6955">
        <v>-1.111434738949</v>
      </c>
      <c r="AE6955">
        <v>-16.9971999999999</v>
      </c>
      <c r="AF6955">
        <v>-2.7685201433978701</v>
      </c>
      <c r="AG6955">
        <v>-1.111434738949</v>
      </c>
      <c r="AH6955">
        <v>16.758687093060399</v>
      </c>
      <c r="AI6955">
        <v>93.743701881523705</v>
      </c>
      <c r="AJ6955">
        <v>99.380490384676506</v>
      </c>
      <c r="AK6955">
        <v>17.022149806838399</v>
      </c>
      <c r="AL6955">
        <v>87.095021516342698</v>
      </c>
      <c r="AM6955">
        <v>94.576681094646403</v>
      </c>
      <c r="AN6955">
        <v>1.0000000090579999</v>
      </c>
    </row>
    <row r="6956" spans="1:40" x14ac:dyDescent="0.25">
      <c r="A6956" t="str">
        <f>"20190312160508506"</f>
        <v>20190312160508506</v>
      </c>
      <c r="B6956" t="str">
        <f>"1552377908502585"</f>
        <v>1552377908502585</v>
      </c>
      <c r="C6956" t="s">
        <v>40</v>
      </c>
      <c r="D6956">
        <v>5.8838350000000004</v>
      </c>
      <c r="E6956">
        <v>0.36307119999999998</v>
      </c>
      <c r="F6956" t="s">
        <v>81</v>
      </c>
      <c r="G6956">
        <v>-297.83049999999997</v>
      </c>
      <c r="H6956" s="1">
        <v>-5.0715090000000001E-6</v>
      </c>
      <c r="I6956">
        <v>-48.176929999999999</v>
      </c>
      <c r="J6956">
        <v>-301.19869999999997</v>
      </c>
      <c r="K6956">
        <v>1.1114280000000001</v>
      </c>
      <c r="L6956">
        <v>-31.598140000000001</v>
      </c>
      <c r="M6956">
        <v>-7.7554680000000001E-2</v>
      </c>
      <c r="N6956">
        <v>0</v>
      </c>
      <c r="O6956">
        <v>-0.99689269999999996</v>
      </c>
      <c r="P6956">
        <v>3.0924680000000001E-3</v>
      </c>
      <c r="Q6956">
        <v>3.6139650000000002E-2</v>
      </c>
      <c r="R6956">
        <v>-0.99934210000000001</v>
      </c>
      <c r="S6956">
        <v>0.5996399</v>
      </c>
      <c r="T6956">
        <v>-0.198874</v>
      </c>
      <c r="U6956">
        <v>-3.0092159999999999</v>
      </c>
      <c r="V6956">
        <v>-8.0721509999999996E-2</v>
      </c>
      <c r="W6956">
        <v>4.9679630000000002E-2</v>
      </c>
      <c r="X6956">
        <v>0.99549779999999999</v>
      </c>
      <c r="Y6956">
        <v>-0.2705012</v>
      </c>
      <c r="Z6956">
        <v>6.3791769999999998E-2</v>
      </c>
      <c r="AA6956">
        <v>0.96060380000000001</v>
      </c>
      <c r="AB6956">
        <v>24</v>
      </c>
      <c r="AC6956">
        <v>3.3681999999999999</v>
      </c>
      <c r="AD6956">
        <v>-1.1114330715089999</v>
      </c>
      <c r="AE6956">
        <v>-16.578789999999898</v>
      </c>
      <c r="AF6956">
        <v>-4.6239806999398603</v>
      </c>
      <c r="AG6956">
        <v>-1.1114330715089999</v>
      </c>
      <c r="AH6956">
        <v>16.197690824812899</v>
      </c>
      <c r="AI6956">
        <v>93.774954610714801</v>
      </c>
      <c r="AJ6956">
        <v>105.932539581</v>
      </c>
      <c r="AK6956">
        <v>16.881400091286601</v>
      </c>
      <c r="AL6956">
        <v>87.152394561062806</v>
      </c>
      <c r="AM6956">
        <v>94.635776319526201</v>
      </c>
      <c r="AN6956">
        <v>0.99999994880922705</v>
      </c>
    </row>
    <row r="6957" spans="1:40" x14ac:dyDescent="0.25">
      <c r="A6957" t="str">
        <f>"20190312160508529"</f>
        <v>20190312160508529</v>
      </c>
      <c r="B6957" t="str">
        <f>"1552377908522106"</f>
        <v>1552377908522106</v>
      </c>
      <c r="C6957" t="s">
        <v>40</v>
      </c>
      <c r="D6957">
        <v>5.8524409999999998</v>
      </c>
      <c r="E6957">
        <v>0.36459269999999999</v>
      </c>
      <c r="F6957" t="s">
        <v>118</v>
      </c>
      <c r="G6957">
        <v>-277.17500000000001</v>
      </c>
      <c r="H6957">
        <v>2.238502</v>
      </c>
      <c r="I6957">
        <v>-97.015839999999997</v>
      </c>
      <c r="J6957">
        <v>-301.21519999999998</v>
      </c>
      <c r="K6957">
        <v>1.111421</v>
      </c>
      <c r="L6957">
        <v>-31.835270000000001</v>
      </c>
      <c r="M6957">
        <v>-7.5902689999999995E-2</v>
      </c>
      <c r="N6957">
        <v>0</v>
      </c>
      <c r="O6957">
        <v>-0.99701980000000001</v>
      </c>
      <c r="P6957">
        <v>5.4283079999999997E-3</v>
      </c>
      <c r="Q6957">
        <v>3.4592079999999997E-2</v>
      </c>
      <c r="R6957">
        <v>-0.99938709999999997</v>
      </c>
      <c r="S6957">
        <v>1.1004940000000001</v>
      </c>
      <c r="T6957">
        <v>5.1630620000000002E-2</v>
      </c>
      <c r="U6957">
        <v>-2.9967039999999998</v>
      </c>
      <c r="V6957">
        <v>-8.1398890000000002E-2</v>
      </c>
      <c r="W6957">
        <v>4.812843E-2</v>
      </c>
      <c r="X6957">
        <v>0.99551889999999998</v>
      </c>
      <c r="Y6957">
        <v>-0.41494320000000001</v>
      </c>
      <c r="Z6957">
        <v>-1.5857570000000001E-2</v>
      </c>
      <c r="AA6957">
        <v>0.90970910000000005</v>
      </c>
      <c r="AB6957">
        <v>24</v>
      </c>
      <c r="AC6957">
        <v>24.040199999999899</v>
      </c>
      <c r="AD6957">
        <v>1.127081</v>
      </c>
      <c r="AE6957">
        <v>-65.180569999999904</v>
      </c>
      <c r="AF6957">
        <v>-28.911078384984901</v>
      </c>
      <c r="AG6957">
        <v>1.127081</v>
      </c>
      <c r="AH6957">
        <v>63.150992452231002</v>
      </c>
      <c r="AI6957">
        <v>89.070304836220103</v>
      </c>
      <c r="AJ6957">
        <v>114.598722369884</v>
      </c>
      <c r="AK6957">
        <v>69.463433637166602</v>
      </c>
      <c r="AL6957">
        <v>87.241378407062697</v>
      </c>
      <c r="AM6957">
        <v>94.6744074306323</v>
      </c>
      <c r="AN6957">
        <v>1.0000000026623499</v>
      </c>
    </row>
    <row r="6958" spans="1:40" x14ac:dyDescent="0.25">
      <c r="A6958" t="str">
        <f>"20190312160508551"</f>
        <v>20190312160508551</v>
      </c>
      <c r="B6958" t="str">
        <f>"1552377908542602"</f>
        <v>1552377908542602</v>
      </c>
      <c r="C6958" t="s">
        <v>40</v>
      </c>
      <c r="D6958">
        <v>4.548146</v>
      </c>
      <c r="E6958">
        <v>0.36438910000000002</v>
      </c>
      <c r="F6958" t="s">
        <v>118</v>
      </c>
      <c r="G6958">
        <v>-277.17500000000001</v>
      </c>
      <c r="H6958">
        <v>1.7229479999999999</v>
      </c>
      <c r="I6958">
        <v>-97.600380000000001</v>
      </c>
      <c r="J6958">
        <v>-301.2312</v>
      </c>
      <c r="K6958">
        <v>1.111424</v>
      </c>
      <c r="L6958">
        <v>-32.070369999999997</v>
      </c>
      <c r="M6958">
        <v>-7.4264040000000003E-2</v>
      </c>
      <c r="N6958">
        <v>0</v>
      </c>
      <c r="O6958">
        <v>-0.99714329999999995</v>
      </c>
      <c r="P6958">
        <v>7.9610849999999997E-3</v>
      </c>
      <c r="Q6958">
        <v>3.4579400000000003E-2</v>
      </c>
      <c r="R6958">
        <v>-0.99937030000000004</v>
      </c>
      <c r="S6958">
        <v>1.0947880000000001</v>
      </c>
      <c r="T6958">
        <v>2.784932E-2</v>
      </c>
      <c r="U6958">
        <v>-2.9949340000000002</v>
      </c>
      <c r="V6958">
        <v>-8.2286159999999997E-2</v>
      </c>
      <c r="W6958">
        <v>4.8110340000000001E-2</v>
      </c>
      <c r="X6958">
        <v>0.99544679999999997</v>
      </c>
      <c r="Y6958">
        <v>-0.41212270000000001</v>
      </c>
      <c r="Z6958">
        <v>-8.5692600000000004E-3</v>
      </c>
      <c r="AA6958">
        <v>0.91108800000000001</v>
      </c>
      <c r="AB6958">
        <v>24</v>
      </c>
      <c r="AC6958">
        <v>24.056199999999901</v>
      </c>
      <c r="AD6958">
        <v>0.61152399999999996</v>
      </c>
      <c r="AE6958">
        <v>-65.530010000000004</v>
      </c>
      <c r="AF6958">
        <v>-28.854530385709399</v>
      </c>
      <c r="AG6958">
        <v>0.61152399999999996</v>
      </c>
      <c r="AH6958">
        <v>63.557463827182097</v>
      </c>
      <c r="AI6958">
        <v>89.4980443293977</v>
      </c>
      <c r="AJ6958">
        <v>114.41763141985599</v>
      </c>
      <c r="AK6958">
        <v>69.803360187930494</v>
      </c>
      <c r="AL6958">
        <v>87.242416011462197</v>
      </c>
      <c r="AM6958">
        <v>94.725470957180804</v>
      </c>
      <c r="AN6958">
        <v>0.99999997428635001</v>
      </c>
    </row>
    <row r="6959" spans="1:40" x14ac:dyDescent="0.25">
      <c r="A6959" t="str">
        <f>"20190312160508573"</f>
        <v>20190312160508573</v>
      </c>
      <c r="B6959" t="str">
        <f>"1552377908562121"</f>
        <v>1552377908562121</v>
      </c>
      <c r="C6959" t="s">
        <v>40</v>
      </c>
      <c r="D6959">
        <v>5.8127000000000004</v>
      </c>
      <c r="E6959">
        <v>0.38360369999999999</v>
      </c>
      <c r="F6959" t="s">
        <v>118</v>
      </c>
      <c r="G6959">
        <v>-277.17500000000001</v>
      </c>
      <c r="H6959">
        <v>1.623291</v>
      </c>
      <c r="I6959">
        <v>-97.277339999999995</v>
      </c>
      <c r="J6959">
        <v>-301.24669999999998</v>
      </c>
      <c r="K6959">
        <v>1.1114269999999999</v>
      </c>
      <c r="L6959">
        <v>-32.305329999999998</v>
      </c>
      <c r="M6959">
        <v>-7.2625889999999999E-2</v>
      </c>
      <c r="N6959">
        <v>0</v>
      </c>
      <c r="O6959">
        <v>-0.99726369999999998</v>
      </c>
      <c r="P6959">
        <v>1.118215E-2</v>
      </c>
      <c r="Q6959">
        <v>3.487444E-2</v>
      </c>
      <c r="R6959">
        <v>-0.99932909999999997</v>
      </c>
      <c r="S6959">
        <v>1.103912</v>
      </c>
      <c r="T6959">
        <v>2.3489949999999999E-2</v>
      </c>
      <c r="U6959">
        <v>-2.9922789999999999</v>
      </c>
      <c r="V6959">
        <v>-8.3859349999999999E-2</v>
      </c>
      <c r="W6959">
        <v>4.8397530000000001E-2</v>
      </c>
      <c r="X6959">
        <v>0.99530160000000001</v>
      </c>
      <c r="Y6959">
        <v>-0.41333779999999998</v>
      </c>
      <c r="Z6959">
        <v>-7.2295969999999999E-3</v>
      </c>
      <c r="AA6959">
        <v>0.91054900000000005</v>
      </c>
      <c r="AB6959">
        <v>24</v>
      </c>
      <c r="AC6959">
        <v>24.0716999999999</v>
      </c>
      <c r="AD6959">
        <v>0.51186399999999999</v>
      </c>
      <c r="AE6959">
        <v>-64.972009999999997</v>
      </c>
      <c r="AF6959">
        <v>-28.7256526830887</v>
      </c>
      <c r="AG6959">
        <v>0.51186399999999999</v>
      </c>
      <c r="AH6959">
        <v>63.048566483666903</v>
      </c>
      <c r="AI6959">
        <v>89.576712140595603</v>
      </c>
      <c r="AJ6959">
        <v>114.49455601664999</v>
      </c>
      <c r="AK6959">
        <v>69.2859788302749</v>
      </c>
      <c r="AL6959">
        <v>87.2259420981311</v>
      </c>
      <c r="AM6959">
        <v>94.816093310660605</v>
      </c>
      <c r="AN6959">
        <v>0.99999999322754096</v>
      </c>
    </row>
    <row r="6960" spans="1:40" x14ac:dyDescent="0.25">
      <c r="A6960" t="str">
        <f>"20190312160508596"</f>
        <v>20190312160508596</v>
      </c>
      <c r="B6960" t="str">
        <f>"1552377908592378"</f>
        <v>1552377908592378</v>
      </c>
      <c r="C6960" t="s">
        <v>40</v>
      </c>
      <c r="D6960">
        <v>4.7904669999999996</v>
      </c>
      <c r="E6960">
        <v>0.37981310000000001</v>
      </c>
      <c r="F6960" t="s">
        <v>119</v>
      </c>
      <c r="G6960">
        <v>-285.82389999999998</v>
      </c>
      <c r="H6960">
        <v>0.1034756</v>
      </c>
      <c r="I6960">
        <v>-80.464519999999993</v>
      </c>
      <c r="J6960">
        <v>-301.262</v>
      </c>
      <c r="K6960">
        <v>1.111429</v>
      </c>
      <c r="L6960">
        <v>-32.542569999999998</v>
      </c>
      <c r="M6960">
        <v>-7.0971800000000002E-2</v>
      </c>
      <c r="N6960">
        <v>0</v>
      </c>
      <c r="O6960">
        <v>-0.99738300000000002</v>
      </c>
      <c r="P6960">
        <v>1.3890059999999999E-2</v>
      </c>
      <c r="Q6960">
        <v>3.5645509999999998E-2</v>
      </c>
      <c r="R6960">
        <v>-0.99926820000000005</v>
      </c>
      <c r="S6960">
        <v>0.95864870000000002</v>
      </c>
      <c r="T6960">
        <v>-6.2651280000000004E-2</v>
      </c>
      <c r="U6960">
        <v>-2.9934690000000002</v>
      </c>
      <c r="V6960">
        <v>-8.4905939999999999E-2</v>
      </c>
      <c r="W6960">
        <v>4.9162419999999998E-2</v>
      </c>
      <c r="X6960">
        <v>0.99517540000000004</v>
      </c>
      <c r="Y6960">
        <v>-0.37175720000000001</v>
      </c>
      <c r="Z6960">
        <v>1.9605230000000001E-2</v>
      </c>
      <c r="AA6960">
        <v>0.92812289999999997</v>
      </c>
      <c r="AB6960">
        <v>24</v>
      </c>
      <c r="AC6960">
        <v>15.4381</v>
      </c>
      <c r="AD6960">
        <v>-1.0079534000000001</v>
      </c>
      <c r="AE6960">
        <v>-47.921950000000002</v>
      </c>
      <c r="AF6960">
        <v>-18.793060860687699</v>
      </c>
      <c r="AG6960">
        <v>-1.0079534000000001</v>
      </c>
      <c r="AH6960">
        <v>46.686597303071999</v>
      </c>
      <c r="AI6960">
        <v>91.147368912709197</v>
      </c>
      <c r="AJ6960">
        <v>111.926586389588</v>
      </c>
      <c r="AK6960">
        <v>50.337197720068701</v>
      </c>
      <c r="AL6960">
        <v>87.182064968304303</v>
      </c>
      <c r="AM6960">
        <v>94.876526944466605</v>
      </c>
      <c r="AN6960">
        <v>1.0000000194763401</v>
      </c>
    </row>
    <row r="6961" spans="1:40" x14ac:dyDescent="0.25">
      <c r="A6961" t="str">
        <f>"20190312160508617"</f>
        <v>20190312160508617</v>
      </c>
      <c r="B6961" t="str">
        <f>"1552377908611897"</f>
        <v>1552377908611897</v>
      </c>
      <c r="C6961" t="s">
        <v>40</v>
      </c>
      <c r="D6961">
        <v>5.5416840000000001</v>
      </c>
      <c r="E6961">
        <v>0.37770809999999999</v>
      </c>
      <c r="F6961" t="s">
        <v>81</v>
      </c>
      <c r="G6961">
        <v>-288.31369999999998</v>
      </c>
      <c r="H6961">
        <v>7.9986559999999998E-2</v>
      </c>
      <c r="I6961">
        <v>-71.406309999999905</v>
      </c>
      <c r="J6961">
        <v>-301.27640000000002</v>
      </c>
      <c r="K6961">
        <v>1.1114280000000001</v>
      </c>
      <c r="L6961">
        <v>-32.771389999999997</v>
      </c>
      <c r="M6961">
        <v>-6.9376629999999995E-2</v>
      </c>
      <c r="N6961">
        <v>0</v>
      </c>
      <c r="O6961">
        <v>-0.99749549999999998</v>
      </c>
      <c r="P6961">
        <v>1.5999320000000001E-2</v>
      </c>
      <c r="Q6961">
        <v>3.6139089999999999E-2</v>
      </c>
      <c r="R6961">
        <v>-0.99921910000000003</v>
      </c>
      <c r="S6961">
        <v>0.99658199999999997</v>
      </c>
      <c r="T6961">
        <v>-7.9385880000000006E-2</v>
      </c>
      <c r="U6961">
        <v>-2.9911799999999999</v>
      </c>
      <c r="V6961">
        <v>-8.5415400000000002E-2</v>
      </c>
      <c r="W6961">
        <v>4.9652000000000002E-2</v>
      </c>
      <c r="X6961">
        <v>0.99510750000000003</v>
      </c>
      <c r="Y6961">
        <v>-0.38105739999999999</v>
      </c>
      <c r="Z6961">
        <v>2.4764769999999998E-2</v>
      </c>
      <c r="AA6961">
        <v>0.92421969999999998</v>
      </c>
      <c r="AB6961">
        <v>24</v>
      </c>
      <c r="AC6961">
        <v>12.9627</v>
      </c>
      <c r="AD6961">
        <v>-1.03144144</v>
      </c>
      <c r="AE6961">
        <v>-38.634920000000001</v>
      </c>
      <c r="AF6961">
        <v>-15.602080631008301</v>
      </c>
      <c r="AG6961">
        <v>-1.03144144</v>
      </c>
      <c r="AH6961">
        <v>37.618320199879399</v>
      </c>
      <c r="AI6961">
        <v>91.450802843771896</v>
      </c>
      <c r="AJ6961">
        <v>112.52607659001499</v>
      </c>
      <c r="AK6961">
        <v>40.738517475741403</v>
      </c>
      <c r="AL6961">
        <v>87.1539798141213</v>
      </c>
      <c r="AM6961">
        <v>94.9059782338432</v>
      </c>
      <c r="AN6961">
        <v>1.0000000241086999</v>
      </c>
    </row>
    <row r="6962" spans="1:40" x14ac:dyDescent="0.25">
      <c r="A6962" t="str">
        <f>"20190312160508640"</f>
        <v>20190312160508640</v>
      </c>
      <c r="B6962" t="str">
        <f>"1552377908632395"</f>
        <v>1552377908632395</v>
      </c>
      <c r="C6962" t="s">
        <v>40</v>
      </c>
      <c r="D6962">
        <v>5.8224429999999998</v>
      </c>
      <c r="E6962">
        <v>0.37627169999999999</v>
      </c>
      <c r="F6962" t="s">
        <v>43</v>
      </c>
      <c r="G6962">
        <v>-283.09059999999999</v>
      </c>
      <c r="H6962">
        <v>-0.05</v>
      </c>
      <c r="I6962">
        <v>-86.050799999999995</v>
      </c>
      <c r="J6962">
        <v>-301.29090000000002</v>
      </c>
      <c r="K6962">
        <v>1.1114329999999999</v>
      </c>
      <c r="L6962">
        <v>-33.006409999999903</v>
      </c>
      <c r="M6962">
        <v>-6.7737640000000002E-2</v>
      </c>
      <c r="N6962">
        <v>0</v>
      </c>
      <c r="O6962">
        <v>-0.99760780000000004</v>
      </c>
      <c r="P6962">
        <v>1.8499689999999999E-2</v>
      </c>
      <c r="Q6962">
        <v>3.7214230000000001E-2</v>
      </c>
      <c r="R6962">
        <v>-0.99913589999999997</v>
      </c>
      <c r="S6962">
        <v>1.0200199999999999</v>
      </c>
      <c r="T6962">
        <v>-6.5142989999999998E-2</v>
      </c>
      <c r="U6962">
        <v>-2.9883730000000002</v>
      </c>
      <c r="V6962">
        <v>-8.6270529999999998E-2</v>
      </c>
      <c r="W6962">
        <v>5.0721160000000001E-2</v>
      </c>
      <c r="X6962">
        <v>0.99497979999999997</v>
      </c>
      <c r="Y6962">
        <v>-0.38633319999999999</v>
      </c>
      <c r="Z6962">
        <v>2.0297550000000001E-2</v>
      </c>
      <c r="AA6962">
        <v>0.92213590000000001</v>
      </c>
      <c r="AB6962">
        <v>24</v>
      </c>
      <c r="AC6962">
        <v>18.200299999999999</v>
      </c>
      <c r="AD6962">
        <v>-1.1614329999999999</v>
      </c>
      <c r="AE6962">
        <v>-53.04439</v>
      </c>
      <c r="AF6962">
        <v>-21.742606939273202</v>
      </c>
      <c r="AG6962">
        <v>-1.1614329999999999</v>
      </c>
      <c r="AH6962">
        <v>51.667409026974298</v>
      </c>
      <c r="AI6962">
        <v>91.186952817453005</v>
      </c>
      <c r="AJ6962">
        <v>112.822263638764</v>
      </c>
      <c r="AK6962">
        <v>56.0679145206051</v>
      </c>
      <c r="AL6962">
        <v>87.092644157658995</v>
      </c>
      <c r="AM6962">
        <v>94.955483527197501</v>
      </c>
      <c r="AN6962">
        <v>1.0000000214131299</v>
      </c>
    </row>
    <row r="6963" spans="1:40" x14ac:dyDescent="0.25">
      <c r="A6963" t="str">
        <f>"20190312160508674"</f>
        <v>20190312160508674</v>
      </c>
      <c r="B6963" t="str">
        <f>"1552377908661675"</f>
        <v>1552377908661675</v>
      </c>
      <c r="C6963" t="s">
        <v>40</v>
      </c>
      <c r="D6963">
        <v>8.1915440000000004</v>
      </c>
      <c r="E6963">
        <v>0.37548740000000003</v>
      </c>
      <c r="F6963" t="s">
        <v>43</v>
      </c>
      <c r="G6963">
        <v>-279.01260000000002</v>
      </c>
      <c r="H6963">
        <v>-0.05</v>
      </c>
      <c r="I6963">
        <v>-97.020719999999997</v>
      </c>
      <c r="J6963">
        <v>-301.3116</v>
      </c>
      <c r="K6963">
        <v>1.1114250000000001</v>
      </c>
      <c r="L6963">
        <v>-33.356380000000001</v>
      </c>
      <c r="M6963">
        <v>-6.5296649999999998E-2</v>
      </c>
      <c r="N6963">
        <v>0</v>
      </c>
      <c r="O6963">
        <v>-0.99777070000000001</v>
      </c>
      <c r="P6963">
        <v>2.1194620000000001E-2</v>
      </c>
      <c r="Q6963">
        <v>3.8059339999999997E-2</v>
      </c>
      <c r="R6963">
        <v>-0.99905049999999995</v>
      </c>
      <c r="S6963">
        <v>1.0389710000000001</v>
      </c>
      <c r="T6963">
        <v>-5.4164770000000001E-2</v>
      </c>
      <c r="U6963">
        <v>-2.985382</v>
      </c>
      <c r="V6963">
        <v>-8.6519670000000007E-2</v>
      </c>
      <c r="W6963">
        <v>5.1561669999999997E-2</v>
      </c>
      <c r="X6963">
        <v>0.99491490000000005</v>
      </c>
      <c r="Y6963">
        <v>-0.38960929999999999</v>
      </c>
      <c r="Z6963">
        <v>1.6869269999999999E-2</v>
      </c>
      <c r="AA6963">
        <v>0.92082569999999997</v>
      </c>
      <c r="AB6963">
        <v>24</v>
      </c>
      <c r="AC6963">
        <v>22.2989999999999</v>
      </c>
      <c r="AD6963">
        <v>-1.1614249999999999</v>
      </c>
      <c r="AE6963">
        <v>-63.664340000000003</v>
      </c>
      <c r="AF6963">
        <v>-26.401039370607698</v>
      </c>
      <c r="AG6963">
        <v>-1.1614249999999999</v>
      </c>
      <c r="AH6963">
        <v>62.053864439319298</v>
      </c>
      <c r="AI6963">
        <v>90.986677238396197</v>
      </c>
      <c r="AJ6963">
        <v>113.04750113271101</v>
      </c>
      <c r="AK6963">
        <v>67.446615035392398</v>
      </c>
      <c r="AL6963">
        <v>87.044423195368495</v>
      </c>
      <c r="AM6963">
        <v>94.970045421488507</v>
      </c>
      <c r="AN6963">
        <v>0.99999995867605296</v>
      </c>
    </row>
    <row r="6964" spans="1:40" x14ac:dyDescent="0.25">
      <c r="A6964" t="str">
        <f>"20190312160508696"</f>
        <v>20190312160508696</v>
      </c>
      <c r="B6964" t="str">
        <f>"1552377908691946"</f>
        <v>1552377908691946</v>
      </c>
      <c r="C6964" t="s">
        <v>40</v>
      </c>
      <c r="D6964">
        <v>5.6151090000000003</v>
      </c>
      <c r="E6964">
        <v>0.37525560000000002</v>
      </c>
      <c r="F6964" t="s">
        <v>45</v>
      </c>
      <c r="G6964">
        <v>0</v>
      </c>
      <c r="H6964">
        <v>0</v>
      </c>
      <c r="I6964">
        <v>0</v>
      </c>
      <c r="J6964">
        <v>-301.32499999999999</v>
      </c>
      <c r="K6964">
        <v>1.111426</v>
      </c>
      <c r="L6964">
        <v>-33.58887</v>
      </c>
      <c r="M6964">
        <v>-6.3675190000000007E-2</v>
      </c>
      <c r="N6964">
        <v>0</v>
      </c>
      <c r="O6964">
        <v>-0.99787579999999998</v>
      </c>
      <c r="P6964">
        <v>2.349975E-2</v>
      </c>
      <c r="Q6964">
        <v>3.8484200000000003E-2</v>
      </c>
      <c r="R6964">
        <v>-0.99898310000000001</v>
      </c>
      <c r="S6964">
        <v>1.053558</v>
      </c>
      <c r="T6964">
        <v>-4.7468070000000001E-2</v>
      </c>
      <c r="U6964">
        <v>-2.9823</v>
      </c>
      <c r="V6964">
        <v>-8.7198529999999996E-2</v>
      </c>
      <c r="W6964">
        <v>5.1981680000000002E-2</v>
      </c>
      <c r="X6964">
        <v>0.99483379999999999</v>
      </c>
      <c r="Y6964">
        <v>-0.3924279</v>
      </c>
      <c r="Z6964">
        <v>1.4780150000000001E-2</v>
      </c>
      <c r="AA6964">
        <v>0.91966400000000004</v>
      </c>
      <c r="AB6964">
        <v>24</v>
      </c>
      <c r="AC6964">
        <v>1.053558</v>
      </c>
      <c r="AD6964">
        <v>-4.7468070000000001E-2</v>
      </c>
      <c r="AE6964">
        <v>-2.9823</v>
      </c>
      <c r="AF6964">
        <v>-1.2410565627113099</v>
      </c>
      <c r="AG6964">
        <v>-4.7468070000000001E-2</v>
      </c>
      <c r="AH6964">
        <v>2.9084998614736302</v>
      </c>
      <c r="AI6964">
        <v>90.860003921099207</v>
      </c>
      <c r="AJ6964">
        <v>113.10793709514</v>
      </c>
      <c r="AK6964">
        <v>3.16256953341906</v>
      </c>
      <c r="AL6964">
        <v>87.020326154334001</v>
      </c>
      <c r="AM6964">
        <v>95.009250563981098</v>
      </c>
      <c r="AN6964">
        <v>0.99999998415611102</v>
      </c>
    </row>
    <row r="6965" spans="1:40" x14ac:dyDescent="0.25">
      <c r="A6965" t="str">
        <f>"20190312160508719"</f>
        <v>20190312160508719</v>
      </c>
      <c r="B6965" t="str">
        <f>"1552377908712425"</f>
        <v>1552377908712425</v>
      </c>
      <c r="C6965" t="s">
        <v>40</v>
      </c>
      <c r="D6965">
        <v>5.9226679999999998</v>
      </c>
      <c r="E6965">
        <v>0.37906830000000002</v>
      </c>
      <c r="F6965" t="s">
        <v>118</v>
      </c>
      <c r="G6965">
        <v>-277.17500000000001</v>
      </c>
      <c r="H6965">
        <v>5.6102279999999997E-2</v>
      </c>
      <c r="I6965">
        <v>-101.3541</v>
      </c>
      <c r="J6965">
        <v>-301.3383</v>
      </c>
      <c r="K6965">
        <v>1.1114269999999999</v>
      </c>
      <c r="L6965">
        <v>-33.828519999999997</v>
      </c>
      <c r="M6965">
        <v>-6.2003370000000002E-2</v>
      </c>
      <c r="N6965">
        <v>0</v>
      </c>
      <c r="O6965">
        <v>-0.9979808</v>
      </c>
      <c r="P6965">
        <v>2.5822370000000001E-2</v>
      </c>
      <c r="Q6965">
        <v>3.910189E-2</v>
      </c>
      <c r="R6965">
        <v>-0.9989017</v>
      </c>
      <c r="S6965">
        <v>1.0619510000000001</v>
      </c>
      <c r="T6965">
        <v>-4.6405429999999998E-2</v>
      </c>
      <c r="U6965">
        <v>-2.9798580000000001</v>
      </c>
      <c r="V6965">
        <v>-8.7845110000000004E-2</v>
      </c>
      <c r="W6965">
        <v>5.2595000000000003E-2</v>
      </c>
      <c r="X6965">
        <v>0.99474470000000004</v>
      </c>
      <c r="Y6965">
        <v>-0.39342529999999998</v>
      </c>
      <c r="Z6965">
        <v>1.445309E-2</v>
      </c>
      <c r="AA6965">
        <v>0.91924300000000003</v>
      </c>
      <c r="AB6965">
        <v>23</v>
      </c>
      <c r="AC6965">
        <v>24.1632999999999</v>
      </c>
      <c r="AD6965">
        <v>-1.05532472</v>
      </c>
      <c r="AE6965">
        <v>-67.525579999999906</v>
      </c>
      <c r="AF6965">
        <v>-28.297883455556502</v>
      </c>
      <c r="AG6965">
        <v>-1.05532472</v>
      </c>
      <c r="AH6965">
        <v>65.883018417963598</v>
      </c>
      <c r="AI6965">
        <v>90.8432165601252</v>
      </c>
      <c r="AJ6965">
        <v>113.244350440555</v>
      </c>
      <c r="AK6965">
        <v>71.710919908969501</v>
      </c>
      <c r="AL6965">
        <v>86.985137439771606</v>
      </c>
      <c r="AM6965">
        <v>95.046652900790804</v>
      </c>
      <c r="AN6965">
        <v>1.0000000077769999</v>
      </c>
    </row>
    <row r="6966" spans="1:40" x14ac:dyDescent="0.25">
      <c r="A6966" t="str">
        <f>"20190312160508740"</f>
        <v>20190312160508740</v>
      </c>
      <c r="B6966" t="str">
        <f>"1552377908731948"</f>
        <v>1552377908731948</v>
      </c>
      <c r="C6966" t="s">
        <v>40</v>
      </c>
      <c r="D6966">
        <v>5.7852750000000004</v>
      </c>
      <c r="E6966">
        <v>0.4640629</v>
      </c>
      <c r="F6966" t="s">
        <v>45</v>
      </c>
      <c r="G6966">
        <v>0</v>
      </c>
      <c r="H6966">
        <v>0</v>
      </c>
      <c r="I6966">
        <v>0</v>
      </c>
      <c r="J6966">
        <v>-301.35050000000001</v>
      </c>
      <c r="K6966">
        <v>1.1114250000000001</v>
      </c>
      <c r="L6966">
        <v>-34.053890000000003</v>
      </c>
      <c r="M6966">
        <v>-6.0430850000000001E-2</v>
      </c>
      <c r="N6966">
        <v>0</v>
      </c>
      <c r="O6966">
        <v>-0.99807760000000001</v>
      </c>
      <c r="P6966">
        <v>2.7046339999999999E-2</v>
      </c>
      <c r="Q6966">
        <v>3.8971520000000003E-2</v>
      </c>
      <c r="R6966">
        <v>-0.9988745</v>
      </c>
      <c r="S6966">
        <v>1.0380549999999999</v>
      </c>
      <c r="T6966">
        <v>-5.0117969999999998E-2</v>
      </c>
      <c r="U6966">
        <v>-2.978424</v>
      </c>
      <c r="V6966">
        <v>-8.7496119999999997E-2</v>
      </c>
      <c r="W6966">
        <v>5.2463570000000001E-2</v>
      </c>
      <c r="X6966">
        <v>0.99478239999999996</v>
      </c>
      <c r="Y6966">
        <v>-0.38553680000000001</v>
      </c>
      <c r="Z6966">
        <v>1.5666010000000001E-2</v>
      </c>
      <c r="AA6966">
        <v>0.92255940000000003</v>
      </c>
      <c r="AB6966">
        <v>23</v>
      </c>
      <c r="AC6966">
        <v>1.0380549999999999</v>
      </c>
      <c r="AD6966">
        <v>-5.0117969999999998E-2</v>
      </c>
      <c r="AE6966">
        <v>-2.978424</v>
      </c>
      <c r="AF6966">
        <v>-1.21585622275728</v>
      </c>
      <c r="AG6966">
        <v>-5.0117969999999998E-2</v>
      </c>
      <c r="AH6966">
        <v>2.9095084864032801</v>
      </c>
      <c r="AI6966">
        <v>90.910560687784596</v>
      </c>
      <c r="AJ6966">
        <v>112.679591079416</v>
      </c>
      <c r="AK6966">
        <v>3.1537371161508099</v>
      </c>
      <c r="AL6966">
        <v>86.992678242468898</v>
      </c>
      <c r="AM6966">
        <v>95.026517018354696</v>
      </c>
      <c r="AN6966">
        <v>1.0000000102709701</v>
      </c>
    </row>
    <row r="6967" spans="1:40" x14ac:dyDescent="0.25">
      <c r="A6967" t="str">
        <f>"20190312160508764"</f>
        <v>20190312160508764</v>
      </c>
      <c r="B6967" t="str">
        <f>"1552377908752442"</f>
        <v>1552377908752442</v>
      </c>
      <c r="C6967" t="s">
        <v>40</v>
      </c>
      <c r="D6967">
        <v>5.8306899999999997</v>
      </c>
      <c r="E6967">
        <v>0.4701572</v>
      </c>
      <c r="F6967" t="s">
        <v>81</v>
      </c>
      <c r="G6967">
        <v>-297.35860000000002</v>
      </c>
      <c r="H6967" s="1">
        <v>-1.3535859999999999E-5</v>
      </c>
      <c r="I6967">
        <v>-66.991969999999995</v>
      </c>
      <c r="J6967">
        <v>-301.36279999999999</v>
      </c>
      <c r="K6967">
        <v>1.111424</v>
      </c>
      <c r="L6967">
        <v>-34.288789999999999</v>
      </c>
      <c r="M6967">
        <v>-5.8789889999999997E-2</v>
      </c>
      <c r="N6967">
        <v>0</v>
      </c>
      <c r="O6967">
        <v>-0.99817549999999999</v>
      </c>
      <c r="P6967">
        <v>2.82496E-2</v>
      </c>
      <c r="Q6967">
        <v>3.866613E-2</v>
      </c>
      <c r="R6967">
        <v>-0.99885270000000004</v>
      </c>
      <c r="S6967">
        <v>0.36328129999999997</v>
      </c>
      <c r="T6967">
        <v>-0.1011454</v>
      </c>
      <c r="U6967">
        <v>-2.9974980000000002</v>
      </c>
      <c r="V6967">
        <v>-8.7058269999999993E-2</v>
      </c>
      <c r="W6967">
        <v>5.2158339999999997E-2</v>
      </c>
      <c r="X6967">
        <v>0.99483690000000002</v>
      </c>
      <c r="Y6967">
        <v>-0.17840780000000001</v>
      </c>
      <c r="Z6967">
        <v>3.3244429999999998E-2</v>
      </c>
      <c r="AA6967">
        <v>0.98339489999999996</v>
      </c>
      <c r="AB6967">
        <v>23</v>
      </c>
      <c r="AC6967">
        <v>4.00419999999996</v>
      </c>
      <c r="AD6967">
        <v>-1.1114375358599999</v>
      </c>
      <c r="AE6967">
        <v>-32.703179999999897</v>
      </c>
      <c r="AF6967">
        <v>-5.9133422515029102</v>
      </c>
      <c r="AG6967">
        <v>-1.1114375358599999</v>
      </c>
      <c r="AH6967">
        <v>32.374335624642399</v>
      </c>
      <c r="AI6967">
        <v>91.934262250939796</v>
      </c>
      <c r="AJ6967">
        <v>100.351265160824</v>
      </c>
      <c r="AK6967">
        <v>32.928718728740698</v>
      </c>
      <c r="AL6967">
        <v>87.010190717820706</v>
      </c>
      <c r="AM6967">
        <v>95.001218510136795</v>
      </c>
      <c r="AN6967">
        <v>1.00000004620427</v>
      </c>
    </row>
    <row r="6968" spans="1:40" x14ac:dyDescent="0.25">
      <c r="A6968" t="str">
        <f>"20190312160508786"</f>
        <v>20190312160508786</v>
      </c>
      <c r="B6968" t="str">
        <f>"1552377908781722"</f>
        <v>1552377908781722</v>
      </c>
      <c r="C6968" t="s">
        <v>40</v>
      </c>
      <c r="D6968">
        <v>5.7374419999999997</v>
      </c>
      <c r="E6968">
        <v>0.47363240000000001</v>
      </c>
      <c r="F6968" t="s">
        <v>81</v>
      </c>
      <c r="G6968">
        <v>-297.5018</v>
      </c>
      <c r="H6968">
        <v>7.9986559999999998E-2</v>
      </c>
      <c r="I6968">
        <v>-70.602779999999996</v>
      </c>
      <c r="J6968">
        <v>-301.37470000000002</v>
      </c>
      <c r="K6968">
        <v>1.111424</v>
      </c>
      <c r="L6968">
        <v>-34.523530000000001</v>
      </c>
      <c r="M6968">
        <v>-5.7147169999999997E-2</v>
      </c>
      <c r="N6968">
        <v>0</v>
      </c>
      <c r="O6968">
        <v>-0.99827089999999996</v>
      </c>
      <c r="P6968">
        <v>2.992098E-2</v>
      </c>
      <c r="Q6968">
        <v>3.9336030000000001E-2</v>
      </c>
      <c r="R6968">
        <v>-0.99877800000000005</v>
      </c>
      <c r="S6968">
        <v>0.3187256</v>
      </c>
      <c r="T6968">
        <v>-8.5144880000000006E-2</v>
      </c>
      <c r="U6968">
        <v>-2.9977109999999998</v>
      </c>
      <c r="V6968">
        <v>-8.7086040000000003E-2</v>
      </c>
      <c r="W6968">
        <v>5.2825469999999999E-2</v>
      </c>
      <c r="X6968">
        <v>0.99479919999999999</v>
      </c>
      <c r="Y6968">
        <v>-0.16234470000000001</v>
      </c>
      <c r="Z6968">
        <v>2.8054840000000001E-2</v>
      </c>
      <c r="AA6968">
        <v>0.98633519999999997</v>
      </c>
      <c r="AB6968">
        <v>23</v>
      </c>
      <c r="AC6968">
        <v>3.8729000000000098</v>
      </c>
      <c r="AD6968">
        <v>-1.0314374399999999</v>
      </c>
      <c r="AE6968">
        <v>-36.079250000000002</v>
      </c>
      <c r="AF6968">
        <v>-5.9238056433345401</v>
      </c>
      <c r="AG6968">
        <v>-1.0314374399999999</v>
      </c>
      <c r="AH6968">
        <v>35.770029511029101</v>
      </c>
      <c r="AI6968">
        <v>91.629497989930101</v>
      </c>
      <c r="AJ6968">
        <v>99.403298392628002</v>
      </c>
      <c r="AK6968">
        <v>36.271894735628699</v>
      </c>
      <c r="AL6968">
        <v>86.971914010314293</v>
      </c>
      <c r="AM6968">
        <v>95.002994342483007</v>
      </c>
      <c r="AN6968">
        <v>0.99999997848212097</v>
      </c>
    </row>
    <row r="6969" spans="1:40" x14ac:dyDescent="0.25">
      <c r="A6969" t="str">
        <f>"20190312160508809"</f>
        <v>20190312160508809</v>
      </c>
      <c r="B6969" t="str">
        <f>"1552377908802218"</f>
        <v>1552377908802218</v>
      </c>
      <c r="C6969" t="s">
        <v>40</v>
      </c>
      <c r="D6969">
        <v>5.7823250000000002</v>
      </c>
      <c r="E6969">
        <v>0.4751784</v>
      </c>
      <c r="F6969" t="s">
        <v>43</v>
      </c>
      <c r="G6969">
        <v>-296.68279999999999</v>
      </c>
      <c r="H6969">
        <v>-0.05</v>
      </c>
      <c r="I6969">
        <v>-81.992859999999993</v>
      </c>
      <c r="J6969">
        <v>-301.3861</v>
      </c>
      <c r="K6969">
        <v>1.1114250000000001</v>
      </c>
      <c r="L6969">
        <v>-34.755769999999998</v>
      </c>
      <c r="M6969">
        <v>-5.5516610000000001E-2</v>
      </c>
      <c r="N6969">
        <v>0</v>
      </c>
      <c r="O6969">
        <v>-0.99836270000000005</v>
      </c>
      <c r="P6969">
        <v>3.1993130000000002E-2</v>
      </c>
      <c r="Q6969">
        <v>3.980885E-2</v>
      </c>
      <c r="R6969">
        <v>-0.99869450000000004</v>
      </c>
      <c r="S6969">
        <v>0.29629519999999998</v>
      </c>
      <c r="T6969">
        <v>-7.3343749999999999E-2</v>
      </c>
      <c r="U6969">
        <v>-2.997681</v>
      </c>
      <c r="V6969">
        <v>-8.752501E-2</v>
      </c>
      <c r="W6969">
        <v>5.3294019999999998E-2</v>
      </c>
      <c r="X6969">
        <v>0.9947357</v>
      </c>
      <c r="Y6969">
        <v>-0.15343409999999999</v>
      </c>
      <c r="Z6969">
        <v>2.4199120000000001E-2</v>
      </c>
      <c r="AA6969">
        <v>0.98786249999999998</v>
      </c>
      <c r="AB6969">
        <v>23</v>
      </c>
      <c r="AC6969">
        <v>4.7033000000000103</v>
      </c>
      <c r="AD6969">
        <v>-1.1614249999999999</v>
      </c>
      <c r="AE6969">
        <v>-47.237090000000002</v>
      </c>
      <c r="AF6969">
        <v>-7.3143587381923503</v>
      </c>
      <c r="AG6969">
        <v>-1.1614249999999999</v>
      </c>
      <c r="AH6969">
        <v>46.875030273648697</v>
      </c>
      <c r="AI6969">
        <v>91.402366957617303</v>
      </c>
      <c r="AJ6969">
        <v>98.868888371452698</v>
      </c>
      <c r="AK6969">
        <v>47.456477059902802</v>
      </c>
      <c r="AL6969">
        <v>86.9450302566256</v>
      </c>
      <c r="AM6969">
        <v>95.028403045319905</v>
      </c>
      <c r="AN6969">
        <v>0.99999999639887505</v>
      </c>
    </row>
    <row r="6970" spans="1:40" x14ac:dyDescent="0.25">
      <c r="A6970" t="str">
        <f>"20190312160508830"</f>
        <v>20190312160508830</v>
      </c>
      <c r="B6970" t="str">
        <f>"1552377908821738"</f>
        <v>1552377908821738</v>
      </c>
      <c r="C6970" t="s">
        <v>40</v>
      </c>
      <c r="D6970">
        <v>5.7023250000000001</v>
      </c>
      <c r="E6970">
        <v>0.47707040000000001</v>
      </c>
      <c r="F6970" t="s">
        <v>81</v>
      </c>
      <c r="G6970">
        <v>-297.62790000000001</v>
      </c>
      <c r="H6970">
        <v>7.9986570000000007E-2</v>
      </c>
      <c r="I6970">
        <v>-73.595460000000003</v>
      </c>
      <c r="J6970">
        <v>-301.39690000000002</v>
      </c>
      <c r="K6970">
        <v>1.111429</v>
      </c>
      <c r="L6970">
        <v>-34.98413</v>
      </c>
      <c r="M6970">
        <v>-5.3905649999999999E-2</v>
      </c>
      <c r="N6970">
        <v>0</v>
      </c>
      <c r="O6970">
        <v>-0.99845110000000004</v>
      </c>
      <c r="P6970">
        <v>3.2999670000000002E-2</v>
      </c>
      <c r="Q6970">
        <v>3.9665159999999998E-2</v>
      </c>
      <c r="R6970">
        <v>-0.99866809999999995</v>
      </c>
      <c r="S6970">
        <v>0.29006959999999998</v>
      </c>
      <c r="T6970">
        <v>-7.9610589999999995E-2</v>
      </c>
      <c r="U6970">
        <v>-2.9978030000000002</v>
      </c>
      <c r="V6970">
        <v>-8.6922769999999996E-2</v>
      </c>
      <c r="W6970">
        <v>5.3149740000000001E-2</v>
      </c>
      <c r="X6970">
        <v>0.99479620000000002</v>
      </c>
      <c r="Y6970">
        <v>-0.1497976</v>
      </c>
      <c r="Z6970">
        <v>2.62779E-2</v>
      </c>
      <c r="AA6970">
        <v>0.98836740000000001</v>
      </c>
      <c r="AB6970">
        <v>23</v>
      </c>
      <c r="AC6970">
        <v>3.7690000000000001</v>
      </c>
      <c r="AD6970">
        <v>-1.03144243</v>
      </c>
      <c r="AE6970">
        <v>-38.611330000000002</v>
      </c>
      <c r="AF6970">
        <v>-5.8409563049983797</v>
      </c>
      <c r="AG6970">
        <v>-1.03144243</v>
      </c>
      <c r="AH6970">
        <v>38.324899240411</v>
      </c>
      <c r="AI6970">
        <v>91.524045803050598</v>
      </c>
      <c r="AJ6970">
        <v>98.665555094514403</v>
      </c>
      <c r="AK6970">
        <v>38.781162254772099</v>
      </c>
      <c r="AL6970">
        <v>86.953308547631806</v>
      </c>
      <c r="AM6970">
        <v>94.993677120787297</v>
      </c>
      <c r="AN6970">
        <v>0.999999971170489</v>
      </c>
    </row>
    <row r="6971" spans="1:40" x14ac:dyDescent="0.25">
      <c r="A6971" t="str">
        <f>"20190312160508851"</f>
        <v>20190312160508851</v>
      </c>
      <c r="B6971" t="str">
        <f>"1552377908842233"</f>
        <v>1552377908842233</v>
      </c>
      <c r="C6971" t="s">
        <v>40</v>
      </c>
      <c r="D6971">
        <v>5.7858519999999896</v>
      </c>
      <c r="E6971">
        <v>0.47748629999999997</v>
      </c>
      <c r="F6971" t="s">
        <v>81</v>
      </c>
      <c r="G6971">
        <v>-298.11970000000002</v>
      </c>
      <c r="H6971">
        <v>4.3356680000000002E-2</v>
      </c>
      <c r="I6971">
        <v>-70.383709999999994</v>
      </c>
      <c r="J6971">
        <v>-301.4074</v>
      </c>
      <c r="K6971">
        <v>1.1114269999999999</v>
      </c>
      <c r="L6971">
        <v>-35.213650000000001</v>
      </c>
      <c r="M6971">
        <v>-5.2279930000000002E-2</v>
      </c>
      <c r="N6971">
        <v>0</v>
      </c>
      <c r="O6971">
        <v>-0.99853749999999997</v>
      </c>
      <c r="P6971">
        <v>3.3709910000000003E-2</v>
      </c>
      <c r="Q6971">
        <v>4.0097929999999997E-2</v>
      </c>
      <c r="R6971">
        <v>-0.99862689999999998</v>
      </c>
      <c r="S6971">
        <v>0.2775879</v>
      </c>
      <c r="T6971">
        <v>-9.0467809999999996E-2</v>
      </c>
      <c r="U6971">
        <v>-2.9984130000000002</v>
      </c>
      <c r="V6971">
        <v>-8.6010470000000006E-2</v>
      </c>
      <c r="W6971">
        <v>5.3582079999999997E-2</v>
      </c>
      <c r="X6971">
        <v>0.99485230000000002</v>
      </c>
      <c r="Y6971">
        <v>-0.14407890000000001</v>
      </c>
      <c r="Z6971">
        <v>2.987509E-2</v>
      </c>
      <c r="AA6971">
        <v>0.98911510000000002</v>
      </c>
      <c r="AB6971">
        <v>23</v>
      </c>
      <c r="AC6971">
        <v>3.2876999999999699</v>
      </c>
      <c r="AD6971">
        <v>-1.0680703199999999</v>
      </c>
      <c r="AE6971">
        <v>-35.1700599999999</v>
      </c>
      <c r="AF6971">
        <v>-5.1173871100189503</v>
      </c>
      <c r="AG6971">
        <v>-1.0680703199999999</v>
      </c>
      <c r="AH6971">
        <v>34.918133076708997</v>
      </c>
      <c r="AI6971">
        <v>91.733502226901905</v>
      </c>
      <c r="AJ6971">
        <v>98.337564118966</v>
      </c>
      <c r="AK6971">
        <v>35.307285970533201</v>
      </c>
      <c r="AL6971">
        <v>86.928501935559296</v>
      </c>
      <c r="AM6971">
        <v>94.941249470742505</v>
      </c>
      <c r="AN6971">
        <v>0.999999969531018</v>
      </c>
    </row>
    <row r="6972" spans="1:40" x14ac:dyDescent="0.25">
      <c r="A6972" t="str">
        <f>"20190312160508875"</f>
        <v>20190312160508875</v>
      </c>
      <c r="B6972" t="str">
        <f>"1552377908861754"</f>
        <v>1552377908861754</v>
      </c>
      <c r="C6972" t="s">
        <v>40</v>
      </c>
      <c r="D6972">
        <v>5.7932779999999999</v>
      </c>
      <c r="E6972">
        <v>0.4780702</v>
      </c>
      <c r="F6972" t="s">
        <v>81</v>
      </c>
      <c r="G6972">
        <v>-298.06950000000001</v>
      </c>
      <c r="H6972">
        <v>7.9986559999999998E-2</v>
      </c>
      <c r="I6972">
        <v>-71.401250000000005</v>
      </c>
      <c r="J6972">
        <v>-301.41759999999999</v>
      </c>
      <c r="K6972">
        <v>1.1114360000000001</v>
      </c>
      <c r="L6972">
        <v>-35.447270000000003</v>
      </c>
      <c r="M6972">
        <v>-5.0613489999999997E-2</v>
      </c>
      <c r="N6972">
        <v>0</v>
      </c>
      <c r="O6972">
        <v>-0.99862359999999994</v>
      </c>
      <c r="P6972">
        <v>3.4920519999999997E-2</v>
      </c>
      <c r="Q6972">
        <v>4.1218049999999999E-2</v>
      </c>
      <c r="R6972">
        <v>-0.99853999999999998</v>
      </c>
      <c r="S6972">
        <v>0.27655030000000003</v>
      </c>
      <c r="T6972">
        <v>-8.5457320000000003E-2</v>
      </c>
      <c r="U6972">
        <v>-2.99823</v>
      </c>
      <c r="V6972">
        <v>-8.5556989999999999E-2</v>
      </c>
      <c r="W6972">
        <v>5.4700070000000003E-2</v>
      </c>
      <c r="X6972">
        <v>0.99483060000000001</v>
      </c>
      <c r="Y6972">
        <v>-0.1420978</v>
      </c>
      <c r="Z6972">
        <v>2.8231760000000002E-2</v>
      </c>
      <c r="AA6972">
        <v>0.98944989999999999</v>
      </c>
      <c r="AB6972">
        <v>23</v>
      </c>
      <c r="AC6972">
        <v>3.3480999999999801</v>
      </c>
      <c r="AD6972">
        <v>-1.0314494400000001</v>
      </c>
      <c r="AE6972">
        <v>-35.953980000000001</v>
      </c>
      <c r="AF6972">
        <v>-5.1595267386185499</v>
      </c>
      <c r="AG6972">
        <v>-1.0314494400000001</v>
      </c>
      <c r="AH6972">
        <v>35.709278356313902</v>
      </c>
      <c r="AI6972">
        <v>91.637512531067898</v>
      </c>
      <c r="AJ6972">
        <v>98.221598027850703</v>
      </c>
      <c r="AK6972">
        <v>36.094835708761799</v>
      </c>
      <c r="AL6972">
        <v>86.864351857638795</v>
      </c>
      <c r="AM6972">
        <v>94.915431981916797</v>
      </c>
      <c r="AN6972">
        <v>1.0000000094461099</v>
      </c>
    </row>
    <row r="6973" spans="1:40" x14ac:dyDescent="0.25">
      <c r="A6973" t="str">
        <f>"20190312160508897"</f>
        <v>20190312160508897</v>
      </c>
      <c r="B6973" t="str">
        <f>"1552377908892013"</f>
        <v>1552377908892013</v>
      </c>
      <c r="C6973" t="s">
        <v>40</v>
      </c>
      <c r="D6973">
        <v>5.549836</v>
      </c>
      <c r="E6973">
        <v>0.48043649999999999</v>
      </c>
      <c r="F6973" t="s">
        <v>43</v>
      </c>
      <c r="G6973">
        <v>-297.28190000000001</v>
      </c>
      <c r="H6973">
        <v>-0.05</v>
      </c>
      <c r="I6973">
        <v>-80.429259999999999</v>
      </c>
      <c r="J6973">
        <v>-301.4273</v>
      </c>
      <c r="K6973">
        <v>1.1114409999999999</v>
      </c>
      <c r="L6973">
        <v>-35.677309999999999</v>
      </c>
      <c r="M6973">
        <v>-4.8954640000000001E-2</v>
      </c>
      <c r="N6973">
        <v>0</v>
      </c>
      <c r="O6973">
        <v>-0.99870610000000004</v>
      </c>
      <c r="P6973">
        <v>3.696381E-2</v>
      </c>
      <c r="Q6973">
        <v>4.21471E-2</v>
      </c>
      <c r="R6973">
        <v>-0.99842730000000002</v>
      </c>
      <c r="S6973">
        <v>0.27563480000000001</v>
      </c>
      <c r="T6973">
        <v>-7.7407240000000002E-2</v>
      </c>
      <c r="U6973">
        <v>-2.9979550000000001</v>
      </c>
      <c r="V6973">
        <v>-8.5942039999999997E-2</v>
      </c>
      <c r="W6973">
        <v>5.5623249999999999E-2</v>
      </c>
      <c r="X6973">
        <v>0.99474620000000002</v>
      </c>
      <c r="Y6973">
        <v>-0.1401686</v>
      </c>
      <c r="Z6973">
        <v>2.558361E-2</v>
      </c>
      <c r="AA6973">
        <v>0.98979709999999999</v>
      </c>
      <c r="AB6973">
        <v>23</v>
      </c>
      <c r="AC6973">
        <v>4.1453999999999898</v>
      </c>
      <c r="AD6973">
        <v>-1.1614409999999999</v>
      </c>
      <c r="AE6973">
        <v>-44.751950000000001</v>
      </c>
      <c r="AF6973">
        <v>-6.3272265680478901</v>
      </c>
      <c r="AG6973">
        <v>-1.1614409999999999</v>
      </c>
      <c r="AH6973">
        <v>44.465631488623401</v>
      </c>
      <c r="AI6973">
        <v>91.481309163448202</v>
      </c>
      <c r="AJ6973">
        <v>98.098522411622795</v>
      </c>
      <c r="AK6973">
        <v>44.928555784956501</v>
      </c>
      <c r="AL6973">
        <v>86.811376822813401</v>
      </c>
      <c r="AM6973">
        <v>94.937861663849105</v>
      </c>
      <c r="AN6973">
        <v>0.99999999129718198</v>
      </c>
    </row>
    <row r="6974" spans="1:40" x14ac:dyDescent="0.25">
      <c r="A6974" t="str">
        <f>"20190312160508919"</f>
        <v>20190312160508919</v>
      </c>
      <c r="B6974" t="str">
        <f>"1552377908912506"</f>
        <v>1552377908912506</v>
      </c>
      <c r="C6974" t="s">
        <v>40</v>
      </c>
      <c r="D6974">
        <v>5.2382039999999996</v>
      </c>
      <c r="E6974">
        <v>0.48043649999999999</v>
      </c>
      <c r="F6974" t="s">
        <v>81</v>
      </c>
      <c r="G6974">
        <v>-300.1816</v>
      </c>
      <c r="H6974" s="1">
        <v>-5.594817E-6</v>
      </c>
      <c r="I6974">
        <v>-50.104179999999999</v>
      </c>
      <c r="J6974">
        <v>-301.4366</v>
      </c>
      <c r="K6974">
        <v>1.1114520000000001</v>
      </c>
      <c r="L6974">
        <v>-35.907809999999998</v>
      </c>
      <c r="M6974">
        <v>-4.726404E-2</v>
      </c>
      <c r="N6974">
        <v>0</v>
      </c>
      <c r="O6974">
        <v>-0.99878789999999995</v>
      </c>
      <c r="P6974">
        <v>3.8155420000000002E-2</v>
      </c>
      <c r="Q6974">
        <v>4.2172510000000003E-2</v>
      </c>
      <c r="R6974">
        <v>-0.99838170000000004</v>
      </c>
      <c r="S6974">
        <v>0.25946039999999998</v>
      </c>
      <c r="T6974">
        <v>-0.23149620000000001</v>
      </c>
      <c r="U6974">
        <v>-3.004883</v>
      </c>
      <c r="V6974">
        <v>-8.5447200000000001E-2</v>
      </c>
      <c r="W6974">
        <v>5.5645630000000001E-2</v>
      </c>
      <c r="X6974">
        <v>0.99478759999999999</v>
      </c>
      <c r="Y6974">
        <v>-0.13277229999999901</v>
      </c>
      <c r="Z6974">
        <v>7.6202469999999994E-2</v>
      </c>
      <c r="AA6974">
        <v>0.98821289999999995</v>
      </c>
      <c r="AB6974">
        <v>23</v>
      </c>
      <c r="AC6974">
        <v>1.2549999999999899</v>
      </c>
      <c r="AD6974">
        <v>-1.111457594817</v>
      </c>
      <c r="AE6974">
        <v>-14.19637</v>
      </c>
      <c r="AF6974">
        <v>-1.9130033570237199</v>
      </c>
      <c r="AG6974">
        <v>-1.111457594817</v>
      </c>
      <c r="AH6974">
        <v>14.0358130200852</v>
      </c>
      <c r="AI6974">
        <v>94.486341793951297</v>
      </c>
      <c r="AJ6974">
        <v>97.761274026584005</v>
      </c>
      <c r="AK6974">
        <v>14.209115629195701</v>
      </c>
      <c r="AL6974">
        <v>86.810092628662105</v>
      </c>
      <c r="AM6974">
        <v>94.909366319385001</v>
      </c>
      <c r="AN6974">
        <v>1.00000001461984</v>
      </c>
    </row>
    <row r="6975" spans="1:40" x14ac:dyDescent="0.25">
      <c r="A6975" t="str">
        <f>"20190312160508987"</f>
        <v>20190312160508987</v>
      </c>
      <c r="B6975" t="str">
        <f>"1552377908982399"</f>
        <v>1552377908982399</v>
      </c>
      <c r="C6975" t="s">
        <v>40</v>
      </c>
      <c r="D6975">
        <v>5.7957359999999998</v>
      </c>
      <c r="E6975">
        <v>0.482742</v>
      </c>
      <c r="F6975" t="s">
        <v>81</v>
      </c>
      <c r="G6975">
        <v>-300.17039999999997</v>
      </c>
      <c r="H6975" s="1">
        <v>-5.71751899999999E-6</v>
      </c>
      <c r="I6975">
        <v>-50.346269999999997</v>
      </c>
      <c r="J6975">
        <v>-301.46199999999999</v>
      </c>
      <c r="K6975">
        <v>1.111575</v>
      </c>
      <c r="L6975">
        <v>-36.598790000000001</v>
      </c>
      <c r="M6975">
        <v>-4.1920770000000003E-2</v>
      </c>
      <c r="N6975">
        <v>0</v>
      </c>
      <c r="O6975">
        <v>-0.99902639999999998</v>
      </c>
      <c r="P6975">
        <v>4.319274E-2</v>
      </c>
      <c r="Q6975">
        <v>4.6007470000000002E-2</v>
      </c>
      <c r="R6975">
        <v>-0.99800710000000004</v>
      </c>
      <c r="S6975">
        <v>0.26348880000000002</v>
      </c>
      <c r="T6975">
        <v>-0.23128679999999999</v>
      </c>
      <c r="U6975">
        <v>-3.0045470000000001</v>
      </c>
      <c r="V6975">
        <v>-8.5161399999999998E-2</v>
      </c>
      <c r="W6975">
        <v>5.9455420000000002E-2</v>
      </c>
      <c r="X6975">
        <v>0.99459169999999997</v>
      </c>
      <c r="Y6975">
        <v>-0.1287944</v>
      </c>
      <c r="Z6975">
        <v>7.6185500000000003E-2</v>
      </c>
      <c r="AA6975">
        <v>0.98874050000000002</v>
      </c>
      <c r="AB6975">
        <v>23</v>
      </c>
      <c r="AC6975">
        <v>1.2916000000000101</v>
      </c>
      <c r="AD6975">
        <v>-1.111580717519</v>
      </c>
      <c r="AE6975">
        <v>-13.747479999999999</v>
      </c>
      <c r="AF6975">
        <v>-1.8548034284080299</v>
      </c>
      <c r="AG6975">
        <v>-1.111580717519</v>
      </c>
      <c r="AH6975">
        <v>13.5931502821502</v>
      </c>
      <c r="AI6975">
        <v>94.632228365145394</v>
      </c>
      <c r="AJ6975">
        <v>97.770098684237695</v>
      </c>
      <c r="AK6975">
        <v>13.764070693029501</v>
      </c>
      <c r="AL6975">
        <v>86.5914452766918</v>
      </c>
      <c r="AM6975">
        <v>94.893984618663296</v>
      </c>
      <c r="AN6975">
        <v>1.00000003036311</v>
      </c>
    </row>
    <row r="6976" spans="1:40" x14ac:dyDescent="0.25">
      <c r="A6976" t="str">
        <f>"20190312160509009"</f>
        <v>20190312160509009</v>
      </c>
      <c r="B6976" t="str">
        <f>"1552377909001919"</f>
        <v>1552377909001919</v>
      </c>
      <c r="C6976" t="s">
        <v>40</v>
      </c>
      <c r="D6976">
        <v>7.0208329999999997</v>
      </c>
      <c r="E6976">
        <v>0.482742</v>
      </c>
      <c r="F6976" t="s">
        <v>49</v>
      </c>
      <c r="G6976">
        <v>-301.40929999999997</v>
      </c>
      <c r="H6976">
        <v>0.86954679999999995</v>
      </c>
      <c r="I6976">
        <v>-37.259729999999998</v>
      </c>
      <c r="J6976">
        <v>-301.46949999999998</v>
      </c>
      <c r="K6976">
        <v>1.1116269999999999</v>
      </c>
      <c r="L6976">
        <v>-36.8309</v>
      </c>
      <c r="M6976">
        <v>-3.9993420000000002E-2</v>
      </c>
      <c r="N6976">
        <v>0</v>
      </c>
      <c r="O6976">
        <v>-0.99910529999999997</v>
      </c>
      <c r="P6976">
        <v>4.562037E-2</v>
      </c>
      <c r="Q6976">
        <v>4.6977850000000002E-2</v>
      </c>
      <c r="R6976">
        <v>-0.99785349999999995</v>
      </c>
      <c r="S6976">
        <v>0.24383540000000001</v>
      </c>
      <c r="T6976">
        <v>-1.11592</v>
      </c>
      <c r="U6976">
        <v>-3.046875</v>
      </c>
      <c r="V6976">
        <v>-8.5669609999999993E-2</v>
      </c>
      <c r="W6976">
        <v>6.0412149999999998E-2</v>
      </c>
      <c r="X6976">
        <v>0.9944904</v>
      </c>
      <c r="Y6976">
        <v>-0.11475929999999999</v>
      </c>
      <c r="Z6976">
        <v>0.3418717</v>
      </c>
      <c r="AA6976">
        <v>0.93271329999999997</v>
      </c>
      <c r="AB6976">
        <v>23</v>
      </c>
      <c r="AC6976">
        <v>6.0200000000008899E-2</v>
      </c>
      <c r="AD6976">
        <v>-0.2420802</v>
      </c>
      <c r="AE6976">
        <v>-0.42882999999999699</v>
      </c>
      <c r="AF6976">
        <v>-5.8897419726607503E-2</v>
      </c>
      <c r="AG6976">
        <v>-0.2420802</v>
      </c>
      <c r="AH6976">
        <v>0.32462758067094599</v>
      </c>
      <c r="AI6976">
        <v>126.268918954474</v>
      </c>
      <c r="AJ6976">
        <v>100.28335616422299</v>
      </c>
      <c r="AK6976">
        <v>0.409212408676428</v>
      </c>
      <c r="AL6976">
        <v>86.536529975387694</v>
      </c>
      <c r="AM6976">
        <v>94.923545900525994</v>
      </c>
      <c r="AN6976">
        <v>1.00000003281866</v>
      </c>
    </row>
    <row r="6977" spans="1:40" x14ac:dyDescent="0.25">
      <c r="A6977" t="str">
        <f>"20190312160509032"</f>
        <v>20190312160509032</v>
      </c>
      <c r="B6977" t="str">
        <f>"1552377909022415"</f>
        <v>1552377909022415</v>
      </c>
      <c r="C6977" t="s">
        <v>40</v>
      </c>
      <c r="D6977">
        <v>5.6101039999999998</v>
      </c>
      <c r="E6977">
        <v>0.46650009999999997</v>
      </c>
      <c r="F6977" t="s">
        <v>41</v>
      </c>
      <c r="G6977">
        <v>-301.21859999999998</v>
      </c>
      <c r="H6977" s="1">
        <v>-5.542774E-7</v>
      </c>
      <c r="I6977">
        <v>-39.874670000000002</v>
      </c>
      <c r="J6977">
        <v>-301.47629999999998</v>
      </c>
      <c r="K6977">
        <v>1.1116729999999999</v>
      </c>
      <c r="L6977">
        <v>-37.054960000000001</v>
      </c>
      <c r="M6977">
        <v>-3.8063529999999998E-2</v>
      </c>
      <c r="N6977">
        <v>0</v>
      </c>
      <c r="O6977">
        <v>-0.99918099999999999</v>
      </c>
      <c r="P6977">
        <v>4.7301210000000003E-2</v>
      </c>
      <c r="Q6977">
        <v>4.7137459999999999E-2</v>
      </c>
      <c r="R6977">
        <v>-0.99776819999999999</v>
      </c>
      <c r="S6977">
        <v>0.25119019999999997</v>
      </c>
      <c r="T6977">
        <v>-1.1129420000000001</v>
      </c>
      <c r="U6977">
        <v>-3.0473629999999998</v>
      </c>
      <c r="V6977">
        <v>-8.5430790000000006E-2</v>
      </c>
      <c r="W6977">
        <v>6.0560639999999999E-2</v>
      </c>
      <c r="X6977">
        <v>0.99450190000000005</v>
      </c>
      <c r="Y6977">
        <v>-0.11509229999999999</v>
      </c>
      <c r="Z6977">
        <v>0.34102090000000002</v>
      </c>
      <c r="AA6977">
        <v>0.93298369999999997</v>
      </c>
      <c r="AB6977">
        <v>23</v>
      </c>
      <c r="AC6977">
        <v>0.25769999999999899</v>
      </c>
      <c r="AD6977">
        <v>-1.1116735542773999</v>
      </c>
      <c r="AE6977">
        <v>-2.8197100000000002</v>
      </c>
      <c r="AF6977">
        <v>-0.31612234230658498</v>
      </c>
      <c r="AG6977">
        <v>-1.1116735542773999</v>
      </c>
      <c r="AH6977">
        <v>2.4328425328182299</v>
      </c>
      <c r="AI6977">
        <v>114.376939047926</v>
      </c>
      <c r="AJ6977">
        <v>97.403503316271795</v>
      </c>
      <c r="AK6977">
        <v>2.6934131164889199</v>
      </c>
      <c r="AL6977">
        <v>86.528006474711603</v>
      </c>
      <c r="AM6977">
        <v>94.909831288756195</v>
      </c>
      <c r="AN6977">
        <v>1.00000002005042</v>
      </c>
    </row>
    <row r="6978" spans="1:40" x14ac:dyDescent="0.25">
      <c r="A6978" t="str">
        <f>"20190312160509053"</f>
        <v>20190312160509053</v>
      </c>
      <c r="B6978" t="str">
        <f>"1552377909041935"</f>
        <v>1552377909041935</v>
      </c>
      <c r="C6978" t="s">
        <v>40</v>
      </c>
      <c r="D6978">
        <v>5.3864450000000001</v>
      </c>
      <c r="E6978">
        <v>0.47837570000000001</v>
      </c>
      <c r="F6978" t="s">
        <v>81</v>
      </c>
      <c r="G6978">
        <v>-300.25479999999999</v>
      </c>
      <c r="H6978" s="1">
        <v>-3.6320090000000002E-6</v>
      </c>
      <c r="I6978">
        <v>-46.243679999999998</v>
      </c>
      <c r="J6978">
        <v>-301.48250000000002</v>
      </c>
      <c r="K6978">
        <v>1.1117049999999999</v>
      </c>
      <c r="L6978">
        <v>-37.280909999999999</v>
      </c>
      <c r="M6978">
        <v>-3.6058510000000002E-2</v>
      </c>
      <c r="N6978">
        <v>0</v>
      </c>
      <c r="O6978">
        <v>-0.99925509999999995</v>
      </c>
      <c r="P6978">
        <v>4.8681950000000002E-2</v>
      </c>
      <c r="Q6978">
        <v>4.7175010000000003E-2</v>
      </c>
      <c r="R6978">
        <v>-0.99769949999999996</v>
      </c>
      <c r="S6978">
        <v>0.39944459999999998</v>
      </c>
      <c r="T6978">
        <v>-0.36354989999999998</v>
      </c>
      <c r="U6978">
        <v>-3.0049739999999998</v>
      </c>
      <c r="V6978">
        <v>-8.4816520000000006E-2</v>
      </c>
      <c r="W6978">
        <v>6.0588250000000003E-2</v>
      </c>
      <c r="X6978">
        <v>0.99455280000000001</v>
      </c>
      <c r="Y6978">
        <v>-0.16649749999999999</v>
      </c>
      <c r="Z6978">
        <v>0.1186364</v>
      </c>
      <c r="AA6978">
        <v>0.97887900000000005</v>
      </c>
      <c r="AB6978">
        <v>23</v>
      </c>
      <c r="AC6978">
        <v>1.22770000000002</v>
      </c>
      <c r="AD6978">
        <v>-1.1117086320089999</v>
      </c>
      <c r="AE6978">
        <v>-8.9627699999999901</v>
      </c>
      <c r="AF6978">
        <v>-1.52705508561648</v>
      </c>
      <c r="AG6978">
        <v>-1.1117086320089999</v>
      </c>
      <c r="AH6978">
        <v>8.7800734413506802</v>
      </c>
      <c r="AI6978">
        <v>97.110606758198202</v>
      </c>
      <c r="AJ6978">
        <v>99.866350352349798</v>
      </c>
      <c r="AK6978">
        <v>8.98095111625166</v>
      </c>
      <c r="AL6978">
        <v>86.526421645360699</v>
      </c>
      <c r="AM6978">
        <v>94.874450748636903</v>
      </c>
      <c r="AN6978">
        <v>1.0000000250454</v>
      </c>
    </row>
    <row r="6979" spans="1:40" x14ac:dyDescent="0.25">
      <c r="A6979" t="str">
        <f>"20190312160509076"</f>
        <v>20190312160509076</v>
      </c>
      <c r="B6979" t="str">
        <f>"1552377909072242"</f>
        <v>1552377909072242</v>
      </c>
      <c r="C6979" t="s">
        <v>40</v>
      </c>
      <c r="D6979">
        <v>5.4694690000000001</v>
      </c>
      <c r="E6979">
        <v>0.4854039</v>
      </c>
      <c r="F6979" t="s">
        <v>81</v>
      </c>
      <c r="G6979">
        <v>-300.3716</v>
      </c>
      <c r="H6979" s="1">
        <v>-4.5635340000000001E-6</v>
      </c>
      <c r="I6979">
        <v>-48.058570000000003</v>
      </c>
      <c r="J6979">
        <v>-301.48840000000001</v>
      </c>
      <c r="K6979">
        <v>1.111742</v>
      </c>
      <c r="L6979">
        <v>-37.509799999999998</v>
      </c>
      <c r="M6979">
        <v>-3.3971429999999997E-2</v>
      </c>
      <c r="N6979">
        <v>0</v>
      </c>
      <c r="O6979">
        <v>-0.99932840000000001</v>
      </c>
      <c r="P6979">
        <v>5.0858210000000001E-2</v>
      </c>
      <c r="Q6979">
        <v>4.7478230000000003E-2</v>
      </c>
      <c r="R6979">
        <v>-0.99757680000000004</v>
      </c>
      <c r="S6979">
        <v>0.30990600000000001</v>
      </c>
      <c r="T6979">
        <v>-0.31011270000000002</v>
      </c>
      <c r="U6979">
        <v>-3.0064389999999999</v>
      </c>
      <c r="V6979">
        <v>-8.4914130000000004E-2</v>
      </c>
      <c r="W6979">
        <v>6.0877630000000002E-2</v>
      </c>
      <c r="X6979">
        <v>0.99452680000000004</v>
      </c>
      <c r="Y6979">
        <v>-0.13574020000000001</v>
      </c>
      <c r="Z6979">
        <v>0.1017742</v>
      </c>
      <c r="AA6979">
        <v>0.98550320000000002</v>
      </c>
      <c r="AB6979">
        <v>23</v>
      </c>
      <c r="AC6979">
        <v>1.11680000000001</v>
      </c>
      <c r="AD6979">
        <v>-1.111746563534</v>
      </c>
      <c r="AE6979">
        <v>-10.548769999999999</v>
      </c>
      <c r="AF6979">
        <v>-1.4585251936663599</v>
      </c>
      <c r="AG6979">
        <v>-1.111746563534</v>
      </c>
      <c r="AH6979">
        <v>10.3906051034137</v>
      </c>
      <c r="AI6979">
        <v>96.048298454541296</v>
      </c>
      <c r="AJ6979">
        <v>97.990379381712401</v>
      </c>
      <c r="AK6979">
        <v>10.5512061195474</v>
      </c>
      <c r="AL6979">
        <v>86.509810732128898</v>
      </c>
      <c r="AM6979">
        <v>94.8801603353795</v>
      </c>
      <c r="AN6979">
        <v>1.00000002561315</v>
      </c>
    </row>
    <row r="6980" spans="1:40" x14ac:dyDescent="0.25">
      <c r="A6980" t="str">
        <f>"20190312160509098"</f>
        <v>20190312160509098</v>
      </c>
      <c r="B6980" t="str">
        <f>"1552377909091758"</f>
        <v>1552377909091758</v>
      </c>
      <c r="C6980" t="s">
        <v>40</v>
      </c>
      <c r="D6980">
        <v>5.5239710000000004</v>
      </c>
      <c r="E6980">
        <v>0.48726219999999998</v>
      </c>
      <c r="F6980" t="s">
        <v>81</v>
      </c>
      <c r="G6980">
        <v>-300.5401</v>
      </c>
      <c r="H6980" s="1">
        <v>-4.7835489999999999E-6</v>
      </c>
      <c r="I6980">
        <v>-48.471179999999997</v>
      </c>
      <c r="J6980">
        <v>-301.49369999999999</v>
      </c>
      <c r="K6980">
        <v>1.1117680000000001</v>
      </c>
      <c r="L6980">
        <v>-37.738399999999999</v>
      </c>
      <c r="M6980">
        <v>-3.1832899999999997E-2</v>
      </c>
      <c r="N6980">
        <v>0</v>
      </c>
      <c r="O6980">
        <v>-0.99939920000000004</v>
      </c>
      <c r="P6980">
        <v>5.3098569999999998E-2</v>
      </c>
      <c r="Q6980">
        <v>4.7478630000000001E-2</v>
      </c>
      <c r="R6980">
        <v>-0.99746020000000002</v>
      </c>
      <c r="S6980">
        <v>0.26028440000000003</v>
      </c>
      <c r="T6980">
        <v>-0.30513849999999998</v>
      </c>
      <c r="U6980">
        <v>-3.0085449999999998</v>
      </c>
      <c r="V6980">
        <v>-8.5023299999999996E-2</v>
      </c>
      <c r="W6980">
        <v>6.0859539999999997E-2</v>
      </c>
      <c r="X6980">
        <v>0.99451860000000003</v>
      </c>
      <c r="Y6980">
        <v>-0.11743140000000001</v>
      </c>
      <c r="Z6980">
        <v>0.1002948</v>
      </c>
      <c r="AA6980">
        <v>0.98800339999999998</v>
      </c>
      <c r="AB6980">
        <v>23</v>
      </c>
      <c r="AC6980">
        <v>0.95359999999999401</v>
      </c>
      <c r="AD6980">
        <v>-1.1117727835490001</v>
      </c>
      <c r="AE6980">
        <v>-10.732779999999901</v>
      </c>
      <c r="AF6980">
        <v>-1.281164770405</v>
      </c>
      <c r="AG6980">
        <v>-1.1117727835490001</v>
      </c>
      <c r="AH6980">
        <v>10.5842988919673</v>
      </c>
      <c r="AI6980">
        <v>95.953211165873</v>
      </c>
      <c r="AJ6980">
        <v>96.9017278760724</v>
      </c>
      <c r="AK6980">
        <v>10.7193658826289</v>
      </c>
      <c r="AL6980">
        <v>86.510849207473598</v>
      </c>
      <c r="AM6980">
        <v>94.886444257085401</v>
      </c>
      <c r="AN6980">
        <v>1.00000004544892</v>
      </c>
    </row>
    <row r="6981" spans="1:40" x14ac:dyDescent="0.25">
      <c r="A6981" t="str">
        <f>"20190312160509121"</f>
        <v>20190312160509121</v>
      </c>
      <c r="B6981" t="str">
        <f>"1552377909112255"</f>
        <v>1552377909112255</v>
      </c>
      <c r="C6981" t="s">
        <v>40</v>
      </c>
      <c r="D6981">
        <v>5.5314069999999997</v>
      </c>
      <c r="E6981">
        <v>0.48847829999999898</v>
      </c>
      <c r="F6981" t="s">
        <v>81</v>
      </c>
      <c r="G6981">
        <v>-300.5455</v>
      </c>
      <c r="H6981" s="1">
        <v>-5.0732430000000001E-6</v>
      </c>
      <c r="I6981">
        <v>-49.039099999999998</v>
      </c>
      <c r="J6981">
        <v>-301.4984</v>
      </c>
      <c r="K6981">
        <v>1.111791</v>
      </c>
      <c r="L6981">
        <v>-37.963380000000001</v>
      </c>
      <c r="M6981">
        <v>-2.9682489999999999E-2</v>
      </c>
      <c r="N6981">
        <v>0</v>
      </c>
      <c r="O6981">
        <v>-0.9994653</v>
      </c>
      <c r="P6981">
        <v>5.584952E-2</v>
      </c>
      <c r="Q6981">
        <v>4.8096750000000001E-2</v>
      </c>
      <c r="R6981">
        <v>-0.9972801</v>
      </c>
      <c r="S6981">
        <v>0.25241089999999999</v>
      </c>
      <c r="T6981">
        <v>-0.29595939999999998</v>
      </c>
      <c r="U6981">
        <v>-3.0083009999999999</v>
      </c>
      <c r="V6981">
        <v>-8.5631890000000002E-2</v>
      </c>
      <c r="W6981">
        <v>6.1454960000000003E-2</v>
      </c>
      <c r="X6981">
        <v>0.99442969999999997</v>
      </c>
      <c r="Y6981">
        <v>-0.1127577</v>
      </c>
      <c r="Z6981">
        <v>9.7361690000000001E-2</v>
      </c>
      <c r="AA6981">
        <v>0.98884090000000002</v>
      </c>
      <c r="AB6981">
        <v>23</v>
      </c>
      <c r="AC6981">
        <v>0.95289999999999897</v>
      </c>
      <c r="AD6981">
        <v>-1.1117960732429999</v>
      </c>
      <c r="AE6981">
        <v>-11.075719999999899</v>
      </c>
      <c r="AF6981">
        <v>-1.2685771228356799</v>
      </c>
      <c r="AG6981">
        <v>-1.1117960732429999</v>
      </c>
      <c r="AH6981">
        <v>10.933193768951099</v>
      </c>
      <c r="AI6981">
        <v>95.768012250632196</v>
      </c>
      <c r="AJ6981">
        <v>96.618426961756398</v>
      </c>
      <c r="AK6981">
        <v>11.0625541541948</v>
      </c>
      <c r="AL6981">
        <v>86.476669948000605</v>
      </c>
      <c r="AM6981">
        <v>94.921687657481002</v>
      </c>
      <c r="AN6981">
        <v>0.99999998046783101</v>
      </c>
    </row>
    <row r="6982" spans="1:40" x14ac:dyDescent="0.25">
      <c r="A6982" t="str">
        <f>"20190312160509143"</f>
        <v>20190312160509143</v>
      </c>
      <c r="B6982" t="str">
        <f>"1552377909131774"</f>
        <v>1552377909131774</v>
      </c>
      <c r="C6982" t="s">
        <v>40</v>
      </c>
      <c r="D6982">
        <v>5.5344329999999999</v>
      </c>
      <c r="E6982">
        <v>0.48886269999999998</v>
      </c>
      <c r="F6982" t="s">
        <v>81</v>
      </c>
      <c r="G6982">
        <v>-300.529</v>
      </c>
      <c r="H6982" s="1">
        <v>-5.342404E-6</v>
      </c>
      <c r="I6982">
        <v>-49.569229999999997</v>
      </c>
      <c r="J6982">
        <v>-301.5027</v>
      </c>
      <c r="K6982">
        <v>1.1118110000000001</v>
      </c>
      <c r="L6982">
        <v>-38.19379</v>
      </c>
      <c r="M6982">
        <v>-2.744222E-2</v>
      </c>
      <c r="N6982">
        <v>0</v>
      </c>
      <c r="O6982">
        <v>-0.99952960000000002</v>
      </c>
      <c r="P6982">
        <v>5.8754889999999997E-2</v>
      </c>
      <c r="Q6982">
        <v>4.8012470000000002E-2</v>
      </c>
      <c r="R6982">
        <v>-0.99711749999999999</v>
      </c>
      <c r="S6982">
        <v>0.25125120000000001</v>
      </c>
      <c r="T6982">
        <v>-0.28815439999999998</v>
      </c>
      <c r="U6982">
        <v>-3.0079959999999999</v>
      </c>
      <c r="V6982">
        <v>-8.6303889999999994E-2</v>
      </c>
      <c r="W6982">
        <v>6.1348819999999998E-2</v>
      </c>
      <c r="X6982">
        <v>0.99437810000000004</v>
      </c>
      <c r="Y6982">
        <v>-0.11018029999999999</v>
      </c>
      <c r="Z6982">
        <v>9.485159E-2</v>
      </c>
      <c r="AA6982">
        <v>0.98937529999999996</v>
      </c>
      <c r="AB6982">
        <v>23</v>
      </c>
      <c r="AC6982">
        <v>0.973700000000007</v>
      </c>
      <c r="AD6982">
        <v>-1.111816342404</v>
      </c>
      <c r="AE6982">
        <v>-11.3754399999999</v>
      </c>
      <c r="AF6982">
        <v>-1.2734532901019899</v>
      </c>
      <c r="AG6982">
        <v>-1.111816342404</v>
      </c>
      <c r="AH6982">
        <v>11.237860156508599</v>
      </c>
      <c r="AI6982">
        <v>95.614463215251803</v>
      </c>
      <c r="AJ6982">
        <v>96.465072016931998</v>
      </c>
      <c r="AK6982">
        <v>11.3643002318027</v>
      </c>
      <c r="AL6982">
        <v>86.482762614340999</v>
      </c>
      <c r="AM6982">
        <v>94.960374982256596</v>
      </c>
      <c r="AN6982">
        <v>0.99999992245206404</v>
      </c>
    </row>
    <row r="6983" spans="1:40" x14ac:dyDescent="0.25">
      <c r="A6983" t="str">
        <f>"20190312160509165"</f>
        <v>20190312160509165</v>
      </c>
      <c r="B6983" t="str">
        <f>"1552377909162031"</f>
        <v>1552377909162031</v>
      </c>
      <c r="C6983" t="s">
        <v>40</v>
      </c>
      <c r="D6983">
        <v>5.5432930000000002</v>
      </c>
      <c r="E6983">
        <v>0.48842259999999998</v>
      </c>
      <c r="F6983" t="s">
        <v>81</v>
      </c>
      <c r="G6983">
        <v>-300.48840000000001</v>
      </c>
      <c r="H6983" s="1">
        <v>-5.588327E-6</v>
      </c>
      <c r="I6983">
        <v>-50.0565</v>
      </c>
      <c r="J6983">
        <v>-301.50630000000001</v>
      </c>
      <c r="K6983">
        <v>1.111829</v>
      </c>
      <c r="L6983">
        <v>-38.420290000000001</v>
      </c>
      <c r="M6983">
        <v>-2.5209769999999999E-2</v>
      </c>
      <c r="N6983">
        <v>0</v>
      </c>
      <c r="O6983">
        <v>-0.99958860000000005</v>
      </c>
      <c r="P6983">
        <v>6.1272170000000001E-2</v>
      </c>
      <c r="Q6983">
        <v>4.7177070000000002E-2</v>
      </c>
      <c r="R6983">
        <v>-0.99700580000000005</v>
      </c>
      <c r="S6983">
        <v>0.25711060000000002</v>
      </c>
      <c r="T6983">
        <v>-0.28183750000000002</v>
      </c>
      <c r="U6983">
        <v>-3.0071110000000001</v>
      </c>
      <c r="V6983">
        <v>-8.6594779999999996E-2</v>
      </c>
      <c r="W6983">
        <v>6.049686E-2</v>
      </c>
      <c r="X6983">
        <v>0.99440510000000004</v>
      </c>
      <c r="Y6983">
        <v>-0.1099152</v>
      </c>
      <c r="Z6983">
        <v>9.2819529999999997E-2</v>
      </c>
      <c r="AA6983">
        <v>0.98959750000000002</v>
      </c>
      <c r="AB6983">
        <v>23</v>
      </c>
      <c r="AC6983">
        <v>1.01789999999999</v>
      </c>
      <c r="AD6983">
        <v>-1.111834588327</v>
      </c>
      <c r="AE6983">
        <v>-11.636209999999901</v>
      </c>
      <c r="AF6983">
        <v>-1.29917899729199</v>
      </c>
      <c r="AG6983">
        <v>-1.111834588327</v>
      </c>
      <c r="AH6983">
        <v>11.5026294615153</v>
      </c>
      <c r="AI6983">
        <v>95.486342235624093</v>
      </c>
      <c r="AJ6983">
        <v>96.444034826240298</v>
      </c>
      <c r="AK6983">
        <v>11.62903808351</v>
      </c>
      <c r="AL6983">
        <v>86.531667492686196</v>
      </c>
      <c r="AM6983">
        <v>94.9768757902944</v>
      </c>
      <c r="AN6983">
        <v>1.00000001444955</v>
      </c>
    </row>
    <row r="6984" spans="1:40" x14ac:dyDescent="0.25">
      <c r="A6984" t="str">
        <f>"20190312160509189"</f>
        <v>20190312160509189</v>
      </c>
      <c r="B6984" t="str">
        <f>"1552377909182527"</f>
        <v>1552377909182527</v>
      </c>
      <c r="C6984" t="s">
        <v>40</v>
      </c>
      <c r="D6984">
        <v>5.5229999999999997</v>
      </c>
      <c r="E6984">
        <v>0.48832399999999998</v>
      </c>
      <c r="F6984" t="s">
        <v>81</v>
      </c>
      <c r="G6984">
        <v>-300.42959999999999</v>
      </c>
      <c r="H6984" s="1">
        <v>-5.781615E-6</v>
      </c>
      <c r="I6984">
        <v>-50.457320000000003</v>
      </c>
      <c r="J6984">
        <v>-301.50959999999998</v>
      </c>
      <c r="K6984">
        <v>1.111837</v>
      </c>
      <c r="L6984">
        <v>-38.661650000000002</v>
      </c>
      <c r="M6984">
        <v>-2.2798039999999999E-2</v>
      </c>
      <c r="N6984">
        <v>0</v>
      </c>
      <c r="O6984">
        <v>-0.9996469</v>
      </c>
      <c r="P6984">
        <v>6.3594310000000001E-2</v>
      </c>
      <c r="Q6984">
        <v>4.7101129999999998E-2</v>
      </c>
      <c r="R6984">
        <v>-0.99686399999999997</v>
      </c>
      <c r="S6984">
        <v>0.26885989999999999</v>
      </c>
      <c r="T6984">
        <v>-0.27762229999999999</v>
      </c>
      <c r="U6984">
        <v>-3.0056150000000001</v>
      </c>
      <c r="V6984">
        <v>-8.6514209999999994E-2</v>
      </c>
      <c r="W6984">
        <v>6.0399769999999998E-2</v>
      </c>
      <c r="X6984">
        <v>0.99441800000000002</v>
      </c>
      <c r="Y6984">
        <v>-0.1114092</v>
      </c>
      <c r="Z6984">
        <v>9.1472979999999995E-2</v>
      </c>
      <c r="AA6984">
        <v>0.98955579999999999</v>
      </c>
      <c r="AB6984">
        <v>23</v>
      </c>
      <c r="AC6984">
        <v>1.0799999999999801</v>
      </c>
      <c r="AD6984">
        <v>-1.1118427816150001</v>
      </c>
      <c r="AE6984">
        <v>-11.795669999999999</v>
      </c>
      <c r="AF6984">
        <v>-1.3368834287124101</v>
      </c>
      <c r="AG6984">
        <v>-1.1118427816150001</v>
      </c>
      <c r="AH6984">
        <v>11.6651995549263</v>
      </c>
      <c r="AI6984">
        <v>95.409377665023399</v>
      </c>
      <c r="AJ6984">
        <v>96.537826163705603</v>
      </c>
      <c r="AK6984">
        <v>11.794080393538501</v>
      </c>
      <c r="AL6984">
        <v>86.537240480085003</v>
      </c>
      <c r="AM6984">
        <v>94.972204223795998</v>
      </c>
      <c r="AN6984">
        <v>0.99999999973598797</v>
      </c>
    </row>
    <row r="6985" spans="1:40" x14ac:dyDescent="0.25">
      <c r="A6985" t="str">
        <f>"20190312160509210"</f>
        <v>20190312160509210</v>
      </c>
      <c r="B6985" t="str">
        <f>"1552377909202047"</f>
        <v>1552377909202047</v>
      </c>
      <c r="C6985" t="s">
        <v>40</v>
      </c>
      <c r="D6985">
        <v>5.5487799999999998</v>
      </c>
      <c r="E6985">
        <v>0.4883692</v>
      </c>
      <c r="F6985" t="s">
        <v>81</v>
      </c>
      <c r="G6985">
        <v>-300.40019999999998</v>
      </c>
      <c r="H6985" s="1">
        <v>-5.8820029999999996E-6</v>
      </c>
      <c r="I6985">
        <v>-50.707979999999999</v>
      </c>
      <c r="J6985">
        <v>-301.512</v>
      </c>
      <c r="K6985">
        <v>1.111839</v>
      </c>
      <c r="L6985">
        <v>-38.87997</v>
      </c>
      <c r="M6985">
        <v>-2.0591290000000002E-2</v>
      </c>
      <c r="N6985">
        <v>0</v>
      </c>
      <c r="O6985">
        <v>-0.99969479999999999</v>
      </c>
      <c r="P6985">
        <v>6.5574099999999996E-2</v>
      </c>
      <c r="Q6985">
        <v>4.7182290000000002E-2</v>
      </c>
      <c r="R6985">
        <v>-0.99673149999999999</v>
      </c>
      <c r="S6985">
        <v>0.27673340000000002</v>
      </c>
      <c r="T6985">
        <v>-0.27734229999999999</v>
      </c>
      <c r="U6985">
        <v>-3.004883</v>
      </c>
      <c r="V6985">
        <v>-8.6295780000000002E-2</v>
      </c>
      <c r="W6985">
        <v>6.0458310000000001E-2</v>
      </c>
      <c r="X6985">
        <v>0.99443340000000002</v>
      </c>
      <c r="Y6985">
        <v>-0.1118093</v>
      </c>
      <c r="Z6985">
        <v>9.1397290000000006E-2</v>
      </c>
      <c r="AA6985">
        <v>0.98951769999999994</v>
      </c>
      <c r="AB6985">
        <v>23</v>
      </c>
      <c r="AC6985">
        <v>1.1118000000000099</v>
      </c>
      <c r="AD6985">
        <v>-1.111844882003</v>
      </c>
      <c r="AE6985">
        <v>-11.828010000000001</v>
      </c>
      <c r="AF6985">
        <v>-1.3433745525254299</v>
      </c>
      <c r="AG6985">
        <v>-1.111844882003</v>
      </c>
      <c r="AH6985">
        <v>11.7001271000399</v>
      </c>
      <c r="AI6985">
        <v>95.393205833187906</v>
      </c>
      <c r="AJ6985">
        <v>96.549853033809399</v>
      </c>
      <c r="AK6985">
        <v>11.829362974695499</v>
      </c>
      <c r="AL6985">
        <v>86.533880168751395</v>
      </c>
      <c r="AM6985">
        <v>94.959636737123105</v>
      </c>
      <c r="AN6985">
        <v>0.99999997796471196</v>
      </c>
    </row>
    <row r="6986" spans="1:40" x14ac:dyDescent="0.25">
      <c r="A6986" t="str">
        <f>"20190312160509232"</f>
        <v>20190312160509232</v>
      </c>
      <c r="B6986" t="str">
        <f>"1552377909222543"</f>
        <v>1552377909222543</v>
      </c>
      <c r="C6986" t="s">
        <v>40</v>
      </c>
      <c r="D6986">
        <v>5.698715</v>
      </c>
      <c r="E6986">
        <v>0.48848659999999999</v>
      </c>
      <c r="F6986" t="s">
        <v>81</v>
      </c>
      <c r="G6986">
        <v>-300.33420000000001</v>
      </c>
      <c r="H6986" s="1">
        <v>-6.1676850000000001E-6</v>
      </c>
      <c r="I6986">
        <v>-51.418790000000001</v>
      </c>
      <c r="J6986">
        <v>-301.51389999999998</v>
      </c>
      <c r="K6986">
        <v>1.111842</v>
      </c>
      <c r="L6986">
        <v>-39.098300000000002</v>
      </c>
      <c r="M6986">
        <v>-1.8366810000000001E-2</v>
      </c>
      <c r="N6986">
        <v>0</v>
      </c>
      <c r="O6986">
        <v>-0.99973849999999997</v>
      </c>
      <c r="P6986">
        <v>6.7975439999999998E-2</v>
      </c>
      <c r="Q6986">
        <v>4.7105609999999999E-2</v>
      </c>
      <c r="R6986">
        <v>-0.99657459999999998</v>
      </c>
      <c r="S6986">
        <v>0.28216550000000001</v>
      </c>
      <c r="T6986">
        <v>-0.2663604</v>
      </c>
      <c r="U6986">
        <v>-3.003876</v>
      </c>
      <c r="V6986">
        <v>-8.6479340000000002E-2</v>
      </c>
      <c r="W6986">
        <v>6.0357880000000003E-2</v>
      </c>
      <c r="X6986">
        <v>0.99442359999999996</v>
      </c>
      <c r="Y6986">
        <v>-0.11143260000000001</v>
      </c>
      <c r="Z6986">
        <v>8.7836339999999999E-2</v>
      </c>
      <c r="AA6986">
        <v>0.98988259999999995</v>
      </c>
      <c r="AB6986">
        <v>23</v>
      </c>
      <c r="AC6986">
        <v>1.17969999999996</v>
      </c>
      <c r="AD6986">
        <v>-1.1118481676850001</v>
      </c>
      <c r="AE6986">
        <v>-12.320489999999999</v>
      </c>
      <c r="AF6986">
        <v>-1.3945560542913</v>
      </c>
      <c r="AG6986">
        <v>-1.1118481676850001</v>
      </c>
      <c r="AH6986">
        <v>12.1983021869799</v>
      </c>
      <c r="AI6986">
        <v>95.174471951315994</v>
      </c>
      <c r="AJ6986">
        <v>96.5219548072631</v>
      </c>
      <c r="AK6986">
        <v>12.327999398987</v>
      </c>
      <c r="AL6986">
        <v>86.539645068110303</v>
      </c>
      <c r="AM6986">
        <v>94.970182342698607</v>
      </c>
      <c r="AN6986">
        <v>1.00000002308094</v>
      </c>
    </row>
    <row r="6987" spans="1:40" x14ac:dyDescent="0.25">
      <c r="A6987" t="str">
        <f>"20190312160509254"</f>
        <v>20190312160509254</v>
      </c>
      <c r="B6987" t="str">
        <f>"1552377909242063"</f>
        <v>1552377909242063</v>
      </c>
      <c r="C6987" t="s">
        <v>40</v>
      </c>
      <c r="D6987">
        <v>5.6080240000000003</v>
      </c>
      <c r="E6987">
        <v>0.48881449999999999</v>
      </c>
      <c r="F6987" t="s">
        <v>81</v>
      </c>
      <c r="G6987">
        <v>-300.28640000000001</v>
      </c>
      <c r="H6987" s="1">
        <v>-6.3506450000000004E-6</v>
      </c>
      <c r="I6987">
        <v>-51.874789999999997</v>
      </c>
      <c r="J6987">
        <v>-301.5154</v>
      </c>
      <c r="K6987">
        <v>1.1118459999999999</v>
      </c>
      <c r="L6987">
        <v>-39.322330000000001</v>
      </c>
      <c r="M6987">
        <v>-1.6067379999999999E-2</v>
      </c>
      <c r="N6987">
        <v>0</v>
      </c>
      <c r="O6987">
        <v>-0.99977850000000001</v>
      </c>
      <c r="P6987">
        <v>7.0344749999999998E-2</v>
      </c>
      <c r="Q6987">
        <v>4.6597680000000002E-2</v>
      </c>
      <c r="R6987">
        <v>-0.99643380000000004</v>
      </c>
      <c r="S6987">
        <v>0.28851320000000003</v>
      </c>
      <c r="T6987">
        <v>-0.26132909999999998</v>
      </c>
      <c r="U6987">
        <v>-3.0029910000000002</v>
      </c>
      <c r="V6987">
        <v>-8.6556579999999994E-2</v>
      </c>
      <c r="W6987">
        <v>5.9823840000000003E-2</v>
      </c>
      <c r="X6987">
        <v>0.99444909999999997</v>
      </c>
      <c r="Y6987">
        <v>-0.1112615</v>
      </c>
      <c r="Z6987">
        <v>8.6212259999999999E-2</v>
      </c>
      <c r="AA6987">
        <v>0.99004460000000005</v>
      </c>
      <c r="AB6987">
        <v>23</v>
      </c>
      <c r="AC6987">
        <v>1.2289999999999801</v>
      </c>
      <c r="AD6987">
        <v>-1.111852350645</v>
      </c>
      <c r="AE6987">
        <v>-12.55246</v>
      </c>
      <c r="AF6987">
        <v>-1.41951364981618</v>
      </c>
      <c r="AG6987">
        <v>-1.111852350645</v>
      </c>
      <c r="AH6987">
        <v>12.434458893027101</v>
      </c>
      <c r="AI6987">
        <v>95.076828723105905</v>
      </c>
      <c r="AJ6987">
        <v>96.512672617448004</v>
      </c>
      <c r="AK6987">
        <v>12.5645136242526</v>
      </c>
      <c r="AL6987">
        <v>86.570298527486202</v>
      </c>
      <c r="AM6987">
        <v>94.974472331322701</v>
      </c>
      <c r="AN6987">
        <v>0.99999997293222498</v>
      </c>
    </row>
    <row r="6988" spans="1:40" x14ac:dyDescent="0.25">
      <c r="A6988" t="str">
        <f>"20190312160509277"</f>
        <v>20190312160509277</v>
      </c>
      <c r="B6988" t="str">
        <f>"1552377909272319"</f>
        <v>1552377909272319</v>
      </c>
      <c r="C6988" t="s">
        <v>40</v>
      </c>
      <c r="D6988">
        <v>5.5709210000000002</v>
      </c>
      <c r="E6988">
        <v>0.48931350000000001</v>
      </c>
      <c r="F6988" t="s">
        <v>81</v>
      </c>
      <c r="G6988">
        <v>-300.23450000000003</v>
      </c>
      <c r="H6988" s="1">
        <v>-6.5728360000000001E-6</v>
      </c>
      <c r="I6988">
        <v>-52.427709999999998</v>
      </c>
      <c r="J6988">
        <v>-301.5163</v>
      </c>
      <c r="K6988">
        <v>1.1118440000000001</v>
      </c>
      <c r="L6988">
        <v>-39.548549999999999</v>
      </c>
      <c r="M6988">
        <v>-1.3725909999999999E-2</v>
      </c>
      <c r="N6988">
        <v>0</v>
      </c>
      <c r="O6988">
        <v>-0.99981379999999997</v>
      </c>
      <c r="P6988">
        <v>7.2963159999999999E-2</v>
      </c>
      <c r="Q6988">
        <v>4.6300809999999998E-2</v>
      </c>
      <c r="R6988">
        <v>-0.99625929999999996</v>
      </c>
      <c r="S6988">
        <v>0.29339599999999999</v>
      </c>
      <c r="T6988">
        <v>-0.25468390000000002</v>
      </c>
      <c r="U6988">
        <v>-3.0019529999999999</v>
      </c>
      <c r="V6988">
        <v>-8.6840890000000004E-2</v>
      </c>
      <c r="W6988">
        <v>5.9494459999999999E-2</v>
      </c>
      <c r="X6988">
        <v>0.99444410000000005</v>
      </c>
      <c r="Y6988">
        <v>-0.11058</v>
      </c>
      <c r="Z6988">
        <v>8.4065600000000004E-2</v>
      </c>
      <c r="AA6988">
        <v>0.99030549999999995</v>
      </c>
      <c r="AB6988">
        <v>23</v>
      </c>
      <c r="AC6988">
        <v>1.2817999999999701</v>
      </c>
      <c r="AD6988">
        <v>-1.111850572836</v>
      </c>
      <c r="AE6988">
        <v>-12.879160000000001</v>
      </c>
      <c r="AF6988">
        <v>-1.44778946650101</v>
      </c>
      <c r="AG6988">
        <v>-1.111850572836</v>
      </c>
      <c r="AH6988">
        <v>12.7661410573977</v>
      </c>
      <c r="AI6988">
        <v>94.945995829018202</v>
      </c>
      <c r="AJ6988">
        <v>96.470186654155199</v>
      </c>
      <c r="AK6988">
        <v>12.895994088592101</v>
      </c>
      <c r="AL6988">
        <v>86.589204377431102</v>
      </c>
      <c r="AM6988">
        <v>94.990754420739506</v>
      </c>
      <c r="AN6988">
        <v>0.99999999948574603</v>
      </c>
    </row>
    <row r="6989" spans="1:40" x14ac:dyDescent="0.25">
      <c r="A6989" t="str">
        <f>"20190312160509299"</f>
        <v>20190312160509299</v>
      </c>
      <c r="B6989" t="str">
        <f>"1552377909291839"</f>
        <v>1552377909291839</v>
      </c>
      <c r="C6989" t="s">
        <v>40</v>
      </c>
      <c r="D6989">
        <v>5.6821590000000004</v>
      </c>
      <c r="E6989">
        <v>0.4895024</v>
      </c>
      <c r="F6989" t="s">
        <v>81</v>
      </c>
      <c r="G6989">
        <v>-300.19510000000002</v>
      </c>
      <c r="H6989" s="1">
        <v>-6.7575610000000003E-6</v>
      </c>
      <c r="I6989">
        <v>-52.886870000000002</v>
      </c>
      <c r="J6989">
        <v>-301.51659999999998</v>
      </c>
      <c r="K6989">
        <v>1.111845</v>
      </c>
      <c r="L6989">
        <v>-39.773440000000001</v>
      </c>
      <c r="M6989">
        <v>-1.137588E-2</v>
      </c>
      <c r="N6989">
        <v>0</v>
      </c>
      <c r="O6989">
        <v>-0.99984379999999995</v>
      </c>
      <c r="P6989">
        <v>7.5578480000000003E-2</v>
      </c>
      <c r="Q6989">
        <v>4.5593019999999998E-2</v>
      </c>
      <c r="R6989">
        <v>-0.99609709999999996</v>
      </c>
      <c r="S6989">
        <v>0.29727170000000003</v>
      </c>
      <c r="T6989">
        <v>-0.25016719999999998</v>
      </c>
      <c r="U6989">
        <v>-3.0011290000000002</v>
      </c>
      <c r="V6989">
        <v>-8.7113129999999997E-2</v>
      </c>
      <c r="W6989">
        <v>5.874998E-2</v>
      </c>
      <c r="X6989">
        <v>0.99446460000000003</v>
      </c>
      <c r="Y6989">
        <v>-0.10954899999999999</v>
      </c>
      <c r="Z6989">
        <v>8.2610719999999999E-2</v>
      </c>
      <c r="AA6989">
        <v>0.99054249999999999</v>
      </c>
      <c r="AB6989">
        <v>23</v>
      </c>
      <c r="AC6989">
        <v>1.3214999999999499</v>
      </c>
      <c r="AD6989">
        <v>-1.1118517575610001</v>
      </c>
      <c r="AE6989">
        <v>-13.1134299999999</v>
      </c>
      <c r="AF6989">
        <v>-1.46021316649001</v>
      </c>
      <c r="AG6989">
        <v>-1.1118517575610001</v>
      </c>
      <c r="AH6989">
        <v>13.0049952781459</v>
      </c>
      <c r="AI6989">
        <v>94.856206653870203</v>
      </c>
      <c r="AJ6989">
        <v>96.406392394396903</v>
      </c>
      <c r="AK6989">
        <v>13.1338623034879</v>
      </c>
      <c r="AL6989">
        <v>86.6319348536408</v>
      </c>
      <c r="AM6989">
        <v>95.006218015171996</v>
      </c>
      <c r="AN6989">
        <v>1.0000000491107699</v>
      </c>
    </row>
    <row r="6990" spans="1:40" x14ac:dyDescent="0.25">
      <c r="A6990" t="str">
        <f>"20190312160509322"</f>
        <v>20190312160509322</v>
      </c>
      <c r="B6990" t="str">
        <f>"1552377909312335"</f>
        <v>1552377909312335</v>
      </c>
      <c r="C6990" t="s">
        <v>40</v>
      </c>
      <c r="D6990">
        <v>5.7325520000000001</v>
      </c>
      <c r="E6990">
        <v>0.48967139999999998</v>
      </c>
      <c r="F6990" t="s">
        <v>81</v>
      </c>
      <c r="G6990">
        <v>-300.14780000000002</v>
      </c>
      <c r="H6990" s="1">
        <v>-6.9219249999999998E-6</v>
      </c>
      <c r="I6990">
        <v>-53.297150000000002</v>
      </c>
      <c r="J6990">
        <v>-301.51639999999998</v>
      </c>
      <c r="K6990">
        <v>1.1118509999999999</v>
      </c>
      <c r="L6990">
        <v>-39.998199999999997</v>
      </c>
      <c r="M6990">
        <v>-8.9960349999999994E-3</v>
      </c>
      <c r="N6990">
        <v>0</v>
      </c>
      <c r="O6990">
        <v>-0.9998688</v>
      </c>
      <c r="P6990">
        <v>7.8343670000000004E-2</v>
      </c>
      <c r="Q6990">
        <v>4.5108009999999997E-2</v>
      </c>
      <c r="R6990">
        <v>-0.99590559999999995</v>
      </c>
      <c r="S6990">
        <v>0.30364989999999997</v>
      </c>
      <c r="T6990">
        <v>-0.2466449</v>
      </c>
      <c r="U6990">
        <v>-3</v>
      </c>
      <c r="V6990">
        <v>-8.7507989999999994E-2</v>
      </c>
      <c r="W6990">
        <v>5.8223980000000002E-2</v>
      </c>
      <c r="X6990">
        <v>0.99446080000000003</v>
      </c>
      <c r="Y6990">
        <v>-0.1093142</v>
      </c>
      <c r="Z6990">
        <v>8.1481200000000004E-2</v>
      </c>
      <c r="AA6990">
        <v>0.99066200000000004</v>
      </c>
      <c r="AB6990">
        <v>23</v>
      </c>
      <c r="AC6990">
        <v>1.3685999999999501</v>
      </c>
      <c r="AD6990">
        <v>-1.111857921925</v>
      </c>
      <c r="AE6990">
        <v>-13.29895</v>
      </c>
      <c r="AF6990">
        <v>-1.47797084608536</v>
      </c>
      <c r="AG6990">
        <v>-1.111857921925</v>
      </c>
      <c r="AH6990">
        <v>13.1948361066983</v>
      </c>
      <c r="AI6990">
        <v>94.786833628826997</v>
      </c>
      <c r="AJ6990">
        <v>96.391135166191404</v>
      </c>
      <c r="AK6990">
        <v>13.323825492067</v>
      </c>
      <c r="AL6990">
        <v>86.6621238852631</v>
      </c>
      <c r="AM6990">
        <v>95.028812853677096</v>
      </c>
      <c r="AN6990">
        <v>0.99999998144876001</v>
      </c>
    </row>
    <row r="6991" spans="1:40" x14ac:dyDescent="0.25">
      <c r="A6991" t="str">
        <f>"20190312160509344"</f>
        <v>20190312160509344</v>
      </c>
      <c r="B6991" t="str">
        <f>"1552377909331855"</f>
        <v>1552377909331855</v>
      </c>
      <c r="C6991" t="s">
        <v>40</v>
      </c>
      <c r="D6991">
        <v>5.6144749999999997</v>
      </c>
      <c r="E6991">
        <v>0.48950500000000002</v>
      </c>
      <c r="F6991" t="s">
        <v>81</v>
      </c>
      <c r="G6991">
        <v>-300.10070000000002</v>
      </c>
      <c r="H6991" s="1">
        <v>-7.0792260000000002E-6</v>
      </c>
      <c r="I6991">
        <v>-53.690060000000003</v>
      </c>
      <c r="J6991">
        <v>-301.51569999999998</v>
      </c>
      <c r="K6991">
        <v>1.1118619999999999</v>
      </c>
      <c r="L6991">
        <v>-40.226349999999996</v>
      </c>
      <c r="M6991">
        <v>-6.541374E-3</v>
      </c>
      <c r="N6991">
        <v>0</v>
      </c>
      <c r="O6991">
        <v>-0.99988840000000001</v>
      </c>
      <c r="P6991">
        <v>8.1372360000000005E-2</v>
      </c>
      <c r="Q6991">
        <v>4.458351E-2</v>
      </c>
      <c r="R6991">
        <v>-0.99568650000000003</v>
      </c>
      <c r="S6991">
        <v>0.31008909999999901</v>
      </c>
      <c r="T6991">
        <v>-0.24353320000000001</v>
      </c>
      <c r="U6991">
        <v>-2.9989620000000001</v>
      </c>
      <c r="V6991">
        <v>-8.8093210000000005E-2</v>
      </c>
      <c r="W6991">
        <v>5.7652259999999997E-2</v>
      </c>
      <c r="X6991">
        <v>0.99444250000000001</v>
      </c>
      <c r="Y6991">
        <v>-0.1090218</v>
      </c>
      <c r="Z6991">
        <v>8.0482380000000006E-2</v>
      </c>
      <c r="AA6991">
        <v>0.99077590000000004</v>
      </c>
      <c r="AB6991">
        <v>23</v>
      </c>
      <c r="AC6991">
        <v>1.4149999999999601</v>
      </c>
      <c r="AD6991">
        <v>-1.111869079226</v>
      </c>
      <c r="AE6991">
        <v>-13.463710000000001</v>
      </c>
      <c r="AF6991">
        <v>-1.4929781070286601</v>
      </c>
      <c r="AG6991">
        <v>-1.111869079226</v>
      </c>
      <c r="AH6991">
        <v>13.364019475678999</v>
      </c>
      <c r="AI6991">
        <v>94.726711044504199</v>
      </c>
      <c r="AJ6991">
        <v>96.374438400697798</v>
      </c>
      <c r="AK6991">
        <v>13.4930446165324</v>
      </c>
      <c r="AL6991">
        <v>86.694936346136103</v>
      </c>
      <c r="AM6991">
        <v>95.062362133102596</v>
      </c>
      <c r="AN6991">
        <v>1.00000004126873</v>
      </c>
    </row>
    <row r="6992" spans="1:40" x14ac:dyDescent="0.25">
      <c r="A6992" t="str">
        <f>"20190312160509366"</f>
        <v>20190312160509366</v>
      </c>
      <c r="B6992" t="str">
        <f>"1552377909362111"</f>
        <v>1552377909362111</v>
      </c>
      <c r="C6992" t="s">
        <v>40</v>
      </c>
      <c r="D6992">
        <v>5.6760570000000001</v>
      </c>
      <c r="E6992">
        <v>0.48948429999999998</v>
      </c>
      <c r="F6992" t="s">
        <v>81</v>
      </c>
      <c r="G6992">
        <v>-300.05419999999998</v>
      </c>
      <c r="H6992" s="1">
        <v>-7.162385E-6</v>
      </c>
      <c r="I6992">
        <v>-53.900860000000002</v>
      </c>
      <c r="J6992">
        <v>-301.51429999999999</v>
      </c>
      <c r="K6992">
        <v>1.1118859999999999</v>
      </c>
      <c r="L6992">
        <v>-40.449680000000001</v>
      </c>
      <c r="M6992">
        <v>-4.0905430000000003E-3</v>
      </c>
      <c r="N6992">
        <v>0</v>
      </c>
      <c r="O6992">
        <v>-0.9999017</v>
      </c>
      <c r="P6992">
        <v>8.4513519999999995E-2</v>
      </c>
      <c r="Q6992">
        <v>4.4064319999999997E-2</v>
      </c>
      <c r="R6992">
        <v>-0.995448</v>
      </c>
      <c r="S6992">
        <v>0.32037349999999998</v>
      </c>
      <c r="T6992">
        <v>-0.2437453</v>
      </c>
      <c r="U6992">
        <v>-2.9977420000000001</v>
      </c>
      <c r="V6992">
        <v>-8.8795529999999998E-2</v>
      </c>
      <c r="W6992">
        <v>5.7085759999999999E-2</v>
      </c>
      <c r="X6992">
        <v>0.99441270000000004</v>
      </c>
      <c r="Y6992">
        <v>-0.1099878</v>
      </c>
      <c r="Z6992">
        <v>8.0567399999999997E-2</v>
      </c>
      <c r="AA6992">
        <v>0.99066220000000005</v>
      </c>
      <c r="AB6992">
        <v>23</v>
      </c>
      <c r="AC6992">
        <v>1.4601000000000099</v>
      </c>
      <c r="AD6992">
        <v>-1.1118931623849999</v>
      </c>
      <c r="AE6992">
        <v>-13.4511799999999</v>
      </c>
      <c r="AF6992">
        <v>-1.50495192105798</v>
      </c>
      <c r="AG6992">
        <v>-1.1118931623849999</v>
      </c>
      <c r="AH6992">
        <v>13.3549042011149</v>
      </c>
      <c r="AI6992">
        <v>94.7295170280197</v>
      </c>
      <c r="AJ6992">
        <v>96.429484818860004</v>
      </c>
      <c r="AK6992">
        <v>13.485349565740201</v>
      </c>
      <c r="AL6992">
        <v>86.7274478930984</v>
      </c>
      <c r="AM6992">
        <v>95.102661520338202</v>
      </c>
      <c r="AN6992">
        <v>1.0000000240320199</v>
      </c>
    </row>
    <row r="6993" spans="1:40" x14ac:dyDescent="0.25">
      <c r="A6993" t="str">
        <f>"20190312160509392"</f>
        <v>20190312160509392</v>
      </c>
      <c r="B6993" t="str">
        <f>"1552377909382608"</f>
        <v>1552377909382608</v>
      </c>
      <c r="C6993" t="s">
        <v>40</v>
      </c>
      <c r="D6993">
        <v>5.6850769999999997</v>
      </c>
      <c r="E6993">
        <v>0.48962139999999998</v>
      </c>
      <c r="F6993" t="s">
        <v>81</v>
      </c>
      <c r="G6993">
        <v>-299.99979999999999</v>
      </c>
      <c r="H6993" s="1">
        <v>-7.2785489999999997E-6</v>
      </c>
      <c r="I6993">
        <v>-54.193809999999999</v>
      </c>
      <c r="J6993">
        <v>-301.512</v>
      </c>
      <c r="K6993">
        <v>1.1119159999999999</v>
      </c>
      <c r="L6993">
        <v>-40.700870000000002</v>
      </c>
      <c r="M6993">
        <v>-1.2595389999999901E-3</v>
      </c>
      <c r="N6993">
        <v>0</v>
      </c>
      <c r="O6993">
        <v>-0.99991010000000002</v>
      </c>
      <c r="P6993">
        <v>8.8826649999999993E-2</v>
      </c>
      <c r="Q6993">
        <v>4.4165429999999999E-2</v>
      </c>
      <c r="R6993">
        <v>-0.99506799999999995</v>
      </c>
      <c r="S6993">
        <v>0.33016970000000001</v>
      </c>
      <c r="T6993">
        <v>-0.24240970000000001</v>
      </c>
      <c r="U6993">
        <v>-2.996429</v>
      </c>
      <c r="V6993">
        <v>-9.0296429999999997E-2</v>
      </c>
      <c r="W6993">
        <v>5.7126700000000002E-2</v>
      </c>
      <c r="X6993">
        <v>0.99427520000000003</v>
      </c>
      <c r="Y6993">
        <v>-0.11042449999999999</v>
      </c>
      <c r="Z6993">
        <v>8.0148449999999996E-2</v>
      </c>
      <c r="AA6993">
        <v>0.99064759999999996</v>
      </c>
      <c r="AB6993">
        <v>23</v>
      </c>
      <c r="AC6993">
        <v>1.5122</v>
      </c>
      <c r="AD6993">
        <v>-1.1119232785490001</v>
      </c>
      <c r="AE6993">
        <v>-13.4929399999999</v>
      </c>
      <c r="AF6993">
        <v>-1.51900751580864</v>
      </c>
      <c r="AG6993">
        <v>-1.1119232785490001</v>
      </c>
      <c r="AH6993">
        <v>13.401145616217599</v>
      </c>
      <c r="AI6993">
        <v>94.713052725360498</v>
      </c>
      <c r="AJ6993">
        <v>96.466822828070804</v>
      </c>
      <c r="AK6993">
        <v>13.5327181688503</v>
      </c>
      <c r="AL6993">
        <v>86.725098419596506</v>
      </c>
      <c r="AM6993">
        <v>95.189157923475193</v>
      </c>
      <c r="AN6993">
        <v>1.00000003922933</v>
      </c>
    </row>
    <row r="6994" spans="1:40" x14ac:dyDescent="0.25">
      <c r="A6994" t="str">
        <f>"20190312160509413"</f>
        <v>20190312160509413</v>
      </c>
      <c r="B6994" t="str">
        <f>"1552377909402127"</f>
        <v>1552377909402127</v>
      </c>
      <c r="C6994" t="s">
        <v>40</v>
      </c>
      <c r="D6994">
        <v>5.565277</v>
      </c>
      <c r="E6994">
        <v>0.4897724</v>
      </c>
      <c r="F6994" t="s">
        <v>81</v>
      </c>
      <c r="G6994">
        <v>-299.92430000000002</v>
      </c>
      <c r="H6994" s="1">
        <v>-6.8241709999999997E-6</v>
      </c>
      <c r="I6994">
        <v>-54.602170000000001</v>
      </c>
      <c r="J6994">
        <v>-301.5093</v>
      </c>
      <c r="K6994">
        <v>1.111945</v>
      </c>
      <c r="L6994">
        <v>-40.917999999999999</v>
      </c>
      <c r="M6994">
        <v>1.246643E-3</v>
      </c>
      <c r="N6994">
        <v>0</v>
      </c>
      <c r="O6994">
        <v>-0.99991039999999998</v>
      </c>
      <c r="P6994">
        <v>9.2562329999999998E-2</v>
      </c>
      <c r="Q6994">
        <v>4.3910009999999999E-2</v>
      </c>
      <c r="R6994">
        <v>-0.99473820000000002</v>
      </c>
      <c r="S6994">
        <v>0.34204099999999998</v>
      </c>
      <c r="T6994">
        <v>-0.2395582</v>
      </c>
      <c r="U6994">
        <v>-2.9949650000000001</v>
      </c>
      <c r="V6994">
        <v>-9.1542040000000005E-2</v>
      </c>
      <c r="W6994">
        <v>5.6817739999999999E-2</v>
      </c>
      <c r="X6994">
        <v>0.99417900000000003</v>
      </c>
      <c r="Y6994">
        <v>-0.11187229999999999</v>
      </c>
      <c r="Z6994">
        <v>7.922614E-2</v>
      </c>
      <c r="AA6994">
        <v>0.99055930000000003</v>
      </c>
      <c r="AB6994">
        <v>23</v>
      </c>
      <c r="AC6994">
        <v>1.58499999999997</v>
      </c>
      <c r="AD6994">
        <v>-1.111951824171</v>
      </c>
      <c r="AE6994">
        <v>-13.6841699999999</v>
      </c>
      <c r="AF6994">
        <v>-1.55778821973818</v>
      </c>
      <c r="AG6994">
        <v>-1.111951824171</v>
      </c>
      <c r="AH6994">
        <v>13.597540787271701</v>
      </c>
      <c r="AI6994">
        <v>94.644766813323102</v>
      </c>
      <c r="AJ6994">
        <v>96.535538440598302</v>
      </c>
      <c r="AK6994">
        <v>13.731578804287199</v>
      </c>
      <c r="AL6994">
        <v>86.742829332366796</v>
      </c>
      <c r="AM6994">
        <v>95.260847959950198</v>
      </c>
      <c r="AN6994">
        <v>1.00000004235353</v>
      </c>
    </row>
    <row r="6995" spans="1:40" x14ac:dyDescent="0.25">
      <c r="A6995" t="str">
        <f>"20190312160509436"</f>
        <v>20190312160509436</v>
      </c>
      <c r="B6995" t="str">
        <f>"1552377909432384"</f>
        <v>1552377909432384</v>
      </c>
      <c r="C6995" t="s">
        <v>40</v>
      </c>
      <c r="D6995">
        <v>5.5866470000000001</v>
      </c>
      <c r="E6995">
        <v>0.49000739999999998</v>
      </c>
      <c r="F6995" t="s">
        <v>81</v>
      </c>
      <c r="G6995">
        <v>-299.86360000000002</v>
      </c>
      <c r="H6995" s="1">
        <v>-6.8121299999999999E-6</v>
      </c>
      <c r="I6995">
        <v>-54.898800000000001</v>
      </c>
      <c r="J6995">
        <v>-301.50599999999997</v>
      </c>
      <c r="K6995">
        <v>1.111969</v>
      </c>
      <c r="L6995">
        <v>-41.144410000000001</v>
      </c>
      <c r="M6995">
        <v>3.913138E-3</v>
      </c>
      <c r="N6995">
        <v>0</v>
      </c>
      <c r="O6995">
        <v>-0.99990420000000002</v>
      </c>
      <c r="P6995">
        <v>9.5929600000000004E-2</v>
      </c>
      <c r="Q6995">
        <v>4.3329239999999998E-2</v>
      </c>
      <c r="R6995">
        <v>-0.99444500000000002</v>
      </c>
      <c r="S6995">
        <v>0.35238649999999999</v>
      </c>
      <c r="T6995">
        <v>-0.23809279999999999</v>
      </c>
      <c r="U6995">
        <v>-2.9935909999999999</v>
      </c>
      <c r="V6995">
        <v>-9.2258759999999995E-2</v>
      </c>
      <c r="W6995">
        <v>5.6188370000000001E-2</v>
      </c>
      <c r="X6995">
        <v>0.99414849999999999</v>
      </c>
      <c r="Y6995">
        <v>-0.1126558</v>
      </c>
      <c r="Z6995">
        <v>7.876039E-2</v>
      </c>
      <c r="AA6995">
        <v>0.99050769999999999</v>
      </c>
      <c r="AB6995">
        <v>23</v>
      </c>
      <c r="AC6995">
        <v>1.6423999999999499</v>
      </c>
      <c r="AD6995">
        <v>-1.1119758121300001</v>
      </c>
      <c r="AE6995">
        <v>-13.7543899999999</v>
      </c>
      <c r="AF6995">
        <v>-1.57838862685894</v>
      </c>
      <c r="AG6995">
        <v>-1.1119758121300001</v>
      </c>
      <c r="AH6995">
        <v>13.672605137854999</v>
      </c>
      <c r="AI6995">
        <v>94.619018142889601</v>
      </c>
      <c r="AJ6995">
        <v>96.585171733380704</v>
      </c>
      <c r="AK6995">
        <v>13.808255940554499</v>
      </c>
      <c r="AL6995">
        <v>86.778947224171304</v>
      </c>
      <c r="AM6995">
        <v>95.301965198669095</v>
      </c>
      <c r="AN6995">
        <v>1.0000000258861199</v>
      </c>
    </row>
    <row r="6996" spans="1:40" x14ac:dyDescent="0.25">
      <c r="A6996" t="str">
        <f>"20190312160509456"</f>
        <v>20190312160509456</v>
      </c>
      <c r="B6996" t="str">
        <f>"1552377909451904"</f>
        <v>1552377909451904</v>
      </c>
      <c r="C6996" t="s">
        <v>40</v>
      </c>
      <c r="D6996">
        <v>5.6231499999999999</v>
      </c>
      <c r="E6996">
        <v>0.42902649999999998</v>
      </c>
      <c r="F6996" t="s">
        <v>81</v>
      </c>
      <c r="G6996">
        <v>-299.8184</v>
      </c>
      <c r="H6996" s="1">
        <v>-6.8014009999999899E-6</v>
      </c>
      <c r="I6996">
        <v>-55.135399999999997</v>
      </c>
      <c r="J6996">
        <v>-301.50229999999999</v>
      </c>
      <c r="K6996">
        <v>1.1119920000000001</v>
      </c>
      <c r="L6996">
        <v>-41.346739999999997</v>
      </c>
      <c r="M6996">
        <v>6.3436109999999999E-3</v>
      </c>
      <c r="N6996">
        <v>0</v>
      </c>
      <c r="O6996">
        <v>-0.99989220000000001</v>
      </c>
      <c r="P6996">
        <v>9.8689399999999899E-2</v>
      </c>
      <c r="Q6996">
        <v>4.2837010000000002E-2</v>
      </c>
      <c r="R6996">
        <v>-0.99419610000000003</v>
      </c>
      <c r="S6996">
        <v>0.36093140000000001</v>
      </c>
      <c r="T6996">
        <v>-0.2378228</v>
      </c>
      <c r="U6996">
        <v>-2.9923099999999998</v>
      </c>
      <c r="V6996">
        <v>-9.2603309999999994E-2</v>
      </c>
      <c r="W6996">
        <v>5.5655620000000003E-2</v>
      </c>
      <c r="X6996">
        <v>0.99414639999999999</v>
      </c>
      <c r="Y6996">
        <v>-0.1130795</v>
      </c>
      <c r="Z6996">
        <v>7.8688339999999996E-2</v>
      </c>
      <c r="AA6996">
        <v>0.99046509999999999</v>
      </c>
      <c r="AB6996">
        <v>23</v>
      </c>
      <c r="AC6996">
        <v>1.68389999999999</v>
      </c>
      <c r="AD6996">
        <v>-1.111998801401</v>
      </c>
      <c r="AE6996">
        <v>-13.788659999999901</v>
      </c>
      <c r="AF6996">
        <v>-1.5862237250496201</v>
      </c>
      <c r="AG6996">
        <v>-1.111998801401</v>
      </c>
      <c r="AH6996">
        <v>13.7112014756477</v>
      </c>
      <c r="AI6996">
        <v>94.606037770887696</v>
      </c>
      <c r="AJ6996">
        <v>96.599107607629307</v>
      </c>
      <c r="AK6996">
        <v>13.847371337045599</v>
      </c>
      <c r="AL6996">
        <v>86.809519285895007</v>
      </c>
      <c r="AM6996">
        <v>95.321663647975996</v>
      </c>
      <c r="AN6996">
        <v>0.99999999284675001</v>
      </c>
    </row>
    <row r="6997" spans="1:40" x14ac:dyDescent="0.25">
      <c r="A6997" t="str">
        <f>"20190312160509478"</f>
        <v>20190312160509478</v>
      </c>
      <c r="B6997" t="str">
        <f>"1552377909472400"</f>
        <v>1552377909472400</v>
      </c>
      <c r="C6997" t="s">
        <v>40</v>
      </c>
      <c r="D6997">
        <v>5.6221420000000002</v>
      </c>
      <c r="E6997">
        <v>0.41863329999999999</v>
      </c>
      <c r="F6997" t="s">
        <v>81</v>
      </c>
      <c r="G6997">
        <v>-295.60809999999998</v>
      </c>
      <c r="H6997" s="1">
        <v>-1.180816E-5</v>
      </c>
      <c r="I6997">
        <v>-61.611620000000002</v>
      </c>
      <c r="J6997">
        <v>-301.49779999999998</v>
      </c>
      <c r="K6997">
        <v>1.1120080000000001</v>
      </c>
      <c r="L6997">
        <v>-41.570189999999997</v>
      </c>
      <c r="M6997">
        <v>9.0813839999999996E-3</v>
      </c>
      <c r="N6997">
        <v>0</v>
      </c>
      <c r="O6997">
        <v>-0.99987139999999997</v>
      </c>
      <c r="P6997">
        <v>0.10232140000000001</v>
      </c>
      <c r="Q6997">
        <v>4.2907010000000002E-2</v>
      </c>
      <c r="R6997">
        <v>-0.99382590000000004</v>
      </c>
      <c r="S6997">
        <v>0.85501099999999997</v>
      </c>
      <c r="T6997">
        <v>-0.1613047</v>
      </c>
      <c r="U6997">
        <v>-2.939575</v>
      </c>
      <c r="V6997">
        <v>-9.3518080000000003E-2</v>
      </c>
      <c r="W6997">
        <v>5.5676570000000002E-2</v>
      </c>
      <c r="X6997">
        <v>0.99405960000000004</v>
      </c>
      <c r="Y6997">
        <v>-0.27016810000000002</v>
      </c>
      <c r="Z6997">
        <v>5.2680570000000003E-2</v>
      </c>
      <c r="AA6997">
        <v>0.96137090000000003</v>
      </c>
      <c r="AB6997">
        <v>23</v>
      </c>
      <c r="AC6997">
        <v>5.8897000000000004</v>
      </c>
      <c r="AD6997">
        <v>-1.1120198081599999</v>
      </c>
      <c r="AE6997">
        <v>-20.041429999999899</v>
      </c>
      <c r="AF6997">
        <v>-5.6913083655369796</v>
      </c>
      <c r="AG6997">
        <v>-1.1120198081599999</v>
      </c>
      <c r="AH6997">
        <v>20.037309929878401</v>
      </c>
      <c r="AI6997">
        <v>93.055877009057994</v>
      </c>
      <c r="AJ6997">
        <v>105.856431306472</v>
      </c>
      <c r="AK6997">
        <v>20.859562991380599</v>
      </c>
      <c r="AL6997">
        <v>86.8083170981987</v>
      </c>
      <c r="AM6997">
        <v>95.374393249990604</v>
      </c>
      <c r="AN6997">
        <v>1.000000000043</v>
      </c>
    </row>
    <row r="6998" spans="1:40" x14ac:dyDescent="0.25">
      <c r="A6998" t="str">
        <f>"20190312160509500"</f>
        <v>20190312160509500</v>
      </c>
      <c r="B6998" t="str">
        <f>"1552377909491920"</f>
        <v>1552377909491920</v>
      </c>
      <c r="C6998" t="s">
        <v>40</v>
      </c>
      <c r="D6998">
        <v>5.6157579999999996</v>
      </c>
      <c r="E6998">
        <v>0.41506789999999999</v>
      </c>
      <c r="F6998" t="s">
        <v>81</v>
      </c>
      <c r="G6998">
        <v>-295.37419999999997</v>
      </c>
      <c r="H6998" s="1">
        <v>-1.1487519999999999E-5</v>
      </c>
      <c r="I6998">
        <v>-60.486609999999999</v>
      </c>
      <c r="J6998">
        <v>-301.49250000000001</v>
      </c>
      <c r="K6998">
        <v>1.112033</v>
      </c>
      <c r="L6998">
        <v>-41.796570000000003</v>
      </c>
      <c r="M6998">
        <v>1.1906750000000001E-2</v>
      </c>
      <c r="N6998">
        <v>0</v>
      </c>
      <c r="O6998">
        <v>-0.99984229999999996</v>
      </c>
      <c r="P6998">
        <v>0.1055444</v>
      </c>
      <c r="Q6998">
        <v>4.3189709999999999E-2</v>
      </c>
      <c r="R6998">
        <v>-0.99347660000000004</v>
      </c>
      <c r="S6998">
        <v>0.94799800000000001</v>
      </c>
      <c r="T6998">
        <v>-0.172152799999999</v>
      </c>
      <c r="U6998">
        <v>-2.9284669999999999</v>
      </c>
      <c r="V6998">
        <v>-9.39387E-2</v>
      </c>
      <c r="W6998">
        <v>5.5912240000000002E-2</v>
      </c>
      <c r="X6998">
        <v>0.99400670000000002</v>
      </c>
      <c r="Y6998">
        <v>-0.29615019999999997</v>
      </c>
      <c r="Z6998">
        <v>5.5938080000000001E-2</v>
      </c>
      <c r="AA6998">
        <v>0.95350190000000001</v>
      </c>
      <c r="AB6998">
        <v>23</v>
      </c>
      <c r="AC6998">
        <v>6.1183000000000298</v>
      </c>
      <c r="AD6998">
        <v>-1.11204448752</v>
      </c>
      <c r="AE6998">
        <v>-18.69004</v>
      </c>
      <c r="AF6998">
        <v>-5.8765189976051699</v>
      </c>
      <c r="AG6998">
        <v>-1.11204448752</v>
      </c>
      <c r="AH6998">
        <v>18.701771062124699</v>
      </c>
      <c r="AI6998">
        <v>93.246760159910394</v>
      </c>
      <c r="AJ6998">
        <v>107.44389689906799</v>
      </c>
      <c r="AK6998">
        <v>19.634825166819301</v>
      </c>
      <c r="AL6998">
        <v>86.794793099149004</v>
      </c>
      <c r="AM6998">
        <v>95.398708983526603</v>
      </c>
      <c r="AN6998">
        <v>0.99999998879219798</v>
      </c>
    </row>
    <row r="6999" spans="1:40" x14ac:dyDescent="0.25">
      <c r="A6999" t="str">
        <f>"20190312160509523"</f>
        <v>20190312160509523</v>
      </c>
      <c r="B6999" t="str">
        <f>"1552377909512415"</f>
        <v>1552377909512415</v>
      </c>
      <c r="C6999" t="s">
        <v>40</v>
      </c>
      <c r="D6999">
        <v>5.5910270000000004</v>
      </c>
      <c r="E6999">
        <v>0.41380519999999998</v>
      </c>
      <c r="F6999" t="s">
        <v>81</v>
      </c>
      <c r="G6999">
        <v>-295.4821</v>
      </c>
      <c r="H6999" s="1">
        <v>-7.8647169999999993E-6</v>
      </c>
      <c r="I6999">
        <v>-59.63053</v>
      </c>
      <c r="J6999">
        <v>-301.48669999999998</v>
      </c>
      <c r="K6999">
        <v>1.112061</v>
      </c>
      <c r="L6999">
        <v>-42.014769999999999</v>
      </c>
      <c r="M6999">
        <v>1.4675560000000001E-2</v>
      </c>
      <c r="N6999">
        <v>0</v>
      </c>
      <c r="O6999">
        <v>-0.99980599999999997</v>
      </c>
      <c r="P6999">
        <v>0.108783199999999</v>
      </c>
      <c r="Q6999">
        <v>4.278494E-2</v>
      </c>
      <c r="R6999">
        <v>-0.99314429999999998</v>
      </c>
      <c r="S6999">
        <v>0.98510739999999997</v>
      </c>
      <c r="T6999">
        <v>-0.1822627</v>
      </c>
      <c r="U6999">
        <v>-2.922974</v>
      </c>
      <c r="V6999">
        <v>-9.4429250000000006E-2</v>
      </c>
      <c r="W6999">
        <v>5.5461370000000003E-2</v>
      </c>
      <c r="X6999">
        <v>0.99398549999999997</v>
      </c>
      <c r="Y6999">
        <v>-0.30487160000000002</v>
      </c>
      <c r="Z6999">
        <v>5.9115719999999997E-2</v>
      </c>
      <c r="AA6999">
        <v>0.95055699999999999</v>
      </c>
      <c r="AB6999">
        <v>22</v>
      </c>
      <c r="AC6999">
        <v>6.0045999999999804</v>
      </c>
      <c r="AD6999">
        <v>-1.1120688647170001</v>
      </c>
      <c r="AE6999">
        <v>-17.615760000000002</v>
      </c>
      <c r="AF6999">
        <v>-5.7249690779037303</v>
      </c>
      <c r="AG6999">
        <v>-1.1120688647170001</v>
      </c>
      <c r="AH6999">
        <v>17.6390118823258</v>
      </c>
      <c r="AI6999">
        <v>93.431722336458904</v>
      </c>
      <c r="AJ6999">
        <v>107.981507938924</v>
      </c>
      <c r="AK6999">
        <v>18.578124455597202</v>
      </c>
      <c r="AL6999">
        <v>86.820666264548606</v>
      </c>
      <c r="AM6999">
        <v>95.426848345700293</v>
      </c>
      <c r="AN6999">
        <v>1.0000000105140401</v>
      </c>
    </row>
    <row r="7000" spans="1:40" x14ac:dyDescent="0.25">
      <c r="A7000" t="str">
        <f>"20190312160509544"</f>
        <v>20190312160509544</v>
      </c>
      <c r="B7000" t="str">
        <f>"1552377909541695"</f>
        <v>1552377909541695</v>
      </c>
      <c r="C7000" t="s">
        <v>40</v>
      </c>
      <c r="D7000">
        <v>5.3899480000000004</v>
      </c>
      <c r="E7000">
        <v>0.4110028</v>
      </c>
      <c r="F7000" t="s">
        <v>81</v>
      </c>
      <c r="G7000">
        <v>-295.72340000000003</v>
      </c>
      <c r="H7000" s="1">
        <v>-7.8634750000000001E-6</v>
      </c>
      <c r="I7000">
        <v>-58.764589999999998</v>
      </c>
      <c r="J7000">
        <v>-301.48020000000002</v>
      </c>
      <c r="K7000">
        <v>1.112082</v>
      </c>
      <c r="L7000">
        <v>-42.236240000000002</v>
      </c>
      <c r="M7000">
        <v>1.752778E-2</v>
      </c>
      <c r="N7000">
        <v>0</v>
      </c>
      <c r="O7000">
        <v>-0.99976069999999995</v>
      </c>
      <c r="P7000">
        <v>0.11121640000000001</v>
      </c>
      <c r="Q7000">
        <v>4.1983369999999999E-2</v>
      </c>
      <c r="R7000">
        <v>-0.99290929999999999</v>
      </c>
      <c r="S7000">
        <v>1.0043949999999999</v>
      </c>
      <c r="T7000">
        <v>-0.19380339999999999</v>
      </c>
      <c r="U7000">
        <v>-2.9190369999999999</v>
      </c>
      <c r="V7000">
        <v>-9.4028379999999995E-2</v>
      </c>
      <c r="W7000">
        <v>5.4617220000000001E-2</v>
      </c>
      <c r="X7000">
        <v>0.99407020000000001</v>
      </c>
      <c r="Y7000">
        <v>-0.30809500000000001</v>
      </c>
      <c r="Z7000">
        <v>6.2821080000000001E-2</v>
      </c>
      <c r="AA7000">
        <v>0.94927919999999999</v>
      </c>
      <c r="AB7000">
        <v>22</v>
      </c>
      <c r="AC7000">
        <v>5.7567999999999904</v>
      </c>
      <c r="AD7000">
        <v>-1.1120898634750001</v>
      </c>
      <c r="AE7000">
        <v>-16.52835</v>
      </c>
      <c r="AF7000">
        <v>-5.4442053094818004</v>
      </c>
      <c r="AG7000">
        <v>-1.1120898634750001</v>
      </c>
      <c r="AH7000">
        <v>16.5598653371196</v>
      </c>
      <c r="AI7000">
        <v>93.650324805363397</v>
      </c>
      <c r="AJ7000">
        <v>108.198746711658</v>
      </c>
      <c r="AK7000">
        <v>17.467262387099201</v>
      </c>
      <c r="AL7000">
        <v>86.869105795362998</v>
      </c>
      <c r="AM7000">
        <v>95.403489300483798</v>
      </c>
      <c r="AN7000">
        <v>0.99999996974699501</v>
      </c>
    </row>
    <row r="7001" spans="1:40" x14ac:dyDescent="0.25">
      <c r="A7001" t="str">
        <f>"20190312160509634"</f>
        <v>20190312160509634</v>
      </c>
      <c r="B7001" t="str">
        <f>"1552377909632464"</f>
        <v>1552377909632464</v>
      </c>
      <c r="C7001" t="s">
        <v>40</v>
      </c>
      <c r="D7001">
        <v>7.1040960000000002</v>
      </c>
      <c r="E7001">
        <v>0.41027740000000001</v>
      </c>
      <c r="F7001" t="s">
        <v>81</v>
      </c>
      <c r="G7001">
        <v>-295.49169999999998</v>
      </c>
      <c r="H7001" s="1">
        <v>-7.9130789999999997E-6</v>
      </c>
      <c r="I7001">
        <v>-59.111339999999998</v>
      </c>
      <c r="J7001">
        <v>-301.447</v>
      </c>
      <c r="K7001">
        <v>1.1121379999999901</v>
      </c>
      <c r="L7001">
        <v>-43.12527</v>
      </c>
      <c r="M7001">
        <v>2.936772E-2</v>
      </c>
      <c r="N7001">
        <v>0</v>
      </c>
      <c r="O7001">
        <v>-0.99948510000000002</v>
      </c>
      <c r="P7001">
        <v>0.12323919999999999</v>
      </c>
      <c r="Q7001">
        <v>4.1814089999999998E-2</v>
      </c>
      <c r="R7001">
        <v>-0.99149600000000004</v>
      </c>
      <c r="S7001">
        <v>1.0339969999999901</v>
      </c>
      <c r="T7001">
        <v>-0.1920182</v>
      </c>
      <c r="U7001">
        <v>-2.9137270000000002</v>
      </c>
      <c r="V7001">
        <v>-9.4308470000000005E-2</v>
      </c>
      <c r="W7001">
        <v>5.4257739999999999E-2</v>
      </c>
      <c r="X7001">
        <v>0.99406340000000004</v>
      </c>
      <c r="Y7001">
        <v>-0.30596600000000002</v>
      </c>
      <c r="Z7001">
        <v>6.2246049999999997E-2</v>
      </c>
      <c r="AA7001">
        <v>0.9500054</v>
      </c>
      <c r="AB7001">
        <v>22</v>
      </c>
      <c r="AC7001">
        <v>5.9553000000000198</v>
      </c>
      <c r="AD7001">
        <v>-1.1121459130789999</v>
      </c>
      <c r="AE7001">
        <v>-15.98607</v>
      </c>
      <c r="AF7001">
        <v>-5.4600115775083404</v>
      </c>
      <c r="AG7001">
        <v>-1.1121459130789999</v>
      </c>
      <c r="AH7001">
        <v>16.085715720719399</v>
      </c>
      <c r="AI7001">
        <v>93.745807819087204</v>
      </c>
      <c r="AJ7001">
        <v>108.748872136456</v>
      </c>
      <c r="AK7001">
        <v>17.0234792332914</v>
      </c>
      <c r="AL7001">
        <v>86.889733215120103</v>
      </c>
      <c r="AM7001">
        <v>95.419526274152403</v>
      </c>
      <c r="AN7001">
        <v>1.0000000165416001</v>
      </c>
    </row>
    <row r="7002" spans="1:40" x14ac:dyDescent="0.25">
      <c r="A7002" t="str">
        <f>"20190312160509657"</f>
        <v>20190312160509657</v>
      </c>
      <c r="B7002" t="str">
        <f>"1552377909651983"</f>
        <v>1552377909651983</v>
      </c>
      <c r="C7002" t="s">
        <v>40</v>
      </c>
      <c r="D7002">
        <v>4.8224809999999998</v>
      </c>
      <c r="E7002">
        <v>0.38712740000000001</v>
      </c>
      <c r="F7002" t="s">
        <v>81</v>
      </c>
      <c r="G7002">
        <v>-295.58300000000003</v>
      </c>
      <c r="H7002" s="1">
        <v>-7.8951179999999992E-6</v>
      </c>
      <c r="I7002">
        <v>-58.958849999999998</v>
      </c>
      <c r="J7002">
        <v>-301.43650000000002</v>
      </c>
      <c r="K7002">
        <v>1.1121490000000001</v>
      </c>
      <c r="L7002">
        <v>-43.356259999999999</v>
      </c>
      <c r="M7002">
        <v>3.2530139999999999E-2</v>
      </c>
      <c r="N7002">
        <v>0</v>
      </c>
      <c r="O7002">
        <v>-0.99938760000000004</v>
      </c>
      <c r="P7002">
        <v>0.12664429999999999</v>
      </c>
      <c r="Q7002">
        <v>4.1265940000000001E-2</v>
      </c>
      <c r="R7002">
        <v>-0.99108980000000002</v>
      </c>
      <c r="S7002">
        <v>1.0743100000000001</v>
      </c>
      <c r="T7002">
        <v>-0.2037504</v>
      </c>
      <c r="U7002">
        <v>-2.9007869999999998</v>
      </c>
      <c r="V7002">
        <v>-9.4576499999999994E-2</v>
      </c>
      <c r="W7002">
        <v>5.3660180000000002E-2</v>
      </c>
      <c r="X7002">
        <v>0.99407040000000002</v>
      </c>
      <c r="Y7002">
        <v>-0.31585029999999997</v>
      </c>
      <c r="Z7002">
        <v>6.6037419999999999E-2</v>
      </c>
      <c r="AA7002">
        <v>0.94650820000000002</v>
      </c>
      <c r="AB7002">
        <v>22</v>
      </c>
      <c r="AC7002">
        <v>5.8535000000000501</v>
      </c>
      <c r="AD7002">
        <v>-1.1121568951180001</v>
      </c>
      <c r="AE7002">
        <v>-15.602589999999999</v>
      </c>
      <c r="AF7002">
        <v>-5.3191136291383199</v>
      </c>
      <c r="AG7002">
        <v>-1.1121568951180001</v>
      </c>
      <c r="AH7002">
        <v>15.714768562454401</v>
      </c>
      <c r="AI7002">
        <v>93.835113150402194</v>
      </c>
      <c r="AJ7002">
        <v>108.699862387248</v>
      </c>
      <c r="AK7002">
        <v>16.627802432388599</v>
      </c>
      <c r="AL7002">
        <v>86.924020919585999</v>
      </c>
      <c r="AM7002">
        <v>95.434798736750906</v>
      </c>
      <c r="AN7002">
        <v>1.00000004471302</v>
      </c>
    </row>
    <row r="7003" spans="1:40" x14ac:dyDescent="0.25">
      <c r="A7003" t="str">
        <f>"20190312160509679"</f>
        <v>20190312160509679</v>
      </c>
      <c r="B7003" t="str">
        <f>"1552377909672478"</f>
        <v>1552377909672478</v>
      </c>
      <c r="C7003" t="s">
        <v>40</v>
      </c>
      <c r="D7003">
        <v>4.9408979999999998</v>
      </c>
      <c r="E7003">
        <v>0.38481379999999998</v>
      </c>
      <c r="F7003" t="s">
        <v>81</v>
      </c>
      <c r="G7003">
        <v>-298.15129999999999</v>
      </c>
      <c r="H7003" s="1">
        <v>-7.8682420000000002E-6</v>
      </c>
      <c r="I7003">
        <v>-50.85277</v>
      </c>
      <c r="J7003">
        <v>-301.42610000000002</v>
      </c>
      <c r="K7003">
        <v>1.112161</v>
      </c>
      <c r="L7003">
        <v>-43.57159</v>
      </c>
      <c r="M7003">
        <v>3.5512460000000003E-2</v>
      </c>
      <c r="N7003">
        <v>0</v>
      </c>
      <c r="O7003">
        <v>-0.99928680000000003</v>
      </c>
      <c r="P7003">
        <v>0.13017899999999999</v>
      </c>
      <c r="Q7003">
        <v>4.1651929999999997E-2</v>
      </c>
      <c r="R7003">
        <v>-0.99061520000000003</v>
      </c>
      <c r="S7003">
        <v>1.26355</v>
      </c>
      <c r="T7003">
        <v>-0.42776140000000001</v>
      </c>
      <c r="U7003">
        <v>-2.8833310000000001</v>
      </c>
      <c r="V7003">
        <v>-9.5160620000000001E-2</v>
      </c>
      <c r="W7003">
        <v>5.4000630000000001E-2</v>
      </c>
      <c r="X7003">
        <v>0.99399610000000005</v>
      </c>
      <c r="Y7003">
        <v>-0.36490309999999998</v>
      </c>
      <c r="Z7003">
        <v>0.1354687</v>
      </c>
      <c r="AA7003">
        <v>0.92113730000000005</v>
      </c>
      <c r="AB7003">
        <v>22</v>
      </c>
      <c r="AC7003">
        <v>3.2748000000000199</v>
      </c>
      <c r="AD7003">
        <v>-1.1121688682419999</v>
      </c>
      <c r="AE7003">
        <v>-7.2811799999999902</v>
      </c>
      <c r="AF7003">
        <v>-2.9567619680779198</v>
      </c>
      <c r="AG7003">
        <v>-1.1121688682419999</v>
      </c>
      <c r="AH7003">
        <v>7.2521588285624299</v>
      </c>
      <c r="AI7003">
        <v>98.082404888120806</v>
      </c>
      <c r="AJ7003">
        <v>112.18110710359799</v>
      </c>
      <c r="AK7003">
        <v>7.9103203855504303</v>
      </c>
      <c r="AL7003">
        <v>86.9044858909309</v>
      </c>
      <c r="AM7003">
        <v>95.468568375842494</v>
      </c>
      <c r="AN7003">
        <v>0.99999992922719305</v>
      </c>
    </row>
    <row r="7004" spans="1:40" x14ac:dyDescent="0.25">
      <c r="A7004" t="str">
        <f>"20190312160509701"</f>
        <v>20190312160509701</v>
      </c>
      <c r="B7004" t="str">
        <f>"1552377909692000"</f>
        <v>1552377909692000</v>
      </c>
      <c r="C7004" t="s">
        <v>40</v>
      </c>
      <c r="D7004">
        <v>5.1783460000000003</v>
      </c>
      <c r="E7004">
        <v>0.38368940000000001</v>
      </c>
      <c r="F7004" t="s">
        <v>81</v>
      </c>
      <c r="G7004">
        <v>-296.99099999999999</v>
      </c>
      <c r="H7004" s="1">
        <v>-7.9865239999999995E-6</v>
      </c>
      <c r="I7004">
        <v>-53.422330000000002</v>
      </c>
      <c r="J7004">
        <v>-301.41460000000001</v>
      </c>
      <c r="K7004">
        <v>1.112187</v>
      </c>
      <c r="L7004">
        <v>-43.79269</v>
      </c>
      <c r="M7004">
        <v>3.8613099999999997E-2</v>
      </c>
      <c r="N7004">
        <v>0</v>
      </c>
      <c r="O7004">
        <v>-0.99917219999999995</v>
      </c>
      <c r="P7004">
        <v>0.1344361</v>
      </c>
      <c r="Q7004">
        <v>4.2784700000000002E-2</v>
      </c>
      <c r="R7004">
        <v>-0.9899983</v>
      </c>
      <c r="S7004">
        <v>1.293121</v>
      </c>
      <c r="T7004">
        <v>-0.32427</v>
      </c>
      <c r="U7004">
        <v>-2.872131</v>
      </c>
      <c r="V7004">
        <v>-9.635966E-2</v>
      </c>
      <c r="W7004">
        <v>5.5086200000000002E-2</v>
      </c>
      <c r="X7004">
        <v>0.99382110000000001</v>
      </c>
      <c r="Y7004">
        <v>-0.37283919999999998</v>
      </c>
      <c r="Z7004">
        <v>0.103099</v>
      </c>
      <c r="AA7004">
        <v>0.92215049999999998</v>
      </c>
      <c r="AB7004">
        <v>22</v>
      </c>
      <c r="AC7004">
        <v>4.42360000000002</v>
      </c>
      <c r="AD7004">
        <v>-1.112194986524</v>
      </c>
      <c r="AE7004">
        <v>-9.6296400000000002</v>
      </c>
      <c r="AF7004">
        <v>-4.0043315872816798</v>
      </c>
      <c r="AG7004">
        <v>-1.112194986524</v>
      </c>
      <c r="AH7004">
        <v>9.6865814828344607</v>
      </c>
      <c r="AI7004">
        <v>96.056933193731396</v>
      </c>
      <c r="AJ7004">
        <v>112.459690068924</v>
      </c>
      <c r="AK7004">
        <v>10.540470102065701</v>
      </c>
      <c r="AL7004">
        <v>86.842194883598907</v>
      </c>
      <c r="AM7004">
        <v>95.538016640745099</v>
      </c>
      <c r="AN7004">
        <v>1.00000002615548</v>
      </c>
    </row>
    <row r="7005" spans="1:40" x14ac:dyDescent="0.25">
      <c r="A7005" t="str">
        <f>"20190312160509724"</f>
        <v>20190312160509724</v>
      </c>
      <c r="B7005" t="str">
        <f>"1552377909712496"</f>
        <v>1552377909712496</v>
      </c>
      <c r="C7005" t="s">
        <v>40</v>
      </c>
      <c r="D7005">
        <v>5.2357360000000002</v>
      </c>
      <c r="E7005">
        <v>0.38421090000000002</v>
      </c>
      <c r="F7005" t="s">
        <v>81</v>
      </c>
      <c r="G7005">
        <v>-295.66039999999998</v>
      </c>
      <c r="H7005" s="1">
        <v>-8.131079E-6</v>
      </c>
      <c r="I7005">
        <v>-56.314880000000002</v>
      </c>
      <c r="J7005">
        <v>-301.4024</v>
      </c>
      <c r="K7005">
        <v>1.112214</v>
      </c>
      <c r="L7005">
        <v>-44.014710000000001</v>
      </c>
      <c r="M7005">
        <v>4.1772120000000003E-2</v>
      </c>
      <c r="N7005">
        <v>0</v>
      </c>
      <c r="O7005">
        <v>-0.99904539999999997</v>
      </c>
      <c r="P7005">
        <v>0.1387545</v>
      </c>
      <c r="Q7005">
        <v>4.3854770000000001E-2</v>
      </c>
      <c r="R7005">
        <v>-0.98935569999999895</v>
      </c>
      <c r="S7005">
        <v>1.3154600000000001</v>
      </c>
      <c r="T7005">
        <v>-0.2542567</v>
      </c>
      <c r="U7005">
        <v>-2.8626710000000002</v>
      </c>
      <c r="V7005">
        <v>-9.7565289999999999E-2</v>
      </c>
      <c r="W7005">
        <v>5.6111719999999997E-2</v>
      </c>
      <c r="X7005">
        <v>0.99364609999999998</v>
      </c>
      <c r="Y7005">
        <v>-0.37785350000000001</v>
      </c>
      <c r="Z7005">
        <v>8.1033969999999997E-2</v>
      </c>
      <c r="AA7005">
        <v>0.92231240000000003</v>
      </c>
      <c r="AB7005">
        <v>22</v>
      </c>
      <c r="AC7005">
        <v>5.7420000000000098</v>
      </c>
      <c r="AD7005">
        <v>-1.1122221310789999</v>
      </c>
      <c r="AE7005">
        <v>-12.30017</v>
      </c>
      <c r="AF7005">
        <v>-5.1883101380987</v>
      </c>
      <c r="AG7005">
        <v>-1.1122221310789999</v>
      </c>
      <c r="AH7005">
        <v>12.445754326045</v>
      </c>
      <c r="AI7005">
        <v>94.715381281923101</v>
      </c>
      <c r="AJ7005">
        <v>112.62998132550599</v>
      </c>
      <c r="AK7005">
        <v>13.5296859129186</v>
      </c>
      <c r="AL7005">
        <v>86.783345935385896</v>
      </c>
      <c r="AM7005">
        <v>95.607849404813805</v>
      </c>
      <c r="AN7005">
        <v>1.0000000414896699</v>
      </c>
    </row>
    <row r="7006" spans="1:40" x14ac:dyDescent="0.25">
      <c r="A7006" t="str">
        <f>"20190312160509747"</f>
        <v>20190312160509747</v>
      </c>
      <c r="B7006" t="str">
        <f>"1552377909741775"</f>
        <v>1552377909741775</v>
      </c>
      <c r="C7006" t="s">
        <v>40</v>
      </c>
      <c r="D7006">
        <v>5.1873899999999997</v>
      </c>
      <c r="E7006">
        <v>0.38746239999999998</v>
      </c>
      <c r="F7006" t="s">
        <v>81</v>
      </c>
      <c r="G7006">
        <v>-294.137</v>
      </c>
      <c r="H7006" s="1">
        <v>-8.3490869999999904E-6</v>
      </c>
      <c r="I7006">
        <v>-59.677269999999901</v>
      </c>
      <c r="J7006">
        <v>-301.38900000000001</v>
      </c>
      <c r="K7006">
        <v>1.1122449999999999</v>
      </c>
      <c r="L7006">
        <v>-44.244050000000001</v>
      </c>
      <c r="M7006">
        <v>4.5090970000000001E-2</v>
      </c>
      <c r="N7006">
        <v>0</v>
      </c>
      <c r="O7006">
        <v>-0.99890140000000005</v>
      </c>
      <c r="P7006">
        <v>0.1434057</v>
      </c>
      <c r="Q7006">
        <v>4.494803E-2</v>
      </c>
      <c r="R7006">
        <v>-0.98864269999999999</v>
      </c>
      <c r="S7006">
        <v>1.3245849999999999</v>
      </c>
      <c r="T7006">
        <v>-0.2027735</v>
      </c>
      <c r="U7006">
        <v>-2.855499</v>
      </c>
      <c r="V7006">
        <v>-9.8949919999999997E-2</v>
      </c>
      <c r="W7006">
        <v>5.7159069999999999E-2</v>
      </c>
      <c r="X7006">
        <v>0.99344940000000004</v>
      </c>
      <c r="Y7006">
        <v>-0.3785848</v>
      </c>
      <c r="Z7006">
        <v>6.4790440000000005E-2</v>
      </c>
      <c r="AA7006">
        <v>0.92329620000000001</v>
      </c>
      <c r="AB7006">
        <v>22</v>
      </c>
      <c r="AC7006">
        <v>7.2519999999999998</v>
      </c>
      <c r="AD7006">
        <v>-1.1122533490869999</v>
      </c>
      <c r="AE7006">
        <v>-15.433219999999899</v>
      </c>
      <c r="AF7006">
        <v>-6.5209238537304897</v>
      </c>
      <c r="AG7006">
        <v>-1.1122533490869999</v>
      </c>
      <c r="AH7006">
        <v>15.677844921637201</v>
      </c>
      <c r="AI7006">
        <v>93.747753544899197</v>
      </c>
      <c r="AJ7006">
        <v>112.584009241323</v>
      </c>
      <c r="AK7006">
        <v>17.0162973882573</v>
      </c>
      <c r="AL7006">
        <v>86.7232405194828</v>
      </c>
      <c r="AM7006">
        <v>95.688035601089993</v>
      </c>
      <c r="AN7006">
        <v>0.99999997815581498</v>
      </c>
    </row>
    <row r="7007" spans="1:40" x14ac:dyDescent="0.25">
      <c r="A7007" t="str">
        <f>"20190312160509769"</f>
        <v>20190312160509769</v>
      </c>
      <c r="B7007" t="str">
        <f>"1552377909762272"</f>
        <v>1552377909762272</v>
      </c>
      <c r="C7007" t="s">
        <v>40</v>
      </c>
      <c r="D7007">
        <v>5.2561260000000001</v>
      </c>
      <c r="E7007">
        <v>0.3875382</v>
      </c>
      <c r="F7007" t="s">
        <v>81</v>
      </c>
      <c r="G7007">
        <v>-293.0478</v>
      </c>
      <c r="H7007" s="1">
        <v>-1.1187309999999999E-5</v>
      </c>
      <c r="I7007">
        <v>-62.363590000000002</v>
      </c>
      <c r="J7007">
        <v>-301.37569999999999</v>
      </c>
      <c r="K7007">
        <v>1.1122860000000001</v>
      </c>
      <c r="L7007">
        <v>-44.459200000000003</v>
      </c>
      <c r="M7007">
        <v>4.8270800000000003E-2</v>
      </c>
      <c r="N7007">
        <v>0</v>
      </c>
      <c r="O7007">
        <v>-0.99875309999999995</v>
      </c>
      <c r="P7007">
        <v>0.1475052</v>
      </c>
      <c r="Q7007">
        <v>4.5708329999999998E-2</v>
      </c>
      <c r="R7007">
        <v>-0.98800460000000001</v>
      </c>
      <c r="S7007">
        <v>1.312897</v>
      </c>
      <c r="T7007">
        <v>-0.17506749999999999</v>
      </c>
      <c r="U7007">
        <v>-2.8519899999999998</v>
      </c>
      <c r="V7007">
        <v>-9.9918720000000003E-2</v>
      </c>
      <c r="W7007">
        <v>5.788124E-2</v>
      </c>
      <c r="X7007">
        <v>0.99331060000000004</v>
      </c>
      <c r="Y7007">
        <v>-0.37316729999999998</v>
      </c>
      <c r="Z7007">
        <v>5.612926E-2</v>
      </c>
      <c r="AA7007">
        <v>0.92606460000000002</v>
      </c>
      <c r="AB7007">
        <v>22</v>
      </c>
      <c r="AC7007">
        <v>8.3278999999999996</v>
      </c>
      <c r="AD7007">
        <v>-1.11229718731</v>
      </c>
      <c r="AE7007">
        <v>-17.904389999999999</v>
      </c>
      <c r="AF7007">
        <v>-7.4302851363434996</v>
      </c>
      <c r="AG7007">
        <v>-1.11229718731</v>
      </c>
      <c r="AH7007">
        <v>18.227706372393101</v>
      </c>
      <c r="AI7007">
        <v>93.234218128617698</v>
      </c>
      <c r="AJ7007">
        <v>112.177620509463</v>
      </c>
      <c r="AK7007">
        <v>19.7153651205968</v>
      </c>
      <c r="AL7007">
        <v>86.681794571746806</v>
      </c>
      <c r="AM7007">
        <v>95.744152741784305</v>
      </c>
      <c r="AN7007">
        <v>0.99999996831136695</v>
      </c>
    </row>
    <row r="7008" spans="1:40" x14ac:dyDescent="0.25">
      <c r="A7008" t="str">
        <f>"20190312160509791"</f>
        <v>20190312160509791</v>
      </c>
      <c r="B7008" t="str">
        <f>"1552377909781792"</f>
        <v>1552377909781792</v>
      </c>
      <c r="C7008" t="s">
        <v>40</v>
      </c>
      <c r="D7008">
        <v>5.4468709999999998</v>
      </c>
      <c r="E7008">
        <v>0.38932509999999998</v>
      </c>
      <c r="F7008" t="s">
        <v>81</v>
      </c>
      <c r="G7008">
        <v>-291.87200000000001</v>
      </c>
      <c r="H7008" s="1">
        <v>-1.129557E-5</v>
      </c>
      <c r="I7008">
        <v>-64.883139999999997</v>
      </c>
      <c r="J7008">
        <v>-301.36099999999999</v>
      </c>
      <c r="K7008">
        <v>1.1123379999999901</v>
      </c>
      <c r="L7008">
        <v>-44.681460000000001</v>
      </c>
      <c r="M7008">
        <v>5.1627270000000003E-2</v>
      </c>
      <c r="N7008">
        <v>0</v>
      </c>
      <c r="O7008">
        <v>-0.99858579999999997</v>
      </c>
      <c r="P7008">
        <v>0.151057</v>
      </c>
      <c r="Q7008">
        <v>4.6724750000000002E-2</v>
      </c>
      <c r="R7008">
        <v>-0.98742070000000004</v>
      </c>
      <c r="S7008">
        <v>1.324249</v>
      </c>
      <c r="T7008">
        <v>-0.154988299999999</v>
      </c>
      <c r="U7008">
        <v>-2.8458860000000001</v>
      </c>
      <c r="V7008">
        <v>-0.1001659</v>
      </c>
      <c r="W7008">
        <v>5.886566E-2</v>
      </c>
      <c r="X7008">
        <v>0.99322790000000005</v>
      </c>
      <c r="Y7008">
        <v>-0.37398779999999998</v>
      </c>
      <c r="Z7008">
        <v>4.9745230000000001E-2</v>
      </c>
      <c r="AA7008">
        <v>0.92609850000000005</v>
      </c>
      <c r="AB7008">
        <v>22</v>
      </c>
      <c r="AC7008">
        <v>9.4889999999999706</v>
      </c>
      <c r="AD7008">
        <v>-1.1123492955699901</v>
      </c>
      <c r="AE7008">
        <v>-20.20168</v>
      </c>
      <c r="AF7008">
        <v>-8.4124070334257901</v>
      </c>
      <c r="AG7008">
        <v>-1.1123492955699901</v>
      </c>
      <c r="AH7008">
        <v>20.613465290603202</v>
      </c>
      <c r="AI7008">
        <v>92.860227617730402</v>
      </c>
      <c r="AJ7008">
        <v>112.20049481601301</v>
      </c>
      <c r="AK7008">
        <v>22.291721879170499</v>
      </c>
      <c r="AL7008">
        <v>86.625295280257106</v>
      </c>
      <c r="AM7008">
        <v>95.758743547269802</v>
      </c>
      <c r="AN7008">
        <v>1.0000000173942201</v>
      </c>
    </row>
    <row r="7009" spans="1:40" x14ac:dyDescent="0.25">
      <c r="A7009" t="str">
        <f>"20190312160509815"</f>
        <v>20190312160509815</v>
      </c>
      <c r="B7009" t="str">
        <f>"1552377909812049"</f>
        <v>1552377909812049</v>
      </c>
      <c r="C7009" t="s">
        <v>40</v>
      </c>
      <c r="D7009">
        <v>5.372458</v>
      </c>
      <c r="E7009">
        <v>0.39342969999999999</v>
      </c>
      <c r="F7009" t="s">
        <v>81</v>
      </c>
      <c r="G7009">
        <v>-290.96409999999997</v>
      </c>
      <c r="H7009" s="1">
        <v>-1.139338E-5</v>
      </c>
      <c r="I7009">
        <v>-67.059030000000007</v>
      </c>
      <c r="J7009">
        <v>-301.34429999999998</v>
      </c>
      <c r="K7009">
        <v>1.1123879999999999</v>
      </c>
      <c r="L7009">
        <v>-44.921509999999998</v>
      </c>
      <c r="M7009">
        <v>5.5323120000000003E-2</v>
      </c>
      <c r="N7009">
        <v>0</v>
      </c>
      <c r="O7009">
        <v>-0.99838789999999999</v>
      </c>
      <c r="P7009">
        <v>0.1549827</v>
      </c>
      <c r="Q7009">
        <v>4.754154E-2</v>
      </c>
      <c r="R7009">
        <v>-0.98677280000000001</v>
      </c>
      <c r="S7009">
        <v>1.3208310000000001</v>
      </c>
      <c r="T7009">
        <v>-0.14131389999999999</v>
      </c>
      <c r="U7009">
        <v>-2.8428650000000002</v>
      </c>
      <c r="V7009">
        <v>-0.100452</v>
      </c>
      <c r="W7009">
        <v>5.9649149999999998E-2</v>
      </c>
      <c r="X7009">
        <v>0.99315229999999999</v>
      </c>
      <c r="Y7009">
        <v>-0.37009950000000003</v>
      </c>
      <c r="Z7009">
        <v>4.5443890000000001E-2</v>
      </c>
      <c r="AA7009">
        <v>0.92787989999999998</v>
      </c>
      <c r="AB7009">
        <v>22</v>
      </c>
      <c r="AC7009">
        <v>10.3802</v>
      </c>
      <c r="AD7009">
        <v>-1.1123993933799901</v>
      </c>
      <c r="AE7009">
        <v>-22.137519999999999</v>
      </c>
      <c r="AF7009">
        <v>-9.1206060819388792</v>
      </c>
      <c r="AG7009">
        <v>-1.1123993933799901</v>
      </c>
      <c r="AH7009">
        <v>22.631077894130598</v>
      </c>
      <c r="AI7009">
        <v>92.610334470502295</v>
      </c>
      <c r="AJ7009">
        <v>111.950048287462</v>
      </c>
      <c r="AK7009">
        <v>24.425162729498801</v>
      </c>
      <c r="AL7009">
        <v>86.580325725660003</v>
      </c>
      <c r="AM7009">
        <v>95.775517636813106</v>
      </c>
      <c r="AN7009">
        <v>1.0000000581974999</v>
      </c>
    </row>
    <row r="7010" spans="1:40" x14ac:dyDescent="0.25">
      <c r="A7010" t="str">
        <f>"20190312160509835"</f>
        <v>20190312160509835</v>
      </c>
      <c r="B7010" t="str">
        <f>"1552377909832545"</f>
        <v>1552377909832545</v>
      </c>
      <c r="C7010" t="s">
        <v>40</v>
      </c>
      <c r="D7010">
        <v>5.4442719999999998</v>
      </c>
      <c r="E7010">
        <v>0.39540819999999999</v>
      </c>
      <c r="F7010" t="s">
        <v>81</v>
      </c>
      <c r="G7010">
        <v>-291.39440000000002</v>
      </c>
      <c r="H7010" s="1">
        <v>-1.1469910000000001E-5</v>
      </c>
      <c r="I7010">
        <v>-66.683819999999997</v>
      </c>
      <c r="J7010">
        <v>-301.3295</v>
      </c>
      <c r="K7010">
        <v>1.112422</v>
      </c>
      <c r="L7010">
        <v>-45.122340000000001</v>
      </c>
      <c r="M7010">
        <v>5.8472879999999998E-2</v>
      </c>
      <c r="N7010">
        <v>0</v>
      </c>
      <c r="O7010">
        <v>-0.99820869999999995</v>
      </c>
      <c r="P7010">
        <v>0.1589267</v>
      </c>
      <c r="Q7010">
        <v>4.8765490000000002E-2</v>
      </c>
      <c r="R7010">
        <v>-0.98608569999999995</v>
      </c>
      <c r="S7010">
        <v>1.299866</v>
      </c>
      <c r="T7010">
        <v>-0.14532490000000001</v>
      </c>
      <c r="U7010">
        <v>-2.843048</v>
      </c>
      <c r="V7010">
        <v>-0.1013037</v>
      </c>
      <c r="W7010">
        <v>6.0837179999999998E-2</v>
      </c>
      <c r="X7010">
        <v>0.99299369999999998</v>
      </c>
      <c r="Y7010">
        <v>-0.36145939999999999</v>
      </c>
      <c r="Z7010">
        <v>4.686618E-2</v>
      </c>
      <c r="AA7010">
        <v>0.93120930000000002</v>
      </c>
      <c r="AB7010">
        <v>22</v>
      </c>
      <c r="AC7010">
        <v>9.9350999999999701</v>
      </c>
      <c r="AD7010">
        <v>-1.11243346991</v>
      </c>
      <c r="AE7010">
        <v>-21.56148</v>
      </c>
      <c r="AF7010">
        <v>-8.63826828373608</v>
      </c>
      <c r="AG7010">
        <v>-1.11243346991</v>
      </c>
      <c r="AH7010">
        <v>22.057131822252799</v>
      </c>
      <c r="AI7010">
        <v>92.688706345127301</v>
      </c>
      <c r="AJ7010">
        <v>111.386877379697</v>
      </c>
      <c r="AK7010">
        <v>23.714431289639101</v>
      </c>
      <c r="AL7010">
        <v>86.512132718397098</v>
      </c>
      <c r="AM7010">
        <v>95.825074985118803</v>
      </c>
      <c r="AN7010">
        <v>1.00000004517186</v>
      </c>
    </row>
    <row r="7011" spans="1:40" x14ac:dyDescent="0.25">
      <c r="A7011" t="str">
        <f>"20190312160509857"</f>
        <v>20190312160509857</v>
      </c>
      <c r="B7011" t="str">
        <f>"1552377909852063"</f>
        <v>1552377909852063</v>
      </c>
      <c r="C7011" t="s">
        <v>40</v>
      </c>
      <c r="D7011">
        <v>5.4516970000000002</v>
      </c>
      <c r="E7011">
        <v>0.39711190000000002</v>
      </c>
      <c r="F7011" t="s">
        <v>81</v>
      </c>
      <c r="G7011">
        <v>-291.22710000000001</v>
      </c>
      <c r="H7011" s="1">
        <v>-1.1521950000000001E-5</v>
      </c>
      <c r="I7011">
        <v>-67.266260000000003</v>
      </c>
      <c r="J7011">
        <v>-301.31259999999997</v>
      </c>
      <c r="K7011">
        <v>1.1124620000000001</v>
      </c>
      <c r="L7011">
        <v>-45.342469999999999</v>
      </c>
      <c r="M7011">
        <v>6.1990679999999999E-2</v>
      </c>
      <c r="N7011">
        <v>0</v>
      </c>
      <c r="O7011">
        <v>-0.99799669999999896</v>
      </c>
      <c r="P7011">
        <v>0.16281189999999901</v>
      </c>
      <c r="Q7011">
        <v>5.0744150000000002E-2</v>
      </c>
      <c r="R7011">
        <v>-0.98535159999999999</v>
      </c>
      <c r="S7011">
        <v>1.295898</v>
      </c>
      <c r="T7011">
        <v>-0.1426992</v>
      </c>
      <c r="U7011">
        <v>-2.8405459999999998</v>
      </c>
      <c r="V7011">
        <v>-0.10173989999999999</v>
      </c>
      <c r="W7011">
        <v>6.2771339999999995E-2</v>
      </c>
      <c r="X7011">
        <v>0.99282870000000001</v>
      </c>
      <c r="Y7011">
        <v>-0.3574196</v>
      </c>
      <c r="Z7011">
        <v>4.6092920000000003E-2</v>
      </c>
      <c r="AA7011">
        <v>0.93280580000000002</v>
      </c>
      <c r="AB7011">
        <v>22</v>
      </c>
      <c r="AC7011">
        <v>10.0854999999999</v>
      </c>
      <c r="AD7011">
        <v>-1.1124735219499999</v>
      </c>
      <c r="AE7011">
        <v>-21.92379</v>
      </c>
      <c r="AF7011">
        <v>-8.6884566418700597</v>
      </c>
      <c r="AG7011">
        <v>-1.1124735219499999</v>
      </c>
      <c r="AH7011">
        <v>22.459146744687398</v>
      </c>
      <c r="AI7011">
        <v>92.645002833984293</v>
      </c>
      <c r="AJ7011">
        <v>111.149263413561</v>
      </c>
      <c r="AK7011">
        <v>24.106848584045501</v>
      </c>
      <c r="AL7011">
        <v>86.401101214940695</v>
      </c>
      <c r="AM7011">
        <v>95.850948860315</v>
      </c>
      <c r="AN7011">
        <v>1.00000003796054</v>
      </c>
    </row>
    <row r="7012" spans="1:40" x14ac:dyDescent="0.25">
      <c r="A7012" t="str">
        <f>"20190312160509880"</f>
        <v>20190312160509880</v>
      </c>
      <c r="B7012" t="str">
        <f>"1552377909872560"</f>
        <v>1552377909872560</v>
      </c>
      <c r="C7012" t="s">
        <v>40</v>
      </c>
      <c r="D7012">
        <v>5.4758509999999996</v>
      </c>
      <c r="E7012">
        <v>0.39875870000000002</v>
      </c>
      <c r="F7012" t="s">
        <v>81</v>
      </c>
      <c r="G7012">
        <v>-290.91250000000002</v>
      </c>
      <c r="H7012" s="1">
        <v>-1.158221E-5</v>
      </c>
      <c r="I7012">
        <v>-68.161150000000006</v>
      </c>
      <c r="J7012">
        <v>-301.29500000000002</v>
      </c>
      <c r="K7012">
        <v>1.1125039999999999</v>
      </c>
      <c r="L7012">
        <v>-45.560519999999997</v>
      </c>
      <c r="M7012">
        <v>6.554314E-2</v>
      </c>
      <c r="N7012">
        <v>0</v>
      </c>
      <c r="O7012">
        <v>-0.99777020000000005</v>
      </c>
      <c r="P7012">
        <v>0.16608609999999999</v>
      </c>
      <c r="Q7012">
        <v>5.1938640000000001E-2</v>
      </c>
      <c r="R7012">
        <v>-0.98474289999999998</v>
      </c>
      <c r="S7012">
        <v>1.293488</v>
      </c>
      <c r="T7012">
        <v>-0.13836099999999901</v>
      </c>
      <c r="U7012">
        <v>-2.8380130000000001</v>
      </c>
      <c r="V7012">
        <v>-0.1015218</v>
      </c>
      <c r="W7012">
        <v>6.3923439999999998E-2</v>
      </c>
      <c r="X7012">
        <v>0.99277749999999998</v>
      </c>
      <c r="Y7012">
        <v>-0.35377619999999999</v>
      </c>
      <c r="Z7012">
        <v>4.4754889999999999E-2</v>
      </c>
      <c r="AA7012">
        <v>0.93425879999999994</v>
      </c>
      <c r="AB7012">
        <v>22</v>
      </c>
      <c r="AC7012">
        <v>10.382499999999901</v>
      </c>
      <c r="AD7012">
        <v>-1.1125155822099999</v>
      </c>
      <c r="AE7012">
        <v>-22.600629999999999</v>
      </c>
      <c r="AF7012">
        <v>-8.8610080268775295</v>
      </c>
      <c r="AG7012">
        <v>-1.1125155822099999</v>
      </c>
      <c r="AH7012">
        <v>23.186188713496399</v>
      </c>
      <c r="AI7012">
        <v>92.566295407084993</v>
      </c>
      <c r="AJ7012">
        <v>110.915231905781</v>
      </c>
      <c r="AK7012">
        <v>24.846619513143299</v>
      </c>
      <c r="AL7012">
        <v>86.334957845904199</v>
      </c>
      <c r="AM7012">
        <v>95.838791935497497</v>
      </c>
      <c r="AN7012">
        <v>1.0000000232814601</v>
      </c>
    </row>
    <row r="7013" spans="1:40" x14ac:dyDescent="0.25">
      <c r="A7013" t="str">
        <f>"20190312160509902"</f>
        <v>20190312160509902</v>
      </c>
      <c r="B7013" t="str">
        <f>"1552377909892080"</f>
        <v>1552377909892080</v>
      </c>
      <c r="C7013" t="s">
        <v>40</v>
      </c>
      <c r="D7013">
        <v>5.4061110000000001</v>
      </c>
      <c r="E7013">
        <v>0.40017999999999998</v>
      </c>
      <c r="F7013" t="s">
        <v>81</v>
      </c>
      <c r="G7013">
        <v>-290.95830000000001</v>
      </c>
      <c r="H7013" s="1">
        <v>-1.1621289999999999E-5</v>
      </c>
      <c r="I7013">
        <v>-68.286379999999994</v>
      </c>
      <c r="J7013">
        <v>-301.27640000000002</v>
      </c>
      <c r="K7013">
        <v>1.1125449999999999</v>
      </c>
      <c r="L7013">
        <v>-45.780819999999999</v>
      </c>
      <c r="M7013">
        <v>6.9198629999999997E-2</v>
      </c>
      <c r="N7013">
        <v>0</v>
      </c>
      <c r="O7013">
        <v>-0.99752370000000001</v>
      </c>
      <c r="P7013">
        <v>0.16954520000000001</v>
      </c>
      <c r="Q7013">
        <v>5.2625669999999999E-2</v>
      </c>
      <c r="R7013">
        <v>-0.98411669999999996</v>
      </c>
      <c r="S7013">
        <v>1.2900389999999999</v>
      </c>
      <c r="T7013">
        <v>-0.1388432</v>
      </c>
      <c r="U7013">
        <v>-2.8362120000000002</v>
      </c>
      <c r="V7013">
        <v>-0.1013841</v>
      </c>
      <c r="W7013">
        <v>6.4565839999999999E-2</v>
      </c>
      <c r="X7013">
        <v>0.99275000000000002</v>
      </c>
      <c r="Y7013">
        <v>-0.34962520000000002</v>
      </c>
      <c r="Z7013">
        <v>4.496642E-2</v>
      </c>
      <c r="AA7013">
        <v>0.93581000000000003</v>
      </c>
      <c r="AB7013">
        <v>22</v>
      </c>
      <c r="AC7013">
        <v>10.318099999999999</v>
      </c>
      <c r="AD7013">
        <v>-1.11255662129</v>
      </c>
      <c r="AE7013">
        <v>-22.505559999999999</v>
      </c>
      <c r="AF7013">
        <v>-8.7182804262985591</v>
      </c>
      <c r="AG7013">
        <v>-1.11255662129</v>
      </c>
      <c r="AH7013">
        <v>23.118973135413899</v>
      </c>
      <c r="AI7013">
        <v>92.578162738580602</v>
      </c>
      <c r="AJ7013">
        <v>110.661710292235</v>
      </c>
      <c r="AK7013">
        <v>24.733239065337699</v>
      </c>
      <c r="AL7013">
        <v>86.298074842515504</v>
      </c>
      <c r="AM7013">
        <v>95.831087450940501</v>
      </c>
      <c r="AN7013">
        <v>1.0000000229638499</v>
      </c>
    </row>
    <row r="7014" spans="1:40" x14ac:dyDescent="0.25">
      <c r="A7014" t="str">
        <f>"20190312160509925"</f>
        <v>20190312160509925</v>
      </c>
      <c r="B7014" t="str">
        <f>"1552377909912575"</f>
        <v>1552377909912575</v>
      </c>
      <c r="C7014" t="s">
        <v>40</v>
      </c>
      <c r="D7014">
        <v>5.4442500000000003</v>
      </c>
      <c r="E7014">
        <v>0.40143899999999999</v>
      </c>
      <c r="F7014" t="s">
        <v>81</v>
      </c>
      <c r="G7014">
        <v>-291.01519999999999</v>
      </c>
      <c r="H7014" s="1">
        <v>-1.165165E-5</v>
      </c>
      <c r="I7014">
        <v>-68.344669999999994</v>
      </c>
      <c r="J7014">
        <v>-301.25670000000002</v>
      </c>
      <c r="K7014">
        <v>1.1125890000000001</v>
      </c>
      <c r="L7014">
        <v>-46.002380000000002</v>
      </c>
      <c r="M7014">
        <v>7.2940660000000004E-2</v>
      </c>
      <c r="N7014">
        <v>0</v>
      </c>
      <c r="O7014">
        <v>-0.99725750000000002</v>
      </c>
      <c r="P7014">
        <v>0.17202210000000001</v>
      </c>
      <c r="Q7014">
        <v>5.2782129999999997E-2</v>
      </c>
      <c r="R7014">
        <v>-0.98367819999999995</v>
      </c>
      <c r="S7014">
        <v>1.288727</v>
      </c>
      <c r="T7014">
        <v>-0.139729399999999</v>
      </c>
      <c r="U7014">
        <v>-2.8338619999999999</v>
      </c>
      <c r="V7014">
        <v>-0.1001657</v>
      </c>
      <c r="W7014">
        <v>6.4686240000000006E-2</v>
      </c>
      <c r="X7014">
        <v>0.99286580000000002</v>
      </c>
      <c r="Y7014">
        <v>-0.34603519999999999</v>
      </c>
      <c r="Z7014">
        <v>4.5303669999999997E-2</v>
      </c>
      <c r="AA7014">
        <v>0.93712709999999999</v>
      </c>
      <c r="AB7014">
        <v>22</v>
      </c>
      <c r="AC7014">
        <v>10.2415</v>
      </c>
      <c r="AD7014">
        <v>-1.11260065165</v>
      </c>
      <c r="AE7014">
        <v>-22.342289999999899</v>
      </c>
      <c r="AF7014">
        <v>-8.5668701847988</v>
      </c>
      <c r="AG7014">
        <v>-1.11260065165</v>
      </c>
      <c r="AH7014">
        <v>22.982750247368301</v>
      </c>
      <c r="AI7014">
        <v>92.597234202258605</v>
      </c>
      <c r="AJ7014">
        <v>110.443049396793</v>
      </c>
      <c r="AK7014">
        <v>24.552717851719699</v>
      </c>
      <c r="AL7014">
        <v>86.291161846105297</v>
      </c>
      <c r="AM7014">
        <v>95.760818223003795</v>
      </c>
      <c r="AN7014">
        <v>0.999999986955733</v>
      </c>
    </row>
    <row r="7015" spans="1:40" x14ac:dyDescent="0.25">
      <c r="A7015" t="str">
        <f>"20190312160509947"</f>
        <v>20190312160509947</v>
      </c>
      <c r="B7015" t="str">
        <f>"1552377909941855"</f>
        <v>1552377909941855</v>
      </c>
      <c r="C7015" t="s">
        <v>40</v>
      </c>
      <c r="D7015">
        <v>5.5295360000000002</v>
      </c>
      <c r="E7015">
        <v>0.40311789999999997</v>
      </c>
      <c r="F7015" t="s">
        <v>81</v>
      </c>
      <c r="G7015">
        <v>-291.24669999999998</v>
      </c>
      <c r="H7015" s="1">
        <v>-1.1675629999999999E-5</v>
      </c>
      <c r="I7015">
        <v>-68.050989999999999</v>
      </c>
      <c r="J7015">
        <v>-301.23610000000002</v>
      </c>
      <c r="K7015">
        <v>1.1126419999999999</v>
      </c>
      <c r="L7015">
        <v>-46.22437</v>
      </c>
      <c r="M7015">
        <v>7.675709E-2</v>
      </c>
      <c r="N7015">
        <v>0</v>
      </c>
      <c r="O7015">
        <v>-0.99697159999999996</v>
      </c>
      <c r="P7015">
        <v>0.17439749999999901</v>
      </c>
      <c r="Q7015">
        <v>5.4108080000000003E-2</v>
      </c>
      <c r="R7015">
        <v>-0.9831879</v>
      </c>
      <c r="S7015">
        <v>1.2859799999999999</v>
      </c>
      <c r="T7015">
        <v>-0.14293549999999999</v>
      </c>
      <c r="U7015">
        <v>-2.8325809999999998</v>
      </c>
      <c r="V7015">
        <v>-9.8781919999999995E-2</v>
      </c>
      <c r="W7015">
        <v>6.5974749999999999E-2</v>
      </c>
      <c r="X7015">
        <v>0.99291969999999996</v>
      </c>
      <c r="Y7015">
        <v>-0.34182760000000001</v>
      </c>
      <c r="Z7015">
        <v>4.6385280000000001E-2</v>
      </c>
      <c r="AA7015">
        <v>0.93861719999999904</v>
      </c>
      <c r="AB7015">
        <v>22</v>
      </c>
      <c r="AC7015">
        <v>9.9894000000000407</v>
      </c>
      <c r="AD7015">
        <v>-1.1126536756299901</v>
      </c>
      <c r="AE7015">
        <v>-21.826619999999998</v>
      </c>
      <c r="AF7015">
        <v>-8.26668462255995</v>
      </c>
      <c r="AG7015">
        <v>-1.1126536756299901</v>
      </c>
      <c r="AH7015">
        <v>22.480732617182699</v>
      </c>
      <c r="AI7015">
        <v>92.659622644858004</v>
      </c>
      <c r="AJ7015">
        <v>110.189640835853</v>
      </c>
      <c r="AK7015">
        <v>23.978311280322199</v>
      </c>
      <c r="AL7015">
        <v>86.217177775594905</v>
      </c>
      <c r="AM7015">
        <v>95.6814509643322</v>
      </c>
      <c r="AN7015">
        <v>1.00000003300226</v>
      </c>
    </row>
    <row r="7016" spans="1:40" x14ac:dyDescent="0.25">
      <c r="A7016" t="str">
        <f>"20190312160509970"</f>
        <v>20190312160509970</v>
      </c>
      <c r="B7016" t="str">
        <f>"1552377909962352"</f>
        <v>1552377909962352</v>
      </c>
      <c r="C7016" t="s">
        <v>40</v>
      </c>
      <c r="D7016">
        <v>5.4294479999999998</v>
      </c>
      <c r="E7016">
        <v>0.40417950000000002</v>
      </c>
      <c r="F7016" t="s">
        <v>81</v>
      </c>
      <c r="G7016">
        <v>-291.38409999999999</v>
      </c>
      <c r="H7016" s="1">
        <v>-1.171729E-5</v>
      </c>
      <c r="I7016">
        <v>-68.023250000000004</v>
      </c>
      <c r="J7016">
        <v>-301.21460000000002</v>
      </c>
      <c r="K7016">
        <v>1.112689</v>
      </c>
      <c r="L7016">
        <v>-46.445500000000003</v>
      </c>
      <c r="M7016">
        <v>8.0638920000000003E-2</v>
      </c>
      <c r="N7016">
        <v>0</v>
      </c>
      <c r="O7016">
        <v>-0.99666569999999999</v>
      </c>
      <c r="P7016">
        <v>0.1765285</v>
      </c>
      <c r="Q7016">
        <v>5.6404290000000003E-2</v>
      </c>
      <c r="R7016">
        <v>-0.98267819999999995</v>
      </c>
      <c r="S7016">
        <v>1.2800290000000001</v>
      </c>
      <c r="T7016">
        <v>-0.144561299999999</v>
      </c>
      <c r="U7016">
        <v>-2.832214</v>
      </c>
      <c r="V7016">
        <v>-9.7096660000000001E-2</v>
      </c>
      <c r="W7016">
        <v>6.8226049999999996E-2</v>
      </c>
      <c r="X7016">
        <v>0.99293379999999998</v>
      </c>
      <c r="Y7016">
        <v>-0.33656150000000001</v>
      </c>
      <c r="Z7016">
        <v>4.6960540000000002E-2</v>
      </c>
      <c r="AA7016">
        <v>0.94048980000000004</v>
      </c>
      <c r="AB7016">
        <v>22</v>
      </c>
      <c r="AC7016">
        <v>9.8305000000000202</v>
      </c>
      <c r="AD7016">
        <v>-1.1127007172900001</v>
      </c>
      <c r="AE7016">
        <v>-21.577750000000002</v>
      </c>
      <c r="AF7016">
        <v>-8.0406333791810205</v>
      </c>
      <c r="AG7016">
        <v>-1.1127007172900001</v>
      </c>
      <c r="AH7016">
        <v>22.251251419223799</v>
      </c>
      <c r="AI7016">
        <v>92.692627736750495</v>
      </c>
      <c r="AJ7016">
        <v>109.867649058968</v>
      </c>
      <c r="AK7016">
        <v>23.685609085395399</v>
      </c>
      <c r="AL7016">
        <v>86.087896433094699</v>
      </c>
      <c r="AM7016">
        <v>95.585062390376507</v>
      </c>
      <c r="AN7016">
        <v>1.0000000432320899</v>
      </c>
    </row>
    <row r="7017" spans="1:40" x14ac:dyDescent="0.25">
      <c r="A7017" t="str">
        <f>"20190312160509993"</f>
        <v>20190312160509993</v>
      </c>
      <c r="B7017" t="str">
        <f>"1552377909981871"</f>
        <v>1552377909981871</v>
      </c>
      <c r="C7017" t="s">
        <v>40</v>
      </c>
      <c r="D7017">
        <v>9.4780149999999992</v>
      </c>
      <c r="E7017">
        <v>0.4049198</v>
      </c>
      <c r="F7017" t="s">
        <v>81</v>
      </c>
      <c r="G7017">
        <v>-291.09070000000003</v>
      </c>
      <c r="H7017" s="1">
        <v>-1.177542E-5</v>
      </c>
      <c r="I7017">
        <v>-68.867919999999998</v>
      </c>
      <c r="J7017">
        <v>-301.19150000000002</v>
      </c>
      <c r="K7017">
        <v>1.1127229999999999</v>
      </c>
      <c r="L7017">
        <v>-46.673369999999998</v>
      </c>
      <c r="M7017">
        <v>8.4701079999999998E-2</v>
      </c>
      <c r="N7017">
        <v>0</v>
      </c>
      <c r="O7017">
        <v>-0.99632920000000003</v>
      </c>
      <c r="P7017">
        <v>0.179082399999999</v>
      </c>
      <c r="Q7017">
        <v>5.8414859999999999E-2</v>
      </c>
      <c r="R7017">
        <v>-0.98209849999999999</v>
      </c>
      <c r="S7017">
        <v>1.278351</v>
      </c>
      <c r="T7017">
        <v>-0.14050170000000001</v>
      </c>
      <c r="U7017">
        <v>-2.831299</v>
      </c>
      <c r="V7017">
        <v>-9.5656950000000004E-2</v>
      </c>
      <c r="W7017">
        <v>7.0189249999999995E-2</v>
      </c>
      <c r="X7017">
        <v>0.99293670000000001</v>
      </c>
      <c r="Y7017">
        <v>-0.33239580000000002</v>
      </c>
      <c r="Z7017">
        <v>4.5674760000000002E-2</v>
      </c>
      <c r="AA7017">
        <v>0.94203340000000002</v>
      </c>
      <c r="AB7017">
        <v>22</v>
      </c>
      <c r="AC7017">
        <v>10.1007999999999</v>
      </c>
      <c r="AD7017">
        <v>-1.1127347754200001</v>
      </c>
      <c r="AE7017">
        <v>-22.19455</v>
      </c>
      <c r="AF7017">
        <v>-8.1674422859015898</v>
      </c>
      <c r="AG7017">
        <v>-1.1127347754200001</v>
      </c>
      <c r="AH7017">
        <v>22.922662428304299</v>
      </c>
      <c r="AI7017">
        <v>92.618146599008895</v>
      </c>
      <c r="AJ7017">
        <v>109.611199996935</v>
      </c>
      <c r="AK7017">
        <v>24.359674566298199</v>
      </c>
      <c r="AL7017">
        <v>85.975142966678803</v>
      </c>
      <c r="AM7017">
        <v>95.502745461236799</v>
      </c>
      <c r="AN7017">
        <v>1.0000000365528701</v>
      </c>
    </row>
    <row r="7018" spans="1:40" x14ac:dyDescent="0.25">
      <c r="A7018" t="str">
        <f>"20190312160510018"</f>
        <v>20190312160510018</v>
      </c>
      <c r="B7018" t="str">
        <f>"1552377910012128"</f>
        <v>1552377910012128</v>
      </c>
      <c r="C7018" t="s">
        <v>40</v>
      </c>
      <c r="D7018">
        <v>9.6731200000000008</v>
      </c>
      <c r="E7018">
        <v>0.40585179999999998</v>
      </c>
      <c r="F7018" t="s">
        <v>81</v>
      </c>
      <c r="G7018">
        <v>-290.59070000000003</v>
      </c>
      <c r="H7018" s="1">
        <v>-1.1834949999999999E-5</v>
      </c>
      <c r="I7018">
        <v>-70.096580000000003</v>
      </c>
      <c r="J7018">
        <v>-301.16480000000001</v>
      </c>
      <c r="K7018">
        <v>1.112762</v>
      </c>
      <c r="L7018">
        <v>-46.92398</v>
      </c>
      <c r="M7018">
        <v>8.9241840000000003E-2</v>
      </c>
      <c r="N7018">
        <v>0</v>
      </c>
      <c r="O7018">
        <v>-0.99593339999999997</v>
      </c>
      <c r="P7018">
        <v>0.18256439999999999</v>
      </c>
      <c r="Q7018">
        <v>5.9685660000000001E-2</v>
      </c>
      <c r="R7018">
        <v>-0.98138080000000005</v>
      </c>
      <c r="S7018">
        <v>1.2804260000000001</v>
      </c>
      <c r="T7018">
        <v>-0.13440260000000001</v>
      </c>
      <c r="U7018">
        <v>-2.8291930000000001</v>
      </c>
      <c r="V7018">
        <v>-9.4672419999999993E-2</v>
      </c>
      <c r="W7018">
        <v>7.1407360000000003E-2</v>
      </c>
      <c r="X7018">
        <v>0.99294420000000005</v>
      </c>
      <c r="Y7018">
        <v>-0.32896760000000003</v>
      </c>
      <c r="Z7018">
        <v>4.3720000000000002E-2</v>
      </c>
      <c r="AA7018">
        <v>0.94332859999999996</v>
      </c>
      <c r="AB7018">
        <v>22</v>
      </c>
      <c r="AC7018">
        <v>10.5740999999999</v>
      </c>
      <c r="AD7018">
        <v>-1.11277383495</v>
      </c>
      <c r="AE7018">
        <v>-23.172599999999999</v>
      </c>
      <c r="AF7018">
        <v>-8.4476563055495699</v>
      </c>
      <c r="AG7018">
        <v>-1.11277383495</v>
      </c>
      <c r="AH7018">
        <v>23.978086357586299</v>
      </c>
      <c r="AI7018">
        <v>92.506290824440896</v>
      </c>
      <c r="AJ7018">
        <v>109.40773599001299</v>
      </c>
      <c r="AK7018">
        <v>25.446999588091099</v>
      </c>
      <c r="AL7018">
        <v>85.9051748066382</v>
      </c>
      <c r="AM7018">
        <v>95.446410981232106</v>
      </c>
      <c r="AN7018">
        <v>1.0000000312422299</v>
      </c>
    </row>
    <row r="7019" spans="1:40" x14ac:dyDescent="0.25">
      <c r="A7019" t="str">
        <f>"20190312160510037"</f>
        <v>20190312160510037</v>
      </c>
      <c r="B7019" t="str">
        <f>"1552377910032624"</f>
        <v>1552377910032624</v>
      </c>
      <c r="C7019" t="s">
        <v>40</v>
      </c>
      <c r="D7019">
        <v>5.4889839999999896</v>
      </c>
      <c r="E7019">
        <v>0.40635470000000001</v>
      </c>
      <c r="F7019" t="s">
        <v>81</v>
      </c>
      <c r="G7019">
        <v>-290.5154</v>
      </c>
      <c r="H7019">
        <v>4.0711700000000003E-2</v>
      </c>
      <c r="I7019">
        <v>-70.38373</v>
      </c>
      <c r="J7019">
        <v>-301.14409999999998</v>
      </c>
      <c r="K7019">
        <v>1.112797</v>
      </c>
      <c r="L7019">
        <v>-47.111020000000003</v>
      </c>
      <c r="M7019">
        <v>9.2689640000000004E-2</v>
      </c>
      <c r="N7019">
        <v>0</v>
      </c>
      <c r="O7019">
        <v>-0.99561889999999997</v>
      </c>
      <c r="P7019">
        <v>0.18496219999999999</v>
      </c>
      <c r="Q7019">
        <v>6.057096E-2</v>
      </c>
      <c r="R7019">
        <v>-0.98087769999999996</v>
      </c>
      <c r="S7019">
        <v>1.2828980000000001</v>
      </c>
      <c r="T7019">
        <v>-0.12914600000000001</v>
      </c>
      <c r="U7019">
        <v>-2.826111</v>
      </c>
      <c r="V7019">
        <v>-9.3675670000000003E-2</v>
      </c>
      <c r="W7019">
        <v>7.2252510000000006E-2</v>
      </c>
      <c r="X7019">
        <v>0.99297760000000002</v>
      </c>
      <c r="Y7019">
        <v>-0.32679789999999997</v>
      </c>
      <c r="Z7019">
        <v>4.2043789999999998E-2</v>
      </c>
      <c r="AA7019">
        <v>0.94415859999999996</v>
      </c>
      <c r="AB7019">
        <v>22</v>
      </c>
      <c r="AC7019">
        <v>10.628699999999901</v>
      </c>
      <c r="AD7019">
        <v>-1.0720852999999999</v>
      </c>
      <c r="AE7019">
        <v>-23.27271</v>
      </c>
      <c r="AF7019">
        <v>-8.4108660098845096</v>
      </c>
      <c r="AG7019">
        <v>-1.0720852999999999</v>
      </c>
      <c r="AH7019">
        <v>24.1154086397807</v>
      </c>
      <c r="AI7019">
        <v>92.403670109055696</v>
      </c>
      <c r="AJ7019">
        <v>109.22752508477301</v>
      </c>
      <c r="AK7019">
        <v>25.562569663285299</v>
      </c>
      <c r="AL7019">
        <v>85.856625888124</v>
      </c>
      <c r="AM7019">
        <v>95.389228140981899</v>
      </c>
      <c r="AN7019">
        <v>1.0000000352264999</v>
      </c>
    </row>
    <row r="7020" spans="1:40" x14ac:dyDescent="0.25">
      <c r="A7020" t="str">
        <f>"20190312160510058"</f>
        <v>20190312160510058</v>
      </c>
      <c r="B7020" t="str">
        <f>"1552377910052144"</f>
        <v>1552377910052144</v>
      </c>
      <c r="C7020" t="s">
        <v>40</v>
      </c>
      <c r="D7020">
        <v>5.3926339999999904</v>
      </c>
      <c r="E7020">
        <v>0.4068889</v>
      </c>
      <c r="F7020" t="s">
        <v>81</v>
      </c>
      <c r="G7020">
        <v>-290.53500000000003</v>
      </c>
      <c r="H7020">
        <v>7.2360549999999996E-2</v>
      </c>
      <c r="I7020">
        <v>-70.406109999999998</v>
      </c>
      <c r="J7020">
        <v>-301.12</v>
      </c>
      <c r="K7020">
        <v>1.112835</v>
      </c>
      <c r="L7020">
        <v>-47.322139999999997</v>
      </c>
      <c r="M7020">
        <v>9.6644170000000001E-2</v>
      </c>
      <c r="N7020">
        <v>0</v>
      </c>
      <c r="O7020">
        <v>-0.99524330000000005</v>
      </c>
      <c r="P7020">
        <v>0.18829029999999999</v>
      </c>
      <c r="Q7020">
        <v>6.1431680000000002E-2</v>
      </c>
      <c r="R7020">
        <v>-0.98019049999999996</v>
      </c>
      <c r="S7020">
        <v>1.286011</v>
      </c>
      <c r="T7020">
        <v>-0.1261186</v>
      </c>
      <c r="U7020">
        <v>-2.8237610000000002</v>
      </c>
      <c r="V7020">
        <v>-9.3118069999999997E-2</v>
      </c>
      <c r="W7020">
        <v>7.3059079999999998E-2</v>
      </c>
      <c r="X7020">
        <v>0.99297100000000005</v>
      </c>
      <c r="Y7020">
        <v>-0.32421719999999998</v>
      </c>
      <c r="Z7020">
        <v>4.107732E-2</v>
      </c>
      <c r="AA7020">
        <v>0.9450904</v>
      </c>
      <c r="AB7020">
        <v>22</v>
      </c>
      <c r="AC7020">
        <v>10.5849999999999</v>
      </c>
      <c r="AD7020">
        <v>-1.0404744500000001</v>
      </c>
      <c r="AE7020">
        <v>-23.083969999999901</v>
      </c>
      <c r="AF7020">
        <v>-8.2904280743178695</v>
      </c>
      <c r="AG7020">
        <v>-1.0404744500000001</v>
      </c>
      <c r="AH7020">
        <v>23.958734604515101</v>
      </c>
      <c r="AI7020">
        <v>92.350112378804496</v>
      </c>
      <c r="AJ7020">
        <v>109.087127695441</v>
      </c>
      <c r="AK7020">
        <v>25.3738989630315</v>
      </c>
      <c r="AL7020">
        <v>85.8102902454835</v>
      </c>
      <c r="AM7020">
        <v>95.3573716186675</v>
      </c>
      <c r="AN7020">
        <v>1.0000000054859799</v>
      </c>
    </row>
    <row r="7021" spans="1:40" x14ac:dyDescent="0.25">
      <c r="A7021" t="str">
        <f>"20190312160510081"</f>
        <v>20190312160510081</v>
      </c>
      <c r="B7021" t="str">
        <f>"1552377910071663"</f>
        <v>1552377910071663</v>
      </c>
      <c r="C7021" t="s">
        <v>40</v>
      </c>
      <c r="D7021">
        <v>5.342708</v>
      </c>
      <c r="E7021">
        <v>0.40737719999999999</v>
      </c>
      <c r="F7021" t="s">
        <v>81</v>
      </c>
      <c r="G7021">
        <v>-290.30880000000002</v>
      </c>
      <c r="H7021">
        <v>7.9986559999999998E-2</v>
      </c>
      <c r="I7021">
        <v>-70.924549999999996</v>
      </c>
      <c r="J7021">
        <v>-301.09410000000003</v>
      </c>
      <c r="K7021">
        <v>1.112878</v>
      </c>
      <c r="L7021">
        <v>-47.53922</v>
      </c>
      <c r="M7021">
        <v>0.1007811</v>
      </c>
      <c r="N7021">
        <v>0</v>
      </c>
      <c r="O7021">
        <v>-0.99483350000000004</v>
      </c>
      <c r="P7021">
        <v>0.19176509999999999</v>
      </c>
      <c r="Q7021">
        <v>6.1484530000000003E-2</v>
      </c>
      <c r="R7021">
        <v>-0.97951339999999998</v>
      </c>
      <c r="S7021">
        <v>1.291809</v>
      </c>
      <c r="T7021">
        <v>-0.1234136</v>
      </c>
      <c r="U7021">
        <v>-2.8202210000000001</v>
      </c>
      <c r="V7021">
        <v>-9.2519119999999996E-2</v>
      </c>
      <c r="W7021">
        <v>7.3056709999999997E-2</v>
      </c>
      <c r="X7021">
        <v>0.9930272</v>
      </c>
      <c r="Y7021">
        <v>-0.32235340000000001</v>
      </c>
      <c r="Z7021">
        <v>4.0215239999999999E-2</v>
      </c>
      <c r="AA7021">
        <v>0.94576479999999996</v>
      </c>
      <c r="AB7021">
        <v>22</v>
      </c>
      <c r="AC7021">
        <v>10.785299999999999</v>
      </c>
      <c r="AD7021">
        <v>-1.03289144</v>
      </c>
      <c r="AE7021">
        <v>-23.38533</v>
      </c>
      <c r="AF7021">
        <v>-8.3599558876446292</v>
      </c>
      <c r="AG7021">
        <v>-1.03289144</v>
      </c>
      <c r="AH7021">
        <v>24.314170787497101</v>
      </c>
      <c r="AI7021">
        <v>92.300492677549798</v>
      </c>
      <c r="AJ7021">
        <v>108.974537636013</v>
      </c>
      <c r="AK7021">
        <v>25.731976765374402</v>
      </c>
      <c r="AL7021">
        <v>85.810426566969596</v>
      </c>
      <c r="AM7021">
        <v>95.3228112206329</v>
      </c>
      <c r="AN7021">
        <v>1.0000000451907101</v>
      </c>
    </row>
    <row r="7022" spans="1:40" x14ac:dyDescent="0.25">
      <c r="A7022" t="str">
        <f>"20190312160510103"</f>
        <v>20190312160510103</v>
      </c>
      <c r="B7022" t="str">
        <f>"1552377910092160"</f>
        <v>1552377910092160</v>
      </c>
      <c r="C7022" t="s">
        <v>40</v>
      </c>
      <c r="D7022">
        <v>5.3974529999999996</v>
      </c>
      <c r="E7022">
        <v>0.40779939999999998</v>
      </c>
      <c r="F7022" t="s">
        <v>81</v>
      </c>
      <c r="G7022">
        <v>-290.17899999999997</v>
      </c>
      <c r="H7022">
        <v>7.9986570000000007E-2</v>
      </c>
      <c r="I7022">
        <v>-71.223419999999905</v>
      </c>
      <c r="J7022">
        <v>-301.06689999999998</v>
      </c>
      <c r="K7022">
        <v>1.112919</v>
      </c>
      <c r="L7022">
        <v>-47.759860000000003</v>
      </c>
      <c r="M7022">
        <v>0.10506269999999999</v>
      </c>
      <c r="N7022">
        <v>0</v>
      </c>
      <c r="O7022">
        <v>-0.99439120000000003</v>
      </c>
      <c r="P7022">
        <v>0.19549459999999999</v>
      </c>
      <c r="Q7022">
        <v>6.239567E-2</v>
      </c>
      <c r="R7022">
        <v>-0.97871819999999998</v>
      </c>
      <c r="S7022">
        <v>1.2979430000000001</v>
      </c>
      <c r="T7022">
        <v>-0.1228236</v>
      </c>
      <c r="U7022">
        <v>-2.8163450000000001</v>
      </c>
      <c r="V7022">
        <v>-9.2046879999999998E-2</v>
      </c>
      <c r="W7022">
        <v>7.3912199999999997E-2</v>
      </c>
      <c r="X7022">
        <v>0.99300770000000005</v>
      </c>
      <c r="Y7022">
        <v>-0.32047429999999999</v>
      </c>
      <c r="Z7022">
        <v>4.0041960000000001E-2</v>
      </c>
      <c r="AA7022">
        <v>0.94641050000000004</v>
      </c>
      <c r="AB7022">
        <v>22</v>
      </c>
      <c r="AC7022">
        <v>10.887899999999901</v>
      </c>
      <c r="AD7022">
        <v>-1.03293243</v>
      </c>
      <c r="AE7022">
        <v>-23.463559999999902</v>
      </c>
      <c r="AF7022">
        <v>-8.3489920584709996</v>
      </c>
      <c r="AG7022">
        <v>-1.03293243</v>
      </c>
      <c r="AH7022">
        <v>24.4387098769445</v>
      </c>
      <c r="AI7022">
        <v>92.290416486522801</v>
      </c>
      <c r="AJ7022">
        <v>108.86169706676</v>
      </c>
      <c r="AK7022">
        <v>25.846143972492701</v>
      </c>
      <c r="AL7022">
        <v>85.761277387893202</v>
      </c>
      <c r="AM7022">
        <v>95.295900573699797</v>
      </c>
      <c r="AN7022">
        <v>0.99999996684293102</v>
      </c>
    </row>
    <row r="7023" spans="1:40" x14ac:dyDescent="0.25">
      <c r="A7023" t="str">
        <f>"20190312160510126"</f>
        <v>20190312160510126</v>
      </c>
      <c r="B7023" t="str">
        <f>"1552377910122417"</f>
        <v>1552377910122417</v>
      </c>
      <c r="C7023" t="s">
        <v>40</v>
      </c>
      <c r="D7023">
        <v>5.6318149999999996</v>
      </c>
      <c r="E7023">
        <v>0.4084431</v>
      </c>
      <c r="F7023" t="s">
        <v>81</v>
      </c>
      <c r="G7023">
        <v>-289.72460000000001</v>
      </c>
      <c r="H7023">
        <v>7.9986570000000007E-2</v>
      </c>
      <c r="I7023">
        <v>-72.184659999999994</v>
      </c>
      <c r="J7023">
        <v>-301.03829999999999</v>
      </c>
      <c r="K7023">
        <v>1.112984</v>
      </c>
      <c r="L7023">
        <v>-47.982509999999998</v>
      </c>
      <c r="M7023">
        <v>0.1094658</v>
      </c>
      <c r="N7023">
        <v>0</v>
      </c>
      <c r="O7023">
        <v>-0.99391660000000004</v>
      </c>
      <c r="P7023">
        <v>0.19974639999999999</v>
      </c>
      <c r="Q7023">
        <v>6.2895870000000006E-2</v>
      </c>
      <c r="R7023">
        <v>-0.97782709999999995</v>
      </c>
      <c r="S7023">
        <v>1.305817</v>
      </c>
      <c r="T7023">
        <v>-0.1189195</v>
      </c>
      <c r="U7023">
        <v>-2.8119809999999998</v>
      </c>
      <c r="V7023">
        <v>-9.1980909999999999E-2</v>
      </c>
      <c r="W7023">
        <v>7.4347800000000006E-2</v>
      </c>
      <c r="X7023">
        <v>0.99298129999999996</v>
      </c>
      <c r="Y7023">
        <v>-0.31904009999999999</v>
      </c>
      <c r="Z7023">
        <v>3.8785559999999997E-2</v>
      </c>
      <c r="AA7023">
        <v>0.94694730000000005</v>
      </c>
      <c r="AB7023">
        <v>22</v>
      </c>
      <c r="AC7023">
        <v>11.3136999999999</v>
      </c>
      <c r="AD7023">
        <v>-1.03299743</v>
      </c>
      <c r="AE7023">
        <v>-24.20215</v>
      </c>
      <c r="AF7023">
        <v>-8.5833659302470693</v>
      </c>
      <c r="AG7023">
        <v>-1.03299743</v>
      </c>
      <c r="AH7023">
        <v>25.257480292994799</v>
      </c>
      <c r="AI7023">
        <v>92.217596600503697</v>
      </c>
      <c r="AJ7023">
        <v>108.769538506313</v>
      </c>
      <c r="AK7023">
        <v>26.696096440002801</v>
      </c>
      <c r="AL7023">
        <v>85.736250510791606</v>
      </c>
      <c r="AM7023">
        <v>95.292266460758498</v>
      </c>
      <c r="AN7023">
        <v>0.99999997265947804</v>
      </c>
    </row>
    <row r="7024" spans="1:40" x14ac:dyDescent="0.25">
      <c r="A7024" t="str">
        <f>"20190312160510148"</f>
        <v>20190312160510148</v>
      </c>
      <c r="B7024" t="str">
        <f>"1552377910141935"</f>
        <v>1552377910141935</v>
      </c>
      <c r="C7024" t="s">
        <v>40</v>
      </c>
      <c r="D7024">
        <v>5.6520020000000004</v>
      </c>
      <c r="E7024">
        <v>0.40882940000000001</v>
      </c>
      <c r="F7024" t="s">
        <v>81</v>
      </c>
      <c r="G7024">
        <v>-289.60629999999998</v>
      </c>
      <c r="H7024">
        <v>7.9986570000000007E-2</v>
      </c>
      <c r="I7024">
        <v>-72.422969999999907</v>
      </c>
      <c r="J7024">
        <v>-301.00880000000001</v>
      </c>
      <c r="K7024">
        <v>1.113035</v>
      </c>
      <c r="L7024">
        <v>-48.203609999999998</v>
      </c>
      <c r="M7024">
        <v>0.1139384</v>
      </c>
      <c r="N7024">
        <v>0</v>
      </c>
      <c r="O7024">
        <v>-0.99341460000000004</v>
      </c>
      <c r="P7024">
        <v>0.20433209999999999</v>
      </c>
      <c r="Q7024">
        <v>6.3083829999999994E-2</v>
      </c>
      <c r="R7024">
        <v>-0.97686729999999999</v>
      </c>
      <c r="S7024">
        <v>1.3131710000000001</v>
      </c>
      <c r="T7024">
        <v>-0.11865870000000001</v>
      </c>
      <c r="U7024">
        <v>-2.8074340000000002</v>
      </c>
      <c r="V7024">
        <v>-9.2183230000000005E-2</v>
      </c>
      <c r="W7024">
        <v>7.4466679999999993E-2</v>
      </c>
      <c r="X7024">
        <v>0.99295370000000005</v>
      </c>
      <c r="Y7024">
        <v>-0.31739849999999997</v>
      </c>
      <c r="Z7024">
        <v>3.871819E-2</v>
      </c>
      <c r="AA7024">
        <v>0.9475015</v>
      </c>
      <c r="AB7024">
        <v>22</v>
      </c>
      <c r="AC7024">
        <v>11.4025</v>
      </c>
      <c r="AD7024">
        <v>-1.03304843</v>
      </c>
      <c r="AE7024">
        <v>-24.219359999999899</v>
      </c>
      <c r="AF7024">
        <v>-8.5557764178856299</v>
      </c>
      <c r="AG7024">
        <v>-1.03304843</v>
      </c>
      <c r="AH7024">
        <v>25.323180592433999</v>
      </c>
      <c r="AI7024">
        <v>92.213282276951702</v>
      </c>
      <c r="AJ7024">
        <v>108.668229895097</v>
      </c>
      <c r="AK7024">
        <v>26.749429423608198</v>
      </c>
      <c r="AL7024">
        <v>85.7294205525466</v>
      </c>
      <c r="AM7024">
        <v>95.303987529689294</v>
      </c>
      <c r="AN7024">
        <v>1.00000004233357</v>
      </c>
    </row>
    <row r="7025" spans="1:40" x14ac:dyDescent="0.25">
      <c r="A7025" t="str">
        <f>"20190312160510171"</f>
        <v>20190312160510171</v>
      </c>
      <c r="B7025" t="str">
        <f>"1552377910162433"</f>
        <v>1552377910162433</v>
      </c>
      <c r="C7025" t="s">
        <v>40</v>
      </c>
      <c r="D7025">
        <v>5.3869429999999996</v>
      </c>
      <c r="E7025">
        <v>0.40916419999999998</v>
      </c>
      <c r="F7025" t="s">
        <v>81</v>
      </c>
      <c r="G7025">
        <v>-289.50299999999999</v>
      </c>
      <c r="H7025">
        <v>7.9986580000000002E-2</v>
      </c>
      <c r="I7025">
        <v>-72.566059999999993</v>
      </c>
      <c r="J7025">
        <v>-300.9787</v>
      </c>
      <c r="K7025">
        <v>1.1130960000000001</v>
      </c>
      <c r="L7025">
        <v>-48.420749999999998</v>
      </c>
      <c r="M7025">
        <v>0.11842279999999999</v>
      </c>
      <c r="N7025">
        <v>0</v>
      </c>
      <c r="O7025">
        <v>-0.99289070000000001</v>
      </c>
      <c r="P7025">
        <v>0.20915039999999999</v>
      </c>
      <c r="Q7025">
        <v>6.3241339999999993E-2</v>
      </c>
      <c r="R7025">
        <v>-0.9758365</v>
      </c>
      <c r="S7025">
        <v>1.3232729999999999</v>
      </c>
      <c r="T7025">
        <v>-0.11881029999999999</v>
      </c>
      <c r="U7025">
        <v>-2.8019099999999999</v>
      </c>
      <c r="V7025">
        <v>-9.2612959999999994E-2</v>
      </c>
      <c r="W7025">
        <v>7.4559399999999998E-2</v>
      </c>
      <c r="X7025">
        <v>0.99290670000000003</v>
      </c>
      <c r="Y7025">
        <v>-0.31662950000000001</v>
      </c>
      <c r="Z7025">
        <v>3.8782410000000003E-2</v>
      </c>
      <c r="AA7025">
        <v>0.94775609999999999</v>
      </c>
      <c r="AB7025">
        <v>22</v>
      </c>
      <c r="AC7025">
        <v>11.4757</v>
      </c>
      <c r="AD7025">
        <v>-1.0331094199999999</v>
      </c>
      <c r="AE7025">
        <v>-24.145309999999899</v>
      </c>
      <c r="AF7025">
        <v>-8.5226478495333708</v>
      </c>
      <c r="AG7025">
        <v>-1.0331094199999999</v>
      </c>
      <c r="AH7025">
        <v>25.296685578449999</v>
      </c>
      <c r="AI7025">
        <v>92.216369671984793</v>
      </c>
      <c r="AJ7025">
        <v>108.61906664532999</v>
      </c>
      <c r="AK7025">
        <v>26.713763169868301</v>
      </c>
      <c r="AL7025">
        <v>85.724093052992501</v>
      </c>
      <c r="AM7025">
        <v>95.328821878530604</v>
      </c>
      <c r="AN7025">
        <v>0.99999998969660497</v>
      </c>
    </row>
    <row r="7026" spans="1:40" x14ac:dyDescent="0.25">
      <c r="A7026" t="str">
        <f>"20190312160510192"</f>
        <v>20190312160510192</v>
      </c>
      <c r="B7026" t="str">
        <f>"1552377910181952"</f>
        <v>1552377910181952</v>
      </c>
      <c r="C7026" t="s">
        <v>40</v>
      </c>
      <c r="D7026">
        <v>5.4405609999999998</v>
      </c>
      <c r="E7026">
        <v>0.40949229999999998</v>
      </c>
      <c r="F7026" t="s">
        <v>81</v>
      </c>
      <c r="G7026">
        <v>-289.36059999999998</v>
      </c>
      <c r="H7026">
        <v>7.9986559999999998E-2</v>
      </c>
      <c r="I7026">
        <v>-72.763189999999994</v>
      </c>
      <c r="J7026">
        <v>-300.9477</v>
      </c>
      <c r="K7026">
        <v>1.1131359999999999</v>
      </c>
      <c r="L7026">
        <v>-48.636200000000002</v>
      </c>
      <c r="M7026">
        <v>0.1229478</v>
      </c>
      <c r="N7026">
        <v>0</v>
      </c>
      <c r="O7026">
        <v>-0.99234089999999997</v>
      </c>
      <c r="P7026">
        <v>0.21463380000000001</v>
      </c>
      <c r="Q7026">
        <v>6.3172309999999995E-2</v>
      </c>
      <c r="R7026">
        <v>-0.9746494</v>
      </c>
      <c r="S7026">
        <v>1.3344419999999999</v>
      </c>
      <c r="T7026">
        <v>-0.1186623</v>
      </c>
      <c r="U7026">
        <v>-2.7959589999999999</v>
      </c>
      <c r="V7026">
        <v>-9.3678150000000002E-2</v>
      </c>
      <c r="W7026">
        <v>7.4428640000000004E-2</v>
      </c>
      <c r="X7026">
        <v>0.99281660000000005</v>
      </c>
      <c r="Y7026">
        <v>-0.31617339999999999</v>
      </c>
      <c r="Z7026">
        <v>3.8747429999999999E-2</v>
      </c>
      <c r="AA7026">
        <v>0.94790980000000002</v>
      </c>
      <c r="AB7026">
        <v>22</v>
      </c>
      <c r="AC7026">
        <v>11.5871</v>
      </c>
      <c r="AD7026">
        <v>-1.0331494400000001</v>
      </c>
      <c r="AE7026">
        <v>-24.126989999999999</v>
      </c>
      <c r="AF7026">
        <v>-8.51990991359982</v>
      </c>
      <c r="AG7026">
        <v>-1.0331494400000001</v>
      </c>
      <c r="AH7026">
        <v>25.330883013076999</v>
      </c>
      <c r="AI7026">
        <v>92.213842545877895</v>
      </c>
      <c r="AJ7026">
        <v>108.59009641008601</v>
      </c>
      <c r="AK7026">
        <v>26.745278030400499</v>
      </c>
      <c r="AL7026">
        <v>85.731606009716302</v>
      </c>
      <c r="AM7026">
        <v>95.390238796501805</v>
      </c>
      <c r="AN7026">
        <v>1.0000000097376101</v>
      </c>
    </row>
    <row r="7027" spans="1:40" x14ac:dyDescent="0.25">
      <c r="A7027" t="str">
        <f>"20190312160510216"</f>
        <v>20190312160510216</v>
      </c>
      <c r="B7027" t="str">
        <f>"1552377910202448"</f>
        <v>1552377910202448</v>
      </c>
      <c r="C7027" t="s">
        <v>40</v>
      </c>
      <c r="D7027">
        <v>5.7102170000000001</v>
      </c>
      <c r="E7027">
        <v>0.40983350000000002</v>
      </c>
      <c r="F7027" t="s">
        <v>81</v>
      </c>
      <c r="G7027">
        <v>-289.2996</v>
      </c>
      <c r="H7027">
        <v>7.9986559999999998E-2</v>
      </c>
      <c r="I7027">
        <v>-72.740769999999998</v>
      </c>
      <c r="J7027">
        <v>-300.91359999999997</v>
      </c>
      <c r="K7027">
        <v>1.1131799999999901</v>
      </c>
      <c r="L7027">
        <v>-48.865690000000001</v>
      </c>
      <c r="M7027">
        <v>0.12785079999999999</v>
      </c>
      <c r="N7027">
        <v>0</v>
      </c>
      <c r="O7027">
        <v>-0.99172150000000003</v>
      </c>
      <c r="P7027">
        <v>0.2203475</v>
      </c>
      <c r="Q7027">
        <v>6.3067189999999995E-2</v>
      </c>
      <c r="R7027">
        <v>-0.97338060000000004</v>
      </c>
      <c r="S7027">
        <v>1.3477170000000001</v>
      </c>
      <c r="T7027">
        <v>-0.11953850000000001</v>
      </c>
      <c r="U7027">
        <v>-2.7889710000000001</v>
      </c>
      <c r="V7027">
        <v>-9.460288E-2</v>
      </c>
      <c r="W7027">
        <v>7.4265540000000005E-2</v>
      </c>
      <c r="X7027">
        <v>0.99274110000000004</v>
      </c>
      <c r="Y7027">
        <v>-0.3160676</v>
      </c>
      <c r="Z7027">
        <v>3.9046600000000001E-2</v>
      </c>
      <c r="AA7027">
        <v>0.94793280000000002</v>
      </c>
      <c r="AB7027">
        <v>22</v>
      </c>
      <c r="AC7027">
        <v>11.6139999999999</v>
      </c>
      <c r="AD7027">
        <v>-1.03319343999999</v>
      </c>
      <c r="AE7027">
        <v>-23.875080000000001</v>
      </c>
      <c r="AF7027">
        <v>-8.4532079225958707</v>
      </c>
      <c r="AG7027">
        <v>-1.03319343999999</v>
      </c>
      <c r="AH7027">
        <v>25.126033897354802</v>
      </c>
      <c r="AI7027">
        <v>92.231909536363801</v>
      </c>
      <c r="AJ7027">
        <v>108.59459894811501</v>
      </c>
      <c r="AK7027">
        <v>26.530016816393498</v>
      </c>
      <c r="AL7027">
        <v>85.740976773845503</v>
      </c>
      <c r="AM7027">
        <v>95.443541196417897</v>
      </c>
      <c r="AN7027">
        <v>0.99999998348249697</v>
      </c>
    </row>
    <row r="7028" spans="1:40" x14ac:dyDescent="0.25">
      <c r="A7028" t="str">
        <f>"20190312160510238"</f>
        <v>20190312160510238</v>
      </c>
      <c r="B7028" t="str">
        <f>"1552377910231727"</f>
        <v>1552377910231727</v>
      </c>
      <c r="C7028" t="s">
        <v>40</v>
      </c>
      <c r="D7028">
        <v>5.4419329999999997</v>
      </c>
      <c r="E7028">
        <v>0.41033350000000002</v>
      </c>
      <c r="F7028" t="s">
        <v>81</v>
      </c>
      <c r="G7028">
        <v>-289.27800000000002</v>
      </c>
      <c r="H7028">
        <v>7.9986559999999998E-2</v>
      </c>
      <c r="I7028">
        <v>-72.641080000000002</v>
      </c>
      <c r="J7028">
        <v>-300.88099999999997</v>
      </c>
      <c r="K7028">
        <v>1.113218</v>
      </c>
      <c r="L7028">
        <v>-49.077509999999997</v>
      </c>
      <c r="M7028">
        <v>0.132458399999999</v>
      </c>
      <c r="N7028">
        <v>0</v>
      </c>
      <c r="O7028">
        <v>-0.99111709999999997</v>
      </c>
      <c r="P7028">
        <v>0.2256379</v>
      </c>
      <c r="Q7028">
        <v>6.3533210000000007E-2</v>
      </c>
      <c r="R7028">
        <v>-0.97213760000000005</v>
      </c>
      <c r="S7028">
        <v>1.361359</v>
      </c>
      <c r="T7028">
        <v>-0.12088309999999999</v>
      </c>
      <c r="U7028">
        <v>-2.7817080000000001</v>
      </c>
      <c r="V7028">
        <v>-9.5404160000000002E-2</v>
      </c>
      <c r="W7028">
        <v>7.4681129999999998E-2</v>
      </c>
      <c r="X7028">
        <v>0.99263319999999999</v>
      </c>
      <c r="Y7028">
        <v>-0.31637769999999998</v>
      </c>
      <c r="Z7028">
        <v>3.9498819999999997E-2</v>
      </c>
      <c r="AA7028">
        <v>0.94781059999999995</v>
      </c>
      <c r="AB7028">
        <v>22</v>
      </c>
      <c r="AC7028">
        <v>11.6029999999999</v>
      </c>
      <c r="AD7028">
        <v>-1.03323144</v>
      </c>
      <c r="AE7028">
        <v>-23.563569999999999</v>
      </c>
      <c r="AF7028">
        <v>-8.3663856121211104</v>
      </c>
      <c r="AG7028">
        <v>-1.03323144</v>
      </c>
      <c r="AH7028">
        <v>24.854473308648998</v>
      </c>
      <c r="AI7028">
        <v>92.256228824405895</v>
      </c>
      <c r="AJ7028">
        <v>108.60399893322101</v>
      </c>
      <c r="AK7028">
        <v>26.2451675336557</v>
      </c>
      <c r="AL7028">
        <v>85.717098756456295</v>
      </c>
      <c r="AM7028">
        <v>95.489960221194806</v>
      </c>
      <c r="AN7028">
        <v>0.99999994733280995</v>
      </c>
    </row>
    <row r="7029" spans="1:40" x14ac:dyDescent="0.25">
      <c r="A7029" t="str">
        <f>"20190312160510261"</f>
        <v>20190312160510261</v>
      </c>
      <c r="B7029" t="str">
        <f>"1552377910252224"</f>
        <v>1552377910252224</v>
      </c>
      <c r="C7029" t="s">
        <v>40</v>
      </c>
      <c r="D7029">
        <v>5.8397949999999996</v>
      </c>
      <c r="E7029">
        <v>0.41070059999999903</v>
      </c>
      <c r="F7029" t="s">
        <v>81</v>
      </c>
      <c r="G7029">
        <v>-289.05509999999998</v>
      </c>
      <c r="H7029">
        <v>7.9986570000000007E-2</v>
      </c>
      <c r="I7029">
        <v>-72.985200000000006</v>
      </c>
      <c r="J7029">
        <v>-300.84570000000002</v>
      </c>
      <c r="K7029">
        <v>1.1132610000000001</v>
      </c>
      <c r="L7029">
        <v>-49.298679999999997</v>
      </c>
      <c r="M7029">
        <v>0.13735820000000001</v>
      </c>
      <c r="N7029">
        <v>0</v>
      </c>
      <c r="O7029">
        <v>-0.99045030000000001</v>
      </c>
      <c r="P7029">
        <v>0.23060610000000001</v>
      </c>
      <c r="Q7029">
        <v>6.4433240000000003E-2</v>
      </c>
      <c r="R7029">
        <v>-0.97091159999999999</v>
      </c>
      <c r="S7029">
        <v>1.3727419999999999</v>
      </c>
      <c r="T7029">
        <v>-0.11993760000000001</v>
      </c>
      <c r="U7029">
        <v>-2.7752080000000001</v>
      </c>
      <c r="V7029">
        <v>-9.5595830000000007E-2</v>
      </c>
      <c r="W7029">
        <v>7.5537499999999994E-2</v>
      </c>
      <c r="X7029">
        <v>0.99255000000000004</v>
      </c>
      <c r="Y7029">
        <v>-0.31569649999999999</v>
      </c>
      <c r="Z7029">
        <v>3.920357E-2</v>
      </c>
      <c r="AA7029">
        <v>0.94804999999999995</v>
      </c>
      <c r="AB7029">
        <v>22</v>
      </c>
      <c r="AC7029">
        <v>11.7906</v>
      </c>
      <c r="AD7029">
        <v>-1.0332744300000001</v>
      </c>
      <c r="AE7029">
        <v>-23.686520000000002</v>
      </c>
      <c r="AF7029">
        <v>-8.4122299878540101</v>
      </c>
      <c r="AG7029">
        <v>-1.0332744300000001</v>
      </c>
      <c r="AH7029">
        <v>25.0434308242335</v>
      </c>
      <c r="AI7029">
        <v>92.239794967560996</v>
      </c>
      <c r="AJ7029">
        <v>108.567491065578</v>
      </c>
      <c r="AK7029">
        <v>26.4387347818388</v>
      </c>
      <c r="AL7029">
        <v>85.667893558756802</v>
      </c>
      <c r="AM7029">
        <v>95.501380423347797</v>
      </c>
      <c r="AN7029">
        <v>0.99999998955981895</v>
      </c>
    </row>
    <row r="7030" spans="1:40" x14ac:dyDescent="0.25">
      <c r="A7030" t="str">
        <f>"20190312160510283"</f>
        <v>20190312160510283</v>
      </c>
      <c r="B7030" t="str">
        <f>"1552377910272719"</f>
        <v>1552377910272719</v>
      </c>
      <c r="C7030" t="s">
        <v>40</v>
      </c>
      <c r="D7030">
        <v>5.6523139999999996</v>
      </c>
      <c r="E7030">
        <v>0.41105320000000001</v>
      </c>
      <c r="F7030" t="s">
        <v>81</v>
      </c>
      <c r="G7030">
        <v>-288.69220000000001</v>
      </c>
      <c r="H7030">
        <v>7.9986570000000007E-2</v>
      </c>
      <c r="I7030">
        <v>-73.605159999999998</v>
      </c>
      <c r="J7030">
        <v>-300.81</v>
      </c>
      <c r="K7030">
        <v>1.1133200000000001</v>
      </c>
      <c r="L7030">
        <v>-49.515720000000002</v>
      </c>
      <c r="M7030">
        <v>0.14225689999999999</v>
      </c>
      <c r="N7030">
        <v>0</v>
      </c>
      <c r="O7030">
        <v>-0.98975900000000006</v>
      </c>
      <c r="P7030">
        <v>0.23537910000000001</v>
      </c>
      <c r="Q7030">
        <v>6.4735230000000005E-2</v>
      </c>
      <c r="R7030">
        <v>-0.96974519999999997</v>
      </c>
      <c r="S7030">
        <v>1.38446</v>
      </c>
      <c r="T7030">
        <v>-0.1177049</v>
      </c>
      <c r="U7030">
        <v>-2.7688600000000001</v>
      </c>
      <c r="V7030">
        <v>-9.5583479999999998E-2</v>
      </c>
      <c r="W7030">
        <v>7.5801389999999996E-2</v>
      </c>
      <c r="X7030">
        <v>0.9925311</v>
      </c>
      <c r="Y7030">
        <v>-0.31509369999999998</v>
      </c>
      <c r="Z7030">
        <v>3.8482740000000001E-2</v>
      </c>
      <c r="AA7030">
        <v>0.94828000000000001</v>
      </c>
      <c r="AB7030">
        <v>22</v>
      </c>
      <c r="AC7030">
        <v>12.1177999999999</v>
      </c>
      <c r="AD7030">
        <v>-1.0333334300000001</v>
      </c>
      <c r="AE7030">
        <v>-24.08944</v>
      </c>
      <c r="AF7030">
        <v>-8.55485026489748</v>
      </c>
      <c r="AG7030">
        <v>-1.0333334300000001</v>
      </c>
      <c r="AH7030">
        <v>25.5308807547386</v>
      </c>
      <c r="AI7030">
        <v>92.197746736867998</v>
      </c>
      <c r="AJ7030">
        <v>108.524895368823</v>
      </c>
      <c r="AK7030">
        <v>26.945855212723401</v>
      </c>
      <c r="AL7030">
        <v>85.652730427304704</v>
      </c>
      <c r="AM7030">
        <v>95.500778163438198</v>
      </c>
      <c r="AN7030">
        <v>1.00000001842102</v>
      </c>
    </row>
    <row r="7031" spans="1:40" x14ac:dyDescent="0.25">
      <c r="A7031" t="str">
        <f>"20190312160510304"</f>
        <v>20190312160510304</v>
      </c>
      <c r="B7031" t="str">
        <f>"1552377910292240"</f>
        <v>1552377910292240</v>
      </c>
      <c r="C7031" t="s">
        <v>40</v>
      </c>
      <c r="D7031">
        <v>5.9843320000000002</v>
      </c>
      <c r="E7031">
        <v>0.41142810000000002</v>
      </c>
      <c r="F7031" t="s">
        <v>81</v>
      </c>
      <c r="G7031">
        <v>-288.7081</v>
      </c>
      <c r="H7031">
        <v>7.9986570000000007E-2</v>
      </c>
      <c r="I7031">
        <v>-73.490139999999997</v>
      </c>
      <c r="J7031">
        <v>-300.77379999999999</v>
      </c>
      <c r="K7031">
        <v>1.1133770000000001</v>
      </c>
      <c r="L7031">
        <v>-49.72842</v>
      </c>
      <c r="M7031">
        <v>0.14715010000000001</v>
      </c>
      <c r="N7031">
        <v>0</v>
      </c>
      <c r="O7031">
        <v>-0.98904369999999997</v>
      </c>
      <c r="P7031">
        <v>0.2402609</v>
      </c>
      <c r="Q7031">
        <v>6.3674700000000001E-2</v>
      </c>
      <c r="R7031">
        <v>-0.96861770000000003</v>
      </c>
      <c r="S7031">
        <v>1.394714</v>
      </c>
      <c r="T7031">
        <v>-0.1190895</v>
      </c>
      <c r="U7031">
        <v>-2.7629999999999999</v>
      </c>
      <c r="V7031">
        <v>-9.5667589999999997E-2</v>
      </c>
      <c r="W7031">
        <v>7.4706800000000004E-2</v>
      </c>
      <c r="X7031">
        <v>0.99260599999999999</v>
      </c>
      <c r="Y7031">
        <v>-0.31400489999999998</v>
      </c>
      <c r="Z7031">
        <v>3.8942310000000001E-2</v>
      </c>
      <c r="AA7031">
        <v>0.94862230000000003</v>
      </c>
      <c r="AB7031">
        <v>22</v>
      </c>
      <c r="AC7031">
        <v>12.0656999999999</v>
      </c>
      <c r="AD7031">
        <v>-1.0333904300000001</v>
      </c>
      <c r="AE7031">
        <v>-23.76172</v>
      </c>
      <c r="AF7031">
        <v>-8.4248851342145201</v>
      </c>
      <c r="AG7031">
        <v>-1.0333904300000001</v>
      </c>
      <c r="AH7031">
        <v>25.2406572885819</v>
      </c>
      <c r="AI7031">
        <v>92.223980343223502</v>
      </c>
      <c r="AJ7031">
        <v>108.45809821210401</v>
      </c>
      <c r="AK7031">
        <v>26.629633224383099</v>
      </c>
      <c r="AL7031">
        <v>85.715624219106999</v>
      </c>
      <c r="AM7031">
        <v>95.505176032654305</v>
      </c>
      <c r="AN7031">
        <v>1.0000000324893199</v>
      </c>
    </row>
    <row r="7032" spans="1:40" x14ac:dyDescent="0.25">
      <c r="A7032" t="str">
        <f>"20190312160510327"</f>
        <v>20190312160510327</v>
      </c>
      <c r="B7032" t="str">
        <f>"1552377910322495"</f>
        <v>1552377910322495</v>
      </c>
      <c r="C7032" t="s">
        <v>40</v>
      </c>
      <c r="D7032">
        <v>5.6350829999999998</v>
      </c>
      <c r="E7032">
        <v>0.41185719999999998</v>
      </c>
      <c r="F7032" t="s">
        <v>81</v>
      </c>
      <c r="G7032">
        <v>-289.01580000000001</v>
      </c>
      <c r="H7032">
        <v>7.9986559999999998E-2</v>
      </c>
      <c r="I7032">
        <v>-72.780649999999994</v>
      </c>
      <c r="J7032">
        <v>-300.73509999999999</v>
      </c>
      <c r="K7032">
        <v>1.113464</v>
      </c>
      <c r="L7032">
        <v>-49.948329999999999</v>
      </c>
      <c r="M7032">
        <v>0.15231259999999999</v>
      </c>
      <c r="N7032">
        <v>0</v>
      </c>
      <c r="O7032">
        <v>-0.98826190000000003</v>
      </c>
      <c r="P7032">
        <v>0.2455387</v>
      </c>
      <c r="Q7032">
        <v>6.2834600000000004E-2</v>
      </c>
      <c r="R7032">
        <v>-0.9673484</v>
      </c>
      <c r="S7032">
        <v>1.4060060000000001</v>
      </c>
      <c r="T7032">
        <v>-0.1235718</v>
      </c>
      <c r="U7032">
        <v>-2.756561</v>
      </c>
      <c r="V7032">
        <v>-9.5894900000000005E-2</v>
      </c>
      <c r="W7032">
        <v>7.3832800000000004E-2</v>
      </c>
      <c r="X7032">
        <v>0.99264940000000002</v>
      </c>
      <c r="Y7032">
        <v>-0.31300060000000002</v>
      </c>
      <c r="Z7032">
        <v>4.0412749999999997E-2</v>
      </c>
      <c r="AA7032">
        <v>0.94889279999999998</v>
      </c>
      <c r="AB7032">
        <v>22</v>
      </c>
      <c r="AC7032">
        <v>11.719299999999899</v>
      </c>
      <c r="AD7032">
        <v>-1.03347744</v>
      </c>
      <c r="AE7032">
        <v>-22.832319999999999</v>
      </c>
      <c r="AF7032">
        <v>-8.0915309267356701</v>
      </c>
      <c r="AG7032">
        <v>-1.03347744</v>
      </c>
      <c r="AH7032">
        <v>24.3115813933934</v>
      </c>
      <c r="AI7032">
        <v>92.309736127919194</v>
      </c>
      <c r="AJ7032">
        <v>108.408793217525</v>
      </c>
      <c r="AK7032">
        <v>25.643594486828501</v>
      </c>
      <c r="AL7032">
        <v>85.765839162137695</v>
      </c>
      <c r="AM7032">
        <v>95.517936134261902</v>
      </c>
      <c r="AN7032">
        <v>0.99999997276110397</v>
      </c>
    </row>
    <row r="7033" spans="1:40" x14ac:dyDescent="0.25">
      <c r="A7033" t="str">
        <f>"20190312160510349"</f>
        <v>20190312160510349</v>
      </c>
      <c r="B7033" t="str">
        <f>"1552377910342016"</f>
        <v>1552377910342016</v>
      </c>
      <c r="C7033" t="s">
        <v>40</v>
      </c>
      <c r="D7033">
        <v>5.615049</v>
      </c>
      <c r="E7033">
        <v>0.41205380000000003</v>
      </c>
      <c r="F7033" t="s">
        <v>81</v>
      </c>
      <c r="G7033">
        <v>-289.11799999999999</v>
      </c>
      <c r="H7033">
        <v>7.9986570000000007E-2</v>
      </c>
      <c r="I7033">
        <v>-72.48</v>
      </c>
      <c r="J7033">
        <v>-300.69540000000001</v>
      </c>
      <c r="K7033">
        <v>1.113545</v>
      </c>
      <c r="L7033">
        <v>-50.166080000000001</v>
      </c>
      <c r="M7033">
        <v>0.1575481</v>
      </c>
      <c r="N7033">
        <v>0</v>
      </c>
      <c r="O7033">
        <v>-0.98744080000000001</v>
      </c>
      <c r="P7033">
        <v>0.2506198</v>
      </c>
      <c r="Q7033">
        <v>6.3408290000000006E-2</v>
      </c>
      <c r="R7033">
        <v>-0.96600710000000001</v>
      </c>
      <c r="S7033">
        <v>1.417664</v>
      </c>
      <c r="T7033">
        <v>-0.12611829999999999</v>
      </c>
      <c r="U7033">
        <v>-2.749603</v>
      </c>
      <c r="V7033">
        <v>-9.58754E-2</v>
      </c>
      <c r="W7033">
        <v>7.4376810000000002E-2</v>
      </c>
      <c r="X7033">
        <v>0.99261069999999996</v>
      </c>
      <c r="Y7033">
        <v>-0.31210660000000001</v>
      </c>
      <c r="Z7033">
        <v>4.1253579999999998E-2</v>
      </c>
      <c r="AA7033">
        <v>0.94915099999999997</v>
      </c>
      <c r="AB7033">
        <v>22</v>
      </c>
      <c r="AC7033">
        <v>11.577400000000001</v>
      </c>
      <c r="AD7033">
        <v>-1.03355843</v>
      </c>
      <c r="AE7033">
        <v>-22.31392</v>
      </c>
      <c r="AF7033">
        <v>-7.903672350261</v>
      </c>
      <c r="AG7033">
        <v>-1.03355843</v>
      </c>
      <c r="AH7033">
        <v>23.819070068684201</v>
      </c>
      <c r="AI7033">
        <v>92.358334565997794</v>
      </c>
      <c r="AJ7033">
        <v>108.356938374141</v>
      </c>
      <c r="AK7033">
        <v>25.117411860806701</v>
      </c>
      <c r="AL7033">
        <v>85.734583870658298</v>
      </c>
      <c r="AM7033">
        <v>95.517034761386995</v>
      </c>
      <c r="AN7033">
        <v>1.00000000197271</v>
      </c>
    </row>
    <row r="7034" spans="1:40" x14ac:dyDescent="0.25">
      <c r="A7034" t="str">
        <f>"20190312160510371"</f>
        <v>20190312160510371</v>
      </c>
      <c r="B7034" t="str">
        <f>"1552377910362512"</f>
        <v>1552377910362512</v>
      </c>
      <c r="C7034" t="s">
        <v>40</v>
      </c>
      <c r="D7034">
        <v>5.6480750000000004</v>
      </c>
      <c r="E7034">
        <v>0.41223520000000002</v>
      </c>
      <c r="F7034" t="s">
        <v>81</v>
      </c>
      <c r="G7034">
        <v>-288.6601</v>
      </c>
      <c r="H7034">
        <v>7.9986570000000007E-2</v>
      </c>
      <c r="I7034">
        <v>-73.228259999999906</v>
      </c>
      <c r="J7034">
        <v>-300.65460000000002</v>
      </c>
      <c r="K7034">
        <v>1.1136109999999999</v>
      </c>
      <c r="L7034">
        <v>-50.383029999999998</v>
      </c>
      <c r="M7034">
        <v>0.16288349999999999</v>
      </c>
      <c r="N7034">
        <v>0</v>
      </c>
      <c r="O7034">
        <v>-0.98657479999999997</v>
      </c>
      <c r="P7034">
        <v>0.25599149999999998</v>
      </c>
      <c r="Q7034">
        <v>6.3949229999999996E-2</v>
      </c>
      <c r="R7034">
        <v>-0.96456189999999997</v>
      </c>
      <c r="S7034">
        <v>1.431122</v>
      </c>
      <c r="T7034">
        <v>-0.1229011</v>
      </c>
      <c r="U7034">
        <v>-2.74234</v>
      </c>
      <c r="V7034">
        <v>-9.6057240000000002E-2</v>
      </c>
      <c r="W7034">
        <v>7.4889869999999997E-2</v>
      </c>
      <c r="X7034">
        <v>0.99255450000000001</v>
      </c>
      <c r="Y7034">
        <v>-0.31168299999999999</v>
      </c>
      <c r="Z7034">
        <v>4.0204190000000001E-2</v>
      </c>
      <c r="AA7034">
        <v>0.94933520000000005</v>
      </c>
      <c r="AB7034">
        <v>22</v>
      </c>
      <c r="AC7034">
        <v>11.9945</v>
      </c>
      <c r="AD7034">
        <v>-1.0336244299999999</v>
      </c>
      <c r="AE7034">
        <v>-22.845229999999901</v>
      </c>
      <c r="AF7034">
        <v>-8.0999266853768894</v>
      </c>
      <c r="AG7034">
        <v>-1.0336244299999999</v>
      </c>
      <c r="AH7034">
        <v>24.454695359809001</v>
      </c>
      <c r="AI7034">
        <v>92.297660841996802</v>
      </c>
      <c r="AJ7034">
        <v>108.32599295293301</v>
      </c>
      <c r="AK7034">
        <v>25.781957197075599</v>
      </c>
      <c r="AL7034">
        <v>85.705105306324995</v>
      </c>
      <c r="AM7034">
        <v>95.527744817910104</v>
      </c>
      <c r="AN7034">
        <v>0.99999996072764097</v>
      </c>
    </row>
    <row r="7035" spans="1:40" x14ac:dyDescent="0.25">
      <c r="A7035" t="str">
        <f>"20190312160510393"</f>
        <v>20190312160510393</v>
      </c>
      <c r="B7035" t="str">
        <f>"1552377910382031"</f>
        <v>1552377910382031</v>
      </c>
      <c r="C7035" t="s">
        <v>40</v>
      </c>
      <c r="D7035">
        <v>5.6611989999999999</v>
      </c>
      <c r="E7035">
        <v>0.41235739999999999</v>
      </c>
      <c r="F7035" t="s">
        <v>81</v>
      </c>
      <c r="G7035">
        <v>-288.28980000000001</v>
      </c>
      <c r="H7035">
        <v>7.9986559999999998E-2</v>
      </c>
      <c r="I7035">
        <v>-73.789439999999999</v>
      </c>
      <c r="J7035">
        <v>-300.61279999999999</v>
      </c>
      <c r="K7035">
        <v>1.1136680000000001</v>
      </c>
      <c r="L7035">
        <v>-50.59787</v>
      </c>
      <c r="M7035">
        <v>0.16826640000000001</v>
      </c>
      <c r="N7035">
        <v>0</v>
      </c>
      <c r="O7035">
        <v>-0.98567110000000002</v>
      </c>
      <c r="P7035">
        <v>0.26174730000000002</v>
      </c>
      <c r="Q7035">
        <v>6.3733040000000005E-2</v>
      </c>
      <c r="R7035">
        <v>-0.96303019999999995</v>
      </c>
      <c r="S7035">
        <v>1.4447019999999999</v>
      </c>
      <c r="T7035">
        <v>-0.1207685</v>
      </c>
      <c r="U7035">
        <v>-2.7348020000000002</v>
      </c>
      <c r="V7035">
        <v>-9.6574880000000002E-2</v>
      </c>
      <c r="W7035">
        <v>7.4646889999999994E-2</v>
      </c>
      <c r="X7035">
        <v>0.99252260000000003</v>
      </c>
      <c r="Y7035">
        <v>-0.31127559999999999</v>
      </c>
      <c r="Z7035">
        <v>3.9509120000000002E-2</v>
      </c>
      <c r="AA7035">
        <v>0.94949810000000001</v>
      </c>
      <c r="AB7035">
        <v>22</v>
      </c>
      <c r="AC7035">
        <v>12.322999999999899</v>
      </c>
      <c r="AD7035">
        <v>-1.0336814400000001</v>
      </c>
      <c r="AE7035">
        <v>-23.191569999999999</v>
      </c>
      <c r="AF7035">
        <v>-8.2318826823990605</v>
      </c>
      <c r="AG7035">
        <v>-1.0336814400000001</v>
      </c>
      <c r="AH7035">
        <v>24.895969888059302</v>
      </c>
      <c r="AI7035">
        <v>92.257485984644504</v>
      </c>
      <c r="AJ7035">
        <v>108.296531041449</v>
      </c>
      <c r="AK7035">
        <v>26.241983661364799</v>
      </c>
      <c r="AL7035">
        <v>85.719066232151505</v>
      </c>
      <c r="AM7035">
        <v>95.557524631114703</v>
      </c>
      <c r="AN7035">
        <v>0.99999998857222305</v>
      </c>
    </row>
    <row r="7036" spans="1:40" x14ac:dyDescent="0.25">
      <c r="A7036" t="str">
        <f>"20190312160510417"</f>
        <v>20190312160510417</v>
      </c>
      <c r="B7036" t="str">
        <f>"1552377910412288"</f>
        <v>1552377910412288</v>
      </c>
      <c r="C7036" t="s">
        <v>40</v>
      </c>
      <c r="D7036">
        <v>5.7807240000000002</v>
      </c>
      <c r="E7036">
        <v>0.41263630000000001</v>
      </c>
      <c r="F7036" t="s">
        <v>81</v>
      </c>
      <c r="G7036">
        <v>-288.09930000000003</v>
      </c>
      <c r="H7036">
        <v>7.9986559999999998E-2</v>
      </c>
      <c r="I7036">
        <v>-73.967929999999996</v>
      </c>
      <c r="J7036">
        <v>-300.56810000000002</v>
      </c>
      <c r="K7036">
        <v>1.1137220000000001</v>
      </c>
      <c r="L7036">
        <v>-50.820160000000001</v>
      </c>
      <c r="M7036">
        <v>0.17393989999999901</v>
      </c>
      <c r="N7036">
        <v>0</v>
      </c>
      <c r="O7036">
        <v>-0.98468599999999995</v>
      </c>
      <c r="P7036">
        <v>0.26763419999999999</v>
      </c>
      <c r="Q7036">
        <v>6.3261929999999994E-2</v>
      </c>
      <c r="R7036">
        <v>-0.96144180000000001</v>
      </c>
      <c r="S7036">
        <v>1.4598390000000001</v>
      </c>
      <c r="T7036">
        <v>-0.12059060000000001</v>
      </c>
      <c r="U7036">
        <v>-2.7263790000000001</v>
      </c>
      <c r="V7036">
        <v>-9.6933859999999997E-2</v>
      </c>
      <c r="W7036">
        <v>7.4153780000000002E-2</v>
      </c>
      <c r="X7036">
        <v>0.99252459999999998</v>
      </c>
      <c r="Y7036">
        <v>-0.3111215</v>
      </c>
      <c r="Z7036">
        <v>3.9451529999999999E-2</v>
      </c>
      <c r="AA7036">
        <v>0.94955089999999998</v>
      </c>
      <c r="AB7036">
        <v>22</v>
      </c>
      <c r="AC7036">
        <v>12.4687999999999</v>
      </c>
      <c r="AD7036">
        <v>-1.0337354399999901</v>
      </c>
      <c r="AE7036">
        <v>-23.147770000000001</v>
      </c>
      <c r="AF7036">
        <v>-8.2393664705454199</v>
      </c>
      <c r="AG7036">
        <v>-1.0337354399999901</v>
      </c>
      <c r="AH7036">
        <v>24.9253043529683</v>
      </c>
      <c r="AI7036">
        <v>92.255009256024493</v>
      </c>
      <c r="AJ7036">
        <v>108.291939679953</v>
      </c>
      <c r="AK7036">
        <v>26.2721633270646</v>
      </c>
      <c r="AL7036">
        <v>85.747398006491196</v>
      </c>
      <c r="AM7036">
        <v>95.578041378069898</v>
      </c>
      <c r="AN7036">
        <v>1.0000000189539699</v>
      </c>
    </row>
    <row r="7037" spans="1:40" x14ac:dyDescent="0.25">
      <c r="A7037" t="str">
        <f>"20190312160510441"</f>
        <v>20190312160510441</v>
      </c>
      <c r="B7037" t="str">
        <f>"1552377910432783"</f>
        <v>1552377910432783</v>
      </c>
      <c r="C7037" t="s">
        <v>40</v>
      </c>
      <c r="D7037">
        <v>5.6026989999999897</v>
      </c>
      <c r="E7037">
        <v>0.41283009999999898</v>
      </c>
      <c r="F7037" t="s">
        <v>81</v>
      </c>
      <c r="G7037">
        <v>-287.84059999999999</v>
      </c>
      <c r="H7037">
        <v>7.9986570000000007E-2</v>
      </c>
      <c r="I7037">
        <v>-74.275319999999994</v>
      </c>
      <c r="J7037">
        <v>-300.51940000000002</v>
      </c>
      <c r="K7037">
        <v>1.1137790000000001</v>
      </c>
      <c r="L7037">
        <v>-51.055419999999998</v>
      </c>
      <c r="M7037">
        <v>0.18006649999999999</v>
      </c>
      <c r="N7037">
        <v>0</v>
      </c>
      <c r="O7037">
        <v>-0.98358400000000001</v>
      </c>
      <c r="P7037">
        <v>0.2736382</v>
      </c>
      <c r="Q7037">
        <v>6.2924960000000002E-2</v>
      </c>
      <c r="R7037">
        <v>-0.95977230000000002</v>
      </c>
      <c r="S7037">
        <v>1.474701</v>
      </c>
      <c r="T7037">
        <v>-0.1197759</v>
      </c>
      <c r="U7037">
        <v>-2.7176819999999999</v>
      </c>
      <c r="V7037">
        <v>-9.6963869999999994E-2</v>
      </c>
      <c r="W7037">
        <v>7.379761E-2</v>
      </c>
      <c r="X7037">
        <v>0.99254819999999999</v>
      </c>
      <c r="Y7037">
        <v>-0.31049510000000002</v>
      </c>
      <c r="Z7037">
        <v>3.9185919999999999E-2</v>
      </c>
      <c r="AA7037">
        <v>0.94976689999999997</v>
      </c>
      <c r="AB7037">
        <v>22</v>
      </c>
      <c r="AC7037">
        <v>12.678800000000001</v>
      </c>
      <c r="AD7037">
        <v>-1.0337924300000001</v>
      </c>
      <c r="AE7037">
        <v>-23.219899999999999</v>
      </c>
      <c r="AF7037">
        <v>-8.2774739222821108</v>
      </c>
      <c r="AG7037">
        <v>-1.0337924300000001</v>
      </c>
      <c r="AH7037">
        <v>25.085186525609899</v>
      </c>
      <c r="AI7037">
        <v>92.241166713454405</v>
      </c>
      <c r="AJ7037">
        <v>108.261576576289</v>
      </c>
      <c r="AK7037">
        <v>26.435806860147601</v>
      </c>
      <c r="AL7037">
        <v>85.767861049974201</v>
      </c>
      <c r="AM7037">
        <v>95.579625568139903</v>
      </c>
      <c r="AN7037">
        <v>1.00000000432516</v>
      </c>
    </row>
    <row r="7038" spans="1:40" x14ac:dyDescent="0.25">
      <c r="A7038" t="str">
        <f>"20190312160510464"</f>
        <v>20190312160510464</v>
      </c>
      <c r="B7038" t="str">
        <f>"1552377910451917"</f>
        <v>1552377910451917</v>
      </c>
      <c r="C7038" t="s">
        <v>40</v>
      </c>
      <c r="D7038">
        <v>5.6831889999999996</v>
      </c>
      <c r="E7038">
        <v>0.41293259999999998</v>
      </c>
      <c r="F7038" t="s">
        <v>81</v>
      </c>
      <c r="G7038">
        <v>-287.60059999999999</v>
      </c>
      <c r="H7038">
        <v>7.9986570000000007E-2</v>
      </c>
      <c r="I7038">
        <v>-74.542829999999995</v>
      </c>
      <c r="J7038">
        <v>-300.47070000000002</v>
      </c>
      <c r="K7038">
        <v>1.1138459999999999</v>
      </c>
      <c r="L7038">
        <v>-51.28275</v>
      </c>
      <c r="M7038">
        <v>0.18611179999999999</v>
      </c>
      <c r="N7038">
        <v>0</v>
      </c>
      <c r="O7038">
        <v>-0.9824581</v>
      </c>
      <c r="P7038">
        <v>0.28008420000000001</v>
      </c>
      <c r="Q7038">
        <v>6.2218490000000001E-2</v>
      </c>
      <c r="R7038">
        <v>-0.95795710000000001</v>
      </c>
      <c r="S7038">
        <v>1.4898990000000001</v>
      </c>
      <c r="T7038">
        <v>-0.1192259</v>
      </c>
      <c r="U7038">
        <v>-2.708771</v>
      </c>
      <c r="V7038">
        <v>-9.7530900000000004E-2</v>
      </c>
      <c r="W7038">
        <v>7.3069560000000006E-2</v>
      </c>
      <c r="X7038">
        <v>0.9925465</v>
      </c>
      <c r="Y7038">
        <v>-0.31006260000000002</v>
      </c>
      <c r="Z7038">
        <v>3.9005020000000001E-2</v>
      </c>
      <c r="AA7038">
        <v>0.94991559999999997</v>
      </c>
      <c r="AB7038">
        <v>22</v>
      </c>
      <c r="AC7038">
        <v>12.870100000000001</v>
      </c>
      <c r="AD7038">
        <v>-1.0338594299999999</v>
      </c>
      <c r="AE7038">
        <v>-23.260079999999999</v>
      </c>
      <c r="AF7038">
        <v>-8.3033752920223307</v>
      </c>
      <c r="AG7038">
        <v>-1.0338594299999999</v>
      </c>
      <c r="AH7038">
        <v>25.210947305974798</v>
      </c>
      <c r="AI7038">
        <v>92.230552569741803</v>
      </c>
      <c r="AJ7038">
        <v>108.22960570526701</v>
      </c>
      <c r="AK7038">
        <v>26.563259789148699</v>
      </c>
      <c r="AL7038">
        <v>85.809688136109003</v>
      </c>
      <c r="AM7038">
        <v>95.612056229423104</v>
      </c>
      <c r="AN7038">
        <v>0.99999999585782595</v>
      </c>
    </row>
    <row r="7039" spans="1:40" x14ac:dyDescent="0.25">
      <c r="A7039" t="str">
        <f>"20190312160510485"</f>
        <v>20190312160510485</v>
      </c>
      <c r="B7039" t="str">
        <f>"1552377910472401"</f>
        <v>1552377910472401</v>
      </c>
      <c r="C7039" t="s">
        <v>40</v>
      </c>
      <c r="D7039">
        <v>5.6008950000000004</v>
      </c>
      <c r="E7039">
        <v>0.41316580000000003</v>
      </c>
      <c r="F7039" t="s">
        <v>81</v>
      </c>
      <c r="G7039">
        <v>-287.6687</v>
      </c>
      <c r="H7039">
        <v>7.9986570000000007E-2</v>
      </c>
      <c r="I7039">
        <v>-74.210480000000004</v>
      </c>
      <c r="J7039">
        <v>-300.4264</v>
      </c>
      <c r="K7039">
        <v>1.1139139999999901</v>
      </c>
      <c r="L7039">
        <v>-51.483060000000002</v>
      </c>
      <c r="M7039">
        <v>0.19155430000000001</v>
      </c>
      <c r="N7039">
        <v>0</v>
      </c>
      <c r="O7039">
        <v>-0.98141149999999999</v>
      </c>
      <c r="P7039">
        <v>0.28584730000000003</v>
      </c>
      <c r="Q7039">
        <v>6.2281540000000003E-2</v>
      </c>
      <c r="R7039">
        <v>-0.95624949999999997</v>
      </c>
      <c r="S7039">
        <v>1.5069889999999999</v>
      </c>
      <c r="T7039">
        <v>-0.12170110000000001</v>
      </c>
      <c r="U7039">
        <v>-2.698944</v>
      </c>
      <c r="V7039">
        <v>-9.8020889999999999E-2</v>
      </c>
      <c r="W7039">
        <v>7.3113300000000006E-2</v>
      </c>
      <c r="X7039">
        <v>0.99249500000000002</v>
      </c>
      <c r="Y7039">
        <v>-0.31083470000000002</v>
      </c>
      <c r="Z7039">
        <v>3.9813630000000003E-2</v>
      </c>
      <c r="AA7039">
        <v>0.94962979999999997</v>
      </c>
      <c r="AB7039">
        <v>22</v>
      </c>
      <c r="AC7039">
        <v>12.7577</v>
      </c>
      <c r="AD7039">
        <v>-1.0339274300000001</v>
      </c>
      <c r="AE7039">
        <v>-22.727419999999999</v>
      </c>
      <c r="AF7039">
        <v>-8.1547506211591099</v>
      </c>
      <c r="AG7039">
        <v>-1.0339274300000001</v>
      </c>
      <c r="AH7039">
        <v>24.711568058455601</v>
      </c>
      <c r="AI7039">
        <v>92.275297373445696</v>
      </c>
      <c r="AJ7039">
        <v>108.2627501913</v>
      </c>
      <c r="AK7039">
        <v>26.042860048993902</v>
      </c>
      <c r="AL7039">
        <v>85.807175261397603</v>
      </c>
      <c r="AM7039">
        <v>95.640360336084996</v>
      </c>
      <c r="AN7039">
        <v>0.99999998726914097</v>
      </c>
    </row>
    <row r="7040" spans="1:40" x14ac:dyDescent="0.25">
      <c r="A7040" t="str">
        <f>"20190312160510506"</f>
        <v>20190312160510506</v>
      </c>
      <c r="B7040" t="str">
        <f>"1552377910502657"</f>
        <v>1552377910502657</v>
      </c>
      <c r="C7040" t="s">
        <v>40</v>
      </c>
      <c r="D7040">
        <v>5.7522029999999997</v>
      </c>
      <c r="E7040">
        <v>0.41354099999999999</v>
      </c>
      <c r="F7040" t="s">
        <v>81</v>
      </c>
      <c r="G7040">
        <v>-287.36860000000001</v>
      </c>
      <c r="H7040">
        <v>7.9986570000000007E-2</v>
      </c>
      <c r="I7040">
        <v>-74.574579999999997</v>
      </c>
      <c r="J7040">
        <v>-300.37970000000001</v>
      </c>
      <c r="K7040">
        <v>1.113996</v>
      </c>
      <c r="L7040">
        <v>-51.688479999999998</v>
      </c>
      <c r="M7040">
        <v>0.19724749999999999</v>
      </c>
      <c r="N7040">
        <v>0</v>
      </c>
      <c r="O7040">
        <v>-0.98028289999999996</v>
      </c>
      <c r="P7040">
        <v>0.29228520000000002</v>
      </c>
      <c r="Q7040">
        <v>6.2562350000000003E-2</v>
      </c>
      <c r="R7040">
        <v>-0.95428250000000003</v>
      </c>
      <c r="S7040">
        <v>1.5213319999999999</v>
      </c>
      <c r="T7040">
        <v>-0.1204604</v>
      </c>
      <c r="U7040">
        <v>-2.6903380000000001</v>
      </c>
      <c r="V7040">
        <v>-9.8969760000000004E-2</v>
      </c>
      <c r="W7040">
        <v>7.3369139999999999E-2</v>
      </c>
      <c r="X7040">
        <v>0.99238199999999999</v>
      </c>
      <c r="Y7040">
        <v>-0.31046319999999999</v>
      </c>
      <c r="Z7040">
        <v>3.9404309999999998E-2</v>
      </c>
      <c r="AA7040">
        <v>0.94976839999999996</v>
      </c>
      <c r="AB7040">
        <v>22</v>
      </c>
      <c r="AC7040">
        <v>13.011100000000001</v>
      </c>
      <c r="AD7040">
        <v>-1.03400943</v>
      </c>
      <c r="AE7040">
        <v>-22.886099999999999</v>
      </c>
      <c r="AF7040">
        <v>-8.2282114922260092</v>
      </c>
      <c r="AG7040">
        <v>-1.03400943</v>
      </c>
      <c r="AH7040">
        <v>24.9644831529736</v>
      </c>
      <c r="AI7040">
        <v>92.252716769562895</v>
      </c>
      <c r="AJ7040">
        <v>108.24204979649301</v>
      </c>
      <c r="AK7040">
        <v>26.305855982218699</v>
      </c>
      <c r="AL7040">
        <v>85.792477451886697</v>
      </c>
      <c r="AM7040">
        <v>95.695247630856201</v>
      </c>
      <c r="AN7040">
        <v>1.0000000390113899</v>
      </c>
    </row>
    <row r="7041" spans="1:40" x14ac:dyDescent="0.25">
      <c r="A7041" t="str">
        <f>"20190312160510529"</f>
        <v>20190312160510529</v>
      </c>
      <c r="B7041" t="str">
        <f>"1552377910522177"</f>
        <v>1552377910522177</v>
      </c>
      <c r="C7041" t="s">
        <v>40</v>
      </c>
      <c r="D7041">
        <v>5.7731760000000003</v>
      </c>
      <c r="E7041">
        <v>0.41381839999999998</v>
      </c>
      <c r="F7041" t="s">
        <v>81</v>
      </c>
      <c r="G7041">
        <v>-286.89389999999997</v>
      </c>
      <c r="H7041">
        <v>7.9986570000000007E-2</v>
      </c>
      <c r="I7041">
        <v>-75.216579999999993</v>
      </c>
      <c r="J7041">
        <v>-300.32929999999999</v>
      </c>
      <c r="K7041">
        <v>1.1140909999999999</v>
      </c>
      <c r="L7041">
        <v>-51.903230000000001</v>
      </c>
      <c r="M7041">
        <v>0.20333039999999999</v>
      </c>
      <c r="N7041">
        <v>0</v>
      </c>
      <c r="O7041">
        <v>-0.97903929999999995</v>
      </c>
      <c r="P7041">
        <v>0.29935499999999998</v>
      </c>
      <c r="Q7041">
        <v>6.2537410000000002E-2</v>
      </c>
      <c r="R7041">
        <v>-0.9520904</v>
      </c>
      <c r="S7041">
        <v>1.536591</v>
      </c>
      <c r="T7041">
        <v>-0.11781610000000001</v>
      </c>
      <c r="U7041">
        <v>-2.6808169999999998</v>
      </c>
      <c r="V7041">
        <v>-0.1001852</v>
      </c>
      <c r="W7041">
        <v>7.3320650000000001E-2</v>
      </c>
      <c r="X7041">
        <v>0.99226360000000002</v>
      </c>
      <c r="Y7041">
        <v>-0.31010159999999998</v>
      </c>
      <c r="Z7041">
        <v>3.8537630000000003E-2</v>
      </c>
      <c r="AA7041">
        <v>0.94992200000000004</v>
      </c>
      <c r="AB7041">
        <v>22</v>
      </c>
      <c r="AC7041">
        <v>13.4354</v>
      </c>
      <c r="AD7041">
        <v>-1.03410443</v>
      </c>
      <c r="AE7041">
        <v>-23.31335</v>
      </c>
      <c r="AF7041">
        <v>-8.4016466468313293</v>
      </c>
      <c r="AG7041">
        <v>-1.03410443</v>
      </c>
      <c r="AH7041">
        <v>25.5205912959246</v>
      </c>
      <c r="AI7041">
        <v>92.204132687218006</v>
      </c>
      <c r="AJ7041">
        <v>108.222087721714</v>
      </c>
      <c r="AK7041">
        <v>26.887871214433801</v>
      </c>
      <c r="AL7041">
        <v>85.795263155366598</v>
      </c>
      <c r="AM7041">
        <v>95.765405517539705</v>
      </c>
      <c r="AN7041">
        <v>1.0000000219502101</v>
      </c>
    </row>
    <row r="7042" spans="1:40" x14ac:dyDescent="0.25">
      <c r="A7042" t="str">
        <f>"20190312160510550"</f>
        <v>20190312160510550</v>
      </c>
      <c r="B7042" t="str">
        <f>"1552377910542672"</f>
        <v>1552377910542672</v>
      </c>
      <c r="C7042" t="s">
        <v>40</v>
      </c>
      <c r="D7042">
        <v>5.7342209999999998</v>
      </c>
      <c r="E7042">
        <v>0.4139544</v>
      </c>
      <c r="F7042" t="s">
        <v>81</v>
      </c>
      <c r="G7042">
        <v>-286.666</v>
      </c>
      <c r="H7042">
        <v>7.9986559999999998E-2</v>
      </c>
      <c r="I7042">
        <v>-75.376619999999903</v>
      </c>
      <c r="J7042">
        <v>-300.27730000000003</v>
      </c>
      <c r="K7042">
        <v>1.1141749999999999</v>
      </c>
      <c r="L7042">
        <v>-52.117919999999998</v>
      </c>
      <c r="M7042">
        <v>0.2095523</v>
      </c>
      <c r="N7042">
        <v>0</v>
      </c>
      <c r="O7042">
        <v>-0.97772610000000004</v>
      </c>
      <c r="P7042">
        <v>0.30709760000000003</v>
      </c>
      <c r="Q7042">
        <v>6.260541E-2</v>
      </c>
      <c r="R7042">
        <v>-0.94961700000000004</v>
      </c>
      <c r="S7042">
        <v>1.5541689999999999</v>
      </c>
      <c r="T7042">
        <v>-0.117627</v>
      </c>
      <c r="U7042">
        <v>-2.6700439999999999</v>
      </c>
      <c r="V7042">
        <v>-0.1019737</v>
      </c>
      <c r="W7042">
        <v>7.3365810000000004E-2</v>
      </c>
      <c r="X7042">
        <v>0.99207800000000002</v>
      </c>
      <c r="Y7042">
        <v>-0.31039369999999999</v>
      </c>
      <c r="Z7042">
        <v>3.847151E-2</v>
      </c>
      <c r="AA7042">
        <v>0.94982929999999999</v>
      </c>
      <c r="AB7042">
        <v>22</v>
      </c>
      <c r="AC7042">
        <v>13.6113</v>
      </c>
      <c r="AD7042">
        <v>-1.0341884400000001</v>
      </c>
      <c r="AE7042">
        <v>-23.258699999999902</v>
      </c>
      <c r="AF7042">
        <v>-8.4223936705833804</v>
      </c>
      <c r="AG7042">
        <v>-1.0341884400000001</v>
      </c>
      <c r="AH7042">
        <v>25.557064052141399</v>
      </c>
      <c r="AI7042">
        <v>92.200945432891203</v>
      </c>
      <c r="AJ7042">
        <v>108.239763600023</v>
      </c>
      <c r="AK7042">
        <v>26.928976657811699</v>
      </c>
      <c r="AL7042">
        <v>85.792668462373001</v>
      </c>
      <c r="AM7042">
        <v>95.868707363402805</v>
      </c>
      <c r="AN7042">
        <v>0.99999996782632194</v>
      </c>
    </row>
    <row r="7043" spans="1:40" x14ac:dyDescent="0.25">
      <c r="A7043" t="str">
        <f>"20190312160510573"</f>
        <v>20190312160510573</v>
      </c>
      <c r="B7043" t="str">
        <f>"1552377910562318"</f>
        <v>1552377910562318</v>
      </c>
      <c r="C7043" t="s">
        <v>40</v>
      </c>
      <c r="D7043">
        <v>5.76485</v>
      </c>
      <c r="E7043">
        <v>0.4313572</v>
      </c>
      <c r="F7043" t="s">
        <v>43</v>
      </c>
      <c r="G7043">
        <v>-284.62689999999998</v>
      </c>
      <c r="H7043">
        <v>-0.05</v>
      </c>
      <c r="I7043">
        <v>-78.529219999999995</v>
      </c>
      <c r="J7043">
        <v>-300.22460000000001</v>
      </c>
      <c r="K7043">
        <v>1.114269</v>
      </c>
      <c r="L7043">
        <v>-52.329039999999999</v>
      </c>
      <c r="M7043">
        <v>0.2157809</v>
      </c>
      <c r="N7043">
        <v>0</v>
      </c>
      <c r="O7043">
        <v>-0.97637019999999997</v>
      </c>
      <c r="P7043">
        <v>0.31570169999999997</v>
      </c>
      <c r="Q7043">
        <v>6.2580200000000002E-2</v>
      </c>
      <c r="R7043">
        <v>-0.94679270000000004</v>
      </c>
      <c r="S7043">
        <v>1.5747990000000001</v>
      </c>
      <c r="T7043">
        <v>-0.1171432</v>
      </c>
      <c r="U7043">
        <v>-2.6575929999999999</v>
      </c>
      <c r="V7043">
        <v>-0.10466640000000001</v>
      </c>
      <c r="W7043">
        <v>7.3310650000000005E-2</v>
      </c>
      <c r="X7043">
        <v>0.99180159999999995</v>
      </c>
      <c r="Y7043">
        <v>-0.31174489999999999</v>
      </c>
      <c r="Z7043">
        <v>3.8309280000000001E-2</v>
      </c>
      <c r="AA7043">
        <v>0.9493933</v>
      </c>
      <c r="AB7043">
        <v>22</v>
      </c>
      <c r="AC7043">
        <v>15.5977</v>
      </c>
      <c r="AD7043">
        <v>-1.164269</v>
      </c>
      <c r="AE7043">
        <v>-26.20018</v>
      </c>
      <c r="AF7043">
        <v>-9.5623590687731195</v>
      </c>
      <c r="AG7043">
        <v>-1.164269</v>
      </c>
      <c r="AH7043">
        <v>28.906640052926999</v>
      </c>
      <c r="AI7043">
        <v>92.189862926413696</v>
      </c>
      <c r="AJ7043">
        <v>108.304291315195</v>
      </c>
      <c r="AK7043">
        <v>30.469461308234401</v>
      </c>
      <c r="AL7043">
        <v>85.795837399302599</v>
      </c>
      <c r="AM7043">
        <v>96.0242170212329</v>
      </c>
      <c r="AN7043">
        <v>0.99999996022746995</v>
      </c>
    </row>
    <row r="7044" spans="1:40" x14ac:dyDescent="0.25">
      <c r="A7044" t="str">
        <f>"20190312160510595"</f>
        <v>20190312160510595</v>
      </c>
      <c r="B7044" t="str">
        <f>"1552377910581837"</f>
        <v>1552377910581837</v>
      </c>
      <c r="C7044" t="s">
        <v>40</v>
      </c>
      <c r="D7044">
        <v>5.7874970000000001</v>
      </c>
      <c r="E7044">
        <v>0.43203520000000001</v>
      </c>
      <c r="F7044" t="s">
        <v>81</v>
      </c>
      <c r="G7044">
        <v>-291.9794</v>
      </c>
      <c r="H7044" s="1">
        <v>-1.181503E-5</v>
      </c>
      <c r="I7044">
        <v>-67.460660000000004</v>
      </c>
      <c r="J7044">
        <v>-300.16860000000003</v>
      </c>
      <c r="K7044">
        <v>1.1143430000000001</v>
      </c>
      <c r="L7044">
        <v>-52.546909999999997</v>
      </c>
      <c r="M7044">
        <v>0.22232499999999999</v>
      </c>
      <c r="N7044">
        <v>0</v>
      </c>
      <c r="O7044">
        <v>-0.97490060000000001</v>
      </c>
      <c r="P7044">
        <v>0.32372190000000001</v>
      </c>
      <c r="Q7044">
        <v>6.2905999999999906E-2</v>
      </c>
      <c r="R7044">
        <v>-0.94405870000000003</v>
      </c>
      <c r="S7044">
        <v>1.467133</v>
      </c>
      <c r="T7044">
        <v>-0.1982718</v>
      </c>
      <c r="U7044">
        <v>-2.6924739999999998</v>
      </c>
      <c r="V7044">
        <v>-0.10644869999999999</v>
      </c>
      <c r="W7044">
        <v>7.3615959999999994E-2</v>
      </c>
      <c r="X7044">
        <v>0.99158930000000001</v>
      </c>
      <c r="Y7044">
        <v>-0.27023799999999998</v>
      </c>
      <c r="Z7044">
        <v>6.4893649999999997E-2</v>
      </c>
      <c r="AA7044">
        <v>0.96060409999999996</v>
      </c>
      <c r="AB7044">
        <v>22</v>
      </c>
      <c r="AC7044">
        <v>8.1892000000000191</v>
      </c>
      <c r="AD7044">
        <v>-1.11435481503</v>
      </c>
      <c r="AE7044">
        <v>-14.91375</v>
      </c>
      <c r="AF7044">
        <v>-4.6483444138374104</v>
      </c>
      <c r="AG7044">
        <v>-1.11435481503</v>
      </c>
      <c r="AH7044">
        <v>16.2913518856138</v>
      </c>
      <c r="AI7044">
        <v>93.763296849869704</v>
      </c>
      <c r="AJ7044">
        <v>105.924819657762</v>
      </c>
      <c r="AK7044">
        <v>16.978134134949201</v>
      </c>
      <c r="AL7044">
        <v>85.778297144330594</v>
      </c>
      <c r="AM7044">
        <v>96.127327770801301</v>
      </c>
      <c r="AN7044">
        <v>0.99999998758645003</v>
      </c>
    </row>
    <row r="7045" spans="1:40" x14ac:dyDescent="0.25">
      <c r="A7045" t="str">
        <f>"20190312160510618"</f>
        <v>20190312160510618</v>
      </c>
      <c r="B7045" t="str">
        <f>"1552377910612093"</f>
        <v>1552377910612093</v>
      </c>
      <c r="C7045" t="s">
        <v>40</v>
      </c>
      <c r="D7045">
        <v>5.7585769999999998</v>
      </c>
      <c r="E7045">
        <v>0.43381140000000001</v>
      </c>
      <c r="F7045" t="s">
        <v>81</v>
      </c>
      <c r="G7045">
        <v>-291.27789999999999</v>
      </c>
      <c r="H7045" s="1">
        <v>-1.179033E-5</v>
      </c>
      <c r="I7045">
        <v>-68.606639999999999</v>
      </c>
      <c r="J7045">
        <v>-300.11020000000002</v>
      </c>
      <c r="K7045">
        <v>1.114403</v>
      </c>
      <c r="L7045">
        <v>-52.767670000000003</v>
      </c>
      <c r="M7045">
        <v>0.22908139999999999</v>
      </c>
      <c r="N7045">
        <v>0</v>
      </c>
      <c r="O7045">
        <v>-0.97333510000000001</v>
      </c>
      <c r="P7045">
        <v>0.33132620000000002</v>
      </c>
      <c r="Q7045">
        <v>6.339736E-2</v>
      </c>
      <c r="R7045">
        <v>-0.94138440000000001</v>
      </c>
      <c r="S7045">
        <v>1.4843139999999999</v>
      </c>
      <c r="T7045">
        <v>-0.18604219999999999</v>
      </c>
      <c r="U7045">
        <v>-2.6811829999999999</v>
      </c>
      <c r="V7045">
        <v>-0.1075947</v>
      </c>
      <c r="W7045">
        <v>7.409483E-2</v>
      </c>
      <c r="X7045">
        <v>0.99142989999999998</v>
      </c>
      <c r="Y7045">
        <v>-0.2701075</v>
      </c>
      <c r="Z7045">
        <v>6.089845E-2</v>
      </c>
      <c r="AA7045">
        <v>0.96090229999999999</v>
      </c>
      <c r="AB7045">
        <v>22</v>
      </c>
      <c r="AC7045">
        <v>8.8323000000000302</v>
      </c>
      <c r="AD7045">
        <v>-1.1144147903299999</v>
      </c>
      <c r="AE7045">
        <v>-15.83897</v>
      </c>
      <c r="AF7045">
        <v>-4.9500310143271697</v>
      </c>
      <c r="AG7045">
        <v>-1.1144147903299999</v>
      </c>
      <c r="AH7045">
        <v>17.375553082065899</v>
      </c>
      <c r="AI7045">
        <v>93.529686379061999</v>
      </c>
      <c r="AJ7045">
        <v>105.901447271027</v>
      </c>
      <c r="AK7045">
        <v>18.101231236448999</v>
      </c>
      <c r="AL7045">
        <v>85.7507846375333</v>
      </c>
      <c r="AM7045">
        <v>96.193771115455803</v>
      </c>
      <c r="AN7045">
        <v>0.99999995495741301</v>
      </c>
    </row>
    <row r="7046" spans="1:40" x14ac:dyDescent="0.25">
      <c r="A7046" t="str">
        <f>"20190312160510641"</f>
        <v>20190312160510641</v>
      </c>
      <c r="B7046" t="str">
        <f>"1552377910632589"</f>
        <v>1552377910632589</v>
      </c>
      <c r="C7046" t="s">
        <v>40</v>
      </c>
      <c r="D7046">
        <v>5.6316449999999998</v>
      </c>
      <c r="E7046">
        <v>0.43421650000000001</v>
      </c>
      <c r="F7046" t="s">
        <v>81</v>
      </c>
      <c r="G7046">
        <v>-291.59089999999998</v>
      </c>
      <c r="H7046" s="1">
        <v>-1.178997E-5</v>
      </c>
      <c r="I7046">
        <v>-68.034379999999999</v>
      </c>
      <c r="J7046">
        <v>-300.05</v>
      </c>
      <c r="K7046">
        <v>1.1144700000000001</v>
      </c>
      <c r="L7046">
        <v>-52.988460000000003</v>
      </c>
      <c r="M7046">
        <v>0.2359666</v>
      </c>
      <c r="N7046">
        <v>0</v>
      </c>
      <c r="O7046">
        <v>-0.97168849999999996</v>
      </c>
      <c r="P7046">
        <v>0.33970089999999997</v>
      </c>
      <c r="Q7046">
        <v>6.4327170000000003E-2</v>
      </c>
      <c r="R7046">
        <v>-0.93833109999999997</v>
      </c>
      <c r="S7046">
        <v>1.492523</v>
      </c>
      <c r="T7046">
        <v>-0.19524</v>
      </c>
      <c r="U7046">
        <v>-2.674652</v>
      </c>
      <c r="V7046">
        <v>-0.1094478</v>
      </c>
      <c r="W7046">
        <v>7.5002579999999999E-2</v>
      </c>
      <c r="X7046">
        <v>0.99115880000000001</v>
      </c>
      <c r="Y7046">
        <v>-0.26644269999999998</v>
      </c>
      <c r="Z7046">
        <v>6.3860310000000003E-2</v>
      </c>
      <c r="AA7046">
        <v>0.9617329</v>
      </c>
      <c r="AB7046">
        <v>22</v>
      </c>
      <c r="AC7046">
        <v>8.4591000000000296</v>
      </c>
      <c r="AD7046">
        <v>-1.1144817899699999</v>
      </c>
      <c r="AE7046">
        <v>-15.045920000000001</v>
      </c>
      <c r="AF7046">
        <v>-4.6502189834825796</v>
      </c>
      <c r="AG7046">
        <v>-1.1144817899699999</v>
      </c>
      <c r="AH7046">
        <v>16.5481979044045</v>
      </c>
      <c r="AI7046">
        <v>93.7096538062478</v>
      </c>
      <c r="AJ7046">
        <v>105.695925773656</v>
      </c>
      <c r="AK7046">
        <v>17.225256460728101</v>
      </c>
      <c r="AL7046">
        <v>85.698629400279998</v>
      </c>
      <c r="AM7046">
        <v>96.301304963685993</v>
      </c>
      <c r="AN7046">
        <v>0.99999998737446805</v>
      </c>
    </row>
    <row r="7047" spans="1:40" x14ac:dyDescent="0.25">
      <c r="A7047" t="str">
        <f>"20190312160510662"</f>
        <v>20190312160510662</v>
      </c>
      <c r="B7047" t="str">
        <f>"1552377910652661"</f>
        <v>1552377910652661</v>
      </c>
      <c r="C7047" t="s">
        <v>40</v>
      </c>
      <c r="D7047">
        <v>5.8044909999999996</v>
      </c>
      <c r="E7047">
        <v>0.4345697</v>
      </c>
      <c r="F7047" t="s">
        <v>81</v>
      </c>
      <c r="G7047">
        <v>-291.38830000000002</v>
      </c>
      <c r="H7047" s="1">
        <v>-1.1757409999999999E-5</v>
      </c>
      <c r="I7047">
        <v>-68.229640000000003</v>
      </c>
      <c r="J7047">
        <v>-299.99400000000003</v>
      </c>
      <c r="K7047">
        <v>1.1145480000000001</v>
      </c>
      <c r="L7047">
        <v>-53.187840000000001</v>
      </c>
      <c r="M7047">
        <v>0.2422993</v>
      </c>
      <c r="N7047">
        <v>0</v>
      </c>
      <c r="O7047">
        <v>-0.97012849999999995</v>
      </c>
      <c r="P7047">
        <v>0.34786020000000001</v>
      </c>
      <c r="Q7047">
        <v>6.5109159999999999E-2</v>
      </c>
      <c r="R7047">
        <v>-0.93528310000000003</v>
      </c>
      <c r="S7047">
        <v>1.5132139999999901</v>
      </c>
      <c r="T7047">
        <v>-0.19470399999999999</v>
      </c>
      <c r="U7047">
        <v>-2.6626889999999999</v>
      </c>
      <c r="V7047">
        <v>-0.1116511</v>
      </c>
      <c r="W7047">
        <v>7.5756690000000002E-2</v>
      </c>
      <c r="X7047">
        <v>0.99085570000000001</v>
      </c>
      <c r="Y7047">
        <v>-0.2676673</v>
      </c>
      <c r="Z7047">
        <v>6.3657039999999998E-2</v>
      </c>
      <c r="AA7047">
        <v>0.96140619999999999</v>
      </c>
      <c r="AB7047">
        <v>22</v>
      </c>
      <c r="AC7047">
        <v>8.6057000000000095</v>
      </c>
      <c r="AD7047">
        <v>-1.1145597574099999</v>
      </c>
      <c r="AE7047">
        <v>-15.0418</v>
      </c>
      <c r="AF7047">
        <v>-4.6849713260683501</v>
      </c>
      <c r="AG7047">
        <v>-1.1145597574099999</v>
      </c>
      <c r="AH7047">
        <v>16.610108593152098</v>
      </c>
      <c r="AI7047">
        <v>93.695118628370594</v>
      </c>
      <c r="AJ7047">
        <v>105.751393824175</v>
      </c>
      <c r="AK7047">
        <v>17.294129271380701</v>
      </c>
      <c r="AL7047">
        <v>85.655298989697101</v>
      </c>
      <c r="AM7047">
        <v>96.429055362760707</v>
      </c>
      <c r="AN7047">
        <v>1.0000000312167201</v>
      </c>
    </row>
    <row r="7048" spans="1:40" x14ac:dyDescent="0.25">
      <c r="A7048" t="str">
        <f>"20190312160510696"</f>
        <v>20190312160510696</v>
      </c>
      <c r="B7048" t="str">
        <f>"1552377910681895"</f>
        <v>1552377910681895</v>
      </c>
      <c r="C7048" t="s">
        <v>40</v>
      </c>
      <c r="D7048">
        <v>5.8502850000000004</v>
      </c>
      <c r="E7048">
        <v>0.43948009999999899</v>
      </c>
      <c r="F7048" t="s">
        <v>43</v>
      </c>
      <c r="G7048">
        <v>-278.3426</v>
      </c>
      <c r="H7048">
        <v>-0.05</v>
      </c>
      <c r="I7048">
        <v>-90.513570000000001</v>
      </c>
      <c r="J7048">
        <v>-299.90010000000001</v>
      </c>
      <c r="K7048">
        <v>1.1146849999999999</v>
      </c>
      <c r="L7048">
        <v>-53.510559999999998</v>
      </c>
      <c r="M7048">
        <v>0.25280029999999998</v>
      </c>
      <c r="N7048">
        <v>0</v>
      </c>
      <c r="O7048">
        <v>-0.967445</v>
      </c>
      <c r="P7048">
        <v>0.3595102</v>
      </c>
      <c r="Q7048">
        <v>6.4869070000000001E-2</v>
      </c>
      <c r="R7048">
        <v>-0.93088380000000004</v>
      </c>
      <c r="S7048">
        <v>1.5331729999999999</v>
      </c>
      <c r="T7048">
        <v>-8.2463620000000001E-2</v>
      </c>
      <c r="U7048">
        <v>-2.643097</v>
      </c>
      <c r="V7048">
        <v>-0.11330170000000001</v>
      </c>
      <c r="W7048">
        <v>7.5490420000000003E-2</v>
      </c>
      <c r="X7048">
        <v>0.99068860000000003</v>
      </c>
      <c r="Y7048">
        <v>-0.26658379999999998</v>
      </c>
      <c r="Z7048">
        <v>2.7028010000000002E-2</v>
      </c>
      <c r="AA7048">
        <v>0.96343270000000003</v>
      </c>
      <c r="AB7048">
        <v>22</v>
      </c>
      <c r="AC7048">
        <v>21.557500000000001</v>
      </c>
      <c r="AD7048">
        <v>-1.164685</v>
      </c>
      <c r="AE7048">
        <v>-37.003009999999897</v>
      </c>
      <c r="AF7048">
        <v>-11.4936399362372</v>
      </c>
      <c r="AG7048">
        <v>-1.164685</v>
      </c>
      <c r="AH7048">
        <v>41.220563085342398</v>
      </c>
      <c r="AI7048">
        <v>91.559019149624206</v>
      </c>
      <c r="AJ7048">
        <v>105.580207366655</v>
      </c>
      <c r="AK7048">
        <v>42.808820016508101</v>
      </c>
      <c r="AL7048">
        <v>85.670598772019702</v>
      </c>
      <c r="AM7048">
        <v>96.524377120531994</v>
      </c>
      <c r="AN7048">
        <v>0.99999999045231303</v>
      </c>
    </row>
    <row r="7049" spans="1:40" x14ac:dyDescent="0.25">
      <c r="A7049" t="str">
        <f>"20190312160510718"</f>
        <v>20190312160510718</v>
      </c>
      <c r="B7049" t="str">
        <f>"1552377910712151"</f>
        <v>1552377910712151</v>
      </c>
      <c r="C7049" t="s">
        <v>40</v>
      </c>
      <c r="D7049">
        <v>5.8471159999999998</v>
      </c>
      <c r="E7049">
        <v>0.4698659</v>
      </c>
      <c r="F7049" t="s">
        <v>43</v>
      </c>
      <c r="G7049">
        <v>-283.65600000000001</v>
      </c>
      <c r="H7049">
        <v>-0.05</v>
      </c>
      <c r="I7049">
        <v>-81.547119999999893</v>
      </c>
      <c r="J7049">
        <v>-299.83710000000002</v>
      </c>
      <c r="K7049">
        <v>1.114779</v>
      </c>
      <c r="L7049">
        <v>-53.719299999999997</v>
      </c>
      <c r="M7049">
        <v>0.25975130000000002</v>
      </c>
      <c r="N7049">
        <v>0</v>
      </c>
      <c r="O7049">
        <v>-0.96560179999999995</v>
      </c>
      <c r="P7049">
        <v>0.36614720000000001</v>
      </c>
      <c r="Q7049">
        <v>6.4804410000000007E-2</v>
      </c>
      <c r="R7049">
        <v>-0.92829819999999996</v>
      </c>
      <c r="S7049">
        <v>1.5294190000000001</v>
      </c>
      <c r="T7049">
        <v>-0.10965800000000001</v>
      </c>
      <c r="U7049">
        <v>-2.6397089999999999</v>
      </c>
      <c r="V7049">
        <v>-0.1132645</v>
      </c>
      <c r="W7049">
        <v>7.5421009999999997E-2</v>
      </c>
      <c r="X7049">
        <v>0.99069819999999997</v>
      </c>
      <c r="Y7049">
        <v>-0.25901180000000001</v>
      </c>
      <c r="Z7049">
        <v>3.5918699999999998E-2</v>
      </c>
      <c r="AA7049">
        <v>0.96520609999999996</v>
      </c>
      <c r="AB7049">
        <v>22</v>
      </c>
      <c r="AC7049">
        <v>16.181100000000001</v>
      </c>
      <c r="AD7049">
        <v>-1.164779</v>
      </c>
      <c r="AE7049">
        <v>-27.827819999999999</v>
      </c>
      <c r="AF7049">
        <v>-8.3858053673014794</v>
      </c>
      <c r="AG7049">
        <v>-1.164779</v>
      </c>
      <c r="AH7049">
        <v>31.035233702570999</v>
      </c>
      <c r="AI7049">
        <v>92.075006338964002</v>
      </c>
      <c r="AJ7049">
        <v>105.120401754673</v>
      </c>
      <c r="AK7049">
        <v>32.1693048223039</v>
      </c>
      <c r="AL7049">
        <v>85.674587298368806</v>
      </c>
      <c r="AM7049">
        <v>96.522190795572698</v>
      </c>
      <c r="AN7049">
        <v>1.0000000495964501</v>
      </c>
    </row>
    <row r="7050" spans="1:40" x14ac:dyDescent="0.25">
      <c r="A7050" t="str">
        <f>"20190312160510740"</f>
        <v>20190312160510740</v>
      </c>
      <c r="B7050" t="str">
        <f>"1552377910732648"</f>
        <v>1552377910732648</v>
      </c>
      <c r="C7050" t="s">
        <v>40</v>
      </c>
      <c r="D7050">
        <v>5.8747910000000001</v>
      </c>
      <c r="E7050">
        <v>0.49192229999999998</v>
      </c>
      <c r="F7050" t="s">
        <v>81</v>
      </c>
      <c r="G7050">
        <v>-294.69479999999999</v>
      </c>
      <c r="H7050" s="1">
        <v>-1.212742E-5</v>
      </c>
      <c r="I7050">
        <v>-64.325580000000002</v>
      </c>
      <c r="J7050">
        <v>-299.7724</v>
      </c>
      <c r="K7050">
        <v>1.114865</v>
      </c>
      <c r="L7050">
        <v>-53.928069999999998</v>
      </c>
      <c r="M7050">
        <v>0.26682620000000001</v>
      </c>
      <c r="N7050">
        <v>0</v>
      </c>
      <c r="O7050">
        <v>-0.96367040000000004</v>
      </c>
      <c r="P7050">
        <v>0.37354540000000003</v>
      </c>
      <c r="Q7050">
        <v>6.5454709999999999E-2</v>
      </c>
      <c r="R7050">
        <v>-0.92529989999999995</v>
      </c>
      <c r="S7050">
        <v>1.3234859999999999</v>
      </c>
      <c r="T7050">
        <v>-0.28691359999999999</v>
      </c>
      <c r="U7050">
        <v>-2.7297359999999999</v>
      </c>
      <c r="V7050">
        <v>-0.1139416</v>
      </c>
      <c r="W7050">
        <v>7.6061459999999997E-2</v>
      </c>
      <c r="X7050">
        <v>0.9905716</v>
      </c>
      <c r="Y7050">
        <v>-0.17838319999999999</v>
      </c>
      <c r="Z7050">
        <v>9.3021569999999998E-2</v>
      </c>
      <c r="AA7050">
        <v>0.97955420000000004</v>
      </c>
      <c r="AB7050">
        <v>22</v>
      </c>
      <c r="AC7050">
        <v>5.0776000000000101</v>
      </c>
      <c r="AD7050">
        <v>-1.11487712742</v>
      </c>
      <c r="AE7050">
        <v>-10.39751</v>
      </c>
      <c r="AF7050">
        <v>-2.0994663009881802</v>
      </c>
      <c r="AG7050">
        <v>-1.11487712742</v>
      </c>
      <c r="AH7050">
        <v>11.2707926923628</v>
      </c>
      <c r="AI7050">
        <v>95.554243340534398</v>
      </c>
      <c r="AJ7050">
        <v>100.551833664413</v>
      </c>
      <c r="AK7050">
        <v>11.518744622242799</v>
      </c>
      <c r="AL7050">
        <v>85.637786571895901</v>
      </c>
      <c r="AM7050">
        <v>96.5616729869203</v>
      </c>
      <c r="AN7050">
        <v>1.00000006431722</v>
      </c>
    </row>
    <row r="7051" spans="1:40" x14ac:dyDescent="0.25">
      <c r="A7051" t="str">
        <f>"20190312160510762"</f>
        <v>20190312160510762</v>
      </c>
      <c r="B7051" t="str">
        <f>"1552377910752689"</f>
        <v>1552377910752689</v>
      </c>
      <c r="C7051" t="s">
        <v>40</v>
      </c>
      <c r="D7051">
        <v>5.8853780000000002</v>
      </c>
      <c r="E7051">
        <v>0.49821559999999998</v>
      </c>
      <c r="F7051" t="s">
        <v>81</v>
      </c>
      <c r="G7051">
        <v>-295.1968</v>
      </c>
      <c r="H7051" s="1">
        <v>-1.2367E-5</v>
      </c>
      <c r="I7051">
        <v>-64.711119999999994</v>
      </c>
      <c r="J7051">
        <v>-299.70460000000003</v>
      </c>
      <c r="K7051">
        <v>1.114949</v>
      </c>
      <c r="L7051">
        <v>-54.140439999999998</v>
      </c>
      <c r="M7051">
        <v>0.27416279999999998</v>
      </c>
      <c r="N7051">
        <v>0</v>
      </c>
      <c r="O7051">
        <v>-0.96160849999999998</v>
      </c>
      <c r="P7051">
        <v>0.38154280000000002</v>
      </c>
      <c r="Q7051">
        <v>6.6031409999999999E-2</v>
      </c>
      <c r="R7051">
        <v>-0.92198970000000002</v>
      </c>
      <c r="S7051">
        <v>1.1819459999999999</v>
      </c>
      <c r="T7051">
        <v>-0.28799049999999998</v>
      </c>
      <c r="U7051">
        <v>-2.785431</v>
      </c>
      <c r="V7051">
        <v>-0.11500299999999999</v>
      </c>
      <c r="W7051">
        <v>7.6629139999999998E-2</v>
      </c>
      <c r="X7051">
        <v>0.99040510000000004</v>
      </c>
      <c r="Y7051">
        <v>-0.12150519999999999</v>
      </c>
      <c r="Z7051">
        <v>9.2721719999999994E-2</v>
      </c>
      <c r="AA7051">
        <v>0.98825059999999998</v>
      </c>
      <c r="AB7051">
        <v>22</v>
      </c>
      <c r="AC7051">
        <v>4.5078000000000298</v>
      </c>
      <c r="AD7051">
        <v>-1.114961367</v>
      </c>
      <c r="AE7051">
        <v>-10.5706799999999</v>
      </c>
      <c r="AF7051">
        <v>-1.4233561885081401</v>
      </c>
      <c r="AG7051">
        <v>-1.114961367</v>
      </c>
      <c r="AH7051">
        <v>11.2952196621362</v>
      </c>
      <c r="AI7051">
        <v>95.593503128021297</v>
      </c>
      <c r="AJ7051">
        <v>97.182215185463605</v>
      </c>
      <c r="AK7051">
        <v>11.4390152069649</v>
      </c>
      <c r="AL7051">
        <v>85.605165366027293</v>
      </c>
      <c r="AM7051">
        <v>96.6233598872725</v>
      </c>
      <c r="AN7051">
        <v>0.99999998860607398</v>
      </c>
    </row>
    <row r="7052" spans="1:40" x14ac:dyDescent="0.25">
      <c r="A7052" t="str">
        <f>"20190312160510784"</f>
        <v>20190312160510784</v>
      </c>
      <c r="B7052" t="str">
        <f>"1552377910772193"</f>
        <v>1552377910772193</v>
      </c>
      <c r="C7052" t="s">
        <v>40</v>
      </c>
      <c r="D7052">
        <v>5.945354</v>
      </c>
      <c r="E7052">
        <v>0.5055634</v>
      </c>
      <c r="F7052" t="s">
        <v>81</v>
      </c>
      <c r="G7052">
        <v>-294.93299999999999</v>
      </c>
      <c r="H7052" s="1">
        <v>-1.248113E-5</v>
      </c>
      <c r="I7052">
        <v>-65.636469999999903</v>
      </c>
      <c r="J7052">
        <v>-299.63580000000002</v>
      </c>
      <c r="K7052">
        <v>1.115032</v>
      </c>
      <c r="L7052">
        <v>-54.350099999999998</v>
      </c>
      <c r="M7052">
        <v>0.28154950000000001</v>
      </c>
      <c r="N7052">
        <v>0</v>
      </c>
      <c r="O7052">
        <v>-0.95947119999999997</v>
      </c>
      <c r="P7052">
        <v>0.38863019999999998</v>
      </c>
      <c r="Q7052">
        <v>6.5550070000000002E-2</v>
      </c>
      <c r="R7052">
        <v>-0.91905950000000003</v>
      </c>
      <c r="S7052">
        <v>1.159454</v>
      </c>
      <c r="T7052">
        <v>-0.270928</v>
      </c>
      <c r="U7052">
        <v>-2.7934570000000001</v>
      </c>
      <c r="V7052">
        <v>-0.1150119</v>
      </c>
      <c r="W7052">
        <v>7.6155120000000007E-2</v>
      </c>
      <c r="X7052">
        <v>0.9904406</v>
      </c>
      <c r="Y7052">
        <v>-0.1062719</v>
      </c>
      <c r="Z7052">
        <v>8.6965169999999994E-2</v>
      </c>
      <c r="AA7052">
        <v>0.99052680000000004</v>
      </c>
      <c r="AB7052">
        <v>22</v>
      </c>
      <c r="AC7052">
        <v>4.7028000000000203</v>
      </c>
      <c r="AD7052">
        <v>-1.11504448113</v>
      </c>
      <c r="AE7052">
        <v>-11.2863699999999</v>
      </c>
      <c r="AF7052">
        <v>-1.3236179760905</v>
      </c>
      <c r="AG7052">
        <v>-1.11504448113</v>
      </c>
      <c r="AH7052">
        <v>12.0536526851859</v>
      </c>
      <c r="AI7052">
        <v>95.253802846936495</v>
      </c>
      <c r="AJ7052">
        <v>96.266572158284006</v>
      </c>
      <c r="AK7052">
        <v>12.177267008512899</v>
      </c>
      <c r="AL7052">
        <v>85.632404186488202</v>
      </c>
      <c r="AM7052">
        <v>96.623632602366001</v>
      </c>
      <c r="AN7052">
        <v>0.99999996078609099</v>
      </c>
    </row>
    <row r="7053" spans="1:40" x14ac:dyDescent="0.25">
      <c r="A7053" t="str">
        <f>"20190312160510808"</f>
        <v>20190312160510808</v>
      </c>
      <c r="B7053" t="str">
        <f>"1552377910802449"</f>
        <v>1552377910802449</v>
      </c>
      <c r="C7053" t="s">
        <v>40</v>
      </c>
      <c r="D7053">
        <v>5.9049569999999996</v>
      </c>
      <c r="E7053">
        <v>0.51273729999999995</v>
      </c>
      <c r="F7053" t="s">
        <v>81</v>
      </c>
      <c r="G7053">
        <v>-294.65550000000002</v>
      </c>
      <c r="H7053" s="1">
        <v>-1.259587E-5</v>
      </c>
      <c r="I7053">
        <v>-66.754649999999998</v>
      </c>
      <c r="J7053">
        <v>-299.56450000000001</v>
      </c>
      <c r="K7053">
        <v>1.1151219999999999</v>
      </c>
      <c r="L7053">
        <v>-54.561579999999999</v>
      </c>
      <c r="M7053">
        <v>0.28915010000000002</v>
      </c>
      <c r="N7053">
        <v>0</v>
      </c>
      <c r="O7053">
        <v>-0.9572079</v>
      </c>
      <c r="P7053">
        <v>0.39639160000000001</v>
      </c>
      <c r="Q7053">
        <v>6.4902959999999996E-2</v>
      </c>
      <c r="R7053">
        <v>-0.91578470000000001</v>
      </c>
      <c r="S7053">
        <v>1.1265259999999999</v>
      </c>
      <c r="T7053">
        <v>-0.25221759999999999</v>
      </c>
      <c r="U7053">
        <v>-2.805847</v>
      </c>
      <c r="V7053">
        <v>-0.11553239999999899</v>
      </c>
      <c r="W7053">
        <v>7.5507060000000001E-2</v>
      </c>
      <c r="X7053">
        <v>0.99042969999999997</v>
      </c>
      <c r="Y7053">
        <v>-8.7050399999999903E-2</v>
      </c>
      <c r="Z7053">
        <v>8.0639269999999999E-2</v>
      </c>
      <c r="AA7053">
        <v>0.99293480000000001</v>
      </c>
      <c r="AB7053">
        <v>22</v>
      </c>
      <c r="AC7053">
        <v>4.90899999999999</v>
      </c>
      <c r="AD7053">
        <v>-1.1151345958700001</v>
      </c>
      <c r="AE7053">
        <v>-12.193069999999899</v>
      </c>
      <c r="AF7053">
        <v>-1.1650061383773</v>
      </c>
      <c r="AG7053">
        <v>-1.1151345958700001</v>
      </c>
      <c r="AH7053">
        <v>12.9981361440618</v>
      </c>
      <c r="AI7053">
        <v>94.884023170998802</v>
      </c>
      <c r="AJ7053">
        <v>95.121661278818607</v>
      </c>
      <c r="AK7053">
        <v>13.0977978182949</v>
      </c>
      <c r="AL7053">
        <v>85.6696427743166</v>
      </c>
      <c r="AM7053">
        <v>96.653413051702401</v>
      </c>
      <c r="AN7053">
        <v>1.00000002110084</v>
      </c>
    </row>
    <row r="7054" spans="1:40" x14ac:dyDescent="0.25">
      <c r="A7054" t="str">
        <f>"20190312160510829"</f>
        <v>20190312160510829</v>
      </c>
      <c r="B7054" t="str">
        <f>"1552377910821969"</f>
        <v>1552377910821969</v>
      </c>
      <c r="C7054" t="s">
        <v>40</v>
      </c>
      <c r="D7054">
        <v>5.9247730000000001</v>
      </c>
      <c r="E7054">
        <v>0.51468369999999997</v>
      </c>
      <c r="F7054" t="s">
        <v>81</v>
      </c>
      <c r="G7054">
        <v>-294.92680000000001</v>
      </c>
      <c r="H7054" s="1">
        <v>-1.2635030000000001E-5</v>
      </c>
      <c r="I7054">
        <v>-66.469530000000006</v>
      </c>
      <c r="J7054">
        <v>-299.49099999999999</v>
      </c>
      <c r="K7054">
        <v>1.1152139999999999</v>
      </c>
      <c r="L7054">
        <v>-54.772709999999996</v>
      </c>
      <c r="M7054">
        <v>0.29689870000000002</v>
      </c>
      <c r="N7054">
        <v>0</v>
      </c>
      <c r="O7054">
        <v>-0.95483269999999998</v>
      </c>
      <c r="P7054">
        <v>0.40413690000000002</v>
      </c>
      <c r="Q7054">
        <v>6.4799629999999997E-2</v>
      </c>
      <c r="R7054">
        <v>-0.91240080000000001</v>
      </c>
      <c r="S7054">
        <v>1.0980219999999901</v>
      </c>
      <c r="T7054">
        <v>-0.26402039999999999</v>
      </c>
      <c r="U7054">
        <v>-2.8193359999999998</v>
      </c>
      <c r="V7054">
        <v>-0.1159111</v>
      </c>
      <c r="W7054">
        <v>7.5402449999999996E-2</v>
      </c>
      <c r="X7054">
        <v>0.99039339999999998</v>
      </c>
      <c r="Y7054">
        <v>-6.8526420000000005E-2</v>
      </c>
      <c r="Z7054">
        <v>8.3912210000000001E-2</v>
      </c>
      <c r="AA7054">
        <v>0.9941141</v>
      </c>
      <c r="AB7054">
        <v>22</v>
      </c>
      <c r="AC7054">
        <v>4.5641999999999703</v>
      </c>
      <c r="AD7054">
        <v>-1.11522663503</v>
      </c>
      <c r="AE7054">
        <v>-11.696820000000001</v>
      </c>
      <c r="AF7054">
        <v>-0.87841118666648899</v>
      </c>
      <c r="AG7054">
        <v>-1.11522663503</v>
      </c>
      <c r="AH7054">
        <v>12.4264871366106</v>
      </c>
      <c r="AI7054">
        <v>95.115626835909296</v>
      </c>
      <c r="AJ7054">
        <v>94.043433498416107</v>
      </c>
      <c r="AK7054">
        <v>12.5073146285159</v>
      </c>
      <c r="AL7054">
        <v>85.675653528383606</v>
      </c>
      <c r="AM7054">
        <v>96.675268026099403</v>
      </c>
      <c r="AN7054">
        <v>0.99999999966638597</v>
      </c>
    </row>
    <row r="7055" spans="1:40" x14ac:dyDescent="0.25">
      <c r="A7055" t="str">
        <f>"20190312160510852"</f>
        <v>20190312160510852</v>
      </c>
      <c r="B7055" t="str">
        <f>"1552377910842465"</f>
        <v>1552377910842465</v>
      </c>
      <c r="C7055" t="s">
        <v>40</v>
      </c>
      <c r="D7055">
        <v>5.9400279999999999</v>
      </c>
      <c r="E7055">
        <v>0.51766749999999995</v>
      </c>
      <c r="F7055" t="s">
        <v>81</v>
      </c>
      <c r="G7055">
        <v>-294.73790000000002</v>
      </c>
      <c r="H7055" s="1">
        <v>-1.264386E-5</v>
      </c>
      <c r="I7055">
        <v>-66.860720000000001</v>
      </c>
      <c r="J7055">
        <v>-299.41699999999997</v>
      </c>
      <c r="K7055">
        <v>1.115294</v>
      </c>
      <c r="L7055">
        <v>-54.979860000000002</v>
      </c>
      <c r="M7055">
        <v>0.30461769999999999</v>
      </c>
      <c r="N7055">
        <v>0</v>
      </c>
      <c r="O7055">
        <v>-0.95239790000000002</v>
      </c>
      <c r="P7055">
        <v>0.41209800000000002</v>
      </c>
      <c r="Q7055">
        <v>6.4454070000000002E-2</v>
      </c>
      <c r="R7055">
        <v>-0.90885720000000003</v>
      </c>
      <c r="S7055">
        <v>1.1073</v>
      </c>
      <c r="T7055">
        <v>-0.2598046</v>
      </c>
      <c r="U7055">
        <v>-2.8160400000000001</v>
      </c>
      <c r="V7055">
        <v>-0.11655790000000001</v>
      </c>
      <c r="W7055">
        <v>7.5052499999999994E-2</v>
      </c>
      <c r="X7055">
        <v>0.990344</v>
      </c>
      <c r="Y7055">
        <v>-6.373115E-2</v>
      </c>
      <c r="Z7055">
        <v>8.2325549999999997E-2</v>
      </c>
      <c r="AA7055">
        <v>0.9945657</v>
      </c>
      <c r="AB7055">
        <v>22</v>
      </c>
      <c r="AC7055">
        <v>4.6791</v>
      </c>
      <c r="AD7055">
        <v>-1.1153066438599999</v>
      </c>
      <c r="AE7055">
        <v>-11.88086</v>
      </c>
      <c r="AF7055">
        <v>-0.83096652437362095</v>
      </c>
      <c r="AG7055">
        <v>-1.1153066438599999</v>
      </c>
      <c r="AH7055">
        <v>12.6451046127989</v>
      </c>
      <c r="AI7055">
        <v>95.029689760588596</v>
      </c>
      <c r="AJ7055">
        <v>93.759756766362997</v>
      </c>
      <c r="AK7055">
        <v>12.721363328790501</v>
      </c>
      <c r="AL7055">
        <v>85.695760863439403</v>
      </c>
      <c r="AM7055">
        <v>96.712509766099799</v>
      </c>
      <c r="AN7055">
        <v>0.99999993007232701</v>
      </c>
    </row>
    <row r="7056" spans="1:40" x14ac:dyDescent="0.25">
      <c r="A7056" t="str">
        <f>"20190312160510874"</f>
        <v>20190312160510874</v>
      </c>
      <c r="B7056" t="str">
        <f>"1552377910861985"</f>
        <v>1552377910861985</v>
      </c>
      <c r="C7056" t="s">
        <v>40</v>
      </c>
      <c r="D7056">
        <v>6.3362230000000004</v>
      </c>
      <c r="E7056">
        <v>0.51711339999999995</v>
      </c>
      <c r="F7056" t="s">
        <v>81</v>
      </c>
      <c r="G7056">
        <v>-294.76330000000002</v>
      </c>
      <c r="H7056" s="1">
        <v>-1.2638860000000001E-5</v>
      </c>
      <c r="I7056">
        <v>-66.787629999999993</v>
      </c>
      <c r="J7056">
        <v>-299.34199999999998</v>
      </c>
      <c r="K7056">
        <v>1.115362</v>
      </c>
      <c r="L7056">
        <v>-55.183839999999996</v>
      </c>
      <c r="M7056">
        <v>0.3123339</v>
      </c>
      <c r="N7056">
        <v>0</v>
      </c>
      <c r="O7056">
        <v>-0.94989500000000004</v>
      </c>
      <c r="P7056">
        <v>0.4205624</v>
      </c>
      <c r="Q7056">
        <v>6.3718880000000006E-2</v>
      </c>
      <c r="R7056">
        <v>-0.90502369999999999</v>
      </c>
      <c r="S7056">
        <v>1.109985</v>
      </c>
      <c r="T7056">
        <v>-0.2660245</v>
      </c>
      <c r="U7056">
        <v>-2.8164060000000002</v>
      </c>
      <c r="V7056">
        <v>-0.1177559</v>
      </c>
      <c r="W7056">
        <v>7.4305960000000004E-2</v>
      </c>
      <c r="X7056">
        <v>0.99025859999999999</v>
      </c>
      <c r="Y7056">
        <v>-5.6355219999999998E-2</v>
      </c>
      <c r="Z7056">
        <v>8.3947579999999994E-2</v>
      </c>
      <c r="AA7056">
        <v>0.99487530000000002</v>
      </c>
      <c r="AB7056">
        <v>22</v>
      </c>
      <c r="AC7056">
        <v>4.5786999999999596</v>
      </c>
      <c r="AD7056">
        <v>-1.1153746388600001</v>
      </c>
      <c r="AE7056">
        <v>-11.60379</v>
      </c>
      <c r="AF7056">
        <v>-0.71932979459391699</v>
      </c>
      <c r="AG7056">
        <v>-1.1153746388600001</v>
      </c>
      <c r="AH7056">
        <v>12.3546105548631</v>
      </c>
      <c r="AI7056">
        <v>95.150005087100396</v>
      </c>
      <c r="AJ7056">
        <v>93.332204067011702</v>
      </c>
      <c r="AK7056">
        <v>12.4256950671074</v>
      </c>
      <c r="AL7056">
        <v>85.738654367034798</v>
      </c>
      <c r="AM7056">
        <v>96.7814421121073</v>
      </c>
      <c r="AN7056">
        <v>0.99999996127514501</v>
      </c>
    </row>
    <row r="7057" spans="1:40" x14ac:dyDescent="0.25">
      <c r="A7057" t="str">
        <f>"20190312160510897"</f>
        <v>20190312160510897</v>
      </c>
      <c r="B7057" t="str">
        <f>"1552377910892241"</f>
        <v>1552377910892241</v>
      </c>
      <c r="C7057" t="s">
        <v>40</v>
      </c>
      <c r="D7057">
        <v>5.4335490000000002</v>
      </c>
      <c r="E7057">
        <v>0.39488899999999999</v>
      </c>
      <c r="F7057" t="s">
        <v>81</v>
      </c>
      <c r="G7057">
        <v>-294.5301</v>
      </c>
      <c r="H7057" s="1">
        <v>-1.26017E-5</v>
      </c>
      <c r="I7057">
        <v>-67.014160000000004</v>
      </c>
      <c r="J7057">
        <v>-299.26229999999998</v>
      </c>
      <c r="K7057">
        <v>1.115435</v>
      </c>
      <c r="L7057">
        <v>-55.394869999999997</v>
      </c>
      <c r="M7057">
        <v>0.32044450000000002</v>
      </c>
      <c r="N7057">
        <v>0</v>
      </c>
      <c r="O7057">
        <v>-0.94718930000000001</v>
      </c>
      <c r="P7057">
        <v>0.42985899999999999</v>
      </c>
      <c r="Q7057">
        <v>6.3752299999999998E-2</v>
      </c>
      <c r="R7057">
        <v>-0.90064290000000002</v>
      </c>
      <c r="S7057">
        <v>1.14032</v>
      </c>
      <c r="T7057">
        <v>-0.26431939999999998</v>
      </c>
      <c r="U7057">
        <v>-2.803528</v>
      </c>
      <c r="V7057">
        <v>-0.1195008</v>
      </c>
      <c r="W7057">
        <v>7.4319750000000004E-2</v>
      </c>
      <c r="X7057">
        <v>0.9900485</v>
      </c>
      <c r="Y7057">
        <v>-5.8667549999999999E-2</v>
      </c>
      <c r="Z7057">
        <v>8.3249690000000001E-2</v>
      </c>
      <c r="AA7057">
        <v>0.99480029999999997</v>
      </c>
      <c r="AB7057">
        <v>22</v>
      </c>
      <c r="AC7057">
        <v>4.7321999999999704</v>
      </c>
      <c r="AD7057">
        <v>-1.1154476016999999</v>
      </c>
      <c r="AE7057">
        <v>-11.619289999999999</v>
      </c>
      <c r="AF7057">
        <v>-0.75305498039653496</v>
      </c>
      <c r="AG7057">
        <v>-1.1154476016999999</v>
      </c>
      <c r="AH7057">
        <v>12.424784762326199</v>
      </c>
      <c r="AI7057">
        <v>95.120687132022397</v>
      </c>
      <c r="AJ7057">
        <v>93.468402574238198</v>
      </c>
      <c r="AK7057">
        <v>12.4974634044582</v>
      </c>
      <c r="AL7057">
        <v>85.737862016755997</v>
      </c>
      <c r="AM7057">
        <v>96.882418839360795</v>
      </c>
      <c r="AN7057">
        <v>0.99999994939647496</v>
      </c>
    </row>
    <row r="7058" spans="1:40" x14ac:dyDescent="0.25">
      <c r="A7058" t="str">
        <f>"20190312160510919"</f>
        <v>20190312160510919</v>
      </c>
      <c r="B7058" t="str">
        <f>"1552377910912738"</f>
        <v>1552377910912738</v>
      </c>
      <c r="C7058" t="s">
        <v>40</v>
      </c>
      <c r="D7058">
        <v>5.7657049999999996</v>
      </c>
      <c r="E7058">
        <v>0.38912619999999998</v>
      </c>
      <c r="F7058" t="s">
        <v>43</v>
      </c>
      <c r="G7058">
        <v>-277.36329999999998</v>
      </c>
      <c r="H7058">
        <v>-0.05</v>
      </c>
      <c r="I7058">
        <v>-80.634349999999998</v>
      </c>
      <c r="J7058">
        <v>-299.18180000000001</v>
      </c>
      <c r="K7058">
        <v>1.115515</v>
      </c>
      <c r="L7058">
        <v>-55.602539999999998</v>
      </c>
      <c r="M7058">
        <v>0.32855810000000002</v>
      </c>
      <c r="N7058">
        <v>0</v>
      </c>
      <c r="O7058">
        <v>-0.9444051</v>
      </c>
      <c r="P7058">
        <v>0.43928640000000002</v>
      </c>
      <c r="Q7058">
        <v>6.3749210000000001E-2</v>
      </c>
      <c r="R7058">
        <v>-0.89608239999999995</v>
      </c>
      <c r="S7058">
        <v>2.048492</v>
      </c>
      <c r="T7058">
        <v>-0.10901760000000001</v>
      </c>
      <c r="U7058">
        <v>-2.3609619999999998</v>
      </c>
      <c r="V7058">
        <v>-0.1214113</v>
      </c>
      <c r="W7058">
        <v>7.4294070000000004E-2</v>
      </c>
      <c r="X7058">
        <v>0.98981799999999998</v>
      </c>
      <c r="Y7058">
        <v>-0.37036089999999999</v>
      </c>
      <c r="Z7058">
        <v>3.5121510000000002E-2</v>
      </c>
      <c r="AA7058">
        <v>0.92822369999999998</v>
      </c>
      <c r="AB7058">
        <v>22</v>
      </c>
      <c r="AC7058">
        <v>21.8185</v>
      </c>
      <c r="AD7058">
        <v>-1.1655149999999901</v>
      </c>
      <c r="AE7058">
        <v>-25.03181</v>
      </c>
      <c r="AF7058">
        <v>-12.3667830557284</v>
      </c>
      <c r="AG7058">
        <v>-1.1655149999999901</v>
      </c>
      <c r="AH7058">
        <v>30.7731911403359</v>
      </c>
      <c r="AI7058">
        <v>92.012704200357504</v>
      </c>
      <c r="AJ7058">
        <v>111.89365168752801</v>
      </c>
      <c r="AK7058">
        <v>33.185614975804299</v>
      </c>
      <c r="AL7058">
        <v>85.739337636950196</v>
      </c>
      <c r="AM7058">
        <v>96.992981857938204</v>
      </c>
      <c r="AN7058">
        <v>0.99999999286442698</v>
      </c>
    </row>
    <row r="7059" spans="1:40" x14ac:dyDescent="0.25">
      <c r="A7059" t="str">
        <f>"20190312160510941"</f>
        <v>20190312160510941</v>
      </c>
      <c r="B7059" t="str">
        <f>"1552377910932258"</f>
        <v>1552377910932258</v>
      </c>
      <c r="C7059" t="s">
        <v>40</v>
      </c>
      <c r="D7059">
        <v>5.6964610000000002</v>
      </c>
      <c r="E7059">
        <v>0.38634370000000001</v>
      </c>
      <c r="F7059" t="s">
        <v>81</v>
      </c>
      <c r="G7059">
        <v>-285.67809999999997</v>
      </c>
      <c r="H7059">
        <v>7.9986559999999998E-2</v>
      </c>
      <c r="I7059">
        <v>-70.436419999999998</v>
      </c>
      <c r="J7059">
        <v>-299.10210000000001</v>
      </c>
      <c r="K7059">
        <v>1.1155889999999999</v>
      </c>
      <c r="L7059">
        <v>-55.802549999999997</v>
      </c>
      <c r="M7059">
        <v>0.3364973</v>
      </c>
      <c r="N7059">
        <v>0</v>
      </c>
      <c r="O7059">
        <v>-0.94160529999999998</v>
      </c>
      <c r="P7059">
        <v>0.44781349999999998</v>
      </c>
      <c r="Q7059">
        <v>6.3972189999999998E-2</v>
      </c>
      <c r="R7059">
        <v>-0.89183579999999996</v>
      </c>
      <c r="S7059">
        <v>2.1145320000000001</v>
      </c>
      <c r="T7059">
        <v>-0.16215179999999901</v>
      </c>
      <c r="U7059">
        <v>-2.3228149999999999</v>
      </c>
      <c r="V7059">
        <v>-0.1225421</v>
      </c>
      <c r="W7059">
        <v>7.450329E-2</v>
      </c>
      <c r="X7059">
        <v>0.98966290000000001</v>
      </c>
      <c r="Y7059">
        <v>-0.3841096</v>
      </c>
      <c r="Z7059">
        <v>5.201832E-2</v>
      </c>
      <c r="AA7059">
        <v>0.921821</v>
      </c>
      <c r="AB7059">
        <v>22</v>
      </c>
      <c r="AC7059">
        <v>13.423999999999999</v>
      </c>
      <c r="AD7059">
        <v>-1.0356024399999999</v>
      </c>
      <c r="AE7059">
        <v>-14.63387</v>
      </c>
      <c r="AF7059">
        <v>-7.6954983666747303</v>
      </c>
      <c r="AG7059">
        <v>-1.0356024399999999</v>
      </c>
      <c r="AH7059">
        <v>18.2482055447359</v>
      </c>
      <c r="AI7059">
        <v>92.993344684491007</v>
      </c>
      <c r="AJ7059">
        <v>112.86576617563099</v>
      </c>
      <c r="AK7059">
        <v>19.831544900187598</v>
      </c>
      <c r="AL7059">
        <v>85.727316848803497</v>
      </c>
      <c r="AM7059">
        <v>97.058554133558999</v>
      </c>
      <c r="AN7059">
        <v>0.99999998106482102</v>
      </c>
    </row>
    <row r="7060" spans="1:40" x14ac:dyDescent="0.25">
      <c r="A7060" t="str">
        <f>"20190312160510963"</f>
        <v>20190312160510963</v>
      </c>
      <c r="B7060" t="str">
        <f>"1552377910951777"</f>
        <v>1552377910951777</v>
      </c>
      <c r="C7060" t="s">
        <v>40</v>
      </c>
      <c r="D7060">
        <v>5.6075390000000001</v>
      </c>
      <c r="E7060">
        <v>0.38448719999999997</v>
      </c>
      <c r="F7060" t="s">
        <v>81</v>
      </c>
      <c r="G7060">
        <v>-285.3947</v>
      </c>
      <c r="H7060">
        <v>4.7277109999999999E-3</v>
      </c>
      <c r="I7060">
        <v>-70.383740000000003</v>
      </c>
      <c r="J7060">
        <v>-299.0181</v>
      </c>
      <c r="K7060">
        <v>1.1156729999999999</v>
      </c>
      <c r="L7060">
        <v>-56.008240000000001</v>
      </c>
      <c r="M7060">
        <v>0.3447867</v>
      </c>
      <c r="N7060">
        <v>0</v>
      </c>
      <c r="O7060">
        <v>-0.93860109999999997</v>
      </c>
      <c r="P7060">
        <v>0.45616400000000001</v>
      </c>
      <c r="Q7060">
        <v>6.4096379999999994E-2</v>
      </c>
      <c r="R7060">
        <v>-0.887584499999999</v>
      </c>
      <c r="S7060">
        <v>2.1562190000000001</v>
      </c>
      <c r="T7060">
        <v>-0.17474210000000001</v>
      </c>
      <c r="U7060">
        <v>-2.2936709999999998</v>
      </c>
      <c r="V7060">
        <v>-0.12312480000000001</v>
      </c>
      <c r="W7060">
        <v>7.4619309999999994E-2</v>
      </c>
      <c r="X7060">
        <v>0.98958190000000001</v>
      </c>
      <c r="Y7060">
        <v>-0.39058140000000002</v>
      </c>
      <c r="Z7060">
        <v>5.5919219999999999E-2</v>
      </c>
      <c r="AA7060">
        <v>0.91886840000000003</v>
      </c>
      <c r="AB7060">
        <v>22</v>
      </c>
      <c r="AC7060">
        <v>13.6234</v>
      </c>
      <c r="AD7060">
        <v>-1.110945289</v>
      </c>
      <c r="AE7060">
        <v>-14.375500000000001</v>
      </c>
      <c r="AF7060">
        <v>-7.8064821209238699</v>
      </c>
      <c r="AG7060">
        <v>-1.110945289</v>
      </c>
      <c r="AH7060">
        <v>18.1343339324604</v>
      </c>
      <c r="AI7060">
        <v>93.220618668446804</v>
      </c>
      <c r="AJ7060">
        <v>113.290948592338</v>
      </c>
      <c r="AK7060">
        <v>19.774464081573399</v>
      </c>
      <c r="AL7060">
        <v>85.720651121025796</v>
      </c>
      <c r="AM7060">
        <v>97.092351875875494</v>
      </c>
      <c r="AN7060">
        <v>1.00000004730376</v>
      </c>
    </row>
    <row r="7061" spans="1:40" x14ac:dyDescent="0.25">
      <c r="A7061" t="str">
        <f>"20190312160510986"</f>
        <v>20190312160510986</v>
      </c>
      <c r="B7061" t="str">
        <f>"1552377910982034"</f>
        <v>1552377910982034</v>
      </c>
      <c r="C7061" t="s">
        <v>40</v>
      </c>
      <c r="D7061">
        <v>5.5809470000000001</v>
      </c>
      <c r="E7061">
        <v>0.38407540000000001</v>
      </c>
      <c r="F7061" t="s">
        <v>81</v>
      </c>
      <c r="G7061">
        <v>-285.11989999999997</v>
      </c>
      <c r="H7061">
        <v>2.5189119999999999E-2</v>
      </c>
      <c r="I7061">
        <v>-70.383750000000006</v>
      </c>
      <c r="J7061">
        <v>-298.93110000000001</v>
      </c>
      <c r="K7061">
        <v>1.1157539999999999</v>
      </c>
      <c r="L7061">
        <v>-56.215580000000003</v>
      </c>
      <c r="M7061">
        <v>0.35326960000000002</v>
      </c>
      <c r="N7061">
        <v>0</v>
      </c>
      <c r="O7061">
        <v>-0.93544099999999997</v>
      </c>
      <c r="P7061">
        <v>0.46442410000000001</v>
      </c>
      <c r="Q7061">
        <v>6.4511849999999996E-2</v>
      </c>
      <c r="R7061">
        <v>-0.88326019999999905</v>
      </c>
      <c r="S7061">
        <v>2.1910400000000001</v>
      </c>
      <c r="T7061">
        <v>-0.1719145</v>
      </c>
      <c r="U7061">
        <v>-2.2662960000000001</v>
      </c>
      <c r="V7061">
        <v>-0.1234291</v>
      </c>
      <c r="W7061">
        <v>7.5029680000000001E-2</v>
      </c>
      <c r="X7061">
        <v>0.98951290000000003</v>
      </c>
      <c r="Y7061">
        <v>-0.395146</v>
      </c>
      <c r="Z7061">
        <v>5.4915449999999998E-2</v>
      </c>
      <c r="AA7061">
        <v>0.9169754</v>
      </c>
      <c r="AB7061">
        <v>22</v>
      </c>
      <c r="AC7061">
        <v>13.811199999999999</v>
      </c>
      <c r="AD7061">
        <v>-1.0905648800000001</v>
      </c>
      <c r="AE7061">
        <v>-14.16817</v>
      </c>
      <c r="AF7061">
        <v>-7.8910027122613897</v>
      </c>
      <c r="AG7061">
        <v>-1.0905648800000001</v>
      </c>
      <c r="AH7061">
        <v>18.079007026518799</v>
      </c>
      <c r="AI7061">
        <v>93.164399887395703</v>
      </c>
      <c r="AJ7061">
        <v>113.57998116136</v>
      </c>
      <c r="AK7061">
        <v>19.7562079009946</v>
      </c>
      <c r="AL7061">
        <v>85.697072297487793</v>
      </c>
      <c r="AM7061">
        <v>97.110191985511193</v>
      </c>
      <c r="AN7061">
        <v>0.99999998743706098</v>
      </c>
    </row>
    <row r="7062" spans="1:40" x14ac:dyDescent="0.25">
      <c r="A7062" t="str">
        <f>"20190312160511009"</f>
        <v>20190312160511009</v>
      </c>
      <c r="B7062" t="str">
        <f>"1552377911002529"</f>
        <v>1552377911002529</v>
      </c>
      <c r="C7062" t="s">
        <v>40</v>
      </c>
      <c r="D7062">
        <v>5.5333699999999997</v>
      </c>
      <c r="E7062">
        <v>0.38417000000000001</v>
      </c>
      <c r="F7062" t="s">
        <v>81</v>
      </c>
      <c r="G7062">
        <v>-284.94290000000001</v>
      </c>
      <c r="H7062">
        <v>5.2837969999999998E-2</v>
      </c>
      <c r="I7062">
        <v>-70.386600000000001</v>
      </c>
      <c r="J7062">
        <v>-298.8442</v>
      </c>
      <c r="K7062">
        <v>1.115834</v>
      </c>
      <c r="L7062">
        <v>-56.41666</v>
      </c>
      <c r="M7062">
        <v>0.36161769999999999</v>
      </c>
      <c r="N7062">
        <v>0</v>
      </c>
      <c r="O7062">
        <v>-0.9322454</v>
      </c>
      <c r="P7062">
        <v>0.4735335</v>
      </c>
      <c r="Q7062">
        <v>6.5129729999999997E-2</v>
      </c>
      <c r="R7062">
        <v>-0.878364699999999</v>
      </c>
      <c r="S7062">
        <v>2.2151179999999999</v>
      </c>
      <c r="T7062">
        <v>-0.1683201</v>
      </c>
      <c r="U7062">
        <v>-2.2440799999999999</v>
      </c>
      <c r="V7062">
        <v>-0.1248567</v>
      </c>
      <c r="W7062">
        <v>7.5625460000000005E-2</v>
      </c>
      <c r="X7062">
        <v>0.98928839999999996</v>
      </c>
      <c r="Y7062">
        <v>-0.39650930000000001</v>
      </c>
      <c r="Z7062">
        <v>5.36909E-2</v>
      </c>
      <c r="AA7062">
        <v>0.91645929999999998</v>
      </c>
      <c r="AB7062">
        <v>22</v>
      </c>
      <c r="AC7062">
        <v>13.9012999999999</v>
      </c>
      <c r="AD7062">
        <v>-1.0629960300000001</v>
      </c>
      <c r="AE7062">
        <v>-13.969939999999999</v>
      </c>
      <c r="AF7062">
        <v>-7.8853029476175802</v>
      </c>
      <c r="AG7062">
        <v>-1.0629960300000001</v>
      </c>
      <c r="AH7062">
        <v>17.9993684730422</v>
      </c>
      <c r="AI7062">
        <v>93.096351248525295</v>
      </c>
      <c r="AJ7062">
        <v>113.657637344807</v>
      </c>
      <c r="AK7062">
        <v>19.679563729001998</v>
      </c>
      <c r="AL7062">
        <v>85.662839289000303</v>
      </c>
      <c r="AM7062">
        <v>97.1931882805101</v>
      </c>
      <c r="AN7062">
        <v>0.99999997205483004</v>
      </c>
    </row>
    <row r="7063" spans="1:40" x14ac:dyDescent="0.25">
      <c r="A7063" t="str">
        <f>"20190312160511030"</f>
        <v>20190312160511030</v>
      </c>
      <c r="B7063" t="str">
        <f>"1552377911022049"</f>
        <v>1552377911022049</v>
      </c>
      <c r="C7063" t="s">
        <v>40</v>
      </c>
      <c r="D7063">
        <v>5.1743290000000002</v>
      </c>
      <c r="E7063">
        <v>0.38405879999999998</v>
      </c>
      <c r="F7063" t="s">
        <v>81</v>
      </c>
      <c r="G7063">
        <v>-284.76209999999998</v>
      </c>
      <c r="H7063">
        <v>6.938677E-2</v>
      </c>
      <c r="I7063">
        <v>-70.403149999999997</v>
      </c>
      <c r="J7063">
        <v>-298.75470000000001</v>
      </c>
      <c r="K7063">
        <v>1.115899</v>
      </c>
      <c r="L7063">
        <v>-56.61871</v>
      </c>
      <c r="M7063">
        <v>0.3701198</v>
      </c>
      <c r="N7063">
        <v>0</v>
      </c>
      <c r="O7063">
        <v>-0.92890229999999996</v>
      </c>
      <c r="P7063">
        <v>0.48218440000000001</v>
      </c>
      <c r="Q7063">
        <v>6.4848390000000006E-2</v>
      </c>
      <c r="R7063">
        <v>-0.87366650000000001</v>
      </c>
      <c r="S7063">
        <v>2.2370000000000001</v>
      </c>
      <c r="T7063">
        <v>-0.16623160000000001</v>
      </c>
      <c r="U7063">
        <v>-2.2218019999999998</v>
      </c>
      <c r="V7063">
        <v>-0.12558920000000001</v>
      </c>
      <c r="W7063">
        <v>7.5334940000000003E-2</v>
      </c>
      <c r="X7063">
        <v>0.98921789999999998</v>
      </c>
      <c r="Y7063">
        <v>-0.39722770000000002</v>
      </c>
      <c r="Z7063">
        <v>5.2956669999999997E-2</v>
      </c>
      <c r="AA7063">
        <v>0.91619090000000003</v>
      </c>
      <c r="AB7063">
        <v>22</v>
      </c>
      <c r="AC7063">
        <v>13.992599999999999</v>
      </c>
      <c r="AD7063">
        <v>-1.04651223</v>
      </c>
      <c r="AE7063">
        <v>-13.784439999999901</v>
      </c>
      <c r="AF7063">
        <v>-7.8741113278525496</v>
      </c>
      <c r="AG7063">
        <v>-1.04651223</v>
      </c>
      <c r="AH7063">
        <v>17.933792894636799</v>
      </c>
      <c r="AI7063">
        <v>93.058455036077206</v>
      </c>
      <c r="AJ7063">
        <v>113.704624952711</v>
      </c>
      <c r="AK7063">
        <v>19.614223018990099</v>
      </c>
      <c r="AL7063">
        <v>85.679532717932702</v>
      </c>
      <c r="AM7063">
        <v>97.235453020372603</v>
      </c>
      <c r="AN7063">
        <v>1.0000000270109199</v>
      </c>
    </row>
    <row r="7064" spans="1:40" x14ac:dyDescent="0.25">
      <c r="A7064" t="str">
        <f>"20190312160511053"</f>
        <v>20190312160511053</v>
      </c>
      <c r="B7064" t="str">
        <f>"1552377911042545"</f>
        <v>1552377911042545</v>
      </c>
      <c r="C7064" t="s">
        <v>40</v>
      </c>
      <c r="D7064">
        <v>5.4260510000000002</v>
      </c>
      <c r="E7064">
        <v>0.38398199999999999</v>
      </c>
      <c r="F7064" t="s">
        <v>81</v>
      </c>
      <c r="G7064">
        <v>-284.2448</v>
      </c>
      <c r="H7064">
        <v>7.9986669999999996E-2</v>
      </c>
      <c r="I7064">
        <v>-70.739329999999995</v>
      </c>
      <c r="J7064">
        <v>-298.66219999999998</v>
      </c>
      <c r="K7064">
        <v>1.115942</v>
      </c>
      <c r="L7064">
        <v>-56.82199</v>
      </c>
      <c r="M7064">
        <v>0.37875920000000002</v>
      </c>
      <c r="N7064">
        <v>0</v>
      </c>
      <c r="O7064">
        <v>-0.92541300000000004</v>
      </c>
      <c r="P7064">
        <v>0.49008629999999997</v>
      </c>
      <c r="Q7064">
        <v>6.4530400000000002E-2</v>
      </c>
      <c r="R7064">
        <v>-0.86928189999999905</v>
      </c>
      <c r="S7064">
        <v>2.25943</v>
      </c>
      <c r="T7064">
        <v>-0.16130920000000001</v>
      </c>
      <c r="U7064">
        <v>-2.1988219999999998</v>
      </c>
      <c r="V7064">
        <v>-0.12533649999999999</v>
      </c>
      <c r="W7064">
        <v>7.5025389999999997E-2</v>
      </c>
      <c r="X7064">
        <v>0.98927339999999997</v>
      </c>
      <c r="Y7064">
        <v>-0.39807389999999998</v>
      </c>
      <c r="Z7064">
        <v>5.1316849999999997E-2</v>
      </c>
      <c r="AA7064">
        <v>0.91591690000000003</v>
      </c>
      <c r="AB7064">
        <v>22</v>
      </c>
      <c r="AC7064">
        <v>14.417399999999899</v>
      </c>
      <c r="AD7064">
        <v>-1.03595533</v>
      </c>
      <c r="AE7064">
        <v>-13.917339999999999</v>
      </c>
      <c r="AF7064">
        <v>-8.0498290771669794</v>
      </c>
      <c r="AG7064">
        <v>-1.03595533</v>
      </c>
      <c r="AH7064">
        <v>18.292517449183801</v>
      </c>
      <c r="AI7064">
        <v>92.967306736875997</v>
      </c>
      <c r="AJ7064">
        <v>113.752437158368</v>
      </c>
      <c r="AK7064">
        <v>20.012224919934599</v>
      </c>
      <c r="AL7064">
        <v>85.697318645540506</v>
      </c>
      <c r="AM7064">
        <v>97.220647441205699</v>
      </c>
      <c r="AN7064">
        <v>0.99999995366222905</v>
      </c>
    </row>
    <row r="7065" spans="1:40" x14ac:dyDescent="0.25">
      <c r="A7065" t="str">
        <f>"20190312160511075"</f>
        <v>20190312160511075</v>
      </c>
      <c r="B7065" t="str">
        <f>"1552377911071826"</f>
        <v>1552377911071826</v>
      </c>
      <c r="C7065" t="s">
        <v>40</v>
      </c>
      <c r="D7065">
        <v>5.324916</v>
      </c>
      <c r="E7065">
        <v>0.38384790000000002</v>
      </c>
      <c r="F7065" t="s">
        <v>81</v>
      </c>
      <c r="G7065">
        <v>-283.17</v>
      </c>
      <c r="H7065">
        <v>7.998682E-2</v>
      </c>
      <c r="I7065">
        <v>-71.612519999999904</v>
      </c>
      <c r="J7065">
        <v>-298.56849999999997</v>
      </c>
      <c r="K7065">
        <v>1.1159760000000001</v>
      </c>
      <c r="L7065">
        <v>-57.022889999999997</v>
      </c>
      <c r="M7065">
        <v>0.38736959999999998</v>
      </c>
      <c r="N7065">
        <v>0</v>
      </c>
      <c r="O7065">
        <v>-0.92184169999999999</v>
      </c>
      <c r="P7065">
        <v>0.49825350000000002</v>
      </c>
      <c r="Q7065">
        <v>6.4425209999999997E-2</v>
      </c>
      <c r="R7065">
        <v>-0.86463480000000004</v>
      </c>
      <c r="S7065">
        <v>2.2801819999999999</v>
      </c>
      <c r="T7065">
        <v>-0.15247479999999999</v>
      </c>
      <c r="U7065">
        <v>-2.1769099999999999</v>
      </c>
      <c r="V7065">
        <v>-0.12543609999999999</v>
      </c>
      <c r="W7065">
        <v>7.4924599999999994E-2</v>
      </c>
      <c r="X7065">
        <v>0.9892685</v>
      </c>
      <c r="Y7065">
        <v>-0.3984008</v>
      </c>
      <c r="Z7065">
        <v>4.8433909999999997E-2</v>
      </c>
      <c r="AA7065">
        <v>0.91593179999999996</v>
      </c>
      <c r="AB7065">
        <v>22</v>
      </c>
      <c r="AC7065">
        <v>15.398499999999901</v>
      </c>
      <c r="AD7065">
        <v>-1.0359891800000001</v>
      </c>
      <c r="AE7065">
        <v>-14.5896299999999</v>
      </c>
      <c r="AF7065">
        <v>-8.52372170040063</v>
      </c>
      <c r="AG7065">
        <v>-1.0359891800000001</v>
      </c>
      <c r="AH7065">
        <v>19.3695220018848</v>
      </c>
      <c r="AI7065">
        <v>92.802680574316199</v>
      </c>
      <c r="AJ7065">
        <v>113.752299858661</v>
      </c>
      <c r="AK7065">
        <v>21.1873898295297</v>
      </c>
      <c r="AL7065">
        <v>85.703110150080803</v>
      </c>
      <c r="AM7065">
        <v>97.226360188780404</v>
      </c>
      <c r="AN7065">
        <v>1.0000000379803</v>
      </c>
    </row>
    <row r="7066" spans="1:40" x14ac:dyDescent="0.25">
      <c r="A7066" t="str">
        <f>"20190312160511098"</f>
        <v>20190312160511098</v>
      </c>
      <c r="B7066" t="str">
        <f>"1552377911092321"</f>
        <v>1552377911092321</v>
      </c>
      <c r="C7066" t="s">
        <v>40</v>
      </c>
      <c r="D7066">
        <v>5.3301129999999999</v>
      </c>
      <c r="E7066">
        <v>0.35709039999999997</v>
      </c>
      <c r="F7066" t="s">
        <v>81</v>
      </c>
      <c r="G7066">
        <v>-282.32459999999998</v>
      </c>
      <c r="H7066">
        <v>7.9986959999999996E-2</v>
      </c>
      <c r="I7066">
        <v>-72.229990000000001</v>
      </c>
      <c r="J7066">
        <v>-298.4742</v>
      </c>
      <c r="K7066">
        <v>1.115998</v>
      </c>
      <c r="L7066">
        <v>-57.220120000000001</v>
      </c>
      <c r="M7066">
        <v>0.39588519999999999</v>
      </c>
      <c r="N7066">
        <v>0</v>
      </c>
      <c r="O7066">
        <v>-0.91821680000000006</v>
      </c>
      <c r="P7066">
        <v>0.50650629999999996</v>
      </c>
      <c r="Q7066">
        <v>6.3778799999999997E-2</v>
      </c>
      <c r="R7066">
        <v>-0.85987420000000003</v>
      </c>
      <c r="S7066">
        <v>2.3012999999999999</v>
      </c>
      <c r="T7066">
        <v>-0.1467705</v>
      </c>
      <c r="U7066">
        <v>-2.1544189999999999</v>
      </c>
      <c r="V7066">
        <v>-0.12572559999999999</v>
      </c>
      <c r="W7066">
        <v>7.4280750000000006E-2</v>
      </c>
      <c r="X7066">
        <v>0.9892803</v>
      </c>
      <c r="Y7066">
        <v>-0.39894560000000001</v>
      </c>
      <c r="Z7066">
        <v>4.6546619999999997E-2</v>
      </c>
      <c r="AA7066">
        <v>0.91579250000000001</v>
      </c>
      <c r="AB7066">
        <v>22</v>
      </c>
      <c r="AC7066">
        <v>16.1496</v>
      </c>
      <c r="AD7066">
        <v>-1.03601104</v>
      </c>
      <c r="AE7066">
        <v>-15.009869999999999</v>
      </c>
      <c r="AF7066">
        <v>-8.8677477997705498</v>
      </c>
      <c r="AG7066">
        <v>-1.03601104</v>
      </c>
      <c r="AH7066">
        <v>20.132791102077501</v>
      </c>
      <c r="AI7066">
        <v>92.696241209450903</v>
      </c>
      <c r="AJ7066">
        <v>113.77171164221799</v>
      </c>
      <c r="AK7066">
        <v>22.023613406415201</v>
      </c>
      <c r="AL7066">
        <v>85.740103107507394</v>
      </c>
      <c r="AM7066">
        <v>97.242775869265699</v>
      </c>
      <c r="AN7066">
        <v>1.0000000341419999</v>
      </c>
    </row>
    <row r="7067" spans="1:40" x14ac:dyDescent="0.25">
      <c r="A7067" t="str">
        <f>"20190312160511119"</f>
        <v>20190312160511119</v>
      </c>
      <c r="B7067" t="str">
        <f>"1552377911111841"</f>
        <v>1552377911111841</v>
      </c>
      <c r="C7067" t="s">
        <v>40</v>
      </c>
      <c r="D7067">
        <v>5.2996169999999996</v>
      </c>
      <c r="E7067">
        <v>0.3228838</v>
      </c>
      <c r="F7067" t="s">
        <v>118</v>
      </c>
      <c r="G7067">
        <v>-255.8219</v>
      </c>
      <c r="H7067">
        <v>0.58396530000000002</v>
      </c>
      <c r="I7067">
        <v>-91.564989999999995</v>
      </c>
      <c r="J7067">
        <v>-298.37849999999997</v>
      </c>
      <c r="K7067">
        <v>1.1160139999999901</v>
      </c>
      <c r="L7067">
        <v>-57.415529999999997</v>
      </c>
      <c r="M7067">
        <v>0.40436899999999998</v>
      </c>
      <c r="N7067">
        <v>0</v>
      </c>
      <c r="O7067">
        <v>-0.91451210000000005</v>
      </c>
      <c r="P7067">
        <v>0.51527639999999997</v>
      </c>
      <c r="Q7067">
        <v>6.2473330000000001E-2</v>
      </c>
      <c r="R7067">
        <v>-0.85474409999999901</v>
      </c>
      <c r="S7067">
        <v>2.5039669999999998</v>
      </c>
      <c r="T7067">
        <v>-3.1233070000000002E-2</v>
      </c>
      <c r="U7067">
        <v>-2.0162659999999999</v>
      </c>
      <c r="V7067">
        <v>-0.1266351</v>
      </c>
      <c r="W7067">
        <v>7.2969210000000007E-2</v>
      </c>
      <c r="X7067">
        <v>0.98926190000000003</v>
      </c>
      <c r="Y7067">
        <v>-0.45867849999999999</v>
      </c>
      <c r="Z7067">
        <v>9.8392240000000006E-3</v>
      </c>
      <c r="AA7067">
        <v>0.8885478</v>
      </c>
      <c r="AB7067">
        <v>22</v>
      </c>
      <c r="AC7067">
        <v>42.556599999999897</v>
      </c>
      <c r="AD7067">
        <v>-0.53204869999999904</v>
      </c>
      <c r="AE7067">
        <v>-34.149459999999998</v>
      </c>
      <c r="AF7067">
        <v>-25.109080536409</v>
      </c>
      <c r="AG7067">
        <v>-0.53204869999999904</v>
      </c>
      <c r="AH7067">
        <v>48.437772714725199</v>
      </c>
      <c r="AI7067">
        <v>90.558719596665895</v>
      </c>
      <c r="AJ7067">
        <v>117.40123438990901</v>
      </c>
      <c r="AK7067">
        <v>54.561587465600901</v>
      </c>
      <c r="AL7067">
        <v>85.815453302327299</v>
      </c>
      <c r="AM7067">
        <v>97.2947420329983</v>
      </c>
      <c r="AN7067">
        <v>1.0000000304758201</v>
      </c>
    </row>
    <row r="7068" spans="1:40" x14ac:dyDescent="0.25">
      <c r="A7068" t="str">
        <f>"20190312160511142"</f>
        <v>20190312160511142</v>
      </c>
      <c r="B7068" t="str">
        <f>"1552377911132337"</f>
        <v>1552377911132337</v>
      </c>
      <c r="C7068" t="s">
        <v>40</v>
      </c>
      <c r="D7068">
        <v>5.2690830000000002</v>
      </c>
      <c r="E7068">
        <v>0.32262980000000002</v>
      </c>
      <c r="F7068" t="s">
        <v>118</v>
      </c>
      <c r="G7068">
        <v>-247.48150000000001</v>
      </c>
      <c r="H7068">
        <v>0.23785590000000001</v>
      </c>
      <c r="I7068">
        <v>-91.564989999999995</v>
      </c>
      <c r="J7068">
        <v>-298.2799</v>
      </c>
      <c r="K7068">
        <v>1.1160410000000001</v>
      </c>
      <c r="L7068">
        <v>-57.61206</v>
      </c>
      <c r="M7068">
        <v>0.41293879999999999</v>
      </c>
      <c r="N7068">
        <v>0</v>
      </c>
      <c r="O7068">
        <v>-0.91067450000000005</v>
      </c>
      <c r="P7068">
        <v>0.52384339999999996</v>
      </c>
      <c r="Q7068">
        <v>6.2379480000000001E-2</v>
      </c>
      <c r="R7068">
        <v>-0.84952759999999905</v>
      </c>
      <c r="S7068">
        <v>2.7581479999999998</v>
      </c>
      <c r="T7068">
        <v>-4.758739E-2</v>
      </c>
      <c r="U7068">
        <v>-1.8505860000000001</v>
      </c>
      <c r="V7068">
        <v>-0.12729069999999901</v>
      </c>
      <c r="W7068">
        <v>7.2871710000000006E-2</v>
      </c>
      <c r="X7068">
        <v>0.98918490000000003</v>
      </c>
      <c r="Y7068">
        <v>-0.52609899999999998</v>
      </c>
      <c r="Z7068">
        <v>1.472945E-2</v>
      </c>
      <c r="AA7068">
        <v>0.85029580000000005</v>
      </c>
      <c r="AB7068">
        <v>22</v>
      </c>
      <c r="AC7068">
        <v>50.798400000000001</v>
      </c>
      <c r="AD7068">
        <v>-0.87818510000000005</v>
      </c>
      <c r="AE7068">
        <v>-33.952930000000002</v>
      </c>
      <c r="AF7068">
        <v>-32.2361408792868</v>
      </c>
      <c r="AG7068">
        <v>-0.87818510000000005</v>
      </c>
      <c r="AH7068">
        <v>51.889962218392498</v>
      </c>
      <c r="AI7068">
        <v>90.823613146256903</v>
      </c>
      <c r="AJ7068">
        <v>121.850220395899</v>
      </c>
      <c r="AK7068">
        <v>61.0942564148652</v>
      </c>
      <c r="AL7068">
        <v>85.8210543722316</v>
      </c>
      <c r="AM7068">
        <v>97.332662113308601</v>
      </c>
      <c r="AN7068">
        <v>0.99999998740641205</v>
      </c>
    </row>
    <row r="7069" spans="1:40" x14ac:dyDescent="0.25">
      <c r="A7069" t="str">
        <f>"20190312160511164"</f>
        <v>20190312160511164</v>
      </c>
      <c r="B7069" t="str">
        <f>"1552377911162593"</f>
        <v>1552377911162593</v>
      </c>
      <c r="C7069" t="s">
        <v>40</v>
      </c>
      <c r="D7069">
        <v>5.2536940000000003</v>
      </c>
      <c r="E7069">
        <v>0.32366209999999901</v>
      </c>
      <c r="F7069" t="s">
        <v>118</v>
      </c>
      <c r="G7069">
        <v>-246.4973</v>
      </c>
      <c r="H7069">
        <v>0.23530200000000001</v>
      </c>
      <c r="I7069">
        <v>-91.564989999999995</v>
      </c>
      <c r="J7069">
        <v>-298.17930000000001</v>
      </c>
      <c r="K7069">
        <v>1.116053</v>
      </c>
      <c r="L7069">
        <v>-57.808199999999999</v>
      </c>
      <c r="M7069">
        <v>0.4215158</v>
      </c>
      <c r="N7069">
        <v>0</v>
      </c>
      <c r="O7069">
        <v>-0.9067364</v>
      </c>
      <c r="P7069">
        <v>0.53231640000000002</v>
      </c>
      <c r="Q7069">
        <v>6.1543710000000001E-2</v>
      </c>
      <c r="R7069">
        <v>-0.844306</v>
      </c>
      <c r="S7069">
        <v>2.7782589999999998</v>
      </c>
      <c r="T7069">
        <v>-4.7253009999999998E-2</v>
      </c>
      <c r="U7069">
        <v>-1.821655</v>
      </c>
      <c r="V7069">
        <v>-0.12781589999999901</v>
      </c>
      <c r="W7069">
        <v>7.2034689999999998E-2</v>
      </c>
      <c r="X7069">
        <v>0.98917849999999996</v>
      </c>
      <c r="Y7069">
        <v>-0.52709039999999996</v>
      </c>
      <c r="Z7069">
        <v>1.460505E-2</v>
      </c>
      <c r="AA7069">
        <v>0.84968369999999904</v>
      </c>
      <c r="AB7069">
        <v>22</v>
      </c>
      <c r="AC7069">
        <v>51.682000000000002</v>
      </c>
      <c r="AD7069">
        <v>-0.88075099999999995</v>
      </c>
      <c r="AE7069">
        <v>-33.756790000000002</v>
      </c>
      <c r="AF7069">
        <v>-32.628793340925199</v>
      </c>
      <c r="AG7069">
        <v>-0.88075099999999995</v>
      </c>
      <c r="AH7069">
        <v>52.386647814012697</v>
      </c>
      <c r="AI7069">
        <v>90.817599970575998</v>
      </c>
      <c r="AJ7069">
        <v>121.91653302188099</v>
      </c>
      <c r="AK7069">
        <v>61.723372772380202</v>
      </c>
      <c r="AL7069">
        <v>85.869138525548607</v>
      </c>
      <c r="AM7069">
        <v>97.362632423186497</v>
      </c>
      <c r="AN7069">
        <v>1.00000000285922</v>
      </c>
    </row>
    <row r="7070" spans="1:40" x14ac:dyDescent="0.25">
      <c r="A7070" t="str">
        <f>"20190312160511186"</f>
        <v>20190312160511186</v>
      </c>
      <c r="B7070" t="str">
        <f>"1552377911182113"</f>
        <v>1552377911182113</v>
      </c>
      <c r="C7070" t="s">
        <v>40</v>
      </c>
      <c r="D7070">
        <v>5.3102729999999996</v>
      </c>
      <c r="E7070">
        <v>0.32479659999999999</v>
      </c>
      <c r="F7070" t="s">
        <v>118</v>
      </c>
      <c r="G7070">
        <v>-245.82400000000001</v>
      </c>
      <c r="H7070">
        <v>9.1638570000000003E-2</v>
      </c>
      <c r="I7070">
        <v>-91.564989999999995</v>
      </c>
      <c r="J7070">
        <v>-298.0754</v>
      </c>
      <c r="K7070">
        <v>1.116055</v>
      </c>
      <c r="L7070">
        <v>-58.005830000000003</v>
      </c>
      <c r="M7070">
        <v>0.430174</v>
      </c>
      <c r="N7070">
        <v>0</v>
      </c>
      <c r="O7070">
        <v>-0.90266060000000004</v>
      </c>
      <c r="P7070">
        <v>0.54048960000000001</v>
      </c>
      <c r="Q7070">
        <v>6.0432369999999999E-2</v>
      </c>
      <c r="R7070">
        <v>-0.83917779999999997</v>
      </c>
      <c r="S7070">
        <v>2.7894290000000002</v>
      </c>
      <c r="T7070">
        <v>-5.45789E-2</v>
      </c>
      <c r="U7070">
        <v>-1.7985230000000001</v>
      </c>
      <c r="V7070">
        <v>-0.12790579999999999</v>
      </c>
      <c r="W7070">
        <v>7.0929829999999999E-2</v>
      </c>
      <c r="X7070">
        <v>0.98924670000000003</v>
      </c>
      <c r="Y7070">
        <v>-0.52544519999999995</v>
      </c>
      <c r="Z7070">
        <v>1.6851540000000002E-2</v>
      </c>
      <c r="AA7070">
        <v>0.85066049999999904</v>
      </c>
      <c r="AB7070">
        <v>22</v>
      </c>
      <c r="AC7070">
        <v>52.251399999999897</v>
      </c>
      <c r="AD7070">
        <v>-1.02441643</v>
      </c>
      <c r="AE7070">
        <v>-33.559159999999999</v>
      </c>
      <c r="AF7070">
        <v>-32.722620567715197</v>
      </c>
      <c r="AG7070">
        <v>-1.02441643</v>
      </c>
      <c r="AH7070">
        <v>52.759436344780603</v>
      </c>
      <c r="AI7070">
        <v>90.945334310330097</v>
      </c>
      <c r="AJ7070">
        <v>121.80814481202</v>
      </c>
      <c r="AK7070">
        <v>62.091685830388499</v>
      </c>
      <c r="AL7070">
        <v>85.932604621243897</v>
      </c>
      <c r="AM7070">
        <v>97.367251728365602</v>
      </c>
      <c r="AN7070">
        <v>0.999999983959179</v>
      </c>
    </row>
    <row r="7071" spans="1:40" x14ac:dyDescent="0.25">
      <c r="A7071" t="str">
        <f>"20190312160511209"</f>
        <v>20190312160511209</v>
      </c>
      <c r="B7071" t="str">
        <f>"1552377911202609"</f>
        <v>1552377911202609</v>
      </c>
      <c r="C7071" t="s">
        <v>40</v>
      </c>
      <c r="D7071">
        <v>7.4078970000000002</v>
      </c>
      <c r="E7071">
        <v>0.32498059999999901</v>
      </c>
      <c r="F7071" t="s">
        <v>43</v>
      </c>
      <c r="G7071">
        <v>-245.96510000000001</v>
      </c>
      <c r="H7071">
        <v>-0.05</v>
      </c>
      <c r="I7071">
        <v>-91.081950000000006</v>
      </c>
      <c r="J7071">
        <v>-297.9708</v>
      </c>
      <c r="K7071">
        <v>1.1160479999999999</v>
      </c>
      <c r="L7071">
        <v>-58.200159999999997</v>
      </c>
      <c r="M7071">
        <v>0.4387007</v>
      </c>
      <c r="N7071">
        <v>0</v>
      </c>
      <c r="O7071">
        <v>-0.8985474</v>
      </c>
      <c r="P7071">
        <v>0.54787019999999997</v>
      </c>
      <c r="Q7071">
        <v>6.0002850000000003E-2</v>
      </c>
      <c r="R7071">
        <v>-0.83440879999999995</v>
      </c>
      <c r="S7071">
        <v>2.799042</v>
      </c>
      <c r="T7071">
        <v>-6.2633159999999993E-2</v>
      </c>
      <c r="U7071">
        <v>-1.7766419999999901</v>
      </c>
      <c r="V7071">
        <v>-0.12724579999999999</v>
      </c>
      <c r="W7071">
        <v>7.0517440000000001E-2</v>
      </c>
      <c r="X7071">
        <v>0.9893613</v>
      </c>
      <c r="Y7071">
        <v>-0.52340359999999997</v>
      </c>
      <c r="Z7071">
        <v>1.931652E-2</v>
      </c>
      <c r="AA7071">
        <v>0.85186589999999995</v>
      </c>
      <c r="AB7071">
        <v>22</v>
      </c>
      <c r="AC7071">
        <v>52.005699999999898</v>
      </c>
      <c r="AD7071">
        <v>-1.166048</v>
      </c>
      <c r="AE7071">
        <v>-32.881790000000002</v>
      </c>
      <c r="AF7071">
        <v>-32.295215450580201</v>
      </c>
      <c r="AG7071">
        <v>-1.166048</v>
      </c>
      <c r="AH7071">
        <v>52.346023091414402</v>
      </c>
      <c r="AI7071">
        <v>91.086085137565604</v>
      </c>
      <c r="AJ7071">
        <v>121.67277764584399</v>
      </c>
      <c r="AK7071">
        <v>61.517857102020301</v>
      </c>
      <c r="AL7071">
        <v>85.956292177471994</v>
      </c>
      <c r="AM7071">
        <v>97.3288110310706</v>
      </c>
      <c r="AN7071">
        <v>0.99999999244974103</v>
      </c>
    </row>
    <row r="7072" spans="1:40" x14ac:dyDescent="0.25">
      <c r="A7072" t="str">
        <f>"20190312160511232"</f>
        <v>20190312160511232</v>
      </c>
      <c r="B7072" t="str">
        <f>"1552377911222129"</f>
        <v>1552377911222129</v>
      </c>
      <c r="C7072" t="s">
        <v>40</v>
      </c>
      <c r="D7072">
        <v>5.259811</v>
      </c>
      <c r="E7072">
        <v>0.32447399999999998</v>
      </c>
      <c r="F7072" t="s">
        <v>43</v>
      </c>
      <c r="G7072">
        <v>-241.98750000000001</v>
      </c>
      <c r="H7072">
        <v>-0.05</v>
      </c>
      <c r="I7072">
        <v>-93.074510000000004</v>
      </c>
      <c r="J7072">
        <v>-297.86130000000003</v>
      </c>
      <c r="K7072">
        <v>1.1160350000000001</v>
      </c>
      <c r="L7072">
        <v>-58.398829999999997</v>
      </c>
      <c r="M7072">
        <v>0.4474225</v>
      </c>
      <c r="N7072">
        <v>0</v>
      </c>
      <c r="O7072">
        <v>-0.89423639999999904</v>
      </c>
      <c r="P7072">
        <v>0.55586190000000002</v>
      </c>
      <c r="Q7072">
        <v>5.926845E-2</v>
      </c>
      <c r="R7072">
        <v>-0.82915930000000004</v>
      </c>
      <c r="S7072">
        <v>2.8131710000000001</v>
      </c>
      <c r="T7072">
        <v>-5.8594109999999998E-2</v>
      </c>
      <c r="U7072">
        <v>-1.7524409999999999</v>
      </c>
      <c r="V7072">
        <v>-0.1270905</v>
      </c>
      <c r="W7072">
        <v>6.9793499999999994E-2</v>
      </c>
      <c r="X7072">
        <v>0.9894326</v>
      </c>
      <c r="Y7072">
        <v>-0.52233240000000003</v>
      </c>
      <c r="Z7072">
        <v>1.8038200000000001E-2</v>
      </c>
      <c r="AA7072">
        <v>0.85255119999999895</v>
      </c>
      <c r="AB7072">
        <v>22</v>
      </c>
      <c r="AC7072">
        <v>55.873800000000003</v>
      </c>
      <c r="AD7072">
        <v>-1.1660349999999999</v>
      </c>
      <c r="AE7072">
        <v>-34.67568</v>
      </c>
      <c r="AF7072">
        <v>-34.441536518115598</v>
      </c>
      <c r="AG7072">
        <v>-1.1660349999999999</v>
      </c>
      <c r="AH7072">
        <v>55.994168257792403</v>
      </c>
      <c r="AI7072">
        <v>91.016174023308295</v>
      </c>
      <c r="AJ7072">
        <v>121.595319080797</v>
      </c>
      <c r="AK7072">
        <v>65.748961620940307</v>
      </c>
      <c r="AL7072">
        <v>85.997873364227502</v>
      </c>
      <c r="AM7072">
        <v>97.319441721744795</v>
      </c>
      <c r="AN7072">
        <v>0.99999999888763003</v>
      </c>
    </row>
    <row r="7073" spans="1:40" x14ac:dyDescent="0.25">
      <c r="A7073" t="str">
        <f>"20190312160511254"</f>
        <v>20190312160511254</v>
      </c>
      <c r="B7073" t="str">
        <f>"1552377911242626"</f>
        <v>1552377911242626</v>
      </c>
      <c r="C7073" t="s">
        <v>40</v>
      </c>
      <c r="D7073">
        <v>5.2446719999999996</v>
      </c>
      <c r="E7073">
        <v>0.32466240000000002</v>
      </c>
      <c r="F7073" t="s">
        <v>118</v>
      </c>
      <c r="G7073">
        <v>-244.2731</v>
      </c>
      <c r="H7073">
        <v>0.127708399999999</v>
      </c>
      <c r="I7073">
        <v>-90.976820000000004</v>
      </c>
      <c r="J7073">
        <v>-297.7552</v>
      </c>
      <c r="K7073">
        <v>1.116026</v>
      </c>
      <c r="L7073">
        <v>-58.587339999999998</v>
      </c>
      <c r="M7073">
        <v>0.45570060000000001</v>
      </c>
      <c r="N7073">
        <v>0</v>
      </c>
      <c r="O7073">
        <v>-0.89004619999999901</v>
      </c>
      <c r="P7073">
        <v>0.56335380000000002</v>
      </c>
      <c r="Q7073">
        <v>5.8484139999999997E-2</v>
      </c>
      <c r="R7073">
        <v>-0.82414310000000002</v>
      </c>
      <c r="S7073">
        <v>2.8332820000000001</v>
      </c>
      <c r="T7073">
        <v>-5.2253599999999997E-2</v>
      </c>
      <c r="U7073">
        <v>-1.7224429999999999</v>
      </c>
      <c r="V7073">
        <v>-0.1268388</v>
      </c>
      <c r="W7073">
        <v>6.9020490000000004E-2</v>
      </c>
      <c r="X7073">
        <v>0.98951909999999998</v>
      </c>
      <c r="Y7073">
        <v>-0.52373199999999998</v>
      </c>
      <c r="Z7073">
        <v>1.605701E-2</v>
      </c>
      <c r="AA7073">
        <v>0.85173169999999898</v>
      </c>
      <c r="AB7073">
        <v>22</v>
      </c>
      <c r="AC7073">
        <v>53.482100000000003</v>
      </c>
      <c r="AD7073">
        <v>-0.98831759999999902</v>
      </c>
      <c r="AE7073">
        <v>-32.389479999999899</v>
      </c>
      <c r="AF7073">
        <v>-32.835971302386497</v>
      </c>
      <c r="AG7073">
        <v>-0.98831759999999902</v>
      </c>
      <c r="AH7073">
        <v>53.190785031349499</v>
      </c>
      <c r="AI7073">
        <v>90.905807000599395</v>
      </c>
      <c r="AJ7073">
        <v>121.688047239333</v>
      </c>
      <c r="AK7073">
        <v>62.517496713326999</v>
      </c>
      <c r="AL7073">
        <v>86.042270565352197</v>
      </c>
      <c r="AM7073">
        <v>97.304470776124802</v>
      </c>
      <c r="AN7073">
        <v>0.99999997924504402</v>
      </c>
    </row>
    <row r="7074" spans="1:40" x14ac:dyDescent="0.25">
      <c r="A7074" t="str">
        <f>"20190312160511276"</f>
        <v>20190312160511276</v>
      </c>
      <c r="B7074" t="str">
        <f>"1552377911271905"</f>
        <v>1552377911271905</v>
      </c>
      <c r="C7074" t="s">
        <v>40</v>
      </c>
      <c r="D7074">
        <v>5.2731399999999997</v>
      </c>
      <c r="E7074">
        <v>0.32536199999999998</v>
      </c>
      <c r="F7074" t="s">
        <v>118</v>
      </c>
      <c r="G7074">
        <v>-243.40889999999999</v>
      </c>
      <c r="H7074">
        <v>0.19471930000000001</v>
      </c>
      <c r="I7074">
        <v>-90.976820000000004</v>
      </c>
      <c r="J7074">
        <v>-297.64589999999998</v>
      </c>
      <c r="K7074">
        <v>1.116017</v>
      </c>
      <c r="L7074">
        <v>-58.77731</v>
      </c>
      <c r="M7074">
        <v>0.46404000000000001</v>
      </c>
      <c r="N7074">
        <v>0</v>
      </c>
      <c r="O7074">
        <v>-0.88572700000000004</v>
      </c>
      <c r="P7074">
        <v>0.57067970000000001</v>
      </c>
      <c r="Q7074">
        <v>5.8169829999999999E-2</v>
      </c>
      <c r="R7074">
        <v>-0.81910989999999995</v>
      </c>
      <c r="S7074">
        <v>2.847534</v>
      </c>
      <c r="T7074">
        <v>-4.8272250000000003E-2</v>
      </c>
      <c r="U7074">
        <v>-1.6970829999999999</v>
      </c>
      <c r="V7074">
        <v>-0.12635160000000001</v>
      </c>
      <c r="W7074">
        <v>6.8720329999999996E-2</v>
      </c>
      <c r="X7074">
        <v>0.98960230000000005</v>
      </c>
      <c r="Y7074">
        <v>-0.52321930000000005</v>
      </c>
      <c r="Z7074">
        <v>1.4806939999999999E-2</v>
      </c>
      <c r="AA7074">
        <v>0.85206939999999998</v>
      </c>
      <c r="AB7074">
        <v>22</v>
      </c>
      <c r="AC7074">
        <v>54.237000000000002</v>
      </c>
      <c r="AD7074">
        <v>-0.921297699999999</v>
      </c>
      <c r="AE7074">
        <v>-32.199509999999897</v>
      </c>
      <c r="AF7074">
        <v>-33.092812507694802</v>
      </c>
      <c r="AG7074">
        <v>-0.921297699999999</v>
      </c>
      <c r="AH7074">
        <v>53.680809771929802</v>
      </c>
      <c r="AI7074">
        <v>90.837002659181493</v>
      </c>
      <c r="AJ7074">
        <v>121.652744232556</v>
      </c>
      <c r="AK7074">
        <v>63.068315078901399</v>
      </c>
      <c r="AL7074">
        <v>86.059509328050197</v>
      </c>
      <c r="AM7074">
        <v>97.276109675822795</v>
      </c>
      <c r="AN7074">
        <v>0.99999996137157798</v>
      </c>
    </row>
    <row r="7075" spans="1:40" x14ac:dyDescent="0.25">
      <c r="A7075" t="str">
        <f>"20190312160511299"</f>
        <v>20190312160511299</v>
      </c>
      <c r="B7075" t="str">
        <f>"1552377911292401"</f>
        <v>1552377911292401</v>
      </c>
      <c r="C7075" t="s">
        <v>40</v>
      </c>
      <c r="D7075">
        <v>5.3026150000000003</v>
      </c>
      <c r="E7075">
        <v>0.32582460000000002</v>
      </c>
      <c r="F7075" t="s">
        <v>118</v>
      </c>
      <c r="G7075">
        <v>-242.68639999999999</v>
      </c>
      <c r="H7075">
        <v>0.27363589999999999</v>
      </c>
      <c r="I7075">
        <v>-90.976820000000004</v>
      </c>
      <c r="J7075">
        <v>-297.53230000000002</v>
      </c>
      <c r="K7075">
        <v>1.116007</v>
      </c>
      <c r="L7075">
        <v>-58.970519999999901</v>
      </c>
      <c r="M7075">
        <v>0.47252250000000001</v>
      </c>
      <c r="N7075">
        <v>0</v>
      </c>
      <c r="O7075">
        <v>-0.88123079999999998</v>
      </c>
      <c r="P7075">
        <v>0.57822390000000001</v>
      </c>
      <c r="Q7075">
        <v>5.7907760000000003E-2</v>
      </c>
      <c r="R7075">
        <v>-0.81382080000000001</v>
      </c>
      <c r="S7075">
        <v>2.8580019999999999</v>
      </c>
      <c r="T7075">
        <v>-4.3804879999999997E-2</v>
      </c>
      <c r="U7075">
        <v>-1.6744380000000001</v>
      </c>
      <c r="V7075">
        <v>-0.1259805</v>
      </c>
      <c r="W7075">
        <v>6.8469630000000004E-2</v>
      </c>
      <c r="X7075">
        <v>0.98966699999999996</v>
      </c>
      <c r="Y7075">
        <v>-0.52143700000000004</v>
      </c>
      <c r="Z7075">
        <v>1.3412179999999999E-2</v>
      </c>
      <c r="AA7075">
        <v>0.85318430000000001</v>
      </c>
      <c r="AB7075">
        <v>22</v>
      </c>
      <c r="AC7075">
        <v>54.8459</v>
      </c>
      <c r="AD7075">
        <v>-0.84237109999999904</v>
      </c>
      <c r="AE7075">
        <v>-32.006300000000003</v>
      </c>
      <c r="AF7075">
        <v>-33.204926435521998</v>
      </c>
      <c r="AG7075">
        <v>-0.84237109999999904</v>
      </c>
      <c r="AH7075">
        <v>54.115524974628201</v>
      </c>
      <c r="AI7075">
        <v>90.760135701365499</v>
      </c>
      <c r="AJ7075">
        <v>121.53300166295701</v>
      </c>
      <c r="AK7075">
        <v>63.496194940627397</v>
      </c>
      <c r="AL7075">
        <v>86.073907342354801</v>
      </c>
      <c r="AM7075">
        <v>97.254498212665297</v>
      </c>
      <c r="AN7075">
        <v>0.99999997375079297</v>
      </c>
    </row>
    <row r="7076" spans="1:40" x14ac:dyDescent="0.25">
      <c r="A7076" t="str">
        <f>"20190312160511321"</f>
        <v>20190312160511321</v>
      </c>
      <c r="B7076" t="str">
        <f>"1552377911311922"</f>
        <v>1552377911311922</v>
      </c>
      <c r="C7076" t="s">
        <v>40</v>
      </c>
      <c r="D7076">
        <v>5.2944000000000004</v>
      </c>
      <c r="E7076">
        <v>0.32680510000000002</v>
      </c>
      <c r="F7076" t="s">
        <v>118</v>
      </c>
      <c r="G7076">
        <v>-241.8503</v>
      </c>
      <c r="H7076">
        <v>0.29158970000000001</v>
      </c>
      <c r="I7076">
        <v>-90.976820000000004</v>
      </c>
      <c r="J7076">
        <v>-297.41930000000002</v>
      </c>
      <c r="K7076">
        <v>1.1160030000000001</v>
      </c>
      <c r="L7076">
        <v>-59.15869</v>
      </c>
      <c r="M7076">
        <v>0.48078310000000002</v>
      </c>
      <c r="N7076">
        <v>0</v>
      </c>
      <c r="O7076">
        <v>-0.87675130000000001</v>
      </c>
      <c r="P7076">
        <v>0.58577319999999999</v>
      </c>
      <c r="Q7076">
        <v>5.7734969999999997E-2</v>
      </c>
      <c r="R7076">
        <v>-0.80841580000000002</v>
      </c>
      <c r="S7076">
        <v>2.870422</v>
      </c>
      <c r="T7076">
        <v>-4.2498229999999998E-2</v>
      </c>
      <c r="U7076">
        <v>-1.6499330000000001</v>
      </c>
      <c r="V7076">
        <v>-0.12588239999999901</v>
      </c>
      <c r="W7076">
        <v>6.8302169999999995E-2</v>
      </c>
      <c r="X7076">
        <v>0.98969110000000005</v>
      </c>
      <c r="Y7076">
        <v>-0.5204898</v>
      </c>
      <c r="Z7076">
        <v>1.2986930000000001E-2</v>
      </c>
      <c r="AA7076">
        <v>0.85376909999999895</v>
      </c>
      <c r="AB7076">
        <v>22</v>
      </c>
      <c r="AC7076">
        <v>55.569000000000003</v>
      </c>
      <c r="AD7076">
        <v>-0.82441330000000002</v>
      </c>
      <c r="AE7076">
        <v>-31.818129999999901</v>
      </c>
      <c r="AF7076">
        <v>-33.419620938633003</v>
      </c>
      <c r="AG7076">
        <v>-0.82441330000000002</v>
      </c>
      <c r="AH7076">
        <v>54.608397864587197</v>
      </c>
      <c r="AI7076">
        <v>90.737746921278301</v>
      </c>
      <c r="AJ7076">
        <v>121.46608377549001</v>
      </c>
      <c r="AK7076">
        <v>64.028336213806099</v>
      </c>
      <c r="AL7076">
        <v>86.083524786841096</v>
      </c>
      <c r="AM7076">
        <v>97.248734664032298</v>
      </c>
      <c r="AN7076">
        <v>1.00000001923783</v>
      </c>
    </row>
    <row r="7077" spans="1:40" x14ac:dyDescent="0.25">
      <c r="A7077" t="str">
        <f>"20190312160511343"</f>
        <v>20190312160511343</v>
      </c>
      <c r="B7077" t="str">
        <f>"1552377911332418"</f>
        <v>1552377911332418</v>
      </c>
      <c r="C7077" t="s">
        <v>40</v>
      </c>
      <c r="D7077">
        <v>5.331893</v>
      </c>
      <c r="E7077">
        <v>0.3449352</v>
      </c>
      <c r="F7077" t="s">
        <v>58</v>
      </c>
      <c r="G7077">
        <v>-233.52500000000001</v>
      </c>
      <c r="H7077">
        <v>0.120863</v>
      </c>
      <c r="I7077">
        <v>-95.286090000000002</v>
      </c>
      <c r="J7077">
        <v>-297.30470000000003</v>
      </c>
      <c r="K7077">
        <v>1.116009</v>
      </c>
      <c r="L7077">
        <v>-59.345370000000003</v>
      </c>
      <c r="M7077">
        <v>0.48898330000000001</v>
      </c>
      <c r="N7077">
        <v>0</v>
      </c>
      <c r="O7077">
        <v>-0.87220439999999999</v>
      </c>
      <c r="P7077">
        <v>0.59287840000000003</v>
      </c>
      <c r="Q7077">
        <v>5.8262670000000003E-2</v>
      </c>
      <c r="R7077">
        <v>-0.80318179999999995</v>
      </c>
      <c r="S7077">
        <v>2.879181</v>
      </c>
      <c r="T7077">
        <v>-4.4842479999999997E-2</v>
      </c>
      <c r="U7077">
        <v>-1.6279600000000001</v>
      </c>
      <c r="V7077">
        <v>-0.125353399999999</v>
      </c>
      <c r="W7077">
        <v>6.8839730000000002E-2</v>
      </c>
      <c r="X7077">
        <v>0.98972099999999996</v>
      </c>
      <c r="Y7077">
        <v>-0.5185168</v>
      </c>
      <c r="Z7077">
        <v>1.367809E-2</v>
      </c>
      <c r="AA7077">
        <v>0.854958</v>
      </c>
      <c r="AB7077">
        <v>22</v>
      </c>
      <c r="AC7077">
        <v>63.779699999999998</v>
      </c>
      <c r="AD7077">
        <v>-0.99514599999999898</v>
      </c>
      <c r="AE7077">
        <v>-35.940719999999999</v>
      </c>
      <c r="AF7077">
        <v>-38.050438428580797</v>
      </c>
      <c r="AG7077">
        <v>-0.99514599999999898</v>
      </c>
      <c r="AH7077">
        <v>62.528149975023098</v>
      </c>
      <c r="AI7077">
        <v>90.7789279997601</v>
      </c>
      <c r="AJ7077">
        <v>121.321889664715</v>
      </c>
      <c r="AK7077">
        <v>73.202429737458303</v>
      </c>
      <c r="AL7077">
        <v>86.052652206542504</v>
      </c>
      <c r="AM7077">
        <v>97.218379266539898</v>
      </c>
      <c r="AN7077">
        <v>1.0000000205795101</v>
      </c>
    </row>
    <row r="7078" spans="1:40" x14ac:dyDescent="0.25">
      <c r="A7078" t="str">
        <f>"20190312160511366"</f>
        <v>20190312160511366</v>
      </c>
      <c r="B7078" t="str">
        <f>"1552377911362673"</f>
        <v>1552377911362673</v>
      </c>
      <c r="C7078" t="s">
        <v>40</v>
      </c>
      <c r="D7078">
        <v>5.3414739999999998</v>
      </c>
      <c r="E7078">
        <v>0.3363893</v>
      </c>
      <c r="F7078" t="s">
        <v>120</v>
      </c>
      <c r="G7078">
        <v>-274.51069999999999</v>
      </c>
      <c r="H7078">
        <v>7.9987030000000001E-2</v>
      </c>
      <c r="I7078">
        <v>-73.235740000000007</v>
      </c>
      <c r="J7078">
        <v>-297.1857</v>
      </c>
      <c r="K7078">
        <v>1.1160159999999999</v>
      </c>
      <c r="L7078">
        <v>-59.535519999999998</v>
      </c>
      <c r="M7078">
        <v>0.49735119999999999</v>
      </c>
      <c r="N7078">
        <v>0</v>
      </c>
      <c r="O7078">
        <v>-0.86746029999999996</v>
      </c>
      <c r="P7078">
        <v>0.59974249999999996</v>
      </c>
      <c r="Q7078">
        <v>5.8630719999999997E-2</v>
      </c>
      <c r="R7078">
        <v>-0.7980429</v>
      </c>
      <c r="S7078">
        <v>2.7785950000000001</v>
      </c>
      <c r="T7078">
        <v>-0.12629119999999999</v>
      </c>
      <c r="U7078">
        <v>-1.6932370000000001</v>
      </c>
      <c r="V7078">
        <v>-0.1243363</v>
      </c>
      <c r="W7078">
        <v>6.9224569999999999E-2</v>
      </c>
      <c r="X7078">
        <v>0.98982239999999999</v>
      </c>
      <c r="Y7078">
        <v>-0.48127439999999999</v>
      </c>
      <c r="Z7078">
        <v>3.8599380000000003E-2</v>
      </c>
      <c r="AA7078">
        <v>0.87571969999999999</v>
      </c>
      <c r="AB7078">
        <v>23</v>
      </c>
      <c r="AC7078">
        <v>22.675000000000001</v>
      </c>
      <c r="AD7078">
        <v>-1.0360289699999901</v>
      </c>
      <c r="AE7078">
        <v>-13.70022</v>
      </c>
      <c r="AF7078">
        <v>-12.8372019125698</v>
      </c>
      <c r="AG7078">
        <v>-1.0360289699999901</v>
      </c>
      <c r="AH7078">
        <v>23.128253339676501</v>
      </c>
      <c r="AI7078">
        <v>92.242919126752696</v>
      </c>
      <c r="AJ7078">
        <v>119.032208933329</v>
      </c>
      <c r="AK7078">
        <v>26.4723102791393</v>
      </c>
      <c r="AL7078">
        <v>86.030549571459304</v>
      </c>
      <c r="AM7078">
        <v>97.159694796115502</v>
      </c>
      <c r="AN7078">
        <v>0.99999997006556696</v>
      </c>
    </row>
    <row r="7079" spans="1:40" x14ac:dyDescent="0.25">
      <c r="A7079" t="str">
        <f>"20190312160511389"</f>
        <v>20190312160511389</v>
      </c>
      <c r="B7079" t="str">
        <f>"1552377911382197"</f>
        <v>1552377911382197</v>
      </c>
      <c r="C7079" t="s">
        <v>40</v>
      </c>
      <c r="D7079">
        <v>5.3650120000000001</v>
      </c>
      <c r="E7079">
        <v>0.33586450000000001</v>
      </c>
      <c r="F7079" t="s">
        <v>118</v>
      </c>
      <c r="G7079">
        <v>-242.05359999999999</v>
      </c>
      <c r="H7079">
        <v>0.2162647</v>
      </c>
      <c r="I7079">
        <v>-90.976820000000004</v>
      </c>
      <c r="J7079">
        <v>-297.065</v>
      </c>
      <c r="K7079">
        <v>1.1160319999999999</v>
      </c>
      <c r="L7079">
        <v>-59.723970000000001</v>
      </c>
      <c r="M7079">
        <v>0.5056773</v>
      </c>
      <c r="N7079">
        <v>0</v>
      </c>
      <c r="O7079">
        <v>-0.86263289999999904</v>
      </c>
      <c r="P7079">
        <v>0.60649940000000002</v>
      </c>
      <c r="Q7079">
        <v>5.9049530000000003E-2</v>
      </c>
      <c r="R7079">
        <v>-0.7928885</v>
      </c>
      <c r="S7079">
        <v>2.8465880000000001</v>
      </c>
      <c r="T7079">
        <v>-4.6455499999999997E-2</v>
      </c>
      <c r="U7079">
        <v>-1.623383</v>
      </c>
      <c r="V7079">
        <v>-0.1232408</v>
      </c>
      <c r="W7079">
        <v>6.9659360000000003E-2</v>
      </c>
      <c r="X7079">
        <v>0.9899289</v>
      </c>
      <c r="Y7079">
        <v>-0.49877440000000001</v>
      </c>
      <c r="Z7079">
        <v>1.4144459999999999E-2</v>
      </c>
      <c r="AA7079">
        <v>0.86661639999999995</v>
      </c>
      <c r="AB7079">
        <v>23</v>
      </c>
      <c r="AC7079">
        <v>55.011400000000002</v>
      </c>
      <c r="AD7079">
        <v>-0.89976729999999905</v>
      </c>
      <c r="AE7079">
        <v>-31.252849999999899</v>
      </c>
      <c r="AF7079">
        <v>-31.6468387299557</v>
      </c>
      <c r="AG7079">
        <v>-0.89976729999999905</v>
      </c>
      <c r="AH7079">
        <v>54.770920114240198</v>
      </c>
      <c r="AI7079">
        <v>90.814927295635698</v>
      </c>
      <c r="AJ7079">
        <v>120.01947970118999</v>
      </c>
      <c r="AK7079">
        <v>63.262830105477001</v>
      </c>
      <c r="AL7079">
        <v>86.0055776724503</v>
      </c>
      <c r="AM7079">
        <v>97.096502648657705</v>
      </c>
      <c r="AN7079">
        <v>0.99999997413772901</v>
      </c>
    </row>
    <row r="7080" spans="1:40" x14ac:dyDescent="0.25">
      <c r="A7080" t="str">
        <f>"20190312160511410"</f>
        <v>20190312160511410</v>
      </c>
      <c r="B7080" t="str">
        <f>"1552377911402689"</f>
        <v>1552377911402689</v>
      </c>
      <c r="C7080" t="s">
        <v>40</v>
      </c>
      <c r="D7080">
        <v>5.3000819999999997</v>
      </c>
      <c r="E7080">
        <v>0.33481369999999999</v>
      </c>
      <c r="F7080" t="s">
        <v>58</v>
      </c>
      <c r="G7080">
        <v>-233.52500000000001</v>
      </c>
      <c r="H7080">
        <v>0.17415329999999901</v>
      </c>
      <c r="I7080">
        <v>-95.142719999999997</v>
      </c>
      <c r="J7080">
        <v>-296.94709999999998</v>
      </c>
      <c r="K7080">
        <v>1.116061</v>
      </c>
      <c r="L7080">
        <v>-59.904240000000001</v>
      </c>
      <c r="M7080">
        <v>0.51368990000000003</v>
      </c>
      <c r="N7080">
        <v>0</v>
      </c>
      <c r="O7080">
        <v>-0.85788549999999997</v>
      </c>
      <c r="P7080">
        <v>0.61338939999999997</v>
      </c>
      <c r="Q7080">
        <v>5.9602599999999999E-2</v>
      </c>
      <c r="R7080">
        <v>-0.78752860000000002</v>
      </c>
      <c r="S7080">
        <v>2.8636780000000002</v>
      </c>
      <c r="T7080">
        <v>-4.2449239999999999E-2</v>
      </c>
      <c r="U7080">
        <v>-1.5962829999999999</v>
      </c>
      <c r="V7080">
        <v>-0.12268510000000001</v>
      </c>
      <c r="W7080">
        <v>7.0217799999999997E-2</v>
      </c>
      <c r="X7080">
        <v>0.98995849999999996</v>
      </c>
      <c r="Y7080">
        <v>-0.49917879999999998</v>
      </c>
      <c r="Z7080">
        <v>1.288653E-2</v>
      </c>
      <c r="AA7080">
        <v>0.86640319999999904</v>
      </c>
      <c r="AB7080">
        <v>23</v>
      </c>
      <c r="AC7080">
        <v>63.422099999999901</v>
      </c>
      <c r="AD7080">
        <v>-0.94190769999999902</v>
      </c>
      <c r="AE7080">
        <v>-35.238480000000003</v>
      </c>
      <c r="AF7080">
        <v>-36.303947160191797</v>
      </c>
      <c r="AG7080">
        <v>-0.94190769999999902</v>
      </c>
      <c r="AH7080">
        <v>62.804161724746699</v>
      </c>
      <c r="AI7080">
        <v>90.743904441110303</v>
      </c>
      <c r="AJ7080">
        <v>120.030060614833</v>
      </c>
      <c r="AK7080">
        <v>72.548097834977497</v>
      </c>
      <c r="AL7080">
        <v>85.973502988737806</v>
      </c>
      <c r="AM7080">
        <v>97.064619069147597</v>
      </c>
      <c r="AN7080">
        <v>1.00000000246054</v>
      </c>
    </row>
    <row r="7081" spans="1:40" x14ac:dyDescent="0.25">
      <c r="A7081" t="str">
        <f>"20190312160511428"</f>
        <v>20190312160511428</v>
      </c>
      <c r="B7081" t="str">
        <f>"1552377911422210"</f>
        <v>1552377911422210</v>
      </c>
      <c r="C7081" t="s">
        <v>40</v>
      </c>
      <c r="D7081">
        <v>5.3436240000000002</v>
      </c>
      <c r="E7081">
        <v>0.33442319999999998</v>
      </c>
      <c r="F7081" t="s">
        <v>58</v>
      </c>
      <c r="G7081">
        <v>-233.52500000000001</v>
      </c>
      <c r="H7081">
        <v>0.27334209999999998</v>
      </c>
      <c r="I7081">
        <v>-94.333690000000004</v>
      </c>
      <c r="J7081">
        <v>-296.85109999999997</v>
      </c>
      <c r="K7081">
        <v>1.1160859999999999</v>
      </c>
      <c r="L7081">
        <v>-60.048310000000001</v>
      </c>
      <c r="M7081">
        <v>0.52011870000000004</v>
      </c>
      <c r="N7081">
        <v>0</v>
      </c>
      <c r="O7081">
        <v>-0.85400299999999996</v>
      </c>
      <c r="P7081">
        <v>0.61912349999999905</v>
      </c>
      <c r="Q7081">
        <v>6.004147E-2</v>
      </c>
      <c r="R7081">
        <v>-0.782995</v>
      </c>
      <c r="S7081">
        <v>2.884277</v>
      </c>
      <c r="T7081">
        <v>-3.8324589999999999E-2</v>
      </c>
      <c r="U7081">
        <v>-1.5657650000000001</v>
      </c>
      <c r="V7081">
        <v>-0.12250659999999999</v>
      </c>
      <c r="W7081">
        <v>7.065681E-2</v>
      </c>
      <c r="X7081">
        <v>0.98994930000000003</v>
      </c>
      <c r="Y7081">
        <v>-0.50236800000000004</v>
      </c>
      <c r="Z7081">
        <v>1.160944E-2</v>
      </c>
      <c r="AA7081">
        <v>0.86457600000000001</v>
      </c>
      <c r="AB7081">
        <v>23</v>
      </c>
      <c r="AC7081">
        <v>63.326099999999897</v>
      </c>
      <c r="AD7081">
        <v>-0.84274389999999999</v>
      </c>
      <c r="AE7081">
        <v>-34.285379999999897</v>
      </c>
      <c r="AF7081">
        <v>-36.246065005174202</v>
      </c>
      <c r="AG7081">
        <v>-0.84274389999999999</v>
      </c>
      <c r="AH7081">
        <v>62.213220876179101</v>
      </c>
      <c r="AI7081">
        <v>90.670586714522997</v>
      </c>
      <c r="AJ7081">
        <v>120.225519539844</v>
      </c>
      <c r="AK7081">
        <v>72.006751748905799</v>
      </c>
      <c r="AL7081">
        <v>85.948286660006204</v>
      </c>
      <c r="AM7081">
        <v>97.054508978287203</v>
      </c>
      <c r="AN7081">
        <v>0.99999993420671096</v>
      </c>
    </row>
    <row r="7082" spans="1:40" x14ac:dyDescent="0.25">
      <c r="A7082" t="str">
        <f>"20190312160511443"</f>
        <v>20190312160511443</v>
      </c>
      <c r="B7082" t="str">
        <f>"1552377911431970"</f>
        <v>1552377911431970</v>
      </c>
      <c r="C7082" t="s">
        <v>40</v>
      </c>
      <c r="D7082">
        <v>5.3705920000000003</v>
      </c>
      <c r="E7082">
        <v>0.33498990000000001</v>
      </c>
      <c r="F7082" t="s">
        <v>58</v>
      </c>
      <c r="G7082">
        <v>-233.52500000000001</v>
      </c>
      <c r="H7082">
        <v>0.32099820000000001</v>
      </c>
      <c r="I7082">
        <v>-93.755889999999994</v>
      </c>
      <c r="J7082">
        <v>-296.76029999999997</v>
      </c>
      <c r="K7082">
        <v>1.1161140000000001</v>
      </c>
      <c r="L7082">
        <v>-60.182220000000001</v>
      </c>
      <c r="M7082">
        <v>0.52613129999999997</v>
      </c>
      <c r="N7082">
        <v>0</v>
      </c>
      <c r="O7082">
        <v>-0.85031190000000001</v>
      </c>
      <c r="P7082">
        <v>0.62413869999999905</v>
      </c>
      <c r="Q7082">
        <v>6.0300340000000001E-2</v>
      </c>
      <c r="R7082">
        <v>-0.77898319999999999</v>
      </c>
      <c r="S7082">
        <v>2.8981319999999999</v>
      </c>
      <c r="T7082">
        <v>-3.6387210000000003E-2</v>
      </c>
      <c r="U7082">
        <v>-1.5426329999999999</v>
      </c>
      <c r="V7082">
        <v>-0.1218973</v>
      </c>
      <c r="W7082">
        <v>7.092176E-2</v>
      </c>
      <c r="X7082">
        <v>0.99000560000000004</v>
      </c>
      <c r="Y7082">
        <v>-0.50336829999999999</v>
      </c>
      <c r="Z7082">
        <v>1.099908E-2</v>
      </c>
      <c r="AA7082">
        <v>0.86400189999999999</v>
      </c>
      <c r="AB7082">
        <v>23</v>
      </c>
      <c r="AC7082">
        <v>63.235299999999903</v>
      </c>
      <c r="AD7082">
        <v>-0.79511580000000004</v>
      </c>
      <c r="AE7082">
        <v>-33.57367</v>
      </c>
      <c r="AF7082">
        <v>-36.103924559649997</v>
      </c>
      <c r="AG7082">
        <v>-0.79511580000000004</v>
      </c>
      <c r="AH7082">
        <v>61.815345427845202</v>
      </c>
      <c r="AI7082">
        <v>90.636361486638606</v>
      </c>
      <c r="AJ7082">
        <v>120.287529002822</v>
      </c>
      <c r="AK7082">
        <v>71.590938729060795</v>
      </c>
      <c r="AL7082">
        <v>85.933068100204196</v>
      </c>
      <c r="AM7082">
        <v>97.019378306646502</v>
      </c>
      <c r="AN7082">
        <v>0.99999996791007295</v>
      </c>
    </row>
    <row r="7083" spans="1:40" x14ac:dyDescent="0.25">
      <c r="A7083" t="str">
        <f>"20190312160511467"</f>
        <v>20190312160511467</v>
      </c>
      <c r="B7083" t="str">
        <f>"1552377911462226"</f>
        <v>1552377911462226</v>
      </c>
      <c r="C7083" t="s">
        <v>40</v>
      </c>
      <c r="D7083">
        <v>5.3544090000000004</v>
      </c>
      <c r="E7083">
        <v>0.3354838</v>
      </c>
      <c r="F7083" t="s">
        <v>58</v>
      </c>
      <c r="G7083">
        <v>-233.52500000000001</v>
      </c>
      <c r="H7083">
        <v>0.30608180000000001</v>
      </c>
      <c r="I7083">
        <v>-93.416550000000001</v>
      </c>
      <c r="J7083">
        <v>-296.63159999999999</v>
      </c>
      <c r="K7083">
        <v>1.1161540000000001</v>
      </c>
      <c r="L7083">
        <v>-60.368870000000001</v>
      </c>
      <c r="M7083">
        <v>0.53455969999999997</v>
      </c>
      <c r="N7083">
        <v>0</v>
      </c>
      <c r="O7083">
        <v>-0.84503879999999998</v>
      </c>
      <c r="P7083">
        <v>0.63169209999999998</v>
      </c>
      <c r="Q7083">
        <v>6.0176559999999997E-2</v>
      </c>
      <c r="R7083">
        <v>-0.77288049999999997</v>
      </c>
      <c r="S7083">
        <v>2.9048159999999998</v>
      </c>
      <c r="T7083">
        <v>-3.7209989999999998E-2</v>
      </c>
      <c r="U7083">
        <v>-1.526672</v>
      </c>
      <c r="V7083">
        <v>-0.1216916</v>
      </c>
      <c r="W7083">
        <v>7.079618E-2</v>
      </c>
      <c r="X7083">
        <v>0.99003989999999997</v>
      </c>
      <c r="Y7083">
        <v>-0.49930550000000001</v>
      </c>
      <c r="Z7083">
        <v>1.120385E-2</v>
      </c>
      <c r="AA7083">
        <v>0.86635359999999995</v>
      </c>
      <c r="AB7083">
        <v>23</v>
      </c>
      <c r="AC7083">
        <v>63.106599999999901</v>
      </c>
      <c r="AD7083">
        <v>-0.81007220000000002</v>
      </c>
      <c r="AE7083">
        <v>-33.04768</v>
      </c>
      <c r="AF7083">
        <v>-35.659726719299698</v>
      </c>
      <c r="AG7083">
        <v>-0.81007220000000002</v>
      </c>
      <c r="AH7083">
        <v>61.657633978604103</v>
      </c>
      <c r="AI7083">
        <v>90.6516032224215</v>
      </c>
      <c r="AJ7083">
        <v>120.04296542031101</v>
      </c>
      <c r="AK7083">
        <v>71.231567120932198</v>
      </c>
      <c r="AL7083">
        <v>85.940281461460103</v>
      </c>
      <c r="AM7083">
        <v>97.007410708066303</v>
      </c>
      <c r="AN7083">
        <v>0.99999997410258001</v>
      </c>
    </row>
    <row r="7084" spans="1:40" x14ac:dyDescent="0.25">
      <c r="A7084" t="str">
        <f>"20190312160511489"</f>
        <v>20190312160511489</v>
      </c>
      <c r="B7084" t="str">
        <f>"1552377911482721"</f>
        <v>1552377911482721</v>
      </c>
      <c r="C7084" t="s">
        <v>40</v>
      </c>
      <c r="D7084">
        <v>5.3989839999999996</v>
      </c>
      <c r="E7084">
        <v>0.34972219999999998</v>
      </c>
      <c r="F7084" t="s">
        <v>58</v>
      </c>
      <c r="G7084">
        <v>-233.52500000000001</v>
      </c>
      <c r="H7084">
        <v>0.27953620000000001</v>
      </c>
      <c r="I7084">
        <v>-92.842320000000001</v>
      </c>
      <c r="J7084">
        <v>-296.50619999999998</v>
      </c>
      <c r="K7084">
        <v>1.1161989999999999</v>
      </c>
      <c r="L7084">
        <v>-60.546660000000003</v>
      </c>
      <c r="M7084">
        <v>0.54268280000000002</v>
      </c>
      <c r="N7084">
        <v>0</v>
      </c>
      <c r="O7084">
        <v>-0.83984509999999901</v>
      </c>
      <c r="P7084">
        <v>0.63881969999999899</v>
      </c>
      <c r="Q7084">
        <v>6.042136E-2</v>
      </c>
      <c r="R7084">
        <v>-0.76698060000000001</v>
      </c>
      <c r="S7084">
        <v>2.916595</v>
      </c>
      <c r="T7084">
        <v>-3.8665770000000002E-2</v>
      </c>
      <c r="U7084">
        <v>-1.5008239999999999</v>
      </c>
      <c r="V7084">
        <v>-0.1213335</v>
      </c>
      <c r="W7084">
        <v>7.104017E-2</v>
      </c>
      <c r="X7084">
        <v>0.99006640000000001</v>
      </c>
      <c r="Y7084">
        <v>-0.49843710000000002</v>
      </c>
      <c r="Z7084">
        <v>1.160834E-2</v>
      </c>
      <c r="AA7084">
        <v>0.86684819999999996</v>
      </c>
      <c r="AB7084">
        <v>23</v>
      </c>
      <c r="AC7084">
        <v>62.981199999999902</v>
      </c>
      <c r="AD7084">
        <v>-0.83666279999999904</v>
      </c>
      <c r="AE7084">
        <v>-32.295659999999998</v>
      </c>
      <c r="AF7084">
        <v>-35.3659630029588</v>
      </c>
      <c r="AG7084">
        <v>-0.83666279999999904</v>
      </c>
      <c r="AH7084">
        <v>61.298369906960403</v>
      </c>
      <c r="AI7084">
        <v>90.677345466591404</v>
      </c>
      <c r="AJ7084">
        <v>119.982704489828</v>
      </c>
      <c r="AK7084">
        <v>70.773875808931805</v>
      </c>
      <c r="AL7084">
        <v>85.926266682710803</v>
      </c>
      <c r="AM7084">
        <v>96.986809063018498</v>
      </c>
      <c r="AN7084">
        <v>1.0000000001924101</v>
      </c>
    </row>
    <row r="7085" spans="1:40" x14ac:dyDescent="0.25">
      <c r="A7085" t="str">
        <f>"20190312160511511"</f>
        <v>20190312160511511</v>
      </c>
      <c r="B7085" t="str">
        <f>"1552377911502243"</f>
        <v>1552377911502243</v>
      </c>
      <c r="C7085" t="s">
        <v>40</v>
      </c>
      <c r="D7085">
        <v>5.3853179999999998</v>
      </c>
      <c r="E7085">
        <v>0.35136899999999999</v>
      </c>
      <c r="F7085" t="s">
        <v>49</v>
      </c>
      <c r="G7085">
        <v>-295.60910000000001</v>
      </c>
      <c r="H7085">
        <v>1.0731569999999999</v>
      </c>
      <c r="I7085">
        <v>-61.035829999999997</v>
      </c>
      <c r="J7085">
        <v>-296.37950000000001</v>
      </c>
      <c r="K7085">
        <v>1.11626</v>
      </c>
      <c r="L7085">
        <v>-60.722470000000001</v>
      </c>
      <c r="M7085">
        <v>0.55080530000000005</v>
      </c>
      <c r="N7085">
        <v>0</v>
      </c>
      <c r="O7085">
        <v>-0.83454039999999996</v>
      </c>
      <c r="P7085">
        <v>0.64643709999999999</v>
      </c>
      <c r="Q7085">
        <v>6.0183100000000003E-2</v>
      </c>
      <c r="R7085">
        <v>-0.76059009999999905</v>
      </c>
      <c r="S7085">
        <v>2.845917</v>
      </c>
      <c r="T7085">
        <v>-0.13654939999999999</v>
      </c>
      <c r="U7085">
        <v>-1.551849</v>
      </c>
      <c r="V7085">
        <v>-0.1215996</v>
      </c>
      <c r="W7085">
        <v>7.0791409999999999E-2</v>
      </c>
      <c r="X7085">
        <v>0.99005160000000003</v>
      </c>
      <c r="Y7085">
        <v>-0.46818549999999998</v>
      </c>
      <c r="Z7085">
        <v>4.0898249999999997E-2</v>
      </c>
      <c r="AA7085">
        <v>0.8826832</v>
      </c>
      <c r="AB7085">
        <v>23</v>
      </c>
      <c r="AC7085">
        <v>0.77039999999999498</v>
      </c>
      <c r="AD7085">
        <v>-4.31030000000001E-2</v>
      </c>
      <c r="AE7085">
        <v>-0.31336000000001002</v>
      </c>
      <c r="AF7085">
        <v>-0.46910625374333798</v>
      </c>
      <c r="AG7085">
        <v>-4.31030000000001E-2</v>
      </c>
      <c r="AH7085">
        <v>0.68406809004725799</v>
      </c>
      <c r="AI7085">
        <v>92.974694360895796</v>
      </c>
      <c r="AJ7085">
        <v>124.44075488333399</v>
      </c>
      <c r="AK7085">
        <v>0.830582745866426</v>
      </c>
      <c r="AL7085">
        <v>85.940555671202304</v>
      </c>
      <c r="AM7085">
        <v>97.002083723320396</v>
      </c>
      <c r="AN7085">
        <v>1.00000002855625</v>
      </c>
    </row>
    <row r="7086" spans="1:40" x14ac:dyDescent="0.25">
      <c r="A7086" t="str">
        <f>"20190312160511701"</f>
        <v>20190312160511701</v>
      </c>
      <c r="B7086" t="str">
        <f>"1552377911692562"</f>
        <v>1552377911692562</v>
      </c>
      <c r="C7086" t="s">
        <v>40</v>
      </c>
      <c r="D7086">
        <v>5.4536210000000001</v>
      </c>
      <c r="E7086">
        <v>0.26521879999999998</v>
      </c>
      <c r="F7086" t="s">
        <v>43</v>
      </c>
      <c r="G7086">
        <v>-252.59039999999999</v>
      </c>
      <c r="H7086">
        <v>-0.05</v>
      </c>
      <c r="I7086">
        <v>-78.856200000000001</v>
      </c>
      <c r="J7086">
        <v>-295.20420000000001</v>
      </c>
      <c r="K7086">
        <v>1.116784</v>
      </c>
      <c r="L7086">
        <v>-62.191160000000004</v>
      </c>
      <c r="M7086">
        <v>0.62219999999999998</v>
      </c>
      <c r="N7086">
        <v>0</v>
      </c>
      <c r="O7086">
        <v>-0.78275660000000002</v>
      </c>
      <c r="P7086">
        <v>0.7076443</v>
      </c>
      <c r="Q7086">
        <v>5.5073690000000002E-2</v>
      </c>
      <c r="R7086">
        <v>-0.70441940000000003</v>
      </c>
      <c r="S7086">
        <v>3.0700379999999998</v>
      </c>
      <c r="T7086">
        <v>-8.3625669999999999E-2</v>
      </c>
      <c r="U7086">
        <v>-1.212494</v>
      </c>
      <c r="V7086">
        <v>-0.116698</v>
      </c>
      <c r="W7086">
        <v>6.5738740000000004E-2</v>
      </c>
      <c r="X7086">
        <v>0.99098940000000002</v>
      </c>
      <c r="Y7086">
        <v>-0.49919079999999899</v>
      </c>
      <c r="Z7086">
        <v>2.4043700000000001E-2</v>
      </c>
      <c r="AA7086">
        <v>0.86615839999999999</v>
      </c>
      <c r="AB7086">
        <v>23</v>
      </c>
      <c r="AC7086">
        <v>42.613799999999998</v>
      </c>
      <c r="AD7086">
        <v>-1.166784</v>
      </c>
      <c r="AE7086">
        <v>-16.665040000000001</v>
      </c>
      <c r="AF7086">
        <v>-22.974137321241901</v>
      </c>
      <c r="AG7086">
        <v>-1.166784</v>
      </c>
      <c r="AH7086">
        <v>39.536418737266601</v>
      </c>
      <c r="AI7086">
        <v>91.461666007587098</v>
      </c>
      <c r="AJ7086">
        <v>120.160355927712</v>
      </c>
      <c r="AK7086">
        <v>45.741674402304298</v>
      </c>
      <c r="AL7086">
        <v>86.230729439833397</v>
      </c>
      <c r="AM7086">
        <v>96.716167441744403</v>
      </c>
      <c r="AN7086">
        <v>0.99999999802657302</v>
      </c>
    </row>
    <row r="7087" spans="1:40" x14ac:dyDescent="0.25">
      <c r="A7087" t="str">
        <f>"20190312160511723"</f>
        <v>20190312160511723</v>
      </c>
      <c r="B7087" t="str">
        <f>"1552377911712082"</f>
        <v>1552377911712082</v>
      </c>
      <c r="C7087" t="s">
        <v>40</v>
      </c>
      <c r="D7087">
        <v>5.4101739999999996</v>
      </c>
      <c r="E7087">
        <v>0.32306079999999998</v>
      </c>
      <c r="F7087" t="s">
        <v>58</v>
      </c>
      <c r="G7087">
        <v>-208.4683</v>
      </c>
      <c r="H7087">
        <v>9.6860769999999992</v>
      </c>
      <c r="I7087">
        <v>-81.818370000000002</v>
      </c>
      <c r="J7087">
        <v>-295.05990000000003</v>
      </c>
      <c r="K7087">
        <v>1.116846</v>
      </c>
      <c r="L7087">
        <v>-62.353360000000002</v>
      </c>
      <c r="M7087">
        <v>0.63051269999999904</v>
      </c>
      <c r="N7087">
        <v>0</v>
      </c>
      <c r="O7087">
        <v>-0.77607599999999999</v>
      </c>
      <c r="P7087">
        <v>0.71545590000000003</v>
      </c>
      <c r="Q7087">
        <v>5.4506440000000003E-2</v>
      </c>
      <c r="R7087">
        <v>-0.69652890000000001</v>
      </c>
      <c r="S7087">
        <v>3.4384459999999999</v>
      </c>
      <c r="T7087">
        <v>0.33971020000000002</v>
      </c>
      <c r="U7087">
        <v>-0.7780762</v>
      </c>
      <c r="V7087">
        <v>-0.1171537</v>
      </c>
      <c r="W7087">
        <v>6.5163020000000002E-2</v>
      </c>
      <c r="X7087">
        <v>0.99097369999999996</v>
      </c>
      <c r="Y7087">
        <v>-0.61245469999999902</v>
      </c>
      <c r="Z7087">
        <v>-9.5309430000000001E-2</v>
      </c>
      <c r="AA7087">
        <v>0.78473909999999902</v>
      </c>
      <c r="AB7087">
        <v>23</v>
      </c>
      <c r="AC7087">
        <v>86.5916</v>
      </c>
      <c r="AD7087">
        <v>8.5692310000000003</v>
      </c>
      <c r="AE7087">
        <v>-19.465009999999999</v>
      </c>
      <c r="AF7087">
        <v>-54.425741895700199</v>
      </c>
      <c r="AG7087">
        <v>8.5692310000000003</v>
      </c>
      <c r="AH7087">
        <v>69.065153373368403</v>
      </c>
      <c r="AI7087">
        <v>84.433977457085504</v>
      </c>
      <c r="AJ7087">
        <v>128.239338752191</v>
      </c>
      <c r="AK7087">
        <v>88.349241713303002</v>
      </c>
      <c r="AL7087">
        <v>86.2637868101409</v>
      </c>
      <c r="AM7087">
        <v>96.742258611345704</v>
      </c>
      <c r="AN7087">
        <v>1.00000004134544</v>
      </c>
    </row>
    <row r="7088" spans="1:40" x14ac:dyDescent="0.25">
      <c r="A7088" t="str">
        <f>"20190312160511745"</f>
        <v>20190312160511745</v>
      </c>
      <c r="B7088" t="str">
        <f>"1552377911742339"</f>
        <v>1552377911742339</v>
      </c>
      <c r="C7088" t="s">
        <v>40</v>
      </c>
      <c r="D7088">
        <v>5.48177</v>
      </c>
      <c r="E7088">
        <v>0.32545619999999997</v>
      </c>
      <c r="F7088" t="s">
        <v>43</v>
      </c>
      <c r="G7088">
        <v>-248.33439999999999</v>
      </c>
      <c r="H7088">
        <v>-0.05</v>
      </c>
      <c r="I7088">
        <v>-78.571269999999998</v>
      </c>
      <c r="J7088">
        <v>-294.91210000000001</v>
      </c>
      <c r="K7088">
        <v>1.116903</v>
      </c>
      <c r="L7088">
        <v>-62.515810000000002</v>
      </c>
      <c r="M7088">
        <v>0.63893500000000003</v>
      </c>
      <c r="N7088">
        <v>0</v>
      </c>
      <c r="O7088">
        <v>-0.76915659999999997</v>
      </c>
      <c r="P7088">
        <v>0.72337810000000002</v>
      </c>
      <c r="Q7088">
        <v>5.4479329999999999E-2</v>
      </c>
      <c r="R7088">
        <v>-0.68829980000000002</v>
      </c>
      <c r="S7088">
        <v>3.13855</v>
      </c>
      <c r="T7088">
        <v>-7.8377009999999997E-2</v>
      </c>
      <c r="U7088">
        <v>-1.0893550000000001</v>
      </c>
      <c r="V7088">
        <v>-0.117697</v>
      </c>
      <c r="W7088">
        <v>6.5122100000000002E-2</v>
      </c>
      <c r="X7088">
        <v>0.99091200000000002</v>
      </c>
      <c r="Y7088">
        <v>-0.516876</v>
      </c>
      <c r="Z7088">
        <v>2.2341119999999999E-2</v>
      </c>
      <c r="AA7088">
        <v>0.85576869999999905</v>
      </c>
      <c r="AB7088">
        <v>23</v>
      </c>
      <c r="AC7088">
        <v>46.5777</v>
      </c>
      <c r="AD7088">
        <v>-1.166903</v>
      </c>
      <c r="AE7088">
        <v>-16.05546</v>
      </c>
      <c r="AF7088">
        <v>-25.5548621258528</v>
      </c>
      <c r="AG7088">
        <v>-1.166903</v>
      </c>
      <c r="AH7088">
        <v>42.089047500767499</v>
      </c>
      <c r="AI7088">
        <v>91.357567798988896</v>
      </c>
      <c r="AJ7088">
        <v>121.264524991763</v>
      </c>
      <c r="AK7088">
        <v>49.253431965748597</v>
      </c>
      <c r="AL7088">
        <v>86.266136307875797</v>
      </c>
      <c r="AM7088">
        <v>96.773653812838702</v>
      </c>
      <c r="AN7088">
        <v>1.0000000317307001</v>
      </c>
    </row>
    <row r="7089" spans="1:40" x14ac:dyDescent="0.25">
      <c r="A7089" t="str">
        <f>"20190312160511768"</f>
        <v>20190312160511768</v>
      </c>
      <c r="B7089" t="str">
        <f>"1552377911761857"</f>
        <v>1552377911761857</v>
      </c>
      <c r="C7089" t="s">
        <v>40</v>
      </c>
      <c r="D7089">
        <v>5.8553579999999998</v>
      </c>
      <c r="E7089">
        <v>0.3260441</v>
      </c>
      <c r="F7089" t="s">
        <v>43</v>
      </c>
      <c r="G7089">
        <v>-250.14680000000001</v>
      </c>
      <c r="H7089">
        <v>-0.05</v>
      </c>
      <c r="I7089">
        <v>-77.741489999999999</v>
      </c>
      <c r="J7089">
        <v>-294.7602</v>
      </c>
      <c r="K7089">
        <v>1.116965</v>
      </c>
      <c r="L7089">
        <v>-62.678989999999999</v>
      </c>
      <c r="M7089">
        <v>0.64750339999999995</v>
      </c>
      <c r="N7089">
        <v>0</v>
      </c>
      <c r="O7089">
        <v>-0.76195729999999995</v>
      </c>
      <c r="P7089">
        <v>0.73121669999999905</v>
      </c>
      <c r="Q7089">
        <v>5.4249039999999998E-2</v>
      </c>
      <c r="R7089">
        <v>-0.67998499999999995</v>
      </c>
      <c r="S7089">
        <v>3.1378780000000002</v>
      </c>
      <c r="T7089">
        <v>-8.1795450000000006E-2</v>
      </c>
      <c r="U7089">
        <v>-1.067261</v>
      </c>
      <c r="V7089">
        <v>-0.1179559</v>
      </c>
      <c r="W7089">
        <v>6.4877039999999997E-2</v>
      </c>
      <c r="X7089">
        <v>0.99089720000000003</v>
      </c>
      <c r="Y7089">
        <v>-0.51259699999999997</v>
      </c>
      <c r="Z7089">
        <v>2.320844E-2</v>
      </c>
      <c r="AA7089">
        <v>0.85831559999999996</v>
      </c>
      <c r="AB7089">
        <v>23</v>
      </c>
      <c r="AC7089">
        <v>44.613399999999899</v>
      </c>
      <c r="AD7089">
        <v>-1.166965</v>
      </c>
      <c r="AE7089">
        <v>-15.0625</v>
      </c>
      <c r="AF7089">
        <v>-24.2275500440741</v>
      </c>
      <c r="AG7089">
        <v>-1.166965</v>
      </c>
      <c r="AH7089">
        <v>40.342769825943499</v>
      </c>
      <c r="AI7089">
        <v>91.420536253554701</v>
      </c>
      <c r="AJ7089">
        <v>120.986608472016</v>
      </c>
      <c r="AK7089">
        <v>47.0730821773803</v>
      </c>
      <c r="AL7089">
        <v>86.280206635316503</v>
      </c>
      <c r="AM7089">
        <v>96.788515474749801</v>
      </c>
      <c r="AN7089">
        <v>0.99999994281590399</v>
      </c>
    </row>
    <row r="7090" spans="1:40" x14ac:dyDescent="0.25">
      <c r="A7090" t="str">
        <f>"20190312160511790"</f>
        <v>20190312160511790</v>
      </c>
      <c r="B7090" t="str">
        <f>"1552377911782354"</f>
        <v>1552377911782354</v>
      </c>
      <c r="C7090" t="s">
        <v>40</v>
      </c>
      <c r="D7090">
        <v>5.5412790000000003</v>
      </c>
      <c r="E7090">
        <v>0.2737385</v>
      </c>
      <c r="F7090" t="s">
        <v>43</v>
      </c>
      <c r="G7090">
        <v>-250.6688</v>
      </c>
      <c r="H7090">
        <v>-0.05</v>
      </c>
      <c r="I7090">
        <v>-77.176999999999893</v>
      </c>
      <c r="J7090">
        <v>-294.61059999999998</v>
      </c>
      <c r="K7090">
        <v>1.117024</v>
      </c>
      <c r="L7090">
        <v>-62.835720000000002</v>
      </c>
      <c r="M7090">
        <v>0.65584359999999997</v>
      </c>
      <c r="N7090">
        <v>0</v>
      </c>
      <c r="O7090">
        <v>-0.75479039999999997</v>
      </c>
      <c r="P7090">
        <v>0.73843419999999904</v>
      </c>
      <c r="Q7090">
        <v>5.341013E-2</v>
      </c>
      <c r="R7090">
        <v>-0.67220709999999995</v>
      </c>
      <c r="S7090">
        <v>3.1467290000000001</v>
      </c>
      <c r="T7090">
        <v>-8.3284380000000005E-2</v>
      </c>
      <c r="U7090">
        <v>-1.0346979999999999</v>
      </c>
      <c r="V7090">
        <v>-0.1175904</v>
      </c>
      <c r="W7090">
        <v>6.4034309999999997E-2</v>
      </c>
      <c r="X7090">
        <v>0.99099550000000003</v>
      </c>
      <c r="Y7090">
        <v>-0.51187159999999998</v>
      </c>
      <c r="Z7090">
        <v>2.3514739999999999E-2</v>
      </c>
      <c r="AA7090">
        <v>0.85873999999999995</v>
      </c>
      <c r="AB7090">
        <v>23</v>
      </c>
      <c r="AC7090">
        <v>43.941799999999901</v>
      </c>
      <c r="AD7090">
        <v>-1.1670240000000001</v>
      </c>
      <c r="AE7090">
        <v>-14.3412799999999</v>
      </c>
      <c r="AF7090">
        <v>-23.747982504181198</v>
      </c>
      <c r="AG7090">
        <v>-1.1670240000000001</v>
      </c>
      <c r="AH7090">
        <v>39.621536296909703</v>
      </c>
      <c r="AI7090">
        <v>91.447204329258398</v>
      </c>
      <c r="AJ7090">
        <v>120.937231445785</v>
      </c>
      <c r="AK7090">
        <v>46.208167639096096</v>
      </c>
      <c r="AL7090">
        <v>86.328592292212804</v>
      </c>
      <c r="AM7090">
        <v>96.767010798566403</v>
      </c>
      <c r="AN7090">
        <v>0.99999998802479295</v>
      </c>
    </row>
    <row r="7091" spans="1:40" x14ac:dyDescent="0.25">
      <c r="A7091" t="str">
        <f>"20190312160511836"</f>
        <v>20190312160511836</v>
      </c>
      <c r="B7091" t="str">
        <f>"1552377911832130"</f>
        <v>1552377911832130</v>
      </c>
      <c r="C7091" t="s">
        <v>40</v>
      </c>
      <c r="D7091">
        <v>5.9400680000000001</v>
      </c>
      <c r="E7091">
        <v>0.33341999999999999</v>
      </c>
      <c r="F7091" t="s">
        <v>58</v>
      </c>
      <c r="G7091">
        <v>-197.28649999999999</v>
      </c>
      <c r="H7091">
        <v>16.077200000000001</v>
      </c>
      <c r="I7091">
        <v>-81.820499999999996</v>
      </c>
      <c r="J7091">
        <v>-294.29629999999997</v>
      </c>
      <c r="K7091">
        <v>1.1171340000000001</v>
      </c>
      <c r="L7091">
        <v>-63.153559999999999</v>
      </c>
      <c r="M7091">
        <v>0.67301330000000004</v>
      </c>
      <c r="N7091">
        <v>0</v>
      </c>
      <c r="O7091">
        <v>-0.73952130000000005</v>
      </c>
      <c r="P7091">
        <v>0.75346020000000002</v>
      </c>
      <c r="Q7091">
        <v>5.0021950000000003E-2</v>
      </c>
      <c r="R7091">
        <v>-0.65558830000000001</v>
      </c>
      <c r="S7091">
        <v>3.4177249999999999</v>
      </c>
      <c r="T7091">
        <v>0.52535580000000004</v>
      </c>
      <c r="U7091">
        <v>-0.66668700000000003</v>
      </c>
      <c r="V7091">
        <v>-0.1170336</v>
      </c>
      <c r="W7091">
        <v>6.0643460000000003E-2</v>
      </c>
      <c r="X7091">
        <v>0.99127469999999995</v>
      </c>
      <c r="Y7091">
        <v>-0.58417540000000001</v>
      </c>
      <c r="Z7091">
        <v>-0.14338919999999999</v>
      </c>
      <c r="AA7091">
        <v>0.79886080000000004</v>
      </c>
      <c r="AB7091">
        <v>23</v>
      </c>
      <c r="AC7091">
        <v>97.009799999999899</v>
      </c>
      <c r="AD7091">
        <v>14.960065999999999</v>
      </c>
      <c r="AE7091">
        <v>-18.66694</v>
      </c>
      <c r="AF7091">
        <v>-57.8557295173417</v>
      </c>
      <c r="AG7091">
        <v>14.960065999999999</v>
      </c>
      <c r="AH7091">
        <v>77.326597236240801</v>
      </c>
      <c r="AI7091">
        <v>81.194495727016104</v>
      </c>
      <c r="AJ7091">
        <v>126.80382135465899</v>
      </c>
      <c r="AK7091">
        <v>97.726616910870106</v>
      </c>
      <c r="AL7091">
        <v>86.523252471905593</v>
      </c>
      <c r="AM7091">
        <v>96.733383903183906</v>
      </c>
      <c r="AN7091">
        <v>1.0000000118149099</v>
      </c>
    </row>
    <row r="7092" spans="1:40" x14ac:dyDescent="0.25">
      <c r="A7092" t="str">
        <f>"20190312160511879"</f>
        <v>20190312160511879</v>
      </c>
      <c r="B7092" t="str">
        <f>"1552377911872146"</f>
        <v>1552377911872146</v>
      </c>
      <c r="C7092" t="s">
        <v>40</v>
      </c>
      <c r="D7092">
        <v>5.5800330000000002</v>
      </c>
      <c r="E7092">
        <v>0.34124120000000002</v>
      </c>
      <c r="F7092" t="s">
        <v>49</v>
      </c>
      <c r="G7092">
        <v>-293.3707</v>
      </c>
      <c r="H7092">
        <v>1.079761</v>
      </c>
      <c r="I7092">
        <v>-63.441009999999999</v>
      </c>
      <c r="J7092">
        <v>-293.9796</v>
      </c>
      <c r="K7092">
        <v>1.1172439999999999</v>
      </c>
      <c r="L7092">
        <v>-63.459009999999999</v>
      </c>
      <c r="M7092">
        <v>0.68985030000000003</v>
      </c>
      <c r="N7092">
        <v>0</v>
      </c>
      <c r="O7092">
        <v>-0.72384019999999905</v>
      </c>
      <c r="P7092">
        <v>0.76866499999999904</v>
      </c>
      <c r="Q7092">
        <v>4.8317100000000002E-2</v>
      </c>
      <c r="R7092">
        <v>-0.63782380000000005</v>
      </c>
      <c r="S7092">
        <v>3.1412049999999998</v>
      </c>
      <c r="T7092">
        <v>-0.12683649999999999</v>
      </c>
      <c r="U7092">
        <v>-0.97558590000000001</v>
      </c>
      <c r="V7092">
        <v>-0.11742809999999999</v>
      </c>
      <c r="W7092">
        <v>5.8921349999999997E-2</v>
      </c>
      <c r="X7092">
        <v>0.99133190000000004</v>
      </c>
      <c r="Y7092">
        <v>-0.48593979999999998</v>
      </c>
      <c r="Z7092">
        <v>3.479674E-2</v>
      </c>
      <c r="AA7092">
        <v>0.87329939999999995</v>
      </c>
      <c r="AB7092">
        <v>23</v>
      </c>
      <c r="AC7092">
        <v>0.60890000000000499</v>
      </c>
      <c r="AD7092">
        <v>-3.74830000000001E-2</v>
      </c>
      <c r="AE7092">
        <v>1.8000000000000599E-2</v>
      </c>
      <c r="AF7092">
        <v>-0.45149088716615499</v>
      </c>
      <c r="AG7092">
        <v>-3.74830000000001E-2</v>
      </c>
      <c r="AH7092">
        <v>0.405518330501008</v>
      </c>
      <c r="AI7092">
        <v>93.534363163741205</v>
      </c>
      <c r="AJ7092">
        <v>138.07057523800199</v>
      </c>
      <c r="AK7092">
        <v>0.60802476335705802</v>
      </c>
      <c r="AL7092">
        <v>86.622098905539801</v>
      </c>
      <c r="AM7092">
        <v>96.755485317845796</v>
      </c>
      <c r="AN7092">
        <v>1.0000000100565201</v>
      </c>
    </row>
    <row r="7093" spans="1:40" x14ac:dyDescent="0.25">
      <c r="A7093" t="str">
        <f>"20190312160511901"</f>
        <v>20190312160511901</v>
      </c>
      <c r="B7093" t="str">
        <f>"1552377911892641"</f>
        <v>1552377911892641</v>
      </c>
      <c r="C7093" t="s">
        <v>40</v>
      </c>
      <c r="D7093">
        <v>6.7691399999999904</v>
      </c>
      <c r="E7093">
        <v>0.34001979999999998</v>
      </c>
      <c r="F7093" t="s">
        <v>49</v>
      </c>
      <c r="G7093">
        <v>-293.1026</v>
      </c>
      <c r="H7093">
        <v>1.072829</v>
      </c>
      <c r="I7093">
        <v>-63.72589</v>
      </c>
      <c r="J7093">
        <v>-293.82069999999999</v>
      </c>
      <c r="K7093">
        <v>1.1172869999999999</v>
      </c>
      <c r="L7093">
        <v>-63.606960000000001</v>
      </c>
      <c r="M7093">
        <v>0.69812510000000005</v>
      </c>
      <c r="N7093">
        <v>0</v>
      </c>
      <c r="O7093">
        <v>-0.71586260000000002</v>
      </c>
      <c r="P7093">
        <v>0.77637080000000003</v>
      </c>
      <c r="Q7093">
        <v>4.7028760000000003E-2</v>
      </c>
      <c r="R7093">
        <v>-0.62851959999999996</v>
      </c>
      <c r="S7093">
        <v>3.1240230000000002</v>
      </c>
      <c r="T7093">
        <v>-0.15819849999999999</v>
      </c>
      <c r="U7093">
        <v>-0.95059199999999999</v>
      </c>
      <c r="V7093">
        <v>-0.1180156</v>
      </c>
      <c r="W7093">
        <v>5.761989E-2</v>
      </c>
      <c r="X7093">
        <v>0.99133859999999996</v>
      </c>
      <c r="Y7093">
        <v>-0.4804813</v>
      </c>
      <c r="Z7093">
        <v>4.3310269999999998E-2</v>
      </c>
      <c r="AA7093">
        <v>0.87593489999999996</v>
      </c>
      <c r="AB7093">
        <v>23</v>
      </c>
      <c r="AC7093">
        <v>0.71809999999999197</v>
      </c>
      <c r="AD7093">
        <v>-4.4458000000000102E-2</v>
      </c>
      <c r="AE7093">
        <v>-0.118929999999998</v>
      </c>
      <c r="AF7093">
        <v>-0.42946568815155001</v>
      </c>
      <c r="AG7093">
        <v>-4.4458000000000102E-2</v>
      </c>
      <c r="AH7093">
        <v>0.58432881262901704</v>
      </c>
      <c r="AI7093">
        <v>93.5082103657018</v>
      </c>
      <c r="AJ7093">
        <v>126.314868508537</v>
      </c>
      <c r="AK7093">
        <v>0.72653799097632898</v>
      </c>
      <c r="AL7093">
        <v>86.696793885166599</v>
      </c>
      <c r="AM7093">
        <v>96.788923284590794</v>
      </c>
      <c r="AN7093">
        <v>0.99999997670846497</v>
      </c>
    </row>
    <row r="7094" spans="1:40" x14ac:dyDescent="0.25">
      <c r="A7094" t="str">
        <f>"20190312160511924"</f>
        <v>20190312160511924</v>
      </c>
      <c r="B7094" t="str">
        <f>"1552377911921922"</f>
        <v>1552377911921922</v>
      </c>
      <c r="C7094" t="s">
        <v>40</v>
      </c>
      <c r="D7094">
        <v>5.5694800000000004</v>
      </c>
      <c r="E7094">
        <v>0.34017609999999998</v>
      </c>
      <c r="F7094" t="s">
        <v>49</v>
      </c>
      <c r="G7094">
        <v>-292.95729999999998</v>
      </c>
      <c r="H7094">
        <v>1.0772619999999999</v>
      </c>
      <c r="I7094">
        <v>-63.855879999999999</v>
      </c>
      <c r="J7094">
        <v>-293.65690000000001</v>
      </c>
      <c r="K7094">
        <v>1.1173310000000001</v>
      </c>
      <c r="L7094">
        <v>-63.755890000000001</v>
      </c>
      <c r="M7094">
        <v>0.70652369999999898</v>
      </c>
      <c r="N7094">
        <v>0</v>
      </c>
      <c r="O7094">
        <v>-0.707574699999999</v>
      </c>
      <c r="P7094">
        <v>0.78444510000000001</v>
      </c>
      <c r="Q7094">
        <v>4.5578519999999997E-2</v>
      </c>
      <c r="R7094">
        <v>-0.61852149999999995</v>
      </c>
      <c r="S7094">
        <v>3.1404719999999999</v>
      </c>
      <c r="T7094">
        <v>-0.14554779999999901</v>
      </c>
      <c r="U7094">
        <v>-0.90475459999999996</v>
      </c>
      <c r="V7094">
        <v>-0.11906129999999999</v>
      </c>
      <c r="W7094">
        <v>5.6148379999999998E-2</v>
      </c>
      <c r="X7094">
        <v>0.99129800000000001</v>
      </c>
      <c r="Y7094">
        <v>-0.4833615</v>
      </c>
      <c r="Z7094">
        <v>3.9600040000000003E-2</v>
      </c>
      <c r="AA7094">
        <v>0.87452469999999904</v>
      </c>
      <c r="AB7094">
        <v>23</v>
      </c>
      <c r="AC7094">
        <v>0.69960000000003197</v>
      </c>
      <c r="AD7094">
        <v>-4.0068999999999598E-2</v>
      </c>
      <c r="AE7094">
        <v>-9.9990000000005297E-2</v>
      </c>
      <c r="AF7094">
        <v>-0.42304844096094801</v>
      </c>
      <c r="AG7094">
        <v>-4.0068999999999598E-2</v>
      </c>
      <c r="AH7094">
        <v>0.56326951340822695</v>
      </c>
      <c r="AI7094">
        <v>93.255490516338099</v>
      </c>
      <c r="AJ7094">
        <v>126.90869791802101</v>
      </c>
      <c r="AK7094">
        <v>0.70558348400145299</v>
      </c>
      <c r="AL7094">
        <v>86.781241955032101</v>
      </c>
      <c r="AM7094">
        <v>96.848786822145598</v>
      </c>
      <c r="AN7094">
        <v>0.99999997926915696</v>
      </c>
    </row>
    <row r="7095" spans="1:40" x14ac:dyDescent="0.25">
      <c r="A7095" t="str">
        <f>"20190312160511947"</f>
        <v>20190312160511947</v>
      </c>
      <c r="B7095" t="str">
        <f>"1552377911942418"</f>
        <v>1552377911942418</v>
      </c>
      <c r="C7095" t="s">
        <v>40</v>
      </c>
      <c r="D7095">
        <v>5.5270619999999999</v>
      </c>
      <c r="E7095">
        <v>0.34219660000000002</v>
      </c>
      <c r="F7095" t="s">
        <v>49</v>
      </c>
      <c r="G7095">
        <v>-292.81380000000001</v>
      </c>
      <c r="H7095">
        <v>1.079218</v>
      </c>
      <c r="I7095">
        <v>-63.987299999999998</v>
      </c>
      <c r="J7095">
        <v>-293.49169999999998</v>
      </c>
      <c r="K7095">
        <v>1.117362</v>
      </c>
      <c r="L7095">
        <v>-63.902470000000001</v>
      </c>
      <c r="M7095">
        <v>0.71485109999999996</v>
      </c>
      <c r="N7095">
        <v>0</v>
      </c>
      <c r="O7095">
        <v>-0.69916020000000001</v>
      </c>
      <c r="P7095">
        <v>0.79274869999999897</v>
      </c>
      <c r="Q7095">
        <v>4.4446899999999998E-2</v>
      </c>
      <c r="R7095">
        <v>-0.60792599999999997</v>
      </c>
      <c r="S7095">
        <v>3.150665</v>
      </c>
      <c r="T7095">
        <v>-0.14242569999999999</v>
      </c>
      <c r="U7095">
        <v>-0.86489869999999902</v>
      </c>
      <c r="V7095">
        <v>-0.12067609999999999</v>
      </c>
      <c r="W7095">
        <v>5.4985270000000003E-2</v>
      </c>
      <c r="X7095">
        <v>0.99116800000000005</v>
      </c>
      <c r="Y7095">
        <v>-0.48405599999999999</v>
      </c>
      <c r="Z7095">
        <v>3.8503580000000003E-2</v>
      </c>
      <c r="AA7095">
        <v>0.87418960000000001</v>
      </c>
      <c r="AB7095">
        <v>23</v>
      </c>
      <c r="AC7095">
        <v>0.67789999999996498</v>
      </c>
      <c r="AD7095">
        <v>-3.8144000000000101E-2</v>
      </c>
      <c r="AE7095">
        <v>-8.4830000000003694E-2</v>
      </c>
      <c r="AF7095">
        <v>-0.41206902695611902</v>
      </c>
      <c r="AG7095">
        <v>-3.8144000000000101E-2</v>
      </c>
      <c r="AH7095">
        <v>0.54226126233924399</v>
      </c>
      <c r="AI7095">
        <v>93.205586316775594</v>
      </c>
      <c r="AJ7095">
        <v>127.231516367791</v>
      </c>
      <c r="AK7095">
        <v>0.68213131019351003</v>
      </c>
      <c r="AL7095">
        <v>86.847986607891301</v>
      </c>
      <c r="AM7095">
        <v>96.941676631987804</v>
      </c>
      <c r="AN7095">
        <v>1.0000000526260899</v>
      </c>
    </row>
    <row r="7096" spans="1:40" x14ac:dyDescent="0.25">
      <c r="A7096" t="str">
        <f>"20190312160511969"</f>
        <v>20190312160511969</v>
      </c>
      <c r="B7096" t="str">
        <f>"1552377911961938"</f>
        <v>1552377911961938</v>
      </c>
      <c r="C7096" t="s">
        <v>40</v>
      </c>
      <c r="D7096">
        <v>7.5892549999999996</v>
      </c>
      <c r="E7096">
        <v>0.28024500000000002</v>
      </c>
      <c r="F7096" t="s">
        <v>49</v>
      </c>
      <c r="G7096">
        <v>-292.65649999999999</v>
      </c>
      <c r="H7096">
        <v>1.0767329999999999</v>
      </c>
      <c r="I7096">
        <v>-64.124020000000002</v>
      </c>
      <c r="J7096">
        <v>-293.32409999999999</v>
      </c>
      <c r="K7096">
        <v>1.1173900000000001</v>
      </c>
      <c r="L7096">
        <v>-64.047359999999998</v>
      </c>
      <c r="M7096">
        <v>0.7231474</v>
      </c>
      <c r="N7096">
        <v>0</v>
      </c>
      <c r="O7096">
        <v>-0.69057579999999996</v>
      </c>
      <c r="P7096">
        <v>0.80080059999999997</v>
      </c>
      <c r="Q7096">
        <v>4.2764089999999998E-2</v>
      </c>
      <c r="R7096">
        <v>-0.59740249999999995</v>
      </c>
      <c r="S7096">
        <v>3.1521300000000001</v>
      </c>
      <c r="T7096">
        <v>-0.15330289999999999</v>
      </c>
      <c r="U7096">
        <v>-0.83557130000000002</v>
      </c>
      <c r="V7096">
        <v>-0.12197280000000001</v>
      </c>
      <c r="W7096">
        <v>5.327784E-2</v>
      </c>
      <c r="X7096">
        <v>0.9911025</v>
      </c>
      <c r="Y7096">
        <v>-0.48114760000000001</v>
      </c>
      <c r="Z7096">
        <v>4.1156739999999997E-2</v>
      </c>
      <c r="AA7096">
        <v>0.87567289999999998</v>
      </c>
      <c r="AB7096">
        <v>23</v>
      </c>
      <c r="AC7096">
        <v>0.66759999999999298</v>
      </c>
      <c r="AD7096">
        <v>-4.0656999999999902E-2</v>
      </c>
      <c r="AE7096">
        <v>-7.6660000000003906E-2</v>
      </c>
      <c r="AF7096">
        <v>-0.40414556052849399</v>
      </c>
      <c r="AG7096">
        <v>-4.0656999999999902E-2</v>
      </c>
      <c r="AH7096">
        <v>0.53380236295430405</v>
      </c>
      <c r="AI7096">
        <v>93.474969543126903</v>
      </c>
      <c r="AJ7096">
        <v>127.129622313455</v>
      </c>
      <c r="AK7096">
        <v>0.67076940034522303</v>
      </c>
      <c r="AL7096">
        <v>86.945958720445404</v>
      </c>
      <c r="AM7096">
        <v>97.015986588230106</v>
      </c>
      <c r="AN7096">
        <v>1.0000000288405699</v>
      </c>
    </row>
    <row r="7097" spans="1:40" x14ac:dyDescent="0.25">
      <c r="A7097" t="str">
        <f>"20190312160511991"</f>
        <v>20190312160511991</v>
      </c>
      <c r="B7097" t="str">
        <f>"1552377911982434"</f>
        <v>1552377911982434</v>
      </c>
      <c r="C7097" t="s">
        <v>40</v>
      </c>
      <c r="D7097">
        <v>5.1768549999999998</v>
      </c>
      <c r="E7097">
        <v>0.34392070000000002</v>
      </c>
      <c r="F7097" t="s">
        <v>45</v>
      </c>
      <c r="G7097">
        <v>0</v>
      </c>
      <c r="H7097">
        <v>0</v>
      </c>
      <c r="I7097">
        <v>0</v>
      </c>
      <c r="J7097">
        <v>-293.15699999999998</v>
      </c>
      <c r="K7097">
        <v>1.117407</v>
      </c>
      <c r="L7097">
        <v>-64.18826</v>
      </c>
      <c r="M7097">
        <v>0.73125479999999998</v>
      </c>
      <c r="N7097">
        <v>0</v>
      </c>
      <c r="O7097">
        <v>-0.68198499999999995</v>
      </c>
      <c r="P7097">
        <v>0.80834879999999998</v>
      </c>
      <c r="Q7097">
        <v>4.1037749999999998E-2</v>
      </c>
      <c r="R7097">
        <v>-0.58727200000000002</v>
      </c>
      <c r="S7097">
        <v>3.4533999999999998</v>
      </c>
      <c r="T7097">
        <v>1.3595579999999999E-2</v>
      </c>
      <c r="U7097">
        <v>-0.39154050000000001</v>
      </c>
      <c r="V7097">
        <v>-0.1227779</v>
      </c>
      <c r="W7097">
        <v>5.1538809999999997E-2</v>
      </c>
      <c r="X7097">
        <v>0.99109499999999995</v>
      </c>
      <c r="Y7097">
        <v>-0.59530260000000002</v>
      </c>
      <c r="Z7097">
        <v>-3.6122810000000002E-3</v>
      </c>
      <c r="AA7097">
        <v>0.80349349999999997</v>
      </c>
      <c r="AB7097">
        <v>23</v>
      </c>
      <c r="AC7097">
        <v>3.4533999999999998</v>
      </c>
      <c r="AD7097">
        <v>1.3595579999999999E-2</v>
      </c>
      <c r="AE7097">
        <v>-0.39154050000000001</v>
      </c>
      <c r="AF7097">
        <v>-2.0689879738382801</v>
      </c>
      <c r="AG7097">
        <v>1.3595579999999999E-2</v>
      </c>
      <c r="AH7097">
        <v>2.7925247744911599</v>
      </c>
      <c r="AI7097">
        <v>89.775867745954002</v>
      </c>
      <c r="AJ7097">
        <v>126.53483125096101</v>
      </c>
      <c r="AK7097">
        <v>3.4754986249213098</v>
      </c>
      <c r="AL7097">
        <v>87.045734784815394</v>
      </c>
      <c r="AM7097">
        <v>97.061883504310302</v>
      </c>
      <c r="AN7097">
        <v>0.99999998034481197</v>
      </c>
    </row>
    <row r="7098" spans="1:40" x14ac:dyDescent="0.25">
      <c r="A7098" t="str">
        <f>"20190312160512013"</f>
        <v>20190312160512013</v>
      </c>
      <c r="B7098" t="str">
        <f>"1552377912002592"</f>
        <v>1552377912002592</v>
      </c>
      <c r="C7098" t="s">
        <v>40</v>
      </c>
      <c r="D7098">
        <v>5.6568449999999997</v>
      </c>
      <c r="E7098">
        <v>0.34354649999999998</v>
      </c>
      <c r="F7098" t="s">
        <v>49</v>
      </c>
      <c r="G7098">
        <v>-292.18130000000002</v>
      </c>
      <c r="H7098">
        <v>1.0793140000000001</v>
      </c>
      <c r="I7098">
        <v>-64.423640000000006</v>
      </c>
      <c r="J7098">
        <v>-292.98610000000002</v>
      </c>
      <c r="K7098">
        <v>1.117418</v>
      </c>
      <c r="L7098">
        <v>-64.328980000000001</v>
      </c>
      <c r="M7098">
        <v>0.73938230000000005</v>
      </c>
      <c r="N7098">
        <v>0</v>
      </c>
      <c r="O7098">
        <v>-0.67316450000000005</v>
      </c>
      <c r="P7098">
        <v>0.81553439999999999</v>
      </c>
      <c r="Q7098">
        <v>4.0331400000000003E-2</v>
      </c>
      <c r="R7098">
        <v>-0.57730170000000003</v>
      </c>
      <c r="S7098">
        <v>3.1630250000000002</v>
      </c>
      <c r="T7098">
        <v>-0.12350170000000001</v>
      </c>
      <c r="U7098">
        <v>-0.76333619999999902</v>
      </c>
      <c r="V7098">
        <v>-0.1230731</v>
      </c>
      <c r="W7098">
        <v>5.0830680000000003E-2</v>
      </c>
      <c r="X7098">
        <v>0.99109499999999995</v>
      </c>
      <c r="Y7098">
        <v>-0.48023369999999999</v>
      </c>
      <c r="Z7098">
        <v>3.271889E-2</v>
      </c>
      <c r="AA7098">
        <v>0.87653019999999904</v>
      </c>
      <c r="AB7098">
        <v>23</v>
      </c>
      <c r="AC7098">
        <v>0.80479999999999996</v>
      </c>
      <c r="AD7098">
        <v>-3.8104000000000103E-2</v>
      </c>
      <c r="AE7098">
        <v>-9.4660000000004602E-2</v>
      </c>
      <c r="AF7098">
        <v>-0.470770506350012</v>
      </c>
      <c r="AG7098">
        <v>-3.8104000000000103E-2</v>
      </c>
      <c r="AH7098">
        <v>0.65737695332763402</v>
      </c>
      <c r="AI7098">
        <v>92.698110549213297</v>
      </c>
      <c r="AJ7098">
        <v>125.607768717241</v>
      </c>
      <c r="AK7098">
        <v>0.80945737579650701</v>
      </c>
      <c r="AL7098">
        <v>87.086361022382206</v>
      </c>
      <c r="AM7098">
        <v>97.078690636747595</v>
      </c>
      <c r="AN7098">
        <v>1.0000000224989301</v>
      </c>
    </row>
    <row r="7099" spans="1:40" x14ac:dyDescent="0.25">
      <c r="A7099" t="str">
        <f>"20190312160512035"</f>
        <v>20190312160512035</v>
      </c>
      <c r="B7099" t="str">
        <f>"1552377912031873"</f>
        <v>1552377912031873</v>
      </c>
      <c r="C7099" t="s">
        <v>40</v>
      </c>
      <c r="D7099">
        <v>7.9118839999999997</v>
      </c>
      <c r="E7099">
        <v>0.34537600000000002</v>
      </c>
      <c r="F7099" t="s">
        <v>41</v>
      </c>
      <c r="G7099">
        <v>-263.28059999999999</v>
      </c>
      <c r="H7099">
        <v>7.9986909999999994E-2</v>
      </c>
      <c r="I7099">
        <v>-71.0792</v>
      </c>
      <c r="J7099">
        <v>-292.8152</v>
      </c>
      <c r="K7099">
        <v>1.1174170000000001</v>
      </c>
      <c r="L7099">
        <v>-64.466250000000002</v>
      </c>
      <c r="M7099">
        <v>0.74733159999999998</v>
      </c>
      <c r="N7099">
        <v>0</v>
      </c>
      <c r="O7099">
        <v>-0.66432829999999998</v>
      </c>
      <c r="P7099">
        <v>0.82242950000000004</v>
      </c>
      <c r="Q7099">
        <v>3.9960589999999997E-2</v>
      </c>
      <c r="R7099">
        <v>-0.56746219999999903</v>
      </c>
      <c r="S7099">
        <v>3.1735530000000001</v>
      </c>
      <c r="T7099">
        <v>-0.1108329</v>
      </c>
      <c r="U7099">
        <v>-0.72116089999999999</v>
      </c>
      <c r="V7099">
        <v>-0.12320490000000001</v>
      </c>
      <c r="W7099">
        <v>5.0462079999999999E-2</v>
      </c>
      <c r="X7099">
        <v>0.99109749999999996</v>
      </c>
      <c r="Y7099">
        <v>-0.48166389999999998</v>
      </c>
      <c r="Z7099">
        <v>2.9149990000000001E-2</v>
      </c>
      <c r="AA7099">
        <v>0.87587109999999901</v>
      </c>
      <c r="AB7099">
        <v>23</v>
      </c>
      <c r="AC7099">
        <v>29.534600000000001</v>
      </c>
      <c r="AD7099">
        <v>-1.03743009</v>
      </c>
      <c r="AE7099">
        <v>-6.6129499999999899</v>
      </c>
      <c r="AF7099">
        <v>-14.6625759568182</v>
      </c>
      <c r="AG7099">
        <v>-1.03743009</v>
      </c>
      <c r="AH7099">
        <v>26.436411186870501</v>
      </c>
      <c r="AI7099">
        <v>91.965475706289098</v>
      </c>
      <c r="AJ7099">
        <v>119.01431225064999</v>
      </c>
      <c r="AK7099">
        <v>30.2481607923919</v>
      </c>
      <c r="AL7099">
        <v>87.107507498065701</v>
      </c>
      <c r="AM7099">
        <v>97.086176546133004</v>
      </c>
      <c r="AN7099">
        <v>1.0000000617040901</v>
      </c>
    </row>
    <row r="7100" spans="1:40" x14ac:dyDescent="0.25">
      <c r="A7100" t="str">
        <f>"20190312160512059"</f>
        <v>20190312160512059</v>
      </c>
      <c r="B7100" t="str">
        <f>"1552377912052369"</f>
        <v>1552377912052369</v>
      </c>
      <c r="C7100" t="s">
        <v>40</v>
      </c>
      <c r="D7100">
        <v>5.7219470000000001</v>
      </c>
      <c r="E7100">
        <v>0.34344160000000001</v>
      </c>
      <c r="F7100" t="s">
        <v>41</v>
      </c>
      <c r="G7100">
        <v>-261.58080000000001</v>
      </c>
      <c r="H7100">
        <v>7.9987409999999995E-2</v>
      </c>
      <c r="I7100">
        <v>-71.303569999999993</v>
      </c>
      <c r="J7100">
        <v>-292.6395</v>
      </c>
      <c r="K7100">
        <v>1.1174120000000001</v>
      </c>
      <c r="L7100">
        <v>-64.603969999999904</v>
      </c>
      <c r="M7100">
        <v>0.75532310000000003</v>
      </c>
      <c r="N7100">
        <v>0</v>
      </c>
      <c r="O7100">
        <v>-0.65522769999999997</v>
      </c>
      <c r="P7100">
        <v>0.82921270000000002</v>
      </c>
      <c r="Q7100">
        <v>3.9167159999999999E-2</v>
      </c>
      <c r="R7100">
        <v>-0.55755909999999997</v>
      </c>
      <c r="S7100">
        <v>3.1735229999999999</v>
      </c>
      <c r="T7100">
        <v>-0.10540629999999999</v>
      </c>
      <c r="U7100">
        <v>-0.69470209999999999</v>
      </c>
      <c r="V7100">
        <v>-0.12309580000000001</v>
      </c>
      <c r="W7100">
        <v>4.96763E-2</v>
      </c>
      <c r="X7100">
        <v>0.99115070000000005</v>
      </c>
      <c r="Y7100">
        <v>-0.47806159999999998</v>
      </c>
      <c r="Z7100">
        <v>2.7490839999999999E-2</v>
      </c>
      <c r="AA7100">
        <v>0.87789599999999901</v>
      </c>
      <c r="AB7100">
        <v>23</v>
      </c>
      <c r="AC7100">
        <v>31.058699999999899</v>
      </c>
      <c r="AD7100">
        <v>-1.0374245900000001</v>
      </c>
      <c r="AE7100">
        <v>-6.6996000000000002</v>
      </c>
      <c r="AF7100">
        <v>-15.2751246955924</v>
      </c>
      <c r="AG7100">
        <v>-1.0374245900000001</v>
      </c>
      <c r="AH7100">
        <v>27.821735910680399</v>
      </c>
      <c r="AI7100">
        <v>91.872096612712994</v>
      </c>
      <c r="AJ7100">
        <v>118.76835533814599</v>
      </c>
      <c r="AK7100">
        <v>31.756175357392799</v>
      </c>
      <c r="AL7100">
        <v>87.152585767505002</v>
      </c>
      <c r="AM7100">
        <v>97.079589165997604</v>
      </c>
      <c r="AN7100">
        <v>1.00000001043491</v>
      </c>
    </row>
    <row r="7101" spans="1:40" x14ac:dyDescent="0.25">
      <c r="A7101" t="str">
        <f>"20190312160512080"</f>
        <v>20190312160512080</v>
      </c>
      <c r="B7101" t="str">
        <f>"1552377912071889"</f>
        <v>1552377912071889</v>
      </c>
      <c r="C7101" t="s">
        <v>40</v>
      </c>
      <c r="D7101">
        <v>5.6346730000000003</v>
      </c>
      <c r="E7101">
        <v>0.34021180000000001</v>
      </c>
      <c r="F7101" t="s">
        <v>121</v>
      </c>
      <c r="G7101">
        <v>-256.97669999999999</v>
      </c>
      <c r="H7101">
        <v>7.9987669999999997E-2</v>
      </c>
      <c r="I7101">
        <v>-71.795019999999994</v>
      </c>
      <c r="J7101">
        <v>-292.46600000000001</v>
      </c>
      <c r="K7101">
        <v>1.1173999999999999</v>
      </c>
      <c r="L7101">
        <v>-64.736789999999999</v>
      </c>
      <c r="M7101">
        <v>0.76303339999999997</v>
      </c>
      <c r="N7101">
        <v>0</v>
      </c>
      <c r="O7101">
        <v>-0.64623240000000004</v>
      </c>
      <c r="P7101">
        <v>0.83602489999999996</v>
      </c>
      <c r="Q7101">
        <v>3.8628919999999997E-2</v>
      </c>
      <c r="R7101">
        <v>-0.54733009999999904</v>
      </c>
      <c r="S7101">
        <v>3.1897890000000002</v>
      </c>
      <c r="T7101">
        <v>-9.2790369999999997E-2</v>
      </c>
      <c r="U7101">
        <v>-0.64318850000000005</v>
      </c>
      <c r="V7101">
        <v>-0.1235353</v>
      </c>
      <c r="W7101">
        <v>4.9134789999999998E-2</v>
      </c>
      <c r="X7101">
        <v>0.99112299999999998</v>
      </c>
      <c r="Y7101">
        <v>-0.48228979999999999</v>
      </c>
      <c r="Z7101">
        <v>2.4018049999999999E-2</v>
      </c>
      <c r="AA7101">
        <v>0.87568239999999997</v>
      </c>
      <c r="AB7101">
        <v>23</v>
      </c>
      <c r="AC7101">
        <v>35.4893</v>
      </c>
      <c r="AD7101">
        <v>-1.03741233</v>
      </c>
      <c r="AE7101">
        <v>-7.0582299999999902</v>
      </c>
      <c r="AF7101">
        <v>-17.535692982081802</v>
      </c>
      <c r="AG7101">
        <v>-1.03741233</v>
      </c>
      <c r="AH7101">
        <v>31.617379701226898</v>
      </c>
      <c r="AI7101">
        <v>91.6435792302686</v>
      </c>
      <c r="AJ7101">
        <v>119.013712472679</v>
      </c>
      <c r="AK7101">
        <v>36.169537623196497</v>
      </c>
      <c r="AL7101">
        <v>87.183649909951299</v>
      </c>
      <c r="AM7101">
        <v>97.104804738290198</v>
      </c>
      <c r="AN7101">
        <v>0.99999999953171703</v>
      </c>
    </row>
    <row r="7102" spans="1:40" x14ac:dyDescent="0.25">
      <c r="A7102" t="str">
        <f>"20190312160512103"</f>
        <v>20190312160512103</v>
      </c>
      <c r="B7102" t="str">
        <f>"1552377912092385"</f>
        <v>1552377912092385</v>
      </c>
      <c r="C7102" t="s">
        <v>40</v>
      </c>
      <c r="D7102">
        <v>5.630185</v>
      </c>
      <c r="E7102">
        <v>0.33957110000000001</v>
      </c>
      <c r="F7102" t="s">
        <v>121</v>
      </c>
      <c r="G7102">
        <v>-253.73390000000001</v>
      </c>
      <c r="H7102">
        <v>7.9987150000000007E-2</v>
      </c>
      <c r="I7102">
        <v>-71.757999999999996</v>
      </c>
      <c r="J7102">
        <v>-292.29180000000002</v>
      </c>
      <c r="K7102">
        <v>1.117386</v>
      </c>
      <c r="L7102">
        <v>-64.866819999999905</v>
      </c>
      <c r="M7102">
        <v>0.77059440000000001</v>
      </c>
      <c r="N7102">
        <v>0</v>
      </c>
      <c r="O7102">
        <v>-0.63719759999999903</v>
      </c>
      <c r="P7102">
        <v>0.84259390000000001</v>
      </c>
      <c r="Q7102">
        <v>3.8506489999999997E-2</v>
      </c>
      <c r="R7102">
        <v>-0.53717169999999903</v>
      </c>
      <c r="S7102">
        <v>3.2112430000000001</v>
      </c>
      <c r="T7102">
        <v>-8.6010929999999999E-2</v>
      </c>
      <c r="U7102">
        <v>-0.58212280000000005</v>
      </c>
      <c r="V7102">
        <v>-0.1238542</v>
      </c>
      <c r="W7102">
        <v>4.9010489999999997E-2</v>
      </c>
      <c r="X7102">
        <v>0.99108929999999995</v>
      </c>
      <c r="Y7102">
        <v>-0.4892167</v>
      </c>
      <c r="Z7102">
        <v>2.209767E-2</v>
      </c>
      <c r="AA7102">
        <v>0.8718823</v>
      </c>
      <c r="AB7102">
        <v>23</v>
      </c>
      <c r="AC7102">
        <v>38.557899999999997</v>
      </c>
      <c r="AD7102">
        <v>-1.03739885</v>
      </c>
      <c r="AE7102">
        <v>-6.8911800000000003</v>
      </c>
      <c r="AF7102">
        <v>-19.2467700661017</v>
      </c>
      <c r="AG7102">
        <v>-1.03739885</v>
      </c>
      <c r="AH7102">
        <v>34.082425472982301</v>
      </c>
      <c r="AI7102">
        <v>91.518204525391099</v>
      </c>
      <c r="AJ7102">
        <v>119.45395813603299</v>
      </c>
      <c r="AK7102">
        <v>39.155153945205697</v>
      </c>
      <c r="AL7102">
        <v>87.190780214920494</v>
      </c>
      <c r="AM7102">
        <v>97.123196987708496</v>
      </c>
      <c r="AN7102">
        <v>0.99999994578108298</v>
      </c>
    </row>
    <row r="7103" spans="1:40" x14ac:dyDescent="0.25">
      <c r="A7103" t="str">
        <f>"20190312160512125"</f>
        <v>20190312160512125</v>
      </c>
      <c r="B7103" t="str">
        <f>"1552377912122642"</f>
        <v>1552377912122642</v>
      </c>
      <c r="C7103" t="s">
        <v>40</v>
      </c>
      <c r="D7103">
        <v>5.8215859999999999</v>
      </c>
      <c r="E7103">
        <v>0.33983560000000002</v>
      </c>
      <c r="F7103" t="s">
        <v>121</v>
      </c>
      <c r="G7103">
        <v>-255.9794</v>
      </c>
      <c r="H7103">
        <v>7.9987909999999995E-2</v>
      </c>
      <c r="I7103">
        <v>-70.945549999999997</v>
      </c>
      <c r="J7103">
        <v>-292.11149999999998</v>
      </c>
      <c r="K7103">
        <v>1.117375</v>
      </c>
      <c r="L7103">
        <v>-64.998170000000002</v>
      </c>
      <c r="M7103">
        <v>0.77823359999999997</v>
      </c>
      <c r="N7103">
        <v>0</v>
      </c>
      <c r="O7103">
        <v>-0.62784439999999997</v>
      </c>
      <c r="P7103">
        <v>0.84949850000000005</v>
      </c>
      <c r="Q7103">
        <v>3.8426380000000003E-2</v>
      </c>
      <c r="R7103">
        <v>-0.52619039999999995</v>
      </c>
      <c r="S7103">
        <v>3.220917</v>
      </c>
      <c r="T7103">
        <v>-9.2017409999999994E-2</v>
      </c>
      <c r="U7103">
        <v>-0.53918459999999901</v>
      </c>
      <c r="V7103">
        <v>-0.12474830000000001</v>
      </c>
      <c r="W7103">
        <v>4.8916189999999998E-2</v>
      </c>
      <c r="X7103">
        <v>0.99098189999999997</v>
      </c>
      <c r="Y7103">
        <v>-0.49037720000000001</v>
      </c>
      <c r="Z7103">
        <v>2.3432970000000001E-2</v>
      </c>
      <c r="AA7103">
        <v>0.87119519999999995</v>
      </c>
      <c r="AB7103">
        <v>23</v>
      </c>
      <c r="AC7103">
        <v>36.132099999999902</v>
      </c>
      <c r="AD7103">
        <v>-1.03738709</v>
      </c>
      <c r="AE7103">
        <v>-5.9473799999999901</v>
      </c>
      <c r="AF7103">
        <v>-18.043883840182399</v>
      </c>
      <c r="AG7103">
        <v>-1.03738709</v>
      </c>
      <c r="AH7103">
        <v>31.8303075643576</v>
      </c>
      <c r="AI7103">
        <v>91.6240423968177</v>
      </c>
      <c r="AJ7103">
        <v>119.54792332498501</v>
      </c>
      <c r="AK7103">
        <v>36.603639103975603</v>
      </c>
      <c r="AL7103">
        <v>87.196189929174395</v>
      </c>
      <c r="AM7103">
        <v>97.174854663476793</v>
      </c>
      <c r="AN7103">
        <v>1.0000000290622999</v>
      </c>
    </row>
    <row r="7104" spans="1:40" x14ac:dyDescent="0.25">
      <c r="A7104" t="str">
        <f>"20190312160512148"</f>
        <v>20190312160512148</v>
      </c>
      <c r="B7104" t="str">
        <f>"1552377912142164"</f>
        <v>1552377912142164</v>
      </c>
      <c r="C7104" t="s">
        <v>40</v>
      </c>
      <c r="D7104">
        <v>5.601953</v>
      </c>
      <c r="E7104">
        <v>0.34080579999999999</v>
      </c>
      <c r="F7104" t="s">
        <v>121</v>
      </c>
      <c r="G7104">
        <v>-257.9391</v>
      </c>
      <c r="H7104" s="1">
        <v>-4.0486209999999996E-6</v>
      </c>
      <c r="I7104">
        <v>-70.287289999999999</v>
      </c>
      <c r="J7104">
        <v>-291.93119999999999</v>
      </c>
      <c r="K7104">
        <v>1.117361</v>
      </c>
      <c r="L7104">
        <v>-65.126310000000004</v>
      </c>
      <c r="M7104">
        <v>0.78569339999999999</v>
      </c>
      <c r="N7104">
        <v>0</v>
      </c>
      <c r="O7104">
        <v>-0.61848369999999997</v>
      </c>
      <c r="P7104">
        <v>0.85623159999999898</v>
      </c>
      <c r="Q7104">
        <v>3.8176120000000001E-2</v>
      </c>
      <c r="R7104">
        <v>-0.51517979999999997</v>
      </c>
      <c r="S7104">
        <v>3.2268979999999998</v>
      </c>
      <c r="T7104">
        <v>-0.1055138</v>
      </c>
      <c r="U7104">
        <v>-0.49945070000000003</v>
      </c>
      <c r="V7104">
        <v>-0.12568180000000001</v>
      </c>
      <c r="W7104">
        <v>4.8650430000000001E-2</v>
      </c>
      <c r="X7104">
        <v>0.99087700000000001</v>
      </c>
      <c r="Y7104">
        <v>-0.49054249999999999</v>
      </c>
      <c r="Z7104">
        <v>2.6634890000000001E-2</v>
      </c>
      <c r="AA7104">
        <v>0.87101010000000001</v>
      </c>
      <c r="AB7104">
        <v>23</v>
      </c>
      <c r="AC7104">
        <v>33.992099999999901</v>
      </c>
      <c r="AD7104">
        <v>-1.1173650486210001</v>
      </c>
      <c r="AE7104">
        <v>-5.1609799999999897</v>
      </c>
      <c r="AF7104">
        <v>-16.952097299080499</v>
      </c>
      <c r="AG7104">
        <v>-1.1173650486210001</v>
      </c>
      <c r="AH7104">
        <v>29.8702513412453</v>
      </c>
      <c r="AI7104">
        <v>91.863357419534907</v>
      </c>
      <c r="AJ7104">
        <v>119.575969145017</v>
      </c>
      <c r="AK7104">
        <v>34.363556606942502</v>
      </c>
      <c r="AL7104">
        <v>87.211434936651003</v>
      </c>
      <c r="AM7104">
        <v>97.228735947559898</v>
      </c>
      <c r="AN7104">
        <v>1.0000000041597099</v>
      </c>
    </row>
    <row r="7105" spans="1:40" x14ac:dyDescent="0.25">
      <c r="A7105" t="str">
        <f>"20190312160512170"</f>
        <v>20190312160512170</v>
      </c>
      <c r="B7105" t="str">
        <f>"1552377912162657"</f>
        <v>1552377912162657</v>
      </c>
      <c r="C7105" t="s">
        <v>40</v>
      </c>
      <c r="D7105">
        <v>5.6492380000000004</v>
      </c>
      <c r="E7105">
        <v>0.34179809999999999</v>
      </c>
      <c r="F7105" t="s">
        <v>49</v>
      </c>
      <c r="G7105">
        <v>-290.899</v>
      </c>
      <c r="H7105">
        <v>1.080775</v>
      </c>
      <c r="I7105">
        <v>-65.274850000000001</v>
      </c>
      <c r="J7105">
        <v>-291.74990000000003</v>
      </c>
      <c r="K7105">
        <v>1.117354</v>
      </c>
      <c r="L7105">
        <v>-65.251649999999998</v>
      </c>
      <c r="M7105">
        <v>0.79300899999999996</v>
      </c>
      <c r="N7105">
        <v>0</v>
      </c>
      <c r="O7105">
        <v>-0.60907549999999999</v>
      </c>
      <c r="P7105">
        <v>0.86236469999999898</v>
      </c>
      <c r="Q7105">
        <v>3.7513240000000003E-2</v>
      </c>
      <c r="R7105">
        <v>-0.50489600000000001</v>
      </c>
      <c r="S7105">
        <v>3.2292480000000001</v>
      </c>
      <c r="T7105">
        <v>-0.1144526</v>
      </c>
      <c r="U7105">
        <v>-0.4645996</v>
      </c>
      <c r="V7105">
        <v>-0.12573589999999901</v>
      </c>
      <c r="W7105">
        <v>4.7988879999999998E-2</v>
      </c>
      <c r="X7105">
        <v>0.99090239999999996</v>
      </c>
      <c r="Y7105">
        <v>-0.48936030000000003</v>
      </c>
      <c r="Z7105">
        <v>2.8632089999999999E-2</v>
      </c>
      <c r="AA7105">
        <v>0.87161160000000004</v>
      </c>
      <c r="AB7105">
        <v>23</v>
      </c>
      <c r="AC7105">
        <v>0.85090000000002397</v>
      </c>
      <c r="AD7105">
        <v>-3.6579000000000098E-2</v>
      </c>
      <c r="AE7105">
        <v>-2.3200000000002701E-2</v>
      </c>
      <c r="AF7105">
        <v>-0.49898402105957401</v>
      </c>
      <c r="AG7105">
        <v>-3.6579000000000098E-2</v>
      </c>
      <c r="AH7105">
        <v>0.68768840662453201</v>
      </c>
      <c r="AI7105">
        <v>92.465174790263603</v>
      </c>
      <c r="AJ7105">
        <v>125.96449216816301</v>
      </c>
      <c r="AK7105">
        <v>0.85043425443685505</v>
      </c>
      <c r="AL7105">
        <v>87.249383296565298</v>
      </c>
      <c r="AM7105">
        <v>97.231631224466895</v>
      </c>
      <c r="AN7105">
        <v>1.00000000773911</v>
      </c>
    </row>
    <row r="7106" spans="1:40" x14ac:dyDescent="0.25">
      <c r="A7106" t="str">
        <f>"20190312160512191"</f>
        <v>20190312160512191</v>
      </c>
      <c r="B7106" t="str">
        <f>"1552377912182177"</f>
        <v>1552377912182177</v>
      </c>
      <c r="C7106" t="s">
        <v>40</v>
      </c>
      <c r="D7106">
        <v>5.168272</v>
      </c>
      <c r="E7106">
        <v>0.34258509999999998</v>
      </c>
      <c r="F7106" t="s">
        <v>49</v>
      </c>
      <c r="G7106">
        <v>-290.74009999999998</v>
      </c>
      <c r="H7106">
        <v>1.0790979999999999</v>
      </c>
      <c r="I7106">
        <v>-65.387069999999994</v>
      </c>
      <c r="J7106">
        <v>-291.56830000000002</v>
      </c>
      <c r="K7106">
        <v>1.117345</v>
      </c>
      <c r="L7106">
        <v>-65.374080000000006</v>
      </c>
      <c r="M7106">
        <v>0.80016500000000002</v>
      </c>
      <c r="N7106">
        <v>0</v>
      </c>
      <c r="O7106">
        <v>-0.59964329999999999</v>
      </c>
      <c r="P7106">
        <v>0.86799910000000002</v>
      </c>
      <c r="Q7106">
        <v>3.7614679999999998E-2</v>
      </c>
      <c r="R7106">
        <v>-0.49513950000000001</v>
      </c>
      <c r="S7106">
        <v>3.230804</v>
      </c>
      <c r="T7106">
        <v>-0.1223807</v>
      </c>
      <c r="U7106">
        <v>-0.43267820000000001</v>
      </c>
      <c r="V7106">
        <v>-0.1251757</v>
      </c>
      <c r="W7106">
        <v>4.810271E-2</v>
      </c>
      <c r="X7106">
        <v>0.99096779999999995</v>
      </c>
      <c r="Y7106">
        <v>-0.48746070000000002</v>
      </c>
      <c r="Z7106">
        <v>3.0322129999999999E-2</v>
      </c>
      <c r="AA7106">
        <v>0.87261829999999996</v>
      </c>
      <c r="AB7106">
        <v>23</v>
      </c>
      <c r="AC7106">
        <v>0.82820000000003802</v>
      </c>
      <c r="AD7106">
        <v>-3.82470000000001E-2</v>
      </c>
      <c r="AE7106">
        <v>-1.29899999999878E-2</v>
      </c>
      <c r="AF7106">
        <v>-0.48523569106952003</v>
      </c>
      <c r="AG7106">
        <v>-3.82470000000001E-2</v>
      </c>
      <c r="AH7106">
        <v>0.66911431653843501</v>
      </c>
      <c r="AI7106">
        <v>92.649394759700598</v>
      </c>
      <c r="AJ7106">
        <v>125.94928494505</v>
      </c>
      <c r="AK7106">
        <v>0.827424001037807</v>
      </c>
      <c r="AL7106">
        <v>87.242853765912201</v>
      </c>
      <c r="AM7106">
        <v>97.199280304535094</v>
      </c>
      <c r="AN7106">
        <v>1.0000000036083301</v>
      </c>
    </row>
    <row r="7107" spans="1:40" x14ac:dyDescent="0.25">
      <c r="A7107" t="str">
        <f>"20190312160512215"</f>
        <v>20190312160512215</v>
      </c>
      <c r="B7107" t="str">
        <f>"1552377912202672"</f>
        <v>1552377912202672</v>
      </c>
      <c r="C7107" t="s">
        <v>40</v>
      </c>
      <c r="D7107">
        <v>5.1597239999999998</v>
      </c>
      <c r="E7107">
        <v>0.34272209999999997</v>
      </c>
      <c r="F7107" t="s">
        <v>49</v>
      </c>
      <c r="G7107">
        <v>-290.57960000000003</v>
      </c>
      <c r="H7107">
        <v>1.079356</v>
      </c>
      <c r="I7107">
        <v>-65.496880000000004</v>
      </c>
      <c r="J7107">
        <v>-291.38369999999998</v>
      </c>
      <c r="K7107">
        <v>1.117348</v>
      </c>
      <c r="L7107">
        <v>-65.495450000000005</v>
      </c>
      <c r="M7107">
        <v>0.80726949999999997</v>
      </c>
      <c r="N7107">
        <v>0</v>
      </c>
      <c r="O7107">
        <v>-0.59004409999999996</v>
      </c>
      <c r="P7107">
        <v>0.87367309999999998</v>
      </c>
      <c r="Q7107">
        <v>3.712054E-2</v>
      </c>
      <c r="R7107">
        <v>-0.4850952</v>
      </c>
      <c r="S7107">
        <v>3.232513</v>
      </c>
      <c r="T7107">
        <v>-0.12420730000000001</v>
      </c>
      <c r="U7107">
        <v>-0.40158080000000002</v>
      </c>
      <c r="V7107">
        <v>-0.1247732</v>
      </c>
      <c r="W7107">
        <v>4.7617359999999997E-2</v>
      </c>
      <c r="X7107">
        <v>0.99104199999999998</v>
      </c>
      <c r="Y7107">
        <v>-0.48533720000000002</v>
      </c>
      <c r="Z7107">
        <v>3.0460689999999999E-2</v>
      </c>
      <c r="AA7107">
        <v>0.87379629999999997</v>
      </c>
      <c r="AB7107">
        <v>23</v>
      </c>
      <c r="AC7107">
        <v>0.80409999999994797</v>
      </c>
      <c r="AD7107">
        <v>-3.7991999999999998E-2</v>
      </c>
      <c r="AE7107">
        <v>-1.42999999999915E-3</v>
      </c>
      <c r="AF7107">
        <v>-0.47228455483880599</v>
      </c>
      <c r="AG7107">
        <v>-3.7991999999999998E-2</v>
      </c>
      <c r="AH7107">
        <v>0.64857459695959196</v>
      </c>
      <c r="AI7107">
        <v>92.711116389367206</v>
      </c>
      <c r="AJ7107">
        <v>126.061676131726</v>
      </c>
      <c r="AK7107">
        <v>0.803209250833546</v>
      </c>
      <c r="AL7107">
        <v>87.270694180379493</v>
      </c>
      <c r="AM7107">
        <v>97.175841193444299</v>
      </c>
      <c r="AN7107">
        <v>1.0000000050878</v>
      </c>
    </row>
    <row r="7108" spans="1:40" x14ac:dyDescent="0.25">
      <c r="A7108" t="str">
        <f>"20190312160512226"</f>
        <v>20190312160512226</v>
      </c>
      <c r="B7108" t="str">
        <f>"1552377912222199"</f>
        <v>1552377912222199</v>
      </c>
      <c r="C7108" t="s">
        <v>40</v>
      </c>
      <c r="D7108">
        <v>5.906212</v>
      </c>
      <c r="E7108">
        <v>0.34302840000000001</v>
      </c>
      <c r="F7108" t="s">
        <v>49</v>
      </c>
      <c r="G7108">
        <v>-290.4126</v>
      </c>
      <c r="H7108">
        <v>1.080139</v>
      </c>
      <c r="I7108">
        <v>-65.605319999999907</v>
      </c>
      <c r="J7108">
        <v>-291.2867</v>
      </c>
      <c r="K7108">
        <v>1.117346</v>
      </c>
      <c r="L7108">
        <v>-65.558139999999995</v>
      </c>
      <c r="M7108">
        <v>0.81093309999999996</v>
      </c>
      <c r="N7108">
        <v>0</v>
      </c>
      <c r="O7108">
        <v>-0.58499880000000004</v>
      </c>
      <c r="P7108">
        <v>0.87644669999999902</v>
      </c>
      <c r="Q7108">
        <v>3.718291E-2</v>
      </c>
      <c r="R7108">
        <v>-0.48006100000000002</v>
      </c>
      <c r="S7108">
        <v>3.2362980000000001</v>
      </c>
      <c r="T7108">
        <v>-0.1239779</v>
      </c>
      <c r="U7108">
        <v>-0.36520390000000003</v>
      </c>
      <c r="V7108">
        <v>-0.1242945</v>
      </c>
      <c r="W7108">
        <v>4.7689299999999997E-2</v>
      </c>
      <c r="X7108">
        <v>0.9910987</v>
      </c>
      <c r="Y7108">
        <v>-0.48969400000000002</v>
      </c>
      <c r="Z7108">
        <v>3.03358E-2</v>
      </c>
      <c r="AA7108">
        <v>0.87136650000000004</v>
      </c>
      <c r="AB7108">
        <v>23</v>
      </c>
      <c r="AC7108">
        <v>0.87409999999999799</v>
      </c>
      <c r="AD7108">
        <v>-3.72069999999999E-2</v>
      </c>
      <c r="AE7108">
        <v>-4.7179999999983097E-2</v>
      </c>
      <c r="AF7108">
        <v>-0.47227319241337401</v>
      </c>
      <c r="AG7108">
        <v>-3.72069999999999E-2</v>
      </c>
      <c r="AH7108">
        <v>0.73516906721142705</v>
      </c>
      <c r="AI7108">
        <v>92.438237898618695</v>
      </c>
      <c r="AJ7108">
        <v>122.716721396894</v>
      </c>
      <c r="AK7108">
        <v>0.87458555127891302</v>
      </c>
      <c r="AL7108">
        <v>87.266567654553896</v>
      </c>
      <c r="AM7108">
        <v>97.148191263023193</v>
      </c>
      <c r="AN7108">
        <v>1.00000001260321</v>
      </c>
    </row>
    <row r="7109" spans="1:40" x14ac:dyDescent="0.25">
      <c r="A7109" t="str">
        <f>"20190312160512237"</f>
        <v>20190312160512237</v>
      </c>
      <c r="B7109" t="str">
        <f>"1552377912231954"</f>
        <v>1552377912231954</v>
      </c>
      <c r="C7109" t="s">
        <v>40</v>
      </c>
      <c r="D7109">
        <v>5.7925490000000002</v>
      </c>
      <c r="E7109">
        <v>0.34262290000000001</v>
      </c>
      <c r="F7109" t="s">
        <v>41</v>
      </c>
      <c r="G7109">
        <v>-261.65690000000001</v>
      </c>
      <c r="H7109" s="1">
        <v>-1.936348E-6</v>
      </c>
      <c r="I7109">
        <v>-68.750059999999905</v>
      </c>
      <c r="J7109">
        <v>-291.19470000000001</v>
      </c>
      <c r="K7109">
        <v>1.1173439999999999</v>
      </c>
      <c r="L7109">
        <v>-65.616419999999906</v>
      </c>
      <c r="M7109">
        <v>0.81436200000000003</v>
      </c>
      <c r="N7109">
        <v>0</v>
      </c>
      <c r="O7109">
        <v>-0.58021619999999996</v>
      </c>
      <c r="P7109">
        <v>0.8790249</v>
      </c>
      <c r="Q7109">
        <v>3.6782639999999998E-2</v>
      </c>
      <c r="R7109">
        <v>-0.47535539999999998</v>
      </c>
      <c r="S7109">
        <v>3.2370610000000002</v>
      </c>
      <c r="T7109">
        <v>-0.1220702</v>
      </c>
      <c r="U7109">
        <v>-0.34872439999999999</v>
      </c>
      <c r="V7109">
        <v>-0.123777399999999</v>
      </c>
      <c r="W7109">
        <v>4.7299679999999997E-2</v>
      </c>
      <c r="X7109">
        <v>0.99118209999999995</v>
      </c>
      <c r="Y7109">
        <v>-0.4889946</v>
      </c>
      <c r="Z7109">
        <v>2.972029E-2</v>
      </c>
      <c r="AA7109">
        <v>0.87178029999999995</v>
      </c>
      <c r="AB7109">
        <v>23</v>
      </c>
      <c r="AC7109">
        <v>29.537800000000001</v>
      </c>
      <c r="AD7109">
        <v>-1.1173459363480001</v>
      </c>
      <c r="AE7109">
        <v>-3.1336400000000002</v>
      </c>
      <c r="AF7109">
        <v>-14.566974374749501</v>
      </c>
      <c r="AG7109">
        <v>-1.1173459363480001</v>
      </c>
      <c r="AH7109">
        <v>25.838207212098801</v>
      </c>
      <c r="AI7109">
        <v>92.157300368678506</v>
      </c>
      <c r="AJ7109">
        <v>119.413282704686</v>
      </c>
      <c r="AK7109">
        <v>29.682623811102602</v>
      </c>
      <c r="AL7109">
        <v>87.2889165036338</v>
      </c>
      <c r="AM7109">
        <v>97.118165671961293</v>
      </c>
      <c r="AN7109">
        <v>1.0000000299196301</v>
      </c>
    </row>
    <row r="7110" spans="1:40" x14ac:dyDescent="0.25">
      <c r="A7110" t="str">
        <f>"20190312160512248"</f>
        <v>20190312160512248</v>
      </c>
      <c r="B7110" t="str">
        <f>"1552377912242689"</f>
        <v>1552377912242689</v>
      </c>
      <c r="C7110" t="s">
        <v>40</v>
      </c>
      <c r="D7110">
        <v>5.6794760000000002</v>
      </c>
      <c r="E7110">
        <v>0.34228540000000002</v>
      </c>
      <c r="F7110" t="s">
        <v>49</v>
      </c>
      <c r="G7110">
        <v>-290.16149999999999</v>
      </c>
      <c r="H7110">
        <v>1.0796889999999999</v>
      </c>
      <c r="I7110">
        <v>-65.721019999999996</v>
      </c>
      <c r="J7110">
        <v>-291.10059999999999</v>
      </c>
      <c r="K7110">
        <v>1.1173420000000001</v>
      </c>
      <c r="L7110">
        <v>-65.675719999999998</v>
      </c>
      <c r="M7110">
        <v>0.81783499999999998</v>
      </c>
      <c r="N7110">
        <v>0</v>
      </c>
      <c r="O7110">
        <v>-0.57531049999999995</v>
      </c>
      <c r="P7110">
        <v>0.8814632</v>
      </c>
      <c r="Q7110">
        <v>3.6584119999999998E-2</v>
      </c>
      <c r="R7110">
        <v>-0.47083350000000002</v>
      </c>
      <c r="S7110">
        <v>3.2403870000000001</v>
      </c>
      <c r="T7110">
        <v>-0.1180938</v>
      </c>
      <c r="U7110">
        <v>-0.328125</v>
      </c>
      <c r="V7110">
        <v>-0.1229116</v>
      </c>
      <c r="W7110">
        <v>4.7118199999999999E-2</v>
      </c>
      <c r="X7110">
        <v>0.99129840000000002</v>
      </c>
      <c r="Y7110">
        <v>-0.48937799999999998</v>
      </c>
      <c r="Z7110">
        <v>2.8604620000000001E-2</v>
      </c>
      <c r="AA7110">
        <v>0.87160249999999995</v>
      </c>
      <c r="AB7110">
        <v>23</v>
      </c>
      <c r="AC7110">
        <v>0.93909999999999605</v>
      </c>
      <c r="AD7110">
        <v>-3.7653000000000103E-2</v>
      </c>
      <c r="AE7110">
        <v>-4.5299999999997398E-2</v>
      </c>
      <c r="AF7110">
        <v>-0.50246149232734305</v>
      </c>
      <c r="AG7110">
        <v>-3.7653000000000103E-2</v>
      </c>
      <c r="AH7110">
        <v>0.792883761314361</v>
      </c>
      <c r="AI7110">
        <v>92.297041875592896</v>
      </c>
      <c r="AJ7110">
        <v>122.363005008152</v>
      </c>
      <c r="AK7110">
        <v>0.93944130132586201</v>
      </c>
      <c r="AL7110">
        <v>87.299325937223401</v>
      </c>
      <c r="AM7110">
        <v>97.068059944728603</v>
      </c>
      <c r="AN7110">
        <v>0.99999995201417802</v>
      </c>
    </row>
    <row r="7111" spans="1:40" x14ac:dyDescent="0.25">
      <c r="A7111" t="str">
        <f>"20190312160512260"</f>
        <v>20190312160512260</v>
      </c>
      <c r="B7111" t="str">
        <f>"1552377912252449"</f>
        <v>1552377912252449</v>
      </c>
      <c r="C7111" t="s">
        <v>40</v>
      </c>
      <c r="D7111">
        <v>8.4114950000000004</v>
      </c>
      <c r="E7111">
        <v>0.3420031</v>
      </c>
      <c r="F7111" t="s">
        <v>49</v>
      </c>
      <c r="G7111">
        <v>-290.05650000000003</v>
      </c>
      <c r="H7111">
        <v>1.080581</v>
      </c>
      <c r="I7111">
        <v>-65.775279999999995</v>
      </c>
      <c r="J7111">
        <v>-290.99860000000001</v>
      </c>
      <c r="K7111">
        <v>1.1173390000000001</v>
      </c>
      <c r="L7111">
        <v>-65.738680000000002</v>
      </c>
      <c r="M7111">
        <v>0.82154450000000001</v>
      </c>
      <c r="N7111">
        <v>0</v>
      </c>
      <c r="O7111">
        <v>-0.57000079999999997</v>
      </c>
      <c r="P7111">
        <v>0.88403469999999995</v>
      </c>
      <c r="Q7111">
        <v>3.6714249999999997E-2</v>
      </c>
      <c r="R7111">
        <v>-0.46597759999999999</v>
      </c>
      <c r="S7111">
        <v>3.2431950000000001</v>
      </c>
      <c r="T7111">
        <v>-0.11416469999999999</v>
      </c>
      <c r="U7111">
        <v>-0.3088379</v>
      </c>
      <c r="V7111">
        <v>-0.1219426</v>
      </c>
      <c r="W7111">
        <v>4.7267759999999999E-2</v>
      </c>
      <c r="X7111">
        <v>0.99141100000000004</v>
      </c>
      <c r="Y7111">
        <v>-0.48898609999999998</v>
      </c>
      <c r="Z7111">
        <v>2.748691E-2</v>
      </c>
      <c r="AA7111">
        <v>0.87185840000000003</v>
      </c>
      <c r="AB7111">
        <v>23</v>
      </c>
      <c r="AC7111">
        <v>0.94209999999998195</v>
      </c>
      <c r="AD7111">
        <v>-3.6757999999999798E-2</v>
      </c>
      <c r="AE7111">
        <v>-3.6600000000007002E-2</v>
      </c>
      <c r="AF7111">
        <v>-0.50620128219181104</v>
      </c>
      <c r="AG7111">
        <v>-3.6757999999999798E-2</v>
      </c>
      <c r="AH7111">
        <v>0.79369772566179397</v>
      </c>
      <c r="AI7111">
        <v>92.236089003025697</v>
      </c>
      <c r="AJ7111">
        <v>122.528749182967</v>
      </c>
      <c r="AK7111">
        <v>0.94209711196741297</v>
      </c>
      <c r="AL7111">
        <v>87.290747364855207</v>
      </c>
      <c r="AM7111">
        <v>97.012105847748998</v>
      </c>
      <c r="AN7111">
        <v>1.0000000048755799</v>
      </c>
    </row>
    <row r="7112" spans="1:40" x14ac:dyDescent="0.25">
      <c r="A7112" t="str">
        <f>"20190312160512282"</f>
        <v>20190312160512282</v>
      </c>
      <c r="B7112" t="str">
        <f>"1552377912272769"</f>
        <v>1552377912272769</v>
      </c>
      <c r="C7112" t="s">
        <v>40</v>
      </c>
      <c r="D7112">
        <v>5.568486</v>
      </c>
      <c r="E7112">
        <v>0.34162609999999999</v>
      </c>
      <c r="F7112" t="s">
        <v>121</v>
      </c>
      <c r="G7112">
        <v>-257.65899999999999</v>
      </c>
      <c r="H7112" s="1">
        <v>-3.7416049999999998E-6</v>
      </c>
      <c r="I7112">
        <v>-68.703639999999993</v>
      </c>
      <c r="J7112">
        <v>-290.81830000000002</v>
      </c>
      <c r="K7112">
        <v>1.1173439999999999</v>
      </c>
      <c r="L7112">
        <v>-65.848140000000001</v>
      </c>
      <c r="M7112">
        <v>0.82798930000000004</v>
      </c>
      <c r="N7112">
        <v>0</v>
      </c>
      <c r="O7112">
        <v>-0.56059749999999997</v>
      </c>
      <c r="P7112">
        <v>0.88867189999999996</v>
      </c>
      <c r="Q7112">
        <v>3.6554730000000001E-2</v>
      </c>
      <c r="R7112">
        <v>-0.45708460000000001</v>
      </c>
      <c r="S7112">
        <v>3.245911</v>
      </c>
      <c r="T7112">
        <v>-0.10878309999999999</v>
      </c>
      <c r="U7112">
        <v>-0.28866579999999997</v>
      </c>
      <c r="V7112">
        <v>-0.120587</v>
      </c>
      <c r="W7112">
        <v>4.7134879999999997E-2</v>
      </c>
      <c r="X7112">
        <v>0.99158310000000005</v>
      </c>
      <c r="Y7112">
        <v>-0.48454239999999998</v>
      </c>
      <c r="Z7112">
        <v>2.5852449999999999E-2</v>
      </c>
      <c r="AA7112">
        <v>0.87438570000000004</v>
      </c>
      <c r="AB7112">
        <v>23</v>
      </c>
      <c r="AC7112">
        <v>33.159300000000002</v>
      </c>
      <c r="AD7112">
        <v>-1.1173477416049999</v>
      </c>
      <c r="AE7112">
        <v>-2.8555000000000001</v>
      </c>
      <c r="AF7112">
        <v>-16.207761589075101</v>
      </c>
      <c r="AG7112">
        <v>-1.1173477416049999</v>
      </c>
      <c r="AH7112">
        <v>29.0260022068694</v>
      </c>
      <c r="AI7112">
        <v>91.924983594134801</v>
      </c>
      <c r="AJ7112">
        <v>119.17845217364</v>
      </c>
      <c r="AK7112">
        <v>33.263325236920601</v>
      </c>
      <c r="AL7112">
        <v>87.298369263900497</v>
      </c>
      <c r="AM7112">
        <v>96.933725716526197</v>
      </c>
      <c r="AN7112">
        <v>0.99999998284361202</v>
      </c>
    </row>
    <row r="7113" spans="1:40" x14ac:dyDescent="0.25">
      <c r="A7113" t="str">
        <f>"20190312160512293"</f>
        <v>20190312160512293</v>
      </c>
      <c r="B7113" t="str">
        <f>"1552377912282531"</f>
        <v>1552377912282531</v>
      </c>
      <c r="C7113" t="s">
        <v>40</v>
      </c>
      <c r="D7113">
        <v>5.5648920000000004</v>
      </c>
      <c r="E7113">
        <v>0.34159650000000003</v>
      </c>
      <c r="F7113" t="s">
        <v>121</v>
      </c>
      <c r="G7113">
        <v>-255.1918</v>
      </c>
      <c r="H7113" s="1">
        <v>-2.8910989999999999E-6</v>
      </c>
      <c r="I7113">
        <v>-68.621870000000001</v>
      </c>
      <c r="J7113">
        <v>-290.72210000000001</v>
      </c>
      <c r="K7113">
        <v>1.1173420000000001</v>
      </c>
      <c r="L7113">
        <v>-65.905330000000006</v>
      </c>
      <c r="M7113">
        <v>0.83136549999999998</v>
      </c>
      <c r="N7113">
        <v>0</v>
      </c>
      <c r="O7113">
        <v>-0.55557860000000003</v>
      </c>
      <c r="P7113">
        <v>0.8911597</v>
      </c>
      <c r="Q7113">
        <v>3.6818339999999998E-2</v>
      </c>
      <c r="R7113">
        <v>-0.45219340000000002</v>
      </c>
      <c r="S7113">
        <v>3.2498779999999998</v>
      </c>
      <c r="T7113">
        <v>-0.1019253</v>
      </c>
      <c r="U7113">
        <v>-0.2530212</v>
      </c>
      <c r="V7113">
        <v>-0.1200369</v>
      </c>
      <c r="W7113">
        <v>4.740875E-2</v>
      </c>
      <c r="X7113">
        <v>0.99163679999999998</v>
      </c>
      <c r="Y7113">
        <v>-0.48893120000000001</v>
      </c>
      <c r="Z7113">
        <v>2.415629E-2</v>
      </c>
      <c r="AA7113">
        <v>0.87198779999999998</v>
      </c>
      <c r="AB7113">
        <v>23</v>
      </c>
      <c r="AC7113">
        <v>35.530299999999997</v>
      </c>
      <c r="AD7113">
        <v>-1.117344891099</v>
      </c>
      <c r="AE7113">
        <v>-2.71653999999999</v>
      </c>
      <c r="AF7113">
        <v>-17.465696405064801</v>
      </c>
      <c r="AG7113">
        <v>-1.117344891099</v>
      </c>
      <c r="AH7113">
        <v>31.0199615602777</v>
      </c>
      <c r="AI7113">
        <v>91.797751122554203</v>
      </c>
      <c r="AJ7113">
        <v>119.381555971654</v>
      </c>
      <c r="AK7113">
        <v>35.616527423664799</v>
      </c>
      <c r="AL7113">
        <v>87.282660139724698</v>
      </c>
      <c r="AM7113">
        <v>96.902030746163504</v>
      </c>
      <c r="AN7113">
        <v>0.99999999502620596</v>
      </c>
    </row>
    <row r="7114" spans="1:40" x14ac:dyDescent="0.25">
      <c r="A7114" t="str">
        <f>"20190312160512304"</f>
        <v>20190312160512304</v>
      </c>
      <c r="B7114" t="str">
        <f>"1552377912292288"</f>
        <v>1552377912292288</v>
      </c>
      <c r="C7114" t="s">
        <v>40</v>
      </c>
      <c r="D7114">
        <v>5.5570690000000003</v>
      </c>
      <c r="E7114">
        <v>0.34155449999999998</v>
      </c>
      <c r="F7114" t="s">
        <v>121</v>
      </c>
      <c r="G7114">
        <v>-253.72659999999999</v>
      </c>
      <c r="H7114" s="1">
        <v>-2.386481E-6</v>
      </c>
      <c r="I7114">
        <v>-68.577060000000003</v>
      </c>
      <c r="J7114">
        <v>-290.6302</v>
      </c>
      <c r="K7114">
        <v>1.1173409999999999</v>
      </c>
      <c r="L7114">
        <v>-65.959379999999996</v>
      </c>
      <c r="M7114">
        <v>0.83455290000000004</v>
      </c>
      <c r="N7114">
        <v>0</v>
      </c>
      <c r="O7114">
        <v>-0.55077889999999996</v>
      </c>
      <c r="P7114">
        <v>0.89358359999999903</v>
      </c>
      <c r="Q7114">
        <v>3.672533E-2</v>
      </c>
      <c r="R7114">
        <v>-0.44739210000000001</v>
      </c>
      <c r="S7114">
        <v>3.251312</v>
      </c>
      <c r="T7114">
        <v>-9.8196510000000001E-2</v>
      </c>
      <c r="U7114">
        <v>-0.23480219999999999</v>
      </c>
      <c r="V7114">
        <v>-0.11965870000000001</v>
      </c>
      <c r="W7114">
        <v>4.732302E-2</v>
      </c>
      <c r="X7114">
        <v>0.99168659999999997</v>
      </c>
      <c r="Y7114">
        <v>-0.48883090000000001</v>
      </c>
      <c r="Z7114">
        <v>2.315149E-2</v>
      </c>
      <c r="AA7114">
        <v>0.87207129999999999</v>
      </c>
      <c r="AB7114">
        <v>23</v>
      </c>
      <c r="AC7114">
        <v>36.903599999999997</v>
      </c>
      <c r="AD7114">
        <v>-1.1173433864809901</v>
      </c>
      <c r="AE7114">
        <v>-2.6176799999999898</v>
      </c>
      <c r="AF7114">
        <v>-18.126086756047702</v>
      </c>
      <c r="AG7114">
        <v>-1.1173433864809901</v>
      </c>
      <c r="AH7114">
        <v>32.213031836150599</v>
      </c>
      <c r="AI7114">
        <v>91.731467913021405</v>
      </c>
      <c r="AJ7114">
        <v>119.36620605806201</v>
      </c>
      <c r="AK7114">
        <v>36.979492930649201</v>
      </c>
      <c r="AL7114">
        <v>87.287577619869694</v>
      </c>
      <c r="AM7114">
        <v>96.880151113484203</v>
      </c>
      <c r="AN7114">
        <v>0.99999999266358497</v>
      </c>
    </row>
    <row r="7115" spans="1:40" x14ac:dyDescent="0.25">
      <c r="A7115" t="str">
        <f>"20190312160512314"</f>
        <v>20190312160512314</v>
      </c>
      <c r="B7115" t="str">
        <f>"1552377912312785"</f>
        <v>1552377912312785</v>
      </c>
      <c r="C7115" t="s">
        <v>40</v>
      </c>
      <c r="D7115">
        <v>5.5637059999999998</v>
      </c>
      <c r="E7115">
        <v>0.34161609999999998</v>
      </c>
      <c r="F7115" t="s">
        <v>121</v>
      </c>
      <c r="G7115">
        <v>-252.9795</v>
      </c>
      <c r="H7115" s="1">
        <v>-2.1181199999999998E-6</v>
      </c>
      <c r="I7115">
        <v>-68.471409999999906</v>
      </c>
      <c r="J7115">
        <v>-290.53739999999999</v>
      </c>
      <c r="K7115">
        <v>1.117343</v>
      </c>
      <c r="L7115">
        <v>-66.013030000000001</v>
      </c>
      <c r="M7115">
        <v>0.83773299999999995</v>
      </c>
      <c r="N7115">
        <v>0</v>
      </c>
      <c r="O7115">
        <v>-0.54593009999999997</v>
      </c>
      <c r="P7115">
        <v>0.89595930000000001</v>
      </c>
      <c r="Q7115">
        <v>3.6498740000000002E-2</v>
      </c>
      <c r="R7115">
        <v>-0.44263449999999999</v>
      </c>
      <c r="S7115">
        <v>3.2525940000000002</v>
      </c>
      <c r="T7115">
        <v>-9.6525669999999994E-2</v>
      </c>
      <c r="U7115">
        <v>-0.2170105</v>
      </c>
      <c r="V7115">
        <v>-0.1191813</v>
      </c>
      <c r="W7115">
        <v>4.7106299999999997E-2</v>
      </c>
      <c r="X7115">
        <v>0.99175440000000004</v>
      </c>
      <c r="Y7115">
        <v>-0.48856189999999999</v>
      </c>
      <c r="Z7115">
        <v>2.2634390000000001E-2</v>
      </c>
      <c r="AA7115">
        <v>0.8722356</v>
      </c>
      <c r="AB7115">
        <v>23</v>
      </c>
      <c r="AC7115">
        <v>37.557899999999897</v>
      </c>
      <c r="AD7115">
        <v>-1.11734511812</v>
      </c>
      <c r="AE7115">
        <v>-2.4583799999999898</v>
      </c>
      <c r="AF7115">
        <v>-18.429790491163601</v>
      </c>
      <c r="AG7115">
        <v>-1.11734511812</v>
      </c>
      <c r="AH7115">
        <v>32.7793941939983</v>
      </c>
      <c r="AI7115">
        <v>91.701904199644005</v>
      </c>
      <c r="AJ7115">
        <v>119.346308313625</v>
      </c>
      <c r="AK7115">
        <v>37.621726719898199</v>
      </c>
      <c r="AL7115">
        <v>87.300008611778594</v>
      </c>
      <c r="AM7115">
        <v>96.852499027554799</v>
      </c>
      <c r="AN7115">
        <v>0.99999998784436905</v>
      </c>
    </row>
    <row r="7116" spans="1:40" x14ac:dyDescent="0.25">
      <c r="A7116" t="str">
        <f>"20190312160512326"</f>
        <v>20190312160512326</v>
      </c>
      <c r="B7116" t="str">
        <f>"1552377912322545"</f>
        <v>1552377912322545</v>
      </c>
      <c r="C7116" t="s">
        <v>40</v>
      </c>
      <c r="D7116">
        <v>5.5496280000000002</v>
      </c>
      <c r="E7116">
        <v>0.34200700000000001</v>
      </c>
      <c r="F7116" t="s">
        <v>121</v>
      </c>
      <c r="G7116">
        <v>-251.8</v>
      </c>
      <c r="H7116" s="1">
        <v>-1.68976499999999E-6</v>
      </c>
      <c r="I7116">
        <v>-68.394919999999999</v>
      </c>
      <c r="J7116">
        <v>-290.43650000000002</v>
      </c>
      <c r="K7116">
        <v>1.1173420000000001</v>
      </c>
      <c r="L7116">
        <v>-66.070920000000001</v>
      </c>
      <c r="M7116">
        <v>0.84114800000000001</v>
      </c>
      <c r="N7116">
        <v>0</v>
      </c>
      <c r="O7116">
        <v>-0.54065369999999902</v>
      </c>
      <c r="P7116">
        <v>0.89852140000000003</v>
      </c>
      <c r="Q7116">
        <v>3.6101179999999997E-2</v>
      </c>
      <c r="R7116">
        <v>-0.43744300000000003</v>
      </c>
      <c r="S7116">
        <v>3.2533569999999998</v>
      </c>
      <c r="T7116">
        <v>-9.3840119999999999E-2</v>
      </c>
      <c r="U7116">
        <v>-0.20004269999999999</v>
      </c>
      <c r="V7116">
        <v>-0.1186879</v>
      </c>
      <c r="W7116">
        <v>4.6718089999999997E-2</v>
      </c>
      <c r="X7116">
        <v>0.99183200000000005</v>
      </c>
      <c r="Y7116">
        <v>-0.48764800000000003</v>
      </c>
      <c r="Z7116">
        <v>2.1867339999999999E-2</v>
      </c>
      <c r="AA7116">
        <v>0.87276640000000005</v>
      </c>
      <c r="AB7116">
        <v>23</v>
      </c>
      <c r="AC7116">
        <v>38.636499999999998</v>
      </c>
      <c r="AD7116">
        <v>-1.117343689765</v>
      </c>
      <c r="AE7116">
        <v>-2.3239999999999901</v>
      </c>
      <c r="AF7116">
        <v>-18.919921641746701</v>
      </c>
      <c r="AG7116">
        <v>-1.117343689765</v>
      </c>
      <c r="AH7116">
        <v>33.730147896057503</v>
      </c>
      <c r="AI7116">
        <v>91.654887064235893</v>
      </c>
      <c r="AJ7116">
        <v>119.288947732965</v>
      </c>
      <c r="AK7116">
        <v>38.690241262375302</v>
      </c>
      <c r="AL7116">
        <v>87.322276107686207</v>
      </c>
      <c r="AM7116">
        <v>96.8238694850847</v>
      </c>
      <c r="AN7116">
        <v>1.0000000568818199</v>
      </c>
    </row>
    <row r="7117" spans="1:40" x14ac:dyDescent="0.25">
      <c r="A7117" t="str">
        <f>"20190312160512337"</f>
        <v>20190312160512337</v>
      </c>
      <c r="B7117" t="str">
        <f>"1552377912332306"</f>
        <v>1552377912332306</v>
      </c>
      <c r="C7117" t="s">
        <v>40</v>
      </c>
      <c r="D7117">
        <v>5.5297890000000001</v>
      </c>
      <c r="E7117">
        <v>0.34239259999999999</v>
      </c>
      <c r="F7117" t="s">
        <v>121</v>
      </c>
      <c r="G7117">
        <v>-252.48439999999999</v>
      </c>
      <c r="H7117" s="1">
        <v>-1.9153819999999998E-6</v>
      </c>
      <c r="I7117">
        <v>-68.215230000000005</v>
      </c>
      <c r="J7117">
        <v>-290.34370000000001</v>
      </c>
      <c r="K7117">
        <v>1.117337</v>
      </c>
      <c r="L7117">
        <v>-66.122889999999998</v>
      </c>
      <c r="M7117">
        <v>0.8442421</v>
      </c>
      <c r="N7117">
        <v>0</v>
      </c>
      <c r="O7117">
        <v>-0.53580899999999998</v>
      </c>
      <c r="P7117">
        <v>0.9009066</v>
      </c>
      <c r="Q7117">
        <v>3.5687490000000002E-2</v>
      </c>
      <c r="R7117">
        <v>-0.43254399999999998</v>
      </c>
      <c r="S7117">
        <v>3.2532040000000002</v>
      </c>
      <c r="T7117">
        <v>-9.5777150000000005E-2</v>
      </c>
      <c r="U7117">
        <v>-0.18380740000000001</v>
      </c>
      <c r="V7117">
        <v>-0.1183884</v>
      </c>
      <c r="W7117">
        <v>4.6310369999999997E-2</v>
      </c>
      <c r="X7117">
        <v>0.99188690000000002</v>
      </c>
      <c r="Y7117">
        <v>-0.48695270000000002</v>
      </c>
      <c r="Z7117">
        <v>2.2196899999999999E-2</v>
      </c>
      <c r="AA7117">
        <v>0.87314619999999998</v>
      </c>
      <c r="AB7117">
        <v>23</v>
      </c>
      <c r="AC7117">
        <v>37.859299999999998</v>
      </c>
      <c r="AD7117">
        <v>-1.1173389153819999</v>
      </c>
      <c r="AE7117">
        <v>-2.0923400000000001</v>
      </c>
      <c r="AF7117">
        <v>-18.504362359309901</v>
      </c>
      <c r="AG7117">
        <v>-1.1173389153819999</v>
      </c>
      <c r="AH7117">
        <v>33.057516737971604</v>
      </c>
      <c r="AI7117">
        <v>91.689366295807901</v>
      </c>
      <c r="AJ7117">
        <v>119.238471633779</v>
      </c>
      <c r="AK7117">
        <v>37.900650198350696</v>
      </c>
      <c r="AL7117">
        <v>87.345662017194897</v>
      </c>
      <c r="AM7117">
        <v>96.806438512922298</v>
      </c>
      <c r="AN7117">
        <v>1.0000000430078499</v>
      </c>
    </row>
    <row r="7118" spans="1:40" x14ac:dyDescent="0.25">
      <c r="A7118" t="str">
        <f>"20190312160512348"</f>
        <v>20190312160512348</v>
      </c>
      <c r="B7118" t="str">
        <f>"1552377912342066"</f>
        <v>1552377912342066</v>
      </c>
      <c r="C7118" t="s">
        <v>40</v>
      </c>
      <c r="D7118">
        <v>5.197419</v>
      </c>
      <c r="E7118">
        <v>0.34254559999999901</v>
      </c>
      <c r="F7118" t="s">
        <v>121</v>
      </c>
      <c r="G7118">
        <v>-253.21520000000001</v>
      </c>
      <c r="H7118" s="1">
        <v>-2.1419569999999999E-6</v>
      </c>
      <c r="I7118">
        <v>-68.049549999999996</v>
      </c>
      <c r="J7118">
        <v>-290.2441</v>
      </c>
      <c r="K7118">
        <v>1.117334</v>
      </c>
      <c r="L7118">
        <v>-66.17841</v>
      </c>
      <c r="M7118">
        <v>0.84752669999999997</v>
      </c>
      <c r="N7118">
        <v>0</v>
      </c>
      <c r="O7118">
        <v>-0.53059820000000002</v>
      </c>
      <c r="P7118">
        <v>0.90324040000000005</v>
      </c>
      <c r="Q7118">
        <v>3.5181619999999997E-2</v>
      </c>
      <c r="R7118">
        <v>-0.42769000000000001</v>
      </c>
      <c r="S7118">
        <v>3.2528079999999999</v>
      </c>
      <c r="T7118">
        <v>-9.7889660000000003E-2</v>
      </c>
      <c r="U7118">
        <v>-0.16879269999999999</v>
      </c>
      <c r="V7118">
        <v>-0.11761629999999999</v>
      </c>
      <c r="W7118">
        <v>4.5819760000000001E-2</v>
      </c>
      <c r="X7118">
        <v>0.99200149999999998</v>
      </c>
      <c r="Y7118">
        <v>-0.48556890000000003</v>
      </c>
      <c r="Z7118">
        <v>2.254225E-2</v>
      </c>
      <c r="AA7118">
        <v>0.87390769999999995</v>
      </c>
      <c r="AB7118">
        <v>23</v>
      </c>
      <c r="AC7118">
        <v>37.028899999999901</v>
      </c>
      <c r="AD7118">
        <v>-1.117336141957</v>
      </c>
      <c r="AE7118">
        <v>-1.87113999999999</v>
      </c>
      <c r="AF7118">
        <v>-18.0467182845846</v>
      </c>
      <c r="AG7118">
        <v>-1.117336141957</v>
      </c>
      <c r="AH7118">
        <v>32.3490815406007</v>
      </c>
      <c r="AI7118">
        <v>91.727724449070493</v>
      </c>
      <c r="AJ7118">
        <v>119.15602090806</v>
      </c>
      <c r="AK7118">
        <v>37.059351821338097</v>
      </c>
      <c r="AL7118">
        <v>87.373801684475694</v>
      </c>
      <c r="AM7118">
        <v>96.761687032752207</v>
      </c>
      <c r="AN7118">
        <v>1.00000001021719</v>
      </c>
    </row>
    <row r="7119" spans="1:40" x14ac:dyDescent="0.25">
      <c r="A7119" t="str">
        <f>"20190312160512359"</f>
        <v>20190312160512359</v>
      </c>
      <c r="B7119" t="str">
        <f>"1552377912351826"</f>
        <v>1552377912351826</v>
      </c>
      <c r="C7119" t="s">
        <v>40</v>
      </c>
      <c r="D7119">
        <v>5.5989829999999996</v>
      </c>
      <c r="E7119">
        <v>0.34274260000000001</v>
      </c>
      <c r="F7119" t="s">
        <v>121</v>
      </c>
      <c r="G7119">
        <v>-252.92160000000001</v>
      </c>
      <c r="H7119" s="1">
        <v>-2.0251080000000001E-6</v>
      </c>
      <c r="I7119">
        <v>-67.92304</v>
      </c>
      <c r="J7119">
        <v>-290.14859999999999</v>
      </c>
      <c r="K7119">
        <v>1.117334</v>
      </c>
      <c r="L7119">
        <v>-66.230559999999997</v>
      </c>
      <c r="M7119">
        <v>0.850634</v>
      </c>
      <c r="N7119">
        <v>0</v>
      </c>
      <c r="O7119">
        <v>-0.52560229999999997</v>
      </c>
      <c r="P7119">
        <v>0.90536450000000002</v>
      </c>
      <c r="Q7119">
        <v>3.4641480000000002E-2</v>
      </c>
      <c r="R7119">
        <v>-0.42321999999999999</v>
      </c>
      <c r="S7119">
        <v>3.253174</v>
      </c>
      <c r="T7119">
        <v>-9.7391249999999999E-2</v>
      </c>
      <c r="U7119">
        <v>-0.15206910000000001</v>
      </c>
      <c r="V7119">
        <v>-0.1166843</v>
      </c>
      <c r="W7119">
        <v>4.529768E-2</v>
      </c>
      <c r="X7119">
        <v>0.99213549999999995</v>
      </c>
      <c r="Y7119">
        <v>-0.4849193</v>
      </c>
      <c r="Z7119">
        <v>2.2295309999999999E-2</v>
      </c>
      <c r="AA7119">
        <v>0.87427469999999996</v>
      </c>
      <c r="AB7119">
        <v>23</v>
      </c>
      <c r="AC7119">
        <v>37.226999999999897</v>
      </c>
      <c r="AD7119">
        <v>-1.117336025108</v>
      </c>
      <c r="AE7119">
        <v>-1.69248</v>
      </c>
      <c r="AF7119">
        <v>-18.112119951743399</v>
      </c>
      <c r="AG7119">
        <v>-1.117336025108</v>
      </c>
      <c r="AH7119">
        <v>32.529549824594497</v>
      </c>
      <c r="AI7119">
        <v>91.718936960504195</v>
      </c>
      <c r="AJ7119">
        <v>119.10861210698501</v>
      </c>
      <c r="AK7119">
        <v>37.248744149704201</v>
      </c>
      <c r="AL7119">
        <v>87.403745673486199</v>
      </c>
      <c r="AM7119">
        <v>96.707699399652199</v>
      </c>
      <c r="AN7119">
        <v>0.99999997802006002</v>
      </c>
    </row>
    <row r="7120" spans="1:40" x14ac:dyDescent="0.25">
      <c r="A7120" t="str">
        <f>"20190312160512370"</f>
        <v>20190312160512370</v>
      </c>
      <c r="B7120" t="str">
        <f>"1552377912362164"</f>
        <v>1552377912362164</v>
      </c>
      <c r="C7120" t="s">
        <v>40</v>
      </c>
      <c r="D7120">
        <v>8.873602</v>
      </c>
      <c r="E7120">
        <v>0.34296860000000001</v>
      </c>
      <c r="F7120" t="s">
        <v>121</v>
      </c>
      <c r="G7120">
        <v>-252.58690000000001</v>
      </c>
      <c r="H7120" s="1">
        <v>-1.8966509999999999E-6</v>
      </c>
      <c r="I7120">
        <v>-67.814070000000001</v>
      </c>
      <c r="J7120">
        <v>-290.05459999999999</v>
      </c>
      <c r="K7120">
        <v>1.1173310000000001</v>
      </c>
      <c r="L7120">
        <v>-66.281400000000005</v>
      </c>
      <c r="M7120">
        <v>0.85365590000000002</v>
      </c>
      <c r="N7120">
        <v>0</v>
      </c>
      <c r="O7120">
        <v>-0.52068019999999904</v>
      </c>
      <c r="P7120">
        <v>0.90760890000000005</v>
      </c>
      <c r="Q7120">
        <v>3.4247489999999998E-2</v>
      </c>
      <c r="R7120">
        <v>-0.41841840000000002</v>
      </c>
      <c r="S7120">
        <v>3.253174</v>
      </c>
      <c r="T7120">
        <v>-9.6771239999999994E-2</v>
      </c>
      <c r="U7120">
        <v>-0.13714599999999999</v>
      </c>
      <c r="V7120">
        <v>-0.1162099</v>
      </c>
      <c r="W7120">
        <v>4.4912790000000001E-2</v>
      </c>
      <c r="X7120">
        <v>0.99220870000000005</v>
      </c>
      <c r="Y7120">
        <v>-0.48387849999999999</v>
      </c>
      <c r="Z7120">
        <v>2.201883E-2</v>
      </c>
      <c r="AA7120">
        <v>0.87485809999999997</v>
      </c>
      <c r="AB7120">
        <v>23</v>
      </c>
      <c r="AC7120">
        <v>37.467699999999901</v>
      </c>
      <c r="AD7120">
        <v>-1.1173328966510001</v>
      </c>
      <c r="AE7120">
        <v>-1.53266999999999</v>
      </c>
      <c r="AF7120">
        <v>-18.185661330837402</v>
      </c>
      <c r="AG7120">
        <v>-1.1173328966510001</v>
      </c>
      <c r="AH7120">
        <v>32.756156645653803</v>
      </c>
      <c r="AI7120">
        <v>91.708212232300696</v>
      </c>
      <c r="AJ7120">
        <v>119.03829008065701</v>
      </c>
      <c r="AK7120">
        <v>37.482429337443797</v>
      </c>
      <c r="AL7120">
        <v>87.425820775423702</v>
      </c>
      <c r="AM7120">
        <v>96.680186691094406</v>
      </c>
      <c r="AN7120">
        <v>1.00000000195964</v>
      </c>
    </row>
    <row r="7121" spans="1:40" x14ac:dyDescent="0.25">
      <c r="A7121" t="str">
        <f>"20190312160512381"</f>
        <v>20190312160512381</v>
      </c>
      <c r="B7121" t="str">
        <f>"1552377912371916"</f>
        <v>1552377912371916</v>
      </c>
      <c r="C7121" t="s">
        <v>40</v>
      </c>
      <c r="D7121">
        <v>5.5777789999999996</v>
      </c>
      <c r="E7121">
        <v>0.34323749999999997</v>
      </c>
      <c r="F7121" t="s">
        <v>121</v>
      </c>
      <c r="G7121">
        <v>-252.32409999999999</v>
      </c>
      <c r="H7121" s="1">
        <v>-1.7575910000000001E-6</v>
      </c>
      <c r="I7121">
        <v>-67.688719999999904</v>
      </c>
      <c r="J7121">
        <v>-289.9563</v>
      </c>
      <c r="K7121">
        <v>1.1173310000000001</v>
      </c>
      <c r="L7121">
        <v>-66.333709999999996</v>
      </c>
      <c r="M7121">
        <v>0.85677349999999997</v>
      </c>
      <c r="N7121">
        <v>0</v>
      </c>
      <c r="O7121">
        <v>-0.51553420000000005</v>
      </c>
      <c r="P7121">
        <v>0.90994679999999994</v>
      </c>
      <c r="Q7121">
        <v>3.3831880000000002E-2</v>
      </c>
      <c r="R7121">
        <v>-0.41334290000000001</v>
      </c>
      <c r="S7121">
        <v>3.253082</v>
      </c>
      <c r="T7121">
        <v>-9.6335409999999996E-2</v>
      </c>
      <c r="U7121">
        <v>-0.121337899999999</v>
      </c>
      <c r="V7121">
        <v>-0.115781</v>
      </c>
      <c r="W7121">
        <v>4.4505500000000003E-2</v>
      </c>
      <c r="X7121">
        <v>0.99227719999999997</v>
      </c>
      <c r="Y7121">
        <v>-0.48286299999999999</v>
      </c>
      <c r="Z7121">
        <v>2.1780420000000002E-2</v>
      </c>
      <c r="AA7121">
        <v>0.87542500000000001</v>
      </c>
      <c r="AB7121">
        <v>23</v>
      </c>
      <c r="AC7121">
        <v>37.632199999999997</v>
      </c>
      <c r="AD7121">
        <v>-1.1173327575909999</v>
      </c>
      <c r="AE7121">
        <v>-1.3550099999999901</v>
      </c>
      <c r="AF7121">
        <v>-18.225196609192199</v>
      </c>
      <c r="AG7121">
        <v>-1.1173327575909999</v>
      </c>
      <c r="AH7121">
        <v>32.9145433817813</v>
      </c>
      <c r="AI7121">
        <v>91.701056625300694</v>
      </c>
      <c r="AJ7121">
        <v>118.973850497463</v>
      </c>
      <c r="AK7121">
        <v>37.6400503448927</v>
      </c>
      <c r="AL7121">
        <v>87.4491801538217</v>
      </c>
      <c r="AM7121">
        <v>96.655298148437495</v>
      </c>
      <c r="AN7121">
        <v>1.00000001056554</v>
      </c>
    </row>
    <row r="7122" spans="1:40" x14ac:dyDescent="0.25">
      <c r="A7122" t="str">
        <f>"20190312160512393"</f>
        <v>20190312160512393</v>
      </c>
      <c r="B7122" t="str">
        <f>"1552377912382652"</f>
        <v>1552377912382652</v>
      </c>
      <c r="C7122" t="s">
        <v>40</v>
      </c>
      <c r="D7122">
        <v>5.2461089999999997</v>
      </c>
      <c r="E7122">
        <v>0.34350320000000001</v>
      </c>
      <c r="F7122" t="s">
        <v>121</v>
      </c>
      <c r="G7122">
        <v>-252.37520000000001</v>
      </c>
      <c r="H7122" s="1">
        <v>-1.747959E-6</v>
      </c>
      <c r="I7122">
        <v>-67.546970000000002</v>
      </c>
      <c r="J7122">
        <v>-289.8603</v>
      </c>
      <c r="K7122">
        <v>1.1173249999999999</v>
      </c>
      <c r="L7122">
        <v>-66.384059999999906</v>
      </c>
      <c r="M7122">
        <v>0.85977950000000003</v>
      </c>
      <c r="N7122">
        <v>0</v>
      </c>
      <c r="O7122">
        <v>-0.51050490000000004</v>
      </c>
      <c r="P7122">
        <v>0.91173769999999998</v>
      </c>
      <c r="Q7122">
        <v>3.3606990000000003E-2</v>
      </c>
      <c r="R7122">
        <v>-0.40939599999999998</v>
      </c>
      <c r="S7122">
        <v>3.2527469999999998</v>
      </c>
      <c r="T7122">
        <v>-9.6708059999999998E-2</v>
      </c>
      <c r="U7122">
        <v>-0.10501099999999999</v>
      </c>
      <c r="V7122">
        <v>-0.1142668</v>
      </c>
      <c r="W7122">
        <v>4.4309710000000002E-2</v>
      </c>
      <c r="X7122">
        <v>0.99246140000000005</v>
      </c>
      <c r="Y7122">
        <v>-0.48211670000000001</v>
      </c>
      <c r="Z7122">
        <v>2.1732689999999999E-2</v>
      </c>
      <c r="AA7122">
        <v>0.87583739999999999</v>
      </c>
      <c r="AB7122">
        <v>23</v>
      </c>
      <c r="AC7122">
        <v>37.485099999999903</v>
      </c>
      <c r="AD7122">
        <v>-1.1173267479590001</v>
      </c>
      <c r="AE7122">
        <v>-1.1629100000000101</v>
      </c>
      <c r="AF7122">
        <v>-18.121882767972799</v>
      </c>
      <c r="AG7122">
        <v>-1.1173267479590001</v>
      </c>
      <c r="AH7122">
        <v>32.7961724736261</v>
      </c>
      <c r="AI7122">
        <v>91.708015881656905</v>
      </c>
      <c r="AJ7122">
        <v>118.92332380483499</v>
      </c>
      <c r="AK7122">
        <v>37.486530688204297</v>
      </c>
      <c r="AL7122">
        <v>87.460408995682798</v>
      </c>
      <c r="AM7122">
        <v>96.567816392960196</v>
      </c>
      <c r="AN7122">
        <v>0.99999994123624003</v>
      </c>
    </row>
    <row r="7123" spans="1:40" x14ac:dyDescent="0.25">
      <c r="A7123" t="str">
        <f>"20190312160512404"</f>
        <v>20190312160512404</v>
      </c>
      <c r="B7123" t="str">
        <f>"1552377912392413"</f>
        <v>1552377912392413</v>
      </c>
      <c r="C7123" t="s">
        <v>40</v>
      </c>
      <c r="D7123">
        <v>5.5754809999999999</v>
      </c>
      <c r="E7123">
        <v>0.34382889999999999</v>
      </c>
      <c r="F7123" t="s">
        <v>121</v>
      </c>
      <c r="G7123">
        <v>-251.98240000000001</v>
      </c>
      <c r="H7123" s="1">
        <v>-1.5608189999999901E-6</v>
      </c>
      <c r="I7123">
        <v>-67.463099999999997</v>
      </c>
      <c r="J7123">
        <v>-289.76069999999999</v>
      </c>
      <c r="K7123">
        <v>1.1173280000000001</v>
      </c>
      <c r="L7123">
        <v>-66.435699999999997</v>
      </c>
      <c r="M7123">
        <v>0.86286030000000002</v>
      </c>
      <c r="N7123">
        <v>0</v>
      </c>
      <c r="O7123">
        <v>-0.50528030000000002</v>
      </c>
      <c r="P7123">
        <v>0.91414649999999997</v>
      </c>
      <c r="Q7123">
        <v>3.3174750000000003E-2</v>
      </c>
      <c r="R7123">
        <v>-0.4040242</v>
      </c>
      <c r="S7123">
        <v>3.25238</v>
      </c>
      <c r="T7123">
        <v>-9.5939040000000003E-2</v>
      </c>
      <c r="U7123">
        <v>-9.2651369999999997E-2</v>
      </c>
      <c r="V7123">
        <v>-0.1140863</v>
      </c>
      <c r="W7123">
        <v>4.3880500000000003E-2</v>
      </c>
      <c r="X7123">
        <v>0.99250130000000003</v>
      </c>
      <c r="Y7123">
        <v>-0.48013359999999999</v>
      </c>
      <c r="Z7123">
        <v>2.1403510000000001E-2</v>
      </c>
      <c r="AA7123">
        <v>0.876934199999999</v>
      </c>
      <c r="AB7123">
        <v>23</v>
      </c>
      <c r="AC7123">
        <v>37.778299999999902</v>
      </c>
      <c r="AD7123">
        <v>-1.1173295608189999</v>
      </c>
      <c r="AE7123">
        <v>-1.0274000000000001</v>
      </c>
      <c r="AF7123">
        <v>-18.187722399954598</v>
      </c>
      <c r="AG7123">
        <v>-1.1173295608189999</v>
      </c>
      <c r="AH7123">
        <v>33.090310889417196</v>
      </c>
      <c r="AI7123">
        <v>91.694937563566796</v>
      </c>
      <c r="AJ7123">
        <v>118.794907291618</v>
      </c>
      <c r="AK7123">
        <v>37.775790477547602</v>
      </c>
      <c r="AL7123">
        <v>87.485025025543905</v>
      </c>
      <c r="AM7123">
        <v>96.557270736756806</v>
      </c>
      <c r="AN7123">
        <v>1.00000000631481</v>
      </c>
    </row>
    <row r="7124" spans="1:40" x14ac:dyDescent="0.25">
      <c r="A7124" t="str">
        <f>"20190312160512415"</f>
        <v>20190312160512415</v>
      </c>
      <c r="B7124" t="str">
        <f>"1552377912411931"</f>
        <v>1552377912411931</v>
      </c>
      <c r="C7124" t="s">
        <v>40</v>
      </c>
      <c r="D7124">
        <v>5.6266679999999996</v>
      </c>
      <c r="E7124">
        <v>0.3444178</v>
      </c>
      <c r="F7124" t="s">
        <v>121</v>
      </c>
      <c r="G7124">
        <v>-252.47020000000001</v>
      </c>
      <c r="H7124" s="1">
        <v>-1.7352389999999999E-6</v>
      </c>
      <c r="I7124">
        <v>-67.306430000000006</v>
      </c>
      <c r="J7124">
        <v>-289.66059999999999</v>
      </c>
      <c r="K7124">
        <v>1.117326</v>
      </c>
      <c r="L7124">
        <v>-66.486540000000005</v>
      </c>
      <c r="M7124">
        <v>0.86591039999999997</v>
      </c>
      <c r="N7124">
        <v>0</v>
      </c>
      <c r="O7124">
        <v>-0.50003520000000001</v>
      </c>
      <c r="P7124">
        <v>0.91652829999999996</v>
      </c>
      <c r="Q7124">
        <v>3.290974E-2</v>
      </c>
      <c r="R7124">
        <v>-0.3986133</v>
      </c>
      <c r="S7124">
        <v>3.2517399999999999</v>
      </c>
      <c r="T7124">
        <v>-9.7431420000000005E-2</v>
      </c>
      <c r="U7124">
        <v>-7.5927729999999999E-2</v>
      </c>
      <c r="V7124">
        <v>-0.1139314</v>
      </c>
      <c r="W7124">
        <v>4.3618959999999998E-2</v>
      </c>
      <c r="X7124">
        <v>0.99253060000000004</v>
      </c>
      <c r="Y7124">
        <v>-0.47930299999999998</v>
      </c>
      <c r="Z7124">
        <v>2.15967E-2</v>
      </c>
      <c r="AA7124">
        <v>0.87738379999999905</v>
      </c>
      <c r="AB7124">
        <v>23</v>
      </c>
      <c r="AC7124">
        <v>37.190399999999897</v>
      </c>
      <c r="AD7124">
        <v>-1.1173277352390001</v>
      </c>
      <c r="AE7124">
        <v>-0.81989000000000001</v>
      </c>
      <c r="AF7124">
        <v>-17.871901009972099</v>
      </c>
      <c r="AG7124">
        <v>-1.1173277352390001</v>
      </c>
      <c r="AH7124">
        <v>32.586803438374098</v>
      </c>
      <c r="AI7124">
        <v>91.721978382209201</v>
      </c>
      <c r="AJ7124">
        <v>118.74211818296401</v>
      </c>
      <c r="AK7124">
        <v>37.1826979294054</v>
      </c>
      <c r="AL7124">
        <v>87.500024471425903</v>
      </c>
      <c r="AM7124">
        <v>96.548253388276194</v>
      </c>
      <c r="AN7124">
        <v>0.9999999847569</v>
      </c>
    </row>
    <row r="7125" spans="1:40" x14ac:dyDescent="0.25">
      <c r="A7125" t="str">
        <f>"20190312160512427"</f>
        <v>20190312160512427</v>
      </c>
      <c r="B7125" t="str">
        <f>"1552377912422667"</f>
        <v>1552377912422667</v>
      </c>
      <c r="C7125" t="s">
        <v>40</v>
      </c>
      <c r="D7125">
        <v>5.2450400000000004</v>
      </c>
      <c r="E7125">
        <v>0.34476649999999998</v>
      </c>
      <c r="F7125" t="s">
        <v>121</v>
      </c>
      <c r="G7125">
        <v>-252.53100000000001</v>
      </c>
      <c r="H7125" s="1">
        <v>-1.7336589999999999E-6</v>
      </c>
      <c r="I7125">
        <v>-67.182040000000001</v>
      </c>
      <c r="J7125">
        <v>-289.55900000000003</v>
      </c>
      <c r="K7125">
        <v>1.1173249999999999</v>
      </c>
      <c r="L7125">
        <v>-66.537840000000003</v>
      </c>
      <c r="M7125">
        <v>0.86897089999999999</v>
      </c>
      <c r="N7125">
        <v>0</v>
      </c>
      <c r="O7125">
        <v>-0.49469740000000001</v>
      </c>
      <c r="P7125">
        <v>0.91836989999999996</v>
      </c>
      <c r="Q7125">
        <v>3.1805899999999998E-2</v>
      </c>
      <c r="R7125">
        <v>-0.39444279999999998</v>
      </c>
      <c r="S7125">
        <v>3.2502439999999999</v>
      </c>
      <c r="T7125">
        <v>-9.7808359999999997E-2</v>
      </c>
      <c r="U7125">
        <v>-6.0882569999999997E-2</v>
      </c>
      <c r="V7125">
        <v>-0.1123345</v>
      </c>
      <c r="W7125">
        <v>4.2545649999999997E-2</v>
      </c>
      <c r="X7125">
        <v>0.99275919999999895</v>
      </c>
      <c r="Y7125">
        <v>-0.47795199999999999</v>
      </c>
      <c r="Z7125">
        <v>2.153381E-2</v>
      </c>
      <c r="AA7125">
        <v>0.87812199999999996</v>
      </c>
      <c r="AB7125">
        <v>23</v>
      </c>
      <c r="AC7125">
        <v>37.027999999999999</v>
      </c>
      <c r="AD7125">
        <v>-1.11732673365899</v>
      </c>
      <c r="AE7125">
        <v>-0.644199999999997</v>
      </c>
      <c r="AF7125">
        <v>-17.7431700982523</v>
      </c>
      <c r="AG7125">
        <v>-1.11732673365899</v>
      </c>
      <c r="AH7125">
        <v>32.4680498258383</v>
      </c>
      <c r="AI7125">
        <v>91.729697003263198</v>
      </c>
      <c r="AJ7125">
        <v>118.655763135396</v>
      </c>
      <c r="AK7125">
        <v>37.0167902938434</v>
      </c>
      <c r="AL7125">
        <v>87.561577797956701</v>
      </c>
      <c r="AM7125">
        <v>96.455777211212194</v>
      </c>
      <c r="AN7125">
        <v>1.0000000007044001</v>
      </c>
    </row>
    <row r="7126" spans="1:40" x14ac:dyDescent="0.25">
      <c r="A7126" t="str">
        <f>"20190312160512438"</f>
        <v>20190312160512438</v>
      </c>
      <c r="B7126" t="str">
        <f>"1552377912432428"</f>
        <v>1552377912432428</v>
      </c>
      <c r="C7126" t="s">
        <v>40</v>
      </c>
      <c r="D7126">
        <v>7.5699079999999999</v>
      </c>
      <c r="E7126">
        <v>0.3451149</v>
      </c>
      <c r="F7126" t="s">
        <v>121</v>
      </c>
      <c r="G7126">
        <v>-253.13419999999999</v>
      </c>
      <c r="H7126" s="1">
        <v>-1.9697840000000002E-6</v>
      </c>
      <c r="I7126">
        <v>-67.080069999999907</v>
      </c>
      <c r="J7126">
        <v>-289.45999999999998</v>
      </c>
      <c r="K7126">
        <v>1.1173200000000001</v>
      </c>
      <c r="L7126">
        <v>-66.586489999999998</v>
      </c>
      <c r="M7126">
        <v>0.87190469999999898</v>
      </c>
      <c r="N7126">
        <v>0</v>
      </c>
      <c r="O7126">
        <v>-0.48950830000000001</v>
      </c>
      <c r="P7126">
        <v>0.92039720000000003</v>
      </c>
      <c r="Q7126">
        <v>3.0930969999999999E-2</v>
      </c>
      <c r="R7126">
        <v>-0.38975989999999999</v>
      </c>
      <c r="S7126">
        <v>3.2493289999999999</v>
      </c>
      <c r="T7126">
        <v>-9.9673029999999996E-2</v>
      </c>
      <c r="U7126">
        <v>-4.8370360000000001E-2</v>
      </c>
      <c r="V7126">
        <v>-0.11147269999999899</v>
      </c>
      <c r="W7126">
        <v>4.1687149999999999E-2</v>
      </c>
      <c r="X7126">
        <v>0.99289269999999996</v>
      </c>
      <c r="Y7126">
        <v>-0.47607759999999999</v>
      </c>
      <c r="Z7126">
        <v>2.1785180000000001E-2</v>
      </c>
      <c r="AA7126">
        <v>0.87913339999999995</v>
      </c>
      <c r="AB7126">
        <v>23</v>
      </c>
      <c r="AC7126">
        <v>36.325800000000001</v>
      </c>
      <c r="AD7126">
        <v>-1.117321969784</v>
      </c>
      <c r="AE7126">
        <v>-0.49357999999999402</v>
      </c>
      <c r="AF7126">
        <v>-17.336448716987899</v>
      </c>
      <c r="AG7126">
        <v>-1.117321969784</v>
      </c>
      <c r="AH7126">
        <v>31.886699956635098</v>
      </c>
      <c r="AI7126">
        <v>91.763271411874101</v>
      </c>
      <c r="AJ7126">
        <v>118.532440015066</v>
      </c>
      <c r="AK7126">
        <v>36.312015871132701</v>
      </c>
      <c r="AL7126">
        <v>87.610809782127802</v>
      </c>
      <c r="AM7126">
        <v>96.405809345260806</v>
      </c>
      <c r="AN7126">
        <v>0.99999994751684995</v>
      </c>
    </row>
    <row r="7127" spans="1:40" x14ac:dyDescent="0.25">
      <c r="A7127" t="str">
        <f>"20190312160512449"</f>
        <v>20190312160512449</v>
      </c>
      <c r="B7127" t="str">
        <f>"1552377912442188"</f>
        <v>1552377912442188</v>
      </c>
      <c r="C7127" t="s">
        <v>40</v>
      </c>
      <c r="D7127">
        <v>5.5860510000000003</v>
      </c>
      <c r="E7127">
        <v>0.34549010000000002</v>
      </c>
      <c r="F7127" t="s">
        <v>121</v>
      </c>
      <c r="G7127">
        <v>-253.60589999999999</v>
      </c>
      <c r="H7127" s="1">
        <v>-2.1296330000000002E-6</v>
      </c>
      <c r="I7127">
        <v>-66.962729999999993</v>
      </c>
      <c r="J7127">
        <v>-289.35939999999999</v>
      </c>
      <c r="K7127">
        <v>1.117318</v>
      </c>
      <c r="L7127">
        <v>-66.635619999999903</v>
      </c>
      <c r="M7127">
        <v>0.87485059999999903</v>
      </c>
      <c r="N7127">
        <v>0</v>
      </c>
      <c r="O7127">
        <v>-0.48422379999999998</v>
      </c>
      <c r="P7127">
        <v>0.92243719999999996</v>
      </c>
      <c r="Q7127">
        <v>3.008736E-2</v>
      </c>
      <c r="R7127">
        <v>-0.38497379999999998</v>
      </c>
      <c r="S7127">
        <v>3.2484440000000001</v>
      </c>
      <c r="T7127">
        <v>-0.1012315</v>
      </c>
      <c r="U7127">
        <v>-3.4088130000000001E-2</v>
      </c>
      <c r="V7127">
        <v>-0.11062039999999999</v>
      </c>
      <c r="W7127">
        <v>4.0860069999999998E-2</v>
      </c>
      <c r="X7127">
        <v>0.99302239999999997</v>
      </c>
      <c r="Y7127">
        <v>-0.4746069</v>
      </c>
      <c r="Z7127">
        <v>2.1967279999999999E-2</v>
      </c>
      <c r="AA7127">
        <v>0.87992369999999898</v>
      </c>
      <c r="AB7127">
        <v>23</v>
      </c>
      <c r="AC7127">
        <v>35.753500000000003</v>
      </c>
      <c r="AD7127">
        <v>-1.117320129633</v>
      </c>
      <c r="AE7127">
        <v>-0.327110000000018</v>
      </c>
      <c r="AF7127">
        <v>-17.011305475291401</v>
      </c>
      <c r="AG7127">
        <v>-1.117320129633</v>
      </c>
      <c r="AH7127">
        <v>31.409267632478802</v>
      </c>
      <c r="AI7127">
        <v>91.791619688454801</v>
      </c>
      <c r="AJ7127">
        <v>118.440040367153</v>
      </c>
      <c r="AK7127">
        <v>35.737585417238797</v>
      </c>
      <c r="AL7127">
        <v>87.658238405910595</v>
      </c>
      <c r="AM7127">
        <v>96.356410670925101</v>
      </c>
      <c r="AN7127">
        <v>0.99999995255916097</v>
      </c>
    </row>
    <row r="7128" spans="1:40" x14ac:dyDescent="0.25">
      <c r="A7128" t="str">
        <f>"20190312160512461"</f>
        <v>20190312160512461</v>
      </c>
      <c r="B7128" t="str">
        <f>"1552377912451948"</f>
        <v>1552377912451948</v>
      </c>
      <c r="C7128" t="s">
        <v>40</v>
      </c>
      <c r="D7128">
        <v>5.5975469999999996</v>
      </c>
      <c r="E7128">
        <v>0.34549010000000002</v>
      </c>
      <c r="F7128" t="s">
        <v>121</v>
      </c>
      <c r="G7128">
        <v>-254.059</v>
      </c>
      <c r="H7128" s="1">
        <v>-2.2687369999999999E-6</v>
      </c>
      <c r="I7128">
        <v>-66.849919999999997</v>
      </c>
      <c r="J7128">
        <v>-289.25259999999997</v>
      </c>
      <c r="K7128">
        <v>1.1173139999999999</v>
      </c>
      <c r="L7128">
        <v>-66.686709999999906</v>
      </c>
      <c r="M7128">
        <v>0.87793290000000002</v>
      </c>
      <c r="N7128">
        <v>0</v>
      </c>
      <c r="O7128">
        <v>-0.47861229999999999</v>
      </c>
      <c r="P7128">
        <v>0.92410899999999996</v>
      </c>
      <c r="Q7128">
        <v>2.9487019999999999E-2</v>
      </c>
      <c r="R7128">
        <v>-0.38098910000000002</v>
      </c>
      <c r="S7128">
        <v>3.2474370000000001</v>
      </c>
      <c r="T7128">
        <v>-0.102787</v>
      </c>
      <c r="U7128">
        <v>-1.971436E-2</v>
      </c>
      <c r="V7128">
        <v>-0.1085458</v>
      </c>
      <c r="W7128">
        <v>4.0299769999999999E-2</v>
      </c>
      <c r="X7128">
        <v>0.99327430000000005</v>
      </c>
      <c r="Y7128">
        <v>-0.4728522</v>
      </c>
      <c r="Z7128">
        <v>2.213004E-2</v>
      </c>
      <c r="AA7128">
        <v>0.88086379999999997</v>
      </c>
      <c r="AB7128">
        <v>23</v>
      </c>
      <c r="AC7128">
        <v>35.193599999999897</v>
      </c>
      <c r="AD7128">
        <v>-1.117316268737</v>
      </c>
      <c r="AE7128">
        <v>-0.16321000000000599</v>
      </c>
      <c r="AF7128">
        <v>-16.6853556981713</v>
      </c>
      <c r="AG7128">
        <v>-1.117316268737</v>
      </c>
      <c r="AH7128">
        <v>30.947083902875502</v>
      </c>
      <c r="AI7128">
        <v>91.8202110897697</v>
      </c>
      <c r="AJ7128">
        <v>118.331664312632</v>
      </c>
      <c r="AK7128">
        <v>35.176291625333398</v>
      </c>
      <c r="AL7128">
        <v>87.690367920092299</v>
      </c>
      <c r="AM7128">
        <v>96.236580257216403</v>
      </c>
      <c r="AN7128">
        <v>1.00000004860009</v>
      </c>
    </row>
    <row r="7129" spans="1:40" x14ac:dyDescent="0.25">
      <c r="A7129" t="str">
        <f>"20190312160512474"</f>
        <v>20190312160512474</v>
      </c>
      <c r="B7129" t="str">
        <f>"1552377912462511"</f>
        <v>1552377912462511</v>
      </c>
      <c r="C7129" t="s">
        <v>40</v>
      </c>
      <c r="D7129">
        <v>5.6363269999999996</v>
      </c>
      <c r="E7129">
        <v>0.36463909999999999</v>
      </c>
      <c r="F7129" t="s">
        <v>121</v>
      </c>
      <c r="G7129">
        <v>-254.17269999999999</v>
      </c>
      <c r="H7129" s="1">
        <v>-2.293441E-6</v>
      </c>
      <c r="I7129">
        <v>-66.745379999999997</v>
      </c>
      <c r="J7129">
        <v>-289.1447</v>
      </c>
      <c r="K7129">
        <v>1.1173120000000001</v>
      </c>
      <c r="L7129">
        <v>-66.737579999999994</v>
      </c>
      <c r="M7129">
        <v>0.88100129999999999</v>
      </c>
      <c r="N7129">
        <v>0</v>
      </c>
      <c r="O7129">
        <v>-0.47294029999999998</v>
      </c>
      <c r="P7129">
        <v>0.92617890000000003</v>
      </c>
      <c r="Q7129">
        <v>2.8881520000000001E-2</v>
      </c>
      <c r="R7129">
        <v>-0.37597639999999999</v>
      </c>
      <c r="S7129">
        <v>3.2474059999999998</v>
      </c>
      <c r="T7129">
        <v>-0.1034318</v>
      </c>
      <c r="U7129">
        <v>-5.432129E-3</v>
      </c>
      <c r="V7129">
        <v>-0.1075195</v>
      </c>
      <c r="W7129">
        <v>3.9713730000000003E-2</v>
      </c>
      <c r="X7129">
        <v>0.99340949999999995</v>
      </c>
      <c r="Y7129">
        <v>-0.4710413</v>
      </c>
      <c r="Z7129">
        <v>2.208272E-2</v>
      </c>
      <c r="AA7129">
        <v>0.88183469999999997</v>
      </c>
      <c r="AB7129">
        <v>23</v>
      </c>
      <c r="AC7129">
        <v>34.972000000000001</v>
      </c>
      <c r="AD7129">
        <v>-1.1173142934410001</v>
      </c>
      <c r="AE7129">
        <v>-7.80000000000313E-3</v>
      </c>
      <c r="AF7129">
        <v>-16.5172940690051</v>
      </c>
      <c r="AG7129">
        <v>-1.1173142934410001</v>
      </c>
      <c r="AH7129">
        <v>30.785172999716099</v>
      </c>
      <c r="AI7129">
        <v>91.831776887538794</v>
      </c>
      <c r="AJ7129">
        <v>118.21507367186</v>
      </c>
      <c r="AK7129">
        <v>34.954202482888498</v>
      </c>
      <c r="AL7129">
        <v>87.723972396303594</v>
      </c>
      <c r="AM7129">
        <v>96.177237257760197</v>
      </c>
      <c r="AN7129">
        <v>1.0000000289605</v>
      </c>
    </row>
    <row r="7130" spans="1:40" x14ac:dyDescent="0.25">
      <c r="A7130" t="str">
        <f>"20190312160512485"</f>
        <v>20190312160512485</v>
      </c>
      <c r="B7130" t="str">
        <f>"1552377912482018"</f>
        <v>1552377912482018</v>
      </c>
      <c r="C7130" t="s">
        <v>40</v>
      </c>
      <c r="D7130">
        <v>5.5932079999999997</v>
      </c>
      <c r="E7130">
        <v>0.36515890000000001</v>
      </c>
      <c r="F7130" t="s">
        <v>49</v>
      </c>
      <c r="G7130">
        <v>-288.10180000000003</v>
      </c>
      <c r="H7130">
        <v>1.078589</v>
      </c>
      <c r="I7130">
        <v>-66.779709999999994</v>
      </c>
      <c r="J7130">
        <v>-289.03269999999998</v>
      </c>
      <c r="K7130">
        <v>1.1173120000000001</v>
      </c>
      <c r="L7130">
        <v>-66.789609999999996</v>
      </c>
      <c r="M7130">
        <v>0.88413629999999999</v>
      </c>
      <c r="N7130">
        <v>0</v>
      </c>
      <c r="O7130">
        <v>-0.46705340000000001</v>
      </c>
      <c r="P7130">
        <v>0.92832510000000001</v>
      </c>
      <c r="Q7130">
        <v>2.8605539999999999E-2</v>
      </c>
      <c r="R7130">
        <v>-0.37066779999999999</v>
      </c>
      <c r="S7130">
        <v>3.190277</v>
      </c>
      <c r="T7130">
        <v>-0.118476</v>
      </c>
      <c r="U7130">
        <v>-0.1293945</v>
      </c>
      <c r="V7130">
        <v>-0.1065798</v>
      </c>
      <c r="W7130">
        <v>3.9455490000000003E-2</v>
      </c>
      <c r="X7130">
        <v>0.99352099999999999</v>
      </c>
      <c r="Y7130">
        <v>-0.43028</v>
      </c>
      <c r="Z7130">
        <v>2.4743230000000001E-2</v>
      </c>
      <c r="AA7130">
        <v>0.9023563</v>
      </c>
      <c r="AB7130">
        <v>23</v>
      </c>
      <c r="AC7130">
        <v>0.93089999999995099</v>
      </c>
      <c r="AD7130">
        <v>-3.8723E-2</v>
      </c>
      <c r="AE7130">
        <v>9.9000000000017893E-3</v>
      </c>
      <c r="AF7130">
        <v>-0.442803246862362</v>
      </c>
      <c r="AG7130">
        <v>-3.8723E-2</v>
      </c>
      <c r="AH7130">
        <v>0.81707216823588003</v>
      </c>
      <c r="AI7130">
        <v>92.385962650811507</v>
      </c>
      <c r="AJ7130">
        <v>118.454989742544</v>
      </c>
      <c r="AK7130">
        <v>0.93015112442362402</v>
      </c>
      <c r="AL7130">
        <v>87.738779960976302</v>
      </c>
      <c r="AM7130">
        <v>96.1229793384136</v>
      </c>
      <c r="AN7130">
        <v>0.999999983450089</v>
      </c>
    </row>
    <row r="7131" spans="1:40" x14ac:dyDescent="0.25">
      <c r="A7131" t="str">
        <f>"20190312160512498"</f>
        <v>20190312160512498</v>
      </c>
      <c r="B7131" t="str">
        <f>"1552377912492752"</f>
        <v>1552377912492752</v>
      </c>
      <c r="C7131" t="s">
        <v>40</v>
      </c>
      <c r="D7131">
        <v>5.6191120000000003</v>
      </c>
      <c r="E7131">
        <v>0.36515890000000001</v>
      </c>
      <c r="F7131" t="s">
        <v>121</v>
      </c>
      <c r="G7131">
        <v>-259.50799999999998</v>
      </c>
      <c r="H7131" s="1">
        <v>-4.2571969999999998E-6</v>
      </c>
      <c r="I7131">
        <v>-67.85351</v>
      </c>
      <c r="J7131">
        <v>-288.9289</v>
      </c>
      <c r="K7131">
        <v>1.1173139999999999</v>
      </c>
      <c r="L7131">
        <v>-66.836699999999993</v>
      </c>
      <c r="M7131">
        <v>0.88699899999999998</v>
      </c>
      <c r="N7131">
        <v>0</v>
      </c>
      <c r="O7131">
        <v>-0.46159420000000001</v>
      </c>
      <c r="P7131">
        <v>0.93034030000000001</v>
      </c>
      <c r="Q7131">
        <v>2.8720300000000001E-2</v>
      </c>
      <c r="R7131">
        <v>-0.36557149999999999</v>
      </c>
      <c r="S7131">
        <v>3.1894529999999999</v>
      </c>
      <c r="T7131">
        <v>-0.1206996</v>
      </c>
      <c r="U7131">
        <v>-0.1149292</v>
      </c>
      <c r="V7131">
        <v>-0.1059037</v>
      </c>
      <c r="W7131">
        <v>3.9583649999999998E-2</v>
      </c>
      <c r="X7131">
        <v>0.99358820000000003</v>
      </c>
      <c r="Y7131">
        <v>-0.4287743</v>
      </c>
      <c r="Z7131">
        <v>2.500687E-2</v>
      </c>
      <c r="AA7131">
        <v>0.90306549999999997</v>
      </c>
      <c r="AB7131">
        <v>23</v>
      </c>
      <c r="AC7131">
        <v>29.4209</v>
      </c>
      <c r="AD7131">
        <v>-1.117318257197</v>
      </c>
      <c r="AE7131">
        <v>-1.01681</v>
      </c>
      <c r="AF7131">
        <v>-12.661405201350901</v>
      </c>
      <c r="AG7131">
        <v>-1.117318257197</v>
      </c>
      <c r="AH7131">
        <v>26.529618585296699</v>
      </c>
      <c r="AI7131">
        <v>92.176709706340503</v>
      </c>
      <c r="AJ7131">
        <v>115.513064419431</v>
      </c>
      <c r="AK7131">
        <v>29.417345972095799</v>
      </c>
      <c r="AL7131">
        <v>87.731431196610103</v>
      </c>
      <c r="AM7131">
        <v>96.084021432904194</v>
      </c>
      <c r="AN7131">
        <v>0.999999985100126</v>
      </c>
    </row>
    <row r="7132" spans="1:40" x14ac:dyDescent="0.25">
      <c r="A7132" t="str">
        <f>"20190312160512510"</f>
        <v>20190312160512510</v>
      </c>
      <c r="B7132" t="str">
        <f>"1552377912502512"</f>
        <v>1552377912502512</v>
      </c>
      <c r="C7132" t="s">
        <v>40</v>
      </c>
      <c r="D7132">
        <v>5.6899600000000001</v>
      </c>
      <c r="E7132">
        <v>0.33860810000000002</v>
      </c>
      <c r="F7132" t="s">
        <v>121</v>
      </c>
      <c r="G7132">
        <v>-259.2885</v>
      </c>
      <c r="H7132" s="1">
        <v>-4.1676490000000004E-6</v>
      </c>
      <c r="I7132">
        <v>-67.742369999999994</v>
      </c>
      <c r="J7132">
        <v>-288.82060000000001</v>
      </c>
      <c r="K7132">
        <v>1.1173090000000001</v>
      </c>
      <c r="L7132">
        <v>-66.885350000000003</v>
      </c>
      <c r="M7132">
        <v>0.88994200000000001</v>
      </c>
      <c r="N7132">
        <v>0</v>
      </c>
      <c r="O7132">
        <v>-0.45589400000000002</v>
      </c>
      <c r="P7132">
        <v>0.93235710000000005</v>
      </c>
      <c r="Q7132">
        <v>2.850312E-2</v>
      </c>
      <c r="R7132">
        <v>-0.36041410000000002</v>
      </c>
      <c r="S7132">
        <v>3.1900629999999999</v>
      </c>
      <c r="T7132">
        <v>-0.12025189999999999</v>
      </c>
      <c r="U7132">
        <v>-9.747314E-2</v>
      </c>
      <c r="V7132">
        <v>-0.105030399999999</v>
      </c>
      <c r="W7132">
        <v>3.938258E-2</v>
      </c>
      <c r="X7132">
        <v>0.99368889999999999</v>
      </c>
      <c r="Y7132">
        <v>-0.42793059999999999</v>
      </c>
      <c r="Z7132">
        <v>2.4707799999999999E-2</v>
      </c>
      <c r="AA7132">
        <v>0.90347390000000005</v>
      </c>
      <c r="AB7132">
        <v>23</v>
      </c>
      <c r="AC7132">
        <v>29.5321</v>
      </c>
      <c r="AD7132">
        <v>-1.117313167649</v>
      </c>
      <c r="AE7132">
        <v>-0.85701999999999101</v>
      </c>
      <c r="AF7132">
        <v>-12.6837098552149</v>
      </c>
      <c r="AG7132">
        <v>-1.117313167649</v>
      </c>
      <c r="AH7132">
        <v>26.636656822806401</v>
      </c>
      <c r="AI7132">
        <v>92.168870394586094</v>
      </c>
      <c r="AJ7132">
        <v>115.462621877451</v>
      </c>
      <c r="AK7132">
        <v>29.523488464303099</v>
      </c>
      <c r="AL7132">
        <v>87.742960685906198</v>
      </c>
      <c r="AM7132">
        <v>96.033616235906095</v>
      </c>
      <c r="AN7132">
        <v>1.00000000125741</v>
      </c>
    </row>
    <row r="7133" spans="1:40" x14ac:dyDescent="0.25">
      <c r="A7133" t="str">
        <f>"20190312160512521"</f>
        <v>20190312160512521</v>
      </c>
      <c r="B7133" t="str">
        <f>"1552377912512272"</f>
        <v>1552377912512272</v>
      </c>
      <c r="C7133" t="s">
        <v>40</v>
      </c>
      <c r="D7133">
        <v>5.5275410000000003</v>
      </c>
      <c r="E7133">
        <v>0.33657989999999999</v>
      </c>
      <c r="F7133" t="s">
        <v>54</v>
      </c>
      <c r="G7133">
        <v>-157.3501</v>
      </c>
      <c r="H7133">
        <v>0.1080894</v>
      </c>
      <c r="I7133">
        <v>-62.1126199999999</v>
      </c>
      <c r="J7133">
        <v>-288.71080000000001</v>
      </c>
      <c r="K7133">
        <v>1.1173070000000001</v>
      </c>
      <c r="L7133">
        <v>-66.93356</v>
      </c>
      <c r="M7133">
        <v>0.89287749999999999</v>
      </c>
      <c r="N7133">
        <v>0</v>
      </c>
      <c r="O7133">
        <v>-0.4501175</v>
      </c>
      <c r="P7133">
        <v>0.93435619999999997</v>
      </c>
      <c r="Q7133">
        <v>2.8169079999999999E-2</v>
      </c>
      <c r="R7133">
        <v>-0.35522569999999998</v>
      </c>
      <c r="S7133">
        <v>3.264221</v>
      </c>
      <c r="T7133">
        <v>-2.5057909999999999E-2</v>
      </c>
      <c r="U7133">
        <v>0.1184998</v>
      </c>
      <c r="V7133">
        <v>-0.10411339999999999</v>
      </c>
      <c r="W7133">
        <v>3.9066690000000001E-2</v>
      </c>
      <c r="X7133">
        <v>0.99379790000000001</v>
      </c>
      <c r="Y7133">
        <v>-0.4822264</v>
      </c>
      <c r="Z7133">
        <v>5.2141000000000002E-3</v>
      </c>
      <c r="AA7133">
        <v>0.87603109999999995</v>
      </c>
      <c r="AB7133">
        <v>23</v>
      </c>
      <c r="AC7133">
        <v>131.36070000000001</v>
      </c>
      <c r="AD7133">
        <v>-1.0092175999999999</v>
      </c>
      <c r="AE7133">
        <v>4.8209400000000002</v>
      </c>
      <c r="AF7133">
        <v>-63.433721855772198</v>
      </c>
      <c r="AG7133">
        <v>-1.0092175999999999</v>
      </c>
      <c r="AH7133">
        <v>115.12167927140599</v>
      </c>
      <c r="AI7133">
        <v>90.439912985838504</v>
      </c>
      <c r="AJ7133">
        <v>118.855404340296</v>
      </c>
      <c r="AK7133">
        <v>131.445260952642</v>
      </c>
      <c r="AL7133">
        <v>87.761073867511897</v>
      </c>
      <c r="AM7133">
        <v>95.980670184507204</v>
      </c>
      <c r="AN7133">
        <v>1.0000000361857599</v>
      </c>
    </row>
    <row r="7134" spans="1:40" x14ac:dyDescent="0.25">
      <c r="A7134" t="str">
        <f>"20190312160512530"</f>
        <v>20190312160512530</v>
      </c>
      <c r="B7134" t="str">
        <f>"1552377912522032"</f>
        <v>1552377912522032</v>
      </c>
      <c r="C7134" t="s">
        <v>40</v>
      </c>
      <c r="D7134">
        <v>5.3050169999999897</v>
      </c>
      <c r="E7134">
        <v>0.33757300000000001</v>
      </c>
      <c r="F7134" t="s">
        <v>54</v>
      </c>
      <c r="G7134">
        <v>-157.3501</v>
      </c>
      <c r="H7134">
        <v>8.1064699999999906E-2</v>
      </c>
      <c r="I7134">
        <v>-60.830680000000001</v>
      </c>
      <c r="J7134">
        <v>-288.62650000000002</v>
      </c>
      <c r="K7134">
        <v>1.1173070000000001</v>
      </c>
      <c r="L7134">
        <v>-66.970179999999999</v>
      </c>
      <c r="M7134">
        <v>0.89510299999999998</v>
      </c>
      <c r="N7134">
        <v>0</v>
      </c>
      <c r="O7134">
        <v>-0.4456754</v>
      </c>
      <c r="P7134">
        <v>0.93575160000000002</v>
      </c>
      <c r="Q7134">
        <v>2.7713950000000001E-2</v>
      </c>
      <c r="R7134">
        <v>-0.35156939999999998</v>
      </c>
      <c r="S7134">
        <v>3.2692570000000001</v>
      </c>
      <c r="T7134">
        <v>-2.57901E-2</v>
      </c>
      <c r="U7134">
        <v>0.15188599999999999</v>
      </c>
      <c r="V7134">
        <v>-0.1030587</v>
      </c>
      <c r="W7134">
        <v>3.8631190000000003E-2</v>
      </c>
      <c r="X7134">
        <v>0.99392480000000005</v>
      </c>
      <c r="Y7134">
        <v>-0.4867475</v>
      </c>
      <c r="Z7134">
        <v>5.3448840000000003E-3</v>
      </c>
      <c r="AA7134">
        <v>0.87352640000000004</v>
      </c>
      <c r="AB7134">
        <v>23</v>
      </c>
      <c r="AC7134">
        <v>131.2764</v>
      </c>
      <c r="AD7134">
        <v>-1.0362423000000001</v>
      </c>
      <c r="AE7134">
        <v>6.1394999999999902</v>
      </c>
      <c r="AF7134">
        <v>-64.003418330474204</v>
      </c>
      <c r="AG7134">
        <v>-1.0362423000000001</v>
      </c>
      <c r="AH7134">
        <v>114.771955212422</v>
      </c>
      <c r="AI7134">
        <v>90.451794416218405</v>
      </c>
      <c r="AJ7134">
        <v>119.146541750022</v>
      </c>
      <c r="AK7134">
        <v>131.41580216766999</v>
      </c>
      <c r="AL7134">
        <v>87.786044919074797</v>
      </c>
      <c r="AM7134">
        <v>95.919766194862206</v>
      </c>
      <c r="AN7134">
        <v>0.99999998627077302</v>
      </c>
    </row>
    <row r="7135" spans="1:40" x14ac:dyDescent="0.25">
      <c r="A7135" t="str">
        <f>"20190312160512540"</f>
        <v>20190312160512540</v>
      </c>
      <c r="B7135" t="str">
        <f>"1552377912532768"</f>
        <v>1552377912532768</v>
      </c>
      <c r="C7135" t="s">
        <v>40</v>
      </c>
      <c r="D7135">
        <v>5.5737909999999999</v>
      </c>
      <c r="E7135">
        <v>0.33585330000000002</v>
      </c>
      <c r="F7135" t="s">
        <v>81</v>
      </c>
      <c r="G7135">
        <v>-179.94640000000001</v>
      </c>
      <c r="H7135">
        <v>6.126446E-2</v>
      </c>
      <c r="I7135">
        <v>-61.733240000000002</v>
      </c>
      <c r="J7135">
        <v>-288.5378</v>
      </c>
      <c r="K7135">
        <v>1.1173070000000001</v>
      </c>
      <c r="L7135">
        <v>-67.008089999999996</v>
      </c>
      <c r="M7135">
        <v>0.89741489999999902</v>
      </c>
      <c r="N7135">
        <v>0</v>
      </c>
      <c r="O7135">
        <v>-0.44100149999999999</v>
      </c>
      <c r="P7135">
        <v>0.93736109999999995</v>
      </c>
      <c r="Q7135">
        <v>2.7391499999999999E-2</v>
      </c>
      <c r="R7135">
        <v>-0.3472809</v>
      </c>
      <c r="S7135">
        <v>3.266022</v>
      </c>
      <c r="T7135">
        <v>-3.1735899999999997E-2</v>
      </c>
      <c r="U7135">
        <v>0.1573792</v>
      </c>
      <c r="V7135">
        <v>-0.1024254</v>
      </c>
      <c r="W7135">
        <v>3.8321470000000003E-2</v>
      </c>
      <c r="X7135">
        <v>0.99400230000000001</v>
      </c>
      <c r="Y7135">
        <v>-0.48368090000000002</v>
      </c>
      <c r="Z7135">
        <v>6.5272219999999897E-3</v>
      </c>
      <c r="AA7135">
        <v>0.87522009999999995</v>
      </c>
      <c r="AB7135">
        <v>23</v>
      </c>
      <c r="AC7135">
        <v>108.59139999999999</v>
      </c>
      <c r="AD7135">
        <v>-1.05604254</v>
      </c>
      <c r="AE7135">
        <v>5.27484999999999</v>
      </c>
      <c r="AF7135">
        <v>-52.622054485137397</v>
      </c>
      <c r="AG7135">
        <v>-1.05604254</v>
      </c>
      <c r="AH7135">
        <v>95.124158036656695</v>
      </c>
      <c r="AI7135">
        <v>90.556575596330404</v>
      </c>
      <c r="AJ7135">
        <v>118.95107814196</v>
      </c>
      <c r="AK7135">
        <v>108.714310402384</v>
      </c>
      <c r="AL7135">
        <v>87.803803825509405</v>
      </c>
      <c r="AM7135">
        <v>95.883189442821404</v>
      </c>
      <c r="AN7135">
        <v>1.0000000350167</v>
      </c>
    </row>
    <row r="7136" spans="1:40" x14ac:dyDescent="0.25">
      <c r="A7136" t="str">
        <f>"20190312160512550"</f>
        <v>20190312160512550</v>
      </c>
      <c r="B7136" t="str">
        <f>"1552377912542528"</f>
        <v>1552377912542528</v>
      </c>
      <c r="C7136" t="s">
        <v>40</v>
      </c>
      <c r="D7136">
        <v>5.5670510000000002</v>
      </c>
      <c r="E7136">
        <v>0.33492100000000002</v>
      </c>
      <c r="F7136" t="s">
        <v>54</v>
      </c>
      <c r="G7136">
        <v>-157.3501</v>
      </c>
      <c r="H7136">
        <v>0.1185021</v>
      </c>
      <c r="I7136">
        <v>-59.573770000000003</v>
      </c>
      <c r="J7136">
        <v>-288.45229999999998</v>
      </c>
      <c r="K7136">
        <v>1.1173059999999999</v>
      </c>
      <c r="L7136">
        <v>-67.04419</v>
      </c>
      <c r="M7136">
        <v>0.89961569999999902</v>
      </c>
      <c r="N7136">
        <v>0</v>
      </c>
      <c r="O7136">
        <v>-0.43649470000000001</v>
      </c>
      <c r="P7136">
        <v>0.93886069999999999</v>
      </c>
      <c r="Q7136">
        <v>2.674646E-2</v>
      </c>
      <c r="R7136">
        <v>-0.34325719999999998</v>
      </c>
      <c r="S7136">
        <v>3.2698969999999998</v>
      </c>
      <c r="T7136">
        <v>-2.489603E-2</v>
      </c>
      <c r="U7136">
        <v>0.18530269999999999</v>
      </c>
      <c r="V7136">
        <v>-0.10169980000000001</v>
      </c>
      <c r="W7136">
        <v>3.7690120000000001E-2</v>
      </c>
      <c r="X7136">
        <v>0.99410089999999995</v>
      </c>
      <c r="Y7136">
        <v>-0.48670829999999998</v>
      </c>
      <c r="Z7136">
        <v>5.0948360000000002E-3</v>
      </c>
      <c r="AA7136">
        <v>0.87354979999999904</v>
      </c>
      <c r="AB7136">
        <v>23</v>
      </c>
      <c r="AC7136">
        <v>131.10219999999899</v>
      </c>
      <c r="AD7136">
        <v>-0.99880389999999997</v>
      </c>
      <c r="AE7136">
        <v>7.4704199999999998</v>
      </c>
      <c r="AF7136">
        <v>-63.947466190594902</v>
      </c>
      <c r="AG7136">
        <v>-0.99880389999999997</v>
      </c>
      <c r="AH7136">
        <v>114.683567010671</v>
      </c>
      <c r="AI7136">
        <v>90.435818554712</v>
      </c>
      <c r="AJ7136">
        <v>119.14400295247501</v>
      </c>
      <c r="AK7136">
        <v>131.31106801682401</v>
      </c>
      <c r="AL7136">
        <v>87.840003586626906</v>
      </c>
      <c r="AM7136">
        <v>95.841225713431498</v>
      </c>
      <c r="AN7136">
        <v>0.99999999692323205</v>
      </c>
    </row>
    <row r="7137" spans="1:40" x14ac:dyDescent="0.25">
      <c r="A7137" t="str">
        <f>"20190312160512560"</f>
        <v>20190312160512560</v>
      </c>
      <c r="B7137" t="str">
        <f>"1552377912552289"</f>
        <v>1552377912552289</v>
      </c>
      <c r="C7137" t="s">
        <v>40</v>
      </c>
      <c r="D7137">
        <v>5.5615509999999997</v>
      </c>
      <c r="E7137">
        <v>0.33425500000000002</v>
      </c>
      <c r="F7137" t="s">
        <v>54</v>
      </c>
      <c r="G7137">
        <v>-157.3501</v>
      </c>
      <c r="H7137">
        <v>0.33790249999999999</v>
      </c>
      <c r="I7137">
        <v>-58.774160000000002</v>
      </c>
      <c r="J7137">
        <v>-288.35399999999998</v>
      </c>
      <c r="K7137">
        <v>1.1173070000000001</v>
      </c>
      <c r="L7137">
        <v>-67.084869999999995</v>
      </c>
      <c r="M7137">
        <v>0.90210999999999997</v>
      </c>
      <c r="N7137">
        <v>0</v>
      </c>
      <c r="O7137">
        <v>-0.43131589999999997</v>
      </c>
      <c r="P7137">
        <v>0.94049020000000005</v>
      </c>
      <c r="Q7137">
        <v>2.6051810000000002E-2</v>
      </c>
      <c r="R7137">
        <v>-0.33882119999999999</v>
      </c>
      <c r="S7137">
        <v>3.2713619999999999</v>
      </c>
      <c r="T7137">
        <v>-1.9448759999999999E-2</v>
      </c>
      <c r="U7137">
        <v>0.20635990000000001</v>
      </c>
      <c r="V7137">
        <v>-0.1006741</v>
      </c>
      <c r="W7137">
        <v>3.7014909999999998E-2</v>
      </c>
      <c r="X7137">
        <v>0.99423070000000002</v>
      </c>
      <c r="Y7137">
        <v>-0.48727740000000003</v>
      </c>
      <c r="Z7137">
        <v>3.9517739999999999E-3</v>
      </c>
      <c r="AA7137">
        <v>0.87323830000000002</v>
      </c>
      <c r="AB7137">
        <v>23</v>
      </c>
      <c r="AC7137">
        <v>131.00389999999999</v>
      </c>
      <c r="AD7137">
        <v>-0.77940449999999994</v>
      </c>
      <c r="AE7137">
        <v>8.3107100000000003</v>
      </c>
      <c r="AF7137">
        <v>-64.004236502765707</v>
      </c>
      <c r="AG7137">
        <v>-0.77940449999999994</v>
      </c>
      <c r="AH7137">
        <v>114.60075282086</v>
      </c>
      <c r="AI7137">
        <v>90.340203969100699</v>
      </c>
      <c r="AJ7137">
        <v>119.18325023343399</v>
      </c>
      <c r="AK7137">
        <v>131.26493175553199</v>
      </c>
      <c r="AL7137">
        <v>87.878717360238795</v>
      </c>
      <c r="AM7137">
        <v>95.781965075030598</v>
      </c>
      <c r="AN7137">
        <v>1.0000000313977999</v>
      </c>
    </row>
    <row r="7138" spans="1:40" x14ac:dyDescent="0.25">
      <c r="A7138" t="str">
        <f>"20190312160512571"</f>
        <v>20190312160512571</v>
      </c>
      <c r="B7138" t="str">
        <f>"1552377912562048"</f>
        <v>1552377912562048</v>
      </c>
      <c r="C7138" t="s">
        <v>40</v>
      </c>
      <c r="D7138">
        <v>5.5910729999999997</v>
      </c>
      <c r="E7138">
        <v>0.33394020000000002</v>
      </c>
      <c r="F7138" t="s">
        <v>54</v>
      </c>
      <c r="G7138">
        <v>-157.3501</v>
      </c>
      <c r="H7138">
        <v>0.47243550000000001</v>
      </c>
      <c r="I7138">
        <v>-57.999209999999998</v>
      </c>
      <c r="J7138">
        <v>-288.25229999999999</v>
      </c>
      <c r="K7138">
        <v>1.117305</v>
      </c>
      <c r="L7138">
        <v>-67.126459999999994</v>
      </c>
      <c r="M7138">
        <v>0.90465779999999996</v>
      </c>
      <c r="N7138">
        <v>0</v>
      </c>
      <c r="O7138">
        <v>-0.42594599999999999</v>
      </c>
      <c r="P7138">
        <v>0.94232570000000004</v>
      </c>
      <c r="Q7138">
        <v>2.565539E-2</v>
      </c>
      <c r="R7138">
        <v>-0.33371200000000001</v>
      </c>
      <c r="S7138">
        <v>3.2720340000000001</v>
      </c>
      <c r="T7138">
        <v>-1.6107199999999999E-2</v>
      </c>
      <c r="U7138">
        <v>0.22692870000000001</v>
      </c>
      <c r="V7138">
        <v>-0.1001568</v>
      </c>
      <c r="W7138">
        <v>3.6628460000000002E-2</v>
      </c>
      <c r="X7138">
        <v>0.99429719999999999</v>
      </c>
      <c r="Y7138">
        <v>-0.48754599999999998</v>
      </c>
      <c r="Z7138">
        <v>3.248403E-3</v>
      </c>
      <c r="AA7138">
        <v>0.87309130000000001</v>
      </c>
      <c r="AB7138">
        <v>23</v>
      </c>
      <c r="AC7138">
        <v>130.90219999999999</v>
      </c>
      <c r="AD7138">
        <v>-0.64486949999999998</v>
      </c>
      <c r="AE7138">
        <v>9.1272499999999894</v>
      </c>
      <c r="AF7138">
        <v>-64.018018719621494</v>
      </c>
      <c r="AG7138">
        <v>-0.64486949999999998</v>
      </c>
      <c r="AH7138">
        <v>114.540622721383</v>
      </c>
      <c r="AI7138">
        <v>90.281579721119698</v>
      </c>
      <c r="AJ7138">
        <v>119.201306772092</v>
      </c>
      <c r="AK7138">
        <v>131.218431749736</v>
      </c>
      <c r="AL7138">
        <v>87.900874221576004</v>
      </c>
      <c r="AM7138">
        <v>95.752072848573704</v>
      </c>
      <c r="AN7138">
        <v>0.99999997529802498</v>
      </c>
    </row>
    <row r="7139" spans="1:40" x14ac:dyDescent="0.25">
      <c r="A7139" t="str">
        <f>"20190312160512583"</f>
        <v>20190312160512583</v>
      </c>
      <c r="B7139" t="str">
        <f>"1552377912572784"</f>
        <v>1552377912572784</v>
      </c>
      <c r="C7139" t="s">
        <v>40</v>
      </c>
      <c r="D7139">
        <v>6.6045089999999904</v>
      </c>
      <c r="E7139">
        <v>0.33394020000000002</v>
      </c>
      <c r="F7139" t="s">
        <v>54</v>
      </c>
      <c r="G7139">
        <v>-157.3501</v>
      </c>
      <c r="H7139">
        <v>0.61106819999999995</v>
      </c>
      <c r="I7139">
        <v>-57.238999999999997</v>
      </c>
      <c r="J7139">
        <v>-288.1497</v>
      </c>
      <c r="K7139">
        <v>1.1173040000000001</v>
      </c>
      <c r="L7139">
        <v>-67.167659999999998</v>
      </c>
      <c r="M7139">
        <v>0.90718659999999995</v>
      </c>
      <c r="N7139">
        <v>0</v>
      </c>
      <c r="O7139">
        <v>-0.42053360000000001</v>
      </c>
      <c r="P7139">
        <v>0.94404520000000003</v>
      </c>
      <c r="Q7139">
        <v>2.5216570000000001E-2</v>
      </c>
      <c r="R7139">
        <v>-0.32885130000000001</v>
      </c>
      <c r="S7139">
        <v>3.271423</v>
      </c>
      <c r="T7139">
        <v>-1.265204E-2</v>
      </c>
      <c r="U7139">
        <v>0.24710080000000001</v>
      </c>
      <c r="V7139">
        <v>-9.9338109999999993E-2</v>
      </c>
      <c r="W7139">
        <v>3.6205309999999997E-2</v>
      </c>
      <c r="X7139">
        <v>0.99439480000000002</v>
      </c>
      <c r="Y7139">
        <v>-0.48770039999999998</v>
      </c>
      <c r="Z7139">
        <v>2.532926E-3</v>
      </c>
      <c r="AA7139">
        <v>0.87300739999999999</v>
      </c>
      <c r="AB7139">
        <v>23</v>
      </c>
      <c r="AC7139">
        <v>130.7996</v>
      </c>
      <c r="AD7139">
        <v>-0.50623580000000001</v>
      </c>
      <c r="AE7139">
        <v>9.9286600000000007</v>
      </c>
      <c r="AF7139">
        <v>-64.017069076617602</v>
      </c>
      <c r="AG7139">
        <v>-0.50623580000000001</v>
      </c>
      <c r="AH7139">
        <v>114.491990892267</v>
      </c>
      <c r="AI7139">
        <v>90.221118859269694</v>
      </c>
      <c r="AJ7139">
        <v>119.21130823605201</v>
      </c>
      <c r="AK7139">
        <v>131.17491142105101</v>
      </c>
      <c r="AL7139">
        <v>87.925134974438706</v>
      </c>
      <c r="AM7139">
        <v>95.704810096883307</v>
      </c>
      <c r="AN7139">
        <v>0.99999995141880205</v>
      </c>
    </row>
    <row r="7140" spans="1:40" x14ac:dyDescent="0.25">
      <c r="A7140" t="str">
        <f>"20190312160512595"</f>
        <v>20190312160512595</v>
      </c>
      <c r="B7140" t="str">
        <f>"1552377912582544"</f>
        <v>1552377912582544</v>
      </c>
      <c r="C7140" t="s">
        <v>40</v>
      </c>
      <c r="D7140">
        <v>5.6299619999999999</v>
      </c>
      <c r="E7140">
        <v>0.33521329999999999</v>
      </c>
      <c r="F7140" t="s">
        <v>54</v>
      </c>
      <c r="G7140">
        <v>-157.3501</v>
      </c>
      <c r="H7140">
        <v>0.61280539999999994</v>
      </c>
      <c r="I7140">
        <v>-56.604280000000003</v>
      </c>
      <c r="J7140">
        <v>-288.04809999999998</v>
      </c>
      <c r="K7140">
        <v>1.1173040000000001</v>
      </c>
      <c r="L7140">
        <v>-67.207669999999993</v>
      </c>
      <c r="M7140">
        <v>0.90965189999999996</v>
      </c>
      <c r="N7140">
        <v>0</v>
      </c>
      <c r="O7140">
        <v>-0.41517379999999998</v>
      </c>
      <c r="P7140">
        <v>0.94564000000000004</v>
      </c>
      <c r="Q7140">
        <v>2.510621E-2</v>
      </c>
      <c r="R7140">
        <v>-0.32424459999999999</v>
      </c>
      <c r="S7140">
        <v>3.2701720000000001</v>
      </c>
      <c r="T7140">
        <v>-1.2613650000000001E-2</v>
      </c>
      <c r="U7140">
        <v>0.26409909999999998</v>
      </c>
      <c r="V7140">
        <v>-9.8318470000000005E-2</v>
      </c>
      <c r="W7140">
        <v>3.6114769999999997E-2</v>
      </c>
      <c r="X7140">
        <v>0.99449940000000003</v>
      </c>
      <c r="Y7140">
        <v>-0.48708489999999999</v>
      </c>
      <c r="Z7140">
        <v>2.5057259999999998E-3</v>
      </c>
      <c r="AA7140">
        <v>0.87335099999999999</v>
      </c>
      <c r="AB7140">
        <v>23</v>
      </c>
      <c r="AC7140">
        <v>130.69799999999901</v>
      </c>
      <c r="AD7140">
        <v>-0.50449860000000002</v>
      </c>
      <c r="AE7140">
        <v>10.6033899999999</v>
      </c>
      <c r="AF7140">
        <v>-63.912078567630402</v>
      </c>
      <c r="AG7140">
        <v>-0.50449860000000002</v>
      </c>
      <c r="AH7140">
        <v>114.495136448167</v>
      </c>
      <c r="AI7140">
        <v>90.220441512511499</v>
      </c>
      <c r="AJ7140">
        <v>119.170595690506</v>
      </c>
      <c r="AK7140">
        <v>131.12644499091999</v>
      </c>
      <c r="AL7140">
        <v>87.930325879614102</v>
      </c>
      <c r="AM7140">
        <v>95.646044286298903</v>
      </c>
      <c r="AN7140">
        <v>0.99999992737782395</v>
      </c>
    </row>
    <row r="7141" spans="1:40" x14ac:dyDescent="0.25">
      <c r="A7141" t="str">
        <f>"20190312160512605"</f>
        <v>20190312160512605</v>
      </c>
      <c r="B7141" t="str">
        <f>"1552377912602067"</f>
        <v>1552377912602067</v>
      </c>
      <c r="C7141" t="s">
        <v>40</v>
      </c>
      <c r="D7141">
        <v>5.6511279999999999</v>
      </c>
      <c r="E7141">
        <v>0.3361635</v>
      </c>
      <c r="F7141" t="s">
        <v>54</v>
      </c>
      <c r="G7141">
        <v>-157.3501</v>
      </c>
      <c r="H7141">
        <v>0.29051470000000001</v>
      </c>
      <c r="I7141">
        <v>-56.381709999999998</v>
      </c>
      <c r="J7141">
        <v>-287.9425</v>
      </c>
      <c r="K7141">
        <v>1.117305</v>
      </c>
      <c r="L7141">
        <v>-67.248779999999996</v>
      </c>
      <c r="M7141">
        <v>0.91217599999999999</v>
      </c>
      <c r="N7141">
        <v>0</v>
      </c>
      <c r="O7141">
        <v>-0.40959859999999998</v>
      </c>
      <c r="P7141">
        <v>0.94745780000000002</v>
      </c>
      <c r="Q7141">
        <v>2.508088E-2</v>
      </c>
      <c r="R7141">
        <v>-0.31889610000000002</v>
      </c>
      <c r="S7141">
        <v>3.2657470000000002</v>
      </c>
      <c r="T7141">
        <v>-2.0659449999999999E-2</v>
      </c>
      <c r="U7141">
        <v>0.27050780000000002</v>
      </c>
      <c r="V7141">
        <v>-9.785046E-2</v>
      </c>
      <c r="W7141">
        <v>3.6098100000000001E-2</v>
      </c>
      <c r="X7141">
        <v>0.99454620000000005</v>
      </c>
      <c r="Y7141">
        <v>-0.48352200000000001</v>
      </c>
      <c r="Z7141">
        <v>4.0653670000000003E-3</v>
      </c>
      <c r="AA7141">
        <v>0.87532279999999996</v>
      </c>
      <c r="AB7141">
        <v>23</v>
      </c>
      <c r="AC7141">
        <v>130.5924</v>
      </c>
      <c r="AD7141">
        <v>-0.82679029999999998</v>
      </c>
      <c r="AE7141">
        <v>10.86707</v>
      </c>
      <c r="AF7141">
        <v>-63.405818205912901</v>
      </c>
      <c r="AG7141">
        <v>-0.82679029999999998</v>
      </c>
      <c r="AH7141">
        <v>114.676951838687</v>
      </c>
      <c r="AI7141">
        <v>90.361504052387403</v>
      </c>
      <c r="AJ7141">
        <v>118.93856229808701</v>
      </c>
      <c r="AK7141">
        <v>131.04115631195401</v>
      </c>
      <c r="AL7141">
        <v>87.931281700639502</v>
      </c>
      <c r="AM7141">
        <v>95.619077992602101</v>
      </c>
      <c r="AN7141">
        <v>0.99999996464012997</v>
      </c>
    </row>
    <row r="7142" spans="1:40" x14ac:dyDescent="0.25">
      <c r="A7142" t="str">
        <f>"20190312160512617"</f>
        <v>20190312160512617</v>
      </c>
      <c r="B7142" t="str">
        <f>"1552377912612799"</f>
        <v>1552377912612799</v>
      </c>
      <c r="C7142" t="s">
        <v>40</v>
      </c>
      <c r="D7142">
        <v>5.3198480000000004</v>
      </c>
      <c r="E7142">
        <v>0.336677</v>
      </c>
      <c r="F7142" t="s">
        <v>54</v>
      </c>
      <c r="G7142">
        <v>-157.3501</v>
      </c>
      <c r="H7142">
        <v>0.1467841</v>
      </c>
      <c r="I7142">
        <v>-55.965420000000002</v>
      </c>
      <c r="J7142">
        <v>-287.83769999999998</v>
      </c>
      <c r="K7142">
        <v>1.1173029999999999</v>
      </c>
      <c r="L7142">
        <v>-67.288449999999997</v>
      </c>
      <c r="M7142">
        <v>0.91463870000000003</v>
      </c>
      <c r="N7142">
        <v>0</v>
      </c>
      <c r="O7142">
        <v>-0.40406930000000002</v>
      </c>
      <c r="P7142">
        <v>0.9492353</v>
      </c>
      <c r="Q7142">
        <v>2.5467010000000002E-2</v>
      </c>
      <c r="R7142">
        <v>-0.31353510000000001</v>
      </c>
      <c r="S7142">
        <v>3.2618710000000002</v>
      </c>
      <c r="T7142">
        <v>-2.424169E-2</v>
      </c>
      <c r="U7142">
        <v>0.28182980000000002</v>
      </c>
      <c r="V7142">
        <v>-9.7454979999999997E-2</v>
      </c>
      <c r="W7142">
        <v>3.6491700000000002E-2</v>
      </c>
      <c r="X7142">
        <v>0.99457070000000003</v>
      </c>
      <c r="Y7142">
        <v>-0.48131760000000001</v>
      </c>
      <c r="Z7142">
        <v>4.7291740000000001E-3</v>
      </c>
      <c r="AA7142">
        <v>0.87653349999999997</v>
      </c>
      <c r="AB7142">
        <v>23</v>
      </c>
      <c r="AC7142">
        <v>130.48759999999999</v>
      </c>
      <c r="AD7142">
        <v>-0.97051889999999996</v>
      </c>
      <c r="AE7142">
        <v>11.323029999999999</v>
      </c>
      <c r="AF7142">
        <v>-63.084225949652698</v>
      </c>
      <c r="AG7142">
        <v>-0.97051889999999996</v>
      </c>
      <c r="AH7142">
        <v>114.77683363701099</v>
      </c>
      <c r="AI7142">
        <v>90.424565126651501</v>
      </c>
      <c r="AJ7142">
        <v>118.794298584221</v>
      </c>
      <c r="AK7142">
        <v>130.97436012571401</v>
      </c>
      <c r="AL7142">
        <v>87.908715280664893</v>
      </c>
      <c r="AM7142">
        <v>95.5963749704717</v>
      </c>
      <c r="AN7142">
        <v>0.99999999729708999</v>
      </c>
    </row>
    <row r="7143" spans="1:40" x14ac:dyDescent="0.25">
      <c r="A7143" t="str">
        <f>"20190312160512628"</f>
        <v>20190312160512628</v>
      </c>
      <c r="B7143" t="str">
        <f>"1552377912622560"</f>
        <v>1552377912622560</v>
      </c>
      <c r="C7143" t="s">
        <v>40</v>
      </c>
      <c r="D7143">
        <v>5.6343629999999996</v>
      </c>
      <c r="E7143">
        <v>0.33792060000000002</v>
      </c>
      <c r="F7143" t="s">
        <v>54</v>
      </c>
      <c r="G7143">
        <v>-157.3501</v>
      </c>
      <c r="H7143">
        <v>0.18337609999999999</v>
      </c>
      <c r="I7143">
        <v>-55.422379999999997</v>
      </c>
      <c r="J7143">
        <v>-287.73480000000001</v>
      </c>
      <c r="K7143">
        <v>1.1173</v>
      </c>
      <c r="L7143">
        <v>-67.327119999999994</v>
      </c>
      <c r="M7143">
        <v>0.91702229999999996</v>
      </c>
      <c r="N7143">
        <v>0</v>
      </c>
      <c r="O7143">
        <v>-0.39863009999999999</v>
      </c>
      <c r="P7143">
        <v>0.95097330000000002</v>
      </c>
      <c r="Q7143">
        <v>2.5818730000000002E-2</v>
      </c>
      <c r="R7143">
        <v>-0.3081933</v>
      </c>
      <c r="S7143">
        <v>3.2589419999999998</v>
      </c>
      <c r="T7143">
        <v>-2.3325439999999999E-2</v>
      </c>
      <c r="U7143">
        <v>0.29635620000000001</v>
      </c>
      <c r="V7143">
        <v>-9.7142119999999998E-2</v>
      </c>
      <c r="W7143">
        <v>3.6850050000000002E-2</v>
      </c>
      <c r="X7143">
        <v>0.99458809999999997</v>
      </c>
      <c r="Y7143">
        <v>-0.48005740000000002</v>
      </c>
      <c r="Z7143">
        <v>4.5132879999999998E-3</v>
      </c>
      <c r="AA7143">
        <v>0.87722549999999899</v>
      </c>
      <c r="AB7143">
        <v>23</v>
      </c>
      <c r="AC7143">
        <v>130.38470000000001</v>
      </c>
      <c r="AD7143">
        <v>-0.93392390000000003</v>
      </c>
      <c r="AE7143">
        <v>11.904739999999901</v>
      </c>
      <c r="AF7143">
        <v>-62.894140218962903</v>
      </c>
      <c r="AG7143">
        <v>-0.93392390000000003</v>
      </c>
      <c r="AH7143">
        <v>114.823672037189</v>
      </c>
      <c r="AI7143">
        <v>90.408713953592695</v>
      </c>
      <c r="AJ7143">
        <v>118.711522333292</v>
      </c>
      <c r="AK7143">
        <v>130.92372110445601</v>
      </c>
      <c r="AL7143">
        <v>87.888169531166795</v>
      </c>
      <c r="AM7143">
        <v>95.578425440166797</v>
      </c>
      <c r="AN7143">
        <v>1.0000000031623499</v>
      </c>
    </row>
    <row r="7144" spans="1:40" x14ac:dyDescent="0.25">
      <c r="A7144" t="str">
        <f>"20190312160512639"</f>
        <v>20190312160512639</v>
      </c>
      <c r="B7144" t="str">
        <f>"1552377912632320"</f>
        <v>1552377912632320</v>
      </c>
      <c r="C7144" t="s">
        <v>40</v>
      </c>
      <c r="D7144">
        <v>5.6351239999999896</v>
      </c>
      <c r="E7144">
        <v>0.3392018</v>
      </c>
      <c r="F7144" t="s">
        <v>43</v>
      </c>
      <c r="G7144">
        <v>-152.47579999999999</v>
      </c>
      <c r="H7144">
        <v>-0.05</v>
      </c>
      <c r="I7144">
        <v>-54.643070000000002</v>
      </c>
      <c r="J7144">
        <v>-287.62799999999999</v>
      </c>
      <c r="K7144">
        <v>1.1173</v>
      </c>
      <c r="L7144">
        <v>-67.36609</v>
      </c>
      <c r="M7144">
        <v>0.9194504</v>
      </c>
      <c r="N7144">
        <v>0</v>
      </c>
      <c r="O7144">
        <v>-0.3929976</v>
      </c>
      <c r="P7144">
        <v>0.95279219999999998</v>
      </c>
      <c r="Q7144">
        <v>2.6199070000000001E-2</v>
      </c>
      <c r="R7144">
        <v>-0.30249120000000002</v>
      </c>
      <c r="S7144">
        <v>3.2543030000000002</v>
      </c>
      <c r="T7144">
        <v>-2.8084990000000001E-2</v>
      </c>
      <c r="U7144">
        <v>0.3051758</v>
      </c>
      <c r="V7144">
        <v>-9.7001770000000001E-2</v>
      </c>
      <c r="W7144">
        <v>3.7233160000000001E-2</v>
      </c>
      <c r="X7144">
        <v>0.99458749999999996</v>
      </c>
      <c r="Y7144">
        <v>-0.47713410000000001</v>
      </c>
      <c r="Z7144">
        <v>5.3834540000000002E-3</v>
      </c>
      <c r="AA7144">
        <v>0.87881399999999998</v>
      </c>
      <c r="AB7144">
        <v>23</v>
      </c>
      <c r="AC7144">
        <v>135.15219999999999</v>
      </c>
      <c r="AD7144">
        <v>-1.1673</v>
      </c>
      <c r="AE7144">
        <v>12.72302</v>
      </c>
      <c r="AF7144">
        <v>-64.8131940696762</v>
      </c>
      <c r="AG7144">
        <v>-1.1673</v>
      </c>
      <c r="AH7144">
        <v>119.26658124089801</v>
      </c>
      <c r="AI7144">
        <v>90.492705614767601</v>
      </c>
      <c r="AJ7144">
        <v>118.52104171625101</v>
      </c>
      <c r="AK7144">
        <v>135.744724080515</v>
      </c>
      <c r="AL7144">
        <v>87.866203806914996</v>
      </c>
      <c r="AM7144">
        <v>95.570419851783797</v>
      </c>
      <c r="AN7144">
        <v>0.99999997337148305</v>
      </c>
    </row>
    <row r="7145" spans="1:40" x14ac:dyDescent="0.25">
      <c r="A7145" t="str">
        <f>"20190312160512650"</f>
        <v>20190312160512650</v>
      </c>
      <c r="B7145" t="str">
        <f>"1552377912642080"</f>
        <v>1552377912642080</v>
      </c>
      <c r="C7145" t="s">
        <v>40</v>
      </c>
      <c r="D7145">
        <v>5.7006880000000004</v>
      </c>
      <c r="E7145">
        <v>0.34039560000000002</v>
      </c>
      <c r="F7145" t="s">
        <v>81</v>
      </c>
      <c r="G7145">
        <v>-179.95769999999999</v>
      </c>
      <c r="H7145">
        <v>2.607829E-2</v>
      </c>
      <c r="I7145">
        <v>-56.932670000000002</v>
      </c>
      <c r="J7145">
        <v>-287.52719999999999</v>
      </c>
      <c r="K7145">
        <v>1.1172949999999999</v>
      </c>
      <c r="L7145">
        <v>-67.402500000000003</v>
      </c>
      <c r="M7145">
        <v>0.92170529999999995</v>
      </c>
      <c r="N7145">
        <v>0</v>
      </c>
      <c r="O7145">
        <v>-0.38767940000000001</v>
      </c>
      <c r="P7145">
        <v>0.95448460000000002</v>
      </c>
      <c r="Q7145">
        <v>2.6273109999999999E-2</v>
      </c>
      <c r="R7145">
        <v>-0.297101</v>
      </c>
      <c r="S7145">
        <v>3.2494809999999998</v>
      </c>
      <c r="T7145">
        <v>-3.2932999999999997E-2</v>
      </c>
      <c r="U7145">
        <v>0.3148804</v>
      </c>
      <c r="V7145">
        <v>-9.6877240000000003E-2</v>
      </c>
      <c r="W7145">
        <v>3.7309870000000002E-2</v>
      </c>
      <c r="X7145">
        <v>0.99459679999999995</v>
      </c>
      <c r="Y7145">
        <v>-0.47476590000000002</v>
      </c>
      <c r="Z7145">
        <v>6.2590069999999996E-3</v>
      </c>
      <c r="AA7145">
        <v>0.88008989999999998</v>
      </c>
      <c r="AB7145">
        <v>23</v>
      </c>
      <c r="AC7145">
        <v>107.56950000000001</v>
      </c>
      <c r="AD7145">
        <v>-1.0912167100000001</v>
      </c>
      <c r="AE7145">
        <v>10.46983</v>
      </c>
      <c r="AF7145">
        <v>-51.351554204758799</v>
      </c>
      <c r="AG7145">
        <v>-1.0912167100000001</v>
      </c>
      <c r="AH7145">
        <v>95.086546932406094</v>
      </c>
      <c r="AI7145">
        <v>90.5785309316433</v>
      </c>
      <c r="AJ7145">
        <v>118.37129436799</v>
      </c>
      <c r="AK7145">
        <v>108.07231042538599</v>
      </c>
      <c r="AL7145">
        <v>87.861805670560102</v>
      </c>
      <c r="AM7145">
        <v>95.563261795444404</v>
      </c>
      <c r="AN7145">
        <v>1.0000000102998301</v>
      </c>
    </row>
    <row r="7146" spans="1:40" x14ac:dyDescent="0.25">
      <c r="A7146" t="str">
        <f>"20190312160512661"</f>
        <v>20190312160512661</v>
      </c>
      <c r="B7146" t="str">
        <f>"1552377912652816"</f>
        <v>1552377912652816</v>
      </c>
      <c r="C7146" t="s">
        <v>40</v>
      </c>
      <c r="D7146">
        <v>5.7351409999999996</v>
      </c>
      <c r="E7146">
        <v>0.34125480000000002</v>
      </c>
      <c r="F7146" t="s">
        <v>81</v>
      </c>
      <c r="G7146">
        <v>-191.13980000000001</v>
      </c>
      <c r="H7146" s="1">
        <v>-7.229401E-6</v>
      </c>
      <c r="I7146">
        <v>-57.773000000000003</v>
      </c>
      <c r="J7146">
        <v>-287.4228</v>
      </c>
      <c r="K7146">
        <v>1.1172899999999999</v>
      </c>
      <c r="L7146">
        <v>-67.439359999999994</v>
      </c>
      <c r="M7146">
        <v>0.9240022</v>
      </c>
      <c r="N7146">
        <v>0</v>
      </c>
      <c r="O7146">
        <v>-0.38217289999999998</v>
      </c>
      <c r="P7146">
        <v>0.95610170000000005</v>
      </c>
      <c r="Q7146">
        <v>2.573464E-2</v>
      </c>
      <c r="R7146">
        <v>-0.29190379999999999</v>
      </c>
      <c r="S7146">
        <v>3.2449949999999999</v>
      </c>
      <c r="T7146">
        <v>-3.7615299999999997E-2</v>
      </c>
      <c r="U7146">
        <v>0.32418819999999998</v>
      </c>
      <c r="V7146">
        <v>-9.6349359999999995E-2</v>
      </c>
      <c r="W7146">
        <v>3.6781899999999999E-2</v>
      </c>
      <c r="X7146">
        <v>0.99466770000000004</v>
      </c>
      <c r="Y7146">
        <v>-0.4721166</v>
      </c>
      <c r="Z7146">
        <v>7.0827619999999899E-3</v>
      </c>
      <c r="AA7146">
        <v>0.88150769999999901</v>
      </c>
      <c r="AB7146">
        <v>23</v>
      </c>
      <c r="AC7146">
        <v>96.283000000000001</v>
      </c>
      <c r="AD7146">
        <v>-1.117297229401</v>
      </c>
      <c r="AE7146">
        <v>9.6663599999999903</v>
      </c>
      <c r="AF7146">
        <v>-45.726141030500202</v>
      </c>
      <c r="AG7146">
        <v>-1.117297229401</v>
      </c>
      <c r="AH7146">
        <v>85.267100479017799</v>
      </c>
      <c r="AI7146">
        <v>90.661610843519298</v>
      </c>
      <c r="AJ7146">
        <v>118.203299853969</v>
      </c>
      <c r="AK7146">
        <v>96.760564026564793</v>
      </c>
      <c r="AL7146">
        <v>87.892076818343199</v>
      </c>
      <c r="AM7146">
        <v>95.532744493123403</v>
      </c>
      <c r="AN7146">
        <v>0.999999970381654</v>
      </c>
    </row>
    <row r="7147" spans="1:40" x14ac:dyDescent="0.25">
      <c r="A7147" t="str">
        <f>"20190312160512673"</f>
        <v>20190312160512673</v>
      </c>
      <c r="B7147" t="str">
        <f>"1552377912662576"</f>
        <v>1552377912662576</v>
      </c>
      <c r="C7147" t="s">
        <v>40</v>
      </c>
      <c r="D7147">
        <v>5.6687479999999999</v>
      </c>
      <c r="E7147">
        <v>0.34245550000000002</v>
      </c>
      <c r="F7147" t="s">
        <v>81</v>
      </c>
      <c r="G7147">
        <v>-203.8313</v>
      </c>
      <c r="H7147" s="1">
        <v>-4.1042919999999996E-6</v>
      </c>
      <c r="I7147">
        <v>-58.7883</v>
      </c>
      <c r="J7147">
        <v>-287.31619999999998</v>
      </c>
      <c r="K7147">
        <v>1.117283</v>
      </c>
      <c r="L7147">
        <v>-67.476349999999996</v>
      </c>
      <c r="M7147">
        <v>0.92630449999999998</v>
      </c>
      <c r="N7147">
        <v>0</v>
      </c>
      <c r="O7147">
        <v>-0.37655820000000001</v>
      </c>
      <c r="P7147">
        <v>0.95773240000000004</v>
      </c>
      <c r="Q7147">
        <v>2.5253709999999999E-2</v>
      </c>
      <c r="R7147">
        <v>-0.28655029999999998</v>
      </c>
      <c r="S7147">
        <v>3.2413020000000001</v>
      </c>
      <c r="T7147">
        <v>-4.3323639999999997E-2</v>
      </c>
      <c r="U7147">
        <v>0.3354492</v>
      </c>
      <c r="V7147">
        <v>-9.5873390000000003E-2</v>
      </c>
      <c r="W7147">
        <v>3.6310620000000002E-2</v>
      </c>
      <c r="X7147">
        <v>0.99473100000000003</v>
      </c>
      <c r="Y7147">
        <v>-0.46987780000000001</v>
      </c>
      <c r="Z7147">
        <v>8.0803019999999993E-3</v>
      </c>
      <c r="AA7147">
        <v>0.88269449999999905</v>
      </c>
      <c r="AB7147">
        <v>23</v>
      </c>
      <c r="AC7147">
        <v>83.484899999999897</v>
      </c>
      <c r="AD7147">
        <v>-1.1172871042919901</v>
      </c>
      <c r="AE7147">
        <v>8.6880499999999898</v>
      </c>
      <c r="AF7147">
        <v>-39.480943988622201</v>
      </c>
      <c r="AG7147">
        <v>-1.1172871042919901</v>
      </c>
      <c r="AH7147">
        <v>74.053830454917701</v>
      </c>
      <c r="AI7147">
        <v>90.762766676921203</v>
      </c>
      <c r="AJ7147">
        <v>118.063792746665</v>
      </c>
      <c r="AK7147">
        <v>83.9283210469019</v>
      </c>
      <c r="AL7147">
        <v>87.919097214222901</v>
      </c>
      <c r="AM7147">
        <v>95.505232646443602</v>
      </c>
      <c r="AN7147">
        <v>0.99999996519793699</v>
      </c>
    </row>
    <row r="7148" spans="1:40" x14ac:dyDescent="0.25">
      <c r="A7148" t="str">
        <f>"20190312160512685"</f>
        <v>20190312160512685</v>
      </c>
      <c r="B7148" t="str">
        <f>"1552377912672336"</f>
        <v>1552377912672336</v>
      </c>
      <c r="C7148" t="s">
        <v>40</v>
      </c>
      <c r="D7148">
        <v>5.6694909999999998</v>
      </c>
      <c r="E7148">
        <v>0.34354249999999997</v>
      </c>
      <c r="F7148" t="s">
        <v>122</v>
      </c>
      <c r="G7148">
        <v>-214.92080000000001</v>
      </c>
      <c r="H7148" s="1">
        <v>-1.1886510000000001E-6</v>
      </c>
      <c r="I7148">
        <v>-59.771369999999997</v>
      </c>
      <c r="J7148">
        <v>-287.20760000000001</v>
      </c>
      <c r="K7148">
        <v>1.117272</v>
      </c>
      <c r="L7148">
        <v>-67.513400000000004</v>
      </c>
      <c r="M7148">
        <v>0.92860900000000002</v>
      </c>
      <c r="N7148">
        <v>0</v>
      </c>
      <c r="O7148">
        <v>-0.37083890000000003</v>
      </c>
      <c r="P7148">
        <v>0.95933250000000003</v>
      </c>
      <c r="Q7148">
        <v>2.46737E-2</v>
      </c>
      <c r="R7148">
        <v>-0.28119809999999901</v>
      </c>
      <c r="S7148">
        <v>3.236755</v>
      </c>
      <c r="T7148">
        <v>-4.99531E-2</v>
      </c>
      <c r="U7148">
        <v>0.34448240000000002</v>
      </c>
      <c r="V7148">
        <v>-9.5287620000000003E-2</v>
      </c>
      <c r="W7148">
        <v>3.5742129999999997E-2</v>
      </c>
      <c r="X7148">
        <v>0.99480789999999997</v>
      </c>
      <c r="Y7148">
        <v>-0.46697179999999999</v>
      </c>
      <c r="Z7148">
        <v>9.2230560000000003E-3</v>
      </c>
      <c r="AA7148">
        <v>0.88422409999999996</v>
      </c>
      <c r="AB7148">
        <v>23</v>
      </c>
      <c r="AC7148">
        <v>72.286799999999999</v>
      </c>
      <c r="AD7148">
        <v>-1.1172731886509999</v>
      </c>
      <c r="AE7148">
        <v>7.7420299999999997</v>
      </c>
      <c r="AF7148">
        <v>-33.990833320144297</v>
      </c>
      <c r="AG7148">
        <v>-1.1172731886509999</v>
      </c>
      <c r="AH7148">
        <v>64.245217864112405</v>
      </c>
      <c r="AI7148">
        <v>90.880673043554907</v>
      </c>
      <c r="AJ7148">
        <v>117.88240314677699</v>
      </c>
      <c r="AK7148">
        <v>72.691629969228103</v>
      </c>
      <c r="AL7148">
        <v>87.9516905110506</v>
      </c>
      <c r="AM7148">
        <v>95.471380971963299</v>
      </c>
      <c r="AN7148">
        <v>0.999999994142305</v>
      </c>
    </row>
    <row r="7149" spans="1:40" x14ac:dyDescent="0.25">
      <c r="A7149" t="str">
        <f>"20190312160512696"</f>
        <v>20190312160512696</v>
      </c>
      <c r="B7149" t="str">
        <f>"1552377912692832"</f>
        <v>1552377912692832</v>
      </c>
      <c r="C7149" t="s">
        <v>40</v>
      </c>
      <c r="D7149">
        <v>5.6849829999999999</v>
      </c>
      <c r="E7149">
        <v>0.36148429999999998</v>
      </c>
      <c r="F7149" t="s">
        <v>123</v>
      </c>
      <c r="G7149">
        <v>-222.53639999999999</v>
      </c>
      <c r="H7149" s="1">
        <v>-2.1489950000000001E-7</v>
      </c>
      <c r="I7149">
        <v>-60.423029999999997</v>
      </c>
      <c r="J7149">
        <v>-287.09840000000003</v>
      </c>
      <c r="K7149">
        <v>1.1172599999999999</v>
      </c>
      <c r="L7149">
        <v>-67.549619999999905</v>
      </c>
      <c r="M7149">
        <v>0.93087929999999997</v>
      </c>
      <c r="N7149">
        <v>0</v>
      </c>
      <c r="O7149">
        <v>-0.36510290000000001</v>
      </c>
      <c r="P7149">
        <v>0.96084380000000003</v>
      </c>
      <c r="Q7149">
        <v>2.4476080000000001E-2</v>
      </c>
      <c r="R7149">
        <v>-0.27600819999999998</v>
      </c>
      <c r="S7149">
        <v>3.2324830000000002</v>
      </c>
      <c r="T7149">
        <v>-5.5845020000000002E-2</v>
      </c>
      <c r="U7149">
        <v>0.35440060000000001</v>
      </c>
      <c r="V7149">
        <v>-9.4524960000000005E-2</v>
      </c>
      <c r="W7149">
        <v>3.5560090000000003E-2</v>
      </c>
      <c r="X7149">
        <v>0.99488719999999997</v>
      </c>
      <c r="Y7149">
        <v>-0.46429569999999998</v>
      </c>
      <c r="Z7149">
        <v>1.0206369999999999E-2</v>
      </c>
      <c r="AA7149">
        <v>0.8856214</v>
      </c>
      <c r="AB7149">
        <v>23</v>
      </c>
      <c r="AC7149">
        <v>64.561999999999998</v>
      </c>
      <c r="AD7149">
        <v>-1.1172602148994999</v>
      </c>
      <c r="AE7149">
        <v>7.1265899999999798</v>
      </c>
      <c r="AF7149">
        <v>-30.1993047477416</v>
      </c>
      <c r="AG7149">
        <v>-1.1172602148994999</v>
      </c>
      <c r="AH7149">
        <v>57.4851866877963</v>
      </c>
      <c r="AI7149">
        <v>90.985724977712295</v>
      </c>
      <c r="AJ7149">
        <v>117.714770784149</v>
      </c>
      <c r="AK7149">
        <v>64.944537616073305</v>
      </c>
      <c r="AL7149">
        <v>87.962127310793605</v>
      </c>
      <c r="AM7149">
        <v>95.427421831979203</v>
      </c>
      <c r="AN7149">
        <v>1.0000000143938199</v>
      </c>
    </row>
    <row r="7150" spans="1:40" x14ac:dyDescent="0.25">
      <c r="A7150" t="str">
        <f>"20190312160512708"</f>
        <v>20190312160512708</v>
      </c>
      <c r="B7150" t="str">
        <f>"1552377912702592"</f>
        <v>1552377912702592</v>
      </c>
      <c r="C7150" t="s">
        <v>40</v>
      </c>
      <c r="D7150">
        <v>5.3764019999999997</v>
      </c>
      <c r="E7150">
        <v>0.35997560000000001</v>
      </c>
      <c r="F7150" t="s">
        <v>121</v>
      </c>
      <c r="G7150">
        <v>-256.81060000000002</v>
      </c>
      <c r="H7150" s="1">
        <v>-3.0011010000000002E-6</v>
      </c>
      <c r="I7150">
        <v>-65.323549999999997</v>
      </c>
      <c r="J7150">
        <v>-286.98750000000001</v>
      </c>
      <c r="K7150">
        <v>1.117237</v>
      </c>
      <c r="L7150">
        <v>-67.586089999999999</v>
      </c>
      <c r="M7150">
        <v>0.93314330000000001</v>
      </c>
      <c r="N7150">
        <v>0</v>
      </c>
      <c r="O7150">
        <v>-0.35927690000000001</v>
      </c>
      <c r="P7150">
        <v>0.96252130000000002</v>
      </c>
      <c r="Q7150">
        <v>2.4504310000000001E-2</v>
      </c>
      <c r="R7150">
        <v>-0.27009689999999997</v>
      </c>
      <c r="S7150">
        <v>3.1926269999999999</v>
      </c>
      <c r="T7150">
        <v>-0.1177706</v>
      </c>
      <c r="U7150">
        <v>0.23464969999999999</v>
      </c>
      <c r="V7150">
        <v>-9.4420019999999993E-2</v>
      </c>
      <c r="W7150">
        <v>3.5591060000000001E-2</v>
      </c>
      <c r="X7150">
        <v>0.99489609999999995</v>
      </c>
      <c r="Y7150">
        <v>-0.42621789999999998</v>
      </c>
      <c r="Z7150">
        <v>2.089508E-2</v>
      </c>
      <c r="AA7150">
        <v>0.90437920000000005</v>
      </c>
      <c r="AB7150">
        <v>23</v>
      </c>
      <c r="AC7150">
        <v>30.1768999999999</v>
      </c>
      <c r="AD7150">
        <v>-1.117240001101</v>
      </c>
      <c r="AE7150">
        <v>2.26254</v>
      </c>
      <c r="AF7150">
        <v>-12.936564331194001</v>
      </c>
      <c r="AG7150">
        <v>-1.117240001101</v>
      </c>
      <c r="AH7150">
        <v>27.3115054256576</v>
      </c>
      <c r="AI7150">
        <v>92.117244688657493</v>
      </c>
      <c r="AJ7150">
        <v>115.345379962984</v>
      </c>
      <c r="AK7150">
        <v>30.241052404486702</v>
      </c>
      <c r="AL7150">
        <v>87.960351823021995</v>
      </c>
      <c r="AM7150">
        <v>95.421384111801004</v>
      </c>
      <c r="AN7150">
        <v>1.00000005676196</v>
      </c>
    </row>
    <row r="7151" spans="1:40" x14ac:dyDescent="0.25">
      <c r="A7151" t="str">
        <f>"20190312160512718"</f>
        <v>20190312160512718</v>
      </c>
      <c r="B7151" t="str">
        <f>"1552377912712352"</f>
        <v>1552377912712352</v>
      </c>
      <c r="C7151" t="s">
        <v>40</v>
      </c>
      <c r="D7151">
        <v>9.0827360000000006</v>
      </c>
      <c r="E7151">
        <v>0.35997649999999998</v>
      </c>
      <c r="F7151" t="s">
        <v>124</v>
      </c>
      <c r="G7151">
        <v>-249.48830000000001</v>
      </c>
      <c r="H7151" s="1">
        <v>-3.827149E-6</v>
      </c>
      <c r="I7151">
        <v>-64.466179999999994</v>
      </c>
      <c r="J7151">
        <v>-286.88850000000002</v>
      </c>
      <c r="K7151">
        <v>1.117219</v>
      </c>
      <c r="L7151">
        <v>-67.617549999999994</v>
      </c>
      <c r="M7151">
        <v>0.93511719999999998</v>
      </c>
      <c r="N7151">
        <v>0</v>
      </c>
      <c r="O7151">
        <v>-0.35410760000000002</v>
      </c>
      <c r="P7151">
        <v>0.96389400000000003</v>
      </c>
      <c r="Q7151">
        <v>2.472603E-2</v>
      </c>
      <c r="R7151">
        <v>-0.26513680000000001</v>
      </c>
      <c r="S7151">
        <v>3.1937869999999999</v>
      </c>
      <c r="T7151">
        <v>-9.5154760000000005E-2</v>
      </c>
      <c r="U7151">
        <v>0.26571660000000002</v>
      </c>
      <c r="V7151">
        <v>-9.4038300000000005E-2</v>
      </c>
      <c r="W7151">
        <v>3.582076E-2</v>
      </c>
      <c r="X7151">
        <v>0.99492389999999997</v>
      </c>
      <c r="Y7151">
        <v>-0.43011260000000001</v>
      </c>
      <c r="Z7151">
        <v>1.6787989999999999E-2</v>
      </c>
      <c r="AA7151">
        <v>0.90261910000000001</v>
      </c>
      <c r="AB7151">
        <v>23</v>
      </c>
      <c r="AC7151">
        <v>37.400199999999998</v>
      </c>
      <c r="AD7151">
        <v>-1.1172228271489999</v>
      </c>
      <c r="AE7151">
        <v>3.15136999999998</v>
      </c>
      <c r="AF7151">
        <v>-16.177585964971499</v>
      </c>
      <c r="AG7151">
        <v>-1.1172228271489999</v>
      </c>
      <c r="AH7151">
        <v>33.830441107555401</v>
      </c>
      <c r="AI7151">
        <v>91.706508384781898</v>
      </c>
      <c r="AJ7151">
        <v>115.556946225738</v>
      </c>
      <c r="AK7151">
        <v>37.516146124453201</v>
      </c>
      <c r="AL7151">
        <v>87.9471823618277</v>
      </c>
      <c r="AM7151">
        <v>95.399446430272803</v>
      </c>
      <c r="AN7151">
        <v>0.99999994775253698</v>
      </c>
    </row>
    <row r="7152" spans="1:40" x14ac:dyDescent="0.25">
      <c r="A7152" t="str">
        <f>"20190312160512729"</f>
        <v>20190312160512729</v>
      </c>
      <c r="B7152" t="str">
        <f>"1552377912722112"</f>
        <v>1552377912722112</v>
      </c>
      <c r="C7152" t="s">
        <v>40</v>
      </c>
      <c r="D7152">
        <v>5.3430429999999998</v>
      </c>
      <c r="E7152">
        <v>0.36025420000000002</v>
      </c>
      <c r="F7152" t="s">
        <v>124</v>
      </c>
      <c r="G7152">
        <v>-244.39099999999999</v>
      </c>
      <c r="H7152" s="1">
        <v>-1.7965209999999901E-6</v>
      </c>
      <c r="I7152">
        <v>-63.8626</v>
      </c>
      <c r="J7152">
        <v>-286.78289999999998</v>
      </c>
      <c r="K7152">
        <v>1.1172010000000001</v>
      </c>
      <c r="L7152">
        <v>-67.650909999999996</v>
      </c>
      <c r="M7152">
        <v>0.93719070000000004</v>
      </c>
      <c r="N7152">
        <v>0</v>
      </c>
      <c r="O7152">
        <v>-0.34858329999999998</v>
      </c>
      <c r="P7152">
        <v>0.96534140000000002</v>
      </c>
      <c r="Q7152">
        <v>2.4997220000000001E-2</v>
      </c>
      <c r="R7152">
        <v>-0.2597913</v>
      </c>
      <c r="S7152">
        <v>3.1921390000000001</v>
      </c>
      <c r="T7152">
        <v>-8.3918329999999999E-2</v>
      </c>
      <c r="U7152">
        <v>0.2820435</v>
      </c>
      <c r="V7152">
        <v>-9.3680589999999994E-2</v>
      </c>
      <c r="W7152">
        <v>3.61E-2</v>
      </c>
      <c r="X7152">
        <v>0.99494760000000004</v>
      </c>
      <c r="Y7152">
        <v>-0.42948550000000002</v>
      </c>
      <c r="Z7152">
        <v>1.466602E-2</v>
      </c>
      <c r="AA7152">
        <v>0.90295460000000005</v>
      </c>
      <c r="AB7152">
        <v>23</v>
      </c>
      <c r="AC7152">
        <v>42.3918999999999</v>
      </c>
      <c r="AD7152">
        <v>-1.1172027965210001</v>
      </c>
      <c r="AE7152">
        <v>3.7883099999999899</v>
      </c>
      <c r="AF7152">
        <v>-18.316353005446601</v>
      </c>
      <c r="AG7152">
        <v>-1.1172027965210001</v>
      </c>
      <c r="AH7152">
        <v>38.385439744208099</v>
      </c>
      <c r="AI7152">
        <v>91.504678851597305</v>
      </c>
      <c r="AJ7152">
        <v>115.509043220653</v>
      </c>
      <c r="AK7152">
        <v>42.546197407816798</v>
      </c>
      <c r="AL7152">
        <v>87.931172830168194</v>
      </c>
      <c r="AM7152">
        <v>95.378900927078305</v>
      </c>
      <c r="AN7152">
        <v>0.99999999484425395</v>
      </c>
    </row>
    <row r="7153" spans="1:40" x14ac:dyDescent="0.25">
      <c r="A7153" t="str">
        <f>"20190312160512739"</f>
        <v>20190312160512739</v>
      </c>
      <c r="B7153" t="str">
        <f>"1552377912732849"</f>
        <v>1552377912732849</v>
      </c>
      <c r="C7153" t="s">
        <v>40</v>
      </c>
      <c r="D7153">
        <v>8.9904209999999996</v>
      </c>
      <c r="E7153">
        <v>0.36084660000000002</v>
      </c>
      <c r="F7153" t="s">
        <v>124</v>
      </c>
      <c r="G7153">
        <v>-243.14449999999999</v>
      </c>
      <c r="H7153" s="1">
        <v>-1.18656E-6</v>
      </c>
      <c r="I7153">
        <v>-63.579929999999997</v>
      </c>
      <c r="J7153">
        <v>-286.68599999999998</v>
      </c>
      <c r="K7153">
        <v>1.117183</v>
      </c>
      <c r="L7153">
        <v>-67.680599999999998</v>
      </c>
      <c r="M7153">
        <v>0.93904920000000003</v>
      </c>
      <c r="N7153">
        <v>0</v>
      </c>
      <c r="O7153">
        <v>-0.34354499999999999</v>
      </c>
      <c r="P7153">
        <v>0.96662269999999995</v>
      </c>
      <c r="Q7153">
        <v>2.5280420000000001E-2</v>
      </c>
      <c r="R7153">
        <v>-0.25495390000000001</v>
      </c>
      <c r="S7153">
        <v>3.18988</v>
      </c>
      <c r="T7153">
        <v>-8.1665280000000007E-2</v>
      </c>
      <c r="U7153">
        <v>0.29757689999999998</v>
      </c>
      <c r="V7153">
        <v>-9.3320449999999999E-2</v>
      </c>
      <c r="W7153">
        <v>3.639067E-2</v>
      </c>
      <c r="X7153">
        <v>0.99497089999999999</v>
      </c>
      <c r="Y7153">
        <v>-0.42906850000000002</v>
      </c>
      <c r="Z7153">
        <v>1.4152609999999999E-2</v>
      </c>
      <c r="AA7153">
        <v>0.90316099999999999</v>
      </c>
      <c r="AB7153">
        <v>23</v>
      </c>
      <c r="AC7153">
        <v>43.5414999999999</v>
      </c>
      <c r="AD7153">
        <v>-1.1171841865600001</v>
      </c>
      <c r="AE7153">
        <v>4.1006699999999903</v>
      </c>
      <c r="AF7153">
        <v>-18.798465941531699</v>
      </c>
      <c r="AG7153">
        <v>-1.1171841865600001</v>
      </c>
      <c r="AH7153">
        <v>39.456325666697701</v>
      </c>
      <c r="AI7153">
        <v>91.464250071884393</v>
      </c>
      <c r="AJ7153">
        <v>115.47487267521601</v>
      </c>
      <c r="AK7153">
        <v>43.7199274630932</v>
      </c>
      <c r="AL7153">
        <v>87.914507808784094</v>
      </c>
      <c r="AM7153">
        <v>95.3582184447408</v>
      </c>
      <c r="AN7153">
        <v>1.0000000395490201</v>
      </c>
    </row>
    <row r="7154" spans="1:40" x14ac:dyDescent="0.25">
      <c r="A7154" t="str">
        <f>"20190312160512751"</f>
        <v>20190312160512751</v>
      </c>
      <c r="B7154" t="str">
        <f>"1552377912742608"</f>
        <v>1552377912742608</v>
      </c>
      <c r="C7154" t="s">
        <v>40</v>
      </c>
      <c r="D7154">
        <v>5.7307730000000001</v>
      </c>
      <c r="E7154">
        <v>0.36135929999999999</v>
      </c>
      <c r="F7154" t="s">
        <v>124</v>
      </c>
      <c r="G7154">
        <v>-242.69929999999999</v>
      </c>
      <c r="H7154" s="1">
        <v>-9.5212609999999998E-7</v>
      </c>
      <c r="I7154">
        <v>-63.416559999999997</v>
      </c>
      <c r="J7154">
        <v>-286.5813</v>
      </c>
      <c r="K7154">
        <v>1.1171599999999999</v>
      </c>
      <c r="L7154">
        <v>-67.712339999999998</v>
      </c>
      <c r="M7154">
        <v>0.94102319999999995</v>
      </c>
      <c r="N7154">
        <v>0</v>
      </c>
      <c r="O7154">
        <v>-0.33810010000000001</v>
      </c>
      <c r="P7154">
        <v>0.96805180000000002</v>
      </c>
      <c r="Q7154">
        <v>2.527662E-2</v>
      </c>
      <c r="R7154">
        <v>-0.24947320000000001</v>
      </c>
      <c r="S7154">
        <v>3.187195</v>
      </c>
      <c r="T7154">
        <v>-8.0949069999999998E-2</v>
      </c>
      <c r="U7154">
        <v>0.30896000000000001</v>
      </c>
      <c r="V7154">
        <v>-9.3192369999999997E-2</v>
      </c>
      <c r="W7154">
        <v>3.6390199999999998E-2</v>
      </c>
      <c r="X7154">
        <v>0.9949829</v>
      </c>
      <c r="Y7154">
        <v>-0.42710959999999998</v>
      </c>
      <c r="Z7154">
        <v>1.388204E-2</v>
      </c>
      <c r="AA7154">
        <v>0.90409329999999999</v>
      </c>
      <c r="AB7154">
        <v>23</v>
      </c>
      <c r="AC7154">
        <v>43.881999999999998</v>
      </c>
      <c r="AD7154">
        <v>-1.1171609521260999</v>
      </c>
      <c r="AE7154">
        <v>4.2957799999999997</v>
      </c>
      <c r="AF7154">
        <v>-18.8683693004809</v>
      </c>
      <c r="AG7154">
        <v>-1.1171609521260999</v>
      </c>
      <c r="AH7154">
        <v>39.819274153940597</v>
      </c>
      <c r="AI7154">
        <v>91.452334296540599</v>
      </c>
      <c r="AJ7154">
        <v>115.353941043116</v>
      </c>
      <c r="AK7154">
        <v>44.077636084515298</v>
      </c>
      <c r="AL7154">
        <v>87.914534710453097</v>
      </c>
      <c r="AM7154">
        <v>95.350842977991505</v>
      </c>
      <c r="AN7154">
        <v>1.0000000178873301</v>
      </c>
    </row>
    <row r="7155" spans="1:40" x14ac:dyDescent="0.25">
      <c r="A7155" t="str">
        <f>"20190312160512762"</f>
        <v>20190312160512762</v>
      </c>
      <c r="B7155" t="str">
        <f>"1552377912752370"</f>
        <v>1552377912752370</v>
      </c>
      <c r="C7155" t="s">
        <v>40</v>
      </c>
      <c r="D7155">
        <v>5.386285</v>
      </c>
      <c r="E7155">
        <v>0.36190060000000002</v>
      </c>
      <c r="F7155" t="s">
        <v>124</v>
      </c>
      <c r="G7155">
        <v>-242.29079999999999</v>
      </c>
      <c r="H7155" s="1">
        <v>-7.2405489999999996E-7</v>
      </c>
      <c r="I7155">
        <v>-63.2181199999999</v>
      </c>
      <c r="J7155">
        <v>-286.47609999999997</v>
      </c>
      <c r="K7155">
        <v>1.1171329999999999</v>
      </c>
      <c r="L7155">
        <v>-67.743440000000007</v>
      </c>
      <c r="M7155">
        <v>0.94296179999999996</v>
      </c>
      <c r="N7155">
        <v>0</v>
      </c>
      <c r="O7155">
        <v>-0.3326557</v>
      </c>
      <c r="P7155">
        <v>0.96930919999999998</v>
      </c>
      <c r="Q7155">
        <v>2.5156709999999999E-2</v>
      </c>
      <c r="R7155">
        <v>-0.24455479999999999</v>
      </c>
      <c r="S7155">
        <v>3.1843870000000001</v>
      </c>
      <c r="T7155">
        <v>-8.0321310000000007E-2</v>
      </c>
      <c r="U7155">
        <v>0.32312010000000002</v>
      </c>
      <c r="V7155">
        <v>-9.2490039999999996E-2</v>
      </c>
      <c r="W7155">
        <v>3.6283940000000001E-2</v>
      </c>
      <c r="X7155">
        <v>0.9950523</v>
      </c>
      <c r="Y7155">
        <v>-0.42594690000000002</v>
      </c>
      <c r="Z7155">
        <v>1.363875E-2</v>
      </c>
      <c r="AA7155">
        <v>0.90464540000000004</v>
      </c>
      <c r="AB7155">
        <v>23</v>
      </c>
      <c r="AC7155">
        <v>44.185299999999899</v>
      </c>
      <c r="AD7155">
        <v>-1.1171337240549</v>
      </c>
      <c r="AE7155">
        <v>4.5253200000000096</v>
      </c>
      <c r="AF7155">
        <v>-18.955252936371</v>
      </c>
      <c r="AG7155">
        <v>-1.1171337240549</v>
      </c>
      <c r="AH7155">
        <v>40.137563879703201</v>
      </c>
      <c r="AI7155">
        <v>91.441674184904201</v>
      </c>
      <c r="AJ7155">
        <v>115.279360183984</v>
      </c>
      <c r="AK7155">
        <v>44.4024057437937</v>
      </c>
      <c r="AL7155">
        <v>87.920626958060893</v>
      </c>
      <c r="AM7155">
        <v>95.310380331965106</v>
      </c>
      <c r="AN7155">
        <v>1.0000000057681999</v>
      </c>
    </row>
    <row r="7156" spans="1:40" x14ac:dyDescent="0.25">
      <c r="A7156" t="str">
        <f>"20190312160512772"</f>
        <v>20190312160512772</v>
      </c>
      <c r="B7156" t="str">
        <f>"1552377912762129"</f>
        <v>1552377912762129</v>
      </c>
      <c r="C7156" t="s">
        <v>40</v>
      </c>
      <c r="D7156">
        <v>4.5339369999999999</v>
      </c>
      <c r="E7156">
        <v>0.36190060000000002</v>
      </c>
      <c r="F7156" t="s">
        <v>124</v>
      </c>
      <c r="G7156">
        <v>-241.7921</v>
      </c>
      <c r="H7156" s="1">
        <v>-4.6158739999999998E-7</v>
      </c>
      <c r="I7156">
        <v>-63.035649999999997</v>
      </c>
      <c r="J7156">
        <v>-286.37020000000001</v>
      </c>
      <c r="K7156">
        <v>1.1171070000000001</v>
      </c>
      <c r="L7156">
        <v>-67.774140000000003</v>
      </c>
      <c r="M7156">
        <v>0.94487069999999995</v>
      </c>
      <c r="N7156">
        <v>0</v>
      </c>
      <c r="O7156">
        <v>-0.3271945</v>
      </c>
      <c r="P7156">
        <v>0.97058350000000004</v>
      </c>
      <c r="Q7156">
        <v>2.517629E-2</v>
      </c>
      <c r="R7156">
        <v>-0.23944499999999999</v>
      </c>
      <c r="S7156">
        <v>3.1816409999999999</v>
      </c>
      <c r="T7156">
        <v>-7.9543470000000005E-2</v>
      </c>
      <c r="U7156">
        <v>0.33520509999999998</v>
      </c>
      <c r="V7156">
        <v>-9.1972269999999995E-2</v>
      </c>
      <c r="W7156">
        <v>3.6314430000000002E-2</v>
      </c>
      <c r="X7156">
        <v>0.99509919999999996</v>
      </c>
      <c r="Y7156">
        <v>-0.42419669999999998</v>
      </c>
      <c r="Z7156">
        <v>1.3363989999999999E-2</v>
      </c>
      <c r="AA7156">
        <v>0.90547140000000004</v>
      </c>
      <c r="AB7156">
        <v>23</v>
      </c>
      <c r="AC7156">
        <v>44.578099999999999</v>
      </c>
      <c r="AD7156">
        <v>-1.1171074615873999</v>
      </c>
      <c r="AE7156">
        <v>4.7384899999999996</v>
      </c>
      <c r="AF7156">
        <v>-19.052693405123001</v>
      </c>
      <c r="AG7156">
        <v>-1.1171074615873999</v>
      </c>
      <c r="AH7156">
        <v>40.548262919356503</v>
      </c>
      <c r="AI7156">
        <v>91.428354069621506</v>
      </c>
      <c r="AJ7156">
        <v>115.167748807113</v>
      </c>
      <c r="AK7156">
        <v>44.8153397939546</v>
      </c>
      <c r="AL7156">
        <v>87.918878902024503</v>
      </c>
      <c r="AM7156">
        <v>95.280573263116395</v>
      </c>
      <c r="AN7156">
        <v>1.0000000270578999</v>
      </c>
    </row>
    <row r="7157" spans="1:40" x14ac:dyDescent="0.25">
      <c r="A7157" t="str">
        <f>"20190312160512784"</f>
        <v>20190312160512784</v>
      </c>
      <c r="B7157" t="str">
        <f>"1552377912771888"</f>
        <v>1552377912771888</v>
      </c>
      <c r="C7157" t="s">
        <v>40</v>
      </c>
      <c r="D7157">
        <v>5.4525870000000003</v>
      </c>
      <c r="E7157">
        <v>0.36273729999999998</v>
      </c>
      <c r="F7157" t="s">
        <v>124</v>
      </c>
      <c r="G7157">
        <v>-241.28659999999999</v>
      </c>
      <c r="H7157" s="1">
        <v>-1.77331799999999E-7</v>
      </c>
      <c r="I7157">
        <v>-62.782299999999999</v>
      </c>
      <c r="J7157">
        <v>-286.25850000000003</v>
      </c>
      <c r="K7157">
        <v>1.117075</v>
      </c>
      <c r="L7157">
        <v>-67.805940000000007</v>
      </c>
      <c r="M7157">
        <v>0.94683969999999995</v>
      </c>
      <c r="N7157">
        <v>0</v>
      </c>
      <c r="O7157">
        <v>-0.32145200000000002</v>
      </c>
      <c r="P7157">
        <v>0.97184150000000002</v>
      </c>
      <c r="Q7157">
        <v>2.5066669999999999E-2</v>
      </c>
      <c r="R7157">
        <v>-0.2342986</v>
      </c>
      <c r="S7157">
        <v>3.17984</v>
      </c>
      <c r="T7157">
        <v>-7.8791979999999998E-2</v>
      </c>
      <c r="U7157">
        <v>0.35208129999999999</v>
      </c>
      <c r="V7157">
        <v>-9.1200080000000003E-2</v>
      </c>
      <c r="W7157">
        <v>3.6220080000000002E-2</v>
      </c>
      <c r="X7157">
        <v>0.99517370000000005</v>
      </c>
      <c r="Y7157">
        <v>-0.42350890000000002</v>
      </c>
      <c r="Z7157">
        <v>1.309775E-2</v>
      </c>
      <c r="AA7157">
        <v>0.90579719999999997</v>
      </c>
      <c r="AB7157">
        <v>23</v>
      </c>
      <c r="AC7157">
        <v>44.971899999999998</v>
      </c>
      <c r="AD7157">
        <v>-1.1170751773318</v>
      </c>
      <c r="AE7157">
        <v>5.0236400000000003</v>
      </c>
      <c r="AF7157">
        <v>-19.202754895570799</v>
      </c>
      <c r="AG7157">
        <v>-1.1170751773318</v>
      </c>
      <c r="AH7157">
        <v>40.944712948387497</v>
      </c>
      <c r="AI7157">
        <v>91.414969938193593</v>
      </c>
      <c r="AJ7157">
        <v>115.126215461995</v>
      </c>
      <c r="AK7157">
        <v>45.237851086861198</v>
      </c>
      <c r="AL7157">
        <v>87.924288304764303</v>
      </c>
      <c r="AM7157">
        <v>95.236095771157395</v>
      </c>
      <c r="AN7157">
        <v>1.00000002097945</v>
      </c>
    </row>
    <row r="7158" spans="1:40" x14ac:dyDescent="0.25">
      <c r="A7158" t="str">
        <f>"20190312160512796"</f>
        <v>20190312160512796</v>
      </c>
      <c r="B7158" t="str">
        <f>"1552377912792385"</f>
        <v>1552377912792385</v>
      </c>
      <c r="C7158" t="s">
        <v>40</v>
      </c>
      <c r="D7158">
        <v>5.88232</v>
      </c>
      <c r="E7158">
        <v>0.3896268</v>
      </c>
      <c r="F7158" t="s">
        <v>124</v>
      </c>
      <c r="G7158">
        <v>-241.26669999999999</v>
      </c>
      <c r="H7158" s="1">
        <v>-1.3893839999999999E-7</v>
      </c>
      <c r="I7158">
        <v>-62.670099999999998</v>
      </c>
      <c r="J7158">
        <v>-286.15120000000002</v>
      </c>
      <c r="K7158">
        <v>1.1170420000000001</v>
      </c>
      <c r="L7158">
        <v>-67.835629999999995</v>
      </c>
      <c r="M7158">
        <v>0.94868430000000004</v>
      </c>
      <c r="N7158">
        <v>0</v>
      </c>
      <c r="O7158">
        <v>-0.31596729999999901</v>
      </c>
      <c r="P7158">
        <v>0.97308609999999895</v>
      </c>
      <c r="Q7158">
        <v>2.5092489999999999E-2</v>
      </c>
      <c r="R7158">
        <v>-0.22907269999999999</v>
      </c>
      <c r="S7158">
        <v>3.176361</v>
      </c>
      <c r="T7158">
        <v>-7.886398E-2</v>
      </c>
      <c r="U7158">
        <v>0.36257929999999999</v>
      </c>
      <c r="V7158">
        <v>-9.0785679999999994E-2</v>
      </c>
      <c r="W7158">
        <v>3.6254399999999999E-2</v>
      </c>
      <c r="X7158">
        <v>0.99521029999999999</v>
      </c>
      <c r="Y7158">
        <v>-0.42133209999999999</v>
      </c>
      <c r="Z7158">
        <v>1.2964430000000001E-2</v>
      </c>
      <c r="AA7158">
        <v>0.9068138</v>
      </c>
      <c r="AB7158">
        <v>23</v>
      </c>
      <c r="AC7158">
        <v>44.884500000000003</v>
      </c>
      <c r="AD7158">
        <v>-1.11704213893839</v>
      </c>
      <c r="AE7158">
        <v>5.1655300000000102</v>
      </c>
      <c r="AF7158">
        <v>-19.072386302432299</v>
      </c>
      <c r="AG7158">
        <v>-1.11704213893839</v>
      </c>
      <c r="AH7158">
        <v>40.9273971956396</v>
      </c>
      <c r="AI7158">
        <v>91.417148870902807</v>
      </c>
      <c r="AJ7158">
        <v>114.985771290779</v>
      </c>
      <c r="AK7158">
        <v>45.1669740365571</v>
      </c>
      <c r="AL7158">
        <v>87.922320538663499</v>
      </c>
      <c r="AM7158">
        <v>95.212244423119103</v>
      </c>
      <c r="AN7158">
        <v>0.99999998121925504</v>
      </c>
    </row>
    <row r="7159" spans="1:40" x14ac:dyDescent="0.25">
      <c r="A7159" t="str">
        <f>"20190312160512807"</f>
        <v>20190312160512807</v>
      </c>
      <c r="B7159" t="str">
        <f>"1552377912802147"</f>
        <v>1552377912802147</v>
      </c>
      <c r="C7159" t="s">
        <v>40</v>
      </c>
      <c r="D7159">
        <v>5.7719360000000002</v>
      </c>
      <c r="E7159">
        <v>0.39809919999999999</v>
      </c>
      <c r="F7159" t="s">
        <v>41</v>
      </c>
      <c r="G7159">
        <v>-263.4794</v>
      </c>
      <c r="H7159" s="1">
        <v>-2.1499349999999999E-6</v>
      </c>
      <c r="I7159">
        <v>-66.592449999999999</v>
      </c>
      <c r="J7159">
        <v>-286.0453</v>
      </c>
      <c r="K7159">
        <v>1.117011</v>
      </c>
      <c r="L7159">
        <v>-67.864620000000002</v>
      </c>
      <c r="M7159">
        <v>0.95046649999999999</v>
      </c>
      <c r="N7159">
        <v>0</v>
      </c>
      <c r="O7159">
        <v>-0.3105656</v>
      </c>
      <c r="P7159">
        <v>0.97422980000000003</v>
      </c>
      <c r="Q7159">
        <v>2.5683540000000001E-2</v>
      </c>
      <c r="R7159">
        <v>-0.22409129999999999</v>
      </c>
      <c r="S7159">
        <v>3.1273499999999999</v>
      </c>
      <c r="T7159">
        <v>-0.15408559999999999</v>
      </c>
      <c r="U7159">
        <v>0.1714783</v>
      </c>
      <c r="V7159">
        <v>-9.0218010000000001E-2</v>
      </c>
      <c r="W7159">
        <v>3.6856229999999997E-2</v>
      </c>
      <c r="X7159">
        <v>0.99523989999999996</v>
      </c>
      <c r="Y7159">
        <v>-0.36136020000000002</v>
      </c>
      <c r="Z7159">
        <v>2.4011049999999999E-2</v>
      </c>
      <c r="AA7159">
        <v>0.93211699999999997</v>
      </c>
      <c r="AB7159">
        <v>23</v>
      </c>
      <c r="AC7159">
        <v>22.565899999999999</v>
      </c>
      <c r="AD7159">
        <v>-1.117013149935</v>
      </c>
      <c r="AE7159">
        <v>1.27217</v>
      </c>
      <c r="AF7159">
        <v>-8.1979912083689594</v>
      </c>
      <c r="AG7159">
        <v>-1.117013149935</v>
      </c>
      <c r="AH7159">
        <v>21.003449137105399</v>
      </c>
      <c r="AI7159">
        <v>92.8362449691801</v>
      </c>
      <c r="AJ7159">
        <v>111.321518321911</v>
      </c>
      <c r="AK7159">
        <v>22.574314029103899</v>
      </c>
      <c r="AL7159">
        <v>87.887815332770003</v>
      </c>
      <c r="AM7159">
        <v>95.179677623043105</v>
      </c>
      <c r="AN7159">
        <v>1.00000006478508</v>
      </c>
    </row>
    <row r="7160" spans="1:40" x14ac:dyDescent="0.25">
      <c r="A7160" t="str">
        <f>"20190312160512818"</f>
        <v>20190312160512818</v>
      </c>
      <c r="B7160" t="str">
        <f>"1552377912811904"</f>
        <v>1552377912811904</v>
      </c>
      <c r="C7160" t="s">
        <v>40</v>
      </c>
      <c r="D7160">
        <v>5.8188519999999997</v>
      </c>
      <c r="E7160">
        <v>0.4032772</v>
      </c>
      <c r="F7160" t="s">
        <v>41</v>
      </c>
      <c r="G7160">
        <v>-266.11399999999998</v>
      </c>
      <c r="H7160" s="1">
        <v>-3.157805E-6</v>
      </c>
      <c r="I7160">
        <v>-67.085269999999994</v>
      </c>
      <c r="J7160">
        <v>-285.93380000000002</v>
      </c>
      <c r="K7160">
        <v>1.1169739999999999</v>
      </c>
      <c r="L7160">
        <v>-67.894009999999994</v>
      </c>
      <c r="M7160">
        <v>0.95228840000000003</v>
      </c>
      <c r="N7160">
        <v>0</v>
      </c>
      <c r="O7160">
        <v>-0.30493320000000002</v>
      </c>
      <c r="P7160">
        <v>0.97546239999999995</v>
      </c>
      <c r="Q7160">
        <v>2.6143429999999999E-2</v>
      </c>
      <c r="R7160">
        <v>-0.21860889999999999</v>
      </c>
      <c r="S7160">
        <v>3.1119379999999999</v>
      </c>
      <c r="T7160">
        <v>-0.17440220000000001</v>
      </c>
      <c r="U7160">
        <v>0.12167360000000001</v>
      </c>
      <c r="V7160">
        <v>-8.9923639999999999E-2</v>
      </c>
      <c r="W7160">
        <v>3.7324160000000002E-2</v>
      </c>
      <c r="X7160">
        <v>0.99524900000000005</v>
      </c>
      <c r="Y7160">
        <v>-0.34092990000000001</v>
      </c>
      <c r="Z7160">
        <v>2.6430140000000001E-2</v>
      </c>
      <c r="AA7160">
        <v>0.93971709999999997</v>
      </c>
      <c r="AB7160">
        <v>23</v>
      </c>
      <c r="AC7160">
        <v>19.819799999999901</v>
      </c>
      <c r="AD7160">
        <v>-1.1169771578049901</v>
      </c>
      <c r="AE7160">
        <v>0.80874000000000001</v>
      </c>
      <c r="AF7160">
        <v>-6.7928838006019001</v>
      </c>
      <c r="AG7160">
        <v>-1.1169771578049901</v>
      </c>
      <c r="AH7160">
        <v>18.570185895036602</v>
      </c>
      <c r="AI7160">
        <v>93.233106301826496</v>
      </c>
      <c r="AJ7160">
        <v>110.092274210432</v>
      </c>
      <c r="AK7160">
        <v>19.805118340362299</v>
      </c>
      <c r="AL7160">
        <v>87.860986241925502</v>
      </c>
      <c r="AM7160">
        <v>95.162821520771303</v>
      </c>
      <c r="AN7160">
        <v>0.99999996297577698</v>
      </c>
    </row>
    <row r="7161" spans="1:40" x14ac:dyDescent="0.25">
      <c r="A7161" t="str">
        <f>"20190312160512829"</f>
        <v>20190312160512829</v>
      </c>
      <c r="B7161" t="str">
        <f>"1552377912822640"</f>
        <v>1552377912822640</v>
      </c>
      <c r="C7161" t="s">
        <v>40</v>
      </c>
      <c r="D7161">
        <v>5.8198910000000001</v>
      </c>
      <c r="E7161">
        <v>0.4068737</v>
      </c>
      <c r="F7161" t="s">
        <v>41</v>
      </c>
      <c r="G7161">
        <v>-267.2115</v>
      </c>
      <c r="H7161" s="1">
        <v>-3.5691709999999999E-6</v>
      </c>
      <c r="I7161">
        <v>-67.298739999999995</v>
      </c>
      <c r="J7161">
        <v>-285.82940000000002</v>
      </c>
      <c r="K7161">
        <v>1.1169389999999999</v>
      </c>
      <c r="L7161">
        <v>-67.921329999999998</v>
      </c>
      <c r="M7161">
        <v>0.95396020000000004</v>
      </c>
      <c r="N7161">
        <v>0</v>
      </c>
      <c r="O7161">
        <v>-0.2996626</v>
      </c>
      <c r="P7161">
        <v>0.97653369999999995</v>
      </c>
      <c r="Q7161">
        <v>2.6529879999999999E-2</v>
      </c>
      <c r="R7161">
        <v>-0.21372540000000001</v>
      </c>
      <c r="S7161">
        <v>3.102509</v>
      </c>
      <c r="T7161">
        <v>-0.18509610000000001</v>
      </c>
      <c r="U7161">
        <v>9.8632810000000001E-2</v>
      </c>
      <c r="V7161">
        <v>-8.9399320000000004E-2</v>
      </c>
      <c r="W7161">
        <v>3.7723479999999997E-2</v>
      </c>
      <c r="X7161">
        <v>0.99528119999999998</v>
      </c>
      <c r="Y7161">
        <v>-0.32874399999999998</v>
      </c>
      <c r="Z7161">
        <v>2.7465320000000001E-2</v>
      </c>
      <c r="AA7161">
        <v>0.94401959999999996</v>
      </c>
      <c r="AB7161">
        <v>23</v>
      </c>
      <c r="AC7161">
        <v>18.617899999999999</v>
      </c>
      <c r="AD7161">
        <v>-1.116942569171</v>
      </c>
      <c r="AE7161">
        <v>0.62259000000000198</v>
      </c>
      <c r="AF7161">
        <v>-6.1514001887226097</v>
      </c>
      <c r="AG7161">
        <v>-1.116942569171</v>
      </c>
      <c r="AH7161">
        <v>17.512634418014599</v>
      </c>
      <c r="AI7161">
        <v>93.443620307414406</v>
      </c>
      <c r="AJ7161">
        <v>109.35407949099201</v>
      </c>
      <c r="AK7161">
        <v>18.5951512293843</v>
      </c>
      <c r="AL7161">
        <v>87.8380908095113</v>
      </c>
      <c r="AM7161">
        <v>95.132714625861396</v>
      </c>
      <c r="AN7161">
        <v>0.99999998321660599</v>
      </c>
    </row>
    <row r="7162" spans="1:40" x14ac:dyDescent="0.25">
      <c r="A7162" t="str">
        <f>"20190312160512840"</f>
        <v>20190312160512840</v>
      </c>
      <c r="B7162" t="str">
        <f>"1552377912832400"</f>
        <v>1552377912832400</v>
      </c>
      <c r="C7162" t="s">
        <v>40</v>
      </c>
      <c r="D7162">
        <v>5.7811050000000002</v>
      </c>
      <c r="E7162">
        <v>0.4095184</v>
      </c>
      <c r="F7162" t="s">
        <v>41</v>
      </c>
      <c r="G7162">
        <v>-267.06299999999999</v>
      </c>
      <c r="H7162" s="1">
        <v>-3.5365439999999999E-6</v>
      </c>
      <c r="I7162">
        <v>-67.399600000000007</v>
      </c>
      <c r="J7162">
        <v>-285.72629999999998</v>
      </c>
      <c r="K7162">
        <v>1.1169020000000001</v>
      </c>
      <c r="L7162">
        <v>-67.947450000000003</v>
      </c>
      <c r="M7162">
        <v>0.95556649999999999</v>
      </c>
      <c r="N7162">
        <v>0</v>
      </c>
      <c r="O7162">
        <v>-0.29449999999999998</v>
      </c>
      <c r="P7162">
        <v>0.97763619999999996</v>
      </c>
      <c r="Q7162">
        <v>2.6623040000000001E-2</v>
      </c>
      <c r="R7162">
        <v>-0.20861160000000001</v>
      </c>
      <c r="S7162">
        <v>3.0959469999999998</v>
      </c>
      <c r="T7162">
        <v>-0.1842654</v>
      </c>
      <c r="U7162">
        <v>8.6059570000000002E-2</v>
      </c>
      <c r="V7162">
        <v>-8.9224319999999996E-2</v>
      </c>
      <c r="W7162">
        <v>3.782402E-2</v>
      </c>
      <c r="X7162">
        <v>0.99529310000000004</v>
      </c>
      <c r="Y7162">
        <v>-0.31988759999999999</v>
      </c>
      <c r="Z7162">
        <v>2.6839180000000001E-2</v>
      </c>
      <c r="AA7162">
        <v>0.94707520000000001</v>
      </c>
      <c r="AB7162">
        <v>23</v>
      </c>
      <c r="AC7162">
        <v>18.6632999999999</v>
      </c>
      <c r="AD7162">
        <v>-1.1169055365439999</v>
      </c>
      <c r="AE7162">
        <v>0.54784999999999595</v>
      </c>
      <c r="AF7162">
        <v>-5.9988718503905796</v>
      </c>
      <c r="AG7162">
        <v>-1.1169055365439999</v>
      </c>
      <c r="AH7162">
        <v>17.611099204274201</v>
      </c>
      <c r="AI7162">
        <v>93.435531774587005</v>
      </c>
      <c r="AJ7162">
        <v>108.81039211636499</v>
      </c>
      <c r="AK7162">
        <v>18.638260558264498</v>
      </c>
      <c r="AL7162">
        <v>87.832326203909204</v>
      </c>
      <c r="AM7162">
        <v>95.122659877531504</v>
      </c>
      <c r="AN7162">
        <v>0.99999999533801598</v>
      </c>
    </row>
    <row r="7163" spans="1:40" x14ac:dyDescent="0.25">
      <c r="A7163" t="str">
        <f>"20190312160512851"</f>
        <v>20190312160512851</v>
      </c>
      <c r="B7163" t="str">
        <f>"1552377912842161"</f>
        <v>1552377912842161</v>
      </c>
      <c r="C7163" t="s">
        <v>40</v>
      </c>
      <c r="D7163">
        <v>5.7805809999999997</v>
      </c>
      <c r="E7163">
        <v>0.4112577</v>
      </c>
      <c r="F7163" t="s">
        <v>41</v>
      </c>
      <c r="G7163">
        <v>-267.4556</v>
      </c>
      <c r="H7163" s="1">
        <v>-3.6816130000000002E-6</v>
      </c>
      <c r="I7163">
        <v>-67.464349999999996</v>
      </c>
      <c r="J7163">
        <v>-285.61360000000002</v>
      </c>
      <c r="K7163">
        <v>1.116865</v>
      </c>
      <c r="L7163">
        <v>-67.975489999999994</v>
      </c>
      <c r="M7163">
        <v>0.95728159999999896</v>
      </c>
      <c r="N7163">
        <v>0</v>
      </c>
      <c r="O7163">
        <v>-0.28887669999999999</v>
      </c>
      <c r="P7163">
        <v>0.97869720000000004</v>
      </c>
      <c r="Q7163">
        <v>2.6331799999999999E-2</v>
      </c>
      <c r="R7163">
        <v>-0.2036133</v>
      </c>
      <c r="S7163">
        <v>3.0912169999999999</v>
      </c>
      <c r="T7163">
        <v>-0.1889689</v>
      </c>
      <c r="U7163">
        <v>8.1726069999999998E-2</v>
      </c>
      <c r="V7163">
        <v>-8.8451600000000005E-2</v>
      </c>
      <c r="W7163">
        <v>3.7551939999999999E-2</v>
      </c>
      <c r="X7163">
        <v>0.99537240000000005</v>
      </c>
      <c r="Y7163">
        <v>-0.31298799999999999</v>
      </c>
      <c r="Z7163">
        <v>2.7021730000000001E-2</v>
      </c>
      <c r="AA7163">
        <v>0.94937260000000001</v>
      </c>
      <c r="AB7163">
        <v>23</v>
      </c>
      <c r="AC7163">
        <v>18.158000000000001</v>
      </c>
      <c r="AD7163">
        <v>-1.116868681613</v>
      </c>
      <c r="AE7163">
        <v>0.51114000000001103</v>
      </c>
      <c r="AF7163">
        <v>-5.7135941539721102</v>
      </c>
      <c r="AG7163">
        <v>-1.116868681613</v>
      </c>
      <c r="AH7163">
        <v>17.171148889726702</v>
      </c>
      <c r="AI7163">
        <v>93.531611363763204</v>
      </c>
      <c r="AJ7163">
        <v>108.40454592310201</v>
      </c>
      <c r="AK7163">
        <v>18.1312136384037</v>
      </c>
      <c r="AL7163">
        <v>87.847926384901598</v>
      </c>
      <c r="AM7163">
        <v>95.078126018929296</v>
      </c>
      <c r="AN7163">
        <v>1.0000000242110401</v>
      </c>
    </row>
    <row r="7164" spans="1:40" x14ac:dyDescent="0.25">
      <c r="A7164" t="str">
        <f>"20190312160512861"</f>
        <v>20190312160512861</v>
      </c>
      <c r="B7164" t="str">
        <f>"1552377912852896"</f>
        <v>1552377912852896</v>
      </c>
      <c r="C7164" t="s">
        <v>40</v>
      </c>
      <c r="D7164">
        <v>5.7598609999999999</v>
      </c>
      <c r="E7164">
        <v>0.41183920000000002</v>
      </c>
      <c r="F7164" t="s">
        <v>41</v>
      </c>
      <c r="G7164">
        <v>-267.19080000000002</v>
      </c>
      <c r="H7164" s="1">
        <v>-3.5932059999999999E-6</v>
      </c>
      <c r="I7164">
        <v>-67.473990000000001</v>
      </c>
      <c r="J7164">
        <v>-285.51479999999998</v>
      </c>
      <c r="K7164">
        <v>1.1168340000000001</v>
      </c>
      <c r="L7164">
        <v>-67.999539999999996</v>
      </c>
      <c r="M7164">
        <v>0.95874910000000002</v>
      </c>
      <c r="N7164">
        <v>0</v>
      </c>
      <c r="O7164">
        <v>-0.2839682</v>
      </c>
      <c r="P7164">
        <v>0.97960170000000002</v>
      </c>
      <c r="Q7164">
        <v>2.6346379999999999E-2</v>
      </c>
      <c r="R7164">
        <v>-0.19921510000000001</v>
      </c>
      <c r="S7164">
        <v>3.0878299999999999</v>
      </c>
      <c r="T7164">
        <v>-0.18719669999999999</v>
      </c>
      <c r="U7164">
        <v>8.4045410000000001E-2</v>
      </c>
      <c r="V7164">
        <v>-8.7819759999999997E-2</v>
      </c>
      <c r="W7164">
        <v>3.758148E-2</v>
      </c>
      <c r="X7164">
        <v>0.99542719999999996</v>
      </c>
      <c r="Y7164">
        <v>-0.30889519999999998</v>
      </c>
      <c r="Z7164">
        <v>2.6386369999999999E-2</v>
      </c>
      <c r="AA7164">
        <v>0.95072999999999996</v>
      </c>
      <c r="AB7164">
        <v>23</v>
      </c>
      <c r="AC7164">
        <v>18.323999999999899</v>
      </c>
      <c r="AD7164">
        <v>-1.116837593206</v>
      </c>
      <c r="AE7164">
        <v>0.52554999999999497</v>
      </c>
      <c r="AF7164">
        <v>-5.6866592398816902</v>
      </c>
      <c r="AG7164">
        <v>-1.116837593206</v>
      </c>
      <c r="AH7164">
        <v>17.3558708815583</v>
      </c>
      <c r="AI7164">
        <v>93.499309753092902</v>
      </c>
      <c r="AJ7164">
        <v>108.14140722884601</v>
      </c>
      <c r="AK7164">
        <v>18.2978598086621</v>
      </c>
      <c r="AL7164">
        <v>87.846232607377999</v>
      </c>
      <c r="AM7164">
        <v>95.041762740052505</v>
      </c>
      <c r="AN7164">
        <v>0.99999999419264396</v>
      </c>
    </row>
    <row r="7165" spans="1:40" x14ac:dyDescent="0.25">
      <c r="A7165" t="str">
        <f>"20190312160512874"</f>
        <v>20190312160512874</v>
      </c>
      <c r="B7165" t="str">
        <f>"1552377912862656"</f>
        <v>1552377912862656</v>
      </c>
      <c r="C7165" t="s">
        <v>40</v>
      </c>
      <c r="D7165">
        <v>5.7431409999999996</v>
      </c>
      <c r="E7165">
        <v>0.41261389999999998</v>
      </c>
      <c r="F7165" t="s">
        <v>41</v>
      </c>
      <c r="G7165">
        <v>-266.30869999999999</v>
      </c>
      <c r="H7165" s="1">
        <v>-3.282872E-6</v>
      </c>
      <c r="I7165">
        <v>-67.416830000000004</v>
      </c>
      <c r="J7165">
        <v>-285.39819999999997</v>
      </c>
      <c r="K7165">
        <v>1.1168</v>
      </c>
      <c r="L7165">
        <v>-68.027159999999995</v>
      </c>
      <c r="M7165">
        <v>0.96043619999999996</v>
      </c>
      <c r="N7165">
        <v>0</v>
      </c>
      <c r="O7165">
        <v>-0.27820899999999998</v>
      </c>
      <c r="P7165">
        <v>0.9806319</v>
      </c>
      <c r="Q7165">
        <v>2.6378869999999999E-2</v>
      </c>
      <c r="R7165">
        <v>-0.19407579999999999</v>
      </c>
      <c r="S7165">
        <v>3.0863339999999999</v>
      </c>
      <c r="T7165">
        <v>-0.1794702</v>
      </c>
      <c r="U7165">
        <v>9.3627929999999998E-2</v>
      </c>
      <c r="V7165">
        <v>-8.7061059999999996E-2</v>
      </c>
      <c r="W7165">
        <v>3.763151E-2</v>
      </c>
      <c r="X7165">
        <v>0.99549200000000004</v>
      </c>
      <c r="Y7165">
        <v>-0.30624960000000001</v>
      </c>
      <c r="Z7165">
        <v>2.4910620000000001E-2</v>
      </c>
      <c r="AA7165">
        <v>0.95162519999999995</v>
      </c>
      <c r="AB7165">
        <v>23</v>
      </c>
      <c r="AC7165">
        <v>19.089499999999902</v>
      </c>
      <c r="AD7165">
        <v>-1.116803282872</v>
      </c>
      <c r="AE7165">
        <v>0.61032999999999005</v>
      </c>
      <c r="AF7165">
        <v>-5.8774356772736702</v>
      </c>
      <c r="AG7165">
        <v>-1.116803282872</v>
      </c>
      <c r="AH7165">
        <v>18.104018870597901</v>
      </c>
      <c r="AI7165">
        <v>93.357899342181597</v>
      </c>
      <c r="AJ7165">
        <v>107.985924530425</v>
      </c>
      <c r="AK7165">
        <v>19.0669084798791</v>
      </c>
      <c r="AL7165">
        <v>87.8433641700572</v>
      </c>
      <c r="AM7165">
        <v>94.998103411020097</v>
      </c>
      <c r="AN7165">
        <v>1.0000000403886</v>
      </c>
    </row>
    <row r="7166" spans="1:40" x14ac:dyDescent="0.25">
      <c r="A7166" t="str">
        <f>"20190312160512887"</f>
        <v>20190312160512887</v>
      </c>
      <c r="B7166" t="str">
        <f>"1552377912882178"</f>
        <v>1552377912882178</v>
      </c>
      <c r="C7166" t="s">
        <v>40</v>
      </c>
      <c r="D7166">
        <v>5.7657590000000001</v>
      </c>
      <c r="E7166">
        <v>0.41349669999999999</v>
      </c>
      <c r="F7166" t="s">
        <v>125</v>
      </c>
      <c r="G7166">
        <v>-265.73110000000003</v>
      </c>
      <c r="H7166" s="1">
        <v>-3.07714E-6</v>
      </c>
      <c r="I7166">
        <v>-67.364930000000001</v>
      </c>
      <c r="J7166">
        <v>-285.28579999999999</v>
      </c>
      <c r="K7166">
        <v>1.1167659999999999</v>
      </c>
      <c r="L7166">
        <v>-68.053380000000004</v>
      </c>
      <c r="M7166">
        <v>0.96202359999999998</v>
      </c>
      <c r="N7166">
        <v>0</v>
      </c>
      <c r="O7166">
        <v>-0.27266970000000001</v>
      </c>
      <c r="P7166">
        <v>0.98163219999999995</v>
      </c>
      <c r="Q7166">
        <v>2.6779279999999999E-2</v>
      </c>
      <c r="R7166">
        <v>-0.1888948</v>
      </c>
      <c r="S7166">
        <v>3.0845030000000002</v>
      </c>
      <c r="T7166">
        <v>-0.17515500000000001</v>
      </c>
      <c r="U7166">
        <v>0.10385129999999999</v>
      </c>
      <c r="V7166">
        <v>-8.6581699999999998E-2</v>
      </c>
      <c r="W7166">
        <v>3.804416E-2</v>
      </c>
      <c r="X7166">
        <v>0.99551809999999996</v>
      </c>
      <c r="Y7166">
        <v>-0.30399009999999999</v>
      </c>
      <c r="Z7166">
        <v>2.3958090000000001E-2</v>
      </c>
      <c r="AA7166">
        <v>0.9523739</v>
      </c>
      <c r="AB7166">
        <v>23</v>
      </c>
      <c r="AC7166">
        <v>19.554699999999901</v>
      </c>
      <c r="AD7166">
        <v>-1.1167690771399901</v>
      </c>
      <c r="AE7166">
        <v>0.688450000000003</v>
      </c>
      <c r="AF7166">
        <v>-5.9752997782950397</v>
      </c>
      <c r="AG7166">
        <v>-1.1167690771399901</v>
      </c>
      <c r="AH7166">
        <v>18.565393533230999</v>
      </c>
      <c r="AI7166">
        <v>93.2772103199448</v>
      </c>
      <c r="AJ7166">
        <v>107.84084916432001</v>
      </c>
      <c r="AK7166">
        <v>19.535230166442499</v>
      </c>
      <c r="AL7166">
        <v>87.819704075801198</v>
      </c>
      <c r="AM7166">
        <v>94.970592338640003</v>
      </c>
      <c r="AN7166">
        <v>1.0000000181563</v>
      </c>
    </row>
    <row r="7167" spans="1:40" x14ac:dyDescent="0.25">
      <c r="A7167" t="str">
        <f>"20190312160512898"</f>
        <v>20190312160512898</v>
      </c>
      <c r="B7167" t="str">
        <f>"1552377912891936"</f>
        <v>1552377912891936</v>
      </c>
      <c r="C7167" t="s">
        <v>40</v>
      </c>
      <c r="D7167">
        <v>5.7801559999999998</v>
      </c>
      <c r="E7167">
        <v>0.41410659999999999</v>
      </c>
      <c r="F7167" t="s">
        <v>125</v>
      </c>
      <c r="G7167">
        <v>-264.79930000000002</v>
      </c>
      <c r="H7167" s="1">
        <v>-2.7487699999999999E-6</v>
      </c>
      <c r="I7167">
        <v>-67.301450000000003</v>
      </c>
      <c r="J7167">
        <v>-285.16680000000002</v>
      </c>
      <c r="K7167">
        <v>1.1167339999999999</v>
      </c>
      <c r="L7167">
        <v>-68.080079999999995</v>
      </c>
      <c r="M7167">
        <v>0.96365310000000004</v>
      </c>
      <c r="N7167">
        <v>0</v>
      </c>
      <c r="O7167">
        <v>-0.26685320000000001</v>
      </c>
      <c r="P7167">
        <v>0.98266390000000003</v>
      </c>
      <c r="Q7167">
        <v>2.6930619999999999E-2</v>
      </c>
      <c r="R7167">
        <v>-0.18343039999999999</v>
      </c>
      <c r="S7167">
        <v>3.0824889999999998</v>
      </c>
      <c r="T7167">
        <v>-0.16803390000000001</v>
      </c>
      <c r="U7167">
        <v>0.1131287</v>
      </c>
      <c r="V7167">
        <v>-8.6104559999999997E-2</v>
      </c>
      <c r="W7167">
        <v>3.820664E-2</v>
      </c>
      <c r="X7167">
        <v>0.99555329999999997</v>
      </c>
      <c r="Y7167">
        <v>-0.30120380000000002</v>
      </c>
      <c r="Z7167">
        <v>2.2616649999999999E-2</v>
      </c>
      <c r="AA7167">
        <v>0.95329149999999996</v>
      </c>
      <c r="AB7167">
        <v>23</v>
      </c>
      <c r="AC7167">
        <v>20.3675</v>
      </c>
      <c r="AD7167">
        <v>-1.11673674877</v>
      </c>
      <c r="AE7167">
        <v>0.77863000000000604</v>
      </c>
      <c r="AF7167">
        <v>-6.1674491892492496</v>
      </c>
      <c r="AG7167">
        <v>-1.11673674877</v>
      </c>
      <c r="AH7167">
        <v>19.362873640432099</v>
      </c>
      <c r="AI7167">
        <v>93.145456842118307</v>
      </c>
      <c r="AJ7167">
        <v>107.667681780584</v>
      </c>
      <c r="AK7167">
        <v>20.352036902565001</v>
      </c>
      <c r="AL7167">
        <v>87.810387971478903</v>
      </c>
      <c r="AM7167">
        <v>94.943162268092195</v>
      </c>
      <c r="AN7167">
        <v>1.00000005786688</v>
      </c>
    </row>
    <row r="7168" spans="1:40" x14ac:dyDescent="0.25">
      <c r="A7168" t="str">
        <f>"20190312160512909"</f>
        <v>20190312160512909</v>
      </c>
      <c r="B7168" t="str">
        <f>"1552377912902671"</f>
        <v>1552377912902671</v>
      </c>
      <c r="C7168" t="s">
        <v>40</v>
      </c>
      <c r="D7168">
        <v>5.9386549999999998</v>
      </c>
      <c r="E7168">
        <v>0.41455330000000001</v>
      </c>
      <c r="F7168" t="s">
        <v>41</v>
      </c>
      <c r="G7168">
        <v>-263.98039999999997</v>
      </c>
      <c r="H7168" s="1">
        <v>-2.4552429999999999E-6</v>
      </c>
      <c r="I7168">
        <v>-67.217669999999998</v>
      </c>
      <c r="J7168">
        <v>-285.06610000000001</v>
      </c>
      <c r="K7168">
        <v>1.116698</v>
      </c>
      <c r="L7168">
        <v>-68.102450000000005</v>
      </c>
      <c r="M7168">
        <v>0.96500160000000001</v>
      </c>
      <c r="N7168">
        <v>0</v>
      </c>
      <c r="O7168">
        <v>-0.26193490000000003</v>
      </c>
      <c r="P7168">
        <v>0.98351480000000002</v>
      </c>
      <c r="Q7168">
        <v>2.699561E-2</v>
      </c>
      <c r="R7168">
        <v>-0.17880179999999901</v>
      </c>
      <c r="S7168">
        <v>3.0808110000000002</v>
      </c>
      <c r="T7168">
        <v>-0.1623898</v>
      </c>
      <c r="U7168">
        <v>0.1253967</v>
      </c>
      <c r="V7168">
        <v>-8.5711720000000005E-2</v>
      </c>
      <c r="W7168">
        <v>3.8280979999999999E-2</v>
      </c>
      <c r="X7168">
        <v>0.99558429999999998</v>
      </c>
      <c r="Y7168">
        <v>-0.30021330000000002</v>
      </c>
      <c r="Z7168">
        <v>2.1591610000000001E-2</v>
      </c>
      <c r="AA7168">
        <v>0.95362769999999997</v>
      </c>
      <c r="AB7168">
        <v>23</v>
      </c>
      <c r="AC7168">
        <v>21.085699999999999</v>
      </c>
      <c r="AD7168">
        <v>-1.116700455243</v>
      </c>
      <c r="AE7168">
        <v>0.88478000000000601</v>
      </c>
      <c r="AF7168">
        <v>-6.3596056090293098</v>
      </c>
      <c r="AG7168">
        <v>-1.116700455243</v>
      </c>
      <c r="AH7168">
        <v>20.061440432540198</v>
      </c>
      <c r="AI7168">
        <v>93.037361339420499</v>
      </c>
      <c r="AJ7168">
        <v>107.588949849073</v>
      </c>
      <c r="AK7168">
        <v>21.074937618828098</v>
      </c>
      <c r="AL7168">
        <v>87.806125391969701</v>
      </c>
      <c r="AM7168">
        <v>94.920568299806206</v>
      </c>
      <c r="AN7168">
        <v>1.0000000153908</v>
      </c>
    </row>
    <row r="7169" spans="1:40" x14ac:dyDescent="0.25">
      <c r="A7169" t="str">
        <f>"20190312160512919"</f>
        <v>20190312160512919</v>
      </c>
      <c r="B7169" t="str">
        <f>"1552377912912432"</f>
        <v>1552377912912432</v>
      </c>
      <c r="C7169" t="s">
        <v>40</v>
      </c>
      <c r="D7169">
        <v>5.6997809999999998</v>
      </c>
      <c r="E7169">
        <v>0.4150257</v>
      </c>
      <c r="F7169" t="s">
        <v>41</v>
      </c>
      <c r="G7169">
        <v>-262.78480000000002</v>
      </c>
      <c r="H7169" s="1">
        <v>-1.991419E-6</v>
      </c>
      <c r="I7169">
        <v>-67.116640000000004</v>
      </c>
      <c r="J7169">
        <v>-284.95760000000001</v>
      </c>
      <c r="K7169">
        <v>1.1166700000000001</v>
      </c>
      <c r="L7169">
        <v>-68.125579999999999</v>
      </c>
      <c r="M7169">
        <v>0.96641259999999996</v>
      </c>
      <c r="N7169">
        <v>0</v>
      </c>
      <c r="O7169">
        <v>-0.25668029999999997</v>
      </c>
      <c r="P7169">
        <v>0.98441959999999995</v>
      </c>
      <c r="Q7169">
        <v>2.6738950000000001E-2</v>
      </c>
      <c r="R7169">
        <v>-0.17379069999999999</v>
      </c>
      <c r="S7169">
        <v>3.0792540000000002</v>
      </c>
      <c r="T7169">
        <v>-0.15432699999999999</v>
      </c>
      <c r="U7169">
        <v>0.1362305</v>
      </c>
      <c r="V7169">
        <v>-8.5359779999999996E-2</v>
      </c>
      <c r="W7169">
        <v>3.8034619999999998E-2</v>
      </c>
      <c r="X7169">
        <v>0.99562390000000001</v>
      </c>
      <c r="Y7169">
        <v>-0.2984754</v>
      </c>
      <c r="Z7169">
        <v>2.0230999999999999E-2</v>
      </c>
      <c r="AA7169">
        <v>0.95420289999999996</v>
      </c>
      <c r="AB7169">
        <v>23</v>
      </c>
      <c r="AC7169">
        <v>22.172799999999899</v>
      </c>
      <c r="AD7169">
        <v>-1.116671991419</v>
      </c>
      <c r="AE7169">
        <v>1.00893999999999</v>
      </c>
      <c r="AF7169">
        <v>-6.6500809079174399</v>
      </c>
      <c r="AG7169">
        <v>-1.116671991419</v>
      </c>
      <c r="AH7169">
        <v>21.117361760510601</v>
      </c>
      <c r="AI7169">
        <v>92.887410654586205</v>
      </c>
      <c r="AJ7169">
        <v>107.47976695512</v>
      </c>
      <c r="AK7169">
        <v>22.167848342645801</v>
      </c>
      <c r="AL7169">
        <v>87.820250897103506</v>
      </c>
      <c r="AM7169">
        <v>94.900268633535902</v>
      </c>
      <c r="AN7169">
        <v>0.99999993730569903</v>
      </c>
    </row>
    <row r="7170" spans="1:40" x14ac:dyDescent="0.25">
      <c r="A7170" t="str">
        <f>"20190312160512930"</f>
        <v>20190312160512930</v>
      </c>
      <c r="B7170" t="str">
        <f>"1552377912922192"</f>
        <v>1552377912922192</v>
      </c>
      <c r="C7170" t="s">
        <v>40</v>
      </c>
      <c r="D7170">
        <v>5.8519829999999997</v>
      </c>
      <c r="E7170">
        <v>0.41543780000000002</v>
      </c>
      <c r="F7170" t="s">
        <v>41</v>
      </c>
      <c r="G7170">
        <v>-261.8125</v>
      </c>
      <c r="H7170" s="1">
        <v>-1.5462300000000001E-6</v>
      </c>
      <c r="I7170">
        <v>-67.011060000000001</v>
      </c>
      <c r="J7170">
        <v>-284.85239999999999</v>
      </c>
      <c r="K7170">
        <v>1.1166419999999999</v>
      </c>
      <c r="L7170">
        <v>-68.147669999999906</v>
      </c>
      <c r="M7170">
        <v>0.96774879999999996</v>
      </c>
      <c r="N7170">
        <v>0</v>
      </c>
      <c r="O7170">
        <v>-0.25159579999999998</v>
      </c>
      <c r="P7170">
        <v>0.98528499999999997</v>
      </c>
      <c r="Q7170">
        <v>2.6698960000000001E-2</v>
      </c>
      <c r="R7170">
        <v>-0.1688219</v>
      </c>
      <c r="S7170">
        <v>3.0776669999999999</v>
      </c>
      <c r="T7170">
        <v>-0.14848720000000001</v>
      </c>
      <c r="U7170">
        <v>0.1481934</v>
      </c>
      <c r="V7170">
        <v>-8.5145769999999996E-2</v>
      </c>
      <c r="W7170">
        <v>3.8003179999999998E-2</v>
      </c>
      <c r="X7170">
        <v>0.99564350000000001</v>
      </c>
      <c r="Y7170">
        <v>-0.29723889999999997</v>
      </c>
      <c r="Z7170">
        <v>1.9206870000000001E-2</v>
      </c>
      <c r="AA7170">
        <v>0.95460990000000001</v>
      </c>
      <c r="AB7170">
        <v>23</v>
      </c>
      <c r="AC7170">
        <v>23.0398999999999</v>
      </c>
      <c r="AD7170">
        <v>-1.11664354623</v>
      </c>
      <c r="AE7170">
        <v>1.1366099999999899</v>
      </c>
      <c r="AF7170">
        <v>-6.8811291221840101</v>
      </c>
      <c r="AG7170">
        <v>-1.11664354623</v>
      </c>
      <c r="AH7170">
        <v>21.9611905096044</v>
      </c>
      <c r="AI7170">
        <v>92.777824318855295</v>
      </c>
      <c r="AJ7170">
        <v>107.397408581834</v>
      </c>
      <c r="AK7170">
        <v>23.041065934644699</v>
      </c>
      <c r="AL7170">
        <v>87.822053741421797</v>
      </c>
      <c r="AM7170">
        <v>94.887946752901598</v>
      </c>
      <c r="AN7170">
        <v>1.00000001146562</v>
      </c>
    </row>
    <row r="7171" spans="1:40" x14ac:dyDescent="0.25">
      <c r="A7171" t="str">
        <f>"20190312160512940"</f>
        <v>20190312160512940</v>
      </c>
      <c r="B7171" t="str">
        <f>"1552377912931953"</f>
        <v>1552377912931953</v>
      </c>
      <c r="C7171" t="s">
        <v>40</v>
      </c>
      <c r="D7171">
        <v>5.883076</v>
      </c>
      <c r="E7171">
        <v>0.41600559999999998</v>
      </c>
      <c r="F7171" t="s">
        <v>41</v>
      </c>
      <c r="G7171">
        <v>-260.68689999999998</v>
      </c>
      <c r="H7171" s="1">
        <v>-1.030281E-6</v>
      </c>
      <c r="I7171">
        <v>-66.886830000000003</v>
      </c>
      <c r="J7171">
        <v>-284.75040000000001</v>
      </c>
      <c r="K7171">
        <v>1.1166180000000001</v>
      </c>
      <c r="L7171">
        <v>-68.168459999999996</v>
      </c>
      <c r="M7171">
        <v>0.96901079999999995</v>
      </c>
      <c r="N7171">
        <v>0</v>
      </c>
      <c r="O7171">
        <v>-0.2466904</v>
      </c>
      <c r="P7171">
        <v>0.98604669999999905</v>
      </c>
      <c r="Q7171">
        <v>2.6448659999999999E-2</v>
      </c>
      <c r="R7171">
        <v>-0.16435539999999901</v>
      </c>
      <c r="S7171">
        <v>3.0761409999999998</v>
      </c>
      <c r="T7171">
        <v>-0.14214289999999999</v>
      </c>
      <c r="U7171">
        <v>0.16049189999999999</v>
      </c>
      <c r="V7171">
        <v>-8.4608610000000001E-2</v>
      </c>
      <c r="W7171">
        <v>3.7767790000000002E-2</v>
      </c>
      <c r="X7171">
        <v>0.99569819999999998</v>
      </c>
      <c r="Y7171">
        <v>-0.29629149999999999</v>
      </c>
      <c r="Z7171">
        <v>1.8152419999999999E-2</v>
      </c>
      <c r="AA7171">
        <v>0.95492509999999997</v>
      </c>
      <c r="AB7171">
        <v>23</v>
      </c>
      <c r="AC7171">
        <v>24.063500000000001</v>
      </c>
      <c r="AD7171">
        <v>-1.116619030281</v>
      </c>
      <c r="AE7171">
        <v>1.2816299999999901</v>
      </c>
      <c r="AF7171">
        <v>-7.1633481726941897</v>
      </c>
      <c r="AG7171">
        <v>-1.116619030281</v>
      </c>
      <c r="AH7171">
        <v>22.9542018606036</v>
      </c>
      <c r="AI7171">
        <v>92.658724758296898</v>
      </c>
      <c r="AJ7171">
        <v>107.331645767171</v>
      </c>
      <c r="AK7171">
        <v>24.071887714912702</v>
      </c>
      <c r="AL7171">
        <v>87.835550181749497</v>
      </c>
      <c r="AM7171">
        <v>94.8569925468327</v>
      </c>
      <c r="AN7171">
        <v>0.99999996416542702</v>
      </c>
    </row>
    <row r="7172" spans="1:40" x14ac:dyDescent="0.25">
      <c r="A7172" t="str">
        <f>"20190312160512952"</f>
        <v>20190312160512952</v>
      </c>
      <c r="B7172" t="str">
        <f>"1552377912942688"</f>
        <v>1552377912942688</v>
      </c>
      <c r="C7172" t="s">
        <v>40</v>
      </c>
      <c r="D7172">
        <v>5.8712619999999998</v>
      </c>
      <c r="E7172">
        <v>0.4165952</v>
      </c>
      <c r="F7172" t="s">
        <v>121</v>
      </c>
      <c r="G7172">
        <v>-259.8014</v>
      </c>
      <c r="H7172" s="1">
        <v>-4.2146689999999998E-6</v>
      </c>
      <c r="I7172">
        <v>-66.788330000000002</v>
      </c>
      <c r="J7172">
        <v>-284.63929999999999</v>
      </c>
      <c r="K7172">
        <v>1.1165909999999999</v>
      </c>
      <c r="L7172">
        <v>-68.190579999999997</v>
      </c>
      <c r="M7172">
        <v>0.97035210000000005</v>
      </c>
      <c r="N7172">
        <v>0</v>
      </c>
      <c r="O7172">
        <v>-0.24136079999999999</v>
      </c>
      <c r="P7172">
        <v>0.98687150000000001</v>
      </c>
      <c r="Q7172">
        <v>2.6290629999999999E-2</v>
      </c>
      <c r="R7172">
        <v>-0.1593533</v>
      </c>
      <c r="S7172">
        <v>3.0744929999999999</v>
      </c>
      <c r="T7172">
        <v>-0.13760259999999999</v>
      </c>
      <c r="U7172">
        <v>0.17007449999999999</v>
      </c>
      <c r="V7172">
        <v>-8.4181290000000006E-2</v>
      </c>
      <c r="W7172">
        <v>3.762389E-2</v>
      </c>
      <c r="X7172">
        <v>0.99573990000000001</v>
      </c>
      <c r="Y7172">
        <v>-0.29407949999999999</v>
      </c>
      <c r="Z7172">
        <v>1.72993E-2</v>
      </c>
      <c r="AA7172">
        <v>0.95562440000000004</v>
      </c>
      <c r="AB7172">
        <v>23</v>
      </c>
      <c r="AC7172">
        <v>24.837899999999902</v>
      </c>
      <c r="AD7172">
        <v>-1.1165952146689999</v>
      </c>
      <c r="AE7172">
        <v>1.40225</v>
      </c>
      <c r="AF7172">
        <v>-7.3413770311753801</v>
      </c>
      <c r="AG7172">
        <v>-1.1165952146689999</v>
      </c>
      <c r="AH7172">
        <v>23.717202827981101</v>
      </c>
      <c r="AI7172">
        <v>92.575099323866496</v>
      </c>
      <c r="AJ7172">
        <v>107.199286498772</v>
      </c>
      <c r="AK7172">
        <v>24.8525312910152</v>
      </c>
      <c r="AL7172">
        <v>87.843800980909904</v>
      </c>
      <c r="AM7172">
        <v>94.832377108471604</v>
      </c>
      <c r="AN7172">
        <v>0.99999999756840297</v>
      </c>
    </row>
    <row r="7173" spans="1:40" x14ac:dyDescent="0.25">
      <c r="A7173" t="str">
        <f>"20190312160512963"</f>
        <v>20190312160512963</v>
      </c>
      <c r="B7173" t="str">
        <f>"1552377912952448"</f>
        <v>1552377912952448</v>
      </c>
      <c r="C7173" t="s">
        <v>40</v>
      </c>
      <c r="D7173">
        <v>5.889424</v>
      </c>
      <c r="E7173">
        <v>0.4171031</v>
      </c>
      <c r="F7173" t="s">
        <v>121</v>
      </c>
      <c r="G7173">
        <v>-259.00659999999999</v>
      </c>
      <c r="H7173" s="1">
        <v>-3.9297470000000001E-6</v>
      </c>
      <c r="I7173">
        <v>-66.680179999999993</v>
      </c>
      <c r="J7173">
        <v>-284.53289999999998</v>
      </c>
      <c r="K7173">
        <v>1.116565</v>
      </c>
      <c r="L7173">
        <v>-68.211209999999994</v>
      </c>
      <c r="M7173">
        <v>0.97160270000000004</v>
      </c>
      <c r="N7173">
        <v>0</v>
      </c>
      <c r="O7173">
        <v>-0.23627670000000001</v>
      </c>
      <c r="P7173">
        <v>0.98760099999999995</v>
      </c>
      <c r="Q7173">
        <v>2.6245910000000001E-2</v>
      </c>
      <c r="R7173">
        <v>-0.15477679999999999</v>
      </c>
      <c r="S7173">
        <v>3.0727229999999999</v>
      </c>
      <c r="T7173">
        <v>-0.13385239999999901</v>
      </c>
      <c r="U7173">
        <v>0.18106079999999999</v>
      </c>
      <c r="V7173">
        <v>-8.3580249999999995E-2</v>
      </c>
      <c r="W7173">
        <v>3.7594820000000001E-2</v>
      </c>
      <c r="X7173">
        <v>0.9957916</v>
      </c>
      <c r="Y7173">
        <v>-0.29254570000000002</v>
      </c>
      <c r="Z7173">
        <v>1.6587020000000001E-2</v>
      </c>
      <c r="AA7173">
        <v>0.9561077</v>
      </c>
      <c r="AB7173">
        <v>23</v>
      </c>
      <c r="AC7173">
        <v>25.5262999999999</v>
      </c>
      <c r="AD7173">
        <v>-1.1165689297470001</v>
      </c>
      <c r="AE7173">
        <v>1.5310299999999799</v>
      </c>
      <c r="AF7173">
        <v>-7.5051216004768602</v>
      </c>
      <c r="AG7173">
        <v>-1.1165689297470001</v>
      </c>
      <c r="AH7173">
        <v>24.395139977341199</v>
      </c>
      <c r="AI7173">
        <v>92.504902971838703</v>
      </c>
      <c r="AJ7173">
        <v>107.100421820107</v>
      </c>
      <c r="AK7173">
        <v>25.547924199959802</v>
      </c>
      <c r="AL7173">
        <v>87.845467688265501</v>
      </c>
      <c r="AM7173">
        <v>94.797788469716494</v>
      </c>
      <c r="AN7173">
        <v>0.99999996965572702</v>
      </c>
    </row>
    <row r="7174" spans="1:40" x14ac:dyDescent="0.25">
      <c r="A7174" t="str">
        <f>"20190312160512974"</f>
        <v>20190312160512974</v>
      </c>
      <c r="B7174" t="str">
        <f>"1552377912962208"</f>
        <v>1552377912962208</v>
      </c>
      <c r="C7174" t="s">
        <v>40</v>
      </c>
      <c r="D7174">
        <v>5.8792650000000002</v>
      </c>
      <c r="E7174">
        <v>0.41773850000000001</v>
      </c>
      <c r="F7174" t="s">
        <v>121</v>
      </c>
      <c r="G7174">
        <v>-258.14049999999997</v>
      </c>
      <c r="H7174" s="1">
        <v>-3.619989E-6</v>
      </c>
      <c r="I7174">
        <v>-66.567869999999999</v>
      </c>
      <c r="J7174">
        <v>-284.4264</v>
      </c>
      <c r="K7174">
        <v>1.1165419999999999</v>
      </c>
      <c r="L7174">
        <v>-68.231229999999996</v>
      </c>
      <c r="M7174">
        <v>0.97282089999999999</v>
      </c>
      <c r="N7174">
        <v>0</v>
      </c>
      <c r="O7174">
        <v>-0.23120879999999999</v>
      </c>
      <c r="P7174">
        <v>0.98835090000000003</v>
      </c>
      <c r="Q7174">
        <v>2.5935730000000001E-2</v>
      </c>
      <c r="R7174">
        <v>-0.1499655</v>
      </c>
      <c r="S7174">
        <v>3.071075</v>
      </c>
      <c r="T7174">
        <v>-0.1299264</v>
      </c>
      <c r="U7174">
        <v>0.19122310000000001</v>
      </c>
      <c r="V7174">
        <v>-8.3233119999999994E-2</v>
      </c>
      <c r="W7174">
        <v>3.7296530000000001E-2</v>
      </c>
      <c r="X7174">
        <v>0.99583189999999999</v>
      </c>
      <c r="Y7174">
        <v>-0.29077799999999998</v>
      </c>
      <c r="Z7174">
        <v>1.586131E-2</v>
      </c>
      <c r="AA7174">
        <v>0.95665909999999998</v>
      </c>
      <c r="AB7174">
        <v>23</v>
      </c>
      <c r="AC7174">
        <v>26.285900000000002</v>
      </c>
      <c r="AD7174">
        <v>-1.11654561998899</v>
      </c>
      <c r="AE7174">
        <v>1.6633600000000099</v>
      </c>
      <c r="AF7174">
        <v>-7.6824999430805399</v>
      </c>
      <c r="AG7174">
        <v>-1.11654561998899</v>
      </c>
      <c r="AH7174">
        <v>25.143743889836198</v>
      </c>
      <c r="AI7174">
        <v>92.431797160435096</v>
      </c>
      <c r="AJ7174">
        <v>106.990175767032</v>
      </c>
      <c r="AK7174">
        <v>26.314926112277501</v>
      </c>
      <c r="AL7174">
        <v>87.862570460031705</v>
      </c>
      <c r="AM7174">
        <v>94.777762015971405</v>
      </c>
      <c r="AN7174">
        <v>0.99999997823629205</v>
      </c>
    </row>
    <row r="7175" spans="1:40" x14ac:dyDescent="0.25">
      <c r="A7175" t="str">
        <f>"20190312160512986"</f>
        <v>20190312160512986</v>
      </c>
      <c r="B7175" t="str">
        <f>"1552377912982705"</f>
        <v>1552377912982705</v>
      </c>
      <c r="C7175" t="s">
        <v>40</v>
      </c>
      <c r="D7175">
        <v>5.9033360000000004</v>
      </c>
      <c r="E7175">
        <v>0.41899599999999998</v>
      </c>
      <c r="F7175" t="s">
        <v>121</v>
      </c>
      <c r="G7175">
        <v>-257.54680000000002</v>
      </c>
      <c r="H7175" s="1">
        <v>-3.4047880000000001E-6</v>
      </c>
      <c r="I7175">
        <v>-66.469430000000003</v>
      </c>
      <c r="J7175">
        <v>-284.3091</v>
      </c>
      <c r="K7175">
        <v>1.116514</v>
      </c>
      <c r="L7175">
        <v>-68.252840000000006</v>
      </c>
      <c r="M7175">
        <v>0.97412690000000002</v>
      </c>
      <c r="N7175">
        <v>0</v>
      </c>
      <c r="O7175">
        <v>-0.22564339999999999</v>
      </c>
      <c r="P7175">
        <v>0.98911610000000005</v>
      </c>
      <c r="Q7175">
        <v>2.5882780000000001E-2</v>
      </c>
      <c r="R7175">
        <v>-0.14484339999999901</v>
      </c>
      <c r="S7175">
        <v>3.0692439999999999</v>
      </c>
      <c r="T7175">
        <v>-0.12749279999999999</v>
      </c>
      <c r="U7175">
        <v>0.20117189999999999</v>
      </c>
      <c r="V7175">
        <v>-8.2696179999999994E-2</v>
      </c>
      <c r="W7175">
        <v>3.7258409999999999E-2</v>
      </c>
      <c r="X7175">
        <v>0.99587809999999999</v>
      </c>
      <c r="Y7175">
        <v>-0.28845500000000002</v>
      </c>
      <c r="Z7175">
        <v>1.529787E-2</v>
      </c>
      <c r="AA7175">
        <v>0.95737119999999998</v>
      </c>
      <c r="AB7175">
        <v>23</v>
      </c>
      <c r="AC7175">
        <v>26.7622999999999</v>
      </c>
      <c r="AD7175">
        <v>-1.116517404788</v>
      </c>
      <c r="AE7175">
        <v>1.7834099999999999</v>
      </c>
      <c r="AF7175">
        <v>-7.76318093227344</v>
      </c>
      <c r="AG7175">
        <v>-1.116517404788</v>
      </c>
      <c r="AH7175">
        <v>25.625134491600601</v>
      </c>
      <c r="AI7175">
        <v>92.387827300188604</v>
      </c>
      <c r="AJ7175">
        <v>106.85427971831</v>
      </c>
      <c r="AK7175">
        <v>26.798528075531099</v>
      </c>
      <c r="AL7175">
        <v>87.864756180711097</v>
      </c>
      <c r="AM7175">
        <v>94.746862585966099</v>
      </c>
      <c r="AN7175">
        <v>1.0000000186809599</v>
      </c>
    </row>
    <row r="7176" spans="1:40" x14ac:dyDescent="0.25">
      <c r="A7176" t="str">
        <f>"20190312160512998"</f>
        <v>20190312160512998</v>
      </c>
      <c r="B7176" t="str">
        <f>"1552377912992465"</f>
        <v>1552377912992465</v>
      </c>
      <c r="C7176" t="s">
        <v>40</v>
      </c>
      <c r="D7176">
        <v>5.891197</v>
      </c>
      <c r="E7176">
        <v>0.41970570000000001</v>
      </c>
      <c r="F7176" t="s">
        <v>121</v>
      </c>
      <c r="G7176">
        <v>-256.29689999999999</v>
      </c>
      <c r="H7176" s="1">
        <v>-2.9648450000000002E-6</v>
      </c>
      <c r="I7176">
        <v>-66.36027</v>
      </c>
      <c r="J7176">
        <v>-284.19799999999998</v>
      </c>
      <c r="K7176">
        <v>1.1164860000000001</v>
      </c>
      <c r="L7176">
        <v>-68.272369999999995</v>
      </c>
      <c r="M7176">
        <v>0.97532540000000001</v>
      </c>
      <c r="N7176">
        <v>0</v>
      </c>
      <c r="O7176">
        <v>-0.2204055</v>
      </c>
      <c r="P7176">
        <v>0.98978200000000005</v>
      </c>
      <c r="Q7176">
        <v>2.5851309999999999E-2</v>
      </c>
      <c r="R7176">
        <v>-0.1402264</v>
      </c>
      <c r="S7176">
        <v>3.0665589999999998</v>
      </c>
      <c r="T7176">
        <v>-0.1222275</v>
      </c>
      <c r="U7176">
        <v>0.2071838</v>
      </c>
      <c r="V7176">
        <v>-8.1988660000000005E-2</v>
      </c>
      <c r="W7176">
        <v>3.7243640000000001E-2</v>
      </c>
      <c r="X7176">
        <v>0.99593710000000002</v>
      </c>
      <c r="Y7176">
        <v>-0.28527360000000002</v>
      </c>
      <c r="Z7176">
        <v>1.441046E-2</v>
      </c>
      <c r="AA7176">
        <v>0.95833780000000002</v>
      </c>
      <c r="AB7176">
        <v>23</v>
      </c>
      <c r="AC7176">
        <v>27.9010999999999</v>
      </c>
      <c r="AD7176">
        <v>-1.116488964845</v>
      </c>
      <c r="AE7176">
        <v>1.9120999999999899</v>
      </c>
      <c r="AF7176">
        <v>-8.0023698584474499</v>
      </c>
      <c r="AG7176">
        <v>-1.116488964845</v>
      </c>
      <c r="AH7176">
        <v>26.7507464684452</v>
      </c>
      <c r="AI7176">
        <v>92.289805583433093</v>
      </c>
      <c r="AJ7176">
        <v>106.654325650309</v>
      </c>
      <c r="AK7176">
        <v>27.944353769214999</v>
      </c>
      <c r="AL7176">
        <v>87.865602919159798</v>
      </c>
      <c r="AM7176">
        <v>94.706155728495602</v>
      </c>
      <c r="AN7176">
        <v>0.99999996812272696</v>
      </c>
    </row>
    <row r="7177" spans="1:40" x14ac:dyDescent="0.25">
      <c r="A7177" t="str">
        <f>"20190312160513008"</f>
        <v>20190312160513008</v>
      </c>
      <c r="B7177" t="str">
        <f>"1552377913002224"</f>
        <v>1552377913002224</v>
      </c>
      <c r="C7177" t="s">
        <v>40</v>
      </c>
      <c r="D7177">
        <v>5.8987230000000004</v>
      </c>
      <c r="E7177">
        <v>0.41970570000000001</v>
      </c>
      <c r="F7177" t="s">
        <v>121</v>
      </c>
      <c r="G7177">
        <v>-255.84379999999999</v>
      </c>
      <c r="H7177" s="1">
        <v>-2.799231E-6</v>
      </c>
      <c r="I7177">
        <v>-66.274799999999999</v>
      </c>
      <c r="J7177">
        <v>-284.09370000000001</v>
      </c>
      <c r="K7177">
        <v>1.116458</v>
      </c>
      <c r="L7177">
        <v>-68.290530000000004</v>
      </c>
      <c r="M7177">
        <v>0.97642269999999998</v>
      </c>
      <c r="N7177">
        <v>0</v>
      </c>
      <c r="O7177">
        <v>-0.21549219999999999</v>
      </c>
      <c r="P7177">
        <v>0.99039699999999997</v>
      </c>
      <c r="Q7177">
        <v>2.599392E-2</v>
      </c>
      <c r="R7177">
        <v>-0.13578689999999999</v>
      </c>
      <c r="S7177">
        <v>3.0647280000000001</v>
      </c>
      <c r="T7177">
        <v>-0.1206782</v>
      </c>
      <c r="U7177">
        <v>0.21591189999999999</v>
      </c>
      <c r="V7177">
        <v>-8.1439170000000005E-2</v>
      </c>
      <c r="W7177">
        <v>3.7399460000000002E-2</v>
      </c>
      <c r="X7177">
        <v>0.99597639999999998</v>
      </c>
      <c r="Y7177">
        <v>-0.28321780000000002</v>
      </c>
      <c r="Z7177">
        <v>1.400498E-2</v>
      </c>
      <c r="AA7177">
        <v>0.95895339999999996</v>
      </c>
      <c r="AB7177">
        <v>23</v>
      </c>
      <c r="AC7177">
        <v>28.2499</v>
      </c>
      <c r="AD7177">
        <v>-1.1164607992310001</v>
      </c>
      <c r="AE7177">
        <v>2.01573</v>
      </c>
      <c r="AF7177">
        <v>-8.0439892564047906</v>
      </c>
      <c r="AG7177">
        <v>-1.1164607992310001</v>
      </c>
      <c r="AH7177">
        <v>27.1095386147075</v>
      </c>
      <c r="AI7177">
        <v>92.260972542582493</v>
      </c>
      <c r="AJ7177">
        <v>106.52676719682999</v>
      </c>
      <c r="AK7177">
        <v>28.299811514843899</v>
      </c>
      <c r="AL7177">
        <v>87.856668985371002</v>
      </c>
      <c r="AM7177">
        <v>94.674571573349695</v>
      </c>
      <c r="AN7177">
        <v>1.00000002368777</v>
      </c>
    </row>
    <row r="7178" spans="1:40" x14ac:dyDescent="0.25">
      <c r="A7178" t="str">
        <f>"20190312160513018"</f>
        <v>20190312160513018</v>
      </c>
      <c r="B7178" t="str">
        <f>"1552377913011984"</f>
        <v>1552377913011984</v>
      </c>
      <c r="C7178" t="s">
        <v>40</v>
      </c>
      <c r="D7178">
        <v>5.8839240000000004</v>
      </c>
      <c r="E7178">
        <v>0.43767200000000001</v>
      </c>
      <c r="F7178" t="s">
        <v>121</v>
      </c>
      <c r="G7178">
        <v>-255.6206</v>
      </c>
      <c r="H7178" s="1">
        <v>-2.7073470000000001E-6</v>
      </c>
      <c r="I7178">
        <v>-66.155720000000002</v>
      </c>
      <c r="J7178">
        <v>-283.9837</v>
      </c>
      <c r="K7178">
        <v>1.11643</v>
      </c>
      <c r="L7178">
        <v>-68.308719999999994</v>
      </c>
      <c r="M7178">
        <v>0.97754289999999999</v>
      </c>
      <c r="N7178">
        <v>0</v>
      </c>
      <c r="O7178">
        <v>-0.21035209999999999</v>
      </c>
      <c r="P7178">
        <v>0.99101289999999997</v>
      </c>
      <c r="Q7178">
        <v>2.5924969999999999E-2</v>
      </c>
      <c r="R7178">
        <v>-0.1312297</v>
      </c>
      <c r="S7178">
        <v>3.0637210000000001</v>
      </c>
      <c r="T7178">
        <v>-0.12013169999999999</v>
      </c>
      <c r="U7178">
        <v>0.22970579999999999</v>
      </c>
      <c r="V7178">
        <v>-8.0776810000000004E-2</v>
      </c>
      <c r="W7178">
        <v>3.7346089999999998E-2</v>
      </c>
      <c r="X7178">
        <v>0.99603229999999998</v>
      </c>
      <c r="Y7178">
        <v>-0.282497099999999</v>
      </c>
      <c r="Z7178">
        <v>1.3732370000000001E-2</v>
      </c>
      <c r="AA7178">
        <v>0.95916990000000002</v>
      </c>
      <c r="AB7178">
        <v>23</v>
      </c>
      <c r="AC7178">
        <v>28.363099999999999</v>
      </c>
      <c r="AD7178">
        <v>-1.116432707347</v>
      </c>
      <c r="AE7178">
        <v>2.1529999999999898</v>
      </c>
      <c r="AF7178">
        <v>-8.0591257142665391</v>
      </c>
      <c r="AG7178">
        <v>-1.116432707347</v>
      </c>
      <c r="AH7178">
        <v>27.2335133225886</v>
      </c>
      <c r="AI7178">
        <v>92.251120915995003</v>
      </c>
      <c r="AJ7178">
        <v>106.484896017872</v>
      </c>
      <c r="AK7178">
        <v>28.4228812255196</v>
      </c>
      <c r="AL7178">
        <v>87.859728911795898</v>
      </c>
      <c r="AM7178">
        <v>94.636459767780906</v>
      </c>
      <c r="AN7178">
        <v>0.99999998305767601</v>
      </c>
    </row>
    <row r="7179" spans="1:40" x14ac:dyDescent="0.25">
      <c r="A7179" t="str">
        <f>"20190312160513030"</f>
        <v>20190312160513030</v>
      </c>
      <c r="B7179" t="str">
        <f>"1552377913022720"</f>
        <v>1552377913022720</v>
      </c>
      <c r="C7179" t="s">
        <v>40</v>
      </c>
      <c r="D7179">
        <v>5.8920810000000001</v>
      </c>
      <c r="E7179">
        <v>0.43986370000000002</v>
      </c>
      <c r="F7179" t="s">
        <v>121</v>
      </c>
      <c r="G7179">
        <v>-254.49590000000001</v>
      </c>
      <c r="H7179" s="1">
        <v>-2.480713E-6</v>
      </c>
      <c r="I7179">
        <v>-67.323569999999904</v>
      </c>
      <c r="J7179">
        <v>-283.87599999999998</v>
      </c>
      <c r="K7179">
        <v>1.116401</v>
      </c>
      <c r="L7179">
        <v>-68.326319999999996</v>
      </c>
      <c r="M7179">
        <v>0.97861120000000001</v>
      </c>
      <c r="N7179">
        <v>0</v>
      </c>
      <c r="O7179">
        <v>-0.2053246</v>
      </c>
      <c r="P7179">
        <v>0.99153570000000002</v>
      </c>
      <c r="Q7179">
        <v>2.5851720000000002E-2</v>
      </c>
      <c r="R7179">
        <v>-0.12723400000000001</v>
      </c>
      <c r="S7179">
        <v>3.0436709999999998</v>
      </c>
      <c r="T7179">
        <v>-0.11523559999999999</v>
      </c>
      <c r="U7179">
        <v>0.1016846</v>
      </c>
      <c r="V7179">
        <v>-7.96679E-2</v>
      </c>
      <c r="W7179">
        <v>3.729557E-2</v>
      </c>
      <c r="X7179">
        <v>0.99612350000000005</v>
      </c>
      <c r="Y7179">
        <v>-0.2375891</v>
      </c>
      <c r="Z7179">
        <v>1.222902E-2</v>
      </c>
      <c r="AA7179">
        <v>0.9712887</v>
      </c>
      <c r="AB7179">
        <v>23</v>
      </c>
      <c r="AC7179">
        <v>29.380099999999899</v>
      </c>
      <c r="AD7179">
        <v>-1.1164034807130001</v>
      </c>
      <c r="AE7179">
        <v>1.00275</v>
      </c>
      <c r="AF7179">
        <v>-7.0042259870891002</v>
      </c>
      <c r="AG7179">
        <v>-1.1164034807130001</v>
      </c>
      <c r="AH7179">
        <v>28.507003887213202</v>
      </c>
      <c r="AI7179">
        <v>92.177982491472406</v>
      </c>
      <c r="AJ7179">
        <v>103.80423500306701</v>
      </c>
      <c r="AK7179">
        <v>29.3760924739072</v>
      </c>
      <c r="AL7179">
        <v>87.862625507207099</v>
      </c>
      <c r="AM7179">
        <v>94.572665035374499</v>
      </c>
      <c r="AN7179">
        <v>0.99999998054214201</v>
      </c>
    </row>
    <row r="7180" spans="1:40" x14ac:dyDescent="0.25">
      <c r="A7180" t="str">
        <f>"20190312160513041"</f>
        <v>20190312160513041</v>
      </c>
      <c r="B7180" t="str">
        <f>"1552377913032481"</f>
        <v>1552377913032481</v>
      </c>
      <c r="C7180" t="s">
        <v>40</v>
      </c>
      <c r="D7180">
        <v>5.8889469999999999</v>
      </c>
      <c r="E7180">
        <v>0.44067640000000002</v>
      </c>
      <c r="F7180" t="s">
        <v>121</v>
      </c>
      <c r="G7180">
        <v>-258.69159999999999</v>
      </c>
      <c r="H7180" s="1">
        <v>-3.9352390000000001E-6</v>
      </c>
      <c r="I7180">
        <v>-67.52328</v>
      </c>
      <c r="J7180">
        <v>-283.76769999999999</v>
      </c>
      <c r="K7180">
        <v>1.1163780000000001</v>
      </c>
      <c r="L7180">
        <v>-68.343260000000001</v>
      </c>
      <c r="M7180">
        <v>0.97965239999999998</v>
      </c>
      <c r="N7180">
        <v>0</v>
      </c>
      <c r="O7180">
        <v>-0.2002989</v>
      </c>
      <c r="P7180">
        <v>0.99205080000000001</v>
      </c>
      <c r="Q7180">
        <v>2.621567E-2</v>
      </c>
      <c r="R7180">
        <v>-0.1230776</v>
      </c>
      <c r="S7180">
        <v>3.0415649999999999</v>
      </c>
      <c r="T7180">
        <v>-0.13483020000000001</v>
      </c>
      <c r="U7180">
        <v>9.6984860000000006E-2</v>
      </c>
      <c r="V7180">
        <v>-7.8730049999999996E-2</v>
      </c>
      <c r="W7180">
        <v>3.7678209999999997E-2</v>
      </c>
      <c r="X7180">
        <v>0.99618370000000001</v>
      </c>
      <c r="Y7180">
        <v>-0.23101579999999999</v>
      </c>
      <c r="Z7180">
        <v>1.3951420000000001E-2</v>
      </c>
      <c r="AA7180">
        <v>0.97284999999999999</v>
      </c>
      <c r="AB7180">
        <v>23</v>
      </c>
      <c r="AC7180">
        <v>25.0761</v>
      </c>
      <c r="AD7180">
        <v>-1.1163819352390001</v>
      </c>
      <c r="AE7180">
        <v>0.81998000000000104</v>
      </c>
      <c r="AF7180">
        <v>-5.8149681952583601</v>
      </c>
      <c r="AG7180">
        <v>-1.1163819352390001</v>
      </c>
      <c r="AH7180">
        <v>24.355370439049199</v>
      </c>
      <c r="AI7180">
        <v>92.552788730460307</v>
      </c>
      <c r="AJ7180">
        <v>103.428269864705</v>
      </c>
      <c r="AK7180">
        <v>25.064800676656201</v>
      </c>
      <c r="AL7180">
        <v>87.840686506085305</v>
      </c>
      <c r="AM7180">
        <v>94.518787978972696</v>
      </c>
      <c r="AN7180">
        <v>1.0000000162137399</v>
      </c>
    </row>
    <row r="7181" spans="1:40" x14ac:dyDescent="0.25">
      <c r="A7181" t="str">
        <f>"20190312160513052"</f>
        <v>20190312160513052</v>
      </c>
      <c r="B7181" t="str">
        <f>"1552377913042240"</f>
        <v>1552377913042240</v>
      </c>
      <c r="C7181" t="s">
        <v>40</v>
      </c>
      <c r="D7181">
        <v>5.9246549999999996</v>
      </c>
      <c r="E7181">
        <v>0.4415152</v>
      </c>
      <c r="F7181" t="s">
        <v>121</v>
      </c>
      <c r="G7181">
        <v>-259.41419999999999</v>
      </c>
      <c r="H7181" s="1">
        <v>-4.1799539999999998E-6</v>
      </c>
      <c r="I7181">
        <v>-67.514390000000006</v>
      </c>
      <c r="J7181">
        <v>-283.6583</v>
      </c>
      <c r="K7181">
        <v>1.116347</v>
      </c>
      <c r="L7181">
        <v>-68.359919999999903</v>
      </c>
      <c r="M7181">
        <v>0.9806724</v>
      </c>
      <c r="N7181">
        <v>0</v>
      </c>
      <c r="O7181">
        <v>-0.19524340000000001</v>
      </c>
      <c r="P7181">
        <v>0.99254509999999996</v>
      </c>
      <c r="Q7181">
        <v>2.660189E-2</v>
      </c>
      <c r="R7181">
        <v>-0.1189389</v>
      </c>
      <c r="S7181">
        <v>3.040527</v>
      </c>
      <c r="T7181">
        <v>-0.13938</v>
      </c>
      <c r="U7181">
        <v>0.1034851</v>
      </c>
      <c r="V7181">
        <v>-7.7747460000000004E-2</v>
      </c>
      <c r="W7181">
        <v>3.8084180000000002E-2</v>
      </c>
      <c r="X7181">
        <v>0.99624539999999995</v>
      </c>
      <c r="Y7181">
        <v>-0.22806419999999999</v>
      </c>
      <c r="Z7181">
        <v>1.413057E-2</v>
      </c>
      <c r="AA7181">
        <v>0.97354350000000001</v>
      </c>
      <c r="AB7181">
        <v>23</v>
      </c>
      <c r="AC7181">
        <v>24.2441</v>
      </c>
      <c r="AD7181">
        <v>-1.116351179954</v>
      </c>
      <c r="AE7181">
        <v>0.84552999999998202</v>
      </c>
      <c r="AF7181">
        <v>-5.5513820456186602</v>
      </c>
      <c r="AG7181">
        <v>-1.116351179954</v>
      </c>
      <c r="AH7181">
        <v>23.562446358554201</v>
      </c>
      <c r="AI7181">
        <v>92.640368766219297</v>
      </c>
      <c r="AJ7181">
        <v>103.257285701048</v>
      </c>
      <c r="AK7181">
        <v>24.233302725240399</v>
      </c>
      <c r="AL7181">
        <v>87.817409362674098</v>
      </c>
      <c r="AM7181">
        <v>94.462345241649501</v>
      </c>
      <c r="AN7181">
        <v>0.99999998466194095</v>
      </c>
    </row>
    <row r="7182" spans="1:40" x14ac:dyDescent="0.25">
      <c r="A7182" t="str">
        <f>"20190312160513063"</f>
        <v>20190312160513063</v>
      </c>
      <c r="B7182" t="str">
        <f>"1552377913052000"</f>
        <v>1552377913052000</v>
      </c>
      <c r="C7182" t="s">
        <v>40</v>
      </c>
      <c r="D7182">
        <v>5.90848</v>
      </c>
      <c r="E7182">
        <v>0.44233899999999998</v>
      </c>
      <c r="F7182" t="s">
        <v>41</v>
      </c>
      <c r="G7182">
        <v>-260.09629999999999</v>
      </c>
      <c r="H7182" s="1">
        <v>-9.4264009999999997E-7</v>
      </c>
      <c r="I7182">
        <v>-67.509640000000005</v>
      </c>
      <c r="J7182">
        <v>-283.54570000000001</v>
      </c>
      <c r="K7182">
        <v>1.1163190000000001</v>
      </c>
      <c r="L7182">
        <v>-68.376530000000002</v>
      </c>
      <c r="M7182">
        <v>0.98169010000000001</v>
      </c>
      <c r="N7182">
        <v>0</v>
      </c>
      <c r="O7182">
        <v>-0.19006049999999999</v>
      </c>
      <c r="P7182">
        <v>0.99304840000000005</v>
      </c>
      <c r="Q7182">
        <v>2.6577779999999999E-2</v>
      </c>
      <c r="R7182">
        <v>-0.1146688</v>
      </c>
      <c r="S7182">
        <v>3.03952</v>
      </c>
      <c r="T7182">
        <v>-0.1440099</v>
      </c>
      <c r="U7182">
        <v>0.10968020000000001</v>
      </c>
      <c r="V7182">
        <v>-7.676645E-2</v>
      </c>
      <c r="W7182">
        <v>3.8079420000000003E-2</v>
      </c>
      <c r="X7182">
        <v>0.99632169999999998</v>
      </c>
      <c r="Y7182">
        <v>-0.22489229999999999</v>
      </c>
      <c r="Z7182">
        <v>1.428686E-2</v>
      </c>
      <c r="AA7182">
        <v>0.97427889999999995</v>
      </c>
      <c r="AB7182">
        <v>23</v>
      </c>
      <c r="AC7182">
        <v>23.449400000000001</v>
      </c>
      <c r="AD7182">
        <v>-1.1163199426401</v>
      </c>
      <c r="AE7182">
        <v>0.86688999999999705</v>
      </c>
      <c r="AF7182">
        <v>-5.2962643755031404</v>
      </c>
      <c r="AG7182">
        <v>-1.1163199426401</v>
      </c>
      <c r="AH7182">
        <v>22.805515503131701</v>
      </c>
      <c r="AI7182">
        <v>92.729832519430801</v>
      </c>
      <c r="AJ7182">
        <v>103.074387976813</v>
      </c>
      <c r="AK7182">
        <v>23.4390299268793</v>
      </c>
      <c r="AL7182">
        <v>87.817682387512903</v>
      </c>
      <c r="AM7182">
        <v>94.405926832881306</v>
      </c>
      <c r="AN7182">
        <v>1.00000002998201</v>
      </c>
    </row>
    <row r="7183" spans="1:40" x14ac:dyDescent="0.25">
      <c r="A7183" t="str">
        <f>"20190312160513075"</f>
        <v>20190312160513075</v>
      </c>
      <c r="B7183" t="str">
        <f>"1552377913062736"</f>
        <v>1552377913062736</v>
      </c>
      <c r="C7183" t="s">
        <v>40</v>
      </c>
      <c r="D7183">
        <v>5.9659219999999999</v>
      </c>
      <c r="E7183">
        <v>0.44258950000000002</v>
      </c>
      <c r="F7183" t="s">
        <v>41</v>
      </c>
      <c r="G7183">
        <v>-260.3931</v>
      </c>
      <c r="H7183" s="1">
        <v>-1.064725E-6</v>
      </c>
      <c r="I7183">
        <v>-67.490009999999998</v>
      </c>
      <c r="J7183">
        <v>-283.43700000000001</v>
      </c>
      <c r="K7183">
        <v>1.1162909999999999</v>
      </c>
      <c r="L7183">
        <v>-68.391850000000005</v>
      </c>
      <c r="M7183">
        <v>0.98263979999999995</v>
      </c>
      <c r="N7183">
        <v>0</v>
      </c>
      <c r="O7183">
        <v>-0.1850878</v>
      </c>
      <c r="P7183">
        <v>0.99351129999999999</v>
      </c>
      <c r="Q7183">
        <v>2.680923E-2</v>
      </c>
      <c r="R7183">
        <v>-0.1105288</v>
      </c>
      <c r="S7183">
        <v>3.0383909999999998</v>
      </c>
      <c r="T7183">
        <v>-0.14649779999999901</v>
      </c>
      <c r="U7183">
        <v>0.11633300000000001</v>
      </c>
      <c r="V7183">
        <v>-7.5873479999999993E-2</v>
      </c>
      <c r="W7183">
        <v>3.8330049999999997E-2</v>
      </c>
      <c r="X7183">
        <v>0.99638040000000005</v>
      </c>
      <c r="Y7183">
        <v>-0.2220944</v>
      </c>
      <c r="Z7183">
        <v>1.423457E-2</v>
      </c>
      <c r="AA7183">
        <v>0.97492120000000004</v>
      </c>
      <c r="AB7183">
        <v>23</v>
      </c>
      <c r="AC7183">
        <v>23.043900000000001</v>
      </c>
      <c r="AD7183">
        <v>-1.1162920647250001</v>
      </c>
      <c r="AE7183">
        <v>0.90184000000000697</v>
      </c>
      <c r="AF7183">
        <v>-5.13970221862595</v>
      </c>
      <c r="AG7183">
        <v>-1.1162920647250001</v>
      </c>
      <c r="AH7183">
        <v>22.426203858378599</v>
      </c>
      <c r="AI7183">
        <v>92.777717676650894</v>
      </c>
      <c r="AJ7183">
        <v>102.908291832179</v>
      </c>
      <c r="AK7183">
        <v>23.034697010541901</v>
      </c>
      <c r="AL7183">
        <v>87.803311656596406</v>
      </c>
      <c r="AM7183">
        <v>94.354618530419202</v>
      </c>
      <c r="AN7183">
        <v>0.99999993960223399</v>
      </c>
    </row>
    <row r="7184" spans="1:40" x14ac:dyDescent="0.25">
      <c r="A7184" t="str">
        <f>"20190312160513087"</f>
        <v>20190312160513087</v>
      </c>
      <c r="B7184" t="str">
        <f>"1552377913082256"</f>
        <v>1552377913082256</v>
      </c>
      <c r="C7184" t="s">
        <v>40</v>
      </c>
      <c r="D7184">
        <v>6.008623</v>
      </c>
      <c r="E7184">
        <v>0.4425926</v>
      </c>
      <c r="F7184" t="s">
        <v>121</v>
      </c>
      <c r="G7184">
        <v>-259.22910000000002</v>
      </c>
      <c r="H7184" s="1">
        <v>-4.0989830000000002E-6</v>
      </c>
      <c r="I7184">
        <v>-67.379840000000002</v>
      </c>
      <c r="J7184">
        <v>-283.3177</v>
      </c>
      <c r="K7184">
        <v>1.1162559999999999</v>
      </c>
      <c r="L7184">
        <v>-68.408360000000002</v>
      </c>
      <c r="M7184">
        <v>0.98364839999999998</v>
      </c>
      <c r="N7184">
        <v>0</v>
      </c>
      <c r="O7184">
        <v>-0.17965020000000001</v>
      </c>
      <c r="P7184">
        <v>0.99402049999999997</v>
      </c>
      <c r="Q7184">
        <v>2.691692E-2</v>
      </c>
      <c r="R7184">
        <v>-0.105824</v>
      </c>
      <c r="S7184">
        <v>3.037506</v>
      </c>
      <c r="T7184">
        <v>-0.14006840000000001</v>
      </c>
      <c r="U7184">
        <v>0.1269836</v>
      </c>
      <c r="V7184">
        <v>-7.5076799999999999E-2</v>
      </c>
      <c r="W7184">
        <v>3.8456799999999999E-2</v>
      </c>
      <c r="X7184">
        <v>0.99643590000000004</v>
      </c>
      <c r="Y7184">
        <v>-0.2201736</v>
      </c>
      <c r="Z7184">
        <v>1.3322199999999999E-2</v>
      </c>
      <c r="AA7184">
        <v>0.97536979999999995</v>
      </c>
      <c r="AB7184">
        <v>23</v>
      </c>
      <c r="AC7184">
        <v>24.0885999999999</v>
      </c>
      <c r="AD7184">
        <v>-1.1162600989829901</v>
      </c>
      <c r="AE7184">
        <v>1.0285200000000001</v>
      </c>
      <c r="AF7184">
        <v>-5.32823451296154</v>
      </c>
      <c r="AG7184">
        <v>-1.1162600989829901</v>
      </c>
      <c r="AH7184">
        <v>23.461550178585199</v>
      </c>
      <c r="AI7184">
        <v>92.6564369931952</v>
      </c>
      <c r="AJ7184">
        <v>102.795125724831</v>
      </c>
      <c r="AK7184">
        <v>24.084859485078301</v>
      </c>
      <c r="AL7184">
        <v>87.796044140357793</v>
      </c>
      <c r="AM7184">
        <v>94.308828573451706</v>
      </c>
      <c r="AN7184">
        <v>0.99999997708664401</v>
      </c>
    </row>
    <row r="7185" spans="1:40" x14ac:dyDescent="0.25">
      <c r="A7185" t="str">
        <f>"20190312160513098"</f>
        <v>20190312160513098</v>
      </c>
      <c r="B7185" t="str">
        <f>"1552377913092016"</f>
        <v>1552377913092016</v>
      </c>
      <c r="C7185" t="s">
        <v>40</v>
      </c>
      <c r="D7185">
        <v>5.9387080000000001</v>
      </c>
      <c r="E7185">
        <v>0.42164839999999998</v>
      </c>
      <c r="F7185" t="s">
        <v>121</v>
      </c>
      <c r="G7185">
        <v>-257.63670000000002</v>
      </c>
      <c r="H7185" s="1">
        <v>-3.5348910000000002E-6</v>
      </c>
      <c r="I7185">
        <v>-67.213909999999998</v>
      </c>
      <c r="J7185">
        <v>-283.20639999999997</v>
      </c>
      <c r="K7185">
        <v>1.1162209999999999</v>
      </c>
      <c r="L7185">
        <v>-68.422820000000002</v>
      </c>
      <c r="M7185">
        <v>0.98455110000000001</v>
      </c>
      <c r="N7185">
        <v>0</v>
      </c>
      <c r="O7185">
        <v>-0.1746365</v>
      </c>
      <c r="P7185">
        <v>0.99445340000000004</v>
      </c>
      <c r="Q7185">
        <v>2.7043689999999999E-2</v>
      </c>
      <c r="R7185">
        <v>-0.1016441</v>
      </c>
      <c r="S7185">
        <v>3.0366209999999998</v>
      </c>
      <c r="T7185">
        <v>-0.13199089999999999</v>
      </c>
      <c r="U7185">
        <v>0.14123540000000001</v>
      </c>
      <c r="V7185">
        <v>-7.4186899999999903E-2</v>
      </c>
      <c r="W7185">
        <v>3.8604510000000002E-2</v>
      </c>
      <c r="X7185">
        <v>0.99649690000000002</v>
      </c>
      <c r="Y7185">
        <v>-0.21983720000000001</v>
      </c>
      <c r="Z7185">
        <v>1.233502E-2</v>
      </c>
      <c r="AA7185">
        <v>0.97545859999999995</v>
      </c>
      <c r="AB7185">
        <v>23</v>
      </c>
      <c r="AC7185">
        <v>25.569699999999902</v>
      </c>
      <c r="AD7185">
        <v>-1.11622453489099</v>
      </c>
      <c r="AE7185">
        <v>1.2089099999999999</v>
      </c>
      <c r="AF7185">
        <v>-5.6453582540343898</v>
      </c>
      <c r="AG7185">
        <v>-1.11622453489099</v>
      </c>
      <c r="AH7185">
        <v>24.918188669967599</v>
      </c>
      <c r="AI7185">
        <v>92.501569853320802</v>
      </c>
      <c r="AJ7185">
        <v>102.76519645409</v>
      </c>
      <c r="AK7185">
        <v>25.574052350395899</v>
      </c>
      <c r="AL7185">
        <v>87.787574826179096</v>
      </c>
      <c r="AM7185">
        <v>94.257684451817894</v>
      </c>
      <c r="AN7185">
        <v>1.00000003801677</v>
      </c>
    </row>
    <row r="7186" spans="1:40" x14ac:dyDescent="0.25">
      <c r="A7186" t="str">
        <f>"20190312160513110"</f>
        <v>20190312160513110</v>
      </c>
      <c r="B7186" t="str">
        <f>"1552377913102752"</f>
        <v>1552377913102752</v>
      </c>
      <c r="C7186" t="s">
        <v>40</v>
      </c>
      <c r="D7186">
        <v>5.8928580000000004</v>
      </c>
      <c r="E7186">
        <v>0.42040719999999998</v>
      </c>
      <c r="F7186" t="s">
        <v>121</v>
      </c>
      <c r="G7186">
        <v>-255.4956</v>
      </c>
      <c r="H7186" s="1">
        <v>-2.579383E-6</v>
      </c>
      <c r="I7186">
        <v>-65.516660000000002</v>
      </c>
      <c r="J7186">
        <v>-283.09379999999999</v>
      </c>
      <c r="K7186">
        <v>1.1161810000000001</v>
      </c>
      <c r="L7186">
        <v>-68.43723</v>
      </c>
      <c r="M7186">
        <v>0.98543550000000002</v>
      </c>
      <c r="N7186">
        <v>0</v>
      </c>
      <c r="O7186">
        <v>-0.1695738</v>
      </c>
      <c r="P7186">
        <v>0.99488779999999999</v>
      </c>
      <c r="Q7186">
        <v>2.7510090000000001E-2</v>
      </c>
      <c r="R7186">
        <v>-9.7167980000000001E-2</v>
      </c>
      <c r="S7186">
        <v>3.0527950000000001</v>
      </c>
      <c r="T7186">
        <v>-0.12296989999999899</v>
      </c>
      <c r="U7186">
        <v>0.3201599</v>
      </c>
      <c r="V7186">
        <v>-7.3549710000000004E-2</v>
      </c>
      <c r="W7186">
        <v>3.908909E-2</v>
      </c>
      <c r="X7186">
        <v>0.9965252</v>
      </c>
      <c r="Y7186">
        <v>-0.2710998</v>
      </c>
      <c r="Z7186">
        <v>1.224303E-2</v>
      </c>
      <c r="AA7186">
        <v>0.96247329999999998</v>
      </c>
      <c r="AB7186">
        <v>23</v>
      </c>
      <c r="AC7186">
        <v>27.598199999999899</v>
      </c>
      <c r="AD7186">
        <v>-1.1161835793829999</v>
      </c>
      <c r="AE7186">
        <v>2.9205699999999899</v>
      </c>
      <c r="AF7186">
        <v>-7.5463687061868399</v>
      </c>
      <c r="AG7186">
        <v>-1.1161835793829999</v>
      </c>
      <c r="AH7186">
        <v>26.6600261271726</v>
      </c>
      <c r="AI7186">
        <v>92.306887434280398</v>
      </c>
      <c r="AJ7186">
        <v>105.804659462939</v>
      </c>
      <c r="AK7186">
        <v>27.7299574383756</v>
      </c>
      <c r="AL7186">
        <v>87.759789369871896</v>
      </c>
      <c r="AM7186">
        <v>94.221128585507799</v>
      </c>
      <c r="AN7186">
        <v>0.99999999551657603</v>
      </c>
    </row>
    <row r="7187" spans="1:40" x14ac:dyDescent="0.25">
      <c r="A7187" t="str">
        <f>"20190312160513120"</f>
        <v>20190312160513120</v>
      </c>
      <c r="B7187" t="str">
        <f>"1552377913112513"</f>
        <v>1552377913112513</v>
      </c>
      <c r="C7187" t="s">
        <v>40</v>
      </c>
      <c r="D7187">
        <v>5.789091</v>
      </c>
      <c r="E7187">
        <v>0.420124</v>
      </c>
      <c r="F7187" t="s">
        <v>121</v>
      </c>
      <c r="G7187">
        <v>-254.81319999999999</v>
      </c>
      <c r="H7187" s="1">
        <v>-2.2836020000000001E-6</v>
      </c>
      <c r="I7187">
        <v>-65.252300000000005</v>
      </c>
      <c r="J7187">
        <v>-282.98930000000001</v>
      </c>
      <c r="K7187">
        <v>1.116141</v>
      </c>
      <c r="L7187">
        <v>-68.449889999999996</v>
      </c>
      <c r="M7187">
        <v>0.98622410000000005</v>
      </c>
      <c r="N7187">
        <v>0</v>
      </c>
      <c r="O7187">
        <v>-0.1649262</v>
      </c>
      <c r="P7187">
        <v>0.99526990000000004</v>
      </c>
      <c r="Q7187">
        <v>2.7888030000000001E-2</v>
      </c>
      <c r="R7187">
        <v>-9.3061210000000005E-2</v>
      </c>
      <c r="S7187">
        <v>3.0523380000000002</v>
      </c>
      <c r="T7187">
        <v>-0.12046999999999999</v>
      </c>
      <c r="U7187">
        <v>0.34375</v>
      </c>
      <c r="V7187">
        <v>-7.2964100000000004E-2</v>
      </c>
      <c r="W7187">
        <v>3.9482169999999997E-2</v>
      </c>
      <c r="X7187">
        <v>0.99655280000000002</v>
      </c>
      <c r="Y7187">
        <v>-0.27394370000000001</v>
      </c>
      <c r="Z7187">
        <v>1.1866460000000001E-2</v>
      </c>
      <c r="AA7187">
        <v>0.96167250000000004</v>
      </c>
      <c r="AB7187">
        <v>23</v>
      </c>
      <c r="AC7187">
        <v>28.176100000000002</v>
      </c>
      <c r="AD7187">
        <v>-1.116143283602</v>
      </c>
      <c r="AE7187">
        <v>3.1975899999999902</v>
      </c>
      <c r="AF7187">
        <v>-7.7890796916407803</v>
      </c>
      <c r="AG7187">
        <v>-1.116143283602</v>
      </c>
      <c r="AH7187">
        <v>27.2206108862581</v>
      </c>
      <c r="AI7187">
        <v>92.257513711311105</v>
      </c>
      <c r="AJ7187">
        <v>105.968282827274</v>
      </c>
      <c r="AK7187">
        <v>28.3350877057639</v>
      </c>
      <c r="AL7187">
        <v>87.737250250988893</v>
      </c>
      <c r="AM7187">
        <v>94.187524019220305</v>
      </c>
      <c r="AN7187">
        <v>1.0000000424122699</v>
      </c>
    </row>
    <row r="7188" spans="1:40" x14ac:dyDescent="0.25">
      <c r="A7188" t="str">
        <f>"20190312160513132"</f>
        <v>20190312160513132</v>
      </c>
      <c r="B7188" t="str">
        <f>"1552377913122273"</f>
        <v>1552377913122273</v>
      </c>
      <c r="C7188" t="s">
        <v>40</v>
      </c>
      <c r="D7188">
        <v>5.973319</v>
      </c>
      <c r="E7188">
        <v>0.4201607</v>
      </c>
      <c r="F7188" t="s">
        <v>121</v>
      </c>
      <c r="G7188">
        <v>-252.66030000000001</v>
      </c>
      <c r="H7188" s="1">
        <v>-1.2785239999999999E-6</v>
      </c>
      <c r="I7188">
        <v>-64.885829999999999</v>
      </c>
      <c r="J7188">
        <v>-282.87860000000001</v>
      </c>
      <c r="K7188">
        <v>1.116098</v>
      </c>
      <c r="L7188">
        <v>-68.462919999999997</v>
      </c>
      <c r="M7188">
        <v>0.98703180000000001</v>
      </c>
      <c r="N7188">
        <v>0</v>
      </c>
      <c r="O7188">
        <v>-0.16002060000000001</v>
      </c>
      <c r="P7188">
        <v>0.99566279999999996</v>
      </c>
      <c r="Q7188">
        <v>2.803632E-2</v>
      </c>
      <c r="R7188">
        <v>-8.8709540000000003E-2</v>
      </c>
      <c r="S7188">
        <v>3.0509029999999999</v>
      </c>
      <c r="T7188">
        <v>-0.112276399999999</v>
      </c>
      <c r="U7188">
        <v>0.35852050000000002</v>
      </c>
      <c r="V7188">
        <v>-7.2362499999999996E-2</v>
      </c>
      <c r="W7188">
        <v>3.9647979999999999E-2</v>
      </c>
      <c r="X7188">
        <v>0.99658999999999998</v>
      </c>
      <c r="Y7188">
        <v>-0.27385510000000002</v>
      </c>
      <c r="Z7188">
        <v>1.088213E-2</v>
      </c>
      <c r="AA7188">
        <v>0.96170940000000005</v>
      </c>
      <c r="AB7188">
        <v>23</v>
      </c>
      <c r="AC7188">
        <v>30.218299999999999</v>
      </c>
      <c r="AD7188">
        <v>-1.116099278524</v>
      </c>
      <c r="AE7188">
        <v>3.5770899999999899</v>
      </c>
      <c r="AF7188">
        <v>-8.3556873070134596</v>
      </c>
      <c r="AG7188">
        <v>-1.116099278524</v>
      </c>
      <c r="AH7188">
        <v>29.217073444299899</v>
      </c>
      <c r="AI7188">
        <v>92.103402825942993</v>
      </c>
      <c r="AJ7188">
        <v>105.959812184051</v>
      </c>
      <c r="AK7188">
        <v>30.408889631516001</v>
      </c>
      <c r="AL7188">
        <v>87.727742408359006</v>
      </c>
      <c r="AM7188">
        <v>94.152964082212506</v>
      </c>
      <c r="AN7188">
        <v>0.99999996091216403</v>
      </c>
    </row>
    <row r="7189" spans="1:40" x14ac:dyDescent="0.25">
      <c r="A7189" t="str">
        <f>"20190312160513141"</f>
        <v>20190312160513141</v>
      </c>
      <c r="B7189" t="str">
        <f>"1552377913132032"</f>
        <v>1552377913132032</v>
      </c>
      <c r="C7189" t="s">
        <v>40</v>
      </c>
      <c r="D7189">
        <v>5.990926</v>
      </c>
      <c r="E7189">
        <v>0.41922890000000002</v>
      </c>
      <c r="F7189" t="s">
        <v>121</v>
      </c>
      <c r="G7189">
        <v>-251.46969999999999</v>
      </c>
      <c r="H7189" s="1">
        <v>-7.1261209999999896E-7</v>
      </c>
      <c r="I7189">
        <v>-64.637640000000005</v>
      </c>
      <c r="J7189">
        <v>-282.77440000000001</v>
      </c>
      <c r="K7189">
        <v>1.1160490000000001</v>
      </c>
      <c r="L7189">
        <v>-68.474699999999999</v>
      </c>
      <c r="M7189">
        <v>0.98776339999999996</v>
      </c>
      <c r="N7189">
        <v>0</v>
      </c>
      <c r="O7189">
        <v>-0.15544129999999901</v>
      </c>
      <c r="P7189">
        <v>0.99602559999999996</v>
      </c>
      <c r="Q7189">
        <v>2.8025939999999999E-2</v>
      </c>
      <c r="R7189">
        <v>-8.4544209999999995E-2</v>
      </c>
      <c r="S7189">
        <v>3.049255</v>
      </c>
      <c r="T7189">
        <v>-0.1083539</v>
      </c>
      <c r="U7189">
        <v>0.37136839999999999</v>
      </c>
      <c r="V7189">
        <v>-7.1904850000000006E-2</v>
      </c>
      <c r="W7189">
        <v>3.9652739999999999E-2</v>
      </c>
      <c r="X7189">
        <v>0.99662300000000004</v>
      </c>
      <c r="Y7189">
        <v>-0.27347300000000002</v>
      </c>
      <c r="Z7189">
        <v>1.0337600000000001E-2</v>
      </c>
      <c r="AA7189">
        <v>0.96182409999999996</v>
      </c>
      <c r="AB7189">
        <v>23</v>
      </c>
      <c r="AC7189">
        <v>31.3047</v>
      </c>
      <c r="AD7189">
        <v>-1.1160497126121001</v>
      </c>
      <c r="AE7189">
        <v>3.8370599999999899</v>
      </c>
      <c r="AF7189">
        <v>-8.6460231230002105</v>
      </c>
      <c r="AG7189">
        <v>-1.1160497126121001</v>
      </c>
      <c r="AH7189">
        <v>30.2897192632154</v>
      </c>
      <c r="AI7189">
        <v>92.0291790869572</v>
      </c>
      <c r="AJ7189">
        <v>105.93108528708601</v>
      </c>
      <c r="AK7189">
        <v>31.5193016396125</v>
      </c>
      <c r="AL7189">
        <v>87.727469613077801</v>
      </c>
      <c r="AM7189">
        <v>94.126653898707005</v>
      </c>
      <c r="AN7189">
        <v>1.00000002568601</v>
      </c>
    </row>
    <row r="7190" spans="1:40" x14ac:dyDescent="0.25">
      <c r="A7190" t="str">
        <f>"20190312160513153"</f>
        <v>20190312160513153</v>
      </c>
      <c r="B7190" t="str">
        <f>"1552377913142769"</f>
        <v>1552377913142769</v>
      </c>
      <c r="C7190" t="s">
        <v>40</v>
      </c>
      <c r="D7190">
        <v>5.9791689999999997</v>
      </c>
      <c r="E7190">
        <v>0.41892940000000001</v>
      </c>
      <c r="F7190" t="s">
        <v>124</v>
      </c>
      <c r="G7190">
        <v>-247.58269999999999</v>
      </c>
      <c r="H7190" s="1">
        <v>-3.0883429999999999E-6</v>
      </c>
      <c r="I7190">
        <v>-63.956989999999998</v>
      </c>
      <c r="J7190">
        <v>-282.6635</v>
      </c>
      <c r="K7190">
        <v>1.1160019999999999</v>
      </c>
      <c r="L7190">
        <v>-68.486719999999906</v>
      </c>
      <c r="M7190">
        <v>0.98851230000000001</v>
      </c>
      <c r="N7190">
        <v>0</v>
      </c>
      <c r="O7190">
        <v>-0.150606399999999</v>
      </c>
      <c r="P7190">
        <v>0.99636530000000001</v>
      </c>
      <c r="Q7190">
        <v>2.8067419999999999E-2</v>
      </c>
      <c r="R7190">
        <v>-8.0427760000000001E-2</v>
      </c>
      <c r="S7190">
        <v>3.047882</v>
      </c>
      <c r="T7190">
        <v>-9.6659179999999997E-2</v>
      </c>
      <c r="U7190">
        <v>0.3912659</v>
      </c>
      <c r="V7190">
        <v>-7.1141910000000003E-2</v>
      </c>
      <c r="W7190">
        <v>3.9716590000000003E-2</v>
      </c>
      <c r="X7190">
        <v>0.99667519999999998</v>
      </c>
      <c r="Y7190">
        <v>-0.275057</v>
      </c>
      <c r="Z7190">
        <v>9.0964219999999998E-3</v>
      </c>
      <c r="AA7190">
        <v>0.96138489999999999</v>
      </c>
      <c r="AB7190">
        <v>23</v>
      </c>
      <c r="AC7190">
        <v>35.080800000000004</v>
      </c>
      <c r="AD7190">
        <v>-1.1160050883429999</v>
      </c>
      <c r="AE7190">
        <v>4.5297299999999803</v>
      </c>
      <c r="AF7190">
        <v>-9.7521657565123796</v>
      </c>
      <c r="AG7190">
        <v>-1.1160050883429999</v>
      </c>
      <c r="AH7190">
        <v>33.964525983224398</v>
      </c>
      <c r="AI7190">
        <v>91.808908117319504</v>
      </c>
      <c r="AJ7190">
        <v>106.020253539845</v>
      </c>
      <c r="AK7190">
        <v>35.354479625145402</v>
      </c>
      <c r="AL7190">
        <v>87.723808372815</v>
      </c>
      <c r="AM7190">
        <v>94.082804160205995</v>
      </c>
      <c r="AN7190">
        <v>1.0000000165873499</v>
      </c>
    </row>
    <row r="7191" spans="1:40" x14ac:dyDescent="0.25">
      <c r="A7191" t="str">
        <f>"20190312160513165"</f>
        <v>20190312160513165</v>
      </c>
      <c r="B7191" t="str">
        <f>"1552377913152528"</f>
        <v>1552377913152528</v>
      </c>
      <c r="C7191" t="s">
        <v>40</v>
      </c>
      <c r="D7191">
        <v>5.9006879999999997</v>
      </c>
      <c r="E7191">
        <v>0.41883280000000001</v>
      </c>
      <c r="F7191" t="s">
        <v>124</v>
      </c>
      <c r="G7191">
        <v>-244.89320000000001</v>
      </c>
      <c r="H7191" s="1">
        <v>-1.9024059999999999E-6</v>
      </c>
      <c r="I7191">
        <v>-63.450809999999997</v>
      </c>
      <c r="J7191">
        <v>-282.55309999999997</v>
      </c>
      <c r="K7191">
        <v>1.1159539999999999</v>
      </c>
      <c r="L7191">
        <v>-68.498260000000002</v>
      </c>
      <c r="M7191">
        <v>0.98922880000000002</v>
      </c>
      <c r="N7191">
        <v>0</v>
      </c>
      <c r="O7191">
        <v>-0.14582390000000001</v>
      </c>
      <c r="P7191">
        <v>0.99669459999999999</v>
      </c>
      <c r="Q7191">
        <v>2.7936309999999999E-2</v>
      </c>
      <c r="R7191">
        <v>-7.6285240000000004E-2</v>
      </c>
      <c r="S7191">
        <v>3.0462950000000002</v>
      </c>
      <c r="T7191">
        <v>-9.0009329999999999E-2</v>
      </c>
      <c r="U7191">
        <v>0.40615839999999998</v>
      </c>
      <c r="V7191">
        <v>-7.0458320000000005E-2</v>
      </c>
      <c r="W7191">
        <v>3.9607959999999998E-2</v>
      </c>
      <c r="X7191">
        <v>0.99672810000000001</v>
      </c>
      <c r="Y7191">
        <v>-0.27512170000000002</v>
      </c>
      <c r="Z7191">
        <v>8.3337819999999996E-3</v>
      </c>
      <c r="AA7191">
        <v>0.96137329999999999</v>
      </c>
      <c r="AB7191">
        <v>23</v>
      </c>
      <c r="AC7191">
        <v>37.659899999999901</v>
      </c>
      <c r="AD7191">
        <v>-1.115955902406</v>
      </c>
      <c r="AE7191">
        <v>5.0474500000000004</v>
      </c>
      <c r="AF7191">
        <v>-10.4766075709127</v>
      </c>
      <c r="AG7191">
        <v>-1.115955902406</v>
      </c>
      <c r="AH7191">
        <v>36.489697411132099</v>
      </c>
      <c r="AI7191">
        <v>91.6837354712424</v>
      </c>
      <c r="AJ7191">
        <v>106.01937511339401</v>
      </c>
      <c r="AK7191">
        <v>37.980293323340703</v>
      </c>
      <c r="AL7191">
        <v>87.730037357125894</v>
      </c>
      <c r="AM7191">
        <v>94.043490086829394</v>
      </c>
      <c r="AN7191">
        <v>1.0000000353410901</v>
      </c>
    </row>
    <row r="7192" spans="1:40" x14ac:dyDescent="0.25">
      <c r="A7192" t="str">
        <f>"20190312160513175"</f>
        <v>20190312160513175</v>
      </c>
      <c r="B7192" t="str">
        <f>"1552377913172049"</f>
        <v>1552377913172049</v>
      </c>
      <c r="C7192" t="s">
        <v>40</v>
      </c>
      <c r="D7192">
        <v>5.9427659999999998</v>
      </c>
      <c r="E7192">
        <v>0.41904150000000001</v>
      </c>
      <c r="F7192" t="s">
        <v>124</v>
      </c>
      <c r="G7192">
        <v>-244.94130000000001</v>
      </c>
      <c r="H7192" s="1">
        <v>-1.88685E-6</v>
      </c>
      <c r="I7192">
        <v>-63.314770000000003</v>
      </c>
      <c r="J7192">
        <v>-282.4393</v>
      </c>
      <c r="K7192">
        <v>1.1159049999999999</v>
      </c>
      <c r="L7192">
        <v>-68.50949</v>
      </c>
      <c r="M7192">
        <v>0.98993500000000001</v>
      </c>
      <c r="N7192">
        <v>0</v>
      </c>
      <c r="O7192">
        <v>-0.14094979999999999</v>
      </c>
      <c r="P7192">
        <v>0.99701050000000002</v>
      </c>
      <c r="Q7192">
        <v>2.7675379999999999E-2</v>
      </c>
      <c r="R7192">
        <v>-7.2140629999999997E-2</v>
      </c>
      <c r="S7192">
        <v>3.0445859999999998</v>
      </c>
      <c r="T7192">
        <v>-9.0333940000000001E-2</v>
      </c>
      <c r="U7192">
        <v>0.41958620000000002</v>
      </c>
      <c r="V7192">
        <v>-6.9685650000000002E-2</v>
      </c>
      <c r="W7192">
        <v>3.9375439999999998E-2</v>
      </c>
      <c r="X7192">
        <v>0.9967916</v>
      </c>
      <c r="Y7192">
        <v>-0.27462160000000002</v>
      </c>
      <c r="Z7192">
        <v>8.2154729999999992E-3</v>
      </c>
      <c r="AA7192">
        <v>0.96151730000000002</v>
      </c>
      <c r="AB7192">
        <v>23</v>
      </c>
      <c r="AC7192">
        <v>37.497999999999898</v>
      </c>
      <c r="AD7192">
        <v>-1.1159068868499999</v>
      </c>
      <c r="AE7192">
        <v>5.1947200000000002</v>
      </c>
      <c r="AF7192">
        <v>-10.419560860559301</v>
      </c>
      <c r="AG7192">
        <v>-1.1159068868499999</v>
      </c>
      <c r="AH7192">
        <v>36.359738961226903</v>
      </c>
      <c r="AI7192">
        <v>91.689918819359605</v>
      </c>
      <c r="AJ7192">
        <v>105.990642045253</v>
      </c>
      <c r="AK7192">
        <v>37.839702879853398</v>
      </c>
      <c r="AL7192">
        <v>87.743370102564199</v>
      </c>
      <c r="AM7192">
        <v>93.999038529352603</v>
      </c>
      <c r="AN7192">
        <v>1.0000000044608299</v>
      </c>
    </row>
    <row r="7193" spans="1:40" x14ac:dyDescent="0.25">
      <c r="A7193" t="str">
        <f>"20190312160513187"</f>
        <v>20190312160513187</v>
      </c>
      <c r="B7193" t="str">
        <f>"1552377913182785"</f>
        <v>1552377913182785</v>
      </c>
      <c r="C7193" t="s">
        <v>40</v>
      </c>
      <c r="D7193">
        <v>5.9430550000000002</v>
      </c>
      <c r="E7193">
        <v>0.41926799999999997</v>
      </c>
      <c r="F7193" t="s">
        <v>124</v>
      </c>
      <c r="G7193">
        <v>-244.91210000000001</v>
      </c>
      <c r="H7193" s="1">
        <v>-1.8433730000000001E-6</v>
      </c>
      <c r="I7193">
        <v>-63.198520000000002</v>
      </c>
      <c r="J7193">
        <v>-282.3263</v>
      </c>
      <c r="K7193">
        <v>1.11585499999999</v>
      </c>
      <c r="L7193">
        <v>-68.520390000000006</v>
      </c>
      <c r="M7193">
        <v>0.99060930000000003</v>
      </c>
      <c r="N7193">
        <v>0</v>
      </c>
      <c r="O7193">
        <v>-0.136129</v>
      </c>
      <c r="P7193">
        <v>0.99729500000000004</v>
      </c>
      <c r="Q7193">
        <v>2.7684050000000002E-2</v>
      </c>
      <c r="R7193">
        <v>-6.8092100000000003E-2</v>
      </c>
      <c r="S7193">
        <v>3.0426639999999998</v>
      </c>
      <c r="T7193">
        <v>-9.0476509999999996E-2</v>
      </c>
      <c r="U7193">
        <v>0.43060300000000001</v>
      </c>
      <c r="V7193">
        <v>-6.8874640000000001E-2</v>
      </c>
      <c r="W7193">
        <v>3.941451E-2</v>
      </c>
      <c r="X7193">
        <v>0.99684640000000002</v>
      </c>
      <c r="Y7193">
        <v>-0.27343959999999901</v>
      </c>
      <c r="Z7193">
        <v>8.0720410000000003E-3</v>
      </c>
      <c r="AA7193">
        <v>0.96185529999999997</v>
      </c>
      <c r="AB7193">
        <v>23</v>
      </c>
      <c r="AC7193">
        <v>37.414200000000001</v>
      </c>
      <c r="AD7193">
        <v>-1.1158568433729901</v>
      </c>
      <c r="AE7193">
        <v>5.3218700000000103</v>
      </c>
      <c r="AF7193">
        <v>-10.356862096808801</v>
      </c>
      <c r="AG7193">
        <v>-1.1158568433729901</v>
      </c>
      <c r="AH7193">
        <v>36.309682584845099</v>
      </c>
      <c r="AI7193">
        <v>91.692766688315004</v>
      </c>
      <c r="AJ7193">
        <v>105.92010600469401</v>
      </c>
      <c r="AK7193">
        <v>37.7743666842929</v>
      </c>
      <c r="AL7193">
        <v>87.741129767544095</v>
      </c>
      <c r="AM7193">
        <v>93.9524290237256</v>
      </c>
      <c r="AN7193">
        <v>0.999999982413314</v>
      </c>
    </row>
    <row r="7194" spans="1:40" x14ac:dyDescent="0.25">
      <c r="A7194" t="str">
        <f>"20190312160513198"</f>
        <v>20190312160513198</v>
      </c>
      <c r="B7194" t="str">
        <f>"1552377913192544"</f>
        <v>1552377913192544</v>
      </c>
      <c r="C7194" t="s">
        <v>40</v>
      </c>
      <c r="D7194">
        <v>5.9589290000000004</v>
      </c>
      <c r="E7194">
        <v>0.41942620000000003</v>
      </c>
      <c r="F7194" t="s">
        <v>124</v>
      </c>
      <c r="G7194">
        <v>-245.42250000000001</v>
      </c>
      <c r="H7194" s="1">
        <v>-2.0536009999999999E-6</v>
      </c>
      <c r="I7194">
        <v>-63.165570000000002</v>
      </c>
      <c r="J7194">
        <v>-282.21499999999997</v>
      </c>
      <c r="K7194">
        <v>1.115802</v>
      </c>
      <c r="L7194">
        <v>-68.530270000000002</v>
      </c>
      <c r="M7194">
        <v>0.99123950000000005</v>
      </c>
      <c r="N7194">
        <v>0</v>
      </c>
      <c r="O7194">
        <v>-0.131461299999999</v>
      </c>
      <c r="P7194">
        <v>0.99756549999999999</v>
      </c>
      <c r="Q7194">
        <v>2.779767E-2</v>
      </c>
      <c r="R7194">
        <v>-6.3954510000000006E-2</v>
      </c>
      <c r="S7194">
        <v>3.0408019999999998</v>
      </c>
      <c r="T7194">
        <v>-9.1944689999999996E-2</v>
      </c>
      <c r="U7194">
        <v>0.44122309999999998</v>
      </c>
      <c r="V7194">
        <v>-6.8309549999999997E-2</v>
      </c>
      <c r="W7194">
        <v>3.9555069999999998E-2</v>
      </c>
      <c r="X7194">
        <v>0.99687979999999998</v>
      </c>
      <c r="Y7194">
        <v>-0.27227869999999998</v>
      </c>
      <c r="Z7194">
        <v>8.0486020000000002E-3</v>
      </c>
      <c r="AA7194">
        <v>0.96218479999999995</v>
      </c>
      <c r="AB7194">
        <v>23</v>
      </c>
      <c r="AC7194">
        <v>36.792499999999897</v>
      </c>
      <c r="AD7194">
        <v>-1.1158040536010001</v>
      </c>
      <c r="AE7194">
        <v>5.3647</v>
      </c>
      <c r="AF7194">
        <v>-10.1461785419237</v>
      </c>
      <c r="AG7194">
        <v>-1.1158040536010001</v>
      </c>
      <c r="AH7194">
        <v>35.735646707926499</v>
      </c>
      <c r="AI7194">
        <v>91.720455315898704</v>
      </c>
      <c r="AJ7194">
        <v>105.850473528948</v>
      </c>
      <c r="AK7194">
        <v>37.164854410105796</v>
      </c>
      <c r="AL7194">
        <v>87.733070179043395</v>
      </c>
      <c r="AM7194">
        <v>93.919971449460903</v>
      </c>
      <c r="AN7194">
        <v>1.0000000669159701</v>
      </c>
    </row>
    <row r="7195" spans="1:40" x14ac:dyDescent="0.25">
      <c r="A7195" t="str">
        <f>"20190312160513210"</f>
        <v>20190312160513210</v>
      </c>
      <c r="B7195" t="str">
        <f>"1552377913202305"</f>
        <v>1552377913202305</v>
      </c>
      <c r="C7195" t="s">
        <v>40</v>
      </c>
      <c r="D7195">
        <v>5.9349829999999999</v>
      </c>
      <c r="E7195">
        <v>0.4198366</v>
      </c>
      <c r="F7195" t="s">
        <v>124</v>
      </c>
      <c r="G7195">
        <v>-245.4357</v>
      </c>
      <c r="H7195" s="1">
        <v>-2.0292699999999998E-6</v>
      </c>
      <c r="I7195">
        <v>-63.052860000000003</v>
      </c>
      <c r="J7195">
        <v>-282.10169999999999</v>
      </c>
      <c r="K7195">
        <v>1.11575</v>
      </c>
      <c r="L7195">
        <v>-68.540099999999995</v>
      </c>
      <c r="M7195">
        <v>0.99185540000000005</v>
      </c>
      <c r="N7195">
        <v>0</v>
      </c>
      <c r="O7195">
        <v>-0.12673000000000001</v>
      </c>
      <c r="P7195">
        <v>0.99782490000000001</v>
      </c>
      <c r="Q7195">
        <v>2.77424E-2</v>
      </c>
      <c r="R7195">
        <v>-5.9798459999999998E-2</v>
      </c>
      <c r="S7195">
        <v>3.0389400000000002</v>
      </c>
      <c r="T7195">
        <v>-9.2195029999999997E-2</v>
      </c>
      <c r="U7195">
        <v>0.45257570000000003</v>
      </c>
      <c r="V7195">
        <v>-6.7699739999999994E-2</v>
      </c>
      <c r="W7195">
        <v>3.9527909999999999E-2</v>
      </c>
      <c r="X7195">
        <v>0.99692239999999999</v>
      </c>
      <c r="Y7195">
        <v>-0.27129109999999901</v>
      </c>
      <c r="Z7195">
        <v>7.9160580000000001E-3</v>
      </c>
      <c r="AA7195">
        <v>0.96246480000000001</v>
      </c>
      <c r="AB7195">
        <v>23</v>
      </c>
      <c r="AC7195">
        <v>36.665999999999997</v>
      </c>
      <c r="AD7195">
        <v>-1.1157520292700001</v>
      </c>
      <c r="AE7195">
        <v>5.4872399999999999</v>
      </c>
      <c r="AF7195">
        <v>-10.080919627240799</v>
      </c>
      <c r="AG7195">
        <v>-1.1157520292700001</v>
      </c>
      <c r="AH7195">
        <v>35.642586768993802</v>
      </c>
      <c r="AI7195">
        <v>91.725356978825204</v>
      </c>
      <c r="AJ7195">
        <v>105.792683379758</v>
      </c>
      <c r="AK7195">
        <v>37.057574592881302</v>
      </c>
      <c r="AL7195">
        <v>87.734627378315693</v>
      </c>
      <c r="AM7195">
        <v>93.884919393463704</v>
      </c>
      <c r="AN7195">
        <v>0.99999999104339699</v>
      </c>
    </row>
    <row r="7196" spans="1:40" x14ac:dyDescent="0.25">
      <c r="A7196" t="str">
        <f>"20190312160513219"</f>
        <v>20190312160513219</v>
      </c>
      <c r="B7196" t="str">
        <f>"1552377913212065"</f>
        <v>1552377913212065</v>
      </c>
      <c r="C7196" t="s">
        <v>40</v>
      </c>
      <c r="D7196">
        <v>5.9679960000000003</v>
      </c>
      <c r="E7196">
        <v>0.42021740000000002</v>
      </c>
      <c r="F7196" t="s">
        <v>124</v>
      </c>
      <c r="G7196">
        <v>-245.8733</v>
      </c>
      <c r="H7196" s="1">
        <v>-2.2106749999999998E-6</v>
      </c>
      <c r="I7196">
        <v>-63.029139999999998</v>
      </c>
      <c r="J7196">
        <v>-281.99950000000001</v>
      </c>
      <c r="K7196">
        <v>1.1156999999999999</v>
      </c>
      <c r="L7196">
        <v>-68.548400000000001</v>
      </c>
      <c r="M7196">
        <v>0.99238499999999996</v>
      </c>
      <c r="N7196">
        <v>0</v>
      </c>
      <c r="O7196">
        <v>-0.1225121</v>
      </c>
      <c r="P7196">
        <v>0.9980348</v>
      </c>
      <c r="Q7196">
        <v>2.7889830000000001E-2</v>
      </c>
      <c r="R7196">
        <v>-5.6111750000000002E-2</v>
      </c>
      <c r="S7196">
        <v>3.0368040000000001</v>
      </c>
      <c r="T7196">
        <v>-9.3526600000000001E-2</v>
      </c>
      <c r="U7196">
        <v>0.46194459999999998</v>
      </c>
      <c r="V7196">
        <v>-6.7140729999999996E-2</v>
      </c>
      <c r="W7196">
        <v>3.9698959999999998E-2</v>
      </c>
      <c r="X7196">
        <v>0.99695339999999999</v>
      </c>
      <c r="Y7196">
        <v>-0.27019850000000001</v>
      </c>
      <c r="Z7196">
        <v>7.8885689999999998E-3</v>
      </c>
      <c r="AA7196">
        <v>0.96277230000000003</v>
      </c>
      <c r="AB7196">
        <v>23</v>
      </c>
      <c r="AC7196">
        <v>36.126199999999997</v>
      </c>
      <c r="AD7196">
        <v>-1.1157022106750001</v>
      </c>
      <c r="AE7196">
        <v>5.5192599999999903</v>
      </c>
      <c r="AF7196">
        <v>-9.8947114545573402</v>
      </c>
      <c r="AG7196">
        <v>-1.1157022106750001</v>
      </c>
      <c r="AH7196">
        <v>35.145030032934898</v>
      </c>
      <c r="AI7196">
        <v>91.750281688734006</v>
      </c>
      <c r="AJ7196">
        <v>105.724003786713</v>
      </c>
      <c r="AK7196">
        <v>36.528389537560301</v>
      </c>
      <c r="AL7196">
        <v>87.724819219146994</v>
      </c>
      <c r="AM7196">
        <v>93.852818429409197</v>
      </c>
      <c r="AN7196">
        <v>0.999999983410787</v>
      </c>
    </row>
    <row r="7197" spans="1:40" x14ac:dyDescent="0.25">
      <c r="A7197" t="str">
        <f>"20190312160513231"</f>
        <v>20190312160513231</v>
      </c>
      <c r="B7197" t="str">
        <f>"1552377913222801"</f>
        <v>1552377913222801</v>
      </c>
      <c r="C7197" t="s">
        <v>40</v>
      </c>
      <c r="D7197">
        <v>5.9376179999999996</v>
      </c>
      <c r="E7197">
        <v>0.4207342</v>
      </c>
      <c r="F7197" t="s">
        <v>124</v>
      </c>
      <c r="G7197">
        <v>-246.35640000000001</v>
      </c>
      <c r="H7197" s="1">
        <v>-2.417616E-6</v>
      </c>
      <c r="I7197">
        <v>-63.027940000000001</v>
      </c>
      <c r="J7197">
        <v>-281.8888</v>
      </c>
      <c r="K7197">
        <v>1.1156469999999901</v>
      </c>
      <c r="L7197">
        <v>-68.557040000000001</v>
      </c>
      <c r="M7197">
        <v>0.99293500000000001</v>
      </c>
      <c r="N7197">
        <v>0</v>
      </c>
      <c r="O7197">
        <v>-0.117971699999999</v>
      </c>
      <c r="P7197">
        <v>0.99824919999999995</v>
      </c>
      <c r="Q7197">
        <v>2.7826409999999999E-2</v>
      </c>
      <c r="R7197">
        <v>-5.2198109999999999E-2</v>
      </c>
      <c r="S7197">
        <v>3.0350039999999998</v>
      </c>
      <c r="T7197">
        <v>-9.5001940000000007E-2</v>
      </c>
      <c r="U7197">
        <v>0.47006229999999899</v>
      </c>
      <c r="V7197">
        <v>-6.6483340000000002E-2</v>
      </c>
      <c r="W7197">
        <v>3.9661309999999998E-2</v>
      </c>
      <c r="X7197">
        <v>0.99699899999999997</v>
      </c>
      <c r="Y7197">
        <v>-0.26839220000000003</v>
      </c>
      <c r="Z7197">
        <v>7.8469479999999994E-3</v>
      </c>
      <c r="AA7197">
        <v>0.96327779999999996</v>
      </c>
      <c r="AB7197">
        <v>23</v>
      </c>
      <c r="AC7197">
        <v>35.532400000000003</v>
      </c>
      <c r="AD7197">
        <v>-1.1156494176159999</v>
      </c>
      <c r="AE7197">
        <v>5.5290999999999997</v>
      </c>
      <c r="AF7197">
        <v>-9.6733316596158598</v>
      </c>
      <c r="AG7197">
        <v>-1.1156494176159999</v>
      </c>
      <c r="AH7197">
        <v>34.598602478136499</v>
      </c>
      <c r="AI7197">
        <v>91.778725083575495</v>
      </c>
      <c r="AJ7197">
        <v>105.620319987654</v>
      </c>
      <c r="AK7197">
        <v>35.942750485460401</v>
      </c>
      <c r="AL7197">
        <v>87.726978211513298</v>
      </c>
      <c r="AM7197">
        <v>93.815032594870601</v>
      </c>
      <c r="AN7197">
        <v>1.00000003000473</v>
      </c>
    </row>
    <row r="7198" spans="1:40" x14ac:dyDescent="0.25">
      <c r="A7198" t="str">
        <f>"20190312160513241"</f>
        <v>20190312160513241</v>
      </c>
      <c r="B7198" t="str">
        <f>"1552377913232561"</f>
        <v>1552377913232561</v>
      </c>
      <c r="C7198" t="s">
        <v>40</v>
      </c>
      <c r="D7198">
        <v>5.9574730000000002</v>
      </c>
      <c r="E7198">
        <v>0.42126789999999997</v>
      </c>
      <c r="F7198" t="s">
        <v>124</v>
      </c>
      <c r="G7198">
        <v>-247.42840000000001</v>
      </c>
      <c r="H7198" s="1">
        <v>-2.8890530000000002E-6</v>
      </c>
      <c r="I7198">
        <v>-63.129469999999998</v>
      </c>
      <c r="J7198">
        <v>-281.78199999999998</v>
      </c>
      <c r="K7198">
        <v>1.115594</v>
      </c>
      <c r="L7198">
        <v>-68.564909999999998</v>
      </c>
      <c r="M7198">
        <v>0.99343939999999997</v>
      </c>
      <c r="N7198">
        <v>0</v>
      </c>
      <c r="O7198">
        <v>-0.1136453</v>
      </c>
      <c r="P7198">
        <v>0.99845079999999997</v>
      </c>
      <c r="Q7198">
        <v>2.7785859999999999E-2</v>
      </c>
      <c r="R7198">
        <v>-4.8211700000000003E-2</v>
      </c>
      <c r="S7198">
        <v>3.032959</v>
      </c>
      <c r="T7198">
        <v>-9.819174E-2</v>
      </c>
      <c r="U7198">
        <v>0.4776917</v>
      </c>
      <c r="V7198">
        <v>-6.6115919999999995E-2</v>
      </c>
      <c r="W7198">
        <v>3.9640359999999999E-2</v>
      </c>
      <c r="X7198">
        <v>0.99702420000000003</v>
      </c>
      <c r="Y7198">
        <v>-0.26664969999999999</v>
      </c>
      <c r="Z7198">
        <v>7.9471300000000002E-3</v>
      </c>
      <c r="AA7198">
        <v>0.96376070000000003</v>
      </c>
      <c r="AB7198">
        <v>23</v>
      </c>
      <c r="AC7198">
        <v>34.353599999999901</v>
      </c>
      <c r="AD7198">
        <v>-1.1155968890529999</v>
      </c>
      <c r="AE7198">
        <v>5.4354399999999998</v>
      </c>
      <c r="AF7198">
        <v>-9.2951005251082304</v>
      </c>
      <c r="AG7198">
        <v>-1.1155968890529999</v>
      </c>
      <c r="AH7198">
        <v>33.478794337449997</v>
      </c>
      <c r="AI7198">
        <v>91.839018089645904</v>
      </c>
      <c r="AJ7198">
        <v>105.51685850214101</v>
      </c>
      <c r="AK7198">
        <v>34.763099983747203</v>
      </c>
      <c r="AL7198">
        <v>87.7281793531874</v>
      </c>
      <c r="AM7198">
        <v>93.793914961740199</v>
      </c>
      <c r="AN7198">
        <v>0.99999996420200699</v>
      </c>
    </row>
    <row r="7199" spans="1:40" x14ac:dyDescent="0.25">
      <c r="A7199" t="str">
        <f>"20190312160513254"</f>
        <v>20190312160513254</v>
      </c>
      <c r="B7199" t="str">
        <f>"1552377913242322"</f>
        <v>1552377913242322</v>
      </c>
      <c r="C7199" t="s">
        <v>40</v>
      </c>
      <c r="D7199">
        <v>5.9502350000000002</v>
      </c>
      <c r="E7199">
        <v>0.4218054</v>
      </c>
      <c r="F7199" t="s">
        <v>124</v>
      </c>
      <c r="G7199">
        <v>-248.1421</v>
      </c>
      <c r="H7199" s="1">
        <v>-3.140207E-6</v>
      </c>
      <c r="I7199">
        <v>-63.176180000000002</v>
      </c>
      <c r="J7199">
        <v>-281.66849999999999</v>
      </c>
      <c r="K7199">
        <v>1.1155379999999999</v>
      </c>
      <c r="L7199">
        <v>-68.572779999999995</v>
      </c>
      <c r="M7199">
        <v>0.99394930000000004</v>
      </c>
      <c r="N7199">
        <v>0</v>
      </c>
      <c r="O7199">
        <v>-0.10909530000000001</v>
      </c>
      <c r="P7199">
        <v>0.99863979999999997</v>
      </c>
      <c r="Q7199">
        <v>2.756803E-2</v>
      </c>
      <c r="R7199">
        <v>-4.4260969999999997E-2</v>
      </c>
      <c r="S7199">
        <v>3.030853</v>
      </c>
      <c r="T7199">
        <v>-0.100512</v>
      </c>
      <c r="U7199">
        <v>0.4855042</v>
      </c>
      <c r="V7199">
        <v>-6.5486950000000002E-2</v>
      </c>
      <c r="W7199">
        <v>3.944549E-2</v>
      </c>
      <c r="X7199">
        <v>0.99707349999999995</v>
      </c>
      <c r="Y7199">
        <v>-0.2647563</v>
      </c>
      <c r="Z7199">
        <v>7.9578489999999995E-3</v>
      </c>
      <c r="AA7199">
        <v>0.96428250000000004</v>
      </c>
      <c r="AB7199">
        <v>23</v>
      </c>
      <c r="AC7199">
        <v>33.526399999999903</v>
      </c>
      <c r="AD7199">
        <v>-1.1155411402069999</v>
      </c>
      <c r="AE7199">
        <v>5.3966000000000003</v>
      </c>
      <c r="AF7199">
        <v>-9.0125288114391395</v>
      </c>
      <c r="AG7199">
        <v>-1.1155411402069999</v>
      </c>
      <c r="AH7199">
        <v>32.702175339379103</v>
      </c>
      <c r="AI7199">
        <v>91.883556333970802</v>
      </c>
      <c r="AJ7199">
        <v>105.407896252276</v>
      </c>
      <c r="AK7199">
        <v>33.939687381294597</v>
      </c>
      <c r="AL7199">
        <v>87.739353461066301</v>
      </c>
      <c r="AM7199">
        <v>93.757741553333901</v>
      </c>
      <c r="AN7199">
        <v>1.0000000258519399</v>
      </c>
    </row>
    <row r="7200" spans="1:40" x14ac:dyDescent="0.25">
      <c r="A7200" t="str">
        <f>"20190312160513264"</f>
        <v>20190312160513264</v>
      </c>
      <c r="B7200" t="str">
        <f>"1552377913252080"</f>
        <v>1552377913252080</v>
      </c>
      <c r="C7200" t="s">
        <v>40</v>
      </c>
      <c r="D7200">
        <v>5.9472639999999997</v>
      </c>
      <c r="E7200">
        <v>0.42233700000000002</v>
      </c>
      <c r="F7200" t="s">
        <v>124</v>
      </c>
      <c r="G7200">
        <v>-249.00280000000001</v>
      </c>
      <c r="H7200" s="1">
        <v>-3.4468280000000001E-6</v>
      </c>
      <c r="I7200">
        <v>-63.253570000000003</v>
      </c>
      <c r="J7200">
        <v>-281.55540000000002</v>
      </c>
      <c r="K7200">
        <v>1.1154790000000001</v>
      </c>
      <c r="L7200">
        <v>-68.580290000000005</v>
      </c>
      <c r="M7200">
        <v>0.99443250000000005</v>
      </c>
      <c r="N7200">
        <v>0</v>
      </c>
      <c r="O7200">
        <v>-0.1045977</v>
      </c>
      <c r="P7200">
        <v>0.99880040000000003</v>
      </c>
      <c r="Q7200">
        <v>2.773772E-2</v>
      </c>
      <c r="R7200">
        <v>-4.0354139999999997E-2</v>
      </c>
      <c r="S7200">
        <v>3.028778</v>
      </c>
      <c r="T7200">
        <v>-0.1034335</v>
      </c>
      <c r="U7200">
        <v>0.49319459999999998</v>
      </c>
      <c r="V7200">
        <v>-6.4872650000000004E-2</v>
      </c>
      <c r="W7200">
        <v>3.9637970000000002E-2</v>
      </c>
      <c r="X7200">
        <v>0.99710600000000005</v>
      </c>
      <c r="Y7200">
        <v>-0.26287450000000001</v>
      </c>
      <c r="Z7200">
        <v>8.0085690000000001E-3</v>
      </c>
      <c r="AA7200">
        <v>0.96479680000000001</v>
      </c>
      <c r="AB7200">
        <v>23</v>
      </c>
      <c r="AC7200">
        <v>32.552599999999998</v>
      </c>
      <c r="AD7200">
        <v>-1.115482446828</v>
      </c>
      <c r="AE7200">
        <v>5.3267199999999999</v>
      </c>
      <c r="AF7200">
        <v>-8.6927601483864407</v>
      </c>
      <c r="AG7200">
        <v>-1.115482446828</v>
      </c>
      <c r="AH7200">
        <v>31.7804545913352</v>
      </c>
      <c r="AI7200">
        <v>91.939064837523006</v>
      </c>
      <c r="AJ7200">
        <v>105.297671163312</v>
      </c>
      <c r="AK7200">
        <v>32.966735872974702</v>
      </c>
      <c r="AL7200">
        <v>87.728316484428703</v>
      </c>
      <c r="AM7200">
        <v>93.722470666017898</v>
      </c>
      <c r="AN7200">
        <v>1.0000000023098701</v>
      </c>
    </row>
    <row r="7201" spans="1:40" x14ac:dyDescent="0.25">
      <c r="A7201" t="str">
        <f>"20190312160513276"</f>
        <v>20190312160513276</v>
      </c>
      <c r="B7201" t="str">
        <f>"1552377913272576"</f>
        <v>1552377913272576</v>
      </c>
      <c r="C7201" t="s">
        <v>40</v>
      </c>
      <c r="D7201">
        <v>5.9782900000000003</v>
      </c>
      <c r="E7201">
        <v>0.43487579999999998</v>
      </c>
      <c r="F7201" t="s">
        <v>124</v>
      </c>
      <c r="G7201">
        <v>-249.29429999999999</v>
      </c>
      <c r="H7201" s="1">
        <v>-3.543951E-6</v>
      </c>
      <c r="I7201">
        <v>-63.241819999999997</v>
      </c>
      <c r="J7201">
        <v>-281.43959999999998</v>
      </c>
      <c r="K7201">
        <v>1.11541</v>
      </c>
      <c r="L7201">
        <v>-68.587280000000007</v>
      </c>
      <c r="M7201">
        <v>0.99489810000000001</v>
      </c>
      <c r="N7201">
        <v>0</v>
      </c>
      <c r="O7201">
        <v>-0.1000721</v>
      </c>
      <c r="P7201">
        <v>0.99894850000000002</v>
      </c>
      <c r="Q7201">
        <v>2.7667540000000001E-2</v>
      </c>
      <c r="R7201">
        <v>-3.6558790000000001E-2</v>
      </c>
      <c r="S7201">
        <v>3.026764</v>
      </c>
      <c r="T7201">
        <v>-0.1046555</v>
      </c>
      <c r="U7201">
        <v>0.50085449999999998</v>
      </c>
      <c r="V7201">
        <v>-6.4117250000000001E-2</v>
      </c>
      <c r="W7201">
        <v>3.9590800000000002E-2</v>
      </c>
      <c r="X7201">
        <v>0.99715670000000001</v>
      </c>
      <c r="Y7201">
        <v>-0.26096229999999998</v>
      </c>
      <c r="Z7201">
        <v>7.9186629999999994E-3</v>
      </c>
      <c r="AA7201">
        <v>0.96531650000000002</v>
      </c>
      <c r="AB7201">
        <v>23</v>
      </c>
      <c r="AC7201">
        <v>32.145299999999899</v>
      </c>
      <c r="AD7201">
        <v>-1.115413543951</v>
      </c>
      <c r="AE7201">
        <v>5.3454600000000099</v>
      </c>
      <c r="AF7201">
        <v>-8.5257438197463102</v>
      </c>
      <c r="AG7201">
        <v>-1.115413543951</v>
      </c>
      <c r="AH7201">
        <v>31.4121317088483</v>
      </c>
      <c r="AI7201">
        <v>91.962711753032195</v>
      </c>
      <c r="AJ7201">
        <v>105.185147163953</v>
      </c>
      <c r="AK7201">
        <v>32.567690638852497</v>
      </c>
      <c r="AL7201">
        <v>87.731021173335805</v>
      </c>
      <c r="AM7201">
        <v>93.679058109024993</v>
      </c>
      <c r="AN7201">
        <v>0.99999996877354502</v>
      </c>
    </row>
    <row r="7202" spans="1:40" x14ac:dyDescent="0.25">
      <c r="A7202" t="str">
        <f>"20190312160513288"</f>
        <v>20190312160513288</v>
      </c>
      <c r="B7202" t="str">
        <f>"1552377913282337"</f>
        <v>1552377913282337</v>
      </c>
      <c r="C7202" t="s">
        <v>40</v>
      </c>
      <c r="D7202">
        <v>5.9638960000000001</v>
      </c>
      <c r="E7202">
        <v>0.43565300000000001</v>
      </c>
      <c r="F7202" t="s">
        <v>121</v>
      </c>
      <c r="G7202">
        <v>-257.77690000000001</v>
      </c>
      <c r="H7202" s="1">
        <v>-3.333992E-6</v>
      </c>
      <c r="I7202">
        <v>-65.353939999999994</v>
      </c>
      <c r="J7202">
        <v>-281.32920000000001</v>
      </c>
      <c r="K7202">
        <v>1.1153489999999999</v>
      </c>
      <c r="L7202">
        <v>-68.593779999999995</v>
      </c>
      <c r="M7202">
        <v>0.99532089999999995</v>
      </c>
      <c r="N7202">
        <v>0</v>
      </c>
      <c r="O7202">
        <v>-9.577455E-2</v>
      </c>
      <c r="P7202">
        <v>0.99908209999999997</v>
      </c>
      <c r="Q7202">
        <v>2.7650000000000001E-2</v>
      </c>
      <c r="R7202">
        <v>-3.2720869999999999E-2</v>
      </c>
      <c r="S7202">
        <v>3.0222169999999999</v>
      </c>
      <c r="T7202">
        <v>-0.14246149999999999</v>
      </c>
      <c r="U7202">
        <v>0.41296389999999999</v>
      </c>
      <c r="V7202">
        <v>-6.3635570000000002E-2</v>
      </c>
      <c r="W7202">
        <v>3.9592710000000003E-2</v>
      </c>
      <c r="X7202">
        <v>0.9971875</v>
      </c>
      <c r="Y7202">
        <v>-0.22930739999999999</v>
      </c>
      <c r="Z7202">
        <v>9.8704340000000008E-3</v>
      </c>
      <c r="AA7202">
        <v>0.97330399999999995</v>
      </c>
      <c r="AB7202">
        <v>23</v>
      </c>
      <c r="AC7202">
        <v>23.552299999999999</v>
      </c>
      <c r="AD7202">
        <v>-1.115352333992</v>
      </c>
      <c r="AE7202">
        <v>3.2398400000000001</v>
      </c>
      <c r="AF7202">
        <v>-5.4688028575791403</v>
      </c>
      <c r="AG7202">
        <v>-1.115352333992</v>
      </c>
      <c r="AH7202">
        <v>23.082888949531601</v>
      </c>
      <c r="AI7202">
        <v>92.691943216836606</v>
      </c>
      <c r="AJ7202">
        <v>103.328768473682</v>
      </c>
      <c r="AK7202">
        <v>23.748085770866101</v>
      </c>
      <c r="AL7202">
        <v>87.730911699135305</v>
      </c>
      <c r="AM7202">
        <v>93.651381814624898</v>
      </c>
      <c r="AN7202">
        <v>0.99999998930530898</v>
      </c>
    </row>
    <row r="7203" spans="1:40" x14ac:dyDescent="0.25">
      <c r="A7203" t="str">
        <f>"20190312160513298"</f>
        <v>20190312160513298</v>
      </c>
      <c r="B7203" t="str">
        <f>"1552377913292096"</f>
        <v>1552377913292096</v>
      </c>
      <c r="C7203" t="s">
        <v>40</v>
      </c>
      <c r="D7203">
        <v>5.9394729999999996</v>
      </c>
      <c r="E7203">
        <v>0.4361815</v>
      </c>
      <c r="F7203" t="s">
        <v>121</v>
      </c>
      <c r="G7203">
        <v>-258.0521</v>
      </c>
      <c r="H7203" s="1">
        <v>-3.4295969999999999E-6</v>
      </c>
      <c r="I7203">
        <v>-65.368729999999999</v>
      </c>
      <c r="J7203">
        <v>-281.2167</v>
      </c>
      <c r="K7203">
        <v>1.115283</v>
      </c>
      <c r="L7203">
        <v>-68.599639999999994</v>
      </c>
      <c r="M7203">
        <v>0.9957241</v>
      </c>
      <c r="N7203">
        <v>0</v>
      </c>
      <c r="O7203">
        <v>-9.1488490000000006E-2</v>
      </c>
      <c r="P7203">
        <v>0.99919029999999998</v>
      </c>
      <c r="Q7203">
        <v>2.7739199999999999E-2</v>
      </c>
      <c r="R7203">
        <v>-2.9146789999999999E-2</v>
      </c>
      <c r="S7203">
        <v>3.0204770000000001</v>
      </c>
      <c r="T7203">
        <v>-0.1447301</v>
      </c>
      <c r="U7203">
        <v>0.41848750000000001</v>
      </c>
      <c r="V7203">
        <v>-6.2903500000000001E-2</v>
      </c>
      <c r="W7203">
        <v>3.9702769999999998E-2</v>
      </c>
      <c r="X7203">
        <v>0.99722960000000005</v>
      </c>
      <c r="Y7203">
        <v>-0.22693440000000001</v>
      </c>
      <c r="Z7203">
        <v>9.7711780000000002E-3</v>
      </c>
      <c r="AA7203">
        <v>0.97386099999999998</v>
      </c>
      <c r="AB7203">
        <v>23</v>
      </c>
      <c r="AC7203">
        <v>23.1646</v>
      </c>
      <c r="AD7203">
        <v>-1.115286429597</v>
      </c>
      <c r="AE7203">
        <v>3.2309100000000002</v>
      </c>
      <c r="AF7203">
        <v>-5.3247177507302004</v>
      </c>
      <c r="AG7203">
        <v>-1.115286429597</v>
      </c>
      <c r="AH7203">
        <v>22.7201581229669</v>
      </c>
      <c r="AI7203">
        <v>92.736254928706202</v>
      </c>
      <c r="AJ7203">
        <v>103.18984740398</v>
      </c>
      <c r="AK7203">
        <v>23.362407155034401</v>
      </c>
      <c r="AL7203">
        <v>87.724600828017699</v>
      </c>
      <c r="AM7203">
        <v>93.609335665832305</v>
      </c>
      <c r="AN7203">
        <v>1.0000000176870401</v>
      </c>
    </row>
    <row r="7204" spans="1:40" x14ac:dyDescent="0.25">
      <c r="A7204" t="str">
        <f>"20190312160513310"</f>
        <v>20190312160513310</v>
      </c>
      <c r="B7204" t="str">
        <f>"1552377913302832"</f>
        <v>1552377913302832</v>
      </c>
      <c r="C7204" t="s">
        <v>40</v>
      </c>
      <c r="D7204">
        <v>5.9227800000000004</v>
      </c>
      <c r="E7204">
        <v>0.43659199999999998</v>
      </c>
      <c r="F7204" t="s">
        <v>121</v>
      </c>
      <c r="G7204">
        <v>-258.64890000000003</v>
      </c>
      <c r="H7204" s="1">
        <v>-3.639811E-6</v>
      </c>
      <c r="I7204">
        <v>-65.421809999999994</v>
      </c>
      <c r="J7204">
        <v>-281.10680000000002</v>
      </c>
      <c r="K7204">
        <v>1.115221</v>
      </c>
      <c r="L7204">
        <v>-68.605189999999993</v>
      </c>
      <c r="M7204">
        <v>0.99609820000000004</v>
      </c>
      <c r="N7204">
        <v>0</v>
      </c>
      <c r="O7204">
        <v>-8.7322150000000001E-2</v>
      </c>
      <c r="P7204">
        <v>0.99928609999999896</v>
      </c>
      <c r="Q7204">
        <v>2.786812E-2</v>
      </c>
      <c r="R7204">
        <v>-2.5513020000000001E-2</v>
      </c>
      <c r="S7204">
        <v>3.0189819999999998</v>
      </c>
      <c r="T7204">
        <v>-0.14919640000000001</v>
      </c>
      <c r="U7204">
        <v>0.42510989999999999</v>
      </c>
      <c r="V7204">
        <v>-6.235247E-2</v>
      </c>
      <c r="W7204">
        <v>3.9849519999999999E-2</v>
      </c>
      <c r="X7204">
        <v>0.99725830000000004</v>
      </c>
      <c r="Y7204">
        <v>-0.22500539999999999</v>
      </c>
      <c r="Z7204">
        <v>9.8236759999999999E-3</v>
      </c>
      <c r="AA7204">
        <v>0.97430799999999995</v>
      </c>
      <c r="AB7204">
        <v>23</v>
      </c>
      <c r="AC7204">
        <v>22.457899999999899</v>
      </c>
      <c r="AD7204">
        <v>-1.115224639811</v>
      </c>
      <c r="AE7204">
        <v>3.1833800000000099</v>
      </c>
      <c r="AF7204">
        <v>-5.1200728572693599</v>
      </c>
      <c r="AG7204">
        <v>-1.115224639811</v>
      </c>
      <c r="AH7204">
        <v>22.040816076204599</v>
      </c>
      <c r="AI7204">
        <v>92.821586288394201</v>
      </c>
      <c r="AJ7204">
        <v>103.077839325491</v>
      </c>
      <c r="AK7204">
        <v>22.655163768246499</v>
      </c>
      <c r="AL7204">
        <v>87.716185894691904</v>
      </c>
      <c r="AM7204">
        <v>93.5776979431933</v>
      </c>
      <c r="AN7204">
        <v>0.99999996583910999</v>
      </c>
    </row>
    <row r="7205" spans="1:40" x14ac:dyDescent="0.25">
      <c r="A7205" t="str">
        <f>"20190312160513321"</f>
        <v>20190312160513321</v>
      </c>
      <c r="B7205" t="str">
        <f>"1552377913312593"</f>
        <v>1552377913312593</v>
      </c>
      <c r="C7205" t="s">
        <v>40</v>
      </c>
      <c r="D7205">
        <v>6.0939209999999999</v>
      </c>
      <c r="E7205">
        <v>0.43659199999999998</v>
      </c>
      <c r="F7205" t="s">
        <v>121</v>
      </c>
      <c r="G7205">
        <v>-258.92630000000003</v>
      </c>
      <c r="H7205" s="1">
        <v>-3.7343859999999998E-6</v>
      </c>
      <c r="I7205">
        <v>-65.423100000000005</v>
      </c>
      <c r="J7205">
        <v>-280.99310000000003</v>
      </c>
      <c r="K7205">
        <v>1.1151519999999999</v>
      </c>
      <c r="L7205">
        <v>-68.610380000000006</v>
      </c>
      <c r="M7205">
        <v>0.99646089999999998</v>
      </c>
      <c r="N7205">
        <v>0</v>
      </c>
      <c r="O7205">
        <v>-8.3080490000000007E-2</v>
      </c>
      <c r="P7205">
        <v>0.99936800000000003</v>
      </c>
      <c r="Q7205">
        <v>2.8117159999999999E-2</v>
      </c>
      <c r="R7205">
        <v>-2.175477E-2</v>
      </c>
      <c r="S7205">
        <v>3.0174259999999999</v>
      </c>
      <c r="T7205">
        <v>-0.151715299999999</v>
      </c>
      <c r="U7205">
        <v>0.43289179999999999</v>
      </c>
      <c r="V7205">
        <v>-6.1852499999999998E-2</v>
      </c>
      <c r="W7205">
        <v>4.011443E-2</v>
      </c>
      <c r="X7205">
        <v>0.99727889999999997</v>
      </c>
      <c r="Y7205">
        <v>-0.2233839</v>
      </c>
      <c r="Z7205">
        <v>9.7400809999999994E-3</v>
      </c>
      <c r="AA7205">
        <v>0.97468189999999999</v>
      </c>
      <c r="AB7205">
        <v>23</v>
      </c>
      <c r="AC7205">
        <v>22.066800000000001</v>
      </c>
      <c r="AD7205">
        <v>-1.1151557343859999</v>
      </c>
      <c r="AE7205">
        <v>3.1872799999999999</v>
      </c>
      <c r="AF7205">
        <v>-4.99722825622991</v>
      </c>
      <c r="AG7205">
        <v>-1.1151557343859999</v>
      </c>
      <c r="AH7205">
        <v>21.671462411543899</v>
      </c>
      <c r="AI7205">
        <v>92.870494651533093</v>
      </c>
      <c r="AJ7205">
        <v>102.984880876315</v>
      </c>
      <c r="AK7205">
        <v>22.268097036158199</v>
      </c>
      <c r="AL7205">
        <v>87.700995720745098</v>
      </c>
      <c r="AM7205">
        <v>93.549010858155697</v>
      </c>
      <c r="AN7205">
        <v>1.00000005181784</v>
      </c>
    </row>
    <row r="7206" spans="1:40" x14ac:dyDescent="0.25">
      <c r="A7206" t="str">
        <f>"20190312160513334"</f>
        <v>20190312160513334</v>
      </c>
      <c r="B7206" t="str">
        <f>"1552377913322353"</f>
        <v>1552377913322353</v>
      </c>
      <c r="C7206" t="s">
        <v>40</v>
      </c>
      <c r="D7206">
        <v>5.9778580000000003</v>
      </c>
      <c r="E7206">
        <v>0.43735570000000001</v>
      </c>
      <c r="F7206" t="s">
        <v>121</v>
      </c>
      <c r="G7206">
        <v>-258.72289999999998</v>
      </c>
      <c r="H7206" s="1">
        <v>-3.6527089999999998E-6</v>
      </c>
      <c r="I7206">
        <v>-65.329899999999995</v>
      </c>
      <c r="J7206">
        <v>-280.87740000000002</v>
      </c>
      <c r="K7206">
        <v>1.1150850000000001</v>
      </c>
      <c r="L7206">
        <v>-68.615259999999907</v>
      </c>
      <c r="M7206">
        <v>0.99680760000000002</v>
      </c>
      <c r="N7206">
        <v>0</v>
      </c>
      <c r="O7206">
        <v>-7.8810829999999998E-2</v>
      </c>
      <c r="P7206">
        <v>0.99943990000000005</v>
      </c>
      <c r="Q7206">
        <v>2.815229E-2</v>
      </c>
      <c r="R7206">
        <v>-1.8092049999999998E-2</v>
      </c>
      <c r="S7206">
        <v>3.0158390000000002</v>
      </c>
      <c r="T7206">
        <v>-0.15101519999999999</v>
      </c>
      <c r="U7206">
        <v>0.44424439999999998</v>
      </c>
      <c r="V7206">
        <v>-6.1228459999999998E-2</v>
      </c>
      <c r="W7206">
        <v>4.0166840000000002E-2</v>
      </c>
      <c r="X7206">
        <v>0.99731519999999996</v>
      </c>
      <c r="Y7206">
        <v>-0.22288279999999999</v>
      </c>
      <c r="Z7206">
        <v>9.4726740000000004E-3</v>
      </c>
      <c r="AA7206">
        <v>0.97479919999999998</v>
      </c>
      <c r="AB7206">
        <v>23</v>
      </c>
      <c r="AC7206">
        <v>22.154499999999999</v>
      </c>
      <c r="AD7206">
        <v>-1.115088652709</v>
      </c>
      <c r="AE7206">
        <v>3.2853599999999901</v>
      </c>
      <c r="AF7206">
        <v>-5.0088805656098296</v>
      </c>
      <c r="AG7206">
        <v>-1.115088652709</v>
      </c>
      <c r="AH7206">
        <v>21.7726651310733</v>
      </c>
      <c r="AI7206">
        <v>92.857337520054998</v>
      </c>
      <c r="AJ7206">
        <v>102.955682662657</v>
      </c>
      <c r="AK7206">
        <v>22.369203252100899</v>
      </c>
      <c r="AL7206">
        <v>87.697990201075498</v>
      </c>
      <c r="AM7206">
        <v>93.513166892861705</v>
      </c>
      <c r="AN7206">
        <v>0.99999995375029704</v>
      </c>
    </row>
    <row r="7207" spans="1:40" x14ac:dyDescent="0.25">
      <c r="A7207" t="str">
        <f>"20190312160513343"</f>
        <v>20190312160513343</v>
      </c>
      <c r="B7207" t="str">
        <f>"1552377913332113"</f>
        <v>1552377913332113</v>
      </c>
      <c r="C7207" t="s">
        <v>40</v>
      </c>
      <c r="D7207">
        <v>5.9582100000000002</v>
      </c>
      <c r="E7207">
        <v>0.43808609999999998</v>
      </c>
      <c r="F7207" t="s">
        <v>121</v>
      </c>
      <c r="G7207">
        <v>-258.70159999999998</v>
      </c>
      <c r="H7207" s="1">
        <v>-3.6428679999999998E-6</v>
      </c>
      <c r="I7207">
        <v>-65.31062</v>
      </c>
      <c r="J7207">
        <v>-280.77359999999999</v>
      </c>
      <c r="K7207">
        <v>1.1150230000000001</v>
      </c>
      <c r="L7207">
        <v>-68.619290000000007</v>
      </c>
      <c r="M7207">
        <v>0.99710019999999999</v>
      </c>
      <c r="N7207">
        <v>0</v>
      </c>
      <c r="O7207">
        <v>-7.5018879999999996E-2</v>
      </c>
      <c r="P7207">
        <v>0.99948809999999999</v>
      </c>
      <c r="Q7207">
        <v>2.8184669999999998E-2</v>
      </c>
      <c r="R7207">
        <v>-1.5145250000000001E-2</v>
      </c>
      <c r="S7207">
        <v>3.0140690000000001</v>
      </c>
      <c r="T7207">
        <v>-0.15155950000000001</v>
      </c>
      <c r="U7207">
        <v>0.44915769999999999</v>
      </c>
      <c r="V7207">
        <v>-6.0369930000000002E-2</v>
      </c>
      <c r="W7207">
        <v>4.0217349999999999E-2</v>
      </c>
      <c r="X7207">
        <v>0.99736550000000002</v>
      </c>
      <c r="Y7207">
        <v>-0.2208164</v>
      </c>
      <c r="Z7207">
        <v>9.2699500000000008E-3</v>
      </c>
      <c r="AA7207">
        <v>0.97527129999999995</v>
      </c>
      <c r="AB7207">
        <v>23</v>
      </c>
      <c r="AC7207">
        <v>22.071999999999999</v>
      </c>
      <c r="AD7207">
        <v>-1.11502664286799</v>
      </c>
      <c r="AE7207">
        <v>3.3086700000000002</v>
      </c>
      <c r="AF7207">
        <v>-4.94295961432287</v>
      </c>
      <c r="AG7207">
        <v>-1.11502664286799</v>
      </c>
      <c r="AH7207">
        <v>21.7073798796171</v>
      </c>
      <c r="AI7207">
        <v>92.867217027711106</v>
      </c>
      <c r="AJ7207">
        <v>102.82801724476199</v>
      </c>
      <c r="AK7207">
        <v>22.290950527089201</v>
      </c>
      <c r="AL7207">
        <v>87.6950938470696</v>
      </c>
      <c r="AM7207">
        <v>93.463852680770799</v>
      </c>
      <c r="AN7207">
        <v>0.99999995213973703</v>
      </c>
    </row>
    <row r="7208" spans="1:40" x14ac:dyDescent="0.25">
      <c r="A7208" t="str">
        <f>"20190312160513355"</f>
        <v>20190312160513355</v>
      </c>
      <c r="B7208" t="str">
        <f>"1552377913352610"</f>
        <v>1552377913352610</v>
      </c>
      <c r="C7208" t="s">
        <v>40</v>
      </c>
      <c r="D7208">
        <v>5.9202380000000003</v>
      </c>
      <c r="E7208">
        <v>0.43955509999999898</v>
      </c>
      <c r="F7208" t="s">
        <v>121</v>
      </c>
      <c r="G7208">
        <v>-258.84649999999999</v>
      </c>
      <c r="H7208" s="1">
        <v>-3.6943860000000002E-6</v>
      </c>
      <c r="I7208">
        <v>-65.327179999999998</v>
      </c>
      <c r="J7208">
        <v>-280.65539999999999</v>
      </c>
      <c r="K7208">
        <v>1.114954</v>
      </c>
      <c r="L7208">
        <v>-68.623379999999997</v>
      </c>
      <c r="M7208">
        <v>0.99741080000000004</v>
      </c>
      <c r="N7208">
        <v>0</v>
      </c>
      <c r="O7208">
        <v>-7.0770860000000005E-2</v>
      </c>
      <c r="P7208">
        <v>0.99953590000000003</v>
      </c>
      <c r="Q7208">
        <v>2.8224880000000001E-2</v>
      </c>
      <c r="R7208">
        <v>-1.146689E-2</v>
      </c>
      <c r="S7208">
        <v>3.012756</v>
      </c>
      <c r="T7208">
        <v>-0.15320310000000001</v>
      </c>
      <c r="U7208">
        <v>0.4523315</v>
      </c>
      <c r="V7208">
        <v>-5.9784829999999997E-2</v>
      </c>
      <c r="W7208">
        <v>4.0271660000000001E-2</v>
      </c>
      <c r="X7208">
        <v>0.99739860000000002</v>
      </c>
      <c r="Y7208">
        <v>-0.21772910000000001</v>
      </c>
      <c r="Z7208">
        <v>9.0808320000000005E-3</v>
      </c>
      <c r="AA7208">
        <v>0.97596700000000003</v>
      </c>
      <c r="AB7208">
        <v>23</v>
      </c>
      <c r="AC7208">
        <v>21.808899999999898</v>
      </c>
      <c r="AD7208">
        <v>-1.114957694386</v>
      </c>
      <c r="AE7208">
        <v>3.29620000000001</v>
      </c>
      <c r="AF7208">
        <v>-4.8191799082474898</v>
      </c>
      <c r="AG7208">
        <v>-1.114957694386</v>
      </c>
      <c r="AH7208">
        <v>21.466061461138398</v>
      </c>
      <c r="AI7208">
        <v>92.901213144804402</v>
      </c>
      <c r="AJ7208">
        <v>102.653237892009</v>
      </c>
      <c r="AK7208">
        <v>22.028604592703999</v>
      </c>
      <c r="AL7208">
        <v>87.691979700423403</v>
      </c>
      <c r="AM7208">
        <v>93.430248317673104</v>
      </c>
      <c r="AN7208">
        <v>0.99999999988962196</v>
      </c>
    </row>
    <row r="7209" spans="1:40" x14ac:dyDescent="0.25">
      <c r="A7209" t="str">
        <f>"20190312160513366"</f>
        <v>20190312160513366</v>
      </c>
      <c r="B7209" t="str">
        <f>"1552377913362369"</f>
        <v>1552377913362369</v>
      </c>
      <c r="C7209" t="s">
        <v>40</v>
      </c>
      <c r="D7209">
        <v>5.9578419999999896</v>
      </c>
      <c r="E7209">
        <v>0.43955509999999898</v>
      </c>
      <c r="F7209" t="s">
        <v>121</v>
      </c>
      <c r="G7209">
        <v>-259.22570000000002</v>
      </c>
      <c r="H7209" s="1">
        <v>-3.8343169999999997E-6</v>
      </c>
      <c r="I7209">
        <v>-65.408630000000002</v>
      </c>
      <c r="J7209">
        <v>-280.541</v>
      </c>
      <c r="K7209">
        <v>1.114886</v>
      </c>
      <c r="L7209">
        <v>-68.627139999999997</v>
      </c>
      <c r="M7209">
        <v>0.99769200000000002</v>
      </c>
      <c r="N7209">
        <v>0</v>
      </c>
      <c r="O7209">
        <v>-6.6689639999999994E-2</v>
      </c>
      <c r="P7209">
        <v>0.99956350000000005</v>
      </c>
      <c r="Q7209">
        <v>2.8410419999999999E-2</v>
      </c>
      <c r="R7209">
        <v>-8.1321229999999998E-3</v>
      </c>
      <c r="S7209">
        <v>3.0109859999999999</v>
      </c>
      <c r="T7209">
        <v>-0.15665750000000001</v>
      </c>
      <c r="U7209">
        <v>0.4516907</v>
      </c>
      <c r="V7209">
        <v>-5.9026700000000001E-2</v>
      </c>
      <c r="W7209">
        <v>4.0473200000000001E-2</v>
      </c>
      <c r="X7209">
        <v>0.99743559999999998</v>
      </c>
      <c r="Y7209">
        <v>-0.2136093</v>
      </c>
      <c r="Z7209">
        <v>8.9731369999999904E-3</v>
      </c>
      <c r="AA7209">
        <v>0.97687800000000002</v>
      </c>
      <c r="AB7209">
        <v>23</v>
      </c>
      <c r="AC7209">
        <v>21.315299999999901</v>
      </c>
      <c r="AD7209">
        <v>-1.114889834317</v>
      </c>
      <c r="AE7209">
        <v>3.21850999999999</v>
      </c>
      <c r="AF7209">
        <v>-4.62061016309928</v>
      </c>
      <c r="AG7209">
        <v>-1.114889834317</v>
      </c>
      <c r="AH7209">
        <v>20.997017941515999</v>
      </c>
      <c r="AI7209">
        <v>92.968514184517403</v>
      </c>
      <c r="AJ7209">
        <v>102.41071417137999</v>
      </c>
      <c r="AK7209">
        <v>21.528301838703999</v>
      </c>
      <c r="AL7209">
        <v>87.680422895560099</v>
      </c>
      <c r="AM7209">
        <v>93.386725983610305</v>
      </c>
      <c r="AN7209">
        <v>1.00000000368924</v>
      </c>
    </row>
    <row r="7210" spans="1:40" x14ac:dyDescent="0.25">
      <c r="A7210" t="str">
        <f>"20190312160513388"</f>
        <v>20190312160513388</v>
      </c>
      <c r="B7210" t="str">
        <f>"1552377913381888"</f>
        <v>1552377913381888</v>
      </c>
      <c r="C7210" t="s">
        <v>40</v>
      </c>
      <c r="D7210">
        <v>5.9801449999999896</v>
      </c>
      <c r="E7210">
        <v>0.450206</v>
      </c>
      <c r="F7210" t="s">
        <v>121</v>
      </c>
      <c r="G7210">
        <v>-259.06869999999998</v>
      </c>
      <c r="H7210" s="1">
        <v>-3.7708259999999998E-6</v>
      </c>
      <c r="I7210">
        <v>-65.333209999999994</v>
      </c>
      <c r="J7210">
        <v>-280.32830000000001</v>
      </c>
      <c r="K7210">
        <v>1.114754</v>
      </c>
      <c r="L7210">
        <v>-68.632660000000001</v>
      </c>
      <c r="M7210">
        <v>0.99815920000000002</v>
      </c>
      <c r="N7210">
        <v>0</v>
      </c>
      <c r="O7210">
        <v>-5.9291499999999997E-2</v>
      </c>
      <c r="P7210">
        <v>0.99960329999999997</v>
      </c>
      <c r="Q7210">
        <v>2.8101310000000001E-2</v>
      </c>
      <c r="R7210">
        <v>-1.9432500000000001E-3</v>
      </c>
      <c r="S7210">
        <v>3.0095209999999999</v>
      </c>
      <c r="T7210">
        <v>-0.15626080000000001</v>
      </c>
      <c r="U7210">
        <v>0.46166990000000002</v>
      </c>
      <c r="V7210">
        <v>-5.7791670000000003E-2</v>
      </c>
      <c r="W7210">
        <v>4.0189229999999999E-2</v>
      </c>
      <c r="X7210">
        <v>0.99751939999999995</v>
      </c>
      <c r="Y7210">
        <v>-0.20961859999999999</v>
      </c>
      <c r="Z7210">
        <v>8.4676839999999996E-3</v>
      </c>
      <c r="AA7210">
        <v>0.97774649999999996</v>
      </c>
      <c r="AB7210">
        <v>23</v>
      </c>
      <c r="AC7210">
        <v>21.259599999999999</v>
      </c>
      <c r="AD7210">
        <v>-1.1147577708259999</v>
      </c>
      <c r="AE7210">
        <v>3.2994500000000002</v>
      </c>
      <c r="AF7210">
        <v>-4.5420659146482203</v>
      </c>
      <c r="AG7210">
        <v>-1.1147577708259999</v>
      </c>
      <c r="AH7210">
        <v>20.970245667076298</v>
      </c>
      <c r="AI7210">
        <v>92.974088431835099</v>
      </c>
      <c r="AJ7210">
        <v>102.221241133741</v>
      </c>
      <c r="AK7210">
        <v>21.485442769423202</v>
      </c>
      <c r="AL7210">
        <v>87.696706423825702</v>
      </c>
      <c r="AM7210">
        <v>93.315746554375906</v>
      </c>
      <c r="AN7210">
        <v>1.0000000023528699</v>
      </c>
    </row>
    <row r="7211" spans="1:40" x14ac:dyDescent="0.25">
      <c r="A7211" t="str">
        <f>"20190312160513399"</f>
        <v>20190312160513399</v>
      </c>
      <c r="B7211" t="str">
        <f>"1552377913392625"</f>
        <v>1552377913392625</v>
      </c>
      <c r="C7211" t="s">
        <v>40</v>
      </c>
      <c r="D7211">
        <v>6.0077530000000001</v>
      </c>
      <c r="E7211">
        <v>0.4500094</v>
      </c>
      <c r="F7211" t="s">
        <v>121</v>
      </c>
      <c r="G7211">
        <v>-259.48020000000002</v>
      </c>
      <c r="H7211" s="1">
        <v>-3.9856569999999997E-6</v>
      </c>
      <c r="I7211">
        <v>-65.89282</v>
      </c>
      <c r="J7211">
        <v>-280.21780000000001</v>
      </c>
      <c r="K7211">
        <v>1.1146830000000001</v>
      </c>
      <c r="L7211">
        <v>-68.634950000000003</v>
      </c>
      <c r="M7211">
        <v>0.99837430000000005</v>
      </c>
      <c r="N7211">
        <v>0</v>
      </c>
      <c r="O7211">
        <v>-5.5550330000000002E-2</v>
      </c>
      <c r="P7211">
        <v>0.99961860000000002</v>
      </c>
      <c r="Q7211">
        <v>2.758269E-2</v>
      </c>
      <c r="R7211">
        <v>1.3559290000000001E-3</v>
      </c>
      <c r="S7211">
        <v>3.0065</v>
      </c>
      <c r="T7211">
        <v>-0.16075929999999999</v>
      </c>
      <c r="U7211">
        <v>0.39511109999999999</v>
      </c>
      <c r="V7211">
        <v>-5.7332880000000003E-2</v>
      </c>
      <c r="W7211">
        <v>3.9679430000000002E-2</v>
      </c>
      <c r="X7211">
        <v>0.99756630000000002</v>
      </c>
      <c r="Y7211">
        <v>-0.18484049999999999</v>
      </c>
      <c r="Z7211">
        <v>7.8744350000000008E-3</v>
      </c>
      <c r="AA7211">
        <v>0.98273699999999997</v>
      </c>
      <c r="AB7211">
        <v>23</v>
      </c>
      <c r="AC7211">
        <v>20.737599999999901</v>
      </c>
      <c r="AD7211">
        <v>-1.1146869856569901</v>
      </c>
      <c r="AE7211">
        <v>2.74213</v>
      </c>
      <c r="AF7211">
        <v>-3.8789547520818002</v>
      </c>
      <c r="AG7211">
        <v>-1.1146869856569901</v>
      </c>
      <c r="AH7211">
        <v>20.495036754639798</v>
      </c>
      <c r="AI7211">
        <v>93.058945215258206</v>
      </c>
      <c r="AJ7211">
        <v>100.717212924218</v>
      </c>
      <c r="AK7211">
        <v>20.888641617365401</v>
      </c>
      <c r="AL7211">
        <v>87.725939170442203</v>
      </c>
      <c r="AM7211">
        <v>93.289327600674198</v>
      </c>
      <c r="AN7211">
        <v>1.0000000195949501</v>
      </c>
    </row>
    <row r="7212" spans="1:40" x14ac:dyDescent="0.25">
      <c r="A7212" t="str">
        <f>"20190312160513411"</f>
        <v>20190312160513411</v>
      </c>
      <c r="B7212" t="str">
        <f>"1552377913402386"</f>
        <v>1552377913402386</v>
      </c>
      <c r="C7212" t="s">
        <v>40</v>
      </c>
      <c r="D7212">
        <v>5.9435349999999998</v>
      </c>
      <c r="E7212">
        <v>0.4501734</v>
      </c>
      <c r="F7212" t="s">
        <v>121</v>
      </c>
      <c r="G7212">
        <v>-259.3809</v>
      </c>
      <c r="H7212" s="1">
        <v>-3.9416450000000003E-6</v>
      </c>
      <c r="I7212">
        <v>-65.816379999999995</v>
      </c>
      <c r="J7212">
        <v>-280.10829999999999</v>
      </c>
      <c r="K7212">
        <v>1.114614</v>
      </c>
      <c r="L7212">
        <v>-68.637019999999893</v>
      </c>
      <c r="M7212">
        <v>0.99857269999999998</v>
      </c>
      <c r="N7212">
        <v>0</v>
      </c>
      <c r="O7212">
        <v>-5.1863769999999997E-2</v>
      </c>
      <c r="P7212">
        <v>0.99962390000000001</v>
      </c>
      <c r="Q7212">
        <v>2.70923E-2</v>
      </c>
      <c r="R7212">
        <v>4.3011869999999997E-3</v>
      </c>
      <c r="S7212">
        <v>3.005096</v>
      </c>
      <c r="T7212">
        <v>-0.16075999999999999</v>
      </c>
      <c r="U7212">
        <v>0.40649410000000002</v>
      </c>
      <c r="V7212">
        <v>-5.6578080000000003E-2</v>
      </c>
      <c r="W7212">
        <v>3.920154E-2</v>
      </c>
      <c r="X7212">
        <v>0.99762830000000002</v>
      </c>
      <c r="Y7212">
        <v>-0.18493380000000001</v>
      </c>
      <c r="Z7212">
        <v>7.6823759999999899E-3</v>
      </c>
      <c r="AA7212">
        <v>0.98272099999999996</v>
      </c>
      <c r="AB7212">
        <v>23</v>
      </c>
      <c r="AC7212">
        <v>20.7273999999999</v>
      </c>
      <c r="AD7212">
        <v>-1.1146179416449999</v>
      </c>
      <c r="AE7212">
        <v>2.8206399999999801</v>
      </c>
      <c r="AF7212">
        <v>-3.8809132267461801</v>
      </c>
      <c r="AG7212">
        <v>-1.1146179416449999</v>
      </c>
      <c r="AH7212">
        <v>20.495009857127702</v>
      </c>
      <c r="AI7212">
        <v>93.058706653747393</v>
      </c>
      <c r="AJ7212">
        <v>100.72251233697</v>
      </c>
      <c r="AK7212">
        <v>20.888975314101302</v>
      </c>
      <c r="AL7212">
        <v>87.753341600284699</v>
      </c>
      <c r="AM7212">
        <v>93.245914795133999</v>
      </c>
      <c r="AN7212">
        <v>1.0000000324178699</v>
      </c>
    </row>
    <row r="7213" spans="1:40" x14ac:dyDescent="0.25">
      <c r="A7213" t="str">
        <f>"20190312160513420"</f>
        <v>20190312160513420</v>
      </c>
      <c r="B7213" t="str">
        <f>"1552377913412145"</f>
        <v>1552377913412145</v>
      </c>
      <c r="C7213" t="s">
        <v>40</v>
      </c>
      <c r="D7213">
        <v>6.004823</v>
      </c>
      <c r="E7213">
        <v>0.45032159999999899</v>
      </c>
      <c r="F7213" t="s">
        <v>121</v>
      </c>
      <c r="G7213">
        <v>-259.93849999999998</v>
      </c>
      <c r="H7213" s="1">
        <v>-4.13685E-6</v>
      </c>
      <c r="I7213">
        <v>-65.857150000000004</v>
      </c>
      <c r="J7213">
        <v>-279.99610000000001</v>
      </c>
      <c r="K7213">
        <v>1.11454599999999</v>
      </c>
      <c r="L7213">
        <v>-68.638639999999995</v>
      </c>
      <c r="M7213">
        <v>0.99875890000000001</v>
      </c>
      <c r="N7213">
        <v>0</v>
      </c>
      <c r="O7213">
        <v>-4.8147309999999999E-2</v>
      </c>
      <c r="P7213">
        <v>0.99961250000000001</v>
      </c>
      <c r="Q7213">
        <v>2.6887680000000001E-2</v>
      </c>
      <c r="R7213">
        <v>7.1893670000000003E-3</v>
      </c>
      <c r="S7213">
        <v>3.0038450000000001</v>
      </c>
      <c r="T7213">
        <v>-0.16599800000000001</v>
      </c>
      <c r="U7213">
        <v>0.41400150000000002</v>
      </c>
      <c r="V7213">
        <v>-5.573885E-2</v>
      </c>
      <c r="W7213">
        <v>3.9008559999999998E-2</v>
      </c>
      <c r="X7213">
        <v>0.99768299999999999</v>
      </c>
      <c r="Y7213">
        <v>-0.18372740000000001</v>
      </c>
      <c r="Z7213">
        <v>7.6967110000000002E-3</v>
      </c>
      <c r="AA7213">
        <v>0.98294709999999996</v>
      </c>
      <c r="AB7213">
        <v>23</v>
      </c>
      <c r="AC7213">
        <v>20.057600000000001</v>
      </c>
      <c r="AD7213">
        <v>-1.1145501368499899</v>
      </c>
      <c r="AE7213">
        <v>2.7814899999999998</v>
      </c>
      <c r="AF7213">
        <v>-3.7327532694406802</v>
      </c>
      <c r="AG7213">
        <v>-1.1145501368499899</v>
      </c>
      <c r="AH7213">
        <v>19.840296314335099</v>
      </c>
      <c r="AI7213">
        <v>93.159948946471005</v>
      </c>
      <c r="AJ7213">
        <v>100.655074871363</v>
      </c>
      <c r="AK7213">
        <v>20.219125273332001</v>
      </c>
      <c r="AL7213">
        <v>87.764406769389595</v>
      </c>
      <c r="AM7213">
        <v>93.197693431135605</v>
      </c>
      <c r="AN7213">
        <v>0.99999992782079505</v>
      </c>
    </row>
    <row r="7214" spans="1:40" x14ac:dyDescent="0.25">
      <c r="A7214" t="str">
        <f>"20190312160513432"</f>
        <v>20190312160513432</v>
      </c>
      <c r="B7214" t="str">
        <f>"1552377913421904"</f>
        <v>1552377913421904</v>
      </c>
      <c r="C7214" t="s">
        <v>40</v>
      </c>
      <c r="D7214">
        <v>6.0184290000000003</v>
      </c>
      <c r="E7214">
        <v>0.4507138</v>
      </c>
      <c r="F7214" t="s">
        <v>121</v>
      </c>
      <c r="G7214">
        <v>-259.7079</v>
      </c>
      <c r="H7214" s="1">
        <v>-4.0496000000000002E-6</v>
      </c>
      <c r="I7214">
        <v>-65.791539999999998</v>
      </c>
      <c r="J7214">
        <v>-279.88720000000001</v>
      </c>
      <c r="K7214">
        <v>1.114482</v>
      </c>
      <c r="L7214">
        <v>-68.639949999999999</v>
      </c>
      <c r="M7214">
        <v>0.99892440000000005</v>
      </c>
      <c r="N7214">
        <v>0</v>
      </c>
      <c r="O7214">
        <v>-4.4583089999999999E-2</v>
      </c>
      <c r="P7214">
        <v>0.99959480000000001</v>
      </c>
      <c r="Q7214">
        <v>2.661852E-2</v>
      </c>
      <c r="R7214">
        <v>1.0079869999999999E-2</v>
      </c>
      <c r="S7214">
        <v>3.0025629999999999</v>
      </c>
      <c r="T7214">
        <v>-0.16494800000000001</v>
      </c>
      <c r="U7214">
        <v>0.42135620000000001</v>
      </c>
      <c r="V7214">
        <v>-5.5054819999999997E-2</v>
      </c>
      <c r="W7214">
        <v>3.8749359999999997E-2</v>
      </c>
      <c r="X7214">
        <v>0.99773109999999998</v>
      </c>
      <c r="Y7214">
        <v>-0.1826498</v>
      </c>
      <c r="Z7214">
        <v>7.4257790000000004E-3</v>
      </c>
      <c r="AA7214">
        <v>0.98314999999999997</v>
      </c>
      <c r="AB7214">
        <v>23</v>
      </c>
      <c r="AC7214">
        <v>20.179300000000001</v>
      </c>
      <c r="AD7214">
        <v>-1.1144860496</v>
      </c>
      <c r="AE7214">
        <v>2.8484099999999999</v>
      </c>
      <c r="AF7214">
        <v>-3.73413832570477</v>
      </c>
      <c r="AG7214">
        <v>-1.1144860496</v>
      </c>
      <c r="AH7214">
        <v>19.972499602194699</v>
      </c>
      <c r="AI7214">
        <v>93.139561762147693</v>
      </c>
      <c r="AJ7214">
        <v>100.58998461053601</v>
      </c>
      <c r="AK7214">
        <v>20.349118127081599</v>
      </c>
      <c r="AL7214">
        <v>87.779269116162993</v>
      </c>
      <c r="AM7214">
        <v>93.158379159736398</v>
      </c>
      <c r="AN7214">
        <v>0.99999994700642403</v>
      </c>
    </row>
    <row r="7215" spans="1:40" x14ac:dyDescent="0.25">
      <c r="A7215" t="str">
        <f>"20190312160513443"</f>
        <v>20190312160513443</v>
      </c>
      <c r="B7215" t="str">
        <f>"1552377913432641"</f>
        <v>1552377913432641</v>
      </c>
      <c r="C7215" t="s">
        <v>40</v>
      </c>
      <c r="D7215">
        <v>6.0110169999999998</v>
      </c>
      <c r="E7215">
        <v>0.45140239999999998</v>
      </c>
      <c r="F7215" t="s">
        <v>121</v>
      </c>
      <c r="G7215">
        <v>-259.35640000000001</v>
      </c>
      <c r="H7215" s="1">
        <v>-3.9204160000000002E-6</v>
      </c>
      <c r="I7215">
        <v>-65.720019999999906</v>
      </c>
      <c r="J7215">
        <v>-279.77800000000002</v>
      </c>
      <c r="K7215">
        <v>1.1144149999999999</v>
      </c>
      <c r="L7215">
        <v>-68.640929999999997</v>
      </c>
      <c r="M7215">
        <v>0.99907550000000001</v>
      </c>
      <c r="N7215">
        <v>0</v>
      </c>
      <c r="O7215">
        <v>-4.105847E-2</v>
      </c>
      <c r="P7215">
        <v>0.99956599999999995</v>
      </c>
      <c r="Q7215">
        <v>2.6691570000000001E-2</v>
      </c>
      <c r="R7215">
        <v>1.2476360000000001E-2</v>
      </c>
      <c r="S7215">
        <v>3.0012819999999998</v>
      </c>
      <c r="T7215">
        <v>-0.16292039999999999</v>
      </c>
      <c r="U7215">
        <v>0.42684939999999999</v>
      </c>
      <c r="V7215">
        <v>-5.392135E-2</v>
      </c>
      <c r="W7215">
        <v>3.8836549999999997E-2</v>
      </c>
      <c r="X7215">
        <v>0.9977897</v>
      </c>
      <c r="Y7215">
        <v>-0.1810185</v>
      </c>
      <c r="Z7215">
        <v>7.1023880000000003E-3</v>
      </c>
      <c r="AA7215">
        <v>0.98345400000000005</v>
      </c>
      <c r="AB7215">
        <v>23</v>
      </c>
      <c r="AC7215">
        <v>20.421600000000002</v>
      </c>
      <c r="AD7215">
        <v>-1.114418920416</v>
      </c>
      <c r="AE7215">
        <v>2.9209100000000201</v>
      </c>
      <c r="AF7215">
        <v>-3.74606230670038</v>
      </c>
      <c r="AG7215">
        <v>-1.114418920416</v>
      </c>
      <c r="AH7215">
        <v>20.225415954942601</v>
      </c>
      <c r="AI7215">
        <v>93.101165790524902</v>
      </c>
      <c r="AJ7215">
        <v>100.493161193765</v>
      </c>
      <c r="AK7215">
        <v>20.5995719102682</v>
      </c>
      <c r="AL7215">
        <v>87.774269935242103</v>
      </c>
      <c r="AM7215">
        <v>93.093300662151904</v>
      </c>
      <c r="AN7215">
        <v>1.0000000375139</v>
      </c>
    </row>
    <row r="7216" spans="1:40" x14ac:dyDescent="0.25">
      <c r="A7216" t="str">
        <f>"20190312160513455"</f>
        <v>20190312160513455</v>
      </c>
      <c r="B7216" t="str">
        <f>"1552377913442401"</f>
        <v>1552377913442401</v>
      </c>
      <c r="C7216" t="s">
        <v>40</v>
      </c>
      <c r="D7216">
        <v>5.9986329999999999</v>
      </c>
      <c r="E7216">
        <v>0.45175799999999999</v>
      </c>
      <c r="F7216" t="s">
        <v>121</v>
      </c>
      <c r="G7216">
        <v>-259.35919999999999</v>
      </c>
      <c r="H7216" s="1">
        <v>-3.9220220000000001E-6</v>
      </c>
      <c r="I7216">
        <v>-65.724919999999997</v>
      </c>
      <c r="J7216">
        <v>-279.6635</v>
      </c>
      <c r="K7216">
        <v>1.1143459999999901</v>
      </c>
      <c r="L7216">
        <v>-68.641509999999997</v>
      </c>
      <c r="M7216">
        <v>0.99921819999999895</v>
      </c>
      <c r="N7216">
        <v>0</v>
      </c>
      <c r="O7216">
        <v>-3.7432310000000003E-2</v>
      </c>
      <c r="P7216">
        <v>0.9995309</v>
      </c>
      <c r="Q7216">
        <v>2.6558789999999999E-2</v>
      </c>
      <c r="R7216">
        <v>1.5262649999999999E-2</v>
      </c>
      <c r="S7216">
        <v>3.0002749999999998</v>
      </c>
      <c r="T7216">
        <v>-0.16374849999999999</v>
      </c>
      <c r="U7216">
        <v>0.42846679999999998</v>
      </c>
      <c r="V7216">
        <v>-5.3073259999999997E-2</v>
      </c>
      <c r="W7216">
        <v>3.8714100000000001E-2</v>
      </c>
      <c r="X7216">
        <v>0.9978399</v>
      </c>
      <c r="Y7216">
        <v>-0.1780204</v>
      </c>
      <c r="Z7216">
        <v>6.8622600000000002E-3</v>
      </c>
      <c r="AA7216">
        <v>0.98400290000000001</v>
      </c>
      <c r="AB7216">
        <v>23</v>
      </c>
      <c r="AC7216">
        <v>20.304300000000001</v>
      </c>
      <c r="AD7216">
        <v>-1.1143499220219999</v>
      </c>
      <c r="AE7216">
        <v>2.9165899999999998</v>
      </c>
      <c r="AF7216">
        <v>-3.6638313078086</v>
      </c>
      <c r="AG7216">
        <v>-1.1143499220219999</v>
      </c>
      <c r="AH7216">
        <v>20.121501818146399</v>
      </c>
      <c r="AI7216">
        <v>93.118687546808403</v>
      </c>
      <c r="AJ7216">
        <v>100.31966520965899</v>
      </c>
      <c r="AK7216">
        <v>20.482682222269101</v>
      </c>
      <c r="AL7216">
        <v>87.781291020665506</v>
      </c>
      <c r="AM7216">
        <v>93.044587751286002</v>
      </c>
      <c r="AN7216">
        <v>1.0000000092489201</v>
      </c>
    </row>
    <row r="7217" spans="1:40" x14ac:dyDescent="0.25">
      <c r="A7217" t="str">
        <f>"20190312160513466"</f>
        <v>20190312160513466</v>
      </c>
      <c r="B7217" t="str">
        <f>"1552377913461921"</f>
        <v>1552377913461921</v>
      </c>
      <c r="C7217" t="s">
        <v>40</v>
      </c>
      <c r="D7217">
        <v>6.0616120000000002</v>
      </c>
      <c r="E7217">
        <v>0.45290449999999999</v>
      </c>
      <c r="F7217" t="s">
        <v>121</v>
      </c>
      <c r="G7217">
        <v>-259.41000000000003</v>
      </c>
      <c r="H7217" s="1">
        <v>-3.937362E-6</v>
      </c>
      <c r="I7217">
        <v>-65.710319999999996</v>
      </c>
      <c r="J7217">
        <v>-279.5471</v>
      </c>
      <c r="K7217">
        <v>1.114274</v>
      </c>
      <c r="L7217">
        <v>-68.641940000000005</v>
      </c>
      <c r="M7217">
        <v>0.99934849999999997</v>
      </c>
      <c r="N7217">
        <v>0</v>
      </c>
      <c r="O7217">
        <v>-3.3779240000000002E-2</v>
      </c>
      <c r="P7217">
        <v>0.99948519999999996</v>
      </c>
      <c r="Q7217">
        <v>2.6584090000000001E-2</v>
      </c>
      <c r="R7217">
        <v>1.796358E-2</v>
      </c>
      <c r="S7217">
        <v>2.9991460000000001</v>
      </c>
      <c r="T7217">
        <v>-0.165013299999999</v>
      </c>
      <c r="U7217">
        <v>0.43405149999999998</v>
      </c>
      <c r="V7217">
        <v>-5.2114889999999997E-2</v>
      </c>
      <c r="W7217">
        <v>3.875174E-2</v>
      </c>
      <c r="X7217">
        <v>0.99788889999999997</v>
      </c>
      <c r="Y7217">
        <v>-0.17627319999999999</v>
      </c>
      <c r="Z7217">
        <v>6.6691060000000002E-3</v>
      </c>
      <c r="AA7217">
        <v>0.98431869999999999</v>
      </c>
      <c r="AB7217">
        <v>23</v>
      </c>
      <c r="AC7217">
        <v>20.137099999999901</v>
      </c>
      <c r="AD7217">
        <v>-1.114277937362</v>
      </c>
      <c r="AE7217">
        <v>2.9316200000000001</v>
      </c>
      <c r="AF7217">
        <v>-3.59942519228749</v>
      </c>
      <c r="AG7217">
        <v>-1.114277937362</v>
      </c>
      <c r="AH7217">
        <v>19.966702878750301</v>
      </c>
      <c r="AI7217">
        <v>93.143613548272199</v>
      </c>
      <c r="AJ7217">
        <v>100.219034269056</v>
      </c>
      <c r="AK7217">
        <v>20.3191215579036</v>
      </c>
      <c r="AL7217">
        <v>87.779132673970196</v>
      </c>
      <c r="AM7217">
        <v>92.989564245865907</v>
      </c>
      <c r="AN7217">
        <v>0.99999995792797403</v>
      </c>
    </row>
    <row r="7218" spans="1:40" x14ac:dyDescent="0.25">
      <c r="A7218" t="str">
        <f>"20190312160513478"</f>
        <v>20190312160513478</v>
      </c>
      <c r="B7218" t="str">
        <f>"1552377913472657"</f>
        <v>1552377913472657</v>
      </c>
      <c r="C7218" t="s">
        <v>40</v>
      </c>
      <c r="D7218">
        <v>6.0586849999999997</v>
      </c>
      <c r="E7218">
        <v>0.45290449999999999</v>
      </c>
      <c r="F7218" t="s">
        <v>121</v>
      </c>
      <c r="G7218">
        <v>-259.39280000000002</v>
      </c>
      <c r="H7218" s="1">
        <v>-3.93434E-6</v>
      </c>
      <c r="I7218">
        <v>-65.731539999999995</v>
      </c>
      <c r="J7218">
        <v>-279.42750000000001</v>
      </c>
      <c r="K7218">
        <v>1.1141989999999999</v>
      </c>
      <c r="L7218">
        <v>-68.641750000000002</v>
      </c>
      <c r="M7218">
        <v>0.99946480000000004</v>
      </c>
      <c r="N7218">
        <v>0</v>
      </c>
      <c r="O7218">
        <v>-3.0141109999999999E-2</v>
      </c>
      <c r="P7218">
        <v>0.99943070000000001</v>
      </c>
      <c r="Q7218">
        <v>2.6481370000000001E-2</v>
      </c>
      <c r="R7218">
        <v>2.0903109999999999E-2</v>
      </c>
      <c r="S7218">
        <v>2.9981689999999999</v>
      </c>
      <c r="T7218">
        <v>-0.16576080000000001</v>
      </c>
      <c r="U7218">
        <v>0.43295289999999997</v>
      </c>
      <c r="V7218">
        <v>-5.1407979999999999E-2</v>
      </c>
      <c r="W7218">
        <v>3.865644E-2</v>
      </c>
      <c r="X7218">
        <v>0.99792930000000002</v>
      </c>
      <c r="Y7218">
        <v>-0.17238909999999999</v>
      </c>
      <c r="Z7218">
        <v>6.3947359999999998E-3</v>
      </c>
      <c r="AA7218">
        <v>0.9850082</v>
      </c>
      <c r="AB7218">
        <v>23</v>
      </c>
      <c r="AC7218">
        <v>20.034699999999901</v>
      </c>
      <c r="AD7218">
        <v>-1.11420293434</v>
      </c>
      <c r="AE7218">
        <v>2.9102100000000002</v>
      </c>
      <c r="AF7218">
        <v>-3.5021964064142801</v>
      </c>
      <c r="AG7218">
        <v>-1.11420293434</v>
      </c>
      <c r="AH7218">
        <v>19.8776629873452</v>
      </c>
      <c r="AI7218">
        <v>93.159678186817999</v>
      </c>
      <c r="AJ7218">
        <v>99.992250979016504</v>
      </c>
      <c r="AK7218">
        <v>20.214556974775999</v>
      </c>
      <c r="AL7218">
        <v>87.784597136938402</v>
      </c>
      <c r="AM7218">
        <v>92.948965336394195</v>
      </c>
      <c r="AN7218">
        <v>0.999999994279822</v>
      </c>
    </row>
    <row r="7219" spans="1:40" x14ac:dyDescent="0.25">
      <c r="A7219" t="str">
        <f>"20190312160513490"</f>
        <v>20190312160513490</v>
      </c>
      <c r="B7219" t="str">
        <f>"1552377913482419"</f>
        <v>1552377913482419</v>
      </c>
      <c r="C7219" t="s">
        <v>40</v>
      </c>
      <c r="D7219">
        <v>6.0225090000000003</v>
      </c>
      <c r="E7219">
        <v>0.45242139999999997</v>
      </c>
      <c r="F7219" t="s">
        <v>121</v>
      </c>
      <c r="G7219">
        <v>-259.34280000000001</v>
      </c>
      <c r="H7219" s="1">
        <v>-3.9106859999999997E-6</v>
      </c>
      <c r="I7219">
        <v>-65.681849999999997</v>
      </c>
      <c r="J7219">
        <v>-279.32100000000003</v>
      </c>
      <c r="K7219">
        <v>1.1141299999999901</v>
      </c>
      <c r="L7219">
        <v>-68.641480000000001</v>
      </c>
      <c r="M7219">
        <v>0.99955669999999996</v>
      </c>
      <c r="N7219">
        <v>0</v>
      </c>
      <c r="O7219">
        <v>-2.693011E-2</v>
      </c>
      <c r="P7219">
        <v>0.99938360000000004</v>
      </c>
      <c r="Q7219">
        <v>2.616636E-2</v>
      </c>
      <c r="R7219">
        <v>2.3410130000000001E-2</v>
      </c>
      <c r="S7219">
        <v>2.9968569999999999</v>
      </c>
      <c r="T7219">
        <v>-0.16625139999999999</v>
      </c>
      <c r="U7219">
        <v>0.4416504</v>
      </c>
      <c r="V7219">
        <v>-5.069622E-2</v>
      </c>
      <c r="W7219">
        <v>3.8349590000000003E-2</v>
      </c>
      <c r="X7219">
        <v>0.99797760000000002</v>
      </c>
      <c r="Y7219">
        <v>-0.172088299999999</v>
      </c>
      <c r="Z7219">
        <v>6.2296180000000001E-3</v>
      </c>
      <c r="AA7219">
        <v>0.98506179999999999</v>
      </c>
      <c r="AB7219">
        <v>23</v>
      </c>
      <c r="AC7219">
        <v>19.978199999999902</v>
      </c>
      <c r="AD7219">
        <v>-1.11413391068599</v>
      </c>
      <c r="AE7219">
        <v>2.9596300000000002</v>
      </c>
      <c r="AF7219">
        <v>-3.4860062111222798</v>
      </c>
      <c r="AG7219">
        <v>-1.11413391068599</v>
      </c>
      <c r="AH7219">
        <v>19.8308936695692</v>
      </c>
      <c r="AI7219">
        <v>93.167135327042004</v>
      </c>
      <c r="AJ7219">
        <v>99.969971646709894</v>
      </c>
      <c r="AK7219">
        <v>20.165760025565199</v>
      </c>
      <c r="AL7219">
        <v>87.802191502669004</v>
      </c>
      <c r="AM7219">
        <v>92.908066036175995</v>
      </c>
      <c r="AN7219">
        <v>1.0000000439386001</v>
      </c>
    </row>
    <row r="7220" spans="1:40" x14ac:dyDescent="0.25">
      <c r="A7220" t="str">
        <f>"20190312160513499"</f>
        <v>20190312160513499</v>
      </c>
      <c r="B7220" t="str">
        <f>"1552377913492178"</f>
        <v>1552377913492178</v>
      </c>
      <c r="C7220" t="s">
        <v>40</v>
      </c>
      <c r="D7220">
        <v>5.8958919999999999</v>
      </c>
      <c r="E7220">
        <v>0.45242139999999997</v>
      </c>
      <c r="F7220" t="s">
        <v>121</v>
      </c>
      <c r="G7220">
        <v>-259.01780000000002</v>
      </c>
      <c r="H7220" s="1">
        <v>-3.7853329999999998E-6</v>
      </c>
      <c r="I7220">
        <v>-65.571529999999996</v>
      </c>
      <c r="J7220">
        <v>-279.209</v>
      </c>
      <c r="K7220">
        <v>1.1140479999999999</v>
      </c>
      <c r="L7220">
        <v>-68.640749999999997</v>
      </c>
      <c r="M7220">
        <v>0.99963990000000003</v>
      </c>
      <c r="N7220">
        <v>0</v>
      </c>
      <c r="O7220">
        <v>-2.3644419999999999E-2</v>
      </c>
      <c r="P7220">
        <v>0.99933019999999995</v>
      </c>
      <c r="Q7220">
        <v>2.5908199999999999E-2</v>
      </c>
      <c r="R7220">
        <v>2.584469E-2</v>
      </c>
      <c r="S7220">
        <v>2.9955440000000002</v>
      </c>
      <c r="T7220">
        <v>-0.16437929999999901</v>
      </c>
      <c r="U7220">
        <v>0.45294190000000001</v>
      </c>
      <c r="V7220">
        <v>-4.9835810000000001E-2</v>
      </c>
      <c r="W7220">
        <v>3.8103239999999997E-2</v>
      </c>
      <c r="X7220">
        <v>0.99803030000000004</v>
      </c>
      <c r="Y7220">
        <v>-0.17255570000000001</v>
      </c>
      <c r="Z7220">
        <v>5.9940050000000002E-3</v>
      </c>
      <c r="AA7220">
        <v>0.98498149999999995</v>
      </c>
      <c r="AB7220">
        <v>23</v>
      </c>
      <c r="AC7220">
        <v>20.191199999999899</v>
      </c>
      <c r="AD7220">
        <v>-1.1140517853330001</v>
      </c>
      <c r="AE7220">
        <v>3.0692199999999801</v>
      </c>
      <c r="AF7220">
        <v>-3.5352900620257999</v>
      </c>
      <c r="AG7220">
        <v>-1.1140517853330001</v>
      </c>
      <c r="AH7220">
        <v>20.053309088550201</v>
      </c>
      <c r="AI7220">
        <v>93.131576805066103</v>
      </c>
      <c r="AJ7220">
        <v>99.998200538040706</v>
      </c>
      <c r="AK7220">
        <v>20.393003520913499</v>
      </c>
      <c r="AL7220">
        <v>87.816316484842204</v>
      </c>
      <c r="AM7220">
        <v>92.858642571370495</v>
      </c>
      <c r="AN7220">
        <v>0.99999997228747095</v>
      </c>
    </row>
    <row r="7221" spans="1:40" x14ac:dyDescent="0.25">
      <c r="A7221" t="str">
        <f>"20190312160513511"</f>
        <v>20190312160513511</v>
      </c>
      <c r="B7221" t="str">
        <f>"1552377913501937"</f>
        <v>1552377913501937</v>
      </c>
      <c r="C7221" t="s">
        <v>40</v>
      </c>
      <c r="D7221">
        <v>5.9654509999999998</v>
      </c>
      <c r="E7221">
        <v>0.43310100000000001</v>
      </c>
      <c r="F7221" t="s">
        <v>121</v>
      </c>
      <c r="G7221">
        <v>-259.04270000000002</v>
      </c>
      <c r="H7221" s="1">
        <v>-3.7899139999999999E-6</v>
      </c>
      <c r="I7221">
        <v>-65.542199999999994</v>
      </c>
      <c r="J7221">
        <v>-279.10379999999998</v>
      </c>
      <c r="K7221">
        <v>1.1139680000000001</v>
      </c>
      <c r="L7221">
        <v>-68.639859999999999</v>
      </c>
      <c r="M7221">
        <v>0.99970740000000002</v>
      </c>
      <c r="N7221">
        <v>0</v>
      </c>
      <c r="O7221">
        <v>-2.0594769999999998E-2</v>
      </c>
      <c r="P7221">
        <v>0.99927029999999994</v>
      </c>
      <c r="Q7221">
        <v>2.5643659999999999E-2</v>
      </c>
      <c r="R7221">
        <v>2.8305509999999999E-2</v>
      </c>
      <c r="S7221">
        <v>2.994354</v>
      </c>
      <c r="T7221">
        <v>-0.16541810000000001</v>
      </c>
      <c r="U7221">
        <v>0.46008300000000002</v>
      </c>
      <c r="V7221">
        <v>-4.923951E-2</v>
      </c>
      <c r="W7221">
        <v>3.7847829999999999E-2</v>
      </c>
      <c r="X7221">
        <v>0.9980696</v>
      </c>
      <c r="Y7221">
        <v>-0.17190629999999901</v>
      </c>
      <c r="Z7221">
        <v>5.8478219999999999E-3</v>
      </c>
      <c r="AA7221">
        <v>0.98509599999999997</v>
      </c>
      <c r="AB7221">
        <v>23</v>
      </c>
      <c r="AC7221">
        <v>20.0610999999999</v>
      </c>
      <c r="AD7221">
        <v>-1.113971789914</v>
      </c>
      <c r="AE7221">
        <v>3.0976599999999999</v>
      </c>
      <c r="AF7221">
        <v>-3.4996501457018998</v>
      </c>
      <c r="AG7221">
        <v>-1.113971789914</v>
      </c>
      <c r="AH7221">
        <v>19.933012321039001</v>
      </c>
      <c r="AI7221">
        <v>93.150600785309294</v>
      </c>
      <c r="AJ7221">
        <v>99.957961735724894</v>
      </c>
      <c r="AK7221">
        <v>20.2685338513107</v>
      </c>
      <c r="AL7221">
        <v>87.830960930699405</v>
      </c>
      <c r="AM7221">
        <v>92.824382764781802</v>
      </c>
      <c r="AN7221">
        <v>0.99999995701245303</v>
      </c>
    </row>
    <row r="7222" spans="1:40" x14ac:dyDescent="0.25">
      <c r="A7222" t="str">
        <f>"20190312160513522"</f>
        <v>20190312160513522</v>
      </c>
      <c r="B7222" t="str">
        <f>"1552377913512672"</f>
        <v>1552377913512672</v>
      </c>
      <c r="C7222" t="s">
        <v>40</v>
      </c>
      <c r="D7222">
        <v>5.9494300000000004</v>
      </c>
      <c r="E7222">
        <v>0.4337551</v>
      </c>
      <c r="F7222" t="s">
        <v>54</v>
      </c>
      <c r="G7222">
        <v>-157.3501</v>
      </c>
      <c r="H7222">
        <v>0.41200920000000002</v>
      </c>
      <c r="I7222">
        <v>-43.374490000000002</v>
      </c>
      <c r="J7222">
        <v>-278.99369999999999</v>
      </c>
      <c r="K7222">
        <v>1.113885</v>
      </c>
      <c r="L7222">
        <v>-68.63861</v>
      </c>
      <c r="M7222">
        <v>0.99976699999999996</v>
      </c>
      <c r="N7222">
        <v>0</v>
      </c>
      <c r="O7222">
        <v>-1.7473160000000001E-2</v>
      </c>
      <c r="P7222">
        <v>0.99922</v>
      </c>
      <c r="Q7222">
        <v>2.5152710000000002E-2</v>
      </c>
      <c r="R7222">
        <v>3.044912E-2</v>
      </c>
      <c r="S7222">
        <v>2.9851070000000002</v>
      </c>
      <c r="T7222">
        <v>-1.7210840000000002E-2</v>
      </c>
      <c r="U7222">
        <v>0.61944580000000005</v>
      </c>
      <c r="V7222">
        <v>-4.8251870000000002E-2</v>
      </c>
      <c r="W7222">
        <v>3.737087E-2</v>
      </c>
      <c r="X7222">
        <v>0.99813589999999996</v>
      </c>
      <c r="Y7222">
        <v>-0.2202588</v>
      </c>
      <c r="Z7222">
        <v>7.2799050000000004E-4</v>
      </c>
      <c r="AA7222">
        <v>0.97544120000000001</v>
      </c>
      <c r="AB7222">
        <v>23</v>
      </c>
      <c r="AC7222">
        <v>121.64360000000001</v>
      </c>
      <c r="AD7222">
        <v>-0.70187579999999905</v>
      </c>
      <c r="AE7222">
        <v>25.264119999999998</v>
      </c>
      <c r="AF7222">
        <v>-27.385057187873201</v>
      </c>
      <c r="AG7222">
        <v>-0.70187579999999905</v>
      </c>
      <c r="AH7222">
        <v>121.17967903505701</v>
      </c>
      <c r="AI7222">
        <v>90.323692485565104</v>
      </c>
      <c r="AJ7222">
        <v>102.73420936830399</v>
      </c>
      <c r="AK7222">
        <v>124.237468574747</v>
      </c>
      <c r="AL7222">
        <v>87.858308273719004</v>
      </c>
      <c r="AM7222">
        <v>92.767637074384993</v>
      </c>
      <c r="AN7222">
        <v>1.0000000498759301</v>
      </c>
    </row>
    <row r="7223" spans="1:40" x14ac:dyDescent="0.25">
      <c r="A7223" t="str">
        <f>"20190312160513534"</f>
        <v>20190312160513534</v>
      </c>
      <c r="B7223" t="str">
        <f>"1552377913522432"</f>
        <v>1552377913522432</v>
      </c>
      <c r="C7223" t="s">
        <v>40</v>
      </c>
      <c r="D7223">
        <v>5.9366969999999997</v>
      </c>
      <c r="E7223">
        <v>0.4337551</v>
      </c>
      <c r="F7223" t="s">
        <v>54</v>
      </c>
      <c r="G7223">
        <v>-157.3501</v>
      </c>
      <c r="H7223">
        <v>0.1568861</v>
      </c>
      <c r="I7223">
        <v>-43.336770000000001</v>
      </c>
      <c r="J7223">
        <v>-278.87630000000001</v>
      </c>
      <c r="K7223">
        <v>1.1137969999999999</v>
      </c>
      <c r="L7223">
        <v>-68.636989999999997</v>
      </c>
      <c r="M7223">
        <v>0.9998186</v>
      </c>
      <c r="N7223">
        <v>0</v>
      </c>
      <c r="O7223">
        <v>-1.4212020000000001E-2</v>
      </c>
      <c r="P7223">
        <v>0.99915929999999997</v>
      </c>
      <c r="Q7223">
        <v>2.478118E-2</v>
      </c>
      <c r="R7223">
        <v>3.2655530000000002E-2</v>
      </c>
      <c r="S7223">
        <v>2.983978</v>
      </c>
      <c r="T7223">
        <v>-2.347612E-2</v>
      </c>
      <c r="U7223">
        <v>0.62066650000000001</v>
      </c>
      <c r="V7223">
        <v>-4.7188729999999998E-2</v>
      </c>
      <c r="W7223">
        <v>3.7015859999999998E-2</v>
      </c>
      <c r="X7223">
        <v>0.99819990000000003</v>
      </c>
      <c r="Y7223">
        <v>-0.217529</v>
      </c>
      <c r="Z7223">
        <v>9.5729259999999998E-4</v>
      </c>
      <c r="AA7223">
        <v>0.97605339999999996</v>
      </c>
      <c r="AB7223">
        <v>23</v>
      </c>
      <c r="AC7223">
        <v>121.5262</v>
      </c>
      <c r="AD7223">
        <v>-0.95691090000000001</v>
      </c>
      <c r="AE7223">
        <v>25.300219999999999</v>
      </c>
      <c r="AF7223">
        <v>-27.023330134018</v>
      </c>
      <c r="AG7223">
        <v>-0.95691090000000001</v>
      </c>
      <c r="AH7223">
        <v>121.147128951732</v>
      </c>
      <c r="AI7223">
        <v>90.441700690903403</v>
      </c>
      <c r="AJ7223">
        <v>102.5746551699</v>
      </c>
      <c r="AK7223">
        <v>124.12817127167401</v>
      </c>
      <c r="AL7223">
        <v>87.878662815195895</v>
      </c>
      <c r="AM7223">
        <v>92.706575772214293</v>
      </c>
      <c r="AN7223">
        <v>0.99999999524528105</v>
      </c>
    </row>
    <row r="7224" spans="1:40" x14ac:dyDescent="0.25">
      <c r="A7224" t="str">
        <f>"20190312160513544"</f>
        <v>20190312160513544</v>
      </c>
      <c r="B7224" t="str">
        <f>"1552377913532192"</f>
        <v>1552377913532192</v>
      </c>
      <c r="C7224" t="s">
        <v>40</v>
      </c>
      <c r="D7224">
        <v>5.930809</v>
      </c>
      <c r="E7224">
        <v>0.43311529999999998</v>
      </c>
      <c r="F7224" t="s">
        <v>54</v>
      </c>
      <c r="G7224">
        <v>-157.3501</v>
      </c>
      <c r="H7224">
        <v>0.1117697</v>
      </c>
      <c r="I7224">
        <v>-43.080840000000002</v>
      </c>
      <c r="J7224">
        <v>-278.76940000000002</v>
      </c>
      <c r="K7224">
        <v>1.11372</v>
      </c>
      <c r="L7224">
        <v>-68.635310000000004</v>
      </c>
      <c r="M7224">
        <v>0.99985610000000003</v>
      </c>
      <c r="N7224">
        <v>0</v>
      </c>
      <c r="O7224">
        <v>-1.128703E-2</v>
      </c>
      <c r="P7224">
        <v>0.99909870000000001</v>
      </c>
      <c r="Q7224">
        <v>2.4352749999999999E-2</v>
      </c>
      <c r="R7224">
        <v>3.4768100000000003E-2</v>
      </c>
      <c r="S7224">
        <v>2.9826350000000001</v>
      </c>
      <c r="T7224">
        <v>-2.459335E-2</v>
      </c>
      <c r="U7224">
        <v>0.6272278</v>
      </c>
      <c r="V7224">
        <v>-4.636788E-2</v>
      </c>
      <c r="W7224">
        <v>3.6602250000000003E-2</v>
      </c>
      <c r="X7224">
        <v>0.99825359999999996</v>
      </c>
      <c r="Y7224">
        <v>-0.2168178</v>
      </c>
      <c r="Z7224">
        <v>9.7629430000000005E-4</v>
      </c>
      <c r="AA7224">
        <v>0.97621159999999996</v>
      </c>
      <c r="AB7224">
        <v>23</v>
      </c>
      <c r="AC7224">
        <v>121.41930000000001</v>
      </c>
      <c r="AD7224">
        <v>-1.0019503000000001</v>
      </c>
      <c r="AE7224">
        <v>25.554469999999998</v>
      </c>
      <c r="AF7224">
        <v>-26.921659620934602</v>
      </c>
      <c r="AG7224">
        <v>-1.0019503000000001</v>
      </c>
      <c r="AH7224">
        <v>121.11520953326</v>
      </c>
      <c r="AI7224">
        <v>90.462688056461005</v>
      </c>
      <c r="AJ7224">
        <v>102.53203932526699</v>
      </c>
      <c r="AK7224">
        <v>124.075274093731</v>
      </c>
      <c r="AL7224">
        <v>87.902376956205799</v>
      </c>
      <c r="AM7224">
        <v>92.659420102887793</v>
      </c>
      <c r="AN7224">
        <v>0.99999997745685798</v>
      </c>
    </row>
    <row r="7225" spans="1:40" x14ac:dyDescent="0.25">
      <c r="A7225" t="str">
        <f>"20190312160513555"</f>
        <v>20190312160513555</v>
      </c>
      <c r="B7225" t="str">
        <f>"1552377913552688"</f>
        <v>1552377913552688</v>
      </c>
      <c r="C7225" t="s">
        <v>40</v>
      </c>
      <c r="D7225">
        <v>5.9299720000000002</v>
      </c>
      <c r="E7225">
        <v>0.44112489999999999</v>
      </c>
      <c r="F7225" t="s">
        <v>81</v>
      </c>
      <c r="G7225">
        <v>-190.34739999999999</v>
      </c>
      <c r="H7225" s="1">
        <v>-1.3703799999999999E-6</v>
      </c>
      <c r="I7225">
        <v>-49.689950000000003</v>
      </c>
      <c r="J7225">
        <v>-278.66180000000003</v>
      </c>
      <c r="K7225">
        <v>1.1136440000000001</v>
      </c>
      <c r="L7225">
        <v>-68.633269999999996</v>
      </c>
      <c r="M7225">
        <v>0.99988410000000005</v>
      </c>
      <c r="N7225">
        <v>0</v>
      </c>
      <c r="O7225">
        <v>-8.4282209999999996E-3</v>
      </c>
      <c r="P7225">
        <v>0.99904409999999999</v>
      </c>
      <c r="Q7225">
        <v>2.3800709999999999E-2</v>
      </c>
      <c r="R7225">
        <v>3.6668550000000001E-2</v>
      </c>
      <c r="S7225">
        <v>2.9813839999999998</v>
      </c>
      <c r="T7225">
        <v>-3.7552120000000001E-2</v>
      </c>
      <c r="U7225">
        <v>0.63879390000000003</v>
      </c>
      <c r="V7225">
        <v>-4.5400549999999998E-2</v>
      </c>
      <c r="W7225">
        <v>3.6067599999999998E-2</v>
      </c>
      <c r="X7225">
        <v>0.99831749999999997</v>
      </c>
      <c r="Y7225">
        <v>-0.2177231</v>
      </c>
      <c r="Z7225">
        <v>1.460725E-3</v>
      </c>
      <c r="AA7225">
        <v>0.97600949999999997</v>
      </c>
      <c r="AB7225">
        <v>23</v>
      </c>
      <c r="AC7225">
        <v>88.314400000000006</v>
      </c>
      <c r="AD7225">
        <v>-1.11364537037999</v>
      </c>
      <c r="AE7225">
        <v>18.94332</v>
      </c>
      <c r="AF7225">
        <v>-19.6840478455889</v>
      </c>
      <c r="AG7225">
        <v>-1.11364537037999</v>
      </c>
      <c r="AH7225">
        <v>88.138192821610602</v>
      </c>
      <c r="AI7225">
        <v>90.706503274062598</v>
      </c>
      <c r="AJ7225">
        <v>102.58936755437</v>
      </c>
      <c r="AK7225">
        <v>90.316349458211704</v>
      </c>
      <c r="AL7225">
        <v>87.933030343367804</v>
      </c>
      <c r="AM7225">
        <v>92.603849825005199</v>
      </c>
      <c r="AN7225">
        <v>0.99999995625815497</v>
      </c>
    </row>
    <row r="7226" spans="1:40" x14ac:dyDescent="0.25">
      <c r="A7226" t="str">
        <f>"20190312160513567"</f>
        <v>20190312160513567</v>
      </c>
      <c r="B7226" t="str">
        <f>"1552377913562449"</f>
        <v>1552377913562449</v>
      </c>
      <c r="C7226" t="s">
        <v>40</v>
      </c>
      <c r="D7226">
        <v>5.9691330000000002</v>
      </c>
      <c r="E7226">
        <v>0.44112489999999999</v>
      </c>
      <c r="F7226" t="s">
        <v>121</v>
      </c>
      <c r="G7226">
        <v>-255.39400000000001</v>
      </c>
      <c r="H7226" s="1">
        <v>-2.2761059999999999E-6</v>
      </c>
      <c r="I7226">
        <v>-64.097949999999997</v>
      </c>
      <c r="J7226">
        <v>-278.5444</v>
      </c>
      <c r="K7226">
        <v>1.113559</v>
      </c>
      <c r="L7226">
        <v>-68.630919999999904</v>
      </c>
      <c r="M7226">
        <v>0.99990540000000006</v>
      </c>
      <c r="N7226">
        <v>0</v>
      </c>
      <c r="O7226">
        <v>-5.3373789999999997E-3</v>
      </c>
      <c r="P7226">
        <v>0.99897089999999999</v>
      </c>
      <c r="Q7226">
        <v>2.3522370000000001E-2</v>
      </c>
      <c r="R7226">
        <v>3.878148E-2</v>
      </c>
      <c r="S7226">
        <v>2.9849239999999999</v>
      </c>
      <c r="T7226">
        <v>-0.14286489999999999</v>
      </c>
      <c r="U7226">
        <v>0.58181759999999905</v>
      </c>
      <c r="V7226">
        <v>-4.4415540000000003E-2</v>
      </c>
      <c r="W7226">
        <v>3.5806449999999997E-2</v>
      </c>
      <c r="X7226">
        <v>0.99837120000000001</v>
      </c>
      <c r="Y7226">
        <v>-0.19633220000000001</v>
      </c>
      <c r="Z7226">
        <v>4.9050430000000004E-3</v>
      </c>
      <c r="AA7226">
        <v>0.98052519999999999</v>
      </c>
      <c r="AB7226">
        <v>23</v>
      </c>
      <c r="AC7226">
        <v>23.150399999999902</v>
      </c>
      <c r="AD7226">
        <v>-1.1135612761060001</v>
      </c>
      <c r="AE7226">
        <v>4.53296999999999</v>
      </c>
      <c r="AF7226">
        <v>-4.6461248955133803</v>
      </c>
      <c r="AG7226">
        <v>-1.1135612761060001</v>
      </c>
      <c r="AH7226">
        <v>23.074457480305998</v>
      </c>
      <c r="AI7226">
        <v>92.708641187621197</v>
      </c>
      <c r="AJ7226">
        <v>101.38448524156</v>
      </c>
      <c r="AK7226">
        <v>23.563893635619699</v>
      </c>
      <c r="AL7226">
        <v>87.948002790318498</v>
      </c>
      <c r="AM7226">
        <v>92.547295122412393</v>
      </c>
      <c r="AN7226">
        <v>0.99999994752226495</v>
      </c>
    </row>
    <row r="7227" spans="1:40" x14ac:dyDescent="0.25">
      <c r="A7227" t="str">
        <f>"20190312160513579"</f>
        <v>20190312160513579</v>
      </c>
      <c r="B7227" t="str">
        <f>"1552377913572209"</f>
        <v>1552377913572209</v>
      </c>
      <c r="C7227" t="s">
        <v>40</v>
      </c>
      <c r="D7227">
        <v>5.9592179999999999</v>
      </c>
      <c r="E7227">
        <v>0.44144220000000001</v>
      </c>
      <c r="F7227" t="s">
        <v>121</v>
      </c>
      <c r="G7227">
        <v>-255.44210000000001</v>
      </c>
      <c r="H7227" s="1">
        <v>-2.2921290000000002E-6</v>
      </c>
      <c r="I7227">
        <v>-64.077290000000005</v>
      </c>
      <c r="J7227">
        <v>-278.43090000000001</v>
      </c>
      <c r="K7227">
        <v>1.11348</v>
      </c>
      <c r="L7227">
        <v>-68.628169999999997</v>
      </c>
      <c r="M7227">
        <v>0.99991669999999999</v>
      </c>
      <c r="N7227">
        <v>0</v>
      </c>
      <c r="O7227">
        <v>-2.4792490000000002E-3</v>
      </c>
      <c r="P7227">
        <v>0.99889479999999997</v>
      </c>
      <c r="Q7227">
        <v>2.3163389999999999E-2</v>
      </c>
      <c r="R7227">
        <v>4.090427E-2</v>
      </c>
      <c r="S7227">
        <v>2.983673</v>
      </c>
      <c r="T7227">
        <v>-0.1438171</v>
      </c>
      <c r="U7227">
        <v>0.58810419999999997</v>
      </c>
      <c r="V7227">
        <v>-4.3673410000000003E-2</v>
      </c>
      <c r="W7227">
        <v>3.5464780000000001E-2</v>
      </c>
      <c r="X7227">
        <v>0.99841619999999998</v>
      </c>
      <c r="Y7227">
        <v>-0.1955973</v>
      </c>
      <c r="Z7227">
        <v>4.784791E-3</v>
      </c>
      <c r="AA7227">
        <v>0.98067269999999895</v>
      </c>
      <c r="AB7227">
        <v>23</v>
      </c>
      <c r="AC7227">
        <v>22.988800000000001</v>
      </c>
      <c r="AD7227">
        <v>-1.113482292129</v>
      </c>
      <c r="AE7227">
        <v>4.5508799999999896</v>
      </c>
      <c r="AF7227">
        <v>-4.5974864323534499</v>
      </c>
      <c r="AG7227">
        <v>-1.113482292129</v>
      </c>
      <c r="AH7227">
        <v>22.9256894978272</v>
      </c>
      <c r="AI7227">
        <v>92.726426907313396</v>
      </c>
      <c r="AJ7227">
        <v>101.339603818391</v>
      </c>
      <c r="AK7227">
        <v>23.408630102194</v>
      </c>
      <c r="AL7227">
        <v>87.967591615104993</v>
      </c>
      <c r="AM7227">
        <v>92.504674816336404</v>
      </c>
      <c r="AN7227">
        <v>1.00000001289195</v>
      </c>
    </row>
    <row r="7228" spans="1:40" x14ac:dyDescent="0.25">
      <c r="A7228" t="str">
        <f>"20190312160513589"</f>
        <v>20190312160513589</v>
      </c>
      <c r="B7228" t="str">
        <f>"1552377913581969"</f>
        <v>1552377913581969</v>
      </c>
      <c r="C7228" t="s">
        <v>40</v>
      </c>
      <c r="D7228">
        <v>5.9518040000000001</v>
      </c>
      <c r="E7228">
        <v>0.44186569999999997</v>
      </c>
      <c r="F7228" t="s">
        <v>121</v>
      </c>
      <c r="G7228">
        <v>-254.0094</v>
      </c>
      <c r="H7228" s="1">
        <v>-1.611817E-6</v>
      </c>
      <c r="I7228">
        <v>-63.781950000000002</v>
      </c>
      <c r="J7228">
        <v>-278.32400000000001</v>
      </c>
      <c r="K7228">
        <v>1.1134029999999999</v>
      </c>
      <c r="L7228">
        <v>-68.625519999999995</v>
      </c>
      <c r="M7228">
        <v>0.99991960000000002</v>
      </c>
      <c r="N7228">
        <v>0</v>
      </c>
      <c r="O7228">
        <v>1.8808820000000001E-4</v>
      </c>
      <c r="P7228">
        <v>0.99882599999999999</v>
      </c>
      <c r="Q7228">
        <v>2.3006749999999999E-2</v>
      </c>
      <c r="R7228">
        <v>4.2628190000000003E-2</v>
      </c>
      <c r="S7228">
        <v>2.9822389999999999</v>
      </c>
      <c r="T7228">
        <v>-0.13597290000000001</v>
      </c>
      <c r="U7228">
        <v>0.59179689999999996</v>
      </c>
      <c r="V7228">
        <v>-4.2724770000000002E-2</v>
      </c>
      <c r="W7228">
        <v>3.5326589999999998E-2</v>
      </c>
      <c r="X7228">
        <v>0.99846210000000002</v>
      </c>
      <c r="Y7228">
        <v>-0.19426650000000001</v>
      </c>
      <c r="Z7228">
        <v>4.375253E-3</v>
      </c>
      <c r="AA7228">
        <v>0.98093900000000001</v>
      </c>
      <c r="AB7228">
        <v>23</v>
      </c>
      <c r="AC7228">
        <v>24.314599999999999</v>
      </c>
      <c r="AD7228">
        <v>-1.113404611817</v>
      </c>
      <c r="AE7228">
        <v>4.8435699999999899</v>
      </c>
      <c r="AF7228">
        <v>-4.8292564271024796</v>
      </c>
      <c r="AG7228">
        <v>-1.113404611817</v>
      </c>
      <c r="AH7228">
        <v>24.266568911344699</v>
      </c>
      <c r="AI7228">
        <v>92.576560371575496</v>
      </c>
      <c r="AJ7228">
        <v>101.255304955578</v>
      </c>
      <c r="AK7228">
        <v>24.767473714478101</v>
      </c>
      <c r="AL7228">
        <v>87.975514195497695</v>
      </c>
      <c r="AM7228">
        <v>92.450224749368104</v>
      </c>
      <c r="AN7228">
        <v>0.99999996953449499</v>
      </c>
    </row>
    <row r="7229" spans="1:40" x14ac:dyDescent="0.25">
      <c r="A7229" t="str">
        <f>"20190312160513599"</f>
        <v>20190312160513599</v>
      </c>
      <c r="B7229" t="str">
        <f>"1552377913592705"</f>
        <v>1552377913592705</v>
      </c>
      <c r="C7229" t="s">
        <v>40</v>
      </c>
      <c r="D7229">
        <v>5.9468860000000001</v>
      </c>
      <c r="E7229">
        <v>0.44258229999999998</v>
      </c>
      <c r="F7229" t="s">
        <v>121</v>
      </c>
      <c r="G7229">
        <v>-252.90129999999999</v>
      </c>
      <c r="H7229" s="1">
        <v>-1.088061E-6</v>
      </c>
      <c r="I7229">
        <v>-63.564329999999998</v>
      </c>
      <c r="J7229">
        <v>-278.21550000000002</v>
      </c>
      <c r="K7229">
        <v>1.113324</v>
      </c>
      <c r="L7229">
        <v>-68.622500000000002</v>
      </c>
      <c r="M7229">
        <v>0.99991580000000002</v>
      </c>
      <c r="N7229">
        <v>0</v>
      </c>
      <c r="O7229">
        <v>2.7951780000000002E-3</v>
      </c>
      <c r="P7229">
        <v>0.99875689999999995</v>
      </c>
      <c r="Q7229">
        <v>2.2590059999999999E-2</v>
      </c>
      <c r="R7229">
        <v>4.4434189999999998E-2</v>
      </c>
      <c r="S7229">
        <v>2.9812319999999999</v>
      </c>
      <c r="T7229">
        <v>-0.13056470000000001</v>
      </c>
      <c r="U7229">
        <v>0.59350590000000003</v>
      </c>
      <c r="V7229">
        <v>-4.1915969999999997E-2</v>
      </c>
      <c r="W7229">
        <v>3.4927720000000002E-2</v>
      </c>
      <c r="X7229">
        <v>0.99851040000000002</v>
      </c>
      <c r="Y7229">
        <v>-0.19233210000000001</v>
      </c>
      <c r="Z7229">
        <v>4.0476100000000001E-3</v>
      </c>
      <c r="AA7229">
        <v>0.98132160000000002</v>
      </c>
      <c r="AB7229">
        <v>23</v>
      </c>
      <c r="AC7229">
        <v>25.3142</v>
      </c>
      <c r="AD7229">
        <v>-1.1133250880609999</v>
      </c>
      <c r="AE7229">
        <v>5.0581699999999898</v>
      </c>
      <c r="AF7229">
        <v>-4.9781275409819798</v>
      </c>
      <c r="AG7229">
        <v>-1.1133250880609999</v>
      </c>
      <c r="AH7229">
        <v>25.281217639375502</v>
      </c>
      <c r="AI7229">
        <v>92.474093699045099</v>
      </c>
      <c r="AJ7229">
        <v>101.139603673426</v>
      </c>
      <c r="AK7229">
        <v>25.790719491620699</v>
      </c>
      <c r="AL7229">
        <v>87.998381850659797</v>
      </c>
      <c r="AM7229">
        <v>92.403779634735102</v>
      </c>
      <c r="AN7229">
        <v>0.99999995653679796</v>
      </c>
    </row>
    <row r="7230" spans="1:40" x14ac:dyDescent="0.25">
      <c r="A7230" t="str">
        <f>"20190312160513611"</f>
        <v>20190312160513611</v>
      </c>
      <c r="B7230" t="str">
        <f>"1552377913602465"</f>
        <v>1552377913602465</v>
      </c>
      <c r="C7230" t="s">
        <v>40</v>
      </c>
      <c r="D7230">
        <v>6.1517010000000001</v>
      </c>
      <c r="E7230">
        <v>0.44258229999999998</v>
      </c>
      <c r="F7230" t="s">
        <v>121</v>
      </c>
      <c r="G7230">
        <v>-252.91980000000001</v>
      </c>
      <c r="H7230" s="1">
        <v>-1.1012999999999999E-6</v>
      </c>
      <c r="I7230">
        <v>-63.588169999999998</v>
      </c>
      <c r="J7230">
        <v>-278.10570000000001</v>
      </c>
      <c r="K7230">
        <v>1.113243</v>
      </c>
      <c r="L7230">
        <v>-68.619290000000007</v>
      </c>
      <c r="M7230">
        <v>0.99990520000000005</v>
      </c>
      <c r="N7230">
        <v>0</v>
      </c>
      <c r="O7230">
        <v>5.3907340000000003E-3</v>
      </c>
      <c r="P7230">
        <v>0.99867919999999999</v>
      </c>
      <c r="Q7230">
        <v>2.2604639999999999E-2</v>
      </c>
      <c r="R7230">
        <v>4.6140729999999998E-2</v>
      </c>
      <c r="S7230">
        <v>2.9803160000000002</v>
      </c>
      <c r="T7230">
        <v>-0.1311707</v>
      </c>
      <c r="U7230">
        <v>0.59313959999999999</v>
      </c>
      <c r="V7230">
        <v>-4.1023169999999998E-2</v>
      </c>
      <c r="W7230">
        <v>3.4960600000000001E-2</v>
      </c>
      <c r="X7230">
        <v>0.99854639999999995</v>
      </c>
      <c r="Y7230">
        <v>-0.18972900000000001</v>
      </c>
      <c r="Z7230">
        <v>3.8978910000000001E-3</v>
      </c>
      <c r="AA7230">
        <v>0.9818287</v>
      </c>
      <c r="AB7230">
        <v>23</v>
      </c>
      <c r="AC7230">
        <v>25.1859</v>
      </c>
      <c r="AD7230">
        <v>-1.1132441012999901</v>
      </c>
      <c r="AE7230">
        <v>5.0311199999999996</v>
      </c>
      <c r="AF7230">
        <v>-4.88608568756373</v>
      </c>
      <c r="AG7230">
        <v>-1.1132441012999901</v>
      </c>
      <c r="AH7230">
        <v>25.165377738813401</v>
      </c>
      <c r="AI7230">
        <v>92.486573882618899</v>
      </c>
      <c r="AJ7230">
        <v>100.987783509366</v>
      </c>
      <c r="AK7230">
        <v>25.659489131946099</v>
      </c>
      <c r="AL7230">
        <v>87.996496958311397</v>
      </c>
      <c r="AM7230">
        <v>92.352553143426505</v>
      </c>
      <c r="AN7230">
        <v>1.0000000284910799</v>
      </c>
    </row>
    <row r="7231" spans="1:40" x14ac:dyDescent="0.25">
      <c r="A7231" t="str">
        <f>"20190312160513621"</f>
        <v>20190312160513621</v>
      </c>
      <c r="B7231" t="str">
        <f>"1552377913612225"</f>
        <v>1552377913612225</v>
      </c>
      <c r="C7231" t="s">
        <v>40</v>
      </c>
      <c r="D7231">
        <v>5.9826269999999999</v>
      </c>
      <c r="E7231">
        <v>0.4442759</v>
      </c>
      <c r="F7231" t="s">
        <v>121</v>
      </c>
      <c r="G7231">
        <v>-252.833</v>
      </c>
      <c r="H7231" s="1">
        <v>-1.0545039999999999E-6</v>
      </c>
      <c r="I7231">
        <v>-63.545070000000003</v>
      </c>
      <c r="J7231">
        <v>-277.99669999999998</v>
      </c>
      <c r="K7231">
        <v>1.1131629999999999</v>
      </c>
      <c r="L7231">
        <v>-68.615840000000006</v>
      </c>
      <c r="M7231">
        <v>0.99988849999999996</v>
      </c>
      <c r="N7231">
        <v>0</v>
      </c>
      <c r="O7231">
        <v>7.8935310000000005E-3</v>
      </c>
      <c r="P7231">
        <v>0.99859290000000001</v>
      </c>
      <c r="Q7231">
        <v>2.2482019999999998E-2</v>
      </c>
      <c r="R7231">
        <v>4.8031440000000002E-2</v>
      </c>
      <c r="S7231">
        <v>2.979279</v>
      </c>
      <c r="T7231">
        <v>-0.13123489999999999</v>
      </c>
      <c r="U7231">
        <v>0.59817500000000001</v>
      </c>
      <c r="V7231">
        <v>-4.0406230000000001E-2</v>
      </c>
      <c r="W7231">
        <v>3.485386E-2</v>
      </c>
      <c r="X7231">
        <v>0.99857530000000005</v>
      </c>
      <c r="Y7231">
        <v>-0.18893550000000001</v>
      </c>
      <c r="Z7231">
        <v>3.7741150000000002E-3</v>
      </c>
      <c r="AA7231">
        <v>0.98198220000000003</v>
      </c>
      <c r="AB7231">
        <v>23</v>
      </c>
      <c r="AC7231">
        <v>25.163699999999899</v>
      </c>
      <c r="AD7231">
        <v>-1.11316405450399</v>
      </c>
      <c r="AE7231">
        <v>5.0707700000000004</v>
      </c>
      <c r="AF7231">
        <v>-4.8628208604034198</v>
      </c>
      <c r="AG7231">
        <v>-1.11316405450399</v>
      </c>
      <c r="AH7231">
        <v>25.155639212249501</v>
      </c>
      <c r="AI7231">
        <v>92.487750832170804</v>
      </c>
      <c r="AJ7231">
        <v>100.94086207848</v>
      </c>
      <c r="AK7231">
        <v>25.645513157460499</v>
      </c>
      <c r="AL7231">
        <v>88.002616466862804</v>
      </c>
      <c r="AM7231">
        <v>92.317145394310103</v>
      </c>
      <c r="AN7231">
        <v>1.0000000423749</v>
      </c>
    </row>
    <row r="7232" spans="1:40" x14ac:dyDescent="0.25">
      <c r="A7232" t="str">
        <f>"20190312160513633"</f>
        <v>20190312160513633</v>
      </c>
      <c r="B7232" t="str">
        <f>"1552377913621985"</f>
        <v>1552377913621985</v>
      </c>
      <c r="C7232" t="s">
        <v>40</v>
      </c>
      <c r="D7232">
        <v>5.9309909999999997</v>
      </c>
      <c r="E7232">
        <v>0.4447025</v>
      </c>
      <c r="F7232" t="s">
        <v>81</v>
      </c>
      <c r="G7232">
        <v>-203.13</v>
      </c>
      <c r="H7232" s="1">
        <v>-5.5523659999999999E-6</v>
      </c>
      <c r="I7232">
        <v>-53.79766</v>
      </c>
      <c r="J7232">
        <v>-277.88499999999999</v>
      </c>
      <c r="K7232">
        <v>1.113081</v>
      </c>
      <c r="L7232">
        <v>-68.612089999999995</v>
      </c>
      <c r="M7232">
        <v>0.99986549999999996</v>
      </c>
      <c r="N7232">
        <v>0</v>
      </c>
      <c r="O7232">
        <v>1.0394860000000001E-2</v>
      </c>
      <c r="P7232">
        <v>0.99849180000000004</v>
      </c>
      <c r="Q7232">
        <v>2.2714640000000001E-2</v>
      </c>
      <c r="R7232">
        <v>4.998068E-2</v>
      </c>
      <c r="S7232">
        <v>2.9768680000000001</v>
      </c>
      <c r="T7232">
        <v>-4.4262049999999997E-2</v>
      </c>
      <c r="U7232">
        <v>0.58920289999999997</v>
      </c>
      <c r="V7232">
        <v>-3.9851619999999997E-2</v>
      </c>
      <c r="W7232">
        <v>3.510166E-2</v>
      </c>
      <c r="X7232">
        <v>0.9985889</v>
      </c>
      <c r="Y7232">
        <v>-0.18393370000000001</v>
      </c>
      <c r="Z7232">
        <v>1.20118E-3</v>
      </c>
      <c r="AA7232">
        <v>0.98293790000000003</v>
      </c>
      <c r="AB7232">
        <v>23</v>
      </c>
      <c r="AC7232">
        <v>74.754999999999995</v>
      </c>
      <c r="AD7232">
        <v>-1.1130865523660001</v>
      </c>
      <c r="AE7232">
        <v>14.81443</v>
      </c>
      <c r="AF7232">
        <v>-14.033505443763</v>
      </c>
      <c r="AG7232">
        <v>-1.1130865523660001</v>
      </c>
      <c r="AH7232">
        <v>74.888990883366304</v>
      </c>
      <c r="AI7232">
        <v>90.836966996549194</v>
      </c>
      <c r="AJ7232">
        <v>100.61360912423</v>
      </c>
      <c r="AK7232">
        <v>76.200650864950603</v>
      </c>
      <c r="AL7232">
        <v>87.9884098646354</v>
      </c>
      <c r="AM7232">
        <v>92.285343461466994</v>
      </c>
      <c r="AN7232">
        <v>1.0000000346772899</v>
      </c>
    </row>
    <row r="7233" spans="1:40" x14ac:dyDescent="0.25">
      <c r="A7233" t="str">
        <f>"20190312160513644"</f>
        <v>20190312160513644</v>
      </c>
      <c r="B7233" t="str">
        <f>"1552377913632721"</f>
        <v>1552377913632721</v>
      </c>
      <c r="C7233" t="s">
        <v>40</v>
      </c>
      <c r="D7233">
        <v>5.9362029999999999</v>
      </c>
      <c r="E7233">
        <v>0.4447025</v>
      </c>
      <c r="F7233" t="s">
        <v>81</v>
      </c>
      <c r="G7233">
        <v>-189.0659</v>
      </c>
      <c r="H7233" s="1">
        <v>-1.0162900000000001E-5</v>
      </c>
      <c r="I7233">
        <v>-50.958660000000002</v>
      </c>
      <c r="J7233">
        <v>-277.77359999999999</v>
      </c>
      <c r="K7233">
        <v>1.1129960000000001</v>
      </c>
      <c r="L7233">
        <v>-68.608249999999998</v>
      </c>
      <c r="M7233">
        <v>0.99983719999999998</v>
      </c>
      <c r="N7233">
        <v>0</v>
      </c>
      <c r="O7233">
        <v>1.283537E-2</v>
      </c>
      <c r="P7233">
        <v>0.99839929999999999</v>
      </c>
      <c r="Q7233">
        <v>2.2747239999999998E-2</v>
      </c>
      <c r="R7233">
        <v>5.1787029999999998E-2</v>
      </c>
      <c r="S7233">
        <v>2.9758</v>
      </c>
      <c r="T7233">
        <v>-3.7293079999999999E-2</v>
      </c>
      <c r="U7233">
        <v>0.59146119999999902</v>
      </c>
      <c r="V7233">
        <v>-3.9213970000000001E-2</v>
      </c>
      <c r="W7233">
        <v>3.5151219999999997E-2</v>
      </c>
      <c r="X7233">
        <v>0.99861230000000001</v>
      </c>
      <c r="Y7233">
        <v>-0.18232480000000001</v>
      </c>
      <c r="Z7233">
        <v>9.7209979999999998E-4</v>
      </c>
      <c r="AA7233">
        <v>0.9832379</v>
      </c>
      <c r="AB7233">
        <v>23</v>
      </c>
      <c r="AC7233">
        <v>88.707699999999903</v>
      </c>
      <c r="AD7233">
        <v>-1.1130061629000001</v>
      </c>
      <c r="AE7233">
        <v>17.64959</v>
      </c>
      <c r="AF7233">
        <v>-16.506948482404098</v>
      </c>
      <c r="AG7233">
        <v>-1.1130061629000001</v>
      </c>
      <c r="AH7233">
        <v>88.913484441185801</v>
      </c>
      <c r="AI7233">
        <v>90.705135223910304</v>
      </c>
      <c r="AJ7233">
        <v>100.517323501973</v>
      </c>
      <c r="AK7233">
        <v>90.439625421561701</v>
      </c>
      <c r="AL7233">
        <v>87.985568330988897</v>
      </c>
      <c r="AM7233">
        <v>92.248761791264499</v>
      </c>
      <c r="AN7233">
        <v>0.99999993471096704</v>
      </c>
    </row>
    <row r="7234" spans="1:40" x14ac:dyDescent="0.25">
      <c r="A7234" t="str">
        <f>"20190312160513656"</f>
        <v>20190312160513656</v>
      </c>
      <c r="B7234" t="str">
        <f>"1552377913652241"</f>
        <v>1552377913652241</v>
      </c>
      <c r="C7234" t="s">
        <v>40</v>
      </c>
      <c r="D7234">
        <v>5.9161830000000002</v>
      </c>
      <c r="E7234">
        <v>0.45167499999999999</v>
      </c>
      <c r="F7234" t="s">
        <v>81</v>
      </c>
      <c r="G7234">
        <v>-189.76140000000001</v>
      </c>
      <c r="H7234" s="1">
        <v>-1.001784E-5</v>
      </c>
      <c r="I7234">
        <v>-50.952179999999998</v>
      </c>
      <c r="J7234">
        <v>-277.6583</v>
      </c>
      <c r="K7234">
        <v>1.112914</v>
      </c>
      <c r="L7234">
        <v>-68.603939999999994</v>
      </c>
      <c r="M7234">
        <v>0.99980279999999999</v>
      </c>
      <c r="N7234">
        <v>0</v>
      </c>
      <c r="O7234">
        <v>1.526628E-2</v>
      </c>
      <c r="P7234">
        <v>0.99829979999999996</v>
      </c>
      <c r="Q7234">
        <v>2.2616219999999999E-2</v>
      </c>
      <c r="R7234">
        <v>5.3721720000000001E-2</v>
      </c>
      <c r="S7234">
        <v>2.97464</v>
      </c>
      <c r="T7234">
        <v>-3.7617440000000002E-2</v>
      </c>
      <c r="U7234">
        <v>0.59674069999999901</v>
      </c>
      <c r="V7234">
        <v>-3.8712700000000003E-2</v>
      </c>
      <c r="W7234">
        <v>3.5040189999999999E-2</v>
      </c>
      <c r="X7234">
        <v>0.99863579999999996</v>
      </c>
      <c r="Y7234">
        <v>-0.1816856</v>
      </c>
      <c r="Z7234">
        <v>9.4634350000000005E-4</v>
      </c>
      <c r="AA7234">
        <v>0.98335620000000001</v>
      </c>
      <c r="AB7234">
        <v>23</v>
      </c>
      <c r="AC7234">
        <v>87.896899999999903</v>
      </c>
      <c r="AD7234">
        <v>-1.1129240178399999</v>
      </c>
      <c r="AE7234">
        <v>17.651759999999999</v>
      </c>
      <c r="AF7234">
        <v>-16.305222979612498</v>
      </c>
      <c r="AG7234">
        <v>-1.1129240178399999</v>
      </c>
      <c r="AH7234">
        <v>88.142570515354095</v>
      </c>
      <c r="AI7234">
        <v>90.711334088500905</v>
      </c>
      <c r="AJ7234">
        <v>100.480493727176</v>
      </c>
      <c r="AK7234">
        <v>89.644919729667507</v>
      </c>
      <c r="AL7234">
        <v>87.991933883248706</v>
      </c>
      <c r="AM7234">
        <v>92.219992752863305</v>
      </c>
      <c r="AN7234">
        <v>0.99999997454908196</v>
      </c>
    </row>
    <row r="7235" spans="1:40" x14ac:dyDescent="0.25">
      <c r="A7235" t="str">
        <f>"20190312160513667"</f>
        <v>20190312160513667</v>
      </c>
      <c r="B7235" t="str">
        <f>"1552377913662004"</f>
        <v>1552377913662004</v>
      </c>
      <c r="C7235" t="s">
        <v>40</v>
      </c>
      <c r="D7235">
        <v>5.9466489999999999</v>
      </c>
      <c r="E7235">
        <v>0.4517466</v>
      </c>
      <c r="F7235" t="s">
        <v>121</v>
      </c>
      <c r="G7235">
        <v>-254.83789999999999</v>
      </c>
      <c r="H7235" s="1">
        <v>-2.106183E-6</v>
      </c>
      <c r="I7235">
        <v>-64.406619999999904</v>
      </c>
      <c r="J7235">
        <v>-277.54259999999999</v>
      </c>
      <c r="K7235">
        <v>1.11283</v>
      </c>
      <c r="L7235">
        <v>-68.599519999999998</v>
      </c>
      <c r="M7235">
        <v>0.99976310000000002</v>
      </c>
      <c r="N7235">
        <v>0</v>
      </c>
      <c r="O7235">
        <v>1.766908E-2</v>
      </c>
      <c r="P7235">
        <v>0.9982219</v>
      </c>
      <c r="Q7235">
        <v>2.222588E-2</v>
      </c>
      <c r="R7235">
        <v>5.5310199999999997E-2</v>
      </c>
      <c r="S7235">
        <v>2.9789430000000001</v>
      </c>
      <c r="T7235">
        <v>-0.14527880000000001</v>
      </c>
      <c r="U7235">
        <v>0.54791259999999997</v>
      </c>
      <c r="V7235">
        <v>-3.7891279999999999E-2</v>
      </c>
      <c r="W7235">
        <v>3.4673250000000003E-2</v>
      </c>
      <c r="X7235">
        <v>0.99868009999999996</v>
      </c>
      <c r="Y7235">
        <v>-0.16331970000000001</v>
      </c>
      <c r="Z7235">
        <v>3.0932960000000002E-3</v>
      </c>
      <c r="AA7235">
        <v>0.98656829999999995</v>
      </c>
      <c r="AB7235">
        <v>23</v>
      </c>
      <c r="AC7235">
        <v>22.704699999999999</v>
      </c>
      <c r="AD7235">
        <v>-1.112832106183</v>
      </c>
      <c r="AE7235">
        <v>4.1928999999999998</v>
      </c>
      <c r="AF7235">
        <v>-3.78225529611634</v>
      </c>
      <c r="AG7235">
        <v>-1.112832106183</v>
      </c>
      <c r="AH7235">
        <v>22.7224596114307</v>
      </c>
      <c r="AI7235">
        <v>92.765825259790802</v>
      </c>
      <c r="AJ7235">
        <v>99.450493217512403</v>
      </c>
      <c r="AK7235">
        <v>23.061960480727802</v>
      </c>
      <c r="AL7235">
        <v>88.012970757488702</v>
      </c>
      <c r="AM7235">
        <v>92.172837494458406</v>
      </c>
      <c r="AN7235">
        <v>0.99999996275080405</v>
      </c>
    </row>
    <row r="7236" spans="1:40" x14ac:dyDescent="0.25">
      <c r="A7236" t="str">
        <f>"20190312160513677"</f>
        <v>20190312160513677</v>
      </c>
      <c r="B7236" t="str">
        <f>"1552377913672736"</f>
        <v>1552377913672736</v>
      </c>
      <c r="C7236" t="s">
        <v>40</v>
      </c>
      <c r="D7236">
        <v>5.9327550000000002</v>
      </c>
      <c r="E7236">
        <v>0.45213029999999998</v>
      </c>
      <c r="F7236" t="s">
        <v>121</v>
      </c>
      <c r="G7236">
        <v>-255.1978</v>
      </c>
      <c r="H7236" s="1">
        <v>-2.2716559999999998E-6</v>
      </c>
      <c r="I7236">
        <v>-64.456609999999998</v>
      </c>
      <c r="J7236">
        <v>-277.4359</v>
      </c>
      <c r="K7236">
        <v>1.1127419999999999</v>
      </c>
      <c r="L7236">
        <v>-68.595119999999994</v>
      </c>
      <c r="M7236">
        <v>0.99972380000000005</v>
      </c>
      <c r="N7236">
        <v>0</v>
      </c>
      <c r="O7236">
        <v>1.9765319999999999E-2</v>
      </c>
      <c r="P7236">
        <v>0.9981447</v>
      </c>
      <c r="Q7236">
        <v>2.1784919999999999E-2</v>
      </c>
      <c r="R7236">
        <v>5.6857209999999998E-2</v>
      </c>
      <c r="S7236">
        <v>2.9780579999999999</v>
      </c>
      <c r="T7236">
        <v>-0.14831510000000001</v>
      </c>
      <c r="U7236">
        <v>0.55215449999999999</v>
      </c>
      <c r="V7236">
        <v>-3.7334640000000002E-2</v>
      </c>
      <c r="W7236">
        <v>3.4257210000000003E-2</v>
      </c>
      <c r="X7236">
        <v>0.99871549999999998</v>
      </c>
      <c r="Y7236">
        <v>-0.16265829999999901</v>
      </c>
      <c r="Z7236">
        <v>3.03871E-3</v>
      </c>
      <c r="AA7236">
        <v>0.98667780000000005</v>
      </c>
      <c r="AB7236">
        <v>22</v>
      </c>
      <c r="AC7236">
        <v>22.238099999999999</v>
      </c>
      <c r="AD7236">
        <v>-1.1127442716560001</v>
      </c>
      <c r="AE7236">
        <v>4.1385099999999904</v>
      </c>
      <c r="AF7236">
        <v>-3.68919498420866</v>
      </c>
      <c r="AG7236">
        <v>-1.1127442716560001</v>
      </c>
      <c r="AH7236">
        <v>22.261688113243199</v>
      </c>
      <c r="AI7236">
        <v>92.823092899127801</v>
      </c>
      <c r="AJ7236">
        <v>99.409510077650495</v>
      </c>
      <c r="AK7236">
        <v>22.592722657903</v>
      </c>
      <c r="AL7236">
        <v>88.036822418303103</v>
      </c>
      <c r="AM7236">
        <v>92.140871640079894</v>
      </c>
      <c r="AN7236">
        <v>1.00000004086058</v>
      </c>
    </row>
    <row r="7237" spans="1:40" x14ac:dyDescent="0.25">
      <c r="A7237" t="str">
        <f>"20190312160513689"</f>
        <v>20190312160513689</v>
      </c>
      <c r="B7237" t="str">
        <f>"1552377913682497"</f>
        <v>1552377913682497</v>
      </c>
      <c r="C7237" t="s">
        <v>40</v>
      </c>
      <c r="D7237">
        <v>5.8944839999999896</v>
      </c>
      <c r="E7237">
        <v>0.45240209999999997</v>
      </c>
      <c r="F7237" t="s">
        <v>121</v>
      </c>
      <c r="G7237">
        <v>-254.75290000000001</v>
      </c>
      <c r="H7237" s="1">
        <v>-2.062956E-6</v>
      </c>
      <c r="I7237">
        <v>-64.376279999999994</v>
      </c>
      <c r="J7237">
        <v>-277.32420000000002</v>
      </c>
      <c r="K7237">
        <v>1.1126590000000001</v>
      </c>
      <c r="L7237">
        <v>-68.590479999999999</v>
      </c>
      <c r="M7237">
        <v>0.99967839999999997</v>
      </c>
      <c r="N7237">
        <v>0</v>
      </c>
      <c r="O7237">
        <v>2.1933149999999998E-2</v>
      </c>
      <c r="P7237">
        <v>0.99807259999999998</v>
      </c>
      <c r="Q7237">
        <v>2.1750889999999998E-2</v>
      </c>
      <c r="R7237">
        <v>5.8121230000000003E-2</v>
      </c>
      <c r="S7237">
        <v>2.9772340000000002</v>
      </c>
      <c r="T7237">
        <v>-0.1460525</v>
      </c>
      <c r="U7237">
        <v>0.5537415</v>
      </c>
      <c r="V7237">
        <v>-3.6426E-2</v>
      </c>
      <c r="W7237">
        <v>3.4250540000000003E-2</v>
      </c>
      <c r="X7237">
        <v>0.99874929999999995</v>
      </c>
      <c r="Y7237">
        <v>-0.16108539999999999</v>
      </c>
      <c r="Z7237">
        <v>2.8495769999999998E-3</v>
      </c>
      <c r="AA7237">
        <v>0.98693640000000005</v>
      </c>
      <c r="AB7237">
        <v>22</v>
      </c>
      <c r="AC7237">
        <v>22.571300000000001</v>
      </c>
      <c r="AD7237">
        <v>-1.1126610629559901</v>
      </c>
      <c r="AE7237">
        <v>4.2141999999999902</v>
      </c>
      <c r="AF7237">
        <v>-3.7093759618305602</v>
      </c>
      <c r="AG7237">
        <v>-1.1126610629559901</v>
      </c>
      <c r="AH7237">
        <v>22.605226387714399</v>
      </c>
      <c r="AI7237">
        <v>92.780774322109707</v>
      </c>
      <c r="AJ7237">
        <v>99.318828621518605</v>
      </c>
      <c r="AK7237">
        <v>22.934553510086999</v>
      </c>
      <c r="AL7237">
        <v>88.037204840384405</v>
      </c>
      <c r="AM7237">
        <v>92.088743808436902</v>
      </c>
      <c r="AN7237">
        <v>1.0000000586083799</v>
      </c>
    </row>
    <row r="7238" spans="1:40" x14ac:dyDescent="0.25">
      <c r="A7238" t="str">
        <f>"20190312160513701"</f>
        <v>20190312160513701</v>
      </c>
      <c r="B7238" t="str">
        <f>"1552377913692257"</f>
        <v>1552377913692257</v>
      </c>
      <c r="C7238" t="s">
        <v>40</v>
      </c>
      <c r="D7238">
        <v>5.8970260000000003</v>
      </c>
      <c r="E7238">
        <v>0.45266380000000001</v>
      </c>
      <c r="F7238" t="s">
        <v>121</v>
      </c>
      <c r="G7238">
        <v>-254.3801</v>
      </c>
      <c r="H7238" s="1">
        <v>-1.8884279999999999E-6</v>
      </c>
      <c r="I7238">
        <v>-64.310630000000003</v>
      </c>
      <c r="J7238">
        <v>-277.20859999999999</v>
      </c>
      <c r="K7238">
        <v>1.1125719999999999</v>
      </c>
      <c r="L7238">
        <v>-68.585449999999994</v>
      </c>
      <c r="M7238">
        <v>0.99962870000000004</v>
      </c>
      <c r="N7238">
        <v>0</v>
      </c>
      <c r="O7238">
        <v>2.4079710000000001E-2</v>
      </c>
      <c r="P7238">
        <v>0.9979616</v>
      </c>
      <c r="Q7238">
        <v>2.182628E-2</v>
      </c>
      <c r="R7238">
        <v>5.9966419999999999E-2</v>
      </c>
      <c r="S7238">
        <v>2.9765929999999998</v>
      </c>
      <c r="T7238">
        <v>-0.14434839999999999</v>
      </c>
      <c r="U7238">
        <v>0.55523679999999997</v>
      </c>
      <c r="V7238">
        <v>-3.6120600000000003E-2</v>
      </c>
      <c r="W7238">
        <v>3.4351090000000001E-2</v>
      </c>
      <c r="X7238">
        <v>0.99875689999999995</v>
      </c>
      <c r="Y7238">
        <v>-0.159491299999999</v>
      </c>
      <c r="Z7238">
        <v>2.6755099999999999E-3</v>
      </c>
      <c r="AA7238">
        <v>0.98719570000000001</v>
      </c>
      <c r="AB7238">
        <v>22</v>
      </c>
      <c r="AC7238">
        <v>22.828499999999899</v>
      </c>
      <c r="AD7238">
        <v>-1.1125738884280001</v>
      </c>
      <c r="AE7238">
        <v>4.2748199999999903</v>
      </c>
      <c r="AF7238">
        <v>-3.7153062210522401</v>
      </c>
      <c r="AG7238">
        <v>-1.1125738884280001</v>
      </c>
      <c r="AH7238">
        <v>22.872338142725098</v>
      </c>
      <c r="AI7238">
        <v>92.748857650159593</v>
      </c>
      <c r="AJ7238">
        <v>99.226350475960302</v>
      </c>
      <c r="AK7238">
        <v>23.198818355437002</v>
      </c>
      <c r="AL7238">
        <v>88.031440282389696</v>
      </c>
      <c r="AM7238">
        <v>92.071231097215005</v>
      </c>
      <c r="AN7238">
        <v>1.0000000202130701</v>
      </c>
    </row>
    <row r="7239" spans="1:40" x14ac:dyDescent="0.25">
      <c r="A7239" t="str">
        <f>"20190312160513712"</f>
        <v>20190312160513712</v>
      </c>
      <c r="B7239" t="str">
        <f>"1552377913702017"</f>
        <v>1552377913702017</v>
      </c>
      <c r="C7239" t="s">
        <v>40</v>
      </c>
      <c r="D7239">
        <v>5.8749399999999996</v>
      </c>
      <c r="E7239">
        <v>0.45298300000000002</v>
      </c>
      <c r="F7239" t="s">
        <v>121</v>
      </c>
      <c r="G7239">
        <v>-254.5436</v>
      </c>
      <c r="H7239" s="1">
        <v>-1.9631279999999998E-6</v>
      </c>
      <c r="I7239">
        <v>-64.331149999999994</v>
      </c>
      <c r="J7239">
        <v>-277.10160000000002</v>
      </c>
      <c r="K7239">
        <v>1.112495</v>
      </c>
      <c r="L7239">
        <v>-68.580659999999995</v>
      </c>
      <c r="M7239">
        <v>0.99958009999999997</v>
      </c>
      <c r="N7239">
        <v>0</v>
      </c>
      <c r="O7239">
        <v>2.6016149999999998E-2</v>
      </c>
      <c r="P7239">
        <v>0.9978532</v>
      </c>
      <c r="Q7239">
        <v>2.185513E-2</v>
      </c>
      <c r="R7239">
        <v>6.1740000000000003E-2</v>
      </c>
      <c r="S7239">
        <v>2.9757690000000001</v>
      </c>
      <c r="T7239">
        <v>-0.14607410000000001</v>
      </c>
      <c r="U7239">
        <v>0.55856319999999904</v>
      </c>
      <c r="V7239">
        <v>-3.595433E-2</v>
      </c>
      <c r="W7239">
        <v>3.4404459999999998E-2</v>
      </c>
      <c r="X7239">
        <v>0.99876109999999896</v>
      </c>
      <c r="Y7239">
        <v>-0.1586938</v>
      </c>
      <c r="Z7239">
        <v>2.5944779999999999E-3</v>
      </c>
      <c r="AA7239">
        <v>0.98732439999999999</v>
      </c>
      <c r="AB7239">
        <v>22</v>
      </c>
      <c r="AC7239">
        <v>22.558</v>
      </c>
      <c r="AD7239">
        <v>-1.1124969631279999</v>
      </c>
      <c r="AE7239">
        <v>4.2495099999999999</v>
      </c>
      <c r="AF7239">
        <v>-3.6525720481262698</v>
      </c>
      <c r="AG7239">
        <v>-1.1124969631279999</v>
      </c>
      <c r="AH7239">
        <v>22.607826333809101</v>
      </c>
      <c r="AI7239">
        <v>92.781160381757303</v>
      </c>
      <c r="AJ7239">
        <v>99.1775335240863</v>
      </c>
      <c r="AK7239">
        <v>22.9279903960072</v>
      </c>
      <c r="AL7239">
        <v>88.028380672271993</v>
      </c>
      <c r="AM7239">
        <v>92.061696410591097</v>
      </c>
      <c r="AN7239">
        <v>1.00000005779342</v>
      </c>
    </row>
    <row r="7240" spans="1:40" x14ac:dyDescent="0.25">
      <c r="A7240" t="str">
        <f>"20190312160513723"</f>
        <v>20190312160513723</v>
      </c>
      <c r="B7240" t="str">
        <f>"1552377913712753"</f>
        <v>1552377913712753</v>
      </c>
      <c r="C7240" t="s">
        <v>40</v>
      </c>
      <c r="D7240">
        <v>5.926755</v>
      </c>
      <c r="E7240">
        <v>0.45340910000000001</v>
      </c>
      <c r="F7240" t="s">
        <v>121</v>
      </c>
      <c r="G7240">
        <v>-254.46799999999999</v>
      </c>
      <c r="H7240" s="1">
        <v>-1.9262170000000001E-6</v>
      </c>
      <c r="I7240">
        <v>-64.311049999999994</v>
      </c>
      <c r="J7240">
        <v>-276.9905</v>
      </c>
      <c r="K7240">
        <v>1.112417</v>
      </c>
      <c r="L7240">
        <v>-68.575530000000001</v>
      </c>
      <c r="M7240">
        <v>0.99952730000000001</v>
      </c>
      <c r="N7240">
        <v>0</v>
      </c>
      <c r="O7240">
        <v>2.7963439999999999E-2</v>
      </c>
      <c r="P7240">
        <v>0.99774980000000002</v>
      </c>
      <c r="Q7240">
        <v>2.1466590000000001E-2</v>
      </c>
      <c r="R7240">
        <v>6.3518770000000002E-2</v>
      </c>
      <c r="S7240">
        <v>2.9749150000000002</v>
      </c>
      <c r="T7240">
        <v>-0.14622399999999999</v>
      </c>
      <c r="U7240">
        <v>0.56118769999999996</v>
      </c>
      <c r="V7240">
        <v>-3.577951E-2</v>
      </c>
      <c r="W7240">
        <v>3.4043230000000001E-2</v>
      </c>
      <c r="X7240">
        <v>0.99877969999999905</v>
      </c>
      <c r="Y7240">
        <v>-0.157666</v>
      </c>
      <c r="Z7240">
        <v>2.4779559999999999E-3</v>
      </c>
      <c r="AA7240">
        <v>0.98748939999999996</v>
      </c>
      <c r="AB7240">
        <v>22</v>
      </c>
      <c r="AC7240">
        <v>22.522500000000001</v>
      </c>
      <c r="AD7240">
        <v>-1.1124189262169999</v>
      </c>
      <c r="AE7240">
        <v>4.2644799999999998</v>
      </c>
      <c r="AF7240">
        <v>-3.62441829680479</v>
      </c>
      <c r="AG7240">
        <v>-1.1124189262169999</v>
      </c>
      <c r="AH7240">
        <v>22.579773070145599</v>
      </c>
      <c r="AI7240">
        <v>92.784871803406503</v>
      </c>
      <c r="AJ7240">
        <v>99.119109774100494</v>
      </c>
      <c r="AK7240">
        <v>22.895851933415599</v>
      </c>
      <c r="AL7240">
        <v>88.049089648242798</v>
      </c>
      <c r="AM7240">
        <v>92.051642279313498</v>
      </c>
      <c r="AN7240">
        <v>1.0000000019883799</v>
      </c>
    </row>
    <row r="7241" spans="1:40" x14ac:dyDescent="0.25">
      <c r="A7241" t="str">
        <f>"20190312160513736"</f>
        <v>20190312160513736</v>
      </c>
      <c r="B7241" t="str">
        <f>"1552377913732273"</f>
        <v>1552377913732273</v>
      </c>
      <c r="C7241" t="s">
        <v>40</v>
      </c>
      <c r="D7241">
        <v>5.9153539999999998</v>
      </c>
      <c r="E7241">
        <v>0.45418500000000001</v>
      </c>
      <c r="F7241" t="s">
        <v>121</v>
      </c>
      <c r="G7241">
        <v>-255.1634</v>
      </c>
      <c r="H7241" s="1">
        <v>-2.253896E-6</v>
      </c>
      <c r="I7241">
        <v>-64.442989999999995</v>
      </c>
      <c r="J7241">
        <v>-276.8621</v>
      </c>
      <c r="K7241">
        <v>1.1123289999999999</v>
      </c>
      <c r="L7241">
        <v>-68.569429999999997</v>
      </c>
      <c r="M7241">
        <v>0.99946420000000002</v>
      </c>
      <c r="N7241">
        <v>0</v>
      </c>
      <c r="O7241">
        <v>3.0119779999999999E-2</v>
      </c>
      <c r="P7241">
        <v>0.99762360000000005</v>
      </c>
      <c r="Q7241">
        <v>2.1211710000000002E-2</v>
      </c>
      <c r="R7241">
        <v>6.5556080000000003E-2</v>
      </c>
      <c r="S7241">
        <v>2.9742130000000002</v>
      </c>
      <c r="T7241">
        <v>-0.15158089999999999</v>
      </c>
      <c r="U7241">
        <v>0.56311040000000001</v>
      </c>
      <c r="V7241">
        <v>-3.5654999999999999E-2</v>
      </c>
      <c r="W7241">
        <v>3.3823069999999997E-2</v>
      </c>
      <c r="X7241">
        <v>0.9987916</v>
      </c>
      <c r="Y7241">
        <v>-0.15618750000000001</v>
      </c>
      <c r="Z7241">
        <v>2.423059E-3</v>
      </c>
      <c r="AA7241">
        <v>0.98772450000000001</v>
      </c>
      <c r="AB7241">
        <v>22</v>
      </c>
      <c r="AC7241">
        <v>21.698699999999999</v>
      </c>
      <c r="AD7241">
        <v>-1.112331253896</v>
      </c>
      <c r="AE7241">
        <v>4.1264399999999997</v>
      </c>
      <c r="AF7241">
        <v>-3.4621732736427502</v>
      </c>
      <c r="AG7241">
        <v>-1.112331253896</v>
      </c>
      <c r="AH7241">
        <v>21.757970156837199</v>
      </c>
      <c r="AI7241">
        <v>92.890281319653994</v>
      </c>
      <c r="AJ7241">
        <v>99.041224170759605</v>
      </c>
      <c r="AK7241">
        <v>22.0597640499834</v>
      </c>
      <c r="AL7241">
        <v>88.061711093040103</v>
      </c>
      <c r="AM7241">
        <v>92.044484449870794</v>
      </c>
      <c r="AN7241">
        <v>0.99999996965989102</v>
      </c>
    </row>
    <row r="7242" spans="1:40" x14ac:dyDescent="0.25">
      <c r="A7242" t="str">
        <f>"20190312160513745"</f>
        <v>20190312160513745</v>
      </c>
      <c r="B7242" t="str">
        <f>"1552377913742033"</f>
        <v>1552377913742033</v>
      </c>
      <c r="C7242" t="s">
        <v>40</v>
      </c>
      <c r="D7242">
        <v>5.8749669999999998</v>
      </c>
      <c r="E7242">
        <v>0.45456160000000001</v>
      </c>
      <c r="F7242" t="s">
        <v>121</v>
      </c>
      <c r="G7242">
        <v>-254.90870000000001</v>
      </c>
      <c r="H7242" s="1">
        <v>-2.1379509999999998E-6</v>
      </c>
      <c r="I7242">
        <v>-64.412949999999995</v>
      </c>
      <c r="J7242">
        <v>-276.76420000000002</v>
      </c>
      <c r="K7242">
        <v>1.11226</v>
      </c>
      <c r="L7242">
        <v>-68.564669999999893</v>
      </c>
      <c r="M7242">
        <v>0.99941409999999997</v>
      </c>
      <c r="N7242">
        <v>0</v>
      </c>
      <c r="O7242">
        <v>3.1730229999999998E-2</v>
      </c>
      <c r="P7242">
        <v>0.99754849999999995</v>
      </c>
      <c r="Q7242">
        <v>2.1168590000000001E-2</v>
      </c>
      <c r="R7242">
        <v>6.6700899999999994E-2</v>
      </c>
      <c r="S7242">
        <v>2.9733890000000001</v>
      </c>
      <c r="T7242">
        <v>-0.15065529999999999</v>
      </c>
      <c r="U7242">
        <v>0.56295779999999995</v>
      </c>
      <c r="V7242">
        <v>-3.5185420000000002E-2</v>
      </c>
      <c r="W7242">
        <v>3.3810199999999999E-2</v>
      </c>
      <c r="X7242">
        <v>0.99880869999999999</v>
      </c>
      <c r="Y7242">
        <v>-0.15460260000000001</v>
      </c>
      <c r="Z7242">
        <v>2.2884839999999999E-3</v>
      </c>
      <c r="AA7242">
        <v>0.98797409999999997</v>
      </c>
      <c r="AB7242">
        <v>22</v>
      </c>
      <c r="AC7242">
        <v>21.855499999999999</v>
      </c>
      <c r="AD7242">
        <v>-1.112262137951</v>
      </c>
      <c r="AE7242">
        <v>4.1517199999999903</v>
      </c>
      <c r="AF7242">
        <v>-3.44747416366689</v>
      </c>
      <c r="AG7242">
        <v>-1.112262137951</v>
      </c>
      <c r="AH7242">
        <v>21.921440958201199</v>
      </c>
      <c r="AI7242">
        <v>92.869407246757703</v>
      </c>
      <c r="AJ7242">
        <v>98.937416408115595</v>
      </c>
      <c r="AK7242">
        <v>22.218725860331698</v>
      </c>
      <c r="AL7242">
        <v>88.062448934299496</v>
      </c>
      <c r="AM7242">
        <v>92.017546268536293</v>
      </c>
      <c r="AN7242">
        <v>0.999999981300152</v>
      </c>
    </row>
    <row r="7243" spans="1:40" x14ac:dyDescent="0.25">
      <c r="A7243" t="str">
        <f>"20190312160513756"</f>
        <v>20190312160513756</v>
      </c>
      <c r="B7243" t="str">
        <f>"1552377913752768"</f>
        <v>1552377913752768</v>
      </c>
      <c r="C7243" t="s">
        <v>40</v>
      </c>
      <c r="D7243">
        <v>5.9200350000000004</v>
      </c>
      <c r="E7243">
        <v>0.45500069999999998</v>
      </c>
      <c r="F7243" t="s">
        <v>121</v>
      </c>
      <c r="G7243">
        <v>-254.6968</v>
      </c>
      <c r="H7243" s="1">
        <v>-2.0402040000000001E-6</v>
      </c>
      <c r="I7243">
        <v>-64.382249999999999</v>
      </c>
      <c r="J7243">
        <v>-276.6558</v>
      </c>
      <c r="K7243">
        <v>1.1121890000000001</v>
      </c>
      <c r="L7243">
        <v>-68.559200000000004</v>
      </c>
      <c r="M7243">
        <v>0.99935890000000005</v>
      </c>
      <c r="N7243">
        <v>0</v>
      </c>
      <c r="O7243">
        <v>3.3413480000000002E-2</v>
      </c>
      <c r="P7243">
        <v>0.99744809999999995</v>
      </c>
      <c r="Q7243">
        <v>2.116929E-2</v>
      </c>
      <c r="R7243">
        <v>6.8187419999999999E-2</v>
      </c>
      <c r="S7243">
        <v>2.9728699999999999</v>
      </c>
      <c r="T7243">
        <v>-0.14984149999999999</v>
      </c>
      <c r="U7243">
        <v>0.563446</v>
      </c>
      <c r="V7243">
        <v>-3.4985339999999997E-2</v>
      </c>
      <c r="W7243">
        <v>3.3846420000000002E-2</v>
      </c>
      <c r="X7243">
        <v>0.99881450000000005</v>
      </c>
      <c r="Y7243">
        <v>-0.15313209999999999</v>
      </c>
      <c r="Z7243">
        <v>2.1558979999999998E-3</v>
      </c>
      <c r="AA7243">
        <v>0.98820339999999995</v>
      </c>
      <c r="AB7243">
        <v>22</v>
      </c>
      <c r="AC7243">
        <v>21.959</v>
      </c>
      <c r="AD7243">
        <v>-1.1121910402039901</v>
      </c>
      <c r="AE7243">
        <v>4.1769499999999997</v>
      </c>
      <c r="AF7243">
        <v>-3.4323325776872999</v>
      </c>
      <c r="AG7243">
        <v>-1.1121910402039901</v>
      </c>
      <c r="AH7243">
        <v>22.031770342151301</v>
      </c>
      <c r="AI7243">
        <v>92.855521924044893</v>
      </c>
      <c r="AJ7243">
        <v>98.854937221940702</v>
      </c>
      <c r="AK7243">
        <v>22.3252498360727</v>
      </c>
      <c r="AL7243">
        <v>88.060372489755693</v>
      </c>
      <c r="AM7243">
        <v>92.006071361173596</v>
      </c>
      <c r="AN7243">
        <v>0.99999997978598998</v>
      </c>
    </row>
    <row r="7244" spans="1:40" x14ac:dyDescent="0.25">
      <c r="A7244" t="str">
        <f>"20190312160513768"</f>
        <v>20190312160513768</v>
      </c>
      <c r="B7244" t="str">
        <f>"1552377913762529"</f>
        <v>1552377913762529</v>
      </c>
      <c r="C7244" t="s">
        <v>40</v>
      </c>
      <c r="D7244">
        <v>5.8923030000000001</v>
      </c>
      <c r="E7244">
        <v>0.45535399999999998</v>
      </c>
      <c r="F7244" t="s">
        <v>121</v>
      </c>
      <c r="G7244">
        <v>-255.06909999999999</v>
      </c>
      <c r="H7244" s="1">
        <v>-2.2171840000000001E-6</v>
      </c>
      <c r="I7244">
        <v>-64.459829999999997</v>
      </c>
      <c r="J7244">
        <v>-276.5412</v>
      </c>
      <c r="K7244">
        <v>1.1121129999999999</v>
      </c>
      <c r="L7244">
        <v>-68.553380000000004</v>
      </c>
      <c r="M7244">
        <v>0.99929840000000003</v>
      </c>
      <c r="N7244">
        <v>0</v>
      </c>
      <c r="O7244">
        <v>3.5166089999999997E-2</v>
      </c>
      <c r="P7244">
        <v>0.99734449999999997</v>
      </c>
      <c r="Q7244">
        <v>2.124419E-2</v>
      </c>
      <c r="R7244">
        <v>6.9663260000000005E-2</v>
      </c>
      <c r="S7244">
        <v>2.972321</v>
      </c>
      <c r="T7244">
        <v>-0.15314040000000001</v>
      </c>
      <c r="U7244">
        <v>0.56445310000000004</v>
      </c>
      <c r="V7244">
        <v>-3.4705640000000003E-2</v>
      </c>
      <c r="W7244">
        <v>3.3960320000000002E-2</v>
      </c>
      <c r="X7244">
        <v>0.99882040000000005</v>
      </c>
      <c r="Y7244">
        <v>-0.1517529</v>
      </c>
      <c r="Z7244">
        <v>2.0791770000000002E-3</v>
      </c>
      <c r="AA7244">
        <v>0.98841630000000003</v>
      </c>
      <c r="AB7244">
        <v>22</v>
      </c>
      <c r="AC7244">
        <v>21.472100000000001</v>
      </c>
      <c r="AD7244">
        <v>-1.1121152171840001</v>
      </c>
      <c r="AE7244">
        <v>4.0935499999999898</v>
      </c>
      <c r="AF7244">
        <v>-3.3272525932515502</v>
      </c>
      <c r="AG7244">
        <v>-1.1121152171840001</v>
      </c>
      <c r="AH7244">
        <v>21.547008863484699</v>
      </c>
      <c r="AI7244">
        <v>92.920062019025195</v>
      </c>
      <c r="AJ7244">
        <v>98.778183407865498</v>
      </c>
      <c r="AK7244">
        <v>21.830735238160901</v>
      </c>
      <c r="AL7244">
        <v>88.053842762709394</v>
      </c>
      <c r="AM7244">
        <v>91.990034469207899</v>
      </c>
      <c r="AN7244">
        <v>0.99999998811923596</v>
      </c>
    </row>
    <row r="7245" spans="1:40" x14ac:dyDescent="0.25">
      <c r="A7245" t="str">
        <f>"20190312160513779"</f>
        <v>20190312160513779</v>
      </c>
      <c r="B7245" t="str">
        <f>"1552377913772290"</f>
        <v>1552377913772290</v>
      </c>
      <c r="C7245" t="s">
        <v>40</v>
      </c>
      <c r="D7245">
        <v>5.9146130000000001</v>
      </c>
      <c r="E7245">
        <v>0.45582139999999999</v>
      </c>
      <c r="F7245" t="s">
        <v>121</v>
      </c>
      <c r="G7245">
        <v>-254.9682</v>
      </c>
      <c r="H7245" s="1">
        <v>-2.1704859999999998E-6</v>
      </c>
      <c r="I7245">
        <v>-64.444500000000005</v>
      </c>
      <c r="J7245">
        <v>-276.42989999999998</v>
      </c>
      <c r="K7245">
        <v>1.1120399999999999</v>
      </c>
      <c r="L7245">
        <v>-68.547550000000001</v>
      </c>
      <c r="M7245">
        <v>0.99924029999999997</v>
      </c>
      <c r="N7245">
        <v>0</v>
      </c>
      <c r="O7245">
        <v>3.676803E-2</v>
      </c>
      <c r="P7245">
        <v>0.99725719999999995</v>
      </c>
      <c r="Q7245">
        <v>2.1157450000000001E-2</v>
      </c>
      <c r="R7245">
        <v>7.0928389999999994E-2</v>
      </c>
      <c r="S7245">
        <v>2.9717410000000002</v>
      </c>
      <c r="T7245">
        <v>-0.1531971</v>
      </c>
      <c r="U7245">
        <v>0.56600950000000005</v>
      </c>
      <c r="V7245">
        <v>-3.436372E-2</v>
      </c>
      <c r="W7245">
        <v>3.3914090000000001E-2</v>
      </c>
      <c r="X7245">
        <v>0.99883379999999999</v>
      </c>
      <c r="Y7245">
        <v>-0.15070649999999999</v>
      </c>
      <c r="Z7245">
        <v>1.9719099999999999E-3</v>
      </c>
      <c r="AA7245">
        <v>0.98857660000000003</v>
      </c>
      <c r="AB7245">
        <v>22</v>
      </c>
      <c r="AC7245">
        <v>21.461699999999901</v>
      </c>
      <c r="AD7245">
        <v>-1.112042170486</v>
      </c>
      <c r="AE7245">
        <v>4.1030499999999899</v>
      </c>
      <c r="AF7245">
        <v>-3.3025507787478898</v>
      </c>
      <c r="AG7245">
        <v>-1.112042170486</v>
      </c>
      <c r="AH7245">
        <v>21.5422618381555</v>
      </c>
      <c r="AI7245">
        <v>92.921000462586406</v>
      </c>
      <c r="AJ7245">
        <v>98.715908100264301</v>
      </c>
      <c r="AK7245">
        <v>21.822294208877299</v>
      </c>
      <c r="AL7245">
        <v>88.056493087425594</v>
      </c>
      <c r="AM7245">
        <v>91.970417765655796</v>
      </c>
      <c r="AN7245">
        <v>0.99999999538760298</v>
      </c>
    </row>
    <row r="7246" spans="1:40" x14ac:dyDescent="0.25">
      <c r="A7246" t="str">
        <f>"20190312160513789"</f>
        <v>20190312160513789</v>
      </c>
      <c r="B7246" t="str">
        <f>"1552377913782050"</f>
        <v>1552377913782050</v>
      </c>
      <c r="C7246" t="s">
        <v>40</v>
      </c>
      <c r="D7246">
        <v>5.8776299999999999</v>
      </c>
      <c r="E7246">
        <v>0.45617200000000002</v>
      </c>
      <c r="F7246" t="s">
        <v>121</v>
      </c>
      <c r="G7246">
        <v>-254.792</v>
      </c>
      <c r="H7246" s="1">
        <v>-2.0904470000000002E-6</v>
      </c>
      <c r="I7246">
        <v>-64.424480000000003</v>
      </c>
      <c r="J7246">
        <v>-276.32470000000001</v>
      </c>
      <c r="K7246">
        <v>1.1119749999999999</v>
      </c>
      <c r="L7246">
        <v>-68.542019999999994</v>
      </c>
      <c r="M7246">
        <v>0.99918399999999996</v>
      </c>
      <c r="N7246">
        <v>0</v>
      </c>
      <c r="O7246">
        <v>3.8255949999999997E-2</v>
      </c>
      <c r="P7246">
        <v>0.99718229999999997</v>
      </c>
      <c r="Q7246">
        <v>2.0858040000000001E-2</v>
      </c>
      <c r="R7246">
        <v>7.2058999999999998E-2</v>
      </c>
      <c r="S7246">
        <v>2.971222</v>
      </c>
      <c r="T7246">
        <v>-0.152701</v>
      </c>
      <c r="U7246">
        <v>0.5661621</v>
      </c>
      <c r="V7246">
        <v>-3.400156E-2</v>
      </c>
      <c r="W7246">
        <v>3.36534E-2</v>
      </c>
      <c r="X7246">
        <v>0.99885500000000005</v>
      </c>
      <c r="Y7246">
        <v>-0.14931949999999999</v>
      </c>
      <c r="Z7246">
        <v>1.8549910000000001E-3</v>
      </c>
      <c r="AA7246">
        <v>0.98878719999999998</v>
      </c>
      <c r="AB7246">
        <v>22</v>
      </c>
      <c r="AC7246">
        <v>21.532699999999998</v>
      </c>
      <c r="AD7246">
        <v>-1.1119770904470001</v>
      </c>
      <c r="AE7246">
        <v>4.1175399999999902</v>
      </c>
      <c r="AF7246">
        <v>-3.2822578902064801</v>
      </c>
      <c r="AG7246">
        <v>-1.1119770904470001</v>
      </c>
      <c r="AH7246">
        <v>21.618848556680099</v>
      </c>
      <c r="AI7246">
        <v>92.911142294004307</v>
      </c>
      <c r="AJ7246">
        <v>98.632940356533197</v>
      </c>
      <c r="AK7246">
        <v>21.894846946808499</v>
      </c>
      <c r="AL7246">
        <v>88.071438033842199</v>
      </c>
      <c r="AM7246">
        <v>91.949626253030303</v>
      </c>
      <c r="AN7246">
        <v>0.99999998421949599</v>
      </c>
    </row>
    <row r="7247" spans="1:40" x14ac:dyDescent="0.25">
      <c r="A7247" t="str">
        <f>"20190312160513800"</f>
        <v>20190312160513800</v>
      </c>
      <c r="B7247" t="str">
        <f>"1552377913792786"</f>
        <v>1552377913792786</v>
      </c>
      <c r="C7247" t="s">
        <v>40</v>
      </c>
      <c r="D7247">
        <v>5.8723140000000003</v>
      </c>
      <c r="E7247">
        <v>0.45651140000000001</v>
      </c>
      <c r="F7247" t="s">
        <v>121</v>
      </c>
      <c r="G7247">
        <v>-254.73609999999999</v>
      </c>
      <c r="H7247" s="1">
        <v>-2.0661859999999998E-6</v>
      </c>
      <c r="I7247">
        <v>-64.423230000000004</v>
      </c>
      <c r="J7247">
        <v>-276.21839999999997</v>
      </c>
      <c r="K7247">
        <v>1.1119139999999901</v>
      </c>
      <c r="L7247">
        <v>-68.53622</v>
      </c>
      <c r="M7247">
        <v>0.9991276</v>
      </c>
      <c r="N7247">
        <v>0</v>
      </c>
      <c r="O7247">
        <v>3.9694359999999998E-2</v>
      </c>
      <c r="P7247">
        <v>0.99710670000000001</v>
      </c>
      <c r="Q7247">
        <v>2.0734780000000001E-2</v>
      </c>
      <c r="R7247">
        <v>7.3133030000000002E-2</v>
      </c>
      <c r="S7247">
        <v>2.9707340000000002</v>
      </c>
      <c r="T7247">
        <v>-0.15301529999999999</v>
      </c>
      <c r="U7247">
        <v>0.56677250000000001</v>
      </c>
      <c r="V7247">
        <v>-3.3633490000000002E-2</v>
      </c>
      <c r="W7247">
        <v>3.3568109999999998E-2</v>
      </c>
      <c r="X7247">
        <v>0.99887040000000005</v>
      </c>
      <c r="Y7247">
        <v>-0.1481246</v>
      </c>
      <c r="Z7247">
        <v>1.7553810000000001E-3</v>
      </c>
      <c r="AA7247">
        <v>0.98896709999999999</v>
      </c>
      <c r="AB7247">
        <v>22</v>
      </c>
      <c r="AC7247">
        <v>21.482299999999899</v>
      </c>
      <c r="AD7247">
        <v>-1.1119160661859999</v>
      </c>
      <c r="AE7247">
        <v>4.1129899999999902</v>
      </c>
      <c r="AF7247">
        <v>-3.24855459134803</v>
      </c>
      <c r="AG7247">
        <v>-1.1119160661859999</v>
      </c>
      <c r="AH7247">
        <v>21.572891112530801</v>
      </c>
      <c r="AI7247">
        <v>92.917706832182802</v>
      </c>
      <c r="AJ7247">
        <v>98.563545297761195</v>
      </c>
      <c r="AK7247">
        <v>21.844429386558101</v>
      </c>
      <c r="AL7247">
        <v>88.076327685567904</v>
      </c>
      <c r="AM7247">
        <v>91.928507683740904</v>
      </c>
      <c r="AN7247">
        <v>1.00000005282735</v>
      </c>
    </row>
    <row r="7248" spans="1:40" x14ac:dyDescent="0.25">
      <c r="A7248" t="str">
        <f>"20190312160513812"</f>
        <v>20190312160513812</v>
      </c>
      <c r="B7248" t="str">
        <f>"1552377913802545"</f>
        <v>1552377913802545</v>
      </c>
      <c r="C7248" t="s">
        <v>40</v>
      </c>
      <c r="D7248">
        <v>5.8605519999999904</v>
      </c>
      <c r="E7248">
        <v>0.45651140000000001</v>
      </c>
      <c r="F7248" t="s">
        <v>121</v>
      </c>
      <c r="G7248">
        <v>-254.53229999999999</v>
      </c>
      <c r="H7248" s="1">
        <v>-1.9722489999999998E-6</v>
      </c>
      <c r="I7248">
        <v>-64.393999999999906</v>
      </c>
      <c r="J7248">
        <v>-276.10700000000003</v>
      </c>
      <c r="K7248">
        <v>1.1118479999999999</v>
      </c>
      <c r="L7248">
        <v>-68.530090000000001</v>
      </c>
      <c r="M7248">
        <v>0.99906779999999995</v>
      </c>
      <c r="N7248">
        <v>0</v>
      </c>
      <c r="O7248">
        <v>4.1161540000000003E-2</v>
      </c>
      <c r="P7248">
        <v>0.99702369999999996</v>
      </c>
      <c r="Q7248">
        <v>2.068621E-2</v>
      </c>
      <c r="R7248">
        <v>7.4269979999999999E-2</v>
      </c>
      <c r="S7248">
        <v>2.9703059999999999</v>
      </c>
      <c r="T7248">
        <v>-0.1522973</v>
      </c>
      <c r="U7248">
        <v>0.56735230000000003</v>
      </c>
      <c r="V7248">
        <v>-3.329961E-2</v>
      </c>
      <c r="W7248">
        <v>3.3559039999999998E-2</v>
      </c>
      <c r="X7248">
        <v>0.99888180000000004</v>
      </c>
      <c r="Y7248">
        <v>-0.1468894</v>
      </c>
      <c r="Z7248">
        <v>1.641682E-3</v>
      </c>
      <c r="AA7248">
        <v>0.98915160000000002</v>
      </c>
      <c r="AB7248">
        <v>22</v>
      </c>
      <c r="AC7248">
        <v>21.5747</v>
      </c>
      <c r="AD7248">
        <v>-1.1118499722489901</v>
      </c>
      <c r="AE7248">
        <v>4.1360900000000003</v>
      </c>
      <c r="AF7248">
        <v>-3.2361709610053402</v>
      </c>
      <c r="AG7248">
        <v>-1.1118499722489901</v>
      </c>
      <c r="AH7248">
        <v>21.671159761491602</v>
      </c>
      <c r="AI7248">
        <v>92.904860126929705</v>
      </c>
      <c r="AJ7248">
        <v>98.493261601961805</v>
      </c>
      <c r="AK7248">
        <v>21.939648544535402</v>
      </c>
      <c r="AL7248">
        <v>88.076847476056599</v>
      </c>
      <c r="AM7248">
        <v>91.909355834684106</v>
      </c>
      <c r="AN7248">
        <v>0.99999996178155603</v>
      </c>
    </row>
    <row r="7249" spans="1:40" x14ac:dyDescent="0.25">
      <c r="A7249" t="str">
        <f>"20190312160513823"</f>
        <v>20190312160513823</v>
      </c>
      <c r="B7249" t="str">
        <f>"1552377913812305"</f>
        <v>1552377913812305</v>
      </c>
      <c r="C7249" t="s">
        <v>40</v>
      </c>
      <c r="D7249">
        <v>5.8828189999999996</v>
      </c>
      <c r="E7249">
        <v>0.45693339999999999</v>
      </c>
      <c r="F7249" t="s">
        <v>121</v>
      </c>
      <c r="G7249">
        <v>-254.44159999999999</v>
      </c>
      <c r="H7249" s="1">
        <v>-1.9271480000000002E-6</v>
      </c>
      <c r="I7249">
        <v>-64.36609</v>
      </c>
      <c r="J7249">
        <v>-275.99810000000002</v>
      </c>
      <c r="K7249">
        <v>1.1117919999999999</v>
      </c>
      <c r="L7249">
        <v>-68.524019999999993</v>
      </c>
      <c r="M7249">
        <v>0.99900919999999904</v>
      </c>
      <c r="N7249">
        <v>0</v>
      </c>
      <c r="O7249">
        <v>4.254782E-2</v>
      </c>
      <c r="P7249">
        <v>0.99694110000000002</v>
      </c>
      <c r="Q7249">
        <v>2.0934729999999999E-2</v>
      </c>
      <c r="R7249">
        <v>7.530191E-2</v>
      </c>
      <c r="S7249">
        <v>2.9695740000000002</v>
      </c>
      <c r="T7249">
        <v>-0.1523958</v>
      </c>
      <c r="U7249">
        <v>0.57073969999999996</v>
      </c>
      <c r="V7249">
        <v>-3.2943960000000001E-2</v>
      </c>
      <c r="W7249">
        <v>3.3847370000000002E-2</v>
      </c>
      <c r="X7249">
        <v>0.99888390000000005</v>
      </c>
      <c r="Y7249">
        <v>-0.146652</v>
      </c>
      <c r="Z7249">
        <v>1.5666740000000001E-3</v>
      </c>
      <c r="AA7249">
        <v>0.98918689999999998</v>
      </c>
      <c r="AB7249">
        <v>22</v>
      </c>
      <c r="AC7249">
        <v>21.5565</v>
      </c>
      <c r="AD7249">
        <v>-1.111793927148</v>
      </c>
      <c r="AE7249">
        <v>4.1579299999999897</v>
      </c>
      <c r="AF7249">
        <v>-3.22862359710546</v>
      </c>
      <c r="AG7249">
        <v>-1.111793927148</v>
      </c>
      <c r="AH7249">
        <v>21.658355668988602</v>
      </c>
      <c r="AI7249">
        <v>92.906538417271804</v>
      </c>
      <c r="AJ7249">
        <v>98.478678365334204</v>
      </c>
      <c r="AK7249">
        <v>21.925885759819099</v>
      </c>
      <c r="AL7249">
        <v>88.060318061578002</v>
      </c>
      <c r="AM7249">
        <v>91.888974216597205</v>
      </c>
      <c r="AN7249">
        <v>0.99999999731780398</v>
      </c>
    </row>
    <row r="7250" spans="1:40" x14ac:dyDescent="0.25">
      <c r="A7250" t="str">
        <f>"20190312160513834"</f>
        <v>20190312160513834</v>
      </c>
      <c r="B7250" t="str">
        <f>"1552377913822065"</f>
        <v>1552377913822065</v>
      </c>
      <c r="C7250" t="s">
        <v>40</v>
      </c>
      <c r="D7250">
        <v>5.8224349999999996</v>
      </c>
      <c r="E7250">
        <v>0.45723330000000001</v>
      </c>
      <c r="F7250" t="s">
        <v>121</v>
      </c>
      <c r="G7250">
        <v>-254.09</v>
      </c>
      <c r="H7250" s="1">
        <v>-1.764905E-6</v>
      </c>
      <c r="I7250">
        <v>-64.314899999999994</v>
      </c>
      <c r="J7250">
        <v>-275.8843</v>
      </c>
      <c r="K7250">
        <v>1.1117410000000001</v>
      </c>
      <c r="L7250">
        <v>-68.517519999999905</v>
      </c>
      <c r="M7250">
        <v>0.99894850000000002</v>
      </c>
      <c r="N7250">
        <v>0</v>
      </c>
      <c r="O7250">
        <v>4.3941960000000002E-2</v>
      </c>
      <c r="P7250">
        <v>0.99683120000000003</v>
      </c>
      <c r="Q7250">
        <v>2.140005E-2</v>
      </c>
      <c r="R7250">
        <v>7.6612879999999994E-2</v>
      </c>
      <c r="S7250">
        <v>2.9692379999999998</v>
      </c>
      <c r="T7250">
        <v>-0.1506825</v>
      </c>
      <c r="U7250">
        <v>0.57046509999999995</v>
      </c>
      <c r="V7250">
        <v>-3.2861000000000001E-2</v>
      </c>
      <c r="W7250">
        <v>3.4352519999999998E-2</v>
      </c>
      <c r="X7250">
        <v>0.99886940000000002</v>
      </c>
      <c r="Y7250">
        <v>-0.14521029999999999</v>
      </c>
      <c r="Z7250">
        <v>1.4431610000000001E-3</v>
      </c>
      <c r="AA7250">
        <v>0.98939980000000005</v>
      </c>
      <c r="AB7250">
        <v>22</v>
      </c>
      <c r="AC7250">
        <v>21.7943</v>
      </c>
      <c r="AD7250">
        <v>-1.111742764905</v>
      </c>
      <c r="AE7250">
        <v>4.2026199999999898</v>
      </c>
      <c r="AF7250">
        <v>-3.2326836084761701</v>
      </c>
      <c r="AG7250">
        <v>-1.111742764905</v>
      </c>
      <c r="AH7250">
        <v>21.902981794992701</v>
      </c>
      <c r="AI7250">
        <v>92.874615272746894</v>
      </c>
      <c r="AJ7250">
        <v>98.395731435604901</v>
      </c>
      <c r="AK7250">
        <v>22.1681489258713</v>
      </c>
      <c r="AL7250">
        <v>88.031358280147501</v>
      </c>
      <c r="AM7250">
        <v>91.884248137523898</v>
      </c>
      <c r="AN7250">
        <v>1.0000000096038499</v>
      </c>
    </row>
    <row r="7251" spans="1:40" x14ac:dyDescent="0.25">
      <c r="A7251" t="str">
        <f>"20190312160513845"</f>
        <v>20190312160513845</v>
      </c>
      <c r="B7251" t="str">
        <f>"1552377913842561"</f>
        <v>1552377913842561</v>
      </c>
      <c r="C7251" t="s">
        <v>40</v>
      </c>
      <c r="D7251">
        <v>5.9281350000000002</v>
      </c>
      <c r="E7251">
        <v>0.46328380000000002</v>
      </c>
      <c r="F7251" t="s">
        <v>121</v>
      </c>
      <c r="G7251">
        <v>-253.77350000000001</v>
      </c>
      <c r="H7251" s="1">
        <v>-1.6164230000000001E-6</v>
      </c>
      <c r="I7251">
        <v>-64.257689999999997</v>
      </c>
      <c r="J7251">
        <v>-275.774</v>
      </c>
      <c r="K7251">
        <v>1.111694</v>
      </c>
      <c r="L7251">
        <v>-68.511169999999893</v>
      </c>
      <c r="M7251">
        <v>0.99888900000000003</v>
      </c>
      <c r="N7251">
        <v>0</v>
      </c>
      <c r="O7251">
        <v>4.5262480000000001E-2</v>
      </c>
      <c r="P7251">
        <v>0.99675270000000005</v>
      </c>
      <c r="Q7251">
        <v>2.153629E-2</v>
      </c>
      <c r="R7251">
        <v>7.7593389999999998E-2</v>
      </c>
      <c r="S7251">
        <v>2.9687809999999999</v>
      </c>
      <c r="T7251">
        <v>-0.14927190000000001</v>
      </c>
      <c r="U7251">
        <v>0.57196040000000004</v>
      </c>
      <c r="V7251">
        <v>-3.2519300000000001E-2</v>
      </c>
      <c r="W7251">
        <v>3.4528839999999998E-2</v>
      </c>
      <c r="X7251">
        <v>0.9988745</v>
      </c>
      <c r="Y7251">
        <v>-0.14441609999999999</v>
      </c>
      <c r="Z7251">
        <v>1.344481E-3</v>
      </c>
      <c r="AA7251">
        <v>0.98951610000000001</v>
      </c>
      <c r="AB7251">
        <v>22</v>
      </c>
      <c r="AC7251">
        <v>22.000499999999899</v>
      </c>
      <c r="AD7251">
        <v>-1.1116956164230001</v>
      </c>
      <c r="AE7251">
        <v>4.2534799999999899</v>
      </c>
      <c r="AF7251">
        <v>-3.2452494813293802</v>
      </c>
      <c r="AG7251">
        <v>-1.1116956164230001</v>
      </c>
      <c r="AH7251">
        <v>22.116053211222699</v>
      </c>
      <c r="AI7251">
        <v>92.847195321030696</v>
      </c>
      <c r="AJ7251">
        <v>98.347852163452799</v>
      </c>
      <c r="AK7251">
        <v>22.380512080407701</v>
      </c>
      <c r="AL7251">
        <v>88.021249884799801</v>
      </c>
      <c r="AM7251">
        <v>91.864659466721605</v>
      </c>
      <c r="AN7251">
        <v>1.0000000062072401</v>
      </c>
    </row>
    <row r="7252" spans="1:40" x14ac:dyDescent="0.25">
      <c r="A7252" t="str">
        <f>"20190312160513858"</f>
        <v>20190312160513858</v>
      </c>
      <c r="B7252" t="str">
        <f>"1552377913852321"</f>
        <v>1552377913852321</v>
      </c>
      <c r="C7252" t="s">
        <v>40</v>
      </c>
      <c r="D7252">
        <v>5.9184340000000004</v>
      </c>
      <c r="E7252">
        <v>0.46328380000000002</v>
      </c>
      <c r="F7252" t="s">
        <v>125</v>
      </c>
      <c r="G7252">
        <v>-261.63220000000001</v>
      </c>
      <c r="H7252" s="1">
        <v>-1.2007269999999999E-6</v>
      </c>
      <c r="I7252">
        <v>-66.003320000000002</v>
      </c>
      <c r="J7252">
        <v>-275.65550000000002</v>
      </c>
      <c r="K7252">
        <v>1.111645</v>
      </c>
      <c r="L7252">
        <v>-68.504149999999996</v>
      </c>
      <c r="M7252">
        <v>0.99882660000000001</v>
      </c>
      <c r="N7252">
        <v>0</v>
      </c>
      <c r="O7252">
        <v>4.6609560000000001E-2</v>
      </c>
      <c r="P7252">
        <v>0.99663800000000002</v>
      </c>
      <c r="Q7252">
        <v>2.180023E-2</v>
      </c>
      <c r="R7252">
        <v>7.8979830000000001E-2</v>
      </c>
      <c r="S7252">
        <v>2.9737849999999999</v>
      </c>
      <c r="T7252">
        <v>-0.23377000000000001</v>
      </c>
      <c r="U7252">
        <v>0.52734380000000003</v>
      </c>
      <c r="V7252">
        <v>-3.2558490000000002E-2</v>
      </c>
      <c r="W7252">
        <v>3.4831939999999999E-2</v>
      </c>
      <c r="X7252">
        <v>0.99886269999999999</v>
      </c>
      <c r="Y7252">
        <v>-0.12827549999999999</v>
      </c>
      <c r="Z7252">
        <v>1.3695580000000001E-3</v>
      </c>
      <c r="AA7252">
        <v>0.9917376</v>
      </c>
      <c r="AB7252">
        <v>22</v>
      </c>
      <c r="AC7252">
        <v>14.023300000000001</v>
      </c>
      <c r="AD7252">
        <v>-1.111646200727</v>
      </c>
      <c r="AE7252">
        <v>2.5008299999999899</v>
      </c>
      <c r="AF7252">
        <v>-1.83327011356555</v>
      </c>
      <c r="AG7252">
        <v>-1.111646200727</v>
      </c>
      <c r="AH7252">
        <v>14.0391273238727</v>
      </c>
      <c r="AI7252">
        <v>94.489391689553898</v>
      </c>
      <c r="AJ7252">
        <v>97.439752965040199</v>
      </c>
      <c r="AK7252">
        <v>14.201891866958899</v>
      </c>
      <c r="AL7252">
        <v>88.003873081481302</v>
      </c>
      <c r="AM7252">
        <v>91.866927074421497</v>
      </c>
      <c r="AN7252">
        <v>1.0000000063832599</v>
      </c>
    </row>
    <row r="7253" spans="1:40" x14ac:dyDescent="0.25">
      <c r="A7253" t="str">
        <f>"20190312160513868"</f>
        <v>20190312160513868</v>
      </c>
      <c r="B7253" t="str">
        <f>"1552377913862081"</f>
        <v>1552377913862081</v>
      </c>
      <c r="C7253" t="s">
        <v>40</v>
      </c>
      <c r="D7253">
        <v>5.8728129999999998</v>
      </c>
      <c r="E7253">
        <v>0.46541389999999999</v>
      </c>
      <c r="F7253" t="s">
        <v>41</v>
      </c>
      <c r="G7253">
        <v>-261.48270000000002</v>
      </c>
      <c r="H7253" s="1">
        <v>-1.1281630000000001E-6</v>
      </c>
      <c r="I7253">
        <v>-65.971649999999997</v>
      </c>
      <c r="J7253">
        <v>-275.54430000000002</v>
      </c>
      <c r="K7253">
        <v>1.1115999999999999</v>
      </c>
      <c r="L7253">
        <v>-68.497559999999993</v>
      </c>
      <c r="M7253">
        <v>0.99876739999999997</v>
      </c>
      <c r="N7253">
        <v>0</v>
      </c>
      <c r="O7253">
        <v>4.7852810000000003E-2</v>
      </c>
      <c r="P7253">
        <v>0.99656290000000003</v>
      </c>
      <c r="Q7253">
        <v>2.157825E-2</v>
      </c>
      <c r="R7253">
        <v>7.998297E-2</v>
      </c>
      <c r="S7253">
        <v>2.9731450000000001</v>
      </c>
      <c r="T7253">
        <v>-0.2331985</v>
      </c>
      <c r="U7253">
        <v>0.53125</v>
      </c>
      <c r="V7253">
        <v>-3.231531E-2</v>
      </c>
      <c r="W7253">
        <v>3.4647030000000002E-2</v>
      </c>
      <c r="X7253">
        <v>0.99887700000000001</v>
      </c>
      <c r="Y7253">
        <v>-0.1283455</v>
      </c>
      <c r="Z7253">
        <v>1.272766E-3</v>
      </c>
      <c r="AA7253">
        <v>0.99172870000000002</v>
      </c>
      <c r="AB7253">
        <v>22</v>
      </c>
      <c r="AC7253">
        <v>14.0616</v>
      </c>
      <c r="AD7253">
        <v>-1.1116011281629901</v>
      </c>
      <c r="AE7253">
        <v>2.5259099999999899</v>
      </c>
      <c r="AF7253">
        <v>-1.8389374903378499</v>
      </c>
      <c r="AG7253">
        <v>-1.1116011281629901</v>
      </c>
      <c r="AH7253">
        <v>14.0811246906938</v>
      </c>
      <c r="AI7253">
        <v>94.475868244486506</v>
      </c>
      <c r="AJ7253">
        <v>97.440486055964499</v>
      </c>
      <c r="AK7253">
        <v>14.244136362600999</v>
      </c>
      <c r="AL7253">
        <v>88.014473987429895</v>
      </c>
      <c r="AM7253">
        <v>91.852966207951795</v>
      </c>
      <c r="AN7253">
        <v>0.999999978538608</v>
      </c>
    </row>
    <row r="7254" spans="1:40" x14ac:dyDescent="0.25">
      <c r="A7254" t="str">
        <f>"20190312160513879"</f>
        <v>20190312160513879</v>
      </c>
      <c r="B7254" t="str">
        <f>"1552377913872817"</f>
        <v>1552377913872817</v>
      </c>
      <c r="C7254" t="s">
        <v>40</v>
      </c>
      <c r="D7254">
        <v>5.8940340000000004</v>
      </c>
      <c r="E7254">
        <v>0.46518130000000002</v>
      </c>
      <c r="F7254" t="s">
        <v>121</v>
      </c>
      <c r="G7254">
        <v>-255.33099999999999</v>
      </c>
      <c r="H7254" s="1">
        <v>-2.4460899999999999E-6</v>
      </c>
      <c r="I7254">
        <v>-64.984080000000006</v>
      </c>
      <c r="J7254">
        <v>-275.4375</v>
      </c>
      <c r="K7254">
        <v>1.111564</v>
      </c>
      <c r="L7254">
        <v>-68.491060000000004</v>
      </c>
      <c r="M7254">
        <v>0.99871189999999999</v>
      </c>
      <c r="N7254">
        <v>0</v>
      </c>
      <c r="O7254">
        <v>4.8991409999999999E-2</v>
      </c>
      <c r="P7254">
        <v>0.99650269999999996</v>
      </c>
      <c r="Q7254">
        <v>2.123622E-2</v>
      </c>
      <c r="R7254">
        <v>8.0818760000000003E-2</v>
      </c>
      <c r="S7254">
        <v>2.9724119999999998</v>
      </c>
      <c r="T7254">
        <v>-0.163463</v>
      </c>
      <c r="U7254">
        <v>0.51666259999999997</v>
      </c>
      <c r="V7254">
        <v>-3.20089E-2</v>
      </c>
      <c r="W7254">
        <v>3.4338710000000001E-2</v>
      </c>
      <c r="X7254">
        <v>0.99889760000000005</v>
      </c>
      <c r="Y7254">
        <v>-0.1226661</v>
      </c>
      <c r="Z7254">
        <v>6.7654619999999897E-4</v>
      </c>
      <c r="AA7254">
        <v>0.99244779999999999</v>
      </c>
      <c r="AB7254">
        <v>22</v>
      </c>
      <c r="AC7254">
        <v>20.1065</v>
      </c>
      <c r="AD7254">
        <v>-1.1115664460899899</v>
      </c>
      <c r="AE7254">
        <v>3.5069799999999902</v>
      </c>
      <c r="AF7254">
        <v>-2.5101909765113302</v>
      </c>
      <c r="AG7254">
        <v>-1.1115664460899899</v>
      </c>
      <c r="AH7254">
        <v>20.194280959328001</v>
      </c>
      <c r="AI7254">
        <v>93.126574651638705</v>
      </c>
      <c r="AJ7254">
        <v>97.085639878902896</v>
      </c>
      <c r="AK7254">
        <v>20.380029984445802</v>
      </c>
      <c r="AL7254">
        <v>88.032150112951399</v>
      </c>
      <c r="AM7254">
        <v>91.835370847869001</v>
      </c>
      <c r="AN7254">
        <v>1.0000000659847099</v>
      </c>
    </row>
    <row r="7255" spans="1:40" x14ac:dyDescent="0.25">
      <c r="A7255" t="str">
        <f>"20190312160513891"</f>
        <v>20190312160513891</v>
      </c>
      <c r="B7255" t="str">
        <f>"1552377913882577"</f>
        <v>1552377913882577</v>
      </c>
      <c r="C7255" t="s">
        <v>40</v>
      </c>
      <c r="D7255">
        <v>5.8906729999999996</v>
      </c>
      <c r="E7255">
        <v>0.46549370000000001</v>
      </c>
      <c r="F7255" t="s">
        <v>121</v>
      </c>
      <c r="G7255">
        <v>-254.92529999999999</v>
      </c>
      <c r="H7255" s="1">
        <v>-2.2523410000000001E-6</v>
      </c>
      <c r="I7255">
        <v>-64.895319999999998</v>
      </c>
      <c r="J7255">
        <v>-275.32470000000001</v>
      </c>
      <c r="K7255">
        <v>1.1115219999999999</v>
      </c>
      <c r="L7255">
        <v>-68.484160000000003</v>
      </c>
      <c r="M7255">
        <v>0.99865280000000001</v>
      </c>
      <c r="N7255">
        <v>0</v>
      </c>
      <c r="O7255">
        <v>5.0173139999999998E-2</v>
      </c>
      <c r="P7255">
        <v>0.99644580000000005</v>
      </c>
      <c r="Q7255">
        <v>2.0692840000000001E-2</v>
      </c>
      <c r="R7255">
        <v>8.1656339999999994E-2</v>
      </c>
      <c r="S7255">
        <v>2.9717099999999999</v>
      </c>
      <c r="T7255">
        <v>-0.16103870000000001</v>
      </c>
      <c r="U7255">
        <v>0.52093509999999998</v>
      </c>
      <c r="V7255">
        <v>-3.1660309999999997E-2</v>
      </c>
      <c r="W7255">
        <v>3.3829730000000002E-2</v>
      </c>
      <c r="X7255">
        <v>0.99892599999999998</v>
      </c>
      <c r="Y7255">
        <v>-0.1229204</v>
      </c>
      <c r="Z7255">
        <v>6.1013810000000001E-4</v>
      </c>
      <c r="AA7255">
        <v>0.99241630000000003</v>
      </c>
      <c r="AB7255">
        <v>22</v>
      </c>
      <c r="AC7255">
        <v>20.3994</v>
      </c>
      <c r="AD7255">
        <v>-1.1115242523409901</v>
      </c>
      <c r="AE7255">
        <v>3.5888399999999998</v>
      </c>
      <c r="AF7255">
        <v>-2.5533742903532102</v>
      </c>
      <c r="AG7255">
        <v>-1.1115242523409901</v>
      </c>
      <c r="AH7255">
        <v>20.494761120862599</v>
      </c>
      <c r="AI7255">
        <v>93.080599955218702</v>
      </c>
      <c r="AJ7255">
        <v>97.101698126670598</v>
      </c>
      <c r="AK7255">
        <v>20.683095508927099</v>
      </c>
      <c r="AL7255">
        <v>88.061329323442095</v>
      </c>
      <c r="AM7255">
        <v>91.815344779587804</v>
      </c>
      <c r="AN7255">
        <v>0.99999998966858406</v>
      </c>
    </row>
    <row r="7256" spans="1:40" x14ac:dyDescent="0.25">
      <c r="A7256" t="str">
        <f>"20190312160513901"</f>
        <v>20190312160513901</v>
      </c>
      <c r="B7256" t="str">
        <f>"1552377913892338"</f>
        <v>1552377913892338</v>
      </c>
      <c r="C7256" t="s">
        <v>40</v>
      </c>
      <c r="D7256">
        <v>5.8692859999999998</v>
      </c>
      <c r="E7256">
        <v>0.4655609</v>
      </c>
      <c r="F7256" t="s">
        <v>121</v>
      </c>
      <c r="G7256">
        <v>-254.12209999999999</v>
      </c>
      <c r="H7256" s="1">
        <v>-1.8791350000000001E-6</v>
      </c>
      <c r="I7256">
        <v>-64.766639999999995</v>
      </c>
      <c r="J7256">
        <v>-275.22239999999999</v>
      </c>
      <c r="K7256">
        <v>1.1114869999999999</v>
      </c>
      <c r="L7256">
        <v>-68.477779999999996</v>
      </c>
      <c r="M7256">
        <v>0.99859969999999998</v>
      </c>
      <c r="N7256">
        <v>0</v>
      </c>
      <c r="O7256">
        <v>5.1209900000000003E-2</v>
      </c>
      <c r="P7256">
        <v>0.99639639999999996</v>
      </c>
      <c r="Q7256">
        <v>2.0277449999999999E-2</v>
      </c>
      <c r="R7256">
        <v>8.2360539999999996E-2</v>
      </c>
      <c r="S7256">
        <v>2.9712830000000001</v>
      </c>
      <c r="T7256">
        <v>-0.1557664</v>
      </c>
      <c r="U7256">
        <v>0.52096560000000003</v>
      </c>
      <c r="V7256">
        <v>-3.1324440000000002E-2</v>
      </c>
      <c r="W7256">
        <v>3.3442769999999997E-2</v>
      </c>
      <c r="X7256">
        <v>0.99894959999999999</v>
      </c>
      <c r="Y7256">
        <v>-0.1219335</v>
      </c>
      <c r="Z7256">
        <v>5.1087789999999995E-4</v>
      </c>
      <c r="AA7256">
        <v>0.99253820000000004</v>
      </c>
      <c r="AB7256">
        <v>22</v>
      </c>
      <c r="AC7256">
        <v>21.100300000000001</v>
      </c>
      <c r="AD7256">
        <v>-1.1114888791349999</v>
      </c>
      <c r="AE7256">
        <v>3.7111400000000101</v>
      </c>
      <c r="AF7256">
        <v>-2.6185823074319901</v>
      </c>
      <c r="AG7256">
        <v>-1.1114888791349999</v>
      </c>
      <c r="AH7256">
        <v>21.205597648440801</v>
      </c>
      <c r="AI7256">
        <v>92.977828921493199</v>
      </c>
      <c r="AJ7256">
        <v>97.039556969120696</v>
      </c>
      <c r="AK7256">
        <v>21.395554502204298</v>
      </c>
      <c r="AL7256">
        <v>88.083513016431894</v>
      </c>
      <c r="AM7256">
        <v>91.796056879539506</v>
      </c>
      <c r="AN7256">
        <v>0.99999997137337204</v>
      </c>
    </row>
    <row r="7257" spans="1:40" x14ac:dyDescent="0.25">
      <c r="A7257" t="str">
        <f>"20190312160513913"</f>
        <v>20190312160513913</v>
      </c>
      <c r="B7257" t="str">
        <f>"1552377913902097"</f>
        <v>1552377913902097</v>
      </c>
      <c r="C7257" t="s">
        <v>40</v>
      </c>
      <c r="D7257">
        <v>5.8806310000000002</v>
      </c>
      <c r="E7257">
        <v>0.46591559999999999</v>
      </c>
      <c r="F7257" t="s">
        <v>121</v>
      </c>
      <c r="G7257">
        <v>-255.01390000000001</v>
      </c>
      <c r="H7257" s="1">
        <v>-2.2963560000000002E-6</v>
      </c>
      <c r="I7257">
        <v>-64.922290000000004</v>
      </c>
      <c r="J7257">
        <v>-275.1069</v>
      </c>
      <c r="K7257">
        <v>1.1114470000000001</v>
      </c>
      <c r="L7257">
        <v>-68.470489999999998</v>
      </c>
      <c r="M7257">
        <v>0.99853999999999998</v>
      </c>
      <c r="N7257">
        <v>0</v>
      </c>
      <c r="O7257">
        <v>5.2353070000000002E-2</v>
      </c>
      <c r="P7257">
        <v>0.99634739999999999</v>
      </c>
      <c r="Q7257">
        <v>2.024192E-2</v>
      </c>
      <c r="R7257">
        <v>8.2959179999999993E-2</v>
      </c>
      <c r="S7257">
        <v>2.970917</v>
      </c>
      <c r="T7257">
        <v>-0.16340389999999999</v>
      </c>
      <c r="U7257">
        <v>0.52270509999999903</v>
      </c>
      <c r="V7257">
        <v>-3.0777599999999999E-2</v>
      </c>
      <c r="W7257">
        <v>3.343848E-2</v>
      </c>
      <c r="X7257">
        <v>0.99896680000000004</v>
      </c>
      <c r="Y7257">
        <v>-0.1213748</v>
      </c>
      <c r="Z7257">
        <v>4.5855039999999998E-4</v>
      </c>
      <c r="AA7257">
        <v>0.99260660000000001</v>
      </c>
      <c r="AB7257">
        <v>22</v>
      </c>
      <c r="AC7257">
        <v>20.0929999999999</v>
      </c>
      <c r="AD7257">
        <v>-1.1114492963560001</v>
      </c>
      <c r="AE7257">
        <v>3.5481999999999898</v>
      </c>
      <c r="AF7257">
        <v>-2.48393945118266</v>
      </c>
      <c r="AG7257">
        <v>-1.1114492963560001</v>
      </c>
      <c r="AH7257">
        <v>20.1913033535876</v>
      </c>
      <c r="AI7257">
        <v>93.127193121090301</v>
      </c>
      <c r="AJ7257">
        <v>97.013303788129306</v>
      </c>
      <c r="AK7257">
        <v>20.373855939711301</v>
      </c>
      <c r="AL7257">
        <v>88.083759065372703</v>
      </c>
      <c r="AM7257">
        <v>91.764692220520601</v>
      </c>
      <c r="AN7257">
        <v>1.0000000300543499</v>
      </c>
    </row>
    <row r="7258" spans="1:40" x14ac:dyDescent="0.25">
      <c r="A7258" t="str">
        <f>"20190312160513924"</f>
        <v>20190312160513924</v>
      </c>
      <c r="B7258" t="str">
        <f>"1552377913912834"</f>
        <v>1552377913912834</v>
      </c>
      <c r="C7258" t="s">
        <v>40</v>
      </c>
      <c r="D7258">
        <v>5.8252420000000003</v>
      </c>
      <c r="E7258">
        <v>0.46667009999999998</v>
      </c>
      <c r="F7258" t="s">
        <v>121</v>
      </c>
      <c r="G7258">
        <v>-254.66800000000001</v>
      </c>
      <c r="H7258" s="1">
        <v>-2.1390050000000001E-6</v>
      </c>
      <c r="I7258">
        <v>-64.882149999999996</v>
      </c>
      <c r="J7258">
        <v>-274.99590000000001</v>
      </c>
      <c r="K7258">
        <v>1.111413</v>
      </c>
      <c r="L7258">
        <v>-68.463470000000001</v>
      </c>
      <c r="M7258">
        <v>0.99848300000000001</v>
      </c>
      <c r="N7258">
        <v>0</v>
      </c>
      <c r="O7258">
        <v>5.3426069999999999E-2</v>
      </c>
      <c r="P7258">
        <v>0.99627429999999995</v>
      </c>
      <c r="Q7258">
        <v>2.0590049999999999E-2</v>
      </c>
      <c r="R7258">
        <v>8.3747970000000005E-2</v>
      </c>
      <c r="S7258">
        <v>2.9708559999999999</v>
      </c>
      <c r="T7258">
        <v>-0.16155239999999901</v>
      </c>
      <c r="U7258">
        <v>0.52157589999999998</v>
      </c>
      <c r="V7258">
        <v>-3.0493309999999999E-2</v>
      </c>
      <c r="W7258">
        <v>3.3814009999999999E-2</v>
      </c>
      <c r="X7258">
        <v>0.99896280000000004</v>
      </c>
      <c r="Y7258">
        <v>-0.1199514</v>
      </c>
      <c r="Z7258">
        <v>3.5732240000000001E-4</v>
      </c>
      <c r="AA7258">
        <v>0.99277969999999904</v>
      </c>
      <c r="AB7258">
        <v>22</v>
      </c>
      <c r="AC7258">
        <v>20.3279</v>
      </c>
      <c r="AD7258">
        <v>-1.111415139005</v>
      </c>
      <c r="AE7258">
        <v>3.5813199999999998</v>
      </c>
      <c r="AF7258">
        <v>-2.4828695744673399</v>
      </c>
      <c r="AG7258">
        <v>-1.111415139005</v>
      </c>
      <c r="AH7258">
        <v>20.430980041019701</v>
      </c>
      <c r="AI7258">
        <v>93.091040404727593</v>
      </c>
      <c r="AJ7258">
        <v>96.928878943297406</v>
      </c>
      <c r="AK7258">
        <v>20.611279202698</v>
      </c>
      <c r="AL7258">
        <v>88.062230456664594</v>
      </c>
      <c r="AM7258">
        <v>91.748409073639394</v>
      </c>
      <c r="AN7258">
        <v>0.99999995250543605</v>
      </c>
    </row>
    <row r="7259" spans="1:40" x14ac:dyDescent="0.25">
      <c r="A7259" t="str">
        <f>"20190312160513936"</f>
        <v>20190312160513936</v>
      </c>
      <c r="B7259" t="str">
        <f>"1552377913932353"</f>
        <v>1552377913932353</v>
      </c>
      <c r="C7259" t="s">
        <v>40</v>
      </c>
      <c r="D7259">
        <v>5.9540540000000002</v>
      </c>
      <c r="E7259">
        <v>0.48859180000000002</v>
      </c>
      <c r="F7259" t="s">
        <v>121</v>
      </c>
      <c r="G7259">
        <v>-254.61619999999999</v>
      </c>
      <c r="H7259" s="1">
        <v>-2.123206E-6</v>
      </c>
      <c r="I7259">
        <v>-64.910899999999998</v>
      </c>
      <c r="J7259">
        <v>-274.88380000000001</v>
      </c>
      <c r="K7259">
        <v>1.11138</v>
      </c>
      <c r="L7259">
        <v>-68.456209999999999</v>
      </c>
      <c r="M7259">
        <v>0.99842620000000004</v>
      </c>
      <c r="N7259">
        <v>0</v>
      </c>
      <c r="O7259">
        <v>5.447258E-2</v>
      </c>
      <c r="P7259">
        <v>0.99616939999999998</v>
      </c>
      <c r="Q7259">
        <v>2.0974360000000001E-2</v>
      </c>
      <c r="R7259">
        <v>8.4893709999999997E-2</v>
      </c>
      <c r="S7259">
        <v>2.971069</v>
      </c>
      <c r="T7259">
        <v>-0.16202839999999999</v>
      </c>
      <c r="U7259">
        <v>0.51791379999999998</v>
      </c>
      <c r="V7259">
        <v>-3.0593869999999999E-2</v>
      </c>
      <c r="W7259">
        <v>3.4223370000000003E-2</v>
      </c>
      <c r="X7259">
        <v>0.99894579999999999</v>
      </c>
      <c r="Y7259">
        <v>-0.11771520000000001</v>
      </c>
      <c r="Z7259">
        <v>2.4147050000000001E-4</v>
      </c>
      <c r="AA7259">
        <v>0.99304740000000002</v>
      </c>
      <c r="AB7259">
        <v>22</v>
      </c>
      <c r="AC7259">
        <v>20.267600000000002</v>
      </c>
      <c r="AD7259">
        <v>-1.1113821232059999</v>
      </c>
      <c r="AE7259">
        <v>3.5453100000000002</v>
      </c>
      <c r="AF7259">
        <v>-2.42883209454881</v>
      </c>
      <c r="AG7259">
        <v>-1.1113821232059999</v>
      </c>
      <c r="AH7259">
        <v>20.371206062154801</v>
      </c>
      <c r="AI7259">
        <v>93.100843719674103</v>
      </c>
      <c r="AJ7259">
        <v>96.799203653481399</v>
      </c>
      <c r="AK7259">
        <v>20.545569643941899</v>
      </c>
      <c r="AL7259">
        <v>88.038762301311706</v>
      </c>
      <c r="AM7259">
        <v>91.754201166313194</v>
      </c>
      <c r="AN7259">
        <v>0.99999996763668597</v>
      </c>
    </row>
    <row r="7260" spans="1:40" x14ac:dyDescent="0.25">
      <c r="A7260" t="str">
        <f>"20190312160513947"</f>
        <v>20190312160513947</v>
      </c>
      <c r="B7260" t="str">
        <f>"1552377913942113"</f>
        <v>1552377913942113</v>
      </c>
      <c r="C7260" t="s">
        <v>40</v>
      </c>
      <c r="D7260">
        <v>5.7103849999999996</v>
      </c>
      <c r="E7260">
        <v>0.4943456</v>
      </c>
      <c r="F7260" t="s">
        <v>43</v>
      </c>
      <c r="G7260">
        <v>-152.29409999999999</v>
      </c>
      <c r="H7260">
        <v>-0.05</v>
      </c>
      <c r="I7260">
        <v>-54.233629999999998</v>
      </c>
      <c r="J7260">
        <v>-274.77199999999999</v>
      </c>
      <c r="K7260">
        <v>1.111351</v>
      </c>
      <c r="L7260">
        <v>-68.448939999999993</v>
      </c>
      <c r="M7260">
        <v>0.99836919999999996</v>
      </c>
      <c r="N7260">
        <v>0</v>
      </c>
      <c r="O7260">
        <v>5.5503669999999998E-2</v>
      </c>
      <c r="P7260">
        <v>0.99607869999999998</v>
      </c>
      <c r="Q7260">
        <v>2.111756E-2</v>
      </c>
      <c r="R7260">
        <v>8.591704E-2</v>
      </c>
      <c r="S7260">
        <v>2.9826350000000001</v>
      </c>
      <c r="T7260">
        <v>-2.8256650000000001E-2</v>
      </c>
      <c r="U7260">
        <v>0.34603879999999998</v>
      </c>
      <c r="V7260">
        <v>-3.0586080000000002E-2</v>
      </c>
      <c r="W7260">
        <v>3.4391129999999999E-2</v>
      </c>
      <c r="X7260">
        <v>0.9989403</v>
      </c>
      <c r="Y7260">
        <v>-5.9928139999999998E-2</v>
      </c>
      <c r="Z7260">
        <v>-2.4056570000000001E-4</v>
      </c>
      <c r="AA7260">
        <v>0.9982027</v>
      </c>
      <c r="AB7260">
        <v>22</v>
      </c>
      <c r="AC7260">
        <v>122.47790000000001</v>
      </c>
      <c r="AD7260">
        <v>-1.161351</v>
      </c>
      <c r="AE7260">
        <v>14.215310000000001</v>
      </c>
      <c r="AF7260">
        <v>-7.3941579656122904</v>
      </c>
      <c r="AG7260">
        <v>-1.161351</v>
      </c>
      <c r="AH7260">
        <v>123.06721879288</v>
      </c>
      <c r="AI7260">
        <v>90.5396950515225</v>
      </c>
      <c r="AJ7260">
        <v>93.438327200022201</v>
      </c>
      <c r="AK7260">
        <v>123.294617277399</v>
      </c>
      <c r="AL7260">
        <v>88.029144744606896</v>
      </c>
      <c r="AM7260">
        <v>91.753764429609205</v>
      </c>
      <c r="AN7260">
        <v>0.99999999053826605</v>
      </c>
    </row>
    <row r="7261" spans="1:40" x14ac:dyDescent="0.25">
      <c r="A7261" t="str">
        <f>"20190312160513957"</f>
        <v>20190312160513957</v>
      </c>
      <c r="B7261" t="str">
        <f>"1552377913952848"</f>
        <v>1552377913952848</v>
      </c>
      <c r="C7261" t="s">
        <v>40</v>
      </c>
      <c r="D7261">
        <v>5.6898419999999996</v>
      </c>
      <c r="E7261">
        <v>0.49709930000000002</v>
      </c>
      <c r="F7261" t="s">
        <v>54</v>
      </c>
      <c r="G7261">
        <v>-157.3501</v>
      </c>
      <c r="H7261">
        <v>0.33482070000000003</v>
      </c>
      <c r="I7261">
        <v>-56.5229</v>
      </c>
      <c r="J7261">
        <v>-274.66430000000003</v>
      </c>
      <c r="K7261">
        <v>1.1113200000000001</v>
      </c>
      <c r="L7261">
        <v>-68.441800000000001</v>
      </c>
      <c r="M7261">
        <v>0.99831579999999998</v>
      </c>
      <c r="N7261">
        <v>0</v>
      </c>
      <c r="O7261">
        <v>5.6449520000000003E-2</v>
      </c>
      <c r="P7261">
        <v>0.99598759999999997</v>
      </c>
      <c r="Q7261">
        <v>2.1301049999999998E-2</v>
      </c>
      <c r="R7261">
        <v>8.6919880000000005E-2</v>
      </c>
      <c r="S7261">
        <v>2.986084</v>
      </c>
      <c r="T7261">
        <v>-1.974797E-2</v>
      </c>
      <c r="U7261">
        <v>0.30328369999999999</v>
      </c>
      <c r="V7261">
        <v>-3.0643489999999999E-2</v>
      </c>
      <c r="W7261">
        <v>3.4595559999999997E-2</v>
      </c>
      <c r="X7261">
        <v>0.99893149999999997</v>
      </c>
      <c r="Y7261">
        <v>-4.4719330000000002E-2</v>
      </c>
      <c r="Z7261">
        <v>-2.2448570000000001E-4</v>
      </c>
      <c r="AA7261">
        <v>0.99899950000000004</v>
      </c>
      <c r="AB7261">
        <v>22</v>
      </c>
      <c r="AC7261">
        <v>117.3142</v>
      </c>
      <c r="AD7261">
        <v>-0.7764993</v>
      </c>
      <c r="AE7261">
        <v>11.918900000000001</v>
      </c>
      <c r="AF7261">
        <v>-5.2767394430582399</v>
      </c>
      <c r="AG7261">
        <v>-0.7764993</v>
      </c>
      <c r="AH7261">
        <v>117.794872111681</v>
      </c>
      <c r="AI7261">
        <v>90.377307752991499</v>
      </c>
      <c r="AJ7261">
        <v>92.564907176440002</v>
      </c>
      <c r="AK7261">
        <v>117.91555803251801</v>
      </c>
      <c r="AL7261">
        <v>88.017424830609698</v>
      </c>
      <c r="AM7261">
        <v>91.757069648732696</v>
      </c>
      <c r="AN7261">
        <v>1.0000000089716701</v>
      </c>
    </row>
    <row r="7262" spans="1:40" x14ac:dyDescent="0.25">
      <c r="A7262" t="str">
        <f>"20190312160513969"</f>
        <v>20190312160513969</v>
      </c>
      <c r="B7262" t="str">
        <f>"1552377913962610"</f>
        <v>1552377913962610</v>
      </c>
      <c r="C7262" t="s">
        <v>40</v>
      </c>
      <c r="D7262">
        <v>5.8937879999999998</v>
      </c>
      <c r="E7262">
        <v>0.49839869999999997</v>
      </c>
      <c r="F7262" t="s">
        <v>54</v>
      </c>
      <c r="G7262">
        <v>-157.3501</v>
      </c>
      <c r="H7262">
        <v>0.79912209999999995</v>
      </c>
      <c r="I7262">
        <v>-57.277459999999998</v>
      </c>
      <c r="J7262">
        <v>-274.55369999999999</v>
      </c>
      <c r="K7262">
        <v>1.1112919999999999</v>
      </c>
      <c r="L7262">
        <v>-68.434449999999998</v>
      </c>
      <c r="M7262">
        <v>0.9982607</v>
      </c>
      <c r="N7262">
        <v>0</v>
      </c>
      <c r="O7262">
        <v>5.7411759999999999E-2</v>
      </c>
      <c r="P7262">
        <v>0.99589640000000001</v>
      </c>
      <c r="Q7262">
        <v>2.1315259999999999E-2</v>
      </c>
      <c r="R7262">
        <v>8.7957240000000006E-2</v>
      </c>
      <c r="S7262">
        <v>2.9874269999999998</v>
      </c>
      <c r="T7262">
        <v>-7.9506639999999996E-3</v>
      </c>
      <c r="U7262">
        <v>0.28430179999999999</v>
      </c>
      <c r="V7262">
        <v>-3.0718720000000001E-2</v>
      </c>
      <c r="W7262">
        <v>3.4630830000000001E-2</v>
      </c>
      <c r="X7262">
        <v>0.99892800000000004</v>
      </c>
      <c r="Y7262">
        <v>-3.7423190000000002E-2</v>
      </c>
      <c r="Z7262">
        <v>-1.026103E-4</v>
      </c>
      <c r="AA7262">
        <v>0.99929950000000001</v>
      </c>
      <c r="AB7262">
        <v>22</v>
      </c>
      <c r="AC7262">
        <v>117.20359999999999</v>
      </c>
      <c r="AD7262">
        <v>-0.3121699</v>
      </c>
      <c r="AE7262">
        <v>11.156989999999899</v>
      </c>
      <c r="AF7262">
        <v>-4.40908435308374</v>
      </c>
      <c r="AG7262">
        <v>-0.3121699</v>
      </c>
      <c r="AH7262">
        <v>117.65002063726899</v>
      </c>
      <c r="AI7262">
        <v>90.151920320924901</v>
      </c>
      <c r="AJ7262">
        <v>92.146227908959006</v>
      </c>
      <c r="AK7262">
        <v>117.733023535577</v>
      </c>
      <c r="AL7262">
        <v>88.015402861756996</v>
      </c>
      <c r="AM7262">
        <v>91.761386721660003</v>
      </c>
      <c r="AN7262">
        <v>1.0000000416644601</v>
      </c>
    </row>
    <row r="7263" spans="1:40" x14ac:dyDescent="0.25">
      <c r="A7263" t="str">
        <f>"20190312160513979"</f>
        <v>20190312160513979</v>
      </c>
      <c r="B7263" t="str">
        <f>"1552377913971997"</f>
        <v>1552377913971997</v>
      </c>
      <c r="C7263" t="s">
        <v>40</v>
      </c>
      <c r="D7263">
        <v>5.8958649999999997</v>
      </c>
      <c r="E7263">
        <v>0.49922630000000001</v>
      </c>
      <c r="F7263" t="s">
        <v>54</v>
      </c>
      <c r="G7263">
        <v>-157.3501</v>
      </c>
      <c r="H7263">
        <v>1.2007239999999999</v>
      </c>
      <c r="I7263">
        <v>-57.567239999999998</v>
      </c>
      <c r="J7263">
        <v>-274.44990000000001</v>
      </c>
      <c r="K7263">
        <v>1.1112690000000001</v>
      </c>
      <c r="L7263">
        <v>-68.427459999999996</v>
      </c>
      <c r="M7263">
        <v>0.99820980000000004</v>
      </c>
      <c r="N7263">
        <v>0</v>
      </c>
      <c r="O7263">
        <v>5.8284299999999997E-2</v>
      </c>
      <c r="P7263">
        <v>0.99584010000000001</v>
      </c>
      <c r="Q7263">
        <v>2.1144429999999999E-2</v>
      </c>
      <c r="R7263">
        <v>8.8630940000000005E-2</v>
      </c>
      <c r="S7263">
        <v>2.9878849999999999</v>
      </c>
      <c r="T7263">
        <v>2.2794009999999999E-3</v>
      </c>
      <c r="U7263">
        <v>0.27703860000000002</v>
      </c>
      <c r="V7263">
        <v>-3.0518819999999999E-2</v>
      </c>
      <c r="W7263">
        <v>3.4478809999999999E-2</v>
      </c>
      <c r="X7263">
        <v>0.99893929999999997</v>
      </c>
      <c r="Y7263">
        <v>-3.4127079999999997E-2</v>
      </c>
      <c r="Z7263" s="1">
        <v>3.1334490000000002E-5</v>
      </c>
      <c r="AA7263">
        <v>0.99941749999999996</v>
      </c>
      <c r="AB7263">
        <v>22</v>
      </c>
      <c r="AC7263">
        <v>117.0998</v>
      </c>
      <c r="AD7263">
        <v>8.9454999999999799E-2</v>
      </c>
      <c r="AE7263">
        <v>10.860219999999901</v>
      </c>
      <c r="AF7263">
        <v>-4.0160575712155904</v>
      </c>
      <c r="AG7263">
        <v>8.9454999999999799E-2</v>
      </c>
      <c r="AH7263">
        <v>117.53366673295299</v>
      </c>
      <c r="AI7263">
        <v>89.956417563981404</v>
      </c>
      <c r="AJ7263">
        <v>91.957002328932404</v>
      </c>
      <c r="AK7263">
        <v>117.602293924503</v>
      </c>
      <c r="AL7263">
        <v>88.024118001022302</v>
      </c>
      <c r="AM7263">
        <v>91.749911983392494</v>
      </c>
      <c r="AN7263">
        <v>0.99999995589884805</v>
      </c>
    </row>
    <row r="7264" spans="1:40" x14ac:dyDescent="0.25">
      <c r="A7264" t="str">
        <f>"20190312160513992"</f>
        <v>20190312160513992</v>
      </c>
      <c r="B7264" t="str">
        <f>"1552377913982722"</f>
        <v>1552377913982722</v>
      </c>
      <c r="C7264" t="s">
        <v>40</v>
      </c>
      <c r="D7264">
        <v>5.9452590000000001</v>
      </c>
      <c r="E7264">
        <v>0.49997839999999999</v>
      </c>
      <c r="F7264" t="s">
        <v>54</v>
      </c>
      <c r="G7264">
        <v>-157.3501</v>
      </c>
      <c r="H7264">
        <v>1.453581</v>
      </c>
      <c r="I7264">
        <v>-57.751249999999999</v>
      </c>
      <c r="J7264">
        <v>-274.33440000000002</v>
      </c>
      <c r="K7264">
        <v>1.1112420000000001</v>
      </c>
      <c r="L7264">
        <v>-68.419589999999999</v>
      </c>
      <c r="M7264">
        <v>0.99815339999999997</v>
      </c>
      <c r="N7264">
        <v>0</v>
      </c>
      <c r="O7264">
        <v>5.9239239999999999E-2</v>
      </c>
      <c r="P7264">
        <v>0.99575380000000002</v>
      </c>
      <c r="Q7264">
        <v>2.1362550000000001E-2</v>
      </c>
      <c r="R7264">
        <v>8.9542930000000007E-2</v>
      </c>
      <c r="S7264">
        <v>2.9880979999999999</v>
      </c>
      <c r="T7264">
        <v>8.7344650000000003E-3</v>
      </c>
      <c r="U7264">
        <v>0.27243040000000002</v>
      </c>
      <c r="V7264">
        <v>-3.047617E-2</v>
      </c>
      <c r="W7264">
        <v>3.4716610000000002E-2</v>
      </c>
      <c r="X7264">
        <v>0.99893240000000005</v>
      </c>
      <c r="Y7264">
        <v>-3.1636009999999999E-2</v>
      </c>
      <c r="Z7264">
        <v>1.264844E-4</v>
      </c>
      <c r="AA7264">
        <v>0.99949940000000004</v>
      </c>
      <c r="AB7264">
        <v>22</v>
      </c>
      <c r="AC7264">
        <v>116.9843</v>
      </c>
      <c r="AD7264">
        <v>0.34233899999999901</v>
      </c>
      <c r="AE7264">
        <v>10.668339999999899</v>
      </c>
      <c r="AF7264">
        <v>-3.71888288683019</v>
      </c>
      <c r="AG7264">
        <v>0.34233899999999901</v>
      </c>
      <c r="AH7264">
        <v>117.409860939887</v>
      </c>
      <c r="AI7264">
        <v>89.833023459133699</v>
      </c>
      <c r="AJ7264">
        <v>91.814200934364706</v>
      </c>
      <c r="AK7264">
        <v>117.469241641549</v>
      </c>
      <c r="AL7264">
        <v>88.010484969747793</v>
      </c>
      <c r="AM7264">
        <v>91.747480064551098</v>
      </c>
      <c r="AN7264">
        <v>0.99999998985876004</v>
      </c>
    </row>
    <row r="7265" spans="1:40" x14ac:dyDescent="0.25">
      <c r="A7265" t="str">
        <f>"20190312160514002"</f>
        <v>20190312160514002</v>
      </c>
      <c r="B7265" t="str">
        <f>"1552377913992483"</f>
        <v>1552377913992483</v>
      </c>
      <c r="C7265" t="s">
        <v>40</v>
      </c>
      <c r="D7265">
        <v>5.9590239999999897</v>
      </c>
      <c r="E7265">
        <v>0.50067620000000002</v>
      </c>
      <c r="F7265" t="s">
        <v>54</v>
      </c>
      <c r="G7265">
        <v>-157.3501</v>
      </c>
      <c r="H7265">
        <v>1.739574</v>
      </c>
      <c r="I7265">
        <v>-57.883479999999999</v>
      </c>
      <c r="J7265">
        <v>-274.2319</v>
      </c>
      <c r="K7265">
        <v>1.111221</v>
      </c>
      <c r="L7265">
        <v>-68.412570000000002</v>
      </c>
      <c r="M7265">
        <v>0.99810390000000004</v>
      </c>
      <c r="N7265">
        <v>0</v>
      </c>
      <c r="O7265">
        <v>6.0065050000000002E-2</v>
      </c>
      <c r="P7265">
        <v>0.99567090000000003</v>
      </c>
      <c r="Q7265">
        <v>2.1743910000000002E-2</v>
      </c>
      <c r="R7265">
        <v>9.0371119999999999E-2</v>
      </c>
      <c r="S7265">
        <v>2.988251</v>
      </c>
      <c r="T7265">
        <v>1.6049620000000001E-2</v>
      </c>
      <c r="U7265">
        <v>0.2691345</v>
      </c>
      <c r="V7265">
        <v>-3.0480520000000001E-2</v>
      </c>
      <c r="W7265">
        <v>3.5113099999999897E-2</v>
      </c>
      <c r="X7265">
        <v>0.99891839999999998</v>
      </c>
      <c r="Y7265">
        <v>-2.97113E-2</v>
      </c>
      <c r="Z7265">
        <v>2.4199000000000001E-4</v>
      </c>
      <c r="AA7265">
        <v>0.99955850000000002</v>
      </c>
      <c r="AB7265">
        <v>22</v>
      </c>
      <c r="AC7265">
        <v>116.8818</v>
      </c>
      <c r="AD7265">
        <v>0.62835300000000005</v>
      </c>
      <c r="AE7265">
        <v>10.529089999999901</v>
      </c>
      <c r="AF7265">
        <v>-3.4888300162339401</v>
      </c>
      <c r="AG7265">
        <v>0.62835300000000005</v>
      </c>
      <c r="AH7265">
        <v>117.29985230833201</v>
      </c>
      <c r="AI7265">
        <v>89.693216005238796</v>
      </c>
      <c r="AJ7265">
        <v>91.703636601852807</v>
      </c>
      <c r="AK7265">
        <v>117.35340691233201</v>
      </c>
      <c r="AL7265">
        <v>87.987753888319602</v>
      </c>
      <c r="AM7265">
        <v>91.747753815023302</v>
      </c>
      <c r="AN7265">
        <v>0.99999998087482</v>
      </c>
    </row>
    <row r="7266" spans="1:40" x14ac:dyDescent="0.25">
      <c r="A7266" t="str">
        <f>"20190312160514014"</f>
        <v>20190312160514014</v>
      </c>
      <c r="B7266" t="str">
        <f>"1552377914002242"</f>
        <v>1552377914002242</v>
      </c>
      <c r="C7266" t="s">
        <v>40</v>
      </c>
      <c r="D7266">
        <v>5.8891939999999998</v>
      </c>
      <c r="E7266">
        <v>0.50132949999999998</v>
      </c>
      <c r="F7266" t="s">
        <v>54</v>
      </c>
      <c r="G7266">
        <v>-157.3501</v>
      </c>
      <c r="H7266">
        <v>1.9593069999999999</v>
      </c>
      <c r="I7266">
        <v>-58.005800000000001</v>
      </c>
      <c r="J7266">
        <v>-274.12380000000002</v>
      </c>
      <c r="K7266">
        <v>1.1112010000000001</v>
      </c>
      <c r="L7266">
        <v>-68.405090000000001</v>
      </c>
      <c r="M7266">
        <v>0.9980521</v>
      </c>
      <c r="N7266">
        <v>0</v>
      </c>
      <c r="O7266">
        <v>6.0915940000000002E-2</v>
      </c>
      <c r="P7266">
        <v>0.99563590000000002</v>
      </c>
      <c r="Q7266">
        <v>2.20792E-2</v>
      </c>
      <c r="R7266">
        <v>9.0672699999999995E-2</v>
      </c>
      <c r="S7266">
        <v>2.988464</v>
      </c>
      <c r="T7266">
        <v>2.1683569999999999E-2</v>
      </c>
      <c r="U7266">
        <v>0.26608280000000001</v>
      </c>
      <c r="V7266">
        <v>-2.992999E-2</v>
      </c>
      <c r="W7266">
        <v>3.5465259999999998E-2</v>
      </c>
      <c r="X7266">
        <v>0.99892259999999999</v>
      </c>
      <c r="Y7266">
        <v>-2.7840500000000001E-2</v>
      </c>
      <c r="Z7266">
        <v>3.398486E-4</v>
      </c>
      <c r="AA7266">
        <v>0.99961230000000001</v>
      </c>
      <c r="AB7266">
        <v>22</v>
      </c>
      <c r="AC7266">
        <v>116.77370000000001</v>
      </c>
      <c r="AD7266">
        <v>0.84810599999999903</v>
      </c>
      <c r="AE7266">
        <v>10.399289999999899</v>
      </c>
      <c r="AF7266">
        <v>-3.2657786072497599</v>
      </c>
      <c r="AG7266">
        <v>0.84810599999999903</v>
      </c>
      <c r="AH7266">
        <v>117.184207466825</v>
      </c>
      <c r="AI7266">
        <v>89.585497152432694</v>
      </c>
      <c r="AJ7266">
        <v>91.596349162344495</v>
      </c>
      <c r="AK7266">
        <v>117.232773034364</v>
      </c>
      <c r="AL7266">
        <v>87.967564018529004</v>
      </c>
      <c r="AM7266">
        <v>91.716198250642194</v>
      </c>
      <c r="AN7266">
        <v>0.99999997487951298</v>
      </c>
    </row>
    <row r="7267" spans="1:40" x14ac:dyDescent="0.25">
      <c r="A7267" t="str">
        <f>"20190312160514023"</f>
        <v>20190312160514023</v>
      </c>
      <c r="B7267" t="str">
        <f>"1552377914012002"</f>
        <v>1552377914012002</v>
      </c>
      <c r="C7267" t="s">
        <v>40</v>
      </c>
      <c r="D7267">
        <v>6.9101520000000001</v>
      </c>
      <c r="E7267">
        <v>0.50205359999999999</v>
      </c>
      <c r="F7267" t="s">
        <v>54</v>
      </c>
      <c r="G7267">
        <v>-157.3501</v>
      </c>
      <c r="H7267">
        <v>2.1375359999999999</v>
      </c>
      <c r="I7267">
        <v>-58.17821</v>
      </c>
      <c r="J7267">
        <v>-274.01600000000002</v>
      </c>
      <c r="K7267">
        <v>1.1111819999999999</v>
      </c>
      <c r="L7267">
        <v>-68.397549999999995</v>
      </c>
      <c r="M7267">
        <v>0.99800089999999997</v>
      </c>
      <c r="N7267">
        <v>0</v>
      </c>
      <c r="O7267">
        <v>6.1748020000000001E-2</v>
      </c>
      <c r="P7267">
        <v>0.99559810000000004</v>
      </c>
      <c r="Q7267">
        <v>2.2303759999999999E-2</v>
      </c>
      <c r="R7267">
        <v>9.1036190000000003E-2</v>
      </c>
      <c r="S7267">
        <v>2.9887389999999998</v>
      </c>
      <c r="T7267">
        <v>2.6267769999999999E-2</v>
      </c>
      <c r="U7267">
        <v>0.26174930000000002</v>
      </c>
      <c r="V7267">
        <v>-2.9461029999999999E-2</v>
      </c>
      <c r="W7267">
        <v>3.5705430000000003E-2</v>
      </c>
      <c r="X7267">
        <v>0.99892800000000004</v>
      </c>
      <c r="Y7267">
        <v>-2.5561270000000001E-2</v>
      </c>
      <c r="Z7267">
        <v>4.2896509999999999E-4</v>
      </c>
      <c r="AA7267">
        <v>0.99967320000000004</v>
      </c>
      <c r="AB7267">
        <v>22</v>
      </c>
      <c r="AC7267">
        <v>116.665899999999</v>
      </c>
      <c r="AD7267">
        <v>1.026354</v>
      </c>
      <c r="AE7267">
        <v>10.2193399999999</v>
      </c>
      <c r="AF7267">
        <v>-2.99506382031768</v>
      </c>
      <c r="AG7267">
        <v>1.026354</v>
      </c>
      <c r="AH7267">
        <v>117.065324341517</v>
      </c>
      <c r="AI7267">
        <v>89.497844380005105</v>
      </c>
      <c r="AJ7267">
        <v>91.465567106159696</v>
      </c>
      <c r="AK7267">
        <v>117.108129406142</v>
      </c>
      <c r="AL7267">
        <v>87.953794599918496</v>
      </c>
      <c r="AM7267">
        <v>91.689314465031401</v>
      </c>
      <c r="AN7267">
        <v>0.99999998960207204</v>
      </c>
    </row>
    <row r="7268" spans="1:40" x14ac:dyDescent="0.25">
      <c r="A7268" t="str">
        <f>"20190312160514036"</f>
        <v>20190312160514036</v>
      </c>
      <c r="B7268" t="str">
        <f>"1552377914032499"</f>
        <v>1552377914032499</v>
      </c>
      <c r="C7268" t="s">
        <v>40</v>
      </c>
      <c r="D7268">
        <v>5.9953050000000001</v>
      </c>
      <c r="E7268">
        <v>0.50274129999999995</v>
      </c>
      <c r="F7268" t="s">
        <v>54</v>
      </c>
      <c r="G7268">
        <v>-157.3501</v>
      </c>
      <c r="H7268">
        <v>2.2122250000000001</v>
      </c>
      <c r="I7268">
        <v>-58.362630000000003</v>
      </c>
      <c r="J7268">
        <v>-273.89999999999998</v>
      </c>
      <c r="K7268">
        <v>1.1111629999999999</v>
      </c>
      <c r="L7268">
        <v>-68.38937</v>
      </c>
      <c r="M7268">
        <v>0.99794669999999996</v>
      </c>
      <c r="N7268">
        <v>0</v>
      </c>
      <c r="O7268">
        <v>6.2614829999999996E-2</v>
      </c>
      <c r="P7268">
        <v>0.99559030000000004</v>
      </c>
      <c r="Q7268">
        <v>2.2679330000000001E-2</v>
      </c>
      <c r="R7268">
        <v>9.1026460000000003E-2</v>
      </c>
      <c r="S7268">
        <v>2.989166</v>
      </c>
      <c r="T7268">
        <v>2.8209919999999999E-2</v>
      </c>
      <c r="U7268">
        <v>0.25711060000000002</v>
      </c>
      <c r="V7268">
        <v>-2.8582750000000001E-2</v>
      </c>
      <c r="W7268">
        <v>3.609714E-2</v>
      </c>
      <c r="X7268">
        <v>0.99893949999999998</v>
      </c>
      <c r="Y7268">
        <v>-2.3141109999999999E-2</v>
      </c>
      <c r="Z7268">
        <v>4.801944E-4</v>
      </c>
      <c r="AA7268">
        <v>0.99973210000000001</v>
      </c>
      <c r="AB7268">
        <v>22</v>
      </c>
      <c r="AC7268">
        <v>116.549899999999</v>
      </c>
      <c r="AD7268">
        <v>1.101062</v>
      </c>
      <c r="AE7268">
        <v>10.026739999999901</v>
      </c>
      <c r="AF7268">
        <v>-2.7084061575238798</v>
      </c>
      <c r="AG7268">
        <v>1.101062</v>
      </c>
      <c r="AH7268">
        <v>116.938680034632</v>
      </c>
      <c r="AI7268">
        <v>89.460679485589495</v>
      </c>
      <c r="AJ7268">
        <v>91.326785142894806</v>
      </c>
      <c r="AK7268">
        <v>116.97522254598999</v>
      </c>
      <c r="AL7268">
        <v>87.931336918954202</v>
      </c>
      <c r="AM7268">
        <v>91.638962355468493</v>
      </c>
      <c r="AN7268">
        <v>1.00000005088699</v>
      </c>
    </row>
    <row r="7269" spans="1:40" x14ac:dyDescent="0.25">
      <c r="A7269" t="str">
        <f>"20190312160514048"</f>
        <v>20190312160514048</v>
      </c>
      <c r="B7269" t="str">
        <f>"1552377914042262"</f>
        <v>1552377914042262</v>
      </c>
      <c r="C7269" t="s">
        <v>40</v>
      </c>
      <c r="D7269">
        <v>5.8039189999999996</v>
      </c>
      <c r="E7269">
        <v>0.50274129999999995</v>
      </c>
      <c r="F7269" t="s">
        <v>54</v>
      </c>
      <c r="G7269">
        <v>-157.3501</v>
      </c>
      <c r="H7269">
        <v>2.419508</v>
      </c>
      <c r="I7269">
        <v>-58.579700000000003</v>
      </c>
      <c r="J7269">
        <v>-273.7833</v>
      </c>
      <c r="K7269">
        <v>1.1111439999999999</v>
      </c>
      <c r="L7269">
        <v>-68.381069999999994</v>
      </c>
      <c r="M7269">
        <v>0.99789209999999995</v>
      </c>
      <c r="N7269">
        <v>0</v>
      </c>
      <c r="O7269">
        <v>6.3475030000000002E-2</v>
      </c>
      <c r="P7269">
        <v>0.99558789999999997</v>
      </c>
      <c r="Q7269">
        <v>2.295088E-2</v>
      </c>
      <c r="R7269">
        <v>9.0985570000000002E-2</v>
      </c>
      <c r="S7269">
        <v>2.9895019999999999</v>
      </c>
      <c r="T7269">
        <v>3.3558490000000003E-2</v>
      </c>
      <c r="U7269">
        <v>0.25161739999999999</v>
      </c>
      <c r="V7269">
        <v>-2.7678850000000001E-2</v>
      </c>
      <c r="W7269">
        <v>3.6384010000000001E-2</v>
      </c>
      <c r="X7269">
        <v>0.99895449999999997</v>
      </c>
      <c r="Y7269">
        <v>-2.0446840000000001E-2</v>
      </c>
      <c r="Z7269">
        <v>5.9593150000000002E-4</v>
      </c>
      <c r="AA7269">
        <v>0.99979079999999998</v>
      </c>
      <c r="AB7269">
        <v>22</v>
      </c>
      <c r="AC7269">
        <v>116.4332</v>
      </c>
      <c r="AD7269">
        <v>1.3083640000000001</v>
      </c>
      <c r="AE7269">
        <v>9.8013699999999897</v>
      </c>
      <c r="AF7269">
        <v>-2.3900270227990301</v>
      </c>
      <c r="AG7269">
        <v>1.3083640000000001</v>
      </c>
      <c r="AH7269">
        <v>116.80591465341899</v>
      </c>
      <c r="AI7269">
        <v>89.358380825210403</v>
      </c>
      <c r="AJ7269">
        <v>91.172195395053805</v>
      </c>
      <c r="AK7269">
        <v>116.837689739005</v>
      </c>
      <c r="AL7269">
        <v>87.914889577366097</v>
      </c>
      <c r="AM7269">
        <v>91.587134983952893</v>
      </c>
      <c r="AN7269">
        <v>1.0000000039956201</v>
      </c>
    </row>
    <row r="7270" spans="1:40" x14ac:dyDescent="0.25">
      <c r="A7270" t="str">
        <f>"20190312160514058"</f>
        <v>20190312160514058</v>
      </c>
      <c r="B7270" t="str">
        <f>"1552377914052018"</f>
        <v>1552377914052018</v>
      </c>
      <c r="C7270" t="s">
        <v>40</v>
      </c>
      <c r="D7270">
        <v>5.7620699999999996</v>
      </c>
      <c r="E7270">
        <v>0.51984169999999996</v>
      </c>
      <c r="F7270" t="s">
        <v>54</v>
      </c>
      <c r="G7270">
        <v>-157.3501</v>
      </c>
      <c r="H7270">
        <v>2.4497270000000002</v>
      </c>
      <c r="I7270">
        <v>-58.585979999999999</v>
      </c>
      <c r="J7270">
        <v>-273.68400000000003</v>
      </c>
      <c r="K7270">
        <v>1.1111279999999999</v>
      </c>
      <c r="L7270">
        <v>-68.373900000000006</v>
      </c>
      <c r="M7270">
        <v>0.99784709999999999</v>
      </c>
      <c r="N7270">
        <v>0</v>
      </c>
      <c r="O7270">
        <v>6.4178849999999996E-2</v>
      </c>
      <c r="P7270">
        <v>0.99558970000000002</v>
      </c>
      <c r="Q7270">
        <v>2.3284010000000001E-2</v>
      </c>
      <c r="R7270">
        <v>9.0879989999999994E-2</v>
      </c>
      <c r="S7270">
        <v>2.9895019999999999</v>
      </c>
      <c r="T7270">
        <v>3.436852E-2</v>
      </c>
      <c r="U7270">
        <v>0.25149539999999998</v>
      </c>
      <c r="V7270">
        <v>-2.6867769999999999E-2</v>
      </c>
      <c r="W7270">
        <v>3.6729480000000002E-2</v>
      </c>
      <c r="X7270">
        <v>0.99896399999999996</v>
      </c>
      <c r="Y7270">
        <v>-1.9701340000000001E-2</v>
      </c>
      <c r="Z7270">
        <v>6.2264830000000005E-4</v>
      </c>
      <c r="AA7270">
        <v>0.99980570000000002</v>
      </c>
      <c r="AB7270">
        <v>22</v>
      </c>
      <c r="AC7270">
        <v>116.3339</v>
      </c>
      <c r="AD7270">
        <v>1.3385989999999901</v>
      </c>
      <c r="AE7270">
        <v>9.7879199999999997</v>
      </c>
      <c r="AF7270">
        <v>-2.3005788792671402</v>
      </c>
      <c r="AG7270">
        <v>1.3385989999999901</v>
      </c>
      <c r="AH7270">
        <v>116.706915030716</v>
      </c>
      <c r="AI7270">
        <v>89.342988244096503</v>
      </c>
      <c r="AJ7270">
        <v>91.1292937593348</v>
      </c>
      <c r="AK7270">
        <v>116.73726280176901</v>
      </c>
      <c r="AL7270">
        <v>87.895082361752799</v>
      </c>
      <c r="AM7270">
        <v>91.540634894444807</v>
      </c>
      <c r="AN7270">
        <v>1.0000000025309199</v>
      </c>
    </row>
    <row r="7271" spans="1:40" x14ac:dyDescent="0.25">
      <c r="A7271" t="str">
        <f>"20190312160514070"</f>
        <v>20190312160514070</v>
      </c>
      <c r="B7271" t="str">
        <f>"1552377914062754"</f>
        <v>1552377914062754</v>
      </c>
      <c r="C7271" t="s">
        <v>40</v>
      </c>
      <c r="D7271">
        <v>5.9391059999999998</v>
      </c>
      <c r="E7271">
        <v>0.52068720000000002</v>
      </c>
      <c r="F7271" t="s">
        <v>81</v>
      </c>
      <c r="G7271">
        <v>-206.33170000000001</v>
      </c>
      <c r="H7271" s="1">
        <v>-3.0534339999999999E-6</v>
      </c>
      <c r="I7271">
        <v>-65.771590000000003</v>
      </c>
      <c r="J7271">
        <v>-273.56939999999997</v>
      </c>
      <c r="K7271">
        <v>1.111111</v>
      </c>
      <c r="L7271">
        <v>-68.365629999999996</v>
      </c>
      <c r="M7271">
        <v>0.99779490000000004</v>
      </c>
      <c r="N7271">
        <v>0</v>
      </c>
      <c r="O7271">
        <v>6.4982940000000003E-2</v>
      </c>
      <c r="P7271">
        <v>0.99559540000000002</v>
      </c>
      <c r="Q7271">
        <v>2.368982E-2</v>
      </c>
      <c r="R7271">
        <v>9.07139E-2</v>
      </c>
      <c r="S7271">
        <v>3.0038149999999999</v>
      </c>
      <c r="T7271">
        <v>-4.9554819999999999E-2</v>
      </c>
      <c r="U7271">
        <v>0.1160583</v>
      </c>
      <c r="V7271">
        <v>-2.5895140000000001E-2</v>
      </c>
      <c r="W7271">
        <v>3.714833E-2</v>
      </c>
      <c r="X7271">
        <v>0.99897420000000003</v>
      </c>
      <c r="Y7271">
        <v>2.6401460000000002E-2</v>
      </c>
      <c r="Z7271">
        <v>-1.2884459999999999E-3</v>
      </c>
      <c r="AA7271">
        <v>0.99965059999999994</v>
      </c>
      <c r="AB7271">
        <v>22</v>
      </c>
      <c r="AC7271">
        <v>67.237699999999904</v>
      </c>
      <c r="AD7271">
        <v>-1.111114053434</v>
      </c>
      <c r="AE7271">
        <v>2.5940400000000001</v>
      </c>
      <c r="AF7271">
        <v>1.78066058647665</v>
      </c>
      <c r="AG7271">
        <v>-1.111114053434</v>
      </c>
      <c r="AH7271">
        <v>67.245806213877401</v>
      </c>
      <c r="AI7271">
        <v>90.946290261902405</v>
      </c>
      <c r="AJ7271">
        <v>88.483169342703405</v>
      </c>
      <c r="AK7271">
        <v>67.278553640207804</v>
      </c>
      <c r="AL7271">
        <v>87.871067639110393</v>
      </c>
      <c r="AM7271">
        <v>91.484873235553295</v>
      </c>
      <c r="AN7271">
        <v>1.00000000448152</v>
      </c>
    </row>
    <row r="7272" spans="1:40" x14ac:dyDescent="0.25">
      <c r="A7272" t="str">
        <f>"20190312160514079"</f>
        <v>20190312160514079</v>
      </c>
      <c r="B7272" t="str">
        <f>"1552377914072072"</f>
        <v>1552377914072072</v>
      </c>
      <c r="C7272" t="s">
        <v>40</v>
      </c>
      <c r="D7272">
        <v>5.9710769999999904</v>
      </c>
      <c r="E7272">
        <v>0.52142749999999904</v>
      </c>
      <c r="F7272" t="s">
        <v>122</v>
      </c>
      <c r="G7272">
        <v>-216.114</v>
      </c>
      <c r="H7272" s="1">
        <v>-2.9866540000000001E-6</v>
      </c>
      <c r="I7272">
        <v>-66.282319999999999</v>
      </c>
      <c r="J7272">
        <v>-273.46629999999999</v>
      </c>
      <c r="K7272">
        <v>1.1111009999999999</v>
      </c>
      <c r="L7272">
        <v>-68.358090000000004</v>
      </c>
      <c r="M7272">
        <v>0.99774859999999999</v>
      </c>
      <c r="N7272">
        <v>0</v>
      </c>
      <c r="O7272">
        <v>6.5687670000000004E-2</v>
      </c>
      <c r="P7272">
        <v>0.99556460000000002</v>
      </c>
      <c r="Q7272">
        <v>2.4174930000000001E-2</v>
      </c>
      <c r="R7272">
        <v>9.0921360000000007E-2</v>
      </c>
      <c r="S7272">
        <v>3.0047299999999999</v>
      </c>
      <c r="T7272">
        <v>-5.8107609999999997E-2</v>
      </c>
      <c r="U7272">
        <v>0.1089478</v>
      </c>
      <c r="V7272">
        <v>-2.5397360000000001E-2</v>
      </c>
      <c r="W7272">
        <v>3.7643419999999997E-2</v>
      </c>
      <c r="X7272">
        <v>0.99896839999999998</v>
      </c>
      <c r="Y7272">
        <v>2.947613E-2</v>
      </c>
      <c r="Z7272">
        <v>-1.5537260000000001E-3</v>
      </c>
      <c r="AA7272">
        <v>0.99956429999999996</v>
      </c>
      <c r="AB7272">
        <v>22</v>
      </c>
      <c r="AC7272">
        <v>57.3522999999999</v>
      </c>
      <c r="AD7272">
        <v>-1.111103986654</v>
      </c>
      <c r="AE7272">
        <v>2.0757699999999999</v>
      </c>
      <c r="AF7272">
        <v>1.6957618249419399</v>
      </c>
      <c r="AG7272">
        <v>-1.111103986654</v>
      </c>
      <c r="AH7272">
        <v>57.343280440180003</v>
      </c>
      <c r="AI7272">
        <v>91.109559752906094</v>
      </c>
      <c r="AJ7272">
        <v>88.306136529316603</v>
      </c>
      <c r="AK7272">
        <v>57.3791074510332</v>
      </c>
      <c r="AL7272">
        <v>87.842681116937598</v>
      </c>
      <c r="AM7272">
        <v>91.456350512684807</v>
      </c>
      <c r="AN7272">
        <v>0.999999958581412</v>
      </c>
    </row>
    <row r="7273" spans="1:40" x14ac:dyDescent="0.25">
      <c r="A7273" t="str">
        <f>"20190312160514091"</f>
        <v>20190312160514091</v>
      </c>
      <c r="B7273" t="str">
        <f>"1552377914082796"</f>
        <v>1552377914082796</v>
      </c>
      <c r="C7273" t="s">
        <v>40</v>
      </c>
      <c r="D7273">
        <v>5.8022119999999999</v>
      </c>
      <c r="E7273">
        <v>0.52166869999999999</v>
      </c>
      <c r="F7273" t="s">
        <v>123</v>
      </c>
      <c r="G7273">
        <v>-220.52889999999999</v>
      </c>
      <c r="H7273" s="1">
        <v>-7.1213529999999997E-7</v>
      </c>
      <c r="I7273">
        <v>-66.532089999999997</v>
      </c>
      <c r="J7273">
        <v>-273.3587</v>
      </c>
      <c r="K7273">
        <v>1.1110899999999999</v>
      </c>
      <c r="L7273">
        <v>-68.350189999999998</v>
      </c>
      <c r="M7273">
        <v>0.99770040000000004</v>
      </c>
      <c r="N7273">
        <v>0</v>
      </c>
      <c r="O7273">
        <v>6.6413340000000001E-2</v>
      </c>
      <c r="P7273">
        <v>0.9955233</v>
      </c>
      <c r="Q7273">
        <v>2.5050280000000001E-2</v>
      </c>
      <c r="R7273">
        <v>9.1136990000000001E-2</v>
      </c>
      <c r="S7273">
        <v>3.0054319999999999</v>
      </c>
      <c r="T7273">
        <v>-6.3080910000000004E-2</v>
      </c>
      <c r="U7273">
        <v>0.1036682</v>
      </c>
      <c r="V7273">
        <v>-2.4888730000000001E-2</v>
      </c>
      <c r="W7273">
        <v>3.852875E-2</v>
      </c>
      <c r="X7273">
        <v>0.99894749999999999</v>
      </c>
      <c r="Y7273">
        <v>3.1961339999999998E-2</v>
      </c>
      <c r="Z7273">
        <v>-1.7276189999999999E-3</v>
      </c>
      <c r="AA7273">
        <v>0.99948760000000003</v>
      </c>
      <c r="AB7273">
        <v>22</v>
      </c>
      <c r="AC7273">
        <v>52.829799999999999</v>
      </c>
      <c r="AD7273">
        <v>-1.1110907121353</v>
      </c>
      <c r="AE7273">
        <v>1.8181</v>
      </c>
      <c r="AF7273">
        <v>1.6940911580707501</v>
      </c>
      <c r="AG7273">
        <v>-1.1110907121353</v>
      </c>
      <c r="AH7273">
        <v>52.810566186464001</v>
      </c>
      <c r="AI7273">
        <v>91.204658602676005</v>
      </c>
      <c r="AJ7273">
        <v>88.162659355820907</v>
      </c>
      <c r="AK7273">
        <v>52.849412185542299</v>
      </c>
      <c r="AL7273">
        <v>87.791918725490007</v>
      </c>
      <c r="AM7273">
        <v>91.427226382601603</v>
      </c>
      <c r="AN7273">
        <v>1.00000001060691</v>
      </c>
    </row>
    <row r="7274" spans="1:40" x14ac:dyDescent="0.25">
      <c r="A7274" t="str">
        <f>"20190312160514103"</f>
        <v>20190312160514103</v>
      </c>
      <c r="B7274" t="str">
        <f>"1552377914092556"</f>
        <v>1552377914092556</v>
      </c>
      <c r="C7274" t="s">
        <v>40</v>
      </c>
      <c r="D7274">
        <v>5.8866120000000004</v>
      </c>
      <c r="E7274">
        <v>0.52166869999999999</v>
      </c>
      <c r="F7274" t="s">
        <v>81</v>
      </c>
      <c r="G7274">
        <v>-206.5189</v>
      </c>
      <c r="H7274" s="1">
        <v>-2.9766839999999998E-6</v>
      </c>
      <c r="I7274">
        <v>-66.075119999999998</v>
      </c>
      <c r="J7274">
        <v>-273.24889999999999</v>
      </c>
      <c r="K7274">
        <v>1.111081</v>
      </c>
      <c r="L7274">
        <v>-68.342039999999997</v>
      </c>
      <c r="M7274">
        <v>0.99765170000000003</v>
      </c>
      <c r="N7274">
        <v>0</v>
      </c>
      <c r="O7274">
        <v>6.7140389999999994E-2</v>
      </c>
      <c r="P7274">
        <v>0.99545539999999999</v>
      </c>
      <c r="Q7274">
        <v>2.5793750000000001E-2</v>
      </c>
      <c r="R7274">
        <v>9.1671039999999995E-2</v>
      </c>
      <c r="S7274">
        <v>3.005341</v>
      </c>
      <c r="T7274">
        <v>-4.9958469999999998E-2</v>
      </c>
      <c r="U7274">
        <v>0.10229489999999999</v>
      </c>
      <c r="V7274">
        <v>-2.469795E-2</v>
      </c>
      <c r="W7274">
        <v>3.928015E-2</v>
      </c>
      <c r="X7274">
        <v>0.99892289999999995</v>
      </c>
      <c r="Y7274">
        <v>3.3152620000000001E-2</v>
      </c>
      <c r="Z7274">
        <v>-1.390297E-3</v>
      </c>
      <c r="AA7274">
        <v>0.99944929999999998</v>
      </c>
      <c r="AB7274">
        <v>22</v>
      </c>
      <c r="AC7274">
        <v>66.729999999999905</v>
      </c>
      <c r="AD7274">
        <v>-1.1110839766839999</v>
      </c>
      <c r="AE7274">
        <v>2.2669199999999901</v>
      </c>
      <c r="AF7274">
        <v>2.2182706732323001</v>
      </c>
      <c r="AG7274">
        <v>-1.1110839766839999</v>
      </c>
      <c r="AH7274">
        <v>66.713140470917693</v>
      </c>
      <c r="AI7274">
        <v>90.953625984935996</v>
      </c>
      <c r="AJ7274">
        <v>88.095566526024697</v>
      </c>
      <c r="AK7274">
        <v>66.7592566156587</v>
      </c>
      <c r="AL7274">
        <v>87.748833898236796</v>
      </c>
      <c r="AM7274">
        <v>91.4163255774845</v>
      </c>
      <c r="AN7274">
        <v>0.99999993953131505</v>
      </c>
    </row>
    <row r="7275" spans="1:40" x14ac:dyDescent="0.25">
      <c r="A7275" t="str">
        <f>"20190312160514115"</f>
        <v>20190312160514115</v>
      </c>
      <c r="B7275" t="str">
        <f>"1552377914102317"</f>
        <v>1552377914102317</v>
      </c>
      <c r="C7275" t="s">
        <v>40</v>
      </c>
      <c r="D7275">
        <v>5.7890169999999896</v>
      </c>
      <c r="E7275">
        <v>0.50994709999999999</v>
      </c>
      <c r="F7275" t="s">
        <v>81</v>
      </c>
      <c r="G7275">
        <v>-203.24289999999999</v>
      </c>
      <c r="H7275" s="1">
        <v>-4.5430509999999999E-6</v>
      </c>
      <c r="I7275">
        <v>-65.922269999999997</v>
      </c>
      <c r="J7275">
        <v>-273.1354</v>
      </c>
      <c r="K7275">
        <v>1.1110739999999999</v>
      </c>
      <c r="L7275">
        <v>-68.333529999999996</v>
      </c>
      <c r="M7275">
        <v>0.99760170000000004</v>
      </c>
      <c r="N7275">
        <v>0</v>
      </c>
      <c r="O7275">
        <v>6.7877850000000003E-2</v>
      </c>
      <c r="P7275">
        <v>0.99537399999999998</v>
      </c>
      <c r="Q7275">
        <v>2.6518659999999999E-2</v>
      </c>
      <c r="R7275">
        <v>9.2345120000000003E-2</v>
      </c>
      <c r="S7275">
        <v>3.0053709999999998</v>
      </c>
      <c r="T7275">
        <v>-4.769909E-2</v>
      </c>
      <c r="U7275">
        <v>0.1038818</v>
      </c>
      <c r="V7275">
        <v>-2.4637220000000001E-2</v>
      </c>
      <c r="W7275">
        <v>4.0012949999999999E-2</v>
      </c>
      <c r="X7275">
        <v>0.99889530000000004</v>
      </c>
      <c r="Y7275">
        <v>3.3365770000000003E-2</v>
      </c>
      <c r="Z7275">
        <v>-1.3407639999999999E-3</v>
      </c>
      <c r="AA7275">
        <v>0.99944230000000001</v>
      </c>
      <c r="AB7275">
        <v>22</v>
      </c>
      <c r="AC7275">
        <v>69.892499999999998</v>
      </c>
      <c r="AD7275">
        <v>-1.111078543051</v>
      </c>
      <c r="AE7275">
        <v>2.4112600000000102</v>
      </c>
      <c r="AF7275">
        <v>2.3382998780527702</v>
      </c>
      <c r="AG7275">
        <v>-1.111078543051</v>
      </c>
      <c r="AH7275">
        <v>69.877321272026506</v>
      </c>
      <c r="AI7275">
        <v>90.910440506247895</v>
      </c>
      <c r="AJ7275">
        <v>88.083430524656904</v>
      </c>
      <c r="AK7275">
        <v>69.9252613152252</v>
      </c>
      <c r="AL7275">
        <v>87.706814476140806</v>
      </c>
      <c r="AM7275">
        <v>91.412883397559199</v>
      </c>
      <c r="AN7275">
        <v>0.999999924569557</v>
      </c>
    </row>
    <row r="7276" spans="1:40" x14ac:dyDescent="0.25">
      <c r="A7276" t="str">
        <f>"20190312160514126"</f>
        <v>20190312160514126</v>
      </c>
      <c r="B7276" t="str">
        <f>"1552377914122811"</f>
        <v>1552377914122811</v>
      </c>
      <c r="C7276" t="s">
        <v>40</v>
      </c>
      <c r="D7276">
        <v>5.3304910000000003</v>
      </c>
      <c r="E7276">
        <v>0.51267189999999996</v>
      </c>
      <c r="F7276" t="s">
        <v>54</v>
      </c>
      <c r="G7276">
        <v>-157.3501</v>
      </c>
      <c r="H7276">
        <v>3.1329199999999999</v>
      </c>
      <c r="I7276">
        <v>-60.666269999999997</v>
      </c>
      <c r="J7276">
        <v>-273.02210000000002</v>
      </c>
      <c r="K7276">
        <v>1.1110690000000001</v>
      </c>
      <c r="L7276">
        <v>-68.325009999999907</v>
      </c>
      <c r="M7276">
        <v>0.99755170000000004</v>
      </c>
      <c r="N7276">
        <v>0</v>
      </c>
      <c r="O7276">
        <v>6.8606680000000003E-2</v>
      </c>
      <c r="P7276">
        <v>0.99533159999999998</v>
      </c>
      <c r="Q7276">
        <v>2.6881209999999999E-2</v>
      </c>
      <c r="R7276">
        <v>9.2695340000000001E-2</v>
      </c>
      <c r="S7276">
        <v>2.9941710000000001</v>
      </c>
      <c r="T7276">
        <v>5.2283759999999999E-2</v>
      </c>
      <c r="U7276">
        <v>0.1982727</v>
      </c>
      <c r="V7276">
        <v>-2.4259139999999998E-2</v>
      </c>
      <c r="W7276">
        <v>4.038315E-2</v>
      </c>
      <c r="X7276">
        <v>0.99888969999999999</v>
      </c>
      <c r="Y7276">
        <v>2.5331360000000001E-3</v>
      </c>
      <c r="Z7276">
        <v>1.2174149999999999E-3</v>
      </c>
      <c r="AA7276">
        <v>0.99999610000000005</v>
      </c>
      <c r="AB7276">
        <v>22</v>
      </c>
      <c r="AC7276">
        <v>115.672</v>
      </c>
      <c r="AD7276">
        <v>2.0218509999999998</v>
      </c>
      <c r="AE7276">
        <v>7.6587399999999901</v>
      </c>
      <c r="AF7276">
        <v>0.29581998212643401</v>
      </c>
      <c r="AG7276">
        <v>2.0218509999999998</v>
      </c>
      <c r="AH7276">
        <v>115.88963861767</v>
      </c>
      <c r="AI7276">
        <v>89.000502529392506</v>
      </c>
      <c r="AJ7276">
        <v>89.853747066076394</v>
      </c>
      <c r="AK7276">
        <v>115.907651731291</v>
      </c>
      <c r="AL7276">
        <v>87.685586521117798</v>
      </c>
      <c r="AM7276">
        <v>91.391217832094299</v>
      </c>
      <c r="AN7276">
        <v>0.99999996872177499</v>
      </c>
    </row>
    <row r="7277" spans="1:40" x14ac:dyDescent="0.25">
      <c r="A7277" t="str">
        <f>"20190312160514138"</f>
        <v>20190312160514138</v>
      </c>
      <c r="B7277" t="str">
        <f>"1552377914132572"</f>
        <v>1552377914132572</v>
      </c>
      <c r="C7277" t="s">
        <v>40</v>
      </c>
      <c r="D7277">
        <v>5.8871779999999996</v>
      </c>
      <c r="E7277">
        <v>0.51260569999999905</v>
      </c>
      <c r="F7277" t="s">
        <v>54</v>
      </c>
      <c r="G7277">
        <v>-157.3501</v>
      </c>
      <c r="H7277">
        <v>3.0532849999999998</v>
      </c>
      <c r="I7277">
        <v>-61.463180000000001</v>
      </c>
      <c r="J7277">
        <v>-272.9074</v>
      </c>
      <c r="K7277">
        <v>1.111065</v>
      </c>
      <c r="L7277">
        <v>-68.316280000000006</v>
      </c>
      <c r="M7277">
        <v>0.99750190000000005</v>
      </c>
      <c r="N7277">
        <v>0</v>
      </c>
      <c r="O7277">
        <v>6.932721E-2</v>
      </c>
      <c r="P7277">
        <v>0.99527169999999998</v>
      </c>
      <c r="Q7277">
        <v>2.7451039999999999E-2</v>
      </c>
      <c r="R7277">
        <v>9.3172089999999999E-2</v>
      </c>
      <c r="S7277">
        <v>2.996124</v>
      </c>
      <c r="T7277">
        <v>5.030656E-2</v>
      </c>
      <c r="U7277">
        <v>0.17773439999999999</v>
      </c>
      <c r="V7277">
        <v>-2.4017090000000001E-2</v>
      </c>
      <c r="W7277">
        <v>4.0959170000000003E-2</v>
      </c>
      <c r="X7277">
        <v>0.99887210000000004</v>
      </c>
      <c r="Y7277">
        <v>1.012595E-2</v>
      </c>
      <c r="Z7277">
        <v>1.2466770000000001E-3</v>
      </c>
      <c r="AA7277">
        <v>0.99994799999999995</v>
      </c>
      <c r="AB7277">
        <v>22</v>
      </c>
      <c r="AC7277">
        <v>115.5573</v>
      </c>
      <c r="AD7277">
        <v>1.9422200000000001</v>
      </c>
      <c r="AE7277">
        <v>6.8531000000000004</v>
      </c>
      <c r="AF7277">
        <v>1.1750621173812399</v>
      </c>
      <c r="AG7277">
        <v>1.9422200000000001</v>
      </c>
      <c r="AH7277">
        <v>115.721789388597</v>
      </c>
      <c r="AI7277">
        <v>89.038514461868999</v>
      </c>
      <c r="AJ7277">
        <v>89.418227228056097</v>
      </c>
      <c r="AK7277">
        <v>115.74405180745499</v>
      </c>
      <c r="AL7277">
        <v>87.652555685018498</v>
      </c>
      <c r="AM7277">
        <v>91.3773663353995</v>
      </c>
      <c r="AN7277">
        <v>0.99999997318878298</v>
      </c>
    </row>
    <row r="7278" spans="1:40" x14ac:dyDescent="0.25">
      <c r="A7278" t="str">
        <f>"20190312160514151"</f>
        <v>20190312160514151</v>
      </c>
      <c r="B7278" t="str">
        <f>"1552377914142332"</f>
        <v>1552377914142332</v>
      </c>
      <c r="C7278" t="s">
        <v>40</v>
      </c>
      <c r="D7278">
        <v>5.7457940000000001</v>
      </c>
      <c r="E7278">
        <v>0.51198359999999998</v>
      </c>
      <c r="F7278" t="s">
        <v>54</v>
      </c>
      <c r="G7278">
        <v>-157.3501</v>
      </c>
      <c r="H7278">
        <v>2.97803</v>
      </c>
      <c r="I7278">
        <v>-61.384819999999998</v>
      </c>
      <c r="J7278">
        <v>-272.78960000000001</v>
      </c>
      <c r="K7278">
        <v>1.1110610000000001</v>
      </c>
      <c r="L7278">
        <v>-68.307249999999996</v>
      </c>
      <c r="M7278">
        <v>0.99745039999999996</v>
      </c>
      <c r="N7278">
        <v>0</v>
      </c>
      <c r="O7278">
        <v>7.0062840000000001E-2</v>
      </c>
      <c r="P7278">
        <v>0.99521899999999996</v>
      </c>
      <c r="Q7278">
        <v>2.81094E-2</v>
      </c>
      <c r="R7278">
        <v>9.3537700000000001E-2</v>
      </c>
      <c r="S7278">
        <v>2.9961549999999999</v>
      </c>
      <c r="T7278">
        <v>4.840589E-2</v>
      </c>
      <c r="U7278">
        <v>0.17971799999999999</v>
      </c>
      <c r="V7278">
        <v>-2.364873E-2</v>
      </c>
      <c r="W7278">
        <v>4.1624260000000003E-2</v>
      </c>
      <c r="X7278">
        <v>0.9988534</v>
      </c>
      <c r="Y7278">
        <v>1.020504E-2</v>
      </c>
      <c r="Z7278">
        <v>1.212018E-3</v>
      </c>
      <c r="AA7278">
        <v>0.99994720000000004</v>
      </c>
      <c r="AB7278">
        <v>22</v>
      </c>
      <c r="AC7278">
        <v>115.4395</v>
      </c>
      <c r="AD7278">
        <v>1.8669690000000001</v>
      </c>
      <c r="AE7278">
        <v>6.9224299999999896</v>
      </c>
      <c r="AF7278">
        <v>1.1830391355714001</v>
      </c>
      <c r="AG7278">
        <v>1.8669690000000001</v>
      </c>
      <c r="AH7278">
        <v>115.61068373441999</v>
      </c>
      <c r="AI7278">
        <v>89.074873143802293</v>
      </c>
      <c r="AJ7278">
        <v>89.413715225172595</v>
      </c>
      <c r="AK7278">
        <v>115.63180941412</v>
      </c>
      <c r="AL7278">
        <v>87.614416317144901</v>
      </c>
      <c r="AM7278">
        <v>91.3562744339212</v>
      </c>
      <c r="AN7278">
        <v>0.99999997807135999</v>
      </c>
    </row>
    <row r="7279" spans="1:40" x14ac:dyDescent="0.25">
      <c r="A7279" t="str">
        <f>"20190312160514159"</f>
        <v>20190312160514159</v>
      </c>
      <c r="B7279" t="str">
        <f>"1552377914152093"</f>
        <v>1552377914152093</v>
      </c>
      <c r="C7279" t="s">
        <v>40</v>
      </c>
      <c r="D7279">
        <v>5.8042299999999996</v>
      </c>
      <c r="E7279">
        <v>0.51198359999999998</v>
      </c>
      <c r="F7279" t="s">
        <v>54</v>
      </c>
      <c r="G7279">
        <v>-157.3501</v>
      </c>
      <c r="H7279">
        <v>2.977862</v>
      </c>
      <c r="I7279">
        <v>-61.146299999999997</v>
      </c>
      <c r="J7279">
        <v>-272.69490000000002</v>
      </c>
      <c r="K7279">
        <v>1.111062</v>
      </c>
      <c r="L7279">
        <v>-68.299930000000003</v>
      </c>
      <c r="M7279">
        <v>0.9974092</v>
      </c>
      <c r="N7279">
        <v>0</v>
      </c>
      <c r="O7279">
        <v>7.0644559999999995E-2</v>
      </c>
      <c r="P7279">
        <v>0.99517639999999996</v>
      </c>
      <c r="Q7279">
        <v>2.8688430000000001E-2</v>
      </c>
      <c r="R7279">
        <v>9.3813649999999998E-2</v>
      </c>
      <c r="S7279">
        <v>2.9955750000000001</v>
      </c>
      <c r="T7279">
        <v>4.8441650000000003E-2</v>
      </c>
      <c r="U7279">
        <v>0.1858215</v>
      </c>
      <c r="V7279">
        <v>-2.3344279999999999E-2</v>
      </c>
      <c r="W7279">
        <v>4.2207880000000003E-2</v>
      </c>
      <c r="X7279">
        <v>0.9988361</v>
      </c>
      <c r="Y7279">
        <v>8.7469239999999997E-3</v>
      </c>
      <c r="Z7279">
        <v>1.210645E-3</v>
      </c>
      <c r="AA7279">
        <v>0.99996099999999999</v>
      </c>
      <c r="AB7279">
        <v>22</v>
      </c>
      <c r="AC7279">
        <v>115.34480000000001</v>
      </c>
      <c r="AD7279">
        <v>1.8668</v>
      </c>
      <c r="AE7279">
        <v>7.1536299999999997</v>
      </c>
      <c r="AF7279">
        <v>1.0132152485641599</v>
      </c>
      <c r="AG7279">
        <v>1.8668</v>
      </c>
      <c r="AH7279">
        <v>115.53182914971001</v>
      </c>
      <c r="AI7279">
        <v>89.074312743965507</v>
      </c>
      <c r="AJ7279">
        <v>89.497528346661994</v>
      </c>
      <c r="AK7279">
        <v>115.551352627556</v>
      </c>
      <c r="AL7279">
        <v>87.580948010399098</v>
      </c>
      <c r="AM7279">
        <v>91.338843548495305</v>
      </c>
      <c r="AN7279">
        <v>1.00000000760301</v>
      </c>
    </row>
    <row r="7280" spans="1:40" x14ac:dyDescent="0.25">
      <c r="A7280" t="str">
        <f>"20190312160514171"</f>
        <v>20190312160514171</v>
      </c>
      <c r="B7280" t="str">
        <f>"1552377914162828"</f>
        <v>1552377914162828</v>
      </c>
      <c r="C7280" t="s">
        <v>40</v>
      </c>
      <c r="D7280">
        <v>5.8315250000000001</v>
      </c>
      <c r="E7280">
        <v>0.51161440000000002</v>
      </c>
      <c r="F7280" t="s">
        <v>54</v>
      </c>
      <c r="G7280">
        <v>-157.3501</v>
      </c>
      <c r="H7280">
        <v>3.0418289999999999</v>
      </c>
      <c r="I7280">
        <v>-61.114220000000003</v>
      </c>
      <c r="J7280">
        <v>-272.58330000000001</v>
      </c>
      <c r="K7280">
        <v>1.111065</v>
      </c>
      <c r="L7280">
        <v>-68.291259999999994</v>
      </c>
      <c r="M7280">
        <v>0.99736069999999999</v>
      </c>
      <c r="N7280">
        <v>0</v>
      </c>
      <c r="O7280">
        <v>7.1326589999999995E-2</v>
      </c>
      <c r="P7280">
        <v>0.99509780000000003</v>
      </c>
      <c r="Q7280">
        <v>2.9525820000000001E-2</v>
      </c>
      <c r="R7280">
        <v>9.4387520000000003E-2</v>
      </c>
      <c r="S7280">
        <v>2.9955440000000002</v>
      </c>
      <c r="T7280">
        <v>5.014217E-2</v>
      </c>
      <c r="U7280">
        <v>0.186615</v>
      </c>
      <c r="V7280">
        <v>-2.3240090000000001E-2</v>
      </c>
      <c r="W7280">
        <v>4.3050159999999997E-2</v>
      </c>
      <c r="X7280">
        <v>0.99880259999999998</v>
      </c>
      <c r="Y7280">
        <v>9.1653429999999994E-3</v>
      </c>
      <c r="Z7280">
        <v>1.2680079999999999E-3</v>
      </c>
      <c r="AA7280">
        <v>0.99995719999999999</v>
      </c>
      <c r="AB7280">
        <v>22</v>
      </c>
      <c r="AC7280">
        <v>115.2332</v>
      </c>
      <c r="AD7280">
        <v>1.9307639999999999</v>
      </c>
      <c r="AE7280">
        <v>7.1770399999999901</v>
      </c>
      <c r="AF7280">
        <v>1.0608946031440001</v>
      </c>
      <c r="AG7280">
        <v>1.9307639999999999</v>
      </c>
      <c r="AH7280">
        <v>115.41933206858501</v>
      </c>
      <c r="AI7280">
        <v>89.041671461949505</v>
      </c>
      <c r="AJ7280">
        <v>89.473371830919703</v>
      </c>
      <c r="AK7280">
        <v>115.44035499833301</v>
      </c>
      <c r="AL7280">
        <v>87.532645056499106</v>
      </c>
      <c r="AM7280">
        <v>91.332914881874501</v>
      </c>
      <c r="AN7280">
        <v>1.00000002591299</v>
      </c>
    </row>
    <row r="7281" spans="1:40" x14ac:dyDescent="0.25">
      <c r="A7281" t="str">
        <f>"20190312160514181"</f>
        <v>20190312160514181</v>
      </c>
      <c r="B7281" t="str">
        <f>"1552377914172744"</f>
        <v>1552377914172744</v>
      </c>
      <c r="C7281" t="s">
        <v>40</v>
      </c>
      <c r="D7281">
        <v>6.5721800000000004</v>
      </c>
      <c r="E7281">
        <v>0.51155499999999998</v>
      </c>
      <c r="F7281" t="s">
        <v>54</v>
      </c>
      <c r="G7281">
        <v>-157.3501</v>
      </c>
      <c r="H7281">
        <v>3.0065019999999998</v>
      </c>
      <c r="I7281">
        <v>-60.929639999999999</v>
      </c>
      <c r="J7281">
        <v>-272.47930000000002</v>
      </c>
      <c r="K7281">
        <v>1.1110660000000001</v>
      </c>
      <c r="L7281">
        <v>-68.283109999999994</v>
      </c>
      <c r="M7281">
        <v>0.99731539999999996</v>
      </c>
      <c r="N7281">
        <v>0</v>
      </c>
      <c r="O7281">
        <v>7.1957699999999999E-2</v>
      </c>
      <c r="P7281">
        <v>0.99502650000000004</v>
      </c>
      <c r="Q7281">
        <v>3.0267470000000001E-2</v>
      </c>
      <c r="R7281">
        <v>9.4901920000000001E-2</v>
      </c>
      <c r="S7281">
        <v>2.9951780000000001</v>
      </c>
      <c r="T7281">
        <v>4.9266219999999999E-2</v>
      </c>
      <c r="U7281">
        <v>0.19134519999999999</v>
      </c>
      <c r="V7281">
        <v>-2.312647E-2</v>
      </c>
      <c r="W7281">
        <v>4.37957E-2</v>
      </c>
      <c r="X7281">
        <v>0.99877280000000002</v>
      </c>
      <c r="Y7281">
        <v>8.2180009999999904E-3</v>
      </c>
      <c r="Z7281">
        <v>1.248489E-3</v>
      </c>
      <c r="AA7281">
        <v>0.9999654</v>
      </c>
      <c r="AB7281">
        <v>22</v>
      </c>
      <c r="AC7281">
        <v>115.1292</v>
      </c>
      <c r="AD7281">
        <v>1.8954359999999999</v>
      </c>
      <c r="AE7281">
        <v>7.35346999999999</v>
      </c>
      <c r="AF7281">
        <v>0.95053448203803204</v>
      </c>
      <c r="AG7281">
        <v>1.8954359999999999</v>
      </c>
      <c r="AH7281">
        <v>115.328748588867</v>
      </c>
      <c r="AI7281">
        <v>89.058456624673298</v>
      </c>
      <c r="AJ7281">
        <v>89.527781393369096</v>
      </c>
      <c r="AK7281">
        <v>115.348239884732</v>
      </c>
      <c r="AL7281">
        <v>87.489888370886504</v>
      </c>
      <c r="AM7281">
        <v>91.326440201798604</v>
      </c>
      <c r="AN7281">
        <v>1.00000000148649</v>
      </c>
    </row>
    <row r="7282" spans="1:40" x14ac:dyDescent="0.25">
      <c r="A7282" t="str">
        <f>"20190312160514193"</f>
        <v>20190312160514193</v>
      </c>
      <c r="B7282" t="str">
        <f>"1552377914182487"</f>
        <v>1552377914182487</v>
      </c>
      <c r="C7282" t="s">
        <v>40</v>
      </c>
      <c r="D7282">
        <v>5.9680090000000003</v>
      </c>
      <c r="E7282">
        <v>0.51154860000000002</v>
      </c>
      <c r="F7282" t="s">
        <v>54</v>
      </c>
      <c r="G7282">
        <v>-157.3501</v>
      </c>
      <c r="H7282">
        <v>2.9983170000000001</v>
      </c>
      <c r="I7282">
        <v>-60.849240000000002</v>
      </c>
      <c r="J7282">
        <v>-272.37119999999999</v>
      </c>
      <c r="K7282">
        <v>1.1110690000000001</v>
      </c>
      <c r="L7282">
        <v>-68.274569999999997</v>
      </c>
      <c r="M7282">
        <v>0.99726780000000004</v>
      </c>
      <c r="N7282">
        <v>0</v>
      </c>
      <c r="O7282">
        <v>7.2611640000000005E-2</v>
      </c>
      <c r="P7282">
        <v>0.9949751</v>
      </c>
      <c r="Q7282">
        <v>3.0844900000000001E-2</v>
      </c>
      <c r="R7282">
        <v>9.5253649999999995E-2</v>
      </c>
      <c r="S7282">
        <v>2.9950559999999999</v>
      </c>
      <c r="T7282">
        <v>4.9095750000000001E-2</v>
      </c>
      <c r="U7282">
        <v>0.1933899</v>
      </c>
      <c r="V7282">
        <v>-2.2826320000000001E-2</v>
      </c>
      <c r="W7282">
        <v>4.4376409999999998E-2</v>
      </c>
      <c r="X7282">
        <v>0.99875409999999998</v>
      </c>
      <c r="Y7282">
        <v>8.19124699999999E-3</v>
      </c>
      <c r="Z7282">
        <v>1.254642E-3</v>
      </c>
      <c r="AA7282">
        <v>0.99996569999999996</v>
      </c>
      <c r="AB7282">
        <v>22</v>
      </c>
      <c r="AC7282">
        <v>115.0211</v>
      </c>
      <c r="AD7282">
        <v>1.887248</v>
      </c>
      <c r="AE7282">
        <v>7.42532999999999</v>
      </c>
      <c r="AF7282">
        <v>0.94666174205506803</v>
      </c>
      <c r="AG7282">
        <v>1.887248</v>
      </c>
      <c r="AH7282">
        <v>115.22574476215399</v>
      </c>
      <c r="AI7282">
        <v>89.061685131707506</v>
      </c>
      <c r="AJ7282">
        <v>89.529284863804605</v>
      </c>
      <c r="AK7282">
        <v>115.245087224838</v>
      </c>
      <c r="AL7282">
        <v>87.4565838286982</v>
      </c>
      <c r="AM7282">
        <v>91.309255355249505</v>
      </c>
      <c r="AN7282">
        <v>1.00000002945801</v>
      </c>
    </row>
    <row r="7283" spans="1:40" x14ac:dyDescent="0.25">
      <c r="A7283" t="str">
        <f>"20190312160514204"</f>
        <v>20190312160514204</v>
      </c>
      <c r="B7283" t="str">
        <f>"1552377914192246"</f>
        <v>1552377914192246</v>
      </c>
      <c r="C7283" t="s">
        <v>40</v>
      </c>
      <c r="D7283">
        <v>6.5541759999999902</v>
      </c>
      <c r="E7283">
        <v>0.51140839999999999</v>
      </c>
      <c r="F7283" t="s">
        <v>54</v>
      </c>
      <c r="G7283">
        <v>-157.3501</v>
      </c>
      <c r="H7283">
        <v>3.0146510000000002</v>
      </c>
      <c r="I7283">
        <v>-60.802990000000001</v>
      </c>
      <c r="J7283">
        <v>-272.25990000000002</v>
      </c>
      <c r="K7283">
        <v>1.1110679999999999</v>
      </c>
      <c r="L7283">
        <v>-68.265720000000002</v>
      </c>
      <c r="M7283">
        <v>0.99721870000000001</v>
      </c>
      <c r="N7283">
        <v>0</v>
      </c>
      <c r="O7283">
        <v>7.3282589999999995E-2</v>
      </c>
      <c r="P7283">
        <v>0.99491099999999999</v>
      </c>
      <c r="Q7283">
        <v>3.1131490000000001E-2</v>
      </c>
      <c r="R7283">
        <v>9.5829919999999999E-2</v>
      </c>
      <c r="S7283">
        <v>2.9949949999999999</v>
      </c>
      <c r="T7283">
        <v>4.9566150000000003E-2</v>
      </c>
      <c r="U7283">
        <v>0.19454959999999999</v>
      </c>
      <c r="V7283">
        <v>-2.2734109999999998E-2</v>
      </c>
      <c r="W7283">
        <v>4.466651E-2</v>
      </c>
      <c r="X7283">
        <v>0.99874320000000005</v>
      </c>
      <c r="Y7283">
        <v>8.4768109999999904E-3</v>
      </c>
      <c r="Z7283">
        <v>1.280085E-3</v>
      </c>
      <c r="AA7283">
        <v>0.99996320000000005</v>
      </c>
      <c r="AB7283">
        <v>22</v>
      </c>
      <c r="AC7283">
        <v>114.9098</v>
      </c>
      <c r="AD7283">
        <v>1.903583</v>
      </c>
      <c r="AE7283">
        <v>7.4627299999999996</v>
      </c>
      <c r="AF7283">
        <v>0.97873671622107805</v>
      </c>
      <c r="AG7283">
        <v>1.903583</v>
      </c>
      <c r="AH7283">
        <v>115.11625542349699</v>
      </c>
      <c r="AI7283">
        <v>89.052667314370794</v>
      </c>
      <c r="AJ7283">
        <v>89.512873905363193</v>
      </c>
      <c r="AK7283">
        <v>115.136153386004</v>
      </c>
      <c r="AL7283">
        <v>87.439945643197404</v>
      </c>
      <c r="AM7283">
        <v>91.303982497565102</v>
      </c>
      <c r="AN7283">
        <v>0.99999995820965504</v>
      </c>
    </row>
    <row r="7284" spans="1:40" x14ac:dyDescent="0.25">
      <c r="A7284" t="str">
        <f>"20190312160514216"</f>
        <v>20190312160514216</v>
      </c>
      <c r="B7284" t="str">
        <f>"1552377914212741"</f>
        <v>1552377914212741</v>
      </c>
      <c r="C7284" t="s">
        <v>40</v>
      </c>
      <c r="D7284">
        <v>6.1511459999999998</v>
      </c>
      <c r="E7284">
        <v>0.52776899999999904</v>
      </c>
      <c r="F7284" t="s">
        <v>54</v>
      </c>
      <c r="G7284">
        <v>-157.3501</v>
      </c>
      <c r="H7284">
        <v>2.9702630000000001</v>
      </c>
      <c r="I7284">
        <v>-60.690919999999998</v>
      </c>
      <c r="J7284">
        <v>-272.15350000000001</v>
      </c>
      <c r="K7284">
        <v>1.1110739999999999</v>
      </c>
      <c r="L7284">
        <v>-68.257170000000002</v>
      </c>
      <c r="M7284">
        <v>0.99717140000000004</v>
      </c>
      <c r="N7284">
        <v>0</v>
      </c>
      <c r="O7284">
        <v>7.3923649999999994E-2</v>
      </c>
      <c r="P7284">
        <v>0.9948593</v>
      </c>
      <c r="Q7284">
        <v>3.1620339999999997E-2</v>
      </c>
      <c r="R7284">
        <v>9.6205579999999999E-2</v>
      </c>
      <c r="S7284">
        <v>2.9948429999999999</v>
      </c>
      <c r="T7284">
        <v>4.8454759999999999E-2</v>
      </c>
      <c r="U7284">
        <v>0.19741819999999999</v>
      </c>
      <c r="V7284">
        <v>-2.2470730000000001E-2</v>
      </c>
      <c r="W7284">
        <v>4.5158579999999997E-2</v>
      </c>
      <c r="X7284">
        <v>0.99872709999999998</v>
      </c>
      <c r="Y7284">
        <v>8.1630560000000001E-3</v>
      </c>
      <c r="Z7284">
        <v>1.259193E-3</v>
      </c>
      <c r="AA7284">
        <v>0.99996589999999996</v>
      </c>
      <c r="AB7284">
        <v>22</v>
      </c>
      <c r="AC7284">
        <v>114.8034</v>
      </c>
      <c r="AD7284">
        <v>1.859189</v>
      </c>
      <c r="AE7284">
        <v>7.5662500000000001</v>
      </c>
      <c r="AF7284">
        <v>0.94167924861677299</v>
      </c>
      <c r="AG7284">
        <v>1.859189</v>
      </c>
      <c r="AH7284">
        <v>115.018570545112</v>
      </c>
      <c r="AI7284">
        <v>89.073968339884601</v>
      </c>
      <c r="AJ7284">
        <v>89.530918869244303</v>
      </c>
      <c r="AK7284">
        <v>115.03745004904199</v>
      </c>
      <c r="AL7284">
        <v>87.4117238040171</v>
      </c>
      <c r="AM7284">
        <v>91.288901450462404</v>
      </c>
      <c r="AN7284">
        <v>1.00000002566437</v>
      </c>
    </row>
    <row r="7285" spans="1:40" x14ac:dyDescent="0.25">
      <c r="A7285" t="str">
        <f>"20190312160514226"</f>
        <v>20190312160514226</v>
      </c>
      <c r="B7285" t="str">
        <f>"1552377914222502"</f>
        <v>1552377914222502</v>
      </c>
      <c r="C7285" t="s">
        <v>40</v>
      </c>
      <c r="D7285">
        <v>5.744523</v>
      </c>
      <c r="E7285">
        <v>0.52541289999999996</v>
      </c>
      <c r="F7285" t="s">
        <v>124</v>
      </c>
      <c r="G7285">
        <v>-247.93950000000001</v>
      </c>
      <c r="H7285" s="1">
        <v>-3.8716809999999901E-6</v>
      </c>
      <c r="I7285">
        <v>-67.68862</v>
      </c>
      <c r="J7285">
        <v>-272.04500000000002</v>
      </c>
      <c r="K7285">
        <v>1.111084</v>
      </c>
      <c r="L7285">
        <v>-68.248379999999997</v>
      </c>
      <c r="M7285">
        <v>0.99712259999999997</v>
      </c>
      <c r="N7285">
        <v>0</v>
      </c>
      <c r="O7285">
        <v>7.4577290000000004E-2</v>
      </c>
      <c r="P7285">
        <v>0.99481379999999997</v>
      </c>
      <c r="Q7285">
        <v>3.1991560000000002E-2</v>
      </c>
      <c r="R7285">
        <v>9.6551120000000004E-2</v>
      </c>
      <c r="S7285">
        <v>3.0130620000000001</v>
      </c>
      <c r="T7285">
        <v>-0.1382563</v>
      </c>
      <c r="U7285">
        <v>7.0739750000000004E-2</v>
      </c>
      <c r="V7285">
        <v>-2.2164610000000001E-2</v>
      </c>
      <c r="W7285">
        <v>4.5532990000000002E-2</v>
      </c>
      <c r="X7285">
        <v>0.99871690000000002</v>
      </c>
      <c r="Y7285">
        <v>5.1025849999999998E-2</v>
      </c>
      <c r="Z7285">
        <v>-4.5868410000000004E-3</v>
      </c>
      <c r="AA7285">
        <v>0.99868679999999999</v>
      </c>
      <c r="AB7285">
        <v>22</v>
      </c>
      <c r="AC7285">
        <v>24.105499999999999</v>
      </c>
      <c r="AD7285">
        <v>-1.111087871681</v>
      </c>
      <c r="AE7285">
        <v>0.55976000000001103</v>
      </c>
      <c r="AF7285">
        <v>1.2370612706006601</v>
      </c>
      <c r="AG7285">
        <v>-1.111087871681</v>
      </c>
      <c r="AH7285">
        <v>24.029085506680801</v>
      </c>
      <c r="AI7285">
        <v>92.643934067841599</v>
      </c>
      <c r="AJ7285">
        <v>87.052910274843796</v>
      </c>
      <c r="AK7285">
        <v>24.086547845907599</v>
      </c>
      <c r="AL7285">
        <v>87.390249495313199</v>
      </c>
      <c r="AM7285">
        <v>91.271361457447895</v>
      </c>
      <c r="AN7285">
        <v>0.99999998473020102</v>
      </c>
    </row>
    <row r="7286" spans="1:40" x14ac:dyDescent="0.25">
      <c r="A7286" t="str">
        <f>"20190312160514238"</f>
        <v>20190312160514238</v>
      </c>
      <c r="B7286" t="str">
        <f>"1552377914232262"</f>
        <v>1552377914232262</v>
      </c>
      <c r="C7286" t="s">
        <v>40</v>
      </c>
      <c r="D7286">
        <v>5.6364939999999999</v>
      </c>
      <c r="E7286">
        <v>0.52413829999999995</v>
      </c>
      <c r="F7286" t="s">
        <v>124</v>
      </c>
      <c r="G7286">
        <v>-247.29470000000001</v>
      </c>
      <c r="H7286" s="1">
        <v>-3.6196660000000002E-6</v>
      </c>
      <c r="I7286">
        <v>-67.504840000000002</v>
      </c>
      <c r="J7286">
        <v>-271.93959999999998</v>
      </c>
      <c r="K7286">
        <v>1.111094</v>
      </c>
      <c r="L7286">
        <v>-68.239779999999996</v>
      </c>
      <c r="M7286">
        <v>0.99707500000000004</v>
      </c>
      <c r="N7286">
        <v>0</v>
      </c>
      <c r="O7286">
        <v>7.5211760000000003E-2</v>
      </c>
      <c r="P7286">
        <v>0.99474220000000002</v>
      </c>
      <c r="Q7286">
        <v>3.2517900000000002E-2</v>
      </c>
      <c r="R7286">
        <v>9.7111649999999994E-2</v>
      </c>
      <c r="S7286">
        <v>3.0111690000000002</v>
      </c>
      <c r="T7286">
        <v>-0.1351773</v>
      </c>
      <c r="U7286">
        <v>9.0454099999999996E-2</v>
      </c>
      <c r="V7286">
        <v>-2.2094550000000001E-2</v>
      </c>
      <c r="W7286">
        <v>4.606126E-2</v>
      </c>
      <c r="X7286">
        <v>0.99869419999999998</v>
      </c>
      <c r="Y7286">
        <v>4.5122959999999997E-2</v>
      </c>
      <c r="Z7286">
        <v>-4.3829999999999997E-3</v>
      </c>
      <c r="AA7286">
        <v>0.99897179999999997</v>
      </c>
      <c r="AB7286">
        <v>22</v>
      </c>
      <c r="AC7286">
        <v>24.6448999999999</v>
      </c>
      <c r="AD7286">
        <v>-1.1110976196660001</v>
      </c>
      <c r="AE7286">
        <v>0.73494000000000803</v>
      </c>
      <c r="AF7286">
        <v>1.1186277930252999</v>
      </c>
      <c r="AG7286">
        <v>-1.1110976196660001</v>
      </c>
      <c r="AH7286">
        <v>24.580446085626399</v>
      </c>
      <c r="AI7286">
        <v>92.585478372819793</v>
      </c>
      <c r="AJ7286">
        <v>87.394332894139694</v>
      </c>
      <c r="AK7286">
        <v>24.630960107720998</v>
      </c>
      <c r="AL7286">
        <v>87.359949988352497</v>
      </c>
      <c r="AM7286">
        <v>91.267372927322398</v>
      </c>
      <c r="AN7286">
        <v>0.99999995696306399</v>
      </c>
    </row>
    <row r="7287" spans="1:40" x14ac:dyDescent="0.25">
      <c r="A7287" t="str">
        <f>"20190312160514248"</f>
        <v>20190312160514248</v>
      </c>
      <c r="B7287" t="str">
        <f>"1552377914242022"</f>
        <v>1552377914242022</v>
      </c>
      <c r="C7287" t="s">
        <v>40</v>
      </c>
      <c r="D7287">
        <v>5.8595430000000004</v>
      </c>
      <c r="E7287">
        <v>0.52320990000000001</v>
      </c>
      <c r="F7287" t="s">
        <v>126</v>
      </c>
      <c r="G7287">
        <v>-239.20169999999999</v>
      </c>
      <c r="H7287" s="1">
        <v>-4.2022750000000004E-6</v>
      </c>
      <c r="I7287">
        <v>-67.130830000000003</v>
      </c>
      <c r="J7287">
        <v>-271.8331</v>
      </c>
      <c r="K7287">
        <v>1.111105</v>
      </c>
      <c r="L7287">
        <v>-68.231049999999996</v>
      </c>
      <c r="M7287">
        <v>0.99702619999999997</v>
      </c>
      <c r="N7287">
        <v>0</v>
      </c>
      <c r="O7287">
        <v>7.5853920000000005E-2</v>
      </c>
      <c r="P7287">
        <v>0.99467890000000003</v>
      </c>
      <c r="Q7287">
        <v>3.3079629999999999E-2</v>
      </c>
      <c r="R7287">
        <v>9.7569649999999994E-2</v>
      </c>
      <c r="S7287">
        <v>3.0092469999999998</v>
      </c>
      <c r="T7287">
        <v>-0.1021314</v>
      </c>
      <c r="U7287">
        <v>0.1019287</v>
      </c>
      <c r="V7287">
        <v>-2.1913490000000001E-2</v>
      </c>
      <c r="W7287">
        <v>4.6625220000000002E-2</v>
      </c>
      <c r="X7287">
        <v>0.99867209999999995</v>
      </c>
      <c r="Y7287">
        <v>4.1994919999999998E-2</v>
      </c>
      <c r="Z7287">
        <v>-3.2827249999999998E-3</v>
      </c>
      <c r="AA7287">
        <v>0.99911240000000001</v>
      </c>
      <c r="AB7287">
        <v>22</v>
      </c>
      <c r="AC7287">
        <v>32.631399999999999</v>
      </c>
      <c r="AD7287">
        <v>-1.111109202275</v>
      </c>
      <c r="AE7287">
        <v>1.10021999999999</v>
      </c>
      <c r="AF7287">
        <v>1.3768044186219901</v>
      </c>
      <c r="AG7287">
        <v>-1.111109202275</v>
      </c>
      <c r="AH7287">
        <v>32.583098608617199</v>
      </c>
      <c r="AI7287">
        <v>91.951334245188605</v>
      </c>
      <c r="AJ7287">
        <v>87.580396394357905</v>
      </c>
      <c r="AK7287">
        <v>32.631096656493</v>
      </c>
      <c r="AL7287">
        <v>87.327602920031893</v>
      </c>
      <c r="AM7287">
        <v>91.257018237086001</v>
      </c>
      <c r="AN7287">
        <v>1.0000000377512099</v>
      </c>
    </row>
    <row r="7288" spans="1:40" x14ac:dyDescent="0.25">
      <c r="A7288" t="str">
        <f>"20190312160514259"</f>
        <v>20190312160514259</v>
      </c>
      <c r="B7288" t="str">
        <f>"1552377914252758"</f>
        <v>1552377914252758</v>
      </c>
      <c r="C7288" t="s">
        <v>40</v>
      </c>
      <c r="D7288">
        <v>5.7732380000000001</v>
      </c>
      <c r="E7288">
        <v>0.52164639999999995</v>
      </c>
      <c r="F7288" t="s">
        <v>126</v>
      </c>
      <c r="G7288">
        <v>-239.51150000000001</v>
      </c>
      <c r="H7288" s="1">
        <v>-4.2920569999999998E-6</v>
      </c>
      <c r="I7288">
        <v>-67.042559999999995</v>
      </c>
      <c r="J7288">
        <v>-271.7296</v>
      </c>
      <c r="K7288">
        <v>1.111119</v>
      </c>
      <c r="L7288">
        <v>-68.222440000000006</v>
      </c>
      <c r="M7288">
        <v>0.99697860000000005</v>
      </c>
      <c r="N7288">
        <v>0</v>
      </c>
      <c r="O7288">
        <v>7.6479050000000007E-2</v>
      </c>
      <c r="P7288">
        <v>0.99460660000000001</v>
      </c>
      <c r="Q7288">
        <v>3.3497399999999997E-2</v>
      </c>
      <c r="R7288">
        <v>9.8162200000000005E-2</v>
      </c>
      <c r="S7288">
        <v>3.008667</v>
      </c>
      <c r="T7288">
        <v>-0.10342800000000001</v>
      </c>
      <c r="U7288">
        <v>0.11062619999999999</v>
      </c>
      <c r="V7288">
        <v>-2.1884009999999999E-2</v>
      </c>
      <c r="W7288">
        <v>4.7044379999999997E-2</v>
      </c>
      <c r="X7288">
        <v>0.99865309999999896</v>
      </c>
      <c r="Y7288">
        <v>3.9729319999999999E-2</v>
      </c>
      <c r="Z7288">
        <v>-3.3072760000000001E-3</v>
      </c>
      <c r="AA7288">
        <v>0.99920500000000001</v>
      </c>
      <c r="AB7288">
        <v>22</v>
      </c>
      <c r="AC7288">
        <v>32.2180999999999</v>
      </c>
      <c r="AD7288">
        <v>-1.111123292057</v>
      </c>
      <c r="AE7288">
        <v>1.17988000000001</v>
      </c>
      <c r="AF7288">
        <v>1.2862856102020901</v>
      </c>
      <c r="AG7288">
        <v>-1.111123292057</v>
      </c>
      <c r="AH7288">
        <v>32.175747950969999</v>
      </c>
      <c r="AI7288">
        <v>91.976228712113695</v>
      </c>
      <c r="AJ7288">
        <v>87.710713240132506</v>
      </c>
      <c r="AK7288">
        <v>32.220612685756301</v>
      </c>
      <c r="AL7288">
        <v>87.303560468753702</v>
      </c>
      <c r="AM7288">
        <v>91.255351600199106</v>
      </c>
      <c r="AN7288">
        <v>1.00000004886143</v>
      </c>
    </row>
    <row r="7289" spans="1:40" x14ac:dyDescent="0.25">
      <c r="A7289" t="str">
        <f>"20190312160514271"</f>
        <v>20190312160514271</v>
      </c>
      <c r="B7289" t="str">
        <f>"1552377914262518"</f>
        <v>1552377914262518</v>
      </c>
      <c r="C7289" t="s">
        <v>40</v>
      </c>
      <c r="D7289">
        <v>5.8716569999999999</v>
      </c>
      <c r="E7289">
        <v>0.52164639999999995</v>
      </c>
      <c r="F7289" t="s">
        <v>124</v>
      </c>
      <c r="G7289">
        <v>-249.80969999999999</v>
      </c>
      <c r="H7289" s="1">
        <v>-4.4408620000000003E-6</v>
      </c>
      <c r="I7289">
        <v>-67.309359999999998</v>
      </c>
      <c r="J7289">
        <v>-271.62259999999998</v>
      </c>
      <c r="K7289">
        <v>1.11113</v>
      </c>
      <c r="L7289">
        <v>-68.213530000000006</v>
      </c>
      <c r="M7289">
        <v>0.9969287</v>
      </c>
      <c r="N7289">
        <v>0</v>
      </c>
      <c r="O7289">
        <v>7.7126360000000005E-2</v>
      </c>
      <c r="P7289">
        <v>0.99453769999999997</v>
      </c>
      <c r="Q7289">
        <v>3.4023240000000003E-2</v>
      </c>
      <c r="R7289">
        <v>9.8679589999999998E-2</v>
      </c>
      <c r="S7289">
        <v>3.0090330000000001</v>
      </c>
      <c r="T7289">
        <v>-0.15252839999999901</v>
      </c>
      <c r="U7289">
        <v>0.12533569999999999</v>
      </c>
      <c r="V7289">
        <v>-2.1757749999999999E-2</v>
      </c>
      <c r="W7289">
        <v>4.7571639999999998E-2</v>
      </c>
      <c r="X7289">
        <v>0.99863080000000004</v>
      </c>
      <c r="Y7289">
        <v>3.5429580000000002E-2</v>
      </c>
      <c r="Z7289">
        <v>-4.798231E-3</v>
      </c>
      <c r="AA7289">
        <v>0.99936069999999999</v>
      </c>
      <c r="AB7289">
        <v>22</v>
      </c>
      <c r="AC7289">
        <v>21.8128999999999</v>
      </c>
      <c r="AD7289">
        <v>-1.1111344408620001</v>
      </c>
      <c r="AE7289">
        <v>0.90417000000000702</v>
      </c>
      <c r="AF7289">
        <v>0.77901076182805395</v>
      </c>
      <c r="AG7289">
        <v>-1.1111344408620001</v>
      </c>
      <c r="AH7289">
        <v>21.761286585468898</v>
      </c>
      <c r="AI7289">
        <v>92.921124474489503</v>
      </c>
      <c r="AJ7289">
        <v>87.9498005696245</v>
      </c>
      <c r="AK7289">
        <v>21.803556392653501</v>
      </c>
      <c r="AL7289">
        <v>87.273316613297993</v>
      </c>
      <c r="AM7289">
        <v>91.248138997330898</v>
      </c>
      <c r="AN7289">
        <v>0.99999996766299504</v>
      </c>
    </row>
    <row r="7290" spans="1:40" x14ac:dyDescent="0.25">
      <c r="A7290" t="str">
        <f>"20190312160514282"</f>
        <v>20190312160514282</v>
      </c>
      <c r="B7290" t="str">
        <f>"1552377914272278"</f>
        <v>1552377914272278</v>
      </c>
      <c r="C7290" t="s">
        <v>40</v>
      </c>
      <c r="D7290">
        <v>5.3148629999999999</v>
      </c>
      <c r="E7290">
        <v>0.47918189999999999</v>
      </c>
      <c r="F7290" t="s">
        <v>124</v>
      </c>
      <c r="G7290">
        <v>-249.4709</v>
      </c>
      <c r="H7290" s="1">
        <v>-4.3202219999999999E-6</v>
      </c>
      <c r="I7290">
        <v>-67.279340000000005</v>
      </c>
      <c r="J7290">
        <v>-271.51490000000001</v>
      </c>
      <c r="K7290">
        <v>1.11114</v>
      </c>
      <c r="L7290">
        <v>-68.204440000000005</v>
      </c>
      <c r="M7290">
        <v>0.99687789999999998</v>
      </c>
      <c r="N7290">
        <v>0</v>
      </c>
      <c r="O7290">
        <v>7.7779870000000001E-2</v>
      </c>
      <c r="P7290">
        <v>0.99445919999999999</v>
      </c>
      <c r="Q7290">
        <v>3.4559779999999998E-2</v>
      </c>
      <c r="R7290">
        <v>9.9281359999999999E-2</v>
      </c>
      <c r="S7290">
        <v>3.009064</v>
      </c>
      <c r="T7290">
        <v>-0.15093489999999901</v>
      </c>
      <c r="U7290">
        <v>0.12689210000000001</v>
      </c>
      <c r="V7290">
        <v>-2.1710520000000001E-2</v>
      </c>
      <c r="W7290">
        <v>4.8109369999999999E-2</v>
      </c>
      <c r="X7290">
        <v>0.99860610000000005</v>
      </c>
      <c r="Y7290">
        <v>3.5571150000000003E-2</v>
      </c>
      <c r="Z7290">
        <v>-4.784244E-3</v>
      </c>
      <c r="AA7290">
        <v>0.99935569999999896</v>
      </c>
      <c r="AB7290">
        <v>22</v>
      </c>
      <c r="AC7290">
        <v>22.044</v>
      </c>
      <c r="AD7290">
        <v>-1.1111443202219999</v>
      </c>
      <c r="AE7290">
        <v>0.92510000000000003</v>
      </c>
      <c r="AF7290">
        <v>0.79043615019953295</v>
      </c>
      <c r="AG7290">
        <v>-1.1111443202219999</v>
      </c>
      <c r="AH7290">
        <v>21.993386183080901</v>
      </c>
      <c r="AI7290">
        <v>92.890360955296998</v>
      </c>
      <c r="AJ7290">
        <v>87.941691612756202</v>
      </c>
      <c r="AK7290">
        <v>22.035618139867001</v>
      </c>
      <c r="AL7290">
        <v>87.242471725302707</v>
      </c>
      <c r="AM7290">
        <v>91.245461285725398</v>
      </c>
      <c r="AN7290">
        <v>1.0000000005588301</v>
      </c>
    </row>
    <row r="7291" spans="1:40" x14ac:dyDescent="0.25">
      <c r="A7291" t="str">
        <f>"20190312160514293"</f>
        <v>20190312160514293</v>
      </c>
      <c r="B7291" t="str">
        <f>"1552377914282038"</f>
        <v>1552377914282038</v>
      </c>
      <c r="C7291" t="s">
        <v>40</v>
      </c>
      <c r="D7291">
        <v>5.3629569999999998</v>
      </c>
      <c r="E7291">
        <v>0.47918189999999999</v>
      </c>
      <c r="F7291" t="s">
        <v>49</v>
      </c>
      <c r="G7291">
        <v>-270.79919999999998</v>
      </c>
      <c r="H7291">
        <v>0.91799240000000004</v>
      </c>
      <c r="I7291">
        <v>-68.091669999999993</v>
      </c>
      <c r="J7291">
        <v>-271.40699999999998</v>
      </c>
      <c r="K7291">
        <v>1.1111500000000001</v>
      </c>
      <c r="L7291">
        <v>-68.195279999999997</v>
      </c>
      <c r="M7291">
        <v>0.9968264</v>
      </c>
      <c r="N7291">
        <v>0</v>
      </c>
      <c r="O7291">
        <v>7.8435770000000002E-2</v>
      </c>
      <c r="P7291">
        <v>0.99436429999999998</v>
      </c>
      <c r="Q7291">
        <v>3.5008079999999997E-2</v>
      </c>
      <c r="R7291">
        <v>0.1000708</v>
      </c>
      <c r="S7291">
        <v>2.9976500000000001</v>
      </c>
      <c r="T7291">
        <v>-0.80906460000000002</v>
      </c>
      <c r="U7291">
        <v>0.47268680000000002</v>
      </c>
      <c r="V7291">
        <v>-2.1848139999999999E-2</v>
      </c>
      <c r="W7291">
        <v>4.8558520000000001E-2</v>
      </c>
      <c r="X7291">
        <v>0.99858130000000001</v>
      </c>
      <c r="Y7291">
        <v>-7.7813240000000006E-2</v>
      </c>
      <c r="Z7291">
        <v>-1.037485E-2</v>
      </c>
      <c r="AA7291">
        <v>0.99691399999999997</v>
      </c>
      <c r="AB7291">
        <v>22</v>
      </c>
      <c r="AC7291">
        <v>0.60779999999999701</v>
      </c>
      <c r="AD7291">
        <v>-0.19315760000000001</v>
      </c>
      <c r="AE7291">
        <v>0.10361000000001699</v>
      </c>
      <c r="AF7291">
        <v>-5.0642799876743597E-2</v>
      </c>
      <c r="AG7291">
        <v>-0.19315760000000001</v>
      </c>
      <c r="AH7291">
        <v>0.55917515415013097</v>
      </c>
      <c r="AI7291">
        <v>108.98450082262001</v>
      </c>
      <c r="AJ7291">
        <v>95.1749869447695</v>
      </c>
      <c r="AK7291">
        <v>0.59376039328666796</v>
      </c>
      <c r="AL7291">
        <v>87.216707049590397</v>
      </c>
      <c r="AM7291">
        <v>91.253384700510907</v>
      </c>
      <c r="AN7291">
        <v>0.99999994189786801</v>
      </c>
    </row>
    <row r="7292" spans="1:40" x14ac:dyDescent="0.25">
      <c r="A7292" t="str">
        <f>"20190312160514304"</f>
        <v>20190312160514304</v>
      </c>
      <c r="B7292" t="str">
        <f>"1552377914302534"</f>
        <v>1552377914302534</v>
      </c>
      <c r="C7292" t="s">
        <v>40</v>
      </c>
      <c r="D7292">
        <v>5.850625</v>
      </c>
      <c r="E7292">
        <v>0.4646922</v>
      </c>
      <c r="F7292" t="s">
        <v>49</v>
      </c>
      <c r="G7292">
        <v>-270.61579999999998</v>
      </c>
      <c r="H7292">
        <v>0.8979857</v>
      </c>
      <c r="I7292">
        <v>-68.070139999999995</v>
      </c>
      <c r="J7292">
        <v>-271.2996</v>
      </c>
      <c r="K7292">
        <v>1.1111580000000001</v>
      </c>
      <c r="L7292">
        <v>-68.186130000000006</v>
      </c>
      <c r="M7292">
        <v>0.99677470000000001</v>
      </c>
      <c r="N7292">
        <v>0</v>
      </c>
      <c r="O7292">
        <v>7.9090110000000005E-2</v>
      </c>
      <c r="P7292">
        <v>0.9942706</v>
      </c>
      <c r="Q7292">
        <v>3.5595170000000002E-2</v>
      </c>
      <c r="R7292">
        <v>0.1007932</v>
      </c>
      <c r="S7292">
        <v>2.99762</v>
      </c>
      <c r="T7292">
        <v>-0.80773039999999996</v>
      </c>
      <c r="U7292">
        <v>0.47509770000000001</v>
      </c>
      <c r="V7292">
        <v>-2.1921309999999999E-2</v>
      </c>
      <c r="W7292">
        <v>4.9146219999999997E-2</v>
      </c>
      <c r="X7292">
        <v>0.99855099999999997</v>
      </c>
      <c r="Y7292">
        <v>-7.7960050000000003E-2</v>
      </c>
      <c r="Z7292">
        <v>-1.0509610000000001E-2</v>
      </c>
      <c r="AA7292">
        <v>0.99690109999999998</v>
      </c>
      <c r="AB7292">
        <v>22</v>
      </c>
      <c r="AC7292">
        <v>0.68380000000001895</v>
      </c>
      <c r="AD7292">
        <v>-0.21317230000000001</v>
      </c>
      <c r="AE7292">
        <v>0.115989999999996</v>
      </c>
      <c r="AF7292">
        <v>-5.6228032295898497E-2</v>
      </c>
      <c r="AG7292">
        <v>-0.21317230000000001</v>
      </c>
      <c r="AH7292">
        <v>0.63120366156285201</v>
      </c>
      <c r="AI7292">
        <v>108.59249820821201</v>
      </c>
      <c r="AJ7292">
        <v>95.090508632467703</v>
      </c>
      <c r="AK7292">
        <v>0.66859710100591196</v>
      </c>
      <c r="AL7292">
        <v>87.1829942204334</v>
      </c>
      <c r="AM7292">
        <v>91.257619121067194</v>
      </c>
      <c r="AN7292">
        <v>0.99999999718670196</v>
      </c>
    </row>
    <row r="7293" spans="1:40" x14ac:dyDescent="0.25">
      <c r="A7293" t="str">
        <f>"20190312160514317"</f>
        <v>20190312160514317</v>
      </c>
      <c r="B7293" t="str">
        <f>"1552377914312294"</f>
        <v>1552377914312294</v>
      </c>
      <c r="C7293" t="s">
        <v>40</v>
      </c>
      <c r="D7293">
        <v>6.057207</v>
      </c>
      <c r="E7293">
        <v>0.46210289999999998</v>
      </c>
      <c r="F7293" t="s">
        <v>49</v>
      </c>
      <c r="G7293">
        <v>-270.6078</v>
      </c>
      <c r="H7293">
        <v>0.91806259999999995</v>
      </c>
      <c r="I7293">
        <v>-68.049189999999996</v>
      </c>
      <c r="J7293">
        <v>-271.18740000000003</v>
      </c>
      <c r="K7293">
        <v>1.111167</v>
      </c>
      <c r="L7293">
        <v>-68.176450000000003</v>
      </c>
      <c r="M7293">
        <v>0.9967201</v>
      </c>
      <c r="N7293">
        <v>0</v>
      </c>
      <c r="O7293">
        <v>7.9776100000000003E-2</v>
      </c>
      <c r="P7293">
        <v>0.99417469999999997</v>
      </c>
      <c r="Q7293">
        <v>3.6069110000000001E-2</v>
      </c>
      <c r="R7293">
        <v>0.10156709999999999</v>
      </c>
      <c r="S7293">
        <v>2.9871219999999998</v>
      </c>
      <c r="T7293">
        <v>-0.83386610000000005</v>
      </c>
      <c r="U7293">
        <v>0.59237669999999998</v>
      </c>
      <c r="V7293">
        <v>-2.2014120000000002E-2</v>
      </c>
      <c r="W7293">
        <v>4.9621060000000002E-2</v>
      </c>
      <c r="X7293">
        <v>0.99852549999999995</v>
      </c>
      <c r="Y7293">
        <v>-0.1143697</v>
      </c>
      <c r="Z7293">
        <v>-6.0745919999999898E-3</v>
      </c>
      <c r="AA7293">
        <v>0.99341970000000002</v>
      </c>
      <c r="AB7293">
        <v>22</v>
      </c>
      <c r="AC7293">
        <v>0.57960000000002698</v>
      </c>
      <c r="AD7293">
        <v>-0.19310439999999901</v>
      </c>
      <c r="AE7293">
        <v>0.12726000000000601</v>
      </c>
      <c r="AF7293">
        <v>-7.2892766100242604E-2</v>
      </c>
      <c r="AG7293">
        <v>-0.19310439999999901</v>
      </c>
      <c r="AH7293">
        <v>0.531610188602891</v>
      </c>
      <c r="AI7293">
        <v>109.792641012744</v>
      </c>
      <c r="AJ7293">
        <v>97.807535324181302</v>
      </c>
      <c r="AK7293">
        <v>0.57027366875519103</v>
      </c>
      <c r="AL7293">
        <v>87.155754729096003</v>
      </c>
      <c r="AM7293">
        <v>91.262974124781095</v>
      </c>
      <c r="AN7293">
        <v>1.00000002261257</v>
      </c>
    </row>
    <row r="7294" spans="1:40" x14ac:dyDescent="0.25">
      <c r="A7294" t="str">
        <f>"20190312160514327"</f>
        <v>20190312160514327</v>
      </c>
      <c r="B7294" t="str">
        <f>"1552377914322053"</f>
        <v>1552377914322053</v>
      </c>
      <c r="C7294" t="s">
        <v>40</v>
      </c>
      <c r="D7294">
        <v>5.5827910000000003</v>
      </c>
      <c r="E7294">
        <v>0.46170800000000001</v>
      </c>
      <c r="F7294" t="s">
        <v>49</v>
      </c>
      <c r="G7294">
        <v>-270.4203</v>
      </c>
      <c r="H7294">
        <v>0.90791639999999996</v>
      </c>
      <c r="I7294">
        <v>-68.018709999999999</v>
      </c>
      <c r="J7294">
        <v>-271.07639999999998</v>
      </c>
      <c r="K7294">
        <v>1.111175</v>
      </c>
      <c r="L7294">
        <v>-68.166809999999998</v>
      </c>
      <c r="M7294">
        <v>0.99666540000000003</v>
      </c>
      <c r="N7294">
        <v>0</v>
      </c>
      <c r="O7294">
        <v>8.0455529999999997E-2</v>
      </c>
      <c r="P7294">
        <v>0.99406190000000005</v>
      </c>
      <c r="Q7294">
        <v>3.7053160000000002E-2</v>
      </c>
      <c r="R7294">
        <v>0.1023148</v>
      </c>
      <c r="S7294">
        <v>2.9835509999999998</v>
      </c>
      <c r="T7294">
        <v>-0.79067710000000002</v>
      </c>
      <c r="U7294">
        <v>0.61428830000000001</v>
      </c>
      <c r="V7294">
        <v>-2.208968E-2</v>
      </c>
      <c r="W7294">
        <v>5.0604959999999997E-2</v>
      </c>
      <c r="X7294">
        <v>0.99847439999999998</v>
      </c>
      <c r="Y7294">
        <v>-0.12086040000000001</v>
      </c>
      <c r="Z7294">
        <v>-5.1085269999999999E-3</v>
      </c>
      <c r="AA7294">
        <v>0.99265639999999999</v>
      </c>
      <c r="AB7294">
        <v>22</v>
      </c>
      <c r="AC7294">
        <v>0.65609999999998003</v>
      </c>
      <c r="AD7294">
        <v>-0.20325860000000001</v>
      </c>
      <c r="AE7294">
        <v>0.14809999999999901</v>
      </c>
      <c r="AF7294">
        <v>-8.6892833718007198E-2</v>
      </c>
      <c r="AG7294">
        <v>-0.20325860000000001</v>
      </c>
      <c r="AH7294">
        <v>0.61016761955253396</v>
      </c>
      <c r="AI7294">
        <v>108.252140297249</v>
      </c>
      <c r="AJ7294">
        <v>98.104889130975394</v>
      </c>
      <c r="AK7294">
        <v>0.64897530536678405</v>
      </c>
      <c r="AL7294">
        <v>87.099310343649606</v>
      </c>
      <c r="AM7294">
        <v>91.267372510455601</v>
      </c>
      <c r="AN7294">
        <v>0.99999997169723098</v>
      </c>
    </row>
    <row r="7295" spans="1:40" x14ac:dyDescent="0.25">
      <c r="A7295" t="str">
        <f>"20190312160514351"</f>
        <v>20190312160514351</v>
      </c>
      <c r="B7295" t="str">
        <f>"1552377914342550"</f>
        <v>1552377914342550</v>
      </c>
      <c r="C7295" t="s">
        <v>40</v>
      </c>
      <c r="D7295">
        <v>5.652609</v>
      </c>
      <c r="E7295">
        <v>0.4476967</v>
      </c>
      <c r="F7295" t="s">
        <v>49</v>
      </c>
      <c r="G7295">
        <v>-270.22829999999999</v>
      </c>
      <c r="H7295">
        <v>0.90437109999999998</v>
      </c>
      <c r="I7295">
        <v>-67.990979999999993</v>
      </c>
      <c r="J7295">
        <v>-270.84969999999998</v>
      </c>
      <c r="K7295">
        <v>1.111178</v>
      </c>
      <c r="L7295">
        <v>-68.146879999999996</v>
      </c>
      <c r="M7295">
        <v>0.99655210000000005</v>
      </c>
      <c r="N7295">
        <v>0</v>
      </c>
      <c r="O7295">
        <v>8.1847340000000005E-2</v>
      </c>
      <c r="P7295">
        <v>0.9938939</v>
      </c>
      <c r="Q7295">
        <v>3.7531929999999998E-2</v>
      </c>
      <c r="R7295">
        <v>0.1037613</v>
      </c>
      <c r="S7295">
        <v>2.9813540000000001</v>
      </c>
      <c r="T7295">
        <v>-0.72707440000000001</v>
      </c>
      <c r="U7295">
        <v>0.61889649999999996</v>
      </c>
      <c r="V7295">
        <v>-2.215056E-2</v>
      </c>
      <c r="W7295">
        <v>5.1084499999999998E-2</v>
      </c>
      <c r="X7295">
        <v>0.99844869999999997</v>
      </c>
      <c r="Y7295">
        <v>-0.1213188</v>
      </c>
      <c r="Z7295">
        <v>-4.9860920000000001E-3</v>
      </c>
      <c r="AA7295">
        <v>0.99260110000000001</v>
      </c>
      <c r="AB7295">
        <v>22</v>
      </c>
      <c r="AC7295">
        <v>0.62139999999999396</v>
      </c>
      <c r="AD7295">
        <v>-0.20680689999999999</v>
      </c>
      <c r="AE7295">
        <v>0.15590000000000201</v>
      </c>
      <c r="AF7295">
        <v>-9.4649500516139795E-2</v>
      </c>
      <c r="AG7295">
        <v>-0.20680689999999999</v>
      </c>
      <c r="AH7295">
        <v>0.57242762742321096</v>
      </c>
      <c r="AI7295">
        <v>109.61814029733701</v>
      </c>
      <c r="AJ7295">
        <v>99.388768885157702</v>
      </c>
      <c r="AK7295">
        <v>0.61595536402643003</v>
      </c>
      <c r="AL7295">
        <v>87.071799340837103</v>
      </c>
      <c r="AM7295">
        <v>91.270896994666302</v>
      </c>
      <c r="AN7295">
        <v>1.0000000399901201</v>
      </c>
    </row>
    <row r="7296" spans="1:40" x14ac:dyDescent="0.25">
      <c r="A7296" t="str">
        <f>"20190312160514360"</f>
        <v>20190312160514360</v>
      </c>
      <c r="B7296" t="str">
        <f>"1552377914352310"</f>
        <v>1552377914352310</v>
      </c>
      <c r="C7296" t="s">
        <v>40</v>
      </c>
      <c r="D7296">
        <v>5.7437360000000002</v>
      </c>
      <c r="E7296">
        <v>0.45014700000000002</v>
      </c>
      <c r="F7296" t="s">
        <v>121</v>
      </c>
      <c r="G7296">
        <v>-257.7106</v>
      </c>
      <c r="H7296" s="1">
        <v>-3.2506330000000001E-6</v>
      </c>
      <c r="I7296">
        <v>-64.899249999999995</v>
      </c>
      <c r="J7296">
        <v>-270.75959999999998</v>
      </c>
      <c r="K7296">
        <v>1.1111819999999999</v>
      </c>
      <c r="L7296">
        <v>-68.138819999999996</v>
      </c>
      <c r="M7296">
        <v>0.99650629999999996</v>
      </c>
      <c r="N7296">
        <v>0</v>
      </c>
      <c r="O7296">
        <v>8.2402130000000004E-2</v>
      </c>
      <c r="P7296">
        <v>0.99384349999999999</v>
      </c>
      <c r="Q7296">
        <v>3.8399830000000003E-2</v>
      </c>
      <c r="R7296">
        <v>0.1039268</v>
      </c>
      <c r="S7296">
        <v>2.951721</v>
      </c>
      <c r="T7296">
        <v>-0.24962780000000001</v>
      </c>
      <c r="U7296">
        <v>0.72958369999999995</v>
      </c>
      <c r="V7296">
        <v>-2.1765369999999999E-2</v>
      </c>
      <c r="W7296">
        <v>5.1953109999999997E-2</v>
      </c>
      <c r="X7296">
        <v>0.99841230000000003</v>
      </c>
      <c r="Y7296">
        <v>-0.1588764</v>
      </c>
      <c r="Z7296">
        <v>-2.2423310000000001E-4</v>
      </c>
      <c r="AA7296">
        <v>0.98729849999999997</v>
      </c>
      <c r="AB7296">
        <v>22</v>
      </c>
      <c r="AC7296">
        <v>13.0489999999999</v>
      </c>
      <c r="AD7296">
        <v>-1.111185250633</v>
      </c>
      <c r="AE7296">
        <v>3.2395700000000001</v>
      </c>
      <c r="AF7296">
        <v>-2.1385785247982998</v>
      </c>
      <c r="AG7296">
        <v>-1.111185250633</v>
      </c>
      <c r="AH7296">
        <v>13.181551649808201</v>
      </c>
      <c r="AI7296">
        <v>94.756652341378498</v>
      </c>
      <c r="AJ7296">
        <v>99.215387178733494</v>
      </c>
      <c r="AK7296">
        <v>13.4000580097444</v>
      </c>
      <c r="AL7296">
        <v>87.021965323719201</v>
      </c>
      <c r="AM7296">
        <v>91.248849143426398</v>
      </c>
      <c r="AN7296">
        <v>0.99999998888059904</v>
      </c>
    </row>
    <row r="7297" spans="1:40" x14ac:dyDescent="0.25">
      <c r="A7297" t="str">
        <f>"20190312160514370"</f>
        <v>20190312160514370</v>
      </c>
      <c r="B7297" t="str">
        <f>"1552377914362071"</f>
        <v>1552377914362071</v>
      </c>
      <c r="C7297" t="s">
        <v>40</v>
      </c>
      <c r="D7297">
        <v>5.6021609999999997</v>
      </c>
      <c r="E7297">
        <v>0.45370149999999998</v>
      </c>
      <c r="F7297" t="s">
        <v>121</v>
      </c>
      <c r="G7297">
        <v>-254.61779999999999</v>
      </c>
      <c r="H7297" s="1">
        <v>-1.9783720000000001E-6</v>
      </c>
      <c r="I7297">
        <v>-64.256450000000001</v>
      </c>
      <c r="J7297">
        <v>-270.6653</v>
      </c>
      <c r="K7297">
        <v>1.1111819999999999</v>
      </c>
      <c r="L7297">
        <v>-68.130430000000004</v>
      </c>
      <c r="M7297">
        <v>0.99645810000000001</v>
      </c>
      <c r="N7297">
        <v>0</v>
      </c>
      <c r="O7297">
        <v>8.2981769999999996E-2</v>
      </c>
      <c r="P7297">
        <v>0.99381739999999996</v>
      </c>
      <c r="Q7297">
        <v>3.8225000000000002E-2</v>
      </c>
      <c r="R7297">
        <v>0.10423839999999999</v>
      </c>
      <c r="S7297">
        <v>2.9521790000000001</v>
      </c>
      <c r="T7297">
        <v>-0.20322599999999999</v>
      </c>
      <c r="U7297">
        <v>0.71005249999999998</v>
      </c>
      <c r="V7297">
        <v>-2.1497059999999998E-2</v>
      </c>
      <c r="W7297">
        <v>5.1779289999999999E-2</v>
      </c>
      <c r="X7297">
        <v>0.99842719999999896</v>
      </c>
      <c r="Y7297">
        <v>-0.152199799999999</v>
      </c>
      <c r="Z7297">
        <v>-4.484542E-4</v>
      </c>
      <c r="AA7297">
        <v>0.9883497</v>
      </c>
      <c r="AB7297">
        <v>22</v>
      </c>
      <c r="AC7297">
        <v>16.047499999999999</v>
      </c>
      <c r="AD7297">
        <v>-1.1111839783719999</v>
      </c>
      <c r="AE7297">
        <v>3.87398</v>
      </c>
      <c r="AF7297">
        <v>-2.5174375266043501</v>
      </c>
      <c r="AG7297">
        <v>-1.1111839783719999</v>
      </c>
      <c r="AH7297">
        <v>16.2400648825869</v>
      </c>
      <c r="AI7297">
        <v>93.8681572360762</v>
      </c>
      <c r="AJ7297">
        <v>98.8115166811085</v>
      </c>
      <c r="AK7297">
        <v>16.471549074837402</v>
      </c>
      <c r="AL7297">
        <v>87.0319380688222</v>
      </c>
      <c r="AM7297">
        <v>91.233440488707501</v>
      </c>
      <c r="AN7297">
        <v>1.0000000460806899</v>
      </c>
    </row>
    <row r="7298" spans="1:40" x14ac:dyDescent="0.25">
      <c r="A7298" t="str">
        <f>"20190312160514380"</f>
        <v>20190312160514380</v>
      </c>
      <c r="B7298" t="str">
        <f>"1552377914372805"</f>
        <v>1552377914372805</v>
      </c>
      <c r="C7298" t="s">
        <v>40</v>
      </c>
      <c r="D7298">
        <v>5.6793380000000004</v>
      </c>
      <c r="E7298">
        <v>0.45747690000000002</v>
      </c>
      <c r="F7298" t="s">
        <v>121</v>
      </c>
      <c r="G7298">
        <v>-251.96690000000001</v>
      </c>
      <c r="H7298" s="1">
        <v>-7.4180619999999902E-7</v>
      </c>
      <c r="I7298">
        <v>-63.809699999999999</v>
      </c>
      <c r="J7298">
        <v>-270.56220000000002</v>
      </c>
      <c r="K7298">
        <v>1.111181</v>
      </c>
      <c r="L7298">
        <v>-68.12115</v>
      </c>
      <c r="M7298">
        <v>0.99640510000000004</v>
      </c>
      <c r="N7298">
        <v>0</v>
      </c>
      <c r="O7298">
        <v>8.3616699999999905E-2</v>
      </c>
      <c r="P7298">
        <v>0.99375880000000005</v>
      </c>
      <c r="Q7298">
        <v>3.8077359999999998E-2</v>
      </c>
      <c r="R7298">
        <v>0.10485070000000001</v>
      </c>
      <c r="S7298">
        <v>2.953827</v>
      </c>
      <c r="T7298">
        <v>-0.175536</v>
      </c>
      <c r="U7298">
        <v>0.68255619999999995</v>
      </c>
      <c r="V7298">
        <v>-2.1474839999999999E-2</v>
      </c>
      <c r="W7298">
        <v>5.1631669999999998E-2</v>
      </c>
      <c r="X7298">
        <v>0.99843530000000003</v>
      </c>
      <c r="Y7298">
        <v>-0.1427776</v>
      </c>
      <c r="Z7298">
        <v>-7.0113830000000002E-4</v>
      </c>
      <c r="AA7298">
        <v>0.98975460000000004</v>
      </c>
      <c r="AB7298">
        <v>22</v>
      </c>
      <c r="AC7298">
        <v>18.595300000000002</v>
      </c>
      <c r="AD7298">
        <v>-1.1111817418062</v>
      </c>
      <c r="AE7298">
        <v>4.3114499999999998</v>
      </c>
      <c r="AF7298">
        <v>-2.7320689537673699</v>
      </c>
      <c r="AG7298">
        <v>-1.1111817418062</v>
      </c>
      <c r="AH7298">
        <v>18.826912340336499</v>
      </c>
      <c r="AI7298">
        <v>93.342798397147604</v>
      </c>
      <c r="AJ7298">
        <v>98.256845134731904</v>
      </c>
      <c r="AK7298">
        <v>19.0565357266786</v>
      </c>
      <c r="AL7298">
        <v>87.040407332384504</v>
      </c>
      <c r="AM7298">
        <v>91.232155968113702</v>
      </c>
      <c r="AN7298">
        <v>1.0000000231930499</v>
      </c>
    </row>
    <row r="7299" spans="1:40" x14ac:dyDescent="0.25">
      <c r="A7299" t="str">
        <f>"20190312160514393"</f>
        <v>20190312160514393</v>
      </c>
      <c r="B7299" t="str">
        <f>"1552377914382566"</f>
        <v>1552377914382566</v>
      </c>
      <c r="C7299" t="s">
        <v>40</v>
      </c>
      <c r="D7299">
        <v>7.8019600000000002</v>
      </c>
      <c r="E7299">
        <v>0.45881729999999998</v>
      </c>
      <c r="F7299" t="s">
        <v>121</v>
      </c>
      <c r="G7299">
        <v>-253.0333</v>
      </c>
      <c r="H7299" s="1">
        <v>-1.295434E-6</v>
      </c>
      <c r="I7299">
        <v>-64.242130000000003</v>
      </c>
      <c r="J7299">
        <v>-270.4538</v>
      </c>
      <c r="K7299">
        <v>1.111181</v>
      </c>
      <c r="L7299">
        <v>-68.1113</v>
      </c>
      <c r="M7299">
        <v>0.99634889999999998</v>
      </c>
      <c r="N7299">
        <v>0</v>
      </c>
      <c r="O7299">
        <v>8.4283529999999995E-2</v>
      </c>
      <c r="P7299">
        <v>0.9937243</v>
      </c>
      <c r="Q7299">
        <v>3.7937600000000002E-2</v>
      </c>
      <c r="R7299">
        <v>0.1052271</v>
      </c>
      <c r="S7299">
        <v>2.9569700000000001</v>
      </c>
      <c r="T7299">
        <v>-0.1874468</v>
      </c>
      <c r="U7299">
        <v>0.65435790000000005</v>
      </c>
      <c r="V7299">
        <v>-2.1184100000000001E-2</v>
      </c>
      <c r="W7299">
        <v>5.14931E-2</v>
      </c>
      <c r="X7299">
        <v>0.99844869999999997</v>
      </c>
      <c r="Y7299">
        <v>-0.1329041</v>
      </c>
      <c r="Z7299">
        <v>-1.0994760000000001E-3</v>
      </c>
      <c r="AA7299">
        <v>0.99112829999999996</v>
      </c>
      <c r="AB7299">
        <v>22</v>
      </c>
      <c r="AC7299">
        <v>17.420500000000001</v>
      </c>
      <c r="AD7299">
        <v>-1.111182295434</v>
      </c>
      <c r="AE7299">
        <v>3.8691699999999898</v>
      </c>
      <c r="AF7299">
        <v>-2.3777834889353602</v>
      </c>
      <c r="AG7299">
        <v>-1.111182295434</v>
      </c>
      <c r="AH7299">
        <v>17.616335566872198</v>
      </c>
      <c r="AI7299">
        <v>93.576902971233494</v>
      </c>
      <c r="AJ7299">
        <v>97.687100408130206</v>
      </c>
      <c r="AK7299">
        <v>17.8107792984637</v>
      </c>
      <c r="AL7299">
        <v>87.048357480605503</v>
      </c>
      <c r="AM7299">
        <v>91.215462990354396</v>
      </c>
      <c r="AN7299">
        <v>1.00000005598605</v>
      </c>
    </row>
    <row r="7300" spans="1:40" x14ac:dyDescent="0.25">
      <c r="A7300" t="str">
        <f>"20190312160514404"</f>
        <v>20190312160514404</v>
      </c>
      <c r="B7300" t="str">
        <f>"1552377914392326"</f>
        <v>1552377914392326</v>
      </c>
      <c r="C7300" t="s">
        <v>40</v>
      </c>
      <c r="D7300">
        <v>5.6211129999999896</v>
      </c>
      <c r="E7300">
        <v>0.46010010000000001</v>
      </c>
      <c r="F7300" t="s">
        <v>121</v>
      </c>
      <c r="G7300">
        <v>-250.9571</v>
      </c>
      <c r="H7300" s="1">
        <v>-3.1990159999999998E-7</v>
      </c>
      <c r="I7300">
        <v>-63.860599999999998</v>
      </c>
      <c r="J7300">
        <v>-270.3467</v>
      </c>
      <c r="K7300">
        <v>1.1111799999999901</v>
      </c>
      <c r="L7300">
        <v>-68.101500000000001</v>
      </c>
      <c r="M7300">
        <v>0.99629310000000004</v>
      </c>
      <c r="N7300">
        <v>0</v>
      </c>
      <c r="O7300">
        <v>8.49414E-2</v>
      </c>
      <c r="P7300">
        <v>0.99371180000000003</v>
      </c>
      <c r="Q7300">
        <v>3.7599819999999999E-2</v>
      </c>
      <c r="R7300">
        <v>0.1054664</v>
      </c>
      <c r="S7300">
        <v>2.9571230000000002</v>
      </c>
      <c r="T7300">
        <v>-0.16853580000000001</v>
      </c>
      <c r="U7300">
        <v>0.64471440000000002</v>
      </c>
      <c r="V7300">
        <v>-2.0763119999999999E-2</v>
      </c>
      <c r="W7300">
        <v>5.1156899999999998E-2</v>
      </c>
      <c r="X7300">
        <v>0.9984748</v>
      </c>
      <c r="Y7300">
        <v>-0.12917890000000001</v>
      </c>
      <c r="Z7300">
        <v>-1.130785E-3</v>
      </c>
      <c r="AA7300">
        <v>0.99162070000000002</v>
      </c>
      <c r="AB7300">
        <v>22</v>
      </c>
      <c r="AC7300">
        <v>19.389600000000002</v>
      </c>
      <c r="AD7300">
        <v>-1.1111803199015999</v>
      </c>
      <c r="AE7300">
        <v>4.2408999999999999</v>
      </c>
      <c r="AF7300">
        <v>-2.5703818956488198</v>
      </c>
      <c r="AG7300">
        <v>-1.1111803199015999</v>
      </c>
      <c r="AH7300">
        <v>19.618284227080199</v>
      </c>
      <c r="AI7300">
        <v>93.214357965285998</v>
      </c>
      <c r="AJ7300">
        <v>97.464358683924502</v>
      </c>
      <c r="AK7300">
        <v>19.817130488729099</v>
      </c>
      <c r="AL7300">
        <v>87.067645668929003</v>
      </c>
      <c r="AM7300">
        <v>91.191284660709997</v>
      </c>
      <c r="AN7300">
        <v>1.00000003090239</v>
      </c>
    </row>
    <row r="7301" spans="1:40" x14ac:dyDescent="0.25">
      <c r="A7301" t="str">
        <f>"20190312160514415"</f>
        <v>20190312160514415</v>
      </c>
      <c r="B7301" t="str">
        <f>"1552377914412821"</f>
        <v>1552377914412821</v>
      </c>
      <c r="C7301" t="s">
        <v>40</v>
      </c>
      <c r="D7301">
        <v>5.3765369999999999</v>
      </c>
      <c r="E7301">
        <v>0.4638177</v>
      </c>
      <c r="F7301" t="s">
        <v>121</v>
      </c>
      <c r="G7301">
        <v>-251.37860000000001</v>
      </c>
      <c r="H7301" s="1">
        <v>-5.3805549999999896E-7</v>
      </c>
      <c r="I7301">
        <v>-64.02852</v>
      </c>
      <c r="J7301">
        <v>-270.23899999999998</v>
      </c>
      <c r="K7301">
        <v>1.1111770000000001</v>
      </c>
      <c r="L7301">
        <v>-68.091549999999998</v>
      </c>
      <c r="M7301">
        <v>0.99623660000000003</v>
      </c>
      <c r="N7301">
        <v>0</v>
      </c>
      <c r="O7301">
        <v>8.5600699999999905E-2</v>
      </c>
      <c r="P7301">
        <v>0.99371920000000002</v>
      </c>
      <c r="Q7301">
        <v>3.7238559999999997E-2</v>
      </c>
      <c r="R7301">
        <v>0.1055256</v>
      </c>
      <c r="S7301">
        <v>2.9581300000000001</v>
      </c>
      <c r="T7301">
        <v>-0.17329159999999999</v>
      </c>
      <c r="U7301">
        <v>0.63519289999999995</v>
      </c>
      <c r="V7301">
        <v>-2.015977E-2</v>
      </c>
      <c r="W7301">
        <v>5.079736E-2</v>
      </c>
      <c r="X7301">
        <v>0.99850550000000005</v>
      </c>
      <c r="Y7301">
        <v>-0.12540580000000001</v>
      </c>
      <c r="Z7301">
        <v>-1.309878E-3</v>
      </c>
      <c r="AA7301">
        <v>0.9921046</v>
      </c>
      <c r="AB7301">
        <v>22</v>
      </c>
      <c r="AC7301">
        <v>18.860399999999998</v>
      </c>
      <c r="AD7301">
        <v>-1.1111775380555</v>
      </c>
      <c r="AE7301">
        <v>4.0630299999999897</v>
      </c>
      <c r="AF7301">
        <v>-2.4254554752158399</v>
      </c>
      <c r="AG7301">
        <v>-1.1111775380555</v>
      </c>
      <c r="AH7301">
        <v>19.075714106941401</v>
      </c>
      <c r="AI7301">
        <v>93.307197071315898</v>
      </c>
      <c r="AJ7301">
        <v>97.246211071667403</v>
      </c>
      <c r="AK7301">
        <v>19.261371147275501</v>
      </c>
      <c r="AL7301">
        <v>87.088272553164003</v>
      </c>
      <c r="AM7301">
        <v>91.1566414274414</v>
      </c>
      <c r="AN7301">
        <v>1.0000000108198299</v>
      </c>
    </row>
    <row r="7302" spans="1:40" x14ac:dyDescent="0.25">
      <c r="A7302" t="str">
        <f>"20190312160514427"</f>
        <v>20190312160514427</v>
      </c>
      <c r="B7302" t="str">
        <f>"1552377914422582"</f>
        <v>1552377914422582</v>
      </c>
      <c r="C7302" t="s">
        <v>40</v>
      </c>
      <c r="D7302">
        <v>5.6975949999999997</v>
      </c>
      <c r="E7302">
        <v>0.46438970000000002</v>
      </c>
      <c r="F7302" t="s">
        <v>121</v>
      </c>
      <c r="G7302">
        <v>-252.54759999999999</v>
      </c>
      <c r="H7302" s="1">
        <v>-1.138101E-6</v>
      </c>
      <c r="I7302">
        <v>-64.471729999999994</v>
      </c>
      <c r="J7302">
        <v>-270.1234</v>
      </c>
      <c r="K7302">
        <v>1.111175</v>
      </c>
      <c r="L7302">
        <v>-68.080839999999995</v>
      </c>
      <c r="M7302">
        <v>0.99617560000000005</v>
      </c>
      <c r="N7302">
        <v>0</v>
      </c>
      <c r="O7302">
        <v>8.6306880000000002E-2</v>
      </c>
      <c r="P7302">
        <v>0.99372579999999999</v>
      </c>
      <c r="Q7302">
        <v>3.688147E-2</v>
      </c>
      <c r="R7302">
        <v>0.1055875</v>
      </c>
      <c r="S7302">
        <v>2.9615480000000001</v>
      </c>
      <c r="T7302">
        <v>-0.18601090000000001</v>
      </c>
      <c r="U7302">
        <v>0.60595699999999997</v>
      </c>
      <c r="V7302">
        <v>-1.951164E-2</v>
      </c>
      <c r="W7302">
        <v>5.0441609999999998E-2</v>
      </c>
      <c r="X7302">
        <v>0.99853639999999999</v>
      </c>
      <c r="Y7302">
        <v>-0.11508980000000001</v>
      </c>
      <c r="Z7302">
        <v>-1.7701069999999999E-3</v>
      </c>
      <c r="AA7302">
        <v>0.9933535</v>
      </c>
      <c r="AB7302">
        <v>21</v>
      </c>
      <c r="AC7302">
        <v>17.575800000000001</v>
      </c>
      <c r="AD7302">
        <v>-1.1111761381009999</v>
      </c>
      <c r="AE7302">
        <v>3.6091099999999998</v>
      </c>
      <c r="AF7302">
        <v>-2.0706459134736601</v>
      </c>
      <c r="AG7302">
        <v>-1.1111761381009999</v>
      </c>
      <c r="AH7302">
        <v>17.7536349928391</v>
      </c>
      <c r="AI7302">
        <v>93.557343023916502</v>
      </c>
      <c r="AJ7302">
        <v>96.652478055470894</v>
      </c>
      <c r="AK7302">
        <v>17.908485205841199</v>
      </c>
      <c r="AL7302">
        <v>87.108681662811094</v>
      </c>
      <c r="AM7302">
        <v>91.119430771224899</v>
      </c>
      <c r="AN7302">
        <v>1.0000000011199199</v>
      </c>
    </row>
    <row r="7303" spans="1:40" x14ac:dyDescent="0.25">
      <c r="A7303" t="str">
        <f>"20190312160514438"</f>
        <v>20190312160514438</v>
      </c>
      <c r="B7303" t="str">
        <f>"1552377914432342"</f>
        <v>1552377914432342</v>
      </c>
      <c r="C7303" t="s">
        <v>40</v>
      </c>
      <c r="D7303">
        <v>5.5428129999999998</v>
      </c>
      <c r="E7303">
        <v>0.46458430000000001</v>
      </c>
      <c r="F7303" t="s">
        <v>121</v>
      </c>
      <c r="G7303">
        <v>-252.66030000000001</v>
      </c>
      <c r="H7303" s="1">
        <v>-1.2004500000000001E-6</v>
      </c>
      <c r="I7303">
        <v>-64.534630000000007</v>
      </c>
      <c r="J7303">
        <v>-270.01729999999998</v>
      </c>
      <c r="K7303">
        <v>1.1111690000000001</v>
      </c>
      <c r="L7303">
        <v>-68.070890000000006</v>
      </c>
      <c r="M7303">
        <v>0.99612000000000001</v>
      </c>
      <c r="N7303">
        <v>0</v>
      </c>
      <c r="O7303">
        <v>8.6948839999999999E-2</v>
      </c>
      <c r="P7303">
        <v>0.99374739999999995</v>
      </c>
      <c r="Q7303">
        <v>3.6511879999999997E-2</v>
      </c>
      <c r="R7303">
        <v>0.10551439999999999</v>
      </c>
      <c r="S7303">
        <v>2.9620669999999998</v>
      </c>
      <c r="T7303">
        <v>-0.18847559999999999</v>
      </c>
      <c r="U7303">
        <v>0.60150150000000002</v>
      </c>
      <c r="V7303">
        <v>-1.879159E-2</v>
      </c>
      <c r="W7303">
        <v>5.0073489999999998E-2</v>
      </c>
      <c r="X7303">
        <v>0.99856869999999998</v>
      </c>
      <c r="Y7303">
        <v>-0.1129844</v>
      </c>
      <c r="Z7303">
        <v>-1.899911E-3</v>
      </c>
      <c r="AA7303">
        <v>0.99359489999999995</v>
      </c>
      <c r="AB7303">
        <v>21</v>
      </c>
      <c r="AC7303">
        <v>17.3569999999999</v>
      </c>
      <c r="AD7303">
        <v>-1.1111702004499999</v>
      </c>
      <c r="AE7303">
        <v>3.5362599999999902</v>
      </c>
      <c r="AF7303">
        <v>-2.0056620448316398</v>
      </c>
      <c r="AG7303">
        <v>-1.1111702004499999</v>
      </c>
      <c r="AH7303">
        <v>17.529774807046302</v>
      </c>
      <c r="AI7303">
        <v>93.603541719011801</v>
      </c>
      <c r="AJ7303">
        <v>96.527090632287496</v>
      </c>
      <c r="AK7303">
        <v>17.679094553686902</v>
      </c>
      <c r="AL7303">
        <v>87.129799964543494</v>
      </c>
      <c r="AM7303">
        <v>91.078094804208604</v>
      </c>
      <c r="AN7303">
        <v>0.99999996343759801</v>
      </c>
    </row>
    <row r="7304" spans="1:40" x14ac:dyDescent="0.25">
      <c r="A7304" t="str">
        <f>"20190312160514449"</f>
        <v>20190312160514449</v>
      </c>
      <c r="B7304" t="str">
        <f>"1552377914442102"</f>
        <v>1552377914442102</v>
      </c>
      <c r="C7304" t="s">
        <v>40</v>
      </c>
      <c r="D7304">
        <v>5.6781499999999996</v>
      </c>
      <c r="E7304">
        <v>0.46514820000000001</v>
      </c>
      <c r="F7304" t="s">
        <v>121</v>
      </c>
      <c r="G7304">
        <v>-251.7303</v>
      </c>
      <c r="H7304" s="1">
        <v>-7.6457889999999996E-7</v>
      </c>
      <c r="I7304">
        <v>-64.368759999999995</v>
      </c>
      <c r="J7304">
        <v>-269.91320000000002</v>
      </c>
      <c r="K7304">
        <v>1.111165</v>
      </c>
      <c r="L7304">
        <v>-68.061130000000006</v>
      </c>
      <c r="M7304">
        <v>0.99606479999999997</v>
      </c>
      <c r="N7304">
        <v>0</v>
      </c>
      <c r="O7304">
        <v>8.7576559999999998E-2</v>
      </c>
      <c r="P7304">
        <v>0.99380570000000001</v>
      </c>
      <c r="Q7304">
        <v>3.6117419999999997E-2</v>
      </c>
      <c r="R7304">
        <v>0.1050997</v>
      </c>
      <c r="S7304">
        <v>2.9618229999999999</v>
      </c>
      <c r="T7304">
        <v>-0.1799685</v>
      </c>
      <c r="U7304">
        <v>0.59960939999999996</v>
      </c>
      <c r="V7304">
        <v>-1.7742480000000001E-2</v>
      </c>
      <c r="W7304">
        <v>4.9681540000000003E-2</v>
      </c>
      <c r="X7304">
        <v>0.99860749999999998</v>
      </c>
      <c r="Y7304">
        <v>-0.1117721</v>
      </c>
      <c r="Z7304">
        <v>-1.8884889999999999E-3</v>
      </c>
      <c r="AA7304">
        <v>0.99373210000000001</v>
      </c>
      <c r="AB7304">
        <v>21</v>
      </c>
      <c r="AC7304">
        <v>18.1829</v>
      </c>
      <c r="AD7304">
        <v>-1.1111657645788999</v>
      </c>
      <c r="AE7304">
        <v>3.6923700000000101</v>
      </c>
      <c r="AF7304">
        <v>-2.0781835589139002</v>
      </c>
      <c r="AG7304">
        <v>-1.1111657645788999</v>
      </c>
      <c r="AH7304">
        <v>18.370531966774099</v>
      </c>
      <c r="AI7304">
        <v>93.439507969201998</v>
      </c>
      <c r="AJ7304">
        <v>96.454199330707198</v>
      </c>
      <c r="AK7304">
        <v>18.521068570770499</v>
      </c>
      <c r="AL7304">
        <v>87.152285122562006</v>
      </c>
      <c r="AM7304">
        <v>91.017879671589696</v>
      </c>
      <c r="AN7304">
        <v>0.99999999503478598</v>
      </c>
    </row>
    <row r="7305" spans="1:40" x14ac:dyDescent="0.25">
      <c r="A7305" t="str">
        <f>"20190312160514460"</f>
        <v>20190312160514460</v>
      </c>
      <c r="B7305" t="str">
        <f>"1552377914452839"</f>
        <v>1552377914452839</v>
      </c>
      <c r="C7305" t="s">
        <v>40</v>
      </c>
      <c r="D7305">
        <v>5.6719200000000001</v>
      </c>
      <c r="E7305">
        <v>0.4655706</v>
      </c>
      <c r="F7305" t="s">
        <v>121</v>
      </c>
      <c r="G7305">
        <v>-251.87559999999999</v>
      </c>
      <c r="H7305" s="1">
        <v>-8.4410599999999995E-7</v>
      </c>
      <c r="I7305">
        <v>-64.44605</v>
      </c>
      <c r="J7305">
        <v>-269.81020000000001</v>
      </c>
      <c r="K7305">
        <v>1.111159</v>
      </c>
      <c r="L7305">
        <v>-68.051360000000003</v>
      </c>
      <c r="M7305">
        <v>0.99601070000000003</v>
      </c>
      <c r="N7305">
        <v>0</v>
      </c>
      <c r="O7305">
        <v>8.8191790000000006E-2</v>
      </c>
      <c r="P7305">
        <v>0.9938747</v>
      </c>
      <c r="Q7305">
        <v>3.6124129999999997E-2</v>
      </c>
      <c r="R7305">
        <v>0.1044447</v>
      </c>
      <c r="S7305">
        <v>2.962555</v>
      </c>
      <c r="T7305">
        <v>-0.1825011</v>
      </c>
      <c r="U7305">
        <v>0.59375</v>
      </c>
      <c r="V7305">
        <v>-1.6465830000000001E-2</v>
      </c>
      <c r="W7305">
        <v>4.9691060000000002E-2</v>
      </c>
      <c r="X7305">
        <v>0.99862890000000004</v>
      </c>
      <c r="Y7305">
        <v>-0.1092259</v>
      </c>
      <c r="Z7305">
        <v>-2.0298429999999999E-3</v>
      </c>
      <c r="AA7305">
        <v>0.99401490000000003</v>
      </c>
      <c r="AB7305">
        <v>21</v>
      </c>
      <c r="AC7305">
        <v>17.9346</v>
      </c>
      <c r="AD7305">
        <v>-1.111159844106</v>
      </c>
      <c r="AE7305">
        <v>3.6053099999999998</v>
      </c>
      <c r="AF7305">
        <v>-2.0020421477559198</v>
      </c>
      <c r="AG7305">
        <v>-1.111159844106</v>
      </c>
      <c r="AH7305">
        <v>18.1158552434627</v>
      </c>
      <c r="AI7305">
        <v>93.488728272714994</v>
      </c>
      <c r="AJ7305">
        <v>96.306352692148593</v>
      </c>
      <c r="AK7305">
        <v>18.259985218029101</v>
      </c>
      <c r="AL7305">
        <v>87.151739013359702</v>
      </c>
      <c r="AM7305">
        <v>90.944632268780893</v>
      </c>
      <c r="AN7305">
        <v>1.00000000245836</v>
      </c>
    </row>
    <row r="7306" spans="1:40" x14ac:dyDescent="0.25">
      <c r="A7306" t="str">
        <f>"20190312160514472"</f>
        <v>20190312160514472</v>
      </c>
      <c r="B7306" t="str">
        <f>"1552377914462598"</f>
        <v>1552377914462598</v>
      </c>
      <c r="C7306" t="s">
        <v>40</v>
      </c>
      <c r="D7306">
        <v>5.7958429999999996</v>
      </c>
      <c r="E7306">
        <v>0.46558119999999997</v>
      </c>
      <c r="F7306" t="s">
        <v>121</v>
      </c>
      <c r="G7306">
        <v>-251.9032</v>
      </c>
      <c r="H7306" s="1">
        <v>-8.6691440000000005E-7</v>
      </c>
      <c r="I7306">
        <v>-64.495319999999893</v>
      </c>
      <c r="J7306">
        <v>-269.70310000000001</v>
      </c>
      <c r="K7306">
        <v>1.1111530000000001</v>
      </c>
      <c r="L7306">
        <v>-68.041139999999999</v>
      </c>
      <c r="M7306">
        <v>0.99595429999999996</v>
      </c>
      <c r="N7306">
        <v>0</v>
      </c>
      <c r="O7306">
        <v>8.8825959999999995E-2</v>
      </c>
      <c r="P7306">
        <v>0.99392190000000002</v>
      </c>
      <c r="Q7306">
        <v>3.5985910000000003E-2</v>
      </c>
      <c r="R7306">
        <v>0.10404099999999999</v>
      </c>
      <c r="S7306">
        <v>2.9633180000000001</v>
      </c>
      <c r="T7306">
        <v>-0.1838795</v>
      </c>
      <c r="U7306">
        <v>0.58847050000000001</v>
      </c>
      <c r="V7306">
        <v>-1.542261E-2</v>
      </c>
      <c r="W7306">
        <v>4.9554849999999998E-2</v>
      </c>
      <c r="X7306">
        <v>0.99865230000000005</v>
      </c>
      <c r="Y7306">
        <v>-0.1068451</v>
      </c>
      <c r="Z7306">
        <v>-2.1568260000000001E-3</v>
      </c>
      <c r="AA7306">
        <v>0.99427339999999997</v>
      </c>
      <c r="AB7306">
        <v>21</v>
      </c>
      <c r="AC7306">
        <v>17.799900000000001</v>
      </c>
      <c r="AD7306">
        <v>-1.1111538669143901</v>
      </c>
      <c r="AE7306">
        <v>3.54582</v>
      </c>
      <c r="AF7306">
        <v>-1.9432782627209</v>
      </c>
      <c r="AG7306">
        <v>-1.1111538669143901</v>
      </c>
      <c r="AH7306">
        <v>17.977136511496699</v>
      </c>
      <c r="AI7306">
        <v>93.516477832018396</v>
      </c>
      <c r="AJ7306">
        <v>96.169557772586998</v>
      </c>
      <c r="AK7306">
        <v>18.115971695587099</v>
      </c>
      <c r="AL7306">
        <v>87.159552828977894</v>
      </c>
      <c r="AM7306">
        <v>90.884772630190398</v>
      </c>
      <c r="AN7306">
        <v>0.99999997817651198</v>
      </c>
    </row>
    <row r="7307" spans="1:40" x14ac:dyDescent="0.25">
      <c r="A7307" t="str">
        <f>"20190312160514483"</f>
        <v>20190312160514483</v>
      </c>
      <c r="B7307" t="str">
        <f>"1552377914472359"</f>
        <v>1552377914472359</v>
      </c>
      <c r="C7307" t="s">
        <v>40</v>
      </c>
      <c r="D7307">
        <v>5.5951079999999997</v>
      </c>
      <c r="E7307">
        <v>0.46585769999999999</v>
      </c>
      <c r="F7307" t="s">
        <v>121</v>
      </c>
      <c r="G7307">
        <v>-252.09100000000001</v>
      </c>
      <c r="H7307" s="1">
        <v>-9.5990810000000007E-7</v>
      </c>
      <c r="I7307">
        <v>-64.551289999999995</v>
      </c>
      <c r="J7307">
        <v>-269.5924</v>
      </c>
      <c r="K7307">
        <v>1.1111409999999999</v>
      </c>
      <c r="L7307">
        <v>-68.030550000000005</v>
      </c>
      <c r="M7307">
        <v>0.99589640000000001</v>
      </c>
      <c r="N7307">
        <v>0</v>
      </c>
      <c r="O7307">
        <v>8.947273E-2</v>
      </c>
      <c r="P7307">
        <v>0.99396830000000003</v>
      </c>
      <c r="Q7307">
        <v>3.6321569999999997E-2</v>
      </c>
      <c r="R7307">
        <v>0.10348019999999999</v>
      </c>
      <c r="S7307">
        <v>2.963654</v>
      </c>
      <c r="T7307">
        <v>-0.1869779</v>
      </c>
      <c r="U7307">
        <v>0.58724980000000004</v>
      </c>
      <c r="V7307">
        <v>-1.4209970000000001E-2</v>
      </c>
      <c r="W7307">
        <v>4.9892510000000001E-2</v>
      </c>
      <c r="X7307">
        <v>0.99865349999999997</v>
      </c>
      <c r="Y7307">
        <v>-0.1057859</v>
      </c>
      <c r="Z7307">
        <v>-2.2661080000000002E-3</v>
      </c>
      <c r="AA7307">
        <v>0.99438629999999995</v>
      </c>
      <c r="AB7307">
        <v>21</v>
      </c>
      <c r="AC7307">
        <v>17.5014</v>
      </c>
      <c r="AD7307">
        <v>-1.1111419599080901</v>
      </c>
      <c r="AE7307">
        <v>3.4792599999999898</v>
      </c>
      <c r="AF7307">
        <v>-1.8919240750220601</v>
      </c>
      <c r="AG7307">
        <v>-1.1111419599080901</v>
      </c>
      <c r="AH7307">
        <v>17.673989102165802</v>
      </c>
      <c r="AI7307">
        <v>93.576998528901001</v>
      </c>
      <c r="AJ7307">
        <v>96.109998518526993</v>
      </c>
      <c r="AK7307">
        <v>17.809657603227301</v>
      </c>
      <c r="AL7307">
        <v>87.140182435383394</v>
      </c>
      <c r="AM7307">
        <v>90.815214052490106</v>
      </c>
      <c r="AN7307">
        <v>0.99999999943187501</v>
      </c>
    </row>
    <row r="7308" spans="1:40" x14ac:dyDescent="0.25">
      <c r="A7308" t="str">
        <f>"20190312160514493"</f>
        <v>20190312160514493</v>
      </c>
      <c r="B7308" t="str">
        <f>"1552377914482119"</f>
        <v>1552377914482119</v>
      </c>
      <c r="C7308" t="s">
        <v>40</v>
      </c>
      <c r="D7308">
        <v>5.7988460000000002</v>
      </c>
      <c r="E7308">
        <v>0.46598610000000001</v>
      </c>
      <c r="F7308" t="s">
        <v>121</v>
      </c>
      <c r="G7308">
        <v>-251.99789999999999</v>
      </c>
      <c r="H7308" s="1">
        <v>-9.2388549999999998E-7</v>
      </c>
      <c r="I7308">
        <v>-64.568910000000002</v>
      </c>
      <c r="J7308">
        <v>-269.49369999999999</v>
      </c>
      <c r="K7308">
        <v>1.11113</v>
      </c>
      <c r="L7308">
        <v>-68.021000000000001</v>
      </c>
      <c r="M7308">
        <v>0.99584530000000004</v>
      </c>
      <c r="N7308">
        <v>0</v>
      </c>
      <c r="O7308">
        <v>9.0039800000000003E-2</v>
      </c>
      <c r="P7308">
        <v>0.99400869999999997</v>
      </c>
      <c r="Q7308">
        <v>3.6650120000000001E-2</v>
      </c>
      <c r="R7308">
        <v>0.1029756</v>
      </c>
      <c r="S7308">
        <v>2.9643549999999999</v>
      </c>
      <c r="T7308">
        <v>-0.1872065</v>
      </c>
      <c r="U7308">
        <v>0.5832214</v>
      </c>
      <c r="V7308">
        <v>-1.31345E-2</v>
      </c>
      <c r="W7308">
        <v>5.0222540000000003E-2</v>
      </c>
      <c r="X7308">
        <v>0.99865170000000003</v>
      </c>
      <c r="Y7308">
        <v>-0.1038787</v>
      </c>
      <c r="Z7308">
        <v>-2.3635000000000001E-3</v>
      </c>
      <c r="AA7308">
        <v>0.9945872</v>
      </c>
      <c r="AB7308">
        <v>21</v>
      </c>
      <c r="AC7308">
        <v>17.495799999999999</v>
      </c>
      <c r="AD7308">
        <v>-1.1111309238855001</v>
      </c>
      <c r="AE7308">
        <v>3.4520899999999899</v>
      </c>
      <c r="AF7308">
        <v>-1.8553985436790601</v>
      </c>
      <c r="AG7308">
        <v>-1.1111309238855001</v>
      </c>
      <c r="AH7308">
        <v>17.6669895651352</v>
      </c>
      <c r="AI7308">
        <v>93.579134494045107</v>
      </c>
      <c r="AJ7308">
        <v>95.995262612172397</v>
      </c>
      <c r="AK7308">
        <v>17.7988661431142</v>
      </c>
      <c r="AL7308">
        <v>87.121249427737496</v>
      </c>
      <c r="AM7308">
        <v>90.753524004507995</v>
      </c>
      <c r="AN7308">
        <v>1.00000001826359</v>
      </c>
    </row>
    <row r="7309" spans="1:40" x14ac:dyDescent="0.25">
      <c r="A7309" t="str">
        <f>"20190312160514504"</f>
        <v>20190312160514504</v>
      </c>
      <c r="B7309" t="str">
        <f>"1552377914492855"</f>
        <v>1552377914492855</v>
      </c>
      <c r="C7309" t="s">
        <v>40</v>
      </c>
      <c r="D7309">
        <v>5.6976310000000003</v>
      </c>
      <c r="E7309">
        <v>0.46600599999999998</v>
      </c>
      <c r="F7309" t="s">
        <v>121</v>
      </c>
      <c r="G7309">
        <v>-252.2184</v>
      </c>
      <c r="H7309" s="1">
        <v>-1.033877E-6</v>
      </c>
      <c r="I7309">
        <v>-64.638059999999996</v>
      </c>
      <c r="J7309">
        <v>-269.39</v>
      </c>
      <c r="K7309">
        <v>1.1111120000000001</v>
      </c>
      <c r="L7309">
        <v>-68.010990000000007</v>
      </c>
      <c r="M7309">
        <v>0.99579189999999995</v>
      </c>
      <c r="N7309">
        <v>0</v>
      </c>
      <c r="O7309">
        <v>9.0628529999999999E-2</v>
      </c>
      <c r="P7309">
        <v>0.99407210000000001</v>
      </c>
      <c r="Q7309">
        <v>3.6624839999999999E-2</v>
      </c>
      <c r="R7309">
        <v>0.10236870000000001</v>
      </c>
      <c r="S7309">
        <v>2.9650270000000001</v>
      </c>
      <c r="T7309">
        <v>-0.19070799999999999</v>
      </c>
      <c r="U7309">
        <v>0.58062740000000002</v>
      </c>
      <c r="V7309">
        <v>-1.193116E-2</v>
      </c>
      <c r="W7309">
        <v>5.0199210000000001E-2</v>
      </c>
      <c r="X7309">
        <v>0.998668</v>
      </c>
      <c r="Y7309">
        <v>-0.10241310000000001</v>
      </c>
      <c r="Z7309">
        <v>-2.4911820000000002E-3</v>
      </c>
      <c r="AA7309">
        <v>0.99473880000000003</v>
      </c>
      <c r="AB7309">
        <v>21</v>
      </c>
      <c r="AC7309">
        <v>17.171599999999899</v>
      </c>
      <c r="AD7309">
        <v>-1.1111130338769999</v>
      </c>
      <c r="AE7309">
        <v>3.37293000000001</v>
      </c>
      <c r="AF7309">
        <v>-1.79542817192312</v>
      </c>
      <c r="AG7309">
        <v>-1.1111130338769999</v>
      </c>
      <c r="AH7309">
        <v>17.336742713504801</v>
      </c>
      <c r="AI7309">
        <v>93.647619786312106</v>
      </c>
      <c r="AJ7309">
        <v>95.912589343029794</v>
      </c>
      <c r="AK7309">
        <v>17.464844185072199</v>
      </c>
      <c r="AL7309">
        <v>87.122587899832396</v>
      </c>
      <c r="AM7309">
        <v>90.684484324363297</v>
      </c>
      <c r="AN7309">
        <v>1.0000000437437799</v>
      </c>
    </row>
    <row r="7310" spans="1:40" x14ac:dyDescent="0.25">
      <c r="A7310" t="str">
        <f>"20190312160514517"</f>
        <v>20190312160514517</v>
      </c>
      <c r="B7310" t="str">
        <f>"1552377914512374"</f>
        <v>1552377914512374</v>
      </c>
      <c r="C7310" t="s">
        <v>40</v>
      </c>
      <c r="D7310">
        <v>5.7518219999999998</v>
      </c>
      <c r="E7310">
        <v>0.4663253</v>
      </c>
      <c r="F7310" t="s">
        <v>121</v>
      </c>
      <c r="G7310">
        <v>-252.32849999999999</v>
      </c>
      <c r="H7310" s="1">
        <v>-1.0909790000000001E-6</v>
      </c>
      <c r="I7310">
        <v>-64.682469999999995</v>
      </c>
      <c r="J7310">
        <v>-269.27350000000001</v>
      </c>
      <c r="K7310">
        <v>1.1110949999999999</v>
      </c>
      <c r="L7310">
        <v>-67.999600000000001</v>
      </c>
      <c r="M7310">
        <v>0.99573330000000004</v>
      </c>
      <c r="N7310">
        <v>0</v>
      </c>
      <c r="O7310">
        <v>9.1269580000000003E-2</v>
      </c>
      <c r="P7310">
        <v>0.99412590000000001</v>
      </c>
      <c r="Q7310">
        <v>3.6146600000000001E-2</v>
      </c>
      <c r="R7310">
        <v>0.1020153</v>
      </c>
      <c r="S7310">
        <v>2.9654240000000001</v>
      </c>
      <c r="T7310">
        <v>-0.19312009999999999</v>
      </c>
      <c r="U7310">
        <v>0.57852169999999903</v>
      </c>
      <c r="V7310">
        <v>-1.092806E-2</v>
      </c>
      <c r="W7310">
        <v>4.9722969999999998E-2</v>
      </c>
      <c r="X7310">
        <v>0.99870320000000001</v>
      </c>
      <c r="Y7310">
        <v>-0.1010706</v>
      </c>
      <c r="Z7310">
        <v>-2.6067849999999999E-3</v>
      </c>
      <c r="AA7310">
        <v>0.99487579999999998</v>
      </c>
      <c r="AB7310">
        <v>21</v>
      </c>
      <c r="AC7310">
        <v>16.945</v>
      </c>
      <c r="AD7310">
        <v>-1.111096090979</v>
      </c>
      <c r="AE7310">
        <v>3.3171300000000001</v>
      </c>
      <c r="AF7310">
        <v>-1.74933260756575</v>
      </c>
      <c r="AG7310">
        <v>-1.111096090979</v>
      </c>
      <c r="AH7310">
        <v>17.1062092412613</v>
      </c>
      <c r="AI7310">
        <v>93.697073342416402</v>
      </c>
      <c r="AJ7310">
        <v>95.838941848738699</v>
      </c>
      <c r="AK7310">
        <v>17.231282416033199</v>
      </c>
      <c r="AL7310">
        <v>87.1499082610556</v>
      </c>
      <c r="AM7310">
        <v>90.626919718042998</v>
      </c>
      <c r="AN7310">
        <v>0.99999993896561001</v>
      </c>
    </row>
    <row r="7311" spans="1:40" x14ac:dyDescent="0.25">
      <c r="A7311" t="str">
        <f>"20190312160514527"</f>
        <v>20190312160514527</v>
      </c>
      <c r="B7311" t="str">
        <f>"1552377914522134"</f>
        <v>1552377914522134</v>
      </c>
      <c r="C7311" t="s">
        <v>40</v>
      </c>
      <c r="D7311">
        <v>5.7465590000000004</v>
      </c>
      <c r="E7311">
        <v>0.46646169999999998</v>
      </c>
      <c r="F7311" t="s">
        <v>121</v>
      </c>
      <c r="G7311">
        <v>-252.26249999999999</v>
      </c>
      <c r="H7311" s="1">
        <v>-1.0672539999999999E-6</v>
      </c>
      <c r="I7311">
        <v>-64.703029999999998</v>
      </c>
      <c r="J7311">
        <v>-269.17009999999999</v>
      </c>
      <c r="K7311">
        <v>1.1110770000000001</v>
      </c>
      <c r="L7311">
        <v>-67.989500000000007</v>
      </c>
      <c r="M7311">
        <v>0.99568179999999995</v>
      </c>
      <c r="N7311">
        <v>0</v>
      </c>
      <c r="O7311">
        <v>9.1831189999999993E-2</v>
      </c>
      <c r="P7311">
        <v>0.99421440000000005</v>
      </c>
      <c r="Q7311">
        <v>3.5823689999999998E-2</v>
      </c>
      <c r="R7311">
        <v>0.1012658</v>
      </c>
      <c r="S7311">
        <v>2.9657589999999998</v>
      </c>
      <c r="T7311">
        <v>-0.19371279999999999</v>
      </c>
      <c r="U7311">
        <v>0.57473750000000001</v>
      </c>
      <c r="V7311">
        <v>-9.6076440000000003E-3</v>
      </c>
      <c r="W7311">
        <v>4.9402450000000001E-2</v>
      </c>
      <c r="X7311">
        <v>0.99873270000000003</v>
      </c>
      <c r="Y7311">
        <v>-9.9269640000000006E-2</v>
      </c>
      <c r="Z7311">
        <v>-2.7091289999999998E-3</v>
      </c>
      <c r="AA7311">
        <v>0.99505690000000002</v>
      </c>
      <c r="AB7311">
        <v>21</v>
      </c>
      <c r="AC7311">
        <v>16.907599999999999</v>
      </c>
      <c r="AD7311">
        <v>-1.1110780672539999</v>
      </c>
      <c r="AE7311">
        <v>3.28647</v>
      </c>
      <c r="AF7311">
        <v>-1.71266549549392</v>
      </c>
      <c r="AG7311">
        <v>-1.1110780672539999</v>
      </c>
      <c r="AH7311">
        <v>17.066954522004298</v>
      </c>
      <c r="AI7311">
        <v>93.706202154104801</v>
      </c>
      <c r="AJ7311">
        <v>95.730436151992393</v>
      </c>
      <c r="AK7311">
        <v>17.188619904668101</v>
      </c>
      <c r="AL7311">
        <v>87.168295355370603</v>
      </c>
      <c r="AM7311">
        <v>90.551158956332202</v>
      </c>
      <c r="AN7311">
        <v>0.99999995746925996</v>
      </c>
    </row>
    <row r="7312" spans="1:40" x14ac:dyDescent="0.25">
      <c r="A7312" t="str">
        <f>"20190312160514539"</f>
        <v>20190312160514539</v>
      </c>
      <c r="B7312" t="str">
        <f>"1552377914532870"</f>
        <v>1552377914532870</v>
      </c>
      <c r="C7312" t="s">
        <v>40</v>
      </c>
      <c r="D7312">
        <v>5.7279819999999999</v>
      </c>
      <c r="E7312">
        <v>0.46657589999999999</v>
      </c>
      <c r="F7312" t="s">
        <v>121</v>
      </c>
      <c r="G7312">
        <v>-252.19069999999999</v>
      </c>
      <c r="H7312" s="1">
        <v>-1.0398110000000001E-6</v>
      </c>
      <c r="I7312">
        <v>-64.718269999999904</v>
      </c>
      <c r="J7312">
        <v>-269.06349999999998</v>
      </c>
      <c r="K7312">
        <v>1.111059</v>
      </c>
      <c r="L7312">
        <v>-67.978999999999999</v>
      </c>
      <c r="M7312">
        <v>0.99563060000000003</v>
      </c>
      <c r="N7312">
        <v>0</v>
      </c>
      <c r="O7312">
        <v>9.2384400000000005E-2</v>
      </c>
      <c r="P7312">
        <v>0.99434579999999995</v>
      </c>
      <c r="Q7312">
        <v>3.5468520000000003E-2</v>
      </c>
      <c r="R7312">
        <v>0.10009410000000001</v>
      </c>
      <c r="S7312">
        <v>2.9662480000000002</v>
      </c>
      <c r="T7312">
        <v>-0.194101</v>
      </c>
      <c r="U7312">
        <v>0.57147219999999999</v>
      </c>
      <c r="V7312">
        <v>-7.8704699999999992E-3</v>
      </c>
      <c r="W7312">
        <v>4.9049549999999997E-2</v>
      </c>
      <c r="X7312">
        <v>0.99876529999999997</v>
      </c>
      <c r="Y7312">
        <v>-9.7634460000000006E-2</v>
      </c>
      <c r="Z7312">
        <v>-2.802985E-3</v>
      </c>
      <c r="AA7312">
        <v>0.99521839999999995</v>
      </c>
      <c r="AB7312">
        <v>21</v>
      </c>
      <c r="AC7312">
        <v>16.872799999999899</v>
      </c>
      <c r="AD7312">
        <v>-1.111060039811</v>
      </c>
      <c r="AE7312">
        <v>3.2607300000000001</v>
      </c>
      <c r="AF7312">
        <v>-1.6808291804937701</v>
      </c>
      <c r="AG7312">
        <v>-1.111060039811</v>
      </c>
      <c r="AH7312">
        <v>17.030708695199099</v>
      </c>
      <c r="AI7312">
        <v>93.714612146659405</v>
      </c>
      <c r="AJ7312">
        <v>95.636497571445403</v>
      </c>
      <c r="AK7312">
        <v>17.1494804529699</v>
      </c>
      <c r="AL7312">
        <v>87.188539596860593</v>
      </c>
      <c r="AM7312">
        <v>90.451492838152404</v>
      </c>
      <c r="AN7312">
        <v>0.99999996356865595</v>
      </c>
    </row>
    <row r="7313" spans="1:40" x14ac:dyDescent="0.25">
      <c r="A7313" t="str">
        <f>"20190312160514561"</f>
        <v>20190312160514561</v>
      </c>
      <c r="B7313" t="str">
        <f>"1552377914552390"</f>
        <v>1552377914552390</v>
      </c>
      <c r="C7313" t="s">
        <v>40</v>
      </c>
      <c r="D7313">
        <v>9.1154550000000008</v>
      </c>
      <c r="E7313">
        <v>0.46649869999999999</v>
      </c>
      <c r="F7313" t="s">
        <v>121</v>
      </c>
      <c r="G7313">
        <v>-252.04409999999999</v>
      </c>
      <c r="H7313" s="1">
        <v>-9.7854469999999998E-7</v>
      </c>
      <c r="I7313">
        <v>-64.725449999999995</v>
      </c>
      <c r="J7313">
        <v>-268.8535</v>
      </c>
      <c r="K7313">
        <v>1.111016</v>
      </c>
      <c r="L7313">
        <v>-67.958250000000007</v>
      </c>
      <c r="M7313">
        <v>0.99553199999999997</v>
      </c>
      <c r="N7313">
        <v>0</v>
      </c>
      <c r="O7313">
        <v>9.3438950000000007E-2</v>
      </c>
      <c r="P7313">
        <v>0.99456270000000002</v>
      </c>
      <c r="Q7313">
        <v>3.4798519999999999E-2</v>
      </c>
      <c r="R7313">
        <v>9.815227E-2</v>
      </c>
      <c r="S7313">
        <v>2.9668580000000002</v>
      </c>
      <c r="T7313">
        <v>-0.19368299999999999</v>
      </c>
      <c r="U7313">
        <v>0.56716919999999904</v>
      </c>
      <c r="V7313">
        <v>-4.8521340000000001E-3</v>
      </c>
      <c r="W7313">
        <v>4.8383240000000001E-2</v>
      </c>
      <c r="X7313">
        <v>0.99881710000000001</v>
      </c>
      <c r="Y7313">
        <v>-9.5157039999999998E-2</v>
      </c>
      <c r="Z7313">
        <v>-2.9445740000000001E-3</v>
      </c>
      <c r="AA7313">
        <v>0.99545790000000001</v>
      </c>
      <c r="AB7313">
        <v>21</v>
      </c>
      <c r="AC7313">
        <v>16.8094</v>
      </c>
      <c r="AD7313">
        <v>-1.1110169785446999</v>
      </c>
      <c r="AE7313">
        <v>3.2328000000000099</v>
      </c>
      <c r="AF7313">
        <v>-1.6409429140721401</v>
      </c>
      <c r="AG7313">
        <v>-1.1110169785446999</v>
      </c>
      <c r="AH7313">
        <v>16.966467693349198</v>
      </c>
      <c r="AI7313">
        <v>93.729204792092901</v>
      </c>
      <c r="AJ7313">
        <v>95.524283747120194</v>
      </c>
      <c r="AK7313">
        <v>17.081805477270802</v>
      </c>
      <c r="AL7313">
        <v>87.226761945450605</v>
      </c>
      <c r="AM7313">
        <v>90.278333854084494</v>
      </c>
      <c r="AN7313">
        <v>1.0000000401848299</v>
      </c>
    </row>
    <row r="7314" spans="1:40" x14ac:dyDescent="0.25">
      <c r="A7314" t="str">
        <f>"20190312160514571"</f>
        <v>20190312160514571</v>
      </c>
      <c r="B7314" t="str">
        <f>"1552377914562152"</f>
        <v>1552377914562152</v>
      </c>
      <c r="C7314" t="s">
        <v>40</v>
      </c>
      <c r="D7314">
        <v>5.7699299999999996</v>
      </c>
      <c r="E7314">
        <v>0.46698329999999999</v>
      </c>
      <c r="F7314" t="s">
        <v>121</v>
      </c>
      <c r="G7314">
        <v>-251.5496</v>
      </c>
      <c r="H7314" s="1">
        <v>-7.5616689999999995E-7</v>
      </c>
      <c r="I7314">
        <v>-64.679379999999995</v>
      </c>
      <c r="J7314">
        <v>-268.75650000000002</v>
      </c>
      <c r="K7314">
        <v>1.1109979999999999</v>
      </c>
      <c r="L7314">
        <v>-67.948610000000002</v>
      </c>
      <c r="M7314">
        <v>0.99548829999999999</v>
      </c>
      <c r="N7314">
        <v>0</v>
      </c>
      <c r="O7314">
        <v>9.3905459999999996E-2</v>
      </c>
      <c r="P7314">
        <v>0.99465740000000002</v>
      </c>
      <c r="Q7314">
        <v>3.5005649999999999E-2</v>
      </c>
      <c r="R7314">
        <v>9.7114880000000001E-2</v>
      </c>
      <c r="S7314">
        <v>2.9675600000000002</v>
      </c>
      <c r="T7314">
        <v>-0.1905365</v>
      </c>
      <c r="U7314">
        <v>0.56231690000000001</v>
      </c>
      <c r="V7314">
        <v>-3.3394520000000001E-3</v>
      </c>
      <c r="W7314">
        <v>4.8591370000000002E-2</v>
      </c>
      <c r="X7314">
        <v>0.99881319999999996</v>
      </c>
      <c r="Y7314">
        <v>-9.3081269999999994E-2</v>
      </c>
      <c r="Z7314">
        <v>-2.9921290000000001E-3</v>
      </c>
      <c r="AA7314">
        <v>0.99565400000000004</v>
      </c>
      <c r="AB7314">
        <v>21</v>
      </c>
      <c r="AC7314">
        <v>17.206900000000001</v>
      </c>
      <c r="AD7314">
        <v>-1.1109987561668999</v>
      </c>
      <c r="AE7314">
        <v>3.2692299999999901</v>
      </c>
      <c r="AF7314">
        <v>-1.6322422130419501</v>
      </c>
      <c r="AG7314">
        <v>-1.1109987561668999</v>
      </c>
      <c r="AH7314">
        <v>17.367994736717701</v>
      </c>
      <c r="AI7314">
        <v>93.644105174612903</v>
      </c>
      <c r="AJ7314">
        <v>95.368881660520302</v>
      </c>
      <c r="AK7314">
        <v>17.479867678357699</v>
      </c>
      <c r="AL7314">
        <v>87.214822934454801</v>
      </c>
      <c r="AM7314">
        <v>90.191563139676504</v>
      </c>
      <c r="AN7314">
        <v>1.00000004083618</v>
      </c>
    </row>
    <row r="7315" spans="1:40" x14ac:dyDescent="0.25">
      <c r="A7315" t="str">
        <f>"20190312160514582"</f>
        <v>20190312160514582</v>
      </c>
      <c r="B7315" t="str">
        <f>"1552377914572887"</f>
        <v>1552377914572887</v>
      </c>
      <c r="C7315" t="s">
        <v>40</v>
      </c>
      <c r="D7315">
        <v>5.8840430000000001</v>
      </c>
      <c r="E7315">
        <v>0.46766219999999997</v>
      </c>
      <c r="F7315" t="s">
        <v>121</v>
      </c>
      <c r="G7315">
        <v>-251.19069999999999</v>
      </c>
      <c r="H7315" s="1">
        <v>-5.9792910000000003E-7</v>
      </c>
      <c r="I7315">
        <v>-64.66028</v>
      </c>
      <c r="J7315">
        <v>-268.65109999999999</v>
      </c>
      <c r="K7315">
        <v>1.1109800000000001</v>
      </c>
      <c r="L7315">
        <v>-67.938109999999995</v>
      </c>
      <c r="M7315">
        <v>0.99544169999999998</v>
      </c>
      <c r="N7315">
        <v>0</v>
      </c>
      <c r="O7315">
        <v>9.4398220000000005E-2</v>
      </c>
      <c r="P7315">
        <v>0.99472329999999998</v>
      </c>
      <c r="Q7315">
        <v>3.5557699999999998E-2</v>
      </c>
      <c r="R7315">
        <v>9.6235730000000005E-2</v>
      </c>
      <c r="S7315">
        <v>2.968445</v>
      </c>
      <c r="T7315">
        <v>-0.1877472</v>
      </c>
      <c r="U7315">
        <v>0.55569460000000004</v>
      </c>
      <c r="V7315">
        <v>-1.9615430000000001E-3</v>
      </c>
      <c r="W7315">
        <v>4.9144319999999998E-2</v>
      </c>
      <c r="X7315">
        <v>0.99878979999999995</v>
      </c>
      <c r="Y7315">
        <v>-9.0394710000000003E-2</v>
      </c>
      <c r="Z7315">
        <v>-3.0630840000000002E-3</v>
      </c>
      <c r="AA7315">
        <v>0.99590129999999999</v>
      </c>
      <c r="AB7315">
        <v>21</v>
      </c>
      <c r="AC7315">
        <v>17.4603999999999</v>
      </c>
      <c r="AD7315">
        <v>-1.1109805979291001</v>
      </c>
      <c r="AE7315">
        <v>3.27782999999999</v>
      </c>
      <c r="AF7315">
        <v>-1.6085166577144701</v>
      </c>
      <c r="AG7315">
        <v>-1.1109805979291001</v>
      </c>
      <c r="AH7315">
        <v>17.6229470251563</v>
      </c>
      <c r="AI7315">
        <v>93.592356405075904</v>
      </c>
      <c r="AJ7315">
        <v>95.215163926319804</v>
      </c>
      <c r="AK7315">
        <v>17.731042427860402</v>
      </c>
      <c r="AL7315">
        <v>87.183103329774397</v>
      </c>
      <c r="AM7315">
        <v>90.112524167488303</v>
      </c>
      <c r="AN7315">
        <v>1.0000000382116201</v>
      </c>
    </row>
    <row r="7316" spans="1:40" x14ac:dyDescent="0.25">
      <c r="A7316" t="str">
        <f>"20190312160514595"</f>
        <v>20190312160514595</v>
      </c>
      <c r="B7316" t="str">
        <f>"1552377914582647"</f>
        <v>1552377914582647</v>
      </c>
      <c r="C7316" t="s">
        <v>40</v>
      </c>
      <c r="D7316">
        <v>5.8212950000000001</v>
      </c>
      <c r="E7316">
        <v>0.46850239999999999</v>
      </c>
      <c r="F7316" t="s">
        <v>121</v>
      </c>
      <c r="G7316">
        <v>-251.05</v>
      </c>
      <c r="H7316" s="1">
        <v>-5.4433179999999997E-7</v>
      </c>
      <c r="I7316">
        <v>-64.690759999999997</v>
      </c>
      <c r="J7316">
        <v>-268.54610000000002</v>
      </c>
      <c r="K7316">
        <v>1.110962</v>
      </c>
      <c r="L7316">
        <v>-67.927610000000001</v>
      </c>
      <c r="M7316">
        <v>0.99539659999999996</v>
      </c>
      <c r="N7316">
        <v>0</v>
      </c>
      <c r="O7316">
        <v>9.4873200000000005E-2</v>
      </c>
      <c r="P7316">
        <v>0.99476730000000002</v>
      </c>
      <c r="Q7316">
        <v>3.6334140000000001E-2</v>
      </c>
      <c r="R7316">
        <v>9.5487249999999996E-2</v>
      </c>
      <c r="S7316">
        <v>2.9696039999999999</v>
      </c>
      <c r="T7316">
        <v>-0.18744050000000001</v>
      </c>
      <c r="U7316">
        <v>0.54788210000000004</v>
      </c>
      <c r="V7316">
        <v>-7.3419139999999995E-4</v>
      </c>
      <c r="W7316">
        <v>4.992108E-2</v>
      </c>
      <c r="X7316">
        <v>0.99875290000000005</v>
      </c>
      <c r="Y7316">
        <v>-8.7322880000000005E-2</v>
      </c>
      <c r="Z7316">
        <v>-3.1833429999999999E-3</v>
      </c>
      <c r="AA7316">
        <v>0.99617500000000003</v>
      </c>
      <c r="AB7316">
        <v>21</v>
      </c>
      <c r="AC7316">
        <v>17.496099999999998</v>
      </c>
      <c r="AD7316">
        <v>-1.1109625443318001</v>
      </c>
      <c r="AE7316">
        <v>3.23685</v>
      </c>
      <c r="AF7316">
        <v>-1.5561161898109801</v>
      </c>
      <c r="AG7316">
        <v>-1.1109625443318001</v>
      </c>
      <c r="AH7316">
        <v>17.655455260282501</v>
      </c>
      <c r="AI7316">
        <v>93.586699305845997</v>
      </c>
      <c r="AJ7316">
        <v>95.036918495361803</v>
      </c>
      <c r="AK7316">
        <v>17.758683392046201</v>
      </c>
      <c r="AL7316">
        <v>87.138543466424096</v>
      </c>
      <c r="AM7316">
        <v>90.042118587087401</v>
      </c>
      <c r="AN7316">
        <v>1.00000000426189</v>
      </c>
    </row>
    <row r="7317" spans="1:40" x14ac:dyDescent="0.25">
      <c r="A7317" t="str">
        <f>"20190312160514605"</f>
        <v>20190312160514605</v>
      </c>
      <c r="B7317" t="str">
        <f>"1552377914592407"</f>
        <v>1552377914592407</v>
      </c>
      <c r="C7317" t="s">
        <v>40</v>
      </c>
      <c r="D7317">
        <v>5.8449540000000004</v>
      </c>
      <c r="E7317">
        <v>0.46956819999999999</v>
      </c>
      <c r="F7317" t="s">
        <v>121</v>
      </c>
      <c r="G7317">
        <v>-250.65710000000001</v>
      </c>
      <c r="H7317" s="1">
        <v>-3.7357970000000001E-7</v>
      </c>
      <c r="I7317">
        <v>-64.680769999999995</v>
      </c>
      <c r="J7317">
        <v>-268.43950000000001</v>
      </c>
      <c r="K7317">
        <v>1.110948</v>
      </c>
      <c r="L7317">
        <v>-67.916869999999903</v>
      </c>
      <c r="M7317">
        <v>0.99535130000000005</v>
      </c>
      <c r="N7317">
        <v>0</v>
      </c>
      <c r="O7317">
        <v>9.5345620000000006E-2</v>
      </c>
      <c r="P7317">
        <v>0.99478979999999995</v>
      </c>
      <c r="Q7317">
        <v>3.7006860000000003E-2</v>
      </c>
      <c r="R7317">
        <v>9.4992499999999994E-2</v>
      </c>
      <c r="S7317">
        <v>2.9707340000000002</v>
      </c>
      <c r="T7317">
        <v>-0.1844913</v>
      </c>
      <c r="U7317">
        <v>0.53918459999999901</v>
      </c>
      <c r="V7317">
        <v>2.363748E-4</v>
      </c>
      <c r="W7317">
        <v>5.0593050000000001E-2</v>
      </c>
      <c r="X7317">
        <v>0.99871929999999998</v>
      </c>
      <c r="Y7317">
        <v>-8.3966639999999995E-2</v>
      </c>
      <c r="Z7317">
        <v>-3.2653270000000002E-3</v>
      </c>
      <c r="AA7317">
        <v>0.99646319999999999</v>
      </c>
      <c r="AB7317">
        <v>21</v>
      </c>
      <c r="AC7317">
        <v>17.7823999999999</v>
      </c>
      <c r="AD7317">
        <v>-1.1109483735796899</v>
      </c>
      <c r="AE7317">
        <v>3.2360999999999902</v>
      </c>
      <c r="AF7317">
        <v>-1.5199811020443399</v>
      </c>
      <c r="AG7317">
        <v>-1.1109483735796899</v>
      </c>
      <c r="AH7317">
        <v>17.942164196329099</v>
      </c>
      <c r="AI7317">
        <v>93.530520132032507</v>
      </c>
      <c r="AJ7317">
        <v>94.842284170734501</v>
      </c>
      <c r="AK7317">
        <v>18.040670854692799</v>
      </c>
      <c r="AL7317">
        <v>87.099993625246896</v>
      </c>
      <c r="AM7317">
        <v>89.986439354711194</v>
      </c>
      <c r="AN7317">
        <v>0.99999997638691895</v>
      </c>
    </row>
    <row r="7318" spans="1:40" x14ac:dyDescent="0.25">
      <c r="A7318" t="str">
        <f>"20190312160514617"</f>
        <v>20190312160514617</v>
      </c>
      <c r="B7318" t="str">
        <f>"1552377914612902"</f>
        <v>1552377914612902</v>
      </c>
      <c r="C7318" t="s">
        <v>40</v>
      </c>
      <c r="D7318">
        <v>5.8307089999999997</v>
      </c>
      <c r="E7318">
        <v>0.47138000000000002</v>
      </c>
      <c r="F7318" t="s">
        <v>121</v>
      </c>
      <c r="G7318">
        <v>-250.3211</v>
      </c>
      <c r="H7318" s="1">
        <v>-2.3132159999999999E-7</v>
      </c>
      <c r="I7318">
        <v>-64.689279999999997</v>
      </c>
      <c r="J7318">
        <v>-268.3295</v>
      </c>
      <c r="K7318">
        <v>1.110932</v>
      </c>
      <c r="L7318">
        <v>-67.905760000000001</v>
      </c>
      <c r="M7318">
        <v>0.99530649999999998</v>
      </c>
      <c r="N7318">
        <v>0</v>
      </c>
      <c r="O7318">
        <v>9.581336E-2</v>
      </c>
      <c r="P7318">
        <v>0.99478299999999997</v>
      </c>
      <c r="Q7318">
        <v>3.7740610000000001E-2</v>
      </c>
      <c r="R7318">
        <v>9.4777120000000006E-2</v>
      </c>
      <c r="S7318">
        <v>2.9719540000000002</v>
      </c>
      <c r="T7318">
        <v>-0.1822278</v>
      </c>
      <c r="U7318">
        <v>0.52941890000000003</v>
      </c>
      <c r="V7318">
        <v>9.2080389999999997E-4</v>
      </c>
      <c r="W7318">
        <v>5.1325950000000002E-2</v>
      </c>
      <c r="X7318">
        <v>0.9986815</v>
      </c>
      <c r="Y7318">
        <v>-8.0261100000000002E-2</v>
      </c>
      <c r="Z7318">
        <v>-3.366019E-3</v>
      </c>
      <c r="AA7318">
        <v>0.99676819999999999</v>
      </c>
      <c r="AB7318">
        <v>21</v>
      </c>
      <c r="AC7318">
        <v>18.008399999999899</v>
      </c>
      <c r="AD7318">
        <v>-1.1109322313215999</v>
      </c>
      <c r="AE7318">
        <v>3.21647999999999</v>
      </c>
      <c r="AF7318">
        <v>-1.4706508065549999</v>
      </c>
      <c r="AG7318">
        <v>-1.1109322313215999</v>
      </c>
      <c r="AH7318">
        <v>18.1667456469523</v>
      </c>
      <c r="AI7318">
        <v>93.488009755865605</v>
      </c>
      <c r="AJ7318">
        <v>94.628167280347398</v>
      </c>
      <c r="AK7318">
        <v>18.260000865785099</v>
      </c>
      <c r="AL7318">
        <v>87.057946896481397</v>
      </c>
      <c r="AM7318">
        <v>89.9471721842459</v>
      </c>
      <c r="AN7318">
        <v>0.99999996973273697</v>
      </c>
    </row>
    <row r="7319" spans="1:40" x14ac:dyDescent="0.25">
      <c r="A7319" t="str">
        <f>"20190312160514628"</f>
        <v>20190312160514628</v>
      </c>
      <c r="B7319" t="str">
        <f>"1552377914622662"</f>
        <v>1552377914622662</v>
      </c>
      <c r="C7319" t="s">
        <v>40</v>
      </c>
      <c r="D7319">
        <v>5.7380199999999997</v>
      </c>
      <c r="E7319">
        <v>0.4723038</v>
      </c>
      <c r="F7319" t="s">
        <v>124</v>
      </c>
      <c r="G7319">
        <v>-249.5856</v>
      </c>
      <c r="H7319" s="1">
        <v>-3.895255E-6</v>
      </c>
      <c r="I7319">
        <v>-64.663380000000004</v>
      </c>
      <c r="J7319">
        <v>-268.22430000000003</v>
      </c>
      <c r="K7319">
        <v>1.110916</v>
      </c>
      <c r="L7319">
        <v>-67.895110000000003</v>
      </c>
      <c r="M7319">
        <v>0.99526389999999998</v>
      </c>
      <c r="N7319">
        <v>0</v>
      </c>
      <c r="O7319">
        <v>9.6254850000000003E-2</v>
      </c>
      <c r="P7319">
        <v>0.99476520000000002</v>
      </c>
      <c r="Q7319">
        <v>3.8382909999999999E-2</v>
      </c>
      <c r="R7319">
        <v>9.4705129999999998E-2</v>
      </c>
      <c r="S7319">
        <v>2.9734189999999998</v>
      </c>
      <c r="T7319">
        <v>-0.17623259999999999</v>
      </c>
      <c r="U7319">
        <v>0.51434329999999995</v>
      </c>
      <c r="V7319">
        <v>1.4352589999999999E-3</v>
      </c>
      <c r="W7319">
        <v>5.1967390000000002E-2</v>
      </c>
      <c r="X7319">
        <v>0.99864770000000003</v>
      </c>
      <c r="Y7319">
        <v>-7.4838429999999997E-2</v>
      </c>
      <c r="Z7319">
        <v>-3.4407769999999999E-3</v>
      </c>
      <c r="AA7319">
        <v>0.99718980000000002</v>
      </c>
      <c r="AB7319">
        <v>21</v>
      </c>
      <c r="AC7319">
        <v>18.6387</v>
      </c>
      <c r="AD7319">
        <v>-1.1109198952549999</v>
      </c>
      <c r="AE7319">
        <v>3.23172999999999</v>
      </c>
      <c r="AF7319">
        <v>-1.4176013071120399</v>
      </c>
      <c r="AG7319">
        <v>-1.1109198952549999</v>
      </c>
      <c r="AH7319">
        <v>18.798405451746099</v>
      </c>
      <c r="AI7319">
        <v>93.372492808381494</v>
      </c>
      <c r="AJ7319">
        <v>94.312553555229599</v>
      </c>
      <c r="AK7319">
        <v>18.884485272515001</v>
      </c>
      <c r="AL7319">
        <v>87.021145914795397</v>
      </c>
      <c r="AM7319">
        <v>89.917654417480193</v>
      </c>
      <c r="AN7319">
        <v>0.99999994915354795</v>
      </c>
    </row>
    <row r="7320" spans="1:40" x14ac:dyDescent="0.25">
      <c r="A7320" t="str">
        <f>"20190312160514639"</f>
        <v>20190312160514639</v>
      </c>
      <c r="B7320" t="str">
        <f>"1552377914632423"</f>
        <v>1552377914632423</v>
      </c>
      <c r="C7320" t="s">
        <v>40</v>
      </c>
      <c r="D7320">
        <v>5.81372</v>
      </c>
      <c r="E7320">
        <v>0.47329179999999998</v>
      </c>
      <c r="F7320" t="s">
        <v>124</v>
      </c>
      <c r="G7320">
        <v>-249.2928</v>
      </c>
      <c r="H7320" s="1">
        <v>-3.7966569999999999E-6</v>
      </c>
      <c r="I7320">
        <v>-64.669370000000001</v>
      </c>
      <c r="J7320">
        <v>-268.12040000000002</v>
      </c>
      <c r="K7320">
        <v>1.1109009999999999</v>
      </c>
      <c r="L7320">
        <v>-67.884519999999995</v>
      </c>
      <c r="M7320">
        <v>0.99522319999999997</v>
      </c>
      <c r="N7320">
        <v>0</v>
      </c>
      <c r="O7320">
        <v>9.667481E-2</v>
      </c>
      <c r="P7320">
        <v>0.99475069999999999</v>
      </c>
      <c r="Q7320">
        <v>3.8697960000000003E-2</v>
      </c>
      <c r="R7320">
        <v>9.4729289999999994E-2</v>
      </c>
      <c r="S7320">
        <v>2.9742739999999999</v>
      </c>
      <c r="T7320">
        <v>-0.17453289999999999</v>
      </c>
      <c r="U7320">
        <v>0.50677490000000003</v>
      </c>
      <c r="V7320">
        <v>1.832597E-3</v>
      </c>
      <c r="W7320">
        <v>5.22812E-2</v>
      </c>
      <c r="X7320">
        <v>0.99863069999999998</v>
      </c>
      <c r="Y7320">
        <v>-7.1909239999999999E-2</v>
      </c>
      <c r="Z7320">
        <v>-3.5171019999999998E-3</v>
      </c>
      <c r="AA7320">
        <v>0.99740499999999999</v>
      </c>
      <c r="AB7320">
        <v>21</v>
      </c>
      <c r="AC7320">
        <v>18.8276</v>
      </c>
      <c r="AD7320">
        <v>-1.11090479665699</v>
      </c>
      <c r="AE7320">
        <v>3.2151499999999902</v>
      </c>
      <c r="AF7320">
        <v>-1.37511291656503</v>
      </c>
      <c r="AG7320">
        <v>-1.11090479665699</v>
      </c>
      <c r="AH7320">
        <v>18.986021829473401</v>
      </c>
      <c r="AI7320">
        <v>93.339927695528004</v>
      </c>
      <c r="AJ7320">
        <v>94.142565047639494</v>
      </c>
      <c r="AK7320">
        <v>19.068142801798501</v>
      </c>
      <c r="AL7320">
        <v>87.003141538483902</v>
      </c>
      <c r="AM7320">
        <v>89.894856070635996</v>
      </c>
      <c r="AN7320">
        <v>0.99999997863384604</v>
      </c>
    </row>
    <row r="7321" spans="1:40" x14ac:dyDescent="0.25">
      <c r="A7321" t="str">
        <f>"20190312160514650"</f>
        <v>20190312160514650</v>
      </c>
      <c r="B7321" t="str">
        <f>"1552377914642182"</f>
        <v>1552377914642182</v>
      </c>
      <c r="C7321" t="s">
        <v>40</v>
      </c>
      <c r="D7321">
        <v>5.8876679999999997</v>
      </c>
      <c r="E7321">
        <v>0.4739157</v>
      </c>
      <c r="F7321" t="s">
        <v>124</v>
      </c>
      <c r="G7321">
        <v>-248.97800000000001</v>
      </c>
      <c r="H7321" s="1">
        <v>-3.6904280000000002E-6</v>
      </c>
      <c r="I7321">
        <v>-64.674400000000006</v>
      </c>
      <c r="J7321">
        <v>-268.01499999999999</v>
      </c>
      <c r="K7321">
        <v>1.1108880000000001</v>
      </c>
      <c r="L7321">
        <v>-67.873809999999906</v>
      </c>
      <c r="M7321">
        <v>0.99518209999999996</v>
      </c>
      <c r="N7321">
        <v>0</v>
      </c>
      <c r="O7321">
        <v>9.709711E-2</v>
      </c>
      <c r="P7321">
        <v>0.99470959999999997</v>
      </c>
      <c r="Q7321">
        <v>3.9224740000000001E-2</v>
      </c>
      <c r="R7321">
        <v>9.4946500000000003E-2</v>
      </c>
      <c r="S7321">
        <v>2.9750670000000001</v>
      </c>
      <c r="T7321">
        <v>-0.17265459999999999</v>
      </c>
      <c r="U7321">
        <v>0.49890139999999999</v>
      </c>
      <c r="V7321">
        <v>2.0371360000000002E-3</v>
      </c>
      <c r="W7321">
        <v>5.2806899999999997E-2</v>
      </c>
      <c r="X7321">
        <v>0.99860269999999995</v>
      </c>
      <c r="Y7321">
        <v>-6.8880060000000007E-2</v>
      </c>
      <c r="Z7321">
        <v>-3.5906890000000002E-3</v>
      </c>
      <c r="AA7321">
        <v>0.99761849999999996</v>
      </c>
      <c r="AB7321">
        <v>21</v>
      </c>
      <c r="AC7321">
        <v>19.036999999999999</v>
      </c>
      <c r="AD7321">
        <v>-1.110891690428</v>
      </c>
      <c r="AE7321">
        <v>3.1994099999999799</v>
      </c>
      <c r="AF7321">
        <v>-1.33127249860275</v>
      </c>
      <c r="AG7321">
        <v>-1.110891690428</v>
      </c>
      <c r="AH7321">
        <v>19.194148924853401</v>
      </c>
      <c r="AI7321">
        <v>93.304467559071099</v>
      </c>
      <c r="AJ7321">
        <v>93.967580794916302</v>
      </c>
      <c r="AK7321">
        <v>19.272304474630101</v>
      </c>
      <c r="AL7321">
        <v>86.972979652933802</v>
      </c>
      <c r="AM7321">
        <v>89.883117546964598</v>
      </c>
      <c r="AN7321">
        <v>1.00000003552899</v>
      </c>
    </row>
    <row r="7322" spans="1:40" x14ac:dyDescent="0.25">
      <c r="A7322" t="str">
        <f>"20190312160514660"</f>
        <v>20190312160514660</v>
      </c>
      <c r="B7322" t="str">
        <f>"1552377914652918"</f>
        <v>1552377914652918</v>
      </c>
      <c r="C7322" t="s">
        <v>40</v>
      </c>
      <c r="D7322">
        <v>5.8860080000000004</v>
      </c>
      <c r="E7322">
        <v>0.4744912</v>
      </c>
      <c r="F7322" t="s">
        <v>124</v>
      </c>
      <c r="G7322">
        <v>-248.45959999999999</v>
      </c>
      <c r="H7322" s="1">
        <v>-3.5051749999999999E-6</v>
      </c>
      <c r="I7322">
        <v>-64.624499999999998</v>
      </c>
      <c r="J7322">
        <v>-267.91640000000001</v>
      </c>
      <c r="K7322">
        <v>1.1108750000000001</v>
      </c>
      <c r="L7322">
        <v>-67.863740000000007</v>
      </c>
      <c r="M7322">
        <v>0.99514440000000004</v>
      </c>
      <c r="N7322">
        <v>0</v>
      </c>
      <c r="O7322">
        <v>9.7483159999999999E-2</v>
      </c>
      <c r="P7322">
        <v>0.99465820000000005</v>
      </c>
      <c r="Q7322">
        <v>3.949486E-2</v>
      </c>
      <c r="R7322">
        <v>9.5370510000000006E-2</v>
      </c>
      <c r="S7322">
        <v>2.975403</v>
      </c>
      <c r="T7322">
        <v>-0.1690256</v>
      </c>
      <c r="U7322">
        <v>0.49438480000000001</v>
      </c>
      <c r="V7322">
        <v>1.9986779999999998E-3</v>
      </c>
      <c r="W7322">
        <v>5.3075459999999998E-2</v>
      </c>
      <c r="X7322">
        <v>0.99858849999999999</v>
      </c>
      <c r="Y7322">
        <v>-6.7002889999999996E-2</v>
      </c>
      <c r="Z7322">
        <v>-3.5899949999999999E-3</v>
      </c>
      <c r="AA7322">
        <v>0.99774629999999997</v>
      </c>
      <c r="AB7322">
        <v>21</v>
      </c>
      <c r="AC7322">
        <v>19.456800000000001</v>
      </c>
      <c r="AD7322">
        <v>-1.1108785051750001</v>
      </c>
      <c r="AE7322">
        <v>3.2392400000000001</v>
      </c>
      <c r="AF7322">
        <v>-1.32272818120331</v>
      </c>
      <c r="AG7322">
        <v>-1.1108785051750001</v>
      </c>
      <c r="AH7322">
        <v>19.617689043091399</v>
      </c>
      <c r="AI7322">
        <v>93.233664378179199</v>
      </c>
      <c r="AJ7322">
        <v>93.857345678258099</v>
      </c>
      <c r="AK7322">
        <v>19.693587389961198</v>
      </c>
      <c r="AL7322">
        <v>86.957570568720598</v>
      </c>
      <c r="AM7322">
        <v>89.885322471579897</v>
      </c>
      <c r="AN7322">
        <v>0.99999999575010401</v>
      </c>
    </row>
    <row r="7323" spans="1:40" x14ac:dyDescent="0.25">
      <c r="A7323" t="str">
        <f>"20190312160514672"</f>
        <v>20190312160514672</v>
      </c>
      <c r="B7323" t="str">
        <f>"1552377914662678"</f>
        <v>1552377914662678</v>
      </c>
      <c r="C7323" t="s">
        <v>40</v>
      </c>
      <c r="D7323">
        <v>5.3340100000000001</v>
      </c>
      <c r="E7323">
        <v>0.4748346</v>
      </c>
      <c r="F7323" t="s">
        <v>124</v>
      </c>
      <c r="G7323">
        <v>-248.0437</v>
      </c>
      <c r="H7323" s="1">
        <v>-3.3566670000000001E-6</v>
      </c>
      <c r="I7323">
        <v>-64.585189999999997</v>
      </c>
      <c r="J7323">
        <v>-267.80790000000002</v>
      </c>
      <c r="K7323">
        <v>1.110867</v>
      </c>
      <c r="L7323">
        <v>-67.852599999999995</v>
      </c>
      <c r="M7323">
        <v>0.99510310000000002</v>
      </c>
      <c r="N7323">
        <v>0</v>
      </c>
      <c r="O7323">
        <v>9.7904859999999996E-2</v>
      </c>
      <c r="P7323">
        <v>0.99462629999999996</v>
      </c>
      <c r="Q7323">
        <v>3.9337549999999999E-2</v>
      </c>
      <c r="R7323">
        <v>9.5767340000000006E-2</v>
      </c>
      <c r="S7323">
        <v>2.9756469999999999</v>
      </c>
      <c r="T7323">
        <v>-0.1663377</v>
      </c>
      <c r="U7323">
        <v>0.4909058</v>
      </c>
      <c r="V7323">
        <v>2.0250749999999999E-3</v>
      </c>
      <c r="W7323">
        <v>5.2916900000000003E-2</v>
      </c>
      <c r="X7323">
        <v>0.99859679999999995</v>
      </c>
      <c r="Y7323">
        <v>-6.5432879999999999E-2</v>
      </c>
      <c r="Z7323">
        <v>-3.5998940000000002E-3</v>
      </c>
      <c r="AA7323">
        <v>0.99785049999999997</v>
      </c>
      <c r="AB7323">
        <v>21</v>
      </c>
      <c r="AC7323">
        <v>19.764199999999999</v>
      </c>
      <c r="AD7323">
        <v>-1.110870356667</v>
      </c>
      <c r="AE7323">
        <v>3.2674099999999902</v>
      </c>
      <c r="AF7323">
        <v>-1.31248400480081</v>
      </c>
      <c r="AG7323">
        <v>-1.110870356667</v>
      </c>
      <c r="AH7323">
        <v>19.927875636443499</v>
      </c>
      <c r="AI7323">
        <v>93.183741522792999</v>
      </c>
      <c r="AJ7323">
        <v>93.768155955523198</v>
      </c>
      <c r="AK7323">
        <v>20.001921772513199</v>
      </c>
      <c r="AL7323">
        <v>86.966667985120793</v>
      </c>
      <c r="AM7323">
        <v>89.883808868960998</v>
      </c>
      <c r="AN7323">
        <v>0.99999993410230004</v>
      </c>
    </row>
    <row r="7324" spans="1:40" x14ac:dyDescent="0.25">
      <c r="A7324" t="str">
        <f>"20190312160514683"</f>
        <v>20190312160514683</v>
      </c>
      <c r="B7324" t="str">
        <f>"1552377914672438"</f>
        <v>1552377914672438</v>
      </c>
      <c r="C7324" t="s">
        <v>40</v>
      </c>
      <c r="D7324">
        <v>5.8626860000000001</v>
      </c>
      <c r="E7324">
        <v>0.47533229999999999</v>
      </c>
      <c r="F7324" t="s">
        <v>124</v>
      </c>
      <c r="G7324">
        <v>-247.6508</v>
      </c>
      <c r="H7324" s="1">
        <v>-3.214559E-6</v>
      </c>
      <c r="I7324">
        <v>-64.537970000000001</v>
      </c>
      <c r="J7324">
        <v>-267.70519999999999</v>
      </c>
      <c r="K7324">
        <v>1.110859</v>
      </c>
      <c r="L7324">
        <v>-67.842010000000002</v>
      </c>
      <c r="M7324">
        <v>0.99506410000000001</v>
      </c>
      <c r="N7324">
        <v>0</v>
      </c>
      <c r="O7324">
        <v>9.8300360000000003E-2</v>
      </c>
      <c r="P7324">
        <v>0.9945737</v>
      </c>
      <c r="Q7324">
        <v>3.894338E-2</v>
      </c>
      <c r="R7324">
        <v>9.6471609999999999E-2</v>
      </c>
      <c r="S7324">
        <v>2.9755549999999999</v>
      </c>
      <c r="T7324">
        <v>-0.16398409999999999</v>
      </c>
      <c r="U7324">
        <v>0.48928830000000001</v>
      </c>
      <c r="V7324">
        <v>1.717304E-3</v>
      </c>
      <c r="W7324">
        <v>5.2521680000000001E-2</v>
      </c>
      <c r="X7324">
        <v>0.99861829999999996</v>
      </c>
      <c r="Y7324">
        <v>-6.4513680000000004E-2</v>
      </c>
      <c r="Z7324">
        <v>-3.5959429999999999E-3</v>
      </c>
      <c r="AA7324">
        <v>0.99791030000000003</v>
      </c>
      <c r="AB7324">
        <v>21</v>
      </c>
      <c r="AC7324">
        <v>20.054399999999902</v>
      </c>
      <c r="AD7324">
        <v>-1.1108622145589999</v>
      </c>
      <c r="AE7324">
        <v>3.3040400000000001</v>
      </c>
      <c r="AF7324">
        <v>-1.3125773058413399</v>
      </c>
      <c r="AG7324">
        <v>-1.1108622145589999</v>
      </c>
      <c r="AH7324">
        <v>20.221665751908098</v>
      </c>
      <c r="AI7324">
        <v>93.137750876947095</v>
      </c>
      <c r="AJ7324">
        <v>93.713827930571497</v>
      </c>
      <c r="AK7324">
        <v>20.294645594970099</v>
      </c>
      <c r="AL7324">
        <v>86.989344134729706</v>
      </c>
      <c r="AM7324">
        <v>89.901469686318194</v>
      </c>
      <c r="AN7324">
        <v>0.99999999254896998</v>
      </c>
    </row>
    <row r="7325" spans="1:40" x14ac:dyDescent="0.25">
      <c r="A7325" t="str">
        <f>"20190312160514694"</f>
        <v>20190312160514694</v>
      </c>
      <c r="B7325" t="str">
        <f>"1552377914682199"</f>
        <v>1552377914682199</v>
      </c>
      <c r="C7325" t="s">
        <v>40</v>
      </c>
      <c r="D7325">
        <v>5.8858779999999999</v>
      </c>
      <c r="E7325">
        <v>0.47580050000000002</v>
      </c>
      <c r="F7325" t="s">
        <v>124</v>
      </c>
      <c r="G7325">
        <v>-247.4469</v>
      </c>
      <c r="H7325" s="1">
        <v>-3.1426190000000001E-6</v>
      </c>
      <c r="I7325">
        <v>-64.523569999999907</v>
      </c>
      <c r="J7325">
        <v>-267.60149999999999</v>
      </c>
      <c r="K7325">
        <v>1.1108530000000001</v>
      </c>
      <c r="L7325">
        <v>-67.831299999999999</v>
      </c>
      <c r="M7325">
        <v>0.99502480000000004</v>
      </c>
      <c r="N7325">
        <v>0</v>
      </c>
      <c r="O7325">
        <v>9.8697080000000006E-2</v>
      </c>
      <c r="P7325">
        <v>0.99451990000000001</v>
      </c>
      <c r="Q7325">
        <v>3.8687649999999997E-2</v>
      </c>
      <c r="R7325">
        <v>9.7127389999999994E-2</v>
      </c>
      <c r="S7325">
        <v>2.9754939999999999</v>
      </c>
      <c r="T7325">
        <v>-0.1631609</v>
      </c>
      <c r="U7325">
        <v>0.4873962</v>
      </c>
      <c r="V7325">
        <v>1.4585139999999999E-3</v>
      </c>
      <c r="W7325">
        <v>5.2264060000000001E-2</v>
      </c>
      <c r="X7325">
        <v>0.99863230000000003</v>
      </c>
      <c r="Y7325">
        <v>-6.3502680000000006E-2</v>
      </c>
      <c r="Z7325">
        <v>-3.6271599999999999E-3</v>
      </c>
      <c r="AA7325">
        <v>0.9979751</v>
      </c>
      <c r="AB7325">
        <v>21</v>
      </c>
      <c r="AC7325">
        <v>20.154599999999899</v>
      </c>
      <c r="AD7325">
        <v>-1.110856142619</v>
      </c>
      <c r="AE7325">
        <v>3.3077299999999998</v>
      </c>
      <c r="AF7325">
        <v>-1.29835260853021</v>
      </c>
      <c r="AG7325">
        <v>-1.110856142619</v>
      </c>
      <c r="AH7325">
        <v>20.322553108152199</v>
      </c>
      <c r="AI7325">
        <v>93.122392262099495</v>
      </c>
      <c r="AJ7325">
        <v>93.655503404254105</v>
      </c>
      <c r="AK7325">
        <v>20.394261097165</v>
      </c>
      <c r="AL7325">
        <v>87.004125191341004</v>
      </c>
      <c r="AM7325">
        <v>89.916318912233905</v>
      </c>
      <c r="AN7325">
        <v>1.00000006491702</v>
      </c>
    </row>
    <row r="7326" spans="1:40" x14ac:dyDescent="0.25">
      <c r="A7326" t="str">
        <f>"20190312160514705"</f>
        <v>20190312160514705</v>
      </c>
      <c r="B7326" t="str">
        <f>"1552377914702694"</f>
        <v>1552377914702694</v>
      </c>
      <c r="C7326" t="s">
        <v>40</v>
      </c>
      <c r="D7326">
        <v>5.857958</v>
      </c>
      <c r="E7326">
        <v>0.47659760000000001</v>
      </c>
      <c r="F7326" t="s">
        <v>124</v>
      </c>
      <c r="G7326">
        <v>-247.2302</v>
      </c>
      <c r="H7326" s="1">
        <v>-3.065811E-6</v>
      </c>
      <c r="I7326">
        <v>-64.506200000000007</v>
      </c>
      <c r="J7326">
        <v>-267.49340000000001</v>
      </c>
      <c r="K7326">
        <v>1.1108439999999999</v>
      </c>
      <c r="L7326">
        <v>-67.820070000000001</v>
      </c>
      <c r="M7326">
        <v>0.99498390000000003</v>
      </c>
      <c r="N7326">
        <v>0</v>
      </c>
      <c r="O7326">
        <v>9.9109729999999993E-2</v>
      </c>
      <c r="P7326">
        <v>0.99440419999999996</v>
      </c>
      <c r="Q7326">
        <v>3.8590430000000002E-2</v>
      </c>
      <c r="R7326">
        <v>9.8342219999999994E-2</v>
      </c>
      <c r="S7326">
        <v>2.9754330000000002</v>
      </c>
      <c r="T7326">
        <v>-0.16225209999999901</v>
      </c>
      <c r="U7326">
        <v>0.4856567</v>
      </c>
      <c r="V7326">
        <v>6.5335449999999896E-4</v>
      </c>
      <c r="W7326">
        <v>5.2165490000000002E-2</v>
      </c>
      <c r="X7326">
        <v>0.99863820000000003</v>
      </c>
      <c r="Y7326">
        <v>-6.2525230000000001E-2</v>
      </c>
      <c r="Z7326">
        <v>-3.6558889999999998E-3</v>
      </c>
      <c r="AA7326">
        <v>0.9980367</v>
      </c>
      <c r="AB7326">
        <v>21</v>
      </c>
      <c r="AC7326">
        <v>20.263200000000001</v>
      </c>
      <c r="AD7326">
        <v>-1.1108470658109999</v>
      </c>
      <c r="AE7326">
        <v>3.3138699999999899</v>
      </c>
      <c r="AF7326">
        <v>-1.2853236091017699</v>
      </c>
      <c r="AG7326">
        <v>-1.1108470658109999</v>
      </c>
      <c r="AH7326">
        <v>20.4320773063926</v>
      </c>
      <c r="AI7326">
        <v>93.105854338987001</v>
      </c>
      <c r="AJ7326">
        <v>93.599570592089705</v>
      </c>
      <c r="AK7326">
        <v>20.502580838473499</v>
      </c>
      <c r="AL7326">
        <v>87.009780236129302</v>
      </c>
      <c r="AM7326">
        <v>89.962514502214304</v>
      </c>
      <c r="AN7326">
        <v>0.99999995985914003</v>
      </c>
    </row>
    <row r="7327" spans="1:40" x14ac:dyDescent="0.25">
      <c r="A7327" t="str">
        <f>"20190312160514718"</f>
        <v>20190312160514718</v>
      </c>
      <c r="B7327" t="str">
        <f>"1552377914712454"</f>
        <v>1552377914712454</v>
      </c>
      <c r="C7327" t="s">
        <v>40</v>
      </c>
      <c r="D7327">
        <v>5.8856489999999999</v>
      </c>
      <c r="E7327">
        <v>0.4770085</v>
      </c>
      <c r="F7327" t="s">
        <v>124</v>
      </c>
      <c r="G7327">
        <v>-246.7783</v>
      </c>
      <c r="H7327" s="1">
        <v>-2.9036909999999998E-6</v>
      </c>
      <c r="I7327">
        <v>-64.459140000000005</v>
      </c>
      <c r="J7327">
        <v>-267.38400000000001</v>
      </c>
      <c r="K7327">
        <v>1.1108420000000001</v>
      </c>
      <c r="L7327">
        <v>-67.808689999999999</v>
      </c>
      <c r="M7327">
        <v>0.9949422</v>
      </c>
      <c r="N7327">
        <v>0</v>
      </c>
      <c r="O7327">
        <v>9.9527180000000007E-2</v>
      </c>
      <c r="P7327">
        <v>0.99428490000000003</v>
      </c>
      <c r="Q7327">
        <v>3.8651629999999999E-2</v>
      </c>
      <c r="R7327">
        <v>9.9518640000000005E-2</v>
      </c>
      <c r="S7327">
        <v>2.9753419999999999</v>
      </c>
      <c r="T7327">
        <v>-0.15955320000000001</v>
      </c>
      <c r="U7327">
        <v>0.48272710000000002</v>
      </c>
      <c r="V7327">
        <v>-1.1030070000000001E-4</v>
      </c>
      <c r="W7327">
        <v>5.222454E-2</v>
      </c>
      <c r="X7327">
        <v>0.99863539999999995</v>
      </c>
      <c r="Y7327">
        <v>-6.1154710000000001E-2</v>
      </c>
      <c r="Z7327">
        <v>-3.6541540000000002E-3</v>
      </c>
      <c r="AA7327">
        <v>0.99812160000000005</v>
      </c>
      <c r="AB7327">
        <v>21</v>
      </c>
      <c r="AC7327">
        <v>20.605699999999999</v>
      </c>
      <c r="AD7327">
        <v>-1.110844903691</v>
      </c>
      <c r="AE7327">
        <v>3.34954999999999</v>
      </c>
      <c r="AF7327">
        <v>-1.2782802466641501</v>
      </c>
      <c r="AG7327">
        <v>-1.110844903691</v>
      </c>
      <c r="AH7327">
        <v>20.777941351659901</v>
      </c>
      <c r="AI7327">
        <v>93.054509781115001</v>
      </c>
      <c r="AJ7327">
        <v>93.520458097506904</v>
      </c>
      <c r="AK7327">
        <v>20.846842053464201</v>
      </c>
      <c r="AL7327">
        <v>87.006392537608505</v>
      </c>
      <c r="AM7327">
        <v>90.006328400296695</v>
      </c>
      <c r="AN7327">
        <v>1.0000000384387999</v>
      </c>
    </row>
    <row r="7328" spans="1:40" x14ac:dyDescent="0.25">
      <c r="A7328" t="str">
        <f>"20190312160514730"</f>
        <v>20190312160514730</v>
      </c>
      <c r="B7328" t="str">
        <f>"1552377914722215"</f>
        <v>1552377914722215</v>
      </c>
      <c r="C7328" t="s">
        <v>40</v>
      </c>
      <c r="D7328">
        <v>5.7910589999999997</v>
      </c>
      <c r="E7328">
        <v>0.47743419999999998</v>
      </c>
      <c r="F7328" t="s">
        <v>124</v>
      </c>
      <c r="G7328">
        <v>-246.47460000000001</v>
      </c>
      <c r="H7328" s="1">
        <v>-2.7924569999999998E-6</v>
      </c>
      <c r="I7328">
        <v>-64.414829999999995</v>
      </c>
      <c r="J7328">
        <v>-267.27609999999999</v>
      </c>
      <c r="K7328">
        <v>1.1108389999999999</v>
      </c>
      <c r="L7328">
        <v>-67.797389999999993</v>
      </c>
      <c r="M7328">
        <v>0.99490080000000003</v>
      </c>
      <c r="N7328">
        <v>0</v>
      </c>
      <c r="O7328">
        <v>9.9939500000000001E-2</v>
      </c>
      <c r="P7328">
        <v>0.99412880000000003</v>
      </c>
      <c r="Q7328">
        <v>3.858085E-2</v>
      </c>
      <c r="R7328">
        <v>0.1010944</v>
      </c>
      <c r="S7328">
        <v>2.9750670000000001</v>
      </c>
      <c r="T7328">
        <v>-0.15805459999999999</v>
      </c>
      <c r="U7328">
        <v>0.48287960000000002</v>
      </c>
      <c r="V7328">
        <v>-1.2793430000000001E-3</v>
      </c>
      <c r="W7328">
        <v>5.2150729999999999E-2</v>
      </c>
      <c r="X7328">
        <v>0.99863840000000004</v>
      </c>
      <c r="Y7328">
        <v>-6.0805539999999998E-2</v>
      </c>
      <c r="Z7328">
        <v>-3.6509799999999999E-3</v>
      </c>
      <c r="AA7328">
        <v>0.998143</v>
      </c>
      <c r="AB7328">
        <v>21</v>
      </c>
      <c r="AC7328">
        <v>20.801499999999901</v>
      </c>
      <c r="AD7328">
        <v>-1.110841792457</v>
      </c>
      <c r="AE7328">
        <v>3.38255999999999</v>
      </c>
      <c r="AF7328">
        <v>-1.2829743271167899</v>
      </c>
      <c r="AG7328">
        <v>-1.110841792457</v>
      </c>
      <c r="AH7328">
        <v>20.9771399237456</v>
      </c>
      <c r="AI7328">
        <v>93.025616415567896</v>
      </c>
      <c r="AJ7328">
        <v>93.499884312729193</v>
      </c>
      <c r="AK7328">
        <v>21.0456739495867</v>
      </c>
      <c r="AL7328">
        <v>87.010627178668301</v>
      </c>
      <c r="AM7328">
        <v>90.073400856956297</v>
      </c>
      <c r="AN7328">
        <v>0.99999999465630196</v>
      </c>
    </row>
    <row r="7329" spans="1:40" x14ac:dyDescent="0.25">
      <c r="A7329" t="str">
        <f>"20190312160514740"</f>
        <v>20190312160514740</v>
      </c>
      <c r="B7329" t="str">
        <f>"1552377914732950"</f>
        <v>1552377914732950</v>
      </c>
      <c r="C7329" t="s">
        <v>40</v>
      </c>
      <c r="D7329">
        <v>5.9299030000000004</v>
      </c>
      <c r="E7329">
        <v>0.47790339999999998</v>
      </c>
      <c r="F7329" t="s">
        <v>124</v>
      </c>
      <c r="G7329">
        <v>-246.1293</v>
      </c>
      <c r="H7329" s="1">
        <v>-2.6646840000000001E-6</v>
      </c>
      <c r="I7329">
        <v>-64.356899999999996</v>
      </c>
      <c r="J7329">
        <v>-267.17360000000002</v>
      </c>
      <c r="K7329">
        <v>1.1108439999999999</v>
      </c>
      <c r="L7329">
        <v>-67.786649999999995</v>
      </c>
      <c r="M7329">
        <v>0.99486140000000001</v>
      </c>
      <c r="N7329">
        <v>0</v>
      </c>
      <c r="O7329">
        <v>0.1003324</v>
      </c>
      <c r="P7329">
        <v>0.99397990000000003</v>
      </c>
      <c r="Q7329">
        <v>3.854834E-2</v>
      </c>
      <c r="R7329">
        <v>0.1025596</v>
      </c>
      <c r="S7329">
        <v>2.9746090000000001</v>
      </c>
      <c r="T7329">
        <v>-0.15625610000000001</v>
      </c>
      <c r="U7329">
        <v>0.48394779999999998</v>
      </c>
      <c r="V7329">
        <v>-2.3574360000000001E-3</v>
      </c>
      <c r="W7329">
        <v>5.211644E-2</v>
      </c>
      <c r="X7329">
        <v>0.99863820000000003</v>
      </c>
      <c r="Y7329">
        <v>-6.0784199999999997E-2</v>
      </c>
      <c r="Z7329">
        <v>-3.6308E-3</v>
      </c>
      <c r="AA7329">
        <v>0.99814429999999998</v>
      </c>
      <c r="AB7329">
        <v>21</v>
      </c>
      <c r="AC7329">
        <v>21.0443</v>
      </c>
      <c r="AD7329">
        <v>-1.1108466646839901</v>
      </c>
      <c r="AE7329">
        <v>3.4297499999999901</v>
      </c>
      <c r="AF7329">
        <v>-1.2972993451532899</v>
      </c>
      <c r="AG7329">
        <v>-1.1108466646839901</v>
      </c>
      <c r="AH7329">
        <v>21.224627515912299</v>
      </c>
      <c r="AI7329">
        <v>92.990420980642199</v>
      </c>
      <c r="AJ7329">
        <v>93.497701911867907</v>
      </c>
      <c r="AK7329">
        <v>21.2932331761195</v>
      </c>
      <c r="AL7329">
        <v>87.012594445595994</v>
      </c>
      <c r="AM7329">
        <v>90.135255072728697</v>
      </c>
      <c r="AN7329">
        <v>0.99999996766100296</v>
      </c>
    </row>
    <row r="7330" spans="1:40" x14ac:dyDescent="0.25">
      <c r="A7330" t="str">
        <f>"20190312160514751"</f>
        <v>20190312160514751</v>
      </c>
      <c r="B7330" t="str">
        <f>"1552377914742710"</f>
        <v>1552377914742710</v>
      </c>
      <c r="C7330" t="s">
        <v>40</v>
      </c>
      <c r="D7330">
        <v>5.8271990000000002</v>
      </c>
      <c r="E7330">
        <v>0.47846499999999997</v>
      </c>
      <c r="F7330" t="s">
        <v>124</v>
      </c>
      <c r="G7330">
        <v>-245.77080000000001</v>
      </c>
      <c r="H7330" s="1">
        <v>-2.504847E-6</v>
      </c>
      <c r="I7330">
        <v>-64.300019999999904</v>
      </c>
      <c r="J7330">
        <v>-267.0736</v>
      </c>
      <c r="K7330">
        <v>1.1108450000000001</v>
      </c>
      <c r="L7330">
        <v>-67.776089999999996</v>
      </c>
      <c r="M7330">
        <v>0.99482250000000005</v>
      </c>
      <c r="N7330">
        <v>0</v>
      </c>
      <c r="O7330">
        <v>0.1007171</v>
      </c>
      <c r="P7330">
        <v>0.99379150000000005</v>
      </c>
      <c r="Q7330">
        <v>3.8445930000000003E-2</v>
      </c>
      <c r="R7330">
        <v>0.1044059</v>
      </c>
      <c r="S7330">
        <v>2.9741520000000001</v>
      </c>
      <c r="T7330">
        <v>-0.1543638</v>
      </c>
      <c r="U7330">
        <v>0.48449710000000001</v>
      </c>
      <c r="V7330">
        <v>-3.8269689999999999E-3</v>
      </c>
      <c r="W7330">
        <v>5.2011679999999998E-2</v>
      </c>
      <c r="X7330">
        <v>0.99863919999999995</v>
      </c>
      <c r="Y7330">
        <v>-6.0601620000000002E-2</v>
      </c>
      <c r="Z7330">
        <v>-3.6117419999999998E-3</v>
      </c>
      <c r="AA7330">
        <v>0.99815549999999997</v>
      </c>
      <c r="AB7330">
        <v>21</v>
      </c>
      <c r="AC7330">
        <v>21.302799999999898</v>
      </c>
      <c r="AD7330">
        <v>-1.1108475048469999</v>
      </c>
      <c r="AE7330">
        <v>3.47607</v>
      </c>
      <c r="AF7330">
        <v>-1.30916982550431</v>
      </c>
      <c r="AG7330">
        <v>-1.1108475048469999</v>
      </c>
      <c r="AH7330">
        <v>21.487676261387499</v>
      </c>
      <c r="AI7330">
        <v>92.953915287215096</v>
      </c>
      <c r="AJ7330">
        <v>93.486523976758093</v>
      </c>
      <c r="AK7330">
        <v>21.556162435026099</v>
      </c>
      <c r="AL7330">
        <v>87.018605167451895</v>
      </c>
      <c r="AM7330">
        <v>90.219566885285502</v>
      </c>
      <c r="AN7330">
        <v>1.0000000561623901</v>
      </c>
    </row>
    <row r="7331" spans="1:40" x14ac:dyDescent="0.25">
      <c r="A7331" t="str">
        <f>"20190312160514762"</f>
        <v>20190312160514762</v>
      </c>
      <c r="B7331" t="str">
        <f>"1552377914752470"</f>
        <v>1552377914752470</v>
      </c>
      <c r="C7331" t="s">
        <v>40</v>
      </c>
      <c r="D7331">
        <v>6.1101539999999996</v>
      </c>
      <c r="E7331">
        <v>0.47884989999999999</v>
      </c>
      <c r="F7331" t="s">
        <v>124</v>
      </c>
      <c r="G7331">
        <v>-245.60730000000001</v>
      </c>
      <c r="H7331" s="1">
        <v>-2.4271539999999998E-6</v>
      </c>
      <c r="I7331">
        <v>-64.271569999999997</v>
      </c>
      <c r="J7331">
        <v>-266.97039999999998</v>
      </c>
      <c r="K7331">
        <v>1.1108480000000001</v>
      </c>
      <c r="L7331">
        <v>-67.765169999999998</v>
      </c>
      <c r="M7331">
        <v>0.99478200000000006</v>
      </c>
      <c r="N7331">
        <v>0</v>
      </c>
      <c r="O7331">
        <v>0.1011157</v>
      </c>
      <c r="P7331">
        <v>0.99361999999999995</v>
      </c>
      <c r="Q7331">
        <v>3.8365070000000001E-2</v>
      </c>
      <c r="R7331">
        <v>0.1060531</v>
      </c>
      <c r="S7331">
        <v>2.9737239999999998</v>
      </c>
      <c r="T7331">
        <v>-0.15388579999999999</v>
      </c>
      <c r="U7331">
        <v>0.48547360000000001</v>
      </c>
      <c r="V7331">
        <v>-5.0831729999999999E-3</v>
      </c>
      <c r="W7331">
        <v>5.1927870000000001E-2</v>
      </c>
      <c r="X7331">
        <v>0.99863789999999997</v>
      </c>
      <c r="Y7331">
        <v>-6.0544069999999998E-2</v>
      </c>
      <c r="Z7331">
        <v>-3.6227579999999998E-3</v>
      </c>
      <c r="AA7331">
        <v>0.99815889999999996</v>
      </c>
      <c r="AB7331">
        <v>21</v>
      </c>
      <c r="AC7331">
        <v>21.3630999999999</v>
      </c>
      <c r="AD7331">
        <v>-1.1108504271540001</v>
      </c>
      <c r="AE7331">
        <v>3.4935999999999998</v>
      </c>
      <c r="AF7331">
        <v>-1.31189208979831</v>
      </c>
      <c r="AG7331">
        <v>-1.1108504271540001</v>
      </c>
      <c r="AH7331">
        <v>21.550126660815099</v>
      </c>
      <c r="AI7331">
        <v>92.945386888585901</v>
      </c>
      <c r="AJ7331">
        <v>93.483656221421896</v>
      </c>
      <c r="AK7331">
        <v>21.618580171323799</v>
      </c>
      <c r="AL7331">
        <v>87.023413453504702</v>
      </c>
      <c r="AM7331">
        <v>90.291639085771706</v>
      </c>
      <c r="AN7331">
        <v>0.99999999882344703</v>
      </c>
    </row>
    <row r="7332" spans="1:40" x14ac:dyDescent="0.25">
      <c r="A7332" t="str">
        <f>"20190312160514772"</f>
        <v>20190312160514772</v>
      </c>
      <c r="B7332" t="str">
        <f>"1552377914762230"</f>
        <v>1552377914762230</v>
      </c>
      <c r="C7332" t="s">
        <v>40</v>
      </c>
      <c r="D7332">
        <v>5.8790630000000004</v>
      </c>
      <c r="E7332">
        <v>0.4792595</v>
      </c>
      <c r="F7332" t="s">
        <v>124</v>
      </c>
      <c r="G7332">
        <v>-245.21170000000001</v>
      </c>
      <c r="H7332" s="1">
        <v>-2.2378649999999999E-6</v>
      </c>
      <c r="I7332">
        <v>-64.198099999999997</v>
      </c>
      <c r="J7332">
        <v>-266.87209999999999</v>
      </c>
      <c r="K7332">
        <v>1.110846</v>
      </c>
      <c r="L7332">
        <v>-67.754729999999995</v>
      </c>
      <c r="M7332">
        <v>0.99474320000000005</v>
      </c>
      <c r="N7332">
        <v>0</v>
      </c>
      <c r="O7332">
        <v>0.1014969</v>
      </c>
      <c r="P7332">
        <v>0.99345019999999995</v>
      </c>
      <c r="Q7332">
        <v>3.8418580000000001E-2</v>
      </c>
      <c r="R7332">
        <v>0.1076146</v>
      </c>
      <c r="S7332">
        <v>2.9731139999999998</v>
      </c>
      <c r="T7332">
        <v>-0.1517868</v>
      </c>
      <c r="U7332">
        <v>0.4873962</v>
      </c>
      <c r="V7332">
        <v>-6.27124E-3</v>
      </c>
      <c r="W7332">
        <v>5.1979299999999999E-2</v>
      </c>
      <c r="X7332">
        <v>0.99862850000000003</v>
      </c>
      <c r="Y7332">
        <v>-6.0821500000000001E-2</v>
      </c>
      <c r="Z7332">
        <v>-3.5860390000000001E-3</v>
      </c>
      <c r="AA7332">
        <v>0.99814219999999998</v>
      </c>
      <c r="AB7332">
        <v>21</v>
      </c>
      <c r="AC7332">
        <v>21.6603999999999</v>
      </c>
      <c r="AD7332">
        <v>-1.110848237865</v>
      </c>
      <c r="AE7332">
        <v>3.55663000000001</v>
      </c>
      <c r="AF7332">
        <v>-1.3361714984737201</v>
      </c>
      <c r="AG7332">
        <v>-1.110848237865</v>
      </c>
      <c r="AH7332">
        <v>21.853573436229802</v>
      </c>
      <c r="AI7332">
        <v>92.904506836943497</v>
      </c>
      <c r="AJ7332">
        <v>93.498823767573498</v>
      </c>
      <c r="AK7332">
        <v>21.922545701026401</v>
      </c>
      <c r="AL7332">
        <v>87.0204628352718</v>
      </c>
      <c r="AM7332">
        <v>90.359804332678394</v>
      </c>
      <c r="AN7332">
        <v>1.0000000285459301</v>
      </c>
    </row>
    <row r="7333" spans="1:40" x14ac:dyDescent="0.25">
      <c r="A7333" t="str">
        <f>"20190312160514783"</f>
        <v>20190312160514783</v>
      </c>
      <c r="B7333" t="str">
        <f>"1552377914772967"</f>
        <v>1552377914772967</v>
      </c>
      <c r="C7333" t="s">
        <v>40</v>
      </c>
      <c r="D7333">
        <v>6.2827809999999999</v>
      </c>
      <c r="E7333">
        <v>0.4796686</v>
      </c>
      <c r="F7333" t="s">
        <v>124</v>
      </c>
      <c r="G7333">
        <v>-244.80019999999999</v>
      </c>
      <c r="H7333" s="1">
        <v>-2.0419319999999999E-6</v>
      </c>
      <c r="I7333">
        <v>-64.125129999999999</v>
      </c>
      <c r="J7333">
        <v>-266.76859999999999</v>
      </c>
      <c r="K7333">
        <v>1.110849</v>
      </c>
      <c r="L7333">
        <v>-67.743709999999993</v>
      </c>
      <c r="M7333">
        <v>0.99470199999999998</v>
      </c>
      <c r="N7333">
        <v>0</v>
      </c>
      <c r="O7333">
        <v>0.1018994</v>
      </c>
      <c r="P7333">
        <v>0.99328050000000001</v>
      </c>
      <c r="Q7333">
        <v>3.8592050000000003E-2</v>
      </c>
      <c r="R7333">
        <v>0.1091087</v>
      </c>
      <c r="S7333">
        <v>2.9726560000000002</v>
      </c>
      <c r="T7333">
        <v>-0.14960989999999999</v>
      </c>
      <c r="U7333">
        <v>0.4888306</v>
      </c>
      <c r="V7333">
        <v>-7.3711540000000004E-3</v>
      </c>
      <c r="W7333">
        <v>5.214978E-2</v>
      </c>
      <c r="X7333">
        <v>0.99861200000000006</v>
      </c>
      <c r="Y7333">
        <v>-6.091009E-2</v>
      </c>
      <c r="Z7333">
        <v>-3.5527779999999999E-3</v>
      </c>
      <c r="AA7333">
        <v>0.99813689999999999</v>
      </c>
      <c r="AB7333">
        <v>21</v>
      </c>
      <c r="AC7333">
        <v>21.968399999999999</v>
      </c>
      <c r="AD7333">
        <v>-1.1108510419319999</v>
      </c>
      <c r="AE7333">
        <v>3.6185799999999899</v>
      </c>
      <c r="AF7333">
        <v>-1.3575879686446199</v>
      </c>
      <c r="AG7333">
        <v>-1.1108510419319999</v>
      </c>
      <c r="AH7333">
        <v>22.167608794621501</v>
      </c>
      <c r="AI7333">
        <v>92.8634191777887</v>
      </c>
      <c r="AJ7333">
        <v>93.504529280313207</v>
      </c>
      <c r="AK7333">
        <v>22.236904343935802</v>
      </c>
      <c r="AL7333">
        <v>87.0106814903871</v>
      </c>
      <c r="AM7333">
        <v>90.422915350764598</v>
      </c>
      <c r="AN7333">
        <v>0.99999993000466703</v>
      </c>
    </row>
    <row r="7334" spans="1:40" x14ac:dyDescent="0.25">
      <c r="A7334" t="str">
        <f>"20190312160514795"</f>
        <v>20190312160514795</v>
      </c>
      <c r="B7334" t="str">
        <f>"1552377914792487"</f>
        <v>1552377914792487</v>
      </c>
      <c r="C7334" t="s">
        <v>40</v>
      </c>
      <c r="D7334">
        <v>5.8218249999999996</v>
      </c>
      <c r="E7334">
        <v>0.48062319999999997</v>
      </c>
      <c r="F7334" t="s">
        <v>124</v>
      </c>
      <c r="G7334">
        <v>-244.3125</v>
      </c>
      <c r="H7334" s="1">
        <v>-1.8104399999999999E-6</v>
      </c>
      <c r="I7334">
        <v>-64.041510000000002</v>
      </c>
      <c r="J7334">
        <v>-266.66329999999999</v>
      </c>
      <c r="K7334">
        <v>1.110849</v>
      </c>
      <c r="L7334">
        <v>-67.732419999999905</v>
      </c>
      <c r="M7334">
        <v>0.99465990000000004</v>
      </c>
      <c r="N7334">
        <v>0</v>
      </c>
      <c r="O7334">
        <v>0.1023109</v>
      </c>
      <c r="P7334">
        <v>0.99310929999999997</v>
      </c>
      <c r="Q7334">
        <v>3.8984959999999999E-2</v>
      </c>
      <c r="R7334">
        <v>0.1105192</v>
      </c>
      <c r="S7334">
        <v>2.972137</v>
      </c>
      <c r="T7334">
        <v>-0.14702460000000001</v>
      </c>
      <c r="U7334">
        <v>0.48999019999999999</v>
      </c>
      <c r="V7334">
        <v>-8.3790419999999997E-3</v>
      </c>
      <c r="W7334">
        <v>5.2540249999999997E-2</v>
      </c>
      <c r="X7334">
        <v>0.99858369999999996</v>
      </c>
      <c r="Y7334">
        <v>-6.0902980000000002E-2</v>
      </c>
      <c r="Z7334">
        <v>-3.5121449999999999E-3</v>
      </c>
      <c r="AA7334">
        <v>0.99813750000000001</v>
      </c>
      <c r="AB7334">
        <v>21</v>
      </c>
      <c r="AC7334">
        <v>22.3507999999999</v>
      </c>
      <c r="AD7334">
        <v>-1.1108508104399999</v>
      </c>
      <c r="AE7334">
        <v>3.6909099999999802</v>
      </c>
      <c r="AF7334">
        <v>-1.38127580901734</v>
      </c>
      <c r="AG7334">
        <v>-1.1108508104399999</v>
      </c>
      <c r="AH7334">
        <v>22.556906893888101</v>
      </c>
      <c r="AI7334">
        <v>92.814081605731701</v>
      </c>
      <c r="AJ7334">
        <v>93.504140734824006</v>
      </c>
      <c r="AK7334">
        <v>22.6264438435024</v>
      </c>
      <c r="AL7334">
        <v>86.988278842329393</v>
      </c>
      <c r="AM7334">
        <v>90.480753367245001</v>
      </c>
      <c r="AN7334">
        <v>1.00000004606029</v>
      </c>
    </row>
    <row r="7335" spans="1:40" x14ac:dyDescent="0.25">
      <c r="A7335" t="str">
        <f>"20190312160514807"</f>
        <v>20190312160514807</v>
      </c>
      <c r="B7335" t="str">
        <f>"1552377914802246"</f>
        <v>1552377914802246</v>
      </c>
      <c r="C7335" t="s">
        <v>40</v>
      </c>
      <c r="D7335">
        <v>5.8603100000000001</v>
      </c>
      <c r="E7335">
        <v>0.48100710000000002</v>
      </c>
      <c r="F7335" t="s">
        <v>124</v>
      </c>
      <c r="G7335">
        <v>-243.67789999999999</v>
      </c>
      <c r="H7335" s="1">
        <v>-1.519008E-6</v>
      </c>
      <c r="I7335">
        <v>-63.969349999999999</v>
      </c>
      <c r="J7335">
        <v>-266.55619999999999</v>
      </c>
      <c r="K7335">
        <v>1.1108559999999901</v>
      </c>
      <c r="L7335">
        <v>-67.720950000000002</v>
      </c>
      <c r="M7335">
        <v>0.99461659999999996</v>
      </c>
      <c r="N7335">
        <v>0</v>
      </c>
      <c r="O7335">
        <v>0.1027303</v>
      </c>
      <c r="P7335">
        <v>0.99293149999999997</v>
      </c>
      <c r="Q7335">
        <v>3.9100740000000002E-2</v>
      </c>
      <c r="R7335">
        <v>0.11206339999999999</v>
      </c>
      <c r="S7335">
        <v>2.9722900000000001</v>
      </c>
      <c r="T7335">
        <v>-0.14364640000000001</v>
      </c>
      <c r="U7335">
        <v>0.4866028</v>
      </c>
      <c r="V7335">
        <v>-9.5122450000000008E-3</v>
      </c>
      <c r="W7335">
        <v>5.2653579999999998E-2</v>
      </c>
      <c r="X7335">
        <v>0.99856750000000005</v>
      </c>
      <c r="Y7335">
        <v>-5.936611E-2</v>
      </c>
      <c r="Z7335">
        <v>-3.488583E-3</v>
      </c>
      <c r="AA7335">
        <v>0.99823019999999996</v>
      </c>
      <c r="AB7335">
        <v>21</v>
      </c>
      <c r="AC7335">
        <v>22.878299999999999</v>
      </c>
      <c r="AD7335">
        <v>-1.1108575190079999</v>
      </c>
      <c r="AE7335">
        <v>3.7515999999999998</v>
      </c>
      <c r="AF7335">
        <v>-1.3780724423431401</v>
      </c>
      <c r="AG7335">
        <v>-1.1108575190079999</v>
      </c>
      <c r="AH7335">
        <v>23.0896620655259</v>
      </c>
      <c r="AI7335">
        <v>92.749525357839701</v>
      </c>
      <c r="AJ7335">
        <v>93.415562430381499</v>
      </c>
      <c r="AK7335">
        <v>23.1574088011605</v>
      </c>
      <c r="AL7335">
        <v>86.9817762732484</v>
      </c>
      <c r="AM7335">
        <v>90.5457768331528</v>
      </c>
      <c r="AN7335">
        <v>0.99999996717400197</v>
      </c>
    </row>
    <row r="7336" spans="1:40" x14ac:dyDescent="0.25">
      <c r="A7336" t="str">
        <f>"20190312160514818"</f>
        <v>20190312160514818</v>
      </c>
      <c r="B7336" t="str">
        <f>"1552377914812006"</f>
        <v>1552377914812006</v>
      </c>
      <c r="C7336" t="s">
        <v>40</v>
      </c>
      <c r="D7336">
        <v>5.9222809999999999</v>
      </c>
      <c r="E7336">
        <v>0.48139870000000001</v>
      </c>
      <c r="F7336" t="s">
        <v>124</v>
      </c>
      <c r="G7336">
        <v>-243.2441</v>
      </c>
      <c r="H7336" s="1">
        <v>-1.312619E-6</v>
      </c>
      <c r="I7336">
        <v>-63.89311</v>
      </c>
      <c r="J7336">
        <v>-266.44760000000002</v>
      </c>
      <c r="K7336">
        <v>1.1108579999999999</v>
      </c>
      <c r="L7336">
        <v>-67.709230000000005</v>
      </c>
      <c r="M7336">
        <v>0.99457249999999997</v>
      </c>
      <c r="N7336">
        <v>0</v>
      </c>
      <c r="O7336">
        <v>0.10315829999999999</v>
      </c>
      <c r="P7336">
        <v>0.99277110000000002</v>
      </c>
      <c r="Q7336">
        <v>3.9574230000000002E-2</v>
      </c>
      <c r="R7336">
        <v>0.11331280000000001</v>
      </c>
      <c r="S7336">
        <v>2.9718930000000001</v>
      </c>
      <c r="T7336">
        <v>-0.14161509999999999</v>
      </c>
      <c r="U7336">
        <v>0.48797610000000002</v>
      </c>
      <c r="V7336">
        <v>-1.0342870000000001E-2</v>
      </c>
      <c r="W7336">
        <v>5.3124039999999997E-2</v>
      </c>
      <c r="X7336">
        <v>0.99853440000000004</v>
      </c>
      <c r="Y7336">
        <v>-5.9406090000000002E-2</v>
      </c>
      <c r="Z7336">
        <v>-3.4587390000000002E-3</v>
      </c>
      <c r="AA7336">
        <v>0.99822789999999995</v>
      </c>
      <c r="AB7336">
        <v>21</v>
      </c>
      <c r="AC7336">
        <v>23.203499999999998</v>
      </c>
      <c r="AD7336">
        <v>-1.1108593126189901</v>
      </c>
      <c r="AE7336">
        <v>3.8161200000000002</v>
      </c>
      <c r="AF7336">
        <v>-1.3987817607822299</v>
      </c>
      <c r="AG7336">
        <v>-1.1108593126189901</v>
      </c>
      <c r="AH7336">
        <v>23.421118971277998</v>
      </c>
      <c r="AI7336">
        <v>92.710670380887507</v>
      </c>
      <c r="AJ7336">
        <v>93.417821639868194</v>
      </c>
      <c r="AK7336">
        <v>23.489133928127099</v>
      </c>
      <c r="AL7336">
        <v>86.954783352256001</v>
      </c>
      <c r="AM7336">
        <v>90.593451369447195</v>
      </c>
      <c r="AN7336">
        <v>1.0000000432845499</v>
      </c>
    </row>
    <row r="7337" spans="1:40" x14ac:dyDescent="0.25">
      <c r="A7337" t="str">
        <f>"20190312160514829"</f>
        <v>20190312160514829</v>
      </c>
      <c r="B7337" t="str">
        <f>"1552377914822742"</f>
        <v>1552377914822742</v>
      </c>
      <c r="C7337" t="s">
        <v>40</v>
      </c>
      <c r="D7337">
        <v>5.8772710000000004</v>
      </c>
      <c r="E7337">
        <v>0.48187679999999999</v>
      </c>
      <c r="F7337" t="s">
        <v>124</v>
      </c>
      <c r="G7337">
        <v>-242.6053</v>
      </c>
      <c r="H7337" s="1">
        <v>-1.0112190000000001E-6</v>
      </c>
      <c r="I7337">
        <v>-63.790260000000004</v>
      </c>
      <c r="J7337">
        <v>-266.346</v>
      </c>
      <c r="K7337">
        <v>1.110859</v>
      </c>
      <c r="L7337">
        <v>-67.698210000000003</v>
      </c>
      <c r="M7337">
        <v>0.99453069999999999</v>
      </c>
      <c r="N7337">
        <v>0</v>
      </c>
      <c r="O7337">
        <v>0.103559</v>
      </c>
      <c r="P7337">
        <v>0.99261679999999997</v>
      </c>
      <c r="Q7337">
        <v>3.9794910000000003E-2</v>
      </c>
      <c r="R7337">
        <v>0.1145795</v>
      </c>
      <c r="S7337">
        <v>2.9715880000000001</v>
      </c>
      <c r="T7337">
        <v>-0.13845209999999999</v>
      </c>
      <c r="U7337">
        <v>0.48843379999999997</v>
      </c>
      <c r="V7337">
        <v>-1.1216449999999999E-2</v>
      </c>
      <c r="W7337">
        <v>5.3343069999999999E-2</v>
      </c>
      <c r="X7337">
        <v>0.99851319999999999</v>
      </c>
      <c r="Y7337">
        <v>-5.9168579999999998E-2</v>
      </c>
      <c r="Z7337">
        <v>-3.4057369999999998E-3</v>
      </c>
      <c r="AA7337">
        <v>0.99824219999999997</v>
      </c>
      <c r="AB7337">
        <v>21</v>
      </c>
      <c r="AC7337">
        <v>23.7407</v>
      </c>
      <c r="AD7337">
        <v>-1.1108600112189999</v>
      </c>
      <c r="AE7337">
        <v>3.90795</v>
      </c>
      <c r="AF7337">
        <v>-1.4251067897955301</v>
      </c>
      <c r="AG7337">
        <v>-1.1108600112189999</v>
      </c>
      <c r="AH7337">
        <v>23.966681654866601</v>
      </c>
      <c r="AI7337">
        <v>92.649097956520393</v>
      </c>
      <c r="AJ7337">
        <v>93.402914737658193</v>
      </c>
      <c r="AK7337">
        <v>24.034699267362701</v>
      </c>
      <c r="AL7337">
        <v>86.942215757079396</v>
      </c>
      <c r="AM7337">
        <v>90.643585099621504</v>
      </c>
      <c r="AN7337">
        <v>0.99999995122093199</v>
      </c>
    </row>
    <row r="7338" spans="1:40" x14ac:dyDescent="0.25">
      <c r="A7338" t="str">
        <f>"20190312160514840"</f>
        <v>20190312160514840</v>
      </c>
      <c r="B7338" t="str">
        <f>"1552377914832503"</f>
        <v>1552377914832503</v>
      </c>
      <c r="C7338" t="s">
        <v>40</v>
      </c>
      <c r="D7338">
        <v>5.8771240000000002</v>
      </c>
      <c r="E7338">
        <v>0.48225059999999897</v>
      </c>
      <c r="F7338" t="s">
        <v>124</v>
      </c>
      <c r="G7338">
        <v>-242.4265</v>
      </c>
      <c r="H7338" s="1">
        <v>-9.2869870000000005E-7</v>
      </c>
      <c r="I7338">
        <v>-63.768389999999997</v>
      </c>
      <c r="J7338">
        <v>-266.24630000000002</v>
      </c>
      <c r="K7338">
        <v>1.110862</v>
      </c>
      <c r="L7338">
        <v>-67.687380000000005</v>
      </c>
      <c r="M7338">
        <v>0.99448959999999997</v>
      </c>
      <c r="N7338">
        <v>0</v>
      </c>
      <c r="O7338">
        <v>0.103954</v>
      </c>
      <c r="P7338">
        <v>0.99252739999999995</v>
      </c>
      <c r="Q7338">
        <v>3.9775890000000001E-2</v>
      </c>
      <c r="R7338">
        <v>0.11535869999999999</v>
      </c>
      <c r="S7338">
        <v>2.9714969999999998</v>
      </c>
      <c r="T7338">
        <v>-0.13800090000000001</v>
      </c>
      <c r="U7338">
        <v>0.4881897</v>
      </c>
      <c r="V7338">
        <v>-1.160403E-2</v>
      </c>
      <c r="W7338">
        <v>5.3322109999999999E-2</v>
      </c>
      <c r="X7338">
        <v>0.99850989999999995</v>
      </c>
      <c r="Y7338">
        <v>-5.8697739999999998E-2</v>
      </c>
      <c r="Z7338">
        <v>-3.4237009999999999E-3</v>
      </c>
      <c r="AA7338">
        <v>0.99826990000000004</v>
      </c>
      <c r="AB7338">
        <v>21</v>
      </c>
      <c r="AC7338">
        <v>23.819800000000001</v>
      </c>
      <c r="AD7338">
        <v>-1.1108629286987</v>
      </c>
      <c r="AE7338">
        <v>3.91899</v>
      </c>
      <c r="AF7338">
        <v>-1.4183585563673</v>
      </c>
      <c r="AG7338">
        <v>-1.1108629286987</v>
      </c>
      <c r="AH7338">
        <v>24.047232651135101</v>
      </c>
      <c r="AI7338">
        <v>92.640318432613697</v>
      </c>
      <c r="AJ7338">
        <v>93.375520078287806</v>
      </c>
      <c r="AK7338">
        <v>24.1146253468428</v>
      </c>
      <c r="AL7338">
        <v>86.943418417142297</v>
      </c>
      <c r="AM7338">
        <v>90.665824160216502</v>
      </c>
      <c r="AN7338">
        <v>0.99999996066255004</v>
      </c>
    </row>
    <row r="7339" spans="1:40" x14ac:dyDescent="0.25">
      <c r="A7339" t="str">
        <f>"20190312160514851"</f>
        <v>20190312160514851</v>
      </c>
      <c r="B7339" t="str">
        <f>"1552377914842262"</f>
        <v>1552377914842262</v>
      </c>
      <c r="C7339" t="s">
        <v>40</v>
      </c>
      <c r="D7339">
        <v>5.8702079999999999</v>
      </c>
      <c r="E7339">
        <v>0.4826762</v>
      </c>
      <c r="F7339" t="s">
        <v>124</v>
      </c>
      <c r="G7339">
        <v>-242.03700000000001</v>
      </c>
      <c r="H7339" s="1">
        <v>-7.4763369999999895E-7</v>
      </c>
      <c r="I7339">
        <v>-63.715809999999998</v>
      </c>
      <c r="J7339">
        <v>-266.14580000000001</v>
      </c>
      <c r="K7339">
        <v>1.110865</v>
      </c>
      <c r="L7339">
        <v>-67.676419999999993</v>
      </c>
      <c r="M7339">
        <v>0.99444779999999999</v>
      </c>
      <c r="N7339">
        <v>0</v>
      </c>
      <c r="O7339">
        <v>0.1043526</v>
      </c>
      <c r="P7339">
        <v>0.9923883</v>
      </c>
      <c r="Q7339">
        <v>3.9987269999999998E-2</v>
      </c>
      <c r="R7339">
        <v>0.1164758</v>
      </c>
      <c r="S7339">
        <v>2.9714049999999999</v>
      </c>
      <c r="T7339">
        <v>-0.13634549999999901</v>
      </c>
      <c r="U7339">
        <v>0.48745729999999998</v>
      </c>
      <c r="V7339">
        <v>-1.232951E-2</v>
      </c>
      <c r="W7339">
        <v>5.3531620000000002E-2</v>
      </c>
      <c r="X7339">
        <v>0.99848999999999999</v>
      </c>
      <c r="Y7339">
        <v>-5.8062860000000001E-2</v>
      </c>
      <c r="Z7339">
        <v>-3.4153289999999999E-3</v>
      </c>
      <c r="AA7339">
        <v>0.9983071</v>
      </c>
      <c r="AB7339">
        <v>21</v>
      </c>
      <c r="AC7339">
        <v>24.108799999999999</v>
      </c>
      <c r="AD7339">
        <v>-1.1108657476336901</v>
      </c>
      <c r="AE7339">
        <v>3.9606099999999902</v>
      </c>
      <c r="AF7339">
        <v>-1.4199993459923199</v>
      </c>
      <c r="AG7339">
        <v>-1.1108657476336901</v>
      </c>
      <c r="AH7339">
        <v>24.340169632694799</v>
      </c>
      <c r="AI7339">
        <v>92.608690479531006</v>
      </c>
      <c r="AJ7339">
        <v>93.338836791486301</v>
      </c>
      <c r="AK7339">
        <v>24.406849010067699</v>
      </c>
      <c r="AL7339">
        <v>86.931397224024295</v>
      </c>
      <c r="AM7339">
        <v>90.707461251531299</v>
      </c>
      <c r="AN7339">
        <v>0.99999996562833104</v>
      </c>
    </row>
    <row r="7340" spans="1:40" x14ac:dyDescent="0.25">
      <c r="A7340" t="str">
        <f>"20190312160514861"</f>
        <v>20190312160514861</v>
      </c>
      <c r="B7340" t="str">
        <f>"1552377914852023"</f>
        <v>1552377914852023</v>
      </c>
      <c r="C7340" t="s">
        <v>40</v>
      </c>
      <c r="D7340">
        <v>5.8718640000000004</v>
      </c>
      <c r="E7340">
        <v>0.48283320000000002</v>
      </c>
      <c r="F7340" t="s">
        <v>124</v>
      </c>
      <c r="G7340">
        <v>-241.892</v>
      </c>
      <c r="H7340" s="1">
        <v>-6.8096009999999896E-7</v>
      </c>
      <c r="I7340">
        <v>-63.699119999999901</v>
      </c>
      <c r="J7340">
        <v>-266.04610000000002</v>
      </c>
      <c r="K7340">
        <v>1.110868</v>
      </c>
      <c r="L7340">
        <v>-67.665499999999994</v>
      </c>
      <c r="M7340">
        <v>0.99440620000000002</v>
      </c>
      <c r="N7340">
        <v>0</v>
      </c>
      <c r="O7340">
        <v>0.1047487</v>
      </c>
      <c r="P7340">
        <v>0.99227310000000002</v>
      </c>
      <c r="Q7340">
        <v>4.008126E-2</v>
      </c>
      <c r="R7340">
        <v>0.11742180000000001</v>
      </c>
      <c r="S7340">
        <v>2.9712830000000001</v>
      </c>
      <c r="T7340">
        <v>-0.13608990000000001</v>
      </c>
      <c r="U7340">
        <v>0.4872437</v>
      </c>
      <c r="V7340">
        <v>-1.288459E-2</v>
      </c>
      <c r="W7340">
        <v>5.3623520000000001E-2</v>
      </c>
      <c r="X7340">
        <v>0.99847810000000004</v>
      </c>
      <c r="Y7340">
        <v>-5.7602519999999997E-2</v>
      </c>
      <c r="Z7340">
        <v>-3.437425E-3</v>
      </c>
      <c r="AA7340">
        <v>0.99833369999999999</v>
      </c>
      <c r="AB7340">
        <v>21</v>
      </c>
      <c r="AC7340">
        <v>24.1541</v>
      </c>
      <c r="AD7340">
        <v>-1.1108686809601001</v>
      </c>
      <c r="AE7340">
        <v>3.96638</v>
      </c>
      <c r="AF7340">
        <v>-1.4113056572345499</v>
      </c>
      <c r="AG7340">
        <v>-1.1108686809601001</v>
      </c>
      <c r="AH7340">
        <v>24.386481481061999</v>
      </c>
      <c r="AI7340">
        <v>92.603820424985003</v>
      </c>
      <c r="AJ7340">
        <v>93.312153253583105</v>
      </c>
      <c r="AK7340">
        <v>24.452531400872601</v>
      </c>
      <c r="AL7340">
        <v>86.926124290235705</v>
      </c>
      <c r="AM7340">
        <v>90.739316821503607</v>
      </c>
      <c r="AN7340">
        <v>1.0000000053681299</v>
      </c>
    </row>
    <row r="7341" spans="1:40" x14ac:dyDescent="0.25">
      <c r="A7341" t="str">
        <f>"20190312160514873"</f>
        <v>20190312160514873</v>
      </c>
      <c r="B7341" t="str">
        <f>"1552377914862759"</f>
        <v>1552377914862759</v>
      </c>
      <c r="C7341" t="s">
        <v>40</v>
      </c>
      <c r="D7341">
        <v>5.868544</v>
      </c>
      <c r="E7341">
        <v>0.4824254</v>
      </c>
      <c r="F7341" t="s">
        <v>124</v>
      </c>
      <c r="G7341">
        <v>-241.7406</v>
      </c>
      <c r="H7341" s="1">
        <v>-6.0752949999999997E-7</v>
      </c>
      <c r="I7341">
        <v>-63.66713</v>
      </c>
      <c r="J7341">
        <v>-265.94</v>
      </c>
      <c r="K7341">
        <v>1.1108720000000001</v>
      </c>
      <c r="L7341">
        <v>-67.653809999999993</v>
      </c>
      <c r="M7341">
        <v>0.99436179999999996</v>
      </c>
      <c r="N7341">
        <v>0</v>
      </c>
      <c r="O7341">
        <v>0.1051701</v>
      </c>
      <c r="P7341">
        <v>0.99216219999999999</v>
      </c>
      <c r="Q7341">
        <v>4.0150159999999997E-2</v>
      </c>
      <c r="R7341">
        <v>0.1183323</v>
      </c>
      <c r="S7341">
        <v>2.9710079999999999</v>
      </c>
      <c r="T7341">
        <v>-0.13578870000000001</v>
      </c>
      <c r="U7341">
        <v>0.48873899999999998</v>
      </c>
      <c r="V7341">
        <v>-1.337875E-2</v>
      </c>
      <c r="W7341">
        <v>5.3690660000000001E-2</v>
      </c>
      <c r="X7341">
        <v>0.99846800000000002</v>
      </c>
      <c r="Y7341">
        <v>-5.7683650000000003E-2</v>
      </c>
      <c r="Z7341">
        <v>-3.4470870000000002E-3</v>
      </c>
      <c r="AA7341">
        <v>0.99832900000000002</v>
      </c>
      <c r="AB7341">
        <v>21</v>
      </c>
      <c r="AC7341">
        <v>24.199400000000001</v>
      </c>
      <c r="AD7341">
        <v>-1.1108726075294999</v>
      </c>
      <c r="AE7341">
        <v>3.9866799999999798</v>
      </c>
      <c r="AF7341">
        <v>-1.41637365242127</v>
      </c>
      <c r="AG7341">
        <v>-1.1108726075294999</v>
      </c>
      <c r="AH7341">
        <v>24.434360274785998</v>
      </c>
      <c r="AI7341">
        <v>92.598720365248099</v>
      </c>
      <c r="AJ7341">
        <v>93.3175217549704</v>
      </c>
      <c r="AK7341">
        <v>24.500573754740302</v>
      </c>
      <c r="AL7341">
        <v>86.922271923837499</v>
      </c>
      <c r="AM7341">
        <v>90.767676119535196</v>
      </c>
      <c r="AN7341">
        <v>1.0000000124733901</v>
      </c>
    </row>
    <row r="7342" spans="1:40" x14ac:dyDescent="0.25">
      <c r="A7342" t="str">
        <f>"20190312160514883"</f>
        <v>20190312160514883</v>
      </c>
      <c r="B7342" t="str">
        <f>"1552377914872519"</f>
        <v>1552377914872519</v>
      </c>
      <c r="C7342" t="s">
        <v>40</v>
      </c>
      <c r="D7342">
        <v>5.8779510000000004</v>
      </c>
      <c r="E7342">
        <v>0.4824254</v>
      </c>
      <c r="F7342" t="s">
        <v>124</v>
      </c>
      <c r="G7342">
        <v>-241.37200000000001</v>
      </c>
      <c r="H7342" s="1">
        <v>-4.2170109999999999E-7</v>
      </c>
      <c r="I7342">
        <v>-63.563049999999997</v>
      </c>
      <c r="J7342">
        <v>-265.84050000000002</v>
      </c>
      <c r="K7342">
        <v>1.1108739999999999</v>
      </c>
      <c r="L7342">
        <v>-67.64282</v>
      </c>
      <c r="M7342">
        <v>0.99431970000000003</v>
      </c>
      <c r="N7342">
        <v>0</v>
      </c>
      <c r="O7342">
        <v>0.1055659</v>
      </c>
      <c r="P7342">
        <v>0.99205259999999995</v>
      </c>
      <c r="Q7342">
        <v>4.0441390000000001E-2</v>
      </c>
      <c r="R7342">
        <v>0.1191484</v>
      </c>
      <c r="S7342">
        <v>2.9700929999999999</v>
      </c>
      <c r="T7342">
        <v>-0.13429669999999999</v>
      </c>
      <c r="U7342">
        <v>0.49453740000000002</v>
      </c>
      <c r="V7342">
        <v>-1.380465E-2</v>
      </c>
      <c r="W7342">
        <v>5.3980149999999998E-2</v>
      </c>
      <c r="X7342">
        <v>0.99844659999999996</v>
      </c>
      <c r="Y7342">
        <v>-5.9230310000000001E-2</v>
      </c>
      <c r="Z7342">
        <v>-3.3925299999999999E-3</v>
      </c>
      <c r="AA7342">
        <v>0.99823859999999998</v>
      </c>
      <c r="AB7342">
        <v>21</v>
      </c>
      <c r="AC7342">
        <v>24.468499999999999</v>
      </c>
      <c r="AD7342">
        <v>-1.1108744217011</v>
      </c>
      <c r="AE7342">
        <v>4.0797699999999999</v>
      </c>
      <c r="AF7342">
        <v>-1.4707427097603101</v>
      </c>
      <c r="AG7342">
        <v>-1.1108744217011</v>
      </c>
      <c r="AH7342">
        <v>24.712916702700898</v>
      </c>
      <c r="AI7342">
        <v>92.569239746159695</v>
      </c>
      <c r="AJ7342">
        <v>93.405833296376599</v>
      </c>
      <c r="AK7342">
        <v>24.781553180818499</v>
      </c>
      <c r="AL7342">
        <v>86.905661300629802</v>
      </c>
      <c r="AM7342">
        <v>90.792128280813301</v>
      </c>
      <c r="AN7342">
        <v>1.0000000190036</v>
      </c>
    </row>
    <row r="7343" spans="1:40" x14ac:dyDescent="0.25">
      <c r="A7343" t="str">
        <f>"20190312160514895"</f>
        <v>20190312160514895</v>
      </c>
      <c r="B7343" t="str">
        <f>"1552377914892039"</f>
        <v>1552377914892039</v>
      </c>
      <c r="C7343" t="s">
        <v>40</v>
      </c>
      <c r="D7343">
        <v>5.8334279999999996</v>
      </c>
      <c r="E7343">
        <v>0.44811699999999999</v>
      </c>
      <c r="F7343" t="s">
        <v>124</v>
      </c>
      <c r="G7343">
        <v>-241.1249</v>
      </c>
      <c r="H7343" s="1">
        <v>-3.0088820000000002E-7</v>
      </c>
      <c r="I7343">
        <v>-63.507489999999997</v>
      </c>
      <c r="J7343">
        <v>-265.7328</v>
      </c>
      <c r="K7343">
        <v>1.1108769999999999</v>
      </c>
      <c r="L7343">
        <v>-67.630889999999994</v>
      </c>
      <c r="M7343">
        <v>0.9942744</v>
      </c>
      <c r="N7343">
        <v>0</v>
      </c>
      <c r="O7343">
        <v>0.1059938</v>
      </c>
      <c r="P7343">
        <v>0.99190560000000005</v>
      </c>
      <c r="Q7343">
        <v>4.0724259999999998E-2</v>
      </c>
      <c r="R7343">
        <v>0.1202708</v>
      </c>
      <c r="S7343">
        <v>2.9697879999999999</v>
      </c>
      <c r="T7343">
        <v>-0.13348080000000001</v>
      </c>
      <c r="U7343">
        <v>0.49688719999999997</v>
      </c>
      <c r="V7343">
        <v>-1.4506659999999999E-2</v>
      </c>
      <c r="W7343">
        <v>5.4260120000000002E-2</v>
      </c>
      <c r="X7343">
        <v>0.99842140000000001</v>
      </c>
      <c r="Y7343">
        <v>-5.9585300000000001E-2</v>
      </c>
      <c r="Z7343">
        <v>-3.3830230000000002E-3</v>
      </c>
      <c r="AA7343">
        <v>0.99821749999999998</v>
      </c>
      <c r="AB7343">
        <v>21</v>
      </c>
      <c r="AC7343">
        <v>24.607900000000001</v>
      </c>
      <c r="AD7343">
        <v>-1.1108773008882</v>
      </c>
      <c r="AE7343">
        <v>4.1234000000000002</v>
      </c>
      <c r="AF7343">
        <v>-1.4886923158898799</v>
      </c>
      <c r="AG7343">
        <v>-1.1108773008882</v>
      </c>
      <c r="AH7343">
        <v>24.8570752022611</v>
      </c>
      <c r="AI7343">
        <v>92.554308649500797</v>
      </c>
      <c r="AJ7343">
        <v>93.427355175108502</v>
      </c>
      <c r="AK7343">
        <v>24.9263804191439</v>
      </c>
      <c r="AL7343">
        <v>86.889596436256099</v>
      </c>
      <c r="AM7343">
        <v>90.832425978657398</v>
      </c>
      <c r="AN7343">
        <v>0.99999994789236302</v>
      </c>
    </row>
    <row r="7344" spans="1:40" x14ac:dyDescent="0.25">
      <c r="A7344" t="str">
        <f>"20190312160514907"</f>
        <v>20190312160514907</v>
      </c>
      <c r="B7344" t="str">
        <f>"1552377914902774"</f>
        <v>1552377914902774</v>
      </c>
      <c r="C7344" t="s">
        <v>40</v>
      </c>
      <c r="D7344">
        <v>5.8258289999999997</v>
      </c>
      <c r="E7344">
        <v>0.4486425</v>
      </c>
      <c r="F7344" t="s">
        <v>124</v>
      </c>
      <c r="G7344">
        <v>-241.74080000000001</v>
      </c>
      <c r="H7344" s="1">
        <v>1.5371259999999999E-8</v>
      </c>
      <c r="I7344">
        <v>-61.325879999999998</v>
      </c>
      <c r="J7344">
        <v>-265.62470000000002</v>
      </c>
      <c r="K7344">
        <v>1.1108819999999999</v>
      </c>
      <c r="L7344">
        <v>-67.618870000000001</v>
      </c>
      <c r="M7344">
        <v>0.99422840000000001</v>
      </c>
      <c r="N7344">
        <v>0</v>
      </c>
      <c r="O7344">
        <v>0.1064235</v>
      </c>
      <c r="P7344">
        <v>0.99174770000000001</v>
      </c>
      <c r="Q7344">
        <v>4.0923300000000003E-2</v>
      </c>
      <c r="R7344">
        <v>0.1214982</v>
      </c>
      <c r="S7344">
        <v>2.9365230000000002</v>
      </c>
      <c r="T7344">
        <v>-0.13596629999999901</v>
      </c>
      <c r="U7344">
        <v>0.771698</v>
      </c>
      <c r="V7344">
        <v>-1.5312030000000001E-2</v>
      </c>
      <c r="W7344">
        <v>5.4457239999999997E-2</v>
      </c>
      <c r="X7344">
        <v>0.99839869999999997</v>
      </c>
      <c r="Y7344">
        <v>-0.14973810000000001</v>
      </c>
      <c r="Z7344">
        <v>-1.412923E-3</v>
      </c>
      <c r="AA7344">
        <v>0.98872470000000001</v>
      </c>
      <c r="AB7344">
        <v>21</v>
      </c>
      <c r="AC7344">
        <v>23.883900000000001</v>
      </c>
      <c r="AD7344">
        <v>-1.1108819846287401</v>
      </c>
      <c r="AE7344">
        <v>6.2929899999999899</v>
      </c>
      <c r="AF7344">
        <v>-3.7077024908264402</v>
      </c>
      <c r="AG7344">
        <v>-1.1108819846287401</v>
      </c>
      <c r="AH7344">
        <v>24.368723725917</v>
      </c>
      <c r="AI7344">
        <v>92.580443897797494</v>
      </c>
      <c r="AJ7344">
        <v>98.6512053817371</v>
      </c>
      <c r="AK7344">
        <v>24.6741932507291</v>
      </c>
      <c r="AL7344">
        <v>86.878285751958998</v>
      </c>
      <c r="AM7344">
        <v>90.878652906709704</v>
      </c>
      <c r="AN7344">
        <v>1.0000000067064101</v>
      </c>
    </row>
    <row r="7345" spans="1:40" x14ac:dyDescent="0.25">
      <c r="A7345" t="str">
        <f>"20190312160514919"</f>
        <v>20190312160514919</v>
      </c>
      <c r="B7345" t="str">
        <f>"1552377914912534"</f>
        <v>1552377914912534</v>
      </c>
      <c r="C7345" t="s">
        <v>40</v>
      </c>
      <c r="D7345">
        <v>5.838171</v>
      </c>
      <c r="E7345">
        <v>0.44914219999999999</v>
      </c>
      <c r="F7345" t="s">
        <v>124</v>
      </c>
      <c r="G7345">
        <v>-241.94200000000001</v>
      </c>
      <c r="H7345" s="1">
        <v>-9.1129999999999996E-8</v>
      </c>
      <c r="I7345">
        <v>-61.401600000000002</v>
      </c>
      <c r="J7345">
        <v>-265.51859999999999</v>
      </c>
      <c r="K7345">
        <v>1.1108849999999999</v>
      </c>
      <c r="L7345">
        <v>-67.606989999999996</v>
      </c>
      <c r="M7345">
        <v>0.99418320000000004</v>
      </c>
      <c r="N7345">
        <v>0</v>
      </c>
      <c r="O7345">
        <v>0.10684489999999899</v>
      </c>
      <c r="P7345">
        <v>0.99159620000000004</v>
      </c>
      <c r="Q7345">
        <v>4.095033E-2</v>
      </c>
      <c r="R7345">
        <v>0.1227203</v>
      </c>
      <c r="S7345">
        <v>2.936188</v>
      </c>
      <c r="T7345">
        <v>-0.13772770000000001</v>
      </c>
      <c r="U7345">
        <v>0.77081299999999997</v>
      </c>
      <c r="V7345">
        <v>-1.6120369999999998E-2</v>
      </c>
      <c r="W7345">
        <v>5.4482000000000003E-2</v>
      </c>
      <c r="X7345">
        <v>0.99838459999999996</v>
      </c>
      <c r="Y7345">
        <v>-0.149067899999999</v>
      </c>
      <c r="Z7345">
        <v>-1.4660999999999999E-3</v>
      </c>
      <c r="AA7345">
        <v>0.98882590000000004</v>
      </c>
      <c r="AB7345">
        <v>21</v>
      </c>
      <c r="AC7345">
        <v>23.5765999999999</v>
      </c>
      <c r="AD7345">
        <v>-1.1108850911299999</v>
      </c>
      <c r="AE7345">
        <v>6.2053899999999897</v>
      </c>
      <c r="AF7345">
        <v>-3.6430268092751001</v>
      </c>
      <c r="AG7345">
        <v>-1.1108850911299999</v>
      </c>
      <c r="AH7345">
        <v>24.054746360993501</v>
      </c>
      <c r="AI7345">
        <v>92.614358529287202</v>
      </c>
      <c r="AJ7345">
        <v>98.611848764446805</v>
      </c>
      <c r="AK7345">
        <v>24.354394521533901</v>
      </c>
      <c r="AL7345">
        <v>86.876864922286302</v>
      </c>
      <c r="AM7345">
        <v>90.925043226750802</v>
      </c>
      <c r="AN7345">
        <v>0.99999998208504803</v>
      </c>
    </row>
    <row r="7346" spans="1:40" x14ac:dyDescent="0.25">
      <c r="A7346" t="str">
        <f>"20190312160514930"</f>
        <v>20190312160514930</v>
      </c>
      <c r="B7346" t="str">
        <f>"1552377914922295"</f>
        <v>1552377914922295</v>
      </c>
      <c r="C7346" t="s">
        <v>40</v>
      </c>
      <c r="D7346">
        <v>5.8349520000000004</v>
      </c>
      <c r="E7346">
        <v>0.44928259999999998</v>
      </c>
      <c r="F7346" t="s">
        <v>124</v>
      </c>
      <c r="G7346">
        <v>-242.3509</v>
      </c>
      <c r="H7346" s="1">
        <v>-3.0069379999999999E-7</v>
      </c>
      <c r="I7346">
        <v>-61.529949999999999</v>
      </c>
      <c r="J7346">
        <v>-265.41829999999999</v>
      </c>
      <c r="K7346">
        <v>1.110886</v>
      </c>
      <c r="L7346">
        <v>-67.595789999999994</v>
      </c>
      <c r="M7346">
        <v>0.99414029999999998</v>
      </c>
      <c r="N7346">
        <v>0</v>
      </c>
      <c r="O7346">
        <v>0.10724350000000001</v>
      </c>
      <c r="P7346">
        <v>0.99143570000000003</v>
      </c>
      <c r="Q7346">
        <v>4.1299280000000001E-2</v>
      </c>
      <c r="R7346">
        <v>0.1238937</v>
      </c>
      <c r="S7346">
        <v>2.9359440000000001</v>
      </c>
      <c r="T7346">
        <v>-0.14077779999999901</v>
      </c>
      <c r="U7346">
        <v>0.77011109999999905</v>
      </c>
      <c r="V7346">
        <v>-1.690413E-2</v>
      </c>
      <c r="W7346">
        <v>5.4828139999999997E-2</v>
      </c>
      <c r="X7346">
        <v>0.99835269999999998</v>
      </c>
      <c r="Y7346">
        <v>-0.14846960000000001</v>
      </c>
      <c r="Z7346">
        <v>-1.5313849999999999E-3</v>
      </c>
      <c r="AA7346">
        <v>0.98891580000000001</v>
      </c>
      <c r="AB7346">
        <v>21</v>
      </c>
      <c r="AC7346">
        <v>23.0673999999999</v>
      </c>
      <c r="AD7346">
        <v>-1.1108863006937999</v>
      </c>
      <c r="AE7346">
        <v>6.0658399999999997</v>
      </c>
      <c r="AF7346">
        <v>-3.5490955676861402</v>
      </c>
      <c r="AG7346">
        <v>-1.1108863006937999</v>
      </c>
      <c r="AH7346">
        <v>23.5338723823062</v>
      </c>
      <c r="AI7346">
        <v>92.672394004793802</v>
      </c>
      <c r="AJ7346">
        <v>98.576034940473093</v>
      </c>
      <c r="AK7346">
        <v>23.825895513669899</v>
      </c>
      <c r="AL7346">
        <v>86.857002910509394</v>
      </c>
      <c r="AM7346">
        <v>90.970040711771901</v>
      </c>
      <c r="AN7346">
        <v>0.99999999407210305</v>
      </c>
    </row>
    <row r="7347" spans="1:40" x14ac:dyDescent="0.25">
      <c r="A7347" t="str">
        <f>"20190312160514940"</f>
        <v>20190312160514940</v>
      </c>
      <c r="B7347" t="str">
        <f>"1552377914932054"</f>
        <v>1552377914932054</v>
      </c>
      <c r="C7347" t="s">
        <v>40</v>
      </c>
      <c r="D7347">
        <v>5.8267329999999999</v>
      </c>
      <c r="E7347">
        <v>0.44959840000000001</v>
      </c>
      <c r="F7347" t="s">
        <v>124</v>
      </c>
      <c r="G7347">
        <v>-242.39680000000001</v>
      </c>
      <c r="H7347" s="1">
        <v>-3.228034E-7</v>
      </c>
      <c r="I7347">
        <v>-61.539099999999998</v>
      </c>
      <c r="J7347">
        <v>-265.31509999999997</v>
      </c>
      <c r="K7347">
        <v>1.1108880000000001</v>
      </c>
      <c r="L7347">
        <v>-67.58417</v>
      </c>
      <c r="M7347">
        <v>0.99409599999999998</v>
      </c>
      <c r="N7347">
        <v>0</v>
      </c>
      <c r="O7347">
        <v>0.1076526</v>
      </c>
      <c r="P7347">
        <v>0.99130649999999998</v>
      </c>
      <c r="Q7347">
        <v>4.1270840000000003E-2</v>
      </c>
      <c r="R7347">
        <v>0.12493360000000001</v>
      </c>
      <c r="S7347">
        <v>2.935333</v>
      </c>
      <c r="T7347">
        <v>-0.14164260000000001</v>
      </c>
      <c r="U7347">
        <v>0.77224729999999997</v>
      </c>
      <c r="V7347">
        <v>-1.754064E-2</v>
      </c>
      <c r="W7347">
        <v>5.4798149999999997E-2</v>
      </c>
      <c r="X7347">
        <v>0.99834330000000004</v>
      </c>
      <c r="Y7347">
        <v>-0.1487858</v>
      </c>
      <c r="Z7347">
        <v>-1.5525859999999999E-3</v>
      </c>
      <c r="AA7347">
        <v>0.98886819999999997</v>
      </c>
      <c r="AB7347">
        <v>21</v>
      </c>
      <c r="AC7347">
        <v>22.918299999999899</v>
      </c>
      <c r="AD7347">
        <v>-1.1108883228034001</v>
      </c>
      <c r="AE7347">
        <v>6.0450699999999999</v>
      </c>
      <c r="AF7347">
        <v>-3.53472671058501</v>
      </c>
      <c r="AG7347">
        <v>-1.1108883228034001</v>
      </c>
      <c r="AH7347">
        <v>23.3845465288673</v>
      </c>
      <c r="AI7347">
        <v>92.689300756791596</v>
      </c>
      <c r="AJ7347">
        <v>98.595560263445904</v>
      </c>
      <c r="AK7347">
        <v>23.676261996882499</v>
      </c>
      <c r="AL7347">
        <v>86.858723590241198</v>
      </c>
      <c r="AM7347">
        <v>91.006568830038503</v>
      </c>
      <c r="AN7347">
        <v>0.99999992797495796</v>
      </c>
    </row>
    <row r="7348" spans="1:40" x14ac:dyDescent="0.25">
      <c r="A7348" t="str">
        <f>"20190312160514952"</f>
        <v>20190312160514952</v>
      </c>
      <c r="B7348" t="str">
        <f>"1552377914942791"</f>
        <v>1552377914942791</v>
      </c>
      <c r="C7348" t="s">
        <v>40</v>
      </c>
      <c r="D7348">
        <v>5.8342330000000002</v>
      </c>
      <c r="E7348">
        <v>0.44973629999999998</v>
      </c>
      <c r="F7348" t="s">
        <v>124</v>
      </c>
      <c r="G7348">
        <v>-242.53870000000001</v>
      </c>
      <c r="H7348" s="1">
        <v>-3.9657239999999998E-7</v>
      </c>
      <c r="I7348">
        <v>-61.587519999999998</v>
      </c>
      <c r="J7348">
        <v>-265.21530000000001</v>
      </c>
      <c r="K7348">
        <v>1.110887</v>
      </c>
      <c r="L7348">
        <v>-67.572879999999998</v>
      </c>
      <c r="M7348">
        <v>0.99405319999999997</v>
      </c>
      <c r="N7348">
        <v>0</v>
      </c>
      <c r="O7348">
        <v>0.10804809999999999</v>
      </c>
      <c r="P7348">
        <v>0.99115969999999998</v>
      </c>
      <c r="Q7348">
        <v>4.1366390000000003E-2</v>
      </c>
      <c r="R7348">
        <v>0.12606139999999999</v>
      </c>
      <c r="S7348">
        <v>2.9349059999999998</v>
      </c>
      <c r="T7348">
        <v>-0.143146</v>
      </c>
      <c r="U7348">
        <v>0.77270509999999903</v>
      </c>
      <c r="V7348">
        <v>-1.8280319999999999E-2</v>
      </c>
      <c r="W7348">
        <v>5.4891000000000002E-2</v>
      </c>
      <c r="X7348">
        <v>0.99832500000000002</v>
      </c>
      <c r="Y7348">
        <v>-0.148571799999999</v>
      </c>
      <c r="Z7348">
        <v>-1.5930989999999999E-3</v>
      </c>
      <c r="AA7348">
        <v>0.98890040000000001</v>
      </c>
      <c r="AB7348">
        <v>21</v>
      </c>
      <c r="AC7348">
        <v>22.676600000000001</v>
      </c>
      <c r="AD7348">
        <v>-1.1108873965724</v>
      </c>
      <c r="AE7348">
        <v>5.98536</v>
      </c>
      <c r="AF7348">
        <v>-3.4920897727735598</v>
      </c>
      <c r="AG7348">
        <v>-1.1108873965724</v>
      </c>
      <c r="AH7348">
        <v>23.1386726199718</v>
      </c>
      <c r="AI7348">
        <v>92.717927419471295</v>
      </c>
      <c r="AJ7348">
        <v>98.582313981843299</v>
      </c>
      <c r="AK7348">
        <v>23.427055564095301</v>
      </c>
      <c r="AL7348">
        <v>86.8533958807663</v>
      </c>
      <c r="AM7348">
        <v>91.049025264918001</v>
      </c>
      <c r="AN7348">
        <v>0.999999998802651</v>
      </c>
    </row>
    <row r="7349" spans="1:40" x14ac:dyDescent="0.25">
      <c r="A7349" t="str">
        <f>"20190312160514963"</f>
        <v>20190312160514963</v>
      </c>
      <c r="B7349" t="str">
        <f>"1552377914952550"</f>
        <v>1552377914952550</v>
      </c>
      <c r="C7349" t="s">
        <v>40</v>
      </c>
      <c r="D7349">
        <v>5.8975179999999998</v>
      </c>
      <c r="E7349">
        <v>0.44975150000000003</v>
      </c>
      <c r="F7349" t="s">
        <v>124</v>
      </c>
      <c r="G7349">
        <v>-242.1097</v>
      </c>
      <c r="H7349" s="1">
        <v>-1.8125750000000001E-7</v>
      </c>
      <c r="I7349">
        <v>-61.470050000000001</v>
      </c>
      <c r="J7349">
        <v>-265.11259999999999</v>
      </c>
      <c r="K7349">
        <v>1.1108880000000001</v>
      </c>
      <c r="L7349">
        <v>-67.561250000000001</v>
      </c>
      <c r="M7349">
        <v>0.99400900000000003</v>
      </c>
      <c r="N7349">
        <v>0</v>
      </c>
      <c r="O7349">
        <v>0.108455</v>
      </c>
      <c r="P7349">
        <v>0.9910426</v>
      </c>
      <c r="Q7349">
        <v>4.1307820000000002E-2</v>
      </c>
      <c r="R7349">
        <v>0.12699830000000001</v>
      </c>
      <c r="S7349">
        <v>2.9340820000000001</v>
      </c>
      <c r="T7349">
        <v>-0.14106659999999999</v>
      </c>
      <c r="U7349">
        <v>0.77496339999999997</v>
      </c>
      <c r="V7349">
        <v>-1.881497E-2</v>
      </c>
      <c r="W7349">
        <v>5.4830039999999997E-2</v>
      </c>
      <c r="X7349">
        <v>0.99831840000000005</v>
      </c>
      <c r="Y7349">
        <v>-0.14894830000000001</v>
      </c>
      <c r="Z7349">
        <v>-1.5803130000000001E-3</v>
      </c>
      <c r="AA7349">
        <v>0.98884369999999999</v>
      </c>
      <c r="AB7349">
        <v>21</v>
      </c>
      <c r="AC7349">
        <v>23.002899999999901</v>
      </c>
      <c r="AD7349">
        <v>-1.11088818125749</v>
      </c>
      <c r="AE7349">
        <v>6.0911999999999997</v>
      </c>
      <c r="AF7349">
        <v>-3.5525125290666901</v>
      </c>
      <c r="AG7349">
        <v>-1.11088818125749</v>
      </c>
      <c r="AH7349">
        <v>23.476705067425101</v>
      </c>
      <c r="AI7349">
        <v>92.678693940050906</v>
      </c>
      <c r="AJ7349">
        <v>98.604759235227803</v>
      </c>
      <c r="AK7349">
        <v>23.769941073618501</v>
      </c>
      <c r="AL7349">
        <v>86.856893846797206</v>
      </c>
      <c r="AM7349">
        <v>91.079706397953103</v>
      </c>
      <c r="AN7349">
        <v>0.99999998208053098</v>
      </c>
    </row>
    <row r="7350" spans="1:40" x14ac:dyDescent="0.25">
      <c r="A7350" t="str">
        <f>"20190312160514974"</f>
        <v>20190312160514974</v>
      </c>
      <c r="B7350" t="str">
        <f>"1552377914962310"</f>
        <v>1552377914962310</v>
      </c>
      <c r="C7350" t="s">
        <v>40</v>
      </c>
      <c r="D7350">
        <v>5.8267100000000003</v>
      </c>
      <c r="E7350">
        <v>0.45011099999999998</v>
      </c>
      <c r="F7350" t="s">
        <v>124</v>
      </c>
      <c r="G7350">
        <v>-243.04689999999999</v>
      </c>
      <c r="H7350" s="1">
        <v>-6.4802039999999997E-7</v>
      </c>
      <c r="I7350">
        <v>-61.713140000000003</v>
      </c>
      <c r="J7350">
        <v>-265.0154</v>
      </c>
      <c r="K7350">
        <v>1.110886</v>
      </c>
      <c r="L7350">
        <v>-67.550169999999994</v>
      </c>
      <c r="M7350">
        <v>0.99396689999999999</v>
      </c>
      <c r="N7350">
        <v>0</v>
      </c>
      <c r="O7350">
        <v>0.1088402</v>
      </c>
      <c r="P7350">
        <v>0.99093030000000004</v>
      </c>
      <c r="Q7350">
        <v>4.1172630000000002E-2</v>
      </c>
      <c r="R7350">
        <v>0.12791440000000001</v>
      </c>
      <c r="S7350">
        <v>2.933624</v>
      </c>
      <c r="T7350">
        <v>-0.147692299999999</v>
      </c>
      <c r="U7350">
        <v>0.77749630000000003</v>
      </c>
      <c r="V7350">
        <v>-1.9350659999999999E-2</v>
      </c>
      <c r="W7350">
        <v>5.469007E-2</v>
      </c>
      <c r="X7350">
        <v>0.99831590000000003</v>
      </c>
      <c r="Y7350">
        <v>-0.1493969</v>
      </c>
      <c r="Z7350">
        <v>-1.6622010000000001E-3</v>
      </c>
      <c r="AA7350">
        <v>0.98877590000000004</v>
      </c>
      <c r="AB7350">
        <v>21</v>
      </c>
      <c r="AC7350">
        <v>21.968499999999999</v>
      </c>
      <c r="AD7350">
        <v>-1.1108866480204</v>
      </c>
      <c r="AE7350">
        <v>5.8370299999999897</v>
      </c>
      <c r="AF7350">
        <v>-3.4029441522404298</v>
      </c>
      <c r="AG7350">
        <v>-1.1108866480204</v>
      </c>
      <c r="AH7350">
        <v>22.419780522409301</v>
      </c>
      <c r="AI7350">
        <v>92.804581479007396</v>
      </c>
      <c r="AJ7350">
        <v>98.630656281540894</v>
      </c>
      <c r="AK7350">
        <v>22.703758647435901</v>
      </c>
      <c r="AL7350">
        <v>86.864925782796703</v>
      </c>
      <c r="AM7350">
        <v>91.110442423976906</v>
      </c>
      <c r="AN7350">
        <v>1.00000004399592</v>
      </c>
    </row>
    <row r="7351" spans="1:40" x14ac:dyDescent="0.25">
      <c r="A7351" t="str">
        <f>"20190312160514985"</f>
        <v>20190312160514985</v>
      </c>
      <c r="B7351" t="str">
        <f>"1552377914982807"</f>
        <v>1552377914982807</v>
      </c>
      <c r="C7351" t="s">
        <v>40</v>
      </c>
      <c r="D7351">
        <v>5.8050750000000004</v>
      </c>
      <c r="E7351">
        <v>0.45070779999999999</v>
      </c>
      <c r="F7351" t="s">
        <v>124</v>
      </c>
      <c r="G7351">
        <v>-243.22450000000001</v>
      </c>
      <c r="H7351" s="1">
        <v>-7.406832E-7</v>
      </c>
      <c r="I7351">
        <v>-61.775199999999998</v>
      </c>
      <c r="J7351">
        <v>-264.90019999999998</v>
      </c>
      <c r="K7351">
        <v>1.1108849999999999</v>
      </c>
      <c r="L7351">
        <v>-67.537049999999994</v>
      </c>
      <c r="M7351">
        <v>0.99391700000000005</v>
      </c>
      <c r="N7351">
        <v>0</v>
      </c>
      <c r="O7351">
        <v>0.1092964</v>
      </c>
      <c r="P7351">
        <v>0.99080489999999999</v>
      </c>
      <c r="Q7351">
        <v>4.1327450000000002E-2</v>
      </c>
      <c r="R7351">
        <v>0.12883439999999999</v>
      </c>
      <c r="S7351">
        <v>2.933319</v>
      </c>
      <c r="T7351">
        <v>-0.1495389</v>
      </c>
      <c r="U7351">
        <v>0.77737429999999996</v>
      </c>
      <c r="V7351">
        <v>-1.9820810000000001E-2</v>
      </c>
      <c r="W7351">
        <v>5.4838150000000002E-2</v>
      </c>
      <c r="X7351">
        <v>0.99829849999999998</v>
      </c>
      <c r="Y7351">
        <v>-0.1489299</v>
      </c>
      <c r="Z7351">
        <v>-1.7174169999999999E-3</v>
      </c>
      <c r="AA7351">
        <v>0.98884620000000001</v>
      </c>
      <c r="AB7351">
        <v>21</v>
      </c>
      <c r="AC7351">
        <v>21.6756999999999</v>
      </c>
      <c r="AD7351">
        <v>-1.1108857406832</v>
      </c>
      <c r="AE7351">
        <v>5.7618499999999901</v>
      </c>
      <c r="AF7351">
        <v>-3.3498145455805601</v>
      </c>
      <c r="AG7351">
        <v>-1.1108857406832</v>
      </c>
      <c r="AH7351">
        <v>22.1213595185591</v>
      </c>
      <c r="AI7351">
        <v>92.842500765312806</v>
      </c>
      <c r="AJ7351">
        <v>98.610820740879603</v>
      </c>
      <c r="AK7351">
        <v>22.401113176982602</v>
      </c>
      <c r="AL7351">
        <v>86.8564285064095</v>
      </c>
      <c r="AM7351">
        <v>91.137434914240899</v>
      </c>
      <c r="AN7351">
        <v>0.99999999115336402</v>
      </c>
    </row>
    <row r="7352" spans="1:40" x14ac:dyDescent="0.25">
      <c r="A7352" t="str">
        <f>"20190312160514997"</f>
        <v>20190312160514997</v>
      </c>
      <c r="B7352" t="str">
        <f>"1552377914992567"</f>
        <v>1552377914992567</v>
      </c>
      <c r="C7352" t="s">
        <v>40</v>
      </c>
      <c r="D7352">
        <v>5.8215389999999996</v>
      </c>
      <c r="E7352">
        <v>0.45082319999999998</v>
      </c>
      <c r="F7352" t="s">
        <v>124</v>
      </c>
      <c r="G7352">
        <v>-243.08179999999999</v>
      </c>
      <c r="H7352" s="1">
        <v>-6.7820499999999995E-7</v>
      </c>
      <c r="I7352">
        <v>-61.770339999999997</v>
      </c>
      <c r="J7352">
        <v>-264.803</v>
      </c>
      <c r="K7352">
        <v>1.1108819999999999</v>
      </c>
      <c r="L7352">
        <v>-67.525880000000001</v>
      </c>
      <c r="M7352">
        <v>0.9938747</v>
      </c>
      <c r="N7352">
        <v>0</v>
      </c>
      <c r="O7352">
        <v>0.1096809</v>
      </c>
      <c r="P7352">
        <v>0.99066069999999995</v>
      </c>
      <c r="Q7352">
        <v>4.149576E-2</v>
      </c>
      <c r="R7352">
        <v>0.129883</v>
      </c>
      <c r="S7352">
        <v>2.9332579999999999</v>
      </c>
      <c r="T7352">
        <v>-0.14934739999999999</v>
      </c>
      <c r="U7352">
        <v>0.77526859999999997</v>
      </c>
      <c r="V7352">
        <v>-2.0491829999999999E-2</v>
      </c>
      <c r="W7352">
        <v>5.4996690000000001E-2</v>
      </c>
      <c r="X7352">
        <v>0.99827619999999895</v>
      </c>
      <c r="Y7352">
        <v>-0.14789079999999999</v>
      </c>
      <c r="Z7352">
        <v>-1.7604669999999999E-3</v>
      </c>
      <c r="AA7352">
        <v>0.9890021</v>
      </c>
      <c r="AB7352">
        <v>21</v>
      </c>
      <c r="AC7352">
        <v>21.7212</v>
      </c>
      <c r="AD7352">
        <v>-1.1108826782050001</v>
      </c>
      <c r="AE7352">
        <v>5.7555399999999901</v>
      </c>
      <c r="AF7352">
        <v>-3.33005197298333</v>
      </c>
      <c r="AG7352">
        <v>-1.1108826782050001</v>
      </c>
      <c r="AH7352">
        <v>22.167282694032998</v>
      </c>
      <c r="AI7352">
        <v>92.837117270110497</v>
      </c>
      <c r="AJ7352">
        <v>98.543302116187306</v>
      </c>
      <c r="AK7352">
        <v>22.4435230858411</v>
      </c>
      <c r="AL7352">
        <v>86.847331010164396</v>
      </c>
      <c r="AM7352">
        <v>91.175957622757707</v>
      </c>
      <c r="AN7352">
        <v>0.99999996124707102</v>
      </c>
    </row>
    <row r="7353" spans="1:40" x14ac:dyDescent="0.25">
      <c r="A7353" t="str">
        <f>"20190312160515008"</f>
        <v>20190312160515008</v>
      </c>
      <c r="B7353" t="str">
        <f>"1552377915002327"</f>
        <v>1552377915002327</v>
      </c>
      <c r="C7353" t="s">
        <v>40</v>
      </c>
      <c r="D7353">
        <v>5.7908970000000002</v>
      </c>
      <c r="E7353">
        <v>0.45081280000000001</v>
      </c>
      <c r="F7353" t="s">
        <v>124</v>
      </c>
      <c r="G7353">
        <v>-243.053</v>
      </c>
      <c r="H7353" s="1">
        <v>-6.6336709999999995E-7</v>
      </c>
      <c r="I7353">
        <v>-61.761090000000003</v>
      </c>
      <c r="J7353">
        <v>-264.7004</v>
      </c>
      <c r="K7353">
        <v>1.1108750000000001</v>
      </c>
      <c r="L7353">
        <v>-67.514069999999904</v>
      </c>
      <c r="M7353">
        <v>0.99382979999999999</v>
      </c>
      <c r="N7353">
        <v>0</v>
      </c>
      <c r="O7353">
        <v>0.11008709999999999</v>
      </c>
      <c r="P7353">
        <v>0.99053259999999999</v>
      </c>
      <c r="Q7353">
        <v>4.1557230000000001E-2</v>
      </c>
      <c r="R7353">
        <v>0.13083649999999999</v>
      </c>
      <c r="S7353">
        <v>2.9326479999999999</v>
      </c>
      <c r="T7353">
        <v>-0.149785</v>
      </c>
      <c r="U7353">
        <v>0.77728269999999899</v>
      </c>
      <c r="V7353">
        <v>-2.1045850000000001E-2</v>
      </c>
      <c r="W7353">
        <v>5.5049540000000001E-2</v>
      </c>
      <c r="X7353">
        <v>0.99826179999999998</v>
      </c>
      <c r="Y7353">
        <v>-0.1481721</v>
      </c>
      <c r="Z7353">
        <v>-1.7788509999999999E-3</v>
      </c>
      <c r="AA7353">
        <v>0.98895999999999995</v>
      </c>
      <c r="AB7353">
        <v>21</v>
      </c>
      <c r="AC7353">
        <v>21.647400000000001</v>
      </c>
      <c r="AD7353">
        <v>-1.1108756633671</v>
      </c>
      <c r="AE7353">
        <v>5.7529799999999804</v>
      </c>
      <c r="AF7353">
        <v>-3.32650669047004</v>
      </c>
      <c r="AG7353">
        <v>-1.1108756633671</v>
      </c>
      <c r="AH7353">
        <v>22.094842061950601</v>
      </c>
      <c r="AI7353">
        <v>92.846247115884196</v>
      </c>
      <c r="AJ7353">
        <v>98.561907488711199</v>
      </c>
      <c r="AK7353">
        <v>22.371449153860102</v>
      </c>
      <c r="AL7353">
        <v>86.844298457828899</v>
      </c>
      <c r="AM7353">
        <v>91.207759102118999</v>
      </c>
      <c r="AN7353">
        <v>1.00000000049783</v>
      </c>
    </row>
    <row r="7354" spans="1:40" x14ac:dyDescent="0.25">
      <c r="A7354" t="str">
        <f>"20190312160515018"</f>
        <v>20190312160515018</v>
      </c>
      <c r="B7354" t="str">
        <f>"1552377915012086"</f>
        <v>1552377915012086</v>
      </c>
      <c r="C7354" t="s">
        <v>40</v>
      </c>
      <c r="D7354">
        <v>5.8194530000000002</v>
      </c>
      <c r="E7354">
        <v>0.45113239999999999</v>
      </c>
      <c r="F7354" t="s">
        <v>124</v>
      </c>
      <c r="G7354">
        <v>-243.05439999999999</v>
      </c>
      <c r="H7354" s="1">
        <v>-6.6237519999999898E-7</v>
      </c>
      <c r="I7354">
        <v>-61.754989999999999</v>
      </c>
      <c r="J7354">
        <v>-264.59710000000001</v>
      </c>
      <c r="K7354">
        <v>1.110873</v>
      </c>
      <c r="L7354">
        <v>-67.502139999999997</v>
      </c>
      <c r="M7354">
        <v>0.99378480000000002</v>
      </c>
      <c r="N7354">
        <v>0</v>
      </c>
      <c r="O7354">
        <v>0.1104946</v>
      </c>
      <c r="P7354">
        <v>0.99039880000000002</v>
      </c>
      <c r="Q7354">
        <v>4.152985E-2</v>
      </c>
      <c r="R7354">
        <v>0.1318561</v>
      </c>
      <c r="S7354">
        <v>2.9319459999999999</v>
      </c>
      <c r="T7354">
        <v>-0.1504682</v>
      </c>
      <c r="U7354">
        <v>0.78005979999999997</v>
      </c>
      <c r="V7354">
        <v>-2.1664220000000001E-2</v>
      </c>
      <c r="W7354">
        <v>5.5012400000000003E-2</v>
      </c>
      <c r="X7354">
        <v>0.99825059999999999</v>
      </c>
      <c r="Y7354">
        <v>-0.14869969999999999</v>
      </c>
      <c r="Z7354">
        <v>-1.7940899999999999E-3</v>
      </c>
      <c r="AA7354">
        <v>0.9888808</v>
      </c>
      <c r="AB7354">
        <v>21</v>
      </c>
      <c r="AC7354">
        <v>21.5427</v>
      </c>
      <c r="AD7354">
        <v>-1.1108736623752</v>
      </c>
      <c r="AE7354">
        <v>5.7471499999999898</v>
      </c>
      <c r="AF7354">
        <v>-3.3231333384213699</v>
      </c>
      <c r="AG7354">
        <v>-1.1108736623752</v>
      </c>
      <c r="AH7354">
        <v>21.9912600918416</v>
      </c>
      <c r="AI7354">
        <v>92.859392025761295</v>
      </c>
      <c r="AJ7354">
        <v>98.593040971987506</v>
      </c>
      <c r="AK7354">
        <v>22.268650069227601</v>
      </c>
      <c r="AL7354">
        <v>86.8464295925898</v>
      </c>
      <c r="AM7354">
        <v>91.243248493534495</v>
      </c>
      <c r="AN7354">
        <v>0.99999998149116398</v>
      </c>
    </row>
    <row r="7355" spans="1:40" x14ac:dyDescent="0.25">
      <c r="A7355" t="str">
        <f>"20190312160515029"</f>
        <v>20190312160515029</v>
      </c>
      <c r="B7355" t="str">
        <f>"1552377915022822"</f>
        <v>1552377915022822</v>
      </c>
      <c r="C7355" t="s">
        <v>40</v>
      </c>
      <c r="D7355">
        <v>5.8103429999999996</v>
      </c>
      <c r="E7355">
        <v>0.45135130000000001</v>
      </c>
      <c r="F7355" t="s">
        <v>124</v>
      </c>
      <c r="G7355">
        <v>-242.9853</v>
      </c>
      <c r="H7355" s="1">
        <v>-6.3115209999999998E-7</v>
      </c>
      <c r="I7355">
        <v>-61.749070000000003</v>
      </c>
      <c r="J7355">
        <v>-264.49919999999997</v>
      </c>
      <c r="K7355">
        <v>1.1108690000000001</v>
      </c>
      <c r="L7355">
        <v>-67.490780000000001</v>
      </c>
      <c r="M7355">
        <v>0.99374180000000001</v>
      </c>
      <c r="N7355">
        <v>0</v>
      </c>
      <c r="O7355">
        <v>0.11088099999999999</v>
      </c>
      <c r="P7355">
        <v>0.99025149999999995</v>
      </c>
      <c r="Q7355">
        <v>4.1450760000000003E-2</v>
      </c>
      <c r="R7355">
        <v>0.13298080000000001</v>
      </c>
      <c r="S7355">
        <v>2.9315190000000002</v>
      </c>
      <c r="T7355">
        <v>-0.15068389999999901</v>
      </c>
      <c r="U7355">
        <v>0.78036499999999998</v>
      </c>
      <c r="V7355">
        <v>-2.240926E-2</v>
      </c>
      <c r="W7355">
        <v>5.4924800000000003E-2</v>
      </c>
      <c r="X7355">
        <v>0.99823899999999999</v>
      </c>
      <c r="Y7355">
        <v>-0.14844779999999999</v>
      </c>
      <c r="Z7355">
        <v>-1.8225170000000001E-3</v>
      </c>
      <c r="AA7355">
        <v>0.98891859999999998</v>
      </c>
      <c r="AB7355">
        <v>21</v>
      </c>
      <c r="AC7355">
        <v>21.5138999999999</v>
      </c>
      <c r="AD7355">
        <v>-1.1108696311521</v>
      </c>
      <c r="AE7355">
        <v>5.7417100000000003</v>
      </c>
      <c r="AF7355">
        <v>-3.3123536359936798</v>
      </c>
      <c r="AG7355">
        <v>-1.1108696311521</v>
      </c>
      <c r="AH7355">
        <v>21.963254797202399</v>
      </c>
      <c r="AI7355">
        <v>92.8631473692067</v>
      </c>
      <c r="AJ7355">
        <v>98.576340312928906</v>
      </c>
      <c r="AK7355">
        <v>22.239385765666501</v>
      </c>
      <c r="AL7355">
        <v>86.851456376571804</v>
      </c>
      <c r="AM7355">
        <v>91.286005057635407</v>
      </c>
      <c r="AN7355">
        <v>1.00000000485489</v>
      </c>
    </row>
    <row r="7356" spans="1:40" x14ac:dyDescent="0.25">
      <c r="A7356" t="str">
        <f>"20190312160515041"</f>
        <v>20190312160515041</v>
      </c>
      <c r="B7356" t="str">
        <f>"1552377915032585"</f>
        <v>1552377915032585</v>
      </c>
      <c r="C7356" t="s">
        <v>40</v>
      </c>
      <c r="D7356">
        <v>5.8124260000000003</v>
      </c>
      <c r="E7356">
        <v>0.45161610000000002</v>
      </c>
      <c r="F7356" t="s">
        <v>124</v>
      </c>
      <c r="G7356">
        <v>-242.8175</v>
      </c>
      <c r="H7356" s="1">
        <v>-5.479491E-7</v>
      </c>
      <c r="I7356">
        <v>-61.707019999999901</v>
      </c>
      <c r="J7356">
        <v>-264.39769999999999</v>
      </c>
      <c r="K7356">
        <v>1.110867</v>
      </c>
      <c r="L7356">
        <v>-67.478999999999999</v>
      </c>
      <c r="M7356">
        <v>0.99369719999999995</v>
      </c>
      <c r="N7356">
        <v>0</v>
      </c>
      <c r="O7356">
        <v>0.111281199999999</v>
      </c>
      <c r="P7356">
        <v>0.9901643</v>
      </c>
      <c r="Q7356">
        <v>4.1538180000000001E-2</v>
      </c>
      <c r="R7356">
        <v>0.1336012</v>
      </c>
      <c r="S7356">
        <v>2.9307859999999999</v>
      </c>
      <c r="T7356">
        <v>-0.1501594</v>
      </c>
      <c r="U7356">
        <v>0.78179929999999997</v>
      </c>
      <c r="V7356">
        <v>-2.2633839999999999E-2</v>
      </c>
      <c r="W7356">
        <v>5.5004780000000003E-2</v>
      </c>
      <c r="X7356">
        <v>0.99822949999999999</v>
      </c>
      <c r="Y7356">
        <v>-0.14856340000000001</v>
      </c>
      <c r="Z7356">
        <v>-1.833459E-3</v>
      </c>
      <c r="AA7356">
        <v>0.98890120000000004</v>
      </c>
      <c r="AB7356">
        <v>21</v>
      </c>
      <c r="AC7356">
        <v>21.580199999999898</v>
      </c>
      <c r="AD7356">
        <v>-1.1108675479490999</v>
      </c>
      <c r="AE7356">
        <v>5.7719800000000001</v>
      </c>
      <c r="AF7356">
        <v>-3.3262085060833302</v>
      </c>
      <c r="AG7356">
        <v>-1.1108675479490999</v>
      </c>
      <c r="AH7356">
        <v>22.034023542798899</v>
      </c>
      <c r="AI7356">
        <v>92.853900712249597</v>
      </c>
      <c r="AJ7356">
        <v>98.584430370343298</v>
      </c>
      <c r="AK7356">
        <v>22.311339789883601</v>
      </c>
      <c r="AL7356">
        <v>86.846866829910596</v>
      </c>
      <c r="AM7356">
        <v>91.298901042541701</v>
      </c>
      <c r="AN7356">
        <v>0.99999997560312104</v>
      </c>
    </row>
    <row r="7357" spans="1:40" x14ac:dyDescent="0.25">
      <c r="A7357" t="str">
        <f>"20190312160515052"</f>
        <v>20190312160515052</v>
      </c>
      <c r="B7357" t="str">
        <f>"1552377915042343"</f>
        <v>1552377915042343</v>
      </c>
      <c r="C7357" t="s">
        <v>40</v>
      </c>
      <c r="D7357">
        <v>5.807544</v>
      </c>
      <c r="E7357">
        <v>0.45184760000000002</v>
      </c>
      <c r="F7357" t="s">
        <v>124</v>
      </c>
      <c r="G7357">
        <v>-242.6147</v>
      </c>
      <c r="H7357" s="1">
        <v>-4.5135140000000002E-7</v>
      </c>
      <c r="I7357">
        <v>-61.670879999999997</v>
      </c>
      <c r="J7357">
        <v>-264.2978</v>
      </c>
      <c r="K7357">
        <v>1.1108640000000001</v>
      </c>
      <c r="L7357">
        <v>-67.467349999999996</v>
      </c>
      <c r="M7357">
        <v>0.99365289999999995</v>
      </c>
      <c r="N7357">
        <v>0</v>
      </c>
      <c r="O7357">
        <v>0.1116756</v>
      </c>
      <c r="P7357">
        <v>0.9900371</v>
      </c>
      <c r="Q7357">
        <v>4.1498710000000001E-2</v>
      </c>
      <c r="R7357">
        <v>0.1345529</v>
      </c>
      <c r="S7357">
        <v>2.930634</v>
      </c>
      <c r="T7357">
        <v>-0.14945329999999901</v>
      </c>
      <c r="U7357">
        <v>0.78140259999999995</v>
      </c>
      <c r="V7357">
        <v>-2.3196999999999999E-2</v>
      </c>
      <c r="W7357">
        <v>5.4958119999999999E-2</v>
      </c>
      <c r="X7357">
        <v>0.99821919999999997</v>
      </c>
      <c r="Y7357">
        <v>-0.1480602</v>
      </c>
      <c r="Z7357">
        <v>-1.857105E-3</v>
      </c>
      <c r="AA7357">
        <v>0.98897659999999998</v>
      </c>
      <c r="AB7357">
        <v>21</v>
      </c>
      <c r="AC7357">
        <v>21.6831</v>
      </c>
      <c r="AD7357">
        <v>-1.1108644513514001</v>
      </c>
      <c r="AE7357">
        <v>5.7964699999999896</v>
      </c>
      <c r="AF7357">
        <v>-3.3303524739589299</v>
      </c>
      <c r="AG7357">
        <v>-1.1108644513514001</v>
      </c>
      <c r="AH7357">
        <v>22.1405881129973</v>
      </c>
      <c r="AI7357">
        <v>92.840404651399396</v>
      </c>
      <c r="AJ7357">
        <v>98.554210817188903</v>
      </c>
      <c r="AK7357">
        <v>22.417201195052801</v>
      </c>
      <c r="AL7357">
        <v>86.849544483659102</v>
      </c>
      <c r="AM7357">
        <v>91.331221668223506</v>
      </c>
      <c r="AN7357">
        <v>1.0000000335057799</v>
      </c>
    </row>
    <row r="7358" spans="1:40" x14ac:dyDescent="0.25">
      <c r="A7358" t="str">
        <f>"20190312160515063"</f>
        <v>20190312160515063</v>
      </c>
      <c r="B7358" t="str">
        <f>"1552377915052103"</f>
        <v>1552377915052103</v>
      </c>
      <c r="C7358" t="s">
        <v>40</v>
      </c>
      <c r="D7358">
        <v>5.8441650000000003</v>
      </c>
      <c r="E7358">
        <v>0.45206439999999998</v>
      </c>
      <c r="F7358" t="s">
        <v>124</v>
      </c>
      <c r="G7358">
        <v>-242.4991</v>
      </c>
      <c r="H7358" s="1">
        <v>-3.954873E-7</v>
      </c>
      <c r="I7358">
        <v>-61.647370000000002</v>
      </c>
      <c r="J7358">
        <v>-264.19670000000002</v>
      </c>
      <c r="K7358">
        <v>1.1108610000000001</v>
      </c>
      <c r="L7358">
        <v>-67.455510000000004</v>
      </c>
      <c r="M7358">
        <v>0.99360809999999999</v>
      </c>
      <c r="N7358">
        <v>0</v>
      </c>
      <c r="O7358">
        <v>0.1120751</v>
      </c>
      <c r="P7358">
        <v>0.98997650000000004</v>
      </c>
      <c r="Q7358">
        <v>4.1201519999999998E-2</v>
      </c>
      <c r="R7358">
        <v>0.13508909999999999</v>
      </c>
      <c r="S7358">
        <v>2.9300839999999999</v>
      </c>
      <c r="T7358">
        <v>-0.14931749999999999</v>
      </c>
      <c r="U7358">
        <v>0.78228759999999997</v>
      </c>
      <c r="V7358">
        <v>-2.333447E-2</v>
      </c>
      <c r="W7358">
        <v>5.4654359999999999E-2</v>
      </c>
      <c r="X7358">
        <v>0.99823269999999997</v>
      </c>
      <c r="Y7358">
        <v>-0.14798829999999999</v>
      </c>
      <c r="Z7358">
        <v>-1.8772109999999999E-3</v>
      </c>
      <c r="AA7358">
        <v>0.98898730000000001</v>
      </c>
      <c r="AB7358">
        <v>21</v>
      </c>
      <c r="AC7358">
        <v>21.697600000000001</v>
      </c>
      <c r="AD7358">
        <v>-1.1108613954872999</v>
      </c>
      <c r="AE7358">
        <v>5.8081399999999999</v>
      </c>
      <c r="AF7358">
        <v>-3.3314100264597899</v>
      </c>
      <c r="AG7358">
        <v>-1.1108613954872999</v>
      </c>
      <c r="AH7358">
        <v>22.157685858463999</v>
      </c>
      <c r="AI7358">
        <v>92.838237150830096</v>
      </c>
      <c r="AJ7358">
        <v>98.550381799717499</v>
      </c>
      <c r="AK7358">
        <v>22.434244993018101</v>
      </c>
      <c r="AL7358">
        <v>86.866974929757106</v>
      </c>
      <c r="AM7358">
        <v>91.339089783048706</v>
      </c>
      <c r="AN7358">
        <v>1.0000000599532299</v>
      </c>
    </row>
    <row r="7359" spans="1:40" x14ac:dyDescent="0.25">
      <c r="A7359" t="str">
        <f>"20190312160515074"</f>
        <v>20190312160515074</v>
      </c>
      <c r="B7359" t="str">
        <f>"1552377915062838"</f>
        <v>1552377915062838</v>
      </c>
      <c r="C7359" t="s">
        <v>40</v>
      </c>
      <c r="D7359">
        <v>5.7969689999999998</v>
      </c>
      <c r="E7359">
        <v>0.45227600000000001</v>
      </c>
      <c r="F7359" t="s">
        <v>124</v>
      </c>
      <c r="G7359">
        <v>-242.6069</v>
      </c>
      <c r="H7359" s="1">
        <v>-4.5376670000000001E-7</v>
      </c>
      <c r="I7359">
        <v>-61.692529999999998</v>
      </c>
      <c r="J7359">
        <v>-264.09570000000002</v>
      </c>
      <c r="K7359">
        <v>1.1108579999999999</v>
      </c>
      <c r="L7359">
        <v>-67.443629999999999</v>
      </c>
      <c r="M7359">
        <v>0.99356319999999998</v>
      </c>
      <c r="N7359">
        <v>0</v>
      </c>
      <c r="O7359">
        <v>0.11247459999999999</v>
      </c>
      <c r="P7359">
        <v>0.98986410000000002</v>
      </c>
      <c r="Q7359">
        <v>4.1145950000000001E-2</v>
      </c>
      <c r="R7359">
        <v>0.13592770000000001</v>
      </c>
      <c r="S7359">
        <v>2.9299010000000001</v>
      </c>
      <c r="T7359">
        <v>-0.15075279999999999</v>
      </c>
      <c r="U7359">
        <v>0.78207399999999905</v>
      </c>
      <c r="V7359">
        <v>-2.3778179999999999E-2</v>
      </c>
      <c r="W7359">
        <v>5.4588659999999997E-2</v>
      </c>
      <c r="X7359">
        <v>0.99822569999999999</v>
      </c>
      <c r="Y7359">
        <v>-0.1475389</v>
      </c>
      <c r="Z7359">
        <v>-1.926674E-3</v>
      </c>
      <c r="AA7359">
        <v>0.9890544</v>
      </c>
      <c r="AB7359">
        <v>21</v>
      </c>
      <c r="AC7359">
        <v>21.488800000000001</v>
      </c>
      <c r="AD7359">
        <v>-1.1108584537666999</v>
      </c>
      <c r="AE7359">
        <v>5.7510999999999903</v>
      </c>
      <c r="AF7359">
        <v>-3.28923414682433</v>
      </c>
      <c r="AG7359">
        <v>-1.1108584537666999</v>
      </c>
      <c r="AH7359">
        <v>21.944607620222499</v>
      </c>
      <c r="AI7359">
        <v>92.865936711413298</v>
      </c>
      <c r="AJ7359">
        <v>98.524491630180293</v>
      </c>
      <c r="AK7359">
        <v>22.217535222937499</v>
      </c>
      <c r="AL7359">
        <v>86.870744501698795</v>
      </c>
      <c r="AM7359">
        <v>91.3645528929828</v>
      </c>
      <c r="AN7359">
        <v>0.99999993589259695</v>
      </c>
    </row>
    <row r="7360" spans="1:40" x14ac:dyDescent="0.25">
      <c r="A7360" t="str">
        <f>"20190312160515085"</f>
        <v>20190312160515085</v>
      </c>
      <c r="B7360" t="str">
        <f>"1552377915072599"</f>
        <v>1552377915072599</v>
      </c>
      <c r="C7360" t="s">
        <v>40</v>
      </c>
      <c r="D7360">
        <v>5.8192219999999999</v>
      </c>
      <c r="E7360">
        <v>0.45252540000000002</v>
      </c>
      <c r="F7360" t="s">
        <v>124</v>
      </c>
      <c r="G7360">
        <v>-242.51130000000001</v>
      </c>
      <c r="H7360" s="1">
        <v>-4.0845910000000001E-7</v>
      </c>
      <c r="I7360">
        <v>-61.676369999999999</v>
      </c>
      <c r="J7360">
        <v>-263.99</v>
      </c>
      <c r="K7360">
        <v>1.1108549999999999</v>
      </c>
      <c r="L7360">
        <v>-67.431209999999993</v>
      </c>
      <c r="M7360">
        <v>0.9935157</v>
      </c>
      <c r="N7360">
        <v>0</v>
      </c>
      <c r="O7360">
        <v>0.1128937</v>
      </c>
      <c r="P7360">
        <v>0.98981580000000002</v>
      </c>
      <c r="Q7360">
        <v>4.0731009999999998E-2</v>
      </c>
      <c r="R7360">
        <v>0.13640350000000001</v>
      </c>
      <c r="S7360">
        <v>2.9295040000000001</v>
      </c>
      <c r="T7360">
        <v>-0.1507695</v>
      </c>
      <c r="U7360">
        <v>0.78274540000000004</v>
      </c>
      <c r="V7360">
        <v>-2.3834899999999999E-2</v>
      </c>
      <c r="W7360">
        <v>5.4162040000000002E-2</v>
      </c>
      <c r="X7360">
        <v>0.99824760000000001</v>
      </c>
      <c r="Y7360">
        <v>-0.14736740000000001</v>
      </c>
      <c r="Z7360">
        <v>-1.952325E-3</v>
      </c>
      <c r="AA7360">
        <v>0.98907990000000001</v>
      </c>
      <c r="AB7360">
        <v>21</v>
      </c>
      <c r="AC7360">
        <v>21.4787</v>
      </c>
      <c r="AD7360">
        <v>-1.1108554084591</v>
      </c>
      <c r="AE7360">
        <v>5.75483999999999</v>
      </c>
      <c r="AF7360">
        <v>-3.2848150671600602</v>
      </c>
      <c r="AG7360">
        <v>-1.1108554084591</v>
      </c>
      <c r="AH7360">
        <v>21.9363610473557</v>
      </c>
      <c r="AI7360">
        <v>92.867065319452394</v>
      </c>
      <c r="AJ7360">
        <v>98.5163603824669</v>
      </c>
      <c r="AK7360">
        <v>22.208735798416999</v>
      </c>
      <c r="AL7360">
        <v>86.895224288822504</v>
      </c>
      <c r="AM7360">
        <v>91.367776639219201</v>
      </c>
      <c r="AN7360">
        <v>0.99999994997036401</v>
      </c>
    </row>
    <row r="7361" spans="1:40" x14ac:dyDescent="0.25">
      <c r="A7361" t="str">
        <f>"20190312160515096"</f>
        <v>20190312160515096</v>
      </c>
      <c r="B7361" t="str">
        <f>"1552377915092122"</f>
        <v>1552377915092122</v>
      </c>
      <c r="C7361" t="s">
        <v>40</v>
      </c>
      <c r="D7361">
        <v>5.7840160000000003</v>
      </c>
      <c r="E7361">
        <v>0.45272459999999998</v>
      </c>
      <c r="F7361" t="s">
        <v>124</v>
      </c>
      <c r="G7361">
        <v>-242.6679</v>
      </c>
      <c r="H7361" s="1">
        <v>-4.9213839999999998E-7</v>
      </c>
      <c r="I7361">
        <v>-61.73845</v>
      </c>
      <c r="J7361">
        <v>-263.88650000000001</v>
      </c>
      <c r="K7361">
        <v>1.110851</v>
      </c>
      <c r="L7361">
        <v>-67.418949999999995</v>
      </c>
      <c r="M7361">
        <v>0.99346920000000005</v>
      </c>
      <c r="N7361">
        <v>0</v>
      </c>
      <c r="O7361">
        <v>0.1133044</v>
      </c>
      <c r="P7361">
        <v>0.98977479999999995</v>
      </c>
      <c r="Q7361">
        <v>4.0398990000000003E-2</v>
      </c>
      <c r="R7361">
        <v>0.13679849999999999</v>
      </c>
      <c r="S7361">
        <v>2.9293819999999999</v>
      </c>
      <c r="T7361">
        <v>-0.15261710000000001</v>
      </c>
      <c r="U7361">
        <v>0.78210449999999998</v>
      </c>
      <c r="V7361">
        <v>-2.381869E-2</v>
      </c>
      <c r="W7361">
        <v>5.3811600000000001E-2</v>
      </c>
      <c r="X7361">
        <v>0.99826700000000002</v>
      </c>
      <c r="Y7361">
        <v>-0.14676700000000001</v>
      </c>
      <c r="Z7361">
        <v>-2.0124909999999999E-3</v>
      </c>
      <c r="AA7361">
        <v>0.98916910000000002</v>
      </c>
      <c r="AB7361">
        <v>21</v>
      </c>
      <c r="AC7361">
        <v>21.218599999999999</v>
      </c>
      <c r="AD7361">
        <v>-1.1108514921383901</v>
      </c>
      <c r="AE7361">
        <v>5.6804999999999897</v>
      </c>
      <c r="AF7361">
        <v>-3.2312703336969699</v>
      </c>
      <c r="AG7361">
        <v>-1.1108514921383901</v>
      </c>
      <c r="AH7361">
        <v>21.670196395414798</v>
      </c>
      <c r="AI7361">
        <v>92.902477564192196</v>
      </c>
      <c r="AJ7361">
        <v>98.480958705510702</v>
      </c>
      <c r="AK7361">
        <v>21.9379240317507</v>
      </c>
      <c r="AL7361">
        <v>86.915332535314306</v>
      </c>
      <c r="AM7361">
        <v>91.366820221179495</v>
      </c>
      <c r="AN7361">
        <v>1.0000000107884299</v>
      </c>
    </row>
    <row r="7362" spans="1:40" x14ac:dyDescent="0.25">
      <c r="A7362" t="str">
        <f>"20190312160515108"</f>
        <v>20190312160515108</v>
      </c>
      <c r="B7362" t="str">
        <f>"1552377915102854"</f>
        <v>1552377915102854</v>
      </c>
      <c r="C7362" t="s">
        <v>40</v>
      </c>
      <c r="D7362">
        <v>5.759201</v>
      </c>
      <c r="E7362">
        <v>0.4528759</v>
      </c>
      <c r="F7362" t="s">
        <v>124</v>
      </c>
      <c r="G7362">
        <v>-242.67670000000001</v>
      </c>
      <c r="H7362" s="1">
        <v>-5.0149990000000004E-7</v>
      </c>
      <c r="I7362">
        <v>-61.759399999999999</v>
      </c>
      <c r="J7362">
        <v>-263.78300000000002</v>
      </c>
      <c r="K7362">
        <v>1.1108420000000001</v>
      </c>
      <c r="L7362">
        <v>-67.406649999999999</v>
      </c>
      <c r="M7362">
        <v>0.99342260000000004</v>
      </c>
      <c r="N7362">
        <v>0</v>
      </c>
      <c r="O7362">
        <v>0.11371539999999999</v>
      </c>
      <c r="P7362">
        <v>0.98976799999999998</v>
      </c>
      <c r="Q7362">
        <v>4.0087159999999997E-2</v>
      </c>
      <c r="R7362">
        <v>0.13694029999999999</v>
      </c>
      <c r="S7362">
        <v>2.92923</v>
      </c>
      <c r="T7362">
        <v>-0.15341659999999999</v>
      </c>
      <c r="U7362">
        <v>0.78161619999999998</v>
      </c>
      <c r="V7362">
        <v>-2.3546830000000001E-2</v>
      </c>
      <c r="W7362">
        <v>5.3479720000000001E-2</v>
      </c>
      <c r="X7362">
        <v>0.99829129999999999</v>
      </c>
      <c r="Y7362">
        <v>-0.1462175</v>
      </c>
      <c r="Z7362">
        <v>-2.0581969999999999E-3</v>
      </c>
      <c r="AA7362">
        <v>0.98925030000000003</v>
      </c>
      <c r="AB7362">
        <v>21</v>
      </c>
      <c r="AC7362">
        <v>21.106300000000001</v>
      </c>
      <c r="AD7362">
        <v>-1.1108425014998999</v>
      </c>
      <c r="AE7362">
        <v>5.6472499999999997</v>
      </c>
      <c r="AF7362">
        <v>-3.2020068939389201</v>
      </c>
      <c r="AG7362">
        <v>-1.1108425014998999</v>
      </c>
      <c r="AH7362">
        <v>21.555882685838299</v>
      </c>
      <c r="AI7362">
        <v>92.918060081353403</v>
      </c>
      <c r="AJ7362">
        <v>98.449186918727506</v>
      </c>
      <c r="AK7362">
        <v>21.820698833392001</v>
      </c>
      <c r="AL7362">
        <v>86.934375328077294</v>
      </c>
      <c r="AM7362">
        <v>91.351192648093402</v>
      </c>
      <c r="AN7362">
        <v>1.000000026655</v>
      </c>
    </row>
    <row r="7363" spans="1:40" x14ac:dyDescent="0.25">
      <c r="A7363" t="str">
        <f>"20190312160515119"</f>
        <v>20190312160515119</v>
      </c>
      <c r="B7363" t="str">
        <f>"1552377915112614"</f>
        <v>1552377915112614</v>
      </c>
      <c r="C7363" t="s">
        <v>40</v>
      </c>
      <c r="D7363">
        <v>5.8016899999999998</v>
      </c>
      <c r="E7363">
        <v>0.4530284</v>
      </c>
      <c r="F7363" t="s">
        <v>124</v>
      </c>
      <c r="G7363">
        <v>-242.71260000000001</v>
      </c>
      <c r="H7363" s="1">
        <v>-5.2522380000000001E-7</v>
      </c>
      <c r="I7363">
        <v>-61.79074</v>
      </c>
      <c r="J7363">
        <v>-263.6816</v>
      </c>
      <c r="K7363">
        <v>1.1108359999999999</v>
      </c>
      <c r="L7363">
        <v>-67.394559999999998</v>
      </c>
      <c r="M7363">
        <v>0.99337690000000001</v>
      </c>
      <c r="N7363">
        <v>0</v>
      </c>
      <c r="O7363">
        <v>0.11411689999999999</v>
      </c>
      <c r="P7363">
        <v>0.98970840000000004</v>
      </c>
      <c r="Q7363">
        <v>4.0182080000000002E-2</v>
      </c>
      <c r="R7363">
        <v>0.13734180000000001</v>
      </c>
      <c r="S7363">
        <v>2.9292600000000002</v>
      </c>
      <c r="T7363">
        <v>-0.15443219999999999</v>
      </c>
      <c r="U7363">
        <v>0.78073119999999996</v>
      </c>
      <c r="V7363">
        <v>-2.354912E-2</v>
      </c>
      <c r="W7363">
        <v>5.3549239999999998E-2</v>
      </c>
      <c r="X7363">
        <v>0.99828749999999999</v>
      </c>
      <c r="Y7363">
        <v>-0.1455369</v>
      </c>
      <c r="Z7363">
        <v>-2.1100390000000002E-3</v>
      </c>
      <c r="AA7363">
        <v>0.98935059999999997</v>
      </c>
      <c r="AB7363">
        <v>21</v>
      </c>
      <c r="AC7363">
        <v>20.968999999999902</v>
      </c>
      <c r="AD7363">
        <v>-1.1108365252237999</v>
      </c>
      <c r="AE7363">
        <v>5.60381999999999</v>
      </c>
      <c r="AF7363">
        <v>-3.1657810789104399</v>
      </c>
      <c r="AG7363">
        <v>-1.1108365252237999</v>
      </c>
      <c r="AH7363">
        <v>21.415446218854498</v>
      </c>
      <c r="AI7363">
        <v>92.937451766464093</v>
      </c>
      <c r="AJ7363">
        <v>98.408962693628595</v>
      </c>
      <c r="AK7363">
        <v>21.6766571310709</v>
      </c>
      <c r="AL7363">
        <v>86.930386350623607</v>
      </c>
      <c r="AM7363">
        <v>91.351329148849999</v>
      </c>
      <c r="AN7363">
        <v>1.0000000074068001</v>
      </c>
    </row>
    <row r="7364" spans="1:40" x14ac:dyDescent="0.25">
      <c r="A7364" t="str">
        <f>"20190312160515131"</f>
        <v>20190312160515131</v>
      </c>
      <c r="B7364" t="str">
        <f>"1552377915122375"</f>
        <v>1552377915122375</v>
      </c>
      <c r="C7364" t="s">
        <v>40</v>
      </c>
      <c r="D7364">
        <v>5.795102</v>
      </c>
      <c r="E7364">
        <v>0.45324389999999998</v>
      </c>
      <c r="F7364" t="s">
        <v>124</v>
      </c>
      <c r="G7364">
        <v>-242.61490000000001</v>
      </c>
      <c r="H7364" s="1">
        <v>-4.8059840000000002E-7</v>
      </c>
      <c r="I7364">
        <v>-61.780450000000002</v>
      </c>
      <c r="J7364">
        <v>-263.58</v>
      </c>
      <c r="K7364">
        <v>1.1108340000000001</v>
      </c>
      <c r="L7364">
        <v>-67.382419999999996</v>
      </c>
      <c r="M7364">
        <v>0.99333110000000002</v>
      </c>
      <c r="N7364">
        <v>0</v>
      </c>
      <c r="O7364">
        <v>0.1145187</v>
      </c>
      <c r="P7364">
        <v>0.98967669999999996</v>
      </c>
      <c r="Q7364">
        <v>3.9948039999999997E-2</v>
      </c>
      <c r="R7364">
        <v>0.1376387</v>
      </c>
      <c r="S7364">
        <v>2.9291079999999998</v>
      </c>
      <c r="T7364">
        <v>-0.1544507</v>
      </c>
      <c r="U7364">
        <v>0.78057860000000001</v>
      </c>
      <c r="V7364">
        <v>-2.34433E-2</v>
      </c>
      <c r="W7364">
        <v>5.3289259999999998E-2</v>
      </c>
      <c r="X7364">
        <v>0.99830390000000002</v>
      </c>
      <c r="Y7364">
        <v>-0.1451025</v>
      </c>
      <c r="Z7364">
        <v>-2.1422110000000002E-3</v>
      </c>
      <c r="AA7364">
        <v>0.98941429999999997</v>
      </c>
      <c r="AB7364">
        <v>21</v>
      </c>
      <c r="AC7364">
        <v>20.9650999999999</v>
      </c>
      <c r="AD7364">
        <v>-1.1108344805983901</v>
      </c>
      <c r="AE7364">
        <v>5.6019699999999899</v>
      </c>
      <c r="AF7364">
        <v>-3.15572887704786</v>
      </c>
      <c r="AG7364">
        <v>-1.1108344805983901</v>
      </c>
      <c r="AH7364">
        <v>21.4126276044557</v>
      </c>
      <c r="AI7364">
        <v>92.938022999129004</v>
      </c>
      <c r="AJ7364">
        <v>98.383729723205803</v>
      </c>
      <c r="AK7364">
        <v>21.672406394210601</v>
      </c>
      <c r="AL7364">
        <v>86.945303399397005</v>
      </c>
      <c r="AM7364">
        <v>91.345236979716304</v>
      </c>
      <c r="AN7364">
        <v>1.0000000051507201</v>
      </c>
    </row>
    <row r="7365" spans="1:40" x14ac:dyDescent="0.25">
      <c r="A7365" t="str">
        <f>"20190312160515141"</f>
        <v>20190312160515141</v>
      </c>
      <c r="B7365" t="str">
        <f>"1552377915132135"</f>
        <v>1552377915132135</v>
      </c>
      <c r="C7365" t="s">
        <v>40</v>
      </c>
      <c r="D7365">
        <v>5.7742440000000004</v>
      </c>
      <c r="E7365">
        <v>0.45338070000000003</v>
      </c>
      <c r="F7365" t="s">
        <v>124</v>
      </c>
      <c r="G7365">
        <v>-242.76400000000001</v>
      </c>
      <c r="H7365" s="1">
        <v>-5.6103340000000004E-7</v>
      </c>
      <c r="I7365">
        <v>-61.84243</v>
      </c>
      <c r="J7365">
        <v>-263.47399999999999</v>
      </c>
      <c r="K7365">
        <v>1.110833</v>
      </c>
      <c r="L7365">
        <v>-67.369659999999996</v>
      </c>
      <c r="M7365">
        <v>0.99328320000000003</v>
      </c>
      <c r="N7365">
        <v>0</v>
      </c>
      <c r="O7365">
        <v>0.1149367</v>
      </c>
      <c r="P7365">
        <v>0.9896585</v>
      </c>
      <c r="Q7365">
        <v>3.9894029999999997E-2</v>
      </c>
      <c r="R7365">
        <v>0.13778560000000001</v>
      </c>
      <c r="S7365">
        <v>2.9291990000000001</v>
      </c>
      <c r="T7365">
        <v>-0.15631510000000001</v>
      </c>
      <c r="U7365">
        <v>0.77957149999999997</v>
      </c>
      <c r="V7365">
        <v>-2.3171589999999999E-2</v>
      </c>
      <c r="W7365">
        <v>5.3206410000000003E-2</v>
      </c>
      <c r="X7365">
        <v>0.9983147</v>
      </c>
      <c r="Y7365">
        <v>-0.1443614</v>
      </c>
      <c r="Z7365">
        <v>-2.2091559999999999E-3</v>
      </c>
      <c r="AA7365">
        <v>0.98952260000000003</v>
      </c>
      <c r="AB7365">
        <v>21</v>
      </c>
      <c r="AC7365">
        <v>20.709999999999901</v>
      </c>
      <c r="AD7365">
        <v>-1.1108335610333999</v>
      </c>
      <c r="AE7365">
        <v>5.5272299999999799</v>
      </c>
      <c r="AF7365">
        <v>-3.1017122800270398</v>
      </c>
      <c r="AG7365">
        <v>-1.1108335610333999</v>
      </c>
      <c r="AH7365">
        <v>21.1512589825386</v>
      </c>
      <c r="AI7365">
        <v>92.974574285018306</v>
      </c>
      <c r="AJ7365">
        <v>98.342638939924001</v>
      </c>
      <c r="AK7365">
        <v>21.406315115283299</v>
      </c>
      <c r="AL7365">
        <v>86.950057212492197</v>
      </c>
      <c r="AM7365">
        <v>91.329636810353705</v>
      </c>
      <c r="AN7365">
        <v>1.00000004244215</v>
      </c>
    </row>
    <row r="7366" spans="1:40" x14ac:dyDescent="0.25">
      <c r="A7366" t="str">
        <f>"20190312160515153"</f>
        <v>20190312160515153</v>
      </c>
      <c r="B7366" t="str">
        <f>"1552377915142870"</f>
        <v>1552377915142870</v>
      </c>
      <c r="C7366" t="s">
        <v>40</v>
      </c>
      <c r="D7366">
        <v>5.7526010000000003</v>
      </c>
      <c r="E7366">
        <v>0.45351859999999999</v>
      </c>
      <c r="F7366" t="s">
        <v>124</v>
      </c>
      <c r="G7366">
        <v>-242.69319999999999</v>
      </c>
      <c r="H7366" s="1">
        <v>-5.3114769999999895E-7</v>
      </c>
      <c r="I7366">
        <v>-61.844299999999997</v>
      </c>
      <c r="J7366">
        <v>-263.37549999999999</v>
      </c>
      <c r="K7366">
        <v>1.11083</v>
      </c>
      <c r="L7366">
        <v>-67.357819999999904</v>
      </c>
      <c r="M7366">
        <v>0.99323859999999997</v>
      </c>
      <c r="N7366">
        <v>0</v>
      </c>
      <c r="O7366">
        <v>0.1153243</v>
      </c>
      <c r="P7366">
        <v>0.98960769999999998</v>
      </c>
      <c r="Q7366">
        <v>3.9999989999999999E-2</v>
      </c>
      <c r="R7366">
        <v>0.13811870000000001</v>
      </c>
      <c r="S7366">
        <v>2.92923</v>
      </c>
      <c r="T7366">
        <v>-0.15658139999999901</v>
      </c>
      <c r="U7366">
        <v>0.77883910000000001</v>
      </c>
      <c r="V7366">
        <v>-2.3118650000000001E-2</v>
      </c>
      <c r="W7366">
        <v>5.3283070000000002E-2</v>
      </c>
      <c r="X7366">
        <v>0.99831179999999997</v>
      </c>
      <c r="Y7366">
        <v>-0.143742799999999</v>
      </c>
      <c r="Z7366">
        <v>-2.2493230000000001E-3</v>
      </c>
      <c r="AA7366">
        <v>0.98961250000000001</v>
      </c>
      <c r="AB7366">
        <v>21</v>
      </c>
      <c r="AC7366">
        <v>20.682300000000001</v>
      </c>
      <c r="AD7366">
        <v>-1.1108305311477</v>
      </c>
      <c r="AE7366">
        <v>5.51351999999999</v>
      </c>
      <c r="AF7366">
        <v>-3.0830398181985501</v>
      </c>
      <c r="AG7366">
        <v>-1.1108305311477</v>
      </c>
      <c r="AH7366">
        <v>21.123289209312802</v>
      </c>
      <c r="AI7366">
        <v>92.978791549932396</v>
      </c>
      <c r="AJ7366">
        <v>98.303944488087893</v>
      </c>
      <c r="AK7366">
        <v>21.375977779035001</v>
      </c>
      <c r="AL7366">
        <v>86.945658560647402</v>
      </c>
      <c r="AM7366">
        <v>91.326603935770507</v>
      </c>
      <c r="AN7366">
        <v>1.00000000377284</v>
      </c>
    </row>
    <row r="7367" spans="1:40" x14ac:dyDescent="0.25">
      <c r="A7367" t="str">
        <f>"20190312160515164"</f>
        <v>20190312160515164</v>
      </c>
      <c r="B7367" t="str">
        <f>"1552377915152630"</f>
        <v>1552377915152630</v>
      </c>
      <c r="C7367" t="s">
        <v>40</v>
      </c>
      <c r="D7367">
        <v>5.7455189999999998</v>
      </c>
      <c r="E7367">
        <v>0.45370500000000002</v>
      </c>
      <c r="F7367" t="s">
        <v>124</v>
      </c>
      <c r="G7367">
        <v>-242.56489999999999</v>
      </c>
      <c r="H7367" s="1">
        <v>-4.7130879999999999E-7</v>
      </c>
      <c r="I7367">
        <v>-61.826189999999997</v>
      </c>
      <c r="J7367">
        <v>-263.27409999999998</v>
      </c>
      <c r="K7367">
        <v>1.110827</v>
      </c>
      <c r="L7367">
        <v>-67.345579999999998</v>
      </c>
      <c r="M7367">
        <v>0.99319239999999998</v>
      </c>
      <c r="N7367">
        <v>0</v>
      </c>
      <c r="O7367">
        <v>0.1157237</v>
      </c>
      <c r="P7367">
        <v>0.98955959999999998</v>
      </c>
      <c r="Q7367">
        <v>4.0084330000000001E-2</v>
      </c>
      <c r="R7367">
        <v>0.13843810000000001</v>
      </c>
      <c r="S7367">
        <v>2.9291990000000001</v>
      </c>
      <c r="T7367">
        <v>-0.15635470000000001</v>
      </c>
      <c r="U7367">
        <v>0.77859500000000004</v>
      </c>
      <c r="V7367">
        <v>-2.3040040000000001E-2</v>
      </c>
      <c r="W7367">
        <v>5.3336870000000002E-2</v>
      </c>
      <c r="X7367">
        <v>0.9983107</v>
      </c>
      <c r="Y7367">
        <v>-0.1432717</v>
      </c>
      <c r="Z7367">
        <v>-2.2791529999999999E-3</v>
      </c>
      <c r="AA7367">
        <v>0.98968080000000003</v>
      </c>
      <c r="AB7367">
        <v>21</v>
      </c>
      <c r="AC7367">
        <v>20.7091999999999</v>
      </c>
      <c r="AD7367">
        <v>-1.1108274713088</v>
      </c>
      <c r="AE7367">
        <v>5.5193899999999898</v>
      </c>
      <c r="AF7367">
        <v>-3.0772771820698499</v>
      </c>
      <c r="AG7367">
        <v>-1.1108274713088</v>
      </c>
      <c r="AH7367">
        <v>21.151998234525198</v>
      </c>
      <c r="AI7367">
        <v>92.974946980733193</v>
      </c>
      <c r="AJ7367">
        <v>98.277545133596902</v>
      </c>
      <c r="AK7367">
        <v>21.403518445331802</v>
      </c>
      <c r="AL7367">
        <v>86.942571522509596</v>
      </c>
      <c r="AM7367">
        <v>91.322096164244698</v>
      </c>
      <c r="AN7367">
        <v>0.99999995943954301</v>
      </c>
    </row>
    <row r="7368" spans="1:40" x14ac:dyDescent="0.25">
      <c r="A7368" t="str">
        <f>"20190312160515176"</f>
        <v>20190312160515176</v>
      </c>
      <c r="B7368" t="str">
        <f>"1552377915172151"</f>
        <v>1552377915172151</v>
      </c>
      <c r="C7368" t="s">
        <v>40</v>
      </c>
      <c r="D7368">
        <v>5.8044820000000001</v>
      </c>
      <c r="E7368">
        <v>0.4539569</v>
      </c>
      <c r="F7368" t="s">
        <v>124</v>
      </c>
      <c r="G7368">
        <v>-242.50540000000001</v>
      </c>
      <c r="H7368" s="1">
        <v>-4.465816E-7</v>
      </c>
      <c r="I7368">
        <v>-61.82911</v>
      </c>
      <c r="J7368">
        <v>-263.17259999999999</v>
      </c>
      <c r="K7368">
        <v>1.110824</v>
      </c>
      <c r="L7368">
        <v>-67.333219999999997</v>
      </c>
      <c r="M7368">
        <v>0.99314619999999998</v>
      </c>
      <c r="N7368">
        <v>0</v>
      </c>
      <c r="O7368">
        <v>0.1161239</v>
      </c>
      <c r="P7368">
        <v>0.98950360000000004</v>
      </c>
      <c r="Q7368">
        <v>3.9976249999999998E-2</v>
      </c>
      <c r="R7368">
        <v>0.13886999999999999</v>
      </c>
      <c r="S7368">
        <v>2.929138</v>
      </c>
      <c r="T7368">
        <v>-0.15666720000000001</v>
      </c>
      <c r="U7368">
        <v>0.77801509999999996</v>
      </c>
      <c r="V7368">
        <v>-2.3073059999999999E-2</v>
      </c>
      <c r="W7368">
        <v>5.3197840000000003E-2</v>
      </c>
      <c r="X7368">
        <v>0.99831740000000002</v>
      </c>
      <c r="Y7368">
        <v>-0.1426962</v>
      </c>
      <c r="Z7368">
        <v>-2.3196950000000001E-3</v>
      </c>
      <c r="AA7368">
        <v>0.98976379999999997</v>
      </c>
      <c r="AB7368">
        <v>21</v>
      </c>
      <c r="AC7368">
        <v>20.667199999999902</v>
      </c>
      <c r="AD7368">
        <v>-1.1108244465816</v>
      </c>
      <c r="AE7368">
        <v>5.5041099999999901</v>
      </c>
      <c r="AF7368">
        <v>-3.0584494526490098</v>
      </c>
      <c r="AG7368">
        <v>-1.1108244465816</v>
      </c>
      <c r="AH7368">
        <v>21.109627133402402</v>
      </c>
      <c r="AI7368">
        <v>92.981153225072404</v>
      </c>
      <c r="AJ7368">
        <v>98.243883614105002</v>
      </c>
      <c r="AK7368">
        <v>21.358941961548801</v>
      </c>
      <c r="AL7368">
        <v>86.950548815473297</v>
      </c>
      <c r="AM7368">
        <v>91.323981379445598</v>
      </c>
      <c r="AN7368">
        <v>1.0000000037105901</v>
      </c>
    </row>
    <row r="7369" spans="1:40" x14ac:dyDescent="0.25">
      <c r="A7369" t="str">
        <f>"20190312160515186"</f>
        <v>20190312160515186</v>
      </c>
      <c r="B7369" t="str">
        <f>"1552377915182887"</f>
        <v>1552377915182887</v>
      </c>
      <c r="C7369" t="s">
        <v>40</v>
      </c>
      <c r="D7369">
        <v>5.7195070000000001</v>
      </c>
      <c r="E7369">
        <v>0.4539569</v>
      </c>
      <c r="F7369" t="s">
        <v>124</v>
      </c>
      <c r="G7369">
        <v>-242.1223</v>
      </c>
      <c r="H7369" s="1">
        <v>-2.602698E-7</v>
      </c>
      <c r="I7369">
        <v>-61.746639999999999</v>
      </c>
      <c r="J7369">
        <v>-263.07139999999998</v>
      </c>
      <c r="K7369">
        <v>1.110819</v>
      </c>
      <c r="L7369">
        <v>-67.320920000000001</v>
      </c>
      <c r="M7369">
        <v>0.99309990000000004</v>
      </c>
      <c r="N7369">
        <v>0</v>
      </c>
      <c r="O7369">
        <v>0.1165231</v>
      </c>
      <c r="P7369">
        <v>0.98942490000000005</v>
      </c>
      <c r="Q7369">
        <v>4.0602050000000001E-2</v>
      </c>
      <c r="R7369">
        <v>0.13924779999999901</v>
      </c>
      <c r="S7369">
        <v>2.9289550000000002</v>
      </c>
      <c r="T7369">
        <v>-0.1545609</v>
      </c>
      <c r="U7369">
        <v>0.77731319999999904</v>
      </c>
      <c r="V7369">
        <v>-2.3056139999999999E-2</v>
      </c>
      <c r="W7369">
        <v>5.3791600000000002E-2</v>
      </c>
      <c r="X7369">
        <v>0.99828589999999995</v>
      </c>
      <c r="Y7369">
        <v>-0.14209430000000001</v>
      </c>
      <c r="Z7369">
        <v>-2.3248090000000002E-3</v>
      </c>
      <c r="AA7369">
        <v>0.98985040000000002</v>
      </c>
      <c r="AB7369">
        <v>21</v>
      </c>
      <c r="AC7369">
        <v>20.949099999999898</v>
      </c>
      <c r="AD7369">
        <v>-1.1108192602697999</v>
      </c>
      <c r="AE7369">
        <v>5.5742799999999999</v>
      </c>
      <c r="AF7369">
        <v>-3.0869282160893299</v>
      </c>
      <c r="AG7369">
        <v>-1.1108192602697999</v>
      </c>
      <c r="AH7369">
        <v>21.399768911998301</v>
      </c>
      <c r="AI7369">
        <v>92.941055352878493</v>
      </c>
      <c r="AJ7369">
        <v>98.208326091951307</v>
      </c>
      <c r="AK7369">
        <v>21.649784172762601</v>
      </c>
      <c r="AL7369">
        <v>86.916479863578402</v>
      </c>
      <c r="AM7369">
        <v>91.323052550536104</v>
      </c>
      <c r="AN7369">
        <v>0.999999929980532</v>
      </c>
    </row>
    <row r="7370" spans="1:40" x14ac:dyDescent="0.25">
      <c r="A7370" t="str">
        <f>"20190312160515198"</f>
        <v>20190312160515198</v>
      </c>
      <c r="B7370" t="str">
        <f>"1552377915192647"</f>
        <v>1552377915192647</v>
      </c>
      <c r="C7370" t="s">
        <v>40</v>
      </c>
      <c r="D7370">
        <v>5.7320799999999998</v>
      </c>
      <c r="E7370">
        <v>0.45371800000000001</v>
      </c>
      <c r="F7370" t="s">
        <v>124</v>
      </c>
      <c r="G7370">
        <v>-241.7867</v>
      </c>
      <c r="H7370" s="1">
        <v>-9.460359E-8</v>
      </c>
      <c r="I7370">
        <v>-61.665179999999999</v>
      </c>
      <c r="J7370">
        <v>-262.96870000000001</v>
      </c>
      <c r="K7370">
        <v>1.1108100000000001</v>
      </c>
      <c r="L7370">
        <v>-67.30838</v>
      </c>
      <c r="M7370">
        <v>0.9930525</v>
      </c>
      <c r="N7370">
        <v>0</v>
      </c>
      <c r="O7370">
        <v>0.11693000000000001</v>
      </c>
      <c r="P7370">
        <v>0.98939589999999999</v>
      </c>
      <c r="Q7370">
        <v>4.071955E-2</v>
      </c>
      <c r="R7370">
        <v>0.13942079999999901</v>
      </c>
      <c r="S7370">
        <v>2.9288020000000001</v>
      </c>
      <c r="T7370">
        <v>-0.15285000000000001</v>
      </c>
      <c r="U7370">
        <v>0.77822880000000005</v>
      </c>
      <c r="V7370">
        <v>-2.2822309999999998E-2</v>
      </c>
      <c r="W7370">
        <v>5.3876350000000003E-2</v>
      </c>
      <c r="X7370">
        <v>0.99828680000000003</v>
      </c>
      <c r="Y7370">
        <v>-0.14199200000000001</v>
      </c>
      <c r="Z7370">
        <v>-2.3223219999999999E-3</v>
      </c>
      <c r="AA7370">
        <v>0.98986510000000005</v>
      </c>
      <c r="AB7370">
        <v>21</v>
      </c>
      <c r="AC7370">
        <v>21.181999999999999</v>
      </c>
      <c r="AD7370">
        <v>-1.1108100946035899</v>
      </c>
      <c r="AE7370">
        <v>5.6431999999999896</v>
      </c>
      <c r="AF7370">
        <v>-3.1194446847955701</v>
      </c>
      <c r="AG7370">
        <v>-1.1108100946035899</v>
      </c>
      <c r="AH7370">
        <v>21.641015915173401</v>
      </c>
      <c r="AI7370">
        <v>92.908345348914196</v>
      </c>
      <c r="AJ7370">
        <v>98.202403439424103</v>
      </c>
      <c r="AK7370">
        <v>21.8928847813293</v>
      </c>
      <c r="AL7370">
        <v>86.911617294164998</v>
      </c>
      <c r="AM7370">
        <v>91.3096379766437</v>
      </c>
      <c r="AN7370">
        <v>1.00000002698864</v>
      </c>
    </row>
    <row r="7371" spans="1:40" x14ac:dyDescent="0.25">
      <c r="A7371" t="str">
        <f>"20190312160515209"</f>
        <v>20190312160515209</v>
      </c>
      <c r="B7371" t="str">
        <f>"1552377915202407"</f>
        <v>1552377915202407</v>
      </c>
      <c r="C7371" t="s">
        <v>40</v>
      </c>
      <c r="D7371">
        <v>5.6923599999999999</v>
      </c>
      <c r="E7371">
        <v>0.45371800000000001</v>
      </c>
      <c r="F7371" t="s">
        <v>124</v>
      </c>
      <c r="G7371">
        <v>-241.69730000000001</v>
      </c>
      <c r="H7371" s="1">
        <v>-4.9448199999999998E-8</v>
      </c>
      <c r="I7371">
        <v>-61.6395699999999</v>
      </c>
      <c r="J7371">
        <v>-262.86660000000001</v>
      </c>
      <c r="K7371">
        <v>1.110803</v>
      </c>
      <c r="L7371">
        <v>-67.295869999999994</v>
      </c>
      <c r="M7371">
        <v>0.99300500000000003</v>
      </c>
      <c r="N7371">
        <v>0</v>
      </c>
      <c r="O7371">
        <v>0.1173353</v>
      </c>
      <c r="P7371">
        <v>0.98930549999999995</v>
      </c>
      <c r="Q7371">
        <v>4.08508E-2</v>
      </c>
      <c r="R7371">
        <v>0.14002129999999999</v>
      </c>
      <c r="S7371">
        <v>2.9284669999999999</v>
      </c>
      <c r="T7371">
        <v>-0.15292700000000001</v>
      </c>
      <c r="U7371">
        <v>0.78042599999999995</v>
      </c>
      <c r="V7371">
        <v>-2.3021639999999999E-2</v>
      </c>
      <c r="W7371">
        <v>5.3973970000000003E-2</v>
      </c>
      <c r="X7371">
        <v>0.99827690000000002</v>
      </c>
      <c r="Y7371">
        <v>-0.14230989999999999</v>
      </c>
      <c r="Z7371">
        <v>-2.3358300000000001E-3</v>
      </c>
      <c r="AA7371">
        <v>0.98981940000000002</v>
      </c>
      <c r="AB7371">
        <v>21</v>
      </c>
      <c r="AC7371">
        <v>21.1693</v>
      </c>
      <c r="AD7371">
        <v>-1.1108030494482</v>
      </c>
      <c r="AE7371">
        <v>5.6562999999999999</v>
      </c>
      <c r="AF7371">
        <v>-3.1250687724610802</v>
      </c>
      <c r="AG7371">
        <v>-1.1108030494482</v>
      </c>
      <c r="AH7371">
        <v>21.6311962410288</v>
      </c>
      <c r="AI7371">
        <v>92.909511303177695</v>
      </c>
      <c r="AJ7371">
        <v>98.220669104455794</v>
      </c>
      <c r="AK7371">
        <v>21.883980192487201</v>
      </c>
      <c r="AL7371">
        <v>86.906015776056506</v>
      </c>
      <c r="AM7371">
        <v>91.321085412087797</v>
      </c>
      <c r="AN7371">
        <v>0.99999997720973</v>
      </c>
    </row>
    <row r="7372" spans="1:40" x14ac:dyDescent="0.25">
      <c r="A7372" t="str">
        <f>"20190312160515219"</f>
        <v>20190312160515219</v>
      </c>
      <c r="B7372" t="str">
        <f>"1552377915212167"</f>
        <v>1552377915212167</v>
      </c>
      <c r="C7372" t="s">
        <v>40</v>
      </c>
      <c r="D7372">
        <v>5.6885729999999999</v>
      </c>
      <c r="E7372">
        <v>0.43228070000000002</v>
      </c>
      <c r="F7372" t="s">
        <v>124</v>
      </c>
      <c r="G7372">
        <v>-241.5753</v>
      </c>
      <c r="H7372" s="1">
        <v>1.0934059999999901E-8</v>
      </c>
      <c r="I7372">
        <v>-61.609369999999998</v>
      </c>
      <c r="J7372">
        <v>-262.76499999999999</v>
      </c>
      <c r="K7372">
        <v>1.110797</v>
      </c>
      <c r="L7372">
        <v>-67.283389999999997</v>
      </c>
      <c r="M7372">
        <v>0.9929576</v>
      </c>
      <c r="N7372">
        <v>0</v>
      </c>
      <c r="O7372">
        <v>0.1177402</v>
      </c>
      <c r="P7372">
        <v>0.98926380000000003</v>
      </c>
      <c r="Q7372">
        <v>4.060532E-2</v>
      </c>
      <c r="R7372">
        <v>0.14038639999999999</v>
      </c>
      <c r="S7372">
        <v>2.9280400000000002</v>
      </c>
      <c r="T7372">
        <v>-0.15276039999999999</v>
      </c>
      <c r="U7372">
        <v>0.78201290000000001</v>
      </c>
      <c r="V7372">
        <v>-2.2981049999999999E-2</v>
      </c>
      <c r="W7372">
        <v>5.3693520000000002E-2</v>
      </c>
      <c r="X7372">
        <v>0.99829299999999999</v>
      </c>
      <c r="Y7372">
        <v>-0.1424434</v>
      </c>
      <c r="Z7372">
        <v>-2.3504730000000001E-3</v>
      </c>
      <c r="AA7372">
        <v>0.98980020000000002</v>
      </c>
      <c r="AB7372">
        <v>20</v>
      </c>
      <c r="AC7372">
        <v>21.189699999999899</v>
      </c>
      <c r="AD7372">
        <v>-1.1107969890659399</v>
      </c>
      <c r="AE7372">
        <v>5.6740199999999898</v>
      </c>
      <c r="AF7372">
        <v>-3.13142299660695</v>
      </c>
      <c r="AG7372">
        <v>-1.1107969890659399</v>
      </c>
      <c r="AH7372">
        <v>21.6548793196853</v>
      </c>
      <c r="AI7372">
        <v>92.906263285372603</v>
      </c>
      <c r="AJ7372">
        <v>98.228269878454</v>
      </c>
      <c r="AK7372">
        <v>21.908297019273999</v>
      </c>
      <c r="AL7372">
        <v>86.922107839146605</v>
      </c>
      <c r="AM7372">
        <v>91.318735737527007</v>
      </c>
      <c r="AN7372">
        <v>1.0000000182990401</v>
      </c>
    </row>
    <row r="7373" spans="1:40" x14ac:dyDescent="0.25">
      <c r="A7373" t="str">
        <f>"20190312160515231"</f>
        <v>20190312160515231</v>
      </c>
      <c r="B7373" t="str">
        <f>"1552377915222904"</f>
        <v>1552377915222904</v>
      </c>
      <c r="C7373" t="s">
        <v>40</v>
      </c>
      <c r="D7373">
        <v>5.666245</v>
      </c>
      <c r="E7373">
        <v>0.43191210000000002</v>
      </c>
      <c r="F7373" t="s">
        <v>126</v>
      </c>
      <c r="G7373">
        <v>-234.80709999999999</v>
      </c>
      <c r="H7373" s="1">
        <v>-1.453779E-6</v>
      </c>
      <c r="I7373">
        <v>-58.10378</v>
      </c>
      <c r="J7373">
        <v>-262.6653</v>
      </c>
      <c r="K7373">
        <v>1.1107910000000001</v>
      </c>
      <c r="L7373">
        <v>-67.271090000000001</v>
      </c>
      <c r="M7373">
        <v>0.99291099999999999</v>
      </c>
      <c r="N7373">
        <v>0</v>
      </c>
      <c r="O7373">
        <v>0.11813800000000001</v>
      </c>
      <c r="P7373">
        <v>0.98921230000000004</v>
      </c>
      <c r="Q7373">
        <v>4.0129350000000001E-2</v>
      </c>
      <c r="R7373">
        <v>0.1408865</v>
      </c>
      <c r="S7373">
        <v>2.902069</v>
      </c>
      <c r="T7373">
        <v>-0.1153025</v>
      </c>
      <c r="U7373">
        <v>0.95285030000000004</v>
      </c>
      <c r="V7373">
        <v>-2.3083079999999999E-2</v>
      </c>
      <c r="W7373">
        <v>5.318117E-2</v>
      </c>
      <c r="X7373">
        <v>0.99831809999999999</v>
      </c>
      <c r="Y7373">
        <v>-0.19745689999999999</v>
      </c>
      <c r="Z7373">
        <v>-7.2211750000000005E-4</v>
      </c>
      <c r="AA7373">
        <v>0.9803113</v>
      </c>
      <c r="AB7373">
        <v>20</v>
      </c>
      <c r="AC7373">
        <v>27.8582</v>
      </c>
      <c r="AD7373">
        <v>-1.1107924537789999</v>
      </c>
      <c r="AE7373">
        <v>9.1673099999999899</v>
      </c>
      <c r="AF7373">
        <v>-5.8033832085672898</v>
      </c>
      <c r="AG7373">
        <v>-1.1107924537789999</v>
      </c>
      <c r="AH7373">
        <v>28.705003106093699</v>
      </c>
      <c r="AI7373">
        <v>92.172154621552906</v>
      </c>
      <c r="AJ7373">
        <v>101.42961010406999</v>
      </c>
      <c r="AK7373">
        <v>29.306830600761</v>
      </c>
      <c r="AL7373">
        <v>86.951505422481205</v>
      </c>
      <c r="AM7373">
        <v>91.324555215200206</v>
      </c>
      <c r="AN7373">
        <v>1.00000004710623</v>
      </c>
    </row>
    <row r="7374" spans="1:40" x14ac:dyDescent="0.25">
      <c r="A7374" t="str">
        <f>"20190312160515242"</f>
        <v>20190312160515242</v>
      </c>
      <c r="B7374" t="str">
        <f>"1552377915232663"</f>
        <v>1552377915232663</v>
      </c>
      <c r="C7374" t="s">
        <v>40</v>
      </c>
      <c r="D7374">
        <v>5.6772349999999996</v>
      </c>
      <c r="E7374">
        <v>0.43183500000000002</v>
      </c>
      <c r="F7374" t="s">
        <v>126</v>
      </c>
      <c r="G7374">
        <v>-235.17769999999999</v>
      </c>
      <c r="H7374" s="1">
        <v>-1.595293E-6</v>
      </c>
      <c r="I7374">
        <v>-58.202269999999999</v>
      </c>
      <c r="J7374">
        <v>-262.56450000000001</v>
      </c>
      <c r="K7374">
        <v>1.1107800000000001</v>
      </c>
      <c r="L7374">
        <v>-67.25864</v>
      </c>
      <c r="M7374">
        <v>0.9928633</v>
      </c>
      <c r="N7374">
        <v>0</v>
      </c>
      <c r="O7374">
        <v>0.1185411</v>
      </c>
      <c r="P7374">
        <v>0.98919100000000004</v>
      </c>
      <c r="Q7374">
        <v>3.9741060000000002E-2</v>
      </c>
      <c r="R7374">
        <v>0.14114489999999999</v>
      </c>
      <c r="S7374">
        <v>2.901154</v>
      </c>
      <c r="T7374">
        <v>-0.1172376</v>
      </c>
      <c r="U7374">
        <v>0.95715329999999998</v>
      </c>
      <c r="V7374">
        <v>-2.2936020000000001E-2</v>
      </c>
      <c r="W7374">
        <v>5.2754530000000001E-2</v>
      </c>
      <c r="X7374">
        <v>0.99834409999999896</v>
      </c>
      <c r="Y7374">
        <v>-0.19846</v>
      </c>
      <c r="Z7374">
        <v>-7.300745E-4</v>
      </c>
      <c r="AA7374">
        <v>0.98010870000000005</v>
      </c>
      <c r="AB7374">
        <v>20</v>
      </c>
      <c r="AC7374">
        <v>27.386800000000001</v>
      </c>
      <c r="AD7374">
        <v>-1.11078159529299</v>
      </c>
      <c r="AE7374">
        <v>9.0563699999999994</v>
      </c>
      <c r="AF7374">
        <v>-5.7372581273462302</v>
      </c>
      <c r="AG7374">
        <v>-1.11078159529299</v>
      </c>
      <c r="AH7374">
        <v>28.2254553115528</v>
      </c>
      <c r="AI7374">
        <v>92.208532237180293</v>
      </c>
      <c r="AJ7374">
        <v>101.489716058826</v>
      </c>
      <c r="AK7374">
        <v>28.8240575581702</v>
      </c>
      <c r="AL7374">
        <v>86.975984379290097</v>
      </c>
      <c r="AM7374">
        <v>91.316085319860207</v>
      </c>
      <c r="AN7374">
        <v>1.0000000217268801</v>
      </c>
    </row>
    <row r="7375" spans="1:40" x14ac:dyDescent="0.25">
      <c r="A7375" t="str">
        <f>"20190312160515254"</f>
        <v>20190312160515254</v>
      </c>
      <c r="B7375" t="str">
        <f>"1552377915242424"</f>
        <v>1552377915242424</v>
      </c>
      <c r="C7375" t="s">
        <v>40</v>
      </c>
      <c r="D7375">
        <v>5.5861650000000003</v>
      </c>
      <c r="E7375">
        <v>0.43183500000000002</v>
      </c>
      <c r="F7375" t="s">
        <v>126</v>
      </c>
      <c r="G7375">
        <v>-235.15369999999999</v>
      </c>
      <c r="H7375" s="1">
        <v>-1.5852390000000001E-6</v>
      </c>
      <c r="I7375">
        <v>-58.201070000000001</v>
      </c>
      <c r="J7375">
        <v>-262.46789999999999</v>
      </c>
      <c r="K7375">
        <v>1.1107739999999999</v>
      </c>
      <c r="L7375">
        <v>-67.246639999999999</v>
      </c>
      <c r="M7375">
        <v>0.99281759999999997</v>
      </c>
      <c r="N7375">
        <v>0</v>
      </c>
      <c r="O7375">
        <v>0.1189278</v>
      </c>
      <c r="P7375">
        <v>0.98918499999999998</v>
      </c>
      <c r="Q7375">
        <v>3.9323549999999999E-2</v>
      </c>
      <c r="R7375">
        <v>0.1413046</v>
      </c>
      <c r="S7375">
        <v>2.9007869999999998</v>
      </c>
      <c r="T7375">
        <v>-0.1175504</v>
      </c>
      <c r="U7375">
        <v>0.95852660000000001</v>
      </c>
      <c r="V7375">
        <v>-2.2705690000000001E-2</v>
      </c>
      <c r="W7375">
        <v>5.2297879999999998E-2</v>
      </c>
      <c r="X7375">
        <v>0.99837339999999997</v>
      </c>
      <c r="Y7375">
        <v>-0.1985334</v>
      </c>
      <c r="Z7375">
        <v>-7.4560819999999999E-4</v>
      </c>
      <c r="AA7375">
        <v>0.98009380000000001</v>
      </c>
      <c r="AB7375">
        <v>20</v>
      </c>
      <c r="AC7375">
        <v>27.3142</v>
      </c>
      <c r="AD7375">
        <v>-1.110775585239</v>
      </c>
      <c r="AE7375">
        <v>9.0455699999999997</v>
      </c>
      <c r="AF7375">
        <v>-5.7241381074929496</v>
      </c>
      <c r="AG7375">
        <v>-1.110775585239</v>
      </c>
      <c r="AH7375">
        <v>28.154217478727801</v>
      </c>
      <c r="AI7375">
        <v>92.214082041056798</v>
      </c>
      <c r="AJ7375">
        <v>101.49237423688901</v>
      </c>
      <c r="AK7375">
        <v>28.751687625492799</v>
      </c>
      <c r="AL7375">
        <v>87.002184693434202</v>
      </c>
      <c r="AM7375">
        <v>91.302835174262597</v>
      </c>
      <c r="AN7375">
        <v>1.0000000312192101</v>
      </c>
    </row>
    <row r="7376" spans="1:40" x14ac:dyDescent="0.25">
      <c r="A7376" t="str">
        <f>"20190312160515264"</f>
        <v>20190312160515264</v>
      </c>
      <c r="B7376" t="str">
        <f>"1552377915252183"</f>
        <v>1552377915252183</v>
      </c>
      <c r="C7376" t="s">
        <v>40</v>
      </c>
      <c r="D7376">
        <v>5.6631400000000003</v>
      </c>
      <c r="E7376">
        <v>0.4315774</v>
      </c>
      <c r="F7376" t="s">
        <v>126</v>
      </c>
      <c r="G7376">
        <v>-235.31630000000001</v>
      </c>
      <c r="H7376" s="1">
        <v>-1.6428209999999999E-6</v>
      </c>
      <c r="I7376">
        <v>-58.269559999999998</v>
      </c>
      <c r="J7376">
        <v>-262.3646</v>
      </c>
      <c r="K7376">
        <v>1.1107670000000001</v>
      </c>
      <c r="L7376">
        <v>-67.233760000000004</v>
      </c>
      <c r="M7376">
        <v>0.99276850000000005</v>
      </c>
      <c r="N7376">
        <v>0</v>
      </c>
      <c r="O7376">
        <v>0.1193425</v>
      </c>
      <c r="P7376">
        <v>0.98916130000000002</v>
      </c>
      <c r="Q7376">
        <v>3.8893270000000001E-2</v>
      </c>
      <c r="R7376">
        <v>0.14158959999999901</v>
      </c>
      <c r="S7376">
        <v>2.9005130000000001</v>
      </c>
      <c r="T7376">
        <v>-0.11866019999999899</v>
      </c>
      <c r="U7376">
        <v>0.95898439999999996</v>
      </c>
      <c r="V7376">
        <v>-2.2573900000000001E-2</v>
      </c>
      <c r="W7376">
        <v>5.1822640000000003E-2</v>
      </c>
      <c r="X7376">
        <v>0.99840119999999999</v>
      </c>
      <c r="Y7376">
        <v>-0.19829060000000001</v>
      </c>
      <c r="Z7376">
        <v>-7.7378539999999995E-4</v>
      </c>
      <c r="AA7376">
        <v>0.98014299999999999</v>
      </c>
      <c r="AB7376">
        <v>20</v>
      </c>
      <c r="AC7376">
        <v>27.048299999999902</v>
      </c>
      <c r="AD7376">
        <v>-1.110768642821</v>
      </c>
      <c r="AE7376">
        <v>8.9641999999999999</v>
      </c>
      <c r="AF7376">
        <v>-5.6632348646267596</v>
      </c>
      <c r="AG7376">
        <v>-1.110768642821</v>
      </c>
      <c r="AH7376">
        <v>27.882488850177999</v>
      </c>
      <c r="AI7376">
        <v>92.235712047703402</v>
      </c>
      <c r="AJ7376">
        <v>101.481210481267</v>
      </c>
      <c r="AK7376">
        <v>28.473482761862801</v>
      </c>
      <c r="AL7376">
        <v>87.029451003822999</v>
      </c>
      <c r="AM7376">
        <v>91.295239694261596</v>
      </c>
      <c r="AN7376">
        <v>1.0000000615696001</v>
      </c>
    </row>
    <row r="7377" spans="1:40" x14ac:dyDescent="0.25">
      <c r="A7377" t="str">
        <f>"20190312160515276"</f>
        <v>20190312160515276</v>
      </c>
      <c r="B7377" t="str">
        <f>"1552377915272678"</f>
        <v>1552377915272678</v>
      </c>
      <c r="C7377" t="s">
        <v>40</v>
      </c>
      <c r="D7377">
        <v>5.6651749999999996</v>
      </c>
      <c r="E7377">
        <v>0.43165730000000002</v>
      </c>
      <c r="F7377" t="s">
        <v>126</v>
      </c>
      <c r="G7377">
        <v>-235.50040000000001</v>
      </c>
      <c r="H7377" s="1">
        <v>-1.712313E-6</v>
      </c>
      <c r="I7377">
        <v>-58.3232</v>
      </c>
      <c r="J7377">
        <v>-262.2636</v>
      </c>
      <c r="K7377">
        <v>1.110757</v>
      </c>
      <c r="L7377">
        <v>-67.221159999999998</v>
      </c>
      <c r="M7377">
        <v>0.99272039999999995</v>
      </c>
      <c r="N7377">
        <v>0</v>
      </c>
      <c r="O7377">
        <v>0.1197482</v>
      </c>
      <c r="P7377">
        <v>0.98910719999999996</v>
      </c>
      <c r="Q7377">
        <v>3.8592580000000001E-2</v>
      </c>
      <c r="R7377">
        <v>0.1420497</v>
      </c>
      <c r="S7377">
        <v>2.8998719999999998</v>
      </c>
      <c r="T7377">
        <v>-0.11990290000000001</v>
      </c>
      <c r="U7377">
        <v>0.96185299999999996</v>
      </c>
      <c r="V7377">
        <v>-2.2628579999999999E-2</v>
      </c>
      <c r="W7377">
        <v>5.1472150000000001E-2</v>
      </c>
      <c r="X7377">
        <v>0.99841800000000003</v>
      </c>
      <c r="Y7377">
        <v>-0.19882710000000001</v>
      </c>
      <c r="Z7377">
        <v>-7.8714829999999999E-4</v>
      </c>
      <c r="AA7377">
        <v>0.98003430000000002</v>
      </c>
      <c r="AB7377">
        <v>20</v>
      </c>
      <c r="AC7377">
        <v>26.763199999999902</v>
      </c>
      <c r="AD7377">
        <v>-1.1107587123130001</v>
      </c>
      <c r="AE7377">
        <v>8.8979599999999905</v>
      </c>
      <c r="AF7377">
        <v>-5.6200930737424297</v>
      </c>
      <c r="AG7377">
        <v>-1.1107587123130001</v>
      </c>
      <c r="AH7377">
        <v>27.593391955506799</v>
      </c>
      <c r="AI7377">
        <v>92.258842548329795</v>
      </c>
      <c r="AJ7377">
        <v>101.51226997678999</v>
      </c>
      <c r="AK7377">
        <v>28.181811699831101</v>
      </c>
      <c r="AL7377">
        <v>87.049559163532905</v>
      </c>
      <c r="AM7377">
        <v>91.298354197408401</v>
      </c>
      <c r="AN7377">
        <v>0.999999968791219</v>
      </c>
    </row>
    <row r="7378" spans="1:40" x14ac:dyDescent="0.25">
      <c r="A7378" t="str">
        <f>"20190312160515288"</f>
        <v>20190312160515288</v>
      </c>
      <c r="B7378" t="str">
        <f>"1552377915282439"</f>
        <v>1552377915282439</v>
      </c>
      <c r="C7378" t="s">
        <v>40</v>
      </c>
      <c r="D7378">
        <v>5.6577000000000002</v>
      </c>
      <c r="E7378">
        <v>0.43183050000000001</v>
      </c>
      <c r="F7378" t="s">
        <v>126</v>
      </c>
      <c r="G7378">
        <v>-236.12280000000001</v>
      </c>
      <c r="H7378" s="1">
        <v>-1.940076E-6</v>
      </c>
      <c r="I7378">
        <v>-58.544460000000001</v>
      </c>
      <c r="J7378">
        <v>-262.15190000000001</v>
      </c>
      <c r="K7378">
        <v>1.110746</v>
      </c>
      <c r="L7378">
        <v>-67.207149999999999</v>
      </c>
      <c r="M7378">
        <v>0.99266670000000001</v>
      </c>
      <c r="N7378">
        <v>0</v>
      </c>
      <c r="O7378">
        <v>0.120198</v>
      </c>
      <c r="P7378">
        <v>0.98903370000000002</v>
      </c>
      <c r="Q7378">
        <v>3.8608040000000003E-2</v>
      </c>
      <c r="R7378">
        <v>0.1425545</v>
      </c>
      <c r="S7378">
        <v>2.899597</v>
      </c>
      <c r="T7378">
        <v>-0.1232079</v>
      </c>
      <c r="U7378">
        <v>0.96243290000000004</v>
      </c>
      <c r="V7378">
        <v>-2.268529E-2</v>
      </c>
      <c r="W7378">
        <v>5.1430240000000002E-2</v>
      </c>
      <c r="X7378">
        <v>0.9984189</v>
      </c>
      <c r="Y7378">
        <v>-0.1985846</v>
      </c>
      <c r="Z7378">
        <v>-8.3219960000000003E-4</v>
      </c>
      <c r="AA7378">
        <v>0.98008340000000005</v>
      </c>
      <c r="AB7378">
        <v>20</v>
      </c>
      <c r="AC7378">
        <v>26.0291</v>
      </c>
      <c r="AD7378">
        <v>-1.1107479400759901</v>
      </c>
      <c r="AE7378">
        <v>8.6626899999999907</v>
      </c>
      <c r="AF7378">
        <v>-5.4620156525243599</v>
      </c>
      <c r="AG7378">
        <v>-1.1107479400759901</v>
      </c>
      <c r="AH7378">
        <v>26.837681767079602</v>
      </c>
      <c r="AI7378">
        <v>92.322427350395003</v>
      </c>
      <c r="AJ7378">
        <v>101.50374658030699</v>
      </c>
      <c r="AK7378">
        <v>27.410372828654499</v>
      </c>
      <c r="AL7378">
        <v>87.051963694454699</v>
      </c>
      <c r="AM7378">
        <v>91.301605741579607</v>
      </c>
      <c r="AN7378">
        <v>0.99999999592302502</v>
      </c>
    </row>
    <row r="7379" spans="1:40" x14ac:dyDescent="0.25">
      <c r="A7379" t="str">
        <f>"20190312160515299"</f>
        <v>20190312160515299</v>
      </c>
      <c r="B7379" t="str">
        <f>"1552377915292199"</f>
        <v>1552377915292199</v>
      </c>
      <c r="C7379" t="s">
        <v>40</v>
      </c>
      <c r="D7379">
        <v>5.6352989999999998</v>
      </c>
      <c r="E7379">
        <v>0.43176969999999998</v>
      </c>
      <c r="F7379" t="s">
        <v>126</v>
      </c>
      <c r="G7379">
        <v>-236.42769999999999</v>
      </c>
      <c r="H7379" s="1">
        <v>-2.0490140000000002E-6</v>
      </c>
      <c r="I7379">
        <v>-58.667679999999997</v>
      </c>
      <c r="J7379">
        <v>-262.0532</v>
      </c>
      <c r="K7379">
        <v>1.1107359999999999</v>
      </c>
      <c r="L7379">
        <v>-67.194699999999997</v>
      </c>
      <c r="M7379">
        <v>0.99261929999999998</v>
      </c>
      <c r="N7379">
        <v>0</v>
      </c>
      <c r="O7379">
        <v>0.1205947</v>
      </c>
      <c r="P7379">
        <v>0.98896090000000003</v>
      </c>
      <c r="Q7379">
        <v>3.881776E-2</v>
      </c>
      <c r="R7379">
        <v>0.14300399999999999</v>
      </c>
      <c r="S7379">
        <v>2.8994140000000002</v>
      </c>
      <c r="T7379">
        <v>-0.12519449999999999</v>
      </c>
      <c r="U7379">
        <v>0.96249390000000001</v>
      </c>
      <c r="V7379">
        <v>-2.274081E-2</v>
      </c>
      <c r="W7379">
        <v>5.1582160000000002E-2</v>
      </c>
      <c r="X7379">
        <v>0.99840980000000001</v>
      </c>
      <c r="Y7379">
        <v>-0.1982286</v>
      </c>
      <c r="Z7379">
        <v>-8.6955629999999995E-4</v>
      </c>
      <c r="AA7379">
        <v>0.98015540000000001</v>
      </c>
      <c r="AB7379">
        <v>20</v>
      </c>
      <c r="AC7379">
        <v>25.625499999999999</v>
      </c>
      <c r="AD7379">
        <v>-1.110738049014</v>
      </c>
      <c r="AE7379">
        <v>8.5270199999999896</v>
      </c>
      <c r="AF7379">
        <v>-5.3651502787867704</v>
      </c>
      <c r="AG7379">
        <v>-1.110738049014</v>
      </c>
      <c r="AH7379">
        <v>26.4221545545177</v>
      </c>
      <c r="AI7379">
        <v>92.359103101686998</v>
      </c>
      <c r="AJ7379">
        <v>101.478138866647</v>
      </c>
      <c r="AK7379">
        <v>26.984232948711298</v>
      </c>
      <c r="AL7379">
        <v>87.043247751523296</v>
      </c>
      <c r="AM7379">
        <v>91.304802081179503</v>
      </c>
      <c r="AN7379">
        <v>0.99999999620288005</v>
      </c>
    </row>
    <row r="7380" spans="1:40" x14ac:dyDescent="0.25">
      <c r="A7380" t="str">
        <f>"20190312160515309"</f>
        <v>20190312160515309</v>
      </c>
      <c r="B7380" t="str">
        <f>"1552377915302934"</f>
        <v>1552377915302934</v>
      </c>
      <c r="C7380" t="s">
        <v>40</v>
      </c>
      <c r="D7380">
        <v>5.6359830000000004</v>
      </c>
      <c r="E7380">
        <v>0.43173400000000001</v>
      </c>
      <c r="F7380" t="s">
        <v>126</v>
      </c>
      <c r="G7380">
        <v>-236.20339999999999</v>
      </c>
      <c r="H7380" s="1">
        <v>-1.9654369999999998E-6</v>
      </c>
      <c r="I7380">
        <v>-58.59639</v>
      </c>
      <c r="J7380">
        <v>-261.95769999999999</v>
      </c>
      <c r="K7380">
        <v>1.110724</v>
      </c>
      <c r="L7380">
        <v>-67.18271</v>
      </c>
      <c r="M7380">
        <v>0.99257329999999999</v>
      </c>
      <c r="N7380">
        <v>0</v>
      </c>
      <c r="O7380">
        <v>0.1209789</v>
      </c>
      <c r="P7380">
        <v>0.98886949999999996</v>
      </c>
      <c r="Q7380">
        <v>3.8976289999999997E-2</v>
      </c>
      <c r="R7380">
        <v>0.14359</v>
      </c>
      <c r="S7380">
        <v>2.8989560000000001</v>
      </c>
      <c r="T7380">
        <v>-0.12456540000000001</v>
      </c>
      <c r="U7380">
        <v>0.96426389999999995</v>
      </c>
      <c r="V7380">
        <v>-2.2947309999999999E-2</v>
      </c>
      <c r="W7380">
        <v>5.1684540000000001E-2</v>
      </c>
      <c r="X7380">
        <v>0.99839979999999995</v>
      </c>
      <c r="Y7380">
        <v>-0.19843540000000001</v>
      </c>
      <c r="Z7380">
        <v>-8.7668749999999997E-4</v>
      </c>
      <c r="AA7380">
        <v>0.98011360000000003</v>
      </c>
      <c r="AB7380">
        <v>20</v>
      </c>
      <c r="AC7380">
        <v>25.754300000000001</v>
      </c>
      <c r="AD7380">
        <v>-1.1107259654369901</v>
      </c>
      <c r="AE7380">
        <v>8.58631999999999</v>
      </c>
      <c r="AF7380">
        <v>-5.3982277097759299</v>
      </c>
      <c r="AG7380">
        <v>-1.1107259654369901</v>
      </c>
      <c r="AH7380">
        <v>26.559494622159502</v>
      </c>
      <c r="AI7380">
        <v>92.346802900468106</v>
      </c>
      <c r="AJ7380">
        <v>101.488890970431</v>
      </c>
      <c r="AK7380">
        <v>27.125289476085001</v>
      </c>
      <c r="AL7380">
        <v>87.037374032355302</v>
      </c>
      <c r="AM7380">
        <v>91.316659486448003</v>
      </c>
      <c r="AN7380">
        <v>1.0000000156756399</v>
      </c>
    </row>
    <row r="7381" spans="1:40" x14ac:dyDescent="0.25">
      <c r="A7381" t="str">
        <f>"20190312160515320"</f>
        <v>20190312160515320</v>
      </c>
      <c r="B7381" t="str">
        <f>"1552377915312695"</f>
        <v>1552377915312695</v>
      </c>
      <c r="C7381" t="s">
        <v>40</v>
      </c>
      <c r="D7381">
        <v>5.5940200000000004</v>
      </c>
      <c r="E7381">
        <v>0.43177409999999999</v>
      </c>
      <c r="F7381" t="s">
        <v>126</v>
      </c>
      <c r="G7381">
        <v>-235.702</v>
      </c>
      <c r="H7381" s="1">
        <v>-1.7800599999999899E-6</v>
      </c>
      <c r="I7381">
        <v>-58.428730000000002</v>
      </c>
      <c r="J7381">
        <v>-261.85820000000001</v>
      </c>
      <c r="K7381">
        <v>1.1107119999999999</v>
      </c>
      <c r="L7381">
        <v>-67.170069999999996</v>
      </c>
      <c r="M7381">
        <v>0.9925252</v>
      </c>
      <c r="N7381">
        <v>0</v>
      </c>
      <c r="O7381">
        <v>0.121379399999999</v>
      </c>
      <c r="P7381">
        <v>0.98879819999999996</v>
      </c>
      <c r="Q7381">
        <v>3.932298E-2</v>
      </c>
      <c r="R7381">
        <v>0.14398549999999999</v>
      </c>
      <c r="S7381">
        <v>2.8982540000000001</v>
      </c>
      <c r="T7381">
        <v>-0.12260839999999899</v>
      </c>
      <c r="U7381">
        <v>0.96630859999999996</v>
      </c>
      <c r="V7381">
        <v>-2.2945070000000001E-2</v>
      </c>
      <c r="W7381">
        <v>5.1969300000000003E-2</v>
      </c>
      <c r="X7381">
        <v>0.99838510000000003</v>
      </c>
      <c r="Y7381">
        <v>-0.19873550000000001</v>
      </c>
      <c r="Z7381">
        <v>-8.7303339999999998E-4</v>
      </c>
      <c r="AA7381">
        <v>0.98005279999999995</v>
      </c>
      <c r="AB7381">
        <v>20</v>
      </c>
      <c r="AC7381">
        <v>26.156199999999998</v>
      </c>
      <c r="AD7381">
        <v>-1.11071378006</v>
      </c>
      <c r="AE7381">
        <v>8.7413399999999903</v>
      </c>
      <c r="AF7381">
        <v>-5.4927090214832397</v>
      </c>
      <c r="AG7381">
        <v>-1.11071378006</v>
      </c>
      <c r="AH7381">
        <v>26.980114738190998</v>
      </c>
      <c r="AI7381">
        <v>92.310080670802506</v>
      </c>
      <c r="AJ7381">
        <v>101.50722403838</v>
      </c>
      <c r="AK7381">
        <v>27.5559454343677</v>
      </c>
      <c r="AL7381">
        <v>87.021036620957304</v>
      </c>
      <c r="AM7381">
        <v>91.316550383551601</v>
      </c>
      <c r="AN7381">
        <v>1.0000000461409</v>
      </c>
    </row>
    <row r="7382" spans="1:40" x14ac:dyDescent="0.25">
      <c r="A7382" t="str">
        <f>"20190312160515332"</f>
        <v>20190312160515332</v>
      </c>
      <c r="B7382" t="str">
        <f>"1552377915322456"</f>
        <v>1552377915322456</v>
      </c>
      <c r="C7382" t="s">
        <v>40</v>
      </c>
      <c r="D7382">
        <v>5.6096139999999997</v>
      </c>
      <c r="E7382">
        <v>0.43183339999999998</v>
      </c>
      <c r="F7382" t="s">
        <v>126</v>
      </c>
      <c r="G7382">
        <v>-235.4076</v>
      </c>
      <c r="H7382" s="1">
        <v>-1.668999E-6</v>
      </c>
      <c r="I7382">
        <v>-58.342750000000002</v>
      </c>
      <c r="J7382">
        <v>-261.75510000000003</v>
      </c>
      <c r="K7382">
        <v>1.1107020000000001</v>
      </c>
      <c r="L7382">
        <v>-67.15701</v>
      </c>
      <c r="M7382">
        <v>0.9924752</v>
      </c>
      <c r="N7382">
        <v>0</v>
      </c>
      <c r="O7382">
        <v>0.121793899999999</v>
      </c>
      <c r="P7382">
        <v>0.98868330000000004</v>
      </c>
      <c r="Q7382">
        <v>3.9256220000000001E-2</v>
      </c>
      <c r="R7382">
        <v>0.1447908</v>
      </c>
      <c r="S7382">
        <v>2.89798</v>
      </c>
      <c r="T7382">
        <v>-0.12169190000000001</v>
      </c>
      <c r="U7382">
        <v>0.96713260000000001</v>
      </c>
      <c r="V7382">
        <v>-2.334083E-2</v>
      </c>
      <c r="W7382">
        <v>5.1838820000000001E-2</v>
      </c>
      <c r="X7382">
        <v>0.99838269999999996</v>
      </c>
      <c r="Y7382">
        <v>-0.19860630000000001</v>
      </c>
      <c r="Z7382">
        <v>-8.8584839999999998E-4</v>
      </c>
      <c r="AA7382">
        <v>0.98007889999999998</v>
      </c>
      <c r="AB7382">
        <v>20</v>
      </c>
      <c r="AC7382">
        <v>26.3475</v>
      </c>
      <c r="AD7382">
        <v>-1.110703668999</v>
      </c>
      <c r="AE7382">
        <v>8.8142599999999902</v>
      </c>
      <c r="AF7382">
        <v>-5.5305714427534003</v>
      </c>
      <c r="AG7382">
        <v>-1.110703668999</v>
      </c>
      <c r="AH7382">
        <v>27.181488045519</v>
      </c>
      <c r="AI7382">
        <v>92.293015596874298</v>
      </c>
      <c r="AJ7382">
        <v>101.500880887574</v>
      </c>
      <c r="AK7382">
        <v>27.7606587726664</v>
      </c>
      <c r="AL7382">
        <v>87.028522636264995</v>
      </c>
      <c r="AM7382">
        <v>91.339253459568994</v>
      </c>
      <c r="AN7382">
        <v>1.0000000366316799</v>
      </c>
    </row>
    <row r="7383" spans="1:40" x14ac:dyDescent="0.25">
      <c r="A7383" t="str">
        <f>"20190312160515343"</f>
        <v>20190312160515343</v>
      </c>
      <c r="B7383" t="str">
        <f>"1552377915332216"</f>
        <v>1552377915332216</v>
      </c>
      <c r="C7383" t="s">
        <v>40</v>
      </c>
      <c r="D7383">
        <v>5.6058579999999996</v>
      </c>
      <c r="E7383">
        <v>0.43186239999999998</v>
      </c>
      <c r="F7383" t="s">
        <v>126</v>
      </c>
      <c r="G7383">
        <v>-235.06200000000001</v>
      </c>
      <c r="H7383" s="1">
        <v>-1.5410510000000001E-6</v>
      </c>
      <c r="I7383">
        <v>-58.228450000000002</v>
      </c>
      <c r="J7383">
        <v>-261.64890000000003</v>
      </c>
      <c r="K7383">
        <v>1.110689</v>
      </c>
      <c r="L7383">
        <v>-67.143519999999995</v>
      </c>
      <c r="M7383">
        <v>0.99242379999999997</v>
      </c>
      <c r="N7383">
        <v>0</v>
      </c>
      <c r="O7383">
        <v>0.1222201</v>
      </c>
      <c r="P7383">
        <v>0.98857519999999999</v>
      </c>
      <c r="Q7383">
        <v>3.9229649999999998E-2</v>
      </c>
      <c r="R7383">
        <v>0.14553540000000001</v>
      </c>
      <c r="S7383">
        <v>2.8972169999999999</v>
      </c>
      <c r="T7383">
        <v>-0.12055399999999999</v>
      </c>
      <c r="U7383">
        <v>0.96908570000000005</v>
      </c>
      <c r="V7383">
        <v>-2.3664669999999999E-2</v>
      </c>
      <c r="W7383">
        <v>5.1745489999999998E-2</v>
      </c>
      <c r="X7383">
        <v>0.99837989999999999</v>
      </c>
      <c r="Y7383">
        <v>-0.19885849999999999</v>
      </c>
      <c r="Z7383">
        <v>-8.8953179999999902E-4</v>
      </c>
      <c r="AA7383">
        <v>0.9800278</v>
      </c>
      <c r="AB7383">
        <v>20</v>
      </c>
      <c r="AC7383">
        <v>26.5869</v>
      </c>
      <c r="AD7383">
        <v>-1.110690541051</v>
      </c>
      <c r="AE7383">
        <v>8.9150699999999894</v>
      </c>
      <c r="AF7383">
        <v>-5.5897449277076197</v>
      </c>
      <c r="AG7383">
        <v>-1.110690541051</v>
      </c>
      <c r="AH7383">
        <v>27.434194053231899</v>
      </c>
      <c r="AI7383">
        <v>92.271763801798002</v>
      </c>
      <c r="AJ7383">
        <v>101.516433984469</v>
      </c>
      <c r="AK7383">
        <v>28.019883746818099</v>
      </c>
      <c r="AL7383">
        <v>87.033877183927999</v>
      </c>
      <c r="AM7383">
        <v>91.357831694980007</v>
      </c>
      <c r="AN7383">
        <v>1.00000001853277</v>
      </c>
    </row>
    <row r="7384" spans="1:40" x14ac:dyDescent="0.25">
      <c r="A7384" t="str">
        <f>"20190312160515355"</f>
        <v>20190312160515355</v>
      </c>
      <c r="B7384" t="str">
        <f>"1552377915342950"</f>
        <v>1552377915342950</v>
      </c>
      <c r="C7384" t="s">
        <v>40</v>
      </c>
      <c r="D7384">
        <v>5.6245529999999997</v>
      </c>
      <c r="E7384">
        <v>0.43193799999999999</v>
      </c>
      <c r="F7384" t="s">
        <v>126</v>
      </c>
      <c r="G7384">
        <v>-234.8142</v>
      </c>
      <c r="H7384" s="1">
        <v>-1.4492400000000001E-6</v>
      </c>
      <c r="I7384">
        <v>-58.146520000000002</v>
      </c>
      <c r="J7384">
        <v>-261.54579999999999</v>
      </c>
      <c r="K7384">
        <v>1.110679</v>
      </c>
      <c r="L7384">
        <v>-67.130340000000004</v>
      </c>
      <c r="M7384">
        <v>0.99237339999999996</v>
      </c>
      <c r="N7384">
        <v>0</v>
      </c>
      <c r="O7384">
        <v>0.1226337</v>
      </c>
      <c r="P7384">
        <v>0.98849860000000001</v>
      </c>
      <c r="Q7384">
        <v>3.9221350000000002E-2</v>
      </c>
      <c r="R7384">
        <v>0.14605589999999999</v>
      </c>
      <c r="S7384">
        <v>2.8964539999999999</v>
      </c>
      <c r="T7384">
        <v>-0.11988409999999999</v>
      </c>
      <c r="U7384">
        <v>0.97109990000000002</v>
      </c>
      <c r="V7384">
        <v>-2.3773780000000001E-2</v>
      </c>
      <c r="W7384">
        <v>5.1673110000000001E-2</v>
      </c>
      <c r="X7384">
        <v>0.99838099999999996</v>
      </c>
      <c r="Y7384">
        <v>-0.1991414</v>
      </c>
      <c r="Z7384">
        <v>-8.9536610000000001E-4</v>
      </c>
      <c r="AA7384">
        <v>0.97997040000000002</v>
      </c>
      <c r="AB7384">
        <v>20</v>
      </c>
      <c r="AC7384">
        <v>26.731599999999901</v>
      </c>
      <c r="AD7384">
        <v>-1.11068044924</v>
      </c>
      <c r="AE7384">
        <v>8.9838199999999997</v>
      </c>
      <c r="AF7384">
        <v>-5.6288176123701597</v>
      </c>
      <c r="AG7384">
        <v>-1.11068044924</v>
      </c>
      <c r="AH7384">
        <v>27.588808948927699</v>
      </c>
      <c r="AI7384">
        <v>92.2589037644195</v>
      </c>
      <c r="AJ7384">
        <v>101.53152721323001</v>
      </c>
      <c r="AK7384">
        <v>28.1790627593269</v>
      </c>
      <c r="AL7384">
        <v>87.0380296403507</v>
      </c>
      <c r="AM7384">
        <v>91.364088347387394</v>
      </c>
      <c r="AN7384">
        <v>0.99999996203677899</v>
      </c>
    </row>
    <row r="7385" spans="1:40" x14ac:dyDescent="0.25">
      <c r="A7385" t="str">
        <f>"20190312160515366"</f>
        <v>20190312160515366</v>
      </c>
      <c r="B7385" t="str">
        <f>"1552377915352711"</f>
        <v>1552377915352711</v>
      </c>
      <c r="C7385" t="s">
        <v>40</v>
      </c>
      <c r="D7385">
        <v>5.604101</v>
      </c>
      <c r="E7385">
        <v>0.43200820000000001</v>
      </c>
      <c r="F7385" t="s">
        <v>126</v>
      </c>
      <c r="G7385">
        <v>-234.75139999999999</v>
      </c>
      <c r="H7385" s="1">
        <v>-1.424327E-6</v>
      </c>
      <c r="I7385">
        <v>-58.135300000000001</v>
      </c>
      <c r="J7385">
        <v>-261.44279999999998</v>
      </c>
      <c r="K7385">
        <v>1.110671</v>
      </c>
      <c r="L7385">
        <v>-67.117130000000003</v>
      </c>
      <c r="M7385">
        <v>0.99232319999999996</v>
      </c>
      <c r="N7385">
        <v>0</v>
      </c>
      <c r="O7385">
        <v>0.12304569999999999</v>
      </c>
      <c r="P7385">
        <v>0.98841780000000001</v>
      </c>
      <c r="Q7385">
        <v>3.8917390000000003E-2</v>
      </c>
      <c r="R7385">
        <v>0.1466828</v>
      </c>
      <c r="S7385">
        <v>2.8959959999999998</v>
      </c>
      <c r="T7385">
        <v>-0.1200451</v>
      </c>
      <c r="U7385">
        <v>0.97219849999999997</v>
      </c>
      <c r="V7385">
        <v>-2.3990850000000001E-2</v>
      </c>
      <c r="W7385">
        <v>5.1305000000000003E-2</v>
      </c>
      <c r="X7385">
        <v>0.99839480000000003</v>
      </c>
      <c r="Y7385">
        <v>-0.1991156</v>
      </c>
      <c r="Z7385">
        <v>-9.13491E-4</v>
      </c>
      <c r="AA7385">
        <v>0.97997559999999995</v>
      </c>
      <c r="AB7385">
        <v>20</v>
      </c>
      <c r="AC7385">
        <v>26.691399999999899</v>
      </c>
      <c r="AD7385">
        <v>-1.1106724243270001</v>
      </c>
      <c r="AE7385">
        <v>8.9818300000000004</v>
      </c>
      <c r="AF7385">
        <v>-5.6203091106953602</v>
      </c>
      <c r="AG7385">
        <v>-1.1106724243270001</v>
      </c>
      <c r="AH7385">
        <v>27.550948938557799</v>
      </c>
      <c r="AI7385">
        <v>92.2620009555054</v>
      </c>
      <c r="AJ7385">
        <v>101.52996173527499</v>
      </c>
      <c r="AK7385">
        <v>28.1402959321494</v>
      </c>
      <c r="AL7385">
        <v>87.059148828283995</v>
      </c>
      <c r="AM7385">
        <v>91.376519566985095</v>
      </c>
      <c r="AN7385">
        <v>0.99999997028788001</v>
      </c>
    </row>
    <row r="7386" spans="1:40" x14ac:dyDescent="0.25">
      <c r="A7386" t="str">
        <f>"20190312160515379"</f>
        <v>20190312160515379</v>
      </c>
      <c r="B7386" t="str">
        <f>"1552377915372232"</f>
        <v>1552377915372232</v>
      </c>
      <c r="C7386" t="s">
        <v>40</v>
      </c>
      <c r="D7386">
        <v>5.605588</v>
      </c>
      <c r="E7386">
        <v>0.43210189999999998</v>
      </c>
      <c r="F7386" t="s">
        <v>126</v>
      </c>
      <c r="G7386">
        <v>-234.8621</v>
      </c>
      <c r="H7386" s="1">
        <v>-1.463615E-6</v>
      </c>
      <c r="I7386">
        <v>-58.181370000000001</v>
      </c>
      <c r="J7386">
        <v>-261.33530000000002</v>
      </c>
      <c r="K7386">
        <v>1.1106640000000001</v>
      </c>
      <c r="L7386">
        <v>-67.103300000000004</v>
      </c>
      <c r="M7386">
        <v>0.99227080000000001</v>
      </c>
      <c r="N7386">
        <v>0</v>
      </c>
      <c r="O7386">
        <v>0.12347470000000001</v>
      </c>
      <c r="P7386">
        <v>0.98837229999999998</v>
      </c>
      <c r="Q7386">
        <v>3.8772130000000002E-2</v>
      </c>
      <c r="R7386">
        <v>0.14702699999999999</v>
      </c>
      <c r="S7386">
        <v>2.895508</v>
      </c>
      <c r="T7386">
        <v>-0.1209884</v>
      </c>
      <c r="U7386">
        <v>0.9733887</v>
      </c>
      <c r="V7386">
        <v>-2.3906360000000001E-2</v>
      </c>
      <c r="W7386">
        <v>5.1095000000000002E-2</v>
      </c>
      <c r="X7386">
        <v>0.99840759999999995</v>
      </c>
      <c r="Y7386">
        <v>-0.19910330000000001</v>
      </c>
      <c r="Z7386">
        <v>-9.3813429999999997E-4</v>
      </c>
      <c r="AA7386">
        <v>0.97997809999999996</v>
      </c>
      <c r="AB7386">
        <v>20</v>
      </c>
      <c r="AC7386">
        <v>26.473199999999999</v>
      </c>
      <c r="AD7386">
        <v>-1.110665463615</v>
      </c>
      <c r="AE7386">
        <v>8.9219300000000104</v>
      </c>
      <c r="AF7386">
        <v>-5.5758131432419802</v>
      </c>
      <c r="AG7386">
        <v>-1.110665463615</v>
      </c>
      <c r="AH7386">
        <v>27.329107973404899</v>
      </c>
      <c r="AI7386">
        <v>92.280316523167301</v>
      </c>
      <c r="AJ7386">
        <v>101.53148922235501</v>
      </c>
      <c r="AK7386">
        <v>27.914215242461001</v>
      </c>
      <c r="AL7386">
        <v>87.071196756239999</v>
      </c>
      <c r="AM7386">
        <v>91.371656072980002</v>
      </c>
      <c r="AN7386">
        <v>0.99999997440560395</v>
      </c>
    </row>
    <row r="7387" spans="1:40" x14ac:dyDescent="0.25">
      <c r="A7387" t="str">
        <f>"20190312160515389"</f>
        <v>20190312160515389</v>
      </c>
      <c r="B7387" t="str">
        <f>"1552377915382967"</f>
        <v>1552377915382967</v>
      </c>
      <c r="C7387" t="s">
        <v>40</v>
      </c>
      <c r="D7387">
        <v>5.6419829999999997</v>
      </c>
      <c r="E7387">
        <v>0.43226429999999999</v>
      </c>
      <c r="F7387" t="s">
        <v>126</v>
      </c>
      <c r="G7387">
        <v>-234.99529999999999</v>
      </c>
      <c r="H7387" s="1">
        <v>-1.509618E-6</v>
      </c>
      <c r="I7387">
        <v>-58.244320000000002</v>
      </c>
      <c r="J7387">
        <v>-261.23660000000001</v>
      </c>
      <c r="K7387">
        <v>1.1106579999999999</v>
      </c>
      <c r="L7387">
        <v>-67.090580000000003</v>
      </c>
      <c r="M7387">
        <v>0.99222250000000001</v>
      </c>
      <c r="N7387">
        <v>0</v>
      </c>
      <c r="O7387">
        <v>0.1238679</v>
      </c>
      <c r="P7387">
        <v>0.98831690000000005</v>
      </c>
      <c r="Q7387">
        <v>3.8753830000000003E-2</v>
      </c>
      <c r="R7387">
        <v>0.14740420000000001</v>
      </c>
      <c r="S7387">
        <v>2.8952330000000002</v>
      </c>
      <c r="T7387">
        <v>-0.1220822</v>
      </c>
      <c r="U7387">
        <v>0.97375489999999998</v>
      </c>
      <c r="V7387">
        <v>-2.3891699999999998E-2</v>
      </c>
      <c r="W7387">
        <v>5.1017849999999997E-2</v>
      </c>
      <c r="X7387">
        <v>0.99841190000000002</v>
      </c>
      <c r="Y7387">
        <v>-0.1988539</v>
      </c>
      <c r="Z7387">
        <v>-9.6765019999999998E-4</v>
      </c>
      <c r="AA7387">
        <v>0.98002869999999997</v>
      </c>
      <c r="AB7387">
        <v>21</v>
      </c>
      <c r="AC7387">
        <v>26.241299999999999</v>
      </c>
      <c r="AD7387">
        <v>-1.1106595096180001</v>
      </c>
      <c r="AE7387">
        <v>8.8462599999999991</v>
      </c>
      <c r="AF7387">
        <v>-5.5185444668390904</v>
      </c>
      <c r="AG7387">
        <v>-1.1106595096180001</v>
      </c>
      <c r="AH7387">
        <v>27.091449198935798</v>
      </c>
      <c r="AI7387">
        <v>92.300432574311998</v>
      </c>
      <c r="AJ7387">
        <v>101.513660460922</v>
      </c>
      <c r="AK7387">
        <v>27.670101504643998</v>
      </c>
      <c r="AL7387">
        <v>87.075622909569702</v>
      </c>
      <c r="AM7387">
        <v>91.370809357319601</v>
      </c>
      <c r="AN7387">
        <v>0.99999997820456099</v>
      </c>
    </row>
    <row r="7388" spans="1:40" x14ac:dyDescent="0.25">
      <c r="A7388" t="str">
        <f>"20190312160515399"</f>
        <v>20190312160515399</v>
      </c>
      <c r="B7388" t="str">
        <f>"1552377915392727"</f>
        <v>1552377915392727</v>
      </c>
      <c r="C7388" t="s">
        <v>40</v>
      </c>
      <c r="D7388">
        <v>5.8515329999999999</v>
      </c>
      <c r="E7388">
        <v>0.43226429999999999</v>
      </c>
      <c r="F7388" t="s">
        <v>126</v>
      </c>
      <c r="G7388">
        <v>-235.12790000000001</v>
      </c>
      <c r="H7388" s="1">
        <v>-1.554811E-6</v>
      </c>
      <c r="I7388">
        <v>-58.310099999999998</v>
      </c>
      <c r="J7388">
        <v>-261.14229999999998</v>
      </c>
      <c r="K7388">
        <v>1.110654</v>
      </c>
      <c r="L7388">
        <v>-67.078369999999893</v>
      </c>
      <c r="M7388">
        <v>0.99217639999999996</v>
      </c>
      <c r="N7388">
        <v>0</v>
      </c>
      <c r="O7388">
        <v>0.12424250000000001</v>
      </c>
      <c r="P7388">
        <v>0.98825379999999996</v>
      </c>
      <c r="Q7388">
        <v>3.8742859999999997E-2</v>
      </c>
      <c r="R7388">
        <v>0.1478293</v>
      </c>
      <c r="S7388">
        <v>2.895111</v>
      </c>
      <c r="T7388">
        <v>-0.12315760000000001</v>
      </c>
      <c r="U7388">
        <v>0.97363279999999996</v>
      </c>
      <c r="V7388">
        <v>-2.394462E-2</v>
      </c>
      <c r="W7388">
        <v>5.0953560000000002E-2</v>
      </c>
      <c r="X7388">
        <v>0.99841389999999997</v>
      </c>
      <c r="Y7388">
        <v>-0.19845889999999999</v>
      </c>
      <c r="Z7388">
        <v>-9.9964299999999993E-4</v>
      </c>
      <c r="AA7388">
        <v>0.98010870000000005</v>
      </c>
      <c r="AB7388">
        <v>21</v>
      </c>
      <c r="AC7388">
        <v>26.014399999999899</v>
      </c>
      <c r="AD7388">
        <v>-1.110655554811</v>
      </c>
      <c r="AE7388">
        <v>8.7682699999999905</v>
      </c>
      <c r="AF7388">
        <v>-5.4590505596660703</v>
      </c>
      <c r="AG7388">
        <v>-1.110655554811</v>
      </c>
      <c r="AH7388">
        <v>26.858318371292</v>
      </c>
      <c r="AI7388">
        <v>92.320572830521698</v>
      </c>
      <c r="AJ7388">
        <v>101.48906880276</v>
      </c>
      <c r="AK7388">
        <v>27.429984588185601</v>
      </c>
      <c r="AL7388">
        <v>87.079311207722597</v>
      </c>
      <c r="AM7388">
        <v>91.373841780011603</v>
      </c>
      <c r="AN7388">
        <v>0.99999996290841298</v>
      </c>
    </row>
    <row r="7389" spans="1:40" x14ac:dyDescent="0.25">
      <c r="A7389" t="str">
        <f>"20190312160515410"</f>
        <v>20190312160515410</v>
      </c>
      <c r="B7389" t="str">
        <f>"1552377915402487"</f>
        <v>1552377915402487</v>
      </c>
      <c r="C7389" t="s">
        <v>40</v>
      </c>
      <c r="D7389">
        <v>5.5636799999999997</v>
      </c>
      <c r="E7389">
        <v>0.46610649999999998</v>
      </c>
      <c r="F7389" t="s">
        <v>126</v>
      </c>
      <c r="G7389">
        <v>-235.03919999999999</v>
      </c>
      <c r="H7389" s="1">
        <v>-1.5208300000000001E-6</v>
      </c>
      <c r="I7389">
        <v>-58.287100000000002</v>
      </c>
      <c r="J7389">
        <v>-261.04469999999998</v>
      </c>
      <c r="K7389">
        <v>1.1106529999999999</v>
      </c>
      <c r="L7389">
        <v>-67.065730000000002</v>
      </c>
      <c r="M7389">
        <v>0.99212820000000002</v>
      </c>
      <c r="N7389">
        <v>0</v>
      </c>
      <c r="O7389">
        <v>0.1246304</v>
      </c>
      <c r="P7389">
        <v>0.98820859999999999</v>
      </c>
      <c r="Q7389">
        <v>3.8821059999999998E-2</v>
      </c>
      <c r="R7389">
        <v>0.1481102</v>
      </c>
      <c r="S7389">
        <v>2.8946529999999999</v>
      </c>
      <c r="T7389">
        <v>-0.123164</v>
      </c>
      <c r="U7389">
        <v>0.97488399999999997</v>
      </c>
      <c r="V7389">
        <v>-2.38389E-2</v>
      </c>
      <c r="W7389">
        <v>5.0977840000000003E-2</v>
      </c>
      <c r="X7389">
        <v>0.99841519999999995</v>
      </c>
      <c r="Y7389">
        <v>-0.1985034</v>
      </c>
      <c r="Z7389">
        <v>-1.0146199999999999E-3</v>
      </c>
      <c r="AA7389">
        <v>0.98009970000000002</v>
      </c>
      <c r="AB7389">
        <v>21</v>
      </c>
      <c r="AC7389">
        <v>26.005499999999898</v>
      </c>
      <c r="AD7389">
        <v>-1.1106545208299901</v>
      </c>
      <c r="AE7389">
        <v>8.7786299999999997</v>
      </c>
      <c r="AF7389">
        <v>-5.4599174835884003</v>
      </c>
      <c r="AG7389">
        <v>-1.1106545208299901</v>
      </c>
      <c r="AH7389">
        <v>26.852907019822801</v>
      </c>
      <c r="AI7389">
        <v>92.321004647081395</v>
      </c>
      <c r="AJ7389">
        <v>101.49309879848801</v>
      </c>
      <c r="AK7389">
        <v>27.424858574065301</v>
      </c>
      <c r="AL7389">
        <v>87.077918283797899</v>
      </c>
      <c r="AM7389">
        <v>91.367776539314605</v>
      </c>
      <c r="AN7389">
        <v>0.99999997245765704</v>
      </c>
    </row>
    <row r="7390" spans="1:40" x14ac:dyDescent="0.25">
      <c r="A7390" t="str">
        <f>"20190312160515420"</f>
        <v>20190312160515420</v>
      </c>
      <c r="B7390" t="str">
        <f>"1552377915412247"</f>
        <v>1552377915412247</v>
      </c>
      <c r="C7390" t="s">
        <v>40</v>
      </c>
      <c r="D7390">
        <v>5.8355980000000001</v>
      </c>
      <c r="E7390">
        <v>0.47592390000000001</v>
      </c>
      <c r="F7390" t="s">
        <v>123</v>
      </c>
      <c r="G7390">
        <v>-229.5976</v>
      </c>
      <c r="H7390" s="1">
        <v>-3.4386439999999999E-6</v>
      </c>
      <c r="I7390">
        <v>-59.464280000000002</v>
      </c>
      <c r="J7390">
        <v>-260.9468</v>
      </c>
      <c r="K7390">
        <v>1.110654</v>
      </c>
      <c r="L7390">
        <v>-67.052980000000005</v>
      </c>
      <c r="M7390">
        <v>0.99207999999999996</v>
      </c>
      <c r="N7390">
        <v>0</v>
      </c>
      <c r="O7390">
        <v>0.12501860000000001</v>
      </c>
      <c r="P7390">
        <v>0.98821870000000001</v>
      </c>
      <c r="Q7390">
        <v>3.8798310000000003E-2</v>
      </c>
      <c r="R7390">
        <v>0.1480494</v>
      </c>
      <c r="S7390">
        <v>2.9335629999999999</v>
      </c>
      <c r="T7390">
        <v>-0.1036084</v>
      </c>
      <c r="U7390">
        <v>0.70910640000000003</v>
      </c>
      <c r="V7390">
        <v>-2.3386230000000001E-2</v>
      </c>
      <c r="W7390">
        <v>5.0905449999999998E-2</v>
      </c>
      <c r="X7390">
        <v>0.99842969999999998</v>
      </c>
      <c r="Y7390">
        <v>-0.1115913</v>
      </c>
      <c r="Z7390">
        <v>-2.3850770000000002E-3</v>
      </c>
      <c r="AA7390">
        <v>0.9937513</v>
      </c>
      <c r="AB7390">
        <v>21</v>
      </c>
      <c r="AC7390">
        <v>31.3492</v>
      </c>
      <c r="AD7390">
        <v>-1.110657438644</v>
      </c>
      <c r="AE7390">
        <v>7.5887000000000002</v>
      </c>
      <c r="AF7390">
        <v>-3.6053559581368799</v>
      </c>
      <c r="AG7390">
        <v>-1.110657438644</v>
      </c>
      <c r="AH7390">
        <v>32.014049694432003</v>
      </c>
      <c r="AI7390">
        <v>91.974483295720304</v>
      </c>
      <c r="AJ7390">
        <v>96.425458998714802</v>
      </c>
      <c r="AK7390">
        <v>32.235563115423403</v>
      </c>
      <c r="AL7390">
        <v>87.082071611825398</v>
      </c>
      <c r="AM7390">
        <v>91.341794332318699</v>
      </c>
      <c r="AN7390">
        <v>1.0000000732176999</v>
      </c>
    </row>
    <row r="7391" spans="1:40" x14ac:dyDescent="0.25">
      <c r="A7391" t="str">
        <f>"20190312160515432"</f>
        <v>20190312160515432</v>
      </c>
      <c r="B7391" t="str">
        <f>"1552377915422984"</f>
        <v>1552377915422984</v>
      </c>
      <c r="C7391" t="s">
        <v>40</v>
      </c>
      <c r="D7391">
        <v>5.6099389999999998</v>
      </c>
      <c r="E7391">
        <v>0.48451</v>
      </c>
      <c r="F7391" t="s">
        <v>126</v>
      </c>
      <c r="G7391">
        <v>-236.10929999999999</v>
      </c>
      <c r="H7391" s="1">
        <v>-1.9667889999999999E-6</v>
      </c>
      <c r="I7391">
        <v>-61.732089999999999</v>
      </c>
      <c r="J7391">
        <v>-260.84359999999998</v>
      </c>
      <c r="K7391">
        <v>1.1106529999999999</v>
      </c>
      <c r="L7391">
        <v>-67.039519999999996</v>
      </c>
      <c r="M7391">
        <v>0.99202900000000005</v>
      </c>
      <c r="N7391">
        <v>0</v>
      </c>
      <c r="O7391">
        <v>0.12542819999999999</v>
      </c>
      <c r="P7391">
        <v>0.98817639999999995</v>
      </c>
      <c r="Q7391">
        <v>3.8912040000000002E-2</v>
      </c>
      <c r="R7391">
        <v>0.1483015</v>
      </c>
      <c r="S7391">
        <v>2.9464109999999999</v>
      </c>
      <c r="T7391">
        <v>-0.13175419999999999</v>
      </c>
      <c r="U7391">
        <v>0.63119510000000001</v>
      </c>
      <c r="V7391">
        <v>-2.3230000000000001E-2</v>
      </c>
      <c r="W7391">
        <v>5.096879E-2</v>
      </c>
      <c r="X7391">
        <v>0.99843000000000004</v>
      </c>
      <c r="Y7391">
        <v>-8.520105E-2</v>
      </c>
      <c r="Z7391">
        <v>-3.6316080000000001E-3</v>
      </c>
      <c r="AA7391">
        <v>0.9963571</v>
      </c>
      <c r="AB7391">
        <v>21</v>
      </c>
      <c r="AC7391">
        <v>24.734299999999902</v>
      </c>
      <c r="AD7391">
        <v>-1.110654966789</v>
      </c>
      <c r="AE7391">
        <v>5.3074299999999903</v>
      </c>
      <c r="AF7391">
        <v>-2.1587427750061501</v>
      </c>
      <c r="AG7391">
        <v>-1.110654966789</v>
      </c>
      <c r="AH7391">
        <v>25.156196958207001</v>
      </c>
      <c r="AI7391">
        <v>92.518742191504998</v>
      </c>
      <c r="AJ7391">
        <v>94.9047388240255</v>
      </c>
      <c r="AK7391">
        <v>25.2730680809433</v>
      </c>
      <c r="AL7391">
        <v>87.078437442351003</v>
      </c>
      <c r="AM7391">
        <v>91.332833417291994</v>
      </c>
      <c r="AN7391">
        <v>0.99999995767703098</v>
      </c>
    </row>
    <row r="7392" spans="1:40" x14ac:dyDescent="0.25">
      <c r="A7392" t="str">
        <f>"20190312160515443"</f>
        <v>20190312160515443</v>
      </c>
      <c r="B7392" t="str">
        <f>"1552377915432744"</f>
        <v>1552377915432744</v>
      </c>
      <c r="C7392" t="s">
        <v>40</v>
      </c>
      <c r="D7392">
        <v>5.6777360000000003</v>
      </c>
      <c r="E7392">
        <v>0.48958570000000001</v>
      </c>
      <c r="F7392" t="s">
        <v>126</v>
      </c>
      <c r="G7392">
        <v>-234.10890000000001</v>
      </c>
      <c r="H7392" s="1">
        <v>-1.162802E-6</v>
      </c>
      <c r="I7392">
        <v>-61.935580000000002</v>
      </c>
      <c r="J7392">
        <v>-260.74419999999998</v>
      </c>
      <c r="K7392">
        <v>1.1106499999999999</v>
      </c>
      <c r="L7392">
        <v>-67.026519999999906</v>
      </c>
      <c r="M7392">
        <v>0.99197950000000001</v>
      </c>
      <c r="N7392">
        <v>0</v>
      </c>
      <c r="O7392">
        <v>0.12582309999999999</v>
      </c>
      <c r="P7392">
        <v>0.98812650000000002</v>
      </c>
      <c r="Q7392">
        <v>3.9150860000000003E-2</v>
      </c>
      <c r="R7392">
        <v>0.14857200000000001</v>
      </c>
      <c r="S7392">
        <v>2.9560240000000002</v>
      </c>
      <c r="T7392">
        <v>-0.12280389999999999</v>
      </c>
      <c r="U7392">
        <v>0.56433109999999997</v>
      </c>
      <c r="V7392">
        <v>-2.3107409999999998E-2</v>
      </c>
      <c r="W7392">
        <v>5.1161659999999998E-2</v>
      </c>
      <c r="X7392">
        <v>0.99842299999999995</v>
      </c>
      <c r="Y7392">
        <v>-6.2483629999999998E-2</v>
      </c>
      <c r="Z7392">
        <v>-3.8671790000000001E-3</v>
      </c>
      <c r="AA7392">
        <v>0.99803850000000005</v>
      </c>
      <c r="AB7392">
        <v>21</v>
      </c>
      <c r="AC7392">
        <v>26.635299999999901</v>
      </c>
      <c r="AD7392">
        <v>-1.1106511628019999</v>
      </c>
      <c r="AE7392">
        <v>5.0909399999999803</v>
      </c>
      <c r="AF7392">
        <v>-1.69605037125654</v>
      </c>
      <c r="AG7392">
        <v>-1.1106511628019999</v>
      </c>
      <c r="AH7392">
        <v>27.018871019890302</v>
      </c>
      <c r="AI7392">
        <v>92.349284757596493</v>
      </c>
      <c r="AJ7392">
        <v>93.591903970309801</v>
      </c>
      <c r="AK7392">
        <v>27.094824672928599</v>
      </c>
      <c r="AL7392">
        <v>87.067372426353998</v>
      </c>
      <c r="AM7392">
        <v>91.325811560921395</v>
      </c>
      <c r="AN7392">
        <v>0.99999997738993096</v>
      </c>
    </row>
    <row r="7393" spans="1:40" x14ac:dyDescent="0.25">
      <c r="A7393" t="str">
        <f>"20190312160515455"</f>
        <v>20190312160515455</v>
      </c>
      <c r="B7393" t="str">
        <f>"1552377915452264"</f>
        <v>1552377915452264</v>
      </c>
      <c r="C7393" t="s">
        <v>40</v>
      </c>
      <c r="D7393">
        <v>5.6838040000000003</v>
      </c>
      <c r="E7393">
        <v>0.49592930000000002</v>
      </c>
      <c r="F7393" t="s">
        <v>126</v>
      </c>
      <c r="G7393">
        <v>-232.98949999999999</v>
      </c>
      <c r="H7393" s="1">
        <v>-7.276727E-7</v>
      </c>
      <c r="I7393">
        <v>-62.105080000000001</v>
      </c>
      <c r="J7393">
        <v>-260.63670000000002</v>
      </c>
      <c r="K7393">
        <v>1.1106510000000001</v>
      </c>
      <c r="L7393">
        <v>-67.012389999999996</v>
      </c>
      <c r="M7393">
        <v>0.99192590000000003</v>
      </c>
      <c r="N7393">
        <v>0</v>
      </c>
      <c r="O7393">
        <v>0.12625069999999999</v>
      </c>
      <c r="P7393">
        <v>0.98811760000000004</v>
      </c>
      <c r="Q7393">
        <v>3.9388359999999997E-2</v>
      </c>
      <c r="R7393">
        <v>0.14856849999999999</v>
      </c>
      <c r="S7393">
        <v>2.961792</v>
      </c>
      <c r="T7393">
        <v>-0.1185213</v>
      </c>
      <c r="U7393">
        <v>0.525177</v>
      </c>
      <c r="V7393">
        <v>-2.2674900000000001E-2</v>
      </c>
      <c r="W7393">
        <v>5.1352620000000002E-2</v>
      </c>
      <c r="X7393">
        <v>0.99842319999999996</v>
      </c>
      <c r="Y7393">
        <v>-4.8935399999999997E-2</v>
      </c>
      <c r="Z7393">
        <v>-4.0163780000000001E-3</v>
      </c>
      <c r="AA7393">
        <v>0.99879379999999995</v>
      </c>
      <c r="AB7393">
        <v>21</v>
      </c>
      <c r="AC7393">
        <v>27.647200000000002</v>
      </c>
      <c r="AD7393">
        <v>-1.1106517276726999</v>
      </c>
      <c r="AE7393">
        <v>4.9073099999999803</v>
      </c>
      <c r="AF7393">
        <v>-1.3751570813751099</v>
      </c>
      <c r="AG7393">
        <v>-1.1106517276726999</v>
      </c>
      <c r="AH7393">
        <v>28.001731829352</v>
      </c>
      <c r="AI7393">
        <v>92.268639641932396</v>
      </c>
      <c r="AJ7393">
        <v>92.811520636843497</v>
      </c>
      <c r="AK7393">
        <v>28.057469410151398</v>
      </c>
      <c r="AL7393">
        <v>87.056417079366099</v>
      </c>
      <c r="AM7393">
        <v>91.301004201969107</v>
      </c>
      <c r="AN7393">
        <v>1.0000000644845499</v>
      </c>
    </row>
    <row r="7394" spans="1:40" x14ac:dyDescent="0.25">
      <c r="A7394" t="str">
        <f>"20190312160515465"</f>
        <v>20190312160515465</v>
      </c>
      <c r="B7394" t="str">
        <f>"1552377915452264"</f>
        <v>1552377915452264</v>
      </c>
      <c r="C7394" t="s">
        <v>40</v>
      </c>
      <c r="D7394">
        <v>5.6838040000000003</v>
      </c>
      <c r="E7394">
        <v>0.49592930000000002</v>
      </c>
      <c r="F7394" t="s">
        <v>123</v>
      </c>
      <c r="G7394">
        <v>-226.40639999999999</v>
      </c>
      <c r="H7394" s="1">
        <v>-2.1212819999999998E-6</v>
      </c>
      <c r="I7394">
        <v>-61.529980000000002</v>
      </c>
      <c r="J7394">
        <v>-260.54039999999998</v>
      </c>
      <c r="K7394">
        <v>1.1106499999999999</v>
      </c>
      <c r="L7394">
        <v>-66.999690000000001</v>
      </c>
      <c r="M7394">
        <v>0.99187749999999997</v>
      </c>
      <c r="N7394">
        <v>0</v>
      </c>
      <c r="O7394">
        <v>0.1266341</v>
      </c>
      <c r="P7394">
        <v>0.98804029999999998</v>
      </c>
      <c r="Q7394">
        <v>3.9829290000000003E-2</v>
      </c>
      <c r="R7394">
        <v>0.1489634</v>
      </c>
      <c r="S7394">
        <v>2.968445</v>
      </c>
      <c r="T7394">
        <v>-9.6315620000000005E-2</v>
      </c>
      <c r="U7394">
        <v>0.4754333</v>
      </c>
      <c r="V7394">
        <v>-2.2690620000000002E-2</v>
      </c>
      <c r="W7394">
        <v>5.1752630000000001E-2</v>
      </c>
      <c r="X7394">
        <v>0.99840209999999996</v>
      </c>
      <c r="Y7394">
        <v>-3.1872240000000003E-2</v>
      </c>
      <c r="Z7394">
        <v>-3.5499070000000001E-3</v>
      </c>
      <c r="AA7394">
        <v>0.99948570000000003</v>
      </c>
      <c r="AB7394">
        <v>21</v>
      </c>
      <c r="AC7394">
        <v>34.133999999999901</v>
      </c>
      <c r="AD7394">
        <v>-1.110652121282</v>
      </c>
      <c r="AE7394">
        <v>5.4697099999999903</v>
      </c>
      <c r="AF7394">
        <v>-1.1016954841347699</v>
      </c>
      <c r="AG7394">
        <v>-1.110652121282</v>
      </c>
      <c r="AH7394">
        <v>34.516237756911998</v>
      </c>
      <c r="AI7394">
        <v>91.842071359492707</v>
      </c>
      <c r="AJ7394">
        <v>91.828156339421895</v>
      </c>
      <c r="AK7394">
        <v>34.5516707261161</v>
      </c>
      <c r="AL7394">
        <v>87.033467417257498</v>
      </c>
      <c r="AM7394">
        <v>91.3019333534113</v>
      </c>
      <c r="AN7394">
        <v>0.99999997611615499</v>
      </c>
    </row>
    <row r="7395" spans="1:40" x14ac:dyDescent="0.25">
      <c r="A7395" t="str">
        <f>"20190312160515477"</f>
        <v>20190312160515477</v>
      </c>
      <c r="B7395" t="str">
        <f>"1552377915472784"</f>
        <v>1552377915472784</v>
      </c>
      <c r="C7395" t="s">
        <v>40</v>
      </c>
      <c r="D7395">
        <v>5.6869649999999998</v>
      </c>
      <c r="E7395">
        <v>0.49995149999999999</v>
      </c>
      <c r="F7395" t="s">
        <v>123</v>
      </c>
      <c r="G7395">
        <v>-225.8349</v>
      </c>
      <c r="H7395" s="1">
        <v>-1.8530089999999999E-6</v>
      </c>
      <c r="I7395">
        <v>-61.426139999999997</v>
      </c>
      <c r="J7395">
        <v>-260.43119999999999</v>
      </c>
      <c r="K7395">
        <v>1.1106400000000001</v>
      </c>
      <c r="L7395">
        <v>-66.985230000000001</v>
      </c>
      <c r="M7395">
        <v>0.99182239999999999</v>
      </c>
      <c r="N7395">
        <v>0</v>
      </c>
      <c r="O7395">
        <v>0.12706869999999901</v>
      </c>
      <c r="P7395">
        <v>0.98797360000000001</v>
      </c>
      <c r="Q7395">
        <v>4.0214930000000003E-2</v>
      </c>
      <c r="R7395">
        <v>0.14930170000000001</v>
      </c>
      <c r="S7395">
        <v>2.9682309999999998</v>
      </c>
      <c r="T7395">
        <v>-9.4989779999999996E-2</v>
      </c>
      <c r="U7395">
        <v>0.47668460000000001</v>
      </c>
      <c r="V7395">
        <v>-2.259738E-2</v>
      </c>
      <c r="W7395">
        <v>5.2095500000000003E-2</v>
      </c>
      <c r="X7395">
        <v>0.99838640000000001</v>
      </c>
      <c r="Y7395">
        <v>-3.1855269999999998E-2</v>
      </c>
      <c r="Z7395">
        <v>-3.515102E-3</v>
      </c>
      <c r="AA7395">
        <v>0.99948630000000005</v>
      </c>
      <c r="AB7395">
        <v>21</v>
      </c>
      <c r="AC7395">
        <v>34.5962999999999</v>
      </c>
      <c r="AD7395">
        <v>-1.1106418530089901</v>
      </c>
      <c r="AE7395">
        <v>5.5590899999999897</v>
      </c>
      <c r="AF7395">
        <v>-1.11648072090588</v>
      </c>
      <c r="AG7395">
        <v>-1.1106418530089901</v>
      </c>
      <c r="AH7395">
        <v>34.987106029252899</v>
      </c>
      <c r="AI7395">
        <v>91.817280492493893</v>
      </c>
      <c r="AJ7395">
        <v>91.827757130307205</v>
      </c>
      <c r="AK7395">
        <v>35.022530502920397</v>
      </c>
      <c r="AL7395">
        <v>87.013795927639805</v>
      </c>
      <c r="AM7395">
        <v>91.296605678210398</v>
      </c>
      <c r="AN7395">
        <v>0.99999999320403699</v>
      </c>
    </row>
    <row r="7396" spans="1:40" x14ac:dyDescent="0.25">
      <c r="A7396" t="str">
        <f>"20190312160515488"</f>
        <v>20190312160515488</v>
      </c>
      <c r="B7396" t="str">
        <f>"1552377915482519"</f>
        <v>1552377915482519</v>
      </c>
      <c r="C7396" t="s">
        <v>40</v>
      </c>
      <c r="D7396">
        <v>5.5429199999999996</v>
      </c>
      <c r="E7396">
        <v>0.50142219999999904</v>
      </c>
      <c r="F7396" t="s">
        <v>123</v>
      </c>
      <c r="G7396">
        <v>-225.04660000000001</v>
      </c>
      <c r="H7396" s="1">
        <v>-1.5703339999999999E-6</v>
      </c>
      <c r="I7396">
        <v>-61.67586</v>
      </c>
      <c r="J7396">
        <v>-260.33330000000001</v>
      </c>
      <c r="K7396">
        <v>1.110638</v>
      </c>
      <c r="L7396">
        <v>-66.972259999999906</v>
      </c>
      <c r="M7396">
        <v>0.99177289999999996</v>
      </c>
      <c r="N7396">
        <v>0</v>
      </c>
      <c r="O7396">
        <v>0.12745770000000001</v>
      </c>
      <c r="P7396">
        <v>0.98790370000000005</v>
      </c>
      <c r="Q7396">
        <v>4.0377749999999997E-2</v>
      </c>
      <c r="R7396">
        <v>0.14972050000000001</v>
      </c>
      <c r="S7396">
        <v>2.9729000000000001</v>
      </c>
      <c r="T7396">
        <v>-9.331238E-2</v>
      </c>
      <c r="U7396">
        <v>0.44607540000000001</v>
      </c>
      <c r="V7396">
        <v>-2.263008E-2</v>
      </c>
      <c r="W7396">
        <v>5.2221679999999999E-2</v>
      </c>
      <c r="X7396">
        <v>0.99837909999999996</v>
      </c>
      <c r="Y7396">
        <v>-2.117084E-2</v>
      </c>
      <c r="Z7396">
        <v>-3.629771E-3</v>
      </c>
      <c r="AA7396">
        <v>0.99976929999999997</v>
      </c>
      <c r="AB7396">
        <v>21</v>
      </c>
      <c r="AC7396">
        <v>35.286700000000003</v>
      </c>
      <c r="AD7396">
        <v>-1.110639570334</v>
      </c>
      <c r="AE7396">
        <v>5.2963999999999896</v>
      </c>
      <c r="AF7396">
        <v>-0.75458656760027598</v>
      </c>
      <c r="AG7396">
        <v>-1.110639570334</v>
      </c>
      <c r="AH7396">
        <v>35.6394470923547</v>
      </c>
      <c r="AI7396">
        <v>91.784543049296502</v>
      </c>
      <c r="AJ7396">
        <v>91.212930344228496</v>
      </c>
      <c r="AK7396">
        <v>35.664732021872098</v>
      </c>
      <c r="AL7396">
        <v>87.006556589722905</v>
      </c>
      <c r="AM7396">
        <v>91.2984908070665</v>
      </c>
      <c r="AN7396">
        <v>1.0000000258498101</v>
      </c>
    </row>
    <row r="7397" spans="1:40" x14ac:dyDescent="0.25">
      <c r="A7397" t="str">
        <f>"20190312160515499"</f>
        <v>20190312160515499</v>
      </c>
      <c r="B7397" t="str">
        <f>"1552377915492279"</f>
        <v>1552377915492279</v>
      </c>
      <c r="C7397" t="s">
        <v>40</v>
      </c>
      <c r="D7397">
        <v>6.197292</v>
      </c>
      <c r="E7397">
        <v>0.50276019999999999</v>
      </c>
      <c r="F7397" t="s">
        <v>123</v>
      </c>
      <c r="G7397">
        <v>-224.7054</v>
      </c>
      <c r="H7397" s="1">
        <v>-1.441198E-6</v>
      </c>
      <c r="I7397">
        <v>-61.753219999999999</v>
      </c>
      <c r="J7397">
        <v>-260.23079999999999</v>
      </c>
      <c r="K7397">
        <v>1.110633</v>
      </c>
      <c r="L7397">
        <v>-66.958590000000001</v>
      </c>
      <c r="M7397">
        <v>0.99172130000000003</v>
      </c>
      <c r="N7397">
        <v>0</v>
      </c>
      <c r="O7397">
        <v>0.12786149999999999</v>
      </c>
      <c r="P7397">
        <v>0.98782840000000005</v>
      </c>
      <c r="Q7397">
        <v>4.0621440000000002E-2</v>
      </c>
      <c r="R7397">
        <v>0.15015110000000001</v>
      </c>
      <c r="S7397">
        <v>2.9745180000000002</v>
      </c>
      <c r="T7397">
        <v>-9.2725749999999996E-2</v>
      </c>
      <c r="U7397">
        <v>0.43573000000000001</v>
      </c>
      <c r="V7397">
        <v>-2.2660300000000001E-2</v>
      </c>
      <c r="W7397">
        <v>5.2430249999999998E-2</v>
      </c>
      <c r="X7397">
        <v>0.99836740000000002</v>
      </c>
      <c r="Y7397">
        <v>-1.7282860000000001E-2</v>
      </c>
      <c r="Z7397">
        <v>-3.6788010000000002E-3</v>
      </c>
      <c r="AA7397">
        <v>0.99984390000000001</v>
      </c>
      <c r="AB7397">
        <v>21</v>
      </c>
      <c r="AC7397">
        <v>35.525399999999898</v>
      </c>
      <c r="AD7397">
        <v>-1.110634441198</v>
      </c>
      <c r="AE7397">
        <v>5.2053700000000003</v>
      </c>
      <c r="AF7397">
        <v>-0.61939620259398698</v>
      </c>
      <c r="AG7397">
        <v>-1.110634441198</v>
      </c>
      <c r="AH7397">
        <v>35.865063626225897</v>
      </c>
      <c r="AI7397">
        <v>91.773448915432397</v>
      </c>
      <c r="AJ7397">
        <v>90.989410222999993</v>
      </c>
      <c r="AK7397">
        <v>35.887601611573203</v>
      </c>
      <c r="AL7397">
        <v>86.994589766082598</v>
      </c>
      <c r="AM7397">
        <v>91.300239437119203</v>
      </c>
      <c r="AN7397">
        <v>0.99999994284695404</v>
      </c>
    </row>
    <row r="7398" spans="1:40" x14ac:dyDescent="0.25">
      <c r="A7398" t="str">
        <f>"20190312160515510"</f>
        <v>20190312160515510</v>
      </c>
      <c r="B7398" t="str">
        <f>"1552377915502039"</f>
        <v>1552377915502039</v>
      </c>
      <c r="C7398" t="s">
        <v>40</v>
      </c>
      <c r="D7398">
        <v>5.6891790000000002</v>
      </c>
      <c r="E7398">
        <v>0.50371719999999998</v>
      </c>
      <c r="F7398" t="s">
        <v>123</v>
      </c>
      <c r="G7398">
        <v>-224.43770000000001</v>
      </c>
      <c r="H7398" s="1">
        <v>-1.3430629999999999E-6</v>
      </c>
      <c r="I7398">
        <v>-61.828310000000002</v>
      </c>
      <c r="J7398">
        <v>-260.13040000000001</v>
      </c>
      <c r="K7398">
        <v>1.110625</v>
      </c>
      <c r="L7398">
        <v>-66.945189999999997</v>
      </c>
      <c r="M7398">
        <v>0.99167070000000002</v>
      </c>
      <c r="N7398">
        <v>0</v>
      </c>
      <c r="O7398">
        <v>0.1282547</v>
      </c>
      <c r="P7398">
        <v>0.98781699999999995</v>
      </c>
      <c r="Q7398">
        <v>4.070141E-2</v>
      </c>
      <c r="R7398">
        <v>0.15020210000000001</v>
      </c>
      <c r="S7398">
        <v>2.9759220000000002</v>
      </c>
      <c r="T7398">
        <v>-9.2340950000000005E-2</v>
      </c>
      <c r="U7398">
        <v>0.42654419999999998</v>
      </c>
      <c r="V7398">
        <v>-2.231557E-2</v>
      </c>
      <c r="W7398">
        <v>5.2477860000000001E-2</v>
      </c>
      <c r="X7398">
        <v>0.9983727</v>
      </c>
      <c r="Y7398">
        <v>-1.379726E-2</v>
      </c>
      <c r="Z7398">
        <v>-3.7286279999999999E-3</v>
      </c>
      <c r="AA7398">
        <v>0.99989779999999995</v>
      </c>
      <c r="AB7398">
        <v>21</v>
      </c>
      <c r="AC7398">
        <v>35.692700000000002</v>
      </c>
      <c r="AD7398">
        <v>-1.1106263430629999</v>
      </c>
      <c r="AE7398">
        <v>5.1168800000000001</v>
      </c>
      <c r="AF7398">
        <v>-0.49606755482918202</v>
      </c>
      <c r="AG7398">
        <v>-1.1106263430629999</v>
      </c>
      <c r="AH7398">
        <v>36.020018542007399</v>
      </c>
      <c r="AI7398">
        <v>91.765907463651899</v>
      </c>
      <c r="AJ7398">
        <v>90.789027370056701</v>
      </c>
      <c r="AK7398">
        <v>36.040550906713598</v>
      </c>
      <c r="AL7398">
        <v>86.9918582630537</v>
      </c>
      <c r="AM7398">
        <v>91.280458801331406</v>
      </c>
      <c r="AN7398">
        <v>0.99999997927994699</v>
      </c>
    </row>
    <row r="7399" spans="1:40" x14ac:dyDescent="0.25">
      <c r="A7399" t="str">
        <f>"20190312160515521"</f>
        <v>20190312160515521</v>
      </c>
      <c r="B7399" t="str">
        <f>"1552377915512776"</f>
        <v>1552377915512776</v>
      </c>
      <c r="C7399" t="s">
        <v>40</v>
      </c>
      <c r="D7399">
        <v>5.5776399999999997</v>
      </c>
      <c r="E7399">
        <v>0.50452280000000005</v>
      </c>
      <c r="F7399" t="s">
        <v>123</v>
      </c>
      <c r="G7399">
        <v>-224.11779999999999</v>
      </c>
      <c r="H7399" s="1">
        <v>-1.215604E-6</v>
      </c>
      <c r="I7399">
        <v>-61.872459999999997</v>
      </c>
      <c r="J7399">
        <v>-260.02839999999998</v>
      </c>
      <c r="K7399">
        <v>1.1106180000000001</v>
      </c>
      <c r="L7399">
        <v>-66.931550000000001</v>
      </c>
      <c r="M7399">
        <v>0.99162030000000001</v>
      </c>
      <c r="N7399">
        <v>0</v>
      </c>
      <c r="O7399">
        <v>0.12864880000000001</v>
      </c>
      <c r="P7399">
        <v>0.98778060000000001</v>
      </c>
      <c r="Q7399">
        <v>4.0785799999999997E-2</v>
      </c>
      <c r="R7399">
        <v>0.15042039999999901</v>
      </c>
      <c r="S7399">
        <v>2.97702</v>
      </c>
      <c r="T7399">
        <v>-9.1810939999999994E-2</v>
      </c>
      <c r="U7399">
        <v>0.41934199999999999</v>
      </c>
      <c r="V7399">
        <v>-2.21389E-2</v>
      </c>
      <c r="W7399">
        <v>5.253215E-2</v>
      </c>
      <c r="X7399">
        <v>0.99837379999999998</v>
      </c>
      <c r="Y7399">
        <v>-1.097773E-2</v>
      </c>
      <c r="Z7399">
        <v>-3.7618780000000002E-3</v>
      </c>
      <c r="AA7399">
        <v>0.99993259999999995</v>
      </c>
      <c r="AB7399">
        <v>21</v>
      </c>
      <c r="AC7399">
        <v>35.910599999999903</v>
      </c>
      <c r="AD7399">
        <v>-1.110619215604</v>
      </c>
      <c r="AE7399">
        <v>5.0590900000000003</v>
      </c>
      <c r="AF7399">
        <v>-0.396496395130705</v>
      </c>
      <c r="AG7399">
        <v>-1.110619215604</v>
      </c>
      <c r="AH7399">
        <v>36.229061411436398</v>
      </c>
      <c r="AI7399">
        <v>91.755774564892306</v>
      </c>
      <c r="AJ7399">
        <v>90.6270287503513</v>
      </c>
      <c r="AK7399">
        <v>36.248249270648202</v>
      </c>
      <c r="AL7399">
        <v>86.988743444408399</v>
      </c>
      <c r="AM7399">
        <v>91.270323480710303</v>
      </c>
      <c r="AN7399">
        <v>1.0000000011016299</v>
      </c>
    </row>
    <row r="7400" spans="1:40" x14ac:dyDescent="0.25">
      <c r="A7400" t="str">
        <f>"20190312160515533"</f>
        <v>20190312160515533</v>
      </c>
      <c r="B7400" t="str">
        <f>"1552377915522537"</f>
        <v>1552377915522537</v>
      </c>
      <c r="C7400" t="s">
        <v>40</v>
      </c>
      <c r="D7400">
        <v>5.6122040000000002</v>
      </c>
      <c r="E7400">
        <v>0.50533589999999995</v>
      </c>
      <c r="F7400" t="s">
        <v>123</v>
      </c>
      <c r="G7400">
        <v>-224.14060000000001</v>
      </c>
      <c r="H7400" s="1">
        <v>-1.241664E-6</v>
      </c>
      <c r="I7400">
        <v>-61.945569999999996</v>
      </c>
      <c r="J7400">
        <v>-259.93110000000001</v>
      </c>
      <c r="K7400">
        <v>1.110608</v>
      </c>
      <c r="L7400">
        <v>-66.918490000000006</v>
      </c>
      <c r="M7400">
        <v>0.99157249999999997</v>
      </c>
      <c r="N7400">
        <v>0</v>
      </c>
      <c r="O7400">
        <v>0.12901869999999999</v>
      </c>
      <c r="P7400">
        <v>0.98771889999999996</v>
      </c>
      <c r="Q7400">
        <v>4.1009469999999999E-2</v>
      </c>
      <c r="R7400">
        <v>0.1507638</v>
      </c>
      <c r="S7400">
        <v>2.9779049999999998</v>
      </c>
      <c r="T7400">
        <v>-9.2157130000000004E-2</v>
      </c>
      <c r="U7400">
        <v>0.41372680000000001</v>
      </c>
      <c r="V7400">
        <v>-2.2114390000000001E-2</v>
      </c>
      <c r="W7400">
        <v>5.2728339999999999E-2</v>
      </c>
      <c r="X7400">
        <v>0.99836400000000003</v>
      </c>
      <c r="Y7400">
        <v>-8.7160499999999995E-3</v>
      </c>
      <c r="Z7400">
        <v>-3.821643E-3</v>
      </c>
      <c r="AA7400">
        <v>0.99995469999999997</v>
      </c>
      <c r="AB7400">
        <v>21</v>
      </c>
      <c r="AC7400">
        <v>35.790500000000002</v>
      </c>
      <c r="AD7400">
        <v>-1.1106092416640001</v>
      </c>
      <c r="AE7400">
        <v>4.9729200000000002</v>
      </c>
      <c r="AF7400">
        <v>-0.31309281173683501</v>
      </c>
      <c r="AG7400">
        <v>-1.1106092416640001</v>
      </c>
      <c r="AH7400">
        <v>36.098869538142402</v>
      </c>
      <c r="AI7400">
        <v>91.762126251924101</v>
      </c>
      <c r="AJ7400">
        <v>90.496925447907401</v>
      </c>
      <c r="AK7400">
        <v>36.117306958413302</v>
      </c>
      <c r="AL7400">
        <v>86.977486982279999</v>
      </c>
      <c r="AM7400">
        <v>91.268930015991998</v>
      </c>
      <c r="AN7400">
        <v>1.0000000002901099</v>
      </c>
    </row>
    <row r="7401" spans="1:40" x14ac:dyDescent="0.25">
      <c r="A7401" t="str">
        <f>"20190312160515544"</f>
        <v>20190312160515544</v>
      </c>
      <c r="B7401" t="str">
        <f>"1552377915532295"</f>
        <v>1552377915532295</v>
      </c>
      <c r="C7401" t="s">
        <v>40</v>
      </c>
      <c r="D7401">
        <v>5.7212620000000003</v>
      </c>
      <c r="E7401">
        <v>0.50600990000000001</v>
      </c>
      <c r="F7401" t="s">
        <v>123</v>
      </c>
      <c r="G7401">
        <v>-223.65389999999999</v>
      </c>
      <c r="H7401" s="1">
        <v>-1.032453E-6</v>
      </c>
      <c r="I7401">
        <v>-61.94379</v>
      </c>
      <c r="J7401">
        <v>-259.8297</v>
      </c>
      <c r="K7401">
        <v>1.110592</v>
      </c>
      <c r="L7401">
        <v>-66.904849999999996</v>
      </c>
      <c r="M7401">
        <v>0.9915235</v>
      </c>
      <c r="N7401">
        <v>0</v>
      </c>
      <c r="O7401">
        <v>0.12939680000000001</v>
      </c>
      <c r="P7401">
        <v>0.98761540000000003</v>
      </c>
      <c r="Q7401">
        <v>4.1187910000000001E-2</v>
      </c>
      <c r="R7401">
        <v>0.15139179999999999</v>
      </c>
      <c r="S7401">
        <v>2.9787599999999999</v>
      </c>
      <c r="T7401">
        <v>-9.1193319999999994E-2</v>
      </c>
      <c r="U7401">
        <v>0.4084778</v>
      </c>
      <c r="V7401">
        <v>-2.2368900000000001E-2</v>
      </c>
      <c r="W7401">
        <v>5.2879759999999998E-2</v>
      </c>
      <c r="X7401">
        <v>0.99835030000000002</v>
      </c>
      <c r="Y7401">
        <v>-6.566484E-3</v>
      </c>
      <c r="Z7401">
        <v>-3.8253219999999999E-3</v>
      </c>
      <c r="AA7401">
        <v>0.99997119999999995</v>
      </c>
      <c r="AB7401">
        <v>21</v>
      </c>
      <c r="AC7401">
        <v>36.175800000000002</v>
      </c>
      <c r="AD7401">
        <v>-1.110593032453</v>
      </c>
      <c r="AE7401">
        <v>4.96105999999999</v>
      </c>
      <c r="AF7401">
        <v>-0.23777123517378901</v>
      </c>
      <c r="AG7401">
        <v>-1.110593032453</v>
      </c>
      <c r="AH7401">
        <v>36.479866664590297</v>
      </c>
      <c r="AI7401">
        <v>91.743737052594994</v>
      </c>
      <c r="AJ7401">
        <v>90.373441478753307</v>
      </c>
      <c r="AK7401">
        <v>36.497542710575601</v>
      </c>
      <c r="AL7401">
        <v>86.968799070594599</v>
      </c>
      <c r="AM7401">
        <v>91.283546622406803</v>
      </c>
      <c r="AN7401">
        <v>0.99999997910747795</v>
      </c>
    </row>
    <row r="7402" spans="1:40" x14ac:dyDescent="0.25">
      <c r="A7402" t="str">
        <f>"20190312160515555"</f>
        <v>20190312160515555</v>
      </c>
      <c r="B7402" t="str">
        <f>"1552377915542056"</f>
        <v>1552377915542056</v>
      </c>
      <c r="C7402" t="s">
        <v>40</v>
      </c>
      <c r="D7402">
        <v>5.6736659999999999</v>
      </c>
      <c r="E7402">
        <v>0.50662609999999997</v>
      </c>
      <c r="F7402" t="s">
        <v>123</v>
      </c>
      <c r="G7402">
        <v>-223.9452</v>
      </c>
      <c r="H7402" s="1">
        <v>-1.176114E-6</v>
      </c>
      <c r="I7402">
        <v>-62.027740000000001</v>
      </c>
      <c r="J7402">
        <v>-259.72239999999999</v>
      </c>
      <c r="K7402">
        <v>1.110574</v>
      </c>
      <c r="L7402">
        <v>-66.890379999999993</v>
      </c>
      <c r="M7402">
        <v>0.99147379999999996</v>
      </c>
      <c r="N7402">
        <v>0</v>
      </c>
      <c r="O7402">
        <v>0.12978019999999901</v>
      </c>
      <c r="P7402">
        <v>0.98748829999999999</v>
      </c>
      <c r="Q7402">
        <v>4.183307E-2</v>
      </c>
      <c r="R7402">
        <v>0.1520426</v>
      </c>
      <c r="S7402">
        <v>2.9794309999999999</v>
      </c>
      <c r="T7402">
        <v>-9.2210769999999997E-2</v>
      </c>
      <c r="U7402">
        <v>0.40493770000000001</v>
      </c>
      <c r="V7402">
        <v>-2.2642829999999999E-2</v>
      </c>
      <c r="W7402">
        <v>5.3498770000000001E-2</v>
      </c>
      <c r="X7402">
        <v>0.99831119999999995</v>
      </c>
      <c r="Y7402">
        <v>-4.985293E-3</v>
      </c>
      <c r="Z7402">
        <v>-3.903536E-3</v>
      </c>
      <c r="AA7402">
        <v>0.99997999999999998</v>
      </c>
      <c r="AB7402">
        <v>21</v>
      </c>
      <c r="AC7402">
        <v>35.777199999999901</v>
      </c>
      <c r="AD7402">
        <v>-1.1105751761139999</v>
      </c>
      <c r="AE7402">
        <v>4.8626399999999999</v>
      </c>
      <c r="AF7402">
        <v>-0.17785190027684999</v>
      </c>
      <c r="AG7402">
        <v>-1.1105751761139999</v>
      </c>
      <c r="AH7402">
        <v>36.071573546566697</v>
      </c>
      <c r="AI7402">
        <v>91.763449647234495</v>
      </c>
      <c r="AJ7402">
        <v>90.282496151093696</v>
      </c>
      <c r="AK7402">
        <v>36.089103987846599</v>
      </c>
      <c r="AL7402">
        <v>86.933282301559402</v>
      </c>
      <c r="AM7402">
        <v>91.299310474446003</v>
      </c>
      <c r="AN7402">
        <v>1.0000000340936801</v>
      </c>
    </row>
    <row r="7403" spans="1:40" x14ac:dyDescent="0.25">
      <c r="A7403" t="str">
        <f>"20190312160515566"</f>
        <v>20190312160515566</v>
      </c>
      <c r="B7403" t="str">
        <f>"1552377915562551"</f>
        <v>1552377915562551</v>
      </c>
      <c r="C7403" t="s">
        <v>40</v>
      </c>
      <c r="D7403">
        <v>5.7398579999999999</v>
      </c>
      <c r="E7403">
        <v>0.50753199999999998</v>
      </c>
      <c r="F7403" t="s">
        <v>123</v>
      </c>
      <c r="G7403">
        <v>-223.51150000000001</v>
      </c>
      <c r="H7403" s="1">
        <v>-9.856783E-7</v>
      </c>
      <c r="I7403">
        <v>-62.008150000000001</v>
      </c>
      <c r="J7403">
        <v>-259.62099999999998</v>
      </c>
      <c r="K7403">
        <v>1.110557</v>
      </c>
      <c r="L7403">
        <v>-66.876710000000003</v>
      </c>
      <c r="M7403">
        <v>0.99142739999999996</v>
      </c>
      <c r="N7403">
        <v>0</v>
      </c>
      <c r="O7403">
        <v>0.1301361</v>
      </c>
      <c r="P7403">
        <v>0.9873189</v>
      </c>
      <c r="Q7403">
        <v>4.2313389999999999E-2</v>
      </c>
      <c r="R7403">
        <v>0.153007</v>
      </c>
      <c r="S7403">
        <v>2.9800719999999998</v>
      </c>
      <c r="T7403">
        <v>-9.1397519999999996E-2</v>
      </c>
      <c r="U7403">
        <v>0.4017944</v>
      </c>
      <c r="V7403">
        <v>-2.3261569999999999E-2</v>
      </c>
      <c r="W7403">
        <v>5.3954439999999999E-2</v>
      </c>
      <c r="X7403">
        <v>0.99827239999999995</v>
      </c>
      <c r="Y7403">
        <v>-3.5616189999999998E-3</v>
      </c>
      <c r="Z7403">
        <v>-3.901117E-3</v>
      </c>
      <c r="AA7403">
        <v>0.99998609999999999</v>
      </c>
      <c r="AB7403">
        <v>21</v>
      </c>
      <c r="AC7403">
        <v>36.109499999999898</v>
      </c>
      <c r="AD7403">
        <v>-1.1105579856783001</v>
      </c>
      <c r="AE7403">
        <v>4.8685600000000004</v>
      </c>
      <c r="AF7403">
        <v>-0.12756447450195399</v>
      </c>
      <c r="AG7403">
        <v>-1.1105579856783001</v>
      </c>
      <c r="AH7403">
        <v>36.402188794241901</v>
      </c>
      <c r="AI7403">
        <v>91.747426933268997</v>
      </c>
      <c r="AJ7403">
        <v>90.200781225768793</v>
      </c>
      <c r="AK7403">
        <v>36.419348713923199</v>
      </c>
      <c r="AL7403">
        <v>86.907136414763997</v>
      </c>
      <c r="AM7403">
        <v>91.334854735554202</v>
      </c>
      <c r="AN7403">
        <v>0.99999998341816898</v>
      </c>
    </row>
    <row r="7404" spans="1:40" x14ac:dyDescent="0.25">
      <c r="A7404" t="str">
        <f>"20190312160515579"</f>
        <v>20190312160515579</v>
      </c>
      <c r="B7404" t="str">
        <f>"1552377915572311"</f>
        <v>1552377915572311</v>
      </c>
      <c r="C7404" t="s">
        <v>40</v>
      </c>
      <c r="D7404">
        <v>5.7119949999999999</v>
      </c>
      <c r="E7404">
        <v>0.50793189999999999</v>
      </c>
      <c r="F7404" t="s">
        <v>123</v>
      </c>
      <c r="G7404">
        <v>-223.20939999999999</v>
      </c>
      <c r="H7404" s="1">
        <v>-8.5992859999999905E-7</v>
      </c>
      <c r="I7404">
        <v>-62.025449999999999</v>
      </c>
      <c r="J7404">
        <v>-259.51749999999998</v>
      </c>
      <c r="K7404">
        <v>1.1105400000000001</v>
      </c>
      <c r="L7404">
        <v>-66.862700000000004</v>
      </c>
      <c r="M7404">
        <v>0.99138419999999905</v>
      </c>
      <c r="N7404">
        <v>0</v>
      </c>
      <c r="O7404">
        <v>0.13046740000000001</v>
      </c>
      <c r="P7404">
        <v>0.98722180000000004</v>
      </c>
      <c r="Q7404">
        <v>4.2297069999999999E-2</v>
      </c>
      <c r="R7404">
        <v>0.15363669999999999</v>
      </c>
      <c r="S7404">
        <v>2.980896</v>
      </c>
      <c r="T7404">
        <v>-9.0917590000000006E-2</v>
      </c>
      <c r="U7404">
        <v>0.3971558</v>
      </c>
      <c r="V7404">
        <v>-2.3561510000000001E-2</v>
      </c>
      <c r="W7404">
        <v>5.3917300000000001E-2</v>
      </c>
      <c r="X7404">
        <v>0.99826740000000003</v>
      </c>
      <c r="Y7404">
        <v>-1.6626529999999901E-3</v>
      </c>
      <c r="Z7404">
        <v>-3.9188499999999998E-3</v>
      </c>
      <c r="AA7404">
        <v>0.99999090000000002</v>
      </c>
      <c r="AB7404">
        <v>21</v>
      </c>
      <c r="AC7404">
        <v>36.308100000000003</v>
      </c>
      <c r="AD7404">
        <v>-1.1105408599286</v>
      </c>
      <c r="AE7404">
        <v>4.83725</v>
      </c>
      <c r="AF7404">
        <v>-5.85000117588476E-2</v>
      </c>
      <c r="AG7404">
        <v>-1.1105408599286</v>
      </c>
      <c r="AH7404">
        <v>36.595224904238201</v>
      </c>
      <c r="AI7404">
        <v>91.738196760721195</v>
      </c>
      <c r="AJ7404">
        <v>90.091591209752806</v>
      </c>
      <c r="AK7404">
        <v>36.6121183359379</v>
      </c>
      <c r="AL7404">
        <v>86.909267567198</v>
      </c>
      <c r="AM7404">
        <v>91.352067078703897</v>
      </c>
      <c r="AN7404">
        <v>1.00000001094776</v>
      </c>
    </row>
    <row r="7405" spans="1:40" x14ac:dyDescent="0.25">
      <c r="A7405" t="str">
        <f>"20190312160515589"</f>
        <v>20190312160515589</v>
      </c>
      <c r="B7405" t="str">
        <f>"1552377915582071"</f>
        <v>1552377915582071</v>
      </c>
      <c r="C7405" t="s">
        <v>40</v>
      </c>
      <c r="D7405">
        <v>5.7548320000000004</v>
      </c>
      <c r="E7405">
        <v>0.50833209999999995</v>
      </c>
      <c r="F7405" t="s">
        <v>123</v>
      </c>
      <c r="G7405">
        <v>-223.46530000000001</v>
      </c>
      <c r="H7405" s="1">
        <v>-9.812964000000001E-7</v>
      </c>
      <c r="I7405">
        <v>-62.077530000000003</v>
      </c>
      <c r="J7405">
        <v>-259.41579999999999</v>
      </c>
      <c r="K7405">
        <v>1.1105100000000001</v>
      </c>
      <c r="L7405">
        <v>-66.848939999999999</v>
      </c>
      <c r="M7405">
        <v>0.99134250000000002</v>
      </c>
      <c r="N7405">
        <v>0</v>
      </c>
      <c r="O7405">
        <v>0.1307847</v>
      </c>
      <c r="P7405">
        <v>0.98716510000000002</v>
      </c>
      <c r="Q7405">
        <v>4.2159460000000003E-2</v>
      </c>
      <c r="R7405">
        <v>0.15403810000000001</v>
      </c>
      <c r="S7405">
        <v>2.981201</v>
      </c>
      <c r="T7405">
        <v>-9.1831800000000005E-2</v>
      </c>
      <c r="U7405">
        <v>0.39569090000000001</v>
      </c>
      <c r="V7405">
        <v>-2.3644060000000001E-2</v>
      </c>
      <c r="W7405">
        <v>5.3760189999999999E-2</v>
      </c>
      <c r="X7405">
        <v>0.99827390000000005</v>
      </c>
      <c r="Y7405">
        <v>-8.4808780000000003E-4</v>
      </c>
      <c r="Z7405">
        <v>-3.9801089999999999E-3</v>
      </c>
      <c r="AA7405">
        <v>0.99999170000000004</v>
      </c>
      <c r="AB7405">
        <v>21</v>
      </c>
      <c r="AC7405">
        <v>35.950499999999899</v>
      </c>
      <c r="AD7405">
        <v>-1.11051098129639</v>
      </c>
      <c r="AE7405">
        <v>4.7714099999999897</v>
      </c>
      <c r="AF7405">
        <v>-2.8301540944762602E-2</v>
      </c>
      <c r="AG7405">
        <v>-1.11051098129639</v>
      </c>
      <c r="AH7405">
        <v>36.231767803536499</v>
      </c>
      <c r="AI7405">
        <v>91.755577035241899</v>
      </c>
      <c r="AJ7405">
        <v>90.044755158755805</v>
      </c>
      <c r="AK7405">
        <v>36.248793549388502</v>
      </c>
      <c r="AL7405">
        <v>86.918282315603406</v>
      </c>
      <c r="AM7405">
        <v>91.356793575978003</v>
      </c>
      <c r="AN7405">
        <v>0.99999998951166402</v>
      </c>
    </row>
    <row r="7406" spans="1:40" x14ac:dyDescent="0.25">
      <c r="A7406" t="str">
        <f>"20190312160515600"</f>
        <v>20190312160515600</v>
      </c>
      <c r="B7406" t="str">
        <f>"1552377915592807"</f>
        <v>1552377915592807</v>
      </c>
      <c r="C7406" t="s">
        <v>40</v>
      </c>
      <c r="D7406">
        <v>5.7513519999999998</v>
      </c>
      <c r="E7406">
        <v>0.50871339999999998</v>
      </c>
      <c r="F7406" t="s">
        <v>123</v>
      </c>
      <c r="G7406">
        <v>-223.90729999999999</v>
      </c>
      <c r="H7406" s="1">
        <v>-1.189293E-6</v>
      </c>
      <c r="I7406">
        <v>-62.160150000000002</v>
      </c>
      <c r="J7406">
        <v>-259.31369999999998</v>
      </c>
      <c r="K7406">
        <v>1.110476</v>
      </c>
      <c r="L7406">
        <v>-66.83511</v>
      </c>
      <c r="M7406">
        <v>0.99130560000000001</v>
      </c>
      <c r="N7406">
        <v>0</v>
      </c>
      <c r="O7406">
        <v>0.1310665</v>
      </c>
      <c r="P7406">
        <v>0.98718079999999997</v>
      </c>
      <c r="Q7406">
        <v>4.169805E-2</v>
      </c>
      <c r="R7406">
        <v>0.1540628</v>
      </c>
      <c r="S7406">
        <v>2.9815670000000001</v>
      </c>
      <c r="T7406">
        <v>-9.3247179999999999E-2</v>
      </c>
      <c r="U7406">
        <v>0.39370729999999998</v>
      </c>
      <c r="V7406">
        <v>-2.3378090000000001E-2</v>
      </c>
      <c r="W7406">
        <v>5.3282110000000001E-2</v>
      </c>
      <c r="X7406">
        <v>0.99830580000000002</v>
      </c>
      <c r="Y7406">
        <v>1.03569E-4</v>
      </c>
      <c r="Z7406">
        <v>-4.0646429999999997E-3</v>
      </c>
      <c r="AA7406">
        <v>0.99999170000000004</v>
      </c>
      <c r="AB7406">
        <v>21</v>
      </c>
      <c r="AC7406">
        <v>35.406399999999898</v>
      </c>
      <c r="AD7406">
        <v>-1.1104771892929901</v>
      </c>
      <c r="AE7406">
        <v>4.6749599999999898</v>
      </c>
      <c r="AF7406">
        <v>6.2732558372760004E-3</v>
      </c>
      <c r="AG7406">
        <v>-1.1104771892929901</v>
      </c>
      <c r="AH7406">
        <v>35.679204385598602</v>
      </c>
      <c r="AI7406">
        <v>91.782694528344507</v>
      </c>
      <c r="AJ7406">
        <v>89.989926034345004</v>
      </c>
      <c r="AK7406">
        <v>35.696481962946898</v>
      </c>
      <c r="AL7406">
        <v>86.945713613960194</v>
      </c>
      <c r="AM7406">
        <v>91.3414938788858</v>
      </c>
      <c r="AN7406">
        <v>0.99999999432586995</v>
      </c>
    </row>
    <row r="7407" spans="1:40" x14ac:dyDescent="0.25">
      <c r="A7407" t="str">
        <f>"20190312160515611"</f>
        <v>20190312160515611</v>
      </c>
      <c r="B7407" t="str">
        <f>"1552377915602567"</f>
        <v>1552377915602567</v>
      </c>
      <c r="C7407" t="s">
        <v>40</v>
      </c>
      <c r="D7407">
        <v>5.8242799999999999</v>
      </c>
      <c r="E7407">
        <v>0.50907079999999905</v>
      </c>
      <c r="F7407" t="s">
        <v>123</v>
      </c>
      <c r="G7407">
        <v>-224.74639999999999</v>
      </c>
      <c r="H7407" s="1">
        <v>-1.581054E-6</v>
      </c>
      <c r="I7407">
        <v>-62.303089999999997</v>
      </c>
      <c r="J7407">
        <v>-259.21749999999997</v>
      </c>
      <c r="K7407">
        <v>1.110447</v>
      </c>
      <c r="L7407">
        <v>-66.82208</v>
      </c>
      <c r="M7407">
        <v>0.99127270000000001</v>
      </c>
      <c r="N7407">
        <v>0</v>
      </c>
      <c r="O7407">
        <v>0.13131699999999999</v>
      </c>
      <c r="P7407">
        <v>0.98727779999999998</v>
      </c>
      <c r="Q7407">
        <v>4.0640000000000003E-2</v>
      </c>
      <c r="R7407">
        <v>0.15372439999999901</v>
      </c>
      <c r="S7407">
        <v>2.981995</v>
      </c>
      <c r="T7407">
        <v>-9.5796820000000005E-2</v>
      </c>
      <c r="U7407">
        <v>0.39096069999999999</v>
      </c>
      <c r="V7407">
        <v>-2.2772919999999999E-2</v>
      </c>
      <c r="W7407">
        <v>5.2209779999999997E-2</v>
      </c>
      <c r="X7407">
        <v>0.99837640000000005</v>
      </c>
      <c r="Y7407">
        <v>1.276035E-3</v>
      </c>
      <c r="Z7407">
        <v>-4.2021180000000003E-3</v>
      </c>
      <c r="AA7407">
        <v>0.9999903</v>
      </c>
      <c r="AB7407">
        <v>21</v>
      </c>
      <c r="AC7407">
        <v>34.4710999999999</v>
      </c>
      <c r="AD7407">
        <v>-1.1104485810539999</v>
      </c>
      <c r="AE7407">
        <v>4.5189899999999898</v>
      </c>
      <c r="AF7407">
        <v>4.7045186457161402E-2</v>
      </c>
      <c r="AG7407">
        <v>-1.1104485810539999</v>
      </c>
      <c r="AH7407">
        <v>34.730582623578798</v>
      </c>
      <c r="AI7407">
        <v>91.831305050716594</v>
      </c>
      <c r="AJ7407">
        <v>89.9223886045624</v>
      </c>
      <c r="AK7407">
        <v>34.7483622444853</v>
      </c>
      <c r="AL7407">
        <v>87.007239118292105</v>
      </c>
      <c r="AM7407">
        <v>91.306687519806005</v>
      </c>
      <c r="AN7407">
        <v>0.99999995154496601</v>
      </c>
    </row>
    <row r="7408" spans="1:40" x14ac:dyDescent="0.25">
      <c r="A7408" t="str">
        <f>"20190312160515621"</f>
        <v>20190312160515621</v>
      </c>
      <c r="B7408" t="str">
        <f>"1552377915612327"</f>
        <v>1552377915612327</v>
      </c>
      <c r="C7408" t="s">
        <v>40</v>
      </c>
      <c r="D7408">
        <v>5.6156639999999998</v>
      </c>
      <c r="E7408">
        <v>0.50916279999999903</v>
      </c>
      <c r="F7408" t="s">
        <v>123</v>
      </c>
      <c r="G7408">
        <v>-225.7937</v>
      </c>
      <c r="H7408" s="1">
        <v>-2.0699450000000001E-6</v>
      </c>
      <c r="I7408">
        <v>-62.481310000000001</v>
      </c>
      <c r="J7408">
        <v>-259.11700000000002</v>
      </c>
      <c r="K7408">
        <v>1.110412</v>
      </c>
      <c r="L7408">
        <v>-66.808499999999995</v>
      </c>
      <c r="M7408">
        <v>0.99124210000000001</v>
      </c>
      <c r="N7408">
        <v>0</v>
      </c>
      <c r="O7408">
        <v>0.1315491</v>
      </c>
      <c r="P7408">
        <v>0.98735680000000003</v>
      </c>
      <c r="Q7408">
        <v>4.0359260000000001E-2</v>
      </c>
      <c r="R7408">
        <v>0.15329079999999901</v>
      </c>
      <c r="S7408">
        <v>2.9824220000000001</v>
      </c>
      <c r="T7408">
        <v>-9.9085809999999996E-2</v>
      </c>
      <c r="U7408">
        <v>0.38732909999999998</v>
      </c>
      <c r="V7408">
        <v>-2.2093910000000001E-2</v>
      </c>
      <c r="W7408">
        <v>5.1915490000000002E-2</v>
      </c>
      <c r="X7408">
        <v>0.99840709999999999</v>
      </c>
      <c r="Y7408">
        <v>2.7203679999999999E-3</v>
      </c>
      <c r="Z7408">
        <v>-4.3776020000000004E-3</v>
      </c>
      <c r="AA7408">
        <v>0.99998670000000001</v>
      </c>
      <c r="AB7408">
        <v>21</v>
      </c>
      <c r="AC7408">
        <v>33.323300000000003</v>
      </c>
      <c r="AD7408">
        <v>-1.110414069945</v>
      </c>
      <c r="AE7408">
        <v>4.3271899999999901</v>
      </c>
      <c r="AF7408">
        <v>9.4260610749008003E-2</v>
      </c>
      <c r="AG7408">
        <v>-1.110414069945</v>
      </c>
      <c r="AH7408">
        <v>33.566292701271301</v>
      </c>
      <c r="AI7408">
        <v>91.894716115945599</v>
      </c>
      <c r="AJ7408">
        <v>89.839102845770199</v>
      </c>
      <c r="AK7408">
        <v>33.584786885982901</v>
      </c>
      <c r="AL7408">
        <v>87.024123880218895</v>
      </c>
      <c r="AM7408">
        <v>91.267700541868393</v>
      </c>
      <c r="AN7408">
        <v>1.0000000481457101</v>
      </c>
    </row>
    <row r="7409" spans="1:40" x14ac:dyDescent="0.25">
      <c r="A7409" t="str">
        <f>"20190312160515632"</f>
        <v>20190312160515632</v>
      </c>
      <c r="B7409" t="str">
        <f>"1552377915622087"</f>
        <v>1552377915622087</v>
      </c>
      <c r="C7409" t="s">
        <v>40</v>
      </c>
      <c r="D7409">
        <v>5.712116</v>
      </c>
      <c r="E7409">
        <v>0.50916279999999903</v>
      </c>
      <c r="F7409" t="s">
        <v>123</v>
      </c>
      <c r="G7409">
        <v>-226.22470000000001</v>
      </c>
      <c r="H7409" s="1">
        <v>-2.272154E-6</v>
      </c>
      <c r="I7409">
        <v>-62.55903</v>
      </c>
      <c r="J7409">
        <v>-259.017</v>
      </c>
      <c r="K7409">
        <v>1.1103749999999999</v>
      </c>
      <c r="L7409">
        <v>-66.79495</v>
      </c>
      <c r="M7409">
        <v>0.99121490000000001</v>
      </c>
      <c r="N7409">
        <v>0</v>
      </c>
      <c r="O7409">
        <v>0.13175439999999999</v>
      </c>
      <c r="P7409">
        <v>0.98745609999999995</v>
      </c>
      <c r="Q7409">
        <v>4.0394409999999999E-2</v>
      </c>
      <c r="R7409">
        <v>0.15263889999999999</v>
      </c>
      <c r="S7409">
        <v>2.9826969999999999</v>
      </c>
      <c r="T7409">
        <v>-0.1006932</v>
      </c>
      <c r="U7409">
        <v>0.38534550000000001</v>
      </c>
      <c r="V7409">
        <v>-2.1222649999999999E-2</v>
      </c>
      <c r="W7409">
        <v>5.1937400000000002E-2</v>
      </c>
      <c r="X7409">
        <v>0.9984248</v>
      </c>
      <c r="Y7409">
        <v>3.5903039999999999E-3</v>
      </c>
      <c r="Z7409">
        <v>-4.4698530000000002E-3</v>
      </c>
      <c r="AA7409">
        <v>0.99998350000000003</v>
      </c>
      <c r="AB7409">
        <v>21</v>
      </c>
      <c r="AC7409">
        <v>32.792299999999898</v>
      </c>
      <c r="AD7409">
        <v>-1.110377272154</v>
      </c>
      <c r="AE7409">
        <v>4.2359199999999904</v>
      </c>
      <c r="AF7409">
        <v>0.121693703333666</v>
      </c>
      <c r="AG7409">
        <v>-1.110377272154</v>
      </c>
      <c r="AH7409">
        <v>33.0272832345754</v>
      </c>
      <c r="AI7409">
        <v>91.925545792277006</v>
      </c>
      <c r="AJ7409">
        <v>89.788886539935305</v>
      </c>
      <c r="AK7409">
        <v>33.046167476740997</v>
      </c>
      <c r="AL7409">
        <v>87.022866654135001</v>
      </c>
      <c r="AM7409">
        <v>91.217703316762496</v>
      </c>
      <c r="AN7409">
        <v>0.99999998782341104</v>
      </c>
    </row>
    <row r="7410" spans="1:40" x14ac:dyDescent="0.25">
      <c r="A7410" t="str">
        <f>"20190312160515643"</f>
        <v>20190312160515643</v>
      </c>
      <c r="B7410" t="str">
        <f>"1552377915632824"</f>
        <v>1552377915632824</v>
      </c>
      <c r="C7410" t="s">
        <v>40</v>
      </c>
      <c r="D7410">
        <v>5.6490239999999998</v>
      </c>
      <c r="E7410">
        <v>0.48674830000000002</v>
      </c>
      <c r="F7410" t="s">
        <v>123</v>
      </c>
      <c r="G7410">
        <v>-226.08510000000001</v>
      </c>
      <c r="H7410" s="1">
        <v>-2.2131309999999998E-6</v>
      </c>
      <c r="I7410">
        <v>-62.563020000000002</v>
      </c>
      <c r="J7410">
        <v>-258.91649999999998</v>
      </c>
      <c r="K7410">
        <v>1.1103369999999999</v>
      </c>
      <c r="L7410">
        <v>-66.78134</v>
      </c>
      <c r="M7410">
        <v>0.99119100000000004</v>
      </c>
      <c r="N7410">
        <v>0</v>
      </c>
      <c r="O7410">
        <v>0.131936</v>
      </c>
      <c r="P7410">
        <v>0.98753740000000001</v>
      </c>
      <c r="Q7410">
        <v>4.0694300000000003E-2</v>
      </c>
      <c r="R7410">
        <v>0.152033</v>
      </c>
      <c r="S7410">
        <v>2.9830019999999999</v>
      </c>
      <c r="T7410">
        <v>-0.1005788</v>
      </c>
      <c r="U7410">
        <v>0.38333129999999999</v>
      </c>
      <c r="V7410">
        <v>-2.0424419999999999E-2</v>
      </c>
      <c r="W7410">
        <v>5.2225489999999999E-2</v>
      </c>
      <c r="X7410">
        <v>0.99842640000000005</v>
      </c>
      <c r="Y7410">
        <v>4.4502609999999996E-3</v>
      </c>
      <c r="Z7410">
        <v>-4.4850280000000003E-3</v>
      </c>
      <c r="AA7410">
        <v>0.99997999999999998</v>
      </c>
      <c r="AB7410">
        <v>21</v>
      </c>
      <c r="AC7410">
        <v>32.831399999999903</v>
      </c>
      <c r="AD7410">
        <v>-1.1103392131309999</v>
      </c>
      <c r="AE7410">
        <v>4.2183200000000003</v>
      </c>
      <c r="AF7410">
        <v>0.150323660423829</v>
      </c>
      <c r="AG7410">
        <v>-1.1103392131309999</v>
      </c>
      <c r="AH7410">
        <v>33.063739978266099</v>
      </c>
      <c r="AI7410">
        <v>91.923351548342694</v>
      </c>
      <c r="AJ7410">
        <v>89.739507630858398</v>
      </c>
      <c r="AK7410">
        <v>33.082719835610398</v>
      </c>
      <c r="AL7410">
        <v>87.006337819611304</v>
      </c>
      <c r="AM7410">
        <v>91.171913992888705</v>
      </c>
      <c r="AN7410">
        <v>0.99999996747751696</v>
      </c>
    </row>
    <row r="7411" spans="1:40" x14ac:dyDescent="0.25">
      <c r="A7411" t="str">
        <f>"20190312160515655"</f>
        <v>20190312160515655</v>
      </c>
      <c r="B7411" t="str">
        <f>"1552377915652344"</f>
        <v>1552377915652344</v>
      </c>
      <c r="C7411" t="s">
        <v>40</v>
      </c>
      <c r="D7411">
        <v>5.7064269999999997</v>
      </c>
      <c r="E7411">
        <v>0.48048540000000001</v>
      </c>
      <c r="F7411" t="s">
        <v>123</v>
      </c>
      <c r="G7411">
        <v>-225.7302</v>
      </c>
      <c r="H7411" s="1">
        <v>-1.605571E-6</v>
      </c>
      <c r="I7411">
        <v>-60.515309999999999</v>
      </c>
      <c r="J7411">
        <v>-258.81209999999999</v>
      </c>
      <c r="K7411">
        <v>1.1102959999999999</v>
      </c>
      <c r="L7411">
        <v>-66.767240000000001</v>
      </c>
      <c r="M7411">
        <v>0.99117149999999998</v>
      </c>
      <c r="N7411">
        <v>0</v>
      </c>
      <c r="O7411">
        <v>0.13208349999999999</v>
      </c>
      <c r="P7411">
        <v>0.98761080000000001</v>
      </c>
      <c r="Q7411">
        <v>4.0845350000000002E-2</v>
      </c>
      <c r="R7411">
        <v>0.15151510000000001</v>
      </c>
      <c r="S7411">
        <v>2.9560089999999999</v>
      </c>
      <c r="T7411">
        <v>-9.8901509999999998E-2</v>
      </c>
      <c r="U7411">
        <v>0.55813599999999997</v>
      </c>
      <c r="V7411">
        <v>-1.9747279999999999E-2</v>
      </c>
      <c r="W7411">
        <v>5.2365490000000001E-2</v>
      </c>
      <c r="X7411">
        <v>0.99843269999999995</v>
      </c>
      <c r="Y7411">
        <v>-5.4152730000000003E-2</v>
      </c>
      <c r="Z7411">
        <v>-3.4587960000000001E-3</v>
      </c>
      <c r="AA7411">
        <v>0.99852669999999999</v>
      </c>
      <c r="AB7411">
        <v>21</v>
      </c>
      <c r="AC7411">
        <v>33.081899999999898</v>
      </c>
      <c r="AD7411">
        <v>-1.1102976055710001</v>
      </c>
      <c r="AE7411">
        <v>6.2519299999999998</v>
      </c>
      <c r="AF7411">
        <v>-1.8252980798321401</v>
      </c>
      <c r="AG7411">
        <v>-1.1102976055710001</v>
      </c>
      <c r="AH7411">
        <v>33.581326924798198</v>
      </c>
      <c r="AI7411">
        <v>91.890888300863907</v>
      </c>
      <c r="AJ7411">
        <v>93.111225053754296</v>
      </c>
      <c r="AK7411">
        <v>33.649219781197701</v>
      </c>
      <c r="AL7411">
        <v>86.998305450787299</v>
      </c>
      <c r="AM7411">
        <v>91.133064155131905</v>
      </c>
      <c r="AN7411">
        <v>0.999999978019814</v>
      </c>
    </row>
    <row r="7412" spans="1:40" x14ac:dyDescent="0.25">
      <c r="A7412" t="str">
        <f>"20190312160515666"</f>
        <v>20190312160515666</v>
      </c>
      <c r="B7412" t="str">
        <f>"1552377915662103"</f>
        <v>1552377915662103</v>
      </c>
      <c r="C7412" t="s">
        <v>40</v>
      </c>
      <c r="D7412">
        <v>5.6871390000000002</v>
      </c>
      <c r="E7412">
        <v>0.47922480000000001</v>
      </c>
      <c r="F7412" t="s">
        <v>126</v>
      </c>
      <c r="G7412">
        <v>-237.0076</v>
      </c>
      <c r="H7412" s="1">
        <v>-2.5018439999999999E-6</v>
      </c>
      <c r="I7412">
        <v>-62.294589999999999</v>
      </c>
      <c r="J7412">
        <v>-258.70859999999999</v>
      </c>
      <c r="K7412">
        <v>1.1102529999999999</v>
      </c>
      <c r="L7412">
        <v>-66.753270000000001</v>
      </c>
      <c r="M7412">
        <v>0.99115439999999999</v>
      </c>
      <c r="N7412">
        <v>0</v>
      </c>
      <c r="O7412">
        <v>0.13221289999999999</v>
      </c>
      <c r="P7412">
        <v>0.98767329999999998</v>
      </c>
      <c r="Q7412">
        <v>4.1052560000000002E-2</v>
      </c>
      <c r="R7412">
        <v>0.15105109999999999</v>
      </c>
      <c r="S7412">
        <v>2.9509889999999999</v>
      </c>
      <c r="T7412">
        <v>-0.15026639999999999</v>
      </c>
      <c r="U7412">
        <v>0.60531619999999997</v>
      </c>
      <c r="V7412">
        <v>-1.914387E-2</v>
      </c>
      <c r="W7412">
        <v>5.2561669999999998E-2</v>
      </c>
      <c r="X7412">
        <v>0.99843419999999905</v>
      </c>
      <c r="Y7412">
        <v>-6.9726850000000007E-2</v>
      </c>
      <c r="Z7412">
        <v>-4.8665210000000004E-3</v>
      </c>
      <c r="AA7412">
        <v>0.99755419999999995</v>
      </c>
      <c r="AB7412">
        <v>21</v>
      </c>
      <c r="AC7412">
        <v>21.701000000000001</v>
      </c>
      <c r="AD7412">
        <v>-1.1102555018439999</v>
      </c>
      <c r="AE7412">
        <v>4.4586800000000002</v>
      </c>
      <c r="AF7412">
        <v>-1.5463074999869799</v>
      </c>
      <c r="AG7412">
        <v>-1.1102555018439999</v>
      </c>
      <c r="AH7412">
        <v>22.044638426414</v>
      </c>
      <c r="AI7412">
        <v>92.876151692673901</v>
      </c>
      <c r="AJ7412">
        <v>94.012404899129393</v>
      </c>
      <c r="AK7412">
        <v>22.126676603485201</v>
      </c>
      <c r="AL7412">
        <v>86.987049833243304</v>
      </c>
      <c r="AM7412">
        <v>91.098448518656198</v>
      </c>
      <c r="AN7412">
        <v>1.0000000343207001</v>
      </c>
    </row>
    <row r="7413" spans="1:40" x14ac:dyDescent="0.25">
      <c r="A7413" t="str">
        <f>"20190312160515678"</f>
        <v>20190312160515678</v>
      </c>
      <c r="B7413" t="str">
        <f>"1552377915672839"</f>
        <v>1552377915672839</v>
      </c>
      <c r="C7413" t="s">
        <v>40</v>
      </c>
      <c r="D7413">
        <v>5.6849350000000003</v>
      </c>
      <c r="E7413">
        <v>0.47852549999999999</v>
      </c>
      <c r="F7413" t="s">
        <v>126</v>
      </c>
      <c r="G7413">
        <v>-238.31450000000001</v>
      </c>
      <c r="H7413" s="1">
        <v>-3.0810970000000002E-6</v>
      </c>
      <c r="I7413">
        <v>-62.512160000000002</v>
      </c>
      <c r="J7413">
        <v>-258.601</v>
      </c>
      <c r="K7413">
        <v>1.1102080000000001</v>
      </c>
      <c r="L7413">
        <v>-66.738770000000002</v>
      </c>
      <c r="M7413">
        <v>0.99114449999999998</v>
      </c>
      <c r="N7413">
        <v>0</v>
      </c>
      <c r="O7413">
        <v>0.1322875</v>
      </c>
      <c r="P7413">
        <v>0.98777709999999996</v>
      </c>
      <c r="Q7413">
        <v>4.1125120000000001E-2</v>
      </c>
      <c r="R7413">
        <v>0.1503506</v>
      </c>
      <c r="S7413">
        <v>2.9502869999999999</v>
      </c>
      <c r="T7413">
        <v>-0.1606138</v>
      </c>
      <c r="U7413">
        <v>0.6135254</v>
      </c>
      <c r="V7413">
        <v>-1.8355400000000001E-2</v>
      </c>
      <c r="W7413">
        <v>5.2624530000000003E-2</v>
      </c>
      <c r="X7413">
        <v>0.99844569999999999</v>
      </c>
      <c r="Y7413">
        <v>-7.2367619999999994E-2</v>
      </c>
      <c r="Z7413">
        <v>-5.1335039999999997E-3</v>
      </c>
      <c r="AA7413">
        <v>0.99736480000000005</v>
      </c>
      <c r="AB7413">
        <v>21</v>
      </c>
      <c r="AC7413">
        <v>20.286499999999901</v>
      </c>
      <c r="AD7413">
        <v>-1.1102110810969901</v>
      </c>
      <c r="AE7413">
        <v>4.22661</v>
      </c>
      <c r="AF7413">
        <v>-1.5013213157493199</v>
      </c>
      <c r="AG7413">
        <v>-1.1102110810969901</v>
      </c>
      <c r="AH7413">
        <v>20.608197028977301</v>
      </c>
      <c r="AI7413">
        <v>93.075540077240404</v>
      </c>
      <c r="AJ7413">
        <v>94.166676155718093</v>
      </c>
      <c r="AK7413">
        <v>20.692615086616399</v>
      </c>
      <c r="AL7413">
        <v>86.983443242916195</v>
      </c>
      <c r="AM7413">
        <v>91.053205492867406</v>
      </c>
      <c r="AN7413">
        <v>1.00000003885768</v>
      </c>
    </row>
    <row r="7414" spans="1:40" x14ac:dyDescent="0.25">
      <c r="A7414" t="str">
        <f>"20190312160515689"</f>
        <v>20190312160515689</v>
      </c>
      <c r="B7414" t="str">
        <f>"1552377915682599"</f>
        <v>1552377915682599</v>
      </c>
      <c r="C7414" t="s">
        <v>40</v>
      </c>
      <c r="D7414">
        <v>5.6877319999999996</v>
      </c>
      <c r="E7414">
        <v>0.47806670000000001</v>
      </c>
      <c r="F7414" t="s">
        <v>126</v>
      </c>
      <c r="G7414">
        <v>-239.53659999999999</v>
      </c>
      <c r="H7414" s="1">
        <v>-3.5397920000000002E-6</v>
      </c>
      <c r="I7414">
        <v>-62.753469999999901</v>
      </c>
      <c r="J7414">
        <v>-258.5016</v>
      </c>
      <c r="K7414">
        <v>1.110168</v>
      </c>
      <c r="L7414">
        <v>-66.725399999999993</v>
      </c>
      <c r="M7414">
        <v>0.99113709999999999</v>
      </c>
      <c r="N7414">
        <v>0</v>
      </c>
      <c r="O7414">
        <v>0.13234389999999999</v>
      </c>
      <c r="P7414">
        <v>0.987869</v>
      </c>
      <c r="Q7414">
        <v>4.1024720000000001E-2</v>
      </c>
      <c r="R7414">
        <v>0.1497723</v>
      </c>
      <c r="S7414">
        <v>2.9504239999999999</v>
      </c>
      <c r="T7414">
        <v>-0.17181749999999901</v>
      </c>
      <c r="U7414">
        <v>0.61676030000000004</v>
      </c>
      <c r="V7414">
        <v>-1.770801E-2</v>
      </c>
      <c r="W7414">
        <v>5.2514529999999997E-2</v>
      </c>
      <c r="X7414">
        <v>0.9984632</v>
      </c>
      <c r="Y7414">
        <v>-7.3360060000000005E-2</v>
      </c>
      <c r="Z7414">
        <v>-5.4646800000000004E-3</v>
      </c>
      <c r="AA7414">
        <v>0.99729060000000003</v>
      </c>
      <c r="AB7414">
        <v>21</v>
      </c>
      <c r="AC7414">
        <v>18.965</v>
      </c>
      <c r="AD7414">
        <v>-1.110171539792</v>
      </c>
      <c r="AE7414">
        <v>3.97193</v>
      </c>
      <c r="AF7414">
        <v>-1.4222507207794499</v>
      </c>
      <c r="AG7414">
        <v>-1.110171539792</v>
      </c>
      <c r="AH7414">
        <v>19.260627684424101</v>
      </c>
      <c r="AI7414">
        <v>93.289908375702595</v>
      </c>
      <c r="AJ7414">
        <v>94.2231923152071</v>
      </c>
      <c r="AK7414">
        <v>19.3449491278351</v>
      </c>
      <c r="AL7414">
        <v>86.989754555710903</v>
      </c>
      <c r="AM7414">
        <v>91.016049344576004</v>
      </c>
      <c r="AN7414">
        <v>1.0000000556167501</v>
      </c>
    </row>
    <row r="7415" spans="1:40" x14ac:dyDescent="0.25">
      <c r="A7415" t="str">
        <f>"20190312160515700"</f>
        <v>20190312160515700</v>
      </c>
      <c r="B7415" t="str">
        <f>"1552377915692359"</f>
        <v>1552377915692359</v>
      </c>
      <c r="C7415" t="s">
        <v>40</v>
      </c>
      <c r="D7415">
        <v>5.6909910000000004</v>
      </c>
      <c r="E7415">
        <v>0.4776879</v>
      </c>
      <c r="F7415" t="s">
        <v>124</v>
      </c>
      <c r="G7415">
        <v>-240.08850000000001</v>
      </c>
      <c r="H7415" s="1">
        <v>3.1459099999999999E-7</v>
      </c>
      <c r="I7415">
        <v>-62.865250000000003</v>
      </c>
      <c r="J7415">
        <v>-258.40010000000001</v>
      </c>
      <c r="K7415">
        <v>1.110131</v>
      </c>
      <c r="L7415">
        <v>-66.711789999999993</v>
      </c>
      <c r="M7415">
        <v>0.99113519999999999</v>
      </c>
      <c r="N7415">
        <v>0</v>
      </c>
      <c r="O7415">
        <v>0.13235939999999999</v>
      </c>
      <c r="P7415">
        <v>0.98801309999999998</v>
      </c>
      <c r="Q7415">
        <v>4.0735529999999999E-2</v>
      </c>
      <c r="R7415">
        <v>0.14889849999999999</v>
      </c>
      <c r="S7415">
        <v>2.9504549999999998</v>
      </c>
      <c r="T7415">
        <v>-0.1778901</v>
      </c>
      <c r="U7415">
        <v>0.61853029999999998</v>
      </c>
      <c r="V7415">
        <v>-1.6802230000000001E-2</v>
      </c>
      <c r="W7415">
        <v>5.221787E-2</v>
      </c>
      <c r="X7415">
        <v>0.99849429999999995</v>
      </c>
      <c r="Y7415">
        <v>-7.3921349999999997E-2</v>
      </c>
      <c r="Z7415">
        <v>-5.6411969999999997E-3</v>
      </c>
      <c r="AA7415">
        <v>0.99724809999999997</v>
      </c>
      <c r="AB7415">
        <v>21</v>
      </c>
      <c r="AC7415">
        <v>18.311599999999999</v>
      </c>
      <c r="AD7415">
        <v>-1.1101306854090001</v>
      </c>
      <c r="AE7415">
        <v>3.8465400000000001</v>
      </c>
      <c r="AF7415">
        <v>-1.38394896737926</v>
      </c>
      <c r="AG7415">
        <v>-1.1101306854090001</v>
      </c>
      <c r="AH7415">
        <v>18.594177119413601</v>
      </c>
      <c r="AI7415">
        <v>93.407279698264205</v>
      </c>
      <c r="AJ7415">
        <v>94.256628120474701</v>
      </c>
      <c r="AK7415">
        <v>18.678627562835601</v>
      </c>
      <c r="AL7415">
        <v>87.006774939685897</v>
      </c>
      <c r="AM7415">
        <v>90.964057594362401</v>
      </c>
      <c r="AN7415">
        <v>0.99999994400639802</v>
      </c>
    </row>
    <row r="7416" spans="1:40" x14ac:dyDescent="0.25">
      <c r="A7416" t="str">
        <f>"20190312160515710"</f>
        <v>20190312160515710</v>
      </c>
      <c r="B7416" t="str">
        <f>"1552377915702119"</f>
        <v>1552377915702119</v>
      </c>
      <c r="C7416" t="s">
        <v>40</v>
      </c>
      <c r="D7416">
        <v>5.6557620000000002</v>
      </c>
      <c r="E7416">
        <v>0.47731410000000002</v>
      </c>
      <c r="F7416" t="s">
        <v>124</v>
      </c>
      <c r="G7416">
        <v>-240.61879999999999</v>
      </c>
      <c r="H7416" s="1">
        <v>5.5929720000000002E-8</v>
      </c>
      <c r="I7416">
        <v>-62.982370000000003</v>
      </c>
      <c r="J7416">
        <v>-258.30270000000002</v>
      </c>
      <c r="K7416">
        <v>1.1100969999999999</v>
      </c>
      <c r="L7416">
        <v>-66.698729999999998</v>
      </c>
      <c r="M7416">
        <v>0.99113519999999999</v>
      </c>
      <c r="N7416">
        <v>0</v>
      </c>
      <c r="O7416">
        <v>0.1323607</v>
      </c>
      <c r="P7416">
        <v>0.98813969999999995</v>
      </c>
      <c r="Q7416">
        <v>4.0724660000000003E-2</v>
      </c>
      <c r="R7416">
        <v>0.14805960000000001</v>
      </c>
      <c r="S7416">
        <v>2.9506990000000002</v>
      </c>
      <c r="T7416">
        <v>-0.18421969999999999</v>
      </c>
      <c r="U7416">
        <v>0.61886600000000003</v>
      </c>
      <c r="V7416">
        <v>-1.5948560000000001E-2</v>
      </c>
      <c r="W7416">
        <v>5.2199299999999997E-2</v>
      </c>
      <c r="X7416">
        <v>0.99850930000000004</v>
      </c>
      <c r="Y7416">
        <v>-7.4019160000000001E-2</v>
      </c>
      <c r="Z7416">
        <v>-5.8380609999999899E-3</v>
      </c>
      <c r="AA7416">
        <v>0.99723969999999995</v>
      </c>
      <c r="AB7416">
        <v>21</v>
      </c>
      <c r="AC7416">
        <v>17.683900000000001</v>
      </c>
      <c r="AD7416">
        <v>-1.1100969440702799</v>
      </c>
      <c r="AE7416">
        <v>3.7163599999999999</v>
      </c>
      <c r="AF7416">
        <v>-1.3378014319355001</v>
      </c>
      <c r="AG7416">
        <v>-1.1100969440702799</v>
      </c>
      <c r="AH7416">
        <v>17.952470302497201</v>
      </c>
      <c r="AI7416">
        <v>93.5286392238595</v>
      </c>
      <c r="AJ7416">
        <v>94.261751349618606</v>
      </c>
      <c r="AK7416">
        <v>18.036441385665999</v>
      </c>
      <c r="AL7416">
        <v>87.007840461753304</v>
      </c>
      <c r="AM7416">
        <v>90.915071579149597</v>
      </c>
      <c r="AN7416">
        <v>0.99999997283652597</v>
      </c>
    </row>
    <row r="7417" spans="1:40" x14ac:dyDescent="0.25">
      <c r="A7417" t="str">
        <f>"20190312160515721"</f>
        <v>20190312160515721</v>
      </c>
      <c r="B7417" t="str">
        <f>"1552377915712855"</f>
        <v>1552377915712855</v>
      </c>
      <c r="C7417" t="s">
        <v>40</v>
      </c>
      <c r="D7417">
        <v>5.6904170000000001</v>
      </c>
      <c r="E7417">
        <v>0.47686230000000002</v>
      </c>
      <c r="F7417" t="s">
        <v>124</v>
      </c>
      <c r="G7417">
        <v>-241.0282</v>
      </c>
      <c r="H7417" s="1">
        <v>-1.439465E-7</v>
      </c>
      <c r="I7417">
        <v>-63.073469999999901</v>
      </c>
      <c r="J7417">
        <v>-258.19929999999999</v>
      </c>
      <c r="K7417">
        <v>1.1100680000000001</v>
      </c>
      <c r="L7417">
        <v>-66.684910000000002</v>
      </c>
      <c r="M7417">
        <v>0.99113859999999998</v>
      </c>
      <c r="N7417">
        <v>0</v>
      </c>
      <c r="O7417">
        <v>0.13233539999999999</v>
      </c>
      <c r="P7417">
        <v>0.98824190000000001</v>
      </c>
      <c r="Q7417">
        <v>4.0672689999999997E-2</v>
      </c>
      <c r="R7417">
        <v>0.14738960000000001</v>
      </c>
      <c r="S7417">
        <v>2.9510040000000002</v>
      </c>
      <c r="T7417">
        <v>-0.1896381</v>
      </c>
      <c r="U7417">
        <v>0.61929319999999999</v>
      </c>
      <c r="V7417">
        <v>-1.5292979999999999E-2</v>
      </c>
      <c r="W7417">
        <v>5.2139779999999997E-2</v>
      </c>
      <c r="X7417">
        <v>0.99852269999999999</v>
      </c>
      <c r="Y7417">
        <v>-7.4168299999999895E-2</v>
      </c>
      <c r="Z7417">
        <v>-6.0024020000000004E-3</v>
      </c>
      <c r="AA7417">
        <v>0.99722770000000005</v>
      </c>
      <c r="AB7417">
        <v>21</v>
      </c>
      <c r="AC7417">
        <v>17.1710999999999</v>
      </c>
      <c r="AD7417">
        <v>-1.1100681439464899</v>
      </c>
      <c r="AE7417">
        <v>3.61144</v>
      </c>
      <c r="AF7417">
        <v>-1.3019684144477599</v>
      </c>
      <c r="AG7417">
        <v>-1.1100681439464899</v>
      </c>
      <c r="AH7417">
        <v>17.428260571788901</v>
      </c>
      <c r="AI7417">
        <v>93.634349900466006</v>
      </c>
      <c r="AJ7417">
        <v>94.272313236583997</v>
      </c>
      <c r="AK7417">
        <v>17.5120427019407</v>
      </c>
      <c r="AL7417">
        <v>87.011255459566698</v>
      </c>
      <c r="AM7417">
        <v>90.877450966887807</v>
      </c>
      <c r="AN7417">
        <v>1.0000000071555</v>
      </c>
    </row>
    <row r="7418" spans="1:40" x14ac:dyDescent="0.25">
      <c r="A7418" t="str">
        <f>"20190312160515733"</f>
        <v>20190312160515733</v>
      </c>
      <c r="B7418" t="str">
        <f>"1552377915722616"</f>
        <v>1552377915722616</v>
      </c>
      <c r="C7418" t="s">
        <v>40</v>
      </c>
      <c r="D7418">
        <v>5.664034</v>
      </c>
      <c r="E7418">
        <v>0.47669660000000003</v>
      </c>
      <c r="F7418" t="s">
        <v>124</v>
      </c>
      <c r="G7418">
        <v>-241.2347</v>
      </c>
      <c r="H7418" s="1">
        <v>-2.4384689999999998E-7</v>
      </c>
      <c r="I7418">
        <v>-63.115940000000002</v>
      </c>
      <c r="J7418">
        <v>-258.09699999999998</v>
      </c>
      <c r="K7418">
        <v>1.1100410000000001</v>
      </c>
      <c r="L7418">
        <v>-66.671300000000002</v>
      </c>
      <c r="M7418">
        <v>0.99114480000000005</v>
      </c>
      <c r="N7418">
        <v>0</v>
      </c>
      <c r="O7418">
        <v>0.1322895</v>
      </c>
      <c r="P7418">
        <v>0.98833700000000002</v>
      </c>
      <c r="Q7418">
        <v>4.1151189999999997E-2</v>
      </c>
      <c r="R7418">
        <v>0.14661769999999999</v>
      </c>
      <c r="S7418">
        <v>2.9510190000000001</v>
      </c>
      <c r="T7418">
        <v>-0.19309889999999999</v>
      </c>
      <c r="U7418">
        <v>0.62081909999999996</v>
      </c>
      <c r="V7418">
        <v>-1.455794E-2</v>
      </c>
      <c r="W7418">
        <v>5.2611190000000002E-2</v>
      </c>
      <c r="X7418">
        <v>0.99850890000000003</v>
      </c>
      <c r="Y7418">
        <v>-7.4710150000000003E-2</v>
      </c>
      <c r="Z7418">
        <v>-6.0908530000000002E-3</v>
      </c>
      <c r="AA7418">
        <v>0.99718669999999998</v>
      </c>
      <c r="AB7418">
        <v>21</v>
      </c>
      <c r="AC7418">
        <v>16.862299999999902</v>
      </c>
      <c r="AD7418">
        <v>-1.1100412438468901</v>
      </c>
      <c r="AE7418">
        <v>3.5553599999999999</v>
      </c>
      <c r="AF7418">
        <v>-1.28791267395498</v>
      </c>
      <c r="AG7418">
        <v>-1.1100412438468901</v>
      </c>
      <c r="AH7418">
        <v>17.113441994513401</v>
      </c>
      <c r="AI7418">
        <v>93.700781596469795</v>
      </c>
      <c r="AJ7418">
        <v>94.303816904164705</v>
      </c>
      <c r="AK7418">
        <v>17.197697738893702</v>
      </c>
      <c r="AL7418">
        <v>86.984208352045599</v>
      </c>
      <c r="AM7418">
        <v>90.835294934886207</v>
      </c>
      <c r="AN7418">
        <v>0.99999994715473295</v>
      </c>
    </row>
    <row r="7419" spans="1:40" x14ac:dyDescent="0.25">
      <c r="A7419" t="str">
        <f>"20190312160515745"</f>
        <v>20190312160515745</v>
      </c>
      <c r="B7419" t="str">
        <f>"1552377915732377"</f>
        <v>1552377915732377</v>
      </c>
      <c r="C7419" t="s">
        <v>40</v>
      </c>
      <c r="D7419">
        <v>5.6912940000000001</v>
      </c>
      <c r="E7419">
        <v>0.47655340000000002</v>
      </c>
      <c r="F7419" t="s">
        <v>124</v>
      </c>
      <c r="G7419">
        <v>-241.16839999999999</v>
      </c>
      <c r="H7419" s="1">
        <v>-2.1526799999999999E-7</v>
      </c>
      <c r="I7419">
        <v>-63.11553</v>
      </c>
      <c r="J7419">
        <v>-257.99180000000001</v>
      </c>
      <c r="K7419">
        <v>1.1100080000000001</v>
      </c>
      <c r="L7419">
        <v>-66.657259999999994</v>
      </c>
      <c r="M7419">
        <v>0.99115350000000002</v>
      </c>
      <c r="N7419">
        <v>0</v>
      </c>
      <c r="O7419">
        <v>0.13222529999999999</v>
      </c>
      <c r="P7419">
        <v>0.98840689999999998</v>
      </c>
      <c r="Q7419">
        <v>4.1183020000000001E-2</v>
      </c>
      <c r="R7419">
        <v>0.146137299999999</v>
      </c>
      <c r="S7419">
        <v>2.951492</v>
      </c>
      <c r="T7419">
        <v>-0.1935344</v>
      </c>
      <c r="U7419">
        <v>0.61993409999999904</v>
      </c>
      <c r="V7419">
        <v>-1.413417E-2</v>
      </c>
      <c r="W7419">
        <v>5.2635950000000001E-2</v>
      </c>
      <c r="X7419">
        <v>0.99851380000000001</v>
      </c>
      <c r="Y7419">
        <v>-7.4457110000000007E-2</v>
      </c>
      <c r="Z7419">
        <v>-6.1079300000000001E-3</v>
      </c>
      <c r="AA7419">
        <v>0.99720549999999997</v>
      </c>
      <c r="AB7419">
        <v>21</v>
      </c>
      <c r="AC7419">
        <v>16.823399999999999</v>
      </c>
      <c r="AD7419">
        <v>-1.110008215268</v>
      </c>
      <c r="AE7419">
        <v>3.5417299999999798</v>
      </c>
      <c r="AF7419">
        <v>-1.2806647544082801</v>
      </c>
      <c r="AG7419">
        <v>-1.110008215268</v>
      </c>
      <c r="AH7419">
        <v>17.072832914296502</v>
      </c>
      <c r="AI7419">
        <v>93.709517436577599</v>
      </c>
      <c r="AJ7419">
        <v>94.289828394565205</v>
      </c>
      <c r="AK7419">
        <v>17.1567434022495</v>
      </c>
      <c r="AL7419">
        <v>86.982788091135902</v>
      </c>
      <c r="AM7419">
        <v>90.810979483726797</v>
      </c>
      <c r="AN7419">
        <v>1.0000000633922099</v>
      </c>
    </row>
    <row r="7420" spans="1:40" x14ac:dyDescent="0.25">
      <c r="A7420" t="str">
        <f>"20190312160515769"</f>
        <v>20190312160515769</v>
      </c>
      <c r="B7420" t="str">
        <f>"1552377915762631"</f>
        <v>1552377915762631</v>
      </c>
      <c r="C7420" t="s">
        <v>40</v>
      </c>
      <c r="D7420">
        <v>5.6508370000000001</v>
      </c>
      <c r="E7420">
        <v>0.47600330000000002</v>
      </c>
      <c r="F7420" t="s">
        <v>124</v>
      </c>
      <c r="G7420">
        <v>-241.2166</v>
      </c>
      <c r="H7420" s="1">
        <v>-2.4139670000000002E-7</v>
      </c>
      <c r="I7420">
        <v>-63.135910000000003</v>
      </c>
      <c r="J7420">
        <v>-257.76900000000001</v>
      </c>
      <c r="K7420">
        <v>1.1099589999999999</v>
      </c>
      <c r="L7420">
        <v>-66.627719999999997</v>
      </c>
      <c r="M7420">
        <v>0.99118209999999995</v>
      </c>
      <c r="N7420">
        <v>0</v>
      </c>
      <c r="O7420">
        <v>0.13201079999999901</v>
      </c>
      <c r="P7420">
        <v>0.98849290000000001</v>
      </c>
      <c r="Q7420">
        <v>4.2101029999999998E-2</v>
      </c>
      <c r="R7420">
        <v>0.1452899</v>
      </c>
      <c r="S7420">
        <v>2.951721</v>
      </c>
      <c r="T7420">
        <v>-0.1953146</v>
      </c>
      <c r="U7420">
        <v>0.61959839999999999</v>
      </c>
      <c r="V7420">
        <v>-1.349217E-2</v>
      </c>
      <c r="W7420">
        <v>5.3540200000000003E-2</v>
      </c>
      <c r="X7420">
        <v>0.99847450000000004</v>
      </c>
      <c r="Y7420">
        <v>-7.4550229999999995E-2</v>
      </c>
      <c r="Z7420">
        <v>-6.1467359999999999E-3</v>
      </c>
      <c r="AA7420">
        <v>0.99719829999999998</v>
      </c>
      <c r="AB7420">
        <v>21</v>
      </c>
      <c r="AC7420">
        <v>16.552399999999999</v>
      </c>
      <c r="AD7420">
        <v>-1.1099592413967001</v>
      </c>
      <c r="AE7420">
        <v>3.4918100000000001</v>
      </c>
      <c r="AF7420">
        <v>-1.2705379194012001</v>
      </c>
      <c r="AG7420">
        <v>-1.1099592413967001</v>
      </c>
      <c r="AH7420">
        <v>16.7961965369539</v>
      </c>
      <c r="AI7420">
        <v>93.770095059724198</v>
      </c>
      <c r="AJ7420">
        <v>94.325865455143401</v>
      </c>
      <c r="AK7420">
        <v>16.880713676565399</v>
      </c>
      <c r="AL7420">
        <v>86.930904901111901</v>
      </c>
      <c r="AM7420">
        <v>90.774178360284793</v>
      </c>
      <c r="AN7420">
        <v>0.99999995940879804</v>
      </c>
    </row>
    <row r="7421" spans="1:40" x14ac:dyDescent="0.25">
      <c r="A7421" t="str">
        <f>"20190312160515779"</f>
        <v>20190312160515779</v>
      </c>
      <c r="B7421" t="str">
        <f>"1552377915772391"</f>
        <v>1552377915772391</v>
      </c>
      <c r="C7421" t="s">
        <v>40</v>
      </c>
      <c r="D7421">
        <v>5.7057890000000002</v>
      </c>
      <c r="E7421">
        <v>0.47580040000000001</v>
      </c>
      <c r="F7421" t="s">
        <v>124</v>
      </c>
      <c r="G7421">
        <v>-240.86680000000001</v>
      </c>
      <c r="H7421" s="1">
        <v>-7.3791509999999999E-8</v>
      </c>
      <c r="I7421">
        <v>-63.07009</v>
      </c>
      <c r="J7421">
        <v>-257.67860000000002</v>
      </c>
      <c r="K7421">
        <v>1.109945</v>
      </c>
      <c r="L7421">
        <v>-66.615780000000001</v>
      </c>
      <c r="M7421">
        <v>0.99119809999999997</v>
      </c>
      <c r="N7421">
        <v>0</v>
      </c>
      <c r="O7421">
        <v>0.13189219999999999</v>
      </c>
      <c r="P7421">
        <v>0.98852899999999999</v>
      </c>
      <c r="Q7421">
        <v>4.2308070000000003E-2</v>
      </c>
      <c r="R7421">
        <v>0.14498449999999999</v>
      </c>
      <c r="S7421">
        <v>2.9518589999999998</v>
      </c>
      <c r="T7421">
        <v>-0.1938472</v>
      </c>
      <c r="U7421">
        <v>0.62130739999999995</v>
      </c>
      <c r="V7421">
        <v>-1.330158E-2</v>
      </c>
      <c r="W7421">
        <v>5.3743029999999997E-2</v>
      </c>
      <c r="X7421">
        <v>0.99846619999999997</v>
      </c>
      <c r="Y7421">
        <v>-7.5209830000000005E-2</v>
      </c>
      <c r="Z7421">
        <v>-6.070939E-3</v>
      </c>
      <c r="AA7421">
        <v>0.99714919999999996</v>
      </c>
      <c r="AB7421">
        <v>21</v>
      </c>
      <c r="AC7421">
        <v>16.811800000000002</v>
      </c>
      <c r="AD7421">
        <v>-1.10994507379151</v>
      </c>
      <c r="AE7421">
        <v>3.54569</v>
      </c>
      <c r="AF7421">
        <v>-1.29182960376647</v>
      </c>
      <c r="AG7421">
        <v>-1.10994507379151</v>
      </c>
      <c r="AH7421">
        <v>17.061391960319899</v>
      </c>
      <c r="AI7421">
        <v>93.711591972319695</v>
      </c>
      <c r="AJ7421">
        <v>94.329976340504402</v>
      </c>
      <c r="AK7421">
        <v>17.146191921697</v>
      </c>
      <c r="AL7421">
        <v>86.919266963639899</v>
      </c>
      <c r="AM7421">
        <v>90.763249986212102</v>
      </c>
      <c r="AN7421">
        <v>0.99999999892325797</v>
      </c>
    </row>
    <row r="7422" spans="1:40" x14ac:dyDescent="0.25">
      <c r="A7422" t="str">
        <f>"20190312160515790"</f>
        <v>20190312160515790</v>
      </c>
      <c r="B7422" t="str">
        <f>"1552377915782727"</f>
        <v>1552377915782727</v>
      </c>
      <c r="C7422" t="s">
        <v>40</v>
      </c>
      <c r="D7422">
        <v>5.6859270000000004</v>
      </c>
      <c r="E7422">
        <v>0.47555910000000001</v>
      </c>
      <c r="F7422" t="s">
        <v>124</v>
      </c>
      <c r="G7422">
        <v>-240.68119999999999</v>
      </c>
      <c r="H7422" s="1">
        <v>1.537205E-8</v>
      </c>
      <c r="I7422">
        <v>-63.034230000000001</v>
      </c>
      <c r="J7422">
        <v>-257.57569999999998</v>
      </c>
      <c r="K7422">
        <v>1.1099239999999999</v>
      </c>
      <c r="L7422">
        <v>-66.602199999999996</v>
      </c>
      <c r="M7422">
        <v>0.99121720000000002</v>
      </c>
      <c r="N7422">
        <v>0</v>
      </c>
      <c r="O7422">
        <v>0.13174949999999999</v>
      </c>
      <c r="P7422">
        <v>0.98853970000000002</v>
      </c>
      <c r="Q7422">
        <v>4.2292679999999999E-2</v>
      </c>
      <c r="R7422">
        <v>0.14491670000000001</v>
      </c>
      <c r="S7422">
        <v>2.9518430000000002</v>
      </c>
      <c r="T7422">
        <v>-0.19275790000000001</v>
      </c>
      <c r="U7422">
        <v>0.62197880000000005</v>
      </c>
      <c r="V7422">
        <v>-1.337444E-2</v>
      </c>
      <c r="W7422">
        <v>5.3722560000000003E-2</v>
      </c>
      <c r="X7422">
        <v>0.99846630000000003</v>
      </c>
      <c r="Y7422">
        <v>-7.5569339999999999E-2</v>
      </c>
      <c r="Z7422">
        <v>-6.0160689999999998E-3</v>
      </c>
      <c r="AA7422">
        <v>0.99712239999999996</v>
      </c>
      <c r="AB7422">
        <v>21</v>
      </c>
      <c r="AC7422">
        <v>16.894499999999901</v>
      </c>
      <c r="AD7422">
        <v>-1.1099239846279401</v>
      </c>
      <c r="AE7422">
        <v>3.5679699999999799</v>
      </c>
      <c r="AF7422">
        <v>-1.30548279830659</v>
      </c>
      <c r="AG7422">
        <v>-1.1099239846279401</v>
      </c>
      <c r="AH7422">
        <v>17.146474247466099</v>
      </c>
      <c r="AI7422">
        <v>93.693038928043904</v>
      </c>
      <c r="AJ7422">
        <v>94.353934326867503</v>
      </c>
      <c r="AK7422">
        <v>17.231883115531598</v>
      </c>
      <c r="AL7422">
        <v>86.920441417948396</v>
      </c>
      <c r="AM7422">
        <v>90.767430146684703</v>
      </c>
      <c r="AN7422">
        <v>0.99999997066697799</v>
      </c>
    </row>
    <row r="7423" spans="1:40" x14ac:dyDescent="0.25">
      <c r="A7423" t="str">
        <f>"20190312160515801"</f>
        <v>20190312160515801</v>
      </c>
      <c r="B7423" t="str">
        <f>"1552377915792487"</f>
        <v>1552377915792487</v>
      </c>
      <c r="C7423" t="s">
        <v>40</v>
      </c>
      <c r="D7423">
        <v>5.6598620000000004</v>
      </c>
      <c r="E7423">
        <v>0.47534739999999998</v>
      </c>
      <c r="F7423" t="s">
        <v>124</v>
      </c>
      <c r="G7423">
        <v>-240.6772</v>
      </c>
      <c r="H7423" s="1">
        <v>1.7749239999999999E-8</v>
      </c>
      <c r="I7423">
        <v>-63.031759999999998</v>
      </c>
      <c r="J7423">
        <v>-257.47199999999998</v>
      </c>
      <c r="K7423">
        <v>1.109901</v>
      </c>
      <c r="L7423">
        <v>-66.588560000000001</v>
      </c>
      <c r="M7423">
        <v>0.99123899999999998</v>
      </c>
      <c r="N7423">
        <v>0</v>
      </c>
      <c r="O7423">
        <v>0.1315847</v>
      </c>
      <c r="P7423">
        <v>0.98854359999999997</v>
      </c>
      <c r="Q7423">
        <v>4.2708860000000001E-2</v>
      </c>
      <c r="R7423">
        <v>0.1447668</v>
      </c>
      <c r="S7423">
        <v>2.9516140000000002</v>
      </c>
      <c r="T7423">
        <v>-0.19386680000000001</v>
      </c>
      <c r="U7423">
        <v>0.62362669999999998</v>
      </c>
      <c r="V7423">
        <v>-1.338842E-2</v>
      </c>
      <c r="W7423">
        <v>5.4134420000000003E-2</v>
      </c>
      <c r="X7423">
        <v>0.99844390000000005</v>
      </c>
      <c r="Y7423">
        <v>-7.628306E-2</v>
      </c>
      <c r="Z7423">
        <v>-6.0169400000000001E-3</v>
      </c>
      <c r="AA7423">
        <v>0.99706799999999995</v>
      </c>
      <c r="AB7423">
        <v>21</v>
      </c>
      <c r="AC7423">
        <v>16.794799999999899</v>
      </c>
      <c r="AD7423">
        <v>-1.1099009822507599</v>
      </c>
      <c r="AE7423">
        <v>3.5568</v>
      </c>
      <c r="AF7423">
        <v>-1.31030920803559</v>
      </c>
      <c r="AG7423">
        <v>-1.1099009822507599</v>
      </c>
      <c r="AH7423">
        <v>17.0455514547291</v>
      </c>
      <c r="AI7423">
        <v>93.714559962239406</v>
      </c>
      <c r="AJ7423">
        <v>94.395741185975695</v>
      </c>
      <c r="AK7423">
        <v>17.131830456985099</v>
      </c>
      <c r="AL7423">
        <v>86.896809289186194</v>
      </c>
      <c r="AM7423">
        <v>90.768249461146894</v>
      </c>
      <c r="AN7423">
        <v>1.0000000033330201</v>
      </c>
    </row>
    <row r="7424" spans="1:40" x14ac:dyDescent="0.25">
      <c r="A7424" t="str">
        <f>"20190312160515812"</f>
        <v>20190312160515812</v>
      </c>
      <c r="B7424" t="str">
        <f>"1552377915802248"</f>
        <v>1552377915802248</v>
      </c>
      <c r="C7424" t="s">
        <v>40</v>
      </c>
      <c r="D7424">
        <v>5.6473509999999996</v>
      </c>
      <c r="E7424">
        <v>0.47530939999999999</v>
      </c>
      <c r="F7424" t="s">
        <v>124</v>
      </c>
      <c r="G7424">
        <v>-240.50460000000001</v>
      </c>
      <c r="H7424" s="1">
        <v>1.012047E-7</v>
      </c>
      <c r="I7424">
        <v>-62.99633</v>
      </c>
      <c r="J7424">
        <v>-257.37720000000002</v>
      </c>
      <c r="K7424">
        <v>1.109882</v>
      </c>
      <c r="L7424">
        <v>-66.576169999999905</v>
      </c>
      <c r="M7424">
        <v>0.99126040000000004</v>
      </c>
      <c r="N7424">
        <v>0</v>
      </c>
      <c r="O7424">
        <v>0.13142300000000001</v>
      </c>
      <c r="P7424">
        <v>0.98851149999999999</v>
      </c>
      <c r="Q7424">
        <v>4.2935809999999998E-2</v>
      </c>
      <c r="R7424">
        <v>0.14491970000000001</v>
      </c>
      <c r="S7424">
        <v>2.9515690000000001</v>
      </c>
      <c r="T7424">
        <v>-0.1930732</v>
      </c>
      <c r="U7424">
        <v>0.62487789999999999</v>
      </c>
      <c r="V7424">
        <v>-1.3704859999999999E-2</v>
      </c>
      <c r="W7424">
        <v>5.435773E-2</v>
      </c>
      <c r="X7424">
        <v>0.99842750000000002</v>
      </c>
      <c r="Y7424">
        <v>-7.6851069999999994E-2</v>
      </c>
      <c r="Z7424">
        <v>-5.9634609999999998E-3</v>
      </c>
      <c r="AA7424">
        <v>0.99702480000000004</v>
      </c>
      <c r="AB7424">
        <v>21</v>
      </c>
      <c r="AC7424">
        <v>16.872599999999998</v>
      </c>
      <c r="AD7424">
        <v>-1.1098818987953001</v>
      </c>
      <c r="AE7424">
        <v>3.5798399999999799</v>
      </c>
      <c r="AF7424">
        <v>-1.32570374043309</v>
      </c>
      <c r="AG7424">
        <v>-1.1098818987953001</v>
      </c>
      <c r="AH7424">
        <v>17.125826603145899</v>
      </c>
      <c r="AI7424">
        <v>93.696981177324105</v>
      </c>
      <c r="AJ7424">
        <v>94.426417241323804</v>
      </c>
      <c r="AK7424">
        <v>17.212880789620598</v>
      </c>
      <c r="AL7424">
        <v>86.8839957831578</v>
      </c>
      <c r="AM7424">
        <v>90.786417968161501</v>
      </c>
      <c r="AN7424">
        <v>1.0000000293773099</v>
      </c>
    </row>
    <row r="7425" spans="1:40" x14ac:dyDescent="0.25">
      <c r="A7425" t="str">
        <f>"20190312160515821"</f>
        <v>20190312160515821</v>
      </c>
      <c r="B7425" t="str">
        <f>"1552377915812983"</f>
        <v>1552377915812983</v>
      </c>
      <c r="C7425" t="s">
        <v>40</v>
      </c>
      <c r="D7425">
        <v>5.6602180000000004</v>
      </c>
      <c r="E7425">
        <v>0.47524129999999998</v>
      </c>
      <c r="F7425" t="s">
        <v>124</v>
      </c>
      <c r="G7425">
        <v>-240.43170000000001</v>
      </c>
      <c r="H7425" s="1">
        <v>1.3560800000000001E-7</v>
      </c>
      <c r="I7425">
        <v>-62.984499999999997</v>
      </c>
      <c r="J7425">
        <v>-257.27839999999998</v>
      </c>
      <c r="K7425">
        <v>1.1098650000000001</v>
      </c>
      <c r="L7425">
        <v>-66.563230000000004</v>
      </c>
      <c r="M7425">
        <v>0.99128479999999997</v>
      </c>
      <c r="N7425">
        <v>0</v>
      </c>
      <c r="O7425">
        <v>0.1312402</v>
      </c>
      <c r="P7425">
        <v>0.98847189999999996</v>
      </c>
      <c r="Q7425">
        <v>4.324178E-2</v>
      </c>
      <c r="R7425">
        <v>0.1450989</v>
      </c>
      <c r="S7425">
        <v>2.9515229999999999</v>
      </c>
      <c r="T7425">
        <v>-0.19331690000000001</v>
      </c>
      <c r="U7425">
        <v>0.62557980000000002</v>
      </c>
      <c r="V7425">
        <v>-1.4068829999999999E-2</v>
      </c>
      <c r="W7425">
        <v>5.466008E-2</v>
      </c>
      <c r="X7425">
        <v>0.99840589999999996</v>
      </c>
      <c r="Y7425">
        <v>-7.7264089999999994E-2</v>
      </c>
      <c r="Z7425">
        <v>-5.9458509999999899E-3</v>
      </c>
      <c r="AA7425">
        <v>0.99699289999999996</v>
      </c>
      <c r="AB7425">
        <v>21</v>
      </c>
      <c r="AC7425">
        <v>16.846699999999899</v>
      </c>
      <c r="AD7425">
        <v>-1.1098648643919999</v>
      </c>
      <c r="AE7425">
        <v>3.5787300000000002</v>
      </c>
      <c r="AF7425">
        <v>-1.3311356150506599</v>
      </c>
      <c r="AG7425">
        <v>-1.1098648643919999</v>
      </c>
      <c r="AH7425">
        <v>17.099659323905101</v>
      </c>
      <c r="AI7425">
        <v>93.702441950912799</v>
      </c>
      <c r="AJ7425">
        <v>94.451255301402995</v>
      </c>
      <c r="AK7425">
        <v>17.187264792179199</v>
      </c>
      <c r="AL7425">
        <v>86.866646515286106</v>
      </c>
      <c r="AM7425">
        <v>90.807318180683893</v>
      </c>
      <c r="AN7425">
        <v>0.99999999873899204</v>
      </c>
    </row>
    <row r="7426" spans="1:40" x14ac:dyDescent="0.25">
      <c r="A7426" t="str">
        <f>"20190312160515834"</f>
        <v>20190312160515834</v>
      </c>
      <c r="B7426" t="str">
        <f>"1552377915822743"</f>
        <v>1552377915822743</v>
      </c>
      <c r="C7426" t="s">
        <v>40</v>
      </c>
      <c r="D7426">
        <v>5.6707919999999996</v>
      </c>
      <c r="E7426">
        <v>0.47513749999999999</v>
      </c>
      <c r="F7426" t="s">
        <v>124</v>
      </c>
      <c r="G7426">
        <v>-240.35079999999999</v>
      </c>
      <c r="H7426" s="1">
        <v>1.7427599999999999E-7</v>
      </c>
      <c r="I7426">
        <v>-62.969679999999997</v>
      </c>
      <c r="J7426">
        <v>-257.17349999999999</v>
      </c>
      <c r="K7426">
        <v>1.109845</v>
      </c>
      <c r="L7426">
        <v>-66.54956</v>
      </c>
      <c r="M7426">
        <v>0.99131290000000005</v>
      </c>
      <c r="N7426">
        <v>0</v>
      </c>
      <c r="O7426">
        <v>0.13102849999999999</v>
      </c>
      <c r="P7426">
        <v>0.98842169999999896</v>
      </c>
      <c r="Q7426">
        <v>4.3807600000000002E-2</v>
      </c>
      <c r="R7426">
        <v>0.14527089999999901</v>
      </c>
      <c r="S7426">
        <v>2.9514770000000001</v>
      </c>
      <c r="T7426">
        <v>-0.1935144</v>
      </c>
      <c r="U7426">
        <v>0.62655640000000001</v>
      </c>
      <c r="V7426">
        <v>-1.4455910000000001E-2</v>
      </c>
      <c r="W7426">
        <v>5.5222849999999997E-2</v>
      </c>
      <c r="X7426">
        <v>0.99836939999999996</v>
      </c>
      <c r="Y7426">
        <v>-7.7794459999999996E-2</v>
      </c>
      <c r="Z7426">
        <v>-5.9210529999999999E-3</v>
      </c>
      <c r="AA7426">
        <v>0.99695180000000005</v>
      </c>
      <c r="AB7426">
        <v>21</v>
      </c>
      <c r="AC7426">
        <v>16.822699999999902</v>
      </c>
      <c r="AD7426">
        <v>-1.1098448257239999</v>
      </c>
      <c r="AE7426">
        <v>3.57987999999999</v>
      </c>
      <c r="AF7426">
        <v>-1.3390400499697299</v>
      </c>
      <c r="AG7426">
        <v>-1.1098448257239999</v>
      </c>
      <c r="AH7426">
        <v>17.075641670518699</v>
      </c>
      <c r="AI7426">
        <v>93.707403987394201</v>
      </c>
      <c r="AJ7426">
        <v>94.483852444427797</v>
      </c>
      <c r="AK7426">
        <v>17.1639832863052</v>
      </c>
      <c r="AL7426">
        <v>86.834353389335902</v>
      </c>
      <c r="AM7426">
        <v>90.829557432099605</v>
      </c>
      <c r="AN7426">
        <v>0.99999999767620495</v>
      </c>
    </row>
    <row r="7427" spans="1:40" x14ac:dyDescent="0.25">
      <c r="A7427" t="str">
        <f>"20190312160515846"</f>
        <v>20190312160515846</v>
      </c>
      <c r="B7427" t="str">
        <f>"1552377915832503"</f>
        <v>1552377915832503</v>
      </c>
      <c r="C7427" t="s">
        <v>40</v>
      </c>
      <c r="D7427">
        <v>5.6542560000000002</v>
      </c>
      <c r="E7427">
        <v>0.47506019999999999</v>
      </c>
      <c r="F7427" t="s">
        <v>124</v>
      </c>
      <c r="G7427">
        <v>-240.1669</v>
      </c>
      <c r="H7427" s="1">
        <v>2.6312510000000001E-7</v>
      </c>
      <c r="I7427">
        <v>-62.932310000000001</v>
      </c>
      <c r="J7427">
        <v>-257.06549999999999</v>
      </c>
      <c r="K7427">
        <v>1.109818</v>
      </c>
      <c r="L7427">
        <v>-66.535550000000001</v>
      </c>
      <c r="M7427">
        <v>0.99134330000000004</v>
      </c>
      <c r="N7427">
        <v>0</v>
      </c>
      <c r="O7427">
        <v>0.13079869999999999</v>
      </c>
      <c r="P7427">
        <v>0.98839909999999997</v>
      </c>
      <c r="Q7427">
        <v>4.4099430000000002E-2</v>
      </c>
      <c r="R7427">
        <v>0.1453354</v>
      </c>
      <c r="S7427">
        <v>2.951416</v>
      </c>
      <c r="T7427">
        <v>-0.19260830000000001</v>
      </c>
      <c r="U7427">
        <v>0.62774659999999904</v>
      </c>
      <c r="V7427">
        <v>-1.475131E-2</v>
      </c>
      <c r="W7427">
        <v>5.551184E-2</v>
      </c>
      <c r="X7427">
        <v>0.99834909999999999</v>
      </c>
      <c r="Y7427">
        <v>-7.8411770000000006E-2</v>
      </c>
      <c r="Z7427">
        <v>-5.8586860000000001E-3</v>
      </c>
      <c r="AA7427">
        <v>0.99690380000000001</v>
      </c>
      <c r="AB7427">
        <v>21</v>
      </c>
      <c r="AC7427">
        <v>16.898599999999899</v>
      </c>
      <c r="AD7427">
        <v>-1.10981773687489</v>
      </c>
      <c r="AE7427">
        <v>3.60324</v>
      </c>
      <c r="AF7427">
        <v>-1.35622624146798</v>
      </c>
      <c r="AG7427">
        <v>-1.10981773687489</v>
      </c>
      <c r="AH7427">
        <v>17.1539628428397</v>
      </c>
      <c r="AI7427">
        <v>93.690248446789994</v>
      </c>
      <c r="AJ7427">
        <v>94.520514398585405</v>
      </c>
      <c r="AK7427">
        <v>17.243244655245501</v>
      </c>
      <c r="AL7427">
        <v>86.817770196268299</v>
      </c>
      <c r="AM7427">
        <v>90.846523832009296</v>
      </c>
      <c r="AN7427">
        <v>1.00000004549885</v>
      </c>
    </row>
    <row r="7428" spans="1:40" x14ac:dyDescent="0.25">
      <c r="A7428" t="str">
        <f>"20190312160515857"</f>
        <v>20190312160515857</v>
      </c>
      <c r="B7428" t="str">
        <f>"1552377915852024"</f>
        <v>1552377915852024</v>
      </c>
      <c r="C7428" t="s">
        <v>40</v>
      </c>
      <c r="D7428">
        <v>5.655348</v>
      </c>
      <c r="E7428">
        <v>0.47497840000000002</v>
      </c>
      <c r="F7428" t="s">
        <v>124</v>
      </c>
      <c r="G7428">
        <v>-240.03030000000001</v>
      </c>
      <c r="H7428" s="1">
        <v>3.2828340000000002E-7</v>
      </c>
      <c r="I7428">
        <v>-62.907589999999999</v>
      </c>
      <c r="J7428">
        <v>-256.95909999999998</v>
      </c>
      <c r="K7428">
        <v>1.109799</v>
      </c>
      <c r="L7428">
        <v>-66.521789999999996</v>
      </c>
      <c r="M7428">
        <v>0.99137710000000001</v>
      </c>
      <c r="N7428">
        <v>0</v>
      </c>
      <c r="O7428">
        <v>0.13054199999999999</v>
      </c>
      <c r="P7428">
        <v>0.98839060000000001</v>
      </c>
      <c r="Q7428">
        <v>4.4202369999999998E-2</v>
      </c>
      <c r="R7428">
        <v>0.14536250000000001</v>
      </c>
      <c r="S7428">
        <v>2.9513699999999998</v>
      </c>
      <c r="T7428">
        <v>-0.1922778</v>
      </c>
      <c r="U7428">
        <v>0.62853999999999999</v>
      </c>
      <c r="V7428">
        <v>-1.5035420000000001E-2</v>
      </c>
      <c r="W7428">
        <v>5.5612290000000002E-2</v>
      </c>
      <c r="X7428">
        <v>0.99833919999999998</v>
      </c>
      <c r="Y7428">
        <v>-7.8927499999999998E-2</v>
      </c>
      <c r="Z7428">
        <v>-5.8156450000000004E-3</v>
      </c>
      <c r="AA7428">
        <v>0.99686339999999996</v>
      </c>
      <c r="AB7428">
        <v>21</v>
      </c>
      <c r="AC7428">
        <v>16.928799999999899</v>
      </c>
      <c r="AD7428">
        <v>-1.1097986717166</v>
      </c>
      <c r="AE7428">
        <v>3.6141999999999901</v>
      </c>
      <c r="AF7428">
        <v>-1.3675838761925101</v>
      </c>
      <c r="AG7428">
        <v>-1.1097986717166</v>
      </c>
      <c r="AH7428">
        <v>17.185116351288901</v>
      </c>
      <c r="AI7428">
        <v>93.683364162010903</v>
      </c>
      <c r="AJ7428">
        <v>94.549983812879006</v>
      </c>
      <c r="AK7428">
        <v>17.2751313383576</v>
      </c>
      <c r="AL7428">
        <v>86.812005704322104</v>
      </c>
      <c r="AM7428">
        <v>90.862833981133505</v>
      </c>
      <c r="AN7428">
        <v>0.99999997445513</v>
      </c>
    </row>
    <row r="7429" spans="1:40" x14ac:dyDescent="0.25">
      <c r="A7429" t="str">
        <f>"20190312160515868"</f>
        <v>20190312160515868</v>
      </c>
      <c r="B7429" t="str">
        <f>"1552377915862759"</f>
        <v>1552377915862759</v>
      </c>
      <c r="C7429" t="s">
        <v>40</v>
      </c>
      <c r="D7429">
        <v>5.6574419999999996</v>
      </c>
      <c r="E7429">
        <v>0.47480270000000002</v>
      </c>
      <c r="F7429" t="s">
        <v>126</v>
      </c>
      <c r="G7429">
        <v>-239.99889999999999</v>
      </c>
      <c r="H7429" s="1">
        <v>-3.7239349999999999E-6</v>
      </c>
      <c r="I7429">
        <v>-62.904670000000003</v>
      </c>
      <c r="J7429">
        <v>-256.85590000000002</v>
      </c>
      <c r="K7429">
        <v>1.1097779999999999</v>
      </c>
      <c r="L7429">
        <v>-66.508480000000006</v>
      </c>
      <c r="M7429">
        <v>0.99141100000000004</v>
      </c>
      <c r="N7429">
        <v>0</v>
      </c>
      <c r="O7429">
        <v>0.1302847</v>
      </c>
      <c r="P7429">
        <v>0.988425</v>
      </c>
      <c r="Q7429">
        <v>4.4330599999999998E-2</v>
      </c>
      <c r="R7429">
        <v>0.1450901</v>
      </c>
      <c r="S7429">
        <v>2.9513400000000001</v>
      </c>
      <c r="T7429">
        <v>-0.19312299999999999</v>
      </c>
      <c r="U7429">
        <v>0.62942500000000001</v>
      </c>
      <c r="V7429">
        <v>-1.5017229999999999E-2</v>
      </c>
      <c r="W7429">
        <v>5.5737509999999997E-2</v>
      </c>
      <c r="X7429">
        <v>0.99833249999999996</v>
      </c>
      <c r="Y7429">
        <v>-7.9473550000000004E-2</v>
      </c>
      <c r="Z7429">
        <v>-5.806935E-3</v>
      </c>
      <c r="AA7429">
        <v>0.99682000000000004</v>
      </c>
      <c r="AB7429">
        <v>21</v>
      </c>
      <c r="AC7429">
        <v>16.856999999999999</v>
      </c>
      <c r="AD7429">
        <v>-1.1097817239350001</v>
      </c>
      <c r="AE7429">
        <v>3.6038100000000002</v>
      </c>
      <c r="AF7429">
        <v>-1.37105449508567</v>
      </c>
      <c r="AG7429">
        <v>-1.1097817239350001</v>
      </c>
      <c r="AH7429">
        <v>17.111928716654599</v>
      </c>
      <c r="AI7429">
        <v>93.698858936988699</v>
      </c>
      <c r="AJ7429">
        <v>94.580908553499697</v>
      </c>
      <c r="AK7429">
        <v>17.202601847021398</v>
      </c>
      <c r="AL7429">
        <v>86.804820011374105</v>
      </c>
      <c r="AM7429">
        <v>90.861796056332693</v>
      </c>
      <c r="AN7429">
        <v>0.99999998388706102</v>
      </c>
    </row>
    <row r="7430" spans="1:40" x14ac:dyDescent="0.25">
      <c r="A7430" t="str">
        <f>"20190312160515879"</f>
        <v>20190312160515879</v>
      </c>
      <c r="B7430" t="str">
        <f>"1552377915872519"</f>
        <v>1552377915872519</v>
      </c>
      <c r="C7430" t="s">
        <v>40</v>
      </c>
      <c r="D7430">
        <v>5.657095</v>
      </c>
      <c r="E7430">
        <v>0.47470440000000003</v>
      </c>
      <c r="F7430" t="s">
        <v>126</v>
      </c>
      <c r="G7430">
        <v>-239.8835</v>
      </c>
      <c r="H7430" s="1">
        <v>-3.6810469999999998E-6</v>
      </c>
      <c r="I7430">
        <v>-62.884270000000001</v>
      </c>
      <c r="J7430">
        <v>-256.75459999999998</v>
      </c>
      <c r="K7430">
        <v>1.1097549999999901</v>
      </c>
      <c r="L7430">
        <v>-66.495480000000001</v>
      </c>
      <c r="M7430">
        <v>0.99144840000000001</v>
      </c>
      <c r="N7430">
        <v>0</v>
      </c>
      <c r="O7430">
        <v>0.1300009</v>
      </c>
      <c r="P7430">
        <v>0.98846619999999996</v>
      </c>
      <c r="Q7430">
        <v>4.4329420000000001E-2</v>
      </c>
      <c r="R7430">
        <v>0.1448102</v>
      </c>
      <c r="S7430">
        <v>2.9512480000000001</v>
      </c>
      <c r="T7430">
        <v>-0.1929746</v>
      </c>
      <c r="U7430">
        <v>0.63018799999999997</v>
      </c>
      <c r="V7430">
        <v>-1.501771E-2</v>
      </c>
      <c r="W7430">
        <v>5.5735140000000002E-2</v>
      </c>
      <c r="X7430">
        <v>0.99833260000000001</v>
      </c>
      <c r="Y7430">
        <v>-8.0009830000000004E-2</v>
      </c>
      <c r="Z7430">
        <v>-5.7670600000000001E-3</v>
      </c>
      <c r="AA7430">
        <v>0.99677740000000004</v>
      </c>
      <c r="AB7430">
        <v>21</v>
      </c>
      <c r="AC7430">
        <v>16.871099999999899</v>
      </c>
      <c r="AD7430">
        <v>-1.1097586810469999</v>
      </c>
      <c r="AE7430">
        <v>3.6112099999999998</v>
      </c>
      <c r="AF7430">
        <v>-1.3814448226918099</v>
      </c>
      <c r="AG7430">
        <v>-1.1097586810469999</v>
      </c>
      <c r="AH7430">
        <v>17.126544791849401</v>
      </c>
      <c r="AI7430">
        <v>93.6954760407706</v>
      </c>
      <c r="AJ7430">
        <v>94.611552916678406</v>
      </c>
      <c r="AK7430">
        <v>17.217969991712899</v>
      </c>
      <c r="AL7430">
        <v>86.804955933656501</v>
      </c>
      <c r="AM7430">
        <v>90.861823511697594</v>
      </c>
      <c r="AN7430">
        <v>0.99999995883361004</v>
      </c>
    </row>
    <row r="7431" spans="1:40" x14ac:dyDescent="0.25">
      <c r="A7431" t="str">
        <f>"20190312160515890"</f>
        <v>20190312160515890</v>
      </c>
      <c r="B7431" t="str">
        <f>"1552377915882828"</f>
        <v>1552377915882828</v>
      </c>
      <c r="C7431" t="s">
        <v>40</v>
      </c>
      <c r="D7431">
        <v>5.6672840000000004</v>
      </c>
      <c r="E7431">
        <v>0.47451680000000002</v>
      </c>
      <c r="F7431" t="s">
        <v>126</v>
      </c>
      <c r="G7431">
        <v>-239.8228</v>
      </c>
      <c r="H7431" s="1">
        <v>-3.6595389999999999E-6</v>
      </c>
      <c r="I7431">
        <v>-62.879539999999999</v>
      </c>
      <c r="J7431">
        <v>-256.64949999999999</v>
      </c>
      <c r="K7431">
        <v>1.109731</v>
      </c>
      <c r="L7431">
        <v>-66.482029999999995</v>
      </c>
      <c r="M7431">
        <v>0.99148840000000005</v>
      </c>
      <c r="N7431">
        <v>0</v>
      </c>
      <c r="O7431">
        <v>0.12969539999999999</v>
      </c>
      <c r="P7431">
        <v>0.98848250000000004</v>
      </c>
      <c r="Q7431">
        <v>4.46719E-2</v>
      </c>
      <c r="R7431">
        <v>0.14459129999999901</v>
      </c>
      <c r="S7431">
        <v>2.951355</v>
      </c>
      <c r="T7431">
        <v>-0.19344059999999999</v>
      </c>
      <c r="U7431">
        <v>0.63027949999999999</v>
      </c>
      <c r="V7431">
        <v>-1.5102630000000001E-2</v>
      </c>
      <c r="W7431">
        <v>5.607554E-2</v>
      </c>
      <c r="X7431">
        <v>0.99831230000000004</v>
      </c>
      <c r="Y7431">
        <v>-8.0338389999999996E-2</v>
      </c>
      <c r="Z7431">
        <v>-5.750575E-3</v>
      </c>
      <c r="AA7431">
        <v>0.9967511</v>
      </c>
      <c r="AB7431">
        <v>21</v>
      </c>
      <c r="AC7431">
        <v>16.826699999999899</v>
      </c>
      <c r="AD7431">
        <v>-1.1097346595389901</v>
      </c>
      <c r="AE7431">
        <v>3.60249</v>
      </c>
      <c r="AF7431">
        <v>-1.3838165518986301</v>
      </c>
      <c r="AG7431">
        <v>-1.1097346595389901</v>
      </c>
      <c r="AH7431">
        <v>17.0807809301253</v>
      </c>
      <c r="AI7431">
        <v>93.705164319566094</v>
      </c>
      <c r="AJ7431">
        <v>94.631758903778504</v>
      </c>
      <c r="AK7431">
        <v>17.172639181174901</v>
      </c>
      <c r="AL7431">
        <v>86.785422038444693</v>
      </c>
      <c r="AM7431">
        <v>90.866713707820097</v>
      </c>
      <c r="AN7431">
        <v>1.00000000197524</v>
      </c>
    </row>
    <row r="7432" spans="1:40" x14ac:dyDescent="0.25">
      <c r="A7432" t="str">
        <f>"20190312160515912"</f>
        <v>20190312160515912</v>
      </c>
      <c r="B7432" t="str">
        <f>"1552377915902350"</f>
        <v>1552377915902350</v>
      </c>
      <c r="C7432" t="s">
        <v>40</v>
      </c>
      <c r="D7432">
        <v>5.6996250000000002</v>
      </c>
      <c r="E7432">
        <v>0.4453799</v>
      </c>
      <c r="F7432" t="s">
        <v>126</v>
      </c>
      <c r="G7432">
        <v>-239.70060000000001</v>
      </c>
      <c r="H7432" s="1">
        <v>-3.6141630000000001E-6</v>
      </c>
      <c r="I7432">
        <v>-62.858249999999998</v>
      </c>
      <c r="J7432">
        <v>-256.45650000000001</v>
      </c>
      <c r="K7432">
        <v>1.109691</v>
      </c>
      <c r="L7432">
        <v>-66.457490000000007</v>
      </c>
      <c r="M7432">
        <v>0.99156909999999998</v>
      </c>
      <c r="N7432">
        <v>0</v>
      </c>
      <c r="O7432">
        <v>0.12907679999999999</v>
      </c>
      <c r="P7432">
        <v>0.98854050000000004</v>
      </c>
      <c r="Q7432">
        <v>4.515044E-2</v>
      </c>
      <c r="R7432">
        <v>0.1440457</v>
      </c>
      <c r="S7432">
        <v>2.9513850000000001</v>
      </c>
      <c r="T7432">
        <v>-0.19324269999999999</v>
      </c>
      <c r="U7432">
        <v>0.63101200000000002</v>
      </c>
      <c r="V7432">
        <v>-1.5171250000000001E-2</v>
      </c>
      <c r="W7432">
        <v>5.6551619999999997E-2</v>
      </c>
      <c r="X7432">
        <v>0.99828439999999996</v>
      </c>
      <c r="Y7432">
        <v>-8.1191490000000005E-2</v>
      </c>
      <c r="Z7432">
        <v>-5.6773930000000002E-3</v>
      </c>
      <c r="AA7432">
        <v>0.99668230000000002</v>
      </c>
      <c r="AB7432">
        <v>21</v>
      </c>
      <c r="AC7432">
        <v>16.755899999999901</v>
      </c>
      <c r="AD7432">
        <v>-1.109694614163</v>
      </c>
      <c r="AE7432">
        <v>3.59924</v>
      </c>
      <c r="AF7432">
        <v>-1.4003176068349801</v>
      </c>
      <c r="AG7432">
        <v>-1.109694614163</v>
      </c>
      <c r="AH7432">
        <v>17.009008850813</v>
      </c>
      <c r="AI7432">
        <v>93.720226203246597</v>
      </c>
      <c r="AJ7432">
        <v>94.706432596652405</v>
      </c>
      <c r="AK7432">
        <v>17.102593184185501</v>
      </c>
      <c r="AL7432">
        <v>86.758101295946901</v>
      </c>
      <c r="AM7432">
        <v>90.870675414801696</v>
      </c>
      <c r="AN7432">
        <v>0.99999999791727301</v>
      </c>
    </row>
    <row r="7433" spans="1:40" x14ac:dyDescent="0.25">
      <c r="A7433" t="str">
        <f>"20190312160515922"</f>
        <v>20190312160515922</v>
      </c>
      <c r="B7433" t="str">
        <f>"1552377915912108"</f>
        <v>1552377915912108</v>
      </c>
      <c r="C7433" t="s">
        <v>40</v>
      </c>
      <c r="D7433">
        <v>5.6932210000000003</v>
      </c>
      <c r="E7433">
        <v>0.44357580000000002</v>
      </c>
      <c r="F7433" t="s">
        <v>122</v>
      </c>
      <c r="G7433">
        <v>-212.30680000000001</v>
      </c>
      <c r="H7433" s="1">
        <v>-1.6126569999999999E-6</v>
      </c>
      <c r="I7433">
        <v>-53.41245</v>
      </c>
      <c r="J7433">
        <v>-256.34989999999999</v>
      </c>
      <c r="K7433">
        <v>1.1096680000000001</v>
      </c>
      <c r="L7433">
        <v>-66.444029999999998</v>
      </c>
      <c r="M7433">
        <v>0.99161710000000003</v>
      </c>
      <c r="N7433">
        <v>0</v>
      </c>
      <c r="O7433">
        <v>0.128707399999999</v>
      </c>
      <c r="P7433">
        <v>0.98860840000000005</v>
      </c>
      <c r="Q7433">
        <v>4.5082030000000002E-2</v>
      </c>
      <c r="R7433">
        <v>0.14360020000000001</v>
      </c>
      <c r="S7433">
        <v>2.9127200000000002</v>
      </c>
      <c r="T7433">
        <v>-7.3210600000000001E-2</v>
      </c>
      <c r="U7433">
        <v>0.86062619999999901</v>
      </c>
      <c r="V7433">
        <v>-1.508991E-2</v>
      </c>
      <c r="W7433">
        <v>5.6481629999999998E-2</v>
      </c>
      <c r="X7433">
        <v>0.9982896</v>
      </c>
      <c r="Y7433">
        <v>-0.15755559999999999</v>
      </c>
      <c r="Z7433">
        <v>-1.2075199999999999E-3</v>
      </c>
      <c r="AA7433">
        <v>0.98750939999999998</v>
      </c>
      <c r="AB7433">
        <v>21</v>
      </c>
      <c r="AC7433">
        <v>44.043099999999903</v>
      </c>
      <c r="AD7433">
        <v>-1.109669612657</v>
      </c>
      <c r="AE7433">
        <v>13.0315799999999</v>
      </c>
      <c r="AF7433">
        <v>-7.2499042552789197</v>
      </c>
      <c r="AG7433">
        <v>-1.109669612657</v>
      </c>
      <c r="AH7433">
        <v>45.327641064115703</v>
      </c>
      <c r="AI7433">
        <v>91.384788313661801</v>
      </c>
      <c r="AJ7433">
        <v>99.087173109488404</v>
      </c>
      <c r="AK7433">
        <v>45.9171811286067</v>
      </c>
      <c r="AL7433">
        <v>86.762117862855305</v>
      </c>
      <c r="AM7433">
        <v>90.866003528837993</v>
      </c>
      <c r="AN7433">
        <v>1.00000000268971</v>
      </c>
    </row>
    <row r="7434" spans="1:40" x14ac:dyDescent="0.25">
      <c r="A7434" t="str">
        <f>"20190312160515935"</f>
        <v>20190312160515935</v>
      </c>
      <c r="B7434" t="str">
        <f>"1552377915932605"</f>
        <v>1552377915932605</v>
      </c>
      <c r="C7434" t="s">
        <v>40</v>
      </c>
      <c r="D7434">
        <v>5.6503449999999997</v>
      </c>
      <c r="E7434">
        <v>0.44356020000000002</v>
      </c>
      <c r="F7434" t="s">
        <v>122</v>
      </c>
      <c r="G7434">
        <v>-215.1788</v>
      </c>
      <c r="H7434" s="1">
        <v>-2.4091329999999998E-6</v>
      </c>
      <c r="I7434">
        <v>-54.092260000000003</v>
      </c>
      <c r="J7434">
        <v>-256.24669999999998</v>
      </c>
      <c r="K7434">
        <v>1.109645</v>
      </c>
      <c r="L7434">
        <v>-66.431060000000002</v>
      </c>
      <c r="M7434">
        <v>0.99166639999999995</v>
      </c>
      <c r="N7434">
        <v>0</v>
      </c>
      <c r="O7434">
        <v>0.1283281</v>
      </c>
      <c r="P7434">
        <v>0.98871549999999997</v>
      </c>
      <c r="Q7434">
        <v>4.4989500000000002E-2</v>
      </c>
      <c r="R7434">
        <v>0.14289060000000001</v>
      </c>
      <c r="S7434">
        <v>2.9112849999999999</v>
      </c>
      <c r="T7434">
        <v>-7.8466889999999997E-2</v>
      </c>
      <c r="U7434">
        <v>0.87341309999999905</v>
      </c>
      <c r="V7434">
        <v>-1.4751530000000001E-2</v>
      </c>
      <c r="W7434">
        <v>5.638833E-2</v>
      </c>
      <c r="X7434">
        <v>0.99829999999999997</v>
      </c>
      <c r="Y7434">
        <v>-0.16204489999999999</v>
      </c>
      <c r="Z7434">
        <v>-1.2247460000000001E-3</v>
      </c>
      <c r="AA7434">
        <v>0.98678259999999995</v>
      </c>
      <c r="AB7434">
        <v>21</v>
      </c>
      <c r="AC7434">
        <v>41.067899999999902</v>
      </c>
      <c r="AD7434">
        <v>-1.109647409133</v>
      </c>
      <c r="AE7434">
        <v>12.338800000000001</v>
      </c>
      <c r="AF7434">
        <v>-6.9615977456446396</v>
      </c>
      <c r="AG7434">
        <v>-1.109647409133</v>
      </c>
      <c r="AH7434">
        <v>42.283500201448497</v>
      </c>
      <c r="AI7434">
        <v>91.483309892157195</v>
      </c>
      <c r="AJ7434">
        <v>99.349359897396198</v>
      </c>
      <c r="AK7434">
        <v>42.8671150164162</v>
      </c>
      <c r="AL7434">
        <v>86.767472312307106</v>
      </c>
      <c r="AM7434">
        <v>90.846578084830199</v>
      </c>
      <c r="AN7434">
        <v>1.00000007069876</v>
      </c>
    </row>
    <row r="7435" spans="1:40" x14ac:dyDescent="0.25">
      <c r="A7435" t="str">
        <f>"20190312160515945"</f>
        <v>20190312160515945</v>
      </c>
      <c r="B7435" t="str">
        <f>"1552377915942364"</f>
        <v>1552377915942364</v>
      </c>
      <c r="C7435" t="s">
        <v>40</v>
      </c>
      <c r="D7435">
        <v>5.6759629999999897</v>
      </c>
      <c r="E7435">
        <v>0.44337130000000002</v>
      </c>
      <c r="F7435" t="s">
        <v>123</v>
      </c>
      <c r="G7435">
        <v>-228.7816</v>
      </c>
      <c r="H7435" s="1">
        <v>-3.363429E-6</v>
      </c>
      <c r="I7435">
        <v>-58.221200000000003</v>
      </c>
      <c r="J7435">
        <v>-256.14600000000002</v>
      </c>
      <c r="K7435">
        <v>1.109623</v>
      </c>
      <c r="L7435">
        <v>-66.418430000000001</v>
      </c>
      <c r="M7435">
        <v>0.99171549999999997</v>
      </c>
      <c r="N7435">
        <v>0</v>
      </c>
      <c r="O7435">
        <v>0.1279479</v>
      </c>
      <c r="P7435">
        <v>0.9888479</v>
      </c>
      <c r="Q7435">
        <v>4.4865559999999999E-2</v>
      </c>
      <c r="R7435">
        <v>0.1420101</v>
      </c>
      <c r="S7435">
        <v>2.9137270000000002</v>
      </c>
      <c r="T7435">
        <v>-0.1177209</v>
      </c>
      <c r="U7435">
        <v>0.87097169999999902</v>
      </c>
      <c r="V7435">
        <v>-1.4241810000000001E-2</v>
      </c>
      <c r="W7435">
        <v>5.6262630000000001E-2</v>
      </c>
      <c r="X7435">
        <v>0.99831440000000005</v>
      </c>
      <c r="Y7435">
        <v>-0.16142290000000001</v>
      </c>
      <c r="Z7435">
        <v>-1.83337E-3</v>
      </c>
      <c r="AA7435">
        <v>0.98688359999999997</v>
      </c>
      <c r="AB7435">
        <v>21</v>
      </c>
      <c r="AC7435">
        <v>27.3643999999999</v>
      </c>
      <c r="AD7435">
        <v>-1.109626363429</v>
      </c>
      <c r="AE7435">
        <v>8.1972299999999905</v>
      </c>
      <c r="AF7435">
        <v>-4.6214294202328396</v>
      </c>
      <c r="AG7435">
        <v>-1.109626363429</v>
      </c>
      <c r="AH7435">
        <v>28.145876753408501</v>
      </c>
      <c r="AI7435">
        <v>92.227864941354795</v>
      </c>
      <c r="AJ7435">
        <v>99.324512685632797</v>
      </c>
      <c r="AK7435">
        <v>28.544338471414399</v>
      </c>
      <c r="AL7435">
        <v>86.774685540420194</v>
      </c>
      <c r="AM7435">
        <v>90.817317927794605</v>
      </c>
      <c r="AN7435">
        <v>0.99999997696697596</v>
      </c>
    </row>
    <row r="7436" spans="1:40" x14ac:dyDescent="0.25">
      <c r="A7436" t="str">
        <f>"20190312160515957"</f>
        <v>20190312160515957</v>
      </c>
      <c r="B7436" t="str">
        <f>"1552377915952124"</f>
        <v>1552377915952124</v>
      </c>
      <c r="C7436" t="s">
        <v>40</v>
      </c>
      <c r="D7436">
        <v>5.7038989999999998</v>
      </c>
      <c r="E7436">
        <v>0.44325409999999998</v>
      </c>
      <c r="F7436" t="s">
        <v>126</v>
      </c>
      <c r="G7436">
        <v>-231.328</v>
      </c>
      <c r="H7436" s="1">
        <v>1.9614159999999999E-7</v>
      </c>
      <c r="I7436">
        <v>-59.012740000000001</v>
      </c>
      <c r="J7436">
        <v>-256.03449999999998</v>
      </c>
      <c r="K7436">
        <v>1.109599</v>
      </c>
      <c r="L7436">
        <v>-66.404569999999893</v>
      </c>
      <c r="M7436">
        <v>0.99177439999999994</v>
      </c>
      <c r="N7436">
        <v>0</v>
      </c>
      <c r="O7436">
        <v>0.12749050000000001</v>
      </c>
      <c r="P7436">
        <v>0.98901899999999998</v>
      </c>
      <c r="Q7436">
        <v>4.4575330000000003E-2</v>
      </c>
      <c r="R7436">
        <v>0.140907</v>
      </c>
      <c r="S7436">
        <v>2.914841</v>
      </c>
      <c r="T7436">
        <v>-0.13032369999999999</v>
      </c>
      <c r="U7436">
        <v>0.86978149999999999</v>
      </c>
      <c r="V7436">
        <v>-1.358462E-2</v>
      </c>
      <c r="W7436">
        <v>5.5971269999999997E-2</v>
      </c>
      <c r="X7436">
        <v>0.99834000000000001</v>
      </c>
      <c r="Y7436">
        <v>-0.1613985</v>
      </c>
      <c r="Z7436">
        <v>-2.0097230000000002E-3</v>
      </c>
      <c r="AA7436">
        <v>0.98688730000000002</v>
      </c>
      <c r="AB7436">
        <v>21</v>
      </c>
      <c r="AC7436">
        <v>24.706499999999899</v>
      </c>
      <c r="AD7436">
        <v>-1.1095988038583999</v>
      </c>
      <c r="AE7436">
        <v>7.3918299999999899</v>
      </c>
      <c r="AF7436">
        <v>-4.1737280912310899</v>
      </c>
      <c r="AG7436">
        <v>-1.1095988038583999</v>
      </c>
      <c r="AH7436">
        <v>25.400289151765499</v>
      </c>
      <c r="AI7436">
        <v>92.468288129565096</v>
      </c>
      <c r="AJ7436">
        <v>99.331348274316994</v>
      </c>
      <c r="AK7436">
        <v>25.764819127608</v>
      </c>
      <c r="AL7436">
        <v>86.791405789961402</v>
      </c>
      <c r="AM7436">
        <v>90.779587474611702</v>
      </c>
      <c r="AN7436">
        <v>1.0000000402829701</v>
      </c>
    </row>
    <row r="7437" spans="1:40" x14ac:dyDescent="0.25">
      <c r="A7437" t="str">
        <f>"20190312160515969"</f>
        <v>20190312160515969</v>
      </c>
      <c r="B7437" t="str">
        <f>"1552377915962860"</f>
        <v>1552377915962860</v>
      </c>
      <c r="C7437" t="s">
        <v>40</v>
      </c>
      <c r="D7437">
        <v>5.7041019999999998</v>
      </c>
      <c r="E7437">
        <v>0.4429399</v>
      </c>
      <c r="F7437" t="s">
        <v>126</v>
      </c>
      <c r="G7437">
        <v>-231.9135</v>
      </c>
      <c r="H7437" s="1">
        <v>-1.306159E-8</v>
      </c>
      <c r="I7437">
        <v>-59.227890000000002</v>
      </c>
      <c r="J7437">
        <v>-255.92660000000001</v>
      </c>
      <c r="K7437">
        <v>1.109575</v>
      </c>
      <c r="L7437">
        <v>-66.391169999999903</v>
      </c>
      <c r="M7437">
        <v>0.99183270000000001</v>
      </c>
      <c r="N7437">
        <v>0</v>
      </c>
      <c r="O7437">
        <v>0.12703499999999901</v>
      </c>
      <c r="P7437">
        <v>0.98918439999999996</v>
      </c>
      <c r="Q7437">
        <v>4.477196E-2</v>
      </c>
      <c r="R7437">
        <v>0.1396771</v>
      </c>
      <c r="S7437">
        <v>2.9157869999999999</v>
      </c>
      <c r="T7437">
        <v>-0.13413039999999901</v>
      </c>
      <c r="U7437">
        <v>0.86752320000000005</v>
      </c>
      <c r="V7437">
        <v>-1.279901E-2</v>
      </c>
      <c r="W7437">
        <v>5.6166470000000003E-2</v>
      </c>
      <c r="X7437">
        <v>0.99833939999999999</v>
      </c>
      <c r="Y7437">
        <v>-0.16105999999999901</v>
      </c>
      <c r="Z7437">
        <v>-2.0554520000000001E-3</v>
      </c>
      <c r="AA7437">
        <v>0.98694249999999994</v>
      </c>
      <c r="AB7437">
        <v>21</v>
      </c>
      <c r="AC7437">
        <v>24.013100000000001</v>
      </c>
      <c r="AD7437">
        <v>-1.10957501306159</v>
      </c>
      <c r="AE7437">
        <v>7.1632799999999799</v>
      </c>
      <c r="AF7437">
        <v>-4.0466008870022696</v>
      </c>
      <c r="AG7437">
        <v>-1.10957501306159</v>
      </c>
      <c r="AH7437">
        <v>24.680184003145801</v>
      </c>
      <c r="AI7437">
        <v>92.540303713715801</v>
      </c>
      <c r="AJ7437">
        <v>99.311452813389295</v>
      </c>
      <c r="AK7437">
        <v>25.0343287882346</v>
      </c>
      <c r="AL7437">
        <v>86.780203974830499</v>
      </c>
      <c r="AM7437">
        <v>90.734508807549005</v>
      </c>
      <c r="AN7437">
        <v>1.0000000223008001</v>
      </c>
    </row>
    <row r="7438" spans="1:40" x14ac:dyDescent="0.25">
      <c r="A7438" t="str">
        <f>"20190312160515980"</f>
        <v>20190312160515980</v>
      </c>
      <c r="B7438" t="str">
        <f>"1552377915972621"</f>
        <v>1552377915972621</v>
      </c>
      <c r="C7438" t="s">
        <v>40</v>
      </c>
      <c r="D7438">
        <v>5.7039489999999997</v>
      </c>
      <c r="E7438">
        <v>0.44275229999999999</v>
      </c>
      <c r="F7438" t="s">
        <v>126</v>
      </c>
      <c r="G7438">
        <v>-232.38329999999999</v>
      </c>
      <c r="H7438" s="1">
        <v>-1.84416E-7</v>
      </c>
      <c r="I7438">
        <v>-59.397910000000003</v>
      </c>
      <c r="J7438">
        <v>-255.82570000000001</v>
      </c>
      <c r="K7438">
        <v>1.109548</v>
      </c>
      <c r="L7438">
        <v>-66.378749999999997</v>
      </c>
      <c r="M7438">
        <v>0.99189150000000004</v>
      </c>
      <c r="N7438">
        <v>0</v>
      </c>
      <c r="O7438">
        <v>0.1265762</v>
      </c>
      <c r="P7438">
        <v>0.98931939999999996</v>
      </c>
      <c r="Q7438">
        <v>4.4898090000000002E-2</v>
      </c>
      <c r="R7438">
        <v>0.13867779999999999</v>
      </c>
      <c r="S7438">
        <v>2.9167019999999999</v>
      </c>
      <c r="T7438">
        <v>-0.13746140000000001</v>
      </c>
      <c r="U7438">
        <v>0.86636349999999995</v>
      </c>
      <c r="V7438">
        <v>-1.2249090000000001E-2</v>
      </c>
      <c r="W7438">
        <v>5.6291670000000002E-2</v>
      </c>
      <c r="X7438">
        <v>0.99833919999999998</v>
      </c>
      <c r="Y7438">
        <v>-0.1610692</v>
      </c>
      <c r="Z7438">
        <v>-2.0849290000000001E-3</v>
      </c>
      <c r="AA7438">
        <v>0.98694090000000001</v>
      </c>
      <c r="AB7438">
        <v>21</v>
      </c>
      <c r="AC7438">
        <v>23.442399999999999</v>
      </c>
      <c r="AD7438">
        <v>-1.109548184416</v>
      </c>
      <c r="AE7438">
        <v>6.9808399999999997</v>
      </c>
      <c r="AF7438">
        <v>-3.9491163897462198</v>
      </c>
      <c r="AG7438">
        <v>-1.109548184416</v>
      </c>
      <c r="AH7438">
        <v>24.087924552993002</v>
      </c>
      <c r="AI7438">
        <v>92.602621966608496</v>
      </c>
      <c r="AJ7438">
        <v>99.310580181721207</v>
      </c>
      <c r="AK7438">
        <v>24.434703327521401</v>
      </c>
      <c r="AL7438">
        <v>86.773019024407105</v>
      </c>
      <c r="AM7438">
        <v>90.702953410736498</v>
      </c>
      <c r="AN7438">
        <v>0.99999997528692797</v>
      </c>
    </row>
    <row r="7439" spans="1:40" x14ac:dyDescent="0.25">
      <c r="A7439" t="str">
        <f>"20190312160515992"</f>
        <v>20190312160515992</v>
      </c>
      <c r="B7439" t="str">
        <f>"1552377915982380"</f>
        <v>1552377915982380</v>
      </c>
      <c r="C7439" t="s">
        <v>40</v>
      </c>
      <c r="D7439">
        <v>5.7140060000000004</v>
      </c>
      <c r="E7439">
        <v>0.44272460000000002</v>
      </c>
      <c r="F7439" t="s">
        <v>126</v>
      </c>
      <c r="G7439">
        <v>-232.77770000000001</v>
      </c>
      <c r="H7439" s="1">
        <v>-3.2736230000000002E-7</v>
      </c>
      <c r="I7439">
        <v>-59.546109999999999</v>
      </c>
      <c r="J7439">
        <v>-255.72399999999999</v>
      </c>
      <c r="K7439">
        <v>1.1095250000000001</v>
      </c>
      <c r="L7439">
        <v>-66.366299999999995</v>
      </c>
      <c r="M7439">
        <v>0.99195219999999995</v>
      </c>
      <c r="N7439">
        <v>0</v>
      </c>
      <c r="O7439">
        <v>0.1261004</v>
      </c>
      <c r="P7439">
        <v>0.98941279999999998</v>
      </c>
      <c r="Q7439">
        <v>4.5469320000000001E-2</v>
      </c>
      <c r="R7439">
        <v>0.13782230000000001</v>
      </c>
      <c r="S7439">
        <v>2.9175110000000002</v>
      </c>
      <c r="T7439">
        <v>-0.14045160000000001</v>
      </c>
      <c r="U7439">
        <v>0.86489869999999902</v>
      </c>
      <c r="V7439">
        <v>-1.186358E-2</v>
      </c>
      <c r="W7439">
        <v>5.6862019999999999E-2</v>
      </c>
      <c r="X7439">
        <v>0.99831159999999997</v>
      </c>
      <c r="Y7439">
        <v>-0.1610106</v>
      </c>
      <c r="Z7439">
        <v>-2.1091679999999998E-3</v>
      </c>
      <c r="AA7439">
        <v>0.98695040000000001</v>
      </c>
      <c r="AB7439">
        <v>21</v>
      </c>
      <c r="AC7439">
        <v>22.946300000000001</v>
      </c>
      <c r="AD7439">
        <v>-1.1095253273623</v>
      </c>
      <c r="AE7439">
        <v>6.8201899999999904</v>
      </c>
      <c r="AF7439">
        <v>-3.86371542521454</v>
      </c>
      <c r="AG7439">
        <v>-1.1095253273623</v>
      </c>
      <c r="AH7439">
        <v>23.572551763371099</v>
      </c>
      <c r="AI7439">
        <v>92.659404559793501</v>
      </c>
      <c r="AJ7439">
        <v>99.308431623800601</v>
      </c>
      <c r="AK7439">
        <v>23.912853028777398</v>
      </c>
      <c r="AL7439">
        <v>86.740288166806906</v>
      </c>
      <c r="AM7439">
        <v>90.680850617280598</v>
      </c>
      <c r="AN7439">
        <v>1.0000000422717199</v>
      </c>
    </row>
    <row r="7440" spans="1:40" x14ac:dyDescent="0.25">
      <c r="A7440" t="str">
        <f>"20190312160516001"</f>
        <v>20190312160516001</v>
      </c>
      <c r="B7440" t="str">
        <f>"1552377915992140"</f>
        <v>1552377915992140</v>
      </c>
      <c r="C7440" t="s">
        <v>40</v>
      </c>
      <c r="D7440">
        <v>5.7145929999999998</v>
      </c>
      <c r="E7440">
        <v>0.44270080000000001</v>
      </c>
      <c r="F7440" t="s">
        <v>126</v>
      </c>
      <c r="G7440">
        <v>-232.90360000000001</v>
      </c>
      <c r="H7440" s="1">
        <v>-3.6808959999999999E-7</v>
      </c>
      <c r="I7440">
        <v>-59.620989999999999</v>
      </c>
      <c r="J7440">
        <v>-255.6249</v>
      </c>
      <c r="K7440">
        <v>1.1094999999999999</v>
      </c>
      <c r="L7440">
        <v>-66.354249999999993</v>
      </c>
      <c r="M7440">
        <v>0.99201379999999995</v>
      </c>
      <c r="N7440">
        <v>0</v>
      </c>
      <c r="O7440">
        <v>0.12561439999999999</v>
      </c>
      <c r="P7440">
        <v>0.98951619999999996</v>
      </c>
      <c r="Q7440">
        <v>4.6082310000000001E-2</v>
      </c>
      <c r="R7440">
        <v>0.13687349999999901</v>
      </c>
      <c r="S7440">
        <v>2.9184570000000001</v>
      </c>
      <c r="T7440">
        <v>-0.1418954</v>
      </c>
      <c r="U7440">
        <v>0.86264039999999997</v>
      </c>
      <c r="V7440">
        <v>-1.139429E-2</v>
      </c>
      <c r="W7440">
        <v>5.7474230000000001E-2</v>
      </c>
      <c r="X7440">
        <v>0.998282</v>
      </c>
      <c r="Y7440">
        <v>-0.16070379999999901</v>
      </c>
      <c r="Z7440">
        <v>-2.114992E-3</v>
      </c>
      <c r="AA7440">
        <v>0.9870004</v>
      </c>
      <c r="AB7440">
        <v>21</v>
      </c>
      <c r="AC7440">
        <v>22.7212999999999</v>
      </c>
      <c r="AD7440">
        <v>-1.1095003680895901</v>
      </c>
      <c r="AE7440">
        <v>6.7332599999999898</v>
      </c>
      <c r="AF7440">
        <v>-3.8172451213045302</v>
      </c>
      <c r="AG7440">
        <v>-1.1095003680895901</v>
      </c>
      <c r="AH7440">
        <v>23.336002072265899</v>
      </c>
      <c r="AI7440">
        <v>92.686403579640896</v>
      </c>
      <c r="AJ7440">
        <v>99.290024463661098</v>
      </c>
      <c r="AK7440">
        <v>23.672163908263901</v>
      </c>
      <c r="AL7440">
        <v>86.705153631885693</v>
      </c>
      <c r="AM7440">
        <v>90.653939848185502</v>
      </c>
      <c r="AN7440">
        <v>1.00000003424134</v>
      </c>
    </row>
    <row r="7441" spans="1:40" x14ac:dyDescent="0.25">
      <c r="A7441" t="str">
        <f>"20190312160516012"</f>
        <v>20190312160516012</v>
      </c>
      <c r="B7441" t="str">
        <f>"1552377916002876"</f>
        <v>1552377916002876</v>
      </c>
      <c r="C7441" t="s">
        <v>40</v>
      </c>
      <c r="D7441">
        <v>5.7291150000000002</v>
      </c>
      <c r="E7441">
        <v>0.44261669999999997</v>
      </c>
      <c r="F7441" t="s">
        <v>126</v>
      </c>
      <c r="G7441">
        <v>-232.66650000000001</v>
      </c>
      <c r="H7441" s="1">
        <v>-2.7154439999999998E-7</v>
      </c>
      <c r="I7441">
        <v>-59.591639999999998</v>
      </c>
      <c r="J7441">
        <v>-255.52860000000001</v>
      </c>
      <c r="K7441">
        <v>1.1094809999999999</v>
      </c>
      <c r="L7441">
        <v>-66.342590000000001</v>
      </c>
      <c r="M7441">
        <v>0.99207559999999995</v>
      </c>
      <c r="N7441">
        <v>0</v>
      </c>
      <c r="O7441">
        <v>0.1251254</v>
      </c>
      <c r="P7441">
        <v>0.98963679999999998</v>
      </c>
      <c r="Q7441">
        <v>4.5942469999999999E-2</v>
      </c>
      <c r="R7441">
        <v>0.13604630000000001</v>
      </c>
      <c r="S7441">
        <v>2.9193880000000001</v>
      </c>
      <c r="T7441">
        <v>-0.14108370000000001</v>
      </c>
      <c r="U7441">
        <v>0.85992429999999997</v>
      </c>
      <c r="V7441">
        <v>-1.104831E-2</v>
      </c>
      <c r="W7441">
        <v>5.7334259999999998E-2</v>
      </c>
      <c r="X7441">
        <v>0.99829389999999996</v>
      </c>
      <c r="Y7441">
        <v>-0.16026029999999999</v>
      </c>
      <c r="Z7441">
        <v>-2.0903279999999998E-3</v>
      </c>
      <c r="AA7441">
        <v>0.98707259999999997</v>
      </c>
      <c r="AB7441">
        <v>21</v>
      </c>
      <c r="AC7441">
        <v>22.862100000000002</v>
      </c>
      <c r="AD7441">
        <v>-1.10948127154439</v>
      </c>
      <c r="AE7441">
        <v>6.7509499999999898</v>
      </c>
      <c r="AF7441">
        <v>-3.8287781651745898</v>
      </c>
      <c r="AG7441">
        <v>-1.10948127154439</v>
      </c>
      <c r="AH7441">
        <v>23.476317409556099</v>
      </c>
      <c r="AI7441">
        <v>92.670531011614102</v>
      </c>
      <c r="AJ7441">
        <v>99.262878750874407</v>
      </c>
      <c r="AK7441">
        <v>23.812349108062602</v>
      </c>
      <c r="AL7441">
        <v>86.713186444362293</v>
      </c>
      <c r="AM7441">
        <v>90.634077490522102</v>
      </c>
      <c r="AN7441">
        <v>0.99999999665040595</v>
      </c>
    </row>
    <row r="7442" spans="1:40" x14ac:dyDescent="0.25">
      <c r="A7442" t="str">
        <f>"20190312160516023"</f>
        <v>20190312160516023</v>
      </c>
      <c r="B7442" t="str">
        <f>"1552377916012637"</f>
        <v>1552377916012637</v>
      </c>
      <c r="C7442" t="s">
        <v>40</v>
      </c>
      <c r="D7442">
        <v>5.7327640000000004</v>
      </c>
      <c r="E7442">
        <v>0.44257419999999997</v>
      </c>
      <c r="F7442" t="s">
        <v>126</v>
      </c>
      <c r="G7442">
        <v>-233.00810000000001</v>
      </c>
      <c r="H7442" s="1">
        <v>-3.9430879999999998E-7</v>
      </c>
      <c r="I7442">
        <v>-59.725769999999997</v>
      </c>
      <c r="J7442">
        <v>-255.4248</v>
      </c>
      <c r="K7442">
        <v>1.1094569999999999</v>
      </c>
      <c r="L7442">
        <v>-66.330079999999995</v>
      </c>
      <c r="M7442">
        <v>0.99214420000000003</v>
      </c>
      <c r="N7442">
        <v>0</v>
      </c>
      <c r="O7442">
        <v>0.1245807</v>
      </c>
      <c r="P7442">
        <v>0.98974490000000004</v>
      </c>
      <c r="Q7442">
        <v>4.59713E-2</v>
      </c>
      <c r="R7442">
        <v>0.13524729999999999</v>
      </c>
      <c r="S7442">
        <v>2.9201510000000002</v>
      </c>
      <c r="T7442">
        <v>-0.1438624</v>
      </c>
      <c r="U7442">
        <v>0.85797119999999905</v>
      </c>
      <c r="V7442">
        <v>-1.0786479999999999E-2</v>
      </c>
      <c r="W7442">
        <v>5.7362829999999997E-2</v>
      </c>
      <c r="X7442">
        <v>0.99829509999999999</v>
      </c>
      <c r="Y7442">
        <v>-0.16012279999999901</v>
      </c>
      <c r="Z7442">
        <v>-2.1086149999999999E-3</v>
      </c>
      <c r="AA7442">
        <v>0.98709480000000005</v>
      </c>
      <c r="AB7442">
        <v>21</v>
      </c>
      <c r="AC7442">
        <v>22.416699999999899</v>
      </c>
      <c r="AD7442">
        <v>-1.1094573943088</v>
      </c>
      <c r="AE7442">
        <v>6.6043100000000097</v>
      </c>
      <c r="AF7442">
        <v>-3.7515277604980999</v>
      </c>
      <c r="AG7442">
        <v>-1.1094573943088</v>
      </c>
      <c r="AH7442">
        <v>23.012994055650999</v>
      </c>
      <c r="AI7442">
        <v>92.724190054687199</v>
      </c>
      <c r="AJ7442">
        <v>99.258788605244902</v>
      </c>
      <c r="AK7442">
        <v>23.343152136183399</v>
      </c>
      <c r="AL7442">
        <v>86.711546732692199</v>
      </c>
      <c r="AM7442">
        <v>90.619051151371295</v>
      </c>
      <c r="AN7442">
        <v>0.99999997455020395</v>
      </c>
    </row>
    <row r="7443" spans="1:40" x14ac:dyDescent="0.25">
      <c r="A7443" t="str">
        <f>"20190312160516035"</f>
        <v>20190312160516035</v>
      </c>
      <c r="B7443" t="str">
        <f>"1552377916032157"</f>
        <v>1552377916032157</v>
      </c>
      <c r="C7443" t="s">
        <v>40</v>
      </c>
      <c r="D7443">
        <v>5.7128319999999997</v>
      </c>
      <c r="E7443">
        <v>0.44222810000000001</v>
      </c>
      <c r="F7443" t="s">
        <v>126</v>
      </c>
      <c r="G7443">
        <v>-233.1266</v>
      </c>
      <c r="H7443" s="1">
        <v>-4.3280060000000002E-7</v>
      </c>
      <c r="I7443">
        <v>-59.795529999999999</v>
      </c>
      <c r="J7443">
        <v>-255.31950000000001</v>
      </c>
      <c r="K7443">
        <v>1.1094310000000001</v>
      </c>
      <c r="L7443">
        <v>-66.317539999999994</v>
      </c>
      <c r="M7443">
        <v>0.99221669999999995</v>
      </c>
      <c r="N7443">
        <v>0</v>
      </c>
      <c r="O7443">
        <v>0.1240021</v>
      </c>
      <c r="P7443">
        <v>0.98989000000000005</v>
      </c>
      <c r="Q7443">
        <v>4.5887980000000002E-2</v>
      </c>
      <c r="R7443">
        <v>0.13421089999999999</v>
      </c>
      <c r="S7443">
        <v>2.9208530000000001</v>
      </c>
      <c r="T7443">
        <v>-0.1453286</v>
      </c>
      <c r="U7443">
        <v>0.85595699999999997</v>
      </c>
      <c r="V7443">
        <v>-1.031955E-2</v>
      </c>
      <c r="W7443">
        <v>5.7277139999999997E-2</v>
      </c>
      <c r="X7443">
        <v>0.998305</v>
      </c>
      <c r="Y7443">
        <v>-0.16000619999999999</v>
      </c>
      <c r="Z7443">
        <v>-2.104931E-3</v>
      </c>
      <c r="AA7443">
        <v>0.98711380000000004</v>
      </c>
      <c r="AB7443">
        <v>21</v>
      </c>
      <c r="AC7443">
        <v>22.192900000000002</v>
      </c>
      <c r="AD7443">
        <v>-1.1094314328006001</v>
      </c>
      <c r="AE7443">
        <v>6.5220099999999999</v>
      </c>
      <c r="AF7443">
        <v>-3.7109852490781301</v>
      </c>
      <c r="AG7443">
        <v>-1.1094314328006001</v>
      </c>
      <c r="AH7443">
        <v>22.777989491746901</v>
      </c>
      <c r="AI7443">
        <v>92.752231466838694</v>
      </c>
      <c r="AJ7443">
        <v>99.253318053923707</v>
      </c>
      <c r="AK7443">
        <v>23.104957366528399</v>
      </c>
      <c r="AL7443">
        <v>86.716464637973402</v>
      </c>
      <c r="AM7443">
        <v>90.592249465727093</v>
      </c>
      <c r="AN7443">
        <v>1.00000001845189</v>
      </c>
    </row>
    <row r="7444" spans="1:40" x14ac:dyDescent="0.25">
      <c r="A7444" t="str">
        <f>"20190312160516046"</f>
        <v>20190312160516046</v>
      </c>
      <c r="B7444" t="str">
        <f>"1552377916042892"</f>
        <v>1552377916042892</v>
      </c>
      <c r="C7444" t="s">
        <v>40</v>
      </c>
      <c r="D7444">
        <v>5.6289009999999999</v>
      </c>
      <c r="E7444">
        <v>0.44222810000000001</v>
      </c>
      <c r="F7444" t="s">
        <v>126</v>
      </c>
      <c r="G7444">
        <v>-233.54499999999999</v>
      </c>
      <c r="H7444" s="1">
        <v>-5.8652840000000002E-7</v>
      </c>
      <c r="I7444">
        <v>-59.940669999999997</v>
      </c>
      <c r="J7444">
        <v>-255.21510000000001</v>
      </c>
      <c r="K7444">
        <v>1.109402</v>
      </c>
      <c r="L7444">
        <v>-66.305109999999999</v>
      </c>
      <c r="M7444">
        <v>0.99228970000000005</v>
      </c>
      <c r="N7444">
        <v>0</v>
      </c>
      <c r="O7444">
        <v>0.123416899999999</v>
      </c>
      <c r="P7444">
        <v>0.99006439999999996</v>
      </c>
      <c r="Q7444">
        <v>4.5547709999999998E-2</v>
      </c>
      <c r="R7444">
        <v>0.13303409999999999</v>
      </c>
      <c r="S7444">
        <v>2.9215390000000001</v>
      </c>
      <c r="T7444">
        <v>-0.14885489999999901</v>
      </c>
      <c r="U7444">
        <v>0.85559079999999998</v>
      </c>
      <c r="V7444">
        <v>-9.7161339999999995E-3</v>
      </c>
      <c r="W7444">
        <v>5.693438E-2</v>
      </c>
      <c r="X7444">
        <v>0.99833070000000002</v>
      </c>
      <c r="Y7444">
        <v>-0.16040860000000001</v>
      </c>
      <c r="Z7444">
        <v>-2.1167159999999998E-3</v>
      </c>
      <c r="AA7444">
        <v>0.98704840000000005</v>
      </c>
      <c r="AB7444">
        <v>21</v>
      </c>
      <c r="AC7444">
        <v>21.670100000000001</v>
      </c>
      <c r="AD7444">
        <v>-1.1094025865283901</v>
      </c>
      <c r="AE7444">
        <v>6.3644400000000001</v>
      </c>
      <c r="AF7444">
        <v>-3.6323830603031801</v>
      </c>
      <c r="AG7444">
        <v>-1.1094025865283901</v>
      </c>
      <c r="AH7444">
        <v>22.236286918822898</v>
      </c>
      <c r="AI7444">
        <v>92.818904929002997</v>
      </c>
      <c r="AJ7444">
        <v>99.277543136221098</v>
      </c>
      <c r="AK7444">
        <v>22.558311921152001</v>
      </c>
      <c r="AL7444">
        <v>86.736135564244094</v>
      </c>
      <c r="AM7444">
        <v>90.557606708736401</v>
      </c>
      <c r="AN7444">
        <v>1.00000005672418</v>
      </c>
    </row>
    <row r="7445" spans="1:40" x14ac:dyDescent="0.25">
      <c r="A7445" t="str">
        <f>"20190312160516057"</f>
        <v>20190312160516057</v>
      </c>
      <c r="B7445" t="str">
        <f>"1552377916052656"</f>
        <v>1552377916052656</v>
      </c>
      <c r="C7445" t="s">
        <v>40</v>
      </c>
      <c r="D7445">
        <v>5.7898969999999998</v>
      </c>
      <c r="E7445">
        <v>0.45190950000000002</v>
      </c>
      <c r="F7445" t="s">
        <v>126</v>
      </c>
      <c r="G7445">
        <v>-233.55099999999999</v>
      </c>
      <c r="H7445" s="1">
        <v>-5.8078249999999995E-7</v>
      </c>
      <c r="I7445">
        <v>-59.987470000000002</v>
      </c>
      <c r="J7445">
        <v>-255.11320000000001</v>
      </c>
      <c r="K7445">
        <v>1.109378</v>
      </c>
      <c r="L7445">
        <v>-66.293120000000002</v>
      </c>
      <c r="M7445">
        <v>0.99236480000000005</v>
      </c>
      <c r="N7445">
        <v>0</v>
      </c>
      <c r="O7445">
        <v>0.1228117</v>
      </c>
      <c r="P7445">
        <v>0.99022250000000001</v>
      </c>
      <c r="Q7445">
        <v>4.5558469999999997E-2</v>
      </c>
      <c r="R7445">
        <v>0.13184969999999999</v>
      </c>
      <c r="S7445">
        <v>2.9224700000000001</v>
      </c>
      <c r="T7445">
        <v>-0.14965690000000001</v>
      </c>
      <c r="U7445">
        <v>0.85223389999999999</v>
      </c>
      <c r="V7445">
        <v>-9.1277419999999995E-3</v>
      </c>
      <c r="W7445">
        <v>5.6939620000000003E-2</v>
      </c>
      <c r="X7445">
        <v>0.99833590000000005</v>
      </c>
      <c r="Y7445">
        <v>-0.15988060000000001</v>
      </c>
      <c r="Z7445">
        <v>-2.11123E-3</v>
      </c>
      <c r="AA7445">
        <v>0.98713410000000001</v>
      </c>
      <c r="AB7445">
        <v>21</v>
      </c>
      <c r="AC7445">
        <v>21.562200000000001</v>
      </c>
      <c r="AD7445">
        <v>-1.1093785807825001</v>
      </c>
      <c r="AE7445">
        <v>6.30565</v>
      </c>
      <c r="AF7445">
        <v>-3.6008672325997102</v>
      </c>
      <c r="AG7445">
        <v>-1.1093785807825001</v>
      </c>
      <c r="AH7445">
        <v>22.119470578511699</v>
      </c>
      <c r="AI7445">
        <v>92.833959199549398</v>
      </c>
      <c r="AJ7445">
        <v>99.246171250756404</v>
      </c>
      <c r="AK7445">
        <v>22.438091370166799</v>
      </c>
      <c r="AL7445">
        <v>86.735834669729201</v>
      </c>
      <c r="AM7445">
        <v>90.5238382403966</v>
      </c>
      <c r="AN7445">
        <v>1.0000000026142799</v>
      </c>
    </row>
    <row r="7446" spans="1:40" x14ac:dyDescent="0.25">
      <c r="A7446" t="str">
        <f>"20190312160516069"</f>
        <v>20190312160516069</v>
      </c>
      <c r="B7446" t="str">
        <f>"1552377916052656"</f>
        <v>1552377916052656</v>
      </c>
      <c r="C7446" t="s">
        <v>40</v>
      </c>
      <c r="D7446">
        <v>5.7898969999999998</v>
      </c>
      <c r="E7446">
        <v>0.45190950000000002</v>
      </c>
      <c r="F7446" t="s">
        <v>49</v>
      </c>
      <c r="G7446">
        <v>-254.35400000000001</v>
      </c>
      <c r="H7446">
        <v>0.93226189999999998</v>
      </c>
      <c r="I7446">
        <v>-66.096809999999905</v>
      </c>
      <c r="J7446">
        <v>-255.00309999999999</v>
      </c>
      <c r="K7446">
        <v>1.1093500000000001</v>
      </c>
      <c r="L7446">
        <v>-66.280209999999997</v>
      </c>
      <c r="M7446">
        <v>0.99244679999999996</v>
      </c>
      <c r="N7446">
        <v>0</v>
      </c>
      <c r="O7446">
        <v>0.1221478</v>
      </c>
      <c r="P7446">
        <v>0.99039279999999996</v>
      </c>
      <c r="Q7446">
        <v>4.552817E-2</v>
      </c>
      <c r="R7446">
        <v>0.13057479999999999</v>
      </c>
      <c r="S7446">
        <v>2.9593959999999999</v>
      </c>
      <c r="T7446">
        <v>-0.69029459999999998</v>
      </c>
      <c r="U7446">
        <v>0.76593020000000001</v>
      </c>
      <c r="V7446">
        <v>-8.5060469999999992E-3</v>
      </c>
      <c r="W7446">
        <v>5.6902479999999998E-2</v>
      </c>
      <c r="X7446">
        <v>0.99834350000000005</v>
      </c>
      <c r="Y7446">
        <v>-0.13020889999999999</v>
      </c>
      <c r="Z7446">
        <v>-1.2768349999999999E-2</v>
      </c>
      <c r="AA7446">
        <v>0.99140439999999996</v>
      </c>
      <c r="AB7446">
        <v>21</v>
      </c>
      <c r="AC7446">
        <v>0.64909999999997503</v>
      </c>
      <c r="AD7446">
        <v>-0.177088099999999</v>
      </c>
      <c r="AE7446">
        <v>0.183400000000006</v>
      </c>
      <c r="AF7446">
        <v>-9.6110485112646193E-2</v>
      </c>
      <c r="AG7446">
        <v>-0.177088099999999</v>
      </c>
      <c r="AH7446">
        <v>0.62365457518648504</v>
      </c>
      <c r="AI7446">
        <v>105.67620497239101</v>
      </c>
      <c r="AJ7446">
        <v>98.760846723033097</v>
      </c>
      <c r="AK7446">
        <v>0.65539488071027296</v>
      </c>
      <c r="AL7446">
        <v>86.737966064281395</v>
      </c>
      <c r="AM7446">
        <v>90.488157433731004</v>
      </c>
      <c r="AN7446">
        <v>0.99999999452898303</v>
      </c>
    </row>
    <row r="7447" spans="1:40" x14ac:dyDescent="0.25">
      <c r="A7447" t="str">
        <f>"20190312160516090"</f>
        <v>20190312160516090</v>
      </c>
      <c r="B7447" t="str">
        <f>"1552377916082711"</f>
        <v>1552377916082711</v>
      </c>
      <c r="C7447" t="s">
        <v>40</v>
      </c>
      <c r="D7447">
        <v>4.2604160000000002</v>
      </c>
      <c r="E7447">
        <v>0.45190950000000002</v>
      </c>
      <c r="F7447" t="s">
        <v>127</v>
      </c>
      <c r="G7447">
        <v>-250.24539999999999</v>
      </c>
      <c r="H7447" s="1">
        <v>-2.8013379999999997E-7</v>
      </c>
      <c r="I7447">
        <v>-65.05489</v>
      </c>
      <c r="J7447">
        <v>-254.80590000000001</v>
      </c>
      <c r="K7447">
        <v>1.1093109999999999</v>
      </c>
      <c r="L7447">
        <v>-66.257419999999996</v>
      </c>
      <c r="M7447">
        <v>0.99260040000000005</v>
      </c>
      <c r="N7447">
        <v>0</v>
      </c>
      <c r="O7447">
        <v>0.1208945</v>
      </c>
      <c r="P7447">
        <v>0.99064989999999997</v>
      </c>
      <c r="Q7447">
        <v>4.6084519999999997E-2</v>
      </c>
      <c r="R7447">
        <v>0.1284112</v>
      </c>
      <c r="S7447">
        <v>2.9603120000000001</v>
      </c>
      <c r="T7447">
        <v>-0.69025550000000002</v>
      </c>
      <c r="U7447">
        <v>0.76242069999999995</v>
      </c>
      <c r="V7447">
        <v>-7.5822759999999998E-3</v>
      </c>
      <c r="W7447">
        <v>5.7440909999999998E-2</v>
      </c>
      <c r="X7447">
        <v>0.99832010000000004</v>
      </c>
      <c r="Y7447">
        <v>-0.13025249999999999</v>
      </c>
      <c r="Z7447">
        <v>-1.248107E-2</v>
      </c>
      <c r="AA7447">
        <v>0.99140229999999996</v>
      </c>
      <c r="AB7447">
        <v>21</v>
      </c>
      <c r="AC7447">
        <v>4.56050000000001</v>
      </c>
      <c r="AD7447">
        <v>-1.1093112801338001</v>
      </c>
      <c r="AE7447">
        <v>1.2025299999999901</v>
      </c>
      <c r="AF7447">
        <v>-0.60866207309902398</v>
      </c>
      <c r="AG7447">
        <v>-1.1093112801338001</v>
      </c>
      <c r="AH7447">
        <v>4.4275012903373101</v>
      </c>
      <c r="AI7447">
        <v>103.93998249089699</v>
      </c>
      <c r="AJ7447">
        <v>97.827560613941003</v>
      </c>
      <c r="AK7447">
        <v>4.6047593543419598</v>
      </c>
      <c r="AL7447">
        <v>86.707065725845595</v>
      </c>
      <c r="AM7447">
        <v>90.435155077860898</v>
      </c>
      <c r="AN7447">
        <v>0.99999998555748904</v>
      </c>
    </row>
    <row r="7448" spans="1:40" x14ac:dyDescent="0.25">
      <c r="A7448" t="str">
        <f>"20190312160516102"</f>
        <v>20190312160516102</v>
      </c>
      <c r="B7448" t="str">
        <f>"1552377916092434"</f>
        <v>1552377916092434</v>
      </c>
      <c r="C7448" t="s">
        <v>40</v>
      </c>
      <c r="D7448">
        <v>5.305631</v>
      </c>
      <c r="E7448">
        <v>0.54089799999999999</v>
      </c>
      <c r="F7448" t="s">
        <v>49</v>
      </c>
      <c r="G7448">
        <v>-253.9845</v>
      </c>
      <c r="H7448">
        <v>0.91831280000000004</v>
      </c>
      <c r="I7448">
        <v>-66.048019999999994</v>
      </c>
      <c r="J7448">
        <v>-254.69829999999999</v>
      </c>
      <c r="K7448">
        <v>1.109289</v>
      </c>
      <c r="L7448">
        <v>-66.245059999999995</v>
      </c>
      <c r="M7448">
        <v>0.99268690000000004</v>
      </c>
      <c r="N7448">
        <v>0</v>
      </c>
      <c r="O7448">
        <v>0.12018330000000001</v>
      </c>
      <c r="P7448">
        <v>0.99077179999999998</v>
      </c>
      <c r="Q7448">
        <v>4.6272729999999998E-2</v>
      </c>
      <c r="R7448">
        <v>0.1273985</v>
      </c>
      <c r="S7448">
        <v>2.962418</v>
      </c>
      <c r="T7448">
        <v>-0.68880359999999996</v>
      </c>
      <c r="U7448">
        <v>0.75543209999999905</v>
      </c>
      <c r="V7448">
        <v>-7.2746819999999898E-3</v>
      </c>
      <c r="W7448">
        <v>5.7616090000000002E-2</v>
      </c>
      <c r="X7448">
        <v>0.99831230000000004</v>
      </c>
      <c r="Y7448">
        <v>-0.12862169999999901</v>
      </c>
      <c r="Z7448">
        <v>-1.2477159999999999E-2</v>
      </c>
      <c r="AA7448">
        <v>0.99161520000000003</v>
      </c>
      <c r="AB7448">
        <v>21</v>
      </c>
      <c r="AC7448">
        <v>0.713799999999992</v>
      </c>
      <c r="AD7448">
        <v>-0.19097620000000001</v>
      </c>
      <c r="AE7448">
        <v>0.19704000000000099</v>
      </c>
      <c r="AF7448">
        <v>-0.102970298520975</v>
      </c>
      <c r="AG7448">
        <v>-0.19097620000000001</v>
      </c>
      <c r="AH7448">
        <v>0.68663704651947599</v>
      </c>
      <c r="AI7448">
        <v>105.37928742337201</v>
      </c>
      <c r="AJ7448">
        <v>98.528704309757401</v>
      </c>
      <c r="AK7448">
        <v>0.72010084363020099</v>
      </c>
      <c r="AL7448">
        <v>86.697012020608796</v>
      </c>
      <c r="AM7448">
        <v>90.417505823189501</v>
      </c>
      <c r="AN7448">
        <v>0.99999999157818897</v>
      </c>
    </row>
    <row r="7449" spans="1:40" x14ac:dyDescent="0.25">
      <c r="A7449" t="str">
        <f>"20190312160516112"</f>
        <v>20190312160516112</v>
      </c>
      <c r="B7449" t="str">
        <f>"1552377916102194"</f>
        <v>1552377916102194</v>
      </c>
      <c r="C7449" t="s">
        <v>40</v>
      </c>
      <c r="D7449">
        <v>5.636063</v>
      </c>
      <c r="E7449">
        <v>0.5337518</v>
      </c>
      <c r="F7449" t="s">
        <v>49</v>
      </c>
      <c r="G7449">
        <v>-254.0009</v>
      </c>
      <c r="H7449">
        <v>0.86406050000000001</v>
      </c>
      <c r="I7449">
        <v>-66.235240000000005</v>
      </c>
      <c r="J7449">
        <v>-254.59809999999999</v>
      </c>
      <c r="K7449">
        <v>1.1092649999999999</v>
      </c>
      <c r="L7449">
        <v>-66.233699999999999</v>
      </c>
      <c r="M7449">
        <v>0.9927686</v>
      </c>
      <c r="N7449">
        <v>0</v>
      </c>
      <c r="O7449">
        <v>0.11950769999999999</v>
      </c>
      <c r="P7449">
        <v>0.99088330000000002</v>
      </c>
      <c r="Q7449">
        <v>4.6650709999999998E-2</v>
      </c>
      <c r="R7449">
        <v>0.12638820000000001</v>
      </c>
      <c r="S7449">
        <v>3.0728</v>
      </c>
      <c r="T7449">
        <v>-1.0804389999999999</v>
      </c>
      <c r="U7449">
        <v>4.3518069999999999E-2</v>
      </c>
      <c r="V7449">
        <v>-6.935124E-3</v>
      </c>
      <c r="W7449">
        <v>5.7979299999999998E-2</v>
      </c>
      <c r="X7449">
        <v>0.99829369999999995</v>
      </c>
      <c r="Y7449">
        <v>9.2739950000000002E-2</v>
      </c>
      <c r="Z7449">
        <v>-5.654182E-2</v>
      </c>
      <c r="AA7449">
        <v>0.99408359999999996</v>
      </c>
      <c r="AB7449">
        <v>21</v>
      </c>
      <c r="AC7449">
        <v>0.59719999999998596</v>
      </c>
      <c r="AD7449">
        <v>-0.24520449999999899</v>
      </c>
      <c r="AE7449">
        <v>-1.5400000000056399E-3</v>
      </c>
      <c r="AF7449">
        <v>6.2386264830879903E-2</v>
      </c>
      <c r="AG7449">
        <v>-0.24520449999999899</v>
      </c>
      <c r="AH7449">
        <v>0.50722567934049501</v>
      </c>
      <c r="AI7449">
        <v>115.632031405334</v>
      </c>
      <c r="AJ7449">
        <v>82.988117388530796</v>
      </c>
      <c r="AK7449">
        <v>0.56682905945463502</v>
      </c>
      <c r="AL7449">
        <v>86.676166812633497</v>
      </c>
      <c r="AM7449">
        <v>90.398026095555096</v>
      </c>
      <c r="AN7449">
        <v>1.0000000033165299</v>
      </c>
    </row>
    <row r="7450" spans="1:40" x14ac:dyDescent="0.25">
      <c r="A7450" t="str">
        <f>"20190312160516123"</f>
        <v>20190312160516123</v>
      </c>
      <c r="B7450" t="str">
        <f>"1552377916112930"</f>
        <v>1552377916112930</v>
      </c>
      <c r="C7450" t="s">
        <v>40</v>
      </c>
      <c r="D7450">
        <v>6.062303</v>
      </c>
      <c r="E7450">
        <v>0.52989540000000002</v>
      </c>
      <c r="F7450" t="s">
        <v>49</v>
      </c>
      <c r="G7450">
        <v>-253.8135</v>
      </c>
      <c r="H7450">
        <v>0.86983920000000003</v>
      </c>
      <c r="I7450">
        <v>-66.208439999999996</v>
      </c>
      <c r="J7450">
        <v>-254.49279999999999</v>
      </c>
      <c r="K7450">
        <v>1.109245</v>
      </c>
      <c r="L7450">
        <v>-66.221829999999997</v>
      </c>
      <c r="M7450">
        <v>0.9928555</v>
      </c>
      <c r="N7450">
        <v>0</v>
      </c>
      <c r="O7450">
        <v>0.1187851</v>
      </c>
      <c r="P7450">
        <v>0.99101879999999998</v>
      </c>
      <c r="Q7450">
        <v>4.6540079999999998E-2</v>
      </c>
      <c r="R7450">
        <v>0.12536330000000001</v>
      </c>
      <c r="S7450">
        <v>3.058945</v>
      </c>
      <c r="T7450">
        <v>-0.93341779999999996</v>
      </c>
      <c r="U7450">
        <v>9.8785399999999995E-2</v>
      </c>
      <c r="V7450">
        <v>-6.6267100000000001E-3</v>
      </c>
      <c r="W7450">
        <v>5.7850779999999997E-2</v>
      </c>
      <c r="X7450">
        <v>0.99830319999999995</v>
      </c>
      <c r="Y7450">
        <v>7.7772040000000001E-2</v>
      </c>
      <c r="Z7450">
        <v>-4.695154E-2</v>
      </c>
      <c r="AA7450">
        <v>0.995865</v>
      </c>
      <c r="AB7450">
        <v>21</v>
      </c>
      <c r="AC7450">
        <v>0.67929999999998303</v>
      </c>
      <c r="AD7450">
        <v>-0.2394058</v>
      </c>
      <c r="AE7450">
        <v>1.3390000000015299E-2</v>
      </c>
      <c r="AF7450">
        <v>5.9956565593614897E-2</v>
      </c>
      <c r="AG7450">
        <v>-0.2394058</v>
      </c>
      <c r="AH7450">
        <v>0.60141021172119702</v>
      </c>
      <c r="AI7450">
        <v>111.60903830055599</v>
      </c>
      <c r="AJ7450">
        <v>84.306806308872197</v>
      </c>
      <c r="AK7450">
        <v>0.65008012551835204</v>
      </c>
      <c r="AL7450">
        <v>86.683542678306694</v>
      </c>
      <c r="AM7450">
        <v>90.380322269420304</v>
      </c>
      <c r="AN7450">
        <v>0.99999995258113505</v>
      </c>
    </row>
    <row r="7451" spans="1:40" x14ac:dyDescent="0.25">
      <c r="A7451" t="str">
        <f>"20190312160516135"</f>
        <v>20190312160516135</v>
      </c>
      <c r="B7451" t="str">
        <f>"1552377916132450"</f>
        <v>1552377916132450</v>
      </c>
      <c r="C7451" t="s">
        <v>40</v>
      </c>
      <c r="D7451">
        <v>5.8205559999999998</v>
      </c>
      <c r="E7451">
        <v>0.526555</v>
      </c>
      <c r="F7451" t="s">
        <v>49</v>
      </c>
      <c r="G7451">
        <v>-253.79349999999999</v>
      </c>
      <c r="H7451">
        <v>0.92037749999999996</v>
      </c>
      <c r="I7451">
        <v>-66.192610000000002</v>
      </c>
      <c r="J7451">
        <v>-254.38849999999999</v>
      </c>
      <c r="K7451">
        <v>1.109227</v>
      </c>
      <c r="L7451">
        <v>-66.210169999999906</v>
      </c>
      <c r="M7451">
        <v>0.99294300000000002</v>
      </c>
      <c r="N7451">
        <v>0</v>
      </c>
      <c r="O7451">
        <v>0.1180532</v>
      </c>
      <c r="P7451">
        <v>0.99115319999999996</v>
      </c>
      <c r="Q7451">
        <v>4.6669040000000002E-2</v>
      </c>
      <c r="R7451">
        <v>0.12424689999999999</v>
      </c>
      <c r="S7451">
        <v>3.049744</v>
      </c>
      <c r="T7451">
        <v>-0.82356640000000003</v>
      </c>
      <c r="U7451">
        <v>0.12774659999999999</v>
      </c>
      <c r="V7451">
        <v>-6.2363269999999998E-3</v>
      </c>
      <c r="W7451">
        <v>5.7958839999999998E-2</v>
      </c>
      <c r="X7451">
        <v>0.99829950000000001</v>
      </c>
      <c r="Y7451">
        <v>6.9708119999999998E-2</v>
      </c>
      <c r="Z7451">
        <v>-4.0475480000000001E-2</v>
      </c>
      <c r="AA7451">
        <v>0.99674589999999996</v>
      </c>
      <c r="AB7451">
        <v>21</v>
      </c>
      <c r="AC7451">
        <v>0.59499999999999797</v>
      </c>
      <c r="AD7451">
        <v>-0.188849499999999</v>
      </c>
      <c r="AE7451">
        <v>1.75599999999889E-2</v>
      </c>
      <c r="AF7451">
        <v>4.79797211642016E-2</v>
      </c>
      <c r="AG7451">
        <v>-0.188849499999999</v>
      </c>
      <c r="AH7451">
        <v>0.53869187122380002</v>
      </c>
      <c r="AI7451">
        <v>109.248600535245</v>
      </c>
      <c r="AJ7451">
        <v>84.910261768576405</v>
      </c>
      <c r="AK7451">
        <v>0.57284825164771502</v>
      </c>
      <c r="AL7451">
        <v>86.6773410655275</v>
      </c>
      <c r="AM7451">
        <v>90.357919210487694</v>
      </c>
      <c r="AN7451">
        <v>1.00000000530442</v>
      </c>
    </row>
    <row r="7452" spans="1:40" x14ac:dyDescent="0.25">
      <c r="A7452" t="str">
        <f>"20190312160516147"</f>
        <v>20190312160516147</v>
      </c>
      <c r="B7452" t="str">
        <f>"1552377916142213"</f>
        <v>1552377916142213</v>
      </c>
      <c r="C7452" t="s">
        <v>40</v>
      </c>
      <c r="D7452">
        <v>5.843013</v>
      </c>
      <c r="E7452">
        <v>0.52554519999999905</v>
      </c>
      <c r="F7452" t="s">
        <v>49</v>
      </c>
      <c r="G7452">
        <v>-253.5949</v>
      </c>
      <c r="H7452">
        <v>0.9469455</v>
      </c>
      <c r="I7452">
        <v>-66.170199999999994</v>
      </c>
      <c r="J7452">
        <v>-254.28200000000001</v>
      </c>
      <c r="K7452">
        <v>1.1092040000000001</v>
      </c>
      <c r="L7452">
        <v>-66.198300000000003</v>
      </c>
      <c r="M7452">
        <v>0.99303269999999999</v>
      </c>
      <c r="N7452">
        <v>0</v>
      </c>
      <c r="O7452">
        <v>0.1173003</v>
      </c>
      <c r="P7452">
        <v>0.99130030000000002</v>
      </c>
      <c r="Q7452">
        <v>4.6642080000000002E-2</v>
      </c>
      <c r="R7452">
        <v>0.1230789</v>
      </c>
      <c r="S7452">
        <v>3.0367739999999999</v>
      </c>
      <c r="T7452">
        <v>-0.62090840000000003</v>
      </c>
      <c r="U7452">
        <v>0.1534729</v>
      </c>
      <c r="V7452">
        <v>-5.8145840000000002E-3</v>
      </c>
      <c r="W7452">
        <v>5.790932E-2</v>
      </c>
      <c r="X7452">
        <v>0.99830490000000005</v>
      </c>
      <c r="Y7452">
        <v>6.3319539999999994E-2</v>
      </c>
      <c r="Z7452">
        <v>-3.006901E-2</v>
      </c>
      <c r="AA7452">
        <v>0.99754019999999999</v>
      </c>
      <c r="AB7452">
        <v>21</v>
      </c>
      <c r="AC7452">
        <v>0.68710000000001503</v>
      </c>
      <c r="AD7452">
        <v>-0.1622585</v>
      </c>
      <c r="AE7452">
        <v>2.81000000000091E-2</v>
      </c>
      <c r="AF7452">
        <v>4.99170916953788E-2</v>
      </c>
      <c r="AG7452">
        <v>-0.1622585</v>
      </c>
      <c r="AH7452">
        <v>0.64949274754200503</v>
      </c>
      <c r="AI7452">
        <v>103.987098721246</v>
      </c>
      <c r="AJ7452">
        <v>85.605143600581698</v>
      </c>
      <c r="AK7452">
        <v>0.67131242054295204</v>
      </c>
      <c r="AL7452">
        <v>86.680183062005796</v>
      </c>
      <c r="AM7452">
        <v>90.333713032556204</v>
      </c>
      <c r="AN7452">
        <v>0.99999998604698204</v>
      </c>
    </row>
    <row r="7453" spans="1:40" x14ac:dyDescent="0.25">
      <c r="A7453" t="str">
        <f>"20190312160516158"</f>
        <v>20190312160516158</v>
      </c>
      <c r="B7453" t="str">
        <f>"1552377916152945"</f>
        <v>1552377916152945</v>
      </c>
      <c r="C7453" t="s">
        <v>40</v>
      </c>
      <c r="D7453">
        <v>5.833456</v>
      </c>
      <c r="E7453">
        <v>0.52554519999999905</v>
      </c>
      <c r="F7453" t="s">
        <v>49</v>
      </c>
      <c r="G7453">
        <v>-253.57759999999999</v>
      </c>
      <c r="H7453">
        <v>0.9841626</v>
      </c>
      <c r="I7453">
        <v>-66.161410000000004</v>
      </c>
      <c r="J7453">
        <v>-254.1738</v>
      </c>
      <c r="K7453">
        <v>1.1091899999999999</v>
      </c>
      <c r="L7453">
        <v>-66.186430000000001</v>
      </c>
      <c r="M7453">
        <v>0.99312469999999997</v>
      </c>
      <c r="N7453">
        <v>0</v>
      </c>
      <c r="O7453">
        <v>0.1165205</v>
      </c>
      <c r="P7453">
        <v>0.99139310000000003</v>
      </c>
      <c r="Q7453">
        <v>4.6915209999999999E-2</v>
      </c>
      <c r="R7453">
        <v>0.1222249</v>
      </c>
      <c r="S7453">
        <v>3.0318450000000001</v>
      </c>
      <c r="T7453">
        <v>-0.53814549999999906</v>
      </c>
      <c r="U7453">
        <v>0.1593628</v>
      </c>
      <c r="V7453">
        <v>-5.7383369999999996E-3</v>
      </c>
      <c r="W7453">
        <v>5.8158290000000001E-2</v>
      </c>
      <c r="X7453">
        <v>0.99829089999999998</v>
      </c>
      <c r="Y7453">
        <v>6.1470200000000003E-2</v>
      </c>
      <c r="Z7453">
        <v>-2.5867790000000002E-2</v>
      </c>
      <c r="AA7453">
        <v>0.99777360000000004</v>
      </c>
      <c r="AB7453">
        <v>21</v>
      </c>
      <c r="AC7453">
        <v>0.59620000000001006</v>
      </c>
      <c r="AD7453">
        <v>-0.12502739999999901</v>
      </c>
      <c r="AE7453">
        <v>2.5019999999997801E-2</v>
      </c>
      <c r="AF7453">
        <v>4.2747744009644401E-2</v>
      </c>
      <c r="AG7453">
        <v>-0.12502739999999901</v>
      </c>
      <c r="AH7453">
        <v>0.57002969429997197</v>
      </c>
      <c r="AI7453">
        <v>102.337486735071</v>
      </c>
      <c r="AJ7453">
        <v>85.711294760068498</v>
      </c>
      <c r="AK7453">
        <v>0.58514363429195204</v>
      </c>
      <c r="AL7453">
        <v>86.665894156144205</v>
      </c>
      <c r="AM7453">
        <v>90.329341748437898</v>
      </c>
      <c r="AN7453">
        <v>1.0000000181150199</v>
      </c>
    </row>
    <row r="7454" spans="1:40" x14ac:dyDescent="0.25">
      <c r="A7454" t="str">
        <f>"20190312160516170"</f>
        <v>20190312160516170</v>
      </c>
      <c r="B7454" t="str">
        <f>"1552377916162706"</f>
        <v>1552377916162706</v>
      </c>
      <c r="C7454" t="s">
        <v>40</v>
      </c>
      <c r="D7454">
        <v>5.8540869999999998</v>
      </c>
      <c r="E7454">
        <v>0.52437919999999905</v>
      </c>
      <c r="F7454" t="s">
        <v>49</v>
      </c>
      <c r="G7454">
        <v>-253.39699999999999</v>
      </c>
      <c r="H7454">
        <v>0.97151270000000001</v>
      </c>
      <c r="I7454">
        <v>-66.146349999999998</v>
      </c>
      <c r="J7454">
        <v>-254.06700000000001</v>
      </c>
      <c r="K7454">
        <v>1.1091789999999999</v>
      </c>
      <c r="L7454">
        <v>-66.174769999999995</v>
      </c>
      <c r="M7454">
        <v>0.99321530000000002</v>
      </c>
      <c r="N7454">
        <v>0</v>
      </c>
      <c r="O7454">
        <v>0.11574810000000001</v>
      </c>
      <c r="P7454">
        <v>0.99145499999999998</v>
      </c>
      <c r="Q7454">
        <v>4.7466460000000002E-2</v>
      </c>
      <c r="R7454">
        <v>0.1215067</v>
      </c>
      <c r="S7454">
        <v>3.0321660000000001</v>
      </c>
      <c r="T7454">
        <v>-0.53731640000000003</v>
      </c>
      <c r="U7454">
        <v>0.15676880000000001</v>
      </c>
      <c r="V7454">
        <v>-5.7919470000000004E-3</v>
      </c>
      <c r="W7454">
        <v>5.8685719999999997E-2</v>
      </c>
      <c r="X7454">
        <v>0.99825969999999997</v>
      </c>
      <c r="Y7454">
        <v>6.157E-2</v>
      </c>
      <c r="Z7454">
        <v>-2.5700600000000001E-2</v>
      </c>
      <c r="AA7454">
        <v>0.99777179999999999</v>
      </c>
      <c r="AB7454">
        <v>21</v>
      </c>
      <c r="AC7454">
        <v>0.66999999999998705</v>
      </c>
      <c r="AD7454">
        <v>-0.13766629999999999</v>
      </c>
      <c r="AE7454">
        <v>2.8419999999997E-2</v>
      </c>
      <c r="AF7454">
        <v>4.7332421595358401E-2</v>
      </c>
      <c r="AG7454">
        <v>-0.13766629999999999</v>
      </c>
      <c r="AH7454">
        <v>0.64174100100829501</v>
      </c>
      <c r="AI7454">
        <v>102.07575759379</v>
      </c>
      <c r="AJ7454">
        <v>85.781715174346502</v>
      </c>
      <c r="AK7454">
        <v>0.65804550045182997</v>
      </c>
      <c r="AL7454">
        <v>86.635622859887505</v>
      </c>
      <c r="AM7454">
        <v>90.3324289205746</v>
      </c>
      <c r="AN7454">
        <v>0.99999999451302901</v>
      </c>
    </row>
    <row r="7455" spans="1:40" x14ac:dyDescent="0.25">
      <c r="A7455" t="str">
        <f>"20190312160516181"</f>
        <v>20190312160516181</v>
      </c>
      <c r="B7455" t="str">
        <f>"1552377916172465"</f>
        <v>1552377916172465</v>
      </c>
      <c r="C7455" t="s">
        <v>40</v>
      </c>
      <c r="D7455">
        <v>5.6639080000000002</v>
      </c>
      <c r="E7455">
        <v>0.52407689999999996</v>
      </c>
      <c r="F7455" t="s">
        <v>49</v>
      </c>
      <c r="G7455">
        <v>-253.21360000000001</v>
      </c>
      <c r="H7455">
        <v>0.96482179999999995</v>
      </c>
      <c r="I7455">
        <v>-66.128600000000006</v>
      </c>
      <c r="J7455">
        <v>-253.96420000000001</v>
      </c>
      <c r="K7455">
        <v>1.109173</v>
      </c>
      <c r="L7455">
        <v>-66.163640000000001</v>
      </c>
      <c r="M7455">
        <v>0.99330260000000004</v>
      </c>
      <c r="N7455">
        <v>0</v>
      </c>
      <c r="O7455">
        <v>0.114997699999999</v>
      </c>
      <c r="P7455">
        <v>0.99150130000000003</v>
      </c>
      <c r="Q7455">
        <v>4.7685909999999998E-2</v>
      </c>
      <c r="R7455">
        <v>0.1210444</v>
      </c>
      <c r="S7455">
        <v>3.0302889999999998</v>
      </c>
      <c r="T7455">
        <v>-0.51247799999999999</v>
      </c>
      <c r="U7455">
        <v>0.1643066</v>
      </c>
      <c r="V7455">
        <v>-6.0817659999999997E-3</v>
      </c>
      <c r="W7455">
        <v>5.8881839999999998E-2</v>
      </c>
      <c r="X7455">
        <v>0.99824639999999998</v>
      </c>
      <c r="Y7455">
        <v>5.860485E-2</v>
      </c>
      <c r="Z7455">
        <v>-2.416834E-2</v>
      </c>
      <c r="AA7455">
        <v>0.9979886</v>
      </c>
      <c r="AB7455">
        <v>21</v>
      </c>
      <c r="AC7455">
        <v>0.75059999999999105</v>
      </c>
      <c r="AD7455">
        <v>-0.14435119999999901</v>
      </c>
      <c r="AE7455">
        <v>3.5039999999994999E-2</v>
      </c>
      <c r="AF7455">
        <v>4.9681708404885297E-2</v>
      </c>
      <c r="AG7455">
        <v>-0.14435119999999901</v>
      </c>
      <c r="AH7455">
        <v>0.722968748329745</v>
      </c>
      <c r="AI7455">
        <v>101.265561799982</v>
      </c>
      <c r="AJ7455">
        <v>86.068870047230604</v>
      </c>
      <c r="AK7455">
        <v>0.73891092301639905</v>
      </c>
      <c r="AL7455">
        <v>86.624366453559801</v>
      </c>
      <c r="AM7455">
        <v>90.349067336997294</v>
      </c>
      <c r="AN7455">
        <v>0.99999996703621097</v>
      </c>
    </row>
    <row r="7456" spans="1:40" x14ac:dyDescent="0.25">
      <c r="A7456" t="str">
        <f>"20190312160516192"</f>
        <v>20190312160516192</v>
      </c>
      <c r="B7456" t="str">
        <f>"1552377916182226"</f>
        <v>1552377916182226</v>
      </c>
      <c r="C7456" t="s">
        <v>40</v>
      </c>
      <c r="D7456">
        <v>5.8134940000000004</v>
      </c>
      <c r="E7456">
        <v>0.52444209999999902</v>
      </c>
      <c r="F7456" t="s">
        <v>49</v>
      </c>
      <c r="G7456">
        <v>-253.2022</v>
      </c>
      <c r="H7456">
        <v>0.98937679999999995</v>
      </c>
      <c r="I7456">
        <v>-66.122079999999997</v>
      </c>
      <c r="J7456">
        <v>-253.8621</v>
      </c>
      <c r="K7456">
        <v>1.1091679999999999</v>
      </c>
      <c r="L7456">
        <v>-66.152649999999994</v>
      </c>
      <c r="M7456">
        <v>0.99338910000000002</v>
      </c>
      <c r="N7456">
        <v>0</v>
      </c>
      <c r="O7456">
        <v>0.11425109999999999</v>
      </c>
      <c r="P7456">
        <v>0.9915562</v>
      </c>
      <c r="Q7456">
        <v>4.8141759999999999E-2</v>
      </c>
      <c r="R7456">
        <v>0.1204115</v>
      </c>
      <c r="S7456">
        <v>3.028397</v>
      </c>
      <c r="T7456">
        <v>-0.47605720000000001</v>
      </c>
      <c r="U7456">
        <v>0.1655884</v>
      </c>
      <c r="V7456">
        <v>-6.1958469999999896E-3</v>
      </c>
      <c r="W7456">
        <v>5.9313579999999998E-2</v>
      </c>
      <c r="X7456">
        <v>0.99822010000000005</v>
      </c>
      <c r="Y7456">
        <v>5.7750250000000003E-2</v>
      </c>
      <c r="Z7456">
        <v>-2.230325E-2</v>
      </c>
      <c r="AA7456">
        <v>0.99808189999999997</v>
      </c>
      <c r="AB7456">
        <v>21</v>
      </c>
      <c r="AC7456">
        <v>0.65989999999999305</v>
      </c>
      <c r="AD7456">
        <v>-0.119791199999999</v>
      </c>
      <c r="AE7456">
        <v>3.05699999999831E-2</v>
      </c>
      <c r="AF7456">
        <v>4.35956781910933E-2</v>
      </c>
      <c r="AG7456">
        <v>-0.119791199999999</v>
      </c>
      <c r="AH7456">
        <v>0.63808937993329795</v>
      </c>
      <c r="AI7456">
        <v>100.608450091029</v>
      </c>
      <c r="AJ7456">
        <v>86.091499555333201</v>
      </c>
      <c r="AK7456">
        <v>0.65069852584591104</v>
      </c>
      <c r="AL7456">
        <v>86.599586131333297</v>
      </c>
      <c r="AM7456">
        <v>90.355624300603907</v>
      </c>
      <c r="AN7456">
        <v>0.99999992866823395</v>
      </c>
    </row>
    <row r="7457" spans="1:40" x14ac:dyDescent="0.25">
      <c r="A7457" t="str">
        <f>"20190312160516203"</f>
        <v>20190312160516203</v>
      </c>
      <c r="B7457" t="str">
        <f>"1552377916192962"</f>
        <v>1552377916192962</v>
      </c>
      <c r="C7457" t="s">
        <v>40</v>
      </c>
      <c r="D7457">
        <v>5.7465789999999997</v>
      </c>
      <c r="E7457">
        <v>0.52461650000000004</v>
      </c>
      <c r="F7457" t="s">
        <v>49</v>
      </c>
      <c r="G7457">
        <v>-253.01589999999999</v>
      </c>
      <c r="H7457">
        <v>0.98747790000000002</v>
      </c>
      <c r="I7457">
        <v>-66.107699999999994</v>
      </c>
      <c r="J7457">
        <v>-253.75399999999999</v>
      </c>
      <c r="K7457">
        <v>1.109164</v>
      </c>
      <c r="L7457">
        <v>-66.141080000000002</v>
      </c>
      <c r="M7457">
        <v>0.99348009999999998</v>
      </c>
      <c r="N7457">
        <v>0</v>
      </c>
      <c r="O7457">
        <v>0.1134594</v>
      </c>
      <c r="P7457">
        <v>0.99156339999999998</v>
      </c>
      <c r="Q7457">
        <v>4.8691659999999998E-2</v>
      </c>
      <c r="R7457">
        <v>0.1201308</v>
      </c>
      <c r="S7457">
        <v>3.0271150000000002</v>
      </c>
      <c r="T7457">
        <v>-0.43529420000000002</v>
      </c>
      <c r="U7457">
        <v>0.16116329999999901</v>
      </c>
      <c r="V7457">
        <v>-6.7106550000000003E-3</v>
      </c>
      <c r="W7457">
        <v>5.9839070000000001E-2</v>
      </c>
      <c r="X7457">
        <v>0.99818549999999995</v>
      </c>
      <c r="Y7457">
        <v>5.8724989999999998E-2</v>
      </c>
      <c r="Z7457">
        <v>-2.0380680000000002E-2</v>
      </c>
      <c r="AA7457">
        <v>0.99806609999999996</v>
      </c>
      <c r="AB7457">
        <v>21</v>
      </c>
      <c r="AC7457">
        <v>0.73810000000003095</v>
      </c>
      <c r="AD7457">
        <v>-0.12168610000000001</v>
      </c>
      <c r="AE7457">
        <v>3.3380000000008098E-2</v>
      </c>
      <c r="AF7457">
        <v>4.9249290276907297E-2</v>
      </c>
      <c r="AG7457">
        <v>-0.12168610000000001</v>
      </c>
      <c r="AH7457">
        <v>0.71765460082518395</v>
      </c>
      <c r="AI7457">
        <v>99.601426716804795</v>
      </c>
      <c r="AJ7457">
        <v>86.074212735831196</v>
      </c>
      <c r="AK7457">
        <v>0.72956228357251496</v>
      </c>
      <c r="AL7457">
        <v>86.569424507614599</v>
      </c>
      <c r="AM7457">
        <v>90.3851853356161</v>
      </c>
      <c r="AN7457">
        <v>1.0000000197996199</v>
      </c>
    </row>
    <row r="7458" spans="1:40" x14ac:dyDescent="0.25">
      <c r="A7458" t="str">
        <f>"20190312160516213"</f>
        <v>20190312160516213</v>
      </c>
      <c r="B7458" t="str">
        <f>"1552377916202723"</f>
        <v>1552377916202723</v>
      </c>
      <c r="C7458" t="s">
        <v>40</v>
      </c>
      <c r="D7458">
        <v>5.8712669999999996</v>
      </c>
      <c r="E7458">
        <v>0.52349920000000005</v>
      </c>
      <c r="F7458" t="s">
        <v>49</v>
      </c>
      <c r="G7458">
        <v>-253.00640000000001</v>
      </c>
      <c r="H7458">
        <v>1.0080690000000001</v>
      </c>
      <c r="I7458">
        <v>-66.101869999999906</v>
      </c>
      <c r="J7458">
        <v>-253.66149999999999</v>
      </c>
      <c r="K7458">
        <v>1.1091679999999999</v>
      </c>
      <c r="L7458">
        <v>-66.131290000000007</v>
      </c>
      <c r="M7458">
        <v>0.99355749999999998</v>
      </c>
      <c r="N7458">
        <v>0</v>
      </c>
      <c r="O7458">
        <v>0.1127823</v>
      </c>
      <c r="P7458">
        <v>0.99164280000000005</v>
      </c>
      <c r="Q7458">
        <v>4.8782619999999999E-2</v>
      </c>
      <c r="R7458">
        <v>0.1194364</v>
      </c>
      <c r="S7458">
        <v>3.0263369999999998</v>
      </c>
      <c r="T7458">
        <v>-0.40919860000000002</v>
      </c>
      <c r="U7458">
        <v>0.1591187</v>
      </c>
      <c r="V7458">
        <v>-6.6925419999999897E-3</v>
      </c>
      <c r="W7458">
        <v>5.9907139999999998E-2</v>
      </c>
      <c r="X7458">
        <v>0.99818150000000005</v>
      </c>
      <c r="Y7458">
        <v>5.8910789999999998E-2</v>
      </c>
      <c r="Z7458">
        <v>-1.909756E-2</v>
      </c>
      <c r="AA7458">
        <v>0.99808059999999998</v>
      </c>
      <c r="AB7458">
        <v>21</v>
      </c>
      <c r="AC7458">
        <v>0.65509999999997603</v>
      </c>
      <c r="AD7458">
        <v>-0.101098999999999</v>
      </c>
      <c r="AE7458">
        <v>2.9420000000015899E-2</v>
      </c>
      <c r="AF7458">
        <v>4.3619216481709598E-2</v>
      </c>
      <c r="AG7458">
        <v>-0.101098999999999</v>
      </c>
      <c r="AH7458">
        <v>0.63904873182145405</v>
      </c>
      <c r="AI7458">
        <v>98.969292042290206</v>
      </c>
      <c r="AJ7458">
        <v>86.095248311308893</v>
      </c>
      <c r="AK7458">
        <v>0.64846505340695604</v>
      </c>
      <c r="AL7458">
        <v>86.565517241984395</v>
      </c>
      <c r="AM7458">
        <v>90.384147236851007</v>
      </c>
      <c r="AN7458">
        <v>0.99999998124182499</v>
      </c>
    </row>
    <row r="7459" spans="1:40" x14ac:dyDescent="0.25">
      <c r="A7459" t="str">
        <f>"20190312160516224"</f>
        <v>20190312160516224</v>
      </c>
      <c r="B7459" t="str">
        <f>"1552377916212483"</f>
        <v>1552377916212483</v>
      </c>
      <c r="C7459" t="s">
        <v>40</v>
      </c>
      <c r="D7459">
        <v>5.8034800000000004</v>
      </c>
      <c r="E7459">
        <v>0.52349920000000005</v>
      </c>
      <c r="F7459" t="s">
        <v>49</v>
      </c>
      <c r="G7459">
        <v>-252.82069999999999</v>
      </c>
      <c r="H7459">
        <v>1.0050939999999999</v>
      </c>
      <c r="I7459">
        <v>-66.085030000000003</v>
      </c>
      <c r="J7459">
        <v>-253.55529999999999</v>
      </c>
      <c r="K7459">
        <v>1.109167</v>
      </c>
      <c r="L7459">
        <v>-66.120059999999995</v>
      </c>
      <c r="M7459">
        <v>0.99364569999999997</v>
      </c>
      <c r="N7459">
        <v>0</v>
      </c>
      <c r="O7459">
        <v>0.1120047</v>
      </c>
      <c r="P7459">
        <v>0.99169980000000002</v>
      </c>
      <c r="Q7459">
        <v>4.9033960000000001E-2</v>
      </c>
      <c r="R7459">
        <v>0.11885859999999999</v>
      </c>
      <c r="S7459">
        <v>3.0236360000000002</v>
      </c>
      <c r="T7459">
        <v>-0.37422450000000002</v>
      </c>
      <c r="U7459">
        <v>0.16644289999999901</v>
      </c>
      <c r="V7459">
        <v>-6.8942589999999998E-3</v>
      </c>
      <c r="W7459">
        <v>6.0131329999999997E-2</v>
      </c>
      <c r="X7459">
        <v>0.99816669999999996</v>
      </c>
      <c r="Y7459">
        <v>5.5951059999999997E-2</v>
      </c>
      <c r="Z7459">
        <v>-1.7214509999999999E-2</v>
      </c>
      <c r="AA7459">
        <v>0.99828510000000004</v>
      </c>
      <c r="AB7459">
        <v>21</v>
      </c>
      <c r="AC7459">
        <v>0.73460000000000003</v>
      </c>
      <c r="AD7459">
        <v>-0.104072999999999</v>
      </c>
      <c r="AE7459">
        <v>3.5029999999991901E-2</v>
      </c>
      <c r="AF7459">
        <v>4.6542128498591198E-2</v>
      </c>
      <c r="AG7459">
        <v>-0.104072999999999</v>
      </c>
      <c r="AH7459">
        <v>0.71949250824535704</v>
      </c>
      <c r="AI7459">
        <v>98.213689497262706</v>
      </c>
      <c r="AJ7459">
        <v>86.298839408115796</v>
      </c>
      <c r="AK7459">
        <v>0.72846882464205398</v>
      </c>
      <c r="AL7459">
        <v>86.5526490853361</v>
      </c>
      <c r="AM7459">
        <v>90.395731156256105</v>
      </c>
      <c r="AN7459">
        <v>1.0000000343218001</v>
      </c>
    </row>
    <row r="7460" spans="1:40" x14ac:dyDescent="0.25">
      <c r="A7460" t="str">
        <f>"20190312160516236"</f>
        <v>20190312160516236</v>
      </c>
      <c r="B7460" t="str">
        <f>"1552377916232977"</f>
        <v>1552377916232977</v>
      </c>
      <c r="C7460" t="s">
        <v>40</v>
      </c>
      <c r="D7460">
        <v>5.7955180000000004</v>
      </c>
      <c r="E7460">
        <v>0.50981449999999995</v>
      </c>
      <c r="F7460" t="s">
        <v>49</v>
      </c>
      <c r="G7460">
        <v>-252.815</v>
      </c>
      <c r="H7460">
        <v>1.0177149999999999</v>
      </c>
      <c r="I7460">
        <v>-66.079729999999998</v>
      </c>
      <c r="J7460">
        <v>-253.44710000000001</v>
      </c>
      <c r="K7460">
        <v>1.109167</v>
      </c>
      <c r="L7460">
        <v>-66.108829999999998</v>
      </c>
      <c r="M7460">
        <v>0.99373460000000002</v>
      </c>
      <c r="N7460">
        <v>0</v>
      </c>
      <c r="O7460">
        <v>0.1112157</v>
      </c>
      <c r="P7460">
        <v>0.99174790000000002</v>
      </c>
      <c r="Q7460">
        <v>4.9365100000000002E-2</v>
      </c>
      <c r="R7460">
        <v>0.118318699999999</v>
      </c>
      <c r="S7460">
        <v>3.023819</v>
      </c>
      <c r="T7460">
        <v>-0.37353399999999998</v>
      </c>
      <c r="U7460">
        <v>0.164856</v>
      </c>
      <c r="V7460">
        <v>-7.1454359999999998E-3</v>
      </c>
      <c r="W7460">
        <v>6.0434990000000001E-2</v>
      </c>
      <c r="X7460">
        <v>0.99814650000000005</v>
      </c>
      <c r="Y7460">
        <v>5.5696639999999999E-2</v>
      </c>
      <c r="Z7460">
        <v>-1.7070229999999999E-2</v>
      </c>
      <c r="AA7460">
        <v>0.99830180000000002</v>
      </c>
      <c r="AB7460">
        <v>21</v>
      </c>
      <c r="AC7460">
        <v>0.63210000000000799</v>
      </c>
      <c r="AD7460">
        <v>-9.1452000000000006E-2</v>
      </c>
      <c r="AE7460">
        <v>2.9100000000013799E-2</v>
      </c>
      <c r="AF7460">
        <v>4.0537558703606598E-2</v>
      </c>
      <c r="AG7460">
        <v>-9.1452000000000006E-2</v>
      </c>
      <c r="AH7460">
        <v>0.61849563617342795</v>
      </c>
      <c r="AI7460">
        <v>98.393174268500303</v>
      </c>
      <c r="AJ7460">
        <v>86.250072596239306</v>
      </c>
      <c r="AK7460">
        <v>0.62653301104987402</v>
      </c>
      <c r="AL7460">
        <v>86.535218623630399</v>
      </c>
      <c r="AM7460">
        <v>90.410156557403795</v>
      </c>
      <c r="AN7460">
        <v>0.99999994036708795</v>
      </c>
    </row>
    <row r="7461" spans="1:40" x14ac:dyDescent="0.25">
      <c r="A7461" t="str">
        <f>"20190312160516248"</f>
        <v>20190312160516248</v>
      </c>
      <c r="B7461" t="str">
        <f>"1552377916242738"</f>
        <v>1552377916242738</v>
      </c>
      <c r="C7461" t="s">
        <v>40</v>
      </c>
      <c r="D7461">
        <v>5.3825849999999997</v>
      </c>
      <c r="E7461">
        <v>0.50825849999999995</v>
      </c>
      <c r="F7461" t="s">
        <v>54</v>
      </c>
      <c r="G7461">
        <v>-157.3501</v>
      </c>
      <c r="H7461">
        <v>3.784246</v>
      </c>
      <c r="I7461">
        <v>-57.214199999999998</v>
      </c>
      <c r="J7461">
        <v>-253.3357</v>
      </c>
      <c r="K7461">
        <v>1.109167</v>
      </c>
      <c r="L7461">
        <v>-66.097200000000001</v>
      </c>
      <c r="M7461">
        <v>0.99382539999999997</v>
      </c>
      <c r="N7461">
        <v>0</v>
      </c>
      <c r="O7461">
        <v>0.11040410000000001</v>
      </c>
      <c r="P7461">
        <v>0.99178759999999999</v>
      </c>
      <c r="Q7461">
        <v>4.9726010000000001E-2</v>
      </c>
      <c r="R7461">
        <v>0.1178329</v>
      </c>
      <c r="S7461">
        <v>2.9878390000000001</v>
      </c>
      <c r="T7461">
        <v>8.3172560000000006E-2</v>
      </c>
      <c r="U7461">
        <v>0.27655030000000003</v>
      </c>
      <c r="V7461">
        <v>-7.473693E-3</v>
      </c>
      <c r="W7461">
        <v>6.0767210000000002E-2</v>
      </c>
      <c r="X7461">
        <v>0.99812400000000001</v>
      </c>
      <c r="Y7461">
        <v>1.8290480000000001E-2</v>
      </c>
      <c r="Z7461">
        <v>3.3117480000000002E-3</v>
      </c>
      <c r="AA7461">
        <v>0.99982720000000003</v>
      </c>
      <c r="AB7461">
        <v>21</v>
      </c>
      <c r="AC7461">
        <v>95.985600000000005</v>
      </c>
      <c r="AD7461">
        <v>2.6750790000000002</v>
      </c>
      <c r="AE7461">
        <v>8.8829999999999991</v>
      </c>
      <c r="AF7461">
        <v>1.7677992686038</v>
      </c>
      <c r="AG7461">
        <v>2.6750790000000002</v>
      </c>
      <c r="AH7461">
        <v>96.305360197856601</v>
      </c>
      <c r="AI7461">
        <v>88.409169134230396</v>
      </c>
      <c r="AJ7461">
        <v>88.9483860196991</v>
      </c>
      <c r="AK7461">
        <v>96.358723345368304</v>
      </c>
      <c r="AL7461">
        <v>86.516149028432295</v>
      </c>
      <c r="AM7461">
        <v>90.429007882603798</v>
      </c>
      <c r="AN7461">
        <v>1.00000001463712</v>
      </c>
    </row>
    <row r="7462" spans="1:40" x14ac:dyDescent="0.25">
      <c r="A7462" t="str">
        <f>"20190312160516258"</f>
        <v>20190312160516258</v>
      </c>
      <c r="B7462" t="str">
        <f>"1552377916252497"</f>
        <v>1552377916252497</v>
      </c>
      <c r="C7462" t="s">
        <v>40</v>
      </c>
      <c r="D7462">
        <v>5.949986</v>
      </c>
      <c r="E7462">
        <v>0.50846740000000001</v>
      </c>
      <c r="F7462" t="s">
        <v>54</v>
      </c>
      <c r="G7462">
        <v>-157.3501</v>
      </c>
      <c r="H7462">
        <v>2.8497539999999999</v>
      </c>
      <c r="I7462">
        <v>-56.875230000000002</v>
      </c>
      <c r="J7462">
        <v>-253.23679999999999</v>
      </c>
      <c r="K7462">
        <v>1.109167</v>
      </c>
      <c r="L7462">
        <v>-66.087069999999997</v>
      </c>
      <c r="M7462">
        <v>0.99390500000000004</v>
      </c>
      <c r="N7462">
        <v>0</v>
      </c>
      <c r="O7462">
        <v>0.1096887</v>
      </c>
      <c r="P7462">
        <v>0.99182579999999998</v>
      </c>
      <c r="Q7462">
        <v>5.0098620000000003E-2</v>
      </c>
      <c r="R7462">
        <v>0.1173541</v>
      </c>
      <c r="S7462">
        <v>2.988022</v>
      </c>
      <c r="T7462">
        <v>5.4183599999999998E-2</v>
      </c>
      <c r="U7462">
        <v>0.28707890000000003</v>
      </c>
      <c r="V7462">
        <v>-7.7124519999999998E-3</v>
      </c>
      <c r="W7462">
        <v>6.1113229999999998E-2</v>
      </c>
      <c r="X7462">
        <v>0.99810109999999996</v>
      </c>
      <c r="Y7462">
        <v>1.411341E-2</v>
      </c>
      <c r="Z7462">
        <v>2.1064949999999999E-3</v>
      </c>
      <c r="AA7462">
        <v>0.99989819999999996</v>
      </c>
      <c r="AB7462">
        <v>21</v>
      </c>
      <c r="AC7462">
        <v>95.886700000000005</v>
      </c>
      <c r="AD7462">
        <v>1.7405870000000001</v>
      </c>
      <c r="AE7462">
        <v>9.2118399999999898</v>
      </c>
      <c r="AF7462">
        <v>1.3616316323080799</v>
      </c>
      <c r="AG7462">
        <v>1.7405870000000001</v>
      </c>
      <c r="AH7462">
        <v>96.287106470282495</v>
      </c>
      <c r="AI7462">
        <v>88.964477543266995</v>
      </c>
      <c r="AJ7462">
        <v>89.189813166273694</v>
      </c>
      <c r="AK7462">
        <v>96.312463140687001</v>
      </c>
      <c r="AL7462">
        <v>86.496286776783904</v>
      </c>
      <c r="AM7462">
        <v>90.442722841139101</v>
      </c>
      <c r="AN7462">
        <v>1.00000005730904</v>
      </c>
    </row>
    <row r="7463" spans="1:40" x14ac:dyDescent="0.25">
      <c r="A7463" t="str">
        <f>"20190312160516270"</f>
        <v>20190312160516270</v>
      </c>
      <c r="B7463" t="str">
        <f>"1552377916262258"</f>
        <v>1552377916262258</v>
      </c>
      <c r="C7463" t="s">
        <v>40</v>
      </c>
      <c r="D7463">
        <v>5.8075549999999998</v>
      </c>
      <c r="E7463">
        <v>0.50850519999999999</v>
      </c>
      <c r="F7463" t="s">
        <v>54</v>
      </c>
      <c r="G7463">
        <v>-157.3501</v>
      </c>
      <c r="H7463">
        <v>1.831458</v>
      </c>
      <c r="I7463">
        <v>-56.992420000000003</v>
      </c>
      <c r="J7463">
        <v>-253.13130000000001</v>
      </c>
      <c r="K7463">
        <v>1.1091679999999999</v>
      </c>
      <c r="L7463">
        <v>-66.076229999999995</v>
      </c>
      <c r="M7463">
        <v>0.99398909999999996</v>
      </c>
      <c r="N7463">
        <v>0</v>
      </c>
      <c r="O7463">
        <v>0.1089267</v>
      </c>
      <c r="P7463">
        <v>0.99189150000000004</v>
      </c>
      <c r="Q7463">
        <v>5.0038350000000002E-2</v>
      </c>
      <c r="R7463">
        <v>0.1168216</v>
      </c>
      <c r="S7463">
        <v>2.9900509999999998</v>
      </c>
      <c r="T7463">
        <v>2.2522690000000001E-2</v>
      </c>
      <c r="U7463">
        <v>0.28359990000000002</v>
      </c>
      <c r="V7463">
        <v>-7.9428459999999999E-3</v>
      </c>
      <c r="W7463">
        <v>6.1025179999999998E-2</v>
      </c>
      <c r="X7463">
        <v>0.99810460000000001</v>
      </c>
      <c r="Y7463">
        <v>1.458096E-2</v>
      </c>
      <c r="Z7463">
        <v>8.712139E-4</v>
      </c>
      <c r="AA7463">
        <v>0.99989329999999998</v>
      </c>
      <c r="AB7463">
        <v>21</v>
      </c>
      <c r="AC7463">
        <v>95.781199999999998</v>
      </c>
      <c r="AD7463">
        <v>0.72228999999999999</v>
      </c>
      <c r="AE7463">
        <v>9.0838100000000104</v>
      </c>
      <c r="AF7463">
        <v>1.4039274801053201</v>
      </c>
      <c r="AG7463">
        <v>0.72228999999999999</v>
      </c>
      <c r="AH7463">
        <v>96.195319780652397</v>
      </c>
      <c r="AI7463">
        <v>89.569844099529007</v>
      </c>
      <c r="AJ7463">
        <v>89.163853199264594</v>
      </c>
      <c r="AK7463">
        <v>96.208275438838797</v>
      </c>
      <c r="AL7463">
        <v>86.501340822176701</v>
      </c>
      <c r="AM7463">
        <v>90.455946147037807</v>
      </c>
      <c r="AN7463">
        <v>0.99999997696888498</v>
      </c>
    </row>
    <row r="7464" spans="1:40" x14ac:dyDescent="0.25">
      <c r="A7464" t="str">
        <f>"20190312160516279"</f>
        <v>20190312160516279</v>
      </c>
      <c r="B7464" t="str">
        <f>"1552377916272993"</f>
        <v>1552377916272993</v>
      </c>
      <c r="C7464" t="s">
        <v>40</v>
      </c>
      <c r="D7464">
        <v>5.9490669999999897</v>
      </c>
      <c r="E7464">
        <v>0.50831689999999996</v>
      </c>
      <c r="F7464" t="s">
        <v>54</v>
      </c>
      <c r="G7464">
        <v>-157.3501</v>
      </c>
      <c r="H7464">
        <v>1.1457630000000001</v>
      </c>
      <c r="I7464">
        <v>-57.066859999999998</v>
      </c>
      <c r="J7464">
        <v>-253.03380000000001</v>
      </c>
      <c r="K7464">
        <v>1.109167</v>
      </c>
      <c r="L7464">
        <v>-66.066379999999995</v>
      </c>
      <c r="M7464">
        <v>0.99406589999999995</v>
      </c>
      <c r="N7464">
        <v>0</v>
      </c>
      <c r="O7464">
        <v>0.10822619999999999</v>
      </c>
      <c r="P7464">
        <v>0.99194499999999997</v>
      </c>
      <c r="Q7464">
        <v>4.9922679999999997E-2</v>
      </c>
      <c r="R7464">
        <v>0.1164172</v>
      </c>
      <c r="S7464">
        <v>2.9913479999999999</v>
      </c>
      <c r="T7464">
        <v>1.1422629999999999E-3</v>
      </c>
      <c r="U7464">
        <v>0.28137210000000001</v>
      </c>
      <c r="V7464">
        <v>-8.2398990000000002E-3</v>
      </c>
      <c r="W7464">
        <v>6.0883819999999998E-2</v>
      </c>
      <c r="X7464">
        <v>0.99811079999999996</v>
      </c>
      <c r="Y7464">
        <v>1.4658590000000001E-2</v>
      </c>
      <c r="Z7464" s="1">
        <v>4.391787E-5</v>
      </c>
      <c r="AA7464">
        <v>0.99989249999999996</v>
      </c>
      <c r="AB7464">
        <v>21</v>
      </c>
      <c r="AC7464">
        <v>95.683700000000002</v>
      </c>
      <c r="AD7464">
        <v>3.6595999999999802E-2</v>
      </c>
      <c r="AE7464">
        <v>8.9995200000000093</v>
      </c>
      <c r="AF7464">
        <v>1.4094517234814701</v>
      </c>
      <c r="AG7464">
        <v>3.6595999999999802E-2</v>
      </c>
      <c r="AH7464">
        <v>96.095642842044199</v>
      </c>
      <c r="AI7464">
        <v>89.978182457785394</v>
      </c>
      <c r="AJ7464">
        <v>89.159692961495196</v>
      </c>
      <c r="AK7464">
        <v>96.105985592229203</v>
      </c>
      <c r="AL7464">
        <v>86.509455155853999</v>
      </c>
      <c r="AM7464">
        <v>90.472994292267501</v>
      </c>
      <c r="AN7464">
        <v>0.99999995227497995</v>
      </c>
    </row>
    <row r="7465" spans="1:40" x14ac:dyDescent="0.25">
      <c r="A7465" t="str">
        <f>"20190312160516292"</f>
        <v>20190312160516292</v>
      </c>
      <c r="B7465" t="str">
        <f>"1552377916282754"</f>
        <v>1552377916282754</v>
      </c>
      <c r="C7465" t="s">
        <v>40</v>
      </c>
      <c r="D7465">
        <v>5.3583100000000004</v>
      </c>
      <c r="E7465">
        <v>0.50563340000000001</v>
      </c>
      <c r="F7465" t="s">
        <v>54</v>
      </c>
      <c r="G7465">
        <v>-157.3501</v>
      </c>
      <c r="H7465">
        <v>0.65210199999999996</v>
      </c>
      <c r="I7465">
        <v>-57.067349999999998</v>
      </c>
      <c r="J7465">
        <v>-252.92660000000001</v>
      </c>
      <c r="K7465">
        <v>1.1091690000000001</v>
      </c>
      <c r="L7465">
        <v>-66.055539999999993</v>
      </c>
      <c r="M7465">
        <v>0.99414959999999997</v>
      </c>
      <c r="N7465">
        <v>0</v>
      </c>
      <c r="O7465">
        <v>0.10745830000000001</v>
      </c>
      <c r="P7465">
        <v>0.99205540000000003</v>
      </c>
      <c r="Q7465">
        <v>4.9503220000000001E-2</v>
      </c>
      <c r="R7465">
        <v>0.1156518</v>
      </c>
      <c r="S7465">
        <v>2.9920650000000002</v>
      </c>
      <c r="T7465">
        <v>-1.4293190000000001E-2</v>
      </c>
      <c r="U7465">
        <v>0.2814026</v>
      </c>
      <c r="V7465">
        <v>-8.2396469999999992E-3</v>
      </c>
      <c r="W7465">
        <v>6.0435469999999998E-2</v>
      </c>
      <c r="X7465">
        <v>0.99813810000000003</v>
      </c>
      <c r="Y7465">
        <v>1.3897069999999999E-2</v>
      </c>
      <c r="Z7465">
        <v>-5.4396169999999897E-4</v>
      </c>
      <c r="AA7465">
        <v>0.99990330000000005</v>
      </c>
      <c r="AB7465">
        <v>21</v>
      </c>
      <c r="AC7465">
        <v>95.576499999999996</v>
      </c>
      <c r="AD7465">
        <v>-0.457067</v>
      </c>
      <c r="AE7465">
        <v>8.9881900000000101</v>
      </c>
      <c r="AF7465">
        <v>1.3349320789906201</v>
      </c>
      <c r="AG7465">
        <v>-0.457067</v>
      </c>
      <c r="AH7465">
        <v>95.986744198314</v>
      </c>
      <c r="AI7465">
        <v>90.272801001405995</v>
      </c>
      <c r="AJ7465">
        <v>89.203212443226306</v>
      </c>
      <c r="AK7465">
        <v>95.997114621693498</v>
      </c>
      <c r="AL7465">
        <v>86.535191285946397</v>
      </c>
      <c r="AM7465">
        <v>90.472966891539897</v>
      </c>
      <c r="AN7465">
        <v>1.0000000022441999</v>
      </c>
    </row>
    <row r="7466" spans="1:40" x14ac:dyDescent="0.25">
      <c r="A7466" t="str">
        <f>"20190312160516302"</f>
        <v>20190312160516302</v>
      </c>
      <c r="B7466" t="str">
        <f>"1552377916292046"</f>
        <v>1552377916292046</v>
      </c>
      <c r="C7466" t="s">
        <v>40</v>
      </c>
      <c r="D7466">
        <v>5.8897050000000002</v>
      </c>
      <c r="E7466">
        <v>0.50624599999999997</v>
      </c>
      <c r="F7466" t="s">
        <v>43</v>
      </c>
      <c r="G7466">
        <v>-155.30879999999999</v>
      </c>
      <c r="H7466">
        <v>-0.05</v>
      </c>
      <c r="I7466">
        <v>-56.261180000000003</v>
      </c>
      <c r="J7466">
        <v>-252.8211</v>
      </c>
      <c r="K7466">
        <v>1.109167</v>
      </c>
      <c r="L7466">
        <v>-66.045009999999905</v>
      </c>
      <c r="M7466">
        <v>0.99423110000000003</v>
      </c>
      <c r="N7466">
        <v>0</v>
      </c>
      <c r="O7466">
        <v>0.10670499999999999</v>
      </c>
      <c r="P7466">
        <v>0.99215419999999999</v>
      </c>
      <c r="Q7466">
        <v>4.9455939999999997E-2</v>
      </c>
      <c r="R7466">
        <v>0.1148243</v>
      </c>
      <c r="S7466">
        <v>2.9908139999999999</v>
      </c>
      <c r="T7466">
        <v>-3.5514589999999999E-2</v>
      </c>
      <c r="U7466">
        <v>0.30007929999999999</v>
      </c>
      <c r="V7466">
        <v>-8.1640099999999993E-3</v>
      </c>
      <c r="W7466">
        <v>6.0358839999999997E-2</v>
      </c>
      <c r="X7466">
        <v>0.99814340000000001</v>
      </c>
      <c r="Y7466">
        <v>6.9079120000000004E-3</v>
      </c>
      <c r="Z7466">
        <v>-1.3013499999999999E-3</v>
      </c>
      <c r="AA7466">
        <v>0.99997530000000001</v>
      </c>
      <c r="AB7466">
        <v>21</v>
      </c>
      <c r="AC7466">
        <v>97.512299999999996</v>
      </c>
      <c r="AD7466">
        <v>-1.1591670000000001</v>
      </c>
      <c r="AE7466">
        <v>9.7838299999999805</v>
      </c>
      <c r="AF7466">
        <v>0.67760728627233002</v>
      </c>
      <c r="AG7466">
        <v>-1.1591670000000001</v>
      </c>
      <c r="AH7466">
        <v>97.9858462059494</v>
      </c>
      <c r="AI7466">
        <v>90.677757999486701</v>
      </c>
      <c r="AJ7466">
        <v>89.603785441385</v>
      </c>
      <c r="AK7466">
        <v>97.995045162825804</v>
      </c>
      <c r="AL7466">
        <v>86.539590035459995</v>
      </c>
      <c r="AM7466">
        <v>90.468622931652803</v>
      </c>
      <c r="AN7466">
        <v>1.00000004379449</v>
      </c>
    </row>
    <row r="7467" spans="1:40" x14ac:dyDescent="0.25">
      <c r="A7467" t="str">
        <f>"20190312160516314"</f>
        <v>20190312160516314</v>
      </c>
      <c r="B7467" t="str">
        <f>"1552377916302782"</f>
        <v>1552377916302782</v>
      </c>
      <c r="C7467" t="s">
        <v>40</v>
      </c>
      <c r="D7467">
        <v>5.8875320000000002</v>
      </c>
      <c r="E7467">
        <v>0.50676619999999994</v>
      </c>
      <c r="F7467" t="s">
        <v>43</v>
      </c>
      <c r="G7467">
        <v>-164.00530000000001</v>
      </c>
      <c r="H7467">
        <v>-0.05</v>
      </c>
      <c r="I7467">
        <v>-57.354950000000002</v>
      </c>
      <c r="J7467">
        <v>-252.71879999999999</v>
      </c>
      <c r="K7467">
        <v>1.1091679999999999</v>
      </c>
      <c r="L7467">
        <v>-66.034819999999996</v>
      </c>
      <c r="M7467">
        <v>0.99430909999999995</v>
      </c>
      <c r="N7467">
        <v>0</v>
      </c>
      <c r="O7467">
        <v>0.10597719999999999</v>
      </c>
      <c r="P7467">
        <v>0.99228499999999997</v>
      </c>
      <c r="Q7467">
        <v>4.9061199999999999E-2</v>
      </c>
      <c r="R7467">
        <v>0.11385820000000001</v>
      </c>
      <c r="S7467">
        <v>2.9917600000000002</v>
      </c>
      <c r="T7467">
        <v>-3.9046530000000003E-2</v>
      </c>
      <c r="U7467">
        <v>0.292724599999999</v>
      </c>
      <c r="V7467">
        <v>-7.9219530000000007E-3</v>
      </c>
      <c r="W7467">
        <v>5.9935700000000001E-2</v>
      </c>
      <c r="X7467">
        <v>0.99817080000000002</v>
      </c>
      <c r="Y7467">
        <v>8.6400290000000005E-3</v>
      </c>
      <c r="Z7467">
        <v>-1.4323929999999999E-3</v>
      </c>
      <c r="AA7467">
        <v>0.99996169999999995</v>
      </c>
      <c r="AB7467">
        <v>21</v>
      </c>
      <c r="AC7467">
        <v>88.713499999999897</v>
      </c>
      <c r="AD7467">
        <v>-1.159168</v>
      </c>
      <c r="AE7467">
        <v>8.6798699999999904</v>
      </c>
      <c r="AF7467">
        <v>0.77104980636819298</v>
      </c>
      <c r="AG7467">
        <v>-1.159168</v>
      </c>
      <c r="AH7467">
        <v>89.118707622469103</v>
      </c>
      <c r="AI7467">
        <v>90.745176917612795</v>
      </c>
      <c r="AJ7467">
        <v>89.504292660888495</v>
      </c>
      <c r="AK7467">
        <v>89.1295811532583</v>
      </c>
      <c r="AL7467">
        <v>86.563877978623907</v>
      </c>
      <c r="AM7467">
        <v>90.454716710666105</v>
      </c>
      <c r="AN7467">
        <v>0.99999999572323195</v>
      </c>
    </row>
    <row r="7468" spans="1:40" x14ac:dyDescent="0.25">
      <c r="A7468" t="str">
        <f>"20190312160516325"</f>
        <v>20190312160516325</v>
      </c>
      <c r="B7468" t="str">
        <f>"1552377916322302"</f>
        <v>1552377916322302</v>
      </c>
      <c r="C7468" t="s">
        <v>40</v>
      </c>
      <c r="D7468">
        <v>6.2801280000000004</v>
      </c>
      <c r="E7468">
        <v>0.50759920000000003</v>
      </c>
      <c r="F7468" t="s">
        <v>81</v>
      </c>
      <c r="G7468">
        <v>-179.93299999999999</v>
      </c>
      <c r="H7468">
        <v>7.4764109999999995E-2</v>
      </c>
      <c r="I7468">
        <v>-59.088279999999997</v>
      </c>
      <c r="J7468">
        <v>-252.61250000000001</v>
      </c>
      <c r="K7468">
        <v>1.109167</v>
      </c>
      <c r="L7468">
        <v>-66.024319999999904</v>
      </c>
      <c r="M7468">
        <v>0.99438970000000004</v>
      </c>
      <c r="N7468">
        <v>0</v>
      </c>
      <c r="O7468">
        <v>0.10522280000000001</v>
      </c>
      <c r="P7468">
        <v>0.99240729999999999</v>
      </c>
      <c r="Q7468">
        <v>4.8778740000000001E-2</v>
      </c>
      <c r="R7468">
        <v>0.1129111</v>
      </c>
      <c r="S7468">
        <v>2.992661</v>
      </c>
      <c r="T7468">
        <v>-4.2530539999999999E-2</v>
      </c>
      <c r="U7468">
        <v>0.28561399999999998</v>
      </c>
      <c r="V7468">
        <v>-7.7264759999999899E-3</v>
      </c>
      <c r="W7468">
        <v>5.9623929999999999E-2</v>
      </c>
      <c r="X7468">
        <v>0.99819100000000005</v>
      </c>
      <c r="Y7468">
        <v>1.0262469999999999E-2</v>
      </c>
      <c r="Z7468">
        <v>-1.5608219999999999E-3</v>
      </c>
      <c r="AA7468">
        <v>0.99994609999999995</v>
      </c>
      <c r="AB7468">
        <v>21</v>
      </c>
      <c r="AC7468">
        <v>72.679500000000004</v>
      </c>
      <c r="AD7468">
        <v>-1.03440289</v>
      </c>
      <c r="AE7468">
        <v>6.9360399999999798</v>
      </c>
      <c r="AF7468">
        <v>0.75030715734196196</v>
      </c>
      <c r="AG7468">
        <v>-1.03440289</v>
      </c>
      <c r="AH7468">
        <v>72.991205468855895</v>
      </c>
      <c r="AI7468">
        <v>90.811876198101501</v>
      </c>
      <c r="AJ7468">
        <v>89.411053440016801</v>
      </c>
      <c r="AK7468">
        <v>73.002390549665805</v>
      </c>
      <c r="AL7468">
        <v>86.581773074944095</v>
      </c>
      <c r="AM7468">
        <v>90.443487893879507</v>
      </c>
      <c r="AN7468">
        <v>0.99999999197051104</v>
      </c>
    </row>
    <row r="7469" spans="1:40" x14ac:dyDescent="0.25">
      <c r="A7469" t="str">
        <f>"20190312160516336"</f>
        <v>20190312160516336</v>
      </c>
      <c r="B7469" t="str">
        <f>"1552377916332062"</f>
        <v>1552377916332062</v>
      </c>
      <c r="C7469" t="s">
        <v>40</v>
      </c>
      <c r="D7469">
        <v>5.7352559999999997</v>
      </c>
      <c r="E7469">
        <v>0.50780760000000003</v>
      </c>
      <c r="F7469" t="s">
        <v>81</v>
      </c>
      <c r="G7469">
        <v>-180.48689999999999</v>
      </c>
      <c r="H7469" s="1">
        <v>-1.464033E-5</v>
      </c>
      <c r="I7469">
        <v>-59.371220000000001</v>
      </c>
      <c r="J7469">
        <v>-252.50110000000001</v>
      </c>
      <c r="K7469">
        <v>1.109167</v>
      </c>
      <c r="L7469">
        <v>-66.013459999999995</v>
      </c>
      <c r="M7469">
        <v>0.9944731</v>
      </c>
      <c r="N7469">
        <v>0</v>
      </c>
      <c r="O7469">
        <v>0.10443429999999999</v>
      </c>
      <c r="P7469">
        <v>0.9925216</v>
      </c>
      <c r="Q7469">
        <v>4.8605019999999999E-2</v>
      </c>
      <c r="R7469">
        <v>0.1119759</v>
      </c>
      <c r="S7469">
        <v>2.9937589999999998</v>
      </c>
      <c r="T7469">
        <v>-4.6039459999999997E-2</v>
      </c>
      <c r="U7469">
        <v>0.276153599999999</v>
      </c>
      <c r="V7469">
        <v>-7.57711199999999E-3</v>
      </c>
      <c r="W7469">
        <v>5.9419239999999998E-2</v>
      </c>
      <c r="X7469">
        <v>0.99820439999999999</v>
      </c>
      <c r="Y7469">
        <v>1.263442E-2</v>
      </c>
      <c r="Z7469">
        <v>-1.6954579999999999E-3</v>
      </c>
      <c r="AA7469">
        <v>0.9999188</v>
      </c>
      <c r="AB7469">
        <v>21</v>
      </c>
      <c r="AC7469">
        <v>72.014200000000002</v>
      </c>
      <c r="AD7469">
        <v>-1.1091816403299899</v>
      </c>
      <c r="AE7469">
        <v>6.6422400000000001</v>
      </c>
      <c r="AF7469">
        <v>0.91506173654707201</v>
      </c>
      <c r="AG7469">
        <v>-1.1091816403299899</v>
      </c>
      <c r="AH7469">
        <v>72.297076814867495</v>
      </c>
      <c r="AI7469">
        <v>90.878892417307796</v>
      </c>
      <c r="AJ7469">
        <v>89.274847913920297</v>
      </c>
      <c r="AK7469">
        <v>72.311374885752201</v>
      </c>
      <c r="AL7469">
        <v>86.593521947127996</v>
      </c>
      <c r="AM7469">
        <v>90.4349091233845</v>
      </c>
      <c r="AN7469">
        <v>1.0000000414438901</v>
      </c>
    </row>
    <row r="7470" spans="1:40" x14ac:dyDescent="0.25">
      <c r="A7470" t="str">
        <f>"20190312160516347"</f>
        <v>20190312160516347</v>
      </c>
      <c r="B7470" t="str">
        <f>"1552377916342797"</f>
        <v>1552377916342797</v>
      </c>
      <c r="C7470" t="s">
        <v>40</v>
      </c>
      <c r="D7470">
        <v>5.8323450000000001</v>
      </c>
      <c r="E7470">
        <v>0.50791929999999996</v>
      </c>
      <c r="F7470" t="s">
        <v>81</v>
      </c>
      <c r="G7470">
        <v>-182.059</v>
      </c>
      <c r="H7470" s="1">
        <v>-1.43862299999999E-5</v>
      </c>
      <c r="I7470">
        <v>-59.622259999999997</v>
      </c>
      <c r="J7470">
        <v>-252.39869999999999</v>
      </c>
      <c r="K7470">
        <v>1.109165</v>
      </c>
      <c r="L7470">
        <v>-66.003509999999906</v>
      </c>
      <c r="M7470">
        <v>0.99454920000000002</v>
      </c>
      <c r="N7470">
        <v>0</v>
      </c>
      <c r="O7470">
        <v>0.1037095</v>
      </c>
      <c r="P7470">
        <v>0.99262609999999996</v>
      </c>
      <c r="Q7470">
        <v>4.8633450000000002E-2</v>
      </c>
      <c r="R7470">
        <v>0.111033199999999</v>
      </c>
      <c r="S7470">
        <v>2.9942470000000001</v>
      </c>
      <c r="T7470">
        <v>-4.7147389999999997E-2</v>
      </c>
      <c r="U7470">
        <v>0.27166750000000001</v>
      </c>
      <c r="V7470">
        <v>-7.357209E-3</v>
      </c>
      <c r="W7470">
        <v>5.9417820000000003E-2</v>
      </c>
      <c r="X7470">
        <v>0.99820609999999999</v>
      </c>
      <c r="Y7470">
        <v>1.3405530000000001E-2</v>
      </c>
      <c r="Z7470">
        <v>-1.73086299999999E-3</v>
      </c>
      <c r="AA7470">
        <v>0.99990860000000004</v>
      </c>
      <c r="AB7470">
        <v>21</v>
      </c>
      <c r="AC7470">
        <v>70.339699999999894</v>
      </c>
      <c r="AD7470">
        <v>-1.1091793862299999</v>
      </c>
      <c r="AE7470">
        <v>6.3812499999999899</v>
      </c>
      <c r="AF7470">
        <v>0.94824929150588499</v>
      </c>
      <c r="AG7470">
        <v>-1.1091793862299999</v>
      </c>
      <c r="AH7470">
        <v>70.604779746681501</v>
      </c>
      <c r="AI7470">
        <v>90.899943901390202</v>
      </c>
      <c r="AJ7470">
        <v>89.230541951382094</v>
      </c>
      <c r="AK7470">
        <v>70.619858246155403</v>
      </c>
      <c r="AL7470">
        <v>86.593603350609399</v>
      </c>
      <c r="AM7470">
        <v>90.422286932385305</v>
      </c>
      <c r="AN7470">
        <v>1.0000000119675101</v>
      </c>
    </row>
    <row r="7471" spans="1:40" x14ac:dyDescent="0.25">
      <c r="A7471" t="str">
        <f>"20190312160516359"</f>
        <v>20190312160516359</v>
      </c>
      <c r="B7471" t="str">
        <f>"1552377916352558"</f>
        <v>1552377916352558</v>
      </c>
      <c r="C7471" t="s">
        <v>40</v>
      </c>
      <c r="D7471">
        <v>5.9380139999999999</v>
      </c>
      <c r="E7471">
        <v>0.50803569999999998</v>
      </c>
      <c r="F7471" t="s">
        <v>81</v>
      </c>
      <c r="G7471">
        <v>-182.03399999999999</v>
      </c>
      <c r="H7471" s="1">
        <v>-1.441844E-5</v>
      </c>
      <c r="I7471">
        <v>-59.709060000000001</v>
      </c>
      <c r="J7471">
        <v>-252.2903</v>
      </c>
      <c r="K7471">
        <v>1.109165</v>
      </c>
      <c r="L7471">
        <v>-65.993099999999998</v>
      </c>
      <c r="M7471">
        <v>0.99462910000000004</v>
      </c>
      <c r="N7471">
        <v>0</v>
      </c>
      <c r="O7471">
        <v>0.1029431</v>
      </c>
      <c r="P7471">
        <v>0.99269989999999997</v>
      </c>
      <c r="Q7471">
        <v>4.8852880000000001E-2</v>
      </c>
      <c r="R7471">
        <v>0.1102746</v>
      </c>
      <c r="S7471">
        <v>2.9946290000000002</v>
      </c>
      <c r="T7471">
        <v>-4.7205209999999997E-2</v>
      </c>
      <c r="U7471">
        <v>0.26788329999999999</v>
      </c>
      <c r="V7471">
        <v>-7.3637889999999999E-3</v>
      </c>
      <c r="W7471">
        <v>5.9607269999999997E-2</v>
      </c>
      <c r="X7471">
        <v>0.99819480000000005</v>
      </c>
      <c r="Y7471">
        <v>1.38999E-2</v>
      </c>
      <c r="Z7471">
        <v>-1.724799E-3</v>
      </c>
      <c r="AA7471">
        <v>0.99990190000000001</v>
      </c>
      <c r="AB7471">
        <v>21</v>
      </c>
      <c r="AC7471">
        <v>70.256299999999896</v>
      </c>
      <c r="AD7471">
        <v>-1.1091794184399999</v>
      </c>
      <c r="AE7471">
        <v>6.2840399999999903</v>
      </c>
      <c r="AF7471">
        <v>0.98192627169608804</v>
      </c>
      <c r="AG7471">
        <v>-1.1091794184399999</v>
      </c>
      <c r="AH7471">
        <v>70.512502604704295</v>
      </c>
      <c r="AI7471">
        <v>90.901115356095204</v>
      </c>
      <c r="AJ7471">
        <v>89.202175602615597</v>
      </c>
      <c r="AK7471">
        <v>70.528061661751096</v>
      </c>
      <c r="AL7471">
        <v>86.582729540379702</v>
      </c>
      <c r="AM7471">
        <v>90.422669380180906</v>
      </c>
      <c r="AN7471">
        <v>1.0000000553861601</v>
      </c>
    </row>
    <row r="7472" spans="1:40" x14ac:dyDescent="0.25">
      <c r="A7472" t="str">
        <f>"20190312160516371"</f>
        <v>20190312160516371</v>
      </c>
      <c r="B7472" t="str">
        <f>"1552377916362319"</f>
        <v>1552377916362319</v>
      </c>
      <c r="C7472" t="s">
        <v>40</v>
      </c>
      <c r="D7472">
        <v>5.7204100000000002</v>
      </c>
      <c r="E7472">
        <v>0.50821340000000004</v>
      </c>
      <c r="F7472" t="s">
        <v>81</v>
      </c>
      <c r="G7472">
        <v>-181.5164</v>
      </c>
      <c r="H7472" s="1">
        <v>-1.45426E-5</v>
      </c>
      <c r="I7472">
        <v>-59.740650000000002</v>
      </c>
      <c r="J7472">
        <v>-252.18360000000001</v>
      </c>
      <c r="K7472">
        <v>1.109164</v>
      </c>
      <c r="L7472">
        <v>-65.982879999999994</v>
      </c>
      <c r="M7472">
        <v>0.99470720000000001</v>
      </c>
      <c r="N7472">
        <v>0</v>
      </c>
      <c r="O7472">
        <v>0.1021893</v>
      </c>
      <c r="P7472">
        <v>0.99278529999999998</v>
      </c>
      <c r="Q7472">
        <v>4.9034170000000002E-2</v>
      </c>
      <c r="R7472">
        <v>0.1094202</v>
      </c>
      <c r="S7472">
        <v>2.9949650000000001</v>
      </c>
      <c r="T7472">
        <v>-4.693758E-2</v>
      </c>
      <c r="U7472">
        <v>0.26458739999999997</v>
      </c>
      <c r="V7472">
        <v>-7.2623409999999899E-3</v>
      </c>
      <c r="W7472">
        <v>5.9759109999999997E-2</v>
      </c>
      <c r="X7472">
        <v>0.99818640000000003</v>
      </c>
      <c r="Y7472">
        <v>1.424393E-2</v>
      </c>
      <c r="Z7472">
        <v>-1.7059079999999999E-3</v>
      </c>
      <c r="AA7472">
        <v>0.99989709999999998</v>
      </c>
      <c r="AB7472">
        <v>21</v>
      </c>
      <c r="AC7472">
        <v>70.667199999999994</v>
      </c>
      <c r="AD7472">
        <v>-1.1091785426</v>
      </c>
      <c r="AE7472">
        <v>6.2422300000000002</v>
      </c>
      <c r="AF7472">
        <v>1.0120513540946401</v>
      </c>
      <c r="AG7472">
        <v>-1.1091785426</v>
      </c>
      <c r="AH7472">
        <v>70.917802356840298</v>
      </c>
      <c r="AI7472">
        <v>90.895961200230303</v>
      </c>
      <c r="AJ7472">
        <v>89.182400844347299</v>
      </c>
      <c r="AK7472">
        <v>70.933695914611306</v>
      </c>
      <c r="AL7472">
        <v>86.574013992584995</v>
      </c>
      <c r="AM7472">
        <v>90.416850146451594</v>
      </c>
      <c r="AN7472">
        <v>0.99999999098487602</v>
      </c>
    </row>
    <row r="7473" spans="1:40" x14ac:dyDescent="0.25">
      <c r="A7473" t="str">
        <f>"20190312160516380"</f>
        <v>20190312160516380</v>
      </c>
      <c r="B7473" t="str">
        <f>"1552377916372079"</f>
        <v>1552377916372079</v>
      </c>
      <c r="C7473" t="s">
        <v>40</v>
      </c>
      <c r="D7473">
        <v>5.83812</v>
      </c>
      <c r="E7473">
        <v>0.50819499999999995</v>
      </c>
      <c r="F7473" t="s">
        <v>81</v>
      </c>
      <c r="G7473">
        <v>-180.50790000000001</v>
      </c>
      <c r="H7473" s="1">
        <v>-1.476497E-5</v>
      </c>
      <c r="I7473">
        <v>-59.748060000000002</v>
      </c>
      <c r="J7473">
        <v>-252.08279999999999</v>
      </c>
      <c r="K7473">
        <v>1.109164</v>
      </c>
      <c r="L7473">
        <v>-65.973330000000004</v>
      </c>
      <c r="M7473">
        <v>0.99478040000000001</v>
      </c>
      <c r="N7473">
        <v>0</v>
      </c>
      <c r="O7473">
        <v>0.1014772</v>
      </c>
      <c r="P7473">
        <v>0.99285749999999995</v>
      </c>
      <c r="Q7473">
        <v>4.9411480000000001E-2</v>
      </c>
      <c r="R7473">
        <v>0.1085941</v>
      </c>
      <c r="S7473">
        <v>2.9953919999999998</v>
      </c>
      <c r="T7473">
        <v>-4.6353579999999998E-2</v>
      </c>
      <c r="U7473">
        <v>0.26055909999999999</v>
      </c>
      <c r="V7473">
        <v>-7.1470040000000002E-3</v>
      </c>
      <c r="W7473">
        <v>6.0110379999999998E-2</v>
      </c>
      <c r="X7473">
        <v>0.99816609999999995</v>
      </c>
      <c r="Y7473">
        <v>1.487546E-2</v>
      </c>
      <c r="Z7473">
        <v>-1.678517E-3</v>
      </c>
      <c r="AA7473">
        <v>0.99988790000000005</v>
      </c>
      <c r="AB7473">
        <v>21</v>
      </c>
      <c r="AC7473">
        <v>71.5748999999999</v>
      </c>
      <c r="AD7473">
        <v>-1.10917876497</v>
      </c>
      <c r="AE7473">
        <v>6.2252700000000001</v>
      </c>
      <c r="AF7473">
        <v>1.0702499704554</v>
      </c>
      <c r="AG7473">
        <v>-1.10917876497</v>
      </c>
      <c r="AH7473">
        <v>71.820019395260204</v>
      </c>
      <c r="AI7473">
        <v>90.884699798587604</v>
      </c>
      <c r="AJ7473">
        <v>89.146251025951798</v>
      </c>
      <c r="AK7473">
        <v>71.836556838892804</v>
      </c>
      <c r="AL7473">
        <v>86.553851317276894</v>
      </c>
      <c r="AM7473">
        <v>90.410238504069497</v>
      </c>
      <c r="AN7473">
        <v>0.99999995031956401</v>
      </c>
    </row>
    <row r="7474" spans="1:40" x14ac:dyDescent="0.25">
      <c r="A7474" t="str">
        <f>"20190312160516394"</f>
        <v>20190312160516394</v>
      </c>
      <c r="B7474" t="str">
        <f>"1552377916382814"</f>
        <v>1552377916382814</v>
      </c>
      <c r="C7474" t="s">
        <v>40</v>
      </c>
      <c r="D7474">
        <v>5.8938550000000003</v>
      </c>
      <c r="E7474">
        <v>0.5080981</v>
      </c>
      <c r="F7474" t="s">
        <v>81</v>
      </c>
      <c r="G7474">
        <v>-179.95769999999999</v>
      </c>
      <c r="H7474">
        <v>4.068898E-2</v>
      </c>
      <c r="I7474">
        <v>-59.75853</v>
      </c>
      <c r="J7474">
        <v>-251.97229999999999</v>
      </c>
      <c r="K7474">
        <v>1.109162</v>
      </c>
      <c r="L7474">
        <v>-65.962919999999997</v>
      </c>
      <c r="M7474">
        <v>0.99486010000000002</v>
      </c>
      <c r="N7474">
        <v>0</v>
      </c>
      <c r="O7474">
        <v>0.10069649999999999</v>
      </c>
      <c r="P7474">
        <v>0.99292400000000003</v>
      </c>
      <c r="Q7474">
        <v>4.9454140000000001E-2</v>
      </c>
      <c r="R7474">
        <v>0.1079663</v>
      </c>
      <c r="S7474">
        <v>2.9955440000000002</v>
      </c>
      <c r="T7474">
        <v>-4.4376609999999997E-2</v>
      </c>
      <c r="U7474">
        <v>0.25811770000000001</v>
      </c>
      <c r="V7474">
        <v>-7.299781E-3</v>
      </c>
      <c r="W7474">
        <v>6.0124660000000003E-2</v>
      </c>
      <c r="X7474">
        <v>0.99816419999999995</v>
      </c>
      <c r="Y7474">
        <v>1.490522E-2</v>
      </c>
      <c r="Z7474">
        <v>-1.595672E-3</v>
      </c>
      <c r="AA7474">
        <v>0.99988759999999999</v>
      </c>
      <c r="AB7474">
        <v>21</v>
      </c>
      <c r="AC7474">
        <v>72.014600000000002</v>
      </c>
      <c r="AD7474">
        <v>-1.0684730200000001</v>
      </c>
      <c r="AE7474">
        <v>6.2043899999999796</v>
      </c>
      <c r="AF7474">
        <v>1.07894364859851</v>
      </c>
      <c r="AG7474">
        <v>-1.0684730200000001</v>
      </c>
      <c r="AH7474">
        <v>72.257528521319003</v>
      </c>
      <c r="AI7474">
        <v>90.847077284762804</v>
      </c>
      <c r="AJ7474">
        <v>89.144527568980806</v>
      </c>
      <c r="AK7474">
        <v>72.273481872679596</v>
      </c>
      <c r="AL7474">
        <v>86.553031877141194</v>
      </c>
      <c r="AM7474">
        <v>90.419008402173304</v>
      </c>
      <c r="AN7474">
        <v>1.0000000158522</v>
      </c>
    </row>
    <row r="7475" spans="1:40" x14ac:dyDescent="0.25">
      <c r="A7475" t="str">
        <f>"20190312160516404"</f>
        <v>20190312160516404</v>
      </c>
      <c r="B7475" t="str">
        <f>"1552377916392104"</f>
        <v>1552377916392104</v>
      </c>
      <c r="C7475" t="s">
        <v>40</v>
      </c>
      <c r="D7475">
        <v>5.3291000000000004</v>
      </c>
      <c r="E7475">
        <v>0.5078146</v>
      </c>
      <c r="F7475" t="s">
        <v>81</v>
      </c>
      <c r="G7475">
        <v>-179.95769999999999</v>
      </c>
      <c r="H7475">
        <v>3.0081429999999999E-2</v>
      </c>
      <c r="I7475">
        <v>-59.787999999999997</v>
      </c>
      <c r="J7475">
        <v>-251.8639</v>
      </c>
      <c r="K7475">
        <v>1.1091580000000001</v>
      </c>
      <c r="L7475">
        <v>-65.952789999999993</v>
      </c>
      <c r="M7475">
        <v>0.99493750000000003</v>
      </c>
      <c r="N7475">
        <v>0</v>
      </c>
      <c r="O7475">
        <v>9.9931080000000005E-2</v>
      </c>
      <c r="P7475">
        <v>0.99297440000000003</v>
      </c>
      <c r="Q7475">
        <v>4.950736E-2</v>
      </c>
      <c r="R7475">
        <v>0.10747660000000001</v>
      </c>
      <c r="S7475">
        <v>2.995682</v>
      </c>
      <c r="T7475">
        <v>-4.4887900000000001E-2</v>
      </c>
      <c r="U7475">
        <v>0.2568665</v>
      </c>
      <c r="V7475">
        <v>-7.5763039999999999E-3</v>
      </c>
      <c r="W7475">
        <v>6.0150839999999997E-2</v>
      </c>
      <c r="X7475">
        <v>0.99816050000000001</v>
      </c>
      <c r="Y7475">
        <v>1.4554269999999999E-2</v>
      </c>
      <c r="Z7475">
        <v>-1.600013E-3</v>
      </c>
      <c r="AA7475">
        <v>0.99989280000000003</v>
      </c>
      <c r="AB7475">
        <v>21</v>
      </c>
      <c r="AC7475">
        <v>71.906199999999998</v>
      </c>
      <c r="AD7475">
        <v>-1.07907657</v>
      </c>
      <c r="AE7475">
        <v>6.16479</v>
      </c>
      <c r="AF7475">
        <v>1.0519078379062801</v>
      </c>
      <c r="AG7475">
        <v>-1.07907657</v>
      </c>
      <c r="AH7475">
        <v>72.146182797866004</v>
      </c>
      <c r="AI7475">
        <v>90.856806999481805</v>
      </c>
      <c r="AJ7475">
        <v>89.164673625533197</v>
      </c>
      <c r="AK7475">
        <v>72.161919380283095</v>
      </c>
      <c r="AL7475">
        <v>86.551528939780297</v>
      </c>
      <c r="AM7475">
        <v>90.434881872711401</v>
      </c>
      <c r="AN7475">
        <v>0.99999995384762597</v>
      </c>
    </row>
    <row r="7476" spans="1:40" x14ac:dyDescent="0.25">
      <c r="A7476" t="str">
        <f>"20190312160516416"</f>
        <v>20190312160516416</v>
      </c>
      <c r="B7476" t="str">
        <f>"1552377916412602"</f>
        <v>1552377916412602</v>
      </c>
      <c r="C7476" t="s">
        <v>40</v>
      </c>
      <c r="D7476">
        <v>5.8998530000000002</v>
      </c>
      <c r="E7476">
        <v>0.50811450000000002</v>
      </c>
      <c r="F7476" t="s">
        <v>81</v>
      </c>
      <c r="G7476">
        <v>-179.93989999999999</v>
      </c>
      <c r="H7476">
        <v>6.7850830000000001E-2</v>
      </c>
      <c r="I7476">
        <v>-59.7684199999999</v>
      </c>
      <c r="J7476">
        <v>-251.7567</v>
      </c>
      <c r="K7476">
        <v>1.1091519999999999</v>
      </c>
      <c r="L7476">
        <v>-65.942899999999995</v>
      </c>
      <c r="M7476">
        <v>0.9950135</v>
      </c>
      <c r="N7476">
        <v>0</v>
      </c>
      <c r="O7476">
        <v>9.9174970000000001E-2</v>
      </c>
      <c r="P7476">
        <v>0.99303949999999996</v>
      </c>
      <c r="Q7476">
        <v>4.9352649999999998E-2</v>
      </c>
      <c r="R7476">
        <v>0.1069435</v>
      </c>
      <c r="S7476">
        <v>2.995514</v>
      </c>
      <c r="T7476">
        <v>-4.3368700000000003E-2</v>
      </c>
      <c r="U7476">
        <v>0.25756839999999998</v>
      </c>
      <c r="V7476">
        <v>-7.7986619999999996E-3</v>
      </c>
      <c r="W7476">
        <v>5.9969010000000003E-2</v>
      </c>
      <c r="X7476">
        <v>0.9981698</v>
      </c>
      <c r="Y7476">
        <v>1.355805E-2</v>
      </c>
      <c r="Z7476">
        <v>-1.5278729999999999E-3</v>
      </c>
      <c r="AA7476">
        <v>0.99990690000000004</v>
      </c>
      <c r="AB7476">
        <v>21</v>
      </c>
      <c r="AC7476">
        <v>71.816800000000001</v>
      </c>
      <c r="AD7476">
        <v>-1.0413011700000001</v>
      </c>
      <c r="AE7476">
        <v>6.17448</v>
      </c>
      <c r="AF7476">
        <v>0.97858884719168104</v>
      </c>
      <c r="AG7476">
        <v>-1.0413011700000001</v>
      </c>
      <c r="AH7476">
        <v>72.060054064579305</v>
      </c>
      <c r="AI7476">
        <v>90.827816619817199</v>
      </c>
      <c r="AJ7476">
        <v>89.221960555590599</v>
      </c>
      <c r="AK7476">
        <v>72.0742210228358</v>
      </c>
      <c r="AL7476">
        <v>86.561966119401006</v>
      </c>
      <c r="AM7476">
        <v>90.447640598744101</v>
      </c>
      <c r="AN7476">
        <v>1.0000000254607</v>
      </c>
    </row>
    <row r="7477" spans="1:40" x14ac:dyDescent="0.25">
      <c r="A7477" t="str">
        <f>"20190312160516427"</f>
        <v>20190312160516427</v>
      </c>
      <c r="B7477" t="str">
        <f>"1552377916422361"</f>
        <v>1552377916422361</v>
      </c>
      <c r="C7477" t="s">
        <v>40</v>
      </c>
      <c r="D7477">
        <v>5.4769379999999996</v>
      </c>
      <c r="E7477">
        <v>0.50811450000000002</v>
      </c>
      <c r="F7477" t="s">
        <v>81</v>
      </c>
      <c r="G7477">
        <v>-179.94829999999999</v>
      </c>
      <c r="H7477">
        <v>5.942062E-2</v>
      </c>
      <c r="I7477">
        <v>-59.868009999999998</v>
      </c>
      <c r="J7477">
        <v>-251.6482</v>
      </c>
      <c r="K7477">
        <v>1.109159</v>
      </c>
      <c r="L7477">
        <v>-65.932919999999996</v>
      </c>
      <c r="M7477">
        <v>0.99508980000000002</v>
      </c>
      <c r="N7477">
        <v>0</v>
      </c>
      <c r="O7477">
        <v>9.8409389999999999E-2</v>
      </c>
      <c r="P7477">
        <v>0.9929905</v>
      </c>
      <c r="Q7477">
        <v>4.868898E-2</v>
      </c>
      <c r="R7477">
        <v>0.10770100000000001</v>
      </c>
      <c r="S7477">
        <v>2.995895</v>
      </c>
      <c r="T7477">
        <v>-4.3795470000000003E-2</v>
      </c>
      <c r="U7477">
        <v>0.25344850000000002</v>
      </c>
      <c r="V7477">
        <v>-9.3273590000000003E-3</v>
      </c>
      <c r="W7477">
        <v>5.9280729999999997E-2</v>
      </c>
      <c r="X7477">
        <v>0.99819780000000002</v>
      </c>
      <c r="Y7477">
        <v>1.416448E-2</v>
      </c>
      <c r="Z7477">
        <v>-1.5361420000000001E-3</v>
      </c>
      <c r="AA7477">
        <v>0.99989850000000002</v>
      </c>
      <c r="AB7477">
        <v>21</v>
      </c>
      <c r="AC7477">
        <v>71.6999</v>
      </c>
      <c r="AD7477">
        <v>-1.04973838</v>
      </c>
      <c r="AE7477">
        <v>6.0649099999999896</v>
      </c>
      <c r="AF7477">
        <v>1.0206532296352699</v>
      </c>
      <c r="AG7477">
        <v>-1.04973838</v>
      </c>
      <c r="AH7477">
        <v>71.933398796026907</v>
      </c>
      <c r="AI7477">
        <v>90.835985211156</v>
      </c>
      <c r="AJ7477">
        <v>89.187092512757403</v>
      </c>
      <c r="AK7477">
        <v>71.948297728506702</v>
      </c>
      <c r="AL7477">
        <v>86.601471947593296</v>
      </c>
      <c r="AM7477">
        <v>90.535367590913694</v>
      </c>
      <c r="AN7477">
        <v>1.0000000262500399</v>
      </c>
    </row>
    <row r="7478" spans="1:40" x14ac:dyDescent="0.25">
      <c r="A7478" t="str">
        <f>"20190312160516528"</f>
        <v>20190312160516528</v>
      </c>
      <c r="B7478" t="str">
        <f>"1552377916522888"</f>
        <v>1552377916522888</v>
      </c>
      <c r="C7478" t="s">
        <v>40</v>
      </c>
      <c r="D7478">
        <v>4.8981680000000001</v>
      </c>
      <c r="E7478">
        <v>0.49133009999999999</v>
      </c>
      <c r="F7478" t="s">
        <v>81</v>
      </c>
      <c r="G7478">
        <v>-179.95769999999999</v>
      </c>
      <c r="H7478">
        <v>1.481594E-2</v>
      </c>
      <c r="I7478">
        <v>-59.818710000000003</v>
      </c>
      <c r="J7478">
        <v>-250.68620000000001</v>
      </c>
      <c r="K7478">
        <v>1.1091759999999999</v>
      </c>
      <c r="L7478">
        <v>-65.848109999999906</v>
      </c>
      <c r="M7478">
        <v>0.99572620000000001</v>
      </c>
      <c r="N7478">
        <v>0</v>
      </c>
      <c r="O7478">
        <v>9.1771489999999997E-2</v>
      </c>
      <c r="P7478">
        <v>0.99319669999999904</v>
      </c>
      <c r="Q7478">
        <v>4.9670619999999999E-2</v>
      </c>
      <c r="R7478">
        <v>0.105323</v>
      </c>
      <c r="S7478">
        <v>2.9957120000000002</v>
      </c>
      <c r="T7478">
        <v>-4.5729039999999999E-2</v>
      </c>
      <c r="U7478">
        <v>0.25549319999999998</v>
      </c>
      <c r="V7478">
        <v>-1.3604730000000001E-2</v>
      </c>
      <c r="W7478">
        <v>6.0042310000000002E-2</v>
      </c>
      <c r="X7478">
        <v>0.99810310000000002</v>
      </c>
      <c r="Y7478">
        <v>6.8139330000000003E-3</v>
      </c>
      <c r="Z7478">
        <v>-1.4473999999999999E-3</v>
      </c>
      <c r="AA7478">
        <v>0.99997570000000002</v>
      </c>
      <c r="AB7478">
        <v>21</v>
      </c>
      <c r="AC7478">
        <v>70.728499999999997</v>
      </c>
      <c r="AD7478">
        <v>-1.0943600600000001</v>
      </c>
      <c r="AE7478">
        <v>6.0293999999999901</v>
      </c>
      <c r="AF7478">
        <v>0.48713864737700402</v>
      </c>
      <c r="AG7478">
        <v>-1.0943600600000001</v>
      </c>
      <c r="AH7478">
        <v>70.966489826807802</v>
      </c>
      <c r="AI7478">
        <v>90.883455931271698</v>
      </c>
      <c r="AJ7478">
        <v>89.606708035987793</v>
      </c>
      <c r="AK7478">
        <v>70.976599005172801</v>
      </c>
      <c r="AL7478">
        <v>86.557758610845994</v>
      </c>
      <c r="AM7478">
        <v>90.780926680831399</v>
      </c>
      <c r="AN7478">
        <v>0.99999998294905901</v>
      </c>
    </row>
    <row r="7479" spans="1:40" x14ac:dyDescent="0.25">
      <c r="A7479" t="str">
        <f>"20190312160516538"</f>
        <v>20190312160516538</v>
      </c>
      <c r="B7479" t="str">
        <f>"1552377916532648"</f>
        <v>1552377916532648</v>
      </c>
      <c r="C7479" t="s">
        <v>40</v>
      </c>
      <c r="D7479">
        <v>8.4872730000000001</v>
      </c>
      <c r="E7479">
        <v>0.48868230000000001</v>
      </c>
      <c r="F7479" t="s">
        <v>49</v>
      </c>
      <c r="G7479">
        <v>-249.88210000000001</v>
      </c>
      <c r="H7479">
        <v>0.81818009999999997</v>
      </c>
      <c r="I7479">
        <v>-65.753019999999907</v>
      </c>
      <c r="J7479">
        <v>-250.5829</v>
      </c>
      <c r="K7479">
        <v>1.1091850000000001</v>
      </c>
      <c r="L7479">
        <v>-65.839320000000001</v>
      </c>
      <c r="M7479">
        <v>0.99578820000000001</v>
      </c>
      <c r="N7479">
        <v>0</v>
      </c>
      <c r="O7479">
        <v>9.1099200000000005E-2</v>
      </c>
      <c r="P7479">
        <v>0.99324250000000003</v>
      </c>
      <c r="Q7479">
        <v>5.0122750000000001E-2</v>
      </c>
      <c r="R7479">
        <v>0.1046758</v>
      </c>
      <c r="S7479">
        <v>3.0373540000000001</v>
      </c>
      <c r="T7479">
        <v>-1.0990629999999999</v>
      </c>
      <c r="U7479">
        <v>0.3598633</v>
      </c>
      <c r="V7479">
        <v>-1.36315E-2</v>
      </c>
      <c r="W7479">
        <v>6.047259E-2</v>
      </c>
      <c r="X7479">
        <v>0.99807679999999999</v>
      </c>
      <c r="Y7479">
        <v>-3.046886E-2</v>
      </c>
      <c r="Z7479">
        <v>-2.6448949999999999E-2</v>
      </c>
      <c r="AA7479">
        <v>0.99918569999999995</v>
      </c>
      <c r="AB7479">
        <v>21</v>
      </c>
      <c r="AC7479">
        <v>0.70079999999998599</v>
      </c>
      <c r="AD7479">
        <v>-0.29100490000000001</v>
      </c>
      <c r="AE7479">
        <v>8.6300000000008398E-2</v>
      </c>
      <c r="AF7479">
        <v>-1.8887298051526301E-2</v>
      </c>
      <c r="AG7479">
        <v>-0.29100490000000001</v>
      </c>
      <c r="AH7479">
        <v>0.60327860222063101</v>
      </c>
      <c r="AI7479">
        <v>115.740393787054</v>
      </c>
      <c r="AJ7479">
        <v>91.793216432457797</v>
      </c>
      <c r="AK7479">
        <v>0.67006391765933504</v>
      </c>
      <c r="AL7479">
        <v>86.533060649583703</v>
      </c>
      <c r="AM7479">
        <v>90.782483733707494</v>
      </c>
      <c r="AN7479">
        <v>1.0000000253158901</v>
      </c>
    </row>
    <row r="7480" spans="1:40" x14ac:dyDescent="0.25">
      <c r="A7480" t="str">
        <f>"20190312160516550"</f>
        <v>20190312160516550</v>
      </c>
      <c r="B7480" t="str">
        <f>"1552377916542409"</f>
        <v>1552377916542409</v>
      </c>
      <c r="C7480" t="s">
        <v>40</v>
      </c>
      <c r="D7480">
        <v>6.2208199999999998</v>
      </c>
      <c r="E7480">
        <v>0.48610370000000003</v>
      </c>
      <c r="F7480" t="s">
        <v>49</v>
      </c>
      <c r="G7480">
        <v>-249.8605</v>
      </c>
      <c r="H7480">
        <v>0.86912919999999905</v>
      </c>
      <c r="I7480">
        <v>-65.748779999999996</v>
      </c>
      <c r="J7480">
        <v>-250.4787</v>
      </c>
      <c r="K7480">
        <v>1.109197</v>
      </c>
      <c r="L7480">
        <v>-65.830569999999994</v>
      </c>
      <c r="M7480">
        <v>0.9958496</v>
      </c>
      <c r="N7480">
        <v>0</v>
      </c>
      <c r="O7480">
        <v>9.0428229999999998E-2</v>
      </c>
      <c r="P7480">
        <v>0.99327359999999998</v>
      </c>
      <c r="Q7480">
        <v>5.0548139999999998E-2</v>
      </c>
      <c r="R7480">
        <v>0.1041768</v>
      </c>
      <c r="S7480">
        <v>3.0310969999999999</v>
      </c>
      <c r="T7480">
        <v>-1.007236</v>
      </c>
      <c r="U7480">
        <v>0.3807373</v>
      </c>
      <c r="V7480">
        <v>-1.380582E-2</v>
      </c>
      <c r="W7480">
        <v>6.0876670000000001E-2</v>
      </c>
      <c r="X7480">
        <v>0.99804979999999999</v>
      </c>
      <c r="Y7480">
        <v>-3.7193339999999998E-2</v>
      </c>
      <c r="Z7480">
        <v>-2.3091440000000001E-2</v>
      </c>
      <c r="AA7480">
        <v>0.99904130000000002</v>
      </c>
      <c r="AB7480">
        <v>21</v>
      </c>
      <c r="AC7480">
        <v>0.61820000000000097</v>
      </c>
      <c r="AD7480">
        <v>-0.2400678</v>
      </c>
      <c r="AE7480">
        <v>8.1789999999983806E-2</v>
      </c>
      <c r="AF7480">
        <v>-2.2251325700079198E-2</v>
      </c>
      <c r="AG7480">
        <v>-0.2400678</v>
      </c>
      <c r="AH7480">
        <v>0.54263957715531697</v>
      </c>
      <c r="AI7480">
        <v>113.847153545159</v>
      </c>
      <c r="AJ7480">
        <v>92.348139082879598</v>
      </c>
      <c r="AK7480">
        <v>0.59378900359264997</v>
      </c>
      <c r="AL7480">
        <v>86.509865701422399</v>
      </c>
      <c r="AM7480">
        <v>90.792510325543105</v>
      </c>
      <c r="AN7480">
        <v>0.99999998644809995</v>
      </c>
    </row>
    <row r="7481" spans="1:40" x14ac:dyDescent="0.25">
      <c r="A7481" t="str">
        <f>"20190312160516560"</f>
        <v>20190312160516560</v>
      </c>
      <c r="B7481" t="str">
        <f>"1552377916552169"</f>
        <v>1552377916552169</v>
      </c>
      <c r="C7481" t="s">
        <v>40</v>
      </c>
      <c r="D7481">
        <v>6.0546819999999997</v>
      </c>
      <c r="E7481">
        <v>0.48610370000000003</v>
      </c>
      <c r="F7481" t="s">
        <v>49</v>
      </c>
      <c r="G7481">
        <v>-249.6686</v>
      </c>
      <c r="H7481">
        <v>0.87067839999999996</v>
      </c>
      <c r="I7481">
        <v>-65.723060000000004</v>
      </c>
      <c r="J7481">
        <v>-250.3723</v>
      </c>
      <c r="K7481">
        <v>1.109213</v>
      </c>
      <c r="L7481">
        <v>-65.821659999999994</v>
      </c>
      <c r="M7481">
        <v>0.99591019999999997</v>
      </c>
      <c r="N7481">
        <v>0</v>
      </c>
      <c r="O7481">
        <v>8.9759809999999995E-2</v>
      </c>
      <c r="P7481">
        <v>0.99327460000000001</v>
      </c>
      <c r="Q7481">
        <v>5.052823E-2</v>
      </c>
      <c r="R7481">
        <v>0.1041755</v>
      </c>
      <c r="S7481">
        <v>3.0234830000000001</v>
      </c>
      <c r="T7481">
        <v>-0.89012789999999997</v>
      </c>
      <c r="U7481">
        <v>0.40167239999999999</v>
      </c>
      <c r="V7481">
        <v>-1.447736E-2</v>
      </c>
      <c r="W7481">
        <v>6.0834800000000001E-2</v>
      </c>
      <c r="X7481">
        <v>0.99804280000000001</v>
      </c>
      <c r="Y7481">
        <v>-4.4071979999999997E-2</v>
      </c>
      <c r="Z7481">
        <v>-1.9381099999999998E-2</v>
      </c>
      <c r="AA7481">
        <v>0.99884030000000001</v>
      </c>
      <c r="AB7481">
        <v>21</v>
      </c>
      <c r="AC7481">
        <v>0.70369999999999699</v>
      </c>
      <c r="AD7481">
        <v>-0.23853460000000001</v>
      </c>
      <c r="AE7481">
        <v>9.8599999999990404E-2</v>
      </c>
      <c r="AF7481">
        <v>-3.1486431065781501E-2</v>
      </c>
      <c r="AG7481">
        <v>-0.23853460000000001</v>
      </c>
      <c r="AH7481">
        <v>0.63783281722499596</v>
      </c>
      <c r="AI7481">
        <v>110.481758600894</v>
      </c>
      <c r="AJ7481">
        <v>92.826095328111506</v>
      </c>
      <c r="AK7481">
        <v>0.68170437395369199</v>
      </c>
      <c r="AL7481">
        <v>86.512268998639101</v>
      </c>
      <c r="AM7481">
        <v>90.831060004818497</v>
      </c>
      <c r="AN7481">
        <v>0.99999994873772302</v>
      </c>
    </row>
    <row r="7482" spans="1:40" x14ac:dyDescent="0.25">
      <c r="A7482" t="str">
        <f>"20190312160516573"</f>
        <v>20190312160516573</v>
      </c>
      <c r="B7482" t="str">
        <f>"1552377916562904"</f>
        <v>1552377916562904</v>
      </c>
      <c r="C7482" t="s">
        <v>40</v>
      </c>
      <c r="D7482">
        <v>6.4566790000000003</v>
      </c>
      <c r="E7482">
        <v>0.47899079999999999</v>
      </c>
      <c r="F7482" t="s">
        <v>49</v>
      </c>
      <c r="G7482">
        <v>-249.65629999999999</v>
      </c>
      <c r="H7482">
        <v>0.89840769999999903</v>
      </c>
      <c r="I7482">
        <v>-65.726780000000005</v>
      </c>
      <c r="J7482">
        <v>-250.2595</v>
      </c>
      <c r="K7482">
        <v>1.1092379999999999</v>
      </c>
      <c r="L7482">
        <v>-65.812259999999995</v>
      </c>
      <c r="M7482">
        <v>0.99597279999999999</v>
      </c>
      <c r="N7482">
        <v>0</v>
      </c>
      <c r="O7482">
        <v>8.9065499999999895E-2</v>
      </c>
      <c r="P7482">
        <v>0.99332900000000002</v>
      </c>
      <c r="Q7482">
        <v>5.071349E-2</v>
      </c>
      <c r="R7482">
        <v>0.10356600000000001</v>
      </c>
      <c r="S7482">
        <v>3.0235439999999998</v>
      </c>
      <c r="T7482">
        <v>-0.89017679999999999</v>
      </c>
      <c r="U7482">
        <v>0.40112300000000001</v>
      </c>
      <c r="V7482">
        <v>-1.456383E-2</v>
      </c>
      <c r="W7482">
        <v>6.0997099999999999E-2</v>
      </c>
      <c r="X7482">
        <v>0.99803169999999997</v>
      </c>
      <c r="Y7482">
        <v>-4.4539620000000002E-2</v>
      </c>
      <c r="Z7482">
        <v>-1.9116709999999999E-2</v>
      </c>
      <c r="AA7482">
        <v>0.99882470000000001</v>
      </c>
      <c r="AB7482">
        <v>21</v>
      </c>
      <c r="AC7482">
        <v>0.60320000000001495</v>
      </c>
      <c r="AD7482">
        <v>-0.2108303</v>
      </c>
      <c r="AE7482">
        <v>8.5479999999989703E-2</v>
      </c>
      <c r="AF7482">
        <v>-2.8053448574985099E-2</v>
      </c>
      <c r="AG7482">
        <v>-0.2108303</v>
      </c>
      <c r="AH7482">
        <v>0.54334565665859702</v>
      </c>
      <c r="AI7482">
        <v>111.18166193229899</v>
      </c>
      <c r="AJ7482">
        <v>92.955610674335404</v>
      </c>
      <c r="AK7482">
        <v>0.58349028611006204</v>
      </c>
      <c r="AL7482">
        <v>86.502952815860695</v>
      </c>
      <c r="AM7482">
        <v>90.836032332856405</v>
      </c>
      <c r="AN7482">
        <v>1.00000001277878</v>
      </c>
    </row>
    <row r="7483" spans="1:40" x14ac:dyDescent="0.25">
      <c r="A7483" t="str">
        <f>"20190312160516584"</f>
        <v>20190312160516584</v>
      </c>
      <c r="B7483" t="str">
        <f>"1552377916572666"</f>
        <v>1552377916572666</v>
      </c>
      <c r="C7483" t="s">
        <v>40</v>
      </c>
      <c r="D7483">
        <v>5.8838660000000003</v>
      </c>
      <c r="E7483">
        <v>0.48073379999999999</v>
      </c>
      <c r="F7483" t="s">
        <v>126</v>
      </c>
      <c r="G7483">
        <v>-239.34469999999999</v>
      </c>
      <c r="H7483" s="1">
        <v>-3.7138419999999998E-6</v>
      </c>
      <c r="I7483">
        <v>-64.102940000000004</v>
      </c>
      <c r="J7483">
        <v>-250.14750000000001</v>
      </c>
      <c r="K7483">
        <v>1.1092569999999999</v>
      </c>
      <c r="L7483">
        <v>-65.80301</v>
      </c>
      <c r="M7483">
        <v>0.99603319999999995</v>
      </c>
      <c r="N7483">
        <v>0</v>
      </c>
      <c r="O7483">
        <v>8.839147E-2</v>
      </c>
      <c r="P7483">
        <v>0.99337379999999997</v>
      </c>
      <c r="Q7483">
        <v>5.1112280000000003E-2</v>
      </c>
      <c r="R7483">
        <v>0.1029385</v>
      </c>
      <c r="S7483">
        <v>2.9868769999999998</v>
      </c>
      <c r="T7483">
        <v>-0.30354769999999998</v>
      </c>
      <c r="U7483">
        <v>0.46774290000000002</v>
      </c>
      <c r="V7483">
        <v>-1.4612989999999999E-2</v>
      </c>
      <c r="W7483">
        <v>6.1373089999999998E-2</v>
      </c>
      <c r="X7483">
        <v>0.99800789999999995</v>
      </c>
      <c r="Y7483">
        <v>-6.688326E-2</v>
      </c>
      <c r="Z7483">
        <v>-5.5130500000000002E-3</v>
      </c>
      <c r="AA7483">
        <v>0.99774560000000001</v>
      </c>
      <c r="AB7483">
        <v>21</v>
      </c>
      <c r="AC7483">
        <v>10.8028</v>
      </c>
      <c r="AD7483">
        <v>-1.1092607138420001</v>
      </c>
      <c r="AE7483">
        <v>1.70006999999999</v>
      </c>
      <c r="AF7483">
        <v>-0.73096861557671899</v>
      </c>
      <c r="AG7483">
        <v>-1.1092607138420001</v>
      </c>
      <c r="AH7483">
        <v>10.7996739737964</v>
      </c>
      <c r="AI7483">
        <v>95.851129309336599</v>
      </c>
      <c r="AJ7483">
        <v>93.8721202778475</v>
      </c>
      <c r="AK7483">
        <v>10.88107220767</v>
      </c>
      <c r="AL7483">
        <v>86.481369630380698</v>
      </c>
      <c r="AM7483">
        <v>90.838873947188503</v>
      </c>
      <c r="AN7483">
        <v>0.99999998205764795</v>
      </c>
    </row>
    <row r="7484" spans="1:40" x14ac:dyDescent="0.25">
      <c r="A7484" t="str">
        <f>"20190312160516596"</f>
        <v>20190312160516596</v>
      </c>
      <c r="B7484" t="str">
        <f>"1552377916592184"</f>
        <v>1552377916592184</v>
      </c>
      <c r="C7484" t="s">
        <v>40</v>
      </c>
      <c r="D7484">
        <v>5.7914969999999997</v>
      </c>
      <c r="E7484">
        <v>0.48296</v>
      </c>
      <c r="F7484" t="s">
        <v>126</v>
      </c>
      <c r="G7484">
        <v>-236.95140000000001</v>
      </c>
      <c r="H7484" s="1">
        <v>-2.845917E-6</v>
      </c>
      <c r="I7484">
        <v>-63.801400000000001</v>
      </c>
      <c r="J7484">
        <v>-250.03880000000001</v>
      </c>
      <c r="K7484">
        <v>1.1092770000000001</v>
      </c>
      <c r="L7484">
        <v>-65.7941</v>
      </c>
      <c r="M7484">
        <v>0.99608869999999905</v>
      </c>
      <c r="N7484">
        <v>0</v>
      </c>
      <c r="O7484">
        <v>8.7763939999999999E-2</v>
      </c>
      <c r="P7484">
        <v>0.99335469999999904</v>
      </c>
      <c r="Q7484">
        <v>5.1246750000000001E-2</v>
      </c>
      <c r="R7484">
        <v>0.1030533</v>
      </c>
      <c r="S7484">
        <v>2.986008</v>
      </c>
      <c r="T7484">
        <v>-0.25100319999999998</v>
      </c>
      <c r="U7484">
        <v>0.45291140000000002</v>
      </c>
      <c r="V7484">
        <v>-1.536145E-2</v>
      </c>
      <c r="W7484">
        <v>6.1488269999999998E-2</v>
      </c>
      <c r="X7484">
        <v>0.99798960000000003</v>
      </c>
      <c r="Y7484">
        <v>-6.2693520000000003E-2</v>
      </c>
      <c r="Z7484">
        <v>-4.6885260000000002E-3</v>
      </c>
      <c r="AA7484">
        <v>0.99802179999999996</v>
      </c>
      <c r="AB7484">
        <v>21</v>
      </c>
      <c r="AC7484">
        <v>13.087400000000001</v>
      </c>
      <c r="AD7484">
        <v>-1.1092798459169999</v>
      </c>
      <c r="AE7484">
        <v>1.9926999999999899</v>
      </c>
      <c r="AF7484">
        <v>-0.83051662033278795</v>
      </c>
      <c r="AG7484">
        <v>-1.1092798459169999</v>
      </c>
      <c r="AH7484">
        <v>13.119672615292099</v>
      </c>
      <c r="AI7484">
        <v>94.823304932517601</v>
      </c>
      <c r="AJ7484">
        <v>93.622170196937006</v>
      </c>
      <c r="AK7484">
        <v>13.192652089919299</v>
      </c>
      <c r="AL7484">
        <v>86.474757919262601</v>
      </c>
      <c r="AM7484">
        <v>90.881849622771597</v>
      </c>
      <c r="AN7484">
        <v>1.00000001160092</v>
      </c>
    </row>
    <row r="7485" spans="1:40" x14ac:dyDescent="0.25">
      <c r="A7485" t="str">
        <f>"20190312160516607"</f>
        <v>20190312160516607</v>
      </c>
      <c r="B7485" t="str">
        <f>"1552377916602921"</f>
        <v>1552377916602921</v>
      </c>
      <c r="C7485" t="s">
        <v>40</v>
      </c>
      <c r="D7485">
        <v>5.7142359999999996</v>
      </c>
      <c r="E7485">
        <v>0.48470750000000001</v>
      </c>
      <c r="F7485" t="s">
        <v>123</v>
      </c>
      <c r="G7485">
        <v>-229.78559999999999</v>
      </c>
      <c r="H7485" s="1">
        <v>-3.6650519999999998E-6</v>
      </c>
      <c r="I7485">
        <v>-62.824440000000003</v>
      </c>
      <c r="J7485">
        <v>-249.92699999999999</v>
      </c>
      <c r="K7485">
        <v>1.1093010000000001</v>
      </c>
      <c r="L7485">
        <v>-65.784940000000006</v>
      </c>
      <c r="M7485">
        <v>0.99614480000000005</v>
      </c>
      <c r="N7485">
        <v>0</v>
      </c>
      <c r="O7485">
        <v>8.7127969999999999E-2</v>
      </c>
      <c r="P7485">
        <v>0.99339670000000002</v>
      </c>
      <c r="Q7485">
        <v>5.1572020000000003E-2</v>
      </c>
      <c r="R7485">
        <v>0.10248640000000001</v>
      </c>
      <c r="S7485">
        <v>2.983139</v>
      </c>
      <c r="T7485">
        <v>-0.16338839999999999</v>
      </c>
      <c r="U7485">
        <v>0.43740839999999998</v>
      </c>
      <c r="V7485">
        <v>-1.5433489999999999E-2</v>
      </c>
      <c r="W7485">
        <v>6.1793340000000002E-2</v>
      </c>
      <c r="X7485">
        <v>0.99796960000000001</v>
      </c>
      <c r="Y7485">
        <v>-5.835506E-2</v>
      </c>
      <c r="Z7485">
        <v>-3.1429969999999998E-3</v>
      </c>
      <c r="AA7485">
        <v>0.99829100000000004</v>
      </c>
      <c r="AB7485">
        <v>21</v>
      </c>
      <c r="AC7485">
        <v>20.141400000000001</v>
      </c>
      <c r="AD7485">
        <v>-1.109304665052</v>
      </c>
      <c r="AE7485">
        <v>2.9605000000000001</v>
      </c>
      <c r="AF7485">
        <v>-1.1907341133481999</v>
      </c>
      <c r="AG7485">
        <v>-1.109304665052</v>
      </c>
      <c r="AH7485">
        <v>20.262588947973299</v>
      </c>
      <c r="AI7485">
        <v>93.128225932754006</v>
      </c>
      <c r="AJ7485">
        <v>93.363127389265898</v>
      </c>
      <c r="AK7485">
        <v>20.327835975408899</v>
      </c>
      <c r="AL7485">
        <v>86.4572452323319</v>
      </c>
      <c r="AM7485">
        <v>90.886002294187804</v>
      </c>
      <c r="AN7485">
        <v>0.99999996600304697</v>
      </c>
    </row>
    <row r="7486" spans="1:40" x14ac:dyDescent="0.25">
      <c r="A7486" t="str">
        <f>"20190312160516619"</f>
        <v>20190312160516619</v>
      </c>
      <c r="B7486" t="str">
        <f>"1552377916612680"</f>
        <v>1552377916612680</v>
      </c>
      <c r="C7486" t="s">
        <v>40</v>
      </c>
      <c r="D7486">
        <v>5.7201680000000001</v>
      </c>
      <c r="E7486">
        <v>0.48538940000000003</v>
      </c>
      <c r="F7486" t="s">
        <v>123</v>
      </c>
      <c r="G7486">
        <v>-229.9444</v>
      </c>
      <c r="H7486" s="1">
        <v>-3.7375019999999998E-6</v>
      </c>
      <c r="I7486">
        <v>-62.962249999999997</v>
      </c>
      <c r="J7486">
        <v>-249.816</v>
      </c>
      <c r="K7486">
        <v>1.109327</v>
      </c>
      <c r="L7486">
        <v>-65.775970000000001</v>
      </c>
      <c r="M7486">
        <v>0.99619669999999905</v>
      </c>
      <c r="N7486">
        <v>0</v>
      </c>
      <c r="O7486">
        <v>8.6536440000000006E-2</v>
      </c>
      <c r="P7486">
        <v>0.99342640000000004</v>
      </c>
      <c r="Q7486">
        <v>5.1415130000000003E-2</v>
      </c>
      <c r="R7486">
        <v>0.1022771</v>
      </c>
      <c r="S7486">
        <v>2.9850620000000001</v>
      </c>
      <c r="T7486">
        <v>-0.16571089999999999</v>
      </c>
      <c r="U7486">
        <v>0.42166140000000002</v>
      </c>
      <c r="V7486">
        <v>-1.5819110000000001E-2</v>
      </c>
      <c r="W7486">
        <v>6.1616770000000001E-2</v>
      </c>
      <c r="X7486">
        <v>0.99797449999999999</v>
      </c>
      <c r="Y7486">
        <v>-5.370283E-2</v>
      </c>
      <c r="Z7486">
        <v>-3.282975E-3</v>
      </c>
      <c r="AA7486">
        <v>0.99855150000000004</v>
      </c>
      <c r="AB7486">
        <v>22</v>
      </c>
      <c r="AC7486">
        <v>19.871599999999901</v>
      </c>
      <c r="AD7486">
        <v>-1.1093307375019901</v>
      </c>
      <c r="AE7486">
        <v>2.81372</v>
      </c>
      <c r="AF7486">
        <v>-1.0801571079025001</v>
      </c>
      <c r="AG7486">
        <v>-1.1093307375019901</v>
      </c>
      <c r="AH7486">
        <v>19.979508789963202</v>
      </c>
      <c r="AI7486">
        <v>93.173370035746402</v>
      </c>
      <c r="AJ7486">
        <v>93.094583210428794</v>
      </c>
      <c r="AK7486">
        <v>20.039414301599201</v>
      </c>
      <c r="AL7486">
        <v>86.467381336339699</v>
      </c>
      <c r="AM7486">
        <v>90.908131759289603</v>
      </c>
      <c r="AN7486">
        <v>0.999999986618337</v>
      </c>
    </row>
    <row r="7487" spans="1:40" x14ac:dyDescent="0.25">
      <c r="A7487" t="str">
        <f>"20190312160516638"</f>
        <v>20190312160516638</v>
      </c>
      <c r="B7487" t="str">
        <f>"1552377916632201"</f>
        <v>1552377916632201</v>
      </c>
      <c r="C7487" t="s">
        <v>40</v>
      </c>
      <c r="D7487">
        <v>5.7187659999999996</v>
      </c>
      <c r="E7487">
        <v>0.4860411</v>
      </c>
      <c r="F7487" t="s">
        <v>126</v>
      </c>
      <c r="G7487">
        <v>-230.19980000000001</v>
      </c>
      <c r="H7487" s="1">
        <v>2.1872029999999999E-7</v>
      </c>
      <c r="I7487">
        <v>-63.04618</v>
      </c>
      <c r="J7487">
        <v>-249.6294</v>
      </c>
      <c r="K7487">
        <v>1.1093649999999999</v>
      </c>
      <c r="L7487">
        <v>-65.760829999999999</v>
      </c>
      <c r="M7487">
        <v>0.99627940000000004</v>
      </c>
      <c r="N7487">
        <v>0</v>
      </c>
      <c r="O7487">
        <v>8.5582599999999995E-2</v>
      </c>
      <c r="P7487">
        <v>0.99342949999999997</v>
      </c>
      <c r="Q7487">
        <v>5.157743E-2</v>
      </c>
      <c r="R7487">
        <v>0.1021656</v>
      </c>
      <c r="S7487">
        <v>2.9858250000000002</v>
      </c>
      <c r="T7487">
        <v>-0.16885240000000001</v>
      </c>
      <c r="U7487">
        <v>0.4154968</v>
      </c>
      <c r="V7487">
        <v>-1.667126E-2</v>
      </c>
      <c r="W7487">
        <v>6.1744319999999998E-2</v>
      </c>
      <c r="X7487">
        <v>0.99795279999999997</v>
      </c>
      <c r="Y7487">
        <v>-5.2603770000000001E-2</v>
      </c>
      <c r="Z7487">
        <v>-3.3224230000000001E-3</v>
      </c>
      <c r="AA7487">
        <v>0.99861</v>
      </c>
      <c r="AB7487">
        <v>22</v>
      </c>
      <c r="AC7487">
        <v>19.429599999999901</v>
      </c>
      <c r="AD7487">
        <v>-1.1093647812796901</v>
      </c>
      <c r="AE7487">
        <v>2.71464999999999</v>
      </c>
      <c r="AF7487">
        <v>-1.0384472831942599</v>
      </c>
      <c r="AG7487">
        <v>-1.1093647812796901</v>
      </c>
      <c r="AH7487">
        <v>19.528202253129201</v>
      </c>
      <c r="AI7487">
        <v>93.246806064424504</v>
      </c>
      <c r="AJ7487">
        <v>93.043939114191502</v>
      </c>
      <c r="AK7487">
        <v>19.587234266660499</v>
      </c>
      <c r="AL7487">
        <v>86.460059512523301</v>
      </c>
      <c r="AM7487">
        <v>90.957063296042605</v>
      </c>
      <c r="AN7487">
        <v>1.0000000414950401</v>
      </c>
    </row>
    <row r="7488" spans="1:40" x14ac:dyDescent="0.25">
      <c r="A7488" t="str">
        <f>"20190312160516649"</f>
        <v>20190312160516649</v>
      </c>
      <c r="B7488" t="str">
        <f>"1552377916642936"</f>
        <v>1552377916642936</v>
      </c>
      <c r="C7488" t="s">
        <v>40</v>
      </c>
      <c r="D7488">
        <v>5.8476689999999998</v>
      </c>
      <c r="E7488">
        <v>0.4864503</v>
      </c>
      <c r="F7488" t="s">
        <v>123</v>
      </c>
      <c r="G7488">
        <v>-229.60810000000001</v>
      </c>
      <c r="H7488" s="1">
        <v>-3.6298739999999999E-6</v>
      </c>
      <c r="I7488">
        <v>-63.013019999999997</v>
      </c>
      <c r="J7488">
        <v>-249.52250000000001</v>
      </c>
      <c r="K7488">
        <v>1.1093900000000001</v>
      </c>
      <c r="L7488">
        <v>-65.752259999999893</v>
      </c>
      <c r="M7488">
        <v>0.99632410000000005</v>
      </c>
      <c r="N7488">
        <v>0</v>
      </c>
      <c r="O7488">
        <v>8.5061520000000002E-2</v>
      </c>
      <c r="P7488">
        <v>0.99341999999999997</v>
      </c>
      <c r="Q7488">
        <v>5.1477179999999997E-2</v>
      </c>
      <c r="R7488">
        <v>0.1023076</v>
      </c>
      <c r="S7488">
        <v>2.9862820000000001</v>
      </c>
      <c r="T7488">
        <v>-0.16546830000000001</v>
      </c>
      <c r="U7488">
        <v>0.40985110000000002</v>
      </c>
      <c r="V7488">
        <v>-1.733997E-2</v>
      </c>
      <c r="W7488">
        <v>6.1624390000000001E-2</v>
      </c>
      <c r="X7488">
        <v>0.99794879999999997</v>
      </c>
      <c r="Y7488">
        <v>-5.1251789999999998E-2</v>
      </c>
      <c r="Z7488">
        <v>-3.2646540000000001E-3</v>
      </c>
      <c r="AA7488">
        <v>0.99868040000000002</v>
      </c>
      <c r="AB7488">
        <v>22</v>
      </c>
      <c r="AC7488">
        <v>19.914400000000001</v>
      </c>
      <c r="AD7488">
        <v>-1.1093936298739999</v>
      </c>
      <c r="AE7488">
        <v>2.7392399999999899</v>
      </c>
      <c r="AF7488">
        <v>-1.0321312898617101</v>
      </c>
      <c r="AG7488">
        <v>-1.1093936298739999</v>
      </c>
      <c r="AH7488">
        <v>20.014273905457799</v>
      </c>
      <c r="AI7488">
        <v>93.1684635524377</v>
      </c>
      <c r="AJ7488">
        <v>92.952114426967398</v>
      </c>
      <c r="AK7488">
        <v>20.071552236640901</v>
      </c>
      <c r="AL7488">
        <v>86.4669440424518</v>
      </c>
      <c r="AM7488">
        <v>90.995448997118004</v>
      </c>
      <c r="AN7488">
        <v>1.00000002371195</v>
      </c>
    </row>
    <row r="7489" spans="1:40" x14ac:dyDescent="0.25">
      <c r="A7489" t="str">
        <f>"20190312160516660"</f>
        <v>20190312160516660</v>
      </c>
      <c r="B7489" t="str">
        <f>"1552377916652697"</f>
        <v>1552377916652697</v>
      </c>
      <c r="C7489" t="s">
        <v>40</v>
      </c>
      <c r="D7489">
        <v>5.7973530000000002</v>
      </c>
      <c r="E7489">
        <v>0.48673939999999999</v>
      </c>
      <c r="F7489" t="s">
        <v>123</v>
      </c>
      <c r="G7489">
        <v>-229.8972</v>
      </c>
      <c r="H7489" s="1">
        <v>-3.7369909999999999E-6</v>
      </c>
      <c r="I7489">
        <v>-63.078609999999998</v>
      </c>
      <c r="J7489">
        <v>-249.4152</v>
      </c>
      <c r="K7489">
        <v>1.1094120000000001</v>
      </c>
      <c r="L7489">
        <v>-65.743679999999998</v>
      </c>
      <c r="M7489">
        <v>0.99636610000000003</v>
      </c>
      <c r="N7489">
        <v>0</v>
      </c>
      <c r="O7489">
        <v>8.4571469999999996E-2</v>
      </c>
      <c r="P7489">
        <v>0.99340340000000005</v>
      </c>
      <c r="Q7489">
        <v>5.1405289999999999E-2</v>
      </c>
      <c r="R7489">
        <v>0.1025035</v>
      </c>
      <c r="S7489">
        <v>2.986694</v>
      </c>
      <c r="T7489">
        <v>-0.1688336</v>
      </c>
      <c r="U7489">
        <v>0.4068909</v>
      </c>
      <c r="V7489">
        <v>-1.8032449999999998E-2</v>
      </c>
      <c r="W7489">
        <v>6.1530149999999999E-2</v>
      </c>
      <c r="X7489">
        <v>0.99794229999999995</v>
      </c>
      <c r="Y7489">
        <v>-5.0754870000000001E-2</v>
      </c>
      <c r="Z7489">
        <v>-3.3173320000000001E-3</v>
      </c>
      <c r="AA7489">
        <v>0.99870559999999997</v>
      </c>
      <c r="AB7489">
        <v>22</v>
      </c>
      <c r="AC7489">
        <v>19.518000000000001</v>
      </c>
      <c r="AD7489">
        <v>-1.109415736991</v>
      </c>
      <c r="AE7489">
        <v>2.6650700000000001</v>
      </c>
      <c r="AF7489">
        <v>-1.00159404622461</v>
      </c>
      <c r="AG7489">
        <v>-1.109415736991</v>
      </c>
      <c r="AH7489">
        <v>19.611266835466701</v>
      </c>
      <c r="AI7489">
        <v>93.233584431967202</v>
      </c>
      <c r="AJ7489">
        <v>92.923691473387606</v>
      </c>
      <c r="AK7489">
        <v>19.6681412645626</v>
      </c>
      <c r="AL7489">
        <v>86.472353713143804</v>
      </c>
      <c r="AM7489">
        <v>91.035200985599104</v>
      </c>
      <c r="AN7489">
        <v>0.99999998137065704</v>
      </c>
    </row>
    <row r="7490" spans="1:40" x14ac:dyDescent="0.25">
      <c r="A7490" t="str">
        <f>"20190312160516672"</f>
        <v>20190312160516672</v>
      </c>
      <c r="B7490" t="str">
        <f>"1552377916662456"</f>
        <v>1552377916662456</v>
      </c>
      <c r="C7490" t="s">
        <v>40</v>
      </c>
      <c r="D7490">
        <v>5.8242430000000001</v>
      </c>
      <c r="E7490">
        <v>0.48683979999999999</v>
      </c>
      <c r="F7490" t="s">
        <v>126</v>
      </c>
      <c r="G7490">
        <v>-230.15190000000001</v>
      </c>
      <c r="H7490" s="1">
        <v>2.163189E-7</v>
      </c>
      <c r="I7490">
        <v>-63.13241</v>
      </c>
      <c r="J7490">
        <v>-249.30850000000001</v>
      </c>
      <c r="K7490">
        <v>1.1094360000000001</v>
      </c>
      <c r="L7490">
        <v>-65.735140000000001</v>
      </c>
      <c r="M7490">
        <v>0.99640600000000001</v>
      </c>
      <c r="N7490">
        <v>0</v>
      </c>
      <c r="O7490">
        <v>8.4103109999999995E-2</v>
      </c>
      <c r="P7490">
        <v>0.99339460000000002</v>
      </c>
      <c r="Q7490">
        <v>5.1309279999999999E-2</v>
      </c>
      <c r="R7490">
        <v>0.10263899999999999</v>
      </c>
      <c r="S7490">
        <v>2.9870610000000002</v>
      </c>
      <c r="T7490">
        <v>-0.17203080000000001</v>
      </c>
      <c r="U7490">
        <v>0.40490720000000002</v>
      </c>
      <c r="V7490">
        <v>-1.864263E-2</v>
      </c>
      <c r="W7490">
        <v>6.1411159999999999E-2</v>
      </c>
      <c r="X7490">
        <v>0.99793849999999995</v>
      </c>
      <c r="Y7490">
        <v>-5.0558329999999999E-2</v>
      </c>
      <c r="Z7490">
        <v>-3.3587700000000001E-3</v>
      </c>
      <c r="AA7490">
        <v>0.99871549999999998</v>
      </c>
      <c r="AB7490">
        <v>22</v>
      </c>
      <c r="AC7490">
        <v>19.156600000000001</v>
      </c>
      <c r="AD7490">
        <v>-1.1094357836811</v>
      </c>
      <c r="AE7490">
        <v>2.6027300000000002</v>
      </c>
      <c r="AF7490">
        <v>-0.97907180626321899</v>
      </c>
      <c r="AG7490">
        <v>-1.1094357836811</v>
      </c>
      <c r="AH7490">
        <v>19.244255172835299</v>
      </c>
      <c r="AI7490">
        <v>93.295210479828299</v>
      </c>
      <c r="AJ7490">
        <v>92.912472171497299</v>
      </c>
      <c r="AK7490">
        <v>19.301056616598199</v>
      </c>
      <c r="AL7490">
        <v>86.479184546682305</v>
      </c>
      <c r="AM7490">
        <v>91.070226059631295</v>
      </c>
      <c r="AN7490">
        <v>1.0000000640040501</v>
      </c>
    </row>
    <row r="7491" spans="1:40" x14ac:dyDescent="0.25">
      <c r="A7491" t="str">
        <f>"20190312160516682"</f>
        <v>20190312160516682</v>
      </c>
      <c r="B7491" t="str">
        <f>"1552377916672218"</f>
        <v>1552377916672218</v>
      </c>
      <c r="C7491" t="s">
        <v>40</v>
      </c>
      <c r="D7491">
        <v>5.7839179999999999</v>
      </c>
      <c r="E7491">
        <v>0.4872513</v>
      </c>
      <c r="F7491" t="s">
        <v>123</v>
      </c>
      <c r="G7491">
        <v>-229.87010000000001</v>
      </c>
      <c r="H7491" s="1">
        <v>-3.7309390000000002E-6</v>
      </c>
      <c r="I7491">
        <v>-63.10228</v>
      </c>
      <c r="J7491">
        <v>-249.20160000000001</v>
      </c>
      <c r="K7491">
        <v>1.1094630000000001</v>
      </c>
      <c r="L7491">
        <v>-65.726650000000006</v>
      </c>
      <c r="M7491">
        <v>0.99644330000000003</v>
      </c>
      <c r="N7491">
        <v>0</v>
      </c>
      <c r="O7491">
        <v>8.3660890000000002E-2</v>
      </c>
      <c r="P7491">
        <v>0.99338780000000004</v>
      </c>
      <c r="Q7491">
        <v>5.0904900000000003E-2</v>
      </c>
      <c r="R7491">
        <v>0.1029057</v>
      </c>
      <c r="S7491">
        <v>2.9869539999999999</v>
      </c>
      <c r="T7491">
        <v>-0.170479399999999</v>
      </c>
      <c r="U7491">
        <v>0.40457149999999997</v>
      </c>
      <c r="V7491">
        <v>-1.935692E-2</v>
      </c>
      <c r="W7491">
        <v>6.098282E-2</v>
      </c>
      <c r="X7491">
        <v>0.99795109999999998</v>
      </c>
      <c r="Y7491">
        <v>-5.0893929999999997E-2</v>
      </c>
      <c r="Z7491">
        <v>-3.2941810000000002E-3</v>
      </c>
      <c r="AA7491">
        <v>0.99869870000000005</v>
      </c>
      <c r="AB7491">
        <v>22</v>
      </c>
      <c r="AC7491">
        <v>19.331499999999998</v>
      </c>
      <c r="AD7491">
        <v>-1.1094667309389901</v>
      </c>
      <c r="AE7491">
        <v>2.6243699999999901</v>
      </c>
      <c r="AF7491">
        <v>-0.994579434959182</v>
      </c>
      <c r="AG7491">
        <v>-1.1094667309389901</v>
      </c>
      <c r="AH7491">
        <v>19.4204809626982</v>
      </c>
      <c r="AI7491">
        <v>93.265409010937006</v>
      </c>
      <c r="AJ7491">
        <v>92.931722588169507</v>
      </c>
      <c r="AK7491">
        <v>19.477555942726099</v>
      </c>
      <c r="AL7491">
        <v>86.503772468021694</v>
      </c>
      <c r="AM7491">
        <v>91.111207516214293</v>
      </c>
      <c r="AN7491">
        <v>0.99999999633912395</v>
      </c>
    </row>
    <row r="7492" spans="1:40" x14ac:dyDescent="0.25">
      <c r="A7492" t="str">
        <f>"20190312160516693"</f>
        <v>20190312160516693</v>
      </c>
      <c r="B7492" t="str">
        <f>"1552377916682954"</f>
        <v>1552377916682954</v>
      </c>
      <c r="C7492" t="s">
        <v>40</v>
      </c>
      <c r="D7492">
        <v>5.897087</v>
      </c>
      <c r="E7492">
        <v>0.4871895</v>
      </c>
      <c r="F7492" t="s">
        <v>123</v>
      </c>
      <c r="G7492">
        <v>-228.98670000000001</v>
      </c>
      <c r="H7492" s="1">
        <v>-3.4172040000000002E-6</v>
      </c>
      <c r="I7492">
        <v>-63.004080000000002</v>
      </c>
      <c r="J7492">
        <v>-249.09620000000001</v>
      </c>
      <c r="K7492">
        <v>1.109486</v>
      </c>
      <c r="L7492">
        <v>-65.718319999999906</v>
      </c>
      <c r="M7492">
        <v>0.99647779999999997</v>
      </c>
      <c r="N7492">
        <v>0</v>
      </c>
      <c r="O7492">
        <v>8.3253480000000005E-2</v>
      </c>
      <c r="P7492">
        <v>0.99335399999999996</v>
      </c>
      <c r="Q7492">
        <v>5.0870789999999999E-2</v>
      </c>
      <c r="R7492">
        <v>0.10324940000000001</v>
      </c>
      <c r="S7492">
        <v>2.986694</v>
      </c>
      <c r="T7492">
        <v>-0.16392039999999999</v>
      </c>
      <c r="U7492">
        <v>0.4022522</v>
      </c>
      <c r="V7492">
        <v>-2.011551E-2</v>
      </c>
      <c r="W7492">
        <v>6.0921419999999997E-2</v>
      </c>
      <c r="X7492">
        <v>0.99793980000000004</v>
      </c>
      <c r="Y7492">
        <v>-5.0548170000000003E-2</v>
      </c>
      <c r="Z7492">
        <v>-3.1554180000000001E-3</v>
      </c>
      <c r="AA7492">
        <v>0.99871670000000001</v>
      </c>
      <c r="AB7492">
        <v>22</v>
      </c>
      <c r="AC7492">
        <v>20.109500000000001</v>
      </c>
      <c r="AD7492">
        <v>-1.109489417204</v>
      </c>
      <c r="AE7492">
        <v>2.7142399999999798</v>
      </c>
      <c r="AF7492">
        <v>-1.0274743485957201</v>
      </c>
      <c r="AG7492">
        <v>-1.109489417204</v>
      </c>
      <c r="AH7492">
        <v>20.2052579334282</v>
      </c>
      <c r="AI7492">
        <v>93.138960100046106</v>
      </c>
      <c r="AJ7492">
        <v>92.911087718553702</v>
      </c>
      <c r="AK7492">
        <v>20.261764939419098</v>
      </c>
      <c r="AL7492">
        <v>86.507296815779398</v>
      </c>
      <c r="AM7492">
        <v>91.154756799889299</v>
      </c>
      <c r="AN7492">
        <v>0.99999994879070697</v>
      </c>
    </row>
    <row r="7493" spans="1:40" x14ac:dyDescent="0.25">
      <c r="A7493" t="str">
        <f>"20190312160516705"</f>
        <v>20190312160516705</v>
      </c>
      <c r="B7493" t="str">
        <f>"1552377916702473"</f>
        <v>1552377916702473</v>
      </c>
      <c r="C7493" t="s">
        <v>40</v>
      </c>
      <c r="D7493">
        <v>5.767557</v>
      </c>
      <c r="E7493">
        <v>0.48770970000000002</v>
      </c>
      <c r="F7493" t="s">
        <v>123</v>
      </c>
      <c r="G7493">
        <v>-229.42140000000001</v>
      </c>
      <c r="H7493" s="1">
        <v>-3.572664E-6</v>
      </c>
      <c r="I7493">
        <v>-63.06033</v>
      </c>
      <c r="J7493">
        <v>-248.98249999999999</v>
      </c>
      <c r="K7493">
        <v>1.1095139999999999</v>
      </c>
      <c r="L7493">
        <v>-65.709289999999996</v>
      </c>
      <c r="M7493">
        <v>0.99651310000000004</v>
      </c>
      <c r="N7493">
        <v>0</v>
      </c>
      <c r="O7493">
        <v>8.283488E-2</v>
      </c>
      <c r="P7493">
        <v>0.99338740000000003</v>
      </c>
      <c r="Q7493">
        <v>5.0543999999999999E-2</v>
      </c>
      <c r="R7493">
        <v>0.10308730000000001</v>
      </c>
      <c r="S7493">
        <v>2.9867710000000001</v>
      </c>
      <c r="T7493">
        <v>-0.16842889999999999</v>
      </c>
      <c r="U7493">
        <v>0.40350340000000001</v>
      </c>
      <c r="V7493">
        <v>-2.0375770000000001E-2</v>
      </c>
      <c r="W7493">
        <v>6.0564449999999999E-2</v>
      </c>
      <c r="X7493">
        <v>0.99795630000000002</v>
      </c>
      <c r="Y7493">
        <v>-5.1375990000000003E-2</v>
      </c>
      <c r="Z7493">
        <v>-3.1953049999999998E-3</v>
      </c>
      <c r="AA7493">
        <v>0.99867430000000001</v>
      </c>
      <c r="AB7493">
        <v>22</v>
      </c>
      <c r="AC7493">
        <v>19.5610999999999</v>
      </c>
      <c r="AD7493">
        <v>-1.1095175726640001</v>
      </c>
      <c r="AE7493">
        <v>2.6489599999999802</v>
      </c>
      <c r="AF7493">
        <v>-1.0162224129725299</v>
      </c>
      <c r="AG7493">
        <v>-1.1095175726640001</v>
      </c>
      <c r="AH7493">
        <v>19.651220684615101</v>
      </c>
      <c r="AI7493">
        <v>93.227213834448904</v>
      </c>
      <c r="AJ7493">
        <v>92.960296300339294</v>
      </c>
      <c r="AK7493">
        <v>19.708734399552998</v>
      </c>
      <c r="AL7493">
        <v>86.527787708938206</v>
      </c>
      <c r="AM7493">
        <v>91.169673902463799</v>
      </c>
      <c r="AN7493">
        <v>1.0000000006582901</v>
      </c>
    </row>
    <row r="7494" spans="1:40" x14ac:dyDescent="0.25">
      <c r="A7494" t="str">
        <f>"20190312160516717"</f>
        <v>20190312160516717</v>
      </c>
      <c r="B7494" t="str">
        <f>"1552377916712232"</f>
        <v>1552377916712232</v>
      </c>
      <c r="C7494" t="s">
        <v>40</v>
      </c>
      <c r="D7494">
        <v>5.8659610000000004</v>
      </c>
      <c r="E7494">
        <v>0.48779169999999999</v>
      </c>
      <c r="F7494" t="s">
        <v>123</v>
      </c>
      <c r="G7494">
        <v>-229.6857</v>
      </c>
      <c r="H7494" s="1">
        <v>-3.672353E-6</v>
      </c>
      <c r="I7494">
        <v>-63.133389999999999</v>
      </c>
      <c r="J7494">
        <v>-248.87790000000001</v>
      </c>
      <c r="K7494">
        <v>1.109542</v>
      </c>
      <c r="L7494">
        <v>-65.70102</v>
      </c>
      <c r="M7494">
        <v>0.99654160000000003</v>
      </c>
      <c r="N7494">
        <v>0</v>
      </c>
      <c r="O7494">
        <v>8.2492709999999997E-2</v>
      </c>
      <c r="P7494">
        <v>0.99340110000000004</v>
      </c>
      <c r="Q7494">
        <v>5.0595729999999998E-2</v>
      </c>
      <c r="R7494">
        <v>0.10293040000000001</v>
      </c>
      <c r="S7494">
        <v>2.9873349999999999</v>
      </c>
      <c r="T7494">
        <v>-0.171764</v>
      </c>
      <c r="U7494">
        <v>0.39877319999999999</v>
      </c>
      <c r="V7494">
        <v>-2.056608E-2</v>
      </c>
      <c r="W7494">
        <v>6.0587299999999997E-2</v>
      </c>
      <c r="X7494">
        <v>0.99795100000000003</v>
      </c>
      <c r="Y7494">
        <v>-5.0143899999999998E-2</v>
      </c>
      <c r="Z7494">
        <v>-3.2740489999999998E-3</v>
      </c>
      <c r="AA7494">
        <v>0.99873659999999997</v>
      </c>
      <c r="AB7494">
        <v>22</v>
      </c>
      <c r="AC7494">
        <v>19.1922</v>
      </c>
      <c r="AD7494">
        <v>-1.1095456723529999</v>
      </c>
      <c r="AE7494">
        <v>2.5676299999999901</v>
      </c>
      <c r="AF7494">
        <v>-0.97238936267207499</v>
      </c>
      <c r="AG7494">
        <v>-1.1095456723529999</v>
      </c>
      <c r="AH7494">
        <v>19.275311005591298</v>
      </c>
      <c r="AI7494">
        <v>93.290309262221001</v>
      </c>
      <c r="AJ7494">
        <v>92.887974973491694</v>
      </c>
      <c r="AK7494">
        <v>19.3316902270325</v>
      </c>
      <c r="AL7494">
        <v>86.526476059812595</v>
      </c>
      <c r="AM7494">
        <v>91.180601864921201</v>
      </c>
      <c r="AN7494">
        <v>0.99999999148442797</v>
      </c>
    </row>
    <row r="7495" spans="1:40" x14ac:dyDescent="0.25">
      <c r="A7495" t="str">
        <f>"20190312160516728"</f>
        <v>20190312160516728</v>
      </c>
      <c r="B7495" t="str">
        <f>"1552377916722969"</f>
        <v>1552377916722969</v>
      </c>
      <c r="C7495" t="s">
        <v>40</v>
      </c>
      <c r="D7495">
        <v>5.9138950000000001</v>
      </c>
      <c r="E7495">
        <v>0.48779169999999999</v>
      </c>
      <c r="F7495" t="s">
        <v>123</v>
      </c>
      <c r="G7495">
        <v>-229.1824</v>
      </c>
      <c r="H7495" s="1">
        <v>-3.4938130000000001E-6</v>
      </c>
      <c r="I7495">
        <v>-63.07891</v>
      </c>
      <c r="J7495">
        <v>-248.76329999999999</v>
      </c>
      <c r="K7495">
        <v>1.1095759999999999</v>
      </c>
      <c r="L7495">
        <v>-65.691959999999995</v>
      </c>
      <c r="M7495">
        <v>0.99657189999999995</v>
      </c>
      <c r="N7495">
        <v>0</v>
      </c>
      <c r="O7495">
        <v>8.2130819999999993E-2</v>
      </c>
      <c r="P7495">
        <v>0.99339710000000003</v>
      </c>
      <c r="Q7495">
        <v>5.0075799999999997E-2</v>
      </c>
      <c r="R7495">
        <v>0.10322389999999999</v>
      </c>
      <c r="S7495">
        <v>2.9872890000000001</v>
      </c>
      <c r="T7495">
        <v>-0.16828879999999999</v>
      </c>
      <c r="U7495">
        <v>0.39770509999999998</v>
      </c>
      <c r="V7495">
        <v>-2.122775E-2</v>
      </c>
      <c r="W7495">
        <v>6.003613E-2</v>
      </c>
      <c r="X7495">
        <v>0.99797049999999998</v>
      </c>
      <c r="Y7495">
        <v>-5.0155110000000003E-2</v>
      </c>
      <c r="Z7495">
        <v>-3.1875639999999999E-3</v>
      </c>
      <c r="AA7495">
        <v>0.99873639999999997</v>
      </c>
      <c r="AB7495">
        <v>22</v>
      </c>
      <c r="AC7495">
        <v>19.5808999999999</v>
      </c>
      <c r="AD7495">
        <v>-1.1095794938129999</v>
      </c>
      <c r="AE7495">
        <v>2.6130499999999901</v>
      </c>
      <c r="AF7495">
        <v>-0.99281389154566702</v>
      </c>
      <c r="AG7495">
        <v>-1.1095794938129999</v>
      </c>
      <c r="AH7495">
        <v>19.667314666136999</v>
      </c>
      <c r="AI7495">
        <v>93.224960266931802</v>
      </c>
      <c r="AJ7495">
        <v>92.889860760696905</v>
      </c>
      <c r="AK7495">
        <v>19.723592782583601</v>
      </c>
      <c r="AL7495">
        <v>86.558113523481097</v>
      </c>
      <c r="AM7495">
        <v>91.218550147697798</v>
      </c>
      <c r="AN7495">
        <v>1.0000000365728401</v>
      </c>
    </row>
    <row r="7496" spans="1:40" x14ac:dyDescent="0.25">
      <c r="A7496" t="str">
        <f>"20190312160516738"</f>
        <v>20190312160516738</v>
      </c>
      <c r="B7496" t="str">
        <f>"1552377916732729"</f>
        <v>1552377916732729</v>
      </c>
      <c r="C7496" t="s">
        <v>40</v>
      </c>
      <c r="D7496">
        <v>4.5563370000000001</v>
      </c>
      <c r="E7496">
        <v>0.48779169999999999</v>
      </c>
      <c r="F7496" t="s">
        <v>123</v>
      </c>
      <c r="G7496">
        <v>-229.25120000000001</v>
      </c>
      <c r="H7496" s="1">
        <v>-3.5185389999999999E-6</v>
      </c>
      <c r="I7496">
        <v>-63.088889999999999</v>
      </c>
      <c r="J7496">
        <v>-248.6559</v>
      </c>
      <c r="K7496">
        <v>1.1096109999999999</v>
      </c>
      <c r="L7496">
        <v>-65.68347</v>
      </c>
      <c r="M7496">
        <v>0.99659589999999998</v>
      </c>
      <c r="N7496">
        <v>0</v>
      </c>
      <c r="O7496">
        <v>8.1842529999999997E-2</v>
      </c>
      <c r="P7496">
        <v>0.99343389999999998</v>
      </c>
      <c r="Q7496">
        <v>4.9988860000000003E-2</v>
      </c>
      <c r="R7496">
        <v>0.1029098</v>
      </c>
      <c r="S7496">
        <v>2.9870760000000001</v>
      </c>
      <c r="T7496">
        <v>-0.1698635</v>
      </c>
      <c r="U7496">
        <v>0.39849849999999998</v>
      </c>
      <c r="V7496">
        <v>-2.1206010000000001E-2</v>
      </c>
      <c r="W7496">
        <v>5.991904E-2</v>
      </c>
      <c r="X7496">
        <v>0.99797800000000003</v>
      </c>
      <c r="Y7496">
        <v>-5.0713620000000001E-2</v>
      </c>
      <c r="Z7496">
        <v>-3.185476E-3</v>
      </c>
      <c r="AA7496">
        <v>0.99870809999999999</v>
      </c>
      <c r="AB7496">
        <v>22</v>
      </c>
      <c r="AC7496">
        <v>19.404699999999899</v>
      </c>
      <c r="AD7496">
        <v>-1.1096145185390001</v>
      </c>
      <c r="AE7496">
        <v>2.5945800000000001</v>
      </c>
      <c r="AF7496">
        <v>-0.99447246063054395</v>
      </c>
      <c r="AG7496">
        <v>-1.1096145185390001</v>
      </c>
      <c r="AH7496">
        <v>19.489345255712799</v>
      </c>
      <c r="AI7496">
        <v>93.254359120871101</v>
      </c>
      <c r="AJ7496">
        <v>92.921067847725496</v>
      </c>
      <c r="AK7496">
        <v>19.546222099195599</v>
      </c>
      <c r="AL7496">
        <v>86.564834388137996</v>
      </c>
      <c r="AM7496">
        <v>91.217293422721795</v>
      </c>
      <c r="AN7496">
        <v>1.0000000373493201</v>
      </c>
    </row>
    <row r="7497" spans="1:40" x14ac:dyDescent="0.25">
      <c r="A7497" t="str">
        <f>"20190312160516783"</f>
        <v>20190312160516783</v>
      </c>
      <c r="B7497" t="str">
        <f>"1552377916772745"</f>
        <v>1552377916772745</v>
      </c>
      <c r="C7497" t="s">
        <v>40</v>
      </c>
      <c r="D7497">
        <v>4.5446239999999998</v>
      </c>
      <c r="E7497">
        <v>0.48507450000000002</v>
      </c>
      <c r="F7497" t="s">
        <v>123</v>
      </c>
      <c r="G7497">
        <v>-229.17830000000001</v>
      </c>
      <c r="H7497" s="1">
        <v>-3.4941320000000002E-6</v>
      </c>
      <c r="I7497">
        <v>-63.091880000000003</v>
      </c>
      <c r="J7497">
        <v>-248.22219999999999</v>
      </c>
      <c r="K7497">
        <v>1.1097410000000001</v>
      </c>
      <c r="L7497">
        <v>-65.649169999999998</v>
      </c>
      <c r="M7497">
        <v>0.99667190000000006</v>
      </c>
      <c r="N7497">
        <v>0</v>
      </c>
      <c r="O7497">
        <v>8.0925899999999995E-2</v>
      </c>
      <c r="P7497">
        <v>0.99345090000000003</v>
      </c>
      <c r="Q7497">
        <v>4.994581E-2</v>
      </c>
      <c r="R7497">
        <v>0.1027653</v>
      </c>
      <c r="S7497">
        <v>2.9871979999999998</v>
      </c>
      <c r="T7497">
        <v>-0.17017689999999999</v>
      </c>
      <c r="U7497">
        <v>0.39746090000000001</v>
      </c>
      <c r="V7497">
        <v>-2.2001409999999999E-2</v>
      </c>
      <c r="W7497">
        <v>5.975196E-2</v>
      </c>
      <c r="X7497">
        <v>0.99797080000000005</v>
      </c>
      <c r="Y7497">
        <v>-5.1283870000000002E-2</v>
      </c>
      <c r="Z7497">
        <v>-3.123458E-3</v>
      </c>
      <c r="AA7497">
        <v>0.99867919999999999</v>
      </c>
      <c r="AB7497">
        <v>22</v>
      </c>
      <c r="AC7497">
        <v>19.043899999999901</v>
      </c>
      <c r="AD7497">
        <v>-1.109744494132</v>
      </c>
      <c r="AE7497">
        <v>2.5572899999999898</v>
      </c>
      <c r="AF7497">
        <v>-1.00433272523614</v>
      </c>
      <c r="AG7497">
        <v>-1.109744494132</v>
      </c>
      <c r="AH7497">
        <v>19.124601395387401</v>
      </c>
      <c r="AI7497">
        <v>93.316422151454802</v>
      </c>
      <c r="AJ7497">
        <v>93.006139229507099</v>
      </c>
      <c r="AK7497">
        <v>19.183080972505199</v>
      </c>
      <c r="AL7497">
        <v>86.574424552740496</v>
      </c>
      <c r="AM7497">
        <v>91.262946538063105</v>
      </c>
      <c r="AN7497">
        <v>1.00000003820923</v>
      </c>
    </row>
    <row r="7498" spans="1:40" x14ac:dyDescent="0.25">
      <c r="A7498" t="str">
        <f>"20190312160516795"</f>
        <v>20190312160516795</v>
      </c>
      <c r="B7498" t="str">
        <f>"1552377916792265"</f>
        <v>1552377916792265</v>
      </c>
      <c r="C7498" t="s">
        <v>40</v>
      </c>
      <c r="D7498">
        <v>5.8761950000000001</v>
      </c>
      <c r="E7498">
        <v>0.48782399999999998</v>
      </c>
      <c r="F7498" t="s">
        <v>49</v>
      </c>
      <c r="G7498">
        <v>-247.5744</v>
      </c>
      <c r="H7498">
        <v>0.79063169999999905</v>
      </c>
      <c r="I7498">
        <v>-65.568019999999905</v>
      </c>
      <c r="J7498">
        <v>-248.11330000000001</v>
      </c>
      <c r="K7498">
        <v>1.1097709999999901</v>
      </c>
      <c r="L7498">
        <v>-65.640559999999994</v>
      </c>
      <c r="M7498">
        <v>0.99668409999999996</v>
      </c>
      <c r="N7498">
        <v>0</v>
      </c>
      <c r="O7498">
        <v>8.0778370000000002E-2</v>
      </c>
      <c r="P7498">
        <v>0.99345649999999996</v>
      </c>
      <c r="Q7498">
        <v>5.0108720000000002E-2</v>
      </c>
      <c r="R7498">
        <v>0.10263120000000001</v>
      </c>
      <c r="S7498">
        <v>3.055847</v>
      </c>
      <c r="T7498">
        <v>-1.5052939999999999</v>
      </c>
      <c r="U7498">
        <v>0.38305660000000002</v>
      </c>
      <c r="V7498">
        <v>-2.2020270000000002E-2</v>
      </c>
      <c r="W7498">
        <v>5.9880950000000002E-2</v>
      </c>
      <c r="X7498">
        <v>0.99796260000000003</v>
      </c>
      <c r="Y7498">
        <v>-4.7548779999999999E-2</v>
      </c>
      <c r="Z7498">
        <v>-2.6393179999999999E-2</v>
      </c>
      <c r="AA7498">
        <v>0.99852010000000002</v>
      </c>
      <c r="AB7498">
        <v>22</v>
      </c>
      <c r="AC7498">
        <v>0.53890000000001204</v>
      </c>
      <c r="AD7498">
        <v>-0.31913929999999902</v>
      </c>
      <c r="AE7498">
        <v>7.2540000000003602E-2</v>
      </c>
      <c r="AF7498">
        <v>-2.1398376939881301E-2</v>
      </c>
      <c r="AG7498">
        <v>-0.31913929999999902</v>
      </c>
      <c r="AH7498">
        <v>0.40387703745452802</v>
      </c>
      <c r="AI7498">
        <v>128.27635353779101</v>
      </c>
      <c r="AJ7498">
        <v>93.032832483438796</v>
      </c>
      <c r="AK7498">
        <v>0.51519359926458497</v>
      </c>
      <c r="AL7498">
        <v>86.567020532678399</v>
      </c>
      <c r="AM7498">
        <v>91.264039190031895</v>
      </c>
      <c r="AN7498">
        <v>0.99999998573126703</v>
      </c>
    </row>
    <row r="7499" spans="1:40" x14ac:dyDescent="0.25">
      <c r="A7499" t="str">
        <f>"20190312160516805"</f>
        <v>20190312160516805</v>
      </c>
      <c r="B7499" t="str">
        <f>"1552377916803000"</f>
        <v>1552377916803000</v>
      </c>
      <c r="C7499" t="s">
        <v>40</v>
      </c>
      <c r="D7499">
        <v>5.7871759999999997</v>
      </c>
      <c r="E7499">
        <v>0.49863930000000001</v>
      </c>
      <c r="F7499" t="s">
        <v>49</v>
      </c>
      <c r="G7499">
        <v>-247.3826</v>
      </c>
      <c r="H7499">
        <v>0.78179659999999995</v>
      </c>
      <c r="I7499">
        <v>-65.553269999999998</v>
      </c>
      <c r="J7499">
        <v>-248.00470000000001</v>
      </c>
      <c r="K7499">
        <v>1.1098059999999901</v>
      </c>
      <c r="L7499">
        <v>-65.631900000000002</v>
      </c>
      <c r="M7499">
        <v>0.996695</v>
      </c>
      <c r="N7499">
        <v>0</v>
      </c>
      <c r="O7499">
        <v>8.0649009999999993E-2</v>
      </c>
      <c r="P7499">
        <v>0.99348840000000005</v>
      </c>
      <c r="Q7499">
        <v>5.0130510000000003E-2</v>
      </c>
      <c r="R7499">
        <v>0.10231369999999999</v>
      </c>
      <c r="S7499">
        <v>3.0511469999999998</v>
      </c>
      <c r="T7499">
        <v>-1.369613</v>
      </c>
      <c r="U7499">
        <v>0.3648071</v>
      </c>
      <c r="V7499">
        <v>-2.1836609999999999E-2</v>
      </c>
      <c r="W7499">
        <v>5.9869060000000002E-2</v>
      </c>
      <c r="X7499">
        <v>0.99796739999999995</v>
      </c>
      <c r="Y7499">
        <v>-4.1901729999999998E-2</v>
      </c>
      <c r="Z7499">
        <v>-2.5422460000000001E-2</v>
      </c>
      <c r="AA7499">
        <v>0.99879830000000003</v>
      </c>
      <c r="AB7499">
        <v>22</v>
      </c>
      <c r="AC7499">
        <v>0.62210000000001697</v>
      </c>
      <c r="AD7499">
        <v>-0.32800939999999901</v>
      </c>
      <c r="AE7499">
        <v>7.8630000000003905E-2</v>
      </c>
      <c r="AF7499">
        <v>-2.2141157965843199E-2</v>
      </c>
      <c r="AG7499">
        <v>-0.32800939999999901</v>
      </c>
      <c r="AH7499">
        <v>0.49183316623888301</v>
      </c>
      <c r="AI7499">
        <v>123.67302743294699</v>
      </c>
      <c r="AJ7499">
        <v>92.577579269362303</v>
      </c>
      <c r="AK7499">
        <v>0.59159129538642896</v>
      </c>
      <c r="AL7499">
        <v>86.567703178993895</v>
      </c>
      <c r="AM7499">
        <v>91.253493825474806</v>
      </c>
      <c r="AN7499">
        <v>1.00000003667216</v>
      </c>
    </row>
    <row r="7500" spans="1:40" x14ac:dyDescent="0.25">
      <c r="A7500" t="str">
        <f>"20190312160516817"</f>
        <v>20190312160516817</v>
      </c>
      <c r="B7500" t="str">
        <f>"1552377916812760"</f>
        <v>1552377916812760</v>
      </c>
      <c r="C7500" t="s">
        <v>40</v>
      </c>
      <c r="D7500">
        <v>6.7056170000000002</v>
      </c>
      <c r="E7500">
        <v>0.495807</v>
      </c>
      <c r="F7500" t="s">
        <v>49</v>
      </c>
      <c r="G7500">
        <v>-247.30709999999999</v>
      </c>
      <c r="H7500">
        <v>0.95747070000000001</v>
      </c>
      <c r="I7500">
        <v>-65.563450000000003</v>
      </c>
      <c r="J7500">
        <v>-247.89240000000001</v>
      </c>
      <c r="K7500">
        <v>1.1098399999999999</v>
      </c>
      <c r="L7500">
        <v>-65.622990000000001</v>
      </c>
      <c r="M7500">
        <v>0.99670170000000002</v>
      </c>
      <c r="N7500">
        <v>0</v>
      </c>
      <c r="O7500">
        <v>8.0569870000000002E-2</v>
      </c>
      <c r="P7500">
        <v>0.99349920000000003</v>
      </c>
      <c r="Q7500">
        <v>5.0263160000000001E-2</v>
      </c>
      <c r="R7500">
        <v>0.1021422</v>
      </c>
      <c r="S7500">
        <v>3.0223849999999999</v>
      </c>
      <c r="T7500">
        <v>-0.6599315</v>
      </c>
      <c r="U7500">
        <v>0.29678339999999998</v>
      </c>
      <c r="V7500">
        <v>-2.1749399999999999E-2</v>
      </c>
      <c r="W7500">
        <v>5.996282E-2</v>
      </c>
      <c r="X7500">
        <v>0.99796370000000001</v>
      </c>
      <c r="Y7500">
        <v>-1.8658370000000001E-2</v>
      </c>
      <c r="Z7500">
        <v>-1.5308179999999999E-2</v>
      </c>
      <c r="AA7500">
        <v>0.99970870000000001</v>
      </c>
      <c r="AB7500">
        <v>22</v>
      </c>
      <c r="AC7500">
        <v>0.58530000000001703</v>
      </c>
      <c r="AD7500">
        <v>-0.15236929999999901</v>
      </c>
      <c r="AE7500">
        <v>5.9539999999998303E-2</v>
      </c>
      <c r="AF7500">
        <v>-1.1420600712544899E-2</v>
      </c>
      <c r="AG7500">
        <v>-0.15236929999999901</v>
      </c>
      <c r="AH7500">
        <v>0.55122069030193199</v>
      </c>
      <c r="AI7500">
        <v>105.44879112523699</v>
      </c>
      <c r="AJ7500">
        <v>91.186926807143706</v>
      </c>
      <c r="AK7500">
        <v>0.57200619150500798</v>
      </c>
      <c r="AL7500">
        <v>86.562321543181199</v>
      </c>
      <c r="AM7500">
        <v>91.248493897337994</v>
      </c>
      <c r="AN7500">
        <v>1.00000006135019</v>
      </c>
    </row>
    <row r="7501" spans="1:40" x14ac:dyDescent="0.25">
      <c r="A7501" t="str">
        <f>"20190312160516828"</f>
        <v>20190312160516828</v>
      </c>
      <c r="B7501" t="str">
        <f>"1552377916822520"</f>
        <v>1552377916822520</v>
      </c>
      <c r="C7501" t="s">
        <v>40</v>
      </c>
      <c r="D7501">
        <v>5.8406589999999996</v>
      </c>
      <c r="E7501">
        <v>0.49606099999999997</v>
      </c>
      <c r="F7501" t="s">
        <v>49</v>
      </c>
      <c r="G7501">
        <v>-247.10659999999999</v>
      </c>
      <c r="H7501">
        <v>0.9685165</v>
      </c>
      <c r="I7501">
        <v>-65.539199999999994</v>
      </c>
      <c r="J7501">
        <v>-247.78550000000001</v>
      </c>
      <c r="K7501">
        <v>1.1098709999999901</v>
      </c>
      <c r="L7501">
        <v>-65.614440000000002</v>
      </c>
      <c r="M7501">
        <v>0.99670729999999996</v>
      </c>
      <c r="N7501">
        <v>0</v>
      </c>
      <c r="O7501">
        <v>8.050583E-2</v>
      </c>
      <c r="P7501">
        <v>0.99349370000000004</v>
      </c>
      <c r="Q7501">
        <v>5.0287249999999999E-2</v>
      </c>
      <c r="R7501">
        <v>0.1021857</v>
      </c>
      <c r="S7501">
        <v>3.0139770000000001</v>
      </c>
      <c r="T7501">
        <v>-0.54202119999999998</v>
      </c>
      <c r="U7501">
        <v>0.3217468</v>
      </c>
      <c r="V7501">
        <v>-2.1863629999999998E-2</v>
      </c>
      <c r="W7501">
        <v>5.994998E-2</v>
      </c>
      <c r="X7501">
        <v>0.99796189999999996</v>
      </c>
      <c r="Y7501">
        <v>-2.6600349999999998E-2</v>
      </c>
      <c r="Z7501">
        <v>-1.1930390000000001E-2</v>
      </c>
      <c r="AA7501">
        <v>0.99957499999999999</v>
      </c>
      <c r="AB7501">
        <v>22</v>
      </c>
      <c r="AC7501">
        <v>0.67890000000002704</v>
      </c>
      <c r="AD7501">
        <v>-0.14135449999999899</v>
      </c>
      <c r="AE7501">
        <v>7.5240000000007898E-2</v>
      </c>
      <c r="AF7501">
        <v>-1.95025841072708E-2</v>
      </c>
      <c r="AG7501">
        <v>-0.14135449999999899</v>
      </c>
      <c r="AH7501">
        <v>0.65471499655892096</v>
      </c>
      <c r="AI7501">
        <v>102.1780466507</v>
      </c>
      <c r="AJ7501">
        <v>91.706216352581194</v>
      </c>
      <c r="AK7501">
        <v>0.67008445152552198</v>
      </c>
      <c r="AL7501">
        <v>86.563058287996697</v>
      </c>
      <c r="AM7501">
        <v>91.255051281918</v>
      </c>
      <c r="AN7501">
        <v>0.99999998613519303</v>
      </c>
    </row>
    <row r="7502" spans="1:40" x14ac:dyDescent="0.25">
      <c r="A7502" t="str">
        <f>"20190312160516839"</f>
        <v>20190312160516839</v>
      </c>
      <c r="B7502" t="str">
        <f>"1552377916832281"</f>
        <v>1552377916832281</v>
      </c>
      <c r="C7502" t="s">
        <v>40</v>
      </c>
      <c r="D7502">
        <v>5.9157449999999896</v>
      </c>
      <c r="E7502">
        <v>0.49553589999999997</v>
      </c>
      <c r="F7502" t="s">
        <v>49</v>
      </c>
      <c r="G7502">
        <v>-246.90639999999999</v>
      </c>
      <c r="H7502">
        <v>0.97757070000000001</v>
      </c>
      <c r="I7502">
        <v>-65.520390000000006</v>
      </c>
      <c r="J7502">
        <v>-247.67779999999999</v>
      </c>
      <c r="K7502">
        <v>1.1098950000000001</v>
      </c>
      <c r="L7502">
        <v>-65.605800000000002</v>
      </c>
      <c r="M7502">
        <v>0.99670910000000001</v>
      </c>
      <c r="N7502">
        <v>0</v>
      </c>
      <c r="O7502">
        <v>8.0485760000000003E-2</v>
      </c>
      <c r="P7502">
        <v>0.99351239999999996</v>
      </c>
      <c r="Q7502">
        <v>5.0270280000000001E-2</v>
      </c>
      <c r="R7502">
        <v>0.1020109</v>
      </c>
      <c r="S7502">
        <v>3.0094449999999999</v>
      </c>
      <c r="T7502">
        <v>-0.45290010000000003</v>
      </c>
      <c r="U7502">
        <v>0.322052</v>
      </c>
      <c r="V7502">
        <v>-2.1712849999999999E-2</v>
      </c>
      <c r="W7502">
        <v>5.9894290000000003E-2</v>
      </c>
      <c r="X7502">
        <v>0.99796859999999998</v>
      </c>
      <c r="Y7502">
        <v>-2.6625369999999999E-2</v>
      </c>
      <c r="Z7502">
        <v>-1.0002280000000001E-2</v>
      </c>
      <c r="AA7502">
        <v>0.99959549999999997</v>
      </c>
      <c r="AB7502">
        <v>22</v>
      </c>
      <c r="AC7502">
        <v>0.77139999999999898</v>
      </c>
      <c r="AD7502">
        <v>-0.13232430000000001</v>
      </c>
      <c r="AE7502">
        <v>8.5409999999995906E-2</v>
      </c>
      <c r="AF7502">
        <v>-2.2392359888451899E-2</v>
      </c>
      <c r="AG7502">
        <v>-0.13232430000000001</v>
      </c>
      <c r="AH7502">
        <v>0.753857963015794</v>
      </c>
      <c r="AI7502">
        <v>99.951377309863602</v>
      </c>
      <c r="AJ7502">
        <v>91.701395550607799</v>
      </c>
      <c r="AK7502">
        <v>0.76571075906910602</v>
      </c>
      <c r="AL7502">
        <v>86.566255054294899</v>
      </c>
      <c r="AM7502">
        <v>91.246390340257093</v>
      </c>
      <c r="AN7502">
        <v>1.0000000502078401</v>
      </c>
    </row>
    <row r="7503" spans="1:40" x14ac:dyDescent="0.25">
      <c r="A7503" t="str">
        <f>"20190312160516850"</f>
        <v>20190312160516850</v>
      </c>
      <c r="B7503" t="str">
        <f>"1552377916843017"</f>
        <v>1552377916843017</v>
      </c>
      <c r="C7503" t="s">
        <v>40</v>
      </c>
      <c r="D7503">
        <v>5.8071380000000001</v>
      </c>
      <c r="E7503">
        <v>0.49617060000000002</v>
      </c>
      <c r="F7503" t="s">
        <v>49</v>
      </c>
      <c r="G7503">
        <v>-246.88990000000001</v>
      </c>
      <c r="H7503">
        <v>1.0122500000000001</v>
      </c>
      <c r="I7503">
        <v>-65.519909999999996</v>
      </c>
      <c r="J7503">
        <v>-247.56979999999999</v>
      </c>
      <c r="K7503">
        <v>1.1099220000000001</v>
      </c>
      <c r="L7503">
        <v>-65.597139999999996</v>
      </c>
      <c r="M7503">
        <v>0.99671019999999999</v>
      </c>
      <c r="N7503">
        <v>0</v>
      </c>
      <c r="O7503">
        <v>8.0477590000000002E-2</v>
      </c>
      <c r="P7503">
        <v>0.99350550000000004</v>
      </c>
      <c r="Q7503">
        <v>5.0392180000000002E-2</v>
      </c>
      <c r="R7503">
        <v>0.1020168</v>
      </c>
      <c r="S7503">
        <v>3.0047760000000001</v>
      </c>
      <c r="T7503">
        <v>-0.37241380000000002</v>
      </c>
      <c r="U7503">
        <v>0.32772829999999997</v>
      </c>
      <c r="V7503">
        <v>-2.1732729999999999E-2</v>
      </c>
      <c r="W7503">
        <v>5.9977099999999998E-2</v>
      </c>
      <c r="X7503">
        <v>0.99796309999999999</v>
      </c>
      <c r="Y7503">
        <v>-2.8459089999999999E-2</v>
      </c>
      <c r="Z7503">
        <v>-8.1372249999999997E-3</v>
      </c>
      <c r="AA7503">
        <v>0.99956179999999994</v>
      </c>
      <c r="AB7503">
        <v>22</v>
      </c>
      <c r="AC7503">
        <v>0.67989999999997497</v>
      </c>
      <c r="AD7503">
        <v>-9.7671999999999704E-2</v>
      </c>
      <c r="AE7503">
        <v>7.7230000000000104E-2</v>
      </c>
      <c r="AF7503">
        <v>-2.1815760326091001E-2</v>
      </c>
      <c r="AG7503">
        <v>-9.7671999999999704E-2</v>
      </c>
      <c r="AH7503">
        <v>0.67025410906394101</v>
      </c>
      <c r="AI7503">
        <v>98.286674477514396</v>
      </c>
      <c r="AJ7503">
        <v>91.864233066026202</v>
      </c>
      <c r="AK7503">
        <v>0.67768452667867696</v>
      </c>
      <c r="AL7503">
        <v>86.561501523370396</v>
      </c>
      <c r="AM7503">
        <v>91.247538031640303</v>
      </c>
      <c r="AN7503">
        <v>0.99999995651963502</v>
      </c>
    </row>
    <row r="7504" spans="1:40" x14ac:dyDescent="0.25">
      <c r="A7504" t="str">
        <f>"20190312160516861"</f>
        <v>20190312160516861</v>
      </c>
      <c r="B7504" t="str">
        <f>"1552377916852777"</f>
        <v>1552377916852777</v>
      </c>
      <c r="C7504" t="s">
        <v>40</v>
      </c>
      <c r="D7504">
        <v>5.6693100000000003</v>
      </c>
      <c r="E7504">
        <v>0.4952163</v>
      </c>
      <c r="F7504" t="s">
        <v>49</v>
      </c>
      <c r="G7504">
        <v>-246.691</v>
      </c>
      <c r="H7504">
        <v>1.017477</v>
      </c>
      <c r="I7504">
        <v>-65.502610000000004</v>
      </c>
      <c r="J7504">
        <v>-247.45580000000001</v>
      </c>
      <c r="K7504">
        <v>1.109947</v>
      </c>
      <c r="L7504">
        <v>-65.587919999999997</v>
      </c>
      <c r="M7504">
        <v>0.99670859999999994</v>
      </c>
      <c r="N7504">
        <v>0</v>
      </c>
      <c r="O7504">
        <v>8.0500989999999994E-2</v>
      </c>
      <c r="P7504">
        <v>0.99348060000000005</v>
      </c>
      <c r="Q7504">
        <v>5.0212979999999997E-2</v>
      </c>
      <c r="R7504">
        <v>0.10234650000000001</v>
      </c>
      <c r="S7504">
        <v>3.0023499999999999</v>
      </c>
      <c r="T7504">
        <v>-0.31576880000000002</v>
      </c>
      <c r="U7504">
        <v>0.32406620000000003</v>
      </c>
      <c r="V7504">
        <v>-2.2044230000000001E-2</v>
      </c>
      <c r="W7504">
        <v>5.9757200000000003E-2</v>
      </c>
      <c r="X7504">
        <v>0.99796949999999995</v>
      </c>
      <c r="Y7504">
        <v>-2.7215300000000001E-2</v>
      </c>
      <c r="Z7504">
        <v>-6.9803840000000001E-3</v>
      </c>
      <c r="AA7504">
        <v>0.99960519999999997</v>
      </c>
      <c r="AB7504">
        <v>22</v>
      </c>
      <c r="AC7504">
        <v>0.76480000000003601</v>
      </c>
      <c r="AD7504">
        <v>-9.2469999999999997E-2</v>
      </c>
      <c r="AE7504">
        <v>8.53099999999926E-2</v>
      </c>
      <c r="AF7504">
        <v>-2.3129166751200299E-2</v>
      </c>
      <c r="AG7504">
        <v>-9.2469999999999997E-2</v>
      </c>
      <c r="AH7504">
        <v>0.75823733829491402</v>
      </c>
      <c r="AI7504">
        <v>96.949907753419694</v>
      </c>
      <c r="AJ7504">
        <v>91.747200742156195</v>
      </c>
      <c r="AK7504">
        <v>0.76420515598833905</v>
      </c>
      <c r="AL7504">
        <v>86.574123644008196</v>
      </c>
      <c r="AM7504">
        <v>91.265405383146899</v>
      </c>
      <c r="AN7504">
        <v>0.99999999697919095</v>
      </c>
    </row>
    <row r="7505" spans="1:40" x14ac:dyDescent="0.25">
      <c r="A7505" t="str">
        <f>"20190312160516872"</f>
        <v>20190312160516872</v>
      </c>
      <c r="B7505" t="str">
        <f>"1552377916862538"</f>
        <v>1552377916862538</v>
      </c>
      <c r="C7505" t="s">
        <v>40</v>
      </c>
      <c r="D7505">
        <v>5.6861860000000002</v>
      </c>
      <c r="E7505">
        <v>0.4956662</v>
      </c>
      <c r="F7505" t="s">
        <v>126</v>
      </c>
      <c r="G7505">
        <v>-235.48240000000001</v>
      </c>
      <c r="H7505" s="1">
        <v>-2.3693829999999999E-6</v>
      </c>
      <c r="I7505">
        <v>-64.255939999999995</v>
      </c>
      <c r="J7505">
        <v>-247.3526</v>
      </c>
      <c r="K7505">
        <v>1.109966</v>
      </c>
      <c r="L7505">
        <v>-65.579589999999996</v>
      </c>
      <c r="M7505">
        <v>0.99670559999999997</v>
      </c>
      <c r="N7505">
        <v>0</v>
      </c>
      <c r="O7505">
        <v>8.0542359999999993E-2</v>
      </c>
      <c r="P7505">
        <v>0.99346120000000004</v>
      </c>
      <c r="Q7505">
        <v>5.0357119999999998E-2</v>
      </c>
      <c r="R7505">
        <v>0.10246420000000001</v>
      </c>
      <c r="S7505">
        <v>2.9993590000000001</v>
      </c>
      <c r="T7505">
        <v>-0.27804319999999999</v>
      </c>
      <c r="U7505">
        <v>0.33364870000000002</v>
      </c>
      <c r="V7505">
        <v>-2.212594E-2</v>
      </c>
      <c r="W7505">
        <v>5.9866200000000001E-2</v>
      </c>
      <c r="X7505">
        <v>0.99796119999999999</v>
      </c>
      <c r="Y7505">
        <v>-3.0358119999999999E-2</v>
      </c>
      <c r="Z7505">
        <v>-6.0138240000000001E-3</v>
      </c>
      <c r="AA7505">
        <v>0.99952099999999999</v>
      </c>
      <c r="AB7505">
        <v>22</v>
      </c>
      <c r="AC7505">
        <v>11.870199999999899</v>
      </c>
      <c r="AD7505">
        <v>-1.109968369383</v>
      </c>
      <c r="AE7505">
        <v>1.32365</v>
      </c>
      <c r="AF7505">
        <v>-0.36014158579247002</v>
      </c>
      <c r="AG7505">
        <v>-1.109968369383</v>
      </c>
      <c r="AH7505">
        <v>11.8360252401785</v>
      </c>
      <c r="AI7505">
        <v>95.354997445026797</v>
      </c>
      <c r="AJ7505">
        <v>91.742834094735201</v>
      </c>
      <c r="AK7505">
        <v>11.893411000591501</v>
      </c>
      <c r="AL7505">
        <v>86.567867343636195</v>
      </c>
      <c r="AM7505">
        <v>91.270104810239005</v>
      </c>
      <c r="AN7505">
        <v>1.0000000379143801</v>
      </c>
    </row>
    <row r="7506" spans="1:40" x14ac:dyDescent="0.25">
      <c r="A7506" t="str">
        <f>"20190312160516884"</f>
        <v>20190312160516884</v>
      </c>
      <c r="B7506" t="str">
        <f>"1552377916872297"</f>
        <v>1552377916872297</v>
      </c>
      <c r="C7506" t="s">
        <v>40</v>
      </c>
      <c r="D7506">
        <v>5.8244920000000002</v>
      </c>
      <c r="E7506">
        <v>0.49567800000000001</v>
      </c>
      <c r="F7506" t="s">
        <v>49</v>
      </c>
      <c r="G7506">
        <v>-246.4761</v>
      </c>
      <c r="H7506">
        <v>1.0319969999999901</v>
      </c>
      <c r="I7506">
        <v>-65.483059999999995</v>
      </c>
      <c r="J7506">
        <v>-247.239</v>
      </c>
      <c r="K7506">
        <v>1.1099870000000001</v>
      </c>
      <c r="L7506">
        <v>-65.570340000000002</v>
      </c>
      <c r="M7506">
        <v>0.99670060000000005</v>
      </c>
      <c r="N7506">
        <v>0</v>
      </c>
      <c r="O7506">
        <v>8.0609790000000001E-2</v>
      </c>
      <c r="P7506">
        <v>0.99343599999999999</v>
      </c>
      <c r="Q7506">
        <v>5.0520200000000001E-2</v>
      </c>
      <c r="R7506">
        <v>0.1026302</v>
      </c>
      <c r="S7506">
        <v>2.9991460000000001</v>
      </c>
      <c r="T7506">
        <v>-0.26677659999999997</v>
      </c>
      <c r="U7506">
        <v>0.3306885</v>
      </c>
      <c r="V7506">
        <v>-2.222998E-2</v>
      </c>
      <c r="W7506">
        <v>5.9991860000000001E-2</v>
      </c>
      <c r="X7506">
        <v>0.99795129999999999</v>
      </c>
      <c r="Y7506">
        <v>-2.9311380000000001E-2</v>
      </c>
      <c r="Z7506">
        <v>-5.8241539999999998E-3</v>
      </c>
      <c r="AA7506">
        <v>0.99955340000000004</v>
      </c>
      <c r="AB7506">
        <v>22</v>
      </c>
      <c r="AC7506">
        <v>0.76290000000000102</v>
      </c>
      <c r="AD7506">
        <v>-7.7990000000000198E-2</v>
      </c>
      <c r="AE7506">
        <v>8.7280000000006894E-2</v>
      </c>
      <c r="AF7506">
        <v>-2.5235645383345599E-2</v>
      </c>
      <c r="AG7506">
        <v>-7.7990000000000198E-2</v>
      </c>
      <c r="AH7506">
        <v>0.75961711852126101</v>
      </c>
      <c r="AI7506">
        <v>95.858816371987899</v>
      </c>
      <c r="AJ7506">
        <v>91.9027538475368</v>
      </c>
      <c r="AK7506">
        <v>0.76402712297958297</v>
      </c>
      <c r="AL7506">
        <v>86.560654448785399</v>
      </c>
      <c r="AM7506">
        <v>91.276087747684599</v>
      </c>
      <c r="AN7506">
        <v>0.99999999622437497</v>
      </c>
    </row>
    <row r="7507" spans="1:40" x14ac:dyDescent="0.25">
      <c r="A7507" t="str">
        <f>"20190312160516895"</f>
        <v>20190312160516895</v>
      </c>
      <c r="B7507" t="str">
        <f>"1552377916892793"</f>
        <v>1552377916892793</v>
      </c>
      <c r="C7507" t="s">
        <v>40</v>
      </c>
      <c r="D7507">
        <v>4.9764059999999999</v>
      </c>
      <c r="E7507">
        <v>0.49539420000000001</v>
      </c>
      <c r="F7507" t="s">
        <v>126</v>
      </c>
      <c r="G7507">
        <v>-234.4229</v>
      </c>
      <c r="H7507" s="1">
        <v>-1.8879500000000001E-6</v>
      </c>
      <c r="I7507">
        <v>-64.154790000000006</v>
      </c>
      <c r="J7507">
        <v>-247.12819999999999</v>
      </c>
      <c r="K7507">
        <v>1.1100099999999999</v>
      </c>
      <c r="L7507">
        <v>-65.561309999999906</v>
      </c>
      <c r="M7507">
        <v>0.99669300000000005</v>
      </c>
      <c r="N7507">
        <v>0</v>
      </c>
      <c r="O7507">
        <v>8.0707050000000002E-2</v>
      </c>
      <c r="P7507">
        <v>0.99342560000000002</v>
      </c>
      <c r="Q7507">
        <v>5.0047910000000001E-2</v>
      </c>
      <c r="R7507">
        <v>0.1029605</v>
      </c>
      <c r="S7507">
        <v>2.9987949999999999</v>
      </c>
      <c r="T7507">
        <v>-0.25972269999999997</v>
      </c>
      <c r="U7507">
        <v>0.33120729999999998</v>
      </c>
      <c r="V7507">
        <v>-2.246621E-2</v>
      </c>
      <c r="W7507">
        <v>5.9483979999999999E-2</v>
      </c>
      <c r="X7507">
        <v>0.99797639999999999</v>
      </c>
      <c r="Y7507">
        <v>-2.9387179999999999E-2</v>
      </c>
      <c r="Z7507">
        <v>-5.6763990000000004E-3</v>
      </c>
      <c r="AA7507">
        <v>0.999552</v>
      </c>
      <c r="AB7507">
        <v>22</v>
      </c>
      <c r="AC7507">
        <v>12.7052999999999</v>
      </c>
      <c r="AD7507">
        <v>-1.1100118879499901</v>
      </c>
      <c r="AE7507">
        <v>1.40651999999998</v>
      </c>
      <c r="AF7507">
        <v>-0.37366063460997501</v>
      </c>
      <c r="AG7507">
        <v>-1.1100118879499901</v>
      </c>
      <c r="AH7507">
        <v>12.681745391784601</v>
      </c>
      <c r="AI7507">
        <v>95.000096019524904</v>
      </c>
      <c r="AJ7507">
        <v>91.687700266137597</v>
      </c>
      <c r="AK7507">
        <v>12.7357141473613</v>
      </c>
      <c r="AL7507">
        <v>86.589805852094301</v>
      </c>
      <c r="AM7507">
        <v>91.289611292734406</v>
      </c>
      <c r="AN7507">
        <v>0.99999998471268203</v>
      </c>
    </row>
    <row r="7508" spans="1:40" x14ac:dyDescent="0.25">
      <c r="A7508" t="str">
        <f>"20190312160516906"</f>
        <v>20190312160516906</v>
      </c>
      <c r="B7508" t="str">
        <f>"1552377916902553"</f>
        <v>1552377916902553</v>
      </c>
      <c r="C7508" t="s">
        <v>40</v>
      </c>
      <c r="D7508">
        <v>5.9115510000000002</v>
      </c>
      <c r="E7508">
        <v>0.495307</v>
      </c>
      <c r="F7508" t="s">
        <v>126</v>
      </c>
      <c r="G7508">
        <v>-232.98429999999999</v>
      </c>
      <c r="H7508" s="1">
        <v>-1.224206E-6</v>
      </c>
      <c r="I7508">
        <v>-63.979709999999997</v>
      </c>
      <c r="J7508">
        <v>-247.01949999999999</v>
      </c>
      <c r="K7508">
        <v>1.1100300000000001</v>
      </c>
      <c r="L7508">
        <v>-65.552430000000001</v>
      </c>
      <c r="M7508">
        <v>0.99668469999999998</v>
      </c>
      <c r="N7508">
        <v>0</v>
      </c>
      <c r="O7508">
        <v>8.0814839999999999E-2</v>
      </c>
      <c r="P7508">
        <v>0.993394</v>
      </c>
      <c r="Q7508">
        <v>4.9888399999999999E-2</v>
      </c>
      <c r="R7508">
        <v>0.10334309999999999</v>
      </c>
      <c r="S7508">
        <v>2.9969790000000001</v>
      </c>
      <c r="T7508">
        <v>-0.23520099999999999</v>
      </c>
      <c r="U7508">
        <v>0.33511350000000001</v>
      </c>
      <c r="V7508">
        <v>-2.2746289999999999E-2</v>
      </c>
      <c r="W7508">
        <v>5.928978E-2</v>
      </c>
      <c r="X7508">
        <v>0.99798160000000002</v>
      </c>
      <c r="Y7508">
        <v>-3.0594980000000001E-2</v>
      </c>
      <c r="Z7508">
        <v>-5.1060100000000002E-3</v>
      </c>
      <c r="AA7508">
        <v>0.99951880000000004</v>
      </c>
      <c r="AB7508">
        <v>22</v>
      </c>
      <c r="AC7508">
        <v>14.0352</v>
      </c>
      <c r="AD7508">
        <v>-1.11003122420599</v>
      </c>
      <c r="AE7508">
        <v>1.5727199999999999</v>
      </c>
      <c r="AF7508">
        <v>-0.43061259040890598</v>
      </c>
      <c r="AG7508">
        <v>-1.11003122420599</v>
      </c>
      <c r="AH7508">
        <v>14.029724515958</v>
      </c>
      <c r="AI7508">
        <v>94.521695268062004</v>
      </c>
      <c r="AJ7508">
        <v>91.758020327045998</v>
      </c>
      <c r="AK7508">
        <v>14.0801550600625</v>
      </c>
      <c r="AL7508">
        <v>86.600952325358406</v>
      </c>
      <c r="AM7508">
        <v>91.305676186334495</v>
      </c>
      <c r="AN7508">
        <v>0.99999997282988595</v>
      </c>
    </row>
    <row r="7509" spans="1:40" x14ac:dyDescent="0.25">
      <c r="A7509" t="str">
        <f>"20190312160516918"</f>
        <v>20190312160516918</v>
      </c>
      <c r="B7509" t="str">
        <f>"1552377916912313"</f>
        <v>1552377916912313</v>
      </c>
      <c r="C7509" t="s">
        <v>40</v>
      </c>
      <c r="D7509">
        <v>5.9713710000000004</v>
      </c>
      <c r="E7509">
        <v>0.49511660000000002</v>
      </c>
      <c r="F7509" t="s">
        <v>126</v>
      </c>
      <c r="G7509">
        <v>-232.2629</v>
      </c>
      <c r="H7509" s="1">
        <v>-8.9117709999999998E-7</v>
      </c>
      <c r="I7509">
        <v>-63.89105</v>
      </c>
      <c r="J7509">
        <v>-246.90190000000001</v>
      </c>
      <c r="K7509">
        <v>1.11005</v>
      </c>
      <c r="L7509">
        <v>-65.542760000000001</v>
      </c>
      <c r="M7509">
        <v>0.99667220000000001</v>
      </c>
      <c r="N7509">
        <v>0</v>
      </c>
      <c r="O7509">
        <v>8.0972359999999993E-2</v>
      </c>
      <c r="P7509">
        <v>0.99339820000000001</v>
      </c>
      <c r="Q7509">
        <v>4.9388620000000001E-2</v>
      </c>
      <c r="R7509">
        <v>0.1035436</v>
      </c>
      <c r="S7509">
        <v>2.9961549999999999</v>
      </c>
      <c r="T7509">
        <v>-0.22537889999999999</v>
      </c>
      <c r="U7509">
        <v>0.33731080000000002</v>
      </c>
      <c r="V7509">
        <v>-2.2791280000000001E-2</v>
      </c>
      <c r="W7509">
        <v>5.8752850000000002E-2</v>
      </c>
      <c r="X7509">
        <v>0.99801240000000002</v>
      </c>
      <c r="Y7509">
        <v>-3.1177759999999999E-2</v>
      </c>
      <c r="Z7509">
        <v>-4.8843960000000001E-3</v>
      </c>
      <c r="AA7509">
        <v>0.99950190000000005</v>
      </c>
      <c r="AB7509">
        <v>22</v>
      </c>
      <c r="AC7509">
        <v>14.638999999999999</v>
      </c>
      <c r="AD7509">
        <v>-1.1100508911771001</v>
      </c>
      <c r="AE7509">
        <v>1.65171</v>
      </c>
      <c r="AF7509">
        <v>-0.45827739973700998</v>
      </c>
      <c r="AG7509">
        <v>-1.1100508911771001</v>
      </c>
      <c r="AH7509">
        <v>14.6415454534667</v>
      </c>
      <c r="AI7509">
        <v>94.333479523170794</v>
      </c>
      <c r="AJ7509">
        <v>91.792760975350504</v>
      </c>
      <c r="AK7509">
        <v>14.6907142243679</v>
      </c>
      <c r="AL7509">
        <v>86.6317701170059</v>
      </c>
      <c r="AM7509">
        <v>91.308217432554898</v>
      </c>
      <c r="AN7509">
        <v>1.00000004519045</v>
      </c>
    </row>
    <row r="7510" spans="1:40" x14ac:dyDescent="0.25">
      <c r="A7510" t="str">
        <f>"20190312160516928"</f>
        <v>20190312160516928</v>
      </c>
      <c r="B7510" t="str">
        <f>"1552377916923048"</f>
        <v>1552377916923048</v>
      </c>
      <c r="C7510" t="s">
        <v>40</v>
      </c>
      <c r="D7510">
        <v>5.8884889999999999</v>
      </c>
      <c r="E7510">
        <v>0.49579770000000001</v>
      </c>
      <c r="F7510" t="s">
        <v>126</v>
      </c>
      <c r="G7510">
        <v>-230.58170000000001</v>
      </c>
      <c r="H7510" s="1">
        <v>-1.1619899999999999E-7</v>
      </c>
      <c r="I7510">
        <v>-63.689100000000003</v>
      </c>
      <c r="J7510">
        <v>-246.79570000000001</v>
      </c>
      <c r="K7510">
        <v>1.1100680000000001</v>
      </c>
      <c r="L7510">
        <v>-65.533969999999997</v>
      </c>
      <c r="M7510">
        <v>0.9966602</v>
      </c>
      <c r="N7510">
        <v>0</v>
      </c>
      <c r="O7510">
        <v>8.1123269999999997E-2</v>
      </c>
      <c r="P7510">
        <v>0.99337229999999999</v>
      </c>
      <c r="Q7510">
        <v>4.8895220000000003E-2</v>
      </c>
      <c r="R7510">
        <v>0.10402450000000001</v>
      </c>
      <c r="S7510">
        <v>2.9946139999999999</v>
      </c>
      <c r="T7510">
        <v>-0.20368420000000001</v>
      </c>
      <c r="U7510">
        <v>0.34011839999999999</v>
      </c>
      <c r="V7510">
        <v>-2.3125110000000001E-2</v>
      </c>
      <c r="W7510">
        <v>5.822637E-2</v>
      </c>
      <c r="X7510">
        <v>0.99803560000000002</v>
      </c>
      <c r="Y7510">
        <v>-3.1982169999999997E-2</v>
      </c>
      <c r="Z7510">
        <v>-4.4002599999999996E-3</v>
      </c>
      <c r="AA7510">
        <v>0.9994788</v>
      </c>
      <c r="AB7510">
        <v>22</v>
      </c>
      <c r="AC7510">
        <v>16.213999999999999</v>
      </c>
      <c r="AD7510">
        <v>-1.110068116199</v>
      </c>
      <c r="AE7510">
        <v>1.84486999999999</v>
      </c>
      <c r="AF7510">
        <v>-0.52098789854551997</v>
      </c>
      <c r="AG7510">
        <v>-1.110068116199</v>
      </c>
      <c r="AH7510">
        <v>16.2350981433068</v>
      </c>
      <c r="AI7510">
        <v>93.909481086833395</v>
      </c>
      <c r="AJ7510">
        <v>91.838003525007693</v>
      </c>
      <c r="AK7510">
        <v>16.281341816196701</v>
      </c>
      <c r="AL7510">
        <v>86.661987011126897</v>
      </c>
      <c r="AM7510">
        <v>91.327341594024205</v>
      </c>
      <c r="AN7510">
        <v>1.00000006987162</v>
      </c>
    </row>
    <row r="7511" spans="1:40" x14ac:dyDescent="0.25">
      <c r="A7511" t="str">
        <f>"20190312160516939"</f>
        <v>20190312160516939</v>
      </c>
      <c r="B7511" t="str">
        <f>"1552377916932809"</f>
        <v>1552377916932809</v>
      </c>
      <c r="C7511" t="s">
        <v>40</v>
      </c>
      <c r="D7511">
        <v>5.8447760000000004</v>
      </c>
      <c r="E7511">
        <v>0.49574220000000002</v>
      </c>
      <c r="F7511" t="s">
        <v>126</v>
      </c>
      <c r="G7511">
        <v>-230.87819999999999</v>
      </c>
      <c r="H7511" s="1">
        <v>-2.5910160000000002E-7</v>
      </c>
      <c r="I7511">
        <v>-63.748100000000001</v>
      </c>
      <c r="J7511">
        <v>-246.68719999999999</v>
      </c>
      <c r="K7511">
        <v>1.1100890000000001</v>
      </c>
      <c r="L7511">
        <v>-65.524990000000003</v>
      </c>
      <c r="M7511">
        <v>0.99664549999999996</v>
      </c>
      <c r="N7511">
        <v>0</v>
      </c>
      <c r="O7511">
        <v>8.1307550000000006E-2</v>
      </c>
      <c r="P7511">
        <v>0.99332830000000005</v>
      </c>
      <c r="Q7511">
        <v>4.8639340000000003E-2</v>
      </c>
      <c r="R7511">
        <v>0.1045623</v>
      </c>
      <c r="S7511">
        <v>2.9951319999999999</v>
      </c>
      <c r="T7511">
        <v>-0.20887790000000001</v>
      </c>
      <c r="U7511">
        <v>0.33602910000000002</v>
      </c>
      <c r="V7511">
        <v>-2.3482909999999999E-2</v>
      </c>
      <c r="W7511">
        <v>5.7938360000000001E-2</v>
      </c>
      <c r="X7511">
        <v>0.99804400000000004</v>
      </c>
      <c r="Y7511">
        <v>-3.0440350000000001E-2</v>
      </c>
      <c r="Z7511">
        <v>-4.5781040000000004E-3</v>
      </c>
      <c r="AA7511">
        <v>0.99952609999999997</v>
      </c>
      <c r="AB7511">
        <v>22</v>
      </c>
      <c r="AC7511">
        <v>15.8089999999999</v>
      </c>
      <c r="AD7511">
        <v>-1.1100892591015901</v>
      </c>
      <c r="AE7511">
        <v>1.7768900000000001</v>
      </c>
      <c r="AF7511">
        <v>-0.48320663070322101</v>
      </c>
      <c r="AG7511">
        <v>-1.1100892591015901</v>
      </c>
      <c r="AH7511">
        <v>15.8240835040754</v>
      </c>
      <c r="AI7511">
        <v>94.010969201872499</v>
      </c>
      <c r="AJ7511">
        <v>91.749049171651095</v>
      </c>
      <c r="AK7511">
        <v>15.8703309844211</v>
      </c>
      <c r="AL7511">
        <v>86.678516651030094</v>
      </c>
      <c r="AM7511">
        <v>91.347859840824498</v>
      </c>
      <c r="AN7511">
        <v>1.00000006327877</v>
      </c>
    </row>
    <row r="7512" spans="1:40" x14ac:dyDescent="0.25">
      <c r="A7512" t="str">
        <f>"20190312160516951"</f>
        <v>20190312160516951</v>
      </c>
      <c r="B7512" t="str">
        <f>"1552377916942569"</f>
        <v>1552377916942569</v>
      </c>
      <c r="C7512" t="s">
        <v>40</v>
      </c>
      <c r="D7512">
        <v>5.3190710000000001</v>
      </c>
      <c r="E7512">
        <v>0.49600460000000002</v>
      </c>
      <c r="F7512" t="s">
        <v>126</v>
      </c>
      <c r="G7512">
        <v>-230.886</v>
      </c>
      <c r="H7512" s="1">
        <v>-2.6089250000000002E-7</v>
      </c>
      <c r="I7512">
        <v>-63.742350000000002</v>
      </c>
      <c r="J7512">
        <v>-246.5771</v>
      </c>
      <c r="K7512">
        <v>1.110107</v>
      </c>
      <c r="L7512">
        <v>-65.515839999999997</v>
      </c>
      <c r="M7512">
        <v>0.99662969999999895</v>
      </c>
      <c r="N7512">
        <v>0</v>
      </c>
      <c r="O7512">
        <v>8.1504579999999993E-2</v>
      </c>
      <c r="P7512">
        <v>0.99328700000000003</v>
      </c>
      <c r="Q7512">
        <v>4.8551999999999998E-2</v>
      </c>
      <c r="R7512">
        <v>0.104994699999999</v>
      </c>
      <c r="S7512">
        <v>2.9948730000000001</v>
      </c>
      <c r="T7512">
        <v>-0.21040010000000001</v>
      </c>
      <c r="U7512">
        <v>0.337860099999999</v>
      </c>
      <c r="V7512">
        <v>-2.3722920000000002E-2</v>
      </c>
      <c r="W7512">
        <v>5.7818880000000003E-2</v>
      </c>
      <c r="X7512">
        <v>0.99804519999999997</v>
      </c>
      <c r="Y7512">
        <v>-3.0857079999999999E-2</v>
      </c>
      <c r="Z7512">
        <v>-4.6107300000000004E-3</v>
      </c>
      <c r="AA7512">
        <v>0.99951310000000004</v>
      </c>
      <c r="AB7512">
        <v>22</v>
      </c>
      <c r="AC7512">
        <v>15.6911</v>
      </c>
      <c r="AD7512">
        <v>-1.1101072608925</v>
      </c>
      <c r="AE7512">
        <v>1.77348999999999</v>
      </c>
      <c r="AF7512">
        <v>-0.486234351235872</v>
      </c>
      <c r="AG7512">
        <v>-1.1101072608925</v>
      </c>
      <c r="AH7512">
        <v>15.7058249445797</v>
      </c>
      <c r="AI7512">
        <v>94.041083521905904</v>
      </c>
      <c r="AJ7512">
        <v>91.7732453306037</v>
      </c>
      <c r="AK7512">
        <v>15.752514058549201</v>
      </c>
      <c r="AL7512">
        <v>86.685373670511296</v>
      </c>
      <c r="AM7512">
        <v>91.3616290132411</v>
      </c>
      <c r="AN7512">
        <v>1.0000000105304101</v>
      </c>
    </row>
    <row r="7513" spans="1:40" x14ac:dyDescent="0.25">
      <c r="A7513" t="str">
        <f>"20190312160516961"</f>
        <v>20190312160516961</v>
      </c>
      <c r="B7513" t="str">
        <f>"1552377916952329"</f>
        <v>1552377916952329</v>
      </c>
      <c r="C7513" t="s">
        <v>40</v>
      </c>
      <c r="D7513">
        <v>5.6665869999999998</v>
      </c>
      <c r="E7513">
        <v>0.49541570000000001</v>
      </c>
      <c r="F7513" t="s">
        <v>126</v>
      </c>
      <c r="G7513">
        <v>-230.26929999999999</v>
      </c>
      <c r="H7513" s="1">
        <v>2.0144739999999999E-8</v>
      </c>
      <c r="I7513">
        <v>-63.68038</v>
      </c>
      <c r="J7513">
        <v>-246.46850000000001</v>
      </c>
      <c r="K7513">
        <v>1.1101240000000001</v>
      </c>
      <c r="L7513">
        <v>-65.506739999999994</v>
      </c>
      <c r="M7513">
        <v>0.99661239999999995</v>
      </c>
      <c r="N7513">
        <v>0</v>
      </c>
      <c r="O7513">
        <v>8.1718200000000005E-2</v>
      </c>
      <c r="P7513">
        <v>0.993286</v>
      </c>
      <c r="Q7513">
        <v>4.7968740000000003E-2</v>
      </c>
      <c r="R7513">
        <v>0.105272</v>
      </c>
      <c r="S7513">
        <v>2.9946139999999999</v>
      </c>
      <c r="T7513">
        <v>-0.20385</v>
      </c>
      <c r="U7513">
        <v>0.33703610000000001</v>
      </c>
      <c r="V7513">
        <v>-2.3788009999999998E-2</v>
      </c>
      <c r="W7513">
        <v>5.720716E-2</v>
      </c>
      <c r="X7513">
        <v>0.99807889999999999</v>
      </c>
      <c r="Y7513">
        <v>-3.0375019999999999E-2</v>
      </c>
      <c r="Z7513">
        <v>-4.4987380000000004E-3</v>
      </c>
      <c r="AA7513">
        <v>0.99952850000000004</v>
      </c>
      <c r="AB7513">
        <v>22</v>
      </c>
      <c r="AC7513">
        <v>16.199200000000001</v>
      </c>
      <c r="AD7513">
        <v>-1.11012397985525</v>
      </c>
      <c r="AE7513">
        <v>1.82636</v>
      </c>
      <c r="AF7513">
        <v>-0.49413339799584399</v>
      </c>
      <c r="AG7513">
        <v>-1.11012397985525</v>
      </c>
      <c r="AH7513">
        <v>16.2190564662497</v>
      </c>
      <c r="AI7513">
        <v>93.913730112823899</v>
      </c>
      <c r="AJ7513">
        <v>91.745046241421704</v>
      </c>
      <c r="AK7513">
        <v>16.264511542652102</v>
      </c>
      <c r="AL7513">
        <v>86.720480752664102</v>
      </c>
      <c r="AM7513">
        <v>91.365317500371106</v>
      </c>
      <c r="AN7513">
        <v>1.00000000960011</v>
      </c>
    </row>
    <row r="7514" spans="1:40" x14ac:dyDescent="0.25">
      <c r="A7514" t="str">
        <f>"20190312160516973"</f>
        <v>20190312160516973</v>
      </c>
      <c r="B7514" t="str">
        <f>"1552377916963064"</f>
        <v>1552377916963064</v>
      </c>
      <c r="C7514" t="s">
        <v>40</v>
      </c>
      <c r="D7514">
        <v>5.7687749999999998</v>
      </c>
      <c r="E7514">
        <v>0.49498009999999898</v>
      </c>
      <c r="F7514" t="s">
        <v>126</v>
      </c>
      <c r="G7514">
        <v>-230.17930000000001</v>
      </c>
      <c r="H7514" s="1">
        <v>6.8582720000000003E-8</v>
      </c>
      <c r="I7514">
        <v>-63.64349</v>
      </c>
      <c r="J7514">
        <v>-246.35239999999999</v>
      </c>
      <c r="K7514">
        <v>1.1101369999999999</v>
      </c>
      <c r="L7514">
        <v>-65.496979999999994</v>
      </c>
      <c r="M7514">
        <v>0.99659279999999995</v>
      </c>
      <c r="N7514">
        <v>0</v>
      </c>
      <c r="O7514">
        <v>8.1960179999999994E-2</v>
      </c>
      <c r="P7514">
        <v>0.99327779999999999</v>
      </c>
      <c r="Q7514">
        <v>4.7361640000000003E-2</v>
      </c>
      <c r="R7514">
        <v>0.1056241</v>
      </c>
      <c r="S7514">
        <v>2.9938199999999999</v>
      </c>
      <c r="T7514">
        <v>-0.20403109999999999</v>
      </c>
      <c r="U7514">
        <v>0.34243770000000001</v>
      </c>
      <c r="V7514">
        <v>-2.390024E-2</v>
      </c>
      <c r="W7514">
        <v>5.6571139999999999E-2</v>
      </c>
      <c r="X7514">
        <v>0.99811240000000001</v>
      </c>
      <c r="Y7514">
        <v>-3.1939450000000001E-2</v>
      </c>
      <c r="Z7514">
        <v>-4.4666139999999998E-3</v>
      </c>
      <c r="AA7514">
        <v>0.99947980000000003</v>
      </c>
      <c r="AB7514">
        <v>22</v>
      </c>
      <c r="AC7514">
        <v>16.173099999999899</v>
      </c>
      <c r="AD7514">
        <v>-1.11013693141728</v>
      </c>
      <c r="AE7514">
        <v>1.8534900000000001</v>
      </c>
      <c r="AF7514">
        <v>-0.51923216609858203</v>
      </c>
      <c r="AG7514">
        <v>-1.11013693141728</v>
      </c>
      <c r="AH7514">
        <v>16.195285320868901</v>
      </c>
      <c r="AI7514">
        <v>93.919307729732907</v>
      </c>
      <c r="AJ7514">
        <v>91.836313731760001</v>
      </c>
      <c r="AK7514">
        <v>16.241590829508102</v>
      </c>
      <c r="AL7514">
        <v>86.756980898369306</v>
      </c>
      <c r="AM7514">
        <v>91.371710484623193</v>
      </c>
      <c r="AN7514">
        <v>0.99999993919335595</v>
      </c>
    </row>
    <row r="7515" spans="1:40" x14ac:dyDescent="0.25">
      <c r="A7515" t="str">
        <f>"20190312160516985"</f>
        <v>20190312160516985</v>
      </c>
      <c r="B7515" t="str">
        <f>"1552377916972824"</f>
        <v>1552377916972824</v>
      </c>
      <c r="C7515" t="s">
        <v>40</v>
      </c>
      <c r="D7515">
        <v>5.8060879999999999</v>
      </c>
      <c r="E7515">
        <v>0.49380230000000003</v>
      </c>
      <c r="F7515" t="s">
        <v>123</v>
      </c>
      <c r="G7515">
        <v>-229.79929999999999</v>
      </c>
      <c r="H7515" s="1">
        <v>-3.7703870000000002E-6</v>
      </c>
      <c r="I7515">
        <v>-63.577419999999996</v>
      </c>
      <c r="J7515">
        <v>-246.23240000000001</v>
      </c>
      <c r="K7515">
        <v>1.11015</v>
      </c>
      <c r="L7515">
        <v>-65.486850000000004</v>
      </c>
      <c r="M7515">
        <v>0.99657150000000005</v>
      </c>
      <c r="N7515">
        <v>0</v>
      </c>
      <c r="O7515">
        <v>8.2222169999999997E-2</v>
      </c>
      <c r="P7515">
        <v>0.99327180000000004</v>
      </c>
      <c r="Q7515">
        <v>4.6844999999999998E-2</v>
      </c>
      <c r="R7515">
        <v>0.10590910000000001</v>
      </c>
      <c r="S7515">
        <v>2.992966</v>
      </c>
      <c r="T7515">
        <v>-0.2007254</v>
      </c>
      <c r="U7515">
        <v>0.34707640000000001</v>
      </c>
      <c r="V7515">
        <v>-2.392383E-2</v>
      </c>
      <c r="W7515">
        <v>5.60265E-2</v>
      </c>
      <c r="X7515">
        <v>0.99814259999999999</v>
      </c>
      <c r="Y7515">
        <v>-3.3231770000000001E-2</v>
      </c>
      <c r="Z7515">
        <v>-4.3694399999999996E-3</v>
      </c>
      <c r="AA7515">
        <v>0.9994381</v>
      </c>
      <c r="AB7515">
        <v>22</v>
      </c>
      <c r="AC7515">
        <v>16.4331</v>
      </c>
      <c r="AD7515">
        <v>-1.1101537703869999</v>
      </c>
      <c r="AE7515">
        <v>1.90943</v>
      </c>
      <c r="AF7515">
        <v>-0.54926839880378298</v>
      </c>
      <c r="AG7515">
        <v>-1.1101537703869999</v>
      </c>
      <c r="AH7515">
        <v>16.460336256135001</v>
      </c>
      <c r="AI7515">
        <v>93.856283354096405</v>
      </c>
      <c r="AJ7515">
        <v>91.911205666712505</v>
      </c>
      <c r="AK7515">
        <v>16.506871503493901</v>
      </c>
      <c r="AL7515">
        <v>86.788236190324199</v>
      </c>
      <c r="AM7515">
        <v>91.373022343615304</v>
      </c>
      <c r="AN7515">
        <v>0.99999998413943902</v>
      </c>
    </row>
    <row r="7516" spans="1:40" x14ac:dyDescent="0.25">
      <c r="A7516" t="str">
        <f>"20190312160516997"</f>
        <v>20190312160516997</v>
      </c>
      <c r="B7516" t="str">
        <f>"1552377916992345"</f>
        <v>1552377916992345</v>
      </c>
      <c r="C7516" t="s">
        <v>40</v>
      </c>
      <c r="D7516">
        <v>5.7228529999999997</v>
      </c>
      <c r="E7516">
        <v>0.49205759999999998</v>
      </c>
      <c r="F7516" t="s">
        <v>123</v>
      </c>
      <c r="G7516">
        <v>-229.88910000000001</v>
      </c>
      <c r="H7516" s="1">
        <v>-3.7952070000000001E-6</v>
      </c>
      <c r="I7516">
        <v>-63.534529999999997</v>
      </c>
      <c r="J7516">
        <v>-246.12119999999999</v>
      </c>
      <c r="K7516">
        <v>1.110158</v>
      </c>
      <c r="L7516">
        <v>-65.47739</v>
      </c>
      <c r="M7516">
        <v>0.99655020000000005</v>
      </c>
      <c r="N7516">
        <v>0</v>
      </c>
      <c r="O7516">
        <v>8.2482420000000001E-2</v>
      </c>
      <c r="P7516">
        <v>0.99329140000000005</v>
      </c>
      <c r="Q7516">
        <v>4.6267740000000002E-2</v>
      </c>
      <c r="R7516">
        <v>0.10597959999999999</v>
      </c>
      <c r="S7516">
        <v>2.991806</v>
      </c>
      <c r="T7516">
        <v>-0.20322499999999999</v>
      </c>
      <c r="U7516">
        <v>0.35739140000000003</v>
      </c>
      <c r="V7516">
        <v>-2.3733290000000001E-2</v>
      </c>
      <c r="W7516">
        <v>5.5423760000000002E-2</v>
      </c>
      <c r="X7516">
        <v>0.99818079999999998</v>
      </c>
      <c r="Y7516">
        <v>-3.6409740000000003E-2</v>
      </c>
      <c r="Z7516">
        <v>-4.3344239999999999E-3</v>
      </c>
      <c r="AA7516">
        <v>0.99932750000000004</v>
      </c>
      <c r="AB7516">
        <v>22</v>
      </c>
      <c r="AC7516">
        <v>16.2320999999999</v>
      </c>
      <c r="AD7516">
        <v>-1.110161795207</v>
      </c>
      <c r="AE7516">
        <v>1.94285999999999</v>
      </c>
      <c r="AF7516">
        <v>-0.59457790767073004</v>
      </c>
      <c r="AG7516">
        <v>-1.110161795207</v>
      </c>
      <c r="AH7516">
        <v>16.262050314286601</v>
      </c>
      <c r="AI7516">
        <v>93.902753449195501</v>
      </c>
      <c r="AJ7516">
        <v>92.093932562110098</v>
      </c>
      <c r="AK7516">
        <v>16.310740710470998</v>
      </c>
      <c r="AL7516">
        <v>86.822824399971594</v>
      </c>
      <c r="AM7516">
        <v>91.362039013394096</v>
      </c>
      <c r="AN7516">
        <v>0.9999999858577</v>
      </c>
    </row>
    <row r="7517" spans="1:40" x14ac:dyDescent="0.25">
      <c r="A7517" t="str">
        <f>"20190312160517008"</f>
        <v>20190312160517008</v>
      </c>
      <c r="B7517" t="str">
        <f>"1552377917003083"</f>
        <v>1552377917003083</v>
      </c>
      <c r="C7517" t="s">
        <v>40</v>
      </c>
      <c r="D7517">
        <v>5.731166</v>
      </c>
      <c r="E7517">
        <v>0.42418109999999998</v>
      </c>
      <c r="F7517" t="s">
        <v>126</v>
      </c>
      <c r="G7517">
        <v>-230.01840000000001</v>
      </c>
      <c r="H7517" s="1">
        <v>1.8203390000000001E-7</v>
      </c>
      <c r="I7517">
        <v>-63.4764699999999</v>
      </c>
      <c r="J7517">
        <v>-246.0078</v>
      </c>
      <c r="K7517">
        <v>1.1101650000000001</v>
      </c>
      <c r="L7517">
        <v>-65.467740000000006</v>
      </c>
      <c r="M7517">
        <v>0.99652810000000003</v>
      </c>
      <c r="N7517">
        <v>0</v>
      </c>
      <c r="O7517">
        <v>8.2752489999999998E-2</v>
      </c>
      <c r="P7517">
        <v>0.99331800000000003</v>
      </c>
      <c r="Q7517">
        <v>4.540868E-2</v>
      </c>
      <c r="R7517">
        <v>0.1061015</v>
      </c>
      <c r="S7517">
        <v>2.9902340000000001</v>
      </c>
      <c r="T7517">
        <v>-0.2061521</v>
      </c>
      <c r="U7517">
        <v>0.37155149999999998</v>
      </c>
      <c r="V7517">
        <v>-2.3582599999999999E-2</v>
      </c>
      <c r="W7517">
        <v>5.4539610000000002E-2</v>
      </c>
      <c r="X7517">
        <v>0.99823309999999998</v>
      </c>
      <c r="Y7517">
        <v>-4.0856740000000002E-2</v>
      </c>
      <c r="Z7517">
        <v>-4.2633749999999998E-3</v>
      </c>
      <c r="AA7517">
        <v>0.99915589999999999</v>
      </c>
      <c r="AB7517">
        <v>22</v>
      </c>
      <c r="AC7517">
        <v>15.9893999999999</v>
      </c>
      <c r="AD7517">
        <v>-1.1101648179660999</v>
      </c>
      <c r="AE7517">
        <v>1.9912700000000101</v>
      </c>
      <c r="AF7517">
        <v>-0.65809750035544301</v>
      </c>
      <c r="AG7517">
        <v>-1.1101648179660999</v>
      </c>
      <c r="AH7517">
        <v>16.023279496247198</v>
      </c>
      <c r="AI7517">
        <v>93.960047390039605</v>
      </c>
      <c r="AJ7517">
        <v>92.351892388089098</v>
      </c>
      <c r="AK7517">
        <v>16.075168554571299</v>
      </c>
      <c r="AL7517">
        <v>86.873559300389402</v>
      </c>
      <c r="AM7517">
        <v>91.353323351664301</v>
      </c>
      <c r="AN7517">
        <v>1.0000000150086601</v>
      </c>
    </row>
    <row r="7518" spans="1:40" x14ac:dyDescent="0.25">
      <c r="A7518" t="str">
        <f>"20190312160517020"</f>
        <v>20190312160517020</v>
      </c>
      <c r="B7518" t="str">
        <f>"1552377917012840"</f>
        <v>1552377917012840</v>
      </c>
      <c r="C7518" t="s">
        <v>40</v>
      </c>
      <c r="D7518">
        <v>5.7574809999999896</v>
      </c>
      <c r="E7518">
        <v>0.42393579999999997</v>
      </c>
      <c r="F7518" t="s">
        <v>81</v>
      </c>
      <c r="G7518">
        <v>-209.4785</v>
      </c>
      <c r="H7518" s="1">
        <v>-1.9848789999999999E-6</v>
      </c>
      <c r="I7518">
        <v>-54.0629699999999</v>
      </c>
      <c r="J7518">
        <v>-245.88720000000001</v>
      </c>
      <c r="K7518">
        <v>1.110168</v>
      </c>
      <c r="L7518">
        <v>-65.457400000000007</v>
      </c>
      <c r="M7518">
        <v>0.99650309999999998</v>
      </c>
      <c r="N7518">
        <v>0</v>
      </c>
      <c r="O7518">
        <v>8.3056080000000004E-2</v>
      </c>
      <c r="P7518">
        <v>0.99329690000000004</v>
      </c>
      <c r="Q7518">
        <v>4.5070850000000003E-2</v>
      </c>
      <c r="R7518">
        <v>0.10644190000000001</v>
      </c>
      <c r="S7518">
        <v>2.9266510000000001</v>
      </c>
      <c r="T7518">
        <v>-8.8944319999999993E-2</v>
      </c>
      <c r="U7518">
        <v>0.91372679999999995</v>
      </c>
      <c r="V7518">
        <v>-2.3620680000000002E-2</v>
      </c>
      <c r="W7518">
        <v>5.4173470000000001E-2</v>
      </c>
      <c r="X7518">
        <v>0.99825209999999998</v>
      </c>
      <c r="Y7518">
        <v>-0.2176506</v>
      </c>
      <c r="Z7518">
        <v>7.7456929999999904E-4</v>
      </c>
      <c r="AA7518">
        <v>0.97602639999999996</v>
      </c>
      <c r="AB7518">
        <v>22</v>
      </c>
      <c r="AC7518">
        <v>36.408700000000003</v>
      </c>
      <c r="AD7518">
        <v>-1.1101699848790001</v>
      </c>
      <c r="AE7518">
        <v>11.39443</v>
      </c>
      <c r="AF7518">
        <v>-8.3239189183336801</v>
      </c>
      <c r="AG7518">
        <v>-1.1101699848790001</v>
      </c>
      <c r="AH7518">
        <v>37.197809307483404</v>
      </c>
      <c r="AI7518">
        <v>91.668252709782806</v>
      </c>
      <c r="AJ7518">
        <v>102.613530082898</v>
      </c>
      <c r="AK7518">
        <v>38.133936602850397</v>
      </c>
      <c r="AL7518">
        <v>86.894568523090896</v>
      </c>
      <c r="AM7518">
        <v>91.355482025577004</v>
      </c>
      <c r="AN7518">
        <v>0.99999997826495601</v>
      </c>
    </row>
    <row r="7519" spans="1:40" x14ac:dyDescent="0.25">
      <c r="A7519" t="str">
        <f>"20190312160517030"</f>
        <v>20190312160517030</v>
      </c>
      <c r="B7519" t="str">
        <f>"1552377917022601"</f>
        <v>1552377917022601</v>
      </c>
      <c r="C7519" t="s">
        <v>40</v>
      </c>
      <c r="D7519">
        <v>5.7499330000000004</v>
      </c>
      <c r="E7519">
        <v>0.42339719999999997</v>
      </c>
      <c r="F7519" t="s">
        <v>122</v>
      </c>
      <c r="G7519">
        <v>-211.0384</v>
      </c>
      <c r="H7519" s="1">
        <v>-8.8089419999999898E-7</v>
      </c>
      <c r="I7519">
        <v>-54.54045</v>
      </c>
      <c r="J7519">
        <v>-245.78649999999999</v>
      </c>
      <c r="K7519">
        <v>1.1101700000000001</v>
      </c>
      <c r="L7519">
        <v>-65.448729999999998</v>
      </c>
      <c r="M7519">
        <v>0.99648179999999997</v>
      </c>
      <c r="N7519">
        <v>0</v>
      </c>
      <c r="O7519">
        <v>8.3312430000000007E-2</v>
      </c>
      <c r="P7519">
        <v>0.9932415</v>
      </c>
      <c r="Q7519">
        <v>4.5011460000000003E-2</v>
      </c>
      <c r="R7519">
        <v>0.1069831</v>
      </c>
      <c r="S7519">
        <v>2.9262389999999998</v>
      </c>
      <c r="T7519">
        <v>-9.322047E-2</v>
      </c>
      <c r="U7519">
        <v>0.91668700000000003</v>
      </c>
      <c r="V7519">
        <v>-2.3908289999999999E-2</v>
      </c>
      <c r="W7519">
        <v>5.4091100000000003E-2</v>
      </c>
      <c r="X7519">
        <v>0.99824979999999996</v>
      </c>
      <c r="Y7519">
        <v>-0.2183322</v>
      </c>
      <c r="Z7519">
        <v>8.1450309999999998E-4</v>
      </c>
      <c r="AA7519">
        <v>0.97587420000000002</v>
      </c>
      <c r="AB7519">
        <v>22</v>
      </c>
      <c r="AC7519">
        <v>34.748099999999901</v>
      </c>
      <c r="AD7519">
        <v>-1.1101708808941999</v>
      </c>
      <c r="AE7519">
        <v>10.9082799999999</v>
      </c>
      <c r="AF7519">
        <v>-7.9678814969055098</v>
      </c>
      <c r="AG7519">
        <v>-1.1101708808941999</v>
      </c>
      <c r="AH7519">
        <v>35.503131737520299</v>
      </c>
      <c r="AI7519">
        <v>91.747593442883399</v>
      </c>
      <c r="AJ7519">
        <v>102.64916209466701</v>
      </c>
      <c r="AK7519">
        <v>36.403186372970701</v>
      </c>
      <c r="AL7519">
        <v>86.899295154958907</v>
      </c>
      <c r="AM7519">
        <v>91.371983528175605</v>
      </c>
      <c r="AN7519">
        <v>1.00000005831498</v>
      </c>
    </row>
    <row r="7520" spans="1:40" x14ac:dyDescent="0.25">
      <c r="A7520" t="str">
        <f>"20190312160517040"</f>
        <v>20190312160517040</v>
      </c>
      <c r="B7520" t="str">
        <f>"1552377917032361"</f>
        <v>1552377917032361</v>
      </c>
      <c r="C7520" t="s">
        <v>40</v>
      </c>
      <c r="D7520">
        <v>5.6555280000000003</v>
      </c>
      <c r="E7520">
        <v>0.42287429999999898</v>
      </c>
      <c r="F7520" t="s">
        <v>122</v>
      </c>
      <c r="G7520">
        <v>-211.0924</v>
      </c>
      <c r="H7520" s="1">
        <v>-9.077075E-7</v>
      </c>
      <c r="I7520">
        <v>-54.50873</v>
      </c>
      <c r="J7520">
        <v>-245.6806</v>
      </c>
      <c r="K7520">
        <v>1.110168</v>
      </c>
      <c r="L7520">
        <v>-65.439580000000007</v>
      </c>
      <c r="M7520">
        <v>0.99645879999999998</v>
      </c>
      <c r="N7520">
        <v>0</v>
      </c>
      <c r="O7520">
        <v>8.3589490000000002E-2</v>
      </c>
      <c r="P7520">
        <v>0.99318859999999998</v>
      </c>
      <c r="Q7520">
        <v>4.5105489999999998E-2</v>
      </c>
      <c r="R7520">
        <v>0.1074333</v>
      </c>
      <c r="S7520">
        <v>2.9253079999999998</v>
      </c>
      <c r="T7520">
        <v>-9.3606350000000005E-2</v>
      </c>
      <c r="U7520">
        <v>0.92242429999999997</v>
      </c>
      <c r="V7520">
        <v>-2.4084319999999999E-2</v>
      </c>
      <c r="W7520">
        <v>5.4159659999999998E-2</v>
      </c>
      <c r="X7520">
        <v>0.99824179999999996</v>
      </c>
      <c r="Y7520">
        <v>-0.2198899</v>
      </c>
      <c r="Z7520">
        <v>8.3368949999999896E-4</v>
      </c>
      <c r="AA7520">
        <v>0.97552430000000001</v>
      </c>
      <c r="AB7520">
        <v>22</v>
      </c>
      <c r="AC7520">
        <v>34.588200000000001</v>
      </c>
      <c r="AD7520">
        <v>-1.1101689077075001</v>
      </c>
      <c r="AE7520">
        <v>10.93085</v>
      </c>
      <c r="AF7520">
        <v>-7.9937749599658101</v>
      </c>
      <c r="AG7520">
        <v>-1.1101689077075001</v>
      </c>
      <c r="AH7520">
        <v>35.347774070419597</v>
      </c>
      <c r="AI7520">
        <v>91.754620040501905</v>
      </c>
      <c r="AJ7520">
        <v>102.742891775362</v>
      </c>
      <c r="AK7520">
        <v>36.2573860730148</v>
      </c>
      <c r="AL7520">
        <v>86.895361031250502</v>
      </c>
      <c r="AM7520">
        <v>91.382092224271304</v>
      </c>
      <c r="AN7520">
        <v>1.0000000072541999</v>
      </c>
    </row>
    <row r="7521" spans="1:40" x14ac:dyDescent="0.25">
      <c r="A7521" t="str">
        <f>"20190312160517051"</f>
        <v>20190312160517051</v>
      </c>
      <c r="B7521" t="str">
        <f>"1552377917043096"</f>
        <v>1552377917043096</v>
      </c>
      <c r="C7521" t="s">
        <v>40</v>
      </c>
      <c r="D7521">
        <v>5.7357009999999997</v>
      </c>
      <c r="E7521">
        <v>0.42309839999999999</v>
      </c>
      <c r="F7521" t="s">
        <v>122</v>
      </c>
      <c r="G7521">
        <v>-212.8168</v>
      </c>
      <c r="H7521" s="1">
        <v>-1.3595789999999999E-6</v>
      </c>
      <c r="I7521">
        <v>-55.015940000000001</v>
      </c>
      <c r="J7521">
        <v>-245.56890000000001</v>
      </c>
      <c r="K7521">
        <v>1.110166</v>
      </c>
      <c r="L7521">
        <v>-65.429900000000004</v>
      </c>
      <c r="M7521">
        <v>0.9964343</v>
      </c>
      <c r="N7521">
        <v>0</v>
      </c>
      <c r="O7521">
        <v>8.3883959999999994E-2</v>
      </c>
      <c r="P7521">
        <v>0.99311919999999998</v>
      </c>
      <c r="Q7521">
        <v>4.5401320000000002E-2</v>
      </c>
      <c r="R7521">
        <v>0.1079497</v>
      </c>
      <c r="S7521">
        <v>2.9246979999999998</v>
      </c>
      <c r="T7521">
        <v>-9.8799109999999996E-2</v>
      </c>
      <c r="U7521">
        <v>0.92764279999999999</v>
      </c>
      <c r="V7521">
        <v>-2.431007E-2</v>
      </c>
      <c r="W7521">
        <v>5.4428199999999899E-2</v>
      </c>
      <c r="X7521">
        <v>0.99822169999999999</v>
      </c>
      <c r="Y7521">
        <v>-0.2212345</v>
      </c>
      <c r="Z7521">
        <v>8.9244960000000001E-4</v>
      </c>
      <c r="AA7521">
        <v>0.97522030000000004</v>
      </c>
      <c r="AB7521">
        <v>22</v>
      </c>
      <c r="AC7521">
        <v>32.752099999999999</v>
      </c>
      <c r="AD7521">
        <v>-1.110167359579</v>
      </c>
      <c r="AE7521">
        <v>10.413959999999999</v>
      </c>
      <c r="AF7521">
        <v>-7.6218115815272096</v>
      </c>
      <c r="AG7521">
        <v>-1.110167359579</v>
      </c>
      <c r="AH7521">
        <v>33.475326960036803</v>
      </c>
      <c r="AI7521">
        <v>91.852081410472707</v>
      </c>
      <c r="AJ7521">
        <v>102.826695683122</v>
      </c>
      <c r="AK7521">
        <v>34.3499926991541</v>
      </c>
      <c r="AL7521">
        <v>86.879952026214795</v>
      </c>
      <c r="AM7521">
        <v>91.395069998333994</v>
      </c>
      <c r="AN7521">
        <v>0.99999998540476698</v>
      </c>
    </row>
    <row r="7522" spans="1:40" x14ac:dyDescent="0.25">
      <c r="A7522" t="str">
        <f>"20190312160517062"</f>
        <v>20190312160517062</v>
      </c>
      <c r="B7522" t="str">
        <f>"1552377917052857"</f>
        <v>1552377917052857</v>
      </c>
      <c r="C7522" t="s">
        <v>40</v>
      </c>
      <c r="D7522">
        <v>5.758953</v>
      </c>
      <c r="E7522">
        <v>0.42308679999999899</v>
      </c>
      <c r="F7522" t="s">
        <v>122</v>
      </c>
      <c r="G7522">
        <v>-211.48939999999999</v>
      </c>
      <c r="H7522" s="1">
        <v>-1.012306E-6</v>
      </c>
      <c r="I7522">
        <v>-54.623370000000001</v>
      </c>
      <c r="J7522">
        <v>-245.46029999999999</v>
      </c>
      <c r="K7522">
        <v>1.110163</v>
      </c>
      <c r="L7522">
        <v>-65.420439999999999</v>
      </c>
      <c r="M7522">
        <v>0.99641009999999997</v>
      </c>
      <c r="N7522">
        <v>0</v>
      </c>
      <c r="O7522">
        <v>8.4173880000000006E-2</v>
      </c>
      <c r="P7522">
        <v>0.99308430000000003</v>
      </c>
      <c r="Q7522">
        <v>4.5322849999999998E-2</v>
      </c>
      <c r="R7522">
        <v>0.10830389999999999</v>
      </c>
      <c r="S7522">
        <v>2.9243769999999998</v>
      </c>
      <c r="T7522">
        <v>-9.5263840000000002E-2</v>
      </c>
      <c r="U7522">
        <v>0.92730710000000005</v>
      </c>
      <c r="V7522">
        <v>-2.4375899999999999E-2</v>
      </c>
      <c r="W7522">
        <v>5.4322969999999998E-2</v>
      </c>
      <c r="X7522">
        <v>0.9982259</v>
      </c>
      <c r="Y7522">
        <v>-0.2208851</v>
      </c>
      <c r="Z7522">
        <v>8.4594779999999897E-4</v>
      </c>
      <c r="AA7522">
        <v>0.97529949999999999</v>
      </c>
      <c r="AB7522">
        <v>23</v>
      </c>
      <c r="AC7522">
        <v>33.9709</v>
      </c>
      <c r="AD7522">
        <v>-1.1101640123059999</v>
      </c>
      <c r="AE7522">
        <v>10.79707</v>
      </c>
      <c r="AF7522">
        <v>-7.8915150435876598</v>
      </c>
      <c r="AG7522">
        <v>-1.1101640123059999</v>
      </c>
      <c r="AH7522">
        <v>34.725515276704698</v>
      </c>
      <c r="AI7522">
        <v>91.785607432210199</v>
      </c>
      <c r="AJ7522">
        <v>102.803250153543</v>
      </c>
      <c r="AK7522">
        <v>35.628217539613701</v>
      </c>
      <c r="AL7522">
        <v>86.885990422176306</v>
      </c>
      <c r="AM7522">
        <v>91.398840369831404</v>
      </c>
      <c r="AN7522">
        <v>1.0000000585006099</v>
      </c>
    </row>
    <row r="7523" spans="1:40" x14ac:dyDescent="0.25">
      <c r="A7523" t="str">
        <f>"20190312160517074"</f>
        <v>20190312160517074</v>
      </c>
      <c r="B7523" t="str">
        <f>"1552377917062618"</f>
        <v>1552377917062618</v>
      </c>
      <c r="C7523" t="s">
        <v>40</v>
      </c>
      <c r="D7523">
        <v>5.725638</v>
      </c>
      <c r="E7523">
        <v>0.42328789999999999</v>
      </c>
      <c r="F7523" t="s">
        <v>43</v>
      </c>
      <c r="G7523">
        <v>-208.41480000000001</v>
      </c>
      <c r="H7523">
        <v>-0.05</v>
      </c>
      <c r="I7523">
        <v>-53.657670000000003</v>
      </c>
      <c r="J7523">
        <v>-245.34549999999999</v>
      </c>
      <c r="K7523">
        <v>1.1101589999999999</v>
      </c>
      <c r="L7523">
        <v>-65.410430000000005</v>
      </c>
      <c r="M7523">
        <v>0.99638459999999995</v>
      </c>
      <c r="N7523">
        <v>0</v>
      </c>
      <c r="O7523">
        <v>8.4480840000000001E-2</v>
      </c>
      <c r="P7523">
        <v>0.99306519999999998</v>
      </c>
      <c r="Q7523">
        <v>4.5194289999999998E-2</v>
      </c>
      <c r="R7523">
        <v>0.1085333</v>
      </c>
      <c r="S7523">
        <v>2.923813</v>
      </c>
      <c r="T7523">
        <v>-9.1565729999999998E-2</v>
      </c>
      <c r="U7523">
        <v>0.92837519999999996</v>
      </c>
      <c r="V7523">
        <v>-2.429804E-2</v>
      </c>
      <c r="W7523">
        <v>5.4165850000000001E-2</v>
      </c>
      <c r="X7523">
        <v>0.99823629999999997</v>
      </c>
      <c r="Y7523">
        <v>-0.22096769999999999</v>
      </c>
      <c r="Z7523">
        <v>8.0520919999999897E-4</v>
      </c>
      <c r="AA7523">
        <v>0.97528079999999995</v>
      </c>
      <c r="AB7523">
        <v>23</v>
      </c>
      <c r="AC7523">
        <v>36.930699999999902</v>
      </c>
      <c r="AD7523">
        <v>-1.1601589999999999</v>
      </c>
      <c r="AE7523">
        <v>11.75276</v>
      </c>
      <c r="AF7523">
        <v>-8.5829878780122204</v>
      </c>
      <c r="AG7523">
        <v>-1.1601589999999999</v>
      </c>
      <c r="AH7523">
        <v>37.757753713572903</v>
      </c>
      <c r="AI7523">
        <v>91.716183417008907</v>
      </c>
      <c r="AJ7523">
        <v>102.80669046910501</v>
      </c>
      <c r="AK7523">
        <v>38.738373937404901</v>
      </c>
      <c r="AL7523">
        <v>86.8950058959187</v>
      </c>
      <c r="AM7523">
        <v>91.394359525412199</v>
      </c>
      <c r="AN7523">
        <v>1.00000002234587</v>
      </c>
    </row>
    <row r="7524" spans="1:40" x14ac:dyDescent="0.25">
      <c r="A7524" t="str">
        <f>"20190312160517085"</f>
        <v>20190312160517085</v>
      </c>
      <c r="B7524" t="str">
        <f>"1552377917072377"</f>
        <v>1552377917072377</v>
      </c>
      <c r="C7524" t="s">
        <v>40</v>
      </c>
      <c r="D7524">
        <v>5.7102550000000001</v>
      </c>
      <c r="E7524">
        <v>0.42331980000000002</v>
      </c>
      <c r="F7524" t="s">
        <v>122</v>
      </c>
      <c r="G7524">
        <v>-210.14400000000001</v>
      </c>
      <c r="H7524" s="1">
        <v>-6.5538959999999997E-7</v>
      </c>
      <c r="I7524">
        <v>-54.2440199999999</v>
      </c>
      <c r="J7524">
        <v>-245.22890000000001</v>
      </c>
      <c r="K7524">
        <v>1.110152</v>
      </c>
      <c r="L7524">
        <v>-65.400210000000001</v>
      </c>
      <c r="M7524">
        <v>0.99635819999999997</v>
      </c>
      <c r="N7524">
        <v>0</v>
      </c>
      <c r="O7524">
        <v>8.4793519999999997E-2</v>
      </c>
      <c r="P7524">
        <v>0.99305189999999999</v>
      </c>
      <c r="Q7524">
        <v>4.482365E-2</v>
      </c>
      <c r="R7524">
        <v>0.10880629999999999</v>
      </c>
      <c r="S7524">
        <v>2.9237820000000001</v>
      </c>
      <c r="T7524">
        <v>-9.2208029999999996E-2</v>
      </c>
      <c r="U7524">
        <v>0.9274597</v>
      </c>
      <c r="V7524">
        <v>-2.4257150000000002E-2</v>
      </c>
      <c r="W7524">
        <v>5.3766370000000001E-2</v>
      </c>
      <c r="X7524">
        <v>0.99825889999999995</v>
      </c>
      <c r="Y7524">
        <v>-0.22038659999999999</v>
      </c>
      <c r="Z7524">
        <v>7.9241809999999995E-4</v>
      </c>
      <c r="AA7524">
        <v>0.97541219999999995</v>
      </c>
      <c r="AB7524">
        <v>23</v>
      </c>
      <c r="AC7524">
        <v>35.084899999999998</v>
      </c>
      <c r="AD7524">
        <v>-1.1101526553896</v>
      </c>
      <c r="AE7524">
        <v>11.15619</v>
      </c>
      <c r="AF7524">
        <v>-8.1335208797356504</v>
      </c>
      <c r="AG7524">
        <v>-1.1101526553896</v>
      </c>
      <c r="AH7524">
        <v>35.871926368525401</v>
      </c>
      <c r="AI7524">
        <v>91.728752260341693</v>
      </c>
      <c r="AJ7524">
        <v>102.775117785261</v>
      </c>
      <c r="AK7524">
        <v>36.799207901913803</v>
      </c>
      <c r="AL7524">
        <v>86.9179278448226</v>
      </c>
      <c r="AM7524">
        <v>91.391982447038501</v>
      </c>
      <c r="AN7524">
        <v>1.00000003164915</v>
      </c>
    </row>
    <row r="7525" spans="1:40" x14ac:dyDescent="0.25">
      <c r="A7525" t="str">
        <f>"20190312160517096"</f>
        <v>20190312160517096</v>
      </c>
      <c r="B7525" t="str">
        <f>"1552377917092873"</f>
        <v>1552377917092873</v>
      </c>
      <c r="C7525" t="s">
        <v>40</v>
      </c>
      <c r="D7525">
        <v>5.7251799999999999</v>
      </c>
      <c r="E7525">
        <v>0.42314849999999998</v>
      </c>
      <c r="F7525" t="s">
        <v>81</v>
      </c>
      <c r="G7525">
        <v>-209.91829999999999</v>
      </c>
      <c r="H7525" s="1">
        <v>-1.671529E-6</v>
      </c>
      <c r="I7525">
        <v>-54.189860000000003</v>
      </c>
      <c r="J7525">
        <v>-245.12049999999999</v>
      </c>
      <c r="K7525">
        <v>1.1101449999999999</v>
      </c>
      <c r="L7525">
        <v>-65.390659999999997</v>
      </c>
      <c r="M7525">
        <v>0.99633380000000005</v>
      </c>
      <c r="N7525">
        <v>0</v>
      </c>
      <c r="O7525">
        <v>8.5082749999999999E-2</v>
      </c>
      <c r="P7525">
        <v>0.99308320000000005</v>
      </c>
      <c r="Q7525">
        <v>4.4339900000000002E-2</v>
      </c>
      <c r="R7525">
        <v>0.1087195</v>
      </c>
      <c r="S7525">
        <v>2.9234469999999999</v>
      </c>
      <c r="T7525">
        <v>-9.1912270000000004E-2</v>
      </c>
      <c r="U7525">
        <v>0.92813109999999999</v>
      </c>
      <c r="V7525">
        <v>-2.3876999999999999E-2</v>
      </c>
      <c r="W7525">
        <v>5.3255450000000003E-2</v>
      </c>
      <c r="X7525">
        <v>0.99829540000000005</v>
      </c>
      <c r="Y7525">
        <v>-0.2203398</v>
      </c>
      <c r="Z7525">
        <v>7.8043410000000002E-4</v>
      </c>
      <c r="AA7525">
        <v>0.97542289999999998</v>
      </c>
      <c r="AB7525">
        <v>23</v>
      </c>
      <c r="AC7525">
        <v>35.202199999999998</v>
      </c>
      <c r="AD7525">
        <v>-1.110146671529</v>
      </c>
      <c r="AE7525">
        <v>11.200799999999999</v>
      </c>
      <c r="AF7525">
        <v>-8.1575946093556801</v>
      </c>
      <c r="AG7525">
        <v>-1.110146671529</v>
      </c>
      <c r="AH7525">
        <v>35.995068265253302</v>
      </c>
      <c r="AI7525">
        <v>91.722872033245693</v>
      </c>
      <c r="AJ7525">
        <v>102.769293250898</v>
      </c>
      <c r="AK7525">
        <v>36.924567903540101</v>
      </c>
      <c r="AL7525">
        <v>86.947243247105604</v>
      </c>
      <c r="AM7525">
        <v>91.370126064801298</v>
      </c>
      <c r="AN7525">
        <v>0.99999997987243106</v>
      </c>
    </row>
    <row r="7526" spans="1:40" x14ac:dyDescent="0.25">
      <c r="A7526" t="str">
        <f>"20190312160517108"</f>
        <v>20190312160517108</v>
      </c>
      <c r="B7526" t="str">
        <f>"1552377917102636"</f>
        <v>1552377917102636</v>
      </c>
      <c r="C7526" t="s">
        <v>40</v>
      </c>
      <c r="D7526">
        <v>5.7267219999999996</v>
      </c>
      <c r="E7526">
        <v>0.4230218</v>
      </c>
      <c r="F7526" t="s">
        <v>81</v>
      </c>
      <c r="G7526">
        <v>-209.05439999999999</v>
      </c>
      <c r="H7526" s="1">
        <v>-2.2914420000000001E-6</v>
      </c>
      <c r="I7526">
        <v>-53.923859999999998</v>
      </c>
      <c r="J7526">
        <v>-245.006</v>
      </c>
      <c r="K7526">
        <v>1.110139</v>
      </c>
      <c r="L7526">
        <v>-65.380579999999995</v>
      </c>
      <c r="M7526">
        <v>0.99630790000000002</v>
      </c>
      <c r="N7526">
        <v>0</v>
      </c>
      <c r="O7526">
        <v>8.5388080000000005E-2</v>
      </c>
      <c r="P7526">
        <v>0.99310100000000001</v>
      </c>
      <c r="Q7526">
        <v>4.3807100000000002E-2</v>
      </c>
      <c r="R7526">
        <v>0.1087733</v>
      </c>
      <c r="S7526">
        <v>2.9231569999999998</v>
      </c>
      <c r="T7526">
        <v>-8.9977260000000003E-2</v>
      </c>
      <c r="U7526">
        <v>0.92938229999999999</v>
      </c>
      <c r="V7526">
        <v>-2.3622560000000001E-2</v>
      </c>
      <c r="W7526">
        <v>5.2694530000000003E-2</v>
      </c>
      <c r="X7526">
        <v>0.99833119999999997</v>
      </c>
      <c r="Y7526">
        <v>-0.2204507</v>
      </c>
      <c r="Z7526">
        <v>7.5662690000000002E-4</v>
      </c>
      <c r="AA7526">
        <v>0.97539779999999998</v>
      </c>
      <c r="AB7526">
        <v>23</v>
      </c>
      <c r="AC7526">
        <v>35.9515999999999</v>
      </c>
      <c r="AD7526">
        <v>-1.1101412914419999</v>
      </c>
      <c r="AE7526">
        <v>11.456720000000001</v>
      </c>
      <c r="AF7526">
        <v>-8.3376969504068903</v>
      </c>
      <c r="AG7526">
        <v>-1.1101412914419999</v>
      </c>
      <c r="AH7526">
        <v>36.766766985101697</v>
      </c>
      <c r="AI7526">
        <v>91.686672044943293</v>
      </c>
      <c r="AJ7526">
        <v>102.777017748196</v>
      </c>
      <c r="AK7526">
        <v>37.716637690289303</v>
      </c>
      <c r="AL7526">
        <v>86.979426733236295</v>
      </c>
      <c r="AM7526">
        <v>91.355482503537402</v>
      </c>
      <c r="AN7526">
        <v>0.99999996186315598</v>
      </c>
    </row>
    <row r="7527" spans="1:40" x14ac:dyDescent="0.25">
      <c r="A7527" t="str">
        <f>"20190312160517119"</f>
        <v>20190312160517119</v>
      </c>
      <c r="B7527" t="str">
        <f>"1552377917112394"</f>
        <v>1552377917112394</v>
      </c>
      <c r="C7527" t="s">
        <v>40</v>
      </c>
      <c r="D7527">
        <v>5.4773909999999999</v>
      </c>
      <c r="E7527">
        <v>0.42283280000000001</v>
      </c>
      <c r="F7527" t="s">
        <v>81</v>
      </c>
      <c r="G7527">
        <v>-208.4847</v>
      </c>
      <c r="H7527" s="1">
        <v>-2.699211E-6</v>
      </c>
      <c r="I7527">
        <v>-53.7521699999999</v>
      </c>
      <c r="J7527">
        <v>-244.8914</v>
      </c>
      <c r="K7527">
        <v>1.110131</v>
      </c>
      <c r="L7527">
        <v>-65.370419999999996</v>
      </c>
      <c r="M7527">
        <v>0.99628209999999995</v>
      </c>
      <c r="N7527">
        <v>0</v>
      </c>
      <c r="O7527">
        <v>8.569098E-2</v>
      </c>
      <c r="P7527">
        <v>0.99309040000000004</v>
      </c>
      <c r="Q7527">
        <v>4.3679919999999997E-2</v>
      </c>
      <c r="R7527">
        <v>0.1089213</v>
      </c>
      <c r="S7527">
        <v>2.9228360000000002</v>
      </c>
      <c r="T7527">
        <v>-8.8845850000000004E-2</v>
      </c>
      <c r="U7527">
        <v>0.9306335</v>
      </c>
      <c r="V7527">
        <v>-2.3466609999999999E-2</v>
      </c>
      <c r="W7527">
        <v>5.2536430000000002E-2</v>
      </c>
      <c r="X7527">
        <v>0.99834319999999999</v>
      </c>
      <c r="Y7527">
        <v>-0.2205657</v>
      </c>
      <c r="Z7527">
        <v>7.3996580000000004E-4</v>
      </c>
      <c r="AA7527">
        <v>0.97537180000000001</v>
      </c>
      <c r="AB7527">
        <v>23</v>
      </c>
      <c r="AC7527">
        <v>36.406700000000001</v>
      </c>
      <c r="AD7527">
        <v>-1.110133699211</v>
      </c>
      <c r="AE7527">
        <v>11.61825</v>
      </c>
      <c r="AF7527">
        <v>-8.4485334897299396</v>
      </c>
      <c r="AG7527">
        <v>-1.110133699211</v>
      </c>
      <c r="AH7527">
        <v>37.236972789987597</v>
      </c>
      <c r="AI7527">
        <v>91.665333901448193</v>
      </c>
      <c r="AJ7527">
        <v>102.783173813942</v>
      </c>
      <c r="AK7527">
        <v>38.199505985280602</v>
      </c>
      <c r="AL7527">
        <v>86.988497730237697</v>
      </c>
      <c r="AM7527">
        <v>91.346521086682898</v>
      </c>
      <c r="AN7527">
        <v>0.99999995162413702</v>
      </c>
    </row>
    <row r="7528" spans="1:40" x14ac:dyDescent="0.25">
      <c r="A7528" t="str">
        <f>"20190312160517129"</f>
        <v>20190312160517129</v>
      </c>
      <c r="B7528" t="str">
        <f>"1552377917122153"</f>
        <v>1552377917122153</v>
      </c>
      <c r="C7528" t="s">
        <v>40</v>
      </c>
      <c r="D7528">
        <v>5.7024210000000002</v>
      </c>
      <c r="E7528">
        <v>0.42266819999999999</v>
      </c>
      <c r="F7528" t="s">
        <v>81</v>
      </c>
      <c r="G7528">
        <v>-205.95920000000001</v>
      </c>
      <c r="H7528" s="1">
        <v>-4.278699E-6</v>
      </c>
      <c r="I7528">
        <v>-52.942909999999998</v>
      </c>
      <c r="J7528">
        <v>-244.7816</v>
      </c>
      <c r="K7528">
        <v>1.1101240000000001</v>
      </c>
      <c r="L7528">
        <v>-65.360659999999996</v>
      </c>
      <c r="M7528">
        <v>0.99625750000000002</v>
      </c>
      <c r="N7528">
        <v>0</v>
      </c>
      <c r="O7528">
        <v>8.5980210000000001E-2</v>
      </c>
      <c r="P7528">
        <v>0.99307939999999995</v>
      </c>
      <c r="Q7528">
        <v>4.3637019999999999E-2</v>
      </c>
      <c r="R7528">
        <v>0.1090362</v>
      </c>
      <c r="S7528">
        <v>2.9222260000000002</v>
      </c>
      <c r="T7528">
        <v>-8.33261E-2</v>
      </c>
      <c r="U7528">
        <v>0.93280030000000003</v>
      </c>
      <c r="V7528">
        <v>-2.3291510000000001E-2</v>
      </c>
      <c r="W7528">
        <v>5.2464049999999998E-2</v>
      </c>
      <c r="X7528">
        <v>0.99835119999999999</v>
      </c>
      <c r="Y7528">
        <v>-0.2210046</v>
      </c>
      <c r="Z7528">
        <v>6.922276E-4</v>
      </c>
      <c r="AA7528">
        <v>0.97527249999999999</v>
      </c>
      <c r="AB7528">
        <v>23</v>
      </c>
      <c r="AC7528">
        <v>38.822399999999902</v>
      </c>
      <c r="AD7528">
        <v>-1.1101282786990001</v>
      </c>
      <c r="AE7528">
        <v>12.4177499999999</v>
      </c>
      <c r="AF7528">
        <v>-9.0269765120250902</v>
      </c>
      <c r="AG7528">
        <v>-1.1101282786990001</v>
      </c>
      <c r="AH7528">
        <v>39.716884596655902</v>
      </c>
      <c r="AI7528">
        <v>91.561262507435202</v>
      </c>
      <c r="AJ7528">
        <v>102.804830993237</v>
      </c>
      <c r="AK7528">
        <v>40.744933572260301</v>
      </c>
      <c r="AL7528">
        <v>86.992650806386493</v>
      </c>
      <c r="AM7528">
        <v>91.336466748595797</v>
      </c>
      <c r="AN7528">
        <v>1.00000004476096</v>
      </c>
    </row>
    <row r="7529" spans="1:40" x14ac:dyDescent="0.25">
      <c r="A7529" t="str">
        <f>"20190312160517140"</f>
        <v>20190312160517140</v>
      </c>
      <c r="B7529" t="str">
        <f>"1552377917132889"</f>
        <v>1552377917132889</v>
      </c>
      <c r="C7529" t="s">
        <v>40</v>
      </c>
      <c r="D7529">
        <v>5.6859769999999896</v>
      </c>
      <c r="E7529">
        <v>0.42253190000000002</v>
      </c>
      <c r="F7529" t="s">
        <v>81</v>
      </c>
      <c r="G7529">
        <v>-203.66569999999999</v>
      </c>
      <c r="H7529" s="1">
        <v>-5.5977590000000004E-6</v>
      </c>
      <c r="I7529">
        <v>-52.20899</v>
      </c>
      <c r="J7529">
        <v>-244.6696</v>
      </c>
      <c r="K7529">
        <v>1.1101179999999999</v>
      </c>
      <c r="L7529">
        <v>-65.350679999999997</v>
      </c>
      <c r="M7529">
        <v>0.99623249999999997</v>
      </c>
      <c r="N7529">
        <v>0</v>
      </c>
      <c r="O7529">
        <v>8.6272189999999999E-2</v>
      </c>
      <c r="P7529">
        <v>0.99304740000000002</v>
      </c>
      <c r="Q7529">
        <v>4.4008680000000001E-2</v>
      </c>
      <c r="R7529">
        <v>0.1091787</v>
      </c>
      <c r="S7529">
        <v>2.9217379999999999</v>
      </c>
      <c r="T7529">
        <v>-7.8886990000000004E-2</v>
      </c>
      <c r="U7529">
        <v>0.93457029999999996</v>
      </c>
      <c r="V7529">
        <v>-2.3143520000000001E-2</v>
      </c>
      <c r="W7529">
        <v>5.2804999999999998E-2</v>
      </c>
      <c r="X7529">
        <v>0.99833660000000002</v>
      </c>
      <c r="Y7529">
        <v>-0.22130720000000001</v>
      </c>
      <c r="Z7529">
        <v>6.5179050000000003E-4</v>
      </c>
      <c r="AA7529">
        <v>0.97520390000000001</v>
      </c>
      <c r="AB7529">
        <v>23</v>
      </c>
      <c r="AC7529">
        <v>41.003900000000002</v>
      </c>
      <c r="AD7529">
        <v>-1.110123597759</v>
      </c>
      <c r="AE7529">
        <v>13.141690000000001</v>
      </c>
      <c r="AF7529">
        <v>-9.5487076300348903</v>
      </c>
      <c r="AG7529">
        <v>-1.110123597759</v>
      </c>
      <c r="AH7529">
        <v>41.956926965266497</v>
      </c>
      <c r="AI7529">
        <v>91.477843908542496</v>
      </c>
      <c r="AJ7529">
        <v>102.821200676223</v>
      </c>
      <c r="AK7529">
        <v>43.044092651313903</v>
      </c>
      <c r="AL7529">
        <v>86.973088494896203</v>
      </c>
      <c r="AM7529">
        <v>91.327997547373798</v>
      </c>
      <c r="AN7529">
        <v>0.999999978721275</v>
      </c>
    </row>
    <row r="7530" spans="1:40" x14ac:dyDescent="0.25">
      <c r="A7530" t="str">
        <f>"20190312160517152"</f>
        <v>20190312160517152</v>
      </c>
      <c r="B7530" t="str">
        <f>"1552377917142649"</f>
        <v>1552377917142649</v>
      </c>
      <c r="C7530" t="s">
        <v>40</v>
      </c>
      <c r="D7530">
        <v>5.7129960000000004</v>
      </c>
      <c r="E7530">
        <v>0.42256280000000002</v>
      </c>
      <c r="F7530" t="s">
        <v>81</v>
      </c>
      <c r="G7530">
        <v>-201.42330000000001</v>
      </c>
      <c r="H7530" s="1">
        <v>-6.5583359999999997E-6</v>
      </c>
      <c r="I7530">
        <v>-51.49241</v>
      </c>
      <c r="J7530">
        <v>-244.55670000000001</v>
      </c>
      <c r="K7530">
        <v>1.1101129999999999</v>
      </c>
      <c r="L7530">
        <v>-65.340580000000003</v>
      </c>
      <c r="M7530">
        <v>0.99620730000000002</v>
      </c>
      <c r="N7530">
        <v>0</v>
      </c>
      <c r="O7530">
        <v>8.6565550000000005E-2</v>
      </c>
      <c r="P7530">
        <v>0.99302599999999996</v>
      </c>
      <c r="Q7530">
        <v>4.4015779999999997E-2</v>
      </c>
      <c r="R7530">
        <v>0.1093707</v>
      </c>
      <c r="S7530">
        <v>2.9213870000000002</v>
      </c>
      <c r="T7530">
        <v>-7.4991349999999998E-2</v>
      </c>
      <c r="U7530">
        <v>0.93615720000000002</v>
      </c>
      <c r="V7530">
        <v>-2.3042150000000001E-2</v>
      </c>
      <c r="W7530">
        <v>5.2782139999999998E-2</v>
      </c>
      <c r="X7530">
        <v>0.99834020000000001</v>
      </c>
      <c r="Y7530">
        <v>-0.22153880000000001</v>
      </c>
      <c r="Z7530">
        <v>6.152722E-4</v>
      </c>
      <c r="AA7530">
        <v>0.9751514</v>
      </c>
      <c r="AB7530">
        <v>23</v>
      </c>
      <c r="AC7530">
        <v>43.133400000000002</v>
      </c>
      <c r="AD7530">
        <v>-1.110119558336</v>
      </c>
      <c r="AE7530">
        <v>13.84817</v>
      </c>
      <c r="AF7530">
        <v>-10.056132450565901</v>
      </c>
      <c r="AG7530">
        <v>-1.110119558336</v>
      </c>
      <c r="AH7530">
        <v>44.143784335689602</v>
      </c>
      <c r="AI7530">
        <v>91.404590361531106</v>
      </c>
      <c r="AJ7530">
        <v>102.833209577744</v>
      </c>
      <c r="AK7530">
        <v>45.288319253125202</v>
      </c>
      <c r="AL7530">
        <v>86.974400245577797</v>
      </c>
      <c r="AM7530">
        <v>91.322178142050703</v>
      </c>
      <c r="AN7530">
        <v>1.00000002495782</v>
      </c>
    </row>
    <row r="7531" spans="1:40" x14ac:dyDescent="0.25">
      <c r="A7531" t="str">
        <f>"20190312160517163"</f>
        <v>20190312160517163</v>
      </c>
      <c r="B7531" t="str">
        <f>"1552377917152410"</f>
        <v>1552377917152410</v>
      </c>
      <c r="C7531" t="s">
        <v>40</v>
      </c>
      <c r="D7531">
        <v>5.7115739999999997</v>
      </c>
      <c r="E7531">
        <v>0.42257109999999898</v>
      </c>
      <c r="F7531" t="s">
        <v>81</v>
      </c>
      <c r="G7531">
        <v>-201.0368</v>
      </c>
      <c r="H7531" s="1">
        <v>-6.7210840000000003E-6</v>
      </c>
      <c r="I7531">
        <v>-51.387</v>
      </c>
      <c r="J7531">
        <v>-244.44210000000001</v>
      </c>
      <c r="K7531">
        <v>1.1101000000000001</v>
      </c>
      <c r="L7531">
        <v>-65.330290000000005</v>
      </c>
      <c r="M7531">
        <v>0.99618180000000001</v>
      </c>
      <c r="N7531">
        <v>0</v>
      </c>
      <c r="O7531">
        <v>8.6861279999999999E-2</v>
      </c>
      <c r="P7531">
        <v>0.9930833</v>
      </c>
      <c r="Q7531">
        <v>4.4413689999999999E-2</v>
      </c>
      <c r="R7531">
        <v>0.10868800000000001</v>
      </c>
      <c r="S7531">
        <v>2.9212189999999998</v>
      </c>
      <c r="T7531">
        <v>-7.4515339999999999E-2</v>
      </c>
      <c r="U7531">
        <v>0.93661499999999998</v>
      </c>
      <c r="V7531">
        <v>-2.2060570000000002E-2</v>
      </c>
      <c r="W7531">
        <v>5.3152129999999999E-2</v>
      </c>
      <c r="X7531">
        <v>0.99834270000000003</v>
      </c>
      <c r="Y7531">
        <v>-0.22140489999999999</v>
      </c>
      <c r="Z7531">
        <v>6.0243649999999998E-4</v>
      </c>
      <c r="AA7531">
        <v>0.97518179999999999</v>
      </c>
      <c r="AB7531">
        <v>23</v>
      </c>
      <c r="AC7531">
        <v>43.405299999999997</v>
      </c>
      <c r="AD7531">
        <v>-1.1101067210840001</v>
      </c>
      <c r="AE7531">
        <v>13.943289999999999</v>
      </c>
      <c r="AF7531">
        <v>-10.1142042715947</v>
      </c>
      <c r="AG7531">
        <v>-1.1101067210840001</v>
      </c>
      <c r="AH7531">
        <v>44.426071089915098</v>
      </c>
      <c r="AI7531">
        <v>91.395695278561405</v>
      </c>
      <c r="AJ7531">
        <v>102.825565777357</v>
      </c>
      <c r="AK7531">
        <v>45.576367313180299</v>
      </c>
      <c r="AL7531">
        <v>86.953171450387103</v>
      </c>
      <c r="AM7531">
        <v>91.265869813481899</v>
      </c>
      <c r="AN7531">
        <v>0.99999998215777497</v>
      </c>
    </row>
    <row r="7532" spans="1:40" x14ac:dyDescent="0.25">
      <c r="A7532" t="str">
        <f>"20190312160517174"</f>
        <v>20190312160517174</v>
      </c>
      <c r="B7532" t="str">
        <f>"1552377917162169"</f>
        <v>1552377917162169</v>
      </c>
      <c r="C7532" t="s">
        <v>40</v>
      </c>
      <c r="D7532">
        <v>5.7502750000000002</v>
      </c>
      <c r="E7532">
        <v>0.4224752</v>
      </c>
      <c r="F7532" t="s">
        <v>81</v>
      </c>
      <c r="G7532">
        <v>-201.1557</v>
      </c>
      <c r="H7532" s="1">
        <v>-6.661158E-6</v>
      </c>
      <c r="I7532">
        <v>-51.482509999999998</v>
      </c>
      <c r="J7532">
        <v>-244.3288</v>
      </c>
      <c r="K7532">
        <v>1.110093</v>
      </c>
      <c r="L7532">
        <v>-65.320070000000001</v>
      </c>
      <c r="M7532">
        <v>0.99615659999999895</v>
      </c>
      <c r="N7532">
        <v>0</v>
      </c>
      <c r="O7532">
        <v>8.715212E-2</v>
      </c>
      <c r="P7532">
        <v>0.99302820000000003</v>
      </c>
      <c r="Q7532">
        <v>4.4830910000000002E-2</v>
      </c>
      <c r="R7532">
        <v>0.1090208</v>
      </c>
      <c r="S7532">
        <v>2.9219210000000002</v>
      </c>
      <c r="T7532">
        <v>-7.4934479999999998E-2</v>
      </c>
      <c r="U7532">
        <v>0.93475339999999996</v>
      </c>
      <c r="V7532">
        <v>-2.210581E-2</v>
      </c>
      <c r="W7532">
        <v>5.3541619999999998E-2</v>
      </c>
      <c r="X7532">
        <v>0.99832089999999996</v>
      </c>
      <c r="Y7532">
        <v>-0.2204884</v>
      </c>
      <c r="Z7532">
        <v>5.8705689999999995E-4</v>
      </c>
      <c r="AA7532">
        <v>0.97538939999999996</v>
      </c>
      <c r="AB7532">
        <v>23</v>
      </c>
      <c r="AC7532">
        <v>43.173099999999998</v>
      </c>
      <c r="AD7532">
        <v>-1.1100996611579901</v>
      </c>
      <c r="AE7532">
        <v>13.83756</v>
      </c>
      <c r="AF7532">
        <v>-10.0161278502393</v>
      </c>
      <c r="AG7532">
        <v>-1.1100996611579901</v>
      </c>
      <c r="AH7532">
        <v>44.1883399269176</v>
      </c>
      <c r="AI7532">
        <v>91.403493556093693</v>
      </c>
      <c r="AJ7532">
        <v>102.77137098892599</v>
      </c>
      <c r="AK7532">
        <v>45.322891830363901</v>
      </c>
      <c r="AL7532">
        <v>86.930823535549607</v>
      </c>
      <c r="AM7532">
        <v>91.268492597747198</v>
      </c>
      <c r="AN7532">
        <v>0.99999999564239495</v>
      </c>
    </row>
    <row r="7533" spans="1:40" x14ac:dyDescent="0.25">
      <c r="A7533" t="str">
        <f>"20190312160517186"</f>
        <v>20190312160517186</v>
      </c>
      <c r="B7533" t="str">
        <f>"1552377917182665"</f>
        <v>1552377917182665</v>
      </c>
      <c r="C7533" t="s">
        <v>40</v>
      </c>
      <c r="D7533">
        <v>5.6809219999999998</v>
      </c>
      <c r="E7533">
        <v>0.42219580000000001</v>
      </c>
      <c r="F7533" t="s">
        <v>81</v>
      </c>
      <c r="G7533">
        <v>-199.14580000000001</v>
      </c>
      <c r="H7533" s="1">
        <v>-1.055144E-5</v>
      </c>
      <c r="I7533">
        <v>-50.835900000000002</v>
      </c>
      <c r="J7533">
        <v>-244.2045</v>
      </c>
      <c r="K7533">
        <v>1.110088</v>
      </c>
      <c r="L7533">
        <v>-65.308869999999999</v>
      </c>
      <c r="M7533">
        <v>0.99612909999999999</v>
      </c>
      <c r="N7533">
        <v>0</v>
      </c>
      <c r="O7533">
        <v>8.7469839999999993E-2</v>
      </c>
      <c r="P7533">
        <v>0.99298580000000003</v>
      </c>
      <c r="Q7533">
        <v>4.5064519999999997E-2</v>
      </c>
      <c r="R7533">
        <v>0.1093099</v>
      </c>
      <c r="S7533">
        <v>2.9214630000000001</v>
      </c>
      <c r="T7533">
        <v>-7.1777579999999994E-2</v>
      </c>
      <c r="U7533">
        <v>0.93652340000000001</v>
      </c>
      <c r="V7533">
        <v>-2.207843E-2</v>
      </c>
      <c r="W7533">
        <v>5.3747330000000003E-2</v>
      </c>
      <c r="X7533">
        <v>0.99831040000000004</v>
      </c>
      <c r="Y7533">
        <v>-0.22076090000000001</v>
      </c>
      <c r="Z7533">
        <v>5.5810389999999999E-4</v>
      </c>
      <c r="AA7533">
        <v>0.97532779999999997</v>
      </c>
      <c r="AB7533">
        <v>23</v>
      </c>
      <c r="AC7533">
        <v>45.058699999999902</v>
      </c>
      <c r="AD7533">
        <v>-1.1100985514399999</v>
      </c>
      <c r="AE7533">
        <v>14.472969999999901</v>
      </c>
      <c r="AF7533">
        <v>-10.470305784936899</v>
      </c>
      <c r="AG7533">
        <v>-1.1100985514399999</v>
      </c>
      <c r="AH7533">
        <v>46.126601848369198</v>
      </c>
      <c r="AI7533">
        <v>91.3444456208004</v>
      </c>
      <c r="AJ7533">
        <v>102.78889526288199</v>
      </c>
      <c r="AK7533">
        <v>47.313032243790701</v>
      </c>
      <c r="AL7533">
        <v>86.919020064729196</v>
      </c>
      <c r="AM7533">
        <v>91.266935290767506</v>
      </c>
      <c r="AN7533">
        <v>0.99999994365077505</v>
      </c>
    </row>
    <row r="7534" spans="1:40" x14ac:dyDescent="0.25">
      <c r="A7534" t="str">
        <f>"20190312160517198"</f>
        <v>20190312160517198</v>
      </c>
      <c r="B7534" t="str">
        <f>"1552377917192425"</f>
        <v>1552377917192425</v>
      </c>
      <c r="C7534" t="s">
        <v>40</v>
      </c>
      <c r="D7534">
        <v>5.6353260000000001</v>
      </c>
      <c r="E7534">
        <v>0.422122</v>
      </c>
      <c r="F7534" t="s">
        <v>81</v>
      </c>
      <c r="G7534">
        <v>-196.67179999999999</v>
      </c>
      <c r="H7534" s="1">
        <v>-2.5833759999999999E-6</v>
      </c>
      <c r="I7534">
        <v>-50.016579999999998</v>
      </c>
      <c r="J7534">
        <v>-244.0925</v>
      </c>
      <c r="K7534">
        <v>1.110082</v>
      </c>
      <c r="L7534">
        <v>-65.298739999999995</v>
      </c>
      <c r="M7534">
        <v>0.9961044</v>
      </c>
      <c r="N7534">
        <v>0</v>
      </c>
      <c r="O7534">
        <v>8.7754299999999993E-2</v>
      </c>
      <c r="P7534">
        <v>0.99298149999999996</v>
      </c>
      <c r="Q7534">
        <v>4.5210300000000002E-2</v>
      </c>
      <c r="R7534">
        <v>0.1092891</v>
      </c>
      <c r="S7534">
        <v>2.9208370000000001</v>
      </c>
      <c r="T7534">
        <v>-6.8214060000000007E-2</v>
      </c>
      <c r="U7534">
        <v>0.93969729999999996</v>
      </c>
      <c r="V7534">
        <v>-2.1772679999999999E-2</v>
      </c>
      <c r="W7534">
        <v>5.38673E-2</v>
      </c>
      <c r="X7534">
        <v>0.9983107</v>
      </c>
      <c r="Y7534">
        <v>-0.22150719999999999</v>
      </c>
      <c r="Z7534">
        <v>5.3253129999999895E-4</v>
      </c>
      <c r="AA7534">
        <v>0.97515859999999999</v>
      </c>
      <c r="AB7534">
        <v>23</v>
      </c>
      <c r="AC7534">
        <v>47.420699999999997</v>
      </c>
      <c r="AD7534">
        <v>-1.110084583376</v>
      </c>
      <c r="AE7534">
        <v>15.282159999999999</v>
      </c>
      <c r="AF7534">
        <v>-11.056183757635701</v>
      </c>
      <c r="AG7534">
        <v>-1.110084583376</v>
      </c>
      <c r="AH7534">
        <v>48.554765594655798</v>
      </c>
      <c r="AI7534">
        <v>91.277021069758902</v>
      </c>
      <c r="AJ7534">
        <v>102.827838192892</v>
      </c>
      <c r="AK7534">
        <v>49.810006514924602</v>
      </c>
      <c r="AL7534">
        <v>86.9121364751295</v>
      </c>
      <c r="AM7534">
        <v>91.249395542431799</v>
      </c>
      <c r="AN7534">
        <v>0.99999999466908096</v>
      </c>
    </row>
    <row r="7535" spans="1:40" x14ac:dyDescent="0.25">
      <c r="A7535" t="str">
        <f>"20190312160517209"</f>
        <v>20190312160517209</v>
      </c>
      <c r="B7535" t="str">
        <f>"1552377917202185"</f>
        <v>1552377917202185</v>
      </c>
      <c r="C7535" t="s">
        <v>40</v>
      </c>
      <c r="D7535">
        <v>5.623488</v>
      </c>
      <c r="E7535">
        <v>0.42210019999999998</v>
      </c>
      <c r="F7535" t="s">
        <v>81</v>
      </c>
      <c r="G7535">
        <v>-195.91300000000001</v>
      </c>
      <c r="H7535" s="1">
        <v>-2.5509579999999999E-6</v>
      </c>
      <c r="I7535">
        <v>-49.786290000000001</v>
      </c>
      <c r="J7535">
        <v>-243.97300000000001</v>
      </c>
      <c r="K7535">
        <v>1.110074</v>
      </c>
      <c r="L7535">
        <v>-65.287840000000003</v>
      </c>
      <c r="M7535">
        <v>0.99607769999999995</v>
      </c>
      <c r="N7535">
        <v>0</v>
      </c>
      <c r="O7535">
        <v>8.8058020000000001E-2</v>
      </c>
      <c r="P7535">
        <v>0.99293450000000005</v>
      </c>
      <c r="Q7535">
        <v>4.5499749999999999E-2</v>
      </c>
      <c r="R7535">
        <v>0.1095947</v>
      </c>
      <c r="S7535">
        <v>2.9207459999999998</v>
      </c>
      <c r="T7535">
        <v>-6.7295789999999994E-2</v>
      </c>
      <c r="U7535">
        <v>0.94039919999999999</v>
      </c>
      <c r="V7535">
        <v>-2.177666E-2</v>
      </c>
      <c r="W7535">
        <v>5.4129660000000003E-2</v>
      </c>
      <c r="X7535">
        <v>0.99829639999999997</v>
      </c>
      <c r="Y7535">
        <v>-0.22143209999999999</v>
      </c>
      <c r="Z7535">
        <v>5.1776470000000001E-4</v>
      </c>
      <c r="AA7535">
        <v>0.97517569999999998</v>
      </c>
      <c r="AB7535">
        <v>23</v>
      </c>
      <c r="AC7535">
        <v>48.06</v>
      </c>
      <c r="AD7535">
        <v>-1.110076550958</v>
      </c>
      <c r="AE7535">
        <v>15.50155</v>
      </c>
      <c r="AF7535">
        <v>-11.203686208812099</v>
      </c>
      <c r="AG7535">
        <v>-1.110076550958</v>
      </c>
      <c r="AH7535">
        <v>49.214594513247903</v>
      </c>
      <c r="AI7535">
        <v>91.259911462730599</v>
      </c>
      <c r="AJ7535">
        <v>102.824800861074</v>
      </c>
      <c r="AK7535">
        <v>50.485950201198797</v>
      </c>
      <c r="AL7535">
        <v>86.8970823222066</v>
      </c>
      <c r="AM7535">
        <v>91.249641751330302</v>
      </c>
      <c r="AN7535">
        <v>0.99999997263271501</v>
      </c>
    </row>
    <row r="7536" spans="1:40" x14ac:dyDescent="0.25">
      <c r="A7536" t="str">
        <f>"20190312160517220"</f>
        <v>20190312160517220</v>
      </c>
      <c r="B7536" t="str">
        <f>"1552377917212921"</f>
        <v>1552377917212921</v>
      </c>
      <c r="C7536" t="s">
        <v>40</v>
      </c>
      <c r="D7536">
        <v>5.6150880000000001</v>
      </c>
      <c r="E7536">
        <v>0.42205969999999998</v>
      </c>
      <c r="F7536" t="s">
        <v>81</v>
      </c>
      <c r="G7536">
        <v>-195.3116</v>
      </c>
      <c r="H7536" s="1">
        <v>-2.5275170000000002E-6</v>
      </c>
      <c r="I7536">
        <v>-49.59995</v>
      </c>
      <c r="J7536">
        <v>-243.85169999999999</v>
      </c>
      <c r="K7536">
        <v>1.11007099999999</v>
      </c>
      <c r="L7536">
        <v>-65.276790000000005</v>
      </c>
      <c r="M7536">
        <v>0.99605080000000001</v>
      </c>
      <c r="N7536">
        <v>0</v>
      </c>
      <c r="O7536">
        <v>8.8364670000000006E-2</v>
      </c>
      <c r="P7536">
        <v>0.99293589999999998</v>
      </c>
      <c r="Q7536">
        <v>4.5652860000000003E-2</v>
      </c>
      <c r="R7536">
        <v>0.1095188</v>
      </c>
      <c r="S7536">
        <v>2.920471</v>
      </c>
      <c r="T7536">
        <v>-6.6622609999999999E-2</v>
      </c>
      <c r="U7536">
        <v>0.94152829999999998</v>
      </c>
      <c r="V7536">
        <v>-2.1393789999999999E-2</v>
      </c>
      <c r="W7536">
        <v>5.425489E-2</v>
      </c>
      <c r="X7536">
        <v>0.99829789999999996</v>
      </c>
      <c r="Y7536">
        <v>-0.2215009</v>
      </c>
      <c r="Z7536">
        <v>5.0662190000000005E-4</v>
      </c>
      <c r="AA7536">
        <v>0.97516009999999997</v>
      </c>
      <c r="AB7536">
        <v>23</v>
      </c>
      <c r="AC7536">
        <v>48.540100000000002</v>
      </c>
      <c r="AD7536">
        <v>-1.11007352751699</v>
      </c>
      <c r="AE7536">
        <v>15.67684</v>
      </c>
      <c r="AF7536">
        <v>-11.320759431368099</v>
      </c>
      <c r="AG7536">
        <v>-1.11007352751699</v>
      </c>
      <c r="AH7536">
        <v>49.711993014926499</v>
      </c>
      <c r="AI7536">
        <v>91.247285041686993</v>
      </c>
      <c r="AJ7536">
        <v>102.829009212938</v>
      </c>
      <c r="AK7536">
        <v>50.996804869084698</v>
      </c>
      <c r="AL7536">
        <v>86.889896673318802</v>
      </c>
      <c r="AM7536">
        <v>91.227675905504995</v>
      </c>
      <c r="AN7536">
        <v>0.99999999224194303</v>
      </c>
    </row>
    <row r="7537" spans="1:40" x14ac:dyDescent="0.25">
      <c r="A7537" t="str">
        <f>"20190312160517232"</f>
        <v>20190312160517232</v>
      </c>
      <c r="B7537" t="str">
        <f>"1552377917222681"</f>
        <v>1552377917222681</v>
      </c>
      <c r="C7537" t="s">
        <v>40</v>
      </c>
      <c r="D7537">
        <v>5.5897040000000002</v>
      </c>
      <c r="E7537">
        <v>0.42202630000000002</v>
      </c>
      <c r="F7537" t="s">
        <v>81</v>
      </c>
      <c r="G7537">
        <v>-194.67609999999999</v>
      </c>
      <c r="H7537" s="1">
        <v>-2.493265E-6</v>
      </c>
      <c r="I7537">
        <v>-49.419060000000002</v>
      </c>
      <c r="J7537">
        <v>-243.7371</v>
      </c>
      <c r="K7537">
        <v>1.110066</v>
      </c>
      <c r="L7537">
        <v>-65.266300000000001</v>
      </c>
      <c r="M7537">
        <v>0.9960253</v>
      </c>
      <c r="N7537">
        <v>0</v>
      </c>
      <c r="O7537">
        <v>8.8654620000000003E-2</v>
      </c>
      <c r="P7537">
        <v>0.99288399999999999</v>
      </c>
      <c r="Q7537">
        <v>4.5650950000000003E-2</v>
      </c>
      <c r="R7537">
        <v>0.10998819999999999</v>
      </c>
      <c r="S7537">
        <v>2.9204859999999999</v>
      </c>
      <c r="T7537">
        <v>-6.5925960000000006E-2</v>
      </c>
      <c r="U7537">
        <v>0.94177250000000001</v>
      </c>
      <c r="V7537">
        <v>-2.157471E-2</v>
      </c>
      <c r="W7537">
        <v>5.4227270000000001E-2</v>
      </c>
      <c r="X7537">
        <v>0.9982955</v>
      </c>
      <c r="Y7537">
        <v>-0.22129009999999999</v>
      </c>
      <c r="Z7537">
        <v>4.9267949999999897E-4</v>
      </c>
      <c r="AA7537">
        <v>0.97520790000000002</v>
      </c>
      <c r="AB7537">
        <v>23</v>
      </c>
      <c r="AC7537">
        <v>49.061</v>
      </c>
      <c r="AD7537">
        <v>-1.110068493265</v>
      </c>
      <c r="AE7537">
        <v>15.847239999999999</v>
      </c>
      <c r="AF7537">
        <v>-11.4298918659871</v>
      </c>
      <c r="AG7537">
        <v>-1.110068493265</v>
      </c>
      <c r="AH7537">
        <v>50.249492705068398</v>
      </c>
      <c r="AI7537">
        <v>91.234012357659296</v>
      </c>
      <c r="AJ7537">
        <v>102.81462280235201</v>
      </c>
      <c r="AK7537">
        <v>51.544991970555401</v>
      </c>
      <c r="AL7537">
        <v>86.891481493702102</v>
      </c>
      <c r="AM7537">
        <v>91.238057700422203</v>
      </c>
      <c r="AN7537">
        <v>0.99999998512174304</v>
      </c>
    </row>
    <row r="7538" spans="1:40" x14ac:dyDescent="0.25">
      <c r="A7538" t="str">
        <f>"20190312160517243"</f>
        <v>20190312160517243</v>
      </c>
      <c r="B7538" t="str">
        <f>"1552377917232441"</f>
        <v>1552377917232441</v>
      </c>
      <c r="C7538" t="s">
        <v>40</v>
      </c>
      <c r="D7538">
        <v>5.5942559999999997</v>
      </c>
      <c r="E7538">
        <v>0.42201319999999998</v>
      </c>
      <c r="F7538" t="s">
        <v>81</v>
      </c>
      <c r="G7538">
        <v>-194.6985</v>
      </c>
      <c r="H7538" s="1">
        <v>-2.4958930000000001E-6</v>
      </c>
      <c r="I7538">
        <v>-49.423050000000003</v>
      </c>
      <c r="J7538">
        <v>-243.62819999999999</v>
      </c>
      <c r="K7538">
        <v>1.110058</v>
      </c>
      <c r="L7538">
        <v>-65.256320000000002</v>
      </c>
      <c r="M7538">
        <v>0.99600109999999997</v>
      </c>
      <c r="N7538">
        <v>0</v>
      </c>
      <c r="O7538">
        <v>8.8929419999999995E-2</v>
      </c>
      <c r="P7538">
        <v>0.99284410000000001</v>
      </c>
      <c r="Q7538">
        <v>4.5683769999999999E-2</v>
      </c>
      <c r="R7538">
        <v>0.1103341</v>
      </c>
      <c r="S7538">
        <v>2.920013</v>
      </c>
      <c r="T7538">
        <v>-6.6099290000000005E-2</v>
      </c>
      <c r="U7538">
        <v>0.9433899</v>
      </c>
      <c r="V7538">
        <v>-2.1647050000000001E-2</v>
      </c>
      <c r="W7538">
        <v>5.423679E-2</v>
      </c>
      <c r="X7538">
        <v>0.99829349999999994</v>
      </c>
      <c r="Y7538">
        <v>-0.22155630000000001</v>
      </c>
      <c r="Z7538">
        <v>4.9095379999999997E-4</v>
      </c>
      <c r="AA7538">
        <v>0.97514749999999994</v>
      </c>
      <c r="AB7538">
        <v>23</v>
      </c>
      <c r="AC7538">
        <v>48.929699999999997</v>
      </c>
      <c r="AD7538">
        <v>-1.110060495893</v>
      </c>
      <c r="AE7538">
        <v>15.833270000000001</v>
      </c>
      <c r="AF7538">
        <v>-11.413765642537699</v>
      </c>
      <c r="AG7538">
        <v>-1.110060495893</v>
      </c>
      <c r="AH7538">
        <v>50.1205665119735</v>
      </c>
      <c r="AI7538">
        <v>91.237106258777999</v>
      </c>
      <c r="AJ7538">
        <v>102.828969027494</v>
      </c>
      <c r="AK7538">
        <v>51.415731716357698</v>
      </c>
      <c r="AL7538">
        <v>86.890935492378006</v>
      </c>
      <c r="AM7538">
        <v>91.242210097070597</v>
      </c>
      <c r="AN7538">
        <v>1.0000000681527199</v>
      </c>
    </row>
    <row r="7539" spans="1:40" x14ac:dyDescent="0.25">
      <c r="A7539" t="str">
        <f>"20190312160517254"</f>
        <v>20190312160517254</v>
      </c>
      <c r="B7539" t="str">
        <f>"1552377917242202"</f>
        <v>1552377917242202</v>
      </c>
      <c r="C7539" t="s">
        <v>40</v>
      </c>
      <c r="D7539">
        <v>5.5689209999999996</v>
      </c>
      <c r="E7539">
        <v>0.42197240000000003</v>
      </c>
      <c r="F7539" t="s">
        <v>81</v>
      </c>
      <c r="G7539">
        <v>-194.5719</v>
      </c>
      <c r="H7539" s="1">
        <v>-2.4896439999999998E-6</v>
      </c>
      <c r="I7539">
        <v>-49.386040000000001</v>
      </c>
      <c r="J7539">
        <v>-243.5094</v>
      </c>
      <c r="K7539">
        <v>1.1100559999999999</v>
      </c>
      <c r="L7539">
        <v>-65.245359999999906</v>
      </c>
      <c r="M7539">
        <v>0.99597429999999998</v>
      </c>
      <c r="N7539">
        <v>0</v>
      </c>
      <c r="O7539">
        <v>8.9229260000000005E-2</v>
      </c>
      <c r="P7539">
        <v>0.99283109999999997</v>
      </c>
      <c r="Q7539">
        <v>4.5711229999999999E-2</v>
      </c>
      <c r="R7539">
        <v>0.11044080000000001</v>
      </c>
      <c r="S7539">
        <v>2.9196780000000002</v>
      </c>
      <c r="T7539">
        <v>-6.6067340000000002E-2</v>
      </c>
      <c r="U7539">
        <v>0.94454959999999999</v>
      </c>
      <c r="V7539">
        <v>-2.1454250000000001E-2</v>
      </c>
      <c r="W7539">
        <v>5.4240610000000002E-2</v>
      </c>
      <c r="X7539">
        <v>0.9982974</v>
      </c>
      <c r="Y7539">
        <v>-0.22164629999999999</v>
      </c>
      <c r="Z7539">
        <v>4.8519299999999997E-4</v>
      </c>
      <c r="AA7539">
        <v>0.97512699999999997</v>
      </c>
      <c r="AB7539">
        <v>23</v>
      </c>
      <c r="AC7539">
        <v>48.9375</v>
      </c>
      <c r="AD7539">
        <v>-1.110058489644</v>
      </c>
      <c r="AE7539">
        <v>15.859319999999901</v>
      </c>
      <c r="AF7539">
        <v>-11.423918034118101</v>
      </c>
      <c r="AG7539">
        <v>-1.110058489644</v>
      </c>
      <c r="AH7539">
        <v>50.134103107227702</v>
      </c>
      <c r="AI7539">
        <v>91.236732342937202</v>
      </c>
      <c r="AJ7539">
        <v>102.836650117003</v>
      </c>
      <c r="AK7539">
        <v>51.431181470648902</v>
      </c>
      <c r="AL7539">
        <v>86.890716130486197</v>
      </c>
      <c r="AM7539">
        <v>91.231144933673306</v>
      </c>
      <c r="AN7539">
        <v>1.0000000137314899</v>
      </c>
    </row>
    <row r="7540" spans="1:40" x14ac:dyDescent="0.25">
      <c r="A7540" t="str">
        <f>"20190312160517264"</f>
        <v>20190312160517264</v>
      </c>
      <c r="B7540" t="str">
        <f>"1552377917252937"</f>
        <v>1552377917252937</v>
      </c>
      <c r="C7540" t="s">
        <v>40</v>
      </c>
      <c r="D7540">
        <v>5.5849489999999999</v>
      </c>
      <c r="E7540">
        <v>0.42191220000000001</v>
      </c>
      <c r="F7540" t="s">
        <v>81</v>
      </c>
      <c r="G7540">
        <v>-194.97020000000001</v>
      </c>
      <c r="H7540" s="1">
        <v>-2.4912770000000002E-6</v>
      </c>
      <c r="I7540">
        <v>-49.53293</v>
      </c>
      <c r="J7540">
        <v>-243.3997</v>
      </c>
      <c r="K7540">
        <v>1.1100509999999999</v>
      </c>
      <c r="L7540">
        <v>-65.235259999999997</v>
      </c>
      <c r="M7540">
        <v>0.9959498</v>
      </c>
      <c r="N7540">
        <v>0</v>
      </c>
      <c r="O7540">
        <v>8.9505550000000003E-2</v>
      </c>
      <c r="P7540">
        <v>0.99275190000000002</v>
      </c>
      <c r="Q7540">
        <v>4.5677299999999997E-2</v>
      </c>
      <c r="R7540">
        <v>0.111164899999999</v>
      </c>
      <c r="S7540">
        <v>2.9196170000000001</v>
      </c>
      <c r="T7540">
        <v>-6.6769720000000005E-2</v>
      </c>
      <c r="U7540">
        <v>0.94509889999999996</v>
      </c>
      <c r="V7540">
        <v>-2.1905109999999998E-2</v>
      </c>
      <c r="W7540">
        <v>5.4185839999999999E-2</v>
      </c>
      <c r="X7540">
        <v>0.99829060000000003</v>
      </c>
      <c r="Y7540">
        <v>-0.2215473</v>
      </c>
      <c r="Z7540">
        <v>4.8314719999999997E-4</v>
      </c>
      <c r="AA7540">
        <v>0.9751495</v>
      </c>
      <c r="AB7540">
        <v>23</v>
      </c>
      <c r="AC7540">
        <v>48.429499999999898</v>
      </c>
      <c r="AD7540">
        <v>-1.1100534912769999</v>
      </c>
      <c r="AE7540">
        <v>15.7023299999999</v>
      </c>
      <c r="AF7540">
        <v>-11.299063071044401</v>
      </c>
      <c r="AG7540">
        <v>-1.1100534912769999</v>
      </c>
      <c r="AH7540">
        <v>49.617014522778803</v>
      </c>
      <c r="AI7540">
        <v>91.249649696138405</v>
      </c>
      <c r="AJ7540">
        <v>102.828935438748</v>
      </c>
      <c r="AK7540">
        <v>50.899402503276796</v>
      </c>
      <c r="AL7540">
        <v>86.893858894384195</v>
      </c>
      <c r="AM7540">
        <v>91.257017727239599</v>
      </c>
      <c r="AN7540">
        <v>1.0000000305744801</v>
      </c>
    </row>
    <row r="7541" spans="1:40" x14ac:dyDescent="0.25">
      <c r="A7541" t="str">
        <f>"20190312160517276"</f>
        <v>20190312160517276</v>
      </c>
      <c r="B7541" t="str">
        <f>"1552377917262697"</f>
        <v>1552377917262697</v>
      </c>
      <c r="C7541" t="s">
        <v>40</v>
      </c>
      <c r="D7541">
        <v>5.5369140000000003</v>
      </c>
      <c r="E7541">
        <v>0.4218558</v>
      </c>
      <c r="F7541" t="s">
        <v>81</v>
      </c>
      <c r="G7541">
        <v>-194.74539999999999</v>
      </c>
      <c r="H7541" s="1">
        <v>-2.497662E-6</v>
      </c>
      <c r="I7541">
        <v>-49.437660000000001</v>
      </c>
      <c r="J7541">
        <v>-243.28550000000001</v>
      </c>
      <c r="K7541">
        <v>1.11005</v>
      </c>
      <c r="L7541">
        <v>-65.224669999999904</v>
      </c>
      <c r="M7541">
        <v>0.99592389999999997</v>
      </c>
      <c r="N7541">
        <v>0</v>
      </c>
      <c r="O7541">
        <v>8.979405E-2</v>
      </c>
      <c r="P7541">
        <v>0.99268789999999996</v>
      </c>
      <c r="Q7541">
        <v>4.5631400000000003E-2</v>
      </c>
      <c r="R7541">
        <v>0.1117515</v>
      </c>
      <c r="S7541">
        <v>2.9188540000000001</v>
      </c>
      <c r="T7541">
        <v>-6.6593890000000003E-2</v>
      </c>
      <c r="U7541">
        <v>0.94772339999999999</v>
      </c>
      <c r="V7541">
        <v>-2.2205570000000001E-2</v>
      </c>
      <c r="W7541">
        <v>5.4120149999999999E-2</v>
      </c>
      <c r="X7541">
        <v>0.99828749999999999</v>
      </c>
      <c r="Y7541">
        <v>-0.222133</v>
      </c>
      <c r="Z7541">
        <v>4.821111E-4</v>
      </c>
      <c r="AA7541">
        <v>0.9750162</v>
      </c>
      <c r="AB7541">
        <v>23</v>
      </c>
      <c r="AC7541">
        <v>48.540100000000002</v>
      </c>
      <c r="AD7541">
        <v>-1.1100524976620001</v>
      </c>
      <c r="AE7541">
        <v>15.787009999999899</v>
      </c>
      <c r="AF7541">
        <v>-11.359088710441</v>
      </c>
      <c r="AG7541">
        <v>-1.1100524976620001</v>
      </c>
      <c r="AH7541">
        <v>49.738108232630601</v>
      </c>
      <c r="AI7541">
        <v>91.2464308755508</v>
      </c>
      <c r="AJ7541">
        <v>102.86446767574</v>
      </c>
      <c r="AK7541">
        <v>51.030780157078901</v>
      </c>
      <c r="AL7541">
        <v>86.897628106455102</v>
      </c>
      <c r="AM7541">
        <v>91.274257837486104</v>
      </c>
      <c r="AN7541">
        <v>1.0000000053156399</v>
      </c>
    </row>
    <row r="7542" spans="1:40" x14ac:dyDescent="0.25">
      <c r="A7542" t="str">
        <f>"20190312160517288"</f>
        <v>20190312160517288</v>
      </c>
      <c r="B7542" t="str">
        <f>"1552377917282217"</f>
        <v>1552377917282217</v>
      </c>
      <c r="C7542" t="s">
        <v>40</v>
      </c>
      <c r="D7542">
        <v>5.5237550000000004</v>
      </c>
      <c r="E7542">
        <v>0.4217919</v>
      </c>
      <c r="F7542" t="s">
        <v>81</v>
      </c>
      <c r="G7542">
        <v>-194.8141</v>
      </c>
      <c r="H7542" s="1">
        <v>-2.5070439999999998E-6</v>
      </c>
      <c r="I7542">
        <v>-49.447650000000003</v>
      </c>
      <c r="J7542">
        <v>-243.1634</v>
      </c>
      <c r="K7542">
        <v>1.1100479999999999</v>
      </c>
      <c r="L7542">
        <v>-65.213319999999996</v>
      </c>
      <c r="M7542">
        <v>0.99589629999999996</v>
      </c>
      <c r="N7542">
        <v>0</v>
      </c>
      <c r="O7542">
        <v>9.0102290000000002E-2</v>
      </c>
      <c r="P7542">
        <v>0.99267229999999995</v>
      </c>
      <c r="Q7542">
        <v>4.5689800000000003E-2</v>
      </c>
      <c r="R7542">
        <v>0.1118672</v>
      </c>
      <c r="S7542">
        <v>2.918228</v>
      </c>
      <c r="T7542">
        <v>-6.6830990000000007E-2</v>
      </c>
      <c r="U7542">
        <v>0.94985960000000003</v>
      </c>
      <c r="V7542">
        <v>-2.20132E-2</v>
      </c>
      <c r="W7542">
        <v>5.4158230000000002E-2</v>
      </c>
      <c r="X7542">
        <v>0.99828969999999995</v>
      </c>
      <c r="Y7542">
        <v>-0.22253790000000001</v>
      </c>
      <c r="Z7542">
        <v>4.8159709999999998E-4</v>
      </c>
      <c r="AA7542">
        <v>0.97492389999999995</v>
      </c>
      <c r="AB7542">
        <v>23</v>
      </c>
      <c r="AC7542">
        <v>48.349299999999999</v>
      </c>
      <c r="AD7542">
        <v>-1.1100505070440001</v>
      </c>
      <c r="AE7542">
        <v>15.765669999999901</v>
      </c>
      <c r="AF7542">
        <v>-11.3395961720784</v>
      </c>
      <c r="AG7542">
        <v>-1.1100505070440001</v>
      </c>
      <c r="AH7542">
        <v>49.549591881243401</v>
      </c>
      <c r="AI7542">
        <v>91.251040093107505</v>
      </c>
      <c r="AJ7542">
        <v>102.89035820036101</v>
      </c>
      <c r="AK7542">
        <v>50.842705564041196</v>
      </c>
      <c r="AL7542">
        <v>86.895443093139306</v>
      </c>
      <c r="AM7542">
        <v>91.263219570874099</v>
      </c>
      <c r="AN7542">
        <v>1.00000000998853</v>
      </c>
    </row>
    <row r="7543" spans="1:40" x14ac:dyDescent="0.25">
      <c r="A7543" t="str">
        <f>"20190312160517298"</f>
        <v>20190312160517298</v>
      </c>
      <c r="B7543" t="str">
        <f>"1552377917292953"</f>
        <v>1552377917292953</v>
      </c>
      <c r="C7543" t="s">
        <v>40</v>
      </c>
      <c r="D7543">
        <v>5.4883709999999999</v>
      </c>
      <c r="E7543">
        <v>0.42175689999999999</v>
      </c>
      <c r="F7543" t="s">
        <v>81</v>
      </c>
      <c r="G7543">
        <v>-195.2629</v>
      </c>
      <c r="H7543" s="1">
        <v>-2.512857E-6</v>
      </c>
      <c r="I7543">
        <v>-49.606409999999997</v>
      </c>
      <c r="J7543">
        <v>-243.048</v>
      </c>
      <c r="K7543">
        <v>1.1100460000000001</v>
      </c>
      <c r="L7543">
        <v>-65.202550000000002</v>
      </c>
      <c r="M7543">
        <v>0.99586989999999997</v>
      </c>
      <c r="N7543">
        <v>0</v>
      </c>
      <c r="O7543">
        <v>9.0394009999999997E-2</v>
      </c>
      <c r="P7543">
        <v>0.99262490000000003</v>
      </c>
      <c r="Q7543">
        <v>4.565727E-2</v>
      </c>
      <c r="R7543">
        <v>0.1123007</v>
      </c>
      <c r="S7543">
        <v>2.9181059999999999</v>
      </c>
      <c r="T7543">
        <v>-6.7624450000000003E-2</v>
      </c>
      <c r="U7543">
        <v>0.95077509999999998</v>
      </c>
      <c r="V7543">
        <v>-2.2156550000000001E-2</v>
      </c>
      <c r="W7543">
        <v>5.4108240000000002E-2</v>
      </c>
      <c r="X7543">
        <v>0.99828919999999999</v>
      </c>
      <c r="Y7543">
        <v>-0.22254019999999999</v>
      </c>
      <c r="Z7543">
        <v>4.808204E-4</v>
      </c>
      <c r="AA7543">
        <v>0.9749234</v>
      </c>
      <c r="AB7543">
        <v>23</v>
      </c>
      <c r="AC7543">
        <v>47.7851</v>
      </c>
      <c r="AD7543">
        <v>-1.1100485128569999</v>
      </c>
      <c r="AE7543">
        <v>15.59614</v>
      </c>
      <c r="AF7543">
        <v>-11.207178049179401</v>
      </c>
      <c r="AG7543">
        <v>-1.1100485128569999</v>
      </c>
      <c r="AH7543">
        <v>48.975421501930199</v>
      </c>
      <c r="AI7543">
        <v>91.265705539402305</v>
      </c>
      <c r="AJ7543">
        <v>102.88922736657</v>
      </c>
      <c r="AK7543">
        <v>50.253606425993198</v>
      </c>
      <c r="AL7543">
        <v>86.898311392713396</v>
      </c>
      <c r="AM7543">
        <v>91.271443604165398</v>
      </c>
      <c r="AN7543">
        <v>0.99999997059021895</v>
      </c>
    </row>
    <row r="7544" spans="1:40" x14ac:dyDescent="0.25">
      <c r="A7544" t="str">
        <f>"20190312160517309"</f>
        <v>20190312160517309</v>
      </c>
      <c r="B7544" t="str">
        <f>"1552377917302713"</f>
        <v>1552377917302713</v>
      </c>
      <c r="C7544" t="s">
        <v>40</v>
      </c>
      <c r="D7544">
        <v>5.4912449999999904</v>
      </c>
      <c r="E7544">
        <v>0.42172460000000001</v>
      </c>
      <c r="F7544" t="s">
        <v>81</v>
      </c>
      <c r="G7544">
        <v>-195.21510000000001</v>
      </c>
      <c r="H7544" s="1">
        <v>-2.5129609999999999E-6</v>
      </c>
      <c r="I7544">
        <v>-49.588290000000001</v>
      </c>
      <c r="J7544">
        <v>-242.93729999999999</v>
      </c>
      <c r="K7544">
        <v>1.1100399999999999</v>
      </c>
      <c r="L7544">
        <v>-65.192229999999995</v>
      </c>
      <c r="M7544">
        <v>0.99584470000000003</v>
      </c>
      <c r="N7544">
        <v>0</v>
      </c>
      <c r="O7544">
        <v>9.0673859999999995E-2</v>
      </c>
      <c r="P7544">
        <v>0.99255230000000005</v>
      </c>
      <c r="Q7544">
        <v>4.5818119999999997E-2</v>
      </c>
      <c r="R7544">
        <v>0.112875</v>
      </c>
      <c r="S7544">
        <v>2.9176639999999998</v>
      </c>
      <c r="T7544">
        <v>-6.7709679999999994E-2</v>
      </c>
      <c r="U7544">
        <v>0.95242309999999997</v>
      </c>
      <c r="V7544">
        <v>-2.245484E-2</v>
      </c>
      <c r="W7544">
        <v>5.4252979999999999E-2</v>
      </c>
      <c r="X7544">
        <v>0.99827469999999996</v>
      </c>
      <c r="Y7544">
        <v>-0.22280739999999999</v>
      </c>
      <c r="Z7544">
        <v>4.7822510000000002E-4</v>
      </c>
      <c r="AA7544">
        <v>0.97486240000000002</v>
      </c>
      <c r="AB7544">
        <v>23</v>
      </c>
      <c r="AC7544">
        <v>47.722200000000001</v>
      </c>
      <c r="AD7544">
        <v>-1.1100425129610001</v>
      </c>
      <c r="AE7544">
        <v>15.60394</v>
      </c>
      <c r="AF7544">
        <v>-11.2068683488736</v>
      </c>
      <c r="AG7544">
        <v>-1.1100425129610001</v>
      </c>
      <c r="AH7544">
        <v>48.916611034505102</v>
      </c>
      <c r="AI7544">
        <v>91.267145825786798</v>
      </c>
      <c r="AJ7544">
        <v>102.90386046642899</v>
      </c>
      <c r="AK7544">
        <v>50.196224237193697</v>
      </c>
      <c r="AL7544">
        <v>86.890006266335803</v>
      </c>
      <c r="AM7544">
        <v>91.288573818183593</v>
      </c>
      <c r="AN7544">
        <v>0.99999999116919802</v>
      </c>
    </row>
    <row r="7545" spans="1:40" x14ac:dyDescent="0.25">
      <c r="A7545" t="str">
        <f>"20190312160517320"</f>
        <v>20190312160517320</v>
      </c>
      <c r="B7545" t="str">
        <f>"1552377917312473"</f>
        <v>1552377917312473</v>
      </c>
      <c r="C7545" t="s">
        <v>40</v>
      </c>
      <c r="D7545">
        <v>5.5436959999999997</v>
      </c>
      <c r="E7545">
        <v>0.42170190000000002</v>
      </c>
      <c r="F7545" t="s">
        <v>81</v>
      </c>
      <c r="G7545">
        <v>-194.8372</v>
      </c>
      <c r="H7545" s="1">
        <v>-2.508126E-6</v>
      </c>
      <c r="I7545">
        <v>-49.454470000000001</v>
      </c>
      <c r="J7545">
        <v>-242.82140000000001</v>
      </c>
      <c r="K7545">
        <v>1.110039</v>
      </c>
      <c r="L7545">
        <v>-65.181340000000006</v>
      </c>
      <c r="M7545">
        <v>0.99581819999999999</v>
      </c>
      <c r="N7545">
        <v>0</v>
      </c>
      <c r="O7545">
        <v>9.0967119999999999E-2</v>
      </c>
      <c r="P7545">
        <v>0.99252059999999998</v>
      </c>
      <c r="Q7545">
        <v>4.58241E-2</v>
      </c>
      <c r="R7545">
        <v>0.1131509</v>
      </c>
      <c r="S7545">
        <v>2.9170989999999999</v>
      </c>
      <c r="T7545">
        <v>-6.7319989999999996E-2</v>
      </c>
      <c r="U7545">
        <v>0.95443730000000004</v>
      </c>
      <c r="V7545">
        <v>-2.2438659999999999E-2</v>
      </c>
      <c r="W7545">
        <v>5.424346E-2</v>
      </c>
      <c r="X7545">
        <v>0.99827560000000004</v>
      </c>
      <c r="Y7545">
        <v>-0.22318440000000001</v>
      </c>
      <c r="Z7545">
        <v>4.7323969999999999E-4</v>
      </c>
      <c r="AA7545">
        <v>0.97477610000000003</v>
      </c>
      <c r="AB7545">
        <v>23</v>
      </c>
      <c r="AC7545">
        <v>47.984200000000001</v>
      </c>
      <c r="AD7545">
        <v>-1.110041508126</v>
      </c>
      <c r="AE7545">
        <v>15.72687</v>
      </c>
      <c r="AF7545">
        <v>-11.2910640950771</v>
      </c>
      <c r="AG7545">
        <v>-1.110041508126</v>
      </c>
      <c r="AH7545">
        <v>49.192145329796702</v>
      </c>
      <c r="AI7545">
        <v>91.259931923545096</v>
      </c>
      <c r="AJ7545">
        <v>102.92717586243501</v>
      </c>
      <c r="AK7545">
        <v>50.483536749090199</v>
      </c>
      <c r="AL7545">
        <v>86.890552585105397</v>
      </c>
      <c r="AM7545">
        <v>91.287644479069698</v>
      </c>
      <c r="AN7545">
        <v>1.0000000099853601</v>
      </c>
    </row>
    <row r="7546" spans="1:40" x14ac:dyDescent="0.25">
      <c r="A7546" t="str">
        <f>"20190312160517331"</f>
        <v>20190312160517331</v>
      </c>
      <c r="B7546" t="str">
        <f>"1552377917322234"</f>
        <v>1552377917322234</v>
      </c>
      <c r="C7546" t="s">
        <v>40</v>
      </c>
      <c r="D7546">
        <v>5.4303169999999996</v>
      </c>
      <c r="E7546">
        <v>0.42165219999999998</v>
      </c>
      <c r="F7546" t="s">
        <v>81</v>
      </c>
      <c r="G7546">
        <v>-194.92830000000001</v>
      </c>
      <c r="H7546" s="1">
        <v>-2.5042519999999998E-6</v>
      </c>
      <c r="I7546">
        <v>-49.495249999999999</v>
      </c>
      <c r="J7546">
        <v>-242.70650000000001</v>
      </c>
      <c r="K7546">
        <v>1.110036</v>
      </c>
      <c r="L7546">
        <v>-65.170529999999999</v>
      </c>
      <c r="M7546">
        <v>0.9957916</v>
      </c>
      <c r="N7546">
        <v>0</v>
      </c>
      <c r="O7546">
        <v>9.1258119999999998E-2</v>
      </c>
      <c r="P7546">
        <v>0.99250830000000001</v>
      </c>
      <c r="Q7546">
        <v>4.5922539999999998E-2</v>
      </c>
      <c r="R7546">
        <v>0.1132201</v>
      </c>
      <c r="S7546">
        <v>2.9168090000000002</v>
      </c>
      <c r="T7546">
        <v>-6.7604300000000006E-2</v>
      </c>
      <c r="U7546">
        <v>0.95532229999999996</v>
      </c>
      <c r="V7546">
        <v>-2.2217219999999999E-2</v>
      </c>
      <c r="W7546">
        <v>5.4327260000000002E-2</v>
      </c>
      <c r="X7546">
        <v>0.99827600000000005</v>
      </c>
      <c r="Y7546">
        <v>-0.22319520000000001</v>
      </c>
      <c r="Z7546">
        <v>4.6888479999999998E-4</v>
      </c>
      <c r="AA7546">
        <v>0.97477360000000002</v>
      </c>
      <c r="AB7546">
        <v>23</v>
      </c>
      <c r="AC7546">
        <v>47.778199999999998</v>
      </c>
      <c r="AD7546">
        <v>-1.110038504252</v>
      </c>
      <c r="AE7546">
        <v>15.6752799999999</v>
      </c>
      <c r="AF7546">
        <v>-11.244083545705699</v>
      </c>
      <c r="AG7546">
        <v>-1.110038504252</v>
      </c>
      <c r="AH7546">
        <v>48.985495943453003</v>
      </c>
      <c r="AI7546">
        <v>91.265239361399495</v>
      </c>
      <c r="AJ7546">
        <v>102.927677690311</v>
      </c>
      <c r="AK7546">
        <v>50.271666106165497</v>
      </c>
      <c r="AL7546">
        <v>86.885744121408194</v>
      </c>
      <c r="AM7546">
        <v>91.274940829648003</v>
      </c>
      <c r="AN7546">
        <v>1.00000001410981</v>
      </c>
    </row>
    <row r="7547" spans="1:40" x14ac:dyDescent="0.25">
      <c r="A7547" t="str">
        <f>"20190312160517342"</f>
        <v>20190312160517342</v>
      </c>
      <c r="B7547" t="str">
        <f>"1552377917332969"</f>
        <v>1552377917332969</v>
      </c>
      <c r="C7547" t="s">
        <v>40</v>
      </c>
      <c r="D7547">
        <v>5.4396240000000002</v>
      </c>
      <c r="E7547">
        <v>0.42160180000000003</v>
      </c>
      <c r="F7547" t="s">
        <v>81</v>
      </c>
      <c r="G7547">
        <v>-195.1652</v>
      </c>
      <c r="H7547" s="1">
        <v>-2.5014520000000001E-6</v>
      </c>
      <c r="I7547">
        <v>-49.588999999999999</v>
      </c>
      <c r="J7547">
        <v>-242.59370000000001</v>
      </c>
      <c r="K7547">
        <v>1.110034</v>
      </c>
      <c r="L7547">
        <v>-65.159909999999996</v>
      </c>
      <c r="M7547">
        <v>0.99576540000000002</v>
      </c>
      <c r="N7547">
        <v>0</v>
      </c>
      <c r="O7547">
        <v>9.1543559999999996E-2</v>
      </c>
      <c r="P7547">
        <v>0.99247300000000005</v>
      </c>
      <c r="Q7547">
        <v>4.5670179999999998E-2</v>
      </c>
      <c r="R7547">
        <v>0.1136296</v>
      </c>
      <c r="S7547">
        <v>2.916763</v>
      </c>
      <c r="T7547">
        <v>-6.8103430000000006E-2</v>
      </c>
      <c r="U7547">
        <v>0.95596309999999995</v>
      </c>
      <c r="V7547">
        <v>-2.2341300000000001E-2</v>
      </c>
      <c r="W7547">
        <v>5.4062039999999999E-2</v>
      </c>
      <c r="X7547">
        <v>0.99828760000000005</v>
      </c>
      <c r="Y7547">
        <v>-0.22311329999999999</v>
      </c>
      <c r="Z7547">
        <v>4.6498420000000001E-4</v>
      </c>
      <c r="AA7547">
        <v>0.9747924</v>
      </c>
      <c r="AB7547">
        <v>23</v>
      </c>
      <c r="AC7547">
        <v>47.4285</v>
      </c>
      <c r="AD7547">
        <v>-1.1100365014519999</v>
      </c>
      <c r="AE7547">
        <v>15.5709099999999</v>
      </c>
      <c r="AF7547">
        <v>-11.1580789032301</v>
      </c>
      <c r="AG7547">
        <v>-1.1100365014519999</v>
      </c>
      <c r="AH7547">
        <v>48.6307576563295</v>
      </c>
      <c r="AI7547">
        <v>91.274489499624906</v>
      </c>
      <c r="AJ7547">
        <v>102.922553438073</v>
      </c>
      <c r="AK7547">
        <v>49.906768038753199</v>
      </c>
      <c r="AL7547">
        <v>86.900962382881701</v>
      </c>
      <c r="AM7547">
        <v>91.282043929732396</v>
      </c>
      <c r="AN7547">
        <v>0.99999998508420496</v>
      </c>
    </row>
    <row r="7548" spans="1:40" x14ac:dyDescent="0.25">
      <c r="A7548" t="str">
        <f>"20190312160517354"</f>
        <v>20190312160517354</v>
      </c>
      <c r="B7548" t="str">
        <f>"1552377917342730"</f>
        <v>1552377917342730</v>
      </c>
      <c r="C7548" t="s">
        <v>40</v>
      </c>
      <c r="D7548">
        <v>5.4340129999999904</v>
      </c>
      <c r="E7548">
        <v>0.42156389999999999</v>
      </c>
      <c r="F7548" t="s">
        <v>81</v>
      </c>
      <c r="G7548">
        <v>-196.20740000000001</v>
      </c>
      <c r="H7548" s="1">
        <v>-2.5319779999999999E-6</v>
      </c>
      <c r="I7548">
        <v>-49.928939999999997</v>
      </c>
      <c r="J7548">
        <v>-242.47579999999999</v>
      </c>
      <c r="K7548">
        <v>1.110034</v>
      </c>
      <c r="L7548">
        <v>-65.148740000000004</v>
      </c>
      <c r="M7548">
        <v>0.99573809999999996</v>
      </c>
      <c r="N7548">
        <v>0</v>
      </c>
      <c r="O7548">
        <v>9.1842289999999993E-2</v>
      </c>
      <c r="P7548">
        <v>0.99250139999999998</v>
      </c>
      <c r="Q7548">
        <v>4.5931329999999999E-2</v>
      </c>
      <c r="R7548">
        <v>0.1132773</v>
      </c>
      <c r="S7548">
        <v>2.9163359999999998</v>
      </c>
      <c r="T7548">
        <v>-6.978869E-2</v>
      </c>
      <c r="U7548">
        <v>0.9575806</v>
      </c>
      <c r="V7548">
        <v>-2.168933E-2</v>
      </c>
      <c r="W7548">
        <v>5.4311070000000003E-2</v>
      </c>
      <c r="X7548">
        <v>0.99828850000000002</v>
      </c>
      <c r="Y7548">
        <v>-0.22334970000000001</v>
      </c>
      <c r="Z7548">
        <v>4.7239009999999998E-4</v>
      </c>
      <c r="AA7548">
        <v>0.97473829999999995</v>
      </c>
      <c r="AB7548">
        <v>23</v>
      </c>
      <c r="AC7548">
        <v>46.2683999999999</v>
      </c>
      <c r="AD7548">
        <v>-1.1100365319779999</v>
      </c>
      <c r="AE7548">
        <v>15.219799999999999</v>
      </c>
      <c r="AF7548">
        <v>-10.900262693414501</v>
      </c>
      <c r="AG7548">
        <v>-1.1100365319779999</v>
      </c>
      <c r="AH7548">
        <v>47.446063906211499</v>
      </c>
      <c r="AI7548">
        <v>91.306217651764996</v>
      </c>
      <c r="AJ7548">
        <v>102.938619816013</v>
      </c>
      <c r="AK7548">
        <v>48.694731625506201</v>
      </c>
      <c r="AL7548">
        <v>86.8866731433491</v>
      </c>
      <c r="AM7548">
        <v>91.244641792840895</v>
      </c>
      <c r="AN7548">
        <v>1.0000000242963201</v>
      </c>
    </row>
    <row r="7549" spans="1:40" x14ac:dyDescent="0.25">
      <c r="A7549" t="str">
        <f>"20190312160517365"</f>
        <v>20190312160517365</v>
      </c>
      <c r="B7549" t="str">
        <f>"1552377917352490"</f>
        <v>1552377917352490</v>
      </c>
      <c r="C7549" t="s">
        <v>40</v>
      </c>
      <c r="D7549">
        <v>5.5156609999999997</v>
      </c>
      <c r="E7549">
        <v>0.42156389999999999</v>
      </c>
      <c r="F7549" t="s">
        <v>81</v>
      </c>
      <c r="G7549">
        <v>-195.61590000000001</v>
      </c>
      <c r="H7549" s="1">
        <v>-2.491087E-6</v>
      </c>
      <c r="I7549">
        <v>-49.77581</v>
      </c>
      <c r="J7549">
        <v>-242.35929999999999</v>
      </c>
      <c r="K7549">
        <v>1.110033</v>
      </c>
      <c r="L7549">
        <v>-65.137659999999997</v>
      </c>
      <c r="M7549">
        <v>0.99571089999999995</v>
      </c>
      <c r="N7549">
        <v>0</v>
      </c>
      <c r="O7549">
        <v>9.2137449999999996E-2</v>
      </c>
      <c r="P7549">
        <v>0.99248219999999998</v>
      </c>
      <c r="Q7549">
        <v>4.5901009999999999E-2</v>
      </c>
      <c r="R7549">
        <v>0.1134556</v>
      </c>
      <c r="S7549">
        <v>2.9166720000000002</v>
      </c>
      <c r="T7549">
        <v>-6.9091319999999998E-2</v>
      </c>
      <c r="U7549">
        <v>0.95684809999999998</v>
      </c>
      <c r="V7549">
        <v>-2.1572279999999999E-2</v>
      </c>
      <c r="W7549">
        <v>5.4268700000000003E-2</v>
      </c>
      <c r="X7549">
        <v>0.99829330000000005</v>
      </c>
      <c r="Y7549">
        <v>-0.22280730000000001</v>
      </c>
      <c r="Z7549">
        <v>4.5463090000000001E-4</v>
      </c>
      <c r="AA7549">
        <v>0.97486240000000002</v>
      </c>
      <c r="AB7549">
        <v>23</v>
      </c>
      <c r="AC7549">
        <v>46.743399999999902</v>
      </c>
      <c r="AD7549">
        <v>-1.1100354910870001</v>
      </c>
      <c r="AE7549">
        <v>15.361849999999899</v>
      </c>
      <c r="AF7549">
        <v>-10.983940680175801</v>
      </c>
      <c r="AG7549">
        <v>-1.1100354910870001</v>
      </c>
      <c r="AH7549">
        <v>47.935607315226903</v>
      </c>
      <c r="AI7549">
        <v>91.293050418044402</v>
      </c>
      <c r="AJ7549">
        <v>102.905929325328</v>
      </c>
      <c r="AK7549">
        <v>49.190462290333599</v>
      </c>
      <c r="AL7549">
        <v>86.889104225318604</v>
      </c>
      <c r="AM7549">
        <v>91.237921026286102</v>
      </c>
      <c r="AN7549">
        <v>0.99999998394448897</v>
      </c>
    </row>
    <row r="7550" spans="1:40" x14ac:dyDescent="0.25">
      <c r="A7550" t="str">
        <f>"20190312160517376"</f>
        <v>20190312160517376</v>
      </c>
      <c r="B7550" t="str">
        <f>"1552377917372984"</f>
        <v>1552377917372984</v>
      </c>
      <c r="C7550" t="s">
        <v>40</v>
      </c>
      <c r="D7550">
        <v>5.4809049999999999</v>
      </c>
      <c r="E7550">
        <v>0.45155709999999999</v>
      </c>
      <c r="F7550" t="s">
        <v>81</v>
      </c>
      <c r="G7550">
        <v>-195.34280000000001</v>
      </c>
      <c r="H7550" s="1">
        <v>-2.4741129999999999E-6</v>
      </c>
      <c r="I7550">
        <v>-49.701880000000003</v>
      </c>
      <c r="J7550">
        <v>-242.23910000000001</v>
      </c>
      <c r="K7550">
        <v>1.1100380000000001</v>
      </c>
      <c r="L7550">
        <v>-65.126189999999994</v>
      </c>
      <c r="M7550">
        <v>0.99568270000000003</v>
      </c>
      <c r="N7550">
        <v>0</v>
      </c>
      <c r="O7550">
        <v>9.2442189999999994E-2</v>
      </c>
      <c r="P7550">
        <v>0.99245589999999995</v>
      </c>
      <c r="Q7550">
        <v>4.618564E-2</v>
      </c>
      <c r="R7550">
        <v>0.11357100000000001</v>
      </c>
      <c r="S7550">
        <v>2.916458</v>
      </c>
      <c r="T7550">
        <v>-6.8856000000000001E-2</v>
      </c>
      <c r="U7550">
        <v>0.95748900000000003</v>
      </c>
      <c r="V7550">
        <v>-2.1384400000000001E-2</v>
      </c>
      <c r="W7550">
        <v>5.454295E-2</v>
      </c>
      <c r="X7550">
        <v>0.99828240000000001</v>
      </c>
      <c r="Y7550">
        <v>-0.2227238</v>
      </c>
      <c r="Z7550">
        <v>4.4520900000000001E-4</v>
      </c>
      <c r="AA7550">
        <v>0.97488149999999996</v>
      </c>
      <c r="AB7550">
        <v>23</v>
      </c>
      <c r="AC7550">
        <v>46.896299999999997</v>
      </c>
      <c r="AD7550">
        <v>-1.1100404741130001</v>
      </c>
      <c r="AE7550">
        <v>15.42431</v>
      </c>
      <c r="AF7550">
        <v>-11.0173398121473</v>
      </c>
      <c r="AG7550">
        <v>-1.1100404741130001</v>
      </c>
      <c r="AH7550">
        <v>48.097068560157702</v>
      </c>
      <c r="AI7550">
        <v>91.288737892111897</v>
      </c>
      <c r="AJ7550">
        <v>102.901856929285</v>
      </c>
      <c r="AK7550">
        <v>49.355262844716101</v>
      </c>
      <c r="AL7550">
        <v>86.873367562854796</v>
      </c>
      <c r="AM7550">
        <v>91.227156275640894</v>
      </c>
      <c r="AN7550">
        <v>0.99999998805391099</v>
      </c>
    </row>
    <row r="7551" spans="1:40" x14ac:dyDescent="0.25">
      <c r="A7551" t="str">
        <f>"20190312160517388"</f>
        <v>20190312160517388</v>
      </c>
      <c r="B7551" t="str">
        <f>"1552377917382746"</f>
        <v>1552377917382746</v>
      </c>
      <c r="C7551" t="s">
        <v>40</v>
      </c>
      <c r="D7551">
        <v>5.4450529999999997</v>
      </c>
      <c r="E7551">
        <v>0.45964120000000003</v>
      </c>
      <c r="F7551" t="s">
        <v>123</v>
      </c>
      <c r="G7551">
        <v>-224.07599999999999</v>
      </c>
      <c r="H7551" s="1">
        <v>-9.3848670000000003E-7</v>
      </c>
      <c r="I7551">
        <v>-60.706789999999998</v>
      </c>
      <c r="J7551">
        <v>-242.11670000000001</v>
      </c>
      <c r="K7551">
        <v>1.110039</v>
      </c>
      <c r="L7551">
        <v>-65.114500000000007</v>
      </c>
      <c r="M7551">
        <v>0.99565389999999998</v>
      </c>
      <c r="N7551">
        <v>0</v>
      </c>
      <c r="O7551">
        <v>9.2752189999999998E-2</v>
      </c>
      <c r="P7551">
        <v>0.99246719999999999</v>
      </c>
      <c r="Q7551">
        <v>4.6367650000000003E-2</v>
      </c>
      <c r="R7551">
        <v>0.1133967</v>
      </c>
      <c r="S7551">
        <v>2.9490660000000002</v>
      </c>
      <c r="T7551">
        <v>-0.18023239999999999</v>
      </c>
      <c r="U7551">
        <v>0.71755979999999997</v>
      </c>
      <c r="V7551">
        <v>-2.089914E-2</v>
      </c>
      <c r="W7551">
        <v>5.471434E-2</v>
      </c>
      <c r="X7551">
        <v>0.99828329999999998</v>
      </c>
      <c r="Y7551">
        <v>-0.14518249999999999</v>
      </c>
      <c r="Z7551">
        <v>-1.1920780000000001E-3</v>
      </c>
      <c r="AA7551">
        <v>0.98940419999999996</v>
      </c>
      <c r="AB7551">
        <v>23</v>
      </c>
      <c r="AC7551">
        <v>18.040700000000001</v>
      </c>
      <c r="AD7551">
        <v>-1.1100399384866999</v>
      </c>
      <c r="AE7551">
        <v>4.4077099999999998</v>
      </c>
      <c r="AF7551">
        <v>-2.7056683121271501</v>
      </c>
      <c r="AG7551">
        <v>-1.1100399384866999</v>
      </c>
      <c r="AH7551">
        <v>18.306361995201399</v>
      </c>
      <c r="AI7551">
        <v>93.432785509152097</v>
      </c>
      <c r="AJ7551">
        <v>98.407412291736193</v>
      </c>
      <c r="AK7551">
        <v>18.538492904754602</v>
      </c>
      <c r="AL7551">
        <v>86.863532959739601</v>
      </c>
      <c r="AM7551">
        <v>91.199316494139097</v>
      </c>
      <c r="AN7551">
        <v>0.99999999005663198</v>
      </c>
    </row>
    <row r="7552" spans="1:40" x14ac:dyDescent="0.25">
      <c r="A7552" t="str">
        <f>"20190312160517399"</f>
        <v>20190312160517399</v>
      </c>
      <c r="B7552" t="str">
        <f>"1552377917392505"</f>
        <v>1552377917392505</v>
      </c>
      <c r="C7552" t="s">
        <v>40</v>
      </c>
      <c r="D7552">
        <v>5.4665140000000001</v>
      </c>
      <c r="E7552">
        <v>0.46448149999999999</v>
      </c>
      <c r="F7552" t="s">
        <v>123</v>
      </c>
      <c r="G7552">
        <v>-225.21090000000001</v>
      </c>
      <c r="H7552" s="1">
        <v>-1.5758569999999999E-6</v>
      </c>
      <c r="I7552">
        <v>-61.383670000000002</v>
      </c>
      <c r="J7552">
        <v>-241.999</v>
      </c>
      <c r="K7552">
        <v>1.110039</v>
      </c>
      <c r="L7552">
        <v>-65.10324</v>
      </c>
      <c r="M7552">
        <v>0.99562629999999996</v>
      </c>
      <c r="N7552">
        <v>0</v>
      </c>
      <c r="O7552">
        <v>9.3050190000000005E-2</v>
      </c>
      <c r="P7552">
        <v>0.99244049999999995</v>
      </c>
      <c r="Q7552">
        <v>4.6394829999999998E-2</v>
      </c>
      <c r="R7552">
        <v>0.1136201</v>
      </c>
      <c r="S7552">
        <v>2.9572600000000002</v>
      </c>
      <c r="T7552">
        <v>-0.1941745</v>
      </c>
      <c r="U7552">
        <v>0.65261840000000004</v>
      </c>
      <c r="V7552">
        <v>-2.082533E-2</v>
      </c>
      <c r="W7552">
        <v>5.4732900000000001E-2</v>
      </c>
      <c r="X7552">
        <v>0.9982839</v>
      </c>
      <c r="Y7552">
        <v>-0.12363339999999901</v>
      </c>
      <c r="Z7552">
        <v>-2.0027619999999999E-3</v>
      </c>
      <c r="AA7552">
        <v>0.99232600000000004</v>
      </c>
      <c r="AB7552">
        <v>24</v>
      </c>
      <c r="AC7552">
        <v>16.7881</v>
      </c>
      <c r="AD7552">
        <v>-1.110040575857</v>
      </c>
      <c r="AE7552">
        <v>3.71957</v>
      </c>
      <c r="AF7552">
        <v>-2.1323543789590902</v>
      </c>
      <c r="AG7552">
        <v>-1.110040575857</v>
      </c>
      <c r="AH7552">
        <v>16.9905711225353</v>
      </c>
      <c r="AI7552">
        <v>93.708964683690496</v>
      </c>
      <c r="AJ7552">
        <v>97.153346935102803</v>
      </c>
      <c r="AK7552">
        <v>17.159796978619699</v>
      </c>
      <c r="AL7552">
        <v>86.862468189112107</v>
      </c>
      <c r="AM7552">
        <v>91.195081351474798</v>
      </c>
      <c r="AN7552">
        <v>1.00000006485561</v>
      </c>
    </row>
    <row r="7553" spans="1:40" x14ac:dyDescent="0.25">
      <c r="A7553" t="str">
        <f>"20190312160517411"</f>
        <v>20190312160517411</v>
      </c>
      <c r="B7553" t="str">
        <f>"1552377917402265"</f>
        <v>1552377917402265</v>
      </c>
      <c r="C7553" t="s">
        <v>40</v>
      </c>
      <c r="D7553">
        <v>5.4314859999999996</v>
      </c>
      <c r="E7553">
        <v>0.46748329999999999</v>
      </c>
      <c r="F7553" t="s">
        <v>123</v>
      </c>
      <c r="G7553">
        <v>-225.96879999999999</v>
      </c>
      <c r="H7553" s="1">
        <v>-1.9885780000000001E-6</v>
      </c>
      <c r="I7553">
        <v>-61.77749</v>
      </c>
      <c r="J7553">
        <v>-241.88200000000001</v>
      </c>
      <c r="K7553">
        <v>1.1100410000000001</v>
      </c>
      <c r="L7553">
        <v>-65.091980000000007</v>
      </c>
      <c r="M7553">
        <v>0.9955986</v>
      </c>
      <c r="N7553">
        <v>0</v>
      </c>
      <c r="O7553">
        <v>9.3346589999999993E-2</v>
      </c>
      <c r="P7553">
        <v>0.99235640000000003</v>
      </c>
      <c r="Q7553">
        <v>4.688788E-2</v>
      </c>
      <c r="R7553">
        <v>0.1141523</v>
      </c>
      <c r="S7553">
        <v>2.9620669999999998</v>
      </c>
      <c r="T7553">
        <v>-0.20511360000000001</v>
      </c>
      <c r="U7553">
        <v>0.61453250000000004</v>
      </c>
      <c r="V7553">
        <v>-2.106659E-2</v>
      </c>
      <c r="W7553">
        <v>5.521761E-2</v>
      </c>
      <c r="X7553">
        <v>0.99825209999999998</v>
      </c>
      <c r="Y7553">
        <v>-0.1108108</v>
      </c>
      <c r="Z7553">
        <v>-2.5746290000000002E-3</v>
      </c>
      <c r="AA7553">
        <v>0.9938382</v>
      </c>
      <c r="AB7553">
        <v>24</v>
      </c>
      <c r="AC7553">
        <v>15.9132</v>
      </c>
      <c r="AD7553">
        <v>-1.1100429885780001</v>
      </c>
      <c r="AE7553">
        <v>3.3144900000000002</v>
      </c>
      <c r="AF7553">
        <v>-1.8060990984895899</v>
      </c>
      <c r="AG7553">
        <v>-1.1100429885780001</v>
      </c>
      <c r="AH7553">
        <v>16.078138144091799</v>
      </c>
      <c r="AI7553">
        <v>93.924855492297695</v>
      </c>
      <c r="AJ7553">
        <v>96.409315245946502</v>
      </c>
      <c r="AK7553">
        <v>16.2172968021972</v>
      </c>
      <c r="AL7553">
        <v>86.834654150050298</v>
      </c>
      <c r="AM7553">
        <v>91.208960700184605</v>
      </c>
      <c r="AN7553">
        <v>1.0000000204113699</v>
      </c>
    </row>
    <row r="7554" spans="1:40" x14ac:dyDescent="0.25">
      <c r="A7554" t="str">
        <f>"20190312160517421"</f>
        <v>20190312160517421</v>
      </c>
      <c r="B7554" t="str">
        <f>"1552377917413001"</f>
        <v>1552377917413001</v>
      </c>
      <c r="C7554" t="s">
        <v>40</v>
      </c>
      <c r="D7554">
        <v>5.4090660000000002</v>
      </c>
      <c r="E7554">
        <v>0.46968359999999898</v>
      </c>
      <c r="F7554" t="s">
        <v>123</v>
      </c>
      <c r="G7554">
        <v>-226.1669</v>
      </c>
      <c r="H7554" s="1">
        <v>-2.1128459999999999E-6</v>
      </c>
      <c r="I7554">
        <v>-61.954250000000002</v>
      </c>
      <c r="J7554">
        <v>-241.7653</v>
      </c>
      <c r="K7554">
        <v>1.1100410000000001</v>
      </c>
      <c r="L7554">
        <v>-65.080690000000004</v>
      </c>
      <c r="M7554">
        <v>0.99557090000000004</v>
      </c>
      <c r="N7554">
        <v>0</v>
      </c>
      <c r="O7554">
        <v>9.3641840000000004E-2</v>
      </c>
      <c r="P7554">
        <v>0.9923033</v>
      </c>
      <c r="Q7554">
        <v>4.6885120000000002E-2</v>
      </c>
      <c r="R7554">
        <v>0.1146118</v>
      </c>
      <c r="S7554">
        <v>2.9649049999999999</v>
      </c>
      <c r="T7554">
        <v>-0.20942659999999999</v>
      </c>
      <c r="U7554">
        <v>0.59197999999999995</v>
      </c>
      <c r="V7554">
        <v>-2.1232250000000001E-2</v>
      </c>
      <c r="W7554">
        <v>5.520713E-2</v>
      </c>
      <c r="X7554">
        <v>0.99824919999999995</v>
      </c>
      <c r="Y7554">
        <v>-0.1030818</v>
      </c>
      <c r="Z7554">
        <v>-2.9191529999999999E-3</v>
      </c>
      <c r="AA7554">
        <v>0.99466860000000001</v>
      </c>
      <c r="AB7554">
        <v>24</v>
      </c>
      <c r="AC7554">
        <v>15.5983999999999</v>
      </c>
      <c r="AD7554">
        <v>-1.110043112846</v>
      </c>
      <c r="AE7554">
        <v>3.1264400000000001</v>
      </c>
      <c r="AF7554">
        <v>-1.6439833776441</v>
      </c>
      <c r="AG7554">
        <v>-1.110043112846</v>
      </c>
      <c r="AH7554">
        <v>15.745968320241399</v>
      </c>
      <c r="AI7554">
        <v>94.010778349268193</v>
      </c>
      <c r="AJ7554">
        <v>95.960463621374203</v>
      </c>
      <c r="AK7554">
        <v>15.870425180202099</v>
      </c>
      <c r="AL7554">
        <v>86.835255622358005</v>
      </c>
      <c r="AM7554">
        <v>91.2184682111169</v>
      </c>
      <c r="AN7554">
        <v>1.0000000504717601</v>
      </c>
    </row>
    <row r="7555" spans="1:40" x14ac:dyDescent="0.25">
      <c r="A7555" t="str">
        <f>"20190312160517434"</f>
        <v>20190312160517434</v>
      </c>
      <c r="B7555" t="str">
        <f>"1552377917422762"</f>
        <v>1552377917422762</v>
      </c>
      <c r="C7555" t="s">
        <v>40</v>
      </c>
      <c r="D7555">
        <v>5.4173929999999997</v>
      </c>
      <c r="E7555">
        <v>0.47116770000000002</v>
      </c>
      <c r="F7555" t="s">
        <v>123</v>
      </c>
      <c r="G7555">
        <v>-226.4897</v>
      </c>
      <c r="H7555" s="1">
        <v>-2.2875499999999998E-6</v>
      </c>
      <c r="I7555">
        <v>-62.117080000000001</v>
      </c>
      <c r="J7555">
        <v>-241.64429999999999</v>
      </c>
      <c r="K7555">
        <v>1.110039</v>
      </c>
      <c r="L7555">
        <v>-65.069029999999998</v>
      </c>
      <c r="M7555">
        <v>0.99554229999999999</v>
      </c>
      <c r="N7555">
        <v>0</v>
      </c>
      <c r="O7555">
        <v>9.3946630000000003E-2</v>
      </c>
      <c r="P7555">
        <v>0.99223799999999995</v>
      </c>
      <c r="Q7555">
        <v>4.6795660000000003E-2</v>
      </c>
      <c r="R7555">
        <v>0.1152128</v>
      </c>
      <c r="S7555">
        <v>2.96698</v>
      </c>
      <c r="T7555">
        <v>-0.21560389999999999</v>
      </c>
      <c r="U7555">
        <v>0.57562259999999998</v>
      </c>
      <c r="V7555">
        <v>-2.15313E-2</v>
      </c>
      <c r="W7555">
        <v>5.5109999999999999E-2</v>
      </c>
      <c r="X7555">
        <v>0.99824809999999997</v>
      </c>
      <c r="Y7555">
        <v>-9.7376509999999999E-2</v>
      </c>
      <c r="Z7555">
        <v>-3.2318529999999998E-3</v>
      </c>
      <c r="AA7555">
        <v>0.99524239999999997</v>
      </c>
      <c r="AB7555">
        <v>24</v>
      </c>
      <c r="AC7555">
        <v>15.154599999999901</v>
      </c>
      <c r="AD7555">
        <v>-1.1100412875499901</v>
      </c>
      <c r="AE7555">
        <v>2.9519499999999899</v>
      </c>
      <c r="AF7555">
        <v>-1.50732864017316</v>
      </c>
      <c r="AG7555">
        <v>-1.1100412875499901</v>
      </c>
      <c r="AH7555">
        <v>15.2858910166079</v>
      </c>
      <c r="AI7555">
        <v>94.133475438203206</v>
      </c>
      <c r="AJ7555">
        <v>95.631681197107497</v>
      </c>
      <c r="AK7555">
        <v>15.4000875147243</v>
      </c>
      <c r="AL7555">
        <v>86.840829052199794</v>
      </c>
      <c r="AM7555">
        <v>91.235626055210503</v>
      </c>
      <c r="AN7555">
        <v>0.999999989066649</v>
      </c>
    </row>
    <row r="7556" spans="1:40" x14ac:dyDescent="0.25">
      <c r="A7556" t="str">
        <f>"20190312160517444"</f>
        <v>20190312160517444</v>
      </c>
      <c r="B7556" t="str">
        <f>"1552377917432523"</f>
        <v>1552377917432523</v>
      </c>
      <c r="C7556" t="s">
        <v>40</v>
      </c>
      <c r="D7556">
        <v>5.3970529999999997</v>
      </c>
      <c r="E7556">
        <v>0.47240009999999999</v>
      </c>
      <c r="F7556" t="s">
        <v>123</v>
      </c>
      <c r="G7556">
        <v>-226.62479999999999</v>
      </c>
      <c r="H7556" s="1">
        <v>-2.365666E-6</v>
      </c>
      <c r="I7556">
        <v>-62.207819999999998</v>
      </c>
      <c r="J7556">
        <v>-241.5326</v>
      </c>
      <c r="K7556">
        <v>1.1100429999999999</v>
      </c>
      <c r="L7556">
        <v>-65.058199999999999</v>
      </c>
      <c r="M7556">
        <v>0.99551590000000001</v>
      </c>
      <c r="N7556">
        <v>0</v>
      </c>
      <c r="O7556">
        <v>9.4227270000000002E-2</v>
      </c>
      <c r="P7556">
        <v>0.99218300000000004</v>
      </c>
      <c r="Q7556">
        <v>4.6675229999999998E-2</v>
      </c>
      <c r="R7556">
        <v>0.115735199999999</v>
      </c>
      <c r="S7556">
        <v>2.96814</v>
      </c>
      <c r="T7556">
        <v>-0.21936520000000001</v>
      </c>
      <c r="U7556">
        <v>0.56542969999999904</v>
      </c>
      <c r="V7556">
        <v>-2.1775159999999998E-2</v>
      </c>
      <c r="W7556">
        <v>5.4983839999999999E-2</v>
      </c>
      <c r="X7556">
        <v>0.99824979999999996</v>
      </c>
      <c r="Y7556">
        <v>-9.3736550000000002E-2</v>
      </c>
      <c r="Z7556">
        <v>-3.441656E-3</v>
      </c>
      <c r="AA7556">
        <v>0.99559109999999995</v>
      </c>
      <c r="AB7556">
        <v>24</v>
      </c>
      <c r="AC7556">
        <v>14.9078</v>
      </c>
      <c r="AD7556">
        <v>-1.1100453656659901</v>
      </c>
      <c r="AE7556">
        <v>2.8503799999999999</v>
      </c>
      <c r="AF7556">
        <v>-1.42530323624557</v>
      </c>
      <c r="AG7556">
        <v>-1.1100453656659901</v>
      </c>
      <c r="AH7556">
        <v>15.029667619581099</v>
      </c>
      <c r="AI7556">
        <v>94.205223214205603</v>
      </c>
      <c r="AJ7556">
        <v>95.417309764980402</v>
      </c>
      <c r="AK7556">
        <v>15.137853176199499</v>
      </c>
      <c r="AL7556">
        <v>86.848068567497407</v>
      </c>
      <c r="AM7556">
        <v>91.249614014832503</v>
      </c>
      <c r="AN7556">
        <v>1.0000000217270999</v>
      </c>
    </row>
    <row r="7557" spans="1:40" x14ac:dyDescent="0.25">
      <c r="A7557" t="str">
        <f>"20190312160517455"</f>
        <v>20190312160517455</v>
      </c>
      <c r="B7557" t="str">
        <f>"1552377917442282"</f>
        <v>1552377917442282</v>
      </c>
      <c r="C7557" t="s">
        <v>40</v>
      </c>
      <c r="D7557">
        <v>5.3871149999999997</v>
      </c>
      <c r="E7557">
        <v>0.47342879999999998</v>
      </c>
      <c r="F7557" t="s">
        <v>123</v>
      </c>
      <c r="G7557">
        <v>-226.73400000000001</v>
      </c>
      <c r="H7557" s="1">
        <v>-2.4287970000000001E-6</v>
      </c>
      <c r="I7557">
        <v>-62.280900000000003</v>
      </c>
      <c r="J7557">
        <v>-241.4111</v>
      </c>
      <c r="K7557">
        <v>1.1100429999999999</v>
      </c>
      <c r="L7557">
        <v>-65.046329999999998</v>
      </c>
      <c r="M7557">
        <v>0.99548709999999996</v>
      </c>
      <c r="N7557">
        <v>0</v>
      </c>
      <c r="O7557">
        <v>9.4530370000000002E-2</v>
      </c>
      <c r="P7557">
        <v>0.99217520000000003</v>
      </c>
      <c r="Q7557">
        <v>4.6333340000000001E-2</v>
      </c>
      <c r="R7557">
        <v>0.1159377</v>
      </c>
      <c r="S7557">
        <v>2.9691010000000002</v>
      </c>
      <c r="T7557">
        <v>-0.22271260000000001</v>
      </c>
      <c r="U7557">
        <v>0.55722050000000001</v>
      </c>
      <c r="V7557">
        <v>-2.1672759999999999E-2</v>
      </c>
      <c r="W7557">
        <v>5.4636270000000001E-2</v>
      </c>
      <c r="X7557">
        <v>0.99827109999999997</v>
      </c>
      <c r="Y7557">
        <v>-9.0725E-2</v>
      </c>
      <c r="Z7557">
        <v>-3.6281870000000002E-3</v>
      </c>
      <c r="AA7557">
        <v>0.99586940000000002</v>
      </c>
      <c r="AB7557">
        <v>24</v>
      </c>
      <c r="AC7557">
        <v>14.6770999999999</v>
      </c>
      <c r="AD7557">
        <v>-1.1100454287970001</v>
      </c>
      <c r="AE7557">
        <v>2.7654299999999998</v>
      </c>
      <c r="AF7557">
        <v>-1.3580637263102999</v>
      </c>
      <c r="AG7557">
        <v>-1.1100454287970001</v>
      </c>
      <c r="AH7557">
        <v>14.791091887056901</v>
      </c>
      <c r="AI7557">
        <v>94.273991327368904</v>
      </c>
      <c r="AJ7557">
        <v>95.245979392075597</v>
      </c>
      <c r="AK7557">
        <v>14.894728502059801</v>
      </c>
      <c r="AL7557">
        <v>86.868012804139994</v>
      </c>
      <c r="AM7557">
        <v>91.243712893368794</v>
      </c>
      <c r="AN7557">
        <v>1.0000000098103701</v>
      </c>
    </row>
    <row r="7558" spans="1:40" x14ac:dyDescent="0.25">
      <c r="A7558" t="str">
        <f>"20190312160517466"</f>
        <v>20190312160517466</v>
      </c>
      <c r="B7558" t="str">
        <f>"1552377917453018"</f>
        <v>1552377917453018</v>
      </c>
      <c r="C7558" t="s">
        <v>40</v>
      </c>
      <c r="D7558">
        <v>5.3560410000000003</v>
      </c>
      <c r="E7558">
        <v>0.47422229999999999</v>
      </c>
      <c r="F7558" t="s">
        <v>123</v>
      </c>
      <c r="G7558">
        <v>-226.768</v>
      </c>
      <c r="H7558" s="1">
        <v>-2.4553870000000001E-6</v>
      </c>
      <c r="I7558">
        <v>-62.334940000000003</v>
      </c>
      <c r="J7558">
        <v>-241.2953</v>
      </c>
      <c r="K7558">
        <v>1.1100399999999999</v>
      </c>
      <c r="L7558">
        <v>-65.035030000000006</v>
      </c>
      <c r="M7558">
        <v>0.99545989999999995</v>
      </c>
      <c r="N7558">
        <v>0</v>
      </c>
      <c r="O7558">
        <v>9.4817789999999999E-2</v>
      </c>
      <c r="P7558">
        <v>0.99210089999999995</v>
      </c>
      <c r="Q7558">
        <v>4.6411559999999998E-2</v>
      </c>
      <c r="R7558">
        <v>0.1165427</v>
      </c>
      <c r="S7558">
        <v>2.9699249999999999</v>
      </c>
      <c r="T7558">
        <v>-0.2251408</v>
      </c>
      <c r="U7558">
        <v>0.54992680000000005</v>
      </c>
      <c r="V7558">
        <v>-2.199398E-2</v>
      </c>
      <c r="W7558">
        <v>5.470912E-2</v>
      </c>
      <c r="X7558">
        <v>0.99826009999999998</v>
      </c>
      <c r="Y7558">
        <v>-8.8031890000000002E-2</v>
      </c>
      <c r="Z7558">
        <v>-3.7901390000000001E-3</v>
      </c>
      <c r="AA7558">
        <v>0.99611039999999995</v>
      </c>
      <c r="AB7558">
        <v>24</v>
      </c>
      <c r="AC7558">
        <v>14.527299999999901</v>
      </c>
      <c r="AD7558">
        <v>-1.1100424553870001</v>
      </c>
      <c r="AE7558">
        <v>2.7000899999999999</v>
      </c>
      <c r="AF7558">
        <v>-1.3030760626178901</v>
      </c>
      <c r="AG7558">
        <v>-1.1100424553870001</v>
      </c>
      <c r="AH7558">
        <v>14.635273892035601</v>
      </c>
      <c r="AI7558">
        <v>94.320385509563295</v>
      </c>
      <c r="AJ7558">
        <v>95.088008648973201</v>
      </c>
      <c r="AK7558">
        <v>14.7350413427526</v>
      </c>
      <c r="AL7558">
        <v>86.8638326023964</v>
      </c>
      <c r="AM7558">
        <v>91.262154406662901</v>
      </c>
      <c r="AN7558">
        <v>1.0000000251097101</v>
      </c>
    </row>
    <row r="7559" spans="1:40" x14ac:dyDescent="0.25">
      <c r="A7559" t="str">
        <f>"20190312160517478"</f>
        <v>20190312160517478</v>
      </c>
      <c r="B7559" t="str">
        <f>"1552377917472537"</f>
        <v>1552377917472537</v>
      </c>
      <c r="C7559" t="s">
        <v>40</v>
      </c>
      <c r="D7559">
        <v>5.3282610000000004</v>
      </c>
      <c r="E7559">
        <v>0.4755009</v>
      </c>
      <c r="F7559" t="s">
        <v>123</v>
      </c>
      <c r="G7559">
        <v>-226.67140000000001</v>
      </c>
      <c r="H7559" s="1">
        <v>-2.4171379999999999E-6</v>
      </c>
      <c r="I7559">
        <v>-62.349229999999999</v>
      </c>
      <c r="J7559">
        <v>-241.17490000000001</v>
      </c>
      <c r="K7559">
        <v>1.1100319999999999</v>
      </c>
      <c r="L7559">
        <v>-65.023250000000004</v>
      </c>
      <c r="M7559">
        <v>0.99543179999999998</v>
      </c>
      <c r="N7559">
        <v>0</v>
      </c>
      <c r="O7559">
        <v>9.5111440000000005E-2</v>
      </c>
      <c r="P7559">
        <v>0.99209919999999996</v>
      </c>
      <c r="Q7559">
        <v>4.6155479999999999E-2</v>
      </c>
      <c r="R7559">
        <v>0.1166575</v>
      </c>
      <c r="S7559">
        <v>2.9703520000000001</v>
      </c>
      <c r="T7559">
        <v>-0.22546840000000001</v>
      </c>
      <c r="U7559">
        <v>0.54553219999999902</v>
      </c>
      <c r="V7559">
        <v>-2.1812930000000001E-2</v>
      </c>
      <c r="W7559">
        <v>5.4448669999999998E-2</v>
      </c>
      <c r="X7559">
        <v>0.99827829999999995</v>
      </c>
      <c r="Y7559">
        <v>-8.6292670000000002E-2</v>
      </c>
      <c r="Z7559">
        <v>-3.8830050000000001E-3</v>
      </c>
      <c r="AA7559">
        <v>0.99626230000000005</v>
      </c>
      <c r="AB7559">
        <v>24</v>
      </c>
      <c r="AC7559">
        <v>14.503500000000001</v>
      </c>
      <c r="AD7559">
        <v>-1.1100344171380001</v>
      </c>
      <c r="AE7559">
        <v>2.6740199999999898</v>
      </c>
      <c r="AF7559">
        <v>-1.27517619860283</v>
      </c>
      <c r="AG7559">
        <v>-1.1100344171380001</v>
      </c>
      <c r="AH7559">
        <v>14.609320733952099</v>
      </c>
      <c r="AI7559">
        <v>94.328660927191805</v>
      </c>
      <c r="AJ7559">
        <v>94.988425751291501</v>
      </c>
      <c r="AK7559">
        <v>14.706818250464501</v>
      </c>
      <c r="AL7559">
        <v>86.878777525782695</v>
      </c>
      <c r="AM7559">
        <v>91.251745111882897</v>
      </c>
      <c r="AN7559">
        <v>1.0000000129154201</v>
      </c>
    </row>
    <row r="7560" spans="1:40" x14ac:dyDescent="0.25">
      <c r="A7560" t="str">
        <f>"20190312160517489"</f>
        <v>20190312160517489</v>
      </c>
      <c r="B7560" t="str">
        <f>"1552377917482298"</f>
        <v>1552377917482298</v>
      </c>
      <c r="C7560" t="s">
        <v>40</v>
      </c>
      <c r="D7560">
        <v>5.317755</v>
      </c>
      <c r="E7560">
        <v>0.4760006</v>
      </c>
      <c r="F7560" t="s">
        <v>123</v>
      </c>
      <c r="G7560">
        <v>-226.61420000000001</v>
      </c>
      <c r="H7560" s="1">
        <v>-2.4033200000000001E-6</v>
      </c>
      <c r="I7560">
        <v>-62.397550000000003</v>
      </c>
      <c r="J7560">
        <v>-241.0547</v>
      </c>
      <c r="K7560">
        <v>1.110028</v>
      </c>
      <c r="L7560">
        <v>-65.011439999999993</v>
      </c>
      <c r="M7560">
        <v>0.99540410000000001</v>
      </c>
      <c r="N7560">
        <v>0</v>
      </c>
      <c r="O7560">
        <v>9.540266E-2</v>
      </c>
      <c r="P7560">
        <v>0.99213700000000005</v>
      </c>
      <c r="Q7560">
        <v>4.5743409999999998E-2</v>
      </c>
      <c r="R7560">
        <v>0.1164998</v>
      </c>
      <c r="S7560">
        <v>2.9714049999999999</v>
      </c>
      <c r="T7560">
        <v>-0.2265247</v>
      </c>
      <c r="U7560">
        <v>0.53582759999999996</v>
      </c>
      <c r="V7560">
        <v>-2.135929E-2</v>
      </c>
      <c r="W7560">
        <v>5.4033009999999999E-2</v>
      </c>
      <c r="X7560">
        <v>0.9983107</v>
      </c>
      <c r="Y7560">
        <v>-8.279926E-2</v>
      </c>
      <c r="Z7560">
        <v>-4.0549219999999999E-3</v>
      </c>
      <c r="AA7560">
        <v>0.99655800000000005</v>
      </c>
      <c r="AB7560">
        <v>24</v>
      </c>
      <c r="AC7560">
        <v>14.440499999999901</v>
      </c>
      <c r="AD7560">
        <v>-1.1100304033199999</v>
      </c>
      <c r="AE7560">
        <v>2.61389</v>
      </c>
      <c r="AF7560">
        <v>-1.2172923153060899</v>
      </c>
      <c r="AG7560">
        <v>-1.1100304033199999</v>
      </c>
      <c r="AH7560">
        <v>14.5408154742777</v>
      </c>
      <c r="AI7560">
        <v>94.350273364999595</v>
      </c>
      <c r="AJ7560">
        <v>94.785389179297297</v>
      </c>
      <c r="AK7560">
        <v>14.633840327617101</v>
      </c>
      <c r="AL7560">
        <v>86.902628221049397</v>
      </c>
      <c r="AM7560">
        <v>91.225681027634394</v>
      </c>
      <c r="AN7560">
        <v>1.00000001958672</v>
      </c>
    </row>
    <row r="7561" spans="1:40" x14ac:dyDescent="0.25">
      <c r="A7561" t="str">
        <f>"20190312160517499"</f>
        <v>20190312160517499</v>
      </c>
      <c r="B7561" t="str">
        <f>"1552377917493034"</f>
        <v>1552377917493034</v>
      </c>
      <c r="C7561" t="s">
        <v>40</v>
      </c>
      <c r="D7561">
        <v>5.320354</v>
      </c>
      <c r="E7561">
        <v>0.47634569999999998</v>
      </c>
      <c r="F7561" t="s">
        <v>123</v>
      </c>
      <c r="G7561">
        <v>-226.57499999999999</v>
      </c>
      <c r="H7561" s="1">
        <v>-2.391904E-6</v>
      </c>
      <c r="I7561">
        <v>-62.421729999999997</v>
      </c>
      <c r="J7561">
        <v>-240.9393</v>
      </c>
      <c r="K7561">
        <v>1.11002</v>
      </c>
      <c r="L7561">
        <v>-65.00009</v>
      </c>
      <c r="M7561">
        <v>0.99537770000000003</v>
      </c>
      <c r="N7561">
        <v>0</v>
      </c>
      <c r="O7561">
        <v>9.5676449999999996E-2</v>
      </c>
      <c r="P7561">
        <v>0.99215089999999995</v>
      </c>
      <c r="Q7561">
        <v>4.5571500000000001E-2</v>
      </c>
      <c r="R7561">
        <v>0.1164475</v>
      </c>
      <c r="S7561">
        <v>2.9718779999999998</v>
      </c>
      <c r="T7561">
        <v>-0.22782740000000001</v>
      </c>
      <c r="U7561">
        <v>0.53152469999999996</v>
      </c>
      <c r="V7561">
        <v>-2.1030549999999999E-2</v>
      </c>
      <c r="W7561">
        <v>5.3858740000000002E-2</v>
      </c>
      <c r="X7561">
        <v>0.99832710000000002</v>
      </c>
      <c r="Y7561">
        <v>-8.1105430000000006E-2</v>
      </c>
      <c r="Z7561">
        <v>-4.1631350000000001E-3</v>
      </c>
      <c r="AA7561">
        <v>0.99669680000000005</v>
      </c>
      <c r="AB7561">
        <v>24</v>
      </c>
      <c r="AC7561">
        <v>14.3643</v>
      </c>
      <c r="AD7561">
        <v>-1.110022391904</v>
      </c>
      <c r="AE7561">
        <v>2.5783599999999902</v>
      </c>
      <c r="AF7561">
        <v>-1.1853008282411599</v>
      </c>
      <c r="AG7561">
        <v>-1.110022391904</v>
      </c>
      <c r="AH7561">
        <v>14.4614327932759</v>
      </c>
      <c r="AI7561">
        <v>94.374657640478304</v>
      </c>
      <c r="AJ7561">
        <v>94.685653807920701</v>
      </c>
      <c r="AK7561">
        <v>14.5523237387845</v>
      </c>
      <c r="AL7561">
        <v>86.912627728340794</v>
      </c>
      <c r="AM7561">
        <v>91.206802422079207</v>
      </c>
      <c r="AN7561">
        <v>1.00000002325104</v>
      </c>
    </row>
    <row r="7562" spans="1:40" x14ac:dyDescent="0.25">
      <c r="A7562" t="str">
        <f>"20190312160517510"</f>
        <v>20190312160517510</v>
      </c>
      <c r="B7562" t="str">
        <f>"1552377917502794"</f>
        <v>1552377917502794</v>
      </c>
      <c r="C7562" t="s">
        <v>40</v>
      </c>
      <c r="D7562">
        <v>5.3028810000000002</v>
      </c>
      <c r="E7562">
        <v>0.4768</v>
      </c>
      <c r="F7562" t="s">
        <v>123</v>
      </c>
      <c r="G7562">
        <v>-226.52340000000001</v>
      </c>
      <c r="H7562" s="1">
        <v>-2.3727959999999999E-6</v>
      </c>
      <c r="I7562">
        <v>-62.435499999999998</v>
      </c>
      <c r="J7562">
        <v>-240.82589999999999</v>
      </c>
      <c r="K7562">
        <v>1.1100179999999999</v>
      </c>
      <c r="L7562">
        <v>-64.988919999999993</v>
      </c>
      <c r="M7562">
        <v>0.99535209999999996</v>
      </c>
      <c r="N7562">
        <v>0</v>
      </c>
      <c r="O7562">
        <v>9.5943150000000005E-2</v>
      </c>
      <c r="P7562">
        <v>0.99216040000000005</v>
      </c>
      <c r="Q7562">
        <v>4.5515390000000003E-2</v>
      </c>
      <c r="R7562">
        <v>0.11638809999999999</v>
      </c>
      <c r="S7562">
        <v>2.9721829999999998</v>
      </c>
      <c r="T7562">
        <v>-0.22885659999999999</v>
      </c>
      <c r="U7562">
        <v>0.52874759999999998</v>
      </c>
      <c r="V7562">
        <v>-2.0702149999999999E-2</v>
      </c>
      <c r="W7562">
        <v>5.3799699999999999E-2</v>
      </c>
      <c r="X7562">
        <v>0.99833709999999998</v>
      </c>
      <c r="Y7562">
        <v>-7.9922530000000006E-2</v>
      </c>
      <c r="Z7562">
        <v>-4.247196E-3</v>
      </c>
      <c r="AA7562">
        <v>0.99679200000000001</v>
      </c>
      <c r="AB7562">
        <v>24</v>
      </c>
      <c r="AC7562">
        <v>14.302499999999901</v>
      </c>
      <c r="AD7562">
        <v>-1.1100203727960001</v>
      </c>
      <c r="AE7562">
        <v>2.5534199999999898</v>
      </c>
      <c r="AF7562">
        <v>-1.1625791437884601</v>
      </c>
      <c r="AG7562">
        <v>-1.1100203727960001</v>
      </c>
      <c r="AH7562">
        <v>14.3974646969132</v>
      </c>
      <c r="AI7562">
        <v>94.394439840844498</v>
      </c>
      <c r="AJ7562">
        <v>94.616553493736106</v>
      </c>
      <c r="AK7562">
        <v>14.4869156549093</v>
      </c>
      <c r="AL7562">
        <v>86.916015236746404</v>
      </c>
      <c r="AM7562">
        <v>91.187951292526705</v>
      </c>
      <c r="AN7562">
        <v>0.99999997598556001</v>
      </c>
    </row>
    <row r="7563" spans="1:40" x14ac:dyDescent="0.25">
      <c r="A7563" t="str">
        <f>"20190312160517522"</f>
        <v>20190312160517522</v>
      </c>
      <c r="B7563" t="str">
        <f>"1552377917512554"</f>
        <v>1552377917512554</v>
      </c>
      <c r="C7563" t="s">
        <v>40</v>
      </c>
      <c r="D7563">
        <v>5.3068390000000001</v>
      </c>
      <c r="E7563">
        <v>0.47717340000000003</v>
      </c>
      <c r="F7563" t="s">
        <v>123</v>
      </c>
      <c r="G7563">
        <v>-226.3991</v>
      </c>
      <c r="H7563" s="1">
        <v>-2.3206540000000001E-6</v>
      </c>
      <c r="I7563">
        <v>-62.440710000000003</v>
      </c>
      <c r="J7563">
        <v>-240.702</v>
      </c>
      <c r="K7563">
        <v>1.1100110000000001</v>
      </c>
      <c r="L7563">
        <v>-64.976650000000006</v>
      </c>
      <c r="M7563">
        <v>0.99532480000000001</v>
      </c>
      <c r="N7563">
        <v>0</v>
      </c>
      <c r="O7563">
        <v>9.6228250000000001E-2</v>
      </c>
      <c r="P7563">
        <v>0.99219880000000005</v>
      </c>
      <c r="Q7563">
        <v>4.5648099999999997E-2</v>
      </c>
      <c r="R7563">
        <v>0.11600969999999999</v>
      </c>
      <c r="S7563">
        <v>2.97261</v>
      </c>
      <c r="T7563">
        <v>-0.228718</v>
      </c>
      <c r="U7563">
        <v>0.52505489999999999</v>
      </c>
      <c r="V7563">
        <v>-2.0034590000000001E-2</v>
      </c>
      <c r="W7563">
        <v>5.393063E-2</v>
      </c>
      <c r="X7563">
        <v>0.99834369999999995</v>
      </c>
      <c r="Y7563">
        <v>-7.8416760000000002E-2</v>
      </c>
      <c r="Z7563">
        <v>-4.3235640000000002E-3</v>
      </c>
      <c r="AA7563">
        <v>0.99691129999999994</v>
      </c>
      <c r="AB7563">
        <v>24</v>
      </c>
      <c r="AC7563">
        <v>14.3028999999999</v>
      </c>
      <c r="AD7563">
        <v>-1.1100133206539999</v>
      </c>
      <c r="AE7563">
        <v>2.5359400000000099</v>
      </c>
      <c r="AF7563">
        <v>-1.1411169427321901</v>
      </c>
      <c r="AG7563">
        <v>-1.1100133206539999</v>
      </c>
      <c r="AH7563">
        <v>14.396490919995699</v>
      </c>
      <c r="AI7563">
        <v>94.395225028655702</v>
      </c>
      <c r="AJ7563">
        <v>94.531991530727893</v>
      </c>
      <c r="AK7563">
        <v>14.4842406862955</v>
      </c>
      <c r="AL7563">
        <v>86.9085027311461</v>
      </c>
      <c r="AM7563">
        <v>91.149647556859307</v>
      </c>
      <c r="AN7563">
        <v>1.0000000204891699</v>
      </c>
    </row>
    <row r="7564" spans="1:40" x14ac:dyDescent="0.25">
      <c r="A7564" t="str">
        <f>"20190312160517533"</f>
        <v>20190312160517533</v>
      </c>
      <c r="B7564" t="str">
        <f>"1552377917522313"</f>
        <v>1552377917522313</v>
      </c>
      <c r="C7564" t="s">
        <v>40</v>
      </c>
      <c r="D7564">
        <v>5.3208979999999997</v>
      </c>
      <c r="E7564">
        <v>0.4775237</v>
      </c>
      <c r="F7564" t="s">
        <v>123</v>
      </c>
      <c r="G7564">
        <v>-226.19479999999999</v>
      </c>
      <c r="H7564" s="1">
        <v>-2.231547E-6</v>
      </c>
      <c r="I7564">
        <v>-62.434170000000002</v>
      </c>
      <c r="J7564">
        <v>-240.5889</v>
      </c>
      <c r="K7564">
        <v>1.1100019999999999</v>
      </c>
      <c r="L7564">
        <v>-64.965450000000004</v>
      </c>
      <c r="M7564">
        <v>0.99530010000000002</v>
      </c>
      <c r="N7564">
        <v>0</v>
      </c>
      <c r="O7564">
        <v>9.6483360000000004E-2</v>
      </c>
      <c r="P7564">
        <v>0.99221320000000002</v>
      </c>
      <c r="Q7564">
        <v>4.5754259999999998E-2</v>
      </c>
      <c r="R7564">
        <v>0.1158444</v>
      </c>
      <c r="S7564">
        <v>2.9731139999999998</v>
      </c>
      <c r="T7564">
        <v>-0.22748660000000001</v>
      </c>
      <c r="U7564">
        <v>0.52105709999999905</v>
      </c>
      <c r="V7564">
        <v>-1.96127E-2</v>
      </c>
      <c r="W7564">
        <v>5.4035390000000003E-2</v>
      </c>
      <c r="X7564">
        <v>0.99834639999999997</v>
      </c>
      <c r="Y7564">
        <v>-7.6836589999999996E-2</v>
      </c>
      <c r="Z7564">
        <v>-4.3793579999999999E-3</v>
      </c>
      <c r="AA7564">
        <v>0.99703410000000003</v>
      </c>
      <c r="AB7564">
        <v>24</v>
      </c>
      <c r="AC7564">
        <v>14.3941</v>
      </c>
      <c r="AD7564">
        <v>-1.110004231547</v>
      </c>
      <c r="AE7564">
        <v>2.5312800000000002</v>
      </c>
      <c r="AF7564">
        <v>-1.1241464343824601</v>
      </c>
      <c r="AG7564">
        <v>-1.110004231547</v>
      </c>
      <c r="AH7564">
        <v>14.487606021297999</v>
      </c>
      <c r="AI7564">
        <v>94.368220716653695</v>
      </c>
      <c r="AJ7564">
        <v>94.436899191776106</v>
      </c>
      <c r="AK7564">
        <v>14.5734876686515</v>
      </c>
      <c r="AL7564">
        <v>86.902491621302701</v>
      </c>
      <c r="AM7564">
        <v>91.125441437323104</v>
      </c>
      <c r="AN7564">
        <v>1.00000000788335</v>
      </c>
    </row>
    <row r="7565" spans="1:40" x14ac:dyDescent="0.25">
      <c r="A7565" t="str">
        <f>"20190312160517543"</f>
        <v>20190312160517543</v>
      </c>
      <c r="B7565" t="str">
        <f>"1552377917533051"</f>
        <v>1552377917533051</v>
      </c>
      <c r="C7565" t="s">
        <v>40</v>
      </c>
      <c r="D7565">
        <v>5.3128599999999997</v>
      </c>
      <c r="E7565">
        <v>0.47779199999999999</v>
      </c>
      <c r="F7565" t="s">
        <v>123</v>
      </c>
      <c r="G7565">
        <v>-226.00960000000001</v>
      </c>
      <c r="H7565" s="1">
        <v>-2.1506039999999999E-6</v>
      </c>
      <c r="I7565">
        <v>-62.427480000000003</v>
      </c>
      <c r="J7565">
        <v>-240.46879999999999</v>
      </c>
      <c r="K7565">
        <v>1.1099939999999999</v>
      </c>
      <c r="L7565">
        <v>-64.953519999999997</v>
      </c>
      <c r="M7565">
        <v>0.9952742</v>
      </c>
      <c r="N7565">
        <v>0</v>
      </c>
      <c r="O7565">
        <v>9.6749070000000006E-2</v>
      </c>
      <c r="P7565">
        <v>0.99225890000000005</v>
      </c>
      <c r="Q7565">
        <v>4.5360159999999997E-2</v>
      </c>
      <c r="R7565">
        <v>0.115607</v>
      </c>
      <c r="S7565">
        <v>2.973557</v>
      </c>
      <c r="T7565">
        <v>-0.22639329999999999</v>
      </c>
      <c r="U7565">
        <v>0.51763919999999997</v>
      </c>
      <c r="V7565">
        <v>-1.910326E-2</v>
      </c>
      <c r="W7565">
        <v>5.363971E-2</v>
      </c>
      <c r="X7565">
        <v>0.99837759999999998</v>
      </c>
      <c r="Y7565">
        <v>-7.5437080000000004E-2</v>
      </c>
      <c r="Z7565">
        <v>-4.4309600000000003E-3</v>
      </c>
      <c r="AA7565">
        <v>0.99714069999999999</v>
      </c>
      <c r="AB7565">
        <v>24</v>
      </c>
      <c r="AC7565">
        <v>14.4591999999999</v>
      </c>
      <c r="AD7565">
        <v>-1.1099961506039999</v>
      </c>
      <c r="AE7565">
        <v>2.5260399999999898</v>
      </c>
      <c r="AF7565">
        <v>-1.1088853095720099</v>
      </c>
      <c r="AG7565">
        <v>-1.1099961506039999</v>
      </c>
      <c r="AH7565">
        <v>14.552543113097601</v>
      </c>
      <c r="AI7565">
        <v>94.349234000532505</v>
      </c>
      <c r="AJ7565">
        <v>94.357445208433106</v>
      </c>
      <c r="AK7565">
        <v>14.6368790779559</v>
      </c>
      <c r="AL7565">
        <v>86.925195295330596</v>
      </c>
      <c r="AM7565">
        <v>91.096181068675193</v>
      </c>
      <c r="AN7565">
        <v>0.99999999260663497</v>
      </c>
    </row>
    <row r="7566" spans="1:40" x14ac:dyDescent="0.25">
      <c r="A7566" t="str">
        <f>"20190312160517555"</f>
        <v>20190312160517555</v>
      </c>
      <c r="B7566" t="str">
        <f>"1552377917542809"</f>
        <v>1552377917542809</v>
      </c>
      <c r="C7566" t="s">
        <v>40</v>
      </c>
      <c r="D7566">
        <v>5.301717</v>
      </c>
      <c r="E7566">
        <v>0.47804419999999997</v>
      </c>
      <c r="F7566" t="s">
        <v>123</v>
      </c>
      <c r="G7566">
        <v>-225.9178</v>
      </c>
      <c r="H7566" s="1">
        <v>-2.1128209999999999E-6</v>
      </c>
      <c r="I7566">
        <v>-62.434719999999999</v>
      </c>
      <c r="J7566">
        <v>-240.34870000000001</v>
      </c>
      <c r="K7566">
        <v>1.109982</v>
      </c>
      <c r="L7566">
        <v>-64.941590000000005</v>
      </c>
      <c r="M7566">
        <v>0.99524950000000001</v>
      </c>
      <c r="N7566">
        <v>0</v>
      </c>
      <c r="O7566">
        <v>9.7003270000000003E-2</v>
      </c>
      <c r="P7566">
        <v>0.99232039999999999</v>
      </c>
      <c r="Q7566">
        <v>4.5211880000000003E-2</v>
      </c>
      <c r="R7566">
        <v>0.1151363</v>
      </c>
      <c r="S7566">
        <v>2.9738009999999999</v>
      </c>
      <c r="T7566">
        <v>-0.22685089999999999</v>
      </c>
      <c r="U7566">
        <v>0.51477050000000002</v>
      </c>
      <c r="V7566">
        <v>-1.837312E-2</v>
      </c>
      <c r="W7566">
        <v>5.3490679999999999E-2</v>
      </c>
      <c r="X7566">
        <v>0.99839929999999999</v>
      </c>
      <c r="Y7566">
        <v>-7.4239100000000002E-2</v>
      </c>
      <c r="Z7566">
        <v>-4.5043440000000004E-3</v>
      </c>
      <c r="AA7566">
        <v>0.99723030000000001</v>
      </c>
      <c r="AB7566">
        <v>24</v>
      </c>
      <c r="AC7566">
        <v>14.430899999999999</v>
      </c>
      <c r="AD7566">
        <v>-1.109984112821</v>
      </c>
      <c r="AE7566">
        <v>2.5068700000000002</v>
      </c>
      <c r="AF7566">
        <v>-1.0889007983338801</v>
      </c>
      <c r="AG7566">
        <v>-1.109984112821</v>
      </c>
      <c r="AH7566">
        <v>14.5226203993131</v>
      </c>
      <c r="AI7566">
        <v>94.358511481908195</v>
      </c>
      <c r="AJ7566">
        <v>94.287993109749706</v>
      </c>
      <c r="AK7566">
        <v>14.6056247022123</v>
      </c>
      <c r="AL7566">
        <v>86.933746363891402</v>
      </c>
      <c r="AM7566">
        <v>91.054270993972295</v>
      </c>
      <c r="AN7566">
        <v>0.99999999331294298</v>
      </c>
    </row>
    <row r="7567" spans="1:40" x14ac:dyDescent="0.25">
      <c r="A7567" t="str">
        <f>"20190312160517565"</f>
        <v>20190312160517565</v>
      </c>
      <c r="B7567" t="str">
        <f>"1552377917552570"</f>
        <v>1552377917552570</v>
      </c>
      <c r="C7567" t="s">
        <v>40</v>
      </c>
      <c r="D7567">
        <v>5.3009389999999996</v>
      </c>
      <c r="E7567">
        <v>0.47823209999999999</v>
      </c>
      <c r="F7567" t="s">
        <v>123</v>
      </c>
      <c r="G7567">
        <v>-225.77629999999999</v>
      </c>
      <c r="H7567" s="1">
        <v>-2.0523700000000001E-6</v>
      </c>
      <c r="I7567">
        <v>-62.435850000000002</v>
      </c>
      <c r="J7567">
        <v>-240.24199999999999</v>
      </c>
      <c r="K7567">
        <v>1.10997099999999</v>
      </c>
      <c r="L7567">
        <v>-64.930909999999997</v>
      </c>
      <c r="M7567">
        <v>0.99522770000000005</v>
      </c>
      <c r="N7567">
        <v>0</v>
      </c>
      <c r="O7567">
        <v>9.7225870000000006E-2</v>
      </c>
      <c r="P7567">
        <v>0.99232359999999997</v>
      </c>
      <c r="Q7567">
        <v>4.495913E-2</v>
      </c>
      <c r="R7567">
        <v>0.11520660000000001</v>
      </c>
      <c r="S7567">
        <v>2.9741970000000002</v>
      </c>
      <c r="T7567">
        <v>-0.22654450000000001</v>
      </c>
      <c r="U7567">
        <v>0.51141359999999902</v>
      </c>
      <c r="V7567">
        <v>-1.8218160000000001E-2</v>
      </c>
      <c r="W7567">
        <v>5.3237350000000003E-2</v>
      </c>
      <c r="X7567">
        <v>0.99841570000000002</v>
      </c>
      <c r="Y7567">
        <v>-7.2904769999999994E-2</v>
      </c>
      <c r="Z7567">
        <v>-4.5652690000000003E-3</v>
      </c>
      <c r="AA7567">
        <v>0.99732849999999995</v>
      </c>
      <c r="AB7567">
        <v>24</v>
      </c>
      <c r="AC7567">
        <v>14.4657</v>
      </c>
      <c r="AD7567">
        <v>-1.10997305236999</v>
      </c>
      <c r="AE7567">
        <v>2.4950599999999898</v>
      </c>
      <c r="AF7567">
        <v>-1.0706282507689899</v>
      </c>
      <c r="AG7567">
        <v>-1.10997305236999</v>
      </c>
      <c r="AH7567">
        <v>14.556525982821199</v>
      </c>
      <c r="AI7567">
        <v>94.348812794809604</v>
      </c>
      <c r="AJ7567">
        <v>94.206513694835493</v>
      </c>
      <c r="AK7567">
        <v>14.6379894014472</v>
      </c>
      <c r="AL7567">
        <v>86.948281876392002</v>
      </c>
      <c r="AM7567">
        <v>91.045364022901296</v>
      </c>
      <c r="AN7567">
        <v>1.0000000133976401</v>
      </c>
    </row>
    <row r="7568" spans="1:40" x14ac:dyDescent="0.25">
      <c r="A7568" t="str">
        <f>"20190312160517577"</f>
        <v>20190312160517577</v>
      </c>
      <c r="B7568" t="str">
        <f>"1552377917573064"</f>
        <v>1552377917573064</v>
      </c>
      <c r="C7568" t="s">
        <v>40</v>
      </c>
      <c r="D7568">
        <v>5.3082599999999998</v>
      </c>
      <c r="E7568">
        <v>0.47846810000000001</v>
      </c>
      <c r="F7568" t="s">
        <v>123</v>
      </c>
      <c r="G7568">
        <v>-225.72499999999999</v>
      </c>
      <c r="H7568" s="1">
        <v>-2.031578E-6</v>
      </c>
      <c r="I7568">
        <v>-62.441200000000002</v>
      </c>
      <c r="J7568">
        <v>-240.107</v>
      </c>
      <c r="K7568">
        <v>1.109947</v>
      </c>
      <c r="L7568">
        <v>-64.917450000000002</v>
      </c>
      <c r="M7568">
        <v>0.99520220000000004</v>
      </c>
      <c r="N7568">
        <v>0</v>
      </c>
      <c r="O7568">
        <v>9.7488119999999998E-2</v>
      </c>
      <c r="P7568">
        <v>0.99235479999999998</v>
      </c>
      <c r="Q7568">
        <v>4.4255759999999998E-2</v>
      </c>
      <c r="R7568">
        <v>0.1152117</v>
      </c>
      <c r="S7568">
        <v>2.9742890000000002</v>
      </c>
      <c r="T7568">
        <v>-0.22741549999999999</v>
      </c>
      <c r="U7568">
        <v>0.51010129999999998</v>
      </c>
      <c r="V7568">
        <v>-1.7954129999999999E-2</v>
      </c>
      <c r="W7568">
        <v>5.2536439999999997E-2</v>
      </c>
      <c r="X7568">
        <v>0.99845759999999995</v>
      </c>
      <c r="Y7568">
        <v>-7.2212609999999997E-2</v>
      </c>
      <c r="Z7568">
        <v>-4.6287979999999999E-3</v>
      </c>
      <c r="AA7568">
        <v>0.99737849999999995</v>
      </c>
      <c r="AB7568">
        <v>24</v>
      </c>
      <c r="AC7568">
        <v>14.382</v>
      </c>
      <c r="AD7568">
        <v>-1.1099490315780001</v>
      </c>
      <c r="AE7568">
        <v>2.4762499999999998</v>
      </c>
      <c r="AF7568">
        <v>-1.05622185477662</v>
      </c>
      <c r="AG7568">
        <v>-1.1099490315780001</v>
      </c>
      <c r="AH7568">
        <v>14.4711912438227</v>
      </c>
      <c r="AI7568">
        <v>94.374442042354104</v>
      </c>
      <c r="AJ7568">
        <v>94.174496269847594</v>
      </c>
      <c r="AK7568">
        <v>14.552077771730699</v>
      </c>
      <c r="AL7568">
        <v>86.988497313322597</v>
      </c>
      <c r="AM7568">
        <v>91.030173960246103</v>
      </c>
      <c r="AN7568">
        <v>1.00000000365484</v>
      </c>
    </row>
    <row r="7569" spans="1:40" x14ac:dyDescent="0.25">
      <c r="A7569" t="str">
        <f>"20190312160517589"</f>
        <v>20190312160517589</v>
      </c>
      <c r="B7569" t="str">
        <f>"1552377917582825"</f>
        <v>1552377917582825</v>
      </c>
      <c r="C7569" t="s">
        <v>40</v>
      </c>
      <c r="D7569">
        <v>5.3103179999999996</v>
      </c>
      <c r="E7569">
        <v>0.47857129999999998</v>
      </c>
      <c r="F7569" t="s">
        <v>123</v>
      </c>
      <c r="G7569">
        <v>-225.84030000000001</v>
      </c>
      <c r="H7569" s="1">
        <v>-2.0895399999999999E-6</v>
      </c>
      <c r="I7569">
        <v>-62.479550000000003</v>
      </c>
      <c r="J7569">
        <v>-239.9813</v>
      </c>
      <c r="K7569">
        <v>1.109931</v>
      </c>
      <c r="L7569">
        <v>-64.904880000000006</v>
      </c>
      <c r="M7569">
        <v>0.99517889999999998</v>
      </c>
      <c r="N7569">
        <v>0</v>
      </c>
      <c r="O7569">
        <v>9.772401E-2</v>
      </c>
      <c r="P7569">
        <v>0.99240379999999995</v>
      </c>
      <c r="Q7569">
        <v>4.3921370000000001E-2</v>
      </c>
      <c r="R7569">
        <v>0.11491659999999999</v>
      </c>
      <c r="S7569">
        <v>2.9744259999999998</v>
      </c>
      <c r="T7569">
        <v>-0.23140949999999999</v>
      </c>
      <c r="U7569">
        <v>0.50827029999999995</v>
      </c>
      <c r="V7569">
        <v>-1.7416910000000001E-2</v>
      </c>
      <c r="W7569">
        <v>5.2205010000000003E-2</v>
      </c>
      <c r="X7569">
        <v>0.9984845</v>
      </c>
      <c r="Y7569">
        <v>-7.1377620000000003E-2</v>
      </c>
      <c r="Z7569">
        <v>-4.7601939999999997E-3</v>
      </c>
      <c r="AA7569">
        <v>0.99743800000000005</v>
      </c>
      <c r="AB7569">
        <v>24</v>
      </c>
      <c r="AC7569">
        <v>14.140999999999901</v>
      </c>
      <c r="AD7569">
        <v>-1.1099330895399999</v>
      </c>
      <c r="AE7569">
        <v>2.4253300000000002</v>
      </c>
      <c r="AF7569">
        <v>-1.0256195723110499</v>
      </c>
      <c r="AG7569">
        <v>-1.1099330895399999</v>
      </c>
      <c r="AH7569">
        <v>14.2251977692544</v>
      </c>
      <c r="AI7569">
        <v>94.450007846113706</v>
      </c>
      <c r="AJ7569">
        <v>94.1238208255008</v>
      </c>
      <c r="AK7569">
        <v>14.3052472381558</v>
      </c>
      <c r="AL7569">
        <v>87.007512950350403</v>
      </c>
      <c r="AM7569">
        <v>90.999328724305201</v>
      </c>
      <c r="AN7569">
        <v>1.0000000042816399</v>
      </c>
    </row>
    <row r="7570" spans="1:40" x14ac:dyDescent="0.25">
      <c r="A7570" t="str">
        <f>"20190312160517601"</f>
        <v>20190312160517601</v>
      </c>
      <c r="B7570" t="str">
        <f>"1552377917592585"</f>
        <v>1552377917592585</v>
      </c>
      <c r="C7570" t="s">
        <v>40</v>
      </c>
      <c r="D7570">
        <v>5.3407039999999997</v>
      </c>
      <c r="E7570">
        <v>0.4786627</v>
      </c>
      <c r="F7570" t="s">
        <v>123</v>
      </c>
      <c r="G7570">
        <v>-225.7972</v>
      </c>
      <c r="H7570" s="1">
        <v>-2.0731390000000001E-6</v>
      </c>
      <c r="I7570">
        <v>-62.488810000000001</v>
      </c>
      <c r="J7570">
        <v>-239.85650000000001</v>
      </c>
      <c r="K7570">
        <v>1.1099129999999999</v>
      </c>
      <c r="L7570">
        <v>-64.892359999999996</v>
      </c>
      <c r="M7570">
        <v>0.99515779999999998</v>
      </c>
      <c r="N7570">
        <v>0</v>
      </c>
      <c r="O7570">
        <v>9.7938399999999995E-2</v>
      </c>
      <c r="P7570">
        <v>0.99238300000000002</v>
      </c>
      <c r="Q7570">
        <v>4.3517840000000002E-2</v>
      </c>
      <c r="R7570">
        <v>0.1152489</v>
      </c>
      <c r="S7570">
        <v>2.9746090000000001</v>
      </c>
      <c r="T7570">
        <v>-0.2327687</v>
      </c>
      <c r="U7570">
        <v>0.50668329999999995</v>
      </c>
      <c r="V7570">
        <v>-1.7532010000000001E-2</v>
      </c>
      <c r="W7570">
        <v>5.1806909999999998E-2</v>
      </c>
      <c r="X7570">
        <v>0.99850320000000004</v>
      </c>
      <c r="Y7570">
        <v>-7.0639149999999998E-2</v>
      </c>
      <c r="Z7570">
        <v>-4.8331880000000004E-3</v>
      </c>
      <c r="AA7570">
        <v>0.99749019999999999</v>
      </c>
      <c r="AB7570">
        <v>24</v>
      </c>
      <c r="AC7570">
        <v>14.0593</v>
      </c>
      <c r="AD7570">
        <v>-1.109915073139</v>
      </c>
      <c r="AE7570">
        <v>2.4035499999999899</v>
      </c>
      <c r="AF7570">
        <v>-1.00889199293642</v>
      </c>
      <c r="AG7570">
        <v>-1.109915073139</v>
      </c>
      <c r="AH7570">
        <v>14.1414809278468</v>
      </c>
      <c r="AI7570">
        <v>94.476413052868395</v>
      </c>
      <c r="AJ7570">
        <v>94.080723918294794</v>
      </c>
      <c r="AK7570">
        <v>14.220803681777101</v>
      </c>
      <c r="AL7570">
        <v>87.030353247668501</v>
      </c>
      <c r="AM7570">
        <v>91.005912620464898</v>
      </c>
      <c r="AN7570">
        <v>0.99999998385431399</v>
      </c>
    </row>
    <row r="7571" spans="1:40" x14ac:dyDescent="0.25">
      <c r="A7571" t="str">
        <f>"20190312160517612"</f>
        <v>20190312160517612</v>
      </c>
      <c r="B7571" t="str">
        <f>"1552377917602345"</f>
        <v>1552377917602345</v>
      </c>
      <c r="C7571" t="s">
        <v>40</v>
      </c>
      <c r="D7571">
        <v>5.3629959999999999</v>
      </c>
      <c r="E7571">
        <v>0.47871219999999998</v>
      </c>
      <c r="F7571" t="s">
        <v>123</v>
      </c>
      <c r="G7571">
        <v>-225.76859999999999</v>
      </c>
      <c r="H7571" s="1">
        <v>-2.0614299999999998E-6</v>
      </c>
      <c r="I7571">
        <v>-62.491390000000003</v>
      </c>
      <c r="J7571">
        <v>-239.7406</v>
      </c>
      <c r="K7571">
        <v>1.1098969999999999</v>
      </c>
      <c r="L7571">
        <v>-64.880740000000003</v>
      </c>
      <c r="M7571">
        <v>0.9951392</v>
      </c>
      <c r="N7571">
        <v>0</v>
      </c>
      <c r="O7571">
        <v>9.8126989999999997E-2</v>
      </c>
      <c r="P7571">
        <v>0.99235130000000005</v>
      </c>
      <c r="Q7571">
        <v>4.3637639999999998E-2</v>
      </c>
      <c r="R7571">
        <v>0.1154766</v>
      </c>
      <c r="S7571">
        <v>2.9744419999999998</v>
      </c>
      <c r="T7571">
        <v>-0.2343404</v>
      </c>
      <c r="U7571">
        <v>0.50692749999999998</v>
      </c>
      <c r="V7571">
        <v>-1.757046E-2</v>
      </c>
      <c r="W7571">
        <v>5.1931199999999997E-2</v>
      </c>
      <c r="X7571">
        <v>0.9984961</v>
      </c>
      <c r="Y7571">
        <v>-7.0540930000000002E-2</v>
      </c>
      <c r="Z7571">
        <v>-4.8844040000000002E-3</v>
      </c>
      <c r="AA7571">
        <v>0.99749690000000002</v>
      </c>
      <c r="AB7571">
        <v>24</v>
      </c>
      <c r="AC7571">
        <v>13.972</v>
      </c>
      <c r="AD7571">
        <v>-1.1098990614299999</v>
      </c>
      <c r="AE7571">
        <v>2.3893499999999999</v>
      </c>
      <c r="AF7571">
        <v>-1.00060559699203</v>
      </c>
      <c r="AG7571">
        <v>-1.1098990614299999</v>
      </c>
      <c r="AH7571">
        <v>14.052874726925999</v>
      </c>
      <c r="AI7571">
        <v>94.504501705340004</v>
      </c>
      <c r="AJ7571">
        <v>94.0727528497045</v>
      </c>
      <c r="AK7571">
        <v>14.1321044284979</v>
      </c>
      <c r="AL7571">
        <v>87.023222452424605</v>
      </c>
      <c r="AM7571">
        <v>91.008125431077403</v>
      </c>
      <c r="AN7571">
        <v>1.00000001615663</v>
      </c>
    </row>
    <row r="7572" spans="1:40" x14ac:dyDescent="0.25">
      <c r="A7572" t="str">
        <f>"20190312160517622"</f>
        <v>20190312160517622</v>
      </c>
      <c r="B7572" t="str">
        <f>"1552377917613081"</f>
        <v>1552377917613081</v>
      </c>
      <c r="C7572" t="s">
        <v>40</v>
      </c>
      <c r="D7572">
        <v>5.3206540000000002</v>
      </c>
      <c r="E7572">
        <v>0.4787382</v>
      </c>
      <c r="F7572" t="s">
        <v>123</v>
      </c>
      <c r="G7572">
        <v>-225.6414</v>
      </c>
      <c r="H7572" s="1">
        <v>-2.0035299999999999E-6</v>
      </c>
      <c r="I7572">
        <v>-62.476349999999996</v>
      </c>
      <c r="J7572">
        <v>-239.6174</v>
      </c>
      <c r="K7572">
        <v>1.109877</v>
      </c>
      <c r="L7572">
        <v>-64.868409999999997</v>
      </c>
      <c r="M7572">
        <v>0.99512089999999997</v>
      </c>
      <c r="N7572">
        <v>0</v>
      </c>
      <c r="O7572">
        <v>9.8312990000000003E-2</v>
      </c>
      <c r="P7572">
        <v>0.99230510000000005</v>
      </c>
      <c r="Q7572">
        <v>4.3750240000000003E-2</v>
      </c>
      <c r="R7572">
        <v>0.11583</v>
      </c>
      <c r="S7572">
        <v>2.97438</v>
      </c>
      <c r="T7572">
        <v>-0.23414579999999999</v>
      </c>
      <c r="U7572">
        <v>0.50723269999999998</v>
      </c>
      <c r="V7572">
        <v>-1.7737949999999999E-2</v>
      </c>
      <c r="W7572">
        <v>5.2049779999999997E-2</v>
      </c>
      <c r="X7572">
        <v>0.99848689999999996</v>
      </c>
      <c r="Y7572">
        <v>-7.0458019999999996E-2</v>
      </c>
      <c r="Z7572">
        <v>-4.8980450000000002E-3</v>
      </c>
      <c r="AA7572">
        <v>0.99750269999999996</v>
      </c>
      <c r="AB7572">
        <v>24</v>
      </c>
      <c r="AC7572">
        <v>13.976000000000001</v>
      </c>
      <c r="AD7572">
        <v>-1.1098790035299999</v>
      </c>
      <c r="AE7572">
        <v>2.3920599999999999</v>
      </c>
      <c r="AF7572">
        <v>-1.0002726037984599</v>
      </c>
      <c r="AG7572">
        <v>-1.1098790035299999</v>
      </c>
      <c r="AH7572">
        <v>14.057338922783501</v>
      </c>
      <c r="AI7572">
        <v>94.503010753551493</v>
      </c>
      <c r="AJ7572">
        <v>94.070113419201803</v>
      </c>
      <c r="AK7572">
        <v>14.136518463695101</v>
      </c>
      <c r="AL7572">
        <v>87.016418926350596</v>
      </c>
      <c r="AM7572">
        <v>91.017742726860405</v>
      </c>
      <c r="AN7572">
        <v>0.99999995196992897</v>
      </c>
    </row>
    <row r="7573" spans="1:40" x14ac:dyDescent="0.25">
      <c r="A7573" t="str">
        <f>"20190312160517634"</f>
        <v>20190312160517634</v>
      </c>
      <c r="B7573" t="str">
        <f>"1552377917622842"</f>
        <v>1552377917622842</v>
      </c>
      <c r="C7573" t="s">
        <v>40</v>
      </c>
      <c r="D7573">
        <v>5.3348719999999998</v>
      </c>
      <c r="E7573">
        <v>0.47882930000000001</v>
      </c>
      <c r="F7573" t="s">
        <v>123</v>
      </c>
      <c r="G7573">
        <v>-225.5582</v>
      </c>
      <c r="H7573" s="1">
        <v>-1.9657749999999998E-6</v>
      </c>
      <c r="I7573">
        <v>-62.46705</v>
      </c>
      <c r="J7573">
        <v>-239.50139999999999</v>
      </c>
      <c r="K7573">
        <v>1.1098570000000001</v>
      </c>
      <c r="L7573">
        <v>-64.856750000000005</v>
      </c>
      <c r="M7573">
        <v>0.99510529999999997</v>
      </c>
      <c r="N7573">
        <v>0</v>
      </c>
      <c r="O7573">
        <v>9.8469470000000003E-2</v>
      </c>
      <c r="P7573">
        <v>0.99226859999999995</v>
      </c>
      <c r="Q7573">
        <v>4.3853299999999998E-2</v>
      </c>
      <c r="R7573">
        <v>0.11610570000000001</v>
      </c>
      <c r="S7573">
        <v>2.974335</v>
      </c>
      <c r="T7573">
        <v>-0.23480329999999999</v>
      </c>
      <c r="U7573">
        <v>0.50802609999999904</v>
      </c>
      <c r="V7573">
        <v>-1.7856400000000001E-2</v>
      </c>
      <c r="W7573">
        <v>5.2159770000000001E-2</v>
      </c>
      <c r="X7573">
        <v>0.99847909999999995</v>
      </c>
      <c r="Y7573">
        <v>-7.0562879999999994E-2</v>
      </c>
      <c r="Z7573">
        <v>-4.9197449999999997E-3</v>
      </c>
      <c r="AA7573">
        <v>0.99749520000000003</v>
      </c>
      <c r="AB7573">
        <v>24</v>
      </c>
      <c r="AC7573">
        <v>13.9431999999999</v>
      </c>
      <c r="AD7573">
        <v>-1.10985896577499</v>
      </c>
      <c r="AE7573">
        <v>2.3896999999999999</v>
      </c>
      <c r="AF7573">
        <v>-0.99890997482764399</v>
      </c>
      <c r="AG7573">
        <v>-1.10985896577499</v>
      </c>
      <c r="AH7573">
        <v>14.0244307386317</v>
      </c>
      <c r="AI7573">
        <v>94.513430038037299</v>
      </c>
      <c r="AJ7573">
        <v>94.074092906789502</v>
      </c>
      <c r="AK7573">
        <v>14.103696877216199</v>
      </c>
      <c r="AL7573">
        <v>87.010108543533605</v>
      </c>
      <c r="AM7573">
        <v>91.024545539577502</v>
      </c>
      <c r="AN7573">
        <v>1.0000000028821101</v>
      </c>
    </row>
    <row r="7574" spans="1:40" x14ac:dyDescent="0.25">
      <c r="A7574" t="str">
        <f>"20190312160517645"</f>
        <v>20190312160517645</v>
      </c>
      <c r="B7574" t="str">
        <f>"1552377917632602"</f>
        <v>1552377917632602</v>
      </c>
      <c r="C7574" t="s">
        <v>40</v>
      </c>
      <c r="D7574">
        <v>5.3545439999999997</v>
      </c>
      <c r="E7574">
        <v>0.4788791</v>
      </c>
      <c r="F7574" t="s">
        <v>123</v>
      </c>
      <c r="G7574">
        <v>-225.45240000000001</v>
      </c>
      <c r="H7574" s="1">
        <v>-1.918118E-6</v>
      </c>
      <c r="I7574">
        <v>-62.456969999999998</v>
      </c>
      <c r="J7574">
        <v>-239.38229999999999</v>
      </c>
      <c r="K7574">
        <v>1.1098399999999999</v>
      </c>
      <c r="L7574">
        <v>-64.844790000000003</v>
      </c>
      <c r="M7574">
        <v>0.99509040000000004</v>
      </c>
      <c r="N7574">
        <v>0</v>
      </c>
      <c r="O7574">
        <v>9.8619189999999995E-2</v>
      </c>
      <c r="P7574">
        <v>0.9922356</v>
      </c>
      <c r="Q7574">
        <v>4.3700019999999999E-2</v>
      </c>
      <c r="R7574">
        <v>0.116443</v>
      </c>
      <c r="S7574">
        <v>2.9743189999999999</v>
      </c>
      <c r="T7574">
        <v>-0.2349685</v>
      </c>
      <c r="U7574">
        <v>0.50805659999999997</v>
      </c>
      <c r="V7574">
        <v>-1.8042229999999999E-2</v>
      </c>
      <c r="W7574">
        <v>5.2014539999999998E-2</v>
      </c>
      <c r="X7574">
        <v>0.99848340000000002</v>
      </c>
      <c r="Y7574">
        <v>-7.0424529999999999E-2</v>
      </c>
      <c r="Z7574">
        <v>-4.9402659999999996E-3</v>
      </c>
      <c r="AA7574">
        <v>0.99750490000000003</v>
      </c>
      <c r="AB7574">
        <v>24</v>
      </c>
      <c r="AC7574">
        <v>13.9298999999999</v>
      </c>
      <c r="AD7574">
        <v>-1.1098419181179999</v>
      </c>
      <c r="AE7574">
        <v>2.3878200000000001</v>
      </c>
      <c r="AF7574">
        <v>-0.99623264970972003</v>
      </c>
      <c r="AG7574">
        <v>-1.1098419181179999</v>
      </c>
      <c r="AH7574">
        <v>14.0110821157255</v>
      </c>
      <c r="AI7574">
        <v>94.517682425061295</v>
      </c>
      <c r="AJ7574">
        <v>94.067068068363398</v>
      </c>
      <c r="AK7574">
        <v>14.090232454759599</v>
      </c>
      <c r="AL7574">
        <v>87.018441112526105</v>
      </c>
      <c r="AM7574">
        <v>91.035201130282204</v>
      </c>
      <c r="AN7574">
        <v>1.0000000672551701</v>
      </c>
    </row>
    <row r="7575" spans="1:40" x14ac:dyDescent="0.25">
      <c r="A7575" t="str">
        <f>"20190312160517657"</f>
        <v>20190312160517657</v>
      </c>
      <c r="B7575" t="str">
        <f>"1552377917653098"</f>
        <v>1552377917653098</v>
      </c>
      <c r="C7575" t="s">
        <v>40</v>
      </c>
      <c r="D7575">
        <v>5.3140749999999999</v>
      </c>
      <c r="E7575">
        <v>0.47899849999999999</v>
      </c>
      <c r="F7575" t="s">
        <v>123</v>
      </c>
      <c r="G7575">
        <v>-225.4067</v>
      </c>
      <c r="H7575" s="1">
        <v>-1.897914E-6</v>
      </c>
      <c r="I7575">
        <v>-62.454279999999997</v>
      </c>
      <c r="J7575">
        <v>-239.2628</v>
      </c>
      <c r="K7575">
        <v>1.1098129999999999</v>
      </c>
      <c r="L7575">
        <v>-64.832759999999993</v>
      </c>
      <c r="M7575">
        <v>0.99507829999999997</v>
      </c>
      <c r="N7575">
        <v>0</v>
      </c>
      <c r="O7575">
        <v>9.873912E-2</v>
      </c>
      <c r="P7575">
        <v>0.99223150000000004</v>
      </c>
      <c r="Q7575">
        <v>4.3562780000000002E-2</v>
      </c>
      <c r="R7575">
        <v>0.1165291</v>
      </c>
      <c r="S7575">
        <v>2.9741819999999999</v>
      </c>
      <c r="T7575">
        <v>-0.2361876</v>
      </c>
      <c r="U7575">
        <v>0.50872799999999996</v>
      </c>
      <c r="V7575">
        <v>-1.8004249999999999E-2</v>
      </c>
      <c r="W7575">
        <v>5.1886920000000003E-2</v>
      </c>
      <c r="X7575">
        <v>0.99849060000000001</v>
      </c>
      <c r="Y7575">
        <v>-7.0531670000000005E-2</v>
      </c>
      <c r="Z7575">
        <v>-4.9710830000000003E-3</v>
      </c>
      <c r="AA7575">
        <v>0.99749710000000003</v>
      </c>
      <c r="AB7575">
        <v>24</v>
      </c>
      <c r="AC7575">
        <v>13.8560999999999</v>
      </c>
      <c r="AD7575">
        <v>-1.1098148979139999</v>
      </c>
      <c r="AE7575">
        <v>2.3784799999999802</v>
      </c>
      <c r="AF7575">
        <v>-0.99248467397465501</v>
      </c>
      <c r="AG7575">
        <v>-1.1098148979139999</v>
      </c>
      <c r="AH7575">
        <v>13.936395050930001</v>
      </c>
      <c r="AI7575">
        <v>94.5416462704286</v>
      </c>
      <c r="AJ7575">
        <v>94.073459560159904</v>
      </c>
      <c r="AK7575">
        <v>14.015699124599299</v>
      </c>
      <c r="AL7575">
        <v>87.0257627134431</v>
      </c>
      <c r="AM7575">
        <v>91.033014993779901</v>
      </c>
      <c r="AN7575">
        <v>0.99999994188675201</v>
      </c>
    </row>
    <row r="7576" spans="1:40" x14ac:dyDescent="0.25">
      <c r="A7576" t="str">
        <f>"20190312160517668"</f>
        <v>20190312160517668</v>
      </c>
      <c r="B7576" t="str">
        <f>"1552377917662857"</f>
        <v>1552377917662857</v>
      </c>
      <c r="C7576" t="s">
        <v>40</v>
      </c>
      <c r="D7576">
        <v>5.3158399999999997</v>
      </c>
      <c r="E7576">
        <v>0.4790355</v>
      </c>
      <c r="F7576" t="s">
        <v>123</v>
      </c>
      <c r="G7576">
        <v>-225.3561</v>
      </c>
      <c r="H7576" s="1">
        <v>-1.876885E-6</v>
      </c>
      <c r="I7576">
        <v>-62.457239999999999</v>
      </c>
      <c r="J7576">
        <v>-239.12979999999999</v>
      </c>
      <c r="K7576">
        <v>1.1097840000000001</v>
      </c>
      <c r="L7576">
        <v>-64.819429999999997</v>
      </c>
      <c r="M7576">
        <v>0.99506640000000002</v>
      </c>
      <c r="N7576">
        <v>0</v>
      </c>
      <c r="O7576">
        <v>9.8859909999999995E-2</v>
      </c>
      <c r="P7576">
        <v>0.99218360000000005</v>
      </c>
      <c r="Q7576">
        <v>4.3514770000000001E-2</v>
      </c>
      <c r="R7576">
        <v>0.1169555</v>
      </c>
      <c r="S7576">
        <v>2.974243</v>
      </c>
      <c r="T7576">
        <v>-0.23735829999999999</v>
      </c>
      <c r="U7576">
        <v>0.50805659999999997</v>
      </c>
      <c r="V7576">
        <v>-1.8308049999999999E-2</v>
      </c>
      <c r="W7576">
        <v>5.1850720000000003E-2</v>
      </c>
      <c r="X7576">
        <v>0.99848700000000001</v>
      </c>
      <c r="Y7576">
        <v>-7.0190639999999999E-2</v>
      </c>
      <c r="Z7576">
        <v>-5.0186299999999996E-3</v>
      </c>
      <c r="AA7576">
        <v>0.99752099999999999</v>
      </c>
      <c r="AB7576">
        <v>24</v>
      </c>
      <c r="AC7576">
        <v>13.7736999999999</v>
      </c>
      <c r="AD7576">
        <v>-1.109785876885</v>
      </c>
      <c r="AE7576">
        <v>2.36219</v>
      </c>
      <c r="AF7576">
        <v>-0.982706132680359</v>
      </c>
      <c r="AG7576">
        <v>-1.109785876885</v>
      </c>
      <c r="AH7576">
        <v>13.852396898974</v>
      </c>
      <c r="AI7576">
        <v>94.569038855318993</v>
      </c>
      <c r="AJ7576">
        <v>94.057835191653197</v>
      </c>
      <c r="AK7576">
        <v>13.9314836210091</v>
      </c>
      <c r="AL7576">
        <v>87.027839746271695</v>
      </c>
      <c r="AM7576">
        <v>91.050445788837294</v>
      </c>
      <c r="AN7576">
        <v>0.99999998551416003</v>
      </c>
    </row>
    <row r="7577" spans="1:40" x14ac:dyDescent="0.25">
      <c r="A7577" t="str">
        <f>"20190312160517679"</f>
        <v>20190312160517679</v>
      </c>
      <c r="B7577" t="str">
        <f>"1552377917672617"</f>
        <v>1552377917672617</v>
      </c>
      <c r="C7577" t="s">
        <v>40</v>
      </c>
      <c r="D7577">
        <v>5.3369759999999999</v>
      </c>
      <c r="E7577">
        <v>0.47908699999999999</v>
      </c>
      <c r="F7577" t="s">
        <v>123</v>
      </c>
      <c r="G7577">
        <v>-225.25810000000001</v>
      </c>
      <c r="H7577" s="1">
        <v>-1.8322429999999999E-6</v>
      </c>
      <c r="I7577">
        <v>-62.445469999999901</v>
      </c>
      <c r="J7577">
        <v>-239.00899999999999</v>
      </c>
      <c r="K7577">
        <v>1.1097539999999999</v>
      </c>
      <c r="L7577">
        <v>-64.807310000000001</v>
      </c>
      <c r="M7577">
        <v>0.99505909999999997</v>
      </c>
      <c r="N7577">
        <v>0</v>
      </c>
      <c r="O7577">
        <v>9.8932679999999995E-2</v>
      </c>
      <c r="P7577">
        <v>0.99215850000000005</v>
      </c>
      <c r="Q7577">
        <v>4.339722E-2</v>
      </c>
      <c r="R7577">
        <v>0.1172106</v>
      </c>
      <c r="S7577">
        <v>2.9740600000000001</v>
      </c>
      <c r="T7577">
        <v>-0.2379365</v>
      </c>
      <c r="U7577">
        <v>0.50897219999999999</v>
      </c>
      <c r="V7577">
        <v>-1.8487650000000001E-2</v>
      </c>
      <c r="W7577">
        <v>5.1747389999999997E-2</v>
      </c>
      <c r="X7577">
        <v>0.99848910000000002</v>
      </c>
      <c r="Y7577">
        <v>-7.0426150000000007E-2</v>
      </c>
      <c r="Z7577">
        <v>-5.0273509999999898E-3</v>
      </c>
      <c r="AA7577">
        <v>0.99750439999999996</v>
      </c>
      <c r="AB7577">
        <v>24</v>
      </c>
      <c r="AC7577">
        <v>13.7509</v>
      </c>
      <c r="AD7577">
        <v>-1.1097558322429999</v>
      </c>
      <c r="AE7577">
        <v>2.3618399999999999</v>
      </c>
      <c r="AF7577">
        <v>-0.98356891481765696</v>
      </c>
      <c r="AG7577">
        <v>-1.1097558322429999</v>
      </c>
      <c r="AH7577">
        <v>13.829612938331501</v>
      </c>
      <c r="AI7577">
        <v>94.576353184624097</v>
      </c>
      <c r="AJ7577">
        <v>94.068054505885499</v>
      </c>
      <c r="AK7577">
        <v>13.9088878003045</v>
      </c>
      <c r="AL7577">
        <v>87.033768222410103</v>
      </c>
      <c r="AM7577">
        <v>91.060745975479705</v>
      </c>
      <c r="AN7577">
        <v>1.00000003419657</v>
      </c>
    </row>
    <row r="7578" spans="1:40" x14ac:dyDescent="0.25">
      <c r="A7578" t="str">
        <f>"20190312160517690"</f>
        <v>20190312160517690</v>
      </c>
      <c r="B7578" t="str">
        <f>"1552377917682377"</f>
        <v>1552377917682377</v>
      </c>
      <c r="C7578" t="s">
        <v>40</v>
      </c>
      <c r="D7578">
        <v>5.3385590000000001</v>
      </c>
      <c r="E7578">
        <v>0.47915000000000002</v>
      </c>
      <c r="F7578" t="s">
        <v>123</v>
      </c>
      <c r="G7578">
        <v>-225.19829999999999</v>
      </c>
      <c r="H7578" s="1">
        <v>-1.8059769999999999E-6</v>
      </c>
      <c r="I7578">
        <v>-62.442889999999998</v>
      </c>
      <c r="J7578">
        <v>-238.89619999999999</v>
      </c>
      <c r="K7578">
        <v>1.109726</v>
      </c>
      <c r="L7578">
        <v>-64.796019999999999</v>
      </c>
      <c r="M7578">
        <v>0.99505299999999997</v>
      </c>
      <c r="N7578">
        <v>0</v>
      </c>
      <c r="O7578">
        <v>9.8992559999999993E-2</v>
      </c>
      <c r="P7578">
        <v>0.9921063</v>
      </c>
      <c r="Q7578">
        <v>4.3587649999999999E-2</v>
      </c>
      <c r="R7578">
        <v>0.1175814</v>
      </c>
      <c r="S7578">
        <v>2.9739990000000001</v>
      </c>
      <c r="T7578">
        <v>-0.2389751</v>
      </c>
      <c r="U7578">
        <v>0.50915529999999998</v>
      </c>
      <c r="V7578">
        <v>-1.8798349999999998E-2</v>
      </c>
      <c r="W7578">
        <v>5.1950730000000001E-2</v>
      </c>
      <c r="X7578">
        <v>0.99847269999999999</v>
      </c>
      <c r="Y7578">
        <v>-7.0430119999999999E-2</v>
      </c>
      <c r="Z7578">
        <v>-5.0538700000000002E-3</v>
      </c>
      <c r="AA7578">
        <v>0.9975039</v>
      </c>
      <c r="AB7578">
        <v>24</v>
      </c>
      <c r="AC7578">
        <v>13.697900000000001</v>
      </c>
      <c r="AD7578">
        <v>-1.1097278059769999</v>
      </c>
      <c r="AE7578">
        <v>2.35312999999999</v>
      </c>
      <c r="AF7578">
        <v>-0.97929019962224595</v>
      </c>
      <c r="AG7578">
        <v>-1.1097278059769999</v>
      </c>
      <c r="AH7578">
        <v>13.775740952304499</v>
      </c>
      <c r="AI7578">
        <v>94.594068181509201</v>
      </c>
      <c r="AJ7578">
        <v>94.066203410060197</v>
      </c>
      <c r="AK7578">
        <v>13.8550187254811</v>
      </c>
      <c r="AL7578">
        <v>87.022101888755401</v>
      </c>
      <c r="AM7578">
        <v>91.078586209680907</v>
      </c>
      <c r="AN7578">
        <v>0.99999999447777199</v>
      </c>
    </row>
    <row r="7579" spans="1:40" x14ac:dyDescent="0.25">
      <c r="A7579" t="str">
        <f>"20190312160517699"</f>
        <v>20190312160517699</v>
      </c>
      <c r="B7579" t="str">
        <f>"1552377917693113"</f>
        <v>1552377917693113</v>
      </c>
      <c r="C7579" t="s">
        <v>40</v>
      </c>
      <c r="D7579">
        <v>5.3194949999999999</v>
      </c>
      <c r="E7579">
        <v>0.4792534</v>
      </c>
      <c r="F7579" t="s">
        <v>123</v>
      </c>
      <c r="G7579">
        <v>-225.10980000000001</v>
      </c>
      <c r="H7579" s="1">
        <v>-1.765889E-6</v>
      </c>
      <c r="I7579">
        <v>-62.433199999999999</v>
      </c>
      <c r="J7579">
        <v>-238.7818</v>
      </c>
      <c r="K7579">
        <v>1.109699</v>
      </c>
      <c r="L7579">
        <v>-64.784610000000001</v>
      </c>
      <c r="M7579">
        <v>0.99504919999999997</v>
      </c>
      <c r="N7579">
        <v>0</v>
      </c>
      <c r="O7579">
        <v>9.9029350000000002E-2</v>
      </c>
      <c r="P7579">
        <v>0.99205549999999998</v>
      </c>
      <c r="Q7579">
        <v>4.370856E-2</v>
      </c>
      <c r="R7579">
        <v>0.1179632</v>
      </c>
      <c r="S7579">
        <v>2.9739840000000002</v>
      </c>
      <c r="T7579">
        <v>-0.23938980000000001</v>
      </c>
      <c r="U7579">
        <v>0.50970459999999995</v>
      </c>
      <c r="V7579">
        <v>-1.9142920000000001E-2</v>
      </c>
      <c r="W7579">
        <v>5.2085960000000001E-2</v>
      </c>
      <c r="X7579">
        <v>0.99845910000000004</v>
      </c>
      <c r="Y7579">
        <v>-7.0573049999999998E-2</v>
      </c>
      <c r="Z7579">
        <v>-5.0597560000000003E-3</v>
      </c>
      <c r="AA7579">
        <v>0.99749379999999999</v>
      </c>
      <c r="AB7579">
        <v>24</v>
      </c>
      <c r="AC7579">
        <v>13.671999999999899</v>
      </c>
      <c r="AD7579">
        <v>-1.1097007658889999</v>
      </c>
      <c r="AE7579">
        <v>2.35141</v>
      </c>
      <c r="AF7579">
        <v>-0.97960586303457098</v>
      </c>
      <c r="AG7579">
        <v>-1.1097007658889999</v>
      </c>
      <c r="AH7579">
        <v>13.749678259348199</v>
      </c>
      <c r="AI7579">
        <v>94.602576069770805</v>
      </c>
      <c r="AJ7579">
        <v>94.075193772820498</v>
      </c>
      <c r="AK7579">
        <v>13.829125629348299</v>
      </c>
      <c r="AL7579">
        <v>87.014343252427395</v>
      </c>
      <c r="AM7579">
        <v>91.098366636828601</v>
      </c>
      <c r="AN7579">
        <v>0.99999998649402899</v>
      </c>
    </row>
    <row r="7580" spans="1:40" x14ac:dyDescent="0.25">
      <c r="A7580" t="str">
        <f>"20190312160517711"</f>
        <v>20190312160517711</v>
      </c>
      <c r="B7580" t="str">
        <f>"1552377917702873"</f>
        <v>1552377917702873</v>
      </c>
      <c r="C7580" t="s">
        <v>40</v>
      </c>
      <c r="D7580">
        <v>5.3335439999999998</v>
      </c>
      <c r="E7580">
        <v>0.47934169999999998</v>
      </c>
      <c r="F7580" t="s">
        <v>123</v>
      </c>
      <c r="G7580">
        <v>-225.011</v>
      </c>
      <c r="H7580" s="1">
        <v>-1.721378E-6</v>
      </c>
      <c r="I7580">
        <v>-62.423720000000003</v>
      </c>
      <c r="J7580">
        <v>-238.6611</v>
      </c>
      <c r="K7580">
        <v>1.109669</v>
      </c>
      <c r="L7580">
        <v>-64.77252</v>
      </c>
      <c r="M7580">
        <v>0.9950466</v>
      </c>
      <c r="N7580">
        <v>0</v>
      </c>
      <c r="O7580">
        <v>9.9053909999999995E-2</v>
      </c>
      <c r="P7580">
        <v>0.99200679999999997</v>
      </c>
      <c r="Q7580">
        <v>4.3909179999999999E-2</v>
      </c>
      <c r="R7580">
        <v>0.1182986</v>
      </c>
      <c r="S7580">
        <v>2.973938</v>
      </c>
      <c r="T7580">
        <v>-0.2396508</v>
      </c>
      <c r="U7580">
        <v>0.50985720000000001</v>
      </c>
      <c r="V7580">
        <v>-1.9453109999999999E-2</v>
      </c>
      <c r="W7580">
        <v>5.230311E-2</v>
      </c>
      <c r="X7580">
        <v>0.99844180000000005</v>
      </c>
      <c r="Y7580">
        <v>-7.0600860000000001E-2</v>
      </c>
      <c r="Z7580">
        <v>-5.0661409999999997E-3</v>
      </c>
      <c r="AA7580">
        <v>0.99749180000000004</v>
      </c>
      <c r="AB7580">
        <v>24</v>
      </c>
      <c r="AC7580">
        <v>13.6501</v>
      </c>
      <c r="AD7580">
        <v>-1.1096707213779999</v>
      </c>
      <c r="AE7580">
        <v>2.3488000000000002</v>
      </c>
      <c r="AF7580">
        <v>-0.97882172187507599</v>
      </c>
      <c r="AG7580">
        <v>-1.1096707213779999</v>
      </c>
      <c r="AH7580">
        <v>13.7275187552255</v>
      </c>
      <c r="AI7580">
        <v>94.609830616487201</v>
      </c>
      <c r="AJ7580">
        <v>94.078493623355698</v>
      </c>
      <c r="AK7580">
        <v>13.8070356068261</v>
      </c>
      <c r="AL7580">
        <v>87.001884632373603</v>
      </c>
      <c r="AM7580">
        <v>91.116179330418603</v>
      </c>
      <c r="AN7580">
        <v>1.0000000333957899</v>
      </c>
    </row>
    <row r="7581" spans="1:40" x14ac:dyDescent="0.25">
      <c r="A7581" t="str">
        <f>"20190312160517722"</f>
        <v>20190312160517722</v>
      </c>
      <c r="B7581" t="str">
        <f>"1552377917712634"</f>
        <v>1552377917712634</v>
      </c>
      <c r="C7581" t="s">
        <v>40</v>
      </c>
      <c r="D7581">
        <v>5.3288349999999998</v>
      </c>
      <c r="E7581">
        <v>0.47934169999999998</v>
      </c>
      <c r="F7581" t="s">
        <v>123</v>
      </c>
      <c r="G7581">
        <v>-224.88679999999999</v>
      </c>
      <c r="H7581" s="1">
        <v>-1.665049E-6</v>
      </c>
      <c r="I7581">
        <v>-62.409910000000004</v>
      </c>
      <c r="J7581">
        <v>-238.5386</v>
      </c>
      <c r="K7581">
        <v>1.1096429999999999</v>
      </c>
      <c r="L7581">
        <v>-64.760279999999995</v>
      </c>
      <c r="M7581">
        <v>0.99504630000000005</v>
      </c>
      <c r="N7581">
        <v>0</v>
      </c>
      <c r="O7581">
        <v>9.9055809999999994E-2</v>
      </c>
      <c r="P7581">
        <v>0.99201189999999995</v>
      </c>
      <c r="Q7581">
        <v>4.3842840000000001E-2</v>
      </c>
      <c r="R7581">
        <v>0.11828130000000001</v>
      </c>
      <c r="S7581">
        <v>2.973938</v>
      </c>
      <c r="T7581">
        <v>-0.2395844</v>
      </c>
      <c r="U7581">
        <v>0.51010129999999998</v>
      </c>
      <c r="V7581">
        <v>-1.9429829999999999E-2</v>
      </c>
      <c r="W7581">
        <v>5.2254540000000002E-2</v>
      </c>
      <c r="X7581">
        <v>0.99844469999999996</v>
      </c>
      <c r="Y7581">
        <v>-7.067822E-2</v>
      </c>
      <c r="Z7581">
        <v>-5.0617630000000004E-3</v>
      </c>
      <c r="AA7581">
        <v>0.9974864</v>
      </c>
      <c r="AB7581">
        <v>24</v>
      </c>
      <c r="AC7581">
        <v>13.6518</v>
      </c>
      <c r="AD7581">
        <v>-1.1096446650489999</v>
      </c>
      <c r="AE7581">
        <v>2.3503700000000101</v>
      </c>
      <c r="AF7581">
        <v>-0.980182392212122</v>
      </c>
      <c r="AG7581">
        <v>-1.1096446650489999</v>
      </c>
      <c r="AH7581">
        <v>13.729384671766599</v>
      </c>
      <c r="AI7581">
        <v>94.609069916348403</v>
      </c>
      <c r="AJ7581">
        <v>94.083590822874001</v>
      </c>
      <c r="AK7581">
        <v>13.808985200586401</v>
      </c>
      <c r="AL7581">
        <v>87.004671010285506</v>
      </c>
      <c r="AM7581">
        <v>91.114840672089997</v>
      </c>
      <c r="AN7581">
        <v>0.999999937101263</v>
      </c>
    </row>
    <row r="7582" spans="1:40" x14ac:dyDescent="0.25">
      <c r="A7582" t="str">
        <f>"20190312160517734"</f>
        <v>20190312160517734</v>
      </c>
      <c r="B7582" t="str">
        <f>"1552377917722394"</f>
        <v>1552377917722394</v>
      </c>
      <c r="C7582" t="s">
        <v>40</v>
      </c>
      <c r="D7582">
        <v>5.3157839999999998</v>
      </c>
      <c r="E7582">
        <v>0.4911913</v>
      </c>
      <c r="F7582" t="s">
        <v>123</v>
      </c>
      <c r="G7582">
        <v>-224.77680000000001</v>
      </c>
      <c r="H7582" s="1">
        <v>-1.615723E-6</v>
      </c>
      <c r="I7582">
        <v>-62.400359999999999</v>
      </c>
      <c r="J7582">
        <v>-238.41679999999999</v>
      </c>
      <c r="K7582">
        <v>1.109615</v>
      </c>
      <c r="L7582">
        <v>-64.748199999999997</v>
      </c>
      <c r="M7582">
        <v>0.9950485</v>
      </c>
      <c r="N7582">
        <v>0</v>
      </c>
      <c r="O7582">
        <v>9.9031590000000003E-2</v>
      </c>
      <c r="P7582">
        <v>0.99202690000000004</v>
      </c>
      <c r="Q7582">
        <v>4.3737959999999999E-2</v>
      </c>
      <c r="R7582">
        <v>0.11819440000000001</v>
      </c>
      <c r="S7582">
        <v>2.973938</v>
      </c>
      <c r="T7582">
        <v>-0.2397948</v>
      </c>
      <c r="U7582">
        <v>0.50997919999999997</v>
      </c>
      <c r="V7582">
        <v>-1.9362790000000001E-2</v>
      </c>
      <c r="W7582">
        <v>5.2168829999999999E-2</v>
      </c>
      <c r="X7582">
        <v>0.99845059999999997</v>
      </c>
      <c r="Y7582">
        <v>-7.0662829999999996E-2</v>
      </c>
      <c r="Z7582">
        <v>-5.0649090000000003E-3</v>
      </c>
      <c r="AA7582">
        <v>0.99748740000000002</v>
      </c>
      <c r="AB7582">
        <v>24</v>
      </c>
      <c r="AC7582">
        <v>13.639999999999899</v>
      </c>
      <c r="AD7582">
        <v>-1.1096166157230001</v>
      </c>
      <c r="AE7582">
        <v>2.3478399999999899</v>
      </c>
      <c r="AF7582">
        <v>-0.97916537219415201</v>
      </c>
      <c r="AG7582">
        <v>-1.1096166157230001</v>
      </c>
      <c r="AH7582">
        <v>13.7172967160447</v>
      </c>
      <c r="AI7582">
        <v>94.6130015553899</v>
      </c>
      <c r="AJ7582">
        <v>94.082950741062007</v>
      </c>
      <c r="AK7582">
        <v>13.796892514475999</v>
      </c>
      <c r="AL7582">
        <v>87.009588884726398</v>
      </c>
      <c r="AM7582">
        <v>91.110988467558897</v>
      </c>
      <c r="AN7582">
        <v>1.0000000525502499</v>
      </c>
    </row>
    <row r="7583" spans="1:40" x14ac:dyDescent="0.25">
      <c r="A7583" t="str">
        <f>"20190312160517744"</f>
        <v>20190312160517744</v>
      </c>
      <c r="B7583" t="str">
        <f>"1552377917732155"</f>
        <v>1552377917732155</v>
      </c>
      <c r="C7583" t="s">
        <v>40</v>
      </c>
      <c r="D7583">
        <v>5.3219289999999999</v>
      </c>
      <c r="E7583">
        <v>0.49215750000000003</v>
      </c>
      <c r="F7583" t="s">
        <v>123</v>
      </c>
      <c r="G7583">
        <v>-223.4109</v>
      </c>
      <c r="H7583" s="1">
        <v>-1.086274E-6</v>
      </c>
      <c r="I7583">
        <v>-62.654470000000003</v>
      </c>
      <c r="J7583">
        <v>-238.2912</v>
      </c>
      <c r="K7583">
        <v>1.109586</v>
      </c>
      <c r="L7583">
        <v>-64.735720000000001</v>
      </c>
      <c r="M7583">
        <v>0.99505279999999996</v>
      </c>
      <c r="N7583">
        <v>0</v>
      </c>
      <c r="O7583">
        <v>9.8988149999999997E-2</v>
      </c>
      <c r="P7583">
        <v>0.99209309999999995</v>
      </c>
      <c r="Q7583">
        <v>4.3352410000000001E-2</v>
      </c>
      <c r="R7583">
        <v>0.11778039999999899</v>
      </c>
      <c r="S7583">
        <v>2.9842379999999999</v>
      </c>
      <c r="T7583">
        <v>-0.22067110000000001</v>
      </c>
      <c r="U7583">
        <v>0.41638180000000002</v>
      </c>
      <c r="V7583">
        <v>-1.898418E-2</v>
      </c>
      <c r="W7583">
        <v>5.1803589999999997E-2</v>
      </c>
      <c r="X7583">
        <v>0.9984769</v>
      </c>
      <c r="Y7583">
        <v>-3.9625519999999997E-2</v>
      </c>
      <c r="Z7583">
        <v>-5.7974719999999997E-3</v>
      </c>
      <c r="AA7583">
        <v>0.99919780000000002</v>
      </c>
      <c r="AB7583">
        <v>25</v>
      </c>
      <c r="AC7583">
        <v>14.8803</v>
      </c>
      <c r="AD7583">
        <v>-1.109587086274</v>
      </c>
      <c r="AE7583">
        <v>2.0812499999999998</v>
      </c>
      <c r="AF7583">
        <v>-0.594757993032896</v>
      </c>
      <c r="AG7583">
        <v>-1.109587086274</v>
      </c>
      <c r="AH7583">
        <v>14.931805763218</v>
      </c>
      <c r="AI7583">
        <v>94.246500921185401</v>
      </c>
      <c r="AJ7583">
        <v>92.280977849107202</v>
      </c>
      <c r="AK7583">
        <v>14.984783746279801</v>
      </c>
      <c r="AL7583">
        <v>87.030543967885606</v>
      </c>
      <c r="AM7583">
        <v>91.089241374210502</v>
      </c>
      <c r="AN7583">
        <v>1.00000006543038</v>
      </c>
    </row>
    <row r="7584" spans="1:40" x14ac:dyDescent="0.25">
      <c r="A7584" t="str">
        <f>"20190312160517758"</f>
        <v>20190312160517758</v>
      </c>
      <c r="B7584" t="str">
        <f>"1552377917752650"</f>
        <v>1552377917752650</v>
      </c>
      <c r="C7584" t="s">
        <v>40</v>
      </c>
      <c r="D7584">
        <v>5.3263210000000001</v>
      </c>
      <c r="E7584">
        <v>0.4930061</v>
      </c>
      <c r="F7584" t="s">
        <v>123</v>
      </c>
      <c r="G7584">
        <v>-223.28129999999999</v>
      </c>
      <c r="H7584" s="1">
        <v>-1.037646E-6</v>
      </c>
      <c r="I7584">
        <v>-62.685960000000001</v>
      </c>
      <c r="J7584">
        <v>-238.1591</v>
      </c>
      <c r="K7584">
        <v>1.10955</v>
      </c>
      <c r="L7584">
        <v>-64.722629999999995</v>
      </c>
      <c r="M7584">
        <v>0.9950618</v>
      </c>
      <c r="N7584">
        <v>0</v>
      </c>
      <c r="O7584">
        <v>9.8895159999999996E-2</v>
      </c>
      <c r="P7584">
        <v>0.99220819999999998</v>
      </c>
      <c r="Q7584">
        <v>4.2946579999999998E-2</v>
      </c>
      <c r="R7584">
        <v>0.1169544</v>
      </c>
      <c r="S7584">
        <v>2.9851679999999998</v>
      </c>
      <c r="T7584">
        <v>-0.2206737</v>
      </c>
      <c r="U7584">
        <v>0.40765380000000001</v>
      </c>
      <c r="V7584">
        <v>-1.8239419999999999E-2</v>
      </c>
      <c r="W7584">
        <v>5.1421189999999999E-2</v>
      </c>
      <c r="X7584">
        <v>0.99851049999999997</v>
      </c>
      <c r="Y7584">
        <v>-3.6816460000000002E-2</v>
      </c>
      <c r="Z7584">
        <v>-5.893588E-3</v>
      </c>
      <c r="AA7584">
        <v>0.99930469999999905</v>
      </c>
      <c r="AB7584">
        <v>25</v>
      </c>
      <c r="AC7584">
        <v>14.877800000000001</v>
      </c>
      <c r="AD7584">
        <v>-1.109551037646</v>
      </c>
      <c r="AE7584">
        <v>2.0366700000000102</v>
      </c>
      <c r="AF7584">
        <v>-0.55227487762831795</v>
      </c>
      <c r="AG7584">
        <v>-1.109551037646</v>
      </c>
      <c r="AH7584">
        <v>14.9248035454589</v>
      </c>
      <c r="AI7584">
        <v>94.248807608337998</v>
      </c>
      <c r="AJ7584">
        <v>92.119196317970093</v>
      </c>
      <c r="AK7584">
        <v>14.9761768123959</v>
      </c>
      <c r="AL7584">
        <v>87.052482970206995</v>
      </c>
      <c r="AM7584">
        <v>91.046484315491099</v>
      </c>
      <c r="AN7584">
        <v>1.0000000169165999</v>
      </c>
    </row>
    <row r="7585" spans="1:40" x14ac:dyDescent="0.25">
      <c r="A7585" t="str">
        <f>"20190312160517768"</f>
        <v>20190312160517768</v>
      </c>
      <c r="B7585" t="str">
        <f>"1552377917762411"</f>
        <v>1552377917762411</v>
      </c>
      <c r="C7585" t="s">
        <v>40</v>
      </c>
      <c r="D7585">
        <v>5.301952</v>
      </c>
      <c r="E7585">
        <v>0.4932434</v>
      </c>
      <c r="F7585" t="s">
        <v>123</v>
      </c>
      <c r="G7585">
        <v>-222.94909999999999</v>
      </c>
      <c r="H7585" s="1">
        <v>-8.9644809999999905E-7</v>
      </c>
      <c r="I7585">
        <v>-62.691839999999999</v>
      </c>
      <c r="J7585">
        <v>-238.03989999999999</v>
      </c>
      <c r="K7585">
        <v>1.1095170000000001</v>
      </c>
      <c r="L7585">
        <v>-64.710849999999994</v>
      </c>
      <c r="M7585">
        <v>0.99507120000000004</v>
      </c>
      <c r="N7585">
        <v>0</v>
      </c>
      <c r="O7585">
        <v>9.879868E-2</v>
      </c>
      <c r="P7585">
        <v>0.99232750000000003</v>
      </c>
      <c r="Q7585">
        <v>4.2517109999999997E-2</v>
      </c>
      <c r="R7585">
        <v>0.1160983</v>
      </c>
      <c r="S7585">
        <v>2.986008</v>
      </c>
      <c r="T7585">
        <v>-0.21782599999999999</v>
      </c>
      <c r="U7585">
        <v>0.39868160000000002</v>
      </c>
      <c r="V7585">
        <v>-1.7468460000000002E-2</v>
      </c>
      <c r="W7585">
        <v>5.1013080000000002E-2</v>
      </c>
      <c r="X7585">
        <v>0.99854520000000002</v>
      </c>
      <c r="Y7585">
        <v>-3.392966E-2</v>
      </c>
      <c r="Z7585">
        <v>-5.9152869999999896E-3</v>
      </c>
      <c r="AA7585">
        <v>0.99940669999999998</v>
      </c>
      <c r="AB7585">
        <v>25</v>
      </c>
      <c r="AC7585">
        <v>15.0908</v>
      </c>
      <c r="AD7585">
        <v>-1.1095178964481001</v>
      </c>
      <c r="AE7585">
        <v>2.01900999999999</v>
      </c>
      <c r="AF7585">
        <v>-0.51538927205738705</v>
      </c>
      <c r="AG7585">
        <v>-1.1095178964481001</v>
      </c>
      <c r="AH7585">
        <v>15.1360640311601</v>
      </c>
      <c r="AI7585">
        <v>94.190030658496994</v>
      </c>
      <c r="AJ7585">
        <v>91.950191638072198</v>
      </c>
      <c r="AK7585">
        <v>15.1854236167342</v>
      </c>
      <c r="AL7585">
        <v>87.075896627452096</v>
      </c>
      <c r="AM7585">
        <v>91.002224987299101</v>
      </c>
      <c r="AN7585">
        <v>0.99999999893444802</v>
      </c>
    </row>
    <row r="7586" spans="1:40" x14ac:dyDescent="0.25">
      <c r="A7586" t="str">
        <f>"20190312160517779"</f>
        <v>20190312160517779</v>
      </c>
      <c r="B7586" t="str">
        <f>"1552377917772170"</f>
        <v>1552377917772170</v>
      </c>
      <c r="C7586" t="s">
        <v>40</v>
      </c>
      <c r="D7586">
        <v>5.3064790000000004</v>
      </c>
      <c r="E7586">
        <v>0.49354530000000002</v>
      </c>
      <c r="F7586" t="s">
        <v>123</v>
      </c>
      <c r="G7586">
        <v>-222.83369999999999</v>
      </c>
      <c r="H7586" s="1">
        <v>-8.4945650000000005E-7</v>
      </c>
      <c r="I7586">
        <v>-62.703189999999999</v>
      </c>
      <c r="J7586">
        <v>-237.9187</v>
      </c>
      <c r="K7586">
        <v>1.109483</v>
      </c>
      <c r="L7586">
        <v>-64.698909999999998</v>
      </c>
      <c r="M7586">
        <v>0.99508560000000001</v>
      </c>
      <c r="N7586">
        <v>0</v>
      </c>
      <c r="O7586">
        <v>9.8651699999999995E-2</v>
      </c>
      <c r="P7586">
        <v>0.99243429999999999</v>
      </c>
      <c r="Q7586">
        <v>4.2474360000000003E-2</v>
      </c>
      <c r="R7586">
        <v>0.1151968</v>
      </c>
      <c r="S7586">
        <v>2.986389</v>
      </c>
      <c r="T7586">
        <v>-0.21790080000000001</v>
      </c>
      <c r="U7586">
        <v>0.3942871</v>
      </c>
      <c r="V7586">
        <v>-1.67032999999999E-2</v>
      </c>
      <c r="W7586">
        <v>5.0993080000000003E-2</v>
      </c>
      <c r="X7586">
        <v>0.99855930000000004</v>
      </c>
      <c r="Y7586">
        <v>-3.2618469999999997E-2</v>
      </c>
      <c r="Z7586">
        <v>-5.9542379999999997E-3</v>
      </c>
      <c r="AA7586">
        <v>0.99945010000000001</v>
      </c>
      <c r="AB7586">
        <v>25</v>
      </c>
      <c r="AC7586">
        <v>15.085000000000001</v>
      </c>
      <c r="AD7586">
        <v>-1.1094838494565</v>
      </c>
      <c r="AE7586">
        <v>1.9957199999999899</v>
      </c>
      <c r="AF7586">
        <v>-0.49513704646566498</v>
      </c>
      <c r="AG7586">
        <v>-1.1094838494565</v>
      </c>
      <c r="AH7586">
        <v>15.1278732213914</v>
      </c>
      <c r="AI7586">
        <v>94.192346980093603</v>
      </c>
      <c r="AJ7586">
        <v>91.874628299964698</v>
      </c>
      <c r="AK7586">
        <v>15.176582728317999</v>
      </c>
      <c r="AL7586">
        <v>87.077043995716593</v>
      </c>
      <c r="AM7586">
        <v>90.958319999803393</v>
      </c>
      <c r="AN7586">
        <v>0.99999998502763299</v>
      </c>
    </row>
    <row r="7587" spans="1:40" x14ac:dyDescent="0.25">
      <c r="A7587" t="str">
        <f>"20190312160517789"</f>
        <v>20190312160517789</v>
      </c>
      <c r="B7587" t="str">
        <f>"1552377917782905"</f>
        <v>1552377917782905</v>
      </c>
      <c r="C7587" t="s">
        <v>40</v>
      </c>
      <c r="D7587">
        <v>5.3333219999999999</v>
      </c>
      <c r="E7587">
        <v>0.49364829999999998</v>
      </c>
      <c r="F7587" t="s">
        <v>123</v>
      </c>
      <c r="G7587">
        <v>-222.25989999999999</v>
      </c>
      <c r="H7587" s="1">
        <v>-5.931749E-7</v>
      </c>
      <c r="I7587">
        <v>-62.657670000000003</v>
      </c>
      <c r="J7587">
        <v>-237.80619999999999</v>
      </c>
      <c r="K7587">
        <v>1.1094469999999901</v>
      </c>
      <c r="L7587">
        <v>-64.687899999999999</v>
      </c>
      <c r="M7587">
        <v>0.99509979999999998</v>
      </c>
      <c r="N7587">
        <v>0</v>
      </c>
      <c r="O7587">
        <v>9.8505529999999994E-2</v>
      </c>
      <c r="P7587">
        <v>0.99252779999999996</v>
      </c>
      <c r="Q7587">
        <v>4.2528419999999997E-2</v>
      </c>
      <c r="R7587">
        <v>0.11436739999999999</v>
      </c>
      <c r="S7587">
        <v>2.9867400000000002</v>
      </c>
      <c r="T7587">
        <v>-0.2116208</v>
      </c>
      <c r="U7587">
        <v>0.3893433</v>
      </c>
      <c r="V7587">
        <v>-1.6010440000000001E-2</v>
      </c>
      <c r="W7587">
        <v>5.106832E-2</v>
      </c>
      <c r="X7587">
        <v>0.99856679999999998</v>
      </c>
      <c r="Y7587">
        <v>-3.1117229999999999E-2</v>
      </c>
      <c r="Z7587">
        <v>-5.8258169999999996E-3</v>
      </c>
      <c r="AA7587">
        <v>0.99949880000000002</v>
      </c>
      <c r="AB7587">
        <v>25</v>
      </c>
      <c r="AC7587">
        <v>15.5463</v>
      </c>
      <c r="AD7587">
        <v>-1.1094475931748999</v>
      </c>
      <c r="AE7587">
        <v>2.03023</v>
      </c>
      <c r="AF7587">
        <v>-0.48646685196774703</v>
      </c>
      <c r="AG7587">
        <v>-1.1094475931748999</v>
      </c>
      <c r="AH7587">
        <v>15.5926023324854</v>
      </c>
      <c r="AI7587">
        <v>94.067887985129801</v>
      </c>
      <c r="AJ7587">
        <v>91.786966597168899</v>
      </c>
      <c r="AK7587">
        <v>15.6395898750285</v>
      </c>
      <c r="AL7587">
        <v>87.072727424644995</v>
      </c>
      <c r="AM7587">
        <v>90.918568538474901</v>
      </c>
      <c r="AN7587">
        <v>0.99999998077942698</v>
      </c>
    </row>
    <row r="7588" spans="1:40" x14ac:dyDescent="0.25">
      <c r="A7588" t="str">
        <f>"20190312160517801"</f>
        <v>20190312160517801</v>
      </c>
      <c r="B7588" t="str">
        <f>"1552377917792665"</f>
        <v>1552377917792665</v>
      </c>
      <c r="C7588" t="s">
        <v>40</v>
      </c>
      <c r="D7588">
        <v>5.3249649999999997</v>
      </c>
      <c r="E7588">
        <v>0.4935928</v>
      </c>
      <c r="F7588" t="s">
        <v>123</v>
      </c>
      <c r="G7588">
        <v>-222.19210000000001</v>
      </c>
      <c r="H7588" s="1">
        <v>-5.6705069999999898E-7</v>
      </c>
      <c r="I7588">
        <v>-62.670839999999998</v>
      </c>
      <c r="J7588">
        <v>-237.6754</v>
      </c>
      <c r="K7588">
        <v>1.109405</v>
      </c>
      <c r="L7588">
        <v>-64.675139999999999</v>
      </c>
      <c r="M7588">
        <v>0.99512060000000002</v>
      </c>
      <c r="N7588">
        <v>0</v>
      </c>
      <c r="O7588">
        <v>9.8294450000000005E-2</v>
      </c>
      <c r="P7588">
        <v>0.99260919999999997</v>
      </c>
      <c r="Q7588">
        <v>4.2663779999999998E-2</v>
      </c>
      <c r="R7588">
        <v>0.1136091</v>
      </c>
      <c r="S7588">
        <v>2.987228</v>
      </c>
      <c r="T7588">
        <v>-0.212255</v>
      </c>
      <c r="U7588">
        <v>0.38589479999999998</v>
      </c>
      <c r="V7588">
        <v>-1.545416E-2</v>
      </c>
      <c r="W7588">
        <v>5.1230709999999999E-2</v>
      </c>
      <c r="X7588">
        <v>0.99856730000000005</v>
      </c>
      <c r="Y7588">
        <v>-3.0176310000000001E-2</v>
      </c>
      <c r="Z7588">
        <v>-5.8612509999999996E-3</v>
      </c>
      <c r="AA7588">
        <v>0.99952739999999995</v>
      </c>
      <c r="AB7588">
        <v>25</v>
      </c>
      <c r="AC7588">
        <v>15.4832999999999</v>
      </c>
      <c r="AD7588">
        <v>-1.1094055670506999</v>
      </c>
      <c r="AE7588">
        <v>2.00429999999999</v>
      </c>
      <c r="AF7588">
        <v>-0.47024064241907998</v>
      </c>
      <c r="AG7588">
        <v>-1.1094055670506999</v>
      </c>
      <c r="AH7588">
        <v>15.526932373439699</v>
      </c>
      <c r="AI7588">
        <v>94.084994629125404</v>
      </c>
      <c r="AJ7588">
        <v>91.734700109545798</v>
      </c>
      <c r="AK7588">
        <v>15.573616660986501</v>
      </c>
      <c r="AL7588">
        <v>87.063411126031397</v>
      </c>
      <c r="AM7588">
        <v>90.886657774613496</v>
      </c>
      <c r="AN7588">
        <v>1.00000003466884</v>
      </c>
    </row>
    <row r="7589" spans="1:40" x14ac:dyDescent="0.25">
      <c r="A7589" t="str">
        <f>"20190312160517812"</f>
        <v>20190312160517812</v>
      </c>
      <c r="B7589" t="str">
        <f>"1552377917802425"</f>
        <v>1552377917802425</v>
      </c>
      <c r="C7589" t="s">
        <v>40</v>
      </c>
      <c r="D7589">
        <v>5.3223669999999998</v>
      </c>
      <c r="E7589">
        <v>0.49379220000000001</v>
      </c>
      <c r="F7589" t="s">
        <v>123</v>
      </c>
      <c r="G7589">
        <v>-222.30510000000001</v>
      </c>
      <c r="H7589" s="1">
        <v>-6.2212010000000001E-7</v>
      </c>
      <c r="I7589">
        <v>-62.70055</v>
      </c>
      <c r="J7589">
        <v>-237.55619999999999</v>
      </c>
      <c r="K7589">
        <v>1.109369</v>
      </c>
      <c r="L7589">
        <v>-64.663569999999893</v>
      </c>
      <c r="M7589">
        <v>0.99514139999999995</v>
      </c>
      <c r="N7589">
        <v>0</v>
      </c>
      <c r="O7589">
        <v>9.8080920000000002E-2</v>
      </c>
      <c r="P7589">
        <v>0.9926857</v>
      </c>
      <c r="Q7589">
        <v>4.2808440000000003E-2</v>
      </c>
      <c r="R7589">
        <v>0.11288280000000001</v>
      </c>
      <c r="S7589">
        <v>2.9876710000000002</v>
      </c>
      <c r="T7589">
        <v>-0.21564630000000001</v>
      </c>
      <c r="U7589">
        <v>0.38381959999999998</v>
      </c>
      <c r="V7589">
        <v>-1.493264E-2</v>
      </c>
      <c r="W7589">
        <v>5.1399760000000003E-2</v>
      </c>
      <c r="X7589">
        <v>0.99856650000000002</v>
      </c>
      <c r="Y7589">
        <v>-2.969509E-2</v>
      </c>
      <c r="Z7589">
        <v>-5.9561589999999999E-3</v>
      </c>
      <c r="AA7589">
        <v>0.99954129999999997</v>
      </c>
      <c r="AB7589">
        <v>25</v>
      </c>
      <c r="AC7589">
        <v>15.2510999999999</v>
      </c>
      <c r="AD7589">
        <v>-1.1093696221200999</v>
      </c>
      <c r="AE7589">
        <v>1.96301999999999</v>
      </c>
      <c r="AF7589">
        <v>-0.45528768677659998</v>
      </c>
      <c r="AG7589">
        <v>-1.1093696221200999</v>
      </c>
      <c r="AH7589">
        <v>15.2905164901999</v>
      </c>
      <c r="AI7589">
        <v>94.147865687092903</v>
      </c>
      <c r="AJ7589">
        <v>91.705524972596294</v>
      </c>
      <c r="AK7589">
        <v>15.337466621749799</v>
      </c>
      <c r="AL7589">
        <v>87.053712356350403</v>
      </c>
      <c r="AM7589">
        <v>90.856741620671599</v>
      </c>
      <c r="AN7589">
        <v>0.99999998699383796</v>
      </c>
    </row>
    <row r="7590" spans="1:40" x14ac:dyDescent="0.25">
      <c r="A7590" t="str">
        <f>"20190312160517822"</f>
        <v>20190312160517822</v>
      </c>
      <c r="B7590" t="str">
        <f>"1552377917812186"</f>
        <v>1552377917812186</v>
      </c>
      <c r="C7590" t="s">
        <v>40</v>
      </c>
      <c r="D7590">
        <v>5.2849139999999997</v>
      </c>
      <c r="E7590">
        <v>0.49388019999999999</v>
      </c>
      <c r="F7590" t="s">
        <v>123</v>
      </c>
      <c r="G7590">
        <v>-221.9572</v>
      </c>
      <c r="H7590" s="1">
        <v>-4.6816929999999999E-7</v>
      </c>
      <c r="I7590">
        <v>-62.679310000000001</v>
      </c>
      <c r="J7590">
        <v>-237.43100000000001</v>
      </c>
      <c r="K7590">
        <v>1.1093299999999999</v>
      </c>
      <c r="L7590">
        <v>-64.65146</v>
      </c>
      <c r="M7590">
        <v>0.99516610000000005</v>
      </c>
      <c r="N7590">
        <v>0</v>
      </c>
      <c r="O7590">
        <v>9.7829260000000001E-2</v>
      </c>
      <c r="P7590">
        <v>0.9927762</v>
      </c>
      <c r="Q7590">
        <v>4.2967709999999999E-2</v>
      </c>
      <c r="R7590">
        <v>0.112024</v>
      </c>
      <c r="S7590">
        <v>2.9880680000000002</v>
      </c>
      <c r="T7590">
        <v>-0.21250649999999999</v>
      </c>
      <c r="U7590">
        <v>0.3800964</v>
      </c>
      <c r="V7590">
        <v>-1.4316829999999999E-2</v>
      </c>
      <c r="W7590">
        <v>5.1584530000000003E-2</v>
      </c>
      <c r="X7590">
        <v>0.99856599999999995</v>
      </c>
      <c r="Y7590">
        <v>-2.8702450000000001E-2</v>
      </c>
      <c r="Z7590">
        <v>-5.8868770000000004E-3</v>
      </c>
      <c r="AA7590">
        <v>0.99957070000000003</v>
      </c>
      <c r="AB7590">
        <v>25</v>
      </c>
      <c r="AC7590">
        <v>15.473799999999899</v>
      </c>
      <c r="AD7590">
        <v>-1.1093304681692999</v>
      </c>
      <c r="AE7590">
        <v>1.9721499999999901</v>
      </c>
      <c r="AF7590">
        <v>-0.44658442856446701</v>
      </c>
      <c r="AG7590">
        <v>-1.1093304681692999</v>
      </c>
      <c r="AH7590">
        <v>15.514049837571299</v>
      </c>
      <c r="AI7590">
        <v>94.088279718719093</v>
      </c>
      <c r="AJ7590">
        <v>91.648849868268698</v>
      </c>
      <c r="AK7590">
        <v>15.5600705044062</v>
      </c>
      <c r="AL7590">
        <v>87.043111778479101</v>
      </c>
      <c r="AM7590">
        <v>90.8214156452282</v>
      </c>
      <c r="AN7590">
        <v>0.99999999585628396</v>
      </c>
    </row>
    <row r="7591" spans="1:40" x14ac:dyDescent="0.25">
      <c r="A7591" t="str">
        <f>"20190312160517834"</f>
        <v>20190312160517834</v>
      </c>
      <c r="B7591" t="str">
        <f>"1552377917822922"</f>
        <v>1552377917822922</v>
      </c>
      <c r="C7591" t="s">
        <v>40</v>
      </c>
      <c r="D7591">
        <v>5.3185919999999998</v>
      </c>
      <c r="E7591">
        <v>0.49370540000000002</v>
      </c>
      <c r="F7591" t="s">
        <v>123</v>
      </c>
      <c r="G7591">
        <v>-221.66059999999999</v>
      </c>
      <c r="H7591" s="1">
        <v>-3.3702539999999998E-7</v>
      </c>
      <c r="I7591">
        <v>-62.661850000000001</v>
      </c>
      <c r="J7591">
        <v>-237.3065</v>
      </c>
      <c r="K7591">
        <v>1.109291</v>
      </c>
      <c r="L7591">
        <v>-64.639529999999993</v>
      </c>
      <c r="M7591">
        <v>0.99519369999999996</v>
      </c>
      <c r="N7591">
        <v>0</v>
      </c>
      <c r="O7591">
        <v>9.7544759999999994E-2</v>
      </c>
      <c r="P7591">
        <v>0.99286200000000002</v>
      </c>
      <c r="Q7591">
        <v>4.3067250000000001E-2</v>
      </c>
      <c r="R7591">
        <v>0.1112219</v>
      </c>
      <c r="S7591">
        <v>2.9883730000000002</v>
      </c>
      <c r="T7591">
        <v>-0.21020949999999999</v>
      </c>
      <c r="U7591">
        <v>0.37701420000000002</v>
      </c>
      <c r="V7591">
        <v>-1.3790119999999999E-2</v>
      </c>
      <c r="W7591">
        <v>5.1711199999999999E-2</v>
      </c>
      <c r="X7591">
        <v>0.99856690000000004</v>
      </c>
      <c r="Y7591">
        <v>-2.7958159999999999E-2</v>
      </c>
      <c r="Z7591">
        <v>-5.8295409999999997E-3</v>
      </c>
      <c r="AA7591">
        <v>0.99959209999999998</v>
      </c>
      <c r="AB7591">
        <v>25</v>
      </c>
      <c r="AC7591">
        <v>15.645899999999999</v>
      </c>
      <c r="AD7591">
        <v>-1.1092913370254001</v>
      </c>
      <c r="AE7591">
        <v>1.9776800000000001</v>
      </c>
      <c r="AF7591">
        <v>-0.43983937915222998</v>
      </c>
      <c r="AG7591">
        <v>-1.1092913370254001</v>
      </c>
      <c r="AH7591">
        <v>15.6865878052167</v>
      </c>
      <c r="AI7591">
        <v>94.043405659040303</v>
      </c>
      <c r="AJ7591">
        <v>91.606107026996199</v>
      </c>
      <c r="AK7591">
        <v>15.731910974850599</v>
      </c>
      <c r="AL7591">
        <v>87.035844537965502</v>
      </c>
      <c r="AM7591">
        <v>90.791199319858507</v>
      </c>
      <c r="AN7591">
        <v>1.0000000346953299</v>
      </c>
    </row>
    <row r="7592" spans="1:40" x14ac:dyDescent="0.25">
      <c r="A7592" t="str">
        <f>"20190312160517845"</f>
        <v>20190312160517845</v>
      </c>
      <c r="B7592" t="str">
        <f>"1552377917832681"</f>
        <v>1552377917832681</v>
      </c>
      <c r="C7592" t="s">
        <v>40</v>
      </c>
      <c r="D7592">
        <v>5.3298809999999897</v>
      </c>
      <c r="E7592">
        <v>0.49353059999999999</v>
      </c>
      <c r="F7592" t="s">
        <v>123</v>
      </c>
      <c r="G7592">
        <v>-221.6644</v>
      </c>
      <c r="H7592" s="1">
        <v>-3.406517E-7</v>
      </c>
      <c r="I7592">
        <v>-62.670749999999998</v>
      </c>
      <c r="J7592">
        <v>-237.1901</v>
      </c>
      <c r="K7592">
        <v>1.109256</v>
      </c>
      <c r="L7592">
        <v>-64.628360000000001</v>
      </c>
      <c r="M7592">
        <v>0.99522100000000002</v>
      </c>
      <c r="N7592">
        <v>0</v>
      </c>
      <c r="O7592">
        <v>9.7262260000000003E-2</v>
      </c>
      <c r="P7592">
        <v>0.99296680000000004</v>
      </c>
      <c r="Q7592">
        <v>4.2901090000000003E-2</v>
      </c>
      <c r="R7592">
        <v>0.11034620000000001</v>
      </c>
      <c r="S7592">
        <v>2.9886170000000001</v>
      </c>
      <c r="T7592">
        <v>-0.21194389999999999</v>
      </c>
      <c r="U7592">
        <v>0.37615969999999999</v>
      </c>
      <c r="V7592">
        <v>-1.3187880000000001E-2</v>
      </c>
      <c r="W7592">
        <v>5.1570240000000003E-2</v>
      </c>
      <c r="X7592">
        <v>0.99858230000000003</v>
      </c>
      <c r="Y7592">
        <v>-2.795249E-2</v>
      </c>
      <c r="Z7592">
        <v>-5.8575769999999897E-3</v>
      </c>
      <c r="AA7592">
        <v>0.99959209999999998</v>
      </c>
      <c r="AB7592">
        <v>25</v>
      </c>
      <c r="AC7592">
        <v>15.525700000000001</v>
      </c>
      <c r="AD7592">
        <v>-1.1092563406517</v>
      </c>
      <c r="AE7592">
        <v>1.9576100000000001</v>
      </c>
      <c r="AF7592">
        <v>-0.43601553882578198</v>
      </c>
      <c r="AG7592">
        <v>-1.1092563406517</v>
      </c>
      <c r="AH7592">
        <v>15.564286462048701</v>
      </c>
      <c r="AI7592">
        <v>94.074946138342995</v>
      </c>
      <c r="AJ7592">
        <v>91.604655521096205</v>
      </c>
      <c r="AK7592">
        <v>15.609854972167</v>
      </c>
      <c r="AL7592">
        <v>87.043931667800294</v>
      </c>
      <c r="AM7592">
        <v>90.756638626164204</v>
      </c>
      <c r="AN7592">
        <v>1.00000000985292</v>
      </c>
    </row>
    <row r="7593" spans="1:40" x14ac:dyDescent="0.25">
      <c r="A7593" t="str">
        <f>"20190312160517857"</f>
        <v>20190312160517857</v>
      </c>
      <c r="B7593" t="str">
        <f>"1552377917852202"</f>
        <v>1552377917852202</v>
      </c>
      <c r="C7593" t="s">
        <v>40</v>
      </c>
      <c r="D7593">
        <v>5.3088499999999996</v>
      </c>
      <c r="E7593">
        <v>0.49319420000000003</v>
      </c>
      <c r="F7593" t="s">
        <v>123</v>
      </c>
      <c r="G7593">
        <v>-221.65389999999999</v>
      </c>
      <c r="H7593" s="1">
        <v>-3.3785529999999998E-7</v>
      </c>
      <c r="I7593">
        <v>-62.678420000000003</v>
      </c>
      <c r="J7593">
        <v>-237.0626</v>
      </c>
      <c r="K7593">
        <v>1.1092200000000001</v>
      </c>
      <c r="L7593">
        <v>-64.616240000000005</v>
      </c>
      <c r="M7593">
        <v>0.99525520000000001</v>
      </c>
      <c r="N7593">
        <v>0</v>
      </c>
      <c r="O7593">
        <v>9.6909560000000006E-2</v>
      </c>
      <c r="P7593">
        <v>0.99302440000000003</v>
      </c>
      <c r="Q7593">
        <v>4.2927319999999998E-2</v>
      </c>
      <c r="R7593">
        <v>0.1098167</v>
      </c>
      <c r="S7593">
        <v>2.9887999999999999</v>
      </c>
      <c r="T7593">
        <v>-0.21339520000000001</v>
      </c>
      <c r="U7593">
        <v>0.37512210000000001</v>
      </c>
      <c r="V7593">
        <v>-1.300404E-2</v>
      </c>
      <c r="W7593">
        <v>5.1626440000000003E-2</v>
      </c>
      <c r="X7593">
        <v>0.99858179999999996</v>
      </c>
      <c r="Y7593">
        <v>-2.795895E-2</v>
      </c>
      <c r="Z7593">
        <v>-5.8722690000000003E-3</v>
      </c>
      <c r="AA7593">
        <v>0.99959180000000003</v>
      </c>
      <c r="AB7593">
        <v>25</v>
      </c>
      <c r="AC7593">
        <v>15.4087</v>
      </c>
      <c r="AD7593">
        <v>-1.1092203378553001</v>
      </c>
      <c r="AE7593">
        <v>1.9378200000000001</v>
      </c>
      <c r="AF7593">
        <v>-0.43318172839146601</v>
      </c>
      <c r="AG7593">
        <v>-1.1092203378553001</v>
      </c>
      <c r="AH7593">
        <v>15.4451771968888</v>
      </c>
      <c r="AI7593">
        <v>94.106127446164905</v>
      </c>
      <c r="AJ7593">
        <v>91.606519619395499</v>
      </c>
      <c r="AK7593">
        <v>15.491014002027599</v>
      </c>
      <c r="AL7593">
        <v>87.040707329159403</v>
      </c>
      <c r="AM7593">
        <v>90.746092603314594</v>
      </c>
      <c r="AN7593">
        <v>1.0000000028273099</v>
      </c>
    </row>
    <row r="7594" spans="1:40" x14ac:dyDescent="0.25">
      <c r="A7594" t="str">
        <f>"20190312160517869"</f>
        <v>20190312160517869</v>
      </c>
      <c r="B7594" t="str">
        <f>"1552377917862937"</f>
        <v>1552377917862937</v>
      </c>
      <c r="C7594" t="s">
        <v>40</v>
      </c>
      <c r="D7594">
        <v>5.3535870000000001</v>
      </c>
      <c r="E7594">
        <v>0.49288090000000001</v>
      </c>
      <c r="F7594" t="s">
        <v>123</v>
      </c>
      <c r="G7594">
        <v>-221.62780000000001</v>
      </c>
      <c r="H7594" s="1">
        <v>-3.2530799999999999E-7</v>
      </c>
      <c r="I7594">
        <v>-62.672510000000003</v>
      </c>
      <c r="J7594">
        <v>-236.92679999999999</v>
      </c>
      <c r="K7594">
        <v>1.109181</v>
      </c>
      <c r="L7594">
        <v>-64.603390000000005</v>
      </c>
      <c r="M7594">
        <v>0.99529330000000005</v>
      </c>
      <c r="N7594">
        <v>0</v>
      </c>
      <c r="O7594">
        <v>9.6516519999999995E-2</v>
      </c>
      <c r="P7594">
        <v>0.99308730000000001</v>
      </c>
      <c r="Q7594">
        <v>4.3044329999999999E-2</v>
      </c>
      <c r="R7594">
        <v>0.1092016</v>
      </c>
      <c r="S7594">
        <v>2.9887239999999999</v>
      </c>
      <c r="T7594">
        <v>-0.21478320000000001</v>
      </c>
      <c r="U7594">
        <v>0.37637330000000002</v>
      </c>
      <c r="V7594">
        <v>-1.277491E-2</v>
      </c>
      <c r="W7594">
        <v>5.177644E-2</v>
      </c>
      <c r="X7594">
        <v>0.99857700000000005</v>
      </c>
      <c r="Y7594">
        <v>-2.8767999999999998E-2</v>
      </c>
      <c r="Z7594">
        <v>-5.8534959999999997E-3</v>
      </c>
      <c r="AA7594">
        <v>0.99956900000000004</v>
      </c>
      <c r="AB7594">
        <v>25</v>
      </c>
      <c r="AC7594">
        <v>15.2989999999999</v>
      </c>
      <c r="AD7594">
        <v>-1.1091813253080001</v>
      </c>
      <c r="AE7594">
        <v>1.9308799999999999</v>
      </c>
      <c r="AF7594">
        <v>-0.44291099798665801</v>
      </c>
      <c r="AG7594">
        <v>-1.1091813253080001</v>
      </c>
      <c r="AH7594">
        <v>15.3345990197218</v>
      </c>
      <c r="AI7594">
        <v>94.135391441449002</v>
      </c>
      <c r="AJ7594">
        <v>91.654420673972893</v>
      </c>
      <c r="AK7594">
        <v>15.381039641721401</v>
      </c>
      <c r="AL7594">
        <v>87.032101478383893</v>
      </c>
      <c r="AM7594">
        <v>90.732951489400506</v>
      </c>
      <c r="AN7594">
        <v>1.00000001149679</v>
      </c>
    </row>
    <row r="7595" spans="1:40" x14ac:dyDescent="0.25">
      <c r="A7595" t="str">
        <f>"20190312160517878"</f>
        <v>20190312160517878</v>
      </c>
      <c r="B7595" t="str">
        <f>"1552377917872698"</f>
        <v>1552377917872698</v>
      </c>
      <c r="C7595" t="s">
        <v>40</v>
      </c>
      <c r="D7595">
        <v>5.6408199999999997</v>
      </c>
      <c r="E7595">
        <v>0.49288090000000001</v>
      </c>
      <c r="F7595" t="s">
        <v>123</v>
      </c>
      <c r="G7595">
        <v>-221.4263</v>
      </c>
      <c r="H7595" s="1">
        <v>-2.3338199999999999E-7</v>
      </c>
      <c r="I7595">
        <v>-62.6477199999999</v>
      </c>
      <c r="J7595">
        <v>-236.81440000000001</v>
      </c>
      <c r="K7595">
        <v>1.109151</v>
      </c>
      <c r="L7595">
        <v>-64.592830000000006</v>
      </c>
      <c r="M7595">
        <v>0.99532810000000005</v>
      </c>
      <c r="N7595">
        <v>0</v>
      </c>
      <c r="O7595">
        <v>9.6153950000000002E-2</v>
      </c>
      <c r="P7595">
        <v>0.99310469999999895</v>
      </c>
      <c r="Q7595">
        <v>4.3268699999999903E-2</v>
      </c>
      <c r="R7595">
        <v>0.1089545</v>
      </c>
      <c r="S7595">
        <v>2.9886780000000002</v>
      </c>
      <c r="T7595">
        <v>-0.2138631</v>
      </c>
      <c r="U7595">
        <v>0.3770752</v>
      </c>
      <c r="V7595">
        <v>-1.2886160000000001E-2</v>
      </c>
      <c r="W7595">
        <v>5.2029770000000003E-2</v>
      </c>
      <c r="X7595">
        <v>0.99856239999999996</v>
      </c>
      <c r="Y7595">
        <v>-2.936124E-2</v>
      </c>
      <c r="Z7595">
        <v>-5.7817110000000001E-3</v>
      </c>
      <c r="AA7595">
        <v>0.99955210000000005</v>
      </c>
      <c r="AB7595">
        <v>25</v>
      </c>
      <c r="AC7595">
        <v>15.3881</v>
      </c>
      <c r="AD7595">
        <v>-1.1091512333819999</v>
      </c>
      <c r="AE7595">
        <v>1.9451100000000101</v>
      </c>
      <c r="AF7595">
        <v>-0.45409143109648897</v>
      </c>
      <c r="AG7595">
        <v>-1.1091512333819999</v>
      </c>
      <c r="AH7595">
        <v>15.424953395304099</v>
      </c>
      <c r="AI7595">
        <v>94.111073482792904</v>
      </c>
      <c r="AJ7595">
        <v>91.686229436767604</v>
      </c>
      <c r="AK7595">
        <v>15.4714447526278</v>
      </c>
      <c r="AL7595">
        <v>87.017567138959606</v>
      </c>
      <c r="AM7595">
        <v>90.739344483176794</v>
      </c>
      <c r="AN7595">
        <v>1.00000000838977</v>
      </c>
    </row>
    <row r="7596" spans="1:40" x14ac:dyDescent="0.25">
      <c r="A7596" t="str">
        <f>"20190312160517890"</f>
        <v>20190312160517890</v>
      </c>
      <c r="B7596" t="str">
        <f>"1552377917882457"</f>
        <v>1552377917882457</v>
      </c>
      <c r="C7596" t="s">
        <v>40</v>
      </c>
      <c r="D7596">
        <v>5.161079</v>
      </c>
      <c r="E7596">
        <v>0.48925649999999998</v>
      </c>
      <c r="F7596" t="s">
        <v>123</v>
      </c>
      <c r="G7596">
        <v>-221.2655</v>
      </c>
      <c r="H7596" s="1">
        <v>-1.6169010000000001E-7</v>
      </c>
      <c r="I7596">
        <v>-62.635599999999997</v>
      </c>
      <c r="J7596">
        <v>-236.68639999999999</v>
      </c>
      <c r="K7596">
        <v>1.1091200000000001</v>
      </c>
      <c r="L7596">
        <v>-64.580869999999905</v>
      </c>
      <c r="M7596">
        <v>0.99536860000000005</v>
      </c>
      <c r="N7596">
        <v>0</v>
      </c>
      <c r="O7596">
        <v>9.5729869999999995E-2</v>
      </c>
      <c r="P7596">
        <v>0.99314020000000003</v>
      </c>
      <c r="Q7596">
        <v>4.3274920000000001E-2</v>
      </c>
      <c r="R7596">
        <v>0.10862719999999999</v>
      </c>
      <c r="S7596">
        <v>2.9888309999999998</v>
      </c>
      <c r="T7596">
        <v>-0.21320249999999999</v>
      </c>
      <c r="U7596">
        <v>0.37622070000000002</v>
      </c>
      <c r="V7596">
        <v>-1.29785E-2</v>
      </c>
      <c r="W7596">
        <v>5.2067389999999998E-2</v>
      </c>
      <c r="X7596">
        <v>0.99855919999999998</v>
      </c>
      <c r="Y7596">
        <v>-2.9497010000000001E-2</v>
      </c>
      <c r="Z7596">
        <v>-5.7290149999999996E-3</v>
      </c>
      <c r="AA7596">
        <v>0.9995484</v>
      </c>
      <c r="AB7596">
        <v>25</v>
      </c>
      <c r="AC7596">
        <v>15.4208999999999</v>
      </c>
      <c r="AD7596">
        <v>-1.1091201616901001</v>
      </c>
      <c r="AE7596">
        <v>1.9452699999999901</v>
      </c>
      <c r="AF7596">
        <v>-0.45770706177284798</v>
      </c>
      <c r="AG7596">
        <v>-1.1091201616901001</v>
      </c>
      <c r="AH7596">
        <v>15.4575905632898</v>
      </c>
      <c r="AI7596">
        <v>94.102287781124105</v>
      </c>
      <c r="AJ7596">
        <v>91.696061386265001</v>
      </c>
      <c r="AK7596">
        <v>15.5040881482843</v>
      </c>
      <c r="AL7596">
        <v>87.015408617248994</v>
      </c>
      <c r="AM7596">
        <v>90.744644289805294</v>
      </c>
      <c r="AN7596">
        <v>0.99999996523415002</v>
      </c>
    </row>
    <row r="7597" spans="1:40" x14ac:dyDescent="0.25">
      <c r="A7597" t="str">
        <f>"20190312160517900"</f>
        <v>20190312160517900</v>
      </c>
      <c r="B7597" t="str">
        <f>"1552377917892859"</f>
        <v>1552377917892859</v>
      </c>
      <c r="C7597" t="s">
        <v>40</v>
      </c>
      <c r="D7597">
        <v>5.1930069999999997</v>
      </c>
      <c r="E7597">
        <v>0.48925649999999998</v>
      </c>
      <c r="F7597" t="s">
        <v>123</v>
      </c>
      <c r="G7597">
        <v>-220.63399999999999</v>
      </c>
      <c r="H7597" s="1">
        <v>1.59762899999999E-7</v>
      </c>
      <c r="I7597">
        <v>-62.408369999999998</v>
      </c>
      <c r="J7597">
        <v>-236.5652</v>
      </c>
      <c r="K7597">
        <v>1.109091</v>
      </c>
      <c r="L7597">
        <v>-64.569670000000002</v>
      </c>
      <c r="M7597">
        <v>0.99540949999999995</v>
      </c>
      <c r="N7597">
        <v>0</v>
      </c>
      <c r="O7597">
        <v>9.5300969999999999E-2</v>
      </c>
      <c r="P7597">
        <v>0.99315810000000004</v>
      </c>
      <c r="Q7597">
        <v>4.3308409999999999E-2</v>
      </c>
      <c r="R7597">
        <v>0.1084507</v>
      </c>
      <c r="S7597">
        <v>2.985519</v>
      </c>
      <c r="T7597">
        <v>-0.20627960000000001</v>
      </c>
      <c r="U7597">
        <v>0.40405269999999999</v>
      </c>
      <c r="V7597">
        <v>-1.3227010000000001E-2</v>
      </c>
      <c r="W7597">
        <v>5.2130250000000003E-2</v>
      </c>
      <c r="X7597">
        <v>0.99855269999999996</v>
      </c>
      <c r="Y7597">
        <v>-3.9191150000000001E-2</v>
      </c>
      <c r="Z7597">
        <v>-5.1832069999999996E-3</v>
      </c>
      <c r="AA7597">
        <v>0.9992183</v>
      </c>
      <c r="AB7597">
        <v>25</v>
      </c>
      <c r="AC7597">
        <v>15.931199999999899</v>
      </c>
      <c r="AD7597">
        <v>-1.1090908402371</v>
      </c>
      <c r="AE7597">
        <v>2.1613000000000002</v>
      </c>
      <c r="AF7597">
        <v>-0.63014545250375498</v>
      </c>
      <c r="AG7597">
        <v>-1.1090908402371</v>
      </c>
      <c r="AH7597">
        <v>15.988575734217299</v>
      </c>
      <c r="AI7597">
        <v>93.965051819457599</v>
      </c>
      <c r="AJ7597">
        <v>92.256986414862496</v>
      </c>
      <c r="AK7597">
        <v>16.039380280796799</v>
      </c>
      <c r="AL7597">
        <v>87.011802227627498</v>
      </c>
      <c r="AM7597">
        <v>90.758905893181307</v>
      </c>
      <c r="AN7597">
        <v>1.0000000057179399</v>
      </c>
    </row>
    <row r="7598" spans="1:40" x14ac:dyDescent="0.25">
      <c r="A7598" t="str">
        <f>"20190312160517912"</f>
        <v>20190312160517912</v>
      </c>
      <c r="B7598" t="str">
        <f>"1552377917902620"</f>
        <v>1552377917902620</v>
      </c>
      <c r="C7598" t="s">
        <v>40</v>
      </c>
      <c r="D7598">
        <v>5.275963</v>
      </c>
      <c r="E7598">
        <v>0.41887429999999898</v>
      </c>
      <c r="F7598" t="s">
        <v>123</v>
      </c>
      <c r="G7598">
        <v>-220.50530000000001</v>
      </c>
      <c r="H7598" s="1">
        <v>2.1698570000000001E-7</v>
      </c>
      <c r="I7598">
        <v>-62.399189999999997</v>
      </c>
      <c r="J7598">
        <v>-236.44630000000001</v>
      </c>
      <c r="K7598">
        <v>1.1090660000000001</v>
      </c>
      <c r="L7598">
        <v>-64.558719999999994</v>
      </c>
      <c r="M7598">
        <v>0.99545090000000003</v>
      </c>
      <c r="N7598">
        <v>0</v>
      </c>
      <c r="O7598">
        <v>9.4865740000000004E-2</v>
      </c>
      <c r="P7598">
        <v>0.99323839999999997</v>
      </c>
      <c r="Q7598">
        <v>4.2988150000000003E-2</v>
      </c>
      <c r="R7598">
        <v>0.1078402</v>
      </c>
      <c r="S7598">
        <v>2.985611</v>
      </c>
      <c r="T7598">
        <v>-0.20618590000000001</v>
      </c>
      <c r="U7598">
        <v>0.40350340000000001</v>
      </c>
      <c r="V7598">
        <v>-1.30458E-2</v>
      </c>
      <c r="W7598">
        <v>5.1836920000000002E-2</v>
      </c>
      <c r="X7598">
        <v>0.99857030000000002</v>
      </c>
      <c r="Y7598">
        <v>-3.9441690000000001E-2</v>
      </c>
      <c r="Z7598">
        <v>-5.1424870000000003E-3</v>
      </c>
      <c r="AA7598">
        <v>0.9992086</v>
      </c>
      <c r="AB7598">
        <v>25</v>
      </c>
      <c r="AC7598">
        <v>15.941000000000001</v>
      </c>
      <c r="AD7598">
        <v>-1.10906578301429</v>
      </c>
      <c r="AE7598">
        <v>2.1595299999999802</v>
      </c>
      <c r="AF7598">
        <v>-0.63446046846071202</v>
      </c>
      <c r="AG7598">
        <v>-1.10906578301429</v>
      </c>
      <c r="AH7598">
        <v>15.9979338065292</v>
      </c>
      <c r="AI7598">
        <v>93.962612129491006</v>
      </c>
      <c r="AJ7598">
        <v>92.271097447828097</v>
      </c>
      <c r="AK7598">
        <v>16.048877003553301</v>
      </c>
      <c r="AL7598">
        <v>87.028631391937395</v>
      </c>
      <c r="AM7598">
        <v>90.748496884555493</v>
      </c>
      <c r="AN7598">
        <v>0.99999995160740696</v>
      </c>
    </row>
    <row r="7599" spans="1:40" x14ac:dyDescent="0.25">
      <c r="A7599" t="str">
        <f>"20190312160517924"</f>
        <v>20190312160517924</v>
      </c>
      <c r="B7599" t="str">
        <f>"1552377917912379"</f>
        <v>1552377917912379</v>
      </c>
      <c r="C7599" t="s">
        <v>40</v>
      </c>
      <c r="D7599">
        <v>5.1989830000000001</v>
      </c>
      <c r="E7599">
        <v>0.41746319999999998</v>
      </c>
      <c r="F7599" t="s">
        <v>81</v>
      </c>
      <c r="G7599">
        <v>-195.9487</v>
      </c>
      <c r="H7599" s="1">
        <v>-1.009763E-5</v>
      </c>
      <c r="I7599">
        <v>-51.205629999999999</v>
      </c>
      <c r="J7599">
        <v>-236.31909999999999</v>
      </c>
      <c r="K7599">
        <v>1.1090409999999999</v>
      </c>
      <c r="L7599">
        <v>-64.547089999999997</v>
      </c>
      <c r="M7599">
        <v>0.99549670000000001</v>
      </c>
      <c r="N7599">
        <v>0</v>
      </c>
      <c r="O7599">
        <v>9.4381740000000006E-2</v>
      </c>
      <c r="P7599">
        <v>0.99334100000000003</v>
      </c>
      <c r="Q7599">
        <v>4.2589299999999997E-2</v>
      </c>
      <c r="R7599">
        <v>0.10705149999999999</v>
      </c>
      <c r="S7599">
        <v>2.9193570000000002</v>
      </c>
      <c r="T7599">
        <v>-7.9950090000000001E-2</v>
      </c>
      <c r="U7599">
        <v>0.96258540000000004</v>
      </c>
      <c r="V7599">
        <v>-1.2733690000000001E-2</v>
      </c>
      <c r="W7599">
        <v>5.1465469999999999E-2</v>
      </c>
      <c r="X7599">
        <v>0.99859359999999997</v>
      </c>
      <c r="Y7599">
        <v>-0.2220627</v>
      </c>
      <c r="Z7599">
        <v>4.5631619999999997E-4</v>
      </c>
      <c r="AA7599">
        <v>0.97503229999999996</v>
      </c>
      <c r="AB7599">
        <v>25</v>
      </c>
      <c r="AC7599">
        <v>40.370399999999897</v>
      </c>
      <c r="AD7599">
        <v>-1.1090510976300001</v>
      </c>
      <c r="AE7599">
        <v>13.3414599999999</v>
      </c>
      <c r="AF7599">
        <v>-9.4650821335101796</v>
      </c>
      <c r="AG7599">
        <v>-1.1090510976300001</v>
      </c>
      <c r="AH7599">
        <v>41.421232369346001</v>
      </c>
      <c r="AI7599">
        <v>91.495202934554101</v>
      </c>
      <c r="AJ7599">
        <v>102.871546668606</v>
      </c>
      <c r="AK7599">
        <v>42.503367691591201</v>
      </c>
      <c r="AL7599">
        <v>87.049942528128298</v>
      </c>
      <c r="AM7599">
        <v>90.730574634100805</v>
      </c>
      <c r="AN7599">
        <v>1.00000000971214</v>
      </c>
    </row>
    <row r="7600" spans="1:40" x14ac:dyDescent="0.25">
      <c r="A7600" t="str">
        <f>"20190312160517934"</f>
        <v>20190312160517934</v>
      </c>
      <c r="B7600" t="str">
        <f>"1552377917923115"</f>
        <v>1552377917923115</v>
      </c>
      <c r="C7600" t="s">
        <v>40</v>
      </c>
      <c r="D7600">
        <v>5.2481679999999997</v>
      </c>
      <c r="E7600">
        <v>0.41706399999999999</v>
      </c>
      <c r="F7600" t="s">
        <v>81</v>
      </c>
      <c r="G7600">
        <v>-197.4776</v>
      </c>
      <c r="H7600" s="1">
        <v>-1.0100329999999999E-5</v>
      </c>
      <c r="I7600">
        <v>-51.61824</v>
      </c>
      <c r="J7600">
        <v>-236.19560000000001</v>
      </c>
      <c r="K7600">
        <v>1.109019</v>
      </c>
      <c r="L7600">
        <v>-64.53586</v>
      </c>
      <c r="M7600">
        <v>0.99554260000000006</v>
      </c>
      <c r="N7600">
        <v>0</v>
      </c>
      <c r="O7600">
        <v>9.3893389999999993E-2</v>
      </c>
      <c r="P7600">
        <v>0.99342830000000004</v>
      </c>
      <c r="Q7600">
        <v>4.2262290000000001E-2</v>
      </c>
      <c r="R7600">
        <v>0.10636809999999999</v>
      </c>
      <c r="S7600">
        <v>2.9189910000000001</v>
      </c>
      <c r="T7600">
        <v>-8.3346489999999995E-2</v>
      </c>
      <c r="U7600">
        <v>0.97161869999999995</v>
      </c>
      <c r="V7600">
        <v>-1.253246E-2</v>
      </c>
      <c r="W7600">
        <v>5.1163559999999997E-2</v>
      </c>
      <c r="X7600">
        <v>0.99861160000000004</v>
      </c>
      <c r="Y7600">
        <v>-0.22528999999999999</v>
      </c>
      <c r="Z7600">
        <v>5.338974E-4</v>
      </c>
      <c r="AA7600">
        <v>0.97429160000000004</v>
      </c>
      <c r="AB7600">
        <v>25</v>
      </c>
      <c r="AC7600">
        <v>38.718000000000004</v>
      </c>
      <c r="AD7600">
        <v>-1.1090291003299999</v>
      </c>
      <c r="AE7600">
        <v>12.917619999999999</v>
      </c>
      <c r="AF7600">
        <v>-9.2182352624793396</v>
      </c>
      <c r="AG7600">
        <v>-1.1090291003299999</v>
      </c>
      <c r="AH7600">
        <v>39.730534850325398</v>
      </c>
      <c r="AI7600">
        <v>91.557572644753506</v>
      </c>
      <c r="AJ7600">
        <v>103.062579030338</v>
      </c>
      <c r="AK7600">
        <v>40.800995164244704</v>
      </c>
      <c r="AL7600">
        <v>87.067263341330701</v>
      </c>
      <c r="AM7600">
        <v>90.719017654691399</v>
      </c>
      <c r="AN7600">
        <v>0.99999995004004105</v>
      </c>
    </row>
    <row r="7601" spans="1:40" x14ac:dyDescent="0.25">
      <c r="A7601" t="str">
        <f>"20190312160517945"</f>
        <v>20190312160517945</v>
      </c>
      <c r="B7601" t="str">
        <f>"1552377917942635"</f>
        <v>1552377917942635</v>
      </c>
      <c r="C7601" t="s">
        <v>40</v>
      </c>
      <c r="D7601">
        <v>5.2565269999999904</v>
      </c>
      <c r="E7601">
        <v>0.41692879999999899</v>
      </c>
      <c r="F7601" t="s">
        <v>81</v>
      </c>
      <c r="G7601">
        <v>-195.97720000000001</v>
      </c>
      <c r="H7601" s="1">
        <v>-1.0128009999999999E-5</v>
      </c>
      <c r="I7601">
        <v>-51.129869999999997</v>
      </c>
      <c r="J7601">
        <v>-236.06890000000001</v>
      </c>
      <c r="K7601">
        <v>1.1089990000000001</v>
      </c>
      <c r="L7601">
        <v>-64.524410000000003</v>
      </c>
      <c r="M7601">
        <v>0.99559050000000004</v>
      </c>
      <c r="N7601">
        <v>0</v>
      </c>
      <c r="O7601">
        <v>9.3383419999999995E-2</v>
      </c>
      <c r="P7601">
        <v>0.99354949999999997</v>
      </c>
      <c r="Q7601">
        <v>4.2078909999999997E-2</v>
      </c>
      <c r="R7601">
        <v>0.1053051</v>
      </c>
      <c r="S7601">
        <v>2.919098</v>
      </c>
      <c r="T7601">
        <v>-8.0494640000000006E-2</v>
      </c>
      <c r="U7601">
        <v>0.97302250000000001</v>
      </c>
      <c r="V7601">
        <v>-1.1972099999999999E-2</v>
      </c>
      <c r="W7601">
        <v>5.1004500000000001E-2</v>
      </c>
      <c r="X7601">
        <v>0.99862660000000003</v>
      </c>
      <c r="Y7601">
        <v>-0.22620280000000001</v>
      </c>
      <c r="Z7601">
        <v>5.4138690000000002E-4</v>
      </c>
      <c r="AA7601">
        <v>0.9740801</v>
      </c>
      <c r="AB7601">
        <v>25</v>
      </c>
      <c r="AC7601">
        <v>40.091700000000003</v>
      </c>
      <c r="AD7601">
        <v>-1.1090091280100001</v>
      </c>
      <c r="AE7601">
        <v>13.394539999999999</v>
      </c>
      <c r="AF7601">
        <v>-9.5853580451874798</v>
      </c>
      <c r="AG7601">
        <v>-1.1090091280100001</v>
      </c>
      <c r="AH7601">
        <v>41.139053912376703</v>
      </c>
      <c r="AI7601">
        <v>91.503917307350903</v>
      </c>
      <c r="AJ7601">
        <v>103.115853657168</v>
      </c>
      <c r="AK7601">
        <v>42.255541020153601</v>
      </c>
      <c r="AL7601">
        <v>87.076388688354996</v>
      </c>
      <c r="AM7601">
        <v>90.686861277101997</v>
      </c>
      <c r="AN7601">
        <v>0.99999993821310795</v>
      </c>
    </row>
    <row r="7602" spans="1:40" x14ac:dyDescent="0.25">
      <c r="A7602" t="str">
        <f>"20190312160517958"</f>
        <v>20190312160517958</v>
      </c>
      <c r="B7602" t="str">
        <f>"1552377917952395"</f>
        <v>1552377917952395</v>
      </c>
      <c r="C7602" t="s">
        <v>40</v>
      </c>
      <c r="D7602">
        <v>5.2308859999999999</v>
      </c>
      <c r="E7602">
        <v>0.41656389999999999</v>
      </c>
      <c r="F7602" t="s">
        <v>81</v>
      </c>
      <c r="G7602">
        <v>-195.11009999999999</v>
      </c>
      <c r="H7602" s="1">
        <v>-1.0124089999999999E-5</v>
      </c>
      <c r="I7602">
        <v>-50.902450000000002</v>
      </c>
      <c r="J7602">
        <v>-235.93289999999999</v>
      </c>
      <c r="K7602">
        <v>1.1089819999999999</v>
      </c>
      <c r="L7602">
        <v>-64.512240000000006</v>
      </c>
      <c r="M7602">
        <v>0.99564330000000001</v>
      </c>
      <c r="N7602">
        <v>0</v>
      </c>
      <c r="O7602">
        <v>9.2816449999999995E-2</v>
      </c>
      <c r="P7602">
        <v>0.99364189999999997</v>
      </c>
      <c r="Q7602">
        <v>4.2287119999999997E-2</v>
      </c>
      <c r="R7602">
        <v>0.1043456</v>
      </c>
      <c r="S7602">
        <v>2.9199220000000001</v>
      </c>
      <c r="T7602">
        <v>-7.9060439999999996E-2</v>
      </c>
      <c r="U7602">
        <v>0.97109990000000002</v>
      </c>
      <c r="V7602">
        <v>-1.157482E-2</v>
      </c>
      <c r="W7602">
        <v>5.1236900000000002E-2</v>
      </c>
      <c r="X7602">
        <v>0.99861940000000005</v>
      </c>
      <c r="Y7602">
        <v>-0.2260991</v>
      </c>
      <c r="Z7602">
        <v>5.4505370000000001E-4</v>
      </c>
      <c r="AA7602">
        <v>0.97410419999999998</v>
      </c>
      <c r="AB7602">
        <v>25</v>
      </c>
      <c r="AC7602">
        <v>40.822800000000001</v>
      </c>
      <c r="AD7602">
        <v>-1.10899212408999</v>
      </c>
      <c r="AE7602">
        <v>13.60979</v>
      </c>
      <c r="AF7602">
        <v>-9.7553777816781899</v>
      </c>
      <c r="AG7602">
        <v>-1.10899212408999</v>
      </c>
      <c r="AH7602">
        <v>41.882009375253801</v>
      </c>
      <c r="AI7602">
        <v>91.477252287536501</v>
      </c>
      <c r="AJ7602">
        <v>103.11184647377701</v>
      </c>
      <c r="AK7602">
        <v>43.017437958383802</v>
      </c>
      <c r="AL7602">
        <v>87.063055753469698</v>
      </c>
      <c r="AM7602">
        <v>90.664075460441296</v>
      </c>
      <c r="AN7602">
        <v>0.999999951218</v>
      </c>
    </row>
    <row r="7603" spans="1:40" x14ac:dyDescent="0.25">
      <c r="A7603" t="str">
        <f>"20190312160517968"</f>
        <v>20190312160517968</v>
      </c>
      <c r="B7603" t="str">
        <f>"1552377917962155"</f>
        <v>1552377917962155</v>
      </c>
      <c r="C7603" t="s">
        <v>40</v>
      </c>
      <c r="D7603">
        <v>5.1473899999999997</v>
      </c>
      <c r="E7603">
        <v>0.41658390000000001</v>
      </c>
      <c r="F7603" t="s">
        <v>81</v>
      </c>
      <c r="G7603">
        <v>-190.90700000000001</v>
      </c>
      <c r="H7603" s="1">
        <v>-1.586209E-6</v>
      </c>
      <c r="I7603">
        <v>-49.535519999999998</v>
      </c>
      <c r="J7603">
        <v>-235.80940000000001</v>
      </c>
      <c r="K7603">
        <v>1.1089690000000001</v>
      </c>
      <c r="L7603">
        <v>-64.501279999999994</v>
      </c>
      <c r="M7603">
        <v>0.9956912</v>
      </c>
      <c r="N7603">
        <v>0</v>
      </c>
      <c r="O7603">
        <v>9.229822E-2</v>
      </c>
      <c r="P7603">
        <v>0.99368749999999995</v>
      </c>
      <c r="Q7603">
        <v>4.2586989999999998E-2</v>
      </c>
      <c r="R7603">
        <v>0.1037875</v>
      </c>
      <c r="S7603">
        <v>2.920242</v>
      </c>
      <c r="T7603">
        <v>-7.1925279999999994E-2</v>
      </c>
      <c r="U7603">
        <v>0.97134399999999999</v>
      </c>
      <c r="V7603">
        <v>-1.153178E-2</v>
      </c>
      <c r="W7603">
        <v>5.1558819999999998E-2</v>
      </c>
      <c r="X7603">
        <v>0.99860340000000003</v>
      </c>
      <c r="Y7603">
        <v>-0.22665460000000001</v>
      </c>
      <c r="Z7603">
        <v>5.1477689999999997E-4</v>
      </c>
      <c r="AA7603">
        <v>0.97397509999999998</v>
      </c>
      <c r="AB7603">
        <v>25</v>
      </c>
      <c r="AC7603">
        <v>44.9024</v>
      </c>
      <c r="AD7603">
        <v>-1.108970586209</v>
      </c>
      <c r="AE7603">
        <v>14.96576</v>
      </c>
      <c r="AF7603">
        <v>-10.7513923753166</v>
      </c>
      <c r="AG7603">
        <v>-1.108970586209</v>
      </c>
      <c r="AH7603">
        <v>46.066793382477897</v>
      </c>
      <c r="AI7603">
        <v>91.342944679537396</v>
      </c>
      <c r="AJ7603">
        <v>103.13694034701</v>
      </c>
      <c r="AK7603">
        <v>47.317773682972501</v>
      </c>
      <c r="AL7603">
        <v>87.044586893683402</v>
      </c>
      <c r="AM7603">
        <v>90.661616970857807</v>
      </c>
      <c r="AN7603">
        <v>1.00000002218066</v>
      </c>
    </row>
    <row r="7604" spans="1:40" x14ac:dyDescent="0.25">
      <c r="A7604" t="str">
        <f>"20190312160517978"</f>
        <v>20190312160517978</v>
      </c>
      <c r="B7604" t="str">
        <f>"1552377917972891"</f>
        <v>1552377917972891</v>
      </c>
      <c r="C7604" t="s">
        <v>40</v>
      </c>
      <c r="D7604">
        <v>5.3064539999999996</v>
      </c>
      <c r="E7604">
        <v>0.4168733</v>
      </c>
      <c r="F7604" t="s">
        <v>81</v>
      </c>
      <c r="G7604">
        <v>-191.64169999999999</v>
      </c>
      <c r="H7604" s="1">
        <v>-1.569225E-6</v>
      </c>
      <c r="I7604">
        <v>-49.840220000000002</v>
      </c>
      <c r="J7604">
        <v>-235.6942</v>
      </c>
      <c r="K7604">
        <v>1.1089580000000001</v>
      </c>
      <c r="L7604">
        <v>-64.491119999999995</v>
      </c>
      <c r="M7604">
        <v>0.99573650000000002</v>
      </c>
      <c r="N7604">
        <v>0</v>
      </c>
      <c r="O7604">
        <v>9.1805289999999998E-2</v>
      </c>
      <c r="P7604">
        <v>0.99372930000000004</v>
      </c>
      <c r="Q7604">
        <v>4.311574E-2</v>
      </c>
      <c r="R7604">
        <v>0.1031657</v>
      </c>
      <c r="S7604">
        <v>2.9209290000000001</v>
      </c>
      <c r="T7604">
        <v>-7.3339100000000004E-2</v>
      </c>
      <c r="U7604">
        <v>0.96957400000000005</v>
      </c>
      <c r="V7604">
        <v>-1.140146E-2</v>
      </c>
      <c r="W7604">
        <v>5.2106439999999997E-2</v>
      </c>
      <c r="X7604">
        <v>0.99857649999999998</v>
      </c>
      <c r="Y7604">
        <v>-0.22653509999999999</v>
      </c>
      <c r="Z7604">
        <v>5.3527160000000002E-4</v>
      </c>
      <c r="AA7604">
        <v>0.97400279999999995</v>
      </c>
      <c r="AB7604">
        <v>25</v>
      </c>
      <c r="AC7604">
        <v>44.052500000000002</v>
      </c>
      <c r="AD7604">
        <v>-1.1089595692249901</v>
      </c>
      <c r="AE7604">
        <v>14.650899999999901</v>
      </c>
      <c r="AF7604">
        <v>-10.5385950761977</v>
      </c>
      <c r="AG7604">
        <v>-1.1089595692249901</v>
      </c>
      <c r="AH7604">
        <v>45.185751756195501</v>
      </c>
      <c r="AI7604">
        <v>91.369154315352006</v>
      </c>
      <c r="AJ7604">
        <v>103.128313743813</v>
      </c>
      <c r="AK7604">
        <v>46.411678910364401</v>
      </c>
      <c r="AL7604">
        <v>87.0131684302102</v>
      </c>
      <c r="AM7604">
        <v>90.654158347876304</v>
      </c>
      <c r="AN7604">
        <v>1.0000000503659201</v>
      </c>
    </row>
    <row r="7605" spans="1:40" x14ac:dyDescent="0.25">
      <c r="A7605" t="str">
        <f>"20190312160517991"</f>
        <v>20190312160517991</v>
      </c>
      <c r="B7605" t="str">
        <f>"1552377917982651"</f>
        <v>1552377917982651</v>
      </c>
      <c r="C7605" t="s">
        <v>40</v>
      </c>
      <c r="D7605">
        <v>5.1826780000000001</v>
      </c>
      <c r="E7605">
        <v>0.41729909999999998</v>
      </c>
      <c r="F7605" t="s">
        <v>81</v>
      </c>
      <c r="G7605">
        <v>-192.1353</v>
      </c>
      <c r="H7605" s="1">
        <v>-1.525228E-6</v>
      </c>
      <c r="I7605">
        <v>-50.099989999999998</v>
      </c>
      <c r="J7605">
        <v>-235.5634</v>
      </c>
      <c r="K7605">
        <v>1.108951</v>
      </c>
      <c r="L7605">
        <v>-64.479640000000003</v>
      </c>
      <c r="M7605">
        <v>0.99578789999999995</v>
      </c>
      <c r="N7605">
        <v>0</v>
      </c>
      <c r="O7605">
        <v>9.1243459999999998E-2</v>
      </c>
      <c r="P7605">
        <v>0.99377470000000001</v>
      </c>
      <c r="Q7605">
        <v>4.3561919999999997E-2</v>
      </c>
      <c r="R7605">
        <v>0.1025387</v>
      </c>
      <c r="S7605">
        <v>2.921951</v>
      </c>
      <c r="T7605">
        <v>-7.4389460000000004E-2</v>
      </c>
      <c r="U7605">
        <v>0.96536250000000001</v>
      </c>
      <c r="V7605">
        <v>-1.133404E-2</v>
      </c>
      <c r="W7605">
        <v>5.2573099999999998E-2</v>
      </c>
      <c r="X7605">
        <v>0.99855269999999996</v>
      </c>
      <c r="Y7605">
        <v>-0.22571649999999999</v>
      </c>
      <c r="Z7605">
        <v>5.4647470000000005E-4</v>
      </c>
      <c r="AA7605">
        <v>0.97419290000000003</v>
      </c>
      <c r="AB7605">
        <v>25</v>
      </c>
      <c r="AC7605">
        <v>43.428100000000001</v>
      </c>
      <c r="AD7605">
        <v>-1.1089525252279999</v>
      </c>
      <c r="AE7605">
        <v>14.3796499999999</v>
      </c>
      <c r="AF7605">
        <v>-10.3508888120415</v>
      </c>
      <c r="AG7605">
        <v>-1.1089525252279999</v>
      </c>
      <c r="AH7605">
        <v>44.532863363887103</v>
      </c>
      <c r="AI7605">
        <v>91.389454670017301</v>
      </c>
      <c r="AJ7605">
        <v>103.08506855059299</v>
      </c>
      <c r="AK7605">
        <v>45.733429723661601</v>
      </c>
      <c r="AL7605">
        <v>86.9863937603034</v>
      </c>
      <c r="AM7605">
        <v>90.650305959043294</v>
      </c>
      <c r="AN7605">
        <v>0.99999994299180905</v>
      </c>
    </row>
    <row r="7606" spans="1:40" x14ac:dyDescent="0.25">
      <c r="A7606" t="str">
        <f>"20190312160518001"</f>
        <v>20190312160518001</v>
      </c>
      <c r="B7606" t="str">
        <f>"1552377917992340"</f>
        <v>1552377917992340</v>
      </c>
      <c r="C7606" t="s">
        <v>40</v>
      </c>
      <c r="D7606">
        <v>5.33406</v>
      </c>
      <c r="E7606">
        <v>0.41753649999999998</v>
      </c>
      <c r="F7606" t="s">
        <v>81</v>
      </c>
      <c r="G7606">
        <v>-194.1515</v>
      </c>
      <c r="H7606" s="1">
        <v>-1.003677E-5</v>
      </c>
      <c r="I7606">
        <v>-50.87923</v>
      </c>
      <c r="J7606">
        <v>-235.44460000000001</v>
      </c>
      <c r="K7606">
        <v>1.108948</v>
      </c>
      <c r="L7606">
        <v>-64.469269999999995</v>
      </c>
      <c r="M7606">
        <v>0.99583489999999997</v>
      </c>
      <c r="N7606">
        <v>0</v>
      </c>
      <c r="O7606">
        <v>9.0729270000000001E-2</v>
      </c>
      <c r="P7606">
        <v>0.99383440000000001</v>
      </c>
      <c r="Q7606">
        <v>4.392153E-2</v>
      </c>
      <c r="R7606">
        <v>0.1018053</v>
      </c>
      <c r="S7606">
        <v>2.9231720000000001</v>
      </c>
      <c r="T7606">
        <v>-7.8279020000000005E-2</v>
      </c>
      <c r="U7606">
        <v>0.96002200000000004</v>
      </c>
      <c r="V7606">
        <v>-1.111289E-2</v>
      </c>
      <c r="W7606">
        <v>5.2950230000000001E-2</v>
      </c>
      <c r="X7606">
        <v>0.99853530000000001</v>
      </c>
      <c r="Y7606">
        <v>-0.22448850000000001</v>
      </c>
      <c r="Z7606">
        <v>5.7217940000000005E-4</v>
      </c>
      <c r="AA7606">
        <v>0.97447660000000003</v>
      </c>
      <c r="AB7606">
        <v>25</v>
      </c>
      <c r="AC7606">
        <v>41.293100000000003</v>
      </c>
      <c r="AD7606">
        <v>-1.10895803677</v>
      </c>
      <c r="AE7606">
        <v>13.590039999999901</v>
      </c>
      <c r="AF7606">
        <v>-9.7809750115526004</v>
      </c>
      <c r="AG7606">
        <v>-1.10895803677</v>
      </c>
      <c r="AH7606">
        <v>42.3282960387223</v>
      </c>
      <c r="AI7606">
        <v>91.462234334756801</v>
      </c>
      <c r="AJ7606">
        <v>103.011202902935</v>
      </c>
      <c r="AK7606">
        <v>43.4578175435174</v>
      </c>
      <c r="AL7606">
        <v>86.964755788012894</v>
      </c>
      <c r="AM7606">
        <v>90.637629344967195</v>
      </c>
      <c r="AN7606">
        <v>0.999999984263647</v>
      </c>
    </row>
    <row r="7607" spans="1:40" x14ac:dyDescent="0.25">
      <c r="A7607" t="str">
        <f>"20190312160518013"</f>
        <v>20190312160518013</v>
      </c>
      <c r="B7607" t="str">
        <f>"1552377918003066"</f>
        <v>1552377918003066</v>
      </c>
      <c r="C7607" t="s">
        <v>40</v>
      </c>
      <c r="D7607">
        <v>5.2813889999999999</v>
      </c>
      <c r="E7607">
        <v>0.41775970000000001</v>
      </c>
      <c r="F7607" t="s">
        <v>81</v>
      </c>
      <c r="G7607">
        <v>-194.75030000000001</v>
      </c>
      <c r="H7607" s="1">
        <v>-9.9920989999999993E-6</v>
      </c>
      <c r="I7607">
        <v>-51.166600000000003</v>
      </c>
      <c r="J7607">
        <v>-235.31190000000001</v>
      </c>
      <c r="K7607">
        <v>1.1089420000000001</v>
      </c>
      <c r="L7607">
        <v>-64.457790000000003</v>
      </c>
      <c r="M7607">
        <v>0.99588670000000001</v>
      </c>
      <c r="N7607">
        <v>0</v>
      </c>
      <c r="O7607">
        <v>9.0154339999999999E-2</v>
      </c>
      <c r="P7607">
        <v>0.99393810000000005</v>
      </c>
      <c r="Q7607">
        <v>4.408111E-2</v>
      </c>
      <c r="R7607">
        <v>0.1007189</v>
      </c>
      <c r="S7607">
        <v>2.92421</v>
      </c>
      <c r="T7607">
        <v>-7.9687359999999999E-2</v>
      </c>
      <c r="U7607">
        <v>0.95590209999999998</v>
      </c>
      <c r="V7607">
        <v>-1.05976E-2</v>
      </c>
      <c r="W7607">
        <v>5.3127359999999998E-2</v>
      </c>
      <c r="X7607">
        <v>0.99853150000000002</v>
      </c>
      <c r="Y7607">
        <v>-0.22370709999999999</v>
      </c>
      <c r="Z7607">
        <v>5.8709639999999998E-4</v>
      </c>
      <c r="AA7607">
        <v>0.97465619999999997</v>
      </c>
      <c r="AB7607">
        <v>25</v>
      </c>
      <c r="AC7607">
        <v>40.561599999999999</v>
      </c>
      <c r="AD7607">
        <v>-1.1089519920990001</v>
      </c>
      <c r="AE7607">
        <v>13.29119</v>
      </c>
      <c r="AF7607">
        <v>-9.5736450964432205</v>
      </c>
      <c r="AG7607">
        <v>-1.1089519920990001</v>
      </c>
      <c r="AH7607">
        <v>41.566661938878099</v>
      </c>
      <c r="AI7607">
        <v>91.489252861316999</v>
      </c>
      <c r="AJ7607">
        <v>102.970191849823</v>
      </c>
      <c r="AK7607">
        <v>42.669331371541404</v>
      </c>
      <c r="AL7607">
        <v>86.954592701891102</v>
      </c>
      <c r="AM7607">
        <v>90.608067904033504</v>
      </c>
      <c r="AN7607">
        <v>0.99999999099928905</v>
      </c>
    </row>
    <row r="7608" spans="1:40" x14ac:dyDescent="0.25">
      <c r="A7608" t="str">
        <f>"20190312160518024"</f>
        <v>20190312160518024</v>
      </c>
      <c r="B7608" t="str">
        <f>"1552377918012827"</f>
        <v>1552377918012827</v>
      </c>
      <c r="C7608" t="s">
        <v>40</v>
      </c>
      <c r="D7608">
        <v>5.2988960000000001</v>
      </c>
      <c r="E7608">
        <v>0.41792820000000003</v>
      </c>
      <c r="F7608" t="s">
        <v>81</v>
      </c>
      <c r="G7608">
        <v>-194.4</v>
      </c>
      <c r="H7608" s="1">
        <v>-9.9604099999999994E-6</v>
      </c>
      <c r="I7608">
        <v>-51.157519999999998</v>
      </c>
      <c r="J7608">
        <v>-235.1901</v>
      </c>
      <c r="K7608">
        <v>1.108941</v>
      </c>
      <c r="L7608">
        <v>-64.447299999999998</v>
      </c>
      <c r="M7608">
        <v>0.9959344</v>
      </c>
      <c r="N7608">
        <v>0</v>
      </c>
      <c r="O7608">
        <v>8.9625780000000002E-2</v>
      </c>
      <c r="P7608">
        <v>0.99404530000000002</v>
      </c>
      <c r="Q7608">
        <v>4.4164490000000001E-2</v>
      </c>
      <c r="R7608">
        <v>9.9618020000000002E-2</v>
      </c>
      <c r="S7608">
        <v>2.925446</v>
      </c>
      <c r="T7608">
        <v>-7.9296710000000006E-2</v>
      </c>
      <c r="U7608">
        <v>0.95104979999999995</v>
      </c>
      <c r="V7608">
        <v>-1.0020950000000001E-2</v>
      </c>
      <c r="W7608">
        <v>5.3226410000000002E-2</v>
      </c>
      <c r="X7608">
        <v>0.99853219999999998</v>
      </c>
      <c r="Y7608">
        <v>-0.2226419</v>
      </c>
      <c r="Z7608">
        <v>5.8383980000000001E-4</v>
      </c>
      <c r="AA7608">
        <v>0.97490010000000005</v>
      </c>
      <c r="AB7608">
        <v>25</v>
      </c>
      <c r="AC7608">
        <v>40.790100000000002</v>
      </c>
      <c r="AD7608">
        <v>-1.1089509604100001</v>
      </c>
      <c r="AE7608">
        <v>13.289779999999899</v>
      </c>
      <c r="AF7608">
        <v>-9.5738996247780594</v>
      </c>
      <c r="AG7608">
        <v>-1.1089509604100001</v>
      </c>
      <c r="AH7608">
        <v>41.789159777880101</v>
      </c>
      <c r="AI7608">
        <v>91.481720074563398</v>
      </c>
      <c r="AJ7608">
        <v>102.903783556072</v>
      </c>
      <c r="AK7608">
        <v>42.886165615488501</v>
      </c>
      <c r="AL7608">
        <v>86.948909578829898</v>
      </c>
      <c r="AM7608">
        <v>90.574982827247297</v>
      </c>
      <c r="AN7608">
        <v>1.0000000122986099</v>
      </c>
    </row>
    <row r="7609" spans="1:40" x14ac:dyDescent="0.25">
      <c r="A7609" t="str">
        <f>"20190312160518037"</f>
        <v>20190312160518037</v>
      </c>
      <c r="B7609" t="str">
        <f>"1552377918032346"</f>
        <v>1552377918032346</v>
      </c>
      <c r="C7609" t="s">
        <v>40</v>
      </c>
      <c r="D7609">
        <v>5.28369</v>
      </c>
      <c r="E7609">
        <v>0.41816999999999999</v>
      </c>
      <c r="F7609" t="s">
        <v>81</v>
      </c>
      <c r="G7609">
        <v>-194.70590000000001</v>
      </c>
      <c r="H7609" s="1">
        <v>-9.9194649999999997E-6</v>
      </c>
      <c r="I7609">
        <v>-51.35416</v>
      </c>
      <c r="J7609">
        <v>-235.0506</v>
      </c>
      <c r="K7609">
        <v>1.1089420000000001</v>
      </c>
      <c r="L7609">
        <v>-64.435419999999993</v>
      </c>
      <c r="M7609">
        <v>0.9959884</v>
      </c>
      <c r="N7609">
        <v>0</v>
      </c>
      <c r="O7609">
        <v>8.9021890000000006E-2</v>
      </c>
      <c r="P7609">
        <v>0.99413940000000001</v>
      </c>
      <c r="Q7609">
        <v>4.4309500000000002E-2</v>
      </c>
      <c r="R7609">
        <v>9.8608290000000001E-2</v>
      </c>
      <c r="S7609">
        <v>2.9266969999999999</v>
      </c>
      <c r="T7609">
        <v>-8.0168600000000007E-2</v>
      </c>
      <c r="U7609">
        <v>0.94653319999999996</v>
      </c>
      <c r="V7609">
        <v>-9.6123370000000003E-3</v>
      </c>
      <c r="W7609">
        <v>5.3388310000000001E-2</v>
      </c>
      <c r="X7609">
        <v>0.99852759999999996</v>
      </c>
      <c r="Y7609">
        <v>-0.2217481</v>
      </c>
      <c r="Z7609">
        <v>5.9414400000000001E-4</v>
      </c>
      <c r="AA7609">
        <v>0.97510379999999997</v>
      </c>
      <c r="AB7609">
        <v>25</v>
      </c>
      <c r="AC7609">
        <v>40.344699999999897</v>
      </c>
      <c r="AD7609">
        <v>-1.1089519194649999</v>
      </c>
      <c r="AE7609">
        <v>13.081259999999901</v>
      </c>
      <c r="AF7609">
        <v>-9.4311620208117297</v>
      </c>
      <c r="AG7609">
        <v>-1.1089519194649999</v>
      </c>
      <c r="AH7609">
        <v>41.320822056619797</v>
      </c>
      <c r="AI7609">
        <v>91.498787042922899</v>
      </c>
      <c r="AJ7609">
        <v>102.857082270937</v>
      </c>
      <c r="AK7609">
        <v>42.397958994004902</v>
      </c>
      <c r="AL7609">
        <v>86.939620263816593</v>
      </c>
      <c r="AM7609">
        <v>90.551541419386893</v>
      </c>
      <c r="AN7609">
        <v>1.0000000383145</v>
      </c>
    </row>
    <row r="7610" spans="1:40" x14ac:dyDescent="0.25">
      <c r="A7610" t="str">
        <f>"20190312160518046"</f>
        <v>20190312160518046</v>
      </c>
      <c r="B7610" t="str">
        <f>"1552377918032346"</f>
        <v>1552377918032346</v>
      </c>
      <c r="C7610" t="s">
        <v>40</v>
      </c>
      <c r="D7610">
        <v>5.28369</v>
      </c>
      <c r="E7610">
        <v>0.41816999999999999</v>
      </c>
      <c r="F7610" t="s">
        <v>81</v>
      </c>
      <c r="G7610">
        <v>-195.2407</v>
      </c>
      <c r="H7610" s="1">
        <v>-9.8724610000000008E-6</v>
      </c>
      <c r="I7610">
        <v>-51.630380000000002</v>
      </c>
      <c r="J7610">
        <v>-234.93549999999999</v>
      </c>
      <c r="K7610">
        <v>1.1089500000000001</v>
      </c>
      <c r="L7610">
        <v>-64.425600000000003</v>
      </c>
      <c r="M7610">
        <v>0.99603269999999999</v>
      </c>
      <c r="N7610">
        <v>0</v>
      </c>
      <c r="O7610">
        <v>8.8523889999999994E-2</v>
      </c>
      <c r="P7610">
        <v>0.99423110000000003</v>
      </c>
      <c r="Q7610">
        <v>4.4339469999999999E-2</v>
      </c>
      <c r="R7610">
        <v>9.7666790000000003E-2</v>
      </c>
      <c r="S7610">
        <v>2.927902</v>
      </c>
      <c r="T7610">
        <v>-8.1560019999999997E-2</v>
      </c>
      <c r="U7610">
        <v>0.94177250000000001</v>
      </c>
      <c r="V7610">
        <v>-9.1657010000000001E-3</v>
      </c>
      <c r="W7610">
        <v>5.3431149999999997E-2</v>
      </c>
      <c r="X7610">
        <v>0.99852949999999996</v>
      </c>
      <c r="Y7610">
        <v>-0.2206804</v>
      </c>
      <c r="Z7610">
        <v>6.0321270000000002E-4</v>
      </c>
      <c r="AA7610">
        <v>0.97534600000000005</v>
      </c>
      <c r="AB7610">
        <v>25</v>
      </c>
      <c r="AC7610">
        <v>39.694800000000001</v>
      </c>
      <c r="AD7610">
        <v>-1.1089598724609999</v>
      </c>
      <c r="AE7610">
        <v>12.79522</v>
      </c>
      <c r="AF7610">
        <v>-9.22437780354357</v>
      </c>
      <c r="AG7610">
        <v>-1.1089598724609999</v>
      </c>
      <c r="AH7610">
        <v>40.642941306517301</v>
      </c>
      <c r="AI7610">
        <v>91.524206685795406</v>
      </c>
      <c r="AJ7610">
        <v>102.787301887488</v>
      </c>
      <c r="AK7610">
        <v>41.691337420455099</v>
      </c>
      <c r="AL7610">
        <v>86.937162179153702</v>
      </c>
      <c r="AM7610">
        <v>90.525914592254793</v>
      </c>
      <c r="AN7610">
        <v>1.0000000301176899</v>
      </c>
    </row>
    <row r="7611" spans="1:40" x14ac:dyDescent="0.25">
      <c r="A7611" t="str">
        <f>"20190312160518058"</f>
        <v>20190312160518058</v>
      </c>
      <c r="B7611" t="str">
        <f>"1552377918052842"</f>
        <v>1552377918052842</v>
      </c>
      <c r="C7611" t="s">
        <v>40</v>
      </c>
      <c r="D7611">
        <v>5.2998810000000001</v>
      </c>
      <c r="E7611">
        <v>0.41817270000000001</v>
      </c>
      <c r="F7611" t="s">
        <v>81</v>
      </c>
      <c r="G7611">
        <v>-194.94649999999999</v>
      </c>
      <c r="H7611" s="1">
        <v>-9.852719E-6</v>
      </c>
      <c r="I7611">
        <v>-51.603859999999997</v>
      </c>
      <c r="J7611">
        <v>-234.8023</v>
      </c>
      <c r="K7611">
        <v>1.108951</v>
      </c>
      <c r="L7611">
        <v>-64.414400000000001</v>
      </c>
      <c r="M7611">
        <v>0.99608339999999995</v>
      </c>
      <c r="N7611">
        <v>0</v>
      </c>
      <c r="O7611">
        <v>8.7950819999999999E-2</v>
      </c>
      <c r="P7611">
        <v>0.99429369999999995</v>
      </c>
      <c r="Q7611">
        <v>4.4784160000000003E-2</v>
      </c>
      <c r="R7611">
        <v>9.6822270000000002E-2</v>
      </c>
      <c r="S7611">
        <v>2.9287719999999999</v>
      </c>
      <c r="T7611">
        <v>-8.1219550000000001E-2</v>
      </c>
      <c r="U7611">
        <v>0.93905640000000001</v>
      </c>
      <c r="V7611">
        <v>-8.8931329999999992E-3</v>
      </c>
      <c r="W7611">
        <v>5.3886829999999997E-2</v>
      </c>
      <c r="X7611">
        <v>0.99850740000000004</v>
      </c>
      <c r="Y7611">
        <v>-0.22033739999999999</v>
      </c>
      <c r="Z7611">
        <v>6.1129499999999998E-4</v>
      </c>
      <c r="AA7611">
        <v>0.9754235</v>
      </c>
      <c r="AB7611">
        <v>25</v>
      </c>
      <c r="AC7611">
        <v>39.855800000000002</v>
      </c>
      <c r="AD7611">
        <v>-1.108960852719</v>
      </c>
      <c r="AE7611">
        <v>12.81054</v>
      </c>
      <c r="AF7611">
        <v>-9.2489078523479495</v>
      </c>
      <c r="AG7611">
        <v>-1.108960852719</v>
      </c>
      <c r="AH7611">
        <v>40.799453799543798</v>
      </c>
      <c r="AI7611">
        <v>91.518451907513693</v>
      </c>
      <c r="AJ7611">
        <v>102.772620544481</v>
      </c>
      <c r="AK7611">
        <v>41.849343136723199</v>
      </c>
      <c r="AL7611">
        <v>86.911015732283303</v>
      </c>
      <c r="AM7611">
        <v>90.510287169854905</v>
      </c>
      <c r="AN7611">
        <v>0.99999995305838096</v>
      </c>
    </row>
    <row r="7612" spans="1:40" x14ac:dyDescent="0.25">
      <c r="A7612" t="str">
        <f>"20190312160518069"</f>
        <v>20190312160518069</v>
      </c>
      <c r="B7612" t="str">
        <f>"1552377918062602"</f>
        <v>1552377918062602</v>
      </c>
      <c r="C7612" t="s">
        <v>40</v>
      </c>
      <c r="D7612">
        <v>5.3146680000000002</v>
      </c>
      <c r="E7612">
        <v>0.41808149999999999</v>
      </c>
      <c r="F7612" t="s">
        <v>81</v>
      </c>
      <c r="G7612">
        <v>-195.3466</v>
      </c>
      <c r="H7612" s="1">
        <v>-9.8206470000000007E-6</v>
      </c>
      <c r="I7612">
        <v>-51.802</v>
      </c>
      <c r="J7612">
        <v>-234.6798</v>
      </c>
      <c r="K7612">
        <v>1.108954</v>
      </c>
      <c r="L7612">
        <v>-64.404139999999998</v>
      </c>
      <c r="M7612">
        <v>0.9961295</v>
      </c>
      <c r="N7612">
        <v>0</v>
      </c>
      <c r="O7612">
        <v>8.7425020000000006E-2</v>
      </c>
      <c r="P7612">
        <v>0.99433240000000001</v>
      </c>
      <c r="Q7612">
        <v>4.5140989999999999E-2</v>
      </c>
      <c r="R7612">
        <v>9.6257120000000002E-2</v>
      </c>
      <c r="S7612">
        <v>2.9297490000000002</v>
      </c>
      <c r="T7612">
        <v>-8.2345009999999996E-2</v>
      </c>
      <c r="U7612">
        <v>0.93652340000000001</v>
      </c>
      <c r="V7612">
        <v>-8.8534369999999901E-3</v>
      </c>
      <c r="W7612">
        <v>5.4252979999999999E-2</v>
      </c>
      <c r="X7612">
        <v>0.99848789999999998</v>
      </c>
      <c r="Y7612">
        <v>-0.2199914</v>
      </c>
      <c r="Z7612">
        <v>6.2915710000000001E-4</v>
      </c>
      <c r="AA7612">
        <v>0.97550159999999997</v>
      </c>
      <c r="AB7612">
        <v>25</v>
      </c>
      <c r="AC7612">
        <v>39.333199999999998</v>
      </c>
      <c r="AD7612">
        <v>-1.1089638206470001</v>
      </c>
      <c r="AE7612">
        <v>12.60214</v>
      </c>
      <c r="AF7612">
        <v>-9.1084690461790192</v>
      </c>
      <c r="AG7612">
        <v>-1.1089638206470001</v>
      </c>
      <c r="AH7612">
        <v>40.255352465160399</v>
      </c>
      <c r="AI7612">
        <v>91.539110727981594</v>
      </c>
      <c r="AJ7612">
        <v>102.74947567206701</v>
      </c>
      <c r="AK7612">
        <v>41.287860337089498</v>
      </c>
      <c r="AL7612">
        <v>86.890006069113994</v>
      </c>
      <c r="AM7612">
        <v>90.508019457262094</v>
      </c>
      <c r="AN7612">
        <v>0.999999927815999</v>
      </c>
    </row>
    <row r="7613" spans="1:40" x14ac:dyDescent="0.25">
      <c r="A7613" t="str">
        <f>"20190312160518080"</f>
        <v>20190312160518080</v>
      </c>
      <c r="B7613" t="str">
        <f>"1552377918072363"</f>
        <v>1552377918072363</v>
      </c>
      <c r="C7613" t="s">
        <v>40</v>
      </c>
      <c r="D7613">
        <v>5.3369809999999998</v>
      </c>
      <c r="E7613">
        <v>0.4180257</v>
      </c>
      <c r="F7613" t="s">
        <v>81</v>
      </c>
      <c r="G7613">
        <v>-194.6671</v>
      </c>
      <c r="H7613" s="1">
        <v>-9.8156660000000002E-6</v>
      </c>
      <c r="I7613">
        <v>-51.628990000000002</v>
      </c>
      <c r="J7613">
        <v>-234.55410000000001</v>
      </c>
      <c r="K7613">
        <v>1.1089580000000001</v>
      </c>
      <c r="L7613">
        <v>-64.393680000000003</v>
      </c>
      <c r="M7613">
        <v>0.99617639999999996</v>
      </c>
      <c r="N7613">
        <v>0</v>
      </c>
      <c r="O7613">
        <v>8.6888720000000003E-2</v>
      </c>
      <c r="P7613">
        <v>0.9943805</v>
      </c>
      <c r="Q7613">
        <v>4.5403499999999999E-2</v>
      </c>
      <c r="R7613">
        <v>9.5635300000000006E-2</v>
      </c>
      <c r="S7613">
        <v>2.9302060000000001</v>
      </c>
      <c r="T7613">
        <v>-8.1211329999999998E-2</v>
      </c>
      <c r="U7613">
        <v>0.93554689999999996</v>
      </c>
      <c r="V7613">
        <v>-8.7680850000000001E-3</v>
      </c>
      <c r="W7613">
        <v>5.4520569999999997E-2</v>
      </c>
      <c r="X7613">
        <v>0.99847410000000003</v>
      </c>
      <c r="Y7613">
        <v>-0.2201785</v>
      </c>
      <c r="Z7613">
        <v>6.3731729999999998E-4</v>
      </c>
      <c r="AA7613">
        <v>0.97545939999999998</v>
      </c>
      <c r="AB7613">
        <v>25</v>
      </c>
      <c r="AC7613">
        <v>39.887</v>
      </c>
      <c r="AD7613">
        <v>-1.1089678156659999</v>
      </c>
      <c r="AE7613">
        <v>12.76469</v>
      </c>
      <c r="AF7613">
        <v>-9.2440543784731997</v>
      </c>
      <c r="AG7613">
        <v>-1.1089678156659999</v>
      </c>
      <c r="AH7613">
        <v>40.816669434864799</v>
      </c>
      <c r="AI7613">
        <v>91.517891424535193</v>
      </c>
      <c r="AJ7613">
        <v>102.760929499816</v>
      </c>
      <c r="AK7613">
        <v>41.865055293447</v>
      </c>
      <c r="AL7613">
        <v>86.8746516345673</v>
      </c>
      <c r="AM7613">
        <v>90.503129076725301</v>
      </c>
      <c r="AN7613">
        <v>0.99999995011924903</v>
      </c>
    </row>
    <row r="7614" spans="1:40" x14ac:dyDescent="0.25">
      <c r="A7614" t="str">
        <f>"20190312160518090"</f>
        <v>20190312160518090</v>
      </c>
      <c r="B7614" t="str">
        <f>"1552377918083097"</f>
        <v>1552377918083097</v>
      </c>
      <c r="C7614" t="s">
        <v>40</v>
      </c>
      <c r="D7614">
        <v>5.3168579999999999</v>
      </c>
      <c r="E7614">
        <v>0.41794789999999998</v>
      </c>
      <c r="F7614" t="s">
        <v>81</v>
      </c>
      <c r="G7614">
        <v>-194.21559999999999</v>
      </c>
      <c r="H7614" s="1">
        <v>-9.8042080000000003E-6</v>
      </c>
      <c r="I7614">
        <v>-51.536470000000001</v>
      </c>
      <c r="J7614">
        <v>-234.4349</v>
      </c>
      <c r="K7614">
        <v>1.1089580000000001</v>
      </c>
      <c r="L7614">
        <v>-64.38382</v>
      </c>
      <c r="M7614">
        <v>0.99622049999999995</v>
      </c>
      <c r="N7614">
        <v>0</v>
      </c>
      <c r="O7614">
        <v>8.6381200000000005E-2</v>
      </c>
      <c r="P7614">
        <v>0.99442229999999998</v>
      </c>
      <c r="Q7614">
        <v>4.5770690000000003E-2</v>
      </c>
      <c r="R7614">
        <v>9.502323E-2</v>
      </c>
      <c r="S7614">
        <v>2.9308010000000002</v>
      </c>
      <c r="T7614">
        <v>-8.0572249999999998E-2</v>
      </c>
      <c r="U7614">
        <v>0.9341431</v>
      </c>
      <c r="V7614">
        <v>-8.6626889999999995E-3</v>
      </c>
      <c r="W7614">
        <v>5.4890510000000003E-2</v>
      </c>
      <c r="X7614">
        <v>0.99845479999999998</v>
      </c>
      <c r="Y7614">
        <v>-0.22019449999999999</v>
      </c>
      <c r="Z7614">
        <v>6.4591269999999905E-4</v>
      </c>
      <c r="AA7614">
        <v>0.97545579999999998</v>
      </c>
      <c r="AB7614">
        <v>25</v>
      </c>
      <c r="AC7614">
        <v>40.219299999999997</v>
      </c>
      <c r="AD7614">
        <v>-1.10896780420799</v>
      </c>
      <c r="AE7614">
        <v>12.84735</v>
      </c>
      <c r="AF7614">
        <v>-9.3185603806998696</v>
      </c>
      <c r="AG7614">
        <v>-1.10896780420799</v>
      </c>
      <c r="AH7614">
        <v>41.150380929959802</v>
      </c>
      <c r="AI7614">
        <v>91.505596111898996</v>
      </c>
      <c r="AJ7614">
        <v>102.75950955653001</v>
      </c>
      <c r="AK7614">
        <v>42.206862331146098</v>
      </c>
      <c r="AL7614">
        <v>86.8534239985716</v>
      </c>
      <c r="AM7614">
        <v>90.49709117095</v>
      </c>
      <c r="AN7614">
        <v>0.99999999895590497</v>
      </c>
    </row>
    <row r="7615" spans="1:40" x14ac:dyDescent="0.25">
      <c r="A7615" t="str">
        <f>"20190312160518101"</f>
        <v>20190312160518101</v>
      </c>
      <c r="B7615" t="str">
        <f>"1552377918092510"</f>
        <v>1552377918092510</v>
      </c>
      <c r="C7615" t="s">
        <v>40</v>
      </c>
      <c r="D7615">
        <v>5.3369109999999997</v>
      </c>
      <c r="E7615">
        <v>0.41791030000000001</v>
      </c>
      <c r="F7615" t="s">
        <v>81</v>
      </c>
      <c r="G7615">
        <v>-193.5377</v>
      </c>
      <c r="H7615" s="1">
        <v>-9.7978880000000003E-6</v>
      </c>
      <c r="I7615">
        <v>-51.367579999999997</v>
      </c>
      <c r="J7615">
        <v>-234.32040000000001</v>
      </c>
      <c r="K7615">
        <v>1.1089580000000001</v>
      </c>
      <c r="L7615">
        <v>-64.374390000000005</v>
      </c>
      <c r="M7615">
        <v>0.99626239999999999</v>
      </c>
      <c r="N7615">
        <v>0</v>
      </c>
      <c r="O7615">
        <v>8.5896100000000003E-2</v>
      </c>
      <c r="P7615">
        <v>0.99446920000000005</v>
      </c>
      <c r="Q7615">
        <v>4.5800699999999903E-2</v>
      </c>
      <c r="R7615">
        <v>9.4517970000000007E-2</v>
      </c>
      <c r="S7615">
        <v>2.9313509999999998</v>
      </c>
      <c r="T7615">
        <v>-7.9486490000000007E-2</v>
      </c>
      <c r="U7615">
        <v>0.93295289999999997</v>
      </c>
      <c r="V7615">
        <v>-8.6422019999999999E-3</v>
      </c>
      <c r="W7615">
        <v>5.4921940000000002E-2</v>
      </c>
      <c r="X7615">
        <v>0.99845329999999999</v>
      </c>
      <c r="Y7615">
        <v>-0.22025800000000001</v>
      </c>
      <c r="Z7615">
        <v>6.5067969999999995E-4</v>
      </c>
      <c r="AA7615">
        <v>0.97544149999999996</v>
      </c>
      <c r="AB7615">
        <v>25</v>
      </c>
      <c r="AC7615">
        <v>40.782699999999998</v>
      </c>
      <c r="AD7615">
        <v>-1.1089677978879999</v>
      </c>
      <c r="AE7615">
        <v>13.00681</v>
      </c>
      <c r="AF7615">
        <v>-9.4491719459824193</v>
      </c>
      <c r="AG7615">
        <v>-1.1089677978879999</v>
      </c>
      <c r="AH7615">
        <v>41.721238356199599</v>
      </c>
      <c r="AI7615">
        <v>91.484994564742905</v>
      </c>
      <c r="AJ7615">
        <v>102.76126015371101</v>
      </c>
      <c r="AK7615">
        <v>42.792270213396201</v>
      </c>
      <c r="AL7615">
        <v>86.851620631596504</v>
      </c>
      <c r="AM7615">
        <v>90.4959163689919</v>
      </c>
      <c r="AN7615">
        <v>1.00000004971482</v>
      </c>
    </row>
    <row r="7616" spans="1:40" x14ac:dyDescent="0.25">
      <c r="A7616" t="str">
        <f>"20190312160518113"</f>
        <v>20190312160518113</v>
      </c>
      <c r="B7616" t="str">
        <f>"1552377918102259"</f>
        <v>1552377918102259</v>
      </c>
      <c r="C7616" t="s">
        <v>40</v>
      </c>
      <c r="D7616">
        <v>5.3082630000000002</v>
      </c>
      <c r="E7616">
        <v>0.41779339999999998</v>
      </c>
      <c r="F7616" t="s">
        <v>81</v>
      </c>
      <c r="G7616">
        <v>-193.43279999999999</v>
      </c>
      <c r="H7616" s="1">
        <v>-9.7831540000000006E-6</v>
      </c>
      <c r="I7616">
        <v>-51.379280000000001</v>
      </c>
      <c r="J7616">
        <v>-234.18</v>
      </c>
      <c r="K7616">
        <v>1.1089530000000001</v>
      </c>
      <c r="L7616">
        <v>-64.362919999999903</v>
      </c>
      <c r="M7616">
        <v>0.99631329999999996</v>
      </c>
      <c r="N7616">
        <v>0</v>
      </c>
      <c r="O7616">
        <v>8.5303539999999997E-2</v>
      </c>
      <c r="P7616">
        <v>0.9945524</v>
      </c>
      <c r="Q7616">
        <v>4.5696590000000002E-2</v>
      </c>
      <c r="R7616">
        <v>9.368833E-2</v>
      </c>
      <c r="S7616">
        <v>2.931778</v>
      </c>
      <c r="T7616">
        <v>-7.9516770000000001E-2</v>
      </c>
      <c r="U7616">
        <v>0.93179319999999999</v>
      </c>
      <c r="V7616">
        <v>-8.4027719999999993E-3</v>
      </c>
      <c r="W7616">
        <v>5.4818150000000003E-2</v>
      </c>
      <c r="X7616">
        <v>0.99846100000000004</v>
      </c>
      <c r="Y7616">
        <v>-0.22044639999999999</v>
      </c>
      <c r="Z7616">
        <v>6.6889569999999999E-4</v>
      </c>
      <c r="AA7616">
        <v>0.97539880000000001</v>
      </c>
      <c r="AB7616">
        <v>25</v>
      </c>
      <c r="AC7616">
        <v>40.747199999999999</v>
      </c>
      <c r="AD7616">
        <v>-1.1089627831540001</v>
      </c>
      <c r="AE7616">
        <v>12.9836399999999</v>
      </c>
      <c r="AF7616">
        <v>-9.45392893199433</v>
      </c>
      <c r="AG7616">
        <v>-1.1089627831540001</v>
      </c>
      <c r="AH7616">
        <v>41.678235626488899</v>
      </c>
      <c r="AI7616">
        <v>91.486407935165204</v>
      </c>
      <c r="AJ7616">
        <v>102.780214824532</v>
      </c>
      <c r="AK7616">
        <v>42.751396417459297</v>
      </c>
      <c r="AL7616">
        <v>86.857576183455393</v>
      </c>
      <c r="AM7616">
        <v>90.482174072210299</v>
      </c>
      <c r="AN7616">
        <v>1.00000000233385</v>
      </c>
    </row>
    <row r="7617" spans="1:40" x14ac:dyDescent="0.25">
      <c r="A7617" t="str">
        <f>"20190312160518123"</f>
        <v>20190312160518123</v>
      </c>
      <c r="B7617" t="str">
        <f>"1552377918112994"</f>
        <v>1552377918112994</v>
      </c>
      <c r="C7617" t="s">
        <v>40</v>
      </c>
      <c r="D7617">
        <v>5.3063019999999996</v>
      </c>
      <c r="E7617">
        <v>0.41769610000000001</v>
      </c>
      <c r="F7617" t="s">
        <v>81</v>
      </c>
      <c r="G7617">
        <v>-193.39089999999999</v>
      </c>
      <c r="H7617" s="1">
        <v>-9.7642000000000005E-6</v>
      </c>
      <c r="I7617">
        <v>-51.419910000000002</v>
      </c>
      <c r="J7617">
        <v>-234.0558</v>
      </c>
      <c r="K7617">
        <v>1.108962</v>
      </c>
      <c r="L7617">
        <v>-64.35284</v>
      </c>
      <c r="M7617">
        <v>0.99635799999999997</v>
      </c>
      <c r="N7617">
        <v>0</v>
      </c>
      <c r="O7617">
        <v>8.4780949999999994E-2</v>
      </c>
      <c r="P7617">
        <v>0.99465029999999999</v>
      </c>
      <c r="Q7617">
        <v>4.4997750000000003E-2</v>
      </c>
      <c r="R7617">
        <v>9.2984999999999998E-2</v>
      </c>
      <c r="S7617">
        <v>2.9324490000000001</v>
      </c>
      <c r="T7617">
        <v>-7.9726699999999998E-2</v>
      </c>
      <c r="U7617">
        <v>0.93051150000000005</v>
      </c>
      <c r="V7617">
        <v>-8.2193079999999998E-3</v>
      </c>
      <c r="W7617">
        <v>5.4119189999999998E-2</v>
      </c>
      <c r="X7617">
        <v>0.99850059999999996</v>
      </c>
      <c r="Y7617">
        <v>-0.2205058</v>
      </c>
      <c r="Z7617">
        <v>6.8507179999999896E-4</v>
      </c>
      <c r="AA7617">
        <v>0.97538539999999996</v>
      </c>
      <c r="AB7617">
        <v>25</v>
      </c>
      <c r="AC7617">
        <v>40.664900000000003</v>
      </c>
      <c r="AD7617">
        <v>-1.1089717642000001</v>
      </c>
      <c r="AE7617">
        <v>12.932930000000001</v>
      </c>
      <c r="AF7617">
        <v>-9.4322403153572694</v>
      </c>
      <c r="AG7617">
        <v>-1.1089717642000001</v>
      </c>
      <c r="AH7617">
        <v>41.586902576031299</v>
      </c>
      <c r="AI7617">
        <v>91.489690473147306</v>
      </c>
      <c r="AJ7617">
        <v>102.778941948747</v>
      </c>
      <c r="AK7617">
        <v>42.657560192875103</v>
      </c>
      <c r="AL7617">
        <v>86.897683006859396</v>
      </c>
      <c r="AM7617">
        <v>90.471628181858904</v>
      </c>
      <c r="AN7617">
        <v>0.99999994597530595</v>
      </c>
    </row>
    <row r="7618" spans="1:40" x14ac:dyDescent="0.25">
      <c r="A7618" t="str">
        <f>"20190312160518135"</f>
        <v>20190312160518135</v>
      </c>
      <c r="B7618" t="str">
        <f>"1552377918132515"</f>
        <v>1552377918132515</v>
      </c>
      <c r="C7618" t="s">
        <v>40</v>
      </c>
      <c r="D7618">
        <v>5.3143019999999996</v>
      </c>
      <c r="E7618">
        <v>0.4174852</v>
      </c>
      <c r="F7618" t="s">
        <v>81</v>
      </c>
      <c r="G7618">
        <v>-194.49029999999999</v>
      </c>
      <c r="H7618" s="1">
        <v>-9.7291050000000001E-6</v>
      </c>
      <c r="I7618">
        <v>-51.8185</v>
      </c>
      <c r="J7618">
        <v>-233.929</v>
      </c>
      <c r="K7618">
        <v>1.1089610000000001</v>
      </c>
      <c r="L7618">
        <v>-64.342619999999997</v>
      </c>
      <c r="M7618">
        <v>0.99640300000000004</v>
      </c>
      <c r="N7618">
        <v>0</v>
      </c>
      <c r="O7618">
        <v>8.4249119999999997E-2</v>
      </c>
      <c r="P7618">
        <v>0.99471010000000004</v>
      </c>
      <c r="Q7618">
        <v>4.5009779999999999E-2</v>
      </c>
      <c r="R7618">
        <v>9.2337500000000003E-2</v>
      </c>
      <c r="S7618">
        <v>2.9329830000000001</v>
      </c>
      <c r="T7618">
        <v>-8.2207920000000004E-2</v>
      </c>
      <c r="U7618">
        <v>0.92916869999999996</v>
      </c>
      <c r="V7618">
        <v>-8.1021779999999998E-3</v>
      </c>
      <c r="W7618">
        <v>5.4131560000000002E-2</v>
      </c>
      <c r="X7618">
        <v>0.99850090000000002</v>
      </c>
      <c r="Y7618">
        <v>-0.2205664</v>
      </c>
      <c r="Z7618">
        <v>7.2154079999999995E-4</v>
      </c>
      <c r="AA7618">
        <v>0.97537169999999895</v>
      </c>
      <c r="AB7618">
        <v>25</v>
      </c>
      <c r="AC7618">
        <v>39.438699999999997</v>
      </c>
      <c r="AD7618">
        <v>-1.1089707291049999</v>
      </c>
      <c r="AE7618">
        <v>12.5241199999999</v>
      </c>
      <c r="AF7618">
        <v>-9.1502036226721497</v>
      </c>
      <c r="AG7618">
        <v>-1.1089707291049999</v>
      </c>
      <c r="AH7618">
        <v>40.3246999783508</v>
      </c>
      <c r="AI7618">
        <v>91.536260960326501</v>
      </c>
      <c r="AJ7618">
        <v>102.784672733417</v>
      </c>
      <c r="AK7618">
        <v>41.364688694082801</v>
      </c>
      <c r="AL7618">
        <v>86.896973258623404</v>
      </c>
      <c r="AM7618">
        <v>90.464907358798399</v>
      </c>
      <c r="AN7618">
        <v>0.99999995918859197</v>
      </c>
    </row>
    <row r="7619" spans="1:40" x14ac:dyDescent="0.25">
      <c r="A7619" t="str">
        <f>"20190312160518147"</f>
        <v>20190312160518147</v>
      </c>
      <c r="B7619" t="str">
        <f>"1552377918142278"</f>
        <v>1552377918142278</v>
      </c>
      <c r="C7619" t="s">
        <v>40</v>
      </c>
      <c r="D7619">
        <v>5.3150409999999999</v>
      </c>
      <c r="E7619">
        <v>0.41732819999999998</v>
      </c>
      <c r="F7619" t="s">
        <v>81</v>
      </c>
      <c r="G7619">
        <v>-194.55189999999999</v>
      </c>
      <c r="H7619" s="1">
        <v>-9.7156469999999992E-6</v>
      </c>
      <c r="I7619">
        <v>-51.872439999999997</v>
      </c>
      <c r="J7619">
        <v>-233.79570000000001</v>
      </c>
      <c r="K7619">
        <v>1.108957</v>
      </c>
      <c r="L7619">
        <v>-64.331909999999993</v>
      </c>
      <c r="M7619">
        <v>0.99645019999999995</v>
      </c>
      <c r="N7619">
        <v>0</v>
      </c>
      <c r="O7619">
        <v>8.3690589999999995E-2</v>
      </c>
      <c r="P7619">
        <v>0.99479439999999997</v>
      </c>
      <c r="Q7619">
        <v>4.4872780000000001E-2</v>
      </c>
      <c r="R7619">
        <v>9.1491879999999998E-2</v>
      </c>
      <c r="S7619">
        <v>2.9334560000000001</v>
      </c>
      <c r="T7619">
        <v>-8.261454E-2</v>
      </c>
      <c r="U7619">
        <v>0.92898559999999997</v>
      </c>
      <c r="V7619">
        <v>-7.8127530000000004E-3</v>
      </c>
      <c r="W7619">
        <v>5.3994439999999998E-2</v>
      </c>
      <c r="X7619">
        <v>0.99851069999999997</v>
      </c>
      <c r="Y7619">
        <v>-0.22101170000000001</v>
      </c>
      <c r="Z7619">
        <v>7.4633369999999998E-4</v>
      </c>
      <c r="AA7619">
        <v>0.97527090000000005</v>
      </c>
      <c r="AB7619">
        <v>25</v>
      </c>
      <c r="AC7619">
        <v>39.2438</v>
      </c>
      <c r="AD7619">
        <v>-1.108966715647</v>
      </c>
      <c r="AE7619">
        <v>12.4594699999999</v>
      </c>
      <c r="AF7619">
        <v>-9.1246638519707304</v>
      </c>
      <c r="AG7619">
        <v>-1.108966715647</v>
      </c>
      <c r="AH7619">
        <v>40.119793121772098</v>
      </c>
      <c r="AI7619">
        <v>91.543923706873898</v>
      </c>
      <c r="AJ7619">
        <v>102.813132037145</v>
      </c>
      <c r="AK7619">
        <v>41.159289324788702</v>
      </c>
      <c r="AL7619">
        <v>86.904841377073694</v>
      </c>
      <c r="AM7619">
        <v>90.448296286279898</v>
      </c>
      <c r="AN7619">
        <v>1.00000002833742</v>
      </c>
    </row>
    <row r="7620" spans="1:40" x14ac:dyDescent="0.25">
      <c r="A7620" t="str">
        <f>"20190312160518158"</f>
        <v>20190312160518158</v>
      </c>
      <c r="B7620" t="str">
        <f>"1552377918153010"</f>
        <v>1552377918153010</v>
      </c>
      <c r="C7620" t="s">
        <v>40</v>
      </c>
      <c r="D7620">
        <v>5.4780850000000001</v>
      </c>
      <c r="E7620">
        <v>0.41718680000000002</v>
      </c>
      <c r="F7620" t="s">
        <v>81</v>
      </c>
      <c r="G7620">
        <v>-194.84469999999999</v>
      </c>
      <c r="H7620" s="1">
        <v>-9.6929850000000008E-6</v>
      </c>
      <c r="I7620">
        <v>-52.015210000000003</v>
      </c>
      <c r="J7620">
        <v>-233.66409999999999</v>
      </c>
      <c r="K7620">
        <v>1.1089500000000001</v>
      </c>
      <c r="L7620">
        <v>-64.321469999999906</v>
      </c>
      <c r="M7620">
        <v>0.99649620000000005</v>
      </c>
      <c r="N7620">
        <v>0</v>
      </c>
      <c r="O7620">
        <v>8.3140039999999998E-2</v>
      </c>
      <c r="P7620">
        <v>0.99487599999999998</v>
      </c>
      <c r="Q7620">
        <v>4.5149420000000003E-2</v>
      </c>
      <c r="R7620">
        <v>9.046303E-2</v>
      </c>
      <c r="S7620">
        <v>2.934113</v>
      </c>
      <c r="T7620">
        <v>-8.3536509999999994E-2</v>
      </c>
      <c r="U7620">
        <v>0.92779540000000005</v>
      </c>
      <c r="V7620">
        <v>-7.3322300000000003E-3</v>
      </c>
      <c r="W7620">
        <v>5.4270119999999998E-2</v>
      </c>
      <c r="X7620">
        <v>0.99849940000000004</v>
      </c>
      <c r="Y7620">
        <v>-0.22112680000000001</v>
      </c>
      <c r="Z7620">
        <v>7.7129360000000003E-4</v>
      </c>
      <c r="AA7620">
        <v>0.97524480000000002</v>
      </c>
      <c r="AB7620">
        <v>25</v>
      </c>
      <c r="AC7620">
        <v>38.819400000000002</v>
      </c>
      <c r="AD7620">
        <v>-1.1089596929850001</v>
      </c>
      <c r="AE7620">
        <v>12.306259999999901</v>
      </c>
      <c r="AF7620">
        <v>-9.0293743191101203</v>
      </c>
      <c r="AG7620">
        <v>-1.1089596929850001</v>
      </c>
      <c r="AH7620">
        <v>39.6787525123083</v>
      </c>
      <c r="AI7620">
        <v>91.561023844163699</v>
      </c>
      <c r="AJ7620">
        <v>102.820022442729</v>
      </c>
      <c r="AK7620">
        <v>40.708264432769397</v>
      </c>
      <c r="AL7620">
        <v>86.8890228875985</v>
      </c>
      <c r="AM7620">
        <v>90.420729629379593</v>
      </c>
      <c r="AN7620">
        <v>1.0000000296609699</v>
      </c>
    </row>
    <row r="7621" spans="1:40" x14ac:dyDescent="0.25">
      <c r="A7621" t="str">
        <f>"20190312160518170"</f>
        <v>20190312160518170</v>
      </c>
      <c r="B7621" t="str">
        <f>"1552377918162770"</f>
        <v>1552377918162770</v>
      </c>
      <c r="C7621" t="s">
        <v>40</v>
      </c>
      <c r="D7621">
        <v>5.4003610000000002</v>
      </c>
      <c r="E7621">
        <v>0.41718680000000002</v>
      </c>
      <c r="F7621" t="s">
        <v>81</v>
      </c>
      <c r="G7621">
        <v>-194.82990000000001</v>
      </c>
      <c r="H7621" s="1">
        <v>-9.6711529999999996E-6</v>
      </c>
      <c r="I7621">
        <v>-52.071190000000001</v>
      </c>
      <c r="J7621">
        <v>-233.536</v>
      </c>
      <c r="K7621">
        <v>1.1089500000000001</v>
      </c>
      <c r="L7621">
        <v>-64.311309999999906</v>
      </c>
      <c r="M7621">
        <v>0.9965406</v>
      </c>
      <c r="N7621">
        <v>0</v>
      </c>
      <c r="O7621">
        <v>8.2605040000000005E-2</v>
      </c>
      <c r="P7621">
        <v>0.99492429999999998</v>
      </c>
      <c r="Q7621">
        <v>4.5203210000000001E-2</v>
      </c>
      <c r="R7621">
        <v>8.9902579999999996E-2</v>
      </c>
      <c r="S7621">
        <v>2.9350740000000002</v>
      </c>
      <c r="T7621">
        <v>-8.3814860000000005E-2</v>
      </c>
      <c r="U7621">
        <v>0.92587280000000005</v>
      </c>
      <c r="V7621">
        <v>-7.3060219999999997E-3</v>
      </c>
      <c r="W7621">
        <v>5.4323450000000002E-2</v>
      </c>
      <c r="X7621">
        <v>0.99849670000000001</v>
      </c>
      <c r="Y7621">
        <v>-0.22097710000000001</v>
      </c>
      <c r="Z7621">
        <v>7.8637289999999903E-4</v>
      </c>
      <c r="AA7621">
        <v>0.97527870000000005</v>
      </c>
      <c r="AB7621">
        <v>26</v>
      </c>
      <c r="AC7621">
        <v>38.7060999999999</v>
      </c>
      <c r="AD7621">
        <v>-1.1089596711530001</v>
      </c>
      <c r="AE7621">
        <v>12.2401199999999</v>
      </c>
      <c r="AF7621">
        <v>-8.9941204346777592</v>
      </c>
      <c r="AG7621">
        <v>-1.1089596711530001</v>
      </c>
      <c r="AH7621">
        <v>39.555425414861098</v>
      </c>
      <c r="AI7621">
        <v>91.565949926178106</v>
      </c>
      <c r="AJ7621">
        <v>102.81012107254701</v>
      </c>
      <c r="AK7621">
        <v>40.580237477082001</v>
      </c>
      <c r="AL7621">
        <v>86.885962814210799</v>
      </c>
      <c r="AM7621">
        <v>90.419226979264096</v>
      </c>
      <c r="AN7621">
        <v>1.00000003754412</v>
      </c>
    </row>
    <row r="7622" spans="1:40" x14ac:dyDescent="0.25">
      <c r="A7622" t="str">
        <f>"20190312160518180"</f>
        <v>20190312160518180</v>
      </c>
      <c r="B7622" t="str">
        <f>"1552377918172531"</f>
        <v>1552377918172531</v>
      </c>
      <c r="C7622" t="s">
        <v>40</v>
      </c>
      <c r="D7622">
        <v>5.326136</v>
      </c>
      <c r="E7622">
        <v>0.46269949999999999</v>
      </c>
      <c r="F7622" t="s">
        <v>81</v>
      </c>
      <c r="G7622">
        <v>-194.57079999999999</v>
      </c>
      <c r="H7622" s="1">
        <v>-9.6556910000000001E-6</v>
      </c>
      <c r="I7622">
        <v>-52.042529999999999</v>
      </c>
      <c r="J7622">
        <v>-233.41139999999999</v>
      </c>
      <c r="K7622">
        <v>1.108951</v>
      </c>
      <c r="L7622">
        <v>-64.301569999999998</v>
      </c>
      <c r="M7622">
        <v>0.99658369999999996</v>
      </c>
      <c r="N7622">
        <v>0</v>
      </c>
      <c r="O7622">
        <v>8.2084530000000003E-2</v>
      </c>
      <c r="P7622">
        <v>0.99500279999999997</v>
      </c>
      <c r="Q7622">
        <v>4.5269299999999998E-2</v>
      </c>
      <c r="R7622">
        <v>8.89963E-2</v>
      </c>
      <c r="S7622">
        <v>2.9355929999999999</v>
      </c>
      <c r="T7622">
        <v>-8.3547830000000003E-2</v>
      </c>
      <c r="U7622">
        <v>0.92431640000000004</v>
      </c>
      <c r="V7622">
        <v>-6.9174839999999998E-3</v>
      </c>
      <c r="W7622">
        <v>5.4388680000000002E-2</v>
      </c>
      <c r="X7622">
        <v>0.99849589999999999</v>
      </c>
      <c r="Y7622">
        <v>-0.22096689999999999</v>
      </c>
      <c r="Z7622">
        <v>7.9797649999999902E-4</v>
      </c>
      <c r="AA7622">
        <v>0.97528099999999995</v>
      </c>
      <c r="AB7622">
        <v>26</v>
      </c>
      <c r="AC7622">
        <v>38.840600000000002</v>
      </c>
      <c r="AD7622">
        <v>-1.1089606556910001</v>
      </c>
      <c r="AE7622">
        <v>12.259040000000001</v>
      </c>
      <c r="AF7622">
        <v>-9.0226331840260698</v>
      </c>
      <c r="AG7622">
        <v>-1.1089606556910001</v>
      </c>
      <c r="AH7622">
        <v>39.686414620453697</v>
      </c>
      <c r="AI7622">
        <v>91.560796094893206</v>
      </c>
      <c r="AJ7622">
        <v>102.808375481922</v>
      </c>
      <c r="AK7622">
        <v>40.7142384029951</v>
      </c>
      <c r="AL7622">
        <v>86.882219826169901</v>
      </c>
      <c r="AM7622">
        <v>90.396933324710602</v>
      </c>
      <c r="AN7622">
        <v>1.00000002120692</v>
      </c>
    </row>
    <row r="7623" spans="1:40" x14ac:dyDescent="0.25">
      <c r="A7623" t="str">
        <f>"20190312160518192"</f>
        <v>20190312160518192</v>
      </c>
      <c r="B7623" t="str">
        <f>"1552377918182292"</f>
        <v>1552377918182292</v>
      </c>
      <c r="C7623" t="s">
        <v>40</v>
      </c>
      <c r="D7623">
        <v>5.3446879999999997</v>
      </c>
      <c r="E7623">
        <v>0.47239989999999998</v>
      </c>
      <c r="F7623" t="s">
        <v>81</v>
      </c>
      <c r="G7623">
        <v>-200.0446</v>
      </c>
      <c r="H7623" s="1">
        <v>-6.0619349999999901E-6</v>
      </c>
      <c r="I7623">
        <v>-58.011180000000003</v>
      </c>
      <c r="J7623">
        <v>-233.2841</v>
      </c>
      <c r="K7623">
        <v>1.108946</v>
      </c>
      <c r="L7623">
        <v>-64.291629999999998</v>
      </c>
      <c r="M7623">
        <v>0.9966275</v>
      </c>
      <c r="N7623">
        <v>0</v>
      </c>
      <c r="O7623">
        <v>8.1552449999999999E-2</v>
      </c>
      <c r="P7623">
        <v>0.99505569999999999</v>
      </c>
      <c r="Q7623">
        <v>4.5714709999999999E-2</v>
      </c>
      <c r="R7623">
        <v>8.8174069999999993E-2</v>
      </c>
      <c r="S7623">
        <v>2.9694820000000002</v>
      </c>
      <c r="T7623">
        <v>-9.8691580000000001E-2</v>
      </c>
      <c r="U7623">
        <v>0.55981449999999999</v>
      </c>
      <c r="V7623">
        <v>-6.6264119999999999E-3</v>
      </c>
      <c r="W7623">
        <v>5.483242E-2</v>
      </c>
      <c r="X7623">
        <v>0.99847359999999996</v>
      </c>
      <c r="Y7623">
        <v>-0.1044857</v>
      </c>
      <c r="Z7623">
        <v>-9.5812109999999996E-4</v>
      </c>
      <c r="AA7623">
        <v>0.99452589999999996</v>
      </c>
      <c r="AB7623">
        <v>26</v>
      </c>
      <c r="AC7623">
        <v>33.2394999999999</v>
      </c>
      <c r="AD7623">
        <v>-1.108952061935</v>
      </c>
      <c r="AE7623">
        <v>6.2804499999999903</v>
      </c>
      <c r="AF7623">
        <v>-3.5448438790707</v>
      </c>
      <c r="AG7623">
        <v>-1.108952061935</v>
      </c>
      <c r="AH7623">
        <v>33.604864293331403</v>
      </c>
      <c r="AI7623">
        <v>91.879639233542804</v>
      </c>
      <c r="AJ7623">
        <v>96.021635617272395</v>
      </c>
      <c r="AK7623">
        <v>33.809504536089797</v>
      </c>
      <c r="AL7623">
        <v>86.8567573864987</v>
      </c>
      <c r="AM7623">
        <v>90.380240265848201</v>
      </c>
      <c r="AN7623">
        <v>1.0000000167580001</v>
      </c>
    </row>
    <row r="7624" spans="1:40" x14ac:dyDescent="0.25">
      <c r="A7624" t="str">
        <f>"20190312160518202"</f>
        <v>20190312160518202</v>
      </c>
      <c r="B7624" t="str">
        <f>"1552377918193026"</f>
        <v>1552377918193026</v>
      </c>
      <c r="C7624" t="s">
        <v>40</v>
      </c>
      <c r="D7624">
        <v>5.4738230000000003</v>
      </c>
      <c r="E7624">
        <v>0.47756709999999902</v>
      </c>
      <c r="F7624" t="s">
        <v>43</v>
      </c>
      <c r="G7624">
        <v>-208.9136</v>
      </c>
      <c r="H7624">
        <v>-0.05</v>
      </c>
      <c r="I7624">
        <v>-60.367159999999998</v>
      </c>
      <c r="J7624">
        <v>-233.15629999999999</v>
      </c>
      <c r="K7624">
        <v>1.108946</v>
      </c>
      <c r="L7624">
        <v>-64.281739999999999</v>
      </c>
      <c r="M7624">
        <v>0.99667090000000003</v>
      </c>
      <c r="N7624">
        <v>0</v>
      </c>
      <c r="O7624">
        <v>8.1019060000000004E-2</v>
      </c>
      <c r="P7624">
        <v>0.99508680000000005</v>
      </c>
      <c r="Q7624">
        <v>4.6077479999999997E-2</v>
      </c>
      <c r="R7624">
        <v>8.7631509999999996E-2</v>
      </c>
      <c r="S7624">
        <v>2.9789119999999998</v>
      </c>
      <c r="T7624">
        <v>-0.14166329999999999</v>
      </c>
      <c r="U7624">
        <v>0.47970580000000002</v>
      </c>
      <c r="V7624">
        <v>-6.617235E-3</v>
      </c>
      <c r="W7624">
        <v>5.5194279999999998E-2</v>
      </c>
      <c r="X7624">
        <v>0.9984537</v>
      </c>
      <c r="Y7624">
        <v>-7.8473749999999995E-2</v>
      </c>
      <c r="Z7624">
        <v>-1.9639869999999999E-3</v>
      </c>
      <c r="AA7624">
        <v>0.99691430000000003</v>
      </c>
      <c r="AB7624">
        <v>26</v>
      </c>
      <c r="AC7624">
        <v>24.2426999999999</v>
      </c>
      <c r="AD7624">
        <v>-1.15894599999999</v>
      </c>
      <c r="AE7624">
        <v>3.9145799999999999</v>
      </c>
      <c r="AF7624">
        <v>-1.9332017524429901</v>
      </c>
      <c r="AG7624">
        <v>-1.15894599999999</v>
      </c>
      <c r="AH7624">
        <v>24.4257611465232</v>
      </c>
      <c r="AI7624">
        <v>92.708059332323401</v>
      </c>
      <c r="AJ7624">
        <v>94.525299613485004</v>
      </c>
      <c r="AK7624">
        <v>24.529537958012298</v>
      </c>
      <c r="AL7624">
        <v>86.835992817549894</v>
      </c>
      <c r="AM7624">
        <v>90.3797212496101</v>
      </c>
      <c r="AN7624">
        <v>0.99999999369372605</v>
      </c>
    </row>
    <row r="7625" spans="1:40" x14ac:dyDescent="0.25">
      <c r="A7625" t="str">
        <f>"20190312160518215"</f>
        <v>20190312160518215</v>
      </c>
      <c r="B7625" t="str">
        <f>"1552377918202787"</f>
        <v>1552377918202787</v>
      </c>
      <c r="C7625" t="s">
        <v>40</v>
      </c>
      <c r="D7625">
        <v>5.2946739999999997</v>
      </c>
      <c r="E7625">
        <v>0.48237259999999998</v>
      </c>
      <c r="F7625" t="s">
        <v>122</v>
      </c>
      <c r="G7625">
        <v>-214.23820000000001</v>
      </c>
      <c r="H7625" s="1">
        <v>-1.0881359999999999E-6</v>
      </c>
      <c r="I7625">
        <v>-61.514609999999998</v>
      </c>
      <c r="J7625">
        <v>-233.02189999999999</v>
      </c>
      <c r="K7625">
        <v>1.108951</v>
      </c>
      <c r="L7625">
        <v>-64.271389999999997</v>
      </c>
      <c r="M7625">
        <v>0.99671650000000001</v>
      </c>
      <c r="N7625">
        <v>0</v>
      </c>
      <c r="O7625">
        <v>8.0457360000000006E-2</v>
      </c>
      <c r="P7625">
        <v>0.99513640000000003</v>
      </c>
      <c r="Q7625">
        <v>4.6198570000000001E-2</v>
      </c>
      <c r="R7625">
        <v>8.7002930000000006E-2</v>
      </c>
      <c r="S7625">
        <v>2.984451</v>
      </c>
      <c r="T7625">
        <v>-0.1749435</v>
      </c>
      <c r="U7625">
        <v>0.43652340000000001</v>
      </c>
      <c r="V7625">
        <v>-6.5491079999999997E-3</v>
      </c>
      <c r="W7625">
        <v>5.5314259999999997E-2</v>
      </c>
      <c r="X7625">
        <v>0.99844750000000004</v>
      </c>
      <c r="Y7625">
        <v>-6.4669400000000002E-2</v>
      </c>
      <c r="Z7625">
        <v>-2.793125E-3</v>
      </c>
      <c r="AA7625">
        <v>0.99790279999999998</v>
      </c>
      <c r="AB7625">
        <v>26</v>
      </c>
      <c r="AC7625">
        <v>18.7836999999999</v>
      </c>
      <c r="AD7625">
        <v>-1.108952088136</v>
      </c>
      <c r="AE7625">
        <v>2.7567799999999898</v>
      </c>
      <c r="AF7625">
        <v>-1.23228785528701</v>
      </c>
      <c r="AG7625">
        <v>-1.108952088136</v>
      </c>
      <c r="AH7625">
        <v>18.880192524261801</v>
      </c>
      <c r="AI7625">
        <v>93.354357418773404</v>
      </c>
      <c r="AJ7625">
        <v>93.734331059512499</v>
      </c>
      <c r="AK7625">
        <v>18.952835614895701</v>
      </c>
      <c r="AL7625">
        <v>86.829107921891804</v>
      </c>
      <c r="AM7625">
        <v>90.375814318417596</v>
      </c>
      <c r="AN7625">
        <v>0.99999998421559599</v>
      </c>
    </row>
    <row r="7626" spans="1:40" x14ac:dyDescent="0.25">
      <c r="A7626" t="str">
        <f>"20190312160518226"</f>
        <v>20190312160518226</v>
      </c>
      <c r="B7626" t="str">
        <f>"1552377918212547"</f>
        <v>1552377918212547</v>
      </c>
      <c r="C7626" t="s">
        <v>40</v>
      </c>
      <c r="D7626">
        <v>5.3626649999999998</v>
      </c>
      <c r="E7626">
        <v>0.48436800000000002</v>
      </c>
      <c r="F7626" t="s">
        <v>122</v>
      </c>
      <c r="G7626">
        <v>-214.7133</v>
      </c>
      <c r="H7626" s="1">
        <v>-1.379449E-6</v>
      </c>
      <c r="I7626">
        <v>-61.843559999999997</v>
      </c>
      <c r="J7626">
        <v>-232.8921</v>
      </c>
      <c r="K7626">
        <v>1.108949</v>
      </c>
      <c r="L7626">
        <v>-64.261469999999903</v>
      </c>
      <c r="M7626">
        <v>0.99676010000000004</v>
      </c>
      <c r="N7626">
        <v>0</v>
      </c>
      <c r="O7626">
        <v>7.9915079999999999E-2</v>
      </c>
      <c r="P7626">
        <v>0.99517219999999995</v>
      </c>
      <c r="Q7626">
        <v>4.6386919999999998E-2</v>
      </c>
      <c r="R7626">
        <v>8.64925E-2</v>
      </c>
      <c r="S7626">
        <v>2.9884029999999999</v>
      </c>
      <c r="T7626">
        <v>-0.18100740000000001</v>
      </c>
      <c r="U7626">
        <v>0.39627079999999998</v>
      </c>
      <c r="V7626">
        <v>-6.5804619999999996E-3</v>
      </c>
      <c r="W7626">
        <v>5.5502320000000001E-2</v>
      </c>
      <c r="X7626">
        <v>0.99843689999999996</v>
      </c>
      <c r="Y7626">
        <v>-5.1857E-2</v>
      </c>
      <c r="Z7626">
        <v>-3.2427839999999999E-3</v>
      </c>
      <c r="AA7626">
        <v>0.99864920000000001</v>
      </c>
      <c r="AB7626">
        <v>26</v>
      </c>
      <c r="AC7626">
        <v>18.178799999999899</v>
      </c>
      <c r="AD7626">
        <v>-1.1089503794490001</v>
      </c>
      <c r="AE7626">
        <v>2.4179099999999898</v>
      </c>
      <c r="AF7626">
        <v>-0.95386771579702101</v>
      </c>
      <c r="AG7626">
        <v>-1.1089503794490001</v>
      </c>
      <c r="AH7626">
        <v>18.247166289146101</v>
      </c>
      <c r="AI7626">
        <v>93.473076581148504</v>
      </c>
      <c r="AJ7626">
        <v>92.992404005441003</v>
      </c>
      <c r="AK7626">
        <v>18.305701629466999</v>
      </c>
      <c r="AL7626">
        <v>86.818316434242206</v>
      </c>
      <c r="AM7626">
        <v>90.377617494690895</v>
      </c>
      <c r="AN7626">
        <v>1.00000002664356</v>
      </c>
    </row>
    <row r="7627" spans="1:40" x14ac:dyDescent="0.25">
      <c r="A7627" t="str">
        <f>"20190312160518237"</f>
        <v>20190312160518237</v>
      </c>
      <c r="B7627" t="str">
        <f>"1552377918233043"</f>
        <v>1552377918233043</v>
      </c>
      <c r="C7627" t="s">
        <v>40</v>
      </c>
      <c r="D7627">
        <v>5.5457989999999997</v>
      </c>
      <c r="E7627">
        <v>0.48690539999999999</v>
      </c>
      <c r="F7627" t="s">
        <v>122</v>
      </c>
      <c r="G7627">
        <v>-215.4786</v>
      </c>
      <c r="H7627" s="1">
        <v>-1.7642059999999999E-6</v>
      </c>
      <c r="I7627">
        <v>-62.055599999999998</v>
      </c>
      <c r="J7627">
        <v>-232.76490000000001</v>
      </c>
      <c r="K7627">
        <v>1.1089450000000001</v>
      </c>
      <c r="L7627">
        <v>-64.251890000000003</v>
      </c>
      <c r="M7627">
        <v>0.99680259999999998</v>
      </c>
      <c r="N7627">
        <v>0</v>
      </c>
      <c r="O7627">
        <v>7.9383490000000001E-2</v>
      </c>
      <c r="P7627">
        <v>0.99517949999999999</v>
      </c>
      <c r="Q7627">
        <v>4.6752330000000002E-2</v>
      </c>
      <c r="R7627">
        <v>8.621036E-2</v>
      </c>
      <c r="S7627">
        <v>2.9905089999999999</v>
      </c>
      <c r="T7627">
        <v>-0.1904457</v>
      </c>
      <c r="U7627">
        <v>0.3788147</v>
      </c>
      <c r="V7627">
        <v>-6.8307480000000002E-3</v>
      </c>
      <c r="W7627">
        <v>5.5864629999999998E-2</v>
      </c>
      <c r="X7627">
        <v>0.99841500000000005</v>
      </c>
      <c r="Y7627">
        <v>-4.6579040000000002E-2</v>
      </c>
      <c r="Z7627">
        <v>-3.5444309999999998E-3</v>
      </c>
      <c r="AA7627">
        <v>0.99890829999999997</v>
      </c>
      <c r="AB7627">
        <v>26</v>
      </c>
      <c r="AC7627">
        <v>17.286300000000001</v>
      </c>
      <c r="AD7627">
        <v>-1.108946764206</v>
      </c>
      <c r="AE7627">
        <v>2.1962899999999999</v>
      </c>
      <c r="AF7627">
        <v>-0.81375882066073701</v>
      </c>
      <c r="AG7627">
        <v>-1.108946764206</v>
      </c>
      <c r="AH7627">
        <v>17.335887337658001</v>
      </c>
      <c r="AI7627">
        <v>93.656110294282996</v>
      </c>
      <c r="AJ7627">
        <v>92.687531669135296</v>
      </c>
      <c r="AK7627">
        <v>17.3903696374751</v>
      </c>
      <c r="AL7627">
        <v>86.797525302672696</v>
      </c>
      <c r="AM7627">
        <v>90.391988226445704</v>
      </c>
      <c r="AN7627">
        <v>1.0000000141141301</v>
      </c>
    </row>
    <row r="7628" spans="1:40" x14ac:dyDescent="0.25">
      <c r="A7628" t="str">
        <f>"20190312160518250"</f>
        <v>20190312160518250</v>
      </c>
      <c r="B7628" t="str">
        <f>"1552377918242803"</f>
        <v>1552377918242803</v>
      </c>
      <c r="C7628" t="s">
        <v>40</v>
      </c>
      <c r="D7628">
        <v>5.4855280000000004</v>
      </c>
      <c r="E7628">
        <v>0.48763909999999999</v>
      </c>
      <c r="F7628" t="s">
        <v>122</v>
      </c>
      <c r="G7628">
        <v>-214.7997</v>
      </c>
      <c r="H7628" s="1">
        <v>-1.4853979999999999E-6</v>
      </c>
      <c r="I7628">
        <v>-62.10239</v>
      </c>
      <c r="J7628">
        <v>-232.61420000000001</v>
      </c>
      <c r="K7628">
        <v>1.108943</v>
      </c>
      <c r="L7628">
        <v>-64.24051</v>
      </c>
      <c r="M7628">
        <v>0.99685250000000003</v>
      </c>
      <c r="N7628">
        <v>0</v>
      </c>
      <c r="O7628">
        <v>7.8753370000000003E-2</v>
      </c>
      <c r="P7628">
        <v>0.99519570000000002</v>
      </c>
      <c r="Q7628">
        <v>4.7111970000000003E-2</v>
      </c>
      <c r="R7628">
        <v>8.5825600000000002E-2</v>
      </c>
      <c r="S7628">
        <v>2.9922179999999998</v>
      </c>
      <c r="T7628">
        <v>-0.18470159999999999</v>
      </c>
      <c r="U7628">
        <v>0.35800169999999998</v>
      </c>
      <c r="V7628">
        <v>-7.0767399999999998E-3</v>
      </c>
      <c r="W7628">
        <v>5.6220739999999998E-2</v>
      </c>
      <c r="X7628">
        <v>0.99839330000000004</v>
      </c>
      <c r="Y7628">
        <v>-4.0300849999999999E-2</v>
      </c>
      <c r="Z7628">
        <v>-3.5919300000000001E-3</v>
      </c>
      <c r="AA7628">
        <v>0.99918119999999999</v>
      </c>
      <c r="AB7628">
        <v>26</v>
      </c>
      <c r="AC7628">
        <v>17.814499999999999</v>
      </c>
      <c r="AD7628">
        <v>-1.1089444853979999</v>
      </c>
      <c r="AE7628">
        <v>2.1381199999999998</v>
      </c>
      <c r="AF7628">
        <v>-0.72569644477198503</v>
      </c>
      <c r="AG7628">
        <v>-1.1089444853979999</v>
      </c>
      <c r="AH7628">
        <v>17.859334752951501</v>
      </c>
      <c r="AI7628">
        <v>93.550198326596103</v>
      </c>
      <c r="AJ7628">
        <v>92.326877372988207</v>
      </c>
      <c r="AK7628">
        <v>17.908440217384399</v>
      </c>
      <c r="AL7628">
        <v>86.777089593745998</v>
      </c>
      <c r="AM7628">
        <v>90.406113046309699</v>
      </c>
      <c r="AN7628">
        <v>1.00000001667003</v>
      </c>
    </row>
    <row r="7629" spans="1:40" x14ac:dyDescent="0.25">
      <c r="A7629" t="str">
        <f>"20190312160518261"</f>
        <v>20190312160518261</v>
      </c>
      <c r="B7629" t="str">
        <f>"1552377918252563"</f>
        <v>1552377918252563</v>
      </c>
      <c r="C7629" t="s">
        <v>40</v>
      </c>
      <c r="D7629">
        <v>5.3449030000000004</v>
      </c>
      <c r="E7629">
        <v>0.48828080000000001</v>
      </c>
      <c r="F7629" t="s">
        <v>122</v>
      </c>
      <c r="G7629">
        <v>-214.1198</v>
      </c>
      <c r="H7629" s="1">
        <v>-1.1853769999999999E-6</v>
      </c>
      <c r="I7629">
        <v>-62.07105</v>
      </c>
      <c r="J7629">
        <v>-232.48830000000001</v>
      </c>
      <c r="K7629">
        <v>1.1089420000000001</v>
      </c>
      <c r="L7629">
        <v>-64.231110000000001</v>
      </c>
      <c r="M7629">
        <v>0.99689399999999995</v>
      </c>
      <c r="N7629">
        <v>0</v>
      </c>
      <c r="O7629">
        <v>7.8226480000000001E-2</v>
      </c>
      <c r="P7629">
        <v>0.99519619999999998</v>
      </c>
      <c r="Q7629">
        <v>4.7430710000000001E-2</v>
      </c>
      <c r="R7629">
        <v>8.5644929999999994E-2</v>
      </c>
      <c r="S7629">
        <v>2.9927060000000001</v>
      </c>
      <c r="T7629">
        <v>-0.1794454</v>
      </c>
      <c r="U7629">
        <v>0.35104370000000001</v>
      </c>
      <c r="V7629">
        <v>-7.423664E-3</v>
      </c>
      <c r="W7629">
        <v>5.653495E-2</v>
      </c>
      <c r="X7629">
        <v>0.99837299999999995</v>
      </c>
      <c r="Y7629">
        <v>-3.8516929999999998E-2</v>
      </c>
      <c r="Z7629">
        <v>-3.5118530000000001E-3</v>
      </c>
      <c r="AA7629">
        <v>0.99925180000000002</v>
      </c>
      <c r="AB7629">
        <v>26</v>
      </c>
      <c r="AC7629">
        <v>18.368500000000001</v>
      </c>
      <c r="AD7629">
        <v>-1.108943185377</v>
      </c>
      <c r="AE7629">
        <v>2.1600600000000001</v>
      </c>
      <c r="AF7629">
        <v>-0.71391092442433202</v>
      </c>
      <c r="AG7629">
        <v>-1.108943185377</v>
      </c>
      <c r="AH7629">
        <v>18.4149849991779</v>
      </c>
      <c r="AI7629">
        <v>93.443587126444996</v>
      </c>
      <c r="AJ7629">
        <v>92.220127199581896</v>
      </c>
      <c r="AK7629">
        <v>18.462153079106301</v>
      </c>
      <c r="AL7629">
        <v>86.759057886508799</v>
      </c>
      <c r="AM7629">
        <v>90.426029927495094</v>
      </c>
      <c r="AN7629">
        <v>0.99999997924384298</v>
      </c>
    </row>
    <row r="7630" spans="1:40" x14ac:dyDescent="0.25">
      <c r="A7630" t="str">
        <f>"20190312160518270"</f>
        <v>20190312160518270</v>
      </c>
      <c r="B7630" t="str">
        <f>"1552377918262322"</f>
        <v>1552377918262322</v>
      </c>
      <c r="C7630" t="s">
        <v>40</v>
      </c>
      <c r="D7630">
        <v>5.3464410000000004</v>
      </c>
      <c r="E7630">
        <v>0.48884420000000001</v>
      </c>
      <c r="F7630" t="s">
        <v>122</v>
      </c>
      <c r="G7630">
        <v>-213.5068</v>
      </c>
      <c r="H7630" s="1">
        <v>-9.1420860000000004E-7</v>
      </c>
      <c r="I7630">
        <v>-62.040230000000001</v>
      </c>
      <c r="J7630">
        <v>-232.38249999999999</v>
      </c>
      <c r="K7630">
        <v>1.108941</v>
      </c>
      <c r="L7630">
        <v>-64.223269999999999</v>
      </c>
      <c r="M7630">
        <v>0.99692890000000001</v>
      </c>
      <c r="N7630">
        <v>0</v>
      </c>
      <c r="O7630">
        <v>7.7783759999999993E-2</v>
      </c>
      <c r="P7630">
        <v>0.99521970000000004</v>
      </c>
      <c r="Q7630">
        <v>4.7486479999999998E-2</v>
      </c>
      <c r="R7630">
        <v>8.5341940000000005E-2</v>
      </c>
      <c r="S7630">
        <v>2.9930880000000002</v>
      </c>
      <c r="T7630">
        <v>-0.1748632</v>
      </c>
      <c r="U7630">
        <v>0.34545900000000002</v>
      </c>
      <c r="V7630">
        <v>-7.5636039999999998E-3</v>
      </c>
      <c r="W7630">
        <v>5.6586839999999999E-2</v>
      </c>
      <c r="X7630">
        <v>0.99836899999999995</v>
      </c>
      <c r="Y7630">
        <v>-3.7104470000000001E-2</v>
      </c>
      <c r="Z7630">
        <v>-3.4377909999999999E-3</v>
      </c>
      <c r="AA7630">
        <v>0.99930549999999996</v>
      </c>
      <c r="AB7630">
        <v>26</v>
      </c>
      <c r="AC7630">
        <v>18.875699999999899</v>
      </c>
      <c r="AD7630">
        <v>-1.1089419142086001</v>
      </c>
      <c r="AE7630">
        <v>2.1830399999999899</v>
      </c>
      <c r="AF7630">
        <v>-0.705738218722197</v>
      </c>
      <c r="AG7630">
        <v>-1.1089419142086001</v>
      </c>
      <c r="AH7630">
        <v>18.923864616925101</v>
      </c>
      <c r="AI7630">
        <v>93.351383328335004</v>
      </c>
      <c r="AJ7630">
        <v>92.135773619541993</v>
      </c>
      <c r="AK7630">
        <v>18.969461527469999</v>
      </c>
      <c r="AL7630">
        <v>86.756080009283593</v>
      </c>
      <c r="AM7630">
        <v>90.434062251952696</v>
      </c>
      <c r="AN7630">
        <v>0.99999996936382596</v>
      </c>
    </row>
    <row r="7631" spans="1:40" x14ac:dyDescent="0.25">
      <c r="A7631" t="str">
        <f>"20190312160518279"</f>
        <v>20190312160518279</v>
      </c>
      <c r="B7631" t="str">
        <f>"1552377918273059"</f>
        <v>1552377918273059</v>
      </c>
      <c r="C7631" t="s">
        <v>40</v>
      </c>
      <c r="D7631">
        <v>5.3012879999999996</v>
      </c>
      <c r="E7631">
        <v>0.48942079999999999</v>
      </c>
      <c r="F7631" t="s">
        <v>122</v>
      </c>
      <c r="G7631">
        <v>-213.2</v>
      </c>
      <c r="H7631" s="1">
        <v>-7.8346049999999996E-7</v>
      </c>
      <c r="I7631">
        <v>-62.043500000000002</v>
      </c>
      <c r="J7631">
        <v>-232.26679999999999</v>
      </c>
      <c r="K7631">
        <v>1.108938</v>
      </c>
      <c r="L7631">
        <v>-64.214749999999995</v>
      </c>
      <c r="M7631">
        <v>0.99696640000000003</v>
      </c>
      <c r="N7631">
        <v>0</v>
      </c>
      <c r="O7631">
        <v>7.7299969999999996E-2</v>
      </c>
      <c r="P7631">
        <v>0.99521660000000001</v>
      </c>
      <c r="Q7631">
        <v>4.7682120000000001E-2</v>
      </c>
      <c r="R7631">
        <v>8.5266099999999997E-2</v>
      </c>
      <c r="S7631">
        <v>2.993484</v>
      </c>
      <c r="T7631">
        <v>-0.1730536</v>
      </c>
      <c r="U7631">
        <v>0.34014889999999998</v>
      </c>
      <c r="V7631">
        <v>-7.9719749999999992E-3</v>
      </c>
      <c r="W7631">
        <v>5.6778229999999999E-2</v>
      </c>
      <c r="X7631">
        <v>0.99835499999999999</v>
      </c>
      <c r="Y7631">
        <v>-3.5824500000000002E-2</v>
      </c>
      <c r="Z7631">
        <v>-3.4113609999999999E-3</v>
      </c>
      <c r="AA7631">
        <v>0.99935229999999997</v>
      </c>
      <c r="AB7631">
        <v>26</v>
      </c>
      <c r="AC7631">
        <v>19.066800000000001</v>
      </c>
      <c r="AD7631">
        <v>-1.1089387834605</v>
      </c>
      <c r="AE7631">
        <v>2.1712499999999899</v>
      </c>
      <c r="AF7631">
        <v>-0.68852954689999701</v>
      </c>
      <c r="AG7631">
        <v>-1.1089387834605</v>
      </c>
      <c r="AH7631">
        <v>19.1137618090847</v>
      </c>
      <c r="AI7631">
        <v>93.318306446448801</v>
      </c>
      <c r="AJ7631">
        <v>92.063057337118593</v>
      </c>
      <c r="AK7631">
        <v>19.1582804201432</v>
      </c>
      <c r="AL7631">
        <v>86.745096652877507</v>
      </c>
      <c r="AM7631">
        <v>90.457503407373693</v>
      </c>
      <c r="AN7631">
        <v>1.0000000129061599</v>
      </c>
    </row>
    <row r="7632" spans="1:40" x14ac:dyDescent="0.25">
      <c r="A7632" t="str">
        <f>"20190312160518291"</f>
        <v>20190312160518291</v>
      </c>
      <c r="B7632" t="str">
        <f>"1552377918282819"</f>
        <v>1552377918282819</v>
      </c>
      <c r="C7632" t="s">
        <v>40</v>
      </c>
      <c r="D7632">
        <v>5.4791550000000004</v>
      </c>
      <c r="E7632">
        <v>0.48999599999999999</v>
      </c>
      <c r="F7632" t="s">
        <v>122</v>
      </c>
      <c r="G7632">
        <v>-212.6277</v>
      </c>
      <c r="H7632" s="1">
        <v>-5.3024410000000001E-7</v>
      </c>
      <c r="I7632">
        <v>-62.01455</v>
      </c>
      <c r="J7632">
        <v>-232.14</v>
      </c>
      <c r="K7632">
        <v>1.108938</v>
      </c>
      <c r="L7632">
        <v>-64.205469999999906</v>
      </c>
      <c r="M7632">
        <v>0.99700750000000005</v>
      </c>
      <c r="N7632">
        <v>0</v>
      </c>
      <c r="O7632">
        <v>7.6769279999999995E-2</v>
      </c>
      <c r="P7632">
        <v>0.99524310000000005</v>
      </c>
      <c r="Q7632">
        <v>4.7874029999999998E-2</v>
      </c>
      <c r="R7632">
        <v>8.484978E-2</v>
      </c>
      <c r="S7632">
        <v>2.9937900000000002</v>
      </c>
      <c r="T7632">
        <v>-0.16904620000000001</v>
      </c>
      <c r="U7632">
        <v>0.33538820000000003</v>
      </c>
      <c r="V7632">
        <v>-8.0861419999999993E-3</v>
      </c>
      <c r="W7632">
        <v>5.6965799999999997E-2</v>
      </c>
      <c r="X7632">
        <v>0.99834339999999999</v>
      </c>
      <c r="Y7632">
        <v>-3.4773520000000002E-2</v>
      </c>
      <c r="Z7632">
        <v>-3.3323509999999999E-3</v>
      </c>
      <c r="AA7632">
        <v>0.99938959999999999</v>
      </c>
      <c r="AB7632">
        <v>26</v>
      </c>
      <c r="AC7632">
        <v>19.5122999999999</v>
      </c>
      <c r="AD7632">
        <v>-1.1089385302440999</v>
      </c>
      <c r="AE7632">
        <v>2.19091999999999</v>
      </c>
      <c r="AF7632">
        <v>-0.68426414175957695</v>
      </c>
      <c r="AG7632">
        <v>-1.1089385302440999</v>
      </c>
      <c r="AH7632">
        <v>19.560521283482199</v>
      </c>
      <c r="AI7632">
        <v>93.242799104408107</v>
      </c>
      <c r="AJ7632">
        <v>92.003498077792997</v>
      </c>
      <c r="AK7632">
        <v>19.603876018816202</v>
      </c>
      <c r="AL7632">
        <v>86.734332271968299</v>
      </c>
      <c r="AM7632">
        <v>90.464060440759297</v>
      </c>
      <c r="AN7632">
        <v>1.00000001619282</v>
      </c>
    </row>
    <row r="7633" spans="1:40" x14ac:dyDescent="0.25">
      <c r="A7633" t="str">
        <f>"20190312160518302"</f>
        <v>20190312160518302</v>
      </c>
      <c r="B7633" t="str">
        <f>"1552377918292578"</f>
        <v>1552377918292578</v>
      </c>
      <c r="C7633" t="s">
        <v>40</v>
      </c>
      <c r="D7633">
        <v>5.3085079999999998</v>
      </c>
      <c r="E7633">
        <v>0.49046050000000002</v>
      </c>
      <c r="F7633" t="s">
        <v>122</v>
      </c>
      <c r="G7633">
        <v>-212.2388</v>
      </c>
      <c r="H7633" s="1">
        <v>-3.6344570000000001E-7</v>
      </c>
      <c r="I7633">
        <v>-62.014609999999998</v>
      </c>
      <c r="J7633">
        <v>-232.01050000000001</v>
      </c>
      <c r="K7633">
        <v>1.108935</v>
      </c>
      <c r="L7633">
        <v>-64.196039999999996</v>
      </c>
      <c r="M7633">
        <v>0.99704919999999997</v>
      </c>
      <c r="N7633">
        <v>0</v>
      </c>
      <c r="O7633">
        <v>7.6227080000000003E-2</v>
      </c>
      <c r="P7633">
        <v>0.99527290000000002</v>
      </c>
      <c r="Q7633">
        <v>4.7925870000000002E-2</v>
      </c>
      <c r="R7633">
        <v>8.4469630000000004E-2</v>
      </c>
      <c r="S7633">
        <v>2.994278</v>
      </c>
      <c r="T7633">
        <v>-0.1668473</v>
      </c>
      <c r="U7633">
        <v>0.32962039999999998</v>
      </c>
      <c r="V7633">
        <v>-8.2474980000000007E-3</v>
      </c>
      <c r="W7633">
        <v>5.7013399999999999E-2</v>
      </c>
      <c r="X7633">
        <v>0.99833939999999999</v>
      </c>
      <c r="Y7633">
        <v>-3.3396879999999997E-2</v>
      </c>
      <c r="Z7633">
        <v>-3.2972050000000001E-3</v>
      </c>
      <c r="AA7633">
        <v>0.99943669999999996</v>
      </c>
      <c r="AB7633">
        <v>26</v>
      </c>
      <c r="AC7633">
        <v>19.771699999999999</v>
      </c>
      <c r="AD7633">
        <v>-1.1089353634457</v>
      </c>
      <c r="AE7633">
        <v>2.1814300000000002</v>
      </c>
      <c r="AF7633">
        <v>-0.66581228015592997</v>
      </c>
      <c r="AG7633">
        <v>-1.1089353634457</v>
      </c>
      <c r="AH7633">
        <v>19.8188646220922</v>
      </c>
      <c r="AI7633">
        <v>93.200759556517198</v>
      </c>
      <c r="AJ7633">
        <v>91.924120905736004</v>
      </c>
      <c r="AK7633">
        <v>19.861028134049899</v>
      </c>
      <c r="AL7633">
        <v>86.731600674646799</v>
      </c>
      <c r="AM7633">
        <v>90.473322075944097</v>
      </c>
      <c r="AN7633">
        <v>1.0000000532975799</v>
      </c>
    </row>
    <row r="7634" spans="1:40" x14ac:dyDescent="0.25">
      <c r="A7634" t="str">
        <f>"20190312160518314"</f>
        <v>20190312160518314</v>
      </c>
      <c r="B7634" t="str">
        <f>"1552377918302339"</f>
        <v>1552377918302339</v>
      </c>
      <c r="C7634" t="s">
        <v>40</v>
      </c>
      <c r="D7634">
        <v>5.3134699999999997</v>
      </c>
      <c r="E7634">
        <v>0.49088700000000002</v>
      </c>
      <c r="F7634" t="s">
        <v>122</v>
      </c>
      <c r="G7634">
        <v>-211.81630000000001</v>
      </c>
      <c r="H7634" s="1">
        <v>-1.797426E-7</v>
      </c>
      <c r="I7634">
        <v>-62.005470000000003</v>
      </c>
      <c r="J7634">
        <v>-231.8835</v>
      </c>
      <c r="K7634">
        <v>1.108938</v>
      </c>
      <c r="L7634">
        <v>-64.186890000000005</v>
      </c>
      <c r="M7634">
        <v>0.99708969999999997</v>
      </c>
      <c r="N7634">
        <v>0</v>
      </c>
      <c r="O7634">
        <v>7.5695360000000003E-2</v>
      </c>
      <c r="P7634">
        <v>0.99530799999999997</v>
      </c>
      <c r="Q7634">
        <v>4.8086200000000003E-2</v>
      </c>
      <c r="R7634">
        <v>8.3963479999999993E-2</v>
      </c>
      <c r="S7634">
        <v>2.994583</v>
      </c>
      <c r="T7634">
        <v>-0.16444310000000001</v>
      </c>
      <c r="U7634">
        <v>0.32482909999999998</v>
      </c>
      <c r="V7634">
        <v>-8.2726550000000003E-3</v>
      </c>
      <c r="W7634">
        <v>5.7169079999999997E-2</v>
      </c>
      <c r="X7634">
        <v>0.99833019999999995</v>
      </c>
      <c r="Y7634">
        <v>-3.2337480000000002E-2</v>
      </c>
      <c r="Z7634">
        <v>-3.2497910000000001E-3</v>
      </c>
      <c r="AA7634">
        <v>0.99947169999999996</v>
      </c>
      <c r="AB7634">
        <v>26</v>
      </c>
      <c r="AC7634">
        <v>20.0671999999999</v>
      </c>
      <c r="AD7634">
        <v>-1.1089381797425999</v>
      </c>
      <c r="AE7634">
        <v>2.1814200000000099</v>
      </c>
      <c r="AF7634">
        <v>-0.65413024274107401</v>
      </c>
      <c r="AG7634">
        <v>-1.1089381797425999</v>
      </c>
      <c r="AH7634">
        <v>20.114045462855501</v>
      </c>
      <c r="AI7634">
        <v>93.154002395582495</v>
      </c>
      <c r="AJ7634">
        <v>91.862663470543495</v>
      </c>
      <c r="AK7634">
        <v>20.155209131705401</v>
      </c>
      <c r="AL7634">
        <v>86.722666004146305</v>
      </c>
      <c r="AM7634">
        <v>90.474770139543907</v>
      </c>
      <c r="AN7634">
        <v>0.99999996438041605</v>
      </c>
    </row>
    <row r="7635" spans="1:40" x14ac:dyDescent="0.25">
      <c r="A7635" t="str">
        <f>"20190312160518323"</f>
        <v>20190312160518323</v>
      </c>
      <c r="B7635" t="str">
        <f>"1552377918313075"</f>
        <v>1552377918313075</v>
      </c>
      <c r="C7635" t="s">
        <v>40</v>
      </c>
      <c r="D7635">
        <v>5.3156939999999997</v>
      </c>
      <c r="E7635">
        <v>0.49123149999999999</v>
      </c>
      <c r="F7635" t="s">
        <v>122</v>
      </c>
      <c r="G7635">
        <v>-211.4796</v>
      </c>
      <c r="H7635" s="1">
        <v>-3.5572379999999998E-8</v>
      </c>
      <c r="I7635">
        <v>-62.006509999999999</v>
      </c>
      <c r="J7635">
        <v>-231.75749999999999</v>
      </c>
      <c r="K7635">
        <v>1.1089389999999999</v>
      </c>
      <c r="L7635">
        <v>-64.177890000000005</v>
      </c>
      <c r="M7635">
        <v>0.99712959999999995</v>
      </c>
      <c r="N7635">
        <v>0</v>
      </c>
      <c r="O7635">
        <v>7.5168410000000005E-2</v>
      </c>
      <c r="P7635">
        <v>0.9953552</v>
      </c>
      <c r="Q7635">
        <v>4.7997739999999997E-2</v>
      </c>
      <c r="R7635">
        <v>8.3452699999999894E-2</v>
      </c>
      <c r="S7635">
        <v>2.9949949999999999</v>
      </c>
      <c r="T7635">
        <v>-0.162775799999999</v>
      </c>
      <c r="U7635">
        <v>0.32003779999999998</v>
      </c>
      <c r="V7635">
        <v>-8.2874579999999993E-3</v>
      </c>
      <c r="W7635">
        <v>5.7077200000000002E-2</v>
      </c>
      <c r="X7635">
        <v>0.99833539999999998</v>
      </c>
      <c r="Y7635">
        <v>-3.1269819999999997E-2</v>
      </c>
      <c r="Z7635">
        <v>-3.2172770000000002E-3</v>
      </c>
      <c r="AA7635">
        <v>0.9995058</v>
      </c>
      <c r="AB7635">
        <v>26</v>
      </c>
      <c r="AC7635">
        <v>20.277899999999899</v>
      </c>
      <c r="AD7635">
        <v>-1.1089390355723701</v>
      </c>
      <c r="AE7635">
        <v>2.1713800000000001</v>
      </c>
      <c r="AF7635">
        <v>-0.63902667798519097</v>
      </c>
      <c r="AG7635">
        <v>-1.1089390355723701</v>
      </c>
      <c r="AH7635">
        <v>20.323659568112301</v>
      </c>
      <c r="AI7635">
        <v>93.121647079122596</v>
      </c>
      <c r="AJ7635">
        <v>91.800929252858793</v>
      </c>
      <c r="AK7635">
        <v>20.363920033243001</v>
      </c>
      <c r="AL7635">
        <v>86.727939164850795</v>
      </c>
      <c r="AM7635">
        <v>90.4756171719078</v>
      </c>
      <c r="AN7635">
        <v>1.0000000298065499</v>
      </c>
    </row>
    <row r="7636" spans="1:40" x14ac:dyDescent="0.25">
      <c r="A7636" t="str">
        <f>"20190312160518336"</f>
        <v>20190312160518336</v>
      </c>
      <c r="B7636" t="str">
        <f>"1552377918322835"</f>
        <v>1552377918322835</v>
      </c>
      <c r="C7636" t="s">
        <v>40</v>
      </c>
      <c r="D7636">
        <v>5.3574489999999999</v>
      </c>
      <c r="E7636">
        <v>0.49142269999999999</v>
      </c>
      <c r="F7636" t="s">
        <v>122</v>
      </c>
      <c r="G7636">
        <v>-211.2304</v>
      </c>
      <c r="H7636" s="1">
        <v>6.9207320000000002E-8</v>
      </c>
      <c r="I7636">
        <v>-62.014499999999998</v>
      </c>
      <c r="J7636">
        <v>-231.62100000000001</v>
      </c>
      <c r="K7636">
        <v>1.108935</v>
      </c>
      <c r="L7636">
        <v>-64.168180000000007</v>
      </c>
      <c r="M7636">
        <v>0.99717250000000002</v>
      </c>
      <c r="N7636">
        <v>0</v>
      </c>
      <c r="O7636">
        <v>7.4597289999999997E-2</v>
      </c>
      <c r="P7636">
        <v>0.99539820000000001</v>
      </c>
      <c r="Q7636">
        <v>4.8396889999999998E-2</v>
      </c>
      <c r="R7636">
        <v>8.2708980000000001E-2</v>
      </c>
      <c r="S7636">
        <v>2.9953310000000002</v>
      </c>
      <c r="T7636">
        <v>-0.16181679999999901</v>
      </c>
      <c r="U7636">
        <v>0.3156738</v>
      </c>
      <c r="V7636">
        <v>-8.1139909999999992E-3</v>
      </c>
      <c r="W7636">
        <v>5.7471840000000003E-2</v>
      </c>
      <c r="X7636">
        <v>0.99831409999999998</v>
      </c>
      <c r="Y7636">
        <v>-3.0390150000000001E-2</v>
      </c>
      <c r="Z7636">
        <v>-3.1913499999999999E-3</v>
      </c>
      <c r="AA7636">
        <v>0.999533</v>
      </c>
      <c r="AB7636">
        <v>26</v>
      </c>
      <c r="AC7636">
        <v>20.3905999999999</v>
      </c>
      <c r="AD7636">
        <v>-1.1089349307926799</v>
      </c>
      <c r="AE7636">
        <v>2.15368</v>
      </c>
      <c r="AF7636">
        <v>-0.62470543717900195</v>
      </c>
      <c r="AG7636">
        <v>-1.1089349307926799</v>
      </c>
      <c r="AH7636">
        <v>20.434674572077299</v>
      </c>
      <c r="AI7636">
        <v>93.104793641997802</v>
      </c>
      <c r="AJ7636">
        <v>91.751035509623605</v>
      </c>
      <c r="AK7636">
        <v>20.474274552000001</v>
      </c>
      <c r="AL7636">
        <v>86.705290503645202</v>
      </c>
      <c r="AM7636">
        <v>90.465672279660296</v>
      </c>
      <c r="AN7636">
        <v>0.99999994575087003</v>
      </c>
    </row>
    <row r="7637" spans="1:40" x14ac:dyDescent="0.25">
      <c r="A7637" t="str">
        <f>"20190312160518348"</f>
        <v>20190312160518348</v>
      </c>
      <c r="B7637" t="str">
        <f>"1552377918342355"</f>
        <v>1552377918342355</v>
      </c>
      <c r="C7637" t="s">
        <v>40</v>
      </c>
      <c r="D7637">
        <v>5.3625309999999997</v>
      </c>
      <c r="E7637">
        <v>0.49186350000000001</v>
      </c>
      <c r="F7637" t="s">
        <v>122</v>
      </c>
      <c r="G7637">
        <v>-211.02979999999999</v>
      </c>
      <c r="H7637" s="1">
        <v>1.526132E-7</v>
      </c>
      <c r="I7637">
        <v>-62.024410000000003</v>
      </c>
      <c r="J7637">
        <v>-231.49109999999999</v>
      </c>
      <c r="K7637">
        <v>1.10893</v>
      </c>
      <c r="L7637">
        <v>-64.159030000000001</v>
      </c>
      <c r="M7637">
        <v>0.99721309999999996</v>
      </c>
      <c r="N7637">
        <v>0</v>
      </c>
      <c r="O7637">
        <v>7.4053770000000005E-2</v>
      </c>
      <c r="P7637">
        <v>0.99546639999999997</v>
      </c>
      <c r="Q7637">
        <v>4.8186519999999997E-2</v>
      </c>
      <c r="R7637">
        <v>8.2007150000000001E-2</v>
      </c>
      <c r="S7637">
        <v>2.995819</v>
      </c>
      <c r="T7637">
        <v>-0.16133919999999999</v>
      </c>
      <c r="U7637">
        <v>0.31188959999999999</v>
      </c>
      <c r="V7637">
        <v>-7.9536680000000005E-3</v>
      </c>
      <c r="W7637">
        <v>5.7258099999999999E-2</v>
      </c>
      <c r="X7637">
        <v>0.99832770000000004</v>
      </c>
      <c r="Y7637">
        <v>-2.9668969999999999E-2</v>
      </c>
      <c r="Z7637">
        <v>-3.1719809999999999E-3</v>
      </c>
      <c r="AA7637">
        <v>0.99955479999999997</v>
      </c>
      <c r="AB7637">
        <v>26</v>
      </c>
      <c r="AC7637">
        <v>20.461299999999898</v>
      </c>
      <c r="AD7637">
        <v>-1.1089298473867999</v>
      </c>
      <c r="AE7637">
        <v>2.13462</v>
      </c>
      <c r="AF7637">
        <v>-0.61168247414931098</v>
      </c>
      <c r="AG7637">
        <v>-1.1089298473867999</v>
      </c>
      <c r="AH7637">
        <v>20.503620948025301</v>
      </c>
      <c r="AI7637">
        <v>93.094428262694393</v>
      </c>
      <c r="AJ7637">
        <v>91.708792440189697</v>
      </c>
      <c r="AK7637">
        <v>20.542695851224298</v>
      </c>
      <c r="AL7637">
        <v>86.717557195878697</v>
      </c>
      <c r="AM7637">
        <v>90.456465313572807</v>
      </c>
      <c r="AN7637">
        <v>0.99999997371877603</v>
      </c>
    </row>
    <row r="7638" spans="1:40" x14ac:dyDescent="0.25">
      <c r="A7638" t="str">
        <f>"20190312160518358"</f>
        <v>20190312160518358</v>
      </c>
      <c r="B7638" t="str">
        <f>"1552377918353090"</f>
        <v>1552377918353090</v>
      </c>
      <c r="C7638" t="s">
        <v>40</v>
      </c>
      <c r="D7638">
        <v>5.3508750000000003</v>
      </c>
      <c r="E7638">
        <v>0.49198779999999998</v>
      </c>
      <c r="F7638" t="s">
        <v>122</v>
      </c>
      <c r="G7638">
        <v>-212.0136</v>
      </c>
      <c r="H7638" s="1">
        <v>-3.0788059999999998E-7</v>
      </c>
      <c r="I7638">
        <v>-62.168869999999998</v>
      </c>
      <c r="J7638">
        <v>-231.3503</v>
      </c>
      <c r="K7638">
        <v>1.1089290000000001</v>
      </c>
      <c r="L7638">
        <v>-64.149199999999993</v>
      </c>
      <c r="M7638">
        <v>0.99725680000000005</v>
      </c>
      <c r="N7638">
        <v>0</v>
      </c>
      <c r="O7638">
        <v>7.3464829999999995E-2</v>
      </c>
      <c r="P7638">
        <v>0.99553550000000002</v>
      </c>
      <c r="Q7638">
        <v>4.8271210000000002E-2</v>
      </c>
      <c r="R7638">
        <v>8.1112519999999994E-2</v>
      </c>
      <c r="S7638">
        <v>2.9966889999999999</v>
      </c>
      <c r="T7638">
        <v>-0.17061279999999901</v>
      </c>
      <c r="U7638">
        <v>0.30618289999999998</v>
      </c>
      <c r="V7638">
        <v>-7.6456329999999998E-3</v>
      </c>
      <c r="W7638">
        <v>5.7338550000000002E-2</v>
      </c>
      <c r="X7638">
        <v>0.99832549999999998</v>
      </c>
      <c r="Y7638">
        <v>-2.8354549999999999E-2</v>
      </c>
      <c r="Z7638">
        <v>-3.3574569999999999E-3</v>
      </c>
      <c r="AA7638">
        <v>0.99959229999999999</v>
      </c>
      <c r="AB7638">
        <v>26</v>
      </c>
      <c r="AC7638">
        <v>19.3367</v>
      </c>
      <c r="AD7638">
        <v>-1.1089293078806</v>
      </c>
      <c r="AE7638">
        <v>1.9803299999999899</v>
      </c>
      <c r="AF7638">
        <v>-0.55255445035481698</v>
      </c>
      <c r="AG7638">
        <v>-1.1089293078806</v>
      </c>
      <c r="AH7638">
        <v>19.366901255304199</v>
      </c>
      <c r="AI7638">
        <v>93.275790360369996</v>
      </c>
      <c r="AJ7638">
        <v>91.634254828465203</v>
      </c>
      <c r="AK7638">
        <v>19.4064913073742</v>
      </c>
      <c r="AL7638">
        <v>86.712940200409193</v>
      </c>
      <c r="AM7638">
        <v>90.438788690160095</v>
      </c>
      <c r="AN7638">
        <v>0.99999998448516103</v>
      </c>
    </row>
    <row r="7639" spans="1:40" x14ac:dyDescent="0.25">
      <c r="A7639" t="str">
        <f>"20190312160518369"</f>
        <v>20190312160518369</v>
      </c>
      <c r="B7639" t="str">
        <f>"1552377918362851"</f>
        <v>1552377918362851</v>
      </c>
      <c r="C7639" t="s">
        <v>40</v>
      </c>
      <c r="D7639">
        <v>5.4914059999999996</v>
      </c>
      <c r="E7639">
        <v>0.49188270000000001</v>
      </c>
      <c r="F7639" t="s">
        <v>122</v>
      </c>
      <c r="G7639">
        <v>-212.46029999999999</v>
      </c>
      <c r="H7639" s="1">
        <v>-5.190288E-7</v>
      </c>
      <c r="I7639">
        <v>-62.242370000000001</v>
      </c>
      <c r="J7639">
        <v>-231.22989999999999</v>
      </c>
      <c r="K7639">
        <v>1.108927</v>
      </c>
      <c r="L7639">
        <v>-64.140839999999997</v>
      </c>
      <c r="M7639">
        <v>0.99729380000000001</v>
      </c>
      <c r="N7639">
        <v>0</v>
      </c>
      <c r="O7639">
        <v>7.2961230000000002E-2</v>
      </c>
      <c r="P7639">
        <v>0.99555800000000005</v>
      </c>
      <c r="Q7639">
        <v>4.845899E-2</v>
      </c>
      <c r="R7639">
        <v>8.0724950000000004E-2</v>
      </c>
      <c r="S7639">
        <v>2.9973299999999998</v>
      </c>
      <c r="T7639">
        <v>-0.1759561</v>
      </c>
      <c r="U7639">
        <v>0.30255130000000002</v>
      </c>
      <c r="V7639">
        <v>-7.7612269999999999E-3</v>
      </c>
      <c r="W7639">
        <v>5.752326E-2</v>
      </c>
      <c r="X7639">
        <v>0.99831400000000003</v>
      </c>
      <c r="Y7639">
        <v>-2.7643859999999999E-2</v>
      </c>
      <c r="Z7639">
        <v>-3.4533910000000001E-3</v>
      </c>
      <c r="AA7639">
        <v>0.9996119</v>
      </c>
      <c r="AB7639">
        <v>26</v>
      </c>
      <c r="AC7639">
        <v>18.769600000000001</v>
      </c>
      <c r="AD7639">
        <v>-1.1089275190287999</v>
      </c>
      <c r="AE7639">
        <v>1.8984700000000001</v>
      </c>
      <c r="AF7639">
        <v>-0.52209670952190401</v>
      </c>
      <c r="AG7639">
        <v>-1.1089275190287999</v>
      </c>
      <c r="AH7639">
        <v>18.793156611783601</v>
      </c>
      <c r="AI7639">
        <v>93.375636176219899</v>
      </c>
      <c r="AJ7639">
        <v>91.591337012456094</v>
      </c>
      <c r="AK7639">
        <v>18.833083673460902</v>
      </c>
      <c r="AL7639">
        <v>86.702339659276603</v>
      </c>
      <c r="AM7639">
        <v>90.445427583200399</v>
      </c>
      <c r="AN7639">
        <v>1.00000000234078</v>
      </c>
    </row>
    <row r="7640" spans="1:40" x14ac:dyDescent="0.25">
      <c r="A7640" t="str">
        <f>"20190312160518380"</f>
        <v>20190312160518380</v>
      </c>
      <c r="B7640" t="str">
        <f>"1552377918372611"</f>
        <v>1552377918372611</v>
      </c>
      <c r="C7640" t="s">
        <v>40</v>
      </c>
      <c r="D7640">
        <v>5.3728339999999903</v>
      </c>
      <c r="E7640">
        <v>0.49195899999999998</v>
      </c>
      <c r="F7640" t="s">
        <v>122</v>
      </c>
      <c r="G7640">
        <v>-212.93180000000001</v>
      </c>
      <c r="H7640" s="1">
        <v>-7.3602219999999903E-7</v>
      </c>
      <c r="I7640">
        <v>-62.297559999999997</v>
      </c>
      <c r="J7640">
        <v>-231.10509999999999</v>
      </c>
      <c r="K7640">
        <v>1.1089290000000001</v>
      </c>
      <c r="L7640">
        <v>-64.132230000000007</v>
      </c>
      <c r="M7640">
        <v>0.99733170000000004</v>
      </c>
      <c r="N7640">
        <v>0</v>
      </c>
      <c r="O7640">
        <v>7.2439340000000005E-2</v>
      </c>
      <c r="P7640">
        <v>0.99558760000000002</v>
      </c>
      <c r="Q7640">
        <v>4.8835860000000002E-2</v>
      </c>
      <c r="R7640">
        <v>8.0126370000000002E-2</v>
      </c>
      <c r="S7640">
        <v>2.9977420000000001</v>
      </c>
      <c r="T7640">
        <v>-0.18167349999999999</v>
      </c>
      <c r="U7640">
        <v>0.3019714</v>
      </c>
      <c r="V7640">
        <v>-7.6834679999999997E-3</v>
      </c>
      <c r="W7640">
        <v>5.7897419999999998E-2</v>
      </c>
      <c r="X7640">
        <v>0.99829299999999999</v>
      </c>
      <c r="Y7640">
        <v>-2.7965340000000002E-2</v>
      </c>
      <c r="Z7640">
        <v>-3.5238499999999998E-3</v>
      </c>
      <c r="AA7640">
        <v>0.99960269999999996</v>
      </c>
      <c r="AB7640">
        <v>26</v>
      </c>
      <c r="AC7640">
        <v>18.173299999999902</v>
      </c>
      <c r="AD7640">
        <v>-1.1089297360221999</v>
      </c>
      <c r="AE7640">
        <v>1.83467</v>
      </c>
      <c r="AF7640">
        <v>-0.51144862666367696</v>
      </c>
      <c r="AG7640">
        <v>-1.1089297360221999</v>
      </c>
      <c r="AH7640">
        <v>18.191408633734099</v>
      </c>
      <c r="AI7640">
        <v>93.487001218790496</v>
      </c>
      <c r="AJ7640">
        <v>91.610437705708605</v>
      </c>
      <c r="AK7640">
        <v>18.232351821327001</v>
      </c>
      <c r="AL7640">
        <v>86.680866175008802</v>
      </c>
      <c r="AM7640">
        <v>90.440974339179803</v>
      </c>
      <c r="AN7640">
        <v>1.0000000303860801</v>
      </c>
    </row>
    <row r="7641" spans="1:40" x14ac:dyDescent="0.25">
      <c r="A7641" t="str">
        <f>"20190312160518392"</f>
        <v>20190312160518392</v>
      </c>
      <c r="B7641" t="str">
        <f>"1552377918382371"</f>
        <v>1552377918382371</v>
      </c>
      <c r="C7641" t="s">
        <v>40</v>
      </c>
      <c r="D7641">
        <v>5.3210579999999998</v>
      </c>
      <c r="E7641">
        <v>0.49208210000000002</v>
      </c>
      <c r="F7641" t="s">
        <v>122</v>
      </c>
      <c r="G7641">
        <v>-212.98519999999999</v>
      </c>
      <c r="H7641" s="1">
        <v>-7.6573689999999995E-7</v>
      </c>
      <c r="I7641">
        <v>-62.323230000000002</v>
      </c>
      <c r="J7641">
        <v>-230.97409999999999</v>
      </c>
      <c r="K7641">
        <v>1.10894</v>
      </c>
      <c r="L7641">
        <v>-64.123289999999997</v>
      </c>
      <c r="M7641">
        <v>0.99737140000000002</v>
      </c>
      <c r="N7641">
        <v>0</v>
      </c>
      <c r="O7641">
        <v>7.1891750000000004E-2</v>
      </c>
      <c r="P7641">
        <v>0.99562119999999998</v>
      </c>
      <c r="Q7641">
        <v>4.826826E-2</v>
      </c>
      <c r="R7641">
        <v>8.0054700000000006E-2</v>
      </c>
      <c r="S7641">
        <v>2.9982150000000001</v>
      </c>
      <c r="T7641">
        <v>-0.1834894</v>
      </c>
      <c r="U7641">
        <v>0.29931639999999998</v>
      </c>
      <c r="V7641">
        <v>-8.1592820000000003E-3</v>
      </c>
      <c r="W7641">
        <v>5.7328070000000002E-2</v>
      </c>
      <c r="X7641">
        <v>0.99832209999999999</v>
      </c>
      <c r="Y7641">
        <v>-2.7623290000000002E-2</v>
      </c>
      <c r="Z7641">
        <v>-3.5357980000000002E-3</v>
      </c>
      <c r="AA7641">
        <v>0.99961219999999995</v>
      </c>
      <c r="AB7641">
        <v>26</v>
      </c>
      <c r="AC7641">
        <v>17.988900000000001</v>
      </c>
      <c r="AD7641">
        <v>-1.1089407657368999</v>
      </c>
      <c r="AE7641">
        <v>1.80005999999999</v>
      </c>
      <c r="AF7641">
        <v>-0.50021334352671898</v>
      </c>
      <c r="AG7641">
        <v>-1.1089407657368999</v>
      </c>
      <c r="AH7641">
        <v>18.004022833717201</v>
      </c>
      <c r="AI7641">
        <v>93.523270448159394</v>
      </c>
      <c r="AJ7641">
        <v>91.5914633465392</v>
      </c>
      <c r="AK7641">
        <v>18.045076924412498</v>
      </c>
      <c r="AL7641">
        <v>86.713541859867405</v>
      </c>
      <c r="AM7641">
        <v>90.468267720118106</v>
      </c>
      <c r="AN7641">
        <v>1.00000004842054</v>
      </c>
    </row>
    <row r="7642" spans="1:40" x14ac:dyDescent="0.25">
      <c r="A7642" t="str">
        <f>"20190312160518401"</f>
        <v>20190312160518401</v>
      </c>
      <c r="B7642" t="str">
        <f>"1552377918393107"</f>
        <v>1552377918393107</v>
      </c>
      <c r="C7642" t="s">
        <v>40</v>
      </c>
      <c r="D7642">
        <v>5.3663850000000002</v>
      </c>
      <c r="E7642">
        <v>0.49223450000000002</v>
      </c>
      <c r="F7642" t="s">
        <v>122</v>
      </c>
      <c r="G7642">
        <v>-213.26929999999999</v>
      </c>
      <c r="H7642" s="1">
        <v>-8.9879379999999898E-7</v>
      </c>
      <c r="I7642">
        <v>-62.365180000000002</v>
      </c>
      <c r="J7642">
        <v>-230.84630000000001</v>
      </c>
      <c r="K7642">
        <v>1.1089370000000001</v>
      </c>
      <c r="L7642">
        <v>-64.114620000000002</v>
      </c>
      <c r="M7642">
        <v>0.99740980000000001</v>
      </c>
      <c r="N7642">
        <v>0</v>
      </c>
      <c r="O7642">
        <v>7.1357340000000005E-2</v>
      </c>
      <c r="P7642">
        <v>0.99562139999999999</v>
      </c>
      <c r="Q7642">
        <v>4.8534269999999997E-2</v>
      </c>
      <c r="R7642">
        <v>7.9893099999999995E-2</v>
      </c>
      <c r="S7642">
        <v>2.9983520000000001</v>
      </c>
      <c r="T7642">
        <v>-0.18780169999999999</v>
      </c>
      <c r="U7642">
        <v>0.29772949999999998</v>
      </c>
      <c r="V7642">
        <v>-8.5323640000000006E-3</v>
      </c>
      <c r="W7642">
        <v>5.759276E-2</v>
      </c>
      <c r="X7642">
        <v>0.99830370000000002</v>
      </c>
      <c r="Y7642">
        <v>-2.7633339999999999E-2</v>
      </c>
      <c r="Z7642">
        <v>-3.5851360000000001E-3</v>
      </c>
      <c r="AA7642">
        <v>0.99961169999999999</v>
      </c>
      <c r="AB7642">
        <v>26</v>
      </c>
      <c r="AC7642">
        <v>17.577000000000002</v>
      </c>
      <c r="AD7642">
        <v>-1.1089378987937999</v>
      </c>
      <c r="AE7642">
        <v>1.7494400000000001</v>
      </c>
      <c r="AF7642">
        <v>-0.48875436262277699</v>
      </c>
      <c r="AG7642">
        <v>-1.1089378987937999</v>
      </c>
      <c r="AH7642">
        <v>17.587710664868101</v>
      </c>
      <c r="AI7642">
        <v>93.606440991298101</v>
      </c>
      <c r="AJ7642">
        <v>91.591813591102095</v>
      </c>
      <c r="AK7642">
        <v>17.629412653899699</v>
      </c>
      <c r="AL7642">
        <v>86.698350990034399</v>
      </c>
      <c r="AM7642">
        <v>90.489687199628406</v>
      </c>
      <c r="AN7642">
        <v>1.0000000023367599</v>
      </c>
    </row>
    <row r="7643" spans="1:40" x14ac:dyDescent="0.25">
      <c r="A7643" t="str">
        <f>"20190312160518414"</f>
        <v>20190312160518414</v>
      </c>
      <c r="B7643" t="str">
        <f>"1552377918402867"</f>
        <v>1552377918402867</v>
      </c>
      <c r="C7643" t="s">
        <v>40</v>
      </c>
      <c r="D7643">
        <v>5.3693609999999996</v>
      </c>
      <c r="E7643">
        <v>0.49223689999999998</v>
      </c>
      <c r="F7643" t="s">
        <v>122</v>
      </c>
      <c r="G7643">
        <v>-213.28120000000001</v>
      </c>
      <c r="H7643" s="1">
        <v>-9.083074E-7</v>
      </c>
      <c r="I7643">
        <v>-62.381839999999997</v>
      </c>
      <c r="J7643">
        <v>-230.70910000000001</v>
      </c>
      <c r="K7643">
        <v>1.108941</v>
      </c>
      <c r="L7643">
        <v>-64.105409999999907</v>
      </c>
      <c r="M7643">
        <v>0.99745059999999997</v>
      </c>
      <c r="N7643">
        <v>0</v>
      </c>
      <c r="O7643">
        <v>7.0783760000000001E-2</v>
      </c>
      <c r="P7643">
        <v>0.99566100000000002</v>
      </c>
      <c r="Q7643">
        <v>4.8242100000000003E-2</v>
      </c>
      <c r="R7643">
        <v>7.9574329999999999E-2</v>
      </c>
      <c r="S7643">
        <v>2.998688</v>
      </c>
      <c r="T7643">
        <v>-0.18931580000000001</v>
      </c>
      <c r="U7643">
        <v>0.29580689999999998</v>
      </c>
      <c r="V7643">
        <v>-8.7862369999999902E-3</v>
      </c>
      <c r="W7643">
        <v>5.7299040000000002E-2</v>
      </c>
      <c r="X7643">
        <v>0.99831840000000005</v>
      </c>
      <c r="Y7643">
        <v>-2.7562860000000002E-2</v>
      </c>
      <c r="Z7643">
        <v>-3.5799809999999999E-3</v>
      </c>
      <c r="AA7643">
        <v>0.99961359999999999</v>
      </c>
      <c r="AB7643">
        <v>26</v>
      </c>
      <c r="AC7643">
        <v>17.427899999999902</v>
      </c>
      <c r="AD7643">
        <v>-1.1089419083073999</v>
      </c>
      <c r="AE7643">
        <v>1.7235699999999801</v>
      </c>
      <c r="AF7643">
        <v>-0.48364432182438</v>
      </c>
      <c r="AG7643">
        <v>-1.1089419083073999</v>
      </c>
      <c r="AH7643">
        <v>17.436275105274198</v>
      </c>
      <c r="AI7643">
        <v>93.637697822672195</v>
      </c>
      <c r="AJ7643">
        <v>91.588852823673903</v>
      </c>
      <c r="AK7643">
        <v>17.478196518314999</v>
      </c>
      <c r="AL7643">
        <v>86.715207745034505</v>
      </c>
      <c r="AM7643">
        <v>90.504249246174695</v>
      </c>
      <c r="AN7643">
        <v>1.0000000028620499</v>
      </c>
    </row>
    <row r="7644" spans="1:40" x14ac:dyDescent="0.25">
      <c r="A7644" t="str">
        <f>"20190312160518425"</f>
        <v>20190312160518425</v>
      </c>
      <c r="B7644" t="str">
        <f>"1552377918412627"</f>
        <v>1552377918412627</v>
      </c>
      <c r="C7644" t="s">
        <v>40</v>
      </c>
      <c r="D7644">
        <v>5.5413230000000002</v>
      </c>
      <c r="E7644">
        <v>0.49198350000000002</v>
      </c>
      <c r="F7644" t="s">
        <v>122</v>
      </c>
      <c r="G7644">
        <v>-213.60290000000001</v>
      </c>
      <c r="H7644" s="1">
        <v>-1.057245E-6</v>
      </c>
      <c r="I7644">
        <v>-62.422890000000002</v>
      </c>
      <c r="J7644">
        <v>-230.57480000000001</v>
      </c>
      <c r="K7644">
        <v>1.108935</v>
      </c>
      <c r="L7644">
        <v>-64.096440000000001</v>
      </c>
      <c r="M7644">
        <v>0.99749030000000005</v>
      </c>
      <c r="N7644">
        <v>0</v>
      </c>
      <c r="O7644">
        <v>7.0222709999999994E-2</v>
      </c>
      <c r="P7644">
        <v>0.99571319999999996</v>
      </c>
      <c r="Q7644">
        <v>4.8077960000000003E-2</v>
      </c>
      <c r="R7644">
        <v>7.9018699999999997E-2</v>
      </c>
      <c r="S7644">
        <v>2.998901</v>
      </c>
      <c r="T7644">
        <v>-0.194409</v>
      </c>
      <c r="U7644">
        <v>0.2949524</v>
      </c>
      <c r="V7644">
        <v>-8.7906049999999999E-3</v>
      </c>
      <c r="W7644">
        <v>5.713385E-2</v>
      </c>
      <c r="X7644">
        <v>0.99832790000000005</v>
      </c>
      <c r="Y7644">
        <v>-2.7838970000000001E-2</v>
      </c>
      <c r="Z7644">
        <v>-3.6308619999999999E-3</v>
      </c>
      <c r="AA7644">
        <v>0.99960579999999999</v>
      </c>
      <c r="AB7644">
        <v>26</v>
      </c>
      <c r="AC7644">
        <v>16.971900000000002</v>
      </c>
      <c r="AD7644">
        <v>-1.108936057245</v>
      </c>
      <c r="AE7644">
        <v>1.6735499999999901</v>
      </c>
      <c r="AF7644">
        <v>-0.47554595313440301</v>
      </c>
      <c r="AG7644">
        <v>-1.108936057245</v>
      </c>
      <c r="AH7644">
        <v>16.975748818999399</v>
      </c>
      <c r="AI7644">
        <v>93.736058975222903</v>
      </c>
      <c r="AJ7644">
        <v>91.604621539252193</v>
      </c>
      <c r="AK7644">
        <v>17.018576059657899</v>
      </c>
      <c r="AL7644">
        <v>86.724688197743006</v>
      </c>
      <c r="AM7644">
        <v>90.504495115744504</v>
      </c>
      <c r="AN7644">
        <v>1.0000000737352399</v>
      </c>
    </row>
    <row r="7645" spans="1:40" x14ac:dyDescent="0.25">
      <c r="A7645" t="str">
        <f>"20190312160518437"</f>
        <v>20190312160518437</v>
      </c>
      <c r="B7645" t="str">
        <f>"1552377918433123"</f>
        <v>1552377918433123</v>
      </c>
      <c r="C7645" t="s">
        <v>40</v>
      </c>
      <c r="D7645">
        <v>5.3373189999999999</v>
      </c>
      <c r="E7645">
        <v>0.49208479999999999</v>
      </c>
      <c r="F7645" t="s">
        <v>122</v>
      </c>
      <c r="G7645">
        <v>-213.93199999999999</v>
      </c>
      <c r="H7645" s="1">
        <v>-1.207343E-6</v>
      </c>
      <c r="I7645">
        <v>-62.456389999999999</v>
      </c>
      <c r="J7645">
        <v>-230.44300000000001</v>
      </c>
      <c r="K7645">
        <v>1.108935</v>
      </c>
      <c r="L7645">
        <v>-64.087769999999907</v>
      </c>
      <c r="M7645">
        <v>0.997529</v>
      </c>
      <c r="N7645">
        <v>0</v>
      </c>
      <c r="O7645">
        <v>6.9671720000000006E-2</v>
      </c>
      <c r="P7645">
        <v>0.99579090000000003</v>
      </c>
      <c r="Q7645">
        <v>4.7813330000000001E-2</v>
      </c>
      <c r="R7645">
        <v>7.8195699999999896E-2</v>
      </c>
      <c r="S7645">
        <v>2.9991300000000001</v>
      </c>
      <c r="T7645">
        <v>-0.1998357</v>
      </c>
      <c r="U7645">
        <v>0.29553220000000002</v>
      </c>
      <c r="V7645">
        <v>-8.5155819999999903E-3</v>
      </c>
      <c r="W7645">
        <v>5.6867250000000001E-2</v>
      </c>
      <c r="X7645">
        <v>0.99834540000000005</v>
      </c>
      <c r="Y7645">
        <v>-2.8577209999999999E-2</v>
      </c>
      <c r="Z7645">
        <v>-3.6707049999999998E-3</v>
      </c>
      <c r="AA7645">
        <v>0.9995849</v>
      </c>
      <c r="AB7645">
        <v>26</v>
      </c>
      <c r="AC7645">
        <v>16.5109999999999</v>
      </c>
      <c r="AD7645">
        <v>-1.108936207343</v>
      </c>
      <c r="AE7645">
        <v>1.6313799999999901</v>
      </c>
      <c r="AF7645">
        <v>-0.47489707116375801</v>
      </c>
      <c r="AG7645">
        <v>-1.108936207343</v>
      </c>
      <c r="AH7645">
        <v>16.510781288349101</v>
      </c>
      <c r="AI7645">
        <v>93.840880263935205</v>
      </c>
      <c r="AJ7645">
        <v>91.647535487011993</v>
      </c>
      <c r="AK7645">
        <v>16.554792825398199</v>
      </c>
      <c r="AL7645">
        <v>86.739987783410299</v>
      </c>
      <c r="AM7645">
        <v>90.488703685662699</v>
      </c>
      <c r="AN7645">
        <v>0.99999996848025996</v>
      </c>
    </row>
    <row r="7646" spans="1:40" x14ac:dyDescent="0.25">
      <c r="A7646" t="str">
        <f>"20190312160518450"</f>
        <v>20190312160518450</v>
      </c>
      <c r="B7646" t="str">
        <f>"1552377918442883"</f>
        <v>1552377918442883</v>
      </c>
      <c r="C7646" t="s">
        <v>40</v>
      </c>
      <c r="D7646">
        <v>5.4659829999999996</v>
      </c>
      <c r="E7646">
        <v>0.49201149999999999</v>
      </c>
      <c r="F7646" t="s">
        <v>122</v>
      </c>
      <c r="G7646">
        <v>-214.29900000000001</v>
      </c>
      <c r="H7646" s="1">
        <v>-1.380181E-6</v>
      </c>
      <c r="I7646">
        <v>-62.514220000000002</v>
      </c>
      <c r="J7646">
        <v>-230.2859</v>
      </c>
      <c r="K7646">
        <v>1.108932</v>
      </c>
      <c r="L7646">
        <v>-64.077449999999999</v>
      </c>
      <c r="M7646">
        <v>0.99757459999999998</v>
      </c>
      <c r="N7646">
        <v>0</v>
      </c>
      <c r="O7646">
        <v>6.9015170000000001E-2</v>
      </c>
      <c r="P7646">
        <v>0.99583900000000003</v>
      </c>
      <c r="Q7646">
        <v>4.7793460000000003E-2</v>
      </c>
      <c r="R7646">
        <v>7.7593029999999993E-2</v>
      </c>
      <c r="S7646">
        <v>2.999603</v>
      </c>
      <c r="T7646">
        <v>-0.20604320000000001</v>
      </c>
      <c r="U7646">
        <v>0.29235840000000002</v>
      </c>
      <c r="V7646">
        <v>-8.5684360000000005E-3</v>
      </c>
      <c r="W7646">
        <v>5.684583E-2</v>
      </c>
      <c r="X7646">
        <v>0.99834619999999996</v>
      </c>
      <c r="Y7646">
        <v>-2.8177199999999999E-2</v>
      </c>
      <c r="Z7646">
        <v>-3.7530179999999999E-3</v>
      </c>
      <c r="AA7646">
        <v>0.99959589999999998</v>
      </c>
      <c r="AB7646">
        <v>26</v>
      </c>
      <c r="AC7646">
        <v>15.986899999999901</v>
      </c>
      <c r="AD7646">
        <v>-1.108933380181</v>
      </c>
      <c r="AE7646">
        <v>1.5632299999999999</v>
      </c>
      <c r="AF7646">
        <v>-0.45395505356231602</v>
      </c>
      <c r="AG7646">
        <v>-1.108933380181</v>
      </c>
      <c r="AH7646">
        <v>15.9805065455015</v>
      </c>
      <c r="AI7646">
        <v>93.967960183658406</v>
      </c>
      <c r="AJ7646">
        <v>91.627152169621894</v>
      </c>
      <c r="AK7646">
        <v>16.0253673244376</v>
      </c>
      <c r="AL7646">
        <v>86.741217152890997</v>
      </c>
      <c r="AM7646">
        <v>90.491736399670799</v>
      </c>
      <c r="AN7646">
        <v>1.0000000007691501</v>
      </c>
    </row>
    <row r="7647" spans="1:40" x14ac:dyDescent="0.25">
      <c r="A7647" t="str">
        <f>"20190312160518461"</f>
        <v>20190312160518461</v>
      </c>
      <c r="B7647" t="str">
        <f>"1552377918452643"</f>
        <v>1552377918452643</v>
      </c>
      <c r="C7647" t="s">
        <v>40</v>
      </c>
      <c r="D7647">
        <v>5.3004020000000001</v>
      </c>
      <c r="E7647">
        <v>0.49208580000000002</v>
      </c>
      <c r="F7647" t="s">
        <v>122</v>
      </c>
      <c r="G7647">
        <v>-214.36019999999999</v>
      </c>
      <c r="H7647" s="1">
        <v>-1.4109980000000001E-6</v>
      </c>
      <c r="I7647">
        <v>-62.531320000000001</v>
      </c>
      <c r="J7647">
        <v>-230.15350000000001</v>
      </c>
      <c r="K7647">
        <v>1.108938</v>
      </c>
      <c r="L7647">
        <v>-64.068879999999993</v>
      </c>
      <c r="M7647">
        <v>0.99761270000000002</v>
      </c>
      <c r="N7647">
        <v>0</v>
      </c>
      <c r="O7647">
        <v>6.8462510000000004E-2</v>
      </c>
      <c r="P7647">
        <v>0.99590120000000004</v>
      </c>
      <c r="Q7647">
        <v>4.7372320000000002E-2</v>
      </c>
      <c r="R7647">
        <v>7.7051830000000002E-2</v>
      </c>
      <c r="S7647">
        <v>2.9998779999999998</v>
      </c>
      <c r="T7647">
        <v>-0.2088872</v>
      </c>
      <c r="U7647">
        <v>0.29122920000000002</v>
      </c>
      <c r="V7647">
        <v>-8.5781599999999996E-3</v>
      </c>
      <c r="W7647">
        <v>5.6424500000000002E-2</v>
      </c>
      <c r="X7647">
        <v>0.99836999999999998</v>
      </c>
      <c r="Y7647">
        <v>-2.8350299999999998E-2</v>
      </c>
      <c r="Z7647">
        <v>-3.760214E-3</v>
      </c>
      <c r="AA7647">
        <v>0.99959100000000001</v>
      </c>
      <c r="AB7647">
        <v>26</v>
      </c>
      <c r="AC7647">
        <v>15.7933</v>
      </c>
      <c r="AD7647">
        <v>-1.108939410998</v>
      </c>
      <c r="AE7647">
        <v>1.53756000000001</v>
      </c>
      <c r="AF7647">
        <v>-0.45045890687069701</v>
      </c>
      <c r="AG7647">
        <v>-1.108939410998</v>
      </c>
      <c r="AH7647">
        <v>15.784419872076199</v>
      </c>
      <c r="AI7647">
        <v>94.017099768311098</v>
      </c>
      <c r="AJ7647">
        <v>91.634674647595403</v>
      </c>
      <c r="AK7647">
        <v>15.829736906911499</v>
      </c>
      <c r="AL7647">
        <v>86.765396335292095</v>
      </c>
      <c r="AM7647">
        <v>90.492282690451404</v>
      </c>
      <c r="AN7647">
        <v>0.99999998296461701</v>
      </c>
    </row>
    <row r="7648" spans="1:40" x14ac:dyDescent="0.25">
      <c r="A7648" t="str">
        <f>"20190312160518472"</f>
        <v>20190312160518472</v>
      </c>
      <c r="B7648" t="str">
        <f>"1552377918462403"</f>
        <v>1552377918462403</v>
      </c>
      <c r="C7648" t="s">
        <v>40</v>
      </c>
      <c r="D7648">
        <v>5.3216239999999999</v>
      </c>
      <c r="E7648">
        <v>0.4921335</v>
      </c>
      <c r="F7648" t="s">
        <v>122</v>
      </c>
      <c r="G7648">
        <v>-214.42760000000001</v>
      </c>
      <c r="H7648" s="1">
        <v>-1.4461170000000001E-6</v>
      </c>
      <c r="I7648">
        <v>-62.55471</v>
      </c>
      <c r="J7648">
        <v>-230.0283</v>
      </c>
      <c r="K7648">
        <v>1.1089359999999999</v>
      </c>
      <c r="L7648">
        <v>-64.060819999999893</v>
      </c>
      <c r="M7648">
        <v>0.99764850000000005</v>
      </c>
      <c r="N7648">
        <v>0</v>
      </c>
      <c r="O7648">
        <v>6.7939840000000001E-2</v>
      </c>
      <c r="P7648">
        <v>0.99593039999999999</v>
      </c>
      <c r="Q7648">
        <v>4.7675009999999997E-2</v>
      </c>
      <c r="R7648">
        <v>7.648721E-2</v>
      </c>
      <c r="S7648">
        <v>3.0000610000000001</v>
      </c>
      <c r="T7648">
        <v>-0.21155450000000001</v>
      </c>
      <c r="U7648">
        <v>0.28884890000000002</v>
      </c>
      <c r="V7648">
        <v>-8.5356440000000002E-3</v>
      </c>
      <c r="W7648">
        <v>5.672634E-2</v>
      </c>
      <c r="X7648">
        <v>0.9983533</v>
      </c>
      <c r="Y7648">
        <v>-2.80842E-2</v>
      </c>
      <c r="Z7648">
        <v>-3.7808009999999999E-3</v>
      </c>
      <c r="AA7648">
        <v>0.9995984</v>
      </c>
      <c r="AB7648">
        <v>26</v>
      </c>
      <c r="AC7648">
        <v>15.6006999999999</v>
      </c>
      <c r="AD7648">
        <v>-1.1089374461170001</v>
      </c>
      <c r="AE7648">
        <v>1.5061099999999901</v>
      </c>
      <c r="AF7648">
        <v>-0.44047235713367</v>
      </c>
      <c r="AG7648">
        <v>-1.1089374461170001</v>
      </c>
      <c r="AH7648">
        <v>15.5889400996034</v>
      </c>
      <c r="AI7648">
        <v>94.067330095486795</v>
      </c>
      <c r="AJ7648">
        <v>91.618486818315404</v>
      </c>
      <c r="AK7648">
        <v>15.634539058949599</v>
      </c>
      <c r="AL7648">
        <v>86.748074563968203</v>
      </c>
      <c r="AM7648">
        <v>90.489851098644294</v>
      </c>
      <c r="AN7648">
        <v>1.00000002324458</v>
      </c>
    </row>
    <row r="7649" spans="1:40" x14ac:dyDescent="0.25">
      <c r="A7649" t="str">
        <f>"20190312160518481"</f>
        <v>20190312160518481</v>
      </c>
      <c r="B7649" t="str">
        <f>"1552377918473140"</f>
        <v>1552377918473140</v>
      </c>
      <c r="C7649" t="s">
        <v>40</v>
      </c>
      <c r="D7649">
        <v>5.5716449999999904</v>
      </c>
      <c r="E7649">
        <v>0.49212430000000001</v>
      </c>
      <c r="F7649" t="s">
        <v>122</v>
      </c>
      <c r="G7649">
        <v>-214.3664</v>
      </c>
      <c r="H7649" s="1">
        <v>-1.4224600000000001E-6</v>
      </c>
      <c r="I7649">
        <v>-62.564459999999997</v>
      </c>
      <c r="J7649">
        <v>-229.9127</v>
      </c>
      <c r="K7649">
        <v>1.1089340000000001</v>
      </c>
      <c r="L7649">
        <v>-64.053439999999995</v>
      </c>
      <c r="M7649">
        <v>0.99768120000000005</v>
      </c>
      <c r="N7649">
        <v>0</v>
      </c>
      <c r="O7649">
        <v>6.7457989999999995E-2</v>
      </c>
      <c r="P7649">
        <v>0.99595990000000001</v>
      </c>
      <c r="Q7649">
        <v>4.769466E-2</v>
      </c>
      <c r="R7649">
        <v>7.6087089999999996E-2</v>
      </c>
      <c r="S7649">
        <v>3.000397</v>
      </c>
      <c r="T7649">
        <v>-0.21244260000000001</v>
      </c>
      <c r="U7649">
        <v>0.28665159999999901</v>
      </c>
      <c r="V7649">
        <v>-8.6160879999999992E-3</v>
      </c>
      <c r="W7649">
        <v>5.6745370000000003E-2</v>
      </c>
      <c r="X7649">
        <v>0.99835149999999995</v>
      </c>
      <c r="Y7649">
        <v>-2.7831209999999999E-2</v>
      </c>
      <c r="Z7649">
        <v>-3.7714139999999998E-3</v>
      </c>
      <c r="AA7649">
        <v>0.99960550000000004</v>
      </c>
      <c r="AB7649">
        <v>26</v>
      </c>
      <c r="AC7649">
        <v>15.5463</v>
      </c>
      <c r="AD7649">
        <v>-1.1089354224600001</v>
      </c>
      <c r="AE7649">
        <v>1.48898000000001</v>
      </c>
      <c r="AF7649">
        <v>-0.43463167364230298</v>
      </c>
      <c r="AG7649">
        <v>-1.1089354224600001</v>
      </c>
      <c r="AH7649">
        <v>15.533016487978299</v>
      </c>
      <c r="AI7649">
        <v>94.081948244069196</v>
      </c>
      <c r="AJ7649">
        <v>91.602783625642601</v>
      </c>
      <c r="AK7649">
        <v>15.578614947379799</v>
      </c>
      <c r="AL7649">
        <v>86.746982376714996</v>
      </c>
      <c r="AM7649">
        <v>90.494468353488699</v>
      </c>
      <c r="AN7649">
        <v>0.99999999577055498</v>
      </c>
    </row>
    <row r="7650" spans="1:40" x14ac:dyDescent="0.25">
      <c r="A7650" t="str">
        <f>"20190312160518492"</f>
        <v>20190312160518492</v>
      </c>
      <c r="B7650" t="str">
        <f>"1552377918482899"</f>
        <v>1552377918482899</v>
      </c>
      <c r="C7650" t="s">
        <v>40</v>
      </c>
      <c r="D7650">
        <v>5.3298430000000003</v>
      </c>
      <c r="E7650">
        <v>0.4921085</v>
      </c>
      <c r="F7650" t="s">
        <v>122</v>
      </c>
      <c r="G7650">
        <v>-214.1361</v>
      </c>
      <c r="H7650" s="1">
        <v>-1.3203460000000001E-6</v>
      </c>
      <c r="I7650">
        <v>-62.552069999999901</v>
      </c>
      <c r="J7650">
        <v>-229.79150000000001</v>
      </c>
      <c r="K7650">
        <v>1.1089249999999999</v>
      </c>
      <c r="L7650">
        <v>-64.045749999999998</v>
      </c>
      <c r="M7650">
        <v>0.99771509999999997</v>
      </c>
      <c r="N7650">
        <v>0</v>
      </c>
      <c r="O7650">
        <v>6.6953260000000001E-2</v>
      </c>
      <c r="P7650">
        <v>0.99598469999999995</v>
      </c>
      <c r="Q7650">
        <v>4.8103519999999997E-2</v>
      </c>
      <c r="R7650">
        <v>7.5503909999999994E-2</v>
      </c>
      <c r="S7650">
        <v>3.0004580000000001</v>
      </c>
      <c r="T7650">
        <v>-0.21090049999999999</v>
      </c>
      <c r="U7650">
        <v>0.28552250000000001</v>
      </c>
      <c r="V7650">
        <v>-8.5373399999999992E-3</v>
      </c>
      <c r="W7650">
        <v>5.7153839999999997E-2</v>
      </c>
      <c r="X7650">
        <v>0.99832889999999996</v>
      </c>
      <c r="Y7650">
        <v>-2.795924E-2</v>
      </c>
      <c r="Z7650">
        <v>-3.7043890000000002E-3</v>
      </c>
      <c r="AA7650">
        <v>0.9996022</v>
      </c>
      <c r="AB7650">
        <v>26</v>
      </c>
      <c r="AC7650">
        <v>15.6554</v>
      </c>
      <c r="AD7650">
        <v>-1.108926320346</v>
      </c>
      <c r="AE7650">
        <v>1.4936799999999999</v>
      </c>
      <c r="AF7650">
        <v>-0.43991779163873901</v>
      </c>
      <c r="AG7650">
        <v>-1.108926320346</v>
      </c>
      <c r="AH7650">
        <v>15.642502623472</v>
      </c>
      <c r="AI7650">
        <v>94.053423897576394</v>
      </c>
      <c r="AJ7650">
        <v>91.610918113411401</v>
      </c>
      <c r="AK7650">
        <v>15.6879295502206</v>
      </c>
      <c r="AL7650">
        <v>86.723540804626893</v>
      </c>
      <c r="AM7650">
        <v>90.489960399619093</v>
      </c>
      <c r="AN7650">
        <v>1.0000000200881101</v>
      </c>
    </row>
    <row r="7651" spans="1:40" x14ac:dyDescent="0.25">
      <c r="A7651" t="str">
        <f>"20190312160518503"</f>
        <v>20190312160518503</v>
      </c>
      <c r="B7651" t="str">
        <f>"1552377918492659"</f>
        <v>1552377918492659</v>
      </c>
      <c r="C7651" t="s">
        <v>40</v>
      </c>
      <c r="D7651">
        <v>5.5351100000000004</v>
      </c>
      <c r="E7651">
        <v>0.49212230000000001</v>
      </c>
      <c r="F7651" t="s">
        <v>122</v>
      </c>
      <c r="G7651">
        <v>-213.81630000000001</v>
      </c>
      <c r="H7651" s="1">
        <v>-1.178631E-6</v>
      </c>
      <c r="I7651">
        <v>-62.534999999999997</v>
      </c>
      <c r="J7651">
        <v>-229.65809999999999</v>
      </c>
      <c r="K7651">
        <v>1.108924</v>
      </c>
      <c r="L7651">
        <v>-64.037350000000004</v>
      </c>
      <c r="M7651">
        <v>0.99775219999999998</v>
      </c>
      <c r="N7651">
        <v>0</v>
      </c>
      <c r="O7651">
        <v>6.6399E-2</v>
      </c>
      <c r="P7651">
        <v>0.99601759999999995</v>
      </c>
      <c r="Q7651">
        <v>4.8504789999999999E-2</v>
      </c>
      <c r="R7651">
        <v>7.4807680000000001E-2</v>
      </c>
      <c r="S7651">
        <v>3.000626</v>
      </c>
      <c r="T7651">
        <v>-0.2082899</v>
      </c>
      <c r="U7651">
        <v>0.28375240000000002</v>
      </c>
      <c r="V7651">
        <v>-8.3943349999999993E-3</v>
      </c>
      <c r="W7651">
        <v>5.7554679999999997E-2</v>
      </c>
      <c r="X7651">
        <v>0.99830700000000006</v>
      </c>
      <c r="Y7651">
        <v>-2.7921319999999999E-2</v>
      </c>
      <c r="Z7651">
        <v>-3.621656E-3</v>
      </c>
      <c r="AA7651">
        <v>0.99960360000000004</v>
      </c>
      <c r="AB7651">
        <v>26</v>
      </c>
      <c r="AC7651">
        <v>15.8417999999999</v>
      </c>
      <c r="AD7651">
        <v>-1.1089251786309999</v>
      </c>
      <c r="AE7651">
        <v>1.5023500000000001</v>
      </c>
      <c r="AF7651">
        <v>-0.44495078679400302</v>
      </c>
      <c r="AG7651">
        <v>-1.1089251786309999</v>
      </c>
      <c r="AH7651">
        <v>15.829721153867901</v>
      </c>
      <c r="AI7651">
        <v>94.005638465669094</v>
      </c>
      <c r="AJ7651">
        <v>91.610078343237205</v>
      </c>
      <c r="AK7651">
        <v>15.874752535510099</v>
      </c>
      <c r="AL7651">
        <v>86.700536219784695</v>
      </c>
      <c r="AM7651">
        <v>90.481764259416593</v>
      </c>
      <c r="AN7651">
        <v>0.99999993614949501</v>
      </c>
    </row>
    <row r="7652" spans="1:40" x14ac:dyDescent="0.25">
      <c r="A7652" t="str">
        <f>"20190312160518515"</f>
        <v>20190312160518515</v>
      </c>
      <c r="B7652" t="str">
        <f>"1552377918502421"</f>
        <v>1552377918502421</v>
      </c>
      <c r="C7652" t="s">
        <v>40</v>
      </c>
      <c r="D7652">
        <v>5.2646579999999998</v>
      </c>
      <c r="E7652">
        <v>0.49214849999999999</v>
      </c>
      <c r="F7652" t="s">
        <v>122</v>
      </c>
      <c r="G7652">
        <v>-213.4616</v>
      </c>
      <c r="H7652" s="1">
        <v>-1.021934E-6</v>
      </c>
      <c r="I7652">
        <v>-62.517980000000001</v>
      </c>
      <c r="J7652">
        <v>-229.5249</v>
      </c>
      <c r="K7652">
        <v>1.1089180000000001</v>
      </c>
      <c r="L7652">
        <v>-64.029049999999998</v>
      </c>
      <c r="M7652">
        <v>0.99778880000000003</v>
      </c>
      <c r="N7652">
        <v>0</v>
      </c>
      <c r="O7652">
        <v>6.5847370000000002E-2</v>
      </c>
      <c r="P7652">
        <v>0.99603299999999995</v>
      </c>
      <c r="Q7652">
        <v>4.8870820000000002E-2</v>
      </c>
      <c r="R7652">
        <v>7.4364910000000006E-2</v>
      </c>
      <c r="S7652">
        <v>3.0008539999999999</v>
      </c>
      <c r="T7652">
        <v>-0.20545830000000001</v>
      </c>
      <c r="U7652">
        <v>0.28149410000000002</v>
      </c>
      <c r="V7652">
        <v>-8.5031659999999995E-3</v>
      </c>
      <c r="W7652">
        <v>5.7920739999999998E-2</v>
      </c>
      <c r="X7652">
        <v>0.99828499999999998</v>
      </c>
      <c r="Y7652">
        <v>-2.7717909999999998E-2</v>
      </c>
      <c r="Z7652">
        <v>-3.5418369999999999E-3</v>
      </c>
      <c r="AA7652">
        <v>0.99960950000000004</v>
      </c>
      <c r="AB7652">
        <v>26</v>
      </c>
      <c r="AC7652">
        <v>16.063299999999899</v>
      </c>
      <c r="AD7652">
        <v>-1.1089190219339999</v>
      </c>
      <c r="AE7652">
        <v>1.5110699999999899</v>
      </c>
      <c r="AF7652">
        <v>-0.44790515764504601</v>
      </c>
      <c r="AG7652">
        <v>-1.1089190219339999</v>
      </c>
      <c r="AH7652">
        <v>16.052110003894398</v>
      </c>
      <c r="AI7652">
        <v>93.950321316992699</v>
      </c>
      <c r="AJ7652">
        <v>91.598320590582802</v>
      </c>
      <c r="AK7652">
        <v>16.0966007593087</v>
      </c>
      <c r="AL7652">
        <v>86.679527785505996</v>
      </c>
      <c r="AM7652">
        <v>90.488020697895394</v>
      </c>
      <c r="AN7652">
        <v>1.00000002858958</v>
      </c>
    </row>
    <row r="7653" spans="1:40" x14ac:dyDescent="0.25">
      <c r="A7653" t="str">
        <f>"20190312160518525"</f>
        <v>20190312160518525</v>
      </c>
      <c r="B7653" t="str">
        <f>"1552377918512180"</f>
        <v>1552377918512180</v>
      </c>
      <c r="C7653" t="s">
        <v>40</v>
      </c>
      <c r="D7653">
        <v>5.497941</v>
      </c>
      <c r="E7653">
        <v>0.49219220000000002</v>
      </c>
      <c r="F7653" t="s">
        <v>122</v>
      </c>
      <c r="G7653">
        <v>-213.107</v>
      </c>
      <c r="H7653" s="1">
        <v>-8.6441149999999898E-7</v>
      </c>
      <c r="I7653">
        <v>-62.497660000000003</v>
      </c>
      <c r="J7653">
        <v>-229.39660000000001</v>
      </c>
      <c r="K7653">
        <v>1.108914</v>
      </c>
      <c r="L7653">
        <v>-64.021150000000006</v>
      </c>
      <c r="M7653">
        <v>0.99782369999999998</v>
      </c>
      <c r="N7653">
        <v>0</v>
      </c>
      <c r="O7653">
        <v>6.5317150000000004E-2</v>
      </c>
      <c r="P7653">
        <v>0.99606189999999994</v>
      </c>
      <c r="Q7653">
        <v>4.9030589999999999E-2</v>
      </c>
      <c r="R7653">
        <v>7.3873889999999998E-2</v>
      </c>
      <c r="S7653">
        <v>3.0009769999999998</v>
      </c>
      <c r="T7653">
        <v>-0.2026955</v>
      </c>
      <c r="U7653">
        <v>0.27990720000000002</v>
      </c>
      <c r="V7653">
        <v>-8.5416450000000005E-3</v>
      </c>
      <c r="W7653">
        <v>5.8080699999999999E-2</v>
      </c>
      <c r="X7653">
        <v>0.99827529999999998</v>
      </c>
      <c r="Y7653">
        <v>-2.7717760000000001E-2</v>
      </c>
      <c r="Z7653">
        <v>-3.4587009999999998E-3</v>
      </c>
      <c r="AA7653">
        <v>0.99960979999999999</v>
      </c>
      <c r="AB7653">
        <v>26</v>
      </c>
      <c r="AC7653">
        <v>16.2896</v>
      </c>
      <c r="AD7653">
        <v>-1.1089148644114999</v>
      </c>
      <c r="AE7653">
        <v>1.52349</v>
      </c>
      <c r="AF7653">
        <v>-0.45411655773195703</v>
      </c>
      <c r="AG7653">
        <v>-1.1089148644114999</v>
      </c>
      <c r="AH7653">
        <v>16.279537101204401</v>
      </c>
      <c r="AI7653">
        <v>93.895292278510695</v>
      </c>
      <c r="AJ7653">
        <v>91.597847436656394</v>
      </c>
      <c r="AK7653">
        <v>16.3235793334063</v>
      </c>
      <c r="AL7653">
        <v>86.670347039261102</v>
      </c>
      <c r="AM7653">
        <v>90.490233771984293</v>
      </c>
      <c r="AN7653">
        <v>0.99999995100094097</v>
      </c>
    </row>
    <row r="7654" spans="1:40" x14ac:dyDescent="0.25">
      <c r="A7654" t="str">
        <f>"20190312160518538"</f>
        <v>20190312160518538</v>
      </c>
      <c r="B7654" t="str">
        <f>"1552377918532674"</f>
        <v>1552377918532674</v>
      </c>
      <c r="C7654" t="s">
        <v>40</v>
      </c>
      <c r="D7654">
        <v>5.318721</v>
      </c>
      <c r="E7654">
        <v>0.49221769999999998</v>
      </c>
      <c r="F7654" t="s">
        <v>122</v>
      </c>
      <c r="G7654">
        <v>-212.79060000000001</v>
      </c>
      <c r="H7654" s="1">
        <v>-7.2457429999999996E-7</v>
      </c>
      <c r="I7654">
        <v>-62.482230000000001</v>
      </c>
      <c r="J7654">
        <v>-229.2509</v>
      </c>
      <c r="K7654">
        <v>1.1089169999999999</v>
      </c>
      <c r="L7654">
        <v>-64.012209999999996</v>
      </c>
      <c r="M7654">
        <v>0.99786249999999999</v>
      </c>
      <c r="N7654">
        <v>0</v>
      </c>
      <c r="O7654">
        <v>6.4720150000000004E-2</v>
      </c>
      <c r="P7654">
        <v>0.99610109999999996</v>
      </c>
      <c r="Q7654">
        <v>4.8703629999999998E-2</v>
      </c>
      <c r="R7654">
        <v>7.3557849999999994E-2</v>
      </c>
      <c r="S7654">
        <v>3.001099</v>
      </c>
      <c r="T7654">
        <v>-0.20040659999999999</v>
      </c>
      <c r="U7654">
        <v>0.27810669999999998</v>
      </c>
      <c r="V7654">
        <v>-8.8221819999999996E-3</v>
      </c>
      <c r="W7654">
        <v>5.7759379999999999E-2</v>
      </c>
      <c r="X7654">
        <v>0.99829159999999995</v>
      </c>
      <c r="Y7654">
        <v>-2.7714249999999999E-2</v>
      </c>
      <c r="Z7654">
        <v>-3.3802099999999998E-3</v>
      </c>
      <c r="AA7654">
        <v>0.9996102</v>
      </c>
      <c r="AB7654">
        <v>26</v>
      </c>
      <c r="AC7654">
        <v>16.460299999999901</v>
      </c>
      <c r="AD7654">
        <v>-1.1089177245742901</v>
      </c>
      <c r="AE7654">
        <v>1.5299799999999899</v>
      </c>
      <c r="AF7654">
        <v>-0.459348492222244</v>
      </c>
      <c r="AG7654">
        <v>-1.1089177245742901</v>
      </c>
      <c r="AH7654">
        <v>16.450787754270198</v>
      </c>
      <c r="AI7654">
        <v>93.854872616710097</v>
      </c>
      <c r="AJ7654">
        <v>91.599430589009998</v>
      </c>
      <c r="AK7654">
        <v>16.494517795110799</v>
      </c>
      <c r="AL7654">
        <v>86.688788599525296</v>
      </c>
      <c r="AM7654">
        <v>90.506325643293394</v>
      </c>
      <c r="AN7654">
        <v>1.00000004775189</v>
      </c>
    </row>
    <row r="7655" spans="1:40" x14ac:dyDescent="0.25">
      <c r="A7655" t="str">
        <f>"20190312160518549"</f>
        <v>20190312160518549</v>
      </c>
      <c r="B7655" t="str">
        <f>"1552377918542435"</f>
        <v>1552377918542435</v>
      </c>
      <c r="C7655" t="s">
        <v>40</v>
      </c>
      <c r="D7655">
        <v>5.5333009999999998</v>
      </c>
      <c r="E7655">
        <v>0.49221769999999998</v>
      </c>
      <c r="F7655" t="s">
        <v>122</v>
      </c>
      <c r="G7655">
        <v>-212.7681</v>
      </c>
      <c r="H7655" s="1">
        <v>-7.1708779999999998E-7</v>
      </c>
      <c r="I7655">
        <v>-62.490450000000003</v>
      </c>
      <c r="J7655">
        <v>-229.12270000000001</v>
      </c>
      <c r="K7655">
        <v>1.108919</v>
      </c>
      <c r="L7655">
        <v>-64.004429999999999</v>
      </c>
      <c r="M7655">
        <v>0.99789620000000001</v>
      </c>
      <c r="N7655">
        <v>0</v>
      </c>
      <c r="O7655">
        <v>6.4197240000000003E-2</v>
      </c>
      <c r="P7655">
        <v>0.99615889999999996</v>
      </c>
      <c r="Q7655">
        <v>4.8449249999999999E-2</v>
      </c>
      <c r="R7655">
        <v>7.2938970000000006E-2</v>
      </c>
      <c r="S7655">
        <v>3.0011749999999999</v>
      </c>
      <c r="T7655">
        <v>-0.2019106</v>
      </c>
      <c r="U7655">
        <v>0.27706910000000001</v>
      </c>
      <c r="V7655">
        <v>-8.72472E-3</v>
      </c>
      <c r="W7655">
        <v>5.7511359999999997E-2</v>
      </c>
      <c r="X7655">
        <v>0.99830680000000005</v>
      </c>
      <c r="Y7655">
        <v>-2.7892730000000001E-2</v>
      </c>
      <c r="Z7655">
        <v>-3.3645569999999998E-3</v>
      </c>
      <c r="AA7655">
        <v>0.99960519999999997</v>
      </c>
      <c r="AB7655">
        <v>26</v>
      </c>
      <c r="AC7655">
        <v>16.354600000000001</v>
      </c>
      <c r="AD7655">
        <v>-1.1089197170878</v>
      </c>
      <c r="AE7655">
        <v>1.5139799999999899</v>
      </c>
      <c r="AF7655">
        <v>-0.45880216520005701</v>
      </c>
      <c r="AG7655">
        <v>-1.1089197170878</v>
      </c>
      <c r="AH7655">
        <v>16.343557941252001</v>
      </c>
      <c r="AI7655">
        <v>93.880078110353594</v>
      </c>
      <c r="AJ7655">
        <v>91.608005167755607</v>
      </c>
      <c r="AK7655">
        <v>16.387558956257099</v>
      </c>
      <c r="AL7655">
        <v>86.703022839908698</v>
      </c>
      <c r="AM7655">
        <v>90.5007247340845</v>
      </c>
      <c r="AN7655">
        <v>1.00000007209718</v>
      </c>
    </row>
    <row r="7656" spans="1:40" x14ac:dyDescent="0.25">
      <c r="A7656" t="str">
        <f>"20190312160518559"</f>
        <v>20190312160518559</v>
      </c>
      <c r="B7656" t="str">
        <f>"1552377918552195"</f>
        <v>1552377918552195</v>
      </c>
      <c r="C7656" t="s">
        <v>40</v>
      </c>
      <c r="D7656">
        <v>5.4278279999999999</v>
      </c>
      <c r="E7656">
        <v>0.4875584</v>
      </c>
      <c r="F7656" t="s">
        <v>122</v>
      </c>
      <c r="G7656">
        <v>-212.70089999999999</v>
      </c>
      <c r="H7656" s="1">
        <v>-6.9040219999999897E-7</v>
      </c>
      <c r="I7656">
        <v>-62.498530000000002</v>
      </c>
      <c r="J7656">
        <v>-228.9956</v>
      </c>
      <c r="K7656">
        <v>1.108932</v>
      </c>
      <c r="L7656">
        <v>-63.9968</v>
      </c>
      <c r="M7656">
        <v>0.99792890000000001</v>
      </c>
      <c r="N7656">
        <v>0</v>
      </c>
      <c r="O7656">
        <v>6.3685610000000004E-2</v>
      </c>
      <c r="P7656">
        <v>0.99620560000000002</v>
      </c>
      <c r="Q7656">
        <v>4.7798449999999999E-2</v>
      </c>
      <c r="R7656">
        <v>7.2731119999999996E-2</v>
      </c>
      <c r="S7656">
        <v>3.0012509999999999</v>
      </c>
      <c r="T7656">
        <v>-0.20266600000000001</v>
      </c>
      <c r="U7656">
        <v>0.27520749999999999</v>
      </c>
      <c r="V7656">
        <v>-9.0287600000000003E-3</v>
      </c>
      <c r="W7656">
        <v>5.6870579999999997E-2</v>
      </c>
      <c r="X7656">
        <v>0.99834069999999997</v>
      </c>
      <c r="Y7656">
        <v>-2.7787780000000002E-2</v>
      </c>
      <c r="Z7656">
        <v>-3.3463439999999998E-3</v>
      </c>
      <c r="AA7656">
        <v>0.99960819999999995</v>
      </c>
      <c r="AB7656">
        <v>27</v>
      </c>
      <c r="AC7656">
        <v>16.294699999999999</v>
      </c>
      <c r="AD7656">
        <v>-1.1089326904021899</v>
      </c>
      <c r="AE7656">
        <v>1.49826999999999</v>
      </c>
      <c r="AF7656">
        <v>-0.45535650840120001</v>
      </c>
      <c r="AG7656">
        <v>-1.1089326904021899</v>
      </c>
      <c r="AH7656">
        <v>16.282262989336001</v>
      </c>
      <c r="AI7656">
        <v>93.894696825133593</v>
      </c>
      <c r="AJ7656">
        <v>91.6019399435542</v>
      </c>
      <c r="AK7656">
        <v>16.326333615220701</v>
      </c>
      <c r="AL7656">
        <v>86.739796675420394</v>
      </c>
      <c r="AM7656">
        <v>90.518155514833794</v>
      </c>
      <c r="AN7656">
        <v>0.99999996732658103</v>
      </c>
    </row>
    <row r="7657" spans="1:40" x14ac:dyDescent="0.25">
      <c r="A7657" t="str">
        <f>"20190312160518570"</f>
        <v>20190312160518570</v>
      </c>
      <c r="B7657" t="str">
        <f>"1552377918562931"</f>
        <v>1552377918562931</v>
      </c>
      <c r="C7657" t="s">
        <v>40</v>
      </c>
      <c r="D7657">
        <v>5.297669</v>
      </c>
      <c r="E7657">
        <v>0.48953049999999998</v>
      </c>
      <c r="F7657" t="s">
        <v>49</v>
      </c>
      <c r="G7657">
        <v>-228.18430000000001</v>
      </c>
      <c r="H7657">
        <v>1.024597</v>
      </c>
      <c r="I7657">
        <v>-63.913139999999999</v>
      </c>
      <c r="J7657">
        <v>-228.86080000000001</v>
      </c>
      <c r="K7657">
        <v>1.1089450000000001</v>
      </c>
      <c r="L7657">
        <v>-63.988770000000002</v>
      </c>
      <c r="M7657">
        <v>0.99796300000000004</v>
      </c>
      <c r="N7657">
        <v>0</v>
      </c>
      <c r="O7657">
        <v>6.31462E-2</v>
      </c>
      <c r="P7657">
        <v>0.99622290000000002</v>
      </c>
      <c r="Q7657">
        <v>4.7834359999999999E-2</v>
      </c>
      <c r="R7657">
        <v>7.2469530000000004E-2</v>
      </c>
      <c r="S7657">
        <v>3.0037989999999999</v>
      </c>
      <c r="T7657">
        <v>-0.31222640000000002</v>
      </c>
      <c r="U7657">
        <v>0.3099365</v>
      </c>
      <c r="V7657">
        <v>-9.3067440000000005E-3</v>
      </c>
      <c r="W7657">
        <v>5.691819E-2</v>
      </c>
      <c r="X7657">
        <v>0.99833550000000004</v>
      </c>
      <c r="Y7657">
        <v>-3.9740669999999999E-2</v>
      </c>
      <c r="Z7657">
        <v>-4.4661099999999997E-3</v>
      </c>
      <c r="AA7657">
        <v>0.99919999999999998</v>
      </c>
      <c r="AB7657">
        <v>27</v>
      </c>
      <c r="AC7657">
        <v>0.67650000000000399</v>
      </c>
      <c r="AD7657">
        <v>-8.4348000000000006E-2</v>
      </c>
      <c r="AE7657">
        <v>7.5629999999989594E-2</v>
      </c>
      <c r="AF7657">
        <v>-3.2263515348535103E-2</v>
      </c>
      <c r="AG7657">
        <v>-8.4348000000000006E-2</v>
      </c>
      <c r="AH7657">
        <v>0.66964406249461705</v>
      </c>
      <c r="AI7657">
        <v>97.170905408855901</v>
      </c>
      <c r="AJ7657">
        <v>92.758383123374301</v>
      </c>
      <c r="AK7657">
        <v>0.67570606772541197</v>
      </c>
      <c r="AL7657">
        <v>86.737064612699996</v>
      </c>
      <c r="AM7657">
        <v>90.534110733418501</v>
      </c>
      <c r="AN7657">
        <v>1.0000000331984999</v>
      </c>
    </row>
    <row r="7658" spans="1:40" x14ac:dyDescent="0.25">
      <c r="A7658" t="str">
        <f>"20190312160518581"</f>
        <v>20190312160518581</v>
      </c>
      <c r="B7658" t="str">
        <f>"1552377918572691"</f>
        <v>1552377918572691</v>
      </c>
      <c r="C7658" t="s">
        <v>40</v>
      </c>
      <c r="D7658">
        <v>5.3118749999999997</v>
      </c>
      <c r="E7658">
        <v>0.49048190000000003</v>
      </c>
      <c r="F7658" t="s">
        <v>49</v>
      </c>
      <c r="G7658">
        <v>-227.95160000000001</v>
      </c>
      <c r="H7658">
        <v>1.018114</v>
      </c>
      <c r="I7658">
        <v>-63.900170000000003</v>
      </c>
      <c r="J7658">
        <v>-228.73320000000001</v>
      </c>
      <c r="K7658">
        <v>1.1089549999999999</v>
      </c>
      <c r="L7658">
        <v>-63.981229999999996</v>
      </c>
      <c r="M7658">
        <v>0.99799470000000001</v>
      </c>
      <c r="N7658">
        <v>0</v>
      </c>
      <c r="O7658">
        <v>6.2641959999999997E-2</v>
      </c>
      <c r="P7658">
        <v>0.99623660000000003</v>
      </c>
      <c r="Q7658">
        <v>4.7806019999999998E-2</v>
      </c>
      <c r="R7658">
        <v>7.2300680000000006E-2</v>
      </c>
      <c r="S7658">
        <v>3.0044249999999999</v>
      </c>
      <c r="T7658">
        <v>-0.30001060000000002</v>
      </c>
      <c r="U7658">
        <v>0.29364010000000001</v>
      </c>
      <c r="V7658">
        <v>-9.6428390000000003E-3</v>
      </c>
      <c r="W7658">
        <v>5.6902950000000001E-2</v>
      </c>
      <c r="X7658">
        <v>0.99833320000000003</v>
      </c>
      <c r="Y7658">
        <v>-3.4870190000000002E-2</v>
      </c>
      <c r="Z7658">
        <v>-4.4848220000000003E-3</v>
      </c>
      <c r="AA7658">
        <v>0.99938179999999999</v>
      </c>
      <c r="AB7658">
        <v>27</v>
      </c>
      <c r="AC7658">
        <v>0.78159999999999696</v>
      </c>
      <c r="AD7658">
        <v>-9.0840999999999894E-2</v>
      </c>
      <c r="AE7658">
        <v>8.1060000000007904E-2</v>
      </c>
      <c r="AF7658">
        <v>-3.1516613278091701E-2</v>
      </c>
      <c r="AG7658">
        <v>-9.0840999999999894E-2</v>
      </c>
      <c r="AH7658">
        <v>0.77478827131795402</v>
      </c>
      <c r="AI7658">
        <v>96.681707478171006</v>
      </c>
      <c r="AJ7658">
        <v>92.329376930768404</v>
      </c>
      <c r="AK7658">
        <v>0.78073186790689197</v>
      </c>
      <c r="AL7658">
        <v>86.737939286234905</v>
      </c>
      <c r="AM7658">
        <v>90.553399202317195</v>
      </c>
      <c r="AN7658">
        <v>1.0000000541424501</v>
      </c>
    </row>
    <row r="7659" spans="1:40" x14ac:dyDescent="0.25">
      <c r="A7659" t="str">
        <f>"20190312160518593"</f>
        <v>20190312160518593</v>
      </c>
      <c r="B7659" t="str">
        <f>"1552377918582452"</f>
        <v>1552377918582452</v>
      </c>
      <c r="C7659" t="s">
        <v>40</v>
      </c>
      <c r="D7659">
        <v>5.3222889999999996</v>
      </c>
      <c r="E7659">
        <v>0.49098520000000001</v>
      </c>
      <c r="F7659" t="s">
        <v>49</v>
      </c>
      <c r="G7659">
        <v>-227.9426</v>
      </c>
      <c r="H7659">
        <v>1.031118</v>
      </c>
      <c r="I7659">
        <v>-63.906359999999999</v>
      </c>
      <c r="J7659">
        <v>-228.60050000000001</v>
      </c>
      <c r="K7659">
        <v>1.1089599999999999</v>
      </c>
      <c r="L7659">
        <v>-63.973419999999997</v>
      </c>
      <c r="M7659">
        <v>0.99802679999999999</v>
      </c>
      <c r="N7659">
        <v>0</v>
      </c>
      <c r="O7659">
        <v>6.2125039999999999E-2</v>
      </c>
      <c r="P7659">
        <v>0.99624679999999999</v>
      </c>
      <c r="Q7659">
        <v>4.8301230000000001E-2</v>
      </c>
      <c r="R7659">
        <v>7.1828340000000004E-2</v>
      </c>
      <c r="S7659">
        <v>3.004807</v>
      </c>
      <c r="T7659">
        <v>-0.29572520000000002</v>
      </c>
      <c r="U7659">
        <v>0.28552250000000001</v>
      </c>
      <c r="V7659">
        <v>-9.6882559999999993E-3</v>
      </c>
      <c r="W7659">
        <v>5.7411860000000002E-2</v>
      </c>
      <c r="X7659">
        <v>0.99830359999999996</v>
      </c>
      <c r="Y7659">
        <v>-3.2704450000000003E-2</v>
      </c>
      <c r="Z7659">
        <v>-4.4767979999999997E-3</v>
      </c>
      <c r="AA7659">
        <v>0.99945499999999998</v>
      </c>
      <c r="AB7659">
        <v>27</v>
      </c>
      <c r="AC7659">
        <v>0.65790000000001203</v>
      </c>
      <c r="AD7659">
        <v>-7.7841999999999897E-2</v>
      </c>
      <c r="AE7659">
        <v>6.7059999999997899E-2</v>
      </c>
      <c r="AF7659">
        <v>-2.5700602313949099E-2</v>
      </c>
      <c r="AG7659">
        <v>-7.7841999999999897E-2</v>
      </c>
      <c r="AH7659">
        <v>0.65176488891846496</v>
      </c>
      <c r="AI7659">
        <v>96.805486040457296</v>
      </c>
      <c r="AJ7659">
        <v>92.258135656707395</v>
      </c>
      <c r="AK7659">
        <v>0.65689981606801995</v>
      </c>
      <c r="AL7659">
        <v>86.708733068871496</v>
      </c>
      <c r="AM7659">
        <v>90.556021989719994</v>
      </c>
      <c r="AN7659">
        <v>1.00000003087297</v>
      </c>
    </row>
    <row r="7660" spans="1:40" x14ac:dyDescent="0.25">
      <c r="A7660" t="str">
        <f>"20190312160518603"</f>
        <v>20190312160518603</v>
      </c>
      <c r="B7660" t="str">
        <f>"1552377918592211"</f>
        <v>1552377918592211</v>
      </c>
      <c r="C7660" t="s">
        <v>40</v>
      </c>
      <c r="D7660">
        <v>5.3435370000000004</v>
      </c>
      <c r="E7660">
        <v>0.49127700000000002</v>
      </c>
      <c r="F7660" t="s">
        <v>49</v>
      </c>
      <c r="G7660">
        <v>-227.7106</v>
      </c>
      <c r="H7660">
        <v>1.0225770000000001</v>
      </c>
      <c r="I7660">
        <v>-63.89049</v>
      </c>
      <c r="J7660">
        <v>-228.47120000000001</v>
      </c>
      <c r="K7660">
        <v>1.1089739999999999</v>
      </c>
      <c r="L7660">
        <v>-63.965879999999999</v>
      </c>
      <c r="M7660">
        <v>0.99805750000000004</v>
      </c>
      <c r="N7660">
        <v>0</v>
      </c>
      <c r="O7660">
        <v>6.1627679999999997E-2</v>
      </c>
      <c r="P7660">
        <v>0.99626199999999998</v>
      </c>
      <c r="Q7660">
        <v>4.845725E-2</v>
      </c>
      <c r="R7660">
        <v>7.1511920000000007E-2</v>
      </c>
      <c r="S7660">
        <v>3.0052639999999999</v>
      </c>
      <c r="T7660">
        <v>-0.29168379999999999</v>
      </c>
      <c r="U7660">
        <v>0.2801208</v>
      </c>
      <c r="V7660">
        <v>-9.8700039999999999E-3</v>
      </c>
      <c r="W7660">
        <v>5.7582290000000001E-2</v>
      </c>
      <c r="X7660">
        <v>0.99829199999999996</v>
      </c>
      <c r="Y7660">
        <v>-3.1407419999999998E-2</v>
      </c>
      <c r="Z7660">
        <v>-4.4304309999999899E-3</v>
      </c>
      <c r="AA7660">
        <v>0.99949679999999996</v>
      </c>
      <c r="AB7660">
        <v>27</v>
      </c>
      <c r="AC7660">
        <v>0.76060000000001005</v>
      </c>
      <c r="AD7660">
        <v>-8.6396999999999793E-2</v>
      </c>
      <c r="AE7660">
        <v>7.53900000000058E-2</v>
      </c>
      <c r="AF7660">
        <v>-2.8012794961766001E-2</v>
      </c>
      <c r="AG7660">
        <v>-8.6396999999999793E-2</v>
      </c>
      <c r="AH7660">
        <v>0.75416426613929699</v>
      </c>
      <c r="AI7660">
        <v>96.530844930991293</v>
      </c>
      <c r="AJ7660">
        <v>92.127225414988601</v>
      </c>
      <c r="AK7660">
        <v>0.75961365088576105</v>
      </c>
      <c r="AL7660">
        <v>86.698951956141798</v>
      </c>
      <c r="AM7660">
        <v>90.566458659145795</v>
      </c>
      <c r="AN7660">
        <v>1.0000000271823</v>
      </c>
    </row>
    <row r="7661" spans="1:40" x14ac:dyDescent="0.25">
      <c r="A7661" t="str">
        <f>"20190312160518615"</f>
        <v>20190312160518615</v>
      </c>
      <c r="B7661" t="str">
        <f>"1552377918602947"</f>
        <v>1552377918602947</v>
      </c>
      <c r="C7661" t="s">
        <v>40</v>
      </c>
      <c r="D7661">
        <v>5.3302740000000002</v>
      </c>
      <c r="E7661">
        <v>0.49152699999999999</v>
      </c>
      <c r="F7661" t="s">
        <v>122</v>
      </c>
      <c r="G7661">
        <v>-216.8998</v>
      </c>
      <c r="H7661" s="1">
        <v>-2.5983449999999999E-6</v>
      </c>
      <c r="I7661">
        <v>-62.899279999999997</v>
      </c>
      <c r="J7661">
        <v>-228.3364</v>
      </c>
      <c r="K7661">
        <v>1.1089899999999999</v>
      </c>
      <c r="L7661">
        <v>-63.958100000000002</v>
      </c>
      <c r="M7661">
        <v>0.99808850000000005</v>
      </c>
      <c r="N7661">
        <v>0</v>
      </c>
      <c r="O7661">
        <v>6.1122719999999998E-2</v>
      </c>
      <c r="P7661">
        <v>0.99625909999999995</v>
      </c>
      <c r="Q7661">
        <v>4.85586E-2</v>
      </c>
      <c r="R7661">
        <v>7.1482859999999995E-2</v>
      </c>
      <c r="S7661">
        <v>3.0053860000000001</v>
      </c>
      <c r="T7661">
        <v>-0.28802709999999998</v>
      </c>
      <c r="U7661">
        <v>0.27700809999999998</v>
      </c>
      <c r="V7661">
        <v>-1.0348329999999999E-2</v>
      </c>
      <c r="W7661">
        <v>5.770082E-2</v>
      </c>
      <c r="X7661">
        <v>0.99828030000000001</v>
      </c>
      <c r="Y7661">
        <v>-3.0879569999999999E-2</v>
      </c>
      <c r="Z7661">
        <v>-4.3523559999999999E-3</v>
      </c>
      <c r="AA7661">
        <v>0.9995136</v>
      </c>
      <c r="AB7661">
        <v>27</v>
      </c>
      <c r="AC7661">
        <v>11.4366</v>
      </c>
      <c r="AD7661">
        <v>-1.108992598345</v>
      </c>
      <c r="AE7661">
        <v>1.0588199999999901</v>
      </c>
      <c r="AF7661">
        <v>-0.35447014464780302</v>
      </c>
      <c r="AG7661">
        <v>-1.108992598345</v>
      </c>
      <c r="AH7661">
        <v>11.373896280857</v>
      </c>
      <c r="AI7661">
        <v>95.566239731706403</v>
      </c>
      <c r="AJ7661">
        <v>91.785058627645498</v>
      </c>
      <c r="AK7661">
        <v>11.433329798196301</v>
      </c>
      <c r="AL7661">
        <v>86.692149336767201</v>
      </c>
      <c r="AM7661">
        <v>90.593915754615495</v>
      </c>
      <c r="AN7661">
        <v>1.0000000149652699</v>
      </c>
    </row>
    <row r="7662" spans="1:40" x14ac:dyDescent="0.25">
      <c r="A7662" t="str">
        <f>"20190312160518627"</f>
        <v>20190312160518627</v>
      </c>
      <c r="B7662" t="str">
        <f>"1552377918622468"</f>
        <v>1552377918622468</v>
      </c>
      <c r="C7662" t="s">
        <v>40</v>
      </c>
      <c r="D7662">
        <v>5.3513849999999996</v>
      </c>
      <c r="E7662">
        <v>0.4907589</v>
      </c>
      <c r="F7662" t="s">
        <v>49</v>
      </c>
      <c r="G7662">
        <v>-227.46960000000001</v>
      </c>
      <c r="H7662">
        <v>1.0262420000000001</v>
      </c>
      <c r="I7662">
        <v>-63.878990000000002</v>
      </c>
      <c r="J7662">
        <v>-228.19</v>
      </c>
      <c r="K7662">
        <v>1.109005</v>
      </c>
      <c r="L7662">
        <v>-63.949680000000001</v>
      </c>
      <c r="M7662">
        <v>0.99812140000000005</v>
      </c>
      <c r="N7662">
        <v>0</v>
      </c>
      <c r="O7662">
        <v>6.0581410000000002E-2</v>
      </c>
      <c r="P7662">
        <v>0.99629520000000005</v>
      </c>
      <c r="Q7662">
        <v>4.8789310000000002E-2</v>
      </c>
      <c r="R7662">
        <v>7.0821609999999993E-2</v>
      </c>
      <c r="S7662">
        <v>3.0055239999999999</v>
      </c>
      <c r="T7662">
        <v>-0.2868328</v>
      </c>
      <c r="U7662">
        <v>0.27493289999999998</v>
      </c>
      <c r="V7662">
        <v>-1.022966E-2</v>
      </c>
      <c r="W7662">
        <v>5.7949790000000001E-2</v>
      </c>
      <c r="X7662">
        <v>0.99826709999999996</v>
      </c>
      <c r="Y7662">
        <v>-3.0730219999999999E-2</v>
      </c>
      <c r="Z7662">
        <v>-4.2901609999999998E-3</v>
      </c>
      <c r="AA7662">
        <v>0.99951849999999998</v>
      </c>
      <c r="AB7662">
        <v>27</v>
      </c>
      <c r="AC7662">
        <v>0.72039999999998305</v>
      </c>
      <c r="AD7662">
        <v>-8.2762999999999906E-2</v>
      </c>
      <c r="AE7662">
        <v>7.0690000000006095E-2</v>
      </c>
      <c r="AF7662">
        <v>-2.6568162543902801E-2</v>
      </c>
      <c r="AG7662">
        <v>-8.2762999999999906E-2</v>
      </c>
      <c r="AH7662">
        <v>0.71402518520116998</v>
      </c>
      <c r="AI7662">
        <v>96.607144896798403</v>
      </c>
      <c r="AJ7662">
        <v>92.130935543218897</v>
      </c>
      <c r="AK7662">
        <v>0.71929656368672001</v>
      </c>
      <c r="AL7662">
        <v>86.677860492653494</v>
      </c>
      <c r="AM7662">
        <v>90.587113237734101</v>
      </c>
      <c r="AN7662">
        <v>1.00000001352358</v>
      </c>
    </row>
    <row r="7663" spans="1:40" x14ac:dyDescent="0.25">
      <c r="A7663" t="str">
        <f>"20190312160518639"</f>
        <v>20190312160518639</v>
      </c>
      <c r="B7663" t="str">
        <f>"1552377918632227"</f>
        <v>1552377918632227</v>
      </c>
      <c r="C7663" t="s">
        <v>40</v>
      </c>
      <c r="D7663">
        <v>5.5816689999999998</v>
      </c>
      <c r="E7663">
        <v>0.4903228</v>
      </c>
      <c r="F7663" t="s">
        <v>49</v>
      </c>
      <c r="G7663">
        <v>-227.23689999999999</v>
      </c>
      <c r="H7663">
        <v>1.0171509999999999</v>
      </c>
      <c r="I7663">
        <v>-63.8613199999999</v>
      </c>
      <c r="J7663">
        <v>-228.0488</v>
      </c>
      <c r="K7663">
        <v>1.109024</v>
      </c>
      <c r="L7663">
        <v>-63.941650000000003</v>
      </c>
      <c r="M7663">
        <v>0.99815120000000002</v>
      </c>
      <c r="N7663">
        <v>0</v>
      </c>
      <c r="O7663">
        <v>6.0084730000000003E-2</v>
      </c>
      <c r="P7663">
        <v>0.99628349999999999</v>
      </c>
      <c r="Q7663">
        <v>4.8997829999999999E-2</v>
      </c>
      <c r="R7663">
        <v>7.0843550000000005E-2</v>
      </c>
      <c r="S7663">
        <v>3.005493</v>
      </c>
      <c r="T7663">
        <v>-0.28962759999999999</v>
      </c>
      <c r="U7663">
        <v>0.27908329999999998</v>
      </c>
      <c r="V7663">
        <v>-1.075074E-2</v>
      </c>
      <c r="W7663">
        <v>5.8178769999999998E-2</v>
      </c>
      <c r="X7663">
        <v>0.99824829999999998</v>
      </c>
      <c r="Y7663">
        <v>-3.2588899999999997E-2</v>
      </c>
      <c r="Z7663">
        <v>-4.1948050000000002E-3</v>
      </c>
      <c r="AA7663">
        <v>0.99946000000000002</v>
      </c>
      <c r="AB7663">
        <v>27</v>
      </c>
      <c r="AC7663">
        <v>0.81190000000000795</v>
      </c>
      <c r="AD7663">
        <v>-9.1873000000000093E-2</v>
      </c>
      <c r="AE7663">
        <v>8.0330000000010601E-2</v>
      </c>
      <c r="AF7663">
        <v>-3.10068272342016E-2</v>
      </c>
      <c r="AG7663">
        <v>-9.1873000000000093E-2</v>
      </c>
      <c r="AH7663">
        <v>0.80505127332680904</v>
      </c>
      <c r="AI7663">
        <v>96.505685625170003</v>
      </c>
      <c r="AJ7663">
        <v>92.205676467850395</v>
      </c>
      <c r="AK7663">
        <v>0.81086967149428402</v>
      </c>
      <c r="AL7663">
        <v>86.664718714836994</v>
      </c>
      <c r="AM7663">
        <v>90.617029065733107</v>
      </c>
      <c r="AN7663">
        <v>1.00000000807107</v>
      </c>
    </row>
    <row r="7664" spans="1:40" x14ac:dyDescent="0.25">
      <c r="A7664" t="str">
        <f>"20190312160518649"</f>
        <v>20190312160518649</v>
      </c>
      <c r="B7664" t="str">
        <f>"1552377918642963"</f>
        <v>1552377918642963</v>
      </c>
      <c r="C7664" t="s">
        <v>40</v>
      </c>
      <c r="D7664">
        <v>5.3505830000000003</v>
      </c>
      <c r="E7664">
        <v>0.49035630000000002</v>
      </c>
      <c r="F7664" t="s">
        <v>49</v>
      </c>
      <c r="G7664">
        <v>-227.22800000000001</v>
      </c>
      <c r="H7664">
        <v>1.029261</v>
      </c>
      <c r="I7664">
        <v>-63.86459</v>
      </c>
      <c r="J7664">
        <v>-227.9256</v>
      </c>
      <c r="K7664">
        <v>1.1090450000000001</v>
      </c>
      <c r="L7664">
        <v>-63.934660000000001</v>
      </c>
      <c r="M7664">
        <v>0.99817659999999997</v>
      </c>
      <c r="N7664">
        <v>0</v>
      </c>
      <c r="O7664">
        <v>5.9656590000000002E-2</v>
      </c>
      <c r="P7664">
        <v>0.99628910000000004</v>
      </c>
      <c r="Q7664">
        <v>4.885142E-2</v>
      </c>
      <c r="R7664">
        <v>7.0865230000000001E-2</v>
      </c>
      <c r="S7664">
        <v>3.0054470000000002</v>
      </c>
      <c r="T7664">
        <v>-0.2920432</v>
      </c>
      <c r="U7664">
        <v>0.28271479999999999</v>
      </c>
      <c r="V7664">
        <v>-1.1203029999999999E-2</v>
      </c>
      <c r="W7664">
        <v>5.8049759999999999E-2</v>
      </c>
      <c r="X7664">
        <v>0.99825079999999999</v>
      </c>
      <c r="Y7664">
        <v>-3.4208719999999998E-2</v>
      </c>
      <c r="Z7664">
        <v>-4.1097599999999996E-3</v>
      </c>
      <c r="AA7664">
        <v>0.99940629999999997</v>
      </c>
      <c r="AB7664">
        <v>27</v>
      </c>
      <c r="AC7664">
        <v>0.69760000000002198</v>
      </c>
      <c r="AD7664">
        <v>-7.9783999999999994E-2</v>
      </c>
      <c r="AE7664">
        <v>7.0070000000001104E-2</v>
      </c>
      <c r="AF7664">
        <v>-2.7964859019726201E-2</v>
      </c>
      <c r="AG7664">
        <v>-7.9783999999999994E-2</v>
      </c>
      <c r="AH7664">
        <v>0.69158199044487201</v>
      </c>
      <c r="AI7664">
        <v>96.575480013280796</v>
      </c>
      <c r="AJ7664">
        <v>92.315554767972998</v>
      </c>
      <c r="AK7664">
        <v>0.69673034202888295</v>
      </c>
      <c r="AL7664">
        <v>86.672122833781899</v>
      </c>
      <c r="AM7664">
        <v>90.6429840984555</v>
      </c>
      <c r="AN7664">
        <v>0.99999997110893801</v>
      </c>
    </row>
    <row r="7665" spans="1:40" x14ac:dyDescent="0.25">
      <c r="A7665" t="str">
        <f>"20190312160518660"</f>
        <v>20190312160518660</v>
      </c>
      <c r="B7665" t="str">
        <f>"1552377918652723"</f>
        <v>1552377918652723</v>
      </c>
      <c r="C7665" t="s">
        <v>40</v>
      </c>
      <c r="D7665">
        <v>5.3936799999999998</v>
      </c>
      <c r="E7665">
        <v>0.4903826</v>
      </c>
      <c r="F7665" t="s">
        <v>49</v>
      </c>
      <c r="G7665">
        <v>-226.99520000000001</v>
      </c>
      <c r="H7665">
        <v>1.020057</v>
      </c>
      <c r="I7665">
        <v>-63.84751</v>
      </c>
      <c r="J7665">
        <v>-227.7912</v>
      </c>
      <c r="K7665">
        <v>1.109065</v>
      </c>
      <c r="L7665">
        <v>-63.927120000000002</v>
      </c>
      <c r="M7665">
        <v>0.99820319999999996</v>
      </c>
      <c r="N7665">
        <v>0</v>
      </c>
      <c r="O7665">
        <v>5.9209240000000003E-2</v>
      </c>
      <c r="P7665">
        <v>0.99625459999999999</v>
      </c>
      <c r="Q7665">
        <v>4.9429639999999997E-2</v>
      </c>
      <c r="R7665">
        <v>7.0948490000000003E-2</v>
      </c>
      <c r="S7665">
        <v>3.005188</v>
      </c>
      <c r="T7665">
        <v>-0.2873638</v>
      </c>
      <c r="U7665">
        <v>0.2823792</v>
      </c>
      <c r="V7665">
        <v>-1.173717E-2</v>
      </c>
      <c r="W7665">
        <v>5.8646690000000001E-2</v>
      </c>
      <c r="X7665">
        <v>0.99820980000000004</v>
      </c>
      <c r="Y7665">
        <v>-3.4546729999999998E-2</v>
      </c>
      <c r="Z7665">
        <v>-3.9860210000000002E-3</v>
      </c>
      <c r="AA7665">
        <v>0.99939509999999998</v>
      </c>
      <c r="AB7665">
        <v>27</v>
      </c>
      <c r="AC7665">
        <v>0.79599999999999205</v>
      </c>
      <c r="AD7665">
        <v>-8.9007999999999907E-2</v>
      </c>
      <c r="AE7665">
        <v>7.9609999999995296E-2</v>
      </c>
      <c r="AF7665">
        <v>-3.1942334286773601E-2</v>
      </c>
      <c r="AG7665">
        <v>-8.9007999999999907E-2</v>
      </c>
      <c r="AH7665">
        <v>0.78954293102384498</v>
      </c>
      <c r="AI7665">
        <v>96.426788861665699</v>
      </c>
      <c r="AJ7665">
        <v>92.3167371221259</v>
      </c>
      <c r="AK7665">
        <v>0.79518600133139405</v>
      </c>
      <c r="AL7665">
        <v>86.637862991266502</v>
      </c>
      <c r="AM7665">
        <v>90.673665310758807</v>
      </c>
      <c r="AN7665">
        <v>1.0000000001117999</v>
      </c>
    </row>
    <row r="7666" spans="1:40" x14ac:dyDescent="0.25">
      <c r="A7666" t="str">
        <f>"20190312160518672"</f>
        <v>20190312160518672</v>
      </c>
      <c r="B7666" t="str">
        <f>"1552377918662483"</f>
        <v>1552377918662483</v>
      </c>
      <c r="C7666" t="s">
        <v>40</v>
      </c>
      <c r="D7666">
        <v>5.47525</v>
      </c>
      <c r="E7666">
        <v>0.4902222</v>
      </c>
      <c r="F7666" t="s">
        <v>122</v>
      </c>
      <c r="G7666">
        <v>-216.00370000000001</v>
      </c>
      <c r="H7666" s="1">
        <v>-2.1926310000000002E-6</v>
      </c>
      <c r="I7666">
        <v>-62.819220000000001</v>
      </c>
      <c r="J7666">
        <v>-227.65719999999999</v>
      </c>
      <c r="K7666">
        <v>1.1090880000000001</v>
      </c>
      <c r="L7666">
        <v>-63.919649999999997</v>
      </c>
      <c r="M7666">
        <v>0.99822849999999996</v>
      </c>
      <c r="N7666">
        <v>0</v>
      </c>
      <c r="O7666">
        <v>5.877537E-2</v>
      </c>
      <c r="P7666">
        <v>0.99623629999999996</v>
      </c>
      <c r="Q7666">
        <v>4.9522030000000002E-2</v>
      </c>
      <c r="R7666">
        <v>7.1140060000000005E-2</v>
      </c>
      <c r="S7666">
        <v>3.0051730000000001</v>
      </c>
      <c r="T7666">
        <v>-0.28275129999999998</v>
      </c>
      <c r="U7666">
        <v>0.28244019999999997</v>
      </c>
      <c r="V7666">
        <v>-1.2366810000000001E-2</v>
      </c>
      <c r="W7666">
        <v>5.8757120000000003E-2</v>
      </c>
      <c r="X7666">
        <v>0.99819570000000002</v>
      </c>
      <c r="Y7666">
        <v>-3.4994320000000002E-2</v>
      </c>
      <c r="Z7666">
        <v>-3.8608380000000001E-3</v>
      </c>
      <c r="AA7666">
        <v>0.99938009999999999</v>
      </c>
      <c r="AB7666">
        <v>27</v>
      </c>
      <c r="AC7666">
        <v>11.6534999999999</v>
      </c>
      <c r="AD7666">
        <v>-1.1090901926309999</v>
      </c>
      <c r="AE7666">
        <v>1.10043</v>
      </c>
      <c r="AF7666">
        <v>-0.40987967530924901</v>
      </c>
      <c r="AG7666">
        <v>-1.1090901926309999</v>
      </c>
      <c r="AH7666">
        <v>11.593945952022199</v>
      </c>
      <c r="AI7666">
        <v>95.460961469533601</v>
      </c>
      <c r="AJ7666">
        <v>92.024729037156007</v>
      </c>
      <c r="AK7666">
        <v>11.6540836251519</v>
      </c>
      <c r="AL7666">
        <v>86.631524875841905</v>
      </c>
      <c r="AM7666">
        <v>90.709810480503407</v>
      </c>
      <c r="AN7666">
        <v>0.99999999631937997</v>
      </c>
    </row>
    <row r="7667" spans="1:40" x14ac:dyDescent="0.25">
      <c r="A7667" t="str">
        <f>"20190312160518682"</f>
        <v>20190312160518682</v>
      </c>
      <c r="B7667" t="str">
        <f>"1552377918672244"</f>
        <v>1552377918672244</v>
      </c>
      <c r="C7667" t="s">
        <v>40</v>
      </c>
      <c r="D7667">
        <v>5.3763639999999997</v>
      </c>
      <c r="E7667">
        <v>0.49032799999999999</v>
      </c>
      <c r="F7667" t="s">
        <v>49</v>
      </c>
      <c r="G7667">
        <v>-226.7526</v>
      </c>
      <c r="H7667">
        <v>1.0237590000000001</v>
      </c>
      <c r="I7667">
        <v>-63.834049999999998</v>
      </c>
      <c r="J7667">
        <v>-227.5326</v>
      </c>
      <c r="K7667">
        <v>1.109111</v>
      </c>
      <c r="L7667">
        <v>-63.912689999999998</v>
      </c>
      <c r="M7667">
        <v>0.99825129999999995</v>
      </c>
      <c r="N7667">
        <v>0</v>
      </c>
      <c r="O7667">
        <v>5.8386750000000001E-2</v>
      </c>
      <c r="P7667">
        <v>0.99622060000000001</v>
      </c>
      <c r="Q7667">
        <v>4.9664119999999999E-2</v>
      </c>
      <c r="R7667">
        <v>7.1261320000000003E-2</v>
      </c>
      <c r="S7667">
        <v>3.005112</v>
      </c>
      <c r="T7667">
        <v>-0.28347709999999998</v>
      </c>
      <c r="U7667">
        <v>0.28421020000000002</v>
      </c>
      <c r="V7667">
        <v>-1.2880269999999999E-2</v>
      </c>
      <c r="W7667">
        <v>5.8915639999999998E-2</v>
      </c>
      <c r="X7667">
        <v>0.99817990000000001</v>
      </c>
      <c r="Y7667">
        <v>-3.5963269999999999E-2</v>
      </c>
      <c r="Z7667">
        <v>-3.7887530000000002E-3</v>
      </c>
      <c r="AA7667">
        <v>0.99934599999999996</v>
      </c>
      <c r="AB7667">
        <v>27</v>
      </c>
      <c r="AC7667">
        <v>0.78000000000000103</v>
      </c>
      <c r="AD7667">
        <v>-8.5351999999999803E-2</v>
      </c>
      <c r="AE7667">
        <v>7.8640000000007093E-2</v>
      </c>
      <c r="AF7667">
        <v>-3.2576083536864801E-2</v>
      </c>
      <c r="AG7667">
        <v>-8.5351999999999803E-2</v>
      </c>
      <c r="AH7667">
        <v>0.77408535877857898</v>
      </c>
      <c r="AI7667">
        <v>96.286595753634202</v>
      </c>
      <c r="AJ7667">
        <v>92.409774843932198</v>
      </c>
      <c r="AK7667">
        <v>0.77945770109606505</v>
      </c>
      <c r="AL7667">
        <v>86.622426712629306</v>
      </c>
      <c r="AM7667">
        <v>90.739289735451607</v>
      </c>
      <c r="AN7667">
        <v>1.00000003337794</v>
      </c>
    </row>
    <row r="7668" spans="1:40" x14ac:dyDescent="0.25">
      <c r="A7668" t="str">
        <f>"20190312160518693"</f>
        <v>20190312160518693</v>
      </c>
      <c r="B7668" t="str">
        <f>"1552377918682979"</f>
        <v>1552377918682979</v>
      </c>
      <c r="C7668" t="s">
        <v>40</v>
      </c>
      <c r="D7668">
        <v>5.5621229999999997</v>
      </c>
      <c r="E7668">
        <v>0.48997940000000001</v>
      </c>
      <c r="F7668" t="s">
        <v>122</v>
      </c>
      <c r="G7668">
        <v>-215.73580000000001</v>
      </c>
      <c r="H7668" s="1">
        <v>-2.0722050000000002E-6</v>
      </c>
      <c r="I7668">
        <v>-62.798520000000003</v>
      </c>
      <c r="J7668">
        <v>-227.3972</v>
      </c>
      <c r="K7668">
        <v>1.1091489999999999</v>
      </c>
      <c r="L7668">
        <v>-63.905180000000001</v>
      </c>
      <c r="M7668">
        <v>0.99827469999999996</v>
      </c>
      <c r="N7668">
        <v>0</v>
      </c>
      <c r="O7668">
        <v>5.7982529999999997E-2</v>
      </c>
      <c r="P7668">
        <v>0.99624009999999996</v>
      </c>
      <c r="Q7668">
        <v>4.9066680000000001E-2</v>
      </c>
      <c r="R7668">
        <v>7.1403649999999999E-2</v>
      </c>
      <c r="S7668">
        <v>3.0051570000000001</v>
      </c>
      <c r="T7668">
        <v>-0.28254010000000002</v>
      </c>
      <c r="U7668">
        <v>0.2838135</v>
      </c>
      <c r="V7668">
        <v>-1.342952E-2</v>
      </c>
      <c r="W7668">
        <v>5.8336810000000003E-2</v>
      </c>
      <c r="X7668">
        <v>0.99820660000000005</v>
      </c>
      <c r="Y7668">
        <v>-3.6232170000000001E-2</v>
      </c>
      <c r="Z7668">
        <v>-3.7259340000000002E-3</v>
      </c>
      <c r="AA7668">
        <v>0.99933649999999996</v>
      </c>
      <c r="AB7668">
        <v>27</v>
      </c>
      <c r="AC7668">
        <v>11.661399999999899</v>
      </c>
      <c r="AD7668">
        <v>-1.109151072205</v>
      </c>
      <c r="AE7668">
        <v>1.10666</v>
      </c>
      <c r="AF7668">
        <v>-0.42480288597381799</v>
      </c>
      <c r="AG7668">
        <v>-1.109151072205</v>
      </c>
      <c r="AH7668">
        <v>11.601928928100101</v>
      </c>
      <c r="AI7668">
        <v>95.457278363008996</v>
      </c>
      <c r="AJ7668">
        <v>92.096939614745807</v>
      </c>
      <c r="AK7668">
        <v>11.662565260078599</v>
      </c>
      <c r="AL7668">
        <v>86.655648176544602</v>
      </c>
      <c r="AM7668">
        <v>90.770790734092301</v>
      </c>
      <c r="AN7668">
        <v>0.99999997584598299</v>
      </c>
    </row>
    <row r="7669" spans="1:40" x14ac:dyDescent="0.25">
      <c r="A7669" t="str">
        <f>"20190312160518705"</f>
        <v>20190312160518705</v>
      </c>
      <c r="B7669" t="str">
        <f>"1552377918692739"</f>
        <v>1552377918692739</v>
      </c>
      <c r="C7669" t="s">
        <v>40</v>
      </c>
      <c r="D7669">
        <v>5.5465249999999999</v>
      </c>
      <c r="E7669">
        <v>0.48978450000000001</v>
      </c>
      <c r="F7669" t="s">
        <v>49</v>
      </c>
      <c r="G7669">
        <v>-226.512</v>
      </c>
      <c r="H7669">
        <v>1.024537</v>
      </c>
      <c r="I7669">
        <v>-63.820689999999999</v>
      </c>
      <c r="J7669">
        <v>-227.25729999999999</v>
      </c>
      <c r="K7669">
        <v>1.1091690000000001</v>
      </c>
      <c r="L7669">
        <v>-63.897519999999901</v>
      </c>
      <c r="M7669">
        <v>0.99829789999999996</v>
      </c>
      <c r="N7669">
        <v>0</v>
      </c>
      <c r="O7669">
        <v>5.7578860000000003E-2</v>
      </c>
      <c r="P7669">
        <v>0.99622540000000004</v>
      </c>
      <c r="Q7669">
        <v>4.926138E-2</v>
      </c>
      <c r="R7669">
        <v>7.1475919999999998E-2</v>
      </c>
      <c r="S7669">
        <v>3.0048680000000001</v>
      </c>
      <c r="T7669">
        <v>-0.28720000000000001</v>
      </c>
      <c r="U7669">
        <v>0.28720089999999998</v>
      </c>
      <c r="V7669">
        <v>-1.390913E-2</v>
      </c>
      <c r="W7669">
        <v>5.8550539999999998E-2</v>
      </c>
      <c r="X7669">
        <v>0.99818750000000001</v>
      </c>
      <c r="Y7669">
        <v>-3.7756190000000002E-2</v>
      </c>
      <c r="Z7669">
        <v>-3.6764179999999999E-3</v>
      </c>
      <c r="AA7669">
        <v>0.99928019999999995</v>
      </c>
      <c r="AB7669">
        <v>27</v>
      </c>
      <c r="AC7669">
        <v>0.74529999999998597</v>
      </c>
      <c r="AD7669">
        <v>-8.4631999999999999E-2</v>
      </c>
      <c r="AE7669">
        <v>7.6829999999993903E-2</v>
      </c>
      <c r="AF7669">
        <v>-3.3361496903854197E-2</v>
      </c>
      <c r="AG7669">
        <v>-8.4631999999999999E-2</v>
      </c>
      <c r="AH7669">
        <v>0.73905775783926397</v>
      </c>
      <c r="AI7669">
        <v>96.526089169916503</v>
      </c>
      <c r="AJ7669">
        <v>92.5846102245917</v>
      </c>
      <c r="AK7669">
        <v>0.74463543719196301</v>
      </c>
      <c r="AL7669">
        <v>86.643381319722096</v>
      </c>
      <c r="AM7669">
        <v>90.798329845063705</v>
      </c>
      <c r="AN7669">
        <v>0.99999995739394798</v>
      </c>
    </row>
    <row r="7670" spans="1:40" x14ac:dyDescent="0.25">
      <c r="A7670" t="str">
        <f>"20190312160518716"</f>
        <v>20190312160518716</v>
      </c>
      <c r="B7670" t="str">
        <f>"1552377918702499"</f>
        <v>1552377918702499</v>
      </c>
      <c r="C7670" t="s">
        <v>40</v>
      </c>
      <c r="D7670">
        <v>5.384868</v>
      </c>
      <c r="E7670">
        <v>0.48990339999999999</v>
      </c>
      <c r="F7670" t="s">
        <v>122</v>
      </c>
      <c r="G7670">
        <v>-215.6951</v>
      </c>
      <c r="H7670" s="1">
        <v>-2.051285E-6</v>
      </c>
      <c r="I7670">
        <v>-62.785449999999997</v>
      </c>
      <c r="J7670">
        <v>-227.1249</v>
      </c>
      <c r="K7670">
        <v>1.109194</v>
      </c>
      <c r="L7670">
        <v>-63.89029</v>
      </c>
      <c r="M7670">
        <v>0.99831829999999999</v>
      </c>
      <c r="N7670">
        <v>0</v>
      </c>
      <c r="O7670">
        <v>5.7221899999999999E-2</v>
      </c>
      <c r="P7670">
        <v>0.99621879999999996</v>
      </c>
      <c r="Q7670">
        <v>4.9214800000000003E-2</v>
      </c>
      <c r="R7670">
        <v>7.1597450000000007E-2</v>
      </c>
      <c r="S7670">
        <v>3.004883</v>
      </c>
      <c r="T7670">
        <v>-0.28826220000000002</v>
      </c>
      <c r="U7670">
        <v>0.28900150000000002</v>
      </c>
      <c r="V7670">
        <v>-1.439179E-2</v>
      </c>
      <c r="W7670">
        <v>5.852388E-2</v>
      </c>
      <c r="X7670">
        <v>0.99818220000000002</v>
      </c>
      <c r="Y7670">
        <v>-3.8701050000000001E-2</v>
      </c>
      <c r="Z7670">
        <v>-3.610697E-3</v>
      </c>
      <c r="AA7670">
        <v>0.99924429999999997</v>
      </c>
      <c r="AB7670">
        <v>27</v>
      </c>
      <c r="AC7670">
        <v>11.4298</v>
      </c>
      <c r="AD7670">
        <v>-1.1091960512850001</v>
      </c>
      <c r="AE7670">
        <v>1.10484</v>
      </c>
      <c r="AF7670">
        <v>-0.44481616191761503</v>
      </c>
      <c r="AG7670">
        <v>-1.1091960512850001</v>
      </c>
      <c r="AH7670">
        <v>11.368224171768301</v>
      </c>
      <c r="AI7670">
        <v>95.568467867370998</v>
      </c>
      <c r="AJ7670">
        <v>92.240727651586496</v>
      </c>
      <c r="AK7670">
        <v>11.430866026582001</v>
      </c>
      <c r="AL7670">
        <v>86.644911378150397</v>
      </c>
      <c r="AM7670">
        <v>90.826033258872101</v>
      </c>
      <c r="AN7670">
        <v>0.99999993627324701</v>
      </c>
    </row>
    <row r="7671" spans="1:40" x14ac:dyDescent="0.25">
      <c r="A7671" t="str">
        <f>"20190312160518727"</f>
        <v>20190312160518727</v>
      </c>
      <c r="B7671" t="str">
        <f>"1552377918722996"</f>
        <v>1552377918722996</v>
      </c>
      <c r="C7671" t="s">
        <v>40</v>
      </c>
      <c r="D7671">
        <v>5.4205350000000001</v>
      </c>
      <c r="E7671">
        <v>0.48975740000000001</v>
      </c>
      <c r="F7671" t="s">
        <v>49</v>
      </c>
      <c r="G7671">
        <v>-226.26759999999999</v>
      </c>
      <c r="H7671">
        <v>1.026934</v>
      </c>
      <c r="I7671">
        <v>-63.8080199999999</v>
      </c>
      <c r="J7671">
        <v>-226.9853</v>
      </c>
      <c r="K7671">
        <v>1.109224</v>
      </c>
      <c r="L7671">
        <v>-63.882629999999999</v>
      </c>
      <c r="M7671">
        <v>0.99833890000000003</v>
      </c>
      <c r="N7671">
        <v>0</v>
      </c>
      <c r="O7671">
        <v>5.685345E-2</v>
      </c>
      <c r="P7671">
        <v>0.99624060000000003</v>
      </c>
      <c r="Q7671">
        <v>4.879236E-2</v>
      </c>
      <c r="R7671">
        <v>7.1582380000000001E-2</v>
      </c>
      <c r="S7671">
        <v>3.0049130000000002</v>
      </c>
      <c r="T7671">
        <v>-0.28830660000000002</v>
      </c>
      <c r="U7671">
        <v>0.28851320000000003</v>
      </c>
      <c r="V7671">
        <v>-1.4747690000000001E-2</v>
      </c>
      <c r="W7671">
        <v>5.8121640000000002E-2</v>
      </c>
      <c r="X7671">
        <v>0.99820059999999999</v>
      </c>
      <c r="Y7671">
        <v>-3.8905389999999998E-2</v>
      </c>
      <c r="Z7671">
        <v>-3.5663909999999999E-3</v>
      </c>
      <c r="AA7671">
        <v>0.99923649999999997</v>
      </c>
      <c r="AB7671">
        <v>27</v>
      </c>
      <c r="AC7671">
        <v>0.717700000000007</v>
      </c>
      <c r="AD7671">
        <v>-8.2289999999999905E-2</v>
      </c>
      <c r="AE7671">
        <v>7.4610000000013998E-2</v>
      </c>
      <c r="AF7671">
        <v>-3.3251348400852802E-2</v>
      </c>
      <c r="AG7671">
        <v>-8.2289999999999905E-2</v>
      </c>
      <c r="AH7671">
        <v>0.71152702478357199</v>
      </c>
      <c r="AI7671">
        <v>96.589972104236594</v>
      </c>
      <c r="AJ7671">
        <v>92.675621263560402</v>
      </c>
      <c r="AK7671">
        <v>0.71704114475240299</v>
      </c>
      <c r="AL7671">
        <v>86.667997639568298</v>
      </c>
      <c r="AM7671">
        <v>90.846442009823207</v>
      </c>
      <c r="AN7671">
        <v>1.00000002861849</v>
      </c>
    </row>
    <row r="7672" spans="1:40" x14ac:dyDescent="0.25">
      <c r="A7672" t="str">
        <f>"20190312160518738"</f>
        <v>20190312160518738</v>
      </c>
      <c r="B7672" t="str">
        <f>"1552377918732755"</f>
        <v>1552377918732755</v>
      </c>
      <c r="C7672" t="s">
        <v>40</v>
      </c>
      <c r="D7672">
        <v>5.4045949999999996</v>
      </c>
      <c r="E7672">
        <v>0.489871</v>
      </c>
      <c r="F7672" t="s">
        <v>49</v>
      </c>
      <c r="G7672">
        <v>-226.03280000000001</v>
      </c>
      <c r="H7672">
        <v>1.0213730000000001</v>
      </c>
      <c r="I7672">
        <v>-63.790950000000002</v>
      </c>
      <c r="J7672">
        <v>-226.84819999999999</v>
      </c>
      <c r="K7672">
        <v>1.109248</v>
      </c>
      <c r="L7672">
        <v>-63.87518</v>
      </c>
      <c r="M7672">
        <v>0.99835770000000001</v>
      </c>
      <c r="N7672">
        <v>0</v>
      </c>
      <c r="O7672">
        <v>5.6521109999999999E-2</v>
      </c>
      <c r="P7672">
        <v>0.99623419999999896</v>
      </c>
      <c r="Q7672">
        <v>4.9024440000000002E-2</v>
      </c>
      <c r="R7672">
        <v>7.1511469999999994E-2</v>
      </c>
      <c r="S7672">
        <v>3.0040439999999999</v>
      </c>
      <c r="T7672">
        <v>-0.27698790000000001</v>
      </c>
      <c r="U7672">
        <v>0.28979490000000002</v>
      </c>
      <c r="V7672">
        <v>-1.5012579999999999E-2</v>
      </c>
      <c r="W7672">
        <v>5.8374879999999997E-2</v>
      </c>
      <c r="X7672">
        <v>0.99818180000000001</v>
      </c>
      <c r="Y7672">
        <v>-3.9677120000000003E-2</v>
      </c>
      <c r="Z7672">
        <v>-3.3620199999999999E-3</v>
      </c>
      <c r="AA7672">
        <v>0.99920690000000001</v>
      </c>
      <c r="AB7672">
        <v>27</v>
      </c>
      <c r="AC7672">
        <v>0.81539999999998203</v>
      </c>
      <c r="AD7672">
        <v>-8.7875000000000106E-2</v>
      </c>
      <c r="AE7672">
        <v>8.4230000000005106E-2</v>
      </c>
      <c r="AF7672">
        <v>-3.7574227259524903E-2</v>
      </c>
      <c r="AG7672">
        <v>-8.7875000000000106E-2</v>
      </c>
      <c r="AH7672">
        <v>0.80955431708773495</v>
      </c>
      <c r="AI7672">
        <v>96.188441348246997</v>
      </c>
      <c r="AJ7672">
        <v>92.657389006010007</v>
      </c>
      <c r="AK7672">
        <v>0.81517607330842301</v>
      </c>
      <c r="AL7672">
        <v>86.6534631328324</v>
      </c>
      <c r="AM7672">
        <v>90.861659295644102</v>
      </c>
      <c r="AN7672">
        <v>0.99999995501225403</v>
      </c>
    </row>
    <row r="7673" spans="1:40" x14ac:dyDescent="0.25">
      <c r="A7673" t="str">
        <f>"20190312160518750"</f>
        <v>20190312160518750</v>
      </c>
      <c r="B7673" t="str">
        <f>"1552377918742515"</f>
        <v>1552377918742515</v>
      </c>
      <c r="C7673" t="s">
        <v>40</v>
      </c>
      <c r="D7673">
        <v>5.610849</v>
      </c>
      <c r="E7673">
        <v>0.48977169999999998</v>
      </c>
      <c r="F7673" t="s">
        <v>122</v>
      </c>
      <c r="G7673">
        <v>-214.7132</v>
      </c>
      <c r="H7673" s="1">
        <v>-1.6098419999999999E-6</v>
      </c>
      <c r="I7673">
        <v>-62.7095699999999</v>
      </c>
      <c r="J7673">
        <v>-226.71709999999999</v>
      </c>
      <c r="K7673">
        <v>1.109272</v>
      </c>
      <c r="L7673">
        <v>-63.868130000000001</v>
      </c>
      <c r="M7673">
        <v>0.99837509999999996</v>
      </c>
      <c r="N7673">
        <v>0</v>
      </c>
      <c r="O7673">
        <v>5.6211110000000002E-2</v>
      </c>
      <c r="P7673">
        <v>0.99624179999999996</v>
      </c>
      <c r="Q7673">
        <v>4.8993450000000001E-2</v>
      </c>
      <c r="R7673">
        <v>7.1429190000000004E-2</v>
      </c>
      <c r="S7673">
        <v>3.0041350000000002</v>
      </c>
      <c r="T7673">
        <v>-0.27460559999999901</v>
      </c>
      <c r="U7673">
        <v>0.28854370000000001</v>
      </c>
      <c r="V7673">
        <v>-1.524344E-2</v>
      </c>
      <c r="W7673">
        <v>5.8364890000000003E-2</v>
      </c>
      <c r="X7673">
        <v>0.99817900000000004</v>
      </c>
      <c r="Y7673">
        <v>-3.9570099999999997E-2</v>
      </c>
      <c r="Z7673">
        <v>-3.3099319999999998E-3</v>
      </c>
      <c r="AA7673">
        <v>0.99921130000000002</v>
      </c>
      <c r="AB7673">
        <v>27</v>
      </c>
      <c r="AC7673">
        <v>12.0038999999999</v>
      </c>
      <c r="AD7673">
        <v>-1.109273609842</v>
      </c>
      <c r="AE7673">
        <v>1.15856000000001</v>
      </c>
      <c r="AF7673">
        <v>-0.47790260505145399</v>
      </c>
      <c r="AG7673">
        <v>-1.109273609842</v>
      </c>
      <c r="AH7673">
        <v>11.9489494681726</v>
      </c>
      <c r="AI7673">
        <v>95.299605082128906</v>
      </c>
      <c r="AJ7673">
        <v>92.290344947341296</v>
      </c>
      <c r="AK7673">
        <v>12.0098406415051</v>
      </c>
      <c r="AL7673">
        <v>86.654036878585799</v>
      </c>
      <c r="AM7673">
        <v>90.8749101037331</v>
      </c>
      <c r="AN7673">
        <v>1.00000006944437</v>
      </c>
    </row>
    <row r="7674" spans="1:40" x14ac:dyDescent="0.25">
      <c r="A7674" t="str">
        <f>"20190312160518761"</f>
        <v>20190312160518761</v>
      </c>
      <c r="B7674" t="str">
        <f>"1552377918752276"</f>
        <v>1552377918752276</v>
      </c>
      <c r="C7674" t="s">
        <v>40</v>
      </c>
      <c r="D7674">
        <v>5.4442019999999998</v>
      </c>
      <c r="E7674">
        <v>0.4897261</v>
      </c>
      <c r="F7674" t="s">
        <v>49</v>
      </c>
      <c r="G7674">
        <v>-225.7792</v>
      </c>
      <c r="H7674">
        <v>1.0249469999999901</v>
      </c>
      <c r="I7674">
        <v>-63.777949999999997</v>
      </c>
      <c r="J7674">
        <v>-226.58529999999999</v>
      </c>
      <c r="K7674">
        <v>1.109294</v>
      </c>
      <c r="L7674">
        <v>-63.860990000000001</v>
      </c>
      <c r="M7674">
        <v>0.99839129999999998</v>
      </c>
      <c r="N7674">
        <v>0</v>
      </c>
      <c r="O7674">
        <v>5.5919089999999998E-2</v>
      </c>
      <c r="P7674">
        <v>0.9962664</v>
      </c>
      <c r="Q7674">
        <v>4.8530619999999997E-2</v>
      </c>
      <c r="R7674">
        <v>7.1402480000000004E-2</v>
      </c>
      <c r="S7674">
        <v>3.00386</v>
      </c>
      <c r="T7674">
        <v>-0.27002659999999901</v>
      </c>
      <c r="U7674">
        <v>0.2889099</v>
      </c>
      <c r="V7674">
        <v>-1.551133E-2</v>
      </c>
      <c r="W7674">
        <v>5.7923139999999998E-2</v>
      </c>
      <c r="X7674">
        <v>0.99820050000000005</v>
      </c>
      <c r="Y7674">
        <v>-3.998666E-2</v>
      </c>
      <c r="Z7674">
        <v>-3.2105179999999999E-3</v>
      </c>
      <c r="AA7674">
        <v>0.99919500000000006</v>
      </c>
      <c r="AB7674">
        <v>27</v>
      </c>
      <c r="AC7674">
        <v>0.80609999999998605</v>
      </c>
      <c r="AD7674">
        <v>-8.4347000000000102E-2</v>
      </c>
      <c r="AE7674">
        <v>8.3040000000004E-2</v>
      </c>
      <c r="AF7674">
        <v>-3.7426232477709903E-2</v>
      </c>
      <c r="AG7674">
        <v>-8.4347000000000102E-2</v>
      </c>
      <c r="AH7674">
        <v>0.80080661021354604</v>
      </c>
      <c r="AI7674">
        <v>96.006147214181297</v>
      </c>
      <c r="AJ7674">
        <v>92.675809518258504</v>
      </c>
      <c r="AK7674">
        <v>0.80610567933006505</v>
      </c>
      <c r="AL7674">
        <v>86.679389832506104</v>
      </c>
      <c r="AM7674">
        <v>90.890264250447402</v>
      </c>
      <c r="AN7674">
        <v>0.99999996485303799</v>
      </c>
    </row>
    <row r="7675" spans="1:40" x14ac:dyDescent="0.25">
      <c r="A7675" t="str">
        <f>"20190312160518771"</f>
        <v>20190312160518771</v>
      </c>
      <c r="B7675" t="str">
        <f>"1552377918763010"</f>
        <v>1552377918763010</v>
      </c>
      <c r="C7675" t="s">
        <v>40</v>
      </c>
      <c r="D7675">
        <v>5.436604</v>
      </c>
      <c r="E7675">
        <v>0.48971399999999998</v>
      </c>
      <c r="F7675" t="s">
        <v>122</v>
      </c>
      <c r="G7675">
        <v>-214.11150000000001</v>
      </c>
      <c r="H7675" s="1">
        <v>-1.3384340000000001E-6</v>
      </c>
      <c r="I7675">
        <v>-62.659570000000002</v>
      </c>
      <c r="J7675">
        <v>-226.45519999999999</v>
      </c>
      <c r="K7675">
        <v>1.109321</v>
      </c>
      <c r="L7675">
        <v>-63.854030000000002</v>
      </c>
      <c r="M7675">
        <v>0.99840649999999997</v>
      </c>
      <c r="N7675">
        <v>0</v>
      </c>
      <c r="O7675">
        <v>5.5642860000000002E-2</v>
      </c>
      <c r="P7675">
        <v>0.99630070000000004</v>
      </c>
      <c r="Q7675">
        <v>4.8300559999999999E-2</v>
      </c>
      <c r="R7675">
        <v>7.1077970000000004E-2</v>
      </c>
      <c r="S7675">
        <v>3.0035400000000001</v>
      </c>
      <c r="T7675">
        <v>-0.26710650000000002</v>
      </c>
      <c r="U7675">
        <v>0.28927609999999998</v>
      </c>
      <c r="V7675">
        <v>-1.546487E-2</v>
      </c>
      <c r="W7675">
        <v>5.7713189999999998E-2</v>
      </c>
      <c r="X7675">
        <v>0.99821340000000003</v>
      </c>
      <c r="Y7675">
        <v>-4.0389969999999997E-2</v>
      </c>
      <c r="Z7675">
        <v>-3.1339929999999998E-3</v>
      </c>
      <c r="AA7675">
        <v>0.99917909999999999</v>
      </c>
      <c r="AB7675">
        <v>27</v>
      </c>
      <c r="AC7675">
        <v>12.343699999999901</v>
      </c>
      <c r="AD7675">
        <v>-1.1093223384340001</v>
      </c>
      <c r="AE7675">
        <v>1.1944600000000001</v>
      </c>
      <c r="AF7675">
        <v>-0.50172558463790595</v>
      </c>
      <c r="AG7675">
        <v>-1.1093223384340001</v>
      </c>
      <c r="AH7675">
        <v>12.292679606560601</v>
      </c>
      <c r="AI7675">
        <v>95.152281171412795</v>
      </c>
      <c r="AJ7675">
        <v>92.337229359702903</v>
      </c>
      <c r="AK7675">
        <v>12.3528254469324</v>
      </c>
      <c r="AL7675">
        <v>86.691439299786097</v>
      </c>
      <c r="AM7675">
        <v>90.887586662881503</v>
      </c>
      <c r="AN7675">
        <v>0.99999998322182604</v>
      </c>
    </row>
    <row r="7676" spans="1:40" x14ac:dyDescent="0.25">
      <c r="A7676" t="str">
        <f>"20190312160518782"</f>
        <v>20190312160518782</v>
      </c>
      <c r="B7676" t="str">
        <f>"1552377918772772"</f>
        <v>1552377918772772</v>
      </c>
      <c r="C7676" t="s">
        <v>40</v>
      </c>
      <c r="D7676">
        <v>5.6364999999999998</v>
      </c>
      <c r="E7676">
        <v>0.48969230000000002</v>
      </c>
      <c r="F7676" t="s">
        <v>122</v>
      </c>
      <c r="G7676">
        <v>-213.89670000000001</v>
      </c>
      <c r="H7676" s="1">
        <v>-1.2430899999999999E-6</v>
      </c>
      <c r="I7676">
        <v>-62.647599999999997</v>
      </c>
      <c r="J7676">
        <v>-226.31950000000001</v>
      </c>
      <c r="K7676">
        <v>1.1093440000000001</v>
      </c>
      <c r="L7676">
        <v>-63.8467699999999</v>
      </c>
      <c r="M7676">
        <v>0.99842140000000001</v>
      </c>
      <c r="N7676">
        <v>0</v>
      </c>
      <c r="O7676">
        <v>5.5370750000000003E-2</v>
      </c>
      <c r="P7676">
        <v>0.9963438</v>
      </c>
      <c r="Q7676">
        <v>4.7840090000000002E-2</v>
      </c>
      <c r="R7676">
        <v>7.0784899999999998E-2</v>
      </c>
      <c r="S7676">
        <v>3.0034329999999998</v>
      </c>
      <c r="T7676">
        <v>-0.26530130000000002</v>
      </c>
      <c r="U7676">
        <v>0.28851320000000003</v>
      </c>
      <c r="V7676">
        <v>-1.5445270000000001E-2</v>
      </c>
      <c r="W7676">
        <v>5.7273320000000003E-2</v>
      </c>
      <c r="X7676">
        <v>0.99823899999999999</v>
      </c>
      <c r="Y7676">
        <v>-4.0412259999999998E-2</v>
      </c>
      <c r="Z7676">
        <v>-3.0881950000000002E-3</v>
      </c>
      <c r="AA7676">
        <v>0.99917829999999996</v>
      </c>
      <c r="AB7676">
        <v>27</v>
      </c>
      <c r="AC7676">
        <v>12.422799999999899</v>
      </c>
      <c r="AD7676">
        <v>-1.1093452430899999</v>
      </c>
      <c r="AE7676">
        <v>1.1991699999999901</v>
      </c>
      <c r="AF7676">
        <v>-0.50544646479080302</v>
      </c>
      <c r="AG7676">
        <v>-1.1093452430899999</v>
      </c>
      <c r="AH7676">
        <v>12.372391174267801</v>
      </c>
      <c r="AI7676">
        <v>95.119360828010898</v>
      </c>
      <c r="AJ7676">
        <v>92.3393905039472</v>
      </c>
      <c r="AK7676">
        <v>12.432304145500799</v>
      </c>
      <c r="AL7676">
        <v>86.716683627400101</v>
      </c>
      <c r="AM7676">
        <v>90.886439195450293</v>
      </c>
      <c r="AN7676">
        <v>0.99999994533509595</v>
      </c>
    </row>
    <row r="7677" spans="1:40" x14ac:dyDescent="0.25">
      <c r="A7677" t="str">
        <f>"20190312160518794"</f>
        <v>20190312160518794</v>
      </c>
      <c r="B7677" t="str">
        <f>"1552377918782532"</f>
        <v>1552377918782532</v>
      </c>
      <c r="C7677" t="s">
        <v>40</v>
      </c>
      <c r="D7677">
        <v>5.5460099999999999</v>
      </c>
      <c r="E7677">
        <v>0.48961529999999998</v>
      </c>
      <c r="F7677" t="s">
        <v>122</v>
      </c>
      <c r="G7677">
        <v>-213.63079999999999</v>
      </c>
      <c r="H7677" s="1">
        <v>-1.124448E-6</v>
      </c>
      <c r="I7677">
        <v>-62.630420000000001</v>
      </c>
      <c r="J7677">
        <v>-226.18639999999999</v>
      </c>
      <c r="K7677">
        <v>1.109364</v>
      </c>
      <c r="L7677">
        <v>-63.839689999999997</v>
      </c>
      <c r="M7677">
        <v>0.99843499999999996</v>
      </c>
      <c r="N7677">
        <v>0</v>
      </c>
      <c r="O7677">
        <v>5.5121339999999998E-2</v>
      </c>
      <c r="P7677">
        <v>0.99638139999999997</v>
      </c>
      <c r="Q7677">
        <v>4.759364E-2</v>
      </c>
      <c r="R7677">
        <v>7.0421200000000003E-2</v>
      </c>
      <c r="S7677">
        <v>3.0031590000000001</v>
      </c>
      <c r="T7677">
        <v>-0.26255909999999999</v>
      </c>
      <c r="U7677">
        <v>0.28787230000000003</v>
      </c>
      <c r="V7677">
        <v>-1.533266E-2</v>
      </c>
      <c r="W7677">
        <v>5.7047680000000003E-2</v>
      </c>
      <c r="X7677">
        <v>0.99825370000000002</v>
      </c>
      <c r="Y7677">
        <v>-4.0456989999999998E-2</v>
      </c>
      <c r="Z7677">
        <v>-3.0331020000000002E-3</v>
      </c>
      <c r="AA7677">
        <v>0.99917670000000003</v>
      </c>
      <c r="AB7677">
        <v>27</v>
      </c>
      <c r="AC7677">
        <v>12.555599999999901</v>
      </c>
      <c r="AD7677">
        <v>-1.1093651244480001</v>
      </c>
      <c r="AE7677">
        <v>1.2092700000000101</v>
      </c>
      <c r="AF7677">
        <v>-0.51136354593877098</v>
      </c>
      <c r="AG7677">
        <v>-1.1093651244480001</v>
      </c>
      <c r="AH7677">
        <v>12.5064310405799</v>
      </c>
      <c r="AI7677">
        <v>95.064863138407404</v>
      </c>
      <c r="AJ7677">
        <v>92.3414083190616</v>
      </c>
      <c r="AK7677">
        <v>12.5659460856808</v>
      </c>
      <c r="AL7677">
        <v>86.729633162717704</v>
      </c>
      <c r="AM7677">
        <v>90.879964315034499</v>
      </c>
      <c r="AN7677">
        <v>0.99999998890987396</v>
      </c>
    </row>
    <row r="7678" spans="1:40" x14ac:dyDescent="0.25">
      <c r="A7678" t="str">
        <f>"20190312160518805"</f>
        <v>20190312160518805</v>
      </c>
      <c r="B7678" t="str">
        <f>"1552377918792291"</f>
        <v>1552377918792291</v>
      </c>
      <c r="C7678" t="s">
        <v>40</v>
      </c>
      <c r="D7678">
        <v>5.6332089999999999</v>
      </c>
      <c r="E7678">
        <v>0.48962309999999998</v>
      </c>
      <c r="F7678" t="s">
        <v>122</v>
      </c>
      <c r="G7678">
        <v>-213.3794</v>
      </c>
      <c r="H7678" s="1">
        <v>-1.012136E-6</v>
      </c>
      <c r="I7678">
        <v>-62.613639999999997</v>
      </c>
      <c r="J7678">
        <v>-226.04730000000001</v>
      </c>
      <c r="K7678">
        <v>1.1093919999999999</v>
      </c>
      <c r="L7678">
        <v>-63.832239999999999</v>
      </c>
      <c r="M7678">
        <v>0.99844860000000002</v>
      </c>
      <c r="N7678">
        <v>0</v>
      </c>
      <c r="O7678">
        <v>5.4871580000000003E-2</v>
      </c>
      <c r="P7678">
        <v>0.99638939999999998</v>
      </c>
      <c r="Q7678">
        <v>4.7658989999999998E-2</v>
      </c>
      <c r="R7678">
        <v>7.0263989999999998E-2</v>
      </c>
      <c r="S7678">
        <v>3.0030209999999999</v>
      </c>
      <c r="T7678">
        <v>-0.26012750000000001</v>
      </c>
      <c r="U7678">
        <v>0.2874756</v>
      </c>
      <c r="V7678">
        <v>-1.542874E-2</v>
      </c>
      <c r="W7678">
        <v>5.7135279999999997E-2</v>
      </c>
      <c r="X7678">
        <v>0.9982472</v>
      </c>
      <c r="Y7678">
        <v>-4.0578089999999997E-2</v>
      </c>
      <c r="Z7678">
        <v>-2.9785609999999998E-3</v>
      </c>
      <c r="AA7678">
        <v>0.9991719</v>
      </c>
      <c r="AB7678">
        <v>27</v>
      </c>
      <c r="AC7678">
        <v>12.667899999999999</v>
      </c>
      <c r="AD7678">
        <v>-1.1093930121359901</v>
      </c>
      <c r="AE7678">
        <v>1.2185999999999999</v>
      </c>
      <c r="AF7678">
        <v>-0.517691140978916</v>
      </c>
      <c r="AG7678">
        <v>-1.1093930121359901</v>
      </c>
      <c r="AH7678">
        <v>12.6197837825276</v>
      </c>
      <c r="AI7678">
        <v>95.019701417593495</v>
      </c>
      <c r="AJ7678">
        <v>92.349081127624899</v>
      </c>
      <c r="AK7678">
        <v>12.679025975624899</v>
      </c>
      <c r="AL7678">
        <v>86.724605820989098</v>
      </c>
      <c r="AM7678">
        <v>90.885483379653394</v>
      </c>
      <c r="AN7678">
        <v>0.99999997927325202</v>
      </c>
    </row>
    <row r="7679" spans="1:40" x14ac:dyDescent="0.25">
      <c r="A7679" t="str">
        <f>"20190312160518817"</f>
        <v>20190312160518817</v>
      </c>
      <c r="B7679" t="str">
        <f>"1552377918812787"</f>
        <v>1552377918812787</v>
      </c>
      <c r="C7679" t="s">
        <v>40</v>
      </c>
      <c r="D7679">
        <v>5.8448310000000001</v>
      </c>
      <c r="E7679">
        <v>0.51135799999999998</v>
      </c>
      <c r="F7679" t="s">
        <v>122</v>
      </c>
      <c r="G7679">
        <v>-213.0496</v>
      </c>
      <c r="H7679" s="1">
        <v>-8.6443919999999898E-7</v>
      </c>
      <c r="I7679">
        <v>-62.590269999999997</v>
      </c>
      <c r="J7679">
        <v>-225.9109</v>
      </c>
      <c r="K7679">
        <v>1.109416</v>
      </c>
      <c r="L7679">
        <v>-63.825040000000001</v>
      </c>
      <c r="M7679">
        <v>0.99846029999999997</v>
      </c>
      <c r="N7679">
        <v>0</v>
      </c>
      <c r="O7679">
        <v>5.4652270000000003E-2</v>
      </c>
      <c r="P7679">
        <v>0.99640470000000003</v>
      </c>
      <c r="Q7679">
        <v>4.747469E-2</v>
      </c>
      <c r="R7679">
        <v>7.0170640000000006E-2</v>
      </c>
      <c r="S7679">
        <v>3.0029140000000001</v>
      </c>
      <c r="T7679">
        <v>-0.25630839999999999</v>
      </c>
      <c r="U7679">
        <v>0.28692630000000002</v>
      </c>
      <c r="V7679">
        <v>-1.555692E-2</v>
      </c>
      <c r="W7679">
        <v>5.6975320000000003E-2</v>
      </c>
      <c r="X7679">
        <v>0.99825439999999999</v>
      </c>
      <c r="Y7679">
        <v>-4.061733E-2</v>
      </c>
      <c r="Z7679">
        <v>-2.9148590000000001E-3</v>
      </c>
      <c r="AA7679">
        <v>0.99917049999999996</v>
      </c>
      <c r="AB7679">
        <v>27</v>
      </c>
      <c r="AC7679">
        <v>12.8613</v>
      </c>
      <c r="AD7679">
        <v>-1.1094168644392</v>
      </c>
      <c r="AE7679">
        <v>1.2347699999999999</v>
      </c>
      <c r="AF7679">
        <v>-0.52611451590367198</v>
      </c>
      <c r="AG7679">
        <v>-1.1094168644392</v>
      </c>
      <c r="AH7679">
        <v>12.8150788154542</v>
      </c>
      <c r="AI7679">
        <v>94.943685107970794</v>
      </c>
      <c r="AJ7679">
        <v>92.350919824800002</v>
      </c>
      <c r="AK7679">
        <v>12.8737658557723</v>
      </c>
      <c r="AL7679">
        <v>86.733785960833103</v>
      </c>
      <c r="AM7679">
        <v>90.892832237812897</v>
      </c>
      <c r="AN7679">
        <v>1.0000000259841699</v>
      </c>
    </row>
    <row r="7680" spans="1:40" x14ac:dyDescent="0.25">
      <c r="A7680" t="str">
        <f>"20190312160518829"</f>
        <v>20190312160518829</v>
      </c>
      <c r="B7680" t="str">
        <f>"1552377918822547"</f>
        <v>1552377918822547</v>
      </c>
      <c r="C7680" t="s">
        <v>40</v>
      </c>
      <c r="D7680">
        <v>5.602868</v>
      </c>
      <c r="E7680">
        <v>0.52038130000000005</v>
      </c>
      <c r="F7680" t="s">
        <v>49</v>
      </c>
      <c r="G7680">
        <v>-225.0617</v>
      </c>
      <c r="H7680">
        <v>1.0367850000000001</v>
      </c>
      <c r="I7680">
        <v>-63.793170000000003</v>
      </c>
      <c r="J7680">
        <v>-225.76949999999999</v>
      </c>
      <c r="K7680">
        <v>1.109434</v>
      </c>
      <c r="L7680">
        <v>-63.817540000000001</v>
      </c>
      <c r="M7680">
        <v>0.99847200000000003</v>
      </c>
      <c r="N7680">
        <v>0</v>
      </c>
      <c r="O7680">
        <v>5.443278E-2</v>
      </c>
      <c r="P7680">
        <v>0.99641080000000004</v>
      </c>
      <c r="Q7680">
        <v>4.7401369999999998E-2</v>
      </c>
      <c r="R7680">
        <v>7.0135980000000001E-2</v>
      </c>
      <c r="S7680">
        <v>3.015091</v>
      </c>
      <c r="T7680">
        <v>-0.25783990000000001</v>
      </c>
      <c r="U7680">
        <v>0.113678</v>
      </c>
      <c r="V7680">
        <v>-1.574499E-2</v>
      </c>
      <c r="W7680">
        <v>5.6927709999999999E-2</v>
      </c>
      <c r="X7680">
        <v>0.99825410000000003</v>
      </c>
      <c r="Y7680">
        <v>1.651791E-2</v>
      </c>
      <c r="Z7680">
        <v>-5.3468150000000004E-3</v>
      </c>
      <c r="AA7680">
        <v>0.99984930000000005</v>
      </c>
      <c r="AB7680">
        <v>27</v>
      </c>
      <c r="AC7680">
        <v>0.70779999999999099</v>
      </c>
      <c r="AD7680">
        <v>-7.2648999999999894E-2</v>
      </c>
      <c r="AE7680">
        <v>2.43700000000046E-2</v>
      </c>
      <c r="AF7680">
        <v>1.4047585769011601E-2</v>
      </c>
      <c r="AG7680">
        <v>-7.2648999999999894E-2</v>
      </c>
      <c r="AH7680">
        <v>0.70070389738034899</v>
      </c>
      <c r="AI7680">
        <v>95.918097926116999</v>
      </c>
      <c r="AJ7680">
        <v>88.851498362622294</v>
      </c>
      <c r="AK7680">
        <v>0.70460000260498801</v>
      </c>
      <c r="AL7680">
        <v>86.736518027073402</v>
      </c>
      <c r="AM7680">
        <v>90.903624316627699</v>
      </c>
      <c r="AN7680">
        <v>0.99999995852137602</v>
      </c>
    </row>
    <row r="7681" spans="1:40" x14ac:dyDescent="0.25">
      <c r="A7681" t="str">
        <f>"20190312160518840"</f>
        <v>20190312160518840</v>
      </c>
      <c r="B7681" t="str">
        <f>"1552377918832308"</f>
        <v>1552377918832308</v>
      </c>
      <c r="C7681" t="s">
        <v>40</v>
      </c>
      <c r="D7681">
        <v>5.7554970000000001</v>
      </c>
      <c r="E7681">
        <v>0.5291418</v>
      </c>
      <c r="F7681" t="s">
        <v>49</v>
      </c>
      <c r="G7681">
        <v>-224.83</v>
      </c>
      <c r="H7681">
        <v>1.0137309999999999</v>
      </c>
      <c r="I7681">
        <v>-63.80489</v>
      </c>
      <c r="J7681">
        <v>-225.636</v>
      </c>
      <c r="K7681">
        <v>1.109459</v>
      </c>
      <c r="L7681">
        <v>-63.810490000000001</v>
      </c>
      <c r="M7681">
        <v>0.99848159999999997</v>
      </c>
      <c r="N7681">
        <v>0</v>
      </c>
      <c r="O7681">
        <v>5.4250769999999997E-2</v>
      </c>
      <c r="P7681">
        <v>0.99641880000000005</v>
      </c>
      <c r="Q7681">
        <v>4.7396880000000002E-2</v>
      </c>
      <c r="R7681">
        <v>7.0021929999999996E-2</v>
      </c>
      <c r="S7681">
        <v>3.0225979999999999</v>
      </c>
      <c r="T7681">
        <v>-0.30791439999999998</v>
      </c>
      <c r="U7681">
        <v>4.092407E-2</v>
      </c>
      <c r="V7681">
        <v>-1.5815889999999999E-2</v>
      </c>
      <c r="W7681">
        <v>5.6951519999999999E-2</v>
      </c>
      <c r="X7681">
        <v>0.99825169999999996</v>
      </c>
      <c r="Y7681">
        <v>4.0241430000000002E-2</v>
      </c>
      <c r="Z7681">
        <v>-7.5540950000000003E-3</v>
      </c>
      <c r="AA7681">
        <v>0.99916139999999998</v>
      </c>
      <c r="AB7681">
        <v>27</v>
      </c>
      <c r="AC7681">
        <v>0.80599999999998295</v>
      </c>
      <c r="AD7681">
        <v>-9.5727999999999994E-2</v>
      </c>
      <c r="AE7681">
        <v>5.6000000000011596E-3</v>
      </c>
      <c r="AF7681">
        <v>3.7605917191157301E-2</v>
      </c>
      <c r="AG7681">
        <v>-9.5727999999999994E-2</v>
      </c>
      <c r="AH7681">
        <v>0.79391817528152198</v>
      </c>
      <c r="AI7681">
        <v>96.867715716768402</v>
      </c>
      <c r="AJ7681">
        <v>87.288069329162596</v>
      </c>
      <c r="AK7681">
        <v>0.80055238681433605</v>
      </c>
      <c r="AL7681">
        <v>86.735151855057296</v>
      </c>
      <c r="AM7681">
        <v>90.907694857369805</v>
      </c>
      <c r="AN7681">
        <v>1.0000000372798401</v>
      </c>
    </row>
    <row r="7682" spans="1:40" x14ac:dyDescent="0.25">
      <c r="A7682" t="str">
        <f>"20190312160518850"</f>
        <v>20190312160518850</v>
      </c>
      <c r="B7682" t="str">
        <f>"1552377918843043"</f>
        <v>1552377918843043</v>
      </c>
      <c r="C7682" t="s">
        <v>40</v>
      </c>
      <c r="D7682">
        <v>5.5907150000000003</v>
      </c>
      <c r="E7682">
        <v>0.53475689999999998</v>
      </c>
      <c r="F7682" t="s">
        <v>49</v>
      </c>
      <c r="G7682">
        <v>-224.8289</v>
      </c>
      <c r="H7682">
        <v>1.014859</v>
      </c>
      <c r="I7682">
        <v>-63.818510000000003</v>
      </c>
      <c r="J7682">
        <v>-225.49940000000001</v>
      </c>
      <c r="K7682">
        <v>1.1094869999999999</v>
      </c>
      <c r="L7682">
        <v>-63.803220000000003</v>
      </c>
      <c r="M7682">
        <v>0.99849100000000002</v>
      </c>
      <c r="N7682">
        <v>0</v>
      </c>
      <c r="O7682">
        <v>5.4073820000000002E-2</v>
      </c>
      <c r="P7682">
        <v>0.99643119999999996</v>
      </c>
      <c r="Q7682">
        <v>4.718058E-2</v>
      </c>
      <c r="R7682">
        <v>6.9993250000000007E-2</v>
      </c>
      <c r="S7682">
        <v>3.029785</v>
      </c>
      <c r="T7682">
        <v>-0.35509030000000003</v>
      </c>
      <c r="U7682">
        <v>-2.9846190000000002E-2</v>
      </c>
      <c r="V7682">
        <v>-1.5966950000000001E-2</v>
      </c>
      <c r="W7682">
        <v>5.6764420000000003E-2</v>
      </c>
      <c r="X7682">
        <v>0.99825989999999998</v>
      </c>
      <c r="Y7682">
        <v>6.3107899999999995E-2</v>
      </c>
      <c r="Z7682">
        <v>-9.9994820000000005E-3</v>
      </c>
      <c r="AA7682">
        <v>0.99795659999999997</v>
      </c>
      <c r="AB7682">
        <v>27</v>
      </c>
      <c r="AC7682">
        <v>0.67050000000000398</v>
      </c>
      <c r="AD7682">
        <v>-9.4628000000000101E-2</v>
      </c>
      <c r="AE7682">
        <v>-1.5290000000000199E-2</v>
      </c>
      <c r="AF7682">
        <v>5.0520060986923E-2</v>
      </c>
      <c r="AG7682">
        <v>-9.4628000000000101E-2</v>
      </c>
      <c r="AH7682">
        <v>0.65563997178907996</v>
      </c>
      <c r="AI7682">
        <v>98.188798218260203</v>
      </c>
      <c r="AJ7682">
        <v>85.593804615197698</v>
      </c>
      <c r="AK7682">
        <v>0.66435721381927304</v>
      </c>
      <c r="AL7682">
        <v>86.745889096198496</v>
      </c>
      <c r="AM7682">
        <v>90.916355393346507</v>
      </c>
      <c r="AN7682">
        <v>0.99999998540912405</v>
      </c>
    </row>
    <row r="7683" spans="1:40" x14ac:dyDescent="0.25">
      <c r="A7683" t="str">
        <f>"20190312160518862"</f>
        <v>20190312160518862</v>
      </c>
      <c r="B7683" t="str">
        <f>"1552377918852803"</f>
        <v>1552377918852803</v>
      </c>
      <c r="C7683" t="s">
        <v>40</v>
      </c>
      <c r="D7683">
        <v>5.5621289999999997</v>
      </c>
      <c r="E7683">
        <v>0.53862580000000004</v>
      </c>
      <c r="F7683" t="s">
        <v>49</v>
      </c>
      <c r="G7683">
        <v>-224.59530000000001</v>
      </c>
      <c r="H7683">
        <v>0.99518899999999999</v>
      </c>
      <c r="I7683">
        <v>-63.825859999999999</v>
      </c>
      <c r="J7683">
        <v>-225.36189999999999</v>
      </c>
      <c r="K7683">
        <v>1.1095109999999999</v>
      </c>
      <c r="L7683">
        <v>-63.796019999999999</v>
      </c>
      <c r="M7683">
        <v>0.99849929999999998</v>
      </c>
      <c r="N7683">
        <v>0</v>
      </c>
      <c r="O7683">
        <v>5.391373E-2</v>
      </c>
      <c r="P7683">
        <v>0.99641919999999995</v>
      </c>
      <c r="Q7683">
        <v>4.7320559999999998E-2</v>
      </c>
      <c r="R7683">
        <v>7.0069309999999996E-2</v>
      </c>
      <c r="S7683">
        <v>3.0341490000000002</v>
      </c>
      <c r="T7683">
        <v>-0.38355850000000002</v>
      </c>
      <c r="U7683">
        <v>-7.5073239999999999E-2</v>
      </c>
      <c r="V7683">
        <v>-1.620717E-2</v>
      </c>
      <c r="W7683">
        <v>5.6936750000000001E-2</v>
      </c>
      <c r="X7683">
        <v>0.99824630000000003</v>
      </c>
      <c r="Y7683">
        <v>7.7553239999999996E-2</v>
      </c>
      <c r="Z7683">
        <v>-1.1668100000000001E-2</v>
      </c>
      <c r="AA7683">
        <v>0.99691989999999997</v>
      </c>
      <c r="AB7683">
        <v>27</v>
      </c>
      <c r="AC7683">
        <v>0.76659999999998196</v>
      </c>
      <c r="AD7683">
        <v>-0.11432199999999999</v>
      </c>
      <c r="AE7683">
        <v>-2.9839999999999998E-2</v>
      </c>
      <c r="AF7683">
        <v>6.9583619820430195E-2</v>
      </c>
      <c r="AG7683">
        <v>-0.11432199999999999</v>
      </c>
      <c r="AH7683">
        <v>0.74728216796590197</v>
      </c>
      <c r="AI7683">
        <v>98.660989462031097</v>
      </c>
      <c r="AJ7683">
        <v>84.680209413140005</v>
      </c>
      <c r="AK7683">
        <v>0.75917194257370502</v>
      </c>
      <c r="AL7683">
        <v>86.735999598165506</v>
      </c>
      <c r="AM7683">
        <v>90.930152067444297</v>
      </c>
      <c r="AN7683">
        <v>1.00000007066182</v>
      </c>
    </row>
    <row r="7684" spans="1:40" x14ac:dyDescent="0.25">
      <c r="A7684" t="str">
        <f>"20190312160518873"</f>
        <v>20190312160518873</v>
      </c>
      <c r="B7684" t="str">
        <f>"1552377918862563"</f>
        <v>1552377918862563</v>
      </c>
      <c r="C7684" t="s">
        <v>40</v>
      </c>
      <c r="D7684">
        <v>5.5585079999999998</v>
      </c>
      <c r="E7684">
        <v>0.54158419999999996</v>
      </c>
      <c r="F7684" t="s">
        <v>49</v>
      </c>
      <c r="G7684">
        <v>-224.58940000000001</v>
      </c>
      <c r="H7684">
        <v>1.0076210000000001</v>
      </c>
      <c r="I7684">
        <v>-63.823169999999998</v>
      </c>
      <c r="J7684">
        <v>-225.23419999999999</v>
      </c>
      <c r="K7684">
        <v>1.109537</v>
      </c>
      <c r="L7684">
        <v>-63.789279999999998</v>
      </c>
      <c r="M7684">
        <v>0.99850629999999996</v>
      </c>
      <c r="N7684">
        <v>0</v>
      </c>
      <c r="O7684">
        <v>5.3778880000000001E-2</v>
      </c>
      <c r="P7684">
        <v>0.99642500000000001</v>
      </c>
      <c r="Q7684">
        <v>4.7234669999999999E-2</v>
      </c>
      <c r="R7684">
        <v>7.0043820000000007E-2</v>
      </c>
      <c r="S7684">
        <v>3.0372309999999998</v>
      </c>
      <c r="T7684">
        <v>-0.40054830000000002</v>
      </c>
      <c r="U7684">
        <v>-0.105712899999999</v>
      </c>
      <c r="V7684">
        <v>-1.6318610000000001E-2</v>
      </c>
      <c r="W7684">
        <v>5.6882009999999997E-2</v>
      </c>
      <c r="X7684">
        <v>0.99824760000000001</v>
      </c>
      <c r="Y7684">
        <v>8.7263110000000005E-2</v>
      </c>
      <c r="Z7684">
        <v>-1.278664E-2</v>
      </c>
      <c r="AA7684">
        <v>0.99610319999999997</v>
      </c>
      <c r="AB7684">
        <v>27</v>
      </c>
      <c r="AC7684">
        <v>0.64479999999997495</v>
      </c>
      <c r="AD7684">
        <v>-0.10191600000000001</v>
      </c>
      <c r="AE7684">
        <v>-3.3889999999992398E-2</v>
      </c>
      <c r="AF7684">
        <v>6.6853621667625401E-2</v>
      </c>
      <c r="AG7684">
        <v>-0.10191600000000001</v>
      </c>
      <c r="AH7684">
        <v>0.62643733788356204</v>
      </c>
      <c r="AI7684">
        <v>99.189289438287105</v>
      </c>
      <c r="AJ7684">
        <v>83.908429758377807</v>
      </c>
      <c r="AK7684">
        <v>0.63818493877615201</v>
      </c>
      <c r="AL7684">
        <v>86.739141043280199</v>
      </c>
      <c r="AM7684">
        <v>90.936545409603596</v>
      </c>
      <c r="AN7684">
        <v>1.00000006549986</v>
      </c>
    </row>
    <row r="7685" spans="1:40" x14ac:dyDescent="0.25">
      <c r="A7685" t="str">
        <f>"20190312160518884"</f>
        <v>20190312160518884</v>
      </c>
      <c r="B7685" t="str">
        <f>"1552377918872325"</f>
        <v>1552377918872325</v>
      </c>
      <c r="C7685" t="s">
        <v>40</v>
      </c>
      <c r="D7685">
        <v>5.5300089999999997</v>
      </c>
      <c r="E7685">
        <v>0.54345690000000002</v>
      </c>
      <c r="F7685" t="s">
        <v>49</v>
      </c>
      <c r="G7685">
        <v>-224.35480000000001</v>
      </c>
      <c r="H7685">
        <v>0.9897859</v>
      </c>
      <c r="I7685">
        <v>-63.826830000000001</v>
      </c>
      <c r="J7685">
        <v>-225.09909999999999</v>
      </c>
      <c r="K7685">
        <v>1.1095630000000001</v>
      </c>
      <c r="L7685">
        <v>-63.782139999999998</v>
      </c>
      <c r="M7685">
        <v>0.99851299999999998</v>
      </c>
      <c r="N7685">
        <v>0</v>
      </c>
      <c r="O7685">
        <v>5.3648269999999998E-2</v>
      </c>
      <c r="P7685">
        <v>0.99641480000000004</v>
      </c>
      <c r="Q7685">
        <v>4.7314729999999999E-2</v>
      </c>
      <c r="R7685">
        <v>7.0136680000000007E-2</v>
      </c>
      <c r="S7685">
        <v>3.0394739999999998</v>
      </c>
      <c r="T7685">
        <v>-0.41381410000000002</v>
      </c>
      <c r="U7685">
        <v>-0.1295471</v>
      </c>
      <c r="V7685">
        <v>-1.654603E-2</v>
      </c>
      <c r="W7685">
        <v>5.699626E-2</v>
      </c>
      <c r="X7685">
        <v>0.99823729999999999</v>
      </c>
      <c r="Y7685">
        <v>9.4756599999999996E-2</v>
      </c>
      <c r="Z7685">
        <v>-1.368492E-2</v>
      </c>
      <c r="AA7685">
        <v>0.99540640000000002</v>
      </c>
      <c r="AB7685">
        <v>27</v>
      </c>
      <c r="AC7685">
        <v>0.74429999999998098</v>
      </c>
      <c r="AD7685">
        <v>-0.119777099999999</v>
      </c>
      <c r="AE7685">
        <v>-4.46900000000027E-2</v>
      </c>
      <c r="AF7685">
        <v>8.24308590575559E-2</v>
      </c>
      <c r="AG7685">
        <v>-0.119777099999999</v>
      </c>
      <c r="AH7685">
        <v>0.72219479127168995</v>
      </c>
      <c r="AI7685">
        <v>99.357203885570897</v>
      </c>
      <c r="AJ7685">
        <v>83.488475145444795</v>
      </c>
      <c r="AK7685">
        <v>0.73668630824071701</v>
      </c>
      <c r="AL7685">
        <v>86.732584234269098</v>
      </c>
      <c r="AM7685">
        <v>90.949604750212103</v>
      </c>
      <c r="AN7685">
        <v>1.0000000259370101</v>
      </c>
    </row>
    <row r="7686" spans="1:40" x14ac:dyDescent="0.25">
      <c r="A7686" t="str">
        <f>"20190312160518895"</f>
        <v>20190312160518895</v>
      </c>
      <c r="B7686" t="str">
        <f>"1552377918892820"</f>
        <v>1552377918892820</v>
      </c>
      <c r="C7686" t="s">
        <v>40</v>
      </c>
      <c r="D7686">
        <v>5.6148480000000003</v>
      </c>
      <c r="E7686">
        <v>0.54674719999999999</v>
      </c>
      <c r="F7686" t="s">
        <v>49</v>
      </c>
      <c r="G7686">
        <v>-224.34809999999999</v>
      </c>
      <c r="H7686">
        <v>1.0044029999999999</v>
      </c>
      <c r="I7686">
        <v>-63.817889999999998</v>
      </c>
      <c r="J7686">
        <v>-224.9573</v>
      </c>
      <c r="K7686">
        <v>1.1095969999999999</v>
      </c>
      <c r="L7686">
        <v>-63.774630000000002</v>
      </c>
      <c r="M7686">
        <v>0.99851880000000004</v>
      </c>
      <c r="N7686">
        <v>0</v>
      </c>
      <c r="O7686">
        <v>5.3532610000000001E-2</v>
      </c>
      <c r="P7686">
        <v>0.99641550000000001</v>
      </c>
      <c r="Q7686">
        <v>4.6705650000000001E-2</v>
      </c>
      <c r="R7686">
        <v>7.0534239999999998E-2</v>
      </c>
      <c r="S7686">
        <v>3.0411679999999999</v>
      </c>
      <c r="T7686">
        <v>-0.42582039999999999</v>
      </c>
      <c r="U7686">
        <v>-0.14450070000000001</v>
      </c>
      <c r="V7686">
        <v>-1.7062089999999999E-2</v>
      </c>
      <c r="W7686">
        <v>5.6424500000000002E-2</v>
      </c>
      <c r="X7686">
        <v>0.99826110000000001</v>
      </c>
      <c r="Y7686">
        <v>9.9379149999999999E-2</v>
      </c>
      <c r="Z7686">
        <v>-1.4374909999999999E-2</v>
      </c>
      <c r="AA7686">
        <v>0.99494579999999999</v>
      </c>
      <c r="AB7686">
        <v>27</v>
      </c>
      <c r="AC7686">
        <v>0.60920000000001495</v>
      </c>
      <c r="AD7686">
        <v>-0.105193999999999</v>
      </c>
      <c r="AE7686">
        <v>-4.3260000000003601E-2</v>
      </c>
      <c r="AF7686">
        <v>7.3627250160557794E-2</v>
      </c>
      <c r="AG7686">
        <v>-0.105193999999999</v>
      </c>
      <c r="AH7686">
        <v>0.58854978700675697</v>
      </c>
      <c r="AI7686">
        <v>100.056940740024</v>
      </c>
      <c r="AJ7686">
        <v>82.869373747580198</v>
      </c>
      <c r="AK7686">
        <v>0.60239322820555097</v>
      </c>
      <c r="AL7686">
        <v>86.765396492271407</v>
      </c>
      <c r="AM7686">
        <v>90.979193288521799</v>
      </c>
      <c r="AN7686">
        <v>1.00000003144431</v>
      </c>
    </row>
    <row r="7687" spans="1:40" x14ac:dyDescent="0.25">
      <c r="A7687" t="str">
        <f>"20190312160518907"</f>
        <v>20190312160518907</v>
      </c>
      <c r="B7687" t="str">
        <f>"1552377918902579"</f>
        <v>1552377918902579</v>
      </c>
      <c r="C7687" t="s">
        <v>40</v>
      </c>
      <c r="D7687">
        <v>5.484699</v>
      </c>
      <c r="E7687">
        <v>0.54771999999999998</v>
      </c>
      <c r="F7687" t="s">
        <v>49</v>
      </c>
      <c r="G7687">
        <v>-224.11439999999999</v>
      </c>
      <c r="H7687">
        <v>0.98404009999999997</v>
      </c>
      <c r="I7687">
        <v>-63.821899999999999</v>
      </c>
      <c r="J7687">
        <v>-224.82069999999999</v>
      </c>
      <c r="K7687">
        <v>1.109629</v>
      </c>
      <c r="L7687">
        <v>-63.76746</v>
      </c>
      <c r="M7687">
        <v>0.99852399999999997</v>
      </c>
      <c r="N7687">
        <v>0</v>
      </c>
      <c r="O7687">
        <v>5.3428679999999999E-2</v>
      </c>
      <c r="P7687">
        <v>0.99641109999999999</v>
      </c>
      <c r="Q7687">
        <v>4.6532289999999997E-2</v>
      </c>
      <c r="R7687">
        <v>7.0708409999999999E-2</v>
      </c>
      <c r="S7687">
        <v>3.0441129999999998</v>
      </c>
      <c r="T7687">
        <v>-0.45343909999999998</v>
      </c>
      <c r="U7687">
        <v>-0.1701355</v>
      </c>
      <c r="V7687">
        <v>-1.7343549999999999E-2</v>
      </c>
      <c r="W7687">
        <v>5.6285969999999998E-2</v>
      </c>
      <c r="X7687">
        <v>0.99826400000000004</v>
      </c>
      <c r="Y7687">
        <v>0.10730240000000001</v>
      </c>
      <c r="Z7687">
        <v>-1.5850989999999999E-2</v>
      </c>
      <c r="AA7687">
        <v>0.99410010000000004</v>
      </c>
      <c r="AB7687">
        <v>27</v>
      </c>
      <c r="AC7687">
        <v>0.70629999999999804</v>
      </c>
      <c r="AD7687">
        <v>-0.1255889</v>
      </c>
      <c r="AE7687">
        <v>-5.44399999999996E-2</v>
      </c>
      <c r="AF7687">
        <v>8.9294145574342898E-2</v>
      </c>
      <c r="AG7687">
        <v>-0.1255889</v>
      </c>
      <c r="AH7687">
        <v>0.68097875896216997</v>
      </c>
      <c r="AI7687">
        <v>100.362548976003</v>
      </c>
      <c r="AJ7687">
        <v>82.529643840133602</v>
      </c>
      <c r="AK7687">
        <v>0.69819630935340704</v>
      </c>
      <c r="AL7687">
        <v>86.773346084184894</v>
      </c>
      <c r="AM7687">
        <v>90.995340162772195</v>
      </c>
      <c r="AN7687">
        <v>0.99999996142072101</v>
      </c>
    </row>
    <row r="7688" spans="1:40" x14ac:dyDescent="0.25">
      <c r="A7688" t="str">
        <f>"20190312160518918"</f>
        <v>20190312160518918</v>
      </c>
      <c r="B7688" t="str">
        <f>"1552377918912339"</f>
        <v>1552377918912339</v>
      </c>
      <c r="C7688" t="s">
        <v>40</v>
      </c>
      <c r="D7688">
        <v>5.5067159999999999</v>
      </c>
      <c r="E7688">
        <v>0.54846649999999997</v>
      </c>
      <c r="F7688" t="s">
        <v>49</v>
      </c>
      <c r="G7688">
        <v>-224.1062</v>
      </c>
      <c r="H7688">
        <v>1.002316</v>
      </c>
      <c r="I7688">
        <v>-63.809289999999997</v>
      </c>
      <c r="J7688">
        <v>-224.68639999999999</v>
      </c>
      <c r="K7688">
        <v>1.109656</v>
      </c>
      <c r="L7688">
        <v>-63.760350000000003</v>
      </c>
      <c r="M7688">
        <v>0.99852759999999996</v>
      </c>
      <c r="N7688">
        <v>0</v>
      </c>
      <c r="O7688">
        <v>5.3353480000000002E-2</v>
      </c>
      <c r="P7688">
        <v>0.99639080000000002</v>
      </c>
      <c r="Q7688">
        <v>4.6421080000000003E-2</v>
      </c>
      <c r="R7688">
        <v>7.1068610000000004E-2</v>
      </c>
      <c r="S7688">
        <v>3.0447850000000001</v>
      </c>
      <c r="T7688">
        <v>-0.45732650000000002</v>
      </c>
      <c r="U7688">
        <v>-0.17758180000000001</v>
      </c>
      <c r="V7688">
        <v>-1.7782030000000001E-2</v>
      </c>
      <c r="W7688">
        <v>5.620932E-2</v>
      </c>
      <c r="X7688">
        <v>0.99826060000000005</v>
      </c>
      <c r="Y7688">
        <v>0.1095844</v>
      </c>
      <c r="Z7688">
        <v>-1.614001E-2</v>
      </c>
      <c r="AA7688">
        <v>0.99384649999999997</v>
      </c>
      <c r="AB7688">
        <v>27</v>
      </c>
      <c r="AC7688">
        <v>0.58019999999998995</v>
      </c>
      <c r="AD7688">
        <v>-0.10734</v>
      </c>
      <c r="AE7688">
        <v>-4.8940000000001697E-2</v>
      </c>
      <c r="AF7688">
        <v>7.7203687334291102E-2</v>
      </c>
      <c r="AG7688">
        <v>-0.10734</v>
      </c>
      <c r="AH7688">
        <v>0.55780521852254605</v>
      </c>
      <c r="AI7688">
        <v>100.792010139049</v>
      </c>
      <c r="AJ7688">
        <v>82.119973064389299</v>
      </c>
      <c r="AK7688">
        <v>0.573261673888109</v>
      </c>
      <c r="AL7688">
        <v>86.777744754993293</v>
      </c>
      <c r="AM7688">
        <v>91.0205025929084</v>
      </c>
      <c r="AN7688">
        <v>0.99999995687906995</v>
      </c>
    </row>
    <row r="7689" spans="1:40" x14ac:dyDescent="0.25">
      <c r="A7689" t="str">
        <f>"20190312160518928"</f>
        <v>20190312160518928</v>
      </c>
      <c r="B7689" t="str">
        <f>"1552377918923075"</f>
        <v>1552377918923075</v>
      </c>
      <c r="C7689" t="s">
        <v>40</v>
      </c>
      <c r="D7689">
        <v>5.4918209999999998</v>
      </c>
      <c r="E7689">
        <v>0.54890099999999997</v>
      </c>
      <c r="F7689" t="s">
        <v>49</v>
      </c>
      <c r="G7689">
        <v>-223.87029999999999</v>
      </c>
      <c r="H7689">
        <v>0.98663840000000003</v>
      </c>
      <c r="I7689">
        <v>-63.8093</v>
      </c>
      <c r="J7689">
        <v>-224.5515</v>
      </c>
      <c r="K7689">
        <v>1.109677</v>
      </c>
      <c r="L7689">
        <v>-63.753230000000002</v>
      </c>
      <c r="M7689">
        <v>0.9985311</v>
      </c>
      <c r="N7689">
        <v>0</v>
      </c>
      <c r="O7689">
        <v>5.3283339999999998E-2</v>
      </c>
      <c r="P7689">
        <v>0.99636919999999995</v>
      </c>
      <c r="Q7689">
        <v>4.6743880000000002E-2</v>
      </c>
      <c r="R7689">
        <v>7.1157659999999998E-2</v>
      </c>
      <c r="S7689">
        <v>3.045258</v>
      </c>
      <c r="T7689">
        <v>-0.45900340000000001</v>
      </c>
      <c r="U7689">
        <v>-0.1825562</v>
      </c>
      <c r="V7689">
        <v>-1.7945409999999998E-2</v>
      </c>
      <c r="W7689">
        <v>5.6568279999999999E-2</v>
      </c>
      <c r="X7689">
        <v>0.99823740000000005</v>
      </c>
      <c r="Y7689">
        <v>0.1110945</v>
      </c>
      <c r="Z7689">
        <v>-1.6297929999999999E-2</v>
      </c>
      <c r="AA7689">
        <v>0.99367620000000001</v>
      </c>
      <c r="AB7689">
        <v>27</v>
      </c>
      <c r="AC7689">
        <v>0.68120000000001801</v>
      </c>
      <c r="AD7689">
        <v>-0.1230386</v>
      </c>
      <c r="AE7689">
        <v>-5.6069999999998198E-2</v>
      </c>
      <c r="AF7689">
        <v>8.9392028871523699E-2</v>
      </c>
      <c r="AG7689">
        <v>-0.1230386</v>
      </c>
      <c r="AH7689">
        <v>0.65598773089406703</v>
      </c>
      <c r="AI7689">
        <v>100.528009484677</v>
      </c>
      <c r="AJ7689">
        <v>82.240051273086806</v>
      </c>
      <c r="AK7689">
        <v>0.67338646778746203</v>
      </c>
      <c r="AL7689">
        <v>86.757145086242204</v>
      </c>
      <c r="AM7689">
        <v>91.0299008165006</v>
      </c>
      <c r="AN7689">
        <v>0.99999995740049197</v>
      </c>
    </row>
    <row r="7690" spans="1:40" x14ac:dyDescent="0.25">
      <c r="A7690" t="str">
        <f>"20190312160518939"</f>
        <v>20190312160518939</v>
      </c>
      <c r="B7690" t="str">
        <f>"1552377918932836"</f>
        <v>1552377918932836</v>
      </c>
      <c r="C7690" t="s">
        <v>40</v>
      </c>
      <c r="D7690">
        <v>5.6333279999999997</v>
      </c>
      <c r="E7690">
        <v>0.54940219999999995</v>
      </c>
      <c r="F7690" t="s">
        <v>49</v>
      </c>
      <c r="G7690">
        <v>-223.63409999999999</v>
      </c>
      <c r="H7690">
        <v>0.97093839999999998</v>
      </c>
      <c r="I7690">
        <v>-63.809460000000001</v>
      </c>
      <c r="J7690">
        <v>-224.41390000000001</v>
      </c>
      <c r="K7690">
        <v>1.109704</v>
      </c>
      <c r="L7690">
        <v>-63.7459699999999</v>
      </c>
      <c r="M7690">
        <v>0.99853309999999995</v>
      </c>
      <c r="N7690">
        <v>0</v>
      </c>
      <c r="O7690">
        <v>5.3234980000000001E-2</v>
      </c>
      <c r="P7690">
        <v>0.9963516</v>
      </c>
      <c r="Q7690">
        <v>4.6753860000000001E-2</v>
      </c>
      <c r="R7690">
        <v>7.1399169999999998E-2</v>
      </c>
      <c r="S7690">
        <v>3.0458219999999998</v>
      </c>
      <c r="T7690">
        <v>-0.46056170000000002</v>
      </c>
      <c r="U7690">
        <v>-0.18594359999999999</v>
      </c>
      <c r="V7690">
        <v>-1.8239040000000002E-2</v>
      </c>
      <c r="W7690">
        <v>5.6622079999999998E-2</v>
      </c>
      <c r="X7690">
        <v>0.99822909999999998</v>
      </c>
      <c r="Y7690">
        <v>0.1121137</v>
      </c>
      <c r="Z7690">
        <v>-1.6418459999999999E-2</v>
      </c>
      <c r="AA7690">
        <v>0.99355970000000005</v>
      </c>
      <c r="AB7690">
        <v>27</v>
      </c>
      <c r="AC7690">
        <v>0.77980000000002203</v>
      </c>
      <c r="AD7690">
        <v>-0.13876559999999999</v>
      </c>
      <c r="AE7690">
        <v>-6.3490000000001601E-2</v>
      </c>
      <c r="AF7690">
        <v>0.101714905507054</v>
      </c>
      <c r="AG7690">
        <v>-0.13876559999999999</v>
      </c>
      <c r="AH7690">
        <v>0.75166829281083802</v>
      </c>
      <c r="AI7690">
        <v>100.367208153655</v>
      </c>
      <c r="AJ7690">
        <v>82.293609980327901</v>
      </c>
      <c r="AK7690">
        <v>0.77110766833356603</v>
      </c>
      <c r="AL7690">
        <v>86.754057858263195</v>
      </c>
      <c r="AM7690">
        <v>91.046757449225197</v>
      </c>
      <c r="AN7690">
        <v>1.00000002930522</v>
      </c>
    </row>
    <row r="7691" spans="1:40" x14ac:dyDescent="0.25">
      <c r="A7691" t="str">
        <f>"20190312160518951"</f>
        <v>20190312160518951</v>
      </c>
      <c r="B7691" t="str">
        <f>"1552377918942596"</f>
        <v>1552377918942596</v>
      </c>
      <c r="C7691" t="s">
        <v>40</v>
      </c>
      <c r="D7691">
        <v>5.5566430000000002</v>
      </c>
      <c r="E7691">
        <v>0.54974109999999998</v>
      </c>
      <c r="F7691" t="s">
        <v>49</v>
      </c>
      <c r="G7691">
        <v>-223.6258</v>
      </c>
      <c r="H7691">
        <v>0.9899249</v>
      </c>
      <c r="I7691">
        <v>-63.795140000000004</v>
      </c>
      <c r="J7691">
        <v>-224.28100000000001</v>
      </c>
      <c r="K7691">
        <v>1.109731</v>
      </c>
      <c r="L7691">
        <v>-63.738950000000003</v>
      </c>
      <c r="M7691">
        <v>0.99853479999999994</v>
      </c>
      <c r="N7691">
        <v>0</v>
      </c>
      <c r="O7691">
        <v>5.3196960000000001E-2</v>
      </c>
      <c r="P7691">
        <v>0.99632679999999996</v>
      </c>
      <c r="Q7691">
        <v>4.6695529999999999E-2</v>
      </c>
      <c r="R7691">
        <v>7.1783330000000006E-2</v>
      </c>
      <c r="S7691">
        <v>3.046265</v>
      </c>
      <c r="T7691">
        <v>-0.46292410000000001</v>
      </c>
      <c r="U7691">
        <v>-0.18926999999999999</v>
      </c>
      <c r="V7691">
        <v>-1.8665060000000001E-2</v>
      </c>
      <c r="W7691">
        <v>5.661066E-2</v>
      </c>
      <c r="X7691">
        <v>0.99822180000000005</v>
      </c>
      <c r="Y7691">
        <v>0.11311839999999999</v>
      </c>
      <c r="Z7691">
        <v>-1.6568969999999999E-2</v>
      </c>
      <c r="AA7691">
        <v>0.99344339999999998</v>
      </c>
      <c r="AB7691">
        <v>27</v>
      </c>
      <c r="AC7691">
        <v>0.65519999999997902</v>
      </c>
      <c r="AD7691">
        <v>-0.1198061</v>
      </c>
      <c r="AE7691">
        <v>-5.6190000000000802E-2</v>
      </c>
      <c r="AF7691">
        <v>8.8044458707505893E-2</v>
      </c>
      <c r="AG7691">
        <v>-0.1198061</v>
      </c>
      <c r="AH7691">
        <v>0.63036024877197105</v>
      </c>
      <c r="AI7691">
        <v>100.66019494297301</v>
      </c>
      <c r="AJ7691">
        <v>82.048752466079506</v>
      </c>
      <c r="AK7691">
        <v>0.64765683161545495</v>
      </c>
      <c r="AL7691">
        <v>86.754712991190502</v>
      </c>
      <c r="AM7691">
        <v>91.071209379326802</v>
      </c>
      <c r="AN7691">
        <v>0.99999995664283803</v>
      </c>
    </row>
    <row r="7692" spans="1:40" x14ac:dyDescent="0.25">
      <c r="A7692" t="str">
        <f>"20190312160518962"</f>
        <v>20190312160518962</v>
      </c>
      <c r="B7692" t="str">
        <f>"1552377918952356"</f>
        <v>1552377918952356</v>
      </c>
      <c r="C7692" t="s">
        <v>40</v>
      </c>
      <c r="D7692">
        <v>5.5092400000000001</v>
      </c>
      <c r="E7692">
        <v>0.55011619999999894</v>
      </c>
      <c r="F7692" t="s">
        <v>49</v>
      </c>
      <c r="G7692">
        <v>-223.3897</v>
      </c>
      <c r="H7692">
        <v>0.97385509999999997</v>
      </c>
      <c r="I7692">
        <v>-63.794890000000002</v>
      </c>
      <c r="J7692">
        <v>-224.15020000000001</v>
      </c>
      <c r="K7692">
        <v>1.1097570000000001</v>
      </c>
      <c r="L7692">
        <v>-63.731990000000003</v>
      </c>
      <c r="M7692">
        <v>0.99853550000000002</v>
      </c>
      <c r="N7692">
        <v>0</v>
      </c>
      <c r="O7692">
        <v>5.3173129999999999E-2</v>
      </c>
      <c r="P7692">
        <v>0.99629559999999995</v>
      </c>
      <c r="Q7692">
        <v>4.6815280000000001E-2</v>
      </c>
      <c r="R7692">
        <v>7.2136329999999999E-2</v>
      </c>
      <c r="S7692">
        <v>3.04657</v>
      </c>
      <c r="T7692">
        <v>-0.4644761</v>
      </c>
      <c r="U7692">
        <v>-0.19097900000000001</v>
      </c>
      <c r="V7692">
        <v>-1.9045200000000002E-2</v>
      </c>
      <c r="W7692">
        <v>5.6782520000000003E-2</v>
      </c>
      <c r="X7692">
        <v>0.99820489999999995</v>
      </c>
      <c r="Y7692">
        <v>0.1136258</v>
      </c>
      <c r="Z7692">
        <v>-1.6656810000000001E-2</v>
      </c>
      <c r="AA7692">
        <v>0.99338400000000004</v>
      </c>
      <c r="AB7692">
        <v>27</v>
      </c>
      <c r="AC7692">
        <v>0.76050000000000695</v>
      </c>
      <c r="AD7692">
        <v>-0.13590189999999899</v>
      </c>
      <c r="AE7692">
        <v>-6.2899999999998998E-2</v>
      </c>
      <c r="AF7692">
        <v>0.100077042178022</v>
      </c>
      <c r="AG7692">
        <v>-0.13590189999999899</v>
      </c>
      <c r="AH7692">
        <v>0.73283592077496496</v>
      </c>
      <c r="AI7692">
        <v>100.411464151719</v>
      </c>
      <c r="AJ7692">
        <v>82.223714493981902</v>
      </c>
      <c r="AK7692">
        <v>0.752019432975507</v>
      </c>
      <c r="AL7692">
        <v>86.7448504092078</v>
      </c>
      <c r="AM7692">
        <v>91.093039314436098</v>
      </c>
      <c r="AN7692">
        <v>0.99999999830230002</v>
      </c>
    </row>
    <row r="7693" spans="1:40" x14ac:dyDescent="0.25">
      <c r="A7693" t="str">
        <f>"20190312160518973"</f>
        <v>20190312160518973</v>
      </c>
      <c r="B7693" t="str">
        <f>"1552377918963092"</f>
        <v>1552377918963092</v>
      </c>
      <c r="C7693" t="s">
        <v>40</v>
      </c>
      <c r="D7693">
        <v>5.5084710000000001</v>
      </c>
      <c r="E7693">
        <v>0.55049820000000005</v>
      </c>
      <c r="F7693" t="s">
        <v>49</v>
      </c>
      <c r="G7693">
        <v>-223.38159999999999</v>
      </c>
      <c r="H7693">
        <v>0.99244560000000004</v>
      </c>
      <c r="I7693">
        <v>-63.780749999999998</v>
      </c>
      <c r="J7693">
        <v>-224.0146</v>
      </c>
      <c r="K7693">
        <v>1.109785</v>
      </c>
      <c r="L7693">
        <v>-63.724820000000001</v>
      </c>
      <c r="M7693">
        <v>0.99853570000000003</v>
      </c>
      <c r="N7693">
        <v>0</v>
      </c>
      <c r="O7693">
        <v>5.3157870000000003E-2</v>
      </c>
      <c r="P7693">
        <v>0.99629279999999998</v>
      </c>
      <c r="Q7693">
        <v>4.6356590000000003E-2</v>
      </c>
      <c r="R7693">
        <v>7.2470629999999994E-2</v>
      </c>
      <c r="S7693">
        <v>3.0469819999999999</v>
      </c>
      <c r="T7693">
        <v>-0.46505059999999898</v>
      </c>
      <c r="U7693">
        <v>-0.19302369999999999</v>
      </c>
      <c r="V7693">
        <v>-1.9397379999999999E-2</v>
      </c>
      <c r="W7693">
        <v>5.6388319999999999E-2</v>
      </c>
      <c r="X7693">
        <v>0.99822040000000001</v>
      </c>
      <c r="Y7693">
        <v>0.114255</v>
      </c>
      <c r="Z7693">
        <v>-1.672003E-2</v>
      </c>
      <c r="AA7693">
        <v>0.99331069999999999</v>
      </c>
      <c r="AB7693">
        <v>27</v>
      </c>
      <c r="AC7693">
        <v>0.633000000000009</v>
      </c>
      <c r="AD7693">
        <v>-0.117339399999999</v>
      </c>
      <c r="AE7693">
        <v>-5.5930000000003498E-2</v>
      </c>
      <c r="AF7693">
        <v>8.6550516634486097E-2</v>
      </c>
      <c r="AG7693">
        <v>-0.117339399999999</v>
      </c>
      <c r="AH7693">
        <v>0.60838807804823303</v>
      </c>
      <c r="AI7693">
        <v>100.810313899116</v>
      </c>
      <c r="AJ7693">
        <v>81.903316520872295</v>
      </c>
      <c r="AK7693">
        <v>0.62561616046364998</v>
      </c>
      <c r="AL7693">
        <v>86.767472443760397</v>
      </c>
      <c r="AM7693">
        <v>91.113229254961794</v>
      </c>
      <c r="AN7693">
        <v>0.99999993397972098</v>
      </c>
    </row>
    <row r="7694" spans="1:40" x14ac:dyDescent="0.25">
      <c r="A7694" t="str">
        <f>"20190312160518985"</f>
        <v>20190312160518985</v>
      </c>
      <c r="B7694" t="str">
        <f>"1552377918972851"</f>
        <v>1552377918972851</v>
      </c>
      <c r="C7694" t="s">
        <v>40</v>
      </c>
      <c r="D7694">
        <v>5.5754609999999998</v>
      </c>
      <c r="E7694">
        <v>0.55123549999999999</v>
      </c>
      <c r="F7694" t="s">
        <v>49</v>
      </c>
      <c r="G7694">
        <v>-223.14529999999999</v>
      </c>
      <c r="H7694">
        <v>0.97661149999999997</v>
      </c>
      <c r="I7694">
        <v>-63.780630000000002</v>
      </c>
      <c r="J7694">
        <v>-223.86779999999999</v>
      </c>
      <c r="K7694">
        <v>1.1098159999999999</v>
      </c>
      <c r="L7694">
        <v>-63.717039999999997</v>
      </c>
      <c r="M7694">
        <v>0.99853539999999996</v>
      </c>
      <c r="N7694">
        <v>0</v>
      </c>
      <c r="O7694">
        <v>5.314982E-2</v>
      </c>
      <c r="P7694">
        <v>0.99626979999999998</v>
      </c>
      <c r="Q7694">
        <v>4.6069039999999999E-2</v>
      </c>
      <c r="R7694">
        <v>7.2970740000000006E-2</v>
      </c>
      <c r="S7694">
        <v>3.0470730000000001</v>
      </c>
      <c r="T7694">
        <v>-0.4667674</v>
      </c>
      <c r="U7694">
        <v>-0.1950684</v>
      </c>
      <c r="V7694">
        <v>-1.9908349999999998E-2</v>
      </c>
      <c r="W7694">
        <v>5.6176469999999999E-2</v>
      </c>
      <c r="X7694">
        <v>0.99822239999999995</v>
      </c>
      <c r="Y7694">
        <v>0.1148877</v>
      </c>
      <c r="Z7694">
        <v>-1.6827140000000001E-2</v>
      </c>
      <c r="AA7694">
        <v>0.99323589999999995</v>
      </c>
      <c r="AB7694">
        <v>27</v>
      </c>
      <c r="AC7694">
        <v>0.72249999999999603</v>
      </c>
      <c r="AD7694">
        <v>-0.133204499999999</v>
      </c>
      <c r="AE7694">
        <v>-6.3589999999997801E-2</v>
      </c>
      <c r="AF7694">
        <v>9.8577828069245393E-2</v>
      </c>
      <c r="AG7694">
        <v>-0.133204499999999</v>
      </c>
      <c r="AH7694">
        <v>0.69466785886466198</v>
      </c>
      <c r="AI7694">
        <v>100.74971420579401</v>
      </c>
      <c r="AJ7694">
        <v>81.923287766175605</v>
      </c>
      <c r="AK7694">
        <v>0.714159968877221</v>
      </c>
      <c r="AL7694">
        <v>86.779630197136996</v>
      </c>
      <c r="AM7694">
        <v>91.142544219670697</v>
      </c>
      <c r="AN7694">
        <v>1.0000000490215699</v>
      </c>
    </row>
    <row r="7695" spans="1:40" x14ac:dyDescent="0.25">
      <c r="A7695" t="str">
        <f>"20190312160518997"</f>
        <v>20190312160518997</v>
      </c>
      <c r="B7695" t="str">
        <f>"1552377918992372"</f>
        <v>1552377918992372</v>
      </c>
      <c r="C7695" t="s">
        <v>40</v>
      </c>
      <c r="D7695">
        <v>5.4926579999999996</v>
      </c>
      <c r="E7695">
        <v>0.55253619999999903</v>
      </c>
      <c r="F7695" t="s">
        <v>49</v>
      </c>
      <c r="G7695">
        <v>-223.1369</v>
      </c>
      <c r="H7695">
        <v>0.99587349999999997</v>
      </c>
      <c r="I7695">
        <v>-63.765059999999998</v>
      </c>
      <c r="J7695">
        <v>-223.73570000000001</v>
      </c>
      <c r="K7695">
        <v>1.1098410000000001</v>
      </c>
      <c r="L7695">
        <v>-63.709989999999998</v>
      </c>
      <c r="M7695">
        <v>0.99853409999999998</v>
      </c>
      <c r="N7695">
        <v>0</v>
      </c>
      <c r="O7695">
        <v>5.3156630000000003E-2</v>
      </c>
      <c r="P7695">
        <v>0.99622920000000004</v>
      </c>
      <c r="Q7695">
        <v>4.600568E-2</v>
      </c>
      <c r="R7695">
        <v>7.3560310000000004E-2</v>
      </c>
      <c r="S7695">
        <v>3.047806</v>
      </c>
      <c r="T7695">
        <v>-0.47511900000000001</v>
      </c>
      <c r="U7695">
        <v>-0.1996155</v>
      </c>
      <c r="V7695">
        <v>-2.049426E-2</v>
      </c>
      <c r="W7695">
        <v>5.6195040000000002E-2</v>
      </c>
      <c r="X7695">
        <v>0.99820949999999997</v>
      </c>
      <c r="Y7695">
        <v>0.1162692</v>
      </c>
      <c r="Z7695">
        <v>-1.7227860000000001E-2</v>
      </c>
      <c r="AA7695">
        <v>0.99306830000000001</v>
      </c>
      <c r="AB7695">
        <v>27</v>
      </c>
      <c r="AC7695">
        <v>0.59880000000001099</v>
      </c>
      <c r="AD7695">
        <v>-0.1139675</v>
      </c>
      <c r="AE7695">
        <v>-5.5069999999993499E-2</v>
      </c>
      <c r="AF7695">
        <v>8.3813372599029295E-2</v>
      </c>
      <c r="AG7695">
        <v>-0.1139675</v>
      </c>
      <c r="AH7695">
        <v>0.57439341570312397</v>
      </c>
      <c r="AI7695">
        <v>101.107852631545</v>
      </c>
      <c r="AJ7695">
        <v>81.698199398800497</v>
      </c>
      <c r="AK7695">
        <v>0.59155816999326005</v>
      </c>
      <c r="AL7695">
        <v>86.778564539326098</v>
      </c>
      <c r="AM7695">
        <v>91.176175597474796</v>
      </c>
      <c r="AN7695">
        <v>1.0000000515518901</v>
      </c>
    </row>
    <row r="7696" spans="1:40" x14ac:dyDescent="0.25">
      <c r="A7696" t="str">
        <f>"20190312160519007"</f>
        <v>20190312160519007</v>
      </c>
      <c r="B7696" t="str">
        <f>"1552377919003108"</f>
        <v>1552377919003108</v>
      </c>
      <c r="C7696" t="s">
        <v>40</v>
      </c>
      <c r="D7696">
        <v>5.5355299999999996</v>
      </c>
      <c r="E7696">
        <v>0.55313059999999903</v>
      </c>
      <c r="F7696" t="s">
        <v>49</v>
      </c>
      <c r="G7696">
        <v>-222.90119999999999</v>
      </c>
      <c r="H7696">
        <v>0.97881689999999999</v>
      </c>
      <c r="I7696">
        <v>-63.766919999999899</v>
      </c>
      <c r="J7696">
        <v>-223.6044</v>
      </c>
      <c r="K7696">
        <v>1.109869</v>
      </c>
      <c r="L7696">
        <v>-63.703000000000003</v>
      </c>
      <c r="M7696">
        <v>0.99853270000000005</v>
      </c>
      <c r="N7696">
        <v>0</v>
      </c>
      <c r="O7696">
        <v>5.3165990000000003E-2</v>
      </c>
      <c r="P7696">
        <v>0.99621340000000003</v>
      </c>
      <c r="Q7696">
        <v>4.5853680000000001E-2</v>
      </c>
      <c r="R7696">
        <v>7.3865990000000006E-2</v>
      </c>
      <c r="S7696">
        <v>3.0488279999999999</v>
      </c>
      <c r="T7696">
        <v>-0.4786839</v>
      </c>
      <c r="U7696">
        <v>-0.20809939999999999</v>
      </c>
      <c r="V7696">
        <v>-2.0792789999999998E-2</v>
      </c>
      <c r="W7696">
        <v>5.6126959999999997E-2</v>
      </c>
      <c r="X7696">
        <v>0.99820710000000001</v>
      </c>
      <c r="Y7696">
        <v>0.11894589999999899</v>
      </c>
      <c r="Z7696">
        <v>-1.7558480000000001E-2</v>
      </c>
      <c r="AA7696">
        <v>0.99274549999999995</v>
      </c>
      <c r="AB7696">
        <v>27</v>
      </c>
      <c r="AC7696">
        <v>0.70320000000000904</v>
      </c>
      <c r="AD7696">
        <v>-0.1310521</v>
      </c>
      <c r="AE7696">
        <v>-6.3919999999988805E-2</v>
      </c>
      <c r="AF7696">
        <v>9.7847303811976399E-2</v>
      </c>
      <c r="AG7696">
        <v>-0.1310521</v>
      </c>
      <c r="AH7696">
        <v>0.67553632320385204</v>
      </c>
      <c r="AI7696">
        <v>100.86817076873599</v>
      </c>
      <c r="AJ7696">
        <v>81.758373646696498</v>
      </c>
      <c r="AK7696">
        <v>0.69505256761302703</v>
      </c>
      <c r="AL7696">
        <v>86.782471220141801</v>
      </c>
      <c r="AM7696">
        <v>91.1933063298695</v>
      </c>
      <c r="AN7696">
        <v>0.99999999512261795</v>
      </c>
    </row>
    <row r="7697" spans="1:40" x14ac:dyDescent="0.25">
      <c r="A7697" t="str">
        <f>"20190312160519018"</f>
        <v>20190312160519018</v>
      </c>
      <c r="B7697" t="str">
        <f>"1552377919012867"</f>
        <v>1552377919012867</v>
      </c>
      <c r="C7697" t="s">
        <v>40</v>
      </c>
      <c r="D7697">
        <v>5.4567259999999997</v>
      </c>
      <c r="E7697">
        <v>0.55362929999999999</v>
      </c>
      <c r="F7697" t="s">
        <v>49</v>
      </c>
      <c r="G7697">
        <v>-222.8929</v>
      </c>
      <c r="H7697">
        <v>0.99780639999999998</v>
      </c>
      <c r="I7697">
        <v>-63.752450000000003</v>
      </c>
      <c r="J7697">
        <v>-223.46709999999999</v>
      </c>
      <c r="K7697">
        <v>1.1098980000000001</v>
      </c>
      <c r="L7697">
        <v>-63.695709999999998</v>
      </c>
      <c r="M7697">
        <v>0.99853029999999998</v>
      </c>
      <c r="N7697">
        <v>0</v>
      </c>
      <c r="O7697">
        <v>5.319364E-2</v>
      </c>
      <c r="P7697">
        <v>0.99619040000000003</v>
      </c>
      <c r="Q7697">
        <v>4.561134E-2</v>
      </c>
      <c r="R7697">
        <v>7.4327619999999997E-2</v>
      </c>
      <c r="S7697">
        <v>3.0492400000000002</v>
      </c>
      <c r="T7697">
        <v>-0.480271</v>
      </c>
      <c r="U7697">
        <v>-0.21203610000000001</v>
      </c>
      <c r="V7697">
        <v>-2.122895E-2</v>
      </c>
      <c r="W7697">
        <v>5.5986029999999999E-2</v>
      </c>
      <c r="X7697">
        <v>0.99820580000000003</v>
      </c>
      <c r="Y7697">
        <v>0.1202109</v>
      </c>
      <c r="Z7697">
        <v>-1.7716180000000002E-2</v>
      </c>
      <c r="AA7697">
        <v>0.99259030000000004</v>
      </c>
      <c r="AB7697">
        <v>27</v>
      </c>
      <c r="AC7697">
        <v>0.57419999999999005</v>
      </c>
      <c r="AD7697">
        <v>-0.1120916</v>
      </c>
      <c r="AE7697">
        <v>-5.6740000000004898E-2</v>
      </c>
      <c r="AF7697">
        <v>8.4033677881512905E-2</v>
      </c>
      <c r="AG7697">
        <v>-0.1120916</v>
      </c>
      <c r="AH7697">
        <v>0.54962582860889997</v>
      </c>
      <c r="AI7697">
        <v>101.397995580578</v>
      </c>
      <c r="AJ7697">
        <v>81.307221244932805</v>
      </c>
      <c r="AK7697">
        <v>0.56719902792835697</v>
      </c>
      <c r="AL7697">
        <v>86.790558523072605</v>
      </c>
      <c r="AM7697">
        <v>91.218331841438697</v>
      </c>
      <c r="AN7697">
        <v>0.99999996151345105</v>
      </c>
    </row>
    <row r="7698" spans="1:40" x14ac:dyDescent="0.25">
      <c r="A7698" t="str">
        <f>"20190312160519029"</f>
        <v>20190312160519029</v>
      </c>
      <c r="B7698" t="str">
        <f>"1552377919022627"</f>
        <v>1552377919022627</v>
      </c>
      <c r="C7698" t="s">
        <v>40</v>
      </c>
      <c r="D7698">
        <v>5.4642239999999997</v>
      </c>
      <c r="E7698">
        <v>0.5541798</v>
      </c>
      <c r="F7698" t="s">
        <v>49</v>
      </c>
      <c r="G7698">
        <v>-222.65690000000001</v>
      </c>
      <c r="H7698">
        <v>0.98164110000000004</v>
      </c>
      <c r="I7698">
        <v>-63.752870000000001</v>
      </c>
      <c r="J7698">
        <v>-223.3338</v>
      </c>
      <c r="K7698">
        <v>1.109928</v>
      </c>
      <c r="L7698">
        <v>-63.688569999999999</v>
      </c>
      <c r="M7698">
        <v>0.99852750000000001</v>
      </c>
      <c r="N7698">
        <v>0</v>
      </c>
      <c r="O7698">
        <v>5.3224210000000001E-2</v>
      </c>
      <c r="P7698">
        <v>0.9961641</v>
      </c>
      <c r="Q7698">
        <v>4.5485240000000003E-2</v>
      </c>
      <c r="R7698">
        <v>7.4752079999999999E-2</v>
      </c>
      <c r="S7698">
        <v>3.0495760000000001</v>
      </c>
      <c r="T7698">
        <v>-0.48268349999999999</v>
      </c>
      <c r="U7698">
        <v>-0.21466060000000001</v>
      </c>
      <c r="V7698">
        <v>-2.1624529999999999E-2</v>
      </c>
      <c r="W7698">
        <v>5.5958420000000002E-2</v>
      </c>
      <c r="X7698">
        <v>0.9981989</v>
      </c>
      <c r="Y7698">
        <v>0.1210524</v>
      </c>
      <c r="Z7698">
        <v>-1.7872579999999999E-2</v>
      </c>
      <c r="AA7698">
        <v>0.99248519999999896</v>
      </c>
      <c r="AB7698">
        <v>27</v>
      </c>
      <c r="AC7698">
        <v>0.67689999999998895</v>
      </c>
      <c r="AD7698">
        <v>-0.12828689999999901</v>
      </c>
      <c r="AE7698">
        <v>-6.4299999999995805E-2</v>
      </c>
      <c r="AF7698">
        <v>9.6792760718449306E-2</v>
      </c>
      <c r="AG7698">
        <v>-0.12828689999999901</v>
      </c>
      <c r="AH7698">
        <v>0.64940115994262204</v>
      </c>
      <c r="AI7698">
        <v>101.055626173701</v>
      </c>
      <c r="AJ7698">
        <v>81.522516653896702</v>
      </c>
      <c r="AK7698">
        <v>0.66899045865687201</v>
      </c>
      <c r="AL7698">
        <v>86.792143081543998</v>
      </c>
      <c r="AM7698">
        <v>91.241035763168298</v>
      </c>
      <c r="AN7698">
        <v>1.0000000045139099</v>
      </c>
    </row>
    <row r="7699" spans="1:40" x14ac:dyDescent="0.25">
      <c r="A7699" t="str">
        <f>"20190312160519041"</f>
        <v>20190312160519041</v>
      </c>
      <c r="B7699" t="str">
        <f>"1552377919032388"</f>
        <v>1552377919032388</v>
      </c>
      <c r="C7699" t="s">
        <v>40</v>
      </c>
      <c r="D7699">
        <v>5.4413999999999998</v>
      </c>
      <c r="E7699">
        <v>0.55463869999999904</v>
      </c>
      <c r="F7699" t="s">
        <v>49</v>
      </c>
      <c r="G7699">
        <v>-222.42099999999999</v>
      </c>
      <c r="H7699">
        <v>0.96486810000000001</v>
      </c>
      <c r="I7699">
        <v>-63.7538699999999</v>
      </c>
      <c r="J7699">
        <v>-223.1925</v>
      </c>
      <c r="K7699">
        <v>1.109961</v>
      </c>
      <c r="L7699">
        <v>-63.68103</v>
      </c>
      <c r="M7699">
        <v>0.99852390000000002</v>
      </c>
      <c r="N7699">
        <v>0</v>
      </c>
      <c r="O7699">
        <v>5.3270690000000002E-2</v>
      </c>
      <c r="P7699">
        <v>0.99614990000000003</v>
      </c>
      <c r="Q7699">
        <v>4.5472230000000002E-2</v>
      </c>
      <c r="R7699">
        <v>7.4950810000000007E-2</v>
      </c>
      <c r="S7699">
        <v>3.0500340000000001</v>
      </c>
      <c r="T7699">
        <v>-0.48469719999999999</v>
      </c>
      <c r="U7699">
        <v>-0.217865</v>
      </c>
      <c r="V7699">
        <v>-2.1779110000000001E-2</v>
      </c>
      <c r="W7699">
        <v>5.6051730000000001E-2</v>
      </c>
      <c r="X7699">
        <v>0.99819029999999997</v>
      </c>
      <c r="Y7699">
        <v>0.1220948</v>
      </c>
      <c r="Z7699">
        <v>-1.8032530000000001E-2</v>
      </c>
      <c r="AA7699">
        <v>0.99235459999999998</v>
      </c>
      <c r="AB7699">
        <v>27</v>
      </c>
      <c r="AC7699">
        <v>0.77150000000000296</v>
      </c>
      <c r="AD7699">
        <v>-0.145092899999999</v>
      </c>
      <c r="AE7699">
        <v>-7.2839999999985097E-2</v>
      </c>
      <c r="AF7699">
        <v>0.109981655406712</v>
      </c>
      <c r="AG7699">
        <v>-0.145092899999999</v>
      </c>
      <c r="AH7699">
        <v>0.74056257558803595</v>
      </c>
      <c r="AI7699">
        <v>100.967794830963</v>
      </c>
      <c r="AJ7699">
        <v>81.552691181225896</v>
      </c>
      <c r="AK7699">
        <v>0.762614478303419</v>
      </c>
      <c r="AL7699">
        <v>86.786788395356396</v>
      </c>
      <c r="AM7699">
        <v>91.249915098820907</v>
      </c>
      <c r="AN7699">
        <v>1.0000000005412299</v>
      </c>
    </row>
    <row r="7700" spans="1:40" x14ac:dyDescent="0.25">
      <c r="A7700" t="str">
        <f>"20190312160519052"</f>
        <v>20190312160519052</v>
      </c>
      <c r="B7700" t="str">
        <f>"1552377919043126"</f>
        <v>1552377919043126</v>
      </c>
      <c r="C7700" t="s">
        <v>40</v>
      </c>
      <c r="D7700">
        <v>5.4615660000000004</v>
      </c>
      <c r="E7700">
        <v>0.55509469999999905</v>
      </c>
      <c r="F7700" t="s">
        <v>49</v>
      </c>
      <c r="G7700">
        <v>-222.41210000000001</v>
      </c>
      <c r="H7700">
        <v>0.98554160000000002</v>
      </c>
      <c r="I7700">
        <v>-63.737690000000001</v>
      </c>
      <c r="J7700">
        <v>-223.05439999999999</v>
      </c>
      <c r="K7700">
        <v>1.1099909999999999</v>
      </c>
      <c r="L7700">
        <v>-63.673609999999996</v>
      </c>
      <c r="M7700">
        <v>0.99852010000000002</v>
      </c>
      <c r="N7700">
        <v>0</v>
      </c>
      <c r="O7700">
        <v>5.3320680000000002E-2</v>
      </c>
      <c r="P7700">
        <v>0.99610109999999996</v>
      </c>
      <c r="Q7700">
        <v>4.5743039999999999E-2</v>
      </c>
      <c r="R7700">
        <v>7.5435080000000002E-2</v>
      </c>
      <c r="S7700">
        <v>3.05043</v>
      </c>
      <c r="T7700">
        <v>-0.48633929999999997</v>
      </c>
      <c r="U7700">
        <v>-0.2210693</v>
      </c>
      <c r="V7700">
        <v>-2.2217009999999999E-2</v>
      </c>
      <c r="W7700">
        <v>5.6423540000000001E-2</v>
      </c>
      <c r="X7700">
        <v>0.99815969999999998</v>
      </c>
      <c r="Y7700">
        <v>0.1231445</v>
      </c>
      <c r="Z7700">
        <v>-1.81809E-2</v>
      </c>
      <c r="AA7700">
        <v>0.99222220000000005</v>
      </c>
      <c r="AB7700">
        <v>27</v>
      </c>
      <c r="AC7700">
        <v>0.642299999999977</v>
      </c>
      <c r="AD7700">
        <v>-0.1244494</v>
      </c>
      <c r="AE7700">
        <v>-6.4080000000004106E-2</v>
      </c>
      <c r="AF7700">
        <v>9.4717873604111505E-2</v>
      </c>
      <c r="AG7700">
        <v>-0.1244494</v>
      </c>
      <c r="AH7700">
        <v>0.61510491409115098</v>
      </c>
      <c r="AI7700">
        <v>101.308023445646</v>
      </c>
      <c r="AJ7700">
        <v>81.245980697480405</v>
      </c>
      <c r="AK7700">
        <v>0.63467565266010195</v>
      </c>
      <c r="AL7700">
        <v>86.765451479098203</v>
      </c>
      <c r="AM7700">
        <v>91.275077281273497</v>
      </c>
      <c r="AN7700">
        <v>0.99999999905178005</v>
      </c>
    </row>
    <row r="7701" spans="1:40" x14ac:dyDescent="0.25">
      <c r="A7701" t="str">
        <f>"20190312160519062"</f>
        <v>20190312160519062</v>
      </c>
      <c r="B7701" t="str">
        <f>"1552377919052883"</f>
        <v>1552377919052883</v>
      </c>
      <c r="C7701" t="s">
        <v>40</v>
      </c>
      <c r="D7701">
        <v>5.5027990000000004</v>
      </c>
      <c r="E7701">
        <v>0.55559769999999997</v>
      </c>
      <c r="F7701" t="s">
        <v>49</v>
      </c>
      <c r="G7701">
        <v>-222.17580000000001</v>
      </c>
      <c r="H7701">
        <v>0.96994899999999995</v>
      </c>
      <c r="I7701">
        <v>-63.738239999999998</v>
      </c>
      <c r="J7701">
        <v>-222.92570000000001</v>
      </c>
      <c r="K7701">
        <v>1.110023</v>
      </c>
      <c r="L7701">
        <v>-63.666690000000003</v>
      </c>
      <c r="M7701">
        <v>0.99851659999999998</v>
      </c>
      <c r="N7701">
        <v>0</v>
      </c>
      <c r="O7701">
        <v>5.337186E-2</v>
      </c>
      <c r="P7701">
        <v>0.99604550000000003</v>
      </c>
      <c r="Q7701">
        <v>4.6048440000000003E-2</v>
      </c>
      <c r="R7701">
        <v>7.5981709999999994E-2</v>
      </c>
      <c r="S7701">
        <v>3.050964</v>
      </c>
      <c r="T7701">
        <v>-0.48628399999999999</v>
      </c>
      <c r="U7701">
        <v>-0.22335820000000001</v>
      </c>
      <c r="V7701">
        <v>-2.27172E-2</v>
      </c>
      <c r="W7701">
        <v>5.6820120000000002E-2</v>
      </c>
      <c r="X7701">
        <v>0.99812599999999996</v>
      </c>
      <c r="Y7701">
        <v>0.12391439999999999</v>
      </c>
      <c r="Z7701">
        <v>-1.824427E-2</v>
      </c>
      <c r="AA7701">
        <v>0.99212520000000004</v>
      </c>
      <c r="AB7701">
        <v>27</v>
      </c>
      <c r="AC7701">
        <v>0.74989999999999601</v>
      </c>
      <c r="AD7701">
        <v>-0.140074</v>
      </c>
      <c r="AE7701">
        <v>-7.1550000000002001E-2</v>
      </c>
      <c r="AF7701">
        <v>0.10774839845410999</v>
      </c>
      <c r="AG7701">
        <v>-0.140074</v>
      </c>
      <c r="AH7701">
        <v>0.72011354713140996</v>
      </c>
      <c r="AI7701">
        <v>100.88924584630701</v>
      </c>
      <c r="AJ7701">
        <v>81.490139017885696</v>
      </c>
      <c r="AK7701">
        <v>0.74148092599041704</v>
      </c>
      <c r="AL7701">
        <v>86.742692787516802</v>
      </c>
      <c r="AM7701">
        <v>91.303818360197894</v>
      </c>
      <c r="AN7701">
        <v>1.0000000545443199</v>
      </c>
    </row>
    <row r="7702" spans="1:40" x14ac:dyDescent="0.25">
      <c r="A7702" t="str">
        <f>"20190312160519075"</f>
        <v>20190312160519075</v>
      </c>
      <c r="B7702" t="str">
        <f>"1552377919062645"</f>
        <v>1552377919062645</v>
      </c>
      <c r="C7702" t="s">
        <v>40</v>
      </c>
      <c r="D7702">
        <v>5.3813510000000004</v>
      </c>
      <c r="E7702">
        <v>0.55573669999999997</v>
      </c>
      <c r="F7702" t="s">
        <v>49</v>
      </c>
      <c r="G7702">
        <v>-222.16759999999999</v>
      </c>
      <c r="H7702">
        <v>0.9891664</v>
      </c>
      <c r="I7702">
        <v>-63.723170000000003</v>
      </c>
      <c r="J7702">
        <v>-222.78700000000001</v>
      </c>
      <c r="K7702">
        <v>1.110053</v>
      </c>
      <c r="L7702">
        <v>-63.659210000000002</v>
      </c>
      <c r="M7702">
        <v>0.99851190000000001</v>
      </c>
      <c r="N7702">
        <v>0</v>
      </c>
      <c r="O7702">
        <v>5.3437659999999998E-2</v>
      </c>
      <c r="P7702">
        <v>0.99598929999999997</v>
      </c>
      <c r="Q7702">
        <v>4.6204490000000001E-2</v>
      </c>
      <c r="R7702">
        <v>7.6620369999999993E-2</v>
      </c>
      <c r="S7702">
        <v>3.0516359999999998</v>
      </c>
      <c r="T7702">
        <v>-0.4863904</v>
      </c>
      <c r="U7702">
        <v>-0.2260742</v>
      </c>
      <c r="V7702">
        <v>-2.3294659999999998E-2</v>
      </c>
      <c r="W7702">
        <v>5.7069090000000003E-2</v>
      </c>
      <c r="X7702">
        <v>0.99809840000000005</v>
      </c>
      <c r="Y7702">
        <v>0.12483</v>
      </c>
      <c r="Z7702">
        <v>-1.832655E-2</v>
      </c>
      <c r="AA7702">
        <v>0.99200889999999997</v>
      </c>
      <c r="AB7702">
        <v>27</v>
      </c>
      <c r="AC7702">
        <v>0.61940000000001205</v>
      </c>
      <c r="AD7702">
        <v>-0.120886599999999</v>
      </c>
      <c r="AE7702">
        <v>-6.3960000000001502E-2</v>
      </c>
      <c r="AF7702">
        <v>9.3447945794656997E-2</v>
      </c>
      <c r="AG7702">
        <v>-0.120886599999999</v>
      </c>
      <c r="AH7702">
        <v>0.59275676424296797</v>
      </c>
      <c r="AI7702">
        <v>101.38988286379799</v>
      </c>
      <c r="AJ7702">
        <v>81.041070113927404</v>
      </c>
      <c r="AK7702">
        <v>0.61213288605383298</v>
      </c>
      <c r="AL7702">
        <v>86.728404393596804</v>
      </c>
      <c r="AM7702">
        <v>91.336985855401593</v>
      </c>
      <c r="AN7702">
        <v>0.99999996915025102</v>
      </c>
    </row>
    <row r="7703" spans="1:40" x14ac:dyDescent="0.25">
      <c r="A7703" t="str">
        <f>"20190312160519085"</f>
        <v>20190312160519085</v>
      </c>
      <c r="B7703" t="str">
        <f>"1552377919083139"</f>
        <v>1552377919083139</v>
      </c>
      <c r="C7703" t="s">
        <v>40</v>
      </c>
      <c r="D7703">
        <v>5.4228019999999999</v>
      </c>
      <c r="E7703">
        <v>0.55654749999999997</v>
      </c>
      <c r="F7703" t="s">
        <v>49</v>
      </c>
      <c r="G7703">
        <v>-221.93129999999999</v>
      </c>
      <c r="H7703">
        <v>0.97386010000000001</v>
      </c>
      <c r="I7703">
        <v>-63.72251</v>
      </c>
      <c r="J7703">
        <v>-222.65469999999999</v>
      </c>
      <c r="K7703">
        <v>1.11008</v>
      </c>
      <c r="L7703">
        <v>-63.652070000000002</v>
      </c>
      <c r="M7703">
        <v>0.99850729999999999</v>
      </c>
      <c r="N7703">
        <v>0</v>
      </c>
      <c r="O7703">
        <v>5.350593E-2</v>
      </c>
      <c r="P7703">
        <v>0.99593779999999998</v>
      </c>
      <c r="Q7703">
        <v>4.6318579999999998E-2</v>
      </c>
      <c r="R7703">
        <v>7.7218319999999993E-2</v>
      </c>
      <c r="S7703">
        <v>3.051987</v>
      </c>
      <c r="T7703">
        <v>-0.48574139999999999</v>
      </c>
      <c r="U7703">
        <v>-0.2256775</v>
      </c>
      <c r="V7703">
        <v>-2.382838E-2</v>
      </c>
      <c r="W7703">
        <v>5.7270469999999997E-2</v>
      </c>
      <c r="X7703">
        <v>0.99807429999999997</v>
      </c>
      <c r="Y7703">
        <v>0.1247675</v>
      </c>
      <c r="Z7703">
        <v>-1.8306260000000001E-2</v>
      </c>
      <c r="AA7703">
        <v>0.99201709999999999</v>
      </c>
      <c r="AB7703">
        <v>27</v>
      </c>
      <c r="AC7703">
        <v>0.72339999999999705</v>
      </c>
      <c r="AD7703">
        <v>-0.13621989999999901</v>
      </c>
      <c r="AE7703">
        <v>-7.0440000000004901E-2</v>
      </c>
      <c r="AF7703">
        <v>0.105347202417375</v>
      </c>
      <c r="AG7703">
        <v>-0.13621989999999901</v>
      </c>
      <c r="AH7703">
        <v>0.69420979834301499</v>
      </c>
      <c r="AI7703">
        <v>100.979106173803</v>
      </c>
      <c r="AJ7703">
        <v>81.371128590996506</v>
      </c>
      <c r="AK7703">
        <v>0.71524900442337402</v>
      </c>
      <c r="AL7703">
        <v>86.716847379606904</v>
      </c>
      <c r="AM7703">
        <v>91.367639966033906</v>
      </c>
      <c r="AN7703">
        <v>1.00000000337396</v>
      </c>
    </row>
    <row r="7704" spans="1:40" x14ac:dyDescent="0.25">
      <c r="A7704" t="str">
        <f>"20190312160519096"</f>
        <v>20190312160519096</v>
      </c>
      <c r="B7704" t="str">
        <f>"1552377919092899"</f>
        <v>1552377919092899</v>
      </c>
      <c r="C7704" t="s">
        <v>40</v>
      </c>
      <c r="D7704">
        <v>5.2822100000000001</v>
      </c>
      <c r="E7704">
        <v>0.55687769999999903</v>
      </c>
      <c r="F7704" t="s">
        <v>49</v>
      </c>
      <c r="G7704">
        <v>-221.923</v>
      </c>
      <c r="H7704">
        <v>0.99313689999999999</v>
      </c>
      <c r="I7704">
        <v>-63.707380000000001</v>
      </c>
      <c r="J7704">
        <v>-222.51949999999999</v>
      </c>
      <c r="K7704">
        <v>1.110107</v>
      </c>
      <c r="L7704">
        <v>-63.644739999999999</v>
      </c>
      <c r="M7704">
        <v>0.99850170000000005</v>
      </c>
      <c r="N7704">
        <v>0</v>
      </c>
      <c r="O7704">
        <v>5.3591239999999998E-2</v>
      </c>
      <c r="P7704">
        <v>0.99591099999999999</v>
      </c>
      <c r="Q7704">
        <v>4.6176490000000001E-2</v>
      </c>
      <c r="R7704">
        <v>7.764617E-2</v>
      </c>
      <c r="S7704">
        <v>3.0527950000000001</v>
      </c>
      <c r="T7704">
        <v>-0.48786970000000002</v>
      </c>
      <c r="U7704">
        <v>-0.23065189999999999</v>
      </c>
      <c r="V7704">
        <v>-2.4173489999999999E-2</v>
      </c>
      <c r="W7704">
        <v>5.7213819999999999E-2</v>
      </c>
      <c r="X7704">
        <v>0.99806919999999999</v>
      </c>
      <c r="Y7704">
        <v>0.1264006</v>
      </c>
      <c r="Z7704">
        <v>-1.8522690000000001E-2</v>
      </c>
      <c r="AA7704">
        <v>0.99180630000000003</v>
      </c>
      <c r="AB7704">
        <v>27</v>
      </c>
      <c r="AC7704">
        <v>0.59649999999999104</v>
      </c>
      <c r="AD7704">
        <v>-0.11697009999999899</v>
      </c>
      <c r="AE7704">
        <v>-6.2640000000001805E-2</v>
      </c>
      <c r="AF7704">
        <v>9.1055930978809305E-2</v>
      </c>
      <c r="AG7704">
        <v>-0.11697009999999899</v>
      </c>
      <c r="AH7704">
        <v>0.57058424703691601</v>
      </c>
      <c r="AI7704">
        <v>101.444240567157</v>
      </c>
      <c r="AJ7704">
        <v>80.9329828486254</v>
      </c>
      <c r="AK7704">
        <v>0.58952486786149405</v>
      </c>
      <c r="AL7704">
        <v>86.720098352237599</v>
      </c>
      <c r="AM7704">
        <v>91.387447100395903</v>
      </c>
      <c r="AN7704">
        <v>0.99999995340320502</v>
      </c>
    </row>
    <row r="7705" spans="1:40" x14ac:dyDescent="0.25">
      <c r="A7705" t="str">
        <f>"20190312160519108"</f>
        <v>20190312160519108</v>
      </c>
      <c r="B7705" t="str">
        <f>"1552377919102659"</f>
        <v>1552377919102659</v>
      </c>
      <c r="C7705" t="s">
        <v>40</v>
      </c>
      <c r="D7705">
        <v>5.2421430000000004</v>
      </c>
      <c r="E7705">
        <v>0.55713210000000002</v>
      </c>
      <c r="F7705" t="s">
        <v>49</v>
      </c>
      <c r="G7705">
        <v>-221.68729999999999</v>
      </c>
      <c r="H7705">
        <v>0.97677040000000004</v>
      </c>
      <c r="I7705">
        <v>-63.708100000000002</v>
      </c>
      <c r="J7705">
        <v>-222.37989999999999</v>
      </c>
      <c r="K7705">
        <v>1.1101369999999999</v>
      </c>
      <c r="L7705">
        <v>-63.637149999999998</v>
      </c>
      <c r="M7705">
        <v>0.99849569999999999</v>
      </c>
      <c r="N7705">
        <v>0</v>
      </c>
      <c r="O7705">
        <v>5.3684009999999997E-2</v>
      </c>
      <c r="P7705">
        <v>0.99585000000000001</v>
      </c>
      <c r="Q7705">
        <v>4.6120010000000003E-2</v>
      </c>
      <c r="R7705">
        <v>7.8458009999999995E-2</v>
      </c>
      <c r="S7705">
        <v>3.0530849999999998</v>
      </c>
      <c r="T7705">
        <v>-0.4891624</v>
      </c>
      <c r="U7705">
        <v>-0.23193359999999999</v>
      </c>
      <c r="V7705">
        <v>-2.489779E-2</v>
      </c>
      <c r="W7705">
        <v>5.724477E-2</v>
      </c>
      <c r="X7705">
        <v>0.99804970000000004</v>
      </c>
      <c r="Y7705">
        <v>0.12688089999999999</v>
      </c>
      <c r="Z7705">
        <v>-1.8622099999999999E-2</v>
      </c>
      <c r="AA7705">
        <v>0.99174309999999999</v>
      </c>
      <c r="AB7705">
        <v>27</v>
      </c>
      <c r="AC7705">
        <v>0.692599999999998</v>
      </c>
      <c r="AD7705">
        <v>-0.1333666</v>
      </c>
      <c r="AE7705">
        <v>-7.0950000000003399E-2</v>
      </c>
      <c r="AF7705">
        <v>0.10420773105429799</v>
      </c>
      <c r="AG7705">
        <v>-0.1333666</v>
      </c>
      <c r="AH7705">
        <v>0.66344744780529297</v>
      </c>
      <c r="AI7705">
        <v>101.23200355497001</v>
      </c>
      <c r="AJ7705">
        <v>81.073480346465004</v>
      </c>
      <c r="AK7705">
        <v>0.68469585744796302</v>
      </c>
      <c r="AL7705">
        <v>86.718322400317206</v>
      </c>
      <c r="AM7705">
        <v>91.429029509412899</v>
      </c>
      <c r="AN7705">
        <v>1.0000000336546599</v>
      </c>
    </row>
    <row r="7706" spans="1:40" x14ac:dyDescent="0.25">
      <c r="A7706" t="str">
        <f>"20190312160519119"</f>
        <v>20190312160519119</v>
      </c>
      <c r="B7706" t="str">
        <f>"1552377919112420"</f>
        <v>1552377919112420</v>
      </c>
      <c r="C7706" t="s">
        <v>40</v>
      </c>
      <c r="D7706">
        <v>5.4360650000000001</v>
      </c>
      <c r="E7706">
        <v>0.55713210000000002</v>
      </c>
      <c r="F7706" t="s">
        <v>49</v>
      </c>
      <c r="G7706">
        <v>-221.4512</v>
      </c>
      <c r="H7706">
        <v>0.96110649999999997</v>
      </c>
      <c r="I7706">
        <v>-63.707709999999999</v>
      </c>
      <c r="J7706">
        <v>-222.24260000000001</v>
      </c>
      <c r="K7706">
        <v>1.1101620000000001</v>
      </c>
      <c r="L7706">
        <v>-63.629640000000002</v>
      </c>
      <c r="M7706">
        <v>0.99848890000000001</v>
      </c>
      <c r="N7706">
        <v>0</v>
      </c>
      <c r="O7706">
        <v>5.37949E-2</v>
      </c>
      <c r="P7706">
        <v>0.99581889999999995</v>
      </c>
      <c r="Q7706">
        <v>4.577026E-2</v>
      </c>
      <c r="R7706">
        <v>7.9057890000000006E-2</v>
      </c>
      <c r="S7706">
        <v>3.0534210000000002</v>
      </c>
      <c r="T7706">
        <v>-0.48998570000000002</v>
      </c>
      <c r="U7706">
        <v>-0.2314148</v>
      </c>
      <c r="V7706">
        <v>-2.5389789999999999E-2</v>
      </c>
      <c r="W7706">
        <v>5.6976739999999998E-2</v>
      </c>
      <c r="X7706">
        <v>0.99805259999999996</v>
      </c>
      <c r="Y7706">
        <v>0.12680759999999999</v>
      </c>
      <c r="Z7706">
        <v>-1.8662970000000001E-2</v>
      </c>
      <c r="AA7706">
        <v>0.99175170000000001</v>
      </c>
      <c r="AB7706">
        <v>27</v>
      </c>
      <c r="AC7706">
        <v>0.79140000000000998</v>
      </c>
      <c r="AD7706">
        <v>-0.14905550000000001</v>
      </c>
      <c r="AE7706">
        <v>-7.8069999999996698E-2</v>
      </c>
      <c r="AF7706">
        <v>0.116442108904615</v>
      </c>
      <c r="AG7706">
        <v>-0.14905550000000001</v>
      </c>
      <c r="AH7706">
        <v>0.75937578680418505</v>
      </c>
      <c r="AI7706">
        <v>100.980059082927</v>
      </c>
      <c r="AJ7706">
        <v>81.282212170212802</v>
      </c>
      <c r="AK7706">
        <v>0.78257772290736705</v>
      </c>
      <c r="AL7706">
        <v>86.7337043552061</v>
      </c>
      <c r="AM7706">
        <v>91.457251970347102</v>
      </c>
      <c r="AN7706">
        <v>0.99999999135201501</v>
      </c>
    </row>
    <row r="7707" spans="1:40" x14ac:dyDescent="0.25">
      <c r="A7707" t="str">
        <f>"20190312160519129"</f>
        <v>20190312160519129</v>
      </c>
      <c r="B7707" t="str">
        <f>"1552377919123155"</f>
        <v>1552377919123155</v>
      </c>
      <c r="C7707" t="s">
        <v>40</v>
      </c>
      <c r="D7707">
        <v>5.3734440000000001</v>
      </c>
      <c r="E7707">
        <v>0.55703139999999995</v>
      </c>
      <c r="F7707" t="s">
        <v>49</v>
      </c>
      <c r="G7707">
        <v>-221.4427</v>
      </c>
      <c r="H7707">
        <v>0.98153159999999895</v>
      </c>
      <c r="I7707">
        <v>-63.689979999999998</v>
      </c>
      <c r="J7707">
        <v>-222.11349999999999</v>
      </c>
      <c r="K7707">
        <v>1.110196</v>
      </c>
      <c r="L7707">
        <v>-63.622590000000002</v>
      </c>
      <c r="M7707">
        <v>0.99848210000000004</v>
      </c>
      <c r="N7707">
        <v>0</v>
      </c>
      <c r="O7707">
        <v>5.390383E-2</v>
      </c>
      <c r="P7707">
        <v>0.99576279999999995</v>
      </c>
      <c r="Q7707">
        <v>4.5215169999999999E-2</v>
      </c>
      <c r="R7707">
        <v>8.0074930000000002E-2</v>
      </c>
      <c r="S7707">
        <v>3.053391</v>
      </c>
      <c r="T7707">
        <v>-0.49100460000000001</v>
      </c>
      <c r="U7707">
        <v>-0.22964480000000001</v>
      </c>
      <c r="V7707">
        <v>-2.630091E-2</v>
      </c>
      <c r="W7707">
        <v>5.649829E-2</v>
      </c>
      <c r="X7707">
        <v>0.99805619999999995</v>
      </c>
      <c r="Y7707">
        <v>0.12633989999999901</v>
      </c>
      <c r="Z7707">
        <v>-1.8681900000000001E-2</v>
      </c>
      <c r="AA7707">
        <v>0.99181109999999995</v>
      </c>
      <c r="AB7707">
        <v>27</v>
      </c>
      <c r="AC7707">
        <v>0.67079999999998496</v>
      </c>
      <c r="AD7707">
        <v>-0.12866440000000001</v>
      </c>
      <c r="AE7707">
        <v>-6.73900000000031E-2</v>
      </c>
      <c r="AF7707">
        <v>9.9817414973628199E-2</v>
      </c>
      <c r="AG7707">
        <v>-0.12866440000000001</v>
      </c>
      <c r="AH7707">
        <v>0.64278016293137497</v>
      </c>
      <c r="AI7707">
        <v>101.188560154116</v>
      </c>
      <c r="AJ7707">
        <v>81.173034513716402</v>
      </c>
      <c r="AK7707">
        <v>0.66308700938674903</v>
      </c>
      <c r="AL7707">
        <v>86.761161735985596</v>
      </c>
      <c r="AM7707">
        <v>91.509516662237104</v>
      </c>
      <c r="AN7707">
        <v>0.99999998649909505</v>
      </c>
    </row>
    <row r="7708" spans="1:40" x14ac:dyDescent="0.25">
      <c r="A7708" t="str">
        <f>"20190312160519140"</f>
        <v>20190312160519140</v>
      </c>
      <c r="B7708" t="str">
        <f>"1552377919132915"</f>
        <v>1552377919132915</v>
      </c>
      <c r="C7708" t="s">
        <v>40</v>
      </c>
      <c r="D7708">
        <v>5.4240729999999999</v>
      </c>
      <c r="E7708">
        <v>0.55564259999999999</v>
      </c>
      <c r="F7708" t="s">
        <v>49</v>
      </c>
      <c r="G7708">
        <v>-221.209</v>
      </c>
      <c r="H7708">
        <v>0.96118309999999996</v>
      </c>
      <c r="I7708">
        <v>-63.68976</v>
      </c>
      <c r="J7708">
        <v>-221.9785</v>
      </c>
      <c r="K7708">
        <v>1.1102110000000001</v>
      </c>
      <c r="L7708">
        <v>-63.615110000000001</v>
      </c>
      <c r="M7708">
        <v>0.99847419999999998</v>
      </c>
      <c r="N7708">
        <v>0</v>
      </c>
      <c r="O7708">
        <v>5.4031830000000003E-2</v>
      </c>
      <c r="P7708">
        <v>0.99570069999999999</v>
      </c>
      <c r="Q7708">
        <v>4.5005169999999997E-2</v>
      </c>
      <c r="R7708">
        <v>8.0961179999999994E-2</v>
      </c>
      <c r="S7708">
        <v>3.0537869999999998</v>
      </c>
      <c r="T7708">
        <v>-0.50309879999999996</v>
      </c>
      <c r="U7708">
        <v>-0.2260742</v>
      </c>
      <c r="V7708">
        <v>-2.7063029999999998E-2</v>
      </c>
      <c r="W7708">
        <v>5.636451E-2</v>
      </c>
      <c r="X7708">
        <v>0.99804340000000002</v>
      </c>
      <c r="Y7708">
        <v>0.12520390000000001</v>
      </c>
      <c r="Z7708">
        <v>-1.906244E-2</v>
      </c>
      <c r="AA7708">
        <v>0.99194789999999999</v>
      </c>
      <c r="AB7708">
        <v>27</v>
      </c>
      <c r="AC7708">
        <v>0.76949999999999297</v>
      </c>
      <c r="AD7708">
        <v>-0.14902789999999999</v>
      </c>
      <c r="AE7708">
        <v>-7.4650000000005406E-2</v>
      </c>
      <c r="AF7708">
        <v>0.111960911160347</v>
      </c>
      <c r="AG7708">
        <v>-0.14902789999999999</v>
      </c>
      <c r="AH7708">
        <v>0.73695830257496098</v>
      </c>
      <c r="AI7708">
        <v>101.305867391524</v>
      </c>
      <c r="AJ7708">
        <v>81.361509999625994</v>
      </c>
      <c r="AK7708">
        <v>0.76016583739367904</v>
      </c>
      <c r="AL7708">
        <v>86.768839033105706</v>
      </c>
      <c r="AM7708">
        <v>91.553256627165098</v>
      </c>
      <c r="AN7708">
        <v>0.99999999693193997</v>
      </c>
    </row>
    <row r="7709" spans="1:40" x14ac:dyDescent="0.25">
      <c r="A7709" t="str">
        <f>"20190312160519152"</f>
        <v>20190312160519152</v>
      </c>
      <c r="B7709" t="str">
        <f>"1552377919142676"</f>
        <v>1552377919142676</v>
      </c>
      <c r="C7709" t="s">
        <v>40</v>
      </c>
      <c r="D7709">
        <v>5.3341539999999998</v>
      </c>
      <c r="E7709">
        <v>0.55564259999999999</v>
      </c>
      <c r="F7709" t="s">
        <v>49</v>
      </c>
      <c r="G7709">
        <v>-221.2003</v>
      </c>
      <c r="H7709">
        <v>0.98224599999999995</v>
      </c>
      <c r="I7709">
        <v>-63.669510000000002</v>
      </c>
      <c r="J7709">
        <v>-221.8432</v>
      </c>
      <c r="K7709">
        <v>1.110231</v>
      </c>
      <c r="L7709">
        <v>-63.607669999999999</v>
      </c>
      <c r="M7709">
        <v>0.99846610000000002</v>
      </c>
      <c r="N7709">
        <v>0</v>
      </c>
      <c r="O7709">
        <v>5.4167260000000002E-2</v>
      </c>
      <c r="P7709">
        <v>0.99563679999999999</v>
      </c>
      <c r="Q7709">
        <v>4.5046999999999997E-2</v>
      </c>
      <c r="R7709">
        <v>8.1720219999999996E-2</v>
      </c>
      <c r="S7709">
        <v>3.0529169999999999</v>
      </c>
      <c r="T7709">
        <v>-0.50201200000000001</v>
      </c>
      <c r="U7709">
        <v>-0.21255489999999999</v>
      </c>
      <c r="V7709">
        <v>-2.7690559999999999E-2</v>
      </c>
      <c r="W7709">
        <v>5.6483529999999997E-2</v>
      </c>
      <c r="X7709">
        <v>0.99801949999999995</v>
      </c>
      <c r="Y7709">
        <v>0.1210499</v>
      </c>
      <c r="Z7709">
        <v>-1.8713069999999998E-2</v>
      </c>
      <c r="AA7709">
        <v>0.99246999999999996</v>
      </c>
      <c r="AB7709">
        <v>27</v>
      </c>
      <c r="AC7709">
        <v>0.64289999999999703</v>
      </c>
      <c r="AD7709">
        <v>-0.12798499999999999</v>
      </c>
      <c r="AE7709">
        <v>-6.1839999999996502E-2</v>
      </c>
      <c r="AF7709">
        <v>9.2926635978412095E-2</v>
      </c>
      <c r="AG7709">
        <v>-0.12798499999999999</v>
      </c>
      <c r="AH7709">
        <v>0.61447720804215</v>
      </c>
      <c r="AI7709">
        <v>101.6368634355</v>
      </c>
      <c r="AJ7709">
        <v>81.400392385840206</v>
      </c>
      <c r="AK7709">
        <v>0.63450591731089501</v>
      </c>
      <c r="AL7709">
        <v>86.762008945566393</v>
      </c>
      <c r="AM7709">
        <v>91.589292886508005</v>
      </c>
      <c r="AN7709">
        <v>1.0000000393273101</v>
      </c>
    </row>
    <row r="7710" spans="1:40" x14ac:dyDescent="0.25">
      <c r="A7710" t="str">
        <f>"20190312160519163"</f>
        <v>20190312160519163</v>
      </c>
      <c r="B7710" t="str">
        <f>"1552377919152436"</f>
        <v>1552377919152436</v>
      </c>
      <c r="C7710" t="s">
        <v>40</v>
      </c>
      <c r="D7710">
        <v>5.2752879999999998</v>
      </c>
      <c r="E7710">
        <v>0.49045050000000001</v>
      </c>
      <c r="F7710" t="s">
        <v>49</v>
      </c>
      <c r="G7710">
        <v>-220.965</v>
      </c>
      <c r="H7710">
        <v>0.96591769999999999</v>
      </c>
      <c r="I7710">
        <v>-63.668190000000003</v>
      </c>
      <c r="J7710">
        <v>-221.7097</v>
      </c>
      <c r="K7710">
        <v>1.1102559999999999</v>
      </c>
      <c r="L7710">
        <v>-63.600279999999998</v>
      </c>
      <c r="M7710">
        <v>0.99845740000000005</v>
      </c>
      <c r="N7710">
        <v>0</v>
      </c>
      <c r="O7710">
        <v>5.43096E-2</v>
      </c>
      <c r="P7710">
        <v>0.99557609999999996</v>
      </c>
      <c r="Q7710">
        <v>4.4754820000000001E-2</v>
      </c>
      <c r="R7710">
        <v>8.2613510000000001E-2</v>
      </c>
      <c r="S7710">
        <v>3.0531160000000002</v>
      </c>
      <c r="T7710">
        <v>-0.50170609999999904</v>
      </c>
      <c r="U7710">
        <v>-0.2104492</v>
      </c>
      <c r="V7710">
        <v>-2.844472E-2</v>
      </c>
      <c r="W7710">
        <v>5.6267400000000002E-2</v>
      </c>
      <c r="X7710">
        <v>0.99801050000000002</v>
      </c>
      <c r="Y7710">
        <v>0.12051389999999999</v>
      </c>
      <c r="Z7710">
        <v>-1.8680539999999999E-2</v>
      </c>
      <c r="AA7710">
        <v>0.99253579999999997</v>
      </c>
      <c r="AB7710">
        <v>27</v>
      </c>
      <c r="AC7710">
        <v>0.74469999999999403</v>
      </c>
      <c r="AD7710">
        <v>-0.144338299999999</v>
      </c>
      <c r="AE7710">
        <v>-6.7909999999997694E-2</v>
      </c>
      <c r="AF7710">
        <v>0.10436839840641</v>
      </c>
      <c r="AG7710">
        <v>-0.144338299999999</v>
      </c>
      <c r="AH7710">
        <v>0.71333586338577204</v>
      </c>
      <c r="AI7710">
        <v>101.321562501099</v>
      </c>
      <c r="AJ7710">
        <v>81.676096653310296</v>
      </c>
      <c r="AK7710">
        <v>0.73523762242225799</v>
      </c>
      <c r="AL7710">
        <v>86.7744120102696</v>
      </c>
      <c r="AM7710">
        <v>91.632569314794196</v>
      </c>
      <c r="AN7710">
        <v>1.00000004025444</v>
      </c>
    </row>
    <row r="7711" spans="1:40" x14ac:dyDescent="0.25">
      <c r="A7711" t="str">
        <f>"20190312160519174"</f>
        <v>20190312160519174</v>
      </c>
      <c r="B7711" t="str">
        <f>"1552377919163172"</f>
        <v>1552377919163172</v>
      </c>
      <c r="C7711" t="s">
        <v>40</v>
      </c>
      <c r="D7711">
        <v>5.2588559999999998</v>
      </c>
      <c r="E7711">
        <v>0.48559550000000001</v>
      </c>
      <c r="F7711" t="s">
        <v>122</v>
      </c>
      <c r="G7711">
        <v>-210.1799</v>
      </c>
      <c r="H7711" s="1">
        <v>4.1983010000000001E-7</v>
      </c>
      <c r="I7711">
        <v>-62.390369999999997</v>
      </c>
      <c r="J7711">
        <v>-221.57069999999999</v>
      </c>
      <c r="K7711">
        <v>1.1102810000000001</v>
      </c>
      <c r="L7711">
        <v>-63.592529999999996</v>
      </c>
      <c r="M7711">
        <v>0.998448</v>
      </c>
      <c r="N7711">
        <v>0</v>
      </c>
      <c r="O7711">
        <v>5.4466819999999999E-2</v>
      </c>
      <c r="P7711">
        <v>0.99551630000000002</v>
      </c>
      <c r="Q7711">
        <v>4.4823410000000001E-2</v>
      </c>
      <c r="R7711">
        <v>8.3297220000000005E-2</v>
      </c>
      <c r="S7711">
        <v>3.0001829999999998</v>
      </c>
      <c r="T7711">
        <v>-0.28890270000000001</v>
      </c>
      <c r="U7711">
        <v>0.31481930000000002</v>
      </c>
      <c r="V7711">
        <v>-2.8975560000000001E-2</v>
      </c>
      <c r="W7711">
        <v>5.6416889999999997E-2</v>
      </c>
      <c r="X7711">
        <v>0.9979867</v>
      </c>
      <c r="Y7711">
        <v>-5.0052399999999997E-2</v>
      </c>
      <c r="Z7711">
        <v>-2.8154579999999998E-3</v>
      </c>
      <c r="AA7711">
        <v>0.99874260000000004</v>
      </c>
      <c r="AB7711">
        <v>27</v>
      </c>
      <c r="AC7711">
        <v>11.390799999999899</v>
      </c>
      <c r="AD7711">
        <v>-1.1102805801698901</v>
      </c>
      <c r="AE7711">
        <v>1.2021599999999999</v>
      </c>
      <c r="AF7711">
        <v>-0.57451454520842204</v>
      </c>
      <c r="AG7711">
        <v>-1.1102805801698901</v>
      </c>
      <c r="AH7711">
        <v>11.332886587729099</v>
      </c>
      <c r="AI7711">
        <v>95.588269079539501</v>
      </c>
      <c r="AJ7711">
        <v>92.902094142246995</v>
      </c>
      <c r="AK7711">
        <v>11.401627442592901</v>
      </c>
      <c r="AL7711">
        <v>86.765832948234603</v>
      </c>
      <c r="AM7711">
        <v>91.663059274648901</v>
      </c>
      <c r="AN7711">
        <v>0.99999995096573602</v>
      </c>
    </row>
    <row r="7712" spans="1:40" x14ac:dyDescent="0.25">
      <c r="A7712" t="str">
        <f>"20190312160519185"</f>
        <v>20190312160519185</v>
      </c>
      <c r="B7712" t="str">
        <f>"1552377919182691"</f>
        <v>1552377919182691</v>
      </c>
      <c r="C7712" t="s">
        <v>40</v>
      </c>
      <c r="D7712">
        <v>5.2808590000000004</v>
      </c>
      <c r="E7712">
        <v>0.48183239999999999</v>
      </c>
      <c r="F7712" t="s">
        <v>81</v>
      </c>
      <c r="G7712">
        <v>-208.0941</v>
      </c>
      <c r="H7712" s="1">
        <v>-1.406601E-6</v>
      </c>
      <c r="I7712">
        <v>-61.989640000000001</v>
      </c>
      <c r="J7712">
        <v>-221.43389999999999</v>
      </c>
      <c r="K7712">
        <v>1.110304</v>
      </c>
      <c r="L7712">
        <v>-63.58493</v>
      </c>
      <c r="M7712">
        <v>0.99843820000000005</v>
      </c>
      <c r="N7712">
        <v>0</v>
      </c>
      <c r="O7712">
        <v>5.462649E-2</v>
      </c>
      <c r="P7712">
        <v>0.99544330000000003</v>
      </c>
      <c r="Q7712">
        <v>4.4776509999999999E-2</v>
      </c>
      <c r="R7712">
        <v>8.4187979999999996E-2</v>
      </c>
      <c r="S7712">
        <v>2.994812</v>
      </c>
      <c r="T7712">
        <v>-0.2467307</v>
      </c>
      <c r="U7712">
        <v>0.3562012</v>
      </c>
      <c r="V7712">
        <v>-2.9710719999999999E-2</v>
      </c>
      <c r="W7712">
        <v>5.6450210000000001E-2</v>
      </c>
      <c r="X7712">
        <v>0.99796320000000005</v>
      </c>
      <c r="Y7712">
        <v>-6.3652479999999997E-2</v>
      </c>
      <c r="Z7712">
        <v>-1.863712E-3</v>
      </c>
      <c r="AA7712">
        <v>0.99797040000000004</v>
      </c>
      <c r="AB7712">
        <v>27</v>
      </c>
      <c r="AC7712">
        <v>13.339799999999901</v>
      </c>
      <c r="AD7712">
        <v>-1.1103054066010001</v>
      </c>
      <c r="AE7712">
        <v>1.5952900000000001</v>
      </c>
      <c r="AF7712">
        <v>-0.85828917256604298</v>
      </c>
      <c r="AG7712">
        <v>-1.1103054066010001</v>
      </c>
      <c r="AH7712">
        <v>13.3160816002224</v>
      </c>
      <c r="AI7712">
        <v>94.756517299244905</v>
      </c>
      <c r="AJ7712">
        <v>93.687902910019204</v>
      </c>
      <c r="AK7712">
        <v>13.389827018428999</v>
      </c>
      <c r="AL7712">
        <v>86.763920805032996</v>
      </c>
      <c r="AM7712">
        <v>91.705269487486405</v>
      </c>
      <c r="AN7712">
        <v>0.9999999508231</v>
      </c>
    </row>
    <row r="7713" spans="1:40" x14ac:dyDescent="0.25">
      <c r="A7713" t="str">
        <f>"20190312160519197"</f>
        <v>20190312160519197</v>
      </c>
      <c r="B7713" t="str">
        <f>"1552377919192452"</f>
        <v>1552377919192452</v>
      </c>
      <c r="C7713" t="s">
        <v>40</v>
      </c>
      <c r="D7713">
        <v>5.3034439999999998</v>
      </c>
      <c r="E7713">
        <v>0.48215920000000001</v>
      </c>
      <c r="F7713" t="s">
        <v>81</v>
      </c>
      <c r="G7713">
        <v>-208.3099</v>
      </c>
      <c r="H7713" s="1">
        <v>-1.2542819999999999E-6</v>
      </c>
      <c r="I7713">
        <v>-61.880780000000001</v>
      </c>
      <c r="J7713">
        <v>-221.29830000000001</v>
      </c>
      <c r="K7713">
        <v>1.110328</v>
      </c>
      <c r="L7713">
        <v>-63.577300000000001</v>
      </c>
      <c r="M7713">
        <v>0.99842759999999997</v>
      </c>
      <c r="N7713">
        <v>0</v>
      </c>
      <c r="O7713">
        <v>5.4800509999999997E-2</v>
      </c>
      <c r="P7713">
        <v>0.99538199999999999</v>
      </c>
      <c r="Q7713">
        <v>4.4785569999999997E-2</v>
      </c>
      <c r="R7713">
        <v>8.4907049999999998E-2</v>
      </c>
      <c r="S7713">
        <v>2.9922789999999999</v>
      </c>
      <c r="T7713">
        <v>-0.25315070000000001</v>
      </c>
      <c r="U7713">
        <v>0.3885498</v>
      </c>
      <c r="V7713">
        <v>-3.0260180000000001E-2</v>
      </c>
      <c r="W7713">
        <v>5.6547809999999997E-2</v>
      </c>
      <c r="X7713">
        <v>0.99794119999999997</v>
      </c>
      <c r="Y7713">
        <v>-7.4160110000000001E-2</v>
      </c>
      <c r="Z7713">
        <v>-1.4847949999999999E-3</v>
      </c>
      <c r="AA7713">
        <v>0.9972453</v>
      </c>
      <c r="AB7713">
        <v>27</v>
      </c>
      <c r="AC7713">
        <v>12.9884</v>
      </c>
      <c r="AD7713">
        <v>-1.110329254282</v>
      </c>
      <c r="AE7713">
        <v>1.69651999999999</v>
      </c>
      <c r="AF7713">
        <v>-0.97514312251619895</v>
      </c>
      <c r="AG7713">
        <v>-1.110329254282</v>
      </c>
      <c r="AH7713">
        <v>12.968672674058899</v>
      </c>
      <c r="AI7713">
        <v>94.879808269444098</v>
      </c>
      <c r="AJ7713">
        <v>94.300104232015102</v>
      </c>
      <c r="AK7713">
        <v>13.052593845254901</v>
      </c>
      <c r="AL7713">
        <v>86.758319904022201</v>
      </c>
      <c r="AM7713">
        <v>91.736825289204404</v>
      </c>
      <c r="AN7713">
        <v>0.99999998598343398</v>
      </c>
    </row>
    <row r="7714" spans="1:40" x14ac:dyDescent="0.25">
      <c r="A7714" t="str">
        <f>"20190312160519209"</f>
        <v>20190312160519209</v>
      </c>
      <c r="B7714" t="str">
        <f>"1552377919203197"</f>
        <v>1552377919203197</v>
      </c>
      <c r="C7714" t="s">
        <v>40</v>
      </c>
      <c r="D7714">
        <v>5.2574110000000003</v>
      </c>
      <c r="E7714">
        <v>0.48232370000000002</v>
      </c>
      <c r="F7714" t="s">
        <v>81</v>
      </c>
      <c r="G7714">
        <v>-208.1823</v>
      </c>
      <c r="H7714" s="1">
        <v>-1.33483399999999E-6</v>
      </c>
      <c r="I7714">
        <v>-61.876559999999998</v>
      </c>
      <c r="J7714">
        <v>-221.1609</v>
      </c>
      <c r="K7714">
        <v>1.1103510000000001</v>
      </c>
      <c r="L7714">
        <v>-63.569580000000002</v>
      </c>
      <c r="M7714">
        <v>0.99841679999999999</v>
      </c>
      <c r="N7714">
        <v>0</v>
      </c>
      <c r="O7714">
        <v>5.4980599999999998E-2</v>
      </c>
      <c r="P7714">
        <v>0.99533470000000002</v>
      </c>
      <c r="Q7714">
        <v>4.4578979999999997E-2</v>
      </c>
      <c r="R7714">
        <v>8.5569690000000004E-2</v>
      </c>
      <c r="S7714">
        <v>2.9922330000000001</v>
      </c>
      <c r="T7714">
        <v>-0.25330639999999999</v>
      </c>
      <c r="U7714">
        <v>0.38800050000000003</v>
      </c>
      <c r="V7714">
        <v>-3.0745749999999999E-2</v>
      </c>
      <c r="W7714">
        <v>5.6432589999999998E-2</v>
      </c>
      <c r="X7714">
        <v>0.99793290000000001</v>
      </c>
      <c r="Y7714">
        <v>-7.3803880000000002E-2</v>
      </c>
      <c r="Z7714">
        <v>-1.5158560000000001E-3</v>
      </c>
      <c r="AA7714">
        <v>0.99727160000000004</v>
      </c>
      <c r="AB7714">
        <v>27</v>
      </c>
      <c r="AC7714">
        <v>12.9786</v>
      </c>
      <c r="AD7714">
        <v>-1.1103523348340001</v>
      </c>
      <c r="AE7714">
        <v>1.69302</v>
      </c>
      <c r="AF7714">
        <v>-0.96985743206362096</v>
      </c>
      <c r="AG7714">
        <v>-1.1103523348340001</v>
      </c>
      <c r="AH7714">
        <v>12.958794381231099</v>
      </c>
      <c r="AI7714">
        <v>94.883738210556402</v>
      </c>
      <c r="AJ7714">
        <v>94.280130650684896</v>
      </c>
      <c r="AK7714">
        <v>13.042386957954699</v>
      </c>
      <c r="AL7714">
        <v>86.764932146091894</v>
      </c>
      <c r="AM7714">
        <v>91.764692442622007</v>
      </c>
      <c r="AN7714">
        <v>1.00000000562979</v>
      </c>
    </row>
    <row r="7715" spans="1:40" x14ac:dyDescent="0.25">
      <c r="A7715" t="str">
        <f>"20190312160519218"</f>
        <v>20190312160519218</v>
      </c>
      <c r="B7715" t="str">
        <f>"1552377919212948"</f>
        <v>1552377919212948</v>
      </c>
      <c r="C7715" t="s">
        <v>40</v>
      </c>
      <c r="D7715">
        <v>5.2746320000000004</v>
      </c>
      <c r="E7715">
        <v>0.4819831</v>
      </c>
      <c r="F7715" t="s">
        <v>81</v>
      </c>
      <c r="G7715">
        <v>-207.90270000000001</v>
      </c>
      <c r="H7715" s="1">
        <v>-1.5084700000000001E-6</v>
      </c>
      <c r="I7715">
        <v>-61.847200000000001</v>
      </c>
      <c r="J7715">
        <v>-221.02760000000001</v>
      </c>
      <c r="K7715">
        <v>1.1103780000000001</v>
      </c>
      <c r="L7715">
        <v>-63.562040000000003</v>
      </c>
      <c r="M7715">
        <v>0.99840490000000004</v>
      </c>
      <c r="N7715">
        <v>0</v>
      </c>
      <c r="O7715">
        <v>5.517238E-2</v>
      </c>
      <c r="P7715">
        <v>0.99527299999999996</v>
      </c>
      <c r="Q7715">
        <v>4.4499669999999998E-2</v>
      </c>
      <c r="R7715">
        <v>8.6321850000000006E-2</v>
      </c>
      <c r="S7715">
        <v>2.9918520000000002</v>
      </c>
      <c r="T7715">
        <v>-0.25056270000000003</v>
      </c>
      <c r="U7715">
        <v>0.38867190000000001</v>
      </c>
      <c r="V7715">
        <v>-3.13096E-2</v>
      </c>
      <c r="W7715">
        <v>5.6451639999999997E-2</v>
      </c>
      <c r="X7715">
        <v>0.99791430000000003</v>
      </c>
      <c r="Y7715">
        <v>-7.3850460000000007E-2</v>
      </c>
      <c r="Z7715">
        <v>-1.513641E-3</v>
      </c>
      <c r="AA7715">
        <v>0.99726820000000005</v>
      </c>
      <c r="AB7715">
        <v>27</v>
      </c>
      <c r="AC7715">
        <v>13.124899999999901</v>
      </c>
      <c r="AD7715">
        <v>-1.1103795084700001</v>
      </c>
      <c r="AE7715">
        <v>1.7148399999999999</v>
      </c>
      <c r="AF7715">
        <v>-0.98113919516367898</v>
      </c>
      <c r="AG7715">
        <v>-1.1103795084700001</v>
      </c>
      <c r="AH7715">
        <v>13.1072859161032</v>
      </c>
      <c r="AI7715">
        <v>94.8287867864085</v>
      </c>
      <c r="AJ7715">
        <v>94.280862731911895</v>
      </c>
      <c r="AK7715">
        <v>13.190774081136899</v>
      </c>
      <c r="AL7715">
        <v>86.763838947257</v>
      </c>
      <c r="AM7715">
        <v>91.797067793118799</v>
      </c>
      <c r="AN7715">
        <v>1.00000001442766</v>
      </c>
    </row>
    <row r="7716" spans="1:40" x14ac:dyDescent="0.25">
      <c r="A7716" t="str">
        <f>"20190312160519230"</f>
        <v>20190312160519230</v>
      </c>
      <c r="B7716" t="str">
        <f>"1552377919222708"</f>
        <v>1552377919222708</v>
      </c>
      <c r="C7716" t="s">
        <v>40</v>
      </c>
      <c r="D7716">
        <v>5.231554</v>
      </c>
      <c r="E7716">
        <v>0.48228140000000003</v>
      </c>
      <c r="F7716" t="s">
        <v>81</v>
      </c>
      <c r="G7716">
        <v>-206.95240000000001</v>
      </c>
      <c r="H7716" s="1">
        <v>-2.093081E-6</v>
      </c>
      <c r="I7716">
        <v>-61.707949999999997</v>
      </c>
      <c r="J7716">
        <v>-220.89959999999999</v>
      </c>
      <c r="K7716">
        <v>1.110398</v>
      </c>
      <c r="L7716">
        <v>-63.554749999999999</v>
      </c>
      <c r="M7716">
        <v>0.99839339999999999</v>
      </c>
      <c r="N7716">
        <v>0</v>
      </c>
      <c r="O7716">
        <v>5.536137E-2</v>
      </c>
      <c r="P7716">
        <v>0.99522719999999998</v>
      </c>
      <c r="Q7716">
        <v>4.4537269999999997E-2</v>
      </c>
      <c r="R7716">
        <v>8.6830039999999997E-2</v>
      </c>
      <c r="S7716">
        <v>2.9906459999999999</v>
      </c>
      <c r="T7716">
        <v>-0.2359301</v>
      </c>
      <c r="U7716">
        <v>0.39395140000000001</v>
      </c>
      <c r="V7716">
        <v>-3.1631979999999997E-2</v>
      </c>
      <c r="W7716">
        <v>5.6583519999999998E-2</v>
      </c>
      <c r="X7716">
        <v>0.99789669999999997</v>
      </c>
      <c r="Y7716">
        <v>-7.5446739999999998E-2</v>
      </c>
      <c r="Z7716">
        <v>-1.3780629999999999E-3</v>
      </c>
      <c r="AA7716">
        <v>0.9971489</v>
      </c>
      <c r="AB7716">
        <v>27</v>
      </c>
      <c r="AC7716">
        <v>13.947199999999899</v>
      </c>
      <c r="AD7716">
        <v>-1.1104000930810001</v>
      </c>
      <c r="AE7716">
        <v>1.8468</v>
      </c>
      <c r="AF7716">
        <v>-1.06513990291994</v>
      </c>
      <c r="AG7716">
        <v>-1.1104000930810001</v>
      </c>
      <c r="AH7716">
        <v>13.9412126531287</v>
      </c>
      <c r="AI7716">
        <v>94.5407452771382</v>
      </c>
      <c r="AJ7716">
        <v>94.369038072292895</v>
      </c>
      <c r="AK7716">
        <v>14.025866162888599</v>
      </c>
      <c r="AL7716">
        <v>86.756270799628993</v>
      </c>
      <c r="AM7716">
        <v>91.815591021084799</v>
      </c>
      <c r="AN7716">
        <v>1.0000000503825901</v>
      </c>
    </row>
    <row r="7717" spans="1:40" x14ac:dyDescent="0.25">
      <c r="A7717" t="str">
        <f>"20190312160519253"</f>
        <v>20190312160519253</v>
      </c>
      <c r="B7717" t="str">
        <f>"1552377919243204"</f>
        <v>1552377919243204</v>
      </c>
      <c r="C7717" t="s">
        <v>40</v>
      </c>
      <c r="D7717">
        <v>5.260402</v>
      </c>
      <c r="E7717">
        <v>0.48252539999999999</v>
      </c>
      <c r="F7717" t="s">
        <v>81</v>
      </c>
      <c r="G7717">
        <v>-206.05</v>
      </c>
      <c r="H7717" s="1">
        <v>-2.6518650000000001E-6</v>
      </c>
      <c r="I7717">
        <v>-61.601300000000002</v>
      </c>
      <c r="J7717">
        <v>-220.6215</v>
      </c>
      <c r="K7717">
        <v>1.1104590000000001</v>
      </c>
      <c r="L7717">
        <v>-63.538849999999996</v>
      </c>
      <c r="M7717">
        <v>0.99836579999999997</v>
      </c>
      <c r="N7717">
        <v>0</v>
      </c>
      <c r="O7717">
        <v>5.5809039999999997E-2</v>
      </c>
      <c r="P7717">
        <v>0.99511269999999996</v>
      </c>
      <c r="Q7717">
        <v>4.4500089999999999E-2</v>
      </c>
      <c r="R7717">
        <v>8.8151119999999999E-2</v>
      </c>
      <c r="S7717">
        <v>2.9900820000000001</v>
      </c>
      <c r="T7717">
        <v>-0.2235877</v>
      </c>
      <c r="U7717">
        <v>0.3933411</v>
      </c>
      <c r="V7717">
        <v>-3.2513380000000001E-2</v>
      </c>
      <c r="W7717">
        <v>5.6750139999999998E-2</v>
      </c>
      <c r="X7717">
        <v>0.99785889999999999</v>
      </c>
      <c r="Y7717">
        <v>-7.4832919999999997E-2</v>
      </c>
      <c r="Z7717">
        <v>-1.36246E-3</v>
      </c>
      <c r="AA7717">
        <v>0.99719519999999995</v>
      </c>
      <c r="AB7717">
        <v>27</v>
      </c>
      <c r="AC7717">
        <v>14.571499999999901</v>
      </c>
      <c r="AD7717">
        <v>-1.1104616518649999</v>
      </c>
      <c r="AE7717">
        <v>1.9375499999999899</v>
      </c>
      <c r="AF7717">
        <v>-1.11488458971662</v>
      </c>
      <c r="AG7717">
        <v>-1.1104616518649999</v>
      </c>
      <c r="AH7717">
        <v>14.5737588243856</v>
      </c>
      <c r="AI7717">
        <v>94.344642388333895</v>
      </c>
      <c r="AJ7717">
        <v>94.374575532449001</v>
      </c>
      <c r="AK7717">
        <v>14.658463050402201</v>
      </c>
      <c r="AL7717">
        <v>86.746708782968</v>
      </c>
      <c r="AM7717">
        <v>91.866216378233105</v>
      </c>
      <c r="AN7717">
        <v>1.0000000412891199</v>
      </c>
    </row>
    <row r="7718" spans="1:40" x14ac:dyDescent="0.25">
      <c r="A7718" t="str">
        <f>"20190312160519264"</f>
        <v>20190312160519264</v>
      </c>
      <c r="B7718" t="str">
        <f>"1552377919252963"</f>
        <v>1552377919252963</v>
      </c>
      <c r="C7718" t="s">
        <v>40</v>
      </c>
      <c r="D7718">
        <v>5.2536880000000004</v>
      </c>
      <c r="E7718">
        <v>0.48286459999999998</v>
      </c>
      <c r="F7718" t="s">
        <v>81</v>
      </c>
      <c r="G7718">
        <v>-205.07740000000001</v>
      </c>
      <c r="H7718" s="1">
        <v>-3.2535439999999998E-6</v>
      </c>
      <c r="I7718">
        <v>-61.482689999999998</v>
      </c>
      <c r="J7718">
        <v>-220.48849999999999</v>
      </c>
      <c r="K7718">
        <v>1.110484</v>
      </c>
      <c r="L7718">
        <v>-63.531219999999998</v>
      </c>
      <c r="M7718">
        <v>0.99835189999999996</v>
      </c>
      <c r="N7718">
        <v>0</v>
      </c>
      <c r="O7718">
        <v>5.603644E-2</v>
      </c>
      <c r="P7718">
        <v>0.99504910000000002</v>
      </c>
      <c r="Q7718">
        <v>4.462112E-2</v>
      </c>
      <c r="R7718">
        <v>8.8805819999999994E-2</v>
      </c>
      <c r="S7718">
        <v>2.989258</v>
      </c>
      <c r="T7718">
        <v>-0.21355080000000001</v>
      </c>
      <c r="U7718">
        <v>0.3954163</v>
      </c>
      <c r="V7718">
        <v>-3.2945009999999997E-2</v>
      </c>
      <c r="W7718">
        <v>5.6966259999999998E-2</v>
      </c>
      <c r="X7718">
        <v>0.99783239999999995</v>
      </c>
      <c r="Y7718">
        <v>-7.532556E-2</v>
      </c>
      <c r="Z7718">
        <v>-1.3003450000000001E-3</v>
      </c>
      <c r="AA7718">
        <v>0.99715819999999999</v>
      </c>
      <c r="AB7718">
        <v>27</v>
      </c>
      <c r="AC7718">
        <v>15.4110999999999</v>
      </c>
      <c r="AD7718">
        <v>-1.110487253544</v>
      </c>
      <c r="AE7718">
        <v>2.0485299999999902</v>
      </c>
      <c r="AF7718">
        <v>-1.1756628662725299</v>
      </c>
      <c r="AG7718">
        <v>-1.110487253544</v>
      </c>
      <c r="AH7718">
        <v>15.4229919068631</v>
      </c>
      <c r="AI7718">
        <v>94.1064349496516</v>
      </c>
      <c r="AJ7718">
        <v>94.359108998521407</v>
      </c>
      <c r="AK7718">
        <v>15.5075479839522</v>
      </c>
      <c r="AL7718">
        <v>86.734305864159495</v>
      </c>
      <c r="AM7718">
        <v>91.891023568964499</v>
      </c>
      <c r="AN7718">
        <v>1.0000000134760201</v>
      </c>
    </row>
    <row r="7719" spans="1:40" x14ac:dyDescent="0.25">
      <c r="A7719" t="str">
        <f>"20190312160519276"</f>
        <v>20190312160519276</v>
      </c>
      <c r="B7719" t="str">
        <f>"1552377919262724"</f>
        <v>1552377919262724</v>
      </c>
      <c r="C7719" t="s">
        <v>40</v>
      </c>
      <c r="D7719">
        <v>5.4321099999999998</v>
      </c>
      <c r="E7719">
        <v>0.48284759999999999</v>
      </c>
      <c r="F7719" t="s">
        <v>81</v>
      </c>
      <c r="G7719">
        <v>-204.8031</v>
      </c>
      <c r="H7719" s="1">
        <v>-3.3801430000000002E-6</v>
      </c>
      <c r="I7719">
        <v>-61.460160000000002</v>
      </c>
      <c r="J7719">
        <v>-220.35470000000001</v>
      </c>
      <c r="K7719">
        <v>1.110511</v>
      </c>
      <c r="L7719">
        <v>-63.523440000000001</v>
      </c>
      <c r="M7719">
        <v>0.99833700000000003</v>
      </c>
      <c r="N7719">
        <v>0</v>
      </c>
      <c r="O7719">
        <v>5.6279799999999998E-2</v>
      </c>
      <c r="P7719">
        <v>0.99499910000000003</v>
      </c>
      <c r="Q7719">
        <v>4.4609370000000002E-2</v>
      </c>
      <c r="R7719">
        <v>8.9370069999999996E-2</v>
      </c>
      <c r="S7719">
        <v>2.989182</v>
      </c>
      <c r="T7719">
        <v>-0.21162619999999999</v>
      </c>
      <c r="U7719">
        <v>0.39468379999999997</v>
      </c>
      <c r="V7719">
        <v>-3.3270309999999997E-2</v>
      </c>
      <c r="W7719">
        <v>5.7046239999999998E-2</v>
      </c>
      <c r="X7719">
        <v>0.99781699999999995</v>
      </c>
      <c r="Y7719">
        <v>-7.4848230000000002E-2</v>
      </c>
      <c r="Z7719">
        <v>-1.3226069999999999E-3</v>
      </c>
      <c r="AA7719">
        <v>0.99719409999999997</v>
      </c>
      <c r="AB7719">
        <v>27</v>
      </c>
      <c r="AC7719">
        <v>15.551600000000001</v>
      </c>
      <c r="AD7719">
        <v>-1.110514380143</v>
      </c>
      <c r="AE7719">
        <v>2.0632799999999998</v>
      </c>
      <c r="AF7719">
        <v>-1.1787932546347899</v>
      </c>
      <c r="AG7719">
        <v>-1.110514380143</v>
      </c>
      <c r="AH7719">
        <v>15.565081595050399</v>
      </c>
      <c r="AI7719">
        <v>94.069325484916007</v>
      </c>
      <c r="AJ7719">
        <v>94.330924653279993</v>
      </c>
      <c r="AK7719">
        <v>15.649107347905</v>
      </c>
      <c r="AL7719">
        <v>86.729715761799099</v>
      </c>
      <c r="AM7719">
        <v>91.909711285076099</v>
      </c>
      <c r="AN7719">
        <v>0.99999997625731596</v>
      </c>
    </row>
    <row r="7720" spans="1:40" x14ac:dyDescent="0.25">
      <c r="A7720" t="str">
        <f>"20190312160519287"</f>
        <v>20190312160519287</v>
      </c>
      <c r="B7720" t="str">
        <f>"1552377919272486"</f>
        <v>1552377919272486</v>
      </c>
      <c r="C7720" t="s">
        <v>40</v>
      </c>
      <c r="D7720">
        <v>5.3044789999999997</v>
      </c>
      <c r="E7720">
        <v>0.48284529999999998</v>
      </c>
      <c r="F7720" t="s">
        <v>81</v>
      </c>
      <c r="G7720">
        <v>-204.0909</v>
      </c>
      <c r="H7720" s="1">
        <v>-3.6752310000000002E-6</v>
      </c>
      <c r="I7720">
        <v>-61.365459999999999</v>
      </c>
      <c r="J7720">
        <v>-220.2159</v>
      </c>
      <c r="K7720">
        <v>1.110541</v>
      </c>
      <c r="L7720">
        <v>-63.51538</v>
      </c>
      <c r="M7720">
        <v>0.99832109999999996</v>
      </c>
      <c r="N7720">
        <v>0</v>
      </c>
      <c r="O7720">
        <v>5.653818E-2</v>
      </c>
      <c r="P7720">
        <v>0.99495869999999997</v>
      </c>
      <c r="Q7720">
        <v>4.4683340000000002E-2</v>
      </c>
      <c r="R7720">
        <v>8.9781130000000001E-2</v>
      </c>
      <c r="S7720">
        <v>2.9886020000000002</v>
      </c>
      <c r="T7720">
        <v>-0.2040661</v>
      </c>
      <c r="U7720">
        <v>0.39654539999999999</v>
      </c>
      <c r="V7720">
        <v>-3.3426999999999998E-2</v>
      </c>
      <c r="W7720">
        <v>5.7213819999999999E-2</v>
      </c>
      <c r="X7720">
        <v>0.99780219999999997</v>
      </c>
      <c r="Y7720">
        <v>-7.5228530000000002E-2</v>
      </c>
      <c r="Z7720">
        <v>-1.28023E-3</v>
      </c>
      <c r="AA7720">
        <v>0.99716550000000004</v>
      </c>
      <c r="AB7720">
        <v>27</v>
      </c>
      <c r="AC7720">
        <v>16.125</v>
      </c>
      <c r="AD7720">
        <v>-1.110544675231</v>
      </c>
      <c r="AE7720">
        <v>2.1499199999999998</v>
      </c>
      <c r="AF7720">
        <v>-1.2290025466038099</v>
      </c>
      <c r="AG7720">
        <v>-1.110544675231</v>
      </c>
      <c r="AH7720">
        <v>16.1455210909862</v>
      </c>
      <c r="AI7720">
        <v>93.923488984384505</v>
      </c>
      <c r="AJ7720">
        <v>94.352979640326197</v>
      </c>
      <c r="AK7720">
        <v>16.230268267490899</v>
      </c>
      <c r="AL7720">
        <v>86.720098531264</v>
      </c>
      <c r="AM7720">
        <v>91.918727001078295</v>
      </c>
      <c r="AN7720">
        <v>1.00000000792641</v>
      </c>
    </row>
    <row r="7721" spans="1:40" x14ac:dyDescent="0.25">
      <c r="A7721" t="str">
        <f>"20190312160519297"</f>
        <v>20190312160519297</v>
      </c>
      <c r="B7721" t="str">
        <f>"1552377919292980"</f>
        <v>1552377919292980</v>
      </c>
      <c r="C7721" t="s">
        <v>40</v>
      </c>
      <c r="D7721">
        <v>5.2985629999999997</v>
      </c>
      <c r="E7721">
        <v>0.48307369999999999</v>
      </c>
      <c r="F7721" t="s">
        <v>81</v>
      </c>
      <c r="G7721">
        <v>-203.42859999999999</v>
      </c>
      <c r="H7721" s="1">
        <v>-4.0077300000000002E-6</v>
      </c>
      <c r="I7721">
        <v>-61.279730000000001</v>
      </c>
      <c r="J7721">
        <v>-220.0908</v>
      </c>
      <c r="K7721">
        <v>1.1105670000000001</v>
      </c>
      <c r="L7721">
        <v>-63.508029999999998</v>
      </c>
      <c r="M7721">
        <v>0.99830580000000002</v>
      </c>
      <c r="N7721">
        <v>0</v>
      </c>
      <c r="O7721">
        <v>5.6791729999999999E-2</v>
      </c>
      <c r="P7721">
        <v>0.99489070000000002</v>
      </c>
      <c r="Q7721">
        <v>4.4679379999999998E-2</v>
      </c>
      <c r="R7721">
        <v>9.0534459999999997E-2</v>
      </c>
      <c r="S7721">
        <v>2.988159</v>
      </c>
      <c r="T7721">
        <v>-0.19767879999999999</v>
      </c>
      <c r="U7721">
        <v>0.3979492</v>
      </c>
      <c r="V7721">
        <v>-3.3931669999999997E-2</v>
      </c>
      <c r="W7721">
        <v>5.728809E-2</v>
      </c>
      <c r="X7721">
        <v>0.99778089999999997</v>
      </c>
      <c r="Y7721">
        <v>-7.5457460000000004E-2</v>
      </c>
      <c r="Z7721">
        <v>-1.249481E-3</v>
      </c>
      <c r="AA7721">
        <v>0.99714820000000004</v>
      </c>
      <c r="AB7721">
        <v>27</v>
      </c>
      <c r="AC7721">
        <v>16.662199999999999</v>
      </c>
      <c r="AD7721">
        <v>-1.1105710077299999</v>
      </c>
      <c r="AE7721">
        <v>2.2282999999999902</v>
      </c>
      <c r="AF7721">
        <v>-1.27279701221515</v>
      </c>
      <c r="AG7721">
        <v>-1.1105710077299999</v>
      </c>
      <c r="AH7721">
        <v>16.6890244477434</v>
      </c>
      <c r="AI7721">
        <v>93.796142596810995</v>
      </c>
      <c r="AJ7721">
        <v>94.361249464959698</v>
      </c>
      <c r="AK7721">
        <v>16.774293344725098</v>
      </c>
      <c r="AL7721">
        <v>86.715836169638706</v>
      </c>
      <c r="AM7721">
        <v>91.947714719195503</v>
      </c>
      <c r="AN7721">
        <v>1.00000000394482</v>
      </c>
    </row>
    <row r="7722" spans="1:40" x14ac:dyDescent="0.25">
      <c r="A7722" t="str">
        <f>"20190312160519308"</f>
        <v>20190312160519308</v>
      </c>
      <c r="B7722" t="str">
        <f>"1552377919302739"</f>
        <v>1552377919302739</v>
      </c>
      <c r="C7722" t="s">
        <v>40</v>
      </c>
      <c r="D7722">
        <v>5.293215</v>
      </c>
      <c r="E7722">
        <v>0.4833382</v>
      </c>
      <c r="F7722" t="s">
        <v>81</v>
      </c>
      <c r="G7722">
        <v>-203.416</v>
      </c>
      <c r="H7722" s="1">
        <v>-4.0144400000000003E-6</v>
      </c>
      <c r="I7722">
        <v>-61.284379999999999</v>
      </c>
      <c r="J7722">
        <v>-219.95509999999999</v>
      </c>
      <c r="K7722">
        <v>1.110595</v>
      </c>
      <c r="L7722">
        <v>-63.5</v>
      </c>
      <c r="M7722">
        <v>0.99828879999999998</v>
      </c>
      <c r="N7722">
        <v>0</v>
      </c>
      <c r="O7722">
        <v>5.7070900000000001E-2</v>
      </c>
      <c r="P7722">
        <v>0.99486459999999999</v>
      </c>
      <c r="Q7722">
        <v>4.4740799999999997E-2</v>
      </c>
      <c r="R7722">
        <v>9.0791079999999996E-2</v>
      </c>
      <c r="S7722">
        <v>2.9880680000000002</v>
      </c>
      <c r="T7722">
        <v>-0.1990102</v>
      </c>
      <c r="U7722">
        <v>0.39846799999999999</v>
      </c>
      <c r="V7722">
        <v>-3.39133E-2</v>
      </c>
      <c r="W7722">
        <v>5.743376E-2</v>
      </c>
      <c r="X7722">
        <v>0.99777320000000003</v>
      </c>
      <c r="Y7722">
        <v>-7.5352970000000005E-2</v>
      </c>
      <c r="Z7722">
        <v>-1.2797970000000001E-3</v>
      </c>
      <c r="AA7722">
        <v>0.99715609999999999</v>
      </c>
      <c r="AB7722">
        <v>27</v>
      </c>
      <c r="AC7722">
        <v>16.539099999999902</v>
      </c>
      <c r="AD7722">
        <v>-1.11059901444</v>
      </c>
      <c r="AE7722">
        <v>2.2156199999999902</v>
      </c>
      <c r="AF7722">
        <v>-1.26243815061496</v>
      </c>
      <c r="AG7722">
        <v>-1.11059901444</v>
      </c>
      <c r="AH7722">
        <v>16.5652191341199</v>
      </c>
      <c r="AI7722">
        <v>93.824542517983602</v>
      </c>
      <c r="AJ7722">
        <v>94.358096810024307</v>
      </c>
      <c r="AK7722">
        <v>16.650335288408399</v>
      </c>
      <c r="AL7722">
        <v>86.7074762926175</v>
      </c>
      <c r="AM7722">
        <v>91.946676083927898</v>
      </c>
      <c r="AN7722">
        <v>1.00000005367143</v>
      </c>
    </row>
    <row r="7723" spans="1:40" x14ac:dyDescent="0.25">
      <c r="A7723" t="str">
        <f>"20190312160519319"</f>
        <v>20190312160519319</v>
      </c>
      <c r="B7723" t="str">
        <f>"1552377919312500"</f>
        <v>1552377919312500</v>
      </c>
      <c r="C7723" t="s">
        <v>40</v>
      </c>
      <c r="D7723">
        <v>5.3261240000000001</v>
      </c>
      <c r="E7723">
        <v>0.48351509999999998</v>
      </c>
      <c r="F7723" t="s">
        <v>81</v>
      </c>
      <c r="G7723">
        <v>-203.13030000000001</v>
      </c>
      <c r="H7723" s="1">
        <v>-4.1587749999999998E-6</v>
      </c>
      <c r="I7723">
        <v>-61.263080000000002</v>
      </c>
      <c r="J7723">
        <v>-219.82429999999999</v>
      </c>
      <c r="K7723">
        <v>1.1106259999999999</v>
      </c>
      <c r="L7723">
        <v>-63.492249999999999</v>
      </c>
      <c r="M7723">
        <v>0.99827100000000002</v>
      </c>
      <c r="N7723">
        <v>0</v>
      </c>
      <c r="O7723">
        <v>5.7363619999999997E-2</v>
      </c>
      <c r="P7723">
        <v>0.99482329999999997</v>
      </c>
      <c r="Q7723">
        <v>4.4726080000000001E-2</v>
      </c>
      <c r="R7723">
        <v>9.1249029999999995E-2</v>
      </c>
      <c r="S7723">
        <v>2.9880979999999999</v>
      </c>
      <c r="T7723">
        <v>-0.1972429</v>
      </c>
      <c r="U7723">
        <v>0.39727780000000001</v>
      </c>
      <c r="V7723">
        <v>-3.408303E-2</v>
      </c>
      <c r="W7723">
        <v>5.7493740000000002E-2</v>
      </c>
      <c r="X7723">
        <v>0.99776390000000004</v>
      </c>
      <c r="Y7723">
        <v>-7.4671660000000001E-2</v>
      </c>
      <c r="Z7723">
        <v>-1.3100130000000001E-3</v>
      </c>
      <c r="AA7723">
        <v>0.99720730000000002</v>
      </c>
      <c r="AB7723">
        <v>27</v>
      </c>
      <c r="AC7723">
        <v>16.6939999999999</v>
      </c>
      <c r="AD7723">
        <v>-1.110630158775</v>
      </c>
      <c r="AE7723">
        <v>2.2291699999999901</v>
      </c>
      <c r="AF7723">
        <v>-1.2623025634901399</v>
      </c>
      <c r="AG7723">
        <v>-1.110630158775</v>
      </c>
      <c r="AH7723">
        <v>16.721675375508099</v>
      </c>
      <c r="AI7723">
        <v>93.789174350695205</v>
      </c>
      <c r="AJ7723">
        <v>94.317013266802206</v>
      </c>
      <c r="AK7723">
        <v>16.805991029250499</v>
      </c>
      <c r="AL7723">
        <v>86.704033799102206</v>
      </c>
      <c r="AM7723">
        <v>91.956429518359101</v>
      </c>
      <c r="AN7723">
        <v>0.99999999160818898</v>
      </c>
    </row>
    <row r="7724" spans="1:40" x14ac:dyDescent="0.25">
      <c r="A7724" t="str">
        <f>"20190312160519331"</f>
        <v>20190312160519331</v>
      </c>
      <c r="B7724" t="str">
        <f>"1552377919323236"</f>
        <v>1552377919323236</v>
      </c>
      <c r="C7724" t="s">
        <v>40</v>
      </c>
      <c r="D7724">
        <v>5.3339369999999997</v>
      </c>
      <c r="E7724">
        <v>0.48306579999999899</v>
      </c>
      <c r="F7724" t="s">
        <v>81</v>
      </c>
      <c r="G7724">
        <v>-202.86699999999999</v>
      </c>
      <c r="H7724" s="1">
        <v>-4.2913849999999999E-6</v>
      </c>
      <c r="I7724">
        <v>-61.23695</v>
      </c>
      <c r="J7724">
        <v>-219.69200000000001</v>
      </c>
      <c r="K7724">
        <v>1.1106529999999999</v>
      </c>
      <c r="L7724">
        <v>-63.484340000000003</v>
      </c>
      <c r="M7724">
        <v>0.99825249999999999</v>
      </c>
      <c r="N7724">
        <v>0</v>
      </c>
      <c r="O7724">
        <v>5.7667679999999999E-2</v>
      </c>
      <c r="P7724">
        <v>0.99475380000000002</v>
      </c>
      <c r="Q7724">
        <v>4.4764079999999998E-2</v>
      </c>
      <c r="R7724">
        <v>9.1983860000000001E-2</v>
      </c>
      <c r="S7724">
        <v>2.9879910000000001</v>
      </c>
      <c r="T7724">
        <v>-0.19570109999999999</v>
      </c>
      <c r="U7724">
        <v>0.39739989999999997</v>
      </c>
      <c r="V7724">
        <v>-3.4520040000000002E-2</v>
      </c>
      <c r="W7724">
        <v>5.7604179999999998E-2</v>
      </c>
      <c r="X7724">
        <v>0.99774249999999998</v>
      </c>
      <c r="Y7724">
        <v>-7.4414309999999997E-2</v>
      </c>
      <c r="Z7724">
        <v>-1.3279679999999999E-3</v>
      </c>
      <c r="AA7724">
        <v>0.99722650000000002</v>
      </c>
      <c r="AB7724">
        <v>27</v>
      </c>
      <c r="AC7724">
        <v>16.8249999999999</v>
      </c>
      <c r="AD7724">
        <v>-1.1106572913849999</v>
      </c>
      <c r="AE7724">
        <v>2.2473900000000002</v>
      </c>
      <c r="AF7724">
        <v>-1.2678817978991399</v>
      </c>
      <c r="AG7724">
        <v>-1.1106572913849999</v>
      </c>
      <c r="AH7724">
        <v>16.854450357605199</v>
      </c>
      <c r="AI7724">
        <v>93.759575798421906</v>
      </c>
      <c r="AJ7724">
        <v>94.301992058100794</v>
      </c>
      <c r="AK7724">
        <v>16.938523569937502</v>
      </c>
      <c r="AL7724">
        <v>86.697695528522203</v>
      </c>
      <c r="AM7724">
        <v>91.981537303347807</v>
      </c>
      <c r="AN7724">
        <v>0.99999998551066105</v>
      </c>
    </row>
    <row r="7725" spans="1:40" x14ac:dyDescent="0.25">
      <c r="A7725" t="str">
        <f>"20190312160519340"</f>
        <v>20190312160519340</v>
      </c>
      <c r="B7725" t="str">
        <f>"1552377919332996"</f>
        <v>1552377919332996</v>
      </c>
      <c r="C7725" t="s">
        <v>40</v>
      </c>
      <c r="D7725">
        <v>5.6607539999999998</v>
      </c>
      <c r="E7725">
        <v>0.48306579999999899</v>
      </c>
      <c r="F7725" t="s">
        <v>81</v>
      </c>
      <c r="G7725">
        <v>-202.10550000000001</v>
      </c>
      <c r="H7725" s="1">
        <v>-4.672066E-6</v>
      </c>
      <c r="I7725">
        <v>-61.110660000000003</v>
      </c>
      <c r="J7725">
        <v>-219.55940000000001</v>
      </c>
      <c r="K7725">
        <v>1.1106799999999999</v>
      </c>
      <c r="L7725">
        <v>-63.476349999999996</v>
      </c>
      <c r="M7725">
        <v>0.99823289999999998</v>
      </c>
      <c r="N7725">
        <v>0</v>
      </c>
      <c r="O7725">
        <v>5.7991090000000002E-2</v>
      </c>
      <c r="P7725">
        <v>0.99466089999999996</v>
      </c>
      <c r="Q7725">
        <v>4.5012669999999998E-2</v>
      </c>
      <c r="R7725">
        <v>9.2863130000000002E-2</v>
      </c>
      <c r="S7725">
        <v>2.9870450000000002</v>
      </c>
      <c r="T7725">
        <v>-0.18864410000000001</v>
      </c>
      <c r="U7725">
        <v>0.40316770000000002</v>
      </c>
      <c r="V7725">
        <v>-3.508269E-2</v>
      </c>
      <c r="W7725">
        <v>5.792075E-2</v>
      </c>
      <c r="X7725">
        <v>0.99770460000000005</v>
      </c>
      <c r="Y7725">
        <v>-7.6023950000000007E-2</v>
      </c>
      <c r="Z7725">
        <v>-1.250068E-3</v>
      </c>
      <c r="AA7725">
        <v>0.99710520000000002</v>
      </c>
      <c r="AB7725">
        <v>27</v>
      </c>
      <c r="AC7725">
        <v>17.453900000000001</v>
      </c>
      <c r="AD7725">
        <v>-1.110684672066</v>
      </c>
      <c r="AE7725">
        <v>2.3656899999999998</v>
      </c>
      <c r="AF7725">
        <v>-1.3441076208187701</v>
      </c>
      <c r="AG7725">
        <v>-1.110684672066</v>
      </c>
      <c r="AH7725">
        <v>17.4921664379921</v>
      </c>
      <c r="AI7725">
        <v>93.622531875139998</v>
      </c>
      <c r="AJ7725">
        <v>94.394004470751298</v>
      </c>
      <c r="AK7725">
        <v>17.5788546962401</v>
      </c>
      <c r="AL7725">
        <v>86.679527244993196</v>
      </c>
      <c r="AM7725">
        <v>92.013884887754301</v>
      </c>
      <c r="AN7725">
        <v>1.0000000386396699</v>
      </c>
    </row>
    <row r="7726" spans="1:40" x14ac:dyDescent="0.25">
      <c r="A7726" t="str">
        <f>"20190312160519353"</f>
        <v>20190312160519353</v>
      </c>
      <c r="B7726" t="str">
        <f>"1552377919342756"</f>
        <v>1552377919342756</v>
      </c>
      <c r="C7726" t="s">
        <v>40</v>
      </c>
      <c r="D7726">
        <v>5.1759599999999999</v>
      </c>
      <c r="E7726">
        <v>0.48267120000000002</v>
      </c>
      <c r="F7726" t="s">
        <v>81</v>
      </c>
      <c r="G7726">
        <v>-201.91130000000001</v>
      </c>
      <c r="H7726" s="1">
        <v>-4.7692010000000002E-6</v>
      </c>
      <c r="I7726">
        <v>-61.079500000000003</v>
      </c>
      <c r="J7726">
        <v>-219.42490000000001</v>
      </c>
      <c r="K7726">
        <v>1.1107100000000001</v>
      </c>
      <c r="L7726">
        <v>-63.468169999999901</v>
      </c>
      <c r="M7726">
        <v>0.99821190000000004</v>
      </c>
      <c r="N7726">
        <v>0</v>
      </c>
      <c r="O7726">
        <v>5.8335209999999998E-2</v>
      </c>
      <c r="P7726">
        <v>0.9945503</v>
      </c>
      <c r="Q7726">
        <v>4.5190210000000001E-2</v>
      </c>
      <c r="R7726">
        <v>9.3955990000000003E-2</v>
      </c>
      <c r="S7726">
        <v>2.9867400000000002</v>
      </c>
      <c r="T7726">
        <v>-0.1879709</v>
      </c>
      <c r="U7726">
        <v>0.40563959999999999</v>
      </c>
      <c r="V7726">
        <v>-3.5840030000000002E-2</v>
      </c>
      <c r="W7726">
        <v>5.8163050000000001E-2</v>
      </c>
      <c r="X7726">
        <v>0.99766359999999998</v>
      </c>
      <c r="Y7726">
        <v>-7.6504039999999995E-2</v>
      </c>
      <c r="Z7726">
        <v>-1.2520999999999999E-3</v>
      </c>
      <c r="AA7726">
        <v>0.99706850000000002</v>
      </c>
      <c r="AB7726">
        <v>27</v>
      </c>
      <c r="AC7726">
        <v>17.513599999999901</v>
      </c>
      <c r="AD7726">
        <v>-1.110714769201</v>
      </c>
      <c r="AE7726">
        <v>2.3886699999999901</v>
      </c>
      <c r="AF7726">
        <v>-1.3574948520855801</v>
      </c>
      <c r="AG7726">
        <v>-1.110714769201</v>
      </c>
      <c r="AH7726">
        <v>17.553811555538399</v>
      </c>
      <c r="AI7726">
        <v>93.609805638349798</v>
      </c>
      <c r="AJ7726">
        <v>94.422072608911193</v>
      </c>
      <c r="AK7726">
        <v>17.641223871923199</v>
      </c>
      <c r="AL7726">
        <v>86.665621083746203</v>
      </c>
      <c r="AM7726">
        <v>92.057406704027699</v>
      </c>
      <c r="AN7726">
        <v>1.0000000534503299</v>
      </c>
    </row>
    <row r="7727" spans="1:40" x14ac:dyDescent="0.25">
      <c r="A7727" t="str">
        <f>"20190312160519643"</f>
        <v>20190312160519643</v>
      </c>
      <c r="B7727" t="str">
        <f>"1552377919633279"</f>
        <v>1552377919633279</v>
      </c>
      <c r="C7727" t="s">
        <v>40</v>
      </c>
      <c r="D7727">
        <v>4.7726050000000004</v>
      </c>
      <c r="E7727">
        <v>0.48267120000000002</v>
      </c>
      <c r="F7727" t="s">
        <v>81</v>
      </c>
      <c r="G7727">
        <v>-202.56530000000001</v>
      </c>
      <c r="H7727" s="1">
        <v>-4.4397510000000004E-6</v>
      </c>
      <c r="I7727">
        <v>-61.144629999999999</v>
      </c>
      <c r="J7727">
        <v>-215.9879</v>
      </c>
      <c r="K7727">
        <v>1.1118159999999999</v>
      </c>
      <c r="L7727">
        <v>-63.224980000000002</v>
      </c>
      <c r="M7727">
        <v>0.99699680000000002</v>
      </c>
      <c r="N7727">
        <v>0</v>
      </c>
      <c r="O7727">
        <v>7.61936E-2</v>
      </c>
      <c r="P7727">
        <v>0.99041159999999995</v>
      </c>
      <c r="Q7727">
        <v>4.2369839999999999E-2</v>
      </c>
      <c r="R7727">
        <v>0.1314902</v>
      </c>
      <c r="S7727">
        <v>2.9864959999999998</v>
      </c>
      <c r="T7727">
        <v>-0.19675200000000001</v>
      </c>
      <c r="U7727">
        <v>0.41159059999999997</v>
      </c>
      <c r="V7727">
        <v>-5.584165E-2</v>
      </c>
      <c r="W7727">
        <v>5.5986019999999997E-2</v>
      </c>
      <c r="X7727">
        <v>0.99686870000000005</v>
      </c>
      <c r="Y7727">
        <v>-6.0675100000000003E-2</v>
      </c>
      <c r="Z7727">
        <v>-2.993945E-3</v>
      </c>
      <c r="AA7727">
        <v>0.99815310000000002</v>
      </c>
      <c r="AB7727">
        <v>26</v>
      </c>
      <c r="AC7727">
        <v>13.4225999999999</v>
      </c>
      <c r="AD7727">
        <v>-1.1118204397510001</v>
      </c>
      <c r="AE7727">
        <v>2.0803499999999899</v>
      </c>
      <c r="AF7727">
        <v>-1.0444887108951699</v>
      </c>
      <c r="AG7727">
        <v>-1.1118204397510001</v>
      </c>
      <c r="AH7727">
        <v>13.451967436319</v>
      </c>
      <c r="AI7727">
        <v>94.710707567335405</v>
      </c>
      <c r="AJ7727">
        <v>94.439868209121798</v>
      </c>
      <c r="AK7727">
        <v>13.5381878131906</v>
      </c>
      <c r="AL7727">
        <v>86.790559107087702</v>
      </c>
      <c r="AM7727">
        <v>93.206190123753302</v>
      </c>
      <c r="AN7727">
        <v>0.99999996467492502</v>
      </c>
    </row>
    <row r="7728" spans="1:40" x14ac:dyDescent="0.25">
      <c r="A7728" t="str">
        <f>"20190312160519655"</f>
        <v>20190312160519655</v>
      </c>
      <c r="B7728" t="str">
        <f>"1552377919652798"</f>
        <v>1552377919652798</v>
      </c>
      <c r="C7728" t="s">
        <v>40</v>
      </c>
      <c r="D7728">
        <v>5.3286179999999996</v>
      </c>
      <c r="E7728">
        <v>0.407333</v>
      </c>
      <c r="F7728" t="s">
        <v>81</v>
      </c>
      <c r="G7728">
        <v>-199.9539</v>
      </c>
      <c r="H7728" s="1">
        <v>-5.7269040000000003E-6</v>
      </c>
      <c r="I7728">
        <v>-60.402439999999999</v>
      </c>
      <c r="J7728">
        <v>-215.84979999999999</v>
      </c>
      <c r="K7728">
        <v>1.111864</v>
      </c>
      <c r="L7728">
        <v>-63.21313</v>
      </c>
      <c r="M7728">
        <v>0.99690639999999997</v>
      </c>
      <c r="N7728">
        <v>0</v>
      </c>
      <c r="O7728">
        <v>7.7365160000000002E-2</v>
      </c>
      <c r="P7728">
        <v>0.99012149999999999</v>
      </c>
      <c r="Q7728">
        <v>4.25245E-2</v>
      </c>
      <c r="R7728">
        <v>0.1336088</v>
      </c>
      <c r="S7728">
        <v>2.9684750000000002</v>
      </c>
      <c r="T7728">
        <v>-0.20583779999999999</v>
      </c>
      <c r="U7728">
        <v>0.52255249999999998</v>
      </c>
      <c r="V7728">
        <v>-5.681083E-2</v>
      </c>
      <c r="W7728">
        <v>5.614123E-2</v>
      </c>
      <c r="X7728">
        <v>0.99680530000000001</v>
      </c>
      <c r="Y7728">
        <v>-9.6602729999999998E-2</v>
      </c>
      <c r="Z7728">
        <v>-1.9851719999999999E-3</v>
      </c>
      <c r="AA7728">
        <v>0.99532100000000001</v>
      </c>
      <c r="AB7728">
        <v>26</v>
      </c>
      <c r="AC7728">
        <v>15.8958999999999</v>
      </c>
      <c r="AD7728">
        <v>-1.1118697269040001</v>
      </c>
      <c r="AE7728">
        <v>2.8106900000000001</v>
      </c>
      <c r="AF7728">
        <v>-1.56493273301477</v>
      </c>
      <c r="AG7728">
        <v>-1.1118697269040001</v>
      </c>
      <c r="AH7728">
        <v>15.989858557625601</v>
      </c>
      <c r="AI7728">
        <v>93.958858233458002</v>
      </c>
      <c r="AJ7728">
        <v>95.589754861442302</v>
      </c>
      <c r="AK7728">
        <v>16.104683959685101</v>
      </c>
      <c r="AL7728">
        <v>86.781652517856898</v>
      </c>
      <c r="AM7728">
        <v>93.2619242015531</v>
      </c>
      <c r="AN7728">
        <v>1.0000000571096399</v>
      </c>
    </row>
    <row r="7729" spans="1:40" x14ac:dyDescent="0.25">
      <c r="A7729" t="str">
        <f>"20190312160519666"</f>
        <v>20190312160519666</v>
      </c>
      <c r="B7729" t="str">
        <f>"1552377919662558"</f>
        <v>1552377919662558</v>
      </c>
      <c r="C7729" t="s">
        <v>40</v>
      </c>
      <c r="D7729">
        <v>5.2508749999999997</v>
      </c>
      <c r="E7729">
        <v>0.40540779999999998</v>
      </c>
      <c r="F7729" t="s">
        <v>81</v>
      </c>
      <c r="G7729">
        <v>-209.47470000000001</v>
      </c>
      <c r="H7729" s="1">
        <v>-3.5784939999999999E-7</v>
      </c>
      <c r="I7729">
        <v>-60.759740000000001</v>
      </c>
      <c r="J7729">
        <v>-215.7174</v>
      </c>
      <c r="K7729">
        <v>1.111909</v>
      </c>
      <c r="L7729">
        <v>-63.201749999999997</v>
      </c>
      <c r="M7729">
        <v>0.99681710000000001</v>
      </c>
      <c r="N7729">
        <v>0</v>
      </c>
      <c r="O7729">
        <v>7.8506889999999996E-2</v>
      </c>
      <c r="P7729">
        <v>0.98982130000000002</v>
      </c>
      <c r="Q7729">
        <v>4.2806120000000003E-2</v>
      </c>
      <c r="R7729">
        <v>0.1357266</v>
      </c>
      <c r="S7729">
        <v>2.9010159999999998</v>
      </c>
      <c r="T7729">
        <v>-0.50595840000000003</v>
      </c>
      <c r="U7729">
        <v>1.116425</v>
      </c>
      <c r="V7729">
        <v>-5.7810420000000001E-2</v>
      </c>
      <c r="W7729">
        <v>5.6422600000000003E-2</v>
      </c>
      <c r="X7729">
        <v>0.9967319</v>
      </c>
      <c r="Y7729">
        <v>-0.28211560000000002</v>
      </c>
      <c r="Z7729">
        <v>1.0517769999999999E-2</v>
      </c>
      <c r="AA7729">
        <v>0.95932280000000003</v>
      </c>
      <c r="AB7729">
        <v>26</v>
      </c>
      <c r="AC7729">
        <v>6.2426999999999797</v>
      </c>
      <c r="AD7729">
        <v>-1.1119093578493999</v>
      </c>
      <c r="AE7729">
        <v>2.44200999999999</v>
      </c>
      <c r="AF7729">
        <v>-1.89226520796297</v>
      </c>
      <c r="AG7729">
        <v>-1.1119093578493999</v>
      </c>
      <c r="AH7729">
        <v>6.2433801266113598</v>
      </c>
      <c r="AI7729">
        <v>99.672429488890302</v>
      </c>
      <c r="AJ7729">
        <v>106.861187882064</v>
      </c>
      <c r="AK7729">
        <v>6.6179154907497804</v>
      </c>
      <c r="AL7729">
        <v>86.765505482685498</v>
      </c>
      <c r="AM7729">
        <v>93.319434620131403</v>
      </c>
      <c r="AN7729">
        <v>1.0000000174644701</v>
      </c>
    </row>
    <row r="7730" spans="1:40" x14ac:dyDescent="0.25">
      <c r="A7730" t="str">
        <f>"20190312160519679"</f>
        <v>20190312160519679</v>
      </c>
      <c r="B7730" t="str">
        <f>"1552377919672319"</f>
        <v>1552377919672319</v>
      </c>
      <c r="C7730" t="s">
        <v>40</v>
      </c>
      <c r="D7730">
        <v>5.4836109999999998</v>
      </c>
      <c r="E7730">
        <v>0.40588629999999998</v>
      </c>
      <c r="F7730" t="s">
        <v>81</v>
      </c>
      <c r="G7730">
        <v>-175.5797</v>
      </c>
      <c r="H7730">
        <v>7.9986570000000007E-2</v>
      </c>
      <c r="I7730">
        <v>-47.161999999999999</v>
      </c>
      <c r="J7730">
        <v>-215.57919999999999</v>
      </c>
      <c r="K7730">
        <v>1.11195</v>
      </c>
      <c r="L7730">
        <v>-63.189480000000003</v>
      </c>
      <c r="M7730">
        <v>0.99671829999999995</v>
      </c>
      <c r="N7730">
        <v>0</v>
      </c>
      <c r="O7730">
        <v>7.9748260000000001E-2</v>
      </c>
      <c r="P7730">
        <v>0.98954279999999994</v>
      </c>
      <c r="Q7730">
        <v>4.2998969999999997E-2</v>
      </c>
      <c r="R7730">
        <v>0.13768169999999999</v>
      </c>
      <c r="S7730">
        <v>2.8764340000000002</v>
      </c>
      <c r="T7730">
        <v>-7.3951840000000005E-2</v>
      </c>
      <c r="U7730">
        <v>1.149475</v>
      </c>
      <c r="V7730">
        <v>-5.8545020000000003E-2</v>
      </c>
      <c r="W7730">
        <v>5.6616369999999999E-2</v>
      </c>
      <c r="X7730">
        <v>0.99667799999999995</v>
      </c>
      <c r="Y7730">
        <v>-0.2957804</v>
      </c>
      <c r="Z7730">
        <v>1.695691E-3</v>
      </c>
      <c r="AA7730">
        <v>0.95525439999999995</v>
      </c>
      <c r="AB7730">
        <v>26</v>
      </c>
      <c r="AC7730">
        <v>39.999499999999898</v>
      </c>
      <c r="AD7730">
        <v>-1.03196343</v>
      </c>
      <c r="AE7730">
        <v>16.027480000000001</v>
      </c>
      <c r="AF7730">
        <v>-12.7788959893885</v>
      </c>
      <c r="AG7730">
        <v>-1.03196343</v>
      </c>
      <c r="AH7730">
        <v>41.126777974721897</v>
      </c>
      <c r="AI7730">
        <v>91.372668260637198</v>
      </c>
      <c r="AJ7730">
        <v>107.261043736679</v>
      </c>
      <c r="AK7730">
        <v>43.078730225141697</v>
      </c>
      <c r="AL7730">
        <v>86.754385396264894</v>
      </c>
      <c r="AM7730">
        <v>93.361700098931095</v>
      </c>
      <c r="AN7730">
        <v>0.99999998420138803</v>
      </c>
    </row>
    <row r="7731" spans="1:40" x14ac:dyDescent="0.25">
      <c r="A7731" t="str">
        <f>"20190312160519688"</f>
        <v>20190312160519688</v>
      </c>
      <c r="B7731" t="str">
        <f>"1552377919683055"</f>
        <v>1552377919683055</v>
      </c>
      <c r="C7731" t="s">
        <v>40</v>
      </c>
      <c r="D7731">
        <v>5.4299900000000001</v>
      </c>
      <c r="E7731">
        <v>0.40713709999999997</v>
      </c>
      <c r="F7731" t="s">
        <v>81</v>
      </c>
      <c r="G7731">
        <v>-177.25899999999999</v>
      </c>
      <c r="H7731">
        <v>7.9986580000000002E-2</v>
      </c>
      <c r="I7731">
        <v>-47.84431</v>
      </c>
      <c r="J7731">
        <v>-215.45580000000001</v>
      </c>
      <c r="K7731">
        <v>1.111988</v>
      </c>
      <c r="L7731">
        <v>-63.178530000000002</v>
      </c>
      <c r="M7731">
        <v>0.99662819999999996</v>
      </c>
      <c r="N7731">
        <v>0</v>
      </c>
      <c r="O7731">
        <v>8.0866610000000005E-2</v>
      </c>
      <c r="P7731">
        <v>0.98926689999999995</v>
      </c>
      <c r="Q7731">
        <v>4.3175440000000002E-2</v>
      </c>
      <c r="R7731">
        <v>0.1395972</v>
      </c>
      <c r="S7731">
        <v>2.874908</v>
      </c>
      <c r="T7731">
        <v>-7.7421309999999993E-2</v>
      </c>
      <c r="U7731">
        <v>1.1512450000000001</v>
      </c>
      <c r="V7731">
        <v>-5.9363270000000003E-2</v>
      </c>
      <c r="W7731">
        <v>5.6791559999999998E-2</v>
      </c>
      <c r="X7731">
        <v>0.99661960000000005</v>
      </c>
      <c r="Y7731">
        <v>-0.2953848</v>
      </c>
      <c r="Z7731">
        <v>1.7420809999999999E-3</v>
      </c>
      <c r="AA7731">
        <v>0.95537680000000003</v>
      </c>
      <c r="AB7731">
        <v>26</v>
      </c>
      <c r="AC7731">
        <v>38.196800000000003</v>
      </c>
      <c r="AD7731">
        <v>-1.0320014200000001</v>
      </c>
      <c r="AE7731">
        <v>15.33422</v>
      </c>
      <c r="AF7731">
        <v>-12.187184580951</v>
      </c>
      <c r="AG7731">
        <v>-1.0320014200000001</v>
      </c>
      <c r="AH7731">
        <v>39.287126623106197</v>
      </c>
      <c r="AI7731">
        <v>91.437179151514002</v>
      </c>
      <c r="AJ7731">
        <v>107.234313007558</v>
      </c>
      <c r="AK7731">
        <v>41.146941724033802</v>
      </c>
      <c r="AL7731">
        <v>86.744331470898899</v>
      </c>
      <c r="AM7731">
        <v>93.408773890374306</v>
      </c>
      <c r="AN7731">
        <v>0.99999995310824197</v>
      </c>
    </row>
    <row r="7732" spans="1:40" x14ac:dyDescent="0.25">
      <c r="A7732" t="str">
        <f>"20190312160519699"</f>
        <v>20190312160519699</v>
      </c>
      <c r="B7732" t="str">
        <f>"1552377919692814"</f>
        <v>1552377919692814</v>
      </c>
      <c r="C7732" t="s">
        <v>40</v>
      </c>
      <c r="D7732">
        <v>5.303064</v>
      </c>
      <c r="E7732">
        <v>0.40930830000000001</v>
      </c>
      <c r="F7732" t="s">
        <v>81</v>
      </c>
      <c r="G7732">
        <v>-175.78360000000001</v>
      </c>
      <c r="H7732">
        <v>7.9986580000000002E-2</v>
      </c>
      <c r="I7732">
        <v>-47.346730000000001</v>
      </c>
      <c r="J7732">
        <v>-215.32980000000001</v>
      </c>
      <c r="K7732">
        <v>1.112025</v>
      </c>
      <c r="L7732">
        <v>-63.166989999999998</v>
      </c>
      <c r="M7732">
        <v>0.99653170000000002</v>
      </c>
      <c r="N7732">
        <v>0</v>
      </c>
      <c r="O7732">
        <v>8.2045240000000005E-2</v>
      </c>
      <c r="P7732">
        <v>0.98899139999999996</v>
      </c>
      <c r="Q7732">
        <v>4.2883119999999997E-2</v>
      </c>
      <c r="R7732">
        <v>0.14162379999999999</v>
      </c>
      <c r="S7732">
        <v>2.873993</v>
      </c>
      <c r="T7732">
        <v>-7.4761869999999994E-2</v>
      </c>
      <c r="U7732">
        <v>1.1469119999999999</v>
      </c>
      <c r="V7732">
        <v>-6.0229159999999997E-2</v>
      </c>
      <c r="W7732">
        <v>5.6498769999999997E-2</v>
      </c>
      <c r="X7732">
        <v>0.99658440000000004</v>
      </c>
      <c r="Y7732">
        <v>-0.29312250000000001</v>
      </c>
      <c r="Z7732">
        <v>1.625626E-3</v>
      </c>
      <c r="AA7732">
        <v>0.95607350000000002</v>
      </c>
      <c r="AB7732">
        <v>26</v>
      </c>
      <c r="AC7732">
        <v>39.546199999999999</v>
      </c>
      <c r="AD7732">
        <v>-1.0320384199999999</v>
      </c>
      <c r="AE7732">
        <v>15.820259999999999</v>
      </c>
      <c r="AF7732">
        <v>-12.5146751485279</v>
      </c>
      <c r="AG7732">
        <v>-1.0320384199999999</v>
      </c>
      <c r="AH7732">
        <v>40.687063481246</v>
      </c>
      <c r="AI7732">
        <v>91.388825983196099</v>
      </c>
      <c r="AJ7732">
        <v>107.09704115720599</v>
      </c>
      <c r="AK7732">
        <v>42.580738980206597</v>
      </c>
      <c r="AL7732">
        <v>86.761134442995001</v>
      </c>
      <c r="AM7732">
        <v>93.458497302218206</v>
      </c>
      <c r="AN7732">
        <v>1.0000000645245799</v>
      </c>
    </row>
    <row r="7733" spans="1:40" x14ac:dyDescent="0.25">
      <c r="A7733" t="str">
        <f>"20190312160519710"</f>
        <v>20190312160519710</v>
      </c>
      <c r="B7733" t="str">
        <f>"1552377919703140"</f>
        <v>1552377919703140</v>
      </c>
      <c r="C7733" t="s">
        <v>40</v>
      </c>
      <c r="D7733">
        <v>5.3838860000000004</v>
      </c>
      <c r="E7733">
        <v>0.4100432</v>
      </c>
      <c r="F7733" t="s">
        <v>81</v>
      </c>
      <c r="G7733">
        <v>-182.4102</v>
      </c>
      <c r="H7733" s="1">
        <v>-1.9808819999999999E-6</v>
      </c>
      <c r="I7733">
        <v>-50.171900000000001</v>
      </c>
      <c r="J7733">
        <v>-215.20099999999999</v>
      </c>
      <c r="K7733">
        <v>1.112063</v>
      </c>
      <c r="L7733">
        <v>-63.155149999999999</v>
      </c>
      <c r="M7733">
        <v>0.99643060000000006</v>
      </c>
      <c r="N7733">
        <v>0</v>
      </c>
      <c r="O7733">
        <v>8.326124E-2</v>
      </c>
      <c r="P7733">
        <v>0.98866699999999996</v>
      </c>
      <c r="Q7733">
        <v>4.2785410000000003E-2</v>
      </c>
      <c r="R7733">
        <v>0.14389979999999999</v>
      </c>
      <c r="S7733">
        <v>2.875092</v>
      </c>
      <c r="T7733">
        <v>-9.712076E-2</v>
      </c>
      <c r="U7733">
        <v>1.134949</v>
      </c>
      <c r="V7733">
        <v>-6.1311989999999997E-2</v>
      </c>
      <c r="W7733">
        <v>5.6398320000000002E-2</v>
      </c>
      <c r="X7733">
        <v>0.99652399999999997</v>
      </c>
      <c r="Y7733">
        <v>-0.288350299999999</v>
      </c>
      <c r="Z7733">
        <v>1.9954460000000001E-3</v>
      </c>
      <c r="AA7733">
        <v>0.95752289999999995</v>
      </c>
      <c r="AB7733">
        <v>26</v>
      </c>
      <c r="AC7733">
        <v>32.790799999999898</v>
      </c>
      <c r="AD7733">
        <v>-1.112064980882</v>
      </c>
      <c r="AE7733">
        <v>12.9832499999999</v>
      </c>
      <c r="AF7733">
        <v>-10.1975539624575</v>
      </c>
      <c r="AG7733">
        <v>-1.112064980882</v>
      </c>
      <c r="AH7733">
        <v>33.724494737604402</v>
      </c>
      <c r="AI7733">
        <v>91.8078596907432</v>
      </c>
      <c r="AJ7733">
        <v>106.82417522539799</v>
      </c>
      <c r="AK7733">
        <v>35.250082845940199</v>
      </c>
      <c r="AL7733">
        <v>86.766898807712593</v>
      </c>
      <c r="AM7733">
        <v>93.5207337353295</v>
      </c>
      <c r="AN7733">
        <v>1.00000000659629</v>
      </c>
    </row>
    <row r="7734" spans="1:40" x14ac:dyDescent="0.25">
      <c r="A7734" t="str">
        <f>"20190312160519720"</f>
        <v>20190312160519720</v>
      </c>
      <c r="B7734" t="str">
        <f>"1552377919712900"</f>
        <v>1552377919712900</v>
      </c>
      <c r="C7734" t="s">
        <v>40</v>
      </c>
      <c r="D7734">
        <v>5.3846730000000003</v>
      </c>
      <c r="E7734">
        <v>0.41065940000000001</v>
      </c>
      <c r="F7734" t="s">
        <v>81</v>
      </c>
      <c r="G7734">
        <v>-182.0676</v>
      </c>
      <c r="H7734" s="1">
        <v>-1.971758E-6</v>
      </c>
      <c r="I7734">
        <v>-50.058619999999998</v>
      </c>
      <c r="J7734">
        <v>-215.07429999999999</v>
      </c>
      <c r="K7734">
        <v>1.1120920000000001</v>
      </c>
      <c r="L7734">
        <v>-63.143279999999997</v>
      </c>
      <c r="M7734">
        <v>0.99632799999999999</v>
      </c>
      <c r="N7734">
        <v>0</v>
      </c>
      <c r="O7734">
        <v>8.4479910000000005E-2</v>
      </c>
      <c r="P7734">
        <v>0.98840890000000003</v>
      </c>
      <c r="Q7734">
        <v>4.2533000000000001E-2</v>
      </c>
      <c r="R7734">
        <v>0.14573559999999999</v>
      </c>
      <c r="S7734">
        <v>2.8732760000000002</v>
      </c>
      <c r="T7734">
        <v>-9.6436620000000001E-2</v>
      </c>
      <c r="U7734">
        <v>1.1357120000000001</v>
      </c>
      <c r="V7734">
        <v>-6.194533E-2</v>
      </c>
      <c r="W7734">
        <v>5.6145519999999997E-2</v>
      </c>
      <c r="X7734">
        <v>0.99649909999999997</v>
      </c>
      <c r="Y7734">
        <v>-0.28760790000000003</v>
      </c>
      <c r="Z7734">
        <v>1.93148E-3</v>
      </c>
      <c r="AA7734">
        <v>0.95774630000000005</v>
      </c>
      <c r="AB7734">
        <v>26</v>
      </c>
      <c r="AC7734">
        <v>33.006699999999903</v>
      </c>
      <c r="AD7734">
        <v>-1.1120939717580001</v>
      </c>
      <c r="AE7734">
        <v>13.08466</v>
      </c>
      <c r="AF7734">
        <v>-10.2391575091525</v>
      </c>
      <c r="AG7734">
        <v>-1.1120939717580001</v>
      </c>
      <c r="AH7734">
        <v>33.9608650489686</v>
      </c>
      <c r="AI7734">
        <v>91.795768587876694</v>
      </c>
      <c r="AJ7734">
        <v>106.777992079496</v>
      </c>
      <c r="AK7734">
        <v>35.488272068015903</v>
      </c>
      <c r="AL7734">
        <v>86.781406146060704</v>
      </c>
      <c r="AM7734">
        <v>93.557097930979097</v>
      </c>
      <c r="AN7734">
        <v>0.99999999981284404</v>
      </c>
    </row>
    <row r="7735" spans="1:40" x14ac:dyDescent="0.25">
      <c r="A7735" t="str">
        <f>"20190312160519733"</f>
        <v>20190312160519733</v>
      </c>
      <c r="B7735" t="str">
        <f>"1552377919722660"</f>
        <v>1552377919722660</v>
      </c>
      <c r="C7735" t="s">
        <v>40</v>
      </c>
      <c r="D7735">
        <v>5.4082080000000001</v>
      </c>
      <c r="E7735">
        <v>0.41119820000000001</v>
      </c>
      <c r="F7735" t="s">
        <v>81</v>
      </c>
      <c r="G7735">
        <v>-182.39680000000001</v>
      </c>
      <c r="H7735" s="1">
        <v>-1.951529E-6</v>
      </c>
      <c r="I7735">
        <v>-50.216459999999998</v>
      </c>
      <c r="J7735">
        <v>-214.94200000000001</v>
      </c>
      <c r="K7735">
        <v>1.1121179999999999</v>
      </c>
      <c r="L7735">
        <v>-63.130710000000001</v>
      </c>
      <c r="M7735">
        <v>0.99621800000000005</v>
      </c>
      <c r="N7735">
        <v>0</v>
      </c>
      <c r="O7735">
        <v>8.5766869999999995E-2</v>
      </c>
      <c r="P7735">
        <v>0.98812219999999995</v>
      </c>
      <c r="Q7735">
        <v>4.2290609999999999E-2</v>
      </c>
      <c r="R7735">
        <v>0.14773819999999999</v>
      </c>
      <c r="S7735">
        <v>2.8718720000000002</v>
      </c>
      <c r="T7735">
        <v>-9.7736719999999999E-2</v>
      </c>
      <c r="U7735">
        <v>1.1360779999999999</v>
      </c>
      <c r="V7735">
        <v>-6.2679830000000006E-2</v>
      </c>
      <c r="W7735">
        <v>5.5902239999999999E-2</v>
      </c>
      <c r="X7735">
        <v>0.99646690000000004</v>
      </c>
      <c r="Y7735">
        <v>-0.28663470000000002</v>
      </c>
      <c r="Z7735">
        <v>1.9006559999999999E-3</v>
      </c>
      <c r="AA7735">
        <v>0.9580381</v>
      </c>
      <c r="AB7735">
        <v>26</v>
      </c>
      <c r="AC7735">
        <v>32.545199999999902</v>
      </c>
      <c r="AD7735">
        <v>-1.1121199515289999</v>
      </c>
      <c r="AE7735">
        <v>12.914249999999999</v>
      </c>
      <c r="AF7735">
        <v>-10.064930443905</v>
      </c>
      <c r="AG7735">
        <v>-1.1121199515289999</v>
      </c>
      <c r="AH7735">
        <v>33.499181899094197</v>
      </c>
      <c r="AI7735">
        <v>91.821068802817607</v>
      </c>
      <c r="AJ7735">
        <v>106.723054348223</v>
      </c>
      <c r="AK7735">
        <v>34.996211559765101</v>
      </c>
      <c r="AL7735">
        <v>86.795367157764005</v>
      </c>
      <c r="AM7735">
        <v>93.599281035759603</v>
      </c>
      <c r="AN7735">
        <v>1.00000005216072</v>
      </c>
    </row>
    <row r="7736" spans="1:40" x14ac:dyDescent="0.25">
      <c r="A7736" t="str">
        <f>"20190312160519743"</f>
        <v>20190312160519743</v>
      </c>
      <c r="B7736" t="str">
        <f>"1552377919732420"</f>
        <v>1552377919732420</v>
      </c>
      <c r="C7736" t="s">
        <v>40</v>
      </c>
      <c r="D7736">
        <v>5.4106300000000003</v>
      </c>
      <c r="E7736">
        <v>0.41159869999999998</v>
      </c>
      <c r="F7736" t="s">
        <v>81</v>
      </c>
      <c r="G7736">
        <v>-183.1953</v>
      </c>
      <c r="H7736" s="1">
        <v>-1.1122579999999999E-5</v>
      </c>
      <c r="I7736">
        <v>-50.548290000000001</v>
      </c>
      <c r="J7736">
        <v>-214.81479999999999</v>
      </c>
      <c r="K7736">
        <v>1.1121369999999999</v>
      </c>
      <c r="L7736">
        <v>-63.11844</v>
      </c>
      <c r="M7736">
        <v>0.99610949999999998</v>
      </c>
      <c r="N7736">
        <v>0</v>
      </c>
      <c r="O7736">
        <v>8.7017860000000002E-2</v>
      </c>
      <c r="P7736">
        <v>0.98783790000000005</v>
      </c>
      <c r="Q7736">
        <v>4.2244490000000003E-2</v>
      </c>
      <c r="R7736">
        <v>0.14964050000000001</v>
      </c>
      <c r="S7736">
        <v>2.870285</v>
      </c>
      <c r="T7736">
        <v>-0.1005501</v>
      </c>
      <c r="U7736">
        <v>1.1376040000000001</v>
      </c>
      <c r="V7736">
        <v>-6.3350420000000005E-2</v>
      </c>
      <c r="W7736">
        <v>5.5854630000000002E-2</v>
      </c>
      <c r="X7736">
        <v>0.99642710000000001</v>
      </c>
      <c r="Y7736">
        <v>-0.28604800000000002</v>
      </c>
      <c r="Z7736">
        <v>1.904523E-3</v>
      </c>
      <c r="AA7736">
        <v>0.95821339999999999</v>
      </c>
      <c r="AB7736">
        <v>26</v>
      </c>
      <c r="AC7736">
        <v>31.619499999999899</v>
      </c>
      <c r="AD7736">
        <v>-1.1121481225799901</v>
      </c>
      <c r="AE7736">
        <v>12.5701499999999</v>
      </c>
      <c r="AF7736">
        <v>-9.7603043382968195</v>
      </c>
      <c r="AG7736">
        <v>-1.1121481225799901</v>
      </c>
      <c r="AH7736">
        <v>32.558687350711303</v>
      </c>
      <c r="AI7736">
        <v>91.874032064411296</v>
      </c>
      <c r="AJ7736">
        <v>106.687454881257</v>
      </c>
      <c r="AK7736">
        <v>34.0083597990862</v>
      </c>
      <c r="AL7736">
        <v>86.798099080801407</v>
      </c>
      <c r="AM7736">
        <v>93.6378305654966</v>
      </c>
      <c r="AN7736">
        <v>0.99999999051051103</v>
      </c>
    </row>
    <row r="7737" spans="1:40" x14ac:dyDescent="0.25">
      <c r="A7737" t="str">
        <f>"20190312160519754"</f>
        <v>20190312160519754</v>
      </c>
      <c r="B7737" t="str">
        <f>"1552377919743156"</f>
        <v>1552377919743156</v>
      </c>
      <c r="C7737" t="s">
        <v>40</v>
      </c>
      <c r="D7737">
        <v>5.2746849999999998</v>
      </c>
      <c r="E7737">
        <v>0.4120664</v>
      </c>
      <c r="F7737" t="s">
        <v>81</v>
      </c>
      <c r="G7737">
        <v>-183.75470000000001</v>
      </c>
      <c r="H7737" s="1">
        <v>-1.1095939999999999E-5</v>
      </c>
      <c r="I7737">
        <v>-50.777369999999998</v>
      </c>
      <c r="J7737">
        <v>-214.6857</v>
      </c>
      <c r="K7737">
        <v>1.112155</v>
      </c>
      <c r="L7737">
        <v>-63.1057699999999</v>
      </c>
      <c r="M7737">
        <v>0.99599629999999995</v>
      </c>
      <c r="N7737">
        <v>0</v>
      </c>
      <c r="O7737">
        <v>8.8302640000000002E-2</v>
      </c>
      <c r="P7737">
        <v>0.98753659999999999</v>
      </c>
      <c r="Q7737">
        <v>4.2282470000000003E-2</v>
      </c>
      <c r="R7737">
        <v>0.1516044</v>
      </c>
      <c r="S7737">
        <v>2.868652</v>
      </c>
      <c r="T7737">
        <v>-0.10271619999999999</v>
      </c>
      <c r="U7737">
        <v>1.1398010000000001</v>
      </c>
      <c r="V7737">
        <v>-6.4049200000000001E-2</v>
      </c>
      <c r="W7737">
        <v>5.5891290000000003E-2</v>
      </c>
      <c r="X7737">
        <v>0.99638040000000005</v>
      </c>
      <c r="Y7737">
        <v>-0.28562920000000003</v>
      </c>
      <c r="Z7737">
        <v>1.895285E-3</v>
      </c>
      <c r="AA7737">
        <v>0.95833829999999998</v>
      </c>
      <c r="AB7737">
        <v>26</v>
      </c>
      <c r="AC7737">
        <v>30.930999999999901</v>
      </c>
      <c r="AD7737">
        <v>-1.1121660959399999</v>
      </c>
      <c r="AE7737">
        <v>12.328399999999901</v>
      </c>
      <c r="AF7737">
        <v>-9.5380372721489497</v>
      </c>
      <c r="AG7737">
        <v>-1.1121660959399999</v>
      </c>
      <c r="AH7737">
        <v>31.8633387980103</v>
      </c>
      <c r="AI7737">
        <v>91.915157698853903</v>
      </c>
      <c r="AJ7737">
        <v>106.664653067215</v>
      </c>
      <c r="AK7737">
        <v>33.2788735955208</v>
      </c>
      <c r="AL7737">
        <v>86.7959954222991</v>
      </c>
      <c r="AM7737">
        <v>93.678019633783904</v>
      </c>
      <c r="AN7737">
        <v>1.0000000189113301</v>
      </c>
    </row>
    <row r="7738" spans="1:40" x14ac:dyDescent="0.25">
      <c r="A7738" t="str">
        <f>"20190312160519766"</f>
        <v>20190312160519766</v>
      </c>
      <c r="B7738" t="str">
        <f>"1552377919762675"</f>
        <v>1552377919762675</v>
      </c>
      <c r="C7738" t="s">
        <v>40</v>
      </c>
      <c r="D7738">
        <v>5.467562</v>
      </c>
      <c r="E7738">
        <v>0.41408</v>
      </c>
      <c r="F7738" t="s">
        <v>81</v>
      </c>
      <c r="G7738">
        <v>-183.3108</v>
      </c>
      <c r="H7738" s="1">
        <v>-1.1122239999999999E-5</v>
      </c>
      <c r="I7738">
        <v>-50.610729999999997</v>
      </c>
      <c r="J7738">
        <v>-214.55019999999999</v>
      </c>
      <c r="K7738">
        <v>1.1121730000000001</v>
      </c>
      <c r="L7738">
        <v>-63.092379999999999</v>
      </c>
      <c r="M7738">
        <v>0.99587490000000001</v>
      </c>
      <c r="N7738">
        <v>0</v>
      </c>
      <c r="O7738">
        <v>8.9658399999999999E-2</v>
      </c>
      <c r="P7738">
        <v>0.98722129999999997</v>
      </c>
      <c r="Q7738">
        <v>4.2319610000000001E-2</v>
      </c>
      <c r="R7738">
        <v>0.1536332</v>
      </c>
      <c r="S7738">
        <v>2.8669280000000001</v>
      </c>
      <c r="T7738">
        <v>-0.10162590000000001</v>
      </c>
      <c r="U7738">
        <v>1.1417539999999999</v>
      </c>
      <c r="V7738">
        <v>-6.4743200000000001E-2</v>
      </c>
      <c r="W7738">
        <v>5.592747E-2</v>
      </c>
      <c r="X7738">
        <v>0.99633349999999998</v>
      </c>
      <c r="Y7738">
        <v>-0.28508919999999999</v>
      </c>
      <c r="Z7738">
        <v>1.8210559999999999E-3</v>
      </c>
      <c r="AA7738">
        <v>0.95849930000000005</v>
      </c>
      <c r="AB7738">
        <v>26</v>
      </c>
      <c r="AC7738">
        <v>31.2393999999999</v>
      </c>
      <c r="AD7738">
        <v>-1.11218412224</v>
      </c>
      <c r="AE7738">
        <v>12.48165</v>
      </c>
      <c r="AF7738">
        <v>-9.6197097077301095</v>
      </c>
      <c r="AG7738">
        <v>-1.11218412224</v>
      </c>
      <c r="AH7738">
        <v>32.197562443345397</v>
      </c>
      <c r="AI7738">
        <v>91.895619586780299</v>
      </c>
      <c r="AJ7738">
        <v>106.634639339345</v>
      </c>
      <c r="AK7738">
        <v>33.6222961095147</v>
      </c>
      <c r="AL7738">
        <v>86.793919164177296</v>
      </c>
      <c r="AM7738">
        <v>93.717935863684403</v>
      </c>
      <c r="AN7738">
        <v>1.00000000353454</v>
      </c>
    </row>
    <row r="7739" spans="1:40" x14ac:dyDescent="0.25">
      <c r="A7739" t="str">
        <f>"20190312160519778"</f>
        <v>20190312160519778</v>
      </c>
      <c r="B7739" t="str">
        <f>"1552377919772436"</f>
        <v>1552377919772436</v>
      </c>
      <c r="C7739" t="s">
        <v>40</v>
      </c>
      <c r="D7739">
        <v>5.5153509999999999</v>
      </c>
      <c r="E7739">
        <v>0.4148367</v>
      </c>
      <c r="F7739" t="s">
        <v>81</v>
      </c>
      <c r="G7739">
        <v>-182.51740000000001</v>
      </c>
      <c r="H7739" s="1">
        <v>-1.121512E-5</v>
      </c>
      <c r="I7739">
        <v>-50.447339999999997</v>
      </c>
      <c r="J7739">
        <v>-214.42089999999999</v>
      </c>
      <c r="K7739">
        <v>1.112187</v>
      </c>
      <c r="L7739">
        <v>-63.079320000000003</v>
      </c>
      <c r="M7739">
        <v>0.99575619999999998</v>
      </c>
      <c r="N7739">
        <v>0</v>
      </c>
      <c r="O7739">
        <v>9.0968450000000006E-2</v>
      </c>
      <c r="P7739">
        <v>0.9869211</v>
      </c>
      <c r="Q7739">
        <v>4.2609029999999999E-2</v>
      </c>
      <c r="R7739">
        <v>0.155472</v>
      </c>
      <c r="S7739">
        <v>2.8669739999999999</v>
      </c>
      <c r="T7739">
        <v>-9.9541660000000004E-2</v>
      </c>
      <c r="U7739">
        <v>1.1317440000000001</v>
      </c>
      <c r="V7739">
        <v>-6.5293219999999999E-2</v>
      </c>
      <c r="W7739">
        <v>5.6216460000000003E-2</v>
      </c>
      <c r="X7739">
        <v>0.99628130000000004</v>
      </c>
      <c r="Y7739">
        <v>-0.2809355</v>
      </c>
      <c r="Z7739">
        <v>1.6718989999999999E-3</v>
      </c>
      <c r="AA7739">
        <v>0.95972519999999994</v>
      </c>
      <c r="AB7739">
        <v>26</v>
      </c>
      <c r="AC7739">
        <v>31.903499999999902</v>
      </c>
      <c r="AD7739">
        <v>-1.1121982151200001</v>
      </c>
      <c r="AE7739">
        <v>12.631979999999899</v>
      </c>
      <c r="AF7739">
        <v>-9.6669446267671706</v>
      </c>
      <c r="AG7739">
        <v>-1.1121982151200001</v>
      </c>
      <c r="AH7739">
        <v>32.885868334505801</v>
      </c>
      <c r="AI7739">
        <v>91.858431080207296</v>
      </c>
      <c r="AJ7739">
        <v>106.380929568322</v>
      </c>
      <c r="AK7739">
        <v>34.295293254339498</v>
      </c>
      <c r="AL7739">
        <v>86.777335031240099</v>
      </c>
      <c r="AM7739">
        <v>93.7496274231314</v>
      </c>
      <c r="AN7739">
        <v>0.99999996184129403</v>
      </c>
    </row>
    <row r="7740" spans="1:40" x14ac:dyDescent="0.25">
      <c r="A7740" t="str">
        <f>"20190312160519789"</f>
        <v>20190312160519789</v>
      </c>
      <c r="B7740" t="str">
        <f>"1552377919783172"</f>
        <v>1552377919783172</v>
      </c>
      <c r="C7740" t="s">
        <v>40</v>
      </c>
      <c r="D7740">
        <v>5.5633339999999896</v>
      </c>
      <c r="E7740">
        <v>0.41574860000000002</v>
      </c>
      <c r="F7740" t="s">
        <v>81</v>
      </c>
      <c r="G7740">
        <v>-181.38749999999999</v>
      </c>
      <c r="H7740" s="1">
        <v>-1.830665E-6</v>
      </c>
      <c r="I7740">
        <v>-50.041499999999999</v>
      </c>
      <c r="J7740">
        <v>-214.2919</v>
      </c>
      <c r="K7740">
        <v>1.112195</v>
      </c>
      <c r="L7740">
        <v>-63.066189999999999</v>
      </c>
      <c r="M7740">
        <v>0.99563559999999995</v>
      </c>
      <c r="N7740">
        <v>0</v>
      </c>
      <c r="O7740">
        <v>9.2279139999999996E-2</v>
      </c>
      <c r="P7740">
        <v>0.98658210000000002</v>
      </c>
      <c r="Q7740">
        <v>4.251245E-2</v>
      </c>
      <c r="R7740">
        <v>0.15763440000000001</v>
      </c>
      <c r="S7740">
        <v>2.8657530000000002</v>
      </c>
      <c r="T7740">
        <v>-9.6485970000000004E-2</v>
      </c>
      <c r="U7740">
        <v>1.131073</v>
      </c>
      <c r="V7740">
        <v>-6.6166240000000001E-2</v>
      </c>
      <c r="W7740">
        <v>5.6117430000000003E-2</v>
      </c>
      <c r="X7740">
        <v>0.99622940000000004</v>
      </c>
      <c r="Y7740">
        <v>-0.27962399999999998</v>
      </c>
      <c r="Z7740">
        <v>1.5580100000000001E-3</v>
      </c>
      <c r="AA7740">
        <v>0.96010830000000003</v>
      </c>
      <c r="AB7740">
        <v>26</v>
      </c>
      <c r="AC7740">
        <v>32.904400000000003</v>
      </c>
      <c r="AD7740">
        <v>-1.1121968306649901</v>
      </c>
      <c r="AE7740">
        <v>13.02469</v>
      </c>
      <c r="AF7740">
        <v>-9.9226194355698691</v>
      </c>
      <c r="AG7740">
        <v>-1.1121968306649901</v>
      </c>
      <c r="AH7740">
        <v>33.932483102787998</v>
      </c>
      <c r="AI7740">
        <v>91.801890281088106</v>
      </c>
      <c r="AJ7740">
        <v>106.30010418614999</v>
      </c>
      <c r="AK7740">
        <v>35.371015927935701</v>
      </c>
      <c r="AL7740">
        <v>86.783018375659594</v>
      </c>
      <c r="AM7740">
        <v>93.799814263359806</v>
      </c>
      <c r="AN7740">
        <v>1.00000007734494</v>
      </c>
    </row>
    <row r="7741" spans="1:40" x14ac:dyDescent="0.25">
      <c r="A7741" t="str">
        <f>"20190312160519799"</f>
        <v>20190312160519799</v>
      </c>
      <c r="B7741" t="str">
        <f>"1552377919792932"</f>
        <v>1552377919792932</v>
      </c>
      <c r="C7741" t="s">
        <v>40</v>
      </c>
      <c r="D7741">
        <v>5.5589279999999999</v>
      </c>
      <c r="E7741">
        <v>0.41658980000000001</v>
      </c>
      <c r="F7741" t="s">
        <v>81</v>
      </c>
      <c r="G7741">
        <v>-181.45779999999999</v>
      </c>
      <c r="H7741" s="1">
        <v>-1.8048329999999999E-6</v>
      </c>
      <c r="I7741">
        <v>-50.111550000000001</v>
      </c>
      <c r="J7741">
        <v>-214.1651</v>
      </c>
      <c r="K7741">
        <v>1.1122030000000001</v>
      </c>
      <c r="L7741">
        <v>-63.05301</v>
      </c>
      <c r="M7741">
        <v>0.99551429999999996</v>
      </c>
      <c r="N7741">
        <v>0</v>
      </c>
      <c r="O7741">
        <v>9.3576939999999997E-2</v>
      </c>
      <c r="P7741">
        <v>0.9863073</v>
      </c>
      <c r="Q7741">
        <v>4.22458E-2</v>
      </c>
      <c r="R7741">
        <v>0.15941649999999999</v>
      </c>
      <c r="S7741">
        <v>2.8644259999999999</v>
      </c>
      <c r="T7741">
        <v>-9.7027539999999995E-2</v>
      </c>
      <c r="U7741">
        <v>1.1301570000000001</v>
      </c>
      <c r="V7741">
        <v>-6.6666509999999998E-2</v>
      </c>
      <c r="W7741">
        <v>5.585035E-2</v>
      </c>
      <c r="X7741">
        <v>0.99621099999999996</v>
      </c>
      <c r="Y7741">
        <v>-0.27825889999999998</v>
      </c>
      <c r="Z7741">
        <v>1.503374E-3</v>
      </c>
      <c r="AA7741">
        <v>0.96050489999999999</v>
      </c>
      <c r="AB7741">
        <v>26</v>
      </c>
      <c r="AC7741">
        <v>32.707299999999996</v>
      </c>
      <c r="AD7741">
        <v>-1.112204804833</v>
      </c>
      <c r="AE7741">
        <v>12.941459999999999</v>
      </c>
      <c r="AF7741">
        <v>-9.8139035823007603</v>
      </c>
      <c r="AG7741">
        <v>-1.112204804833</v>
      </c>
      <c r="AH7741">
        <v>33.7411597748806</v>
      </c>
      <c r="AI7741">
        <v>91.812875149946606</v>
      </c>
      <c r="AJ7741">
        <v>106.217521903768</v>
      </c>
      <c r="AK7741">
        <v>35.157013041562699</v>
      </c>
      <c r="AL7741">
        <v>86.798344787321</v>
      </c>
      <c r="AM7741">
        <v>93.828529297602998</v>
      </c>
      <c r="AN7741">
        <v>1.0000000208358499</v>
      </c>
    </row>
    <row r="7742" spans="1:40" x14ac:dyDescent="0.25">
      <c r="A7742" t="str">
        <f>"20190312160519811"</f>
        <v>20190312160519811</v>
      </c>
      <c r="B7742" t="str">
        <f>"1552377919802303"</f>
        <v>1552377919802303</v>
      </c>
      <c r="C7742" t="s">
        <v>40</v>
      </c>
      <c r="D7742">
        <v>5.5403140000000004</v>
      </c>
      <c r="E7742">
        <v>0.41730070000000002</v>
      </c>
      <c r="F7742" t="s">
        <v>81</v>
      </c>
      <c r="G7742">
        <v>-182.62979999999999</v>
      </c>
      <c r="H7742" s="1">
        <v>-1.125438E-5</v>
      </c>
      <c r="I7742">
        <v>-50.624130000000001</v>
      </c>
      <c r="J7742">
        <v>-214.03479999999999</v>
      </c>
      <c r="K7742">
        <v>1.1122129999999999</v>
      </c>
      <c r="L7742">
        <v>-63.039369999999998</v>
      </c>
      <c r="M7742">
        <v>0.99538769999999999</v>
      </c>
      <c r="N7742">
        <v>0</v>
      </c>
      <c r="O7742">
        <v>9.4914769999999996E-2</v>
      </c>
      <c r="P7742">
        <v>0.98605410000000004</v>
      </c>
      <c r="Q7742">
        <v>4.2137599999999997E-2</v>
      </c>
      <c r="R7742">
        <v>0.16100410000000001</v>
      </c>
      <c r="S7742">
        <v>2.863556</v>
      </c>
      <c r="T7742">
        <v>-0.1009943</v>
      </c>
      <c r="U7742">
        <v>1.128601</v>
      </c>
      <c r="V7742">
        <v>-6.6931500000000005E-2</v>
      </c>
      <c r="W7742">
        <v>5.5743220000000003E-2</v>
      </c>
      <c r="X7742">
        <v>0.99619919999999995</v>
      </c>
      <c r="Y7742">
        <v>-0.27660949999999901</v>
      </c>
      <c r="Z7742">
        <v>1.4924319999999999E-3</v>
      </c>
      <c r="AA7742">
        <v>0.96098119999999998</v>
      </c>
      <c r="AB7742">
        <v>26</v>
      </c>
      <c r="AC7742">
        <v>31.405000000000001</v>
      </c>
      <c r="AD7742">
        <v>-1.1122242543799901</v>
      </c>
      <c r="AE7742">
        <v>12.415239999999899</v>
      </c>
      <c r="AF7742">
        <v>-9.3679292596454307</v>
      </c>
      <c r="AG7742">
        <v>-1.1122242543799901</v>
      </c>
      <c r="AH7742">
        <v>32.406543240971899</v>
      </c>
      <c r="AI7742">
        <v>91.888415711723496</v>
      </c>
      <c r="AJ7742">
        <v>106.123272425967</v>
      </c>
      <c r="AK7742">
        <v>33.7517286406894</v>
      </c>
      <c r="AL7742">
        <v>86.804492359954295</v>
      </c>
      <c r="AM7742">
        <v>93.843747028273299</v>
      </c>
      <c r="AN7742">
        <v>0.999999989174429</v>
      </c>
    </row>
    <row r="7743" spans="1:40" x14ac:dyDescent="0.25">
      <c r="A7743" t="str">
        <f>"20190312160519821"</f>
        <v>20190312160519821</v>
      </c>
      <c r="B7743" t="str">
        <f>"1552377919813025"</f>
        <v>1552377919813025</v>
      </c>
      <c r="C7743" t="s">
        <v>40</v>
      </c>
      <c r="D7743">
        <v>5.5654539999999999</v>
      </c>
      <c r="E7743">
        <v>0.41797040000000002</v>
      </c>
      <c r="F7743" t="s">
        <v>81</v>
      </c>
      <c r="G7743">
        <v>-183.52600000000001</v>
      </c>
      <c r="H7743" s="1">
        <v>-1.12228399999999E-5</v>
      </c>
      <c r="I7743">
        <v>-51.023719999999997</v>
      </c>
      <c r="J7743">
        <v>-213.9083</v>
      </c>
      <c r="K7743">
        <v>1.1122179999999999</v>
      </c>
      <c r="L7743">
        <v>-63.025910000000003</v>
      </c>
      <c r="M7743">
        <v>0.99526239999999999</v>
      </c>
      <c r="N7743">
        <v>0</v>
      </c>
      <c r="O7743">
        <v>9.6218680000000001E-2</v>
      </c>
      <c r="P7743">
        <v>0.98580570000000001</v>
      </c>
      <c r="Q7743">
        <v>4.1719689999999997E-2</v>
      </c>
      <c r="R7743">
        <v>0.1626243</v>
      </c>
      <c r="S7743">
        <v>2.8628230000000001</v>
      </c>
      <c r="T7743">
        <v>-0.104366899999999</v>
      </c>
      <c r="U7743">
        <v>1.127502</v>
      </c>
      <c r="V7743">
        <v>-6.7261319999999999E-2</v>
      </c>
      <c r="W7743">
        <v>5.5325689999999997E-2</v>
      </c>
      <c r="X7743">
        <v>0.99620030000000004</v>
      </c>
      <c r="Y7743">
        <v>-0.27510980000000002</v>
      </c>
      <c r="Z7743">
        <v>1.47111299999999E-3</v>
      </c>
      <c r="AA7743">
        <v>0.96141169999999998</v>
      </c>
      <c r="AB7743">
        <v>26</v>
      </c>
      <c r="AC7743">
        <v>30.382300000000001</v>
      </c>
      <c r="AD7743">
        <v>-1.1122292228399999</v>
      </c>
      <c r="AE7743">
        <v>12.002189999999899</v>
      </c>
      <c r="AF7743">
        <v>-9.0124146996666497</v>
      </c>
      <c r="AG7743">
        <v>-1.1122292228399999</v>
      </c>
      <c r="AH7743">
        <v>31.359899348027099</v>
      </c>
      <c r="AI7743">
        <v>91.952279242520902</v>
      </c>
      <c r="AJ7743">
        <v>106.033941574968</v>
      </c>
      <c r="AK7743">
        <v>32.648184630715598</v>
      </c>
      <c r="AL7743">
        <v>86.828452163934998</v>
      </c>
      <c r="AM7743">
        <v>93.862626505647796</v>
      </c>
      <c r="AN7743">
        <v>1.0000000274311001</v>
      </c>
    </row>
    <row r="7744" spans="1:40" x14ac:dyDescent="0.25">
      <c r="A7744" t="str">
        <f>"20190312160519833"</f>
        <v>20190312160519833</v>
      </c>
      <c r="B7744" t="str">
        <f>"1552377919822785"</f>
        <v>1552377919822785</v>
      </c>
      <c r="C7744" t="s">
        <v>40</v>
      </c>
      <c r="D7744">
        <v>8.5180600000000002</v>
      </c>
      <c r="E7744">
        <v>0.41858889999999999</v>
      </c>
      <c r="F7744" t="s">
        <v>81</v>
      </c>
      <c r="G7744">
        <v>-184.82550000000001</v>
      </c>
      <c r="H7744" s="1">
        <v>-1.116712E-5</v>
      </c>
      <c r="I7744">
        <v>-51.57385</v>
      </c>
      <c r="J7744">
        <v>-213.77789999999999</v>
      </c>
      <c r="K7744">
        <v>1.112223</v>
      </c>
      <c r="L7744">
        <v>-63.011809999999997</v>
      </c>
      <c r="M7744">
        <v>0.99513110000000005</v>
      </c>
      <c r="N7744">
        <v>0</v>
      </c>
      <c r="O7744">
        <v>9.756679E-2</v>
      </c>
      <c r="P7744">
        <v>0.98557110000000003</v>
      </c>
      <c r="Q7744">
        <v>4.137387E-2</v>
      </c>
      <c r="R7744">
        <v>0.16412860000000001</v>
      </c>
      <c r="S7744">
        <v>2.861923</v>
      </c>
      <c r="T7744">
        <v>-0.1094502</v>
      </c>
      <c r="U7744">
        <v>1.1269530000000001</v>
      </c>
      <c r="V7744">
        <v>-6.7429810000000007E-2</v>
      </c>
      <c r="W7744">
        <v>5.4980979999999999E-2</v>
      </c>
      <c r="X7744">
        <v>0.99620799999999998</v>
      </c>
      <c r="Y7744">
        <v>-0.27374199999999999</v>
      </c>
      <c r="Z7744">
        <v>1.4689550000000001E-3</v>
      </c>
      <c r="AA7744">
        <v>0.96180200000000005</v>
      </c>
      <c r="AB7744">
        <v>26</v>
      </c>
      <c r="AC7744">
        <v>28.952399999999901</v>
      </c>
      <c r="AD7744">
        <v>-1.11223416712</v>
      </c>
      <c r="AE7744">
        <v>11.437959999999901</v>
      </c>
      <c r="AF7744">
        <v>-8.5473994833495102</v>
      </c>
      <c r="AG7744">
        <v>-1.11223416712</v>
      </c>
      <c r="AH7744">
        <v>29.892155435590102</v>
      </c>
      <c r="AI7744">
        <v>92.048851707454602</v>
      </c>
      <c r="AJ7744">
        <v>105.957416404409</v>
      </c>
      <c r="AK7744">
        <v>31.110063634713899</v>
      </c>
      <c r="AL7744">
        <v>86.848232718348299</v>
      </c>
      <c r="AM7744">
        <v>93.872243168524605</v>
      </c>
      <c r="AN7744">
        <v>1.00000003335119</v>
      </c>
    </row>
    <row r="7745" spans="1:40" x14ac:dyDescent="0.25">
      <c r="A7745" t="str">
        <f>"20190312160519844"</f>
        <v>20190312160519844</v>
      </c>
      <c r="B7745" t="str">
        <f>"1552377919832544"</f>
        <v>1552377919832544</v>
      </c>
      <c r="C7745" t="s">
        <v>40</v>
      </c>
      <c r="D7745">
        <v>5.4829230000000004</v>
      </c>
      <c r="E7745">
        <v>0.41858889999999999</v>
      </c>
      <c r="F7745" t="s">
        <v>81</v>
      </c>
      <c r="G7745">
        <v>-184.69640000000001</v>
      </c>
      <c r="H7745" s="1">
        <v>-1.1186629999999999E-5</v>
      </c>
      <c r="I7745">
        <v>-51.56015</v>
      </c>
      <c r="J7745">
        <v>-213.65260000000001</v>
      </c>
      <c r="K7745">
        <v>1.1122350000000001</v>
      </c>
      <c r="L7745">
        <v>-62.998199999999997</v>
      </c>
      <c r="M7745">
        <v>0.99500279999999997</v>
      </c>
      <c r="N7745">
        <v>0</v>
      </c>
      <c r="O7745">
        <v>9.8865320000000007E-2</v>
      </c>
      <c r="P7745">
        <v>0.98536210000000002</v>
      </c>
      <c r="Q7745">
        <v>4.1409080000000001E-2</v>
      </c>
      <c r="R7745">
        <v>0.16536899999999999</v>
      </c>
      <c r="S7745">
        <v>2.8608859999999998</v>
      </c>
      <c r="T7745">
        <v>-0.109416</v>
      </c>
      <c r="U7745">
        <v>1.1265559999999999</v>
      </c>
      <c r="V7745">
        <v>-6.7384070000000004E-2</v>
      </c>
      <c r="W7745">
        <v>5.501764E-2</v>
      </c>
      <c r="X7745">
        <v>0.99620900000000001</v>
      </c>
      <c r="Y7745">
        <v>-0.27249179999999901</v>
      </c>
      <c r="Z7745">
        <v>1.398739E-3</v>
      </c>
      <c r="AA7745">
        <v>0.96215709999999999</v>
      </c>
      <c r="AB7745">
        <v>26</v>
      </c>
      <c r="AC7745">
        <v>28.9561999999999</v>
      </c>
      <c r="AD7745">
        <v>-1.11224618663</v>
      </c>
      <c r="AE7745">
        <v>11.438049999999899</v>
      </c>
      <c r="AF7745">
        <v>-8.5080999963116302</v>
      </c>
      <c r="AG7745">
        <v>-1.11224618663</v>
      </c>
      <c r="AH7745">
        <v>29.9070775258146</v>
      </c>
      <c r="AI7745">
        <v>92.048638726533994</v>
      </c>
      <c r="AJ7745">
        <v>105.880231080409</v>
      </c>
      <c r="AK7745">
        <v>31.113632755787201</v>
      </c>
      <c r="AL7745">
        <v>86.8461288478086</v>
      </c>
      <c r="AM7745">
        <v>93.8696206007738</v>
      </c>
      <c r="AN7745">
        <v>0.99999996264096602</v>
      </c>
    </row>
    <row r="7746" spans="1:40" x14ac:dyDescent="0.25">
      <c r="A7746" t="str">
        <f>"20190312160519855"</f>
        <v>20190312160519855</v>
      </c>
      <c r="B7746" t="str">
        <f>"1552377919842306"</f>
        <v>1552377919842306</v>
      </c>
      <c r="C7746" t="s">
        <v>40</v>
      </c>
      <c r="D7746">
        <v>5.2917940000000003</v>
      </c>
      <c r="E7746">
        <v>0.41901280000000002</v>
      </c>
      <c r="F7746" t="s">
        <v>81</v>
      </c>
      <c r="G7746">
        <v>-184.53120000000001</v>
      </c>
      <c r="H7746" s="1">
        <v>-1.1193409999999999E-5</v>
      </c>
      <c r="I7746">
        <v>-51.489319999999999</v>
      </c>
      <c r="J7746">
        <v>-213.51830000000001</v>
      </c>
      <c r="K7746">
        <v>1.112241</v>
      </c>
      <c r="L7746">
        <v>-62.983339999999998</v>
      </c>
      <c r="M7746">
        <v>0.99486300000000005</v>
      </c>
      <c r="N7746">
        <v>0</v>
      </c>
      <c r="O7746">
        <v>0.1002628</v>
      </c>
      <c r="P7746">
        <v>0.98511179999999998</v>
      </c>
      <c r="Q7746">
        <v>4.1125849999999999E-2</v>
      </c>
      <c r="R7746">
        <v>0.16692370000000001</v>
      </c>
      <c r="S7746">
        <v>2.8595280000000001</v>
      </c>
      <c r="T7746">
        <v>-0.1092153</v>
      </c>
      <c r="U7746">
        <v>1.130096</v>
      </c>
      <c r="V7746">
        <v>-6.7555649999999995E-2</v>
      </c>
      <c r="W7746">
        <v>5.4735300000000001E-2</v>
      </c>
      <c r="X7746">
        <v>0.99621300000000002</v>
      </c>
      <c r="Y7746">
        <v>-0.27232810000000002</v>
      </c>
      <c r="Z7746">
        <v>1.3427790000000001E-3</v>
      </c>
      <c r="AA7746">
        <v>0.96220349999999999</v>
      </c>
      <c r="AB7746">
        <v>26</v>
      </c>
      <c r="AC7746">
        <v>28.987100000000002</v>
      </c>
      <c r="AD7746">
        <v>-1.11225219341</v>
      </c>
      <c r="AE7746">
        <v>11.494020000000001</v>
      </c>
      <c r="AF7746">
        <v>-8.5186410321327006</v>
      </c>
      <c r="AG7746">
        <v>-1.11225219341</v>
      </c>
      <c r="AH7746">
        <v>29.955428907464999</v>
      </c>
      <c r="AI7746">
        <v>92.0454035458894</v>
      </c>
      <c r="AJ7746">
        <v>105.874543444569</v>
      </c>
      <c r="AK7746">
        <v>31.162992009854701</v>
      </c>
      <c r="AL7746">
        <v>86.862330363776806</v>
      </c>
      <c r="AM7746">
        <v>93.879428234017595</v>
      </c>
      <c r="AN7746">
        <v>1.0000000301409999</v>
      </c>
    </row>
    <row r="7747" spans="1:40" x14ac:dyDescent="0.25">
      <c r="A7747" t="str">
        <f>"20190312160519868"</f>
        <v>20190312160519868</v>
      </c>
      <c r="B7747" t="str">
        <f>"1552377919862801"</f>
        <v>1552377919862801</v>
      </c>
      <c r="C7747" t="s">
        <v>40</v>
      </c>
      <c r="D7747">
        <v>5.6499680000000003</v>
      </c>
      <c r="E7747">
        <v>0.41996990000000001</v>
      </c>
      <c r="F7747" t="s">
        <v>81</v>
      </c>
      <c r="G7747">
        <v>-184.71719999999999</v>
      </c>
      <c r="H7747" s="1">
        <v>-1.11904199999999E-5</v>
      </c>
      <c r="I7747">
        <v>-51.58267</v>
      </c>
      <c r="J7747">
        <v>-213.3751</v>
      </c>
      <c r="K7747">
        <v>1.112247</v>
      </c>
      <c r="L7747">
        <v>-62.967320000000001</v>
      </c>
      <c r="M7747">
        <v>0.99471129999999996</v>
      </c>
      <c r="N7747">
        <v>0</v>
      </c>
      <c r="O7747">
        <v>0.10175679999999999</v>
      </c>
      <c r="P7747">
        <v>0.98485750000000005</v>
      </c>
      <c r="Q7747">
        <v>4.1005880000000001E-2</v>
      </c>
      <c r="R7747">
        <v>0.16844719999999999</v>
      </c>
      <c r="S7747">
        <v>2.858231</v>
      </c>
      <c r="T7747">
        <v>-0.11038050000000001</v>
      </c>
      <c r="U7747">
        <v>1.1314090000000001</v>
      </c>
      <c r="V7747">
        <v>-6.7599800000000002E-2</v>
      </c>
      <c r="W7747">
        <v>5.4616749999999999E-2</v>
      </c>
      <c r="X7747">
        <v>0.99621649999999995</v>
      </c>
      <c r="Y7747">
        <v>-0.27141340000000003</v>
      </c>
      <c r="Z7747">
        <v>1.2857249999999999E-3</v>
      </c>
      <c r="AA7747">
        <v>0.96246200000000004</v>
      </c>
      <c r="AB7747">
        <v>26</v>
      </c>
      <c r="AC7747">
        <v>28.657900000000001</v>
      </c>
      <c r="AD7747">
        <v>-1.11225819042</v>
      </c>
      <c r="AE7747">
        <v>11.384649999999899</v>
      </c>
      <c r="AF7747">
        <v>-8.3981974636302894</v>
      </c>
      <c r="AG7747">
        <v>-1.11225819042</v>
      </c>
      <c r="AH7747">
        <v>29.629146984072499</v>
      </c>
      <c r="AI7747">
        <v>92.0684263763941</v>
      </c>
      <c r="AJ7747">
        <v>105.825051728066</v>
      </c>
      <c r="AK7747">
        <v>30.816443498951301</v>
      </c>
      <c r="AL7747">
        <v>86.869132917759899</v>
      </c>
      <c r="AM7747">
        <v>93.881942231167798</v>
      </c>
      <c r="AN7747">
        <v>1.00000001860642</v>
      </c>
    </row>
    <row r="7748" spans="1:40" x14ac:dyDescent="0.25">
      <c r="A7748" t="str">
        <f>"20190312160519879"</f>
        <v>20190312160519879</v>
      </c>
      <c r="B7748" t="str">
        <f>"1552377919872561"</f>
        <v>1552377919872561</v>
      </c>
      <c r="C7748" t="s">
        <v>40</v>
      </c>
      <c r="D7748">
        <v>5.4753109999999996</v>
      </c>
      <c r="E7748">
        <v>0.4203751</v>
      </c>
      <c r="F7748" t="s">
        <v>81</v>
      </c>
      <c r="G7748">
        <v>-184.518</v>
      </c>
      <c r="H7748" s="1">
        <v>-1.122529E-5</v>
      </c>
      <c r="I7748">
        <v>-51.575490000000002</v>
      </c>
      <c r="J7748">
        <v>-213.25</v>
      </c>
      <c r="K7748">
        <v>1.112255</v>
      </c>
      <c r="L7748">
        <v>-62.953060000000001</v>
      </c>
      <c r="M7748">
        <v>0.99457600000000002</v>
      </c>
      <c r="N7748">
        <v>0</v>
      </c>
      <c r="O7748">
        <v>0.10306989999999901</v>
      </c>
      <c r="P7748">
        <v>0.98459620000000003</v>
      </c>
      <c r="Q7748">
        <v>4.0990859999999997E-2</v>
      </c>
      <c r="R7748">
        <v>0.16997110000000001</v>
      </c>
      <c r="S7748">
        <v>2.857742</v>
      </c>
      <c r="T7748">
        <v>-0.110148</v>
      </c>
      <c r="U7748">
        <v>1.1281429999999999</v>
      </c>
      <c r="V7748">
        <v>-6.7827399999999899E-2</v>
      </c>
      <c r="W7748">
        <v>5.4601030000000002E-2</v>
      </c>
      <c r="X7748">
        <v>0.99620189999999997</v>
      </c>
      <c r="Y7748">
        <v>-0.26924989999999999</v>
      </c>
      <c r="Z7748">
        <v>1.195158E-3</v>
      </c>
      <c r="AA7748">
        <v>0.96306959999999997</v>
      </c>
      <c r="AB7748">
        <v>26</v>
      </c>
      <c r="AC7748">
        <v>28.731999999999999</v>
      </c>
      <c r="AD7748">
        <v>-1.11226622529</v>
      </c>
      <c r="AE7748">
        <v>11.37757</v>
      </c>
      <c r="AF7748">
        <v>-8.3444591786631701</v>
      </c>
      <c r="AG7748">
        <v>-1.11226622529</v>
      </c>
      <c r="AH7748">
        <v>29.713253802055601</v>
      </c>
      <c r="AI7748">
        <v>92.063998007515593</v>
      </c>
      <c r="AJ7748">
        <v>105.686489058585</v>
      </c>
      <c r="AK7748">
        <v>30.8827554898469</v>
      </c>
      <c r="AL7748">
        <v>86.870034980055806</v>
      </c>
      <c r="AM7748">
        <v>93.895028986187</v>
      </c>
      <c r="AN7748">
        <v>1.0000000271157099</v>
      </c>
    </row>
    <row r="7749" spans="1:40" x14ac:dyDescent="0.25">
      <c r="A7749" t="str">
        <f>"20190312160519891"</f>
        <v>20190312160519891</v>
      </c>
      <c r="B7749" t="str">
        <f>"1552377919872561"</f>
        <v>1552377919872561</v>
      </c>
      <c r="C7749" t="s">
        <v>40</v>
      </c>
      <c r="D7749">
        <v>5.4753109999999996</v>
      </c>
      <c r="E7749">
        <v>0.4203751</v>
      </c>
      <c r="F7749" t="s">
        <v>81</v>
      </c>
      <c r="G7749">
        <v>-184.3784</v>
      </c>
      <c r="H7749" s="1">
        <v>-1.1238889999999999E-5</v>
      </c>
      <c r="I7749">
        <v>-51.538730000000001</v>
      </c>
      <c r="J7749">
        <v>-213.12450000000001</v>
      </c>
      <c r="K7749">
        <v>1.1122620000000001</v>
      </c>
      <c r="L7749">
        <v>-62.938690000000001</v>
      </c>
      <c r="M7749">
        <v>0.99443839999999994</v>
      </c>
      <c r="N7749">
        <v>0</v>
      </c>
      <c r="O7749">
        <v>0.1043907</v>
      </c>
      <c r="P7749">
        <v>0.98437140000000001</v>
      </c>
      <c r="Q7749">
        <v>4.0635940000000002E-2</v>
      </c>
      <c r="R7749">
        <v>0.17135329999999999</v>
      </c>
      <c r="S7749">
        <v>2.8565520000000002</v>
      </c>
      <c r="T7749">
        <v>-0.1100476</v>
      </c>
      <c r="U7749">
        <v>1.1293329999999999</v>
      </c>
      <c r="V7749">
        <v>-6.7900429999999998E-2</v>
      </c>
      <c r="W7749">
        <v>5.424727E-2</v>
      </c>
      <c r="X7749">
        <v>0.9962162</v>
      </c>
      <c r="Y7749">
        <v>-0.26845629999999998</v>
      </c>
      <c r="Z7749">
        <v>1.1313950000000001E-3</v>
      </c>
      <c r="AA7749">
        <v>0.96329120000000001</v>
      </c>
      <c r="AB7749">
        <v>26</v>
      </c>
      <c r="AC7749">
        <v>28.746099999999998</v>
      </c>
      <c r="AD7749">
        <v>-1.1122732388900001</v>
      </c>
      <c r="AE7749">
        <v>11.39996</v>
      </c>
      <c r="AF7749">
        <v>-8.3257737448087497</v>
      </c>
      <c r="AG7749">
        <v>-1.1122732388900001</v>
      </c>
      <c r="AH7749">
        <v>29.740701646860199</v>
      </c>
      <c r="AI7749">
        <v>92.062583136760793</v>
      </c>
      <c r="AJ7749">
        <v>105.639347510064</v>
      </c>
      <c r="AK7749">
        <v>30.904125851660201</v>
      </c>
      <c r="AL7749">
        <v>86.890333860263794</v>
      </c>
      <c r="AM7749">
        <v>93.899154050045297</v>
      </c>
      <c r="AN7749">
        <v>0.99999997591953804</v>
      </c>
    </row>
    <row r="7750" spans="1:40" x14ac:dyDescent="0.25">
      <c r="A7750" t="str">
        <f>"20190312160519901"</f>
        <v>20190312160519901</v>
      </c>
      <c r="B7750" t="str">
        <f>"1552377919893057"</f>
        <v>1552377919893057</v>
      </c>
      <c r="C7750" t="s">
        <v>40</v>
      </c>
      <c r="D7750">
        <v>5.6220840000000001</v>
      </c>
      <c r="E7750">
        <v>0.42094100000000001</v>
      </c>
      <c r="F7750" t="s">
        <v>81</v>
      </c>
      <c r="G7750">
        <v>-184.56790000000001</v>
      </c>
      <c r="H7750" s="1">
        <v>-1.122515E-5</v>
      </c>
      <c r="I7750">
        <v>-51.602490000000003</v>
      </c>
      <c r="J7750">
        <v>-212.99449999999999</v>
      </c>
      <c r="K7750">
        <v>1.112268</v>
      </c>
      <c r="L7750">
        <v>-62.923549999999999</v>
      </c>
      <c r="M7750">
        <v>0.99429279999999998</v>
      </c>
      <c r="N7750">
        <v>0</v>
      </c>
      <c r="O7750">
        <v>0.1057666</v>
      </c>
      <c r="P7750">
        <v>0.98411870000000001</v>
      </c>
      <c r="Q7750">
        <v>4.0810069999999997E-2</v>
      </c>
      <c r="R7750">
        <v>0.17275699999999999</v>
      </c>
      <c r="S7750">
        <v>2.8549349999999998</v>
      </c>
      <c r="T7750">
        <v>-0.11119900000000001</v>
      </c>
      <c r="U7750">
        <v>1.1333310000000001</v>
      </c>
      <c r="V7750">
        <v>-6.7944909999999997E-2</v>
      </c>
      <c r="W7750">
        <v>5.4421530000000003E-2</v>
      </c>
      <c r="X7750">
        <v>0.99620370000000003</v>
      </c>
      <c r="Y7750">
        <v>-0.26847459999999901</v>
      </c>
      <c r="Z7750">
        <v>1.093066E-3</v>
      </c>
      <c r="AA7750">
        <v>0.96328619999999998</v>
      </c>
      <c r="AB7750">
        <v>26</v>
      </c>
      <c r="AC7750">
        <v>28.426599999999901</v>
      </c>
      <c r="AD7750">
        <v>-1.11227922515</v>
      </c>
      <c r="AE7750">
        <v>11.3210599999999</v>
      </c>
      <c r="AF7750">
        <v>-8.2397809187290303</v>
      </c>
      <c r="AG7750">
        <v>-1.11227922515</v>
      </c>
      <c r="AH7750">
        <v>29.425746603417402</v>
      </c>
      <c r="AI7750">
        <v>92.084611575261604</v>
      </c>
      <c r="AJ7750">
        <v>105.643279005119</v>
      </c>
      <c r="AK7750">
        <v>30.5778631992473</v>
      </c>
      <c r="AL7750">
        <v>86.880334841899696</v>
      </c>
      <c r="AM7750">
        <v>93.901749214908804</v>
      </c>
      <c r="AN7750">
        <v>1.0000000128080599</v>
      </c>
    </row>
    <row r="7751" spans="1:40" x14ac:dyDescent="0.25">
      <c r="A7751" t="str">
        <f>"20190312160519912"</f>
        <v>20190312160519912</v>
      </c>
      <c r="B7751" t="str">
        <f>"1552377919902465"</f>
        <v>1552377919902465</v>
      </c>
      <c r="C7751" t="s">
        <v>40</v>
      </c>
      <c r="D7751">
        <v>5.5379389999999997</v>
      </c>
      <c r="E7751">
        <v>0.4216106</v>
      </c>
      <c r="F7751" t="s">
        <v>81</v>
      </c>
      <c r="G7751">
        <v>-185.18620000000001</v>
      </c>
      <c r="H7751" s="1">
        <v>-1.120608E-5</v>
      </c>
      <c r="I7751">
        <v>-51.886029999999998</v>
      </c>
      <c r="J7751">
        <v>-212.87610000000001</v>
      </c>
      <c r="K7751">
        <v>1.112276</v>
      </c>
      <c r="L7751">
        <v>-62.909610000000001</v>
      </c>
      <c r="M7751">
        <v>0.99415810000000004</v>
      </c>
      <c r="N7751">
        <v>0</v>
      </c>
      <c r="O7751">
        <v>0.1070262</v>
      </c>
      <c r="P7751">
        <v>0.9839253</v>
      </c>
      <c r="Q7751">
        <v>4.0739669999999999E-2</v>
      </c>
      <c r="R7751">
        <v>0.17387149999999901</v>
      </c>
      <c r="S7751">
        <v>2.854279</v>
      </c>
      <c r="T7751">
        <v>-0.11416569999999999</v>
      </c>
      <c r="U7751">
        <v>1.1329039999999999</v>
      </c>
      <c r="V7751">
        <v>-6.7811220000000005E-2</v>
      </c>
      <c r="W7751">
        <v>5.4352020000000001E-2</v>
      </c>
      <c r="X7751">
        <v>0.99621660000000001</v>
      </c>
      <c r="Y7751">
        <v>-0.26720129999999997</v>
      </c>
      <c r="Z7751">
        <v>1.0501149999999999E-3</v>
      </c>
      <c r="AA7751">
        <v>0.96364019999999995</v>
      </c>
      <c r="AB7751">
        <v>26</v>
      </c>
      <c r="AC7751">
        <v>27.689899999999898</v>
      </c>
      <c r="AD7751">
        <v>-1.11228720608</v>
      </c>
      <c r="AE7751">
        <v>11.023580000000001</v>
      </c>
      <c r="AF7751">
        <v>-7.9852943467533404</v>
      </c>
      <c r="AG7751">
        <v>-1.11228720608</v>
      </c>
      <c r="AH7751">
        <v>28.670816984245899</v>
      </c>
      <c r="AI7751">
        <v>92.140298767900305</v>
      </c>
      <c r="AJ7751">
        <v>105.563394926019</v>
      </c>
      <c r="AK7751">
        <v>29.782844981250999</v>
      </c>
      <c r="AL7751">
        <v>86.884323362471093</v>
      </c>
      <c r="AM7751">
        <v>93.894045415081806</v>
      </c>
      <c r="AN7751">
        <v>1.0000000088757599</v>
      </c>
    </row>
    <row r="7752" spans="1:40" x14ac:dyDescent="0.25">
      <c r="A7752" t="str">
        <f>"20190312160519925"</f>
        <v>20190312160519925</v>
      </c>
      <c r="B7752" t="str">
        <f>"1552377919913185"</f>
        <v>1552377919913185</v>
      </c>
      <c r="C7752" t="s">
        <v>40</v>
      </c>
      <c r="D7752">
        <v>5.5261189999999996</v>
      </c>
      <c r="E7752">
        <v>0.42232760000000003</v>
      </c>
      <c r="F7752" t="s">
        <v>81</v>
      </c>
      <c r="G7752">
        <v>-186.18639999999999</v>
      </c>
      <c r="H7752" s="1">
        <v>-1.117218E-5</v>
      </c>
      <c r="I7752">
        <v>-52.33578</v>
      </c>
      <c r="J7752">
        <v>-212.71129999999999</v>
      </c>
      <c r="K7752">
        <v>1.1122879999999999</v>
      </c>
      <c r="L7752">
        <v>-62.889949999999999</v>
      </c>
      <c r="M7752">
        <v>0.99396669999999998</v>
      </c>
      <c r="N7752">
        <v>0</v>
      </c>
      <c r="O7752">
        <v>0.1087876</v>
      </c>
      <c r="P7752">
        <v>0.98362340000000004</v>
      </c>
      <c r="Q7752">
        <v>4.0612229999999999E-2</v>
      </c>
      <c r="R7752">
        <v>0.17560029999999999</v>
      </c>
      <c r="S7752">
        <v>2.8541259999999999</v>
      </c>
      <c r="T7752">
        <v>-0.1189452</v>
      </c>
      <c r="U7752">
        <v>1.1307370000000001</v>
      </c>
      <c r="V7752">
        <v>-6.7796949999999995E-2</v>
      </c>
      <c r="W7752">
        <v>5.4224889999999998E-2</v>
      </c>
      <c r="X7752">
        <v>0.99622449999999996</v>
      </c>
      <c r="Y7752">
        <v>-0.2648723</v>
      </c>
      <c r="Z7752">
        <v>9.7778019999999999E-4</v>
      </c>
      <c r="AA7752">
        <v>0.964283</v>
      </c>
      <c r="AB7752">
        <v>26</v>
      </c>
      <c r="AC7752">
        <v>26.524899999999999</v>
      </c>
      <c r="AD7752">
        <v>-1.11229917218</v>
      </c>
      <c r="AE7752">
        <v>10.554169999999999</v>
      </c>
      <c r="AF7752">
        <v>-7.5941278342729301</v>
      </c>
      <c r="AG7752">
        <v>-1.11229917218</v>
      </c>
      <c r="AH7752">
        <v>27.474010469116799</v>
      </c>
      <c r="AI7752">
        <v>92.234675146558004</v>
      </c>
      <c r="AJ7752">
        <v>105.451402127726</v>
      </c>
      <c r="AK7752">
        <v>28.525939743834101</v>
      </c>
      <c r="AL7752">
        <v>86.891618135257701</v>
      </c>
      <c r="AM7752">
        <v>93.893197705424299</v>
      </c>
      <c r="AN7752">
        <v>1.0000000097625299</v>
      </c>
    </row>
    <row r="7753" spans="1:40" x14ac:dyDescent="0.25">
      <c r="A7753" t="str">
        <f>"20190312160519934"</f>
        <v>20190312160519934</v>
      </c>
      <c r="B7753" t="str">
        <f>"1552377919922945"</f>
        <v>1552377919922945</v>
      </c>
      <c r="C7753" t="s">
        <v>40</v>
      </c>
      <c r="D7753">
        <v>5.5866049999999996</v>
      </c>
      <c r="E7753">
        <v>0.42278779999999999</v>
      </c>
      <c r="F7753" t="s">
        <v>81</v>
      </c>
      <c r="G7753">
        <v>-187.15309999999999</v>
      </c>
      <c r="H7753" s="1">
        <v>-1.113823E-5</v>
      </c>
      <c r="I7753">
        <v>-52.767000000000003</v>
      </c>
      <c r="J7753">
        <v>-212.62</v>
      </c>
      <c r="K7753">
        <v>1.112295</v>
      </c>
      <c r="L7753">
        <v>-62.878880000000002</v>
      </c>
      <c r="M7753">
        <v>0.99385840000000003</v>
      </c>
      <c r="N7753">
        <v>0</v>
      </c>
      <c r="O7753">
        <v>0.1097728</v>
      </c>
      <c r="P7753">
        <v>0.98346920000000004</v>
      </c>
      <c r="Q7753">
        <v>4.0499640000000003E-2</v>
      </c>
      <c r="R7753">
        <v>0.17648839999999999</v>
      </c>
      <c r="S7753">
        <v>2.8533170000000001</v>
      </c>
      <c r="T7753">
        <v>-0.1241772</v>
      </c>
      <c r="U7753">
        <v>1.1301270000000001</v>
      </c>
      <c r="V7753">
        <v>-6.7708539999999998E-2</v>
      </c>
      <c r="W7753">
        <v>5.411204E-2</v>
      </c>
      <c r="X7753">
        <v>0.99623660000000003</v>
      </c>
      <c r="Y7753">
        <v>-0.26382270000000002</v>
      </c>
      <c r="Z7753">
        <v>9.5836680000000005E-4</v>
      </c>
      <c r="AA7753">
        <v>0.9645707</v>
      </c>
      <c r="AB7753">
        <v>26</v>
      </c>
      <c r="AC7753">
        <v>25.466899999999999</v>
      </c>
      <c r="AD7753">
        <v>-1.1123061382299999</v>
      </c>
      <c r="AE7753">
        <v>10.111879999999999</v>
      </c>
      <c r="AF7753">
        <v>-7.2429775277622896</v>
      </c>
      <c r="AG7753">
        <v>-1.1123061382299999</v>
      </c>
      <c r="AH7753">
        <v>26.379614141361699</v>
      </c>
      <c r="AI7753">
        <v>92.328396500138496</v>
      </c>
      <c r="AJ7753">
        <v>105.353196041332</v>
      </c>
      <c r="AK7753">
        <v>27.378495040084701</v>
      </c>
      <c r="AL7753">
        <v>86.898093320213704</v>
      </c>
      <c r="AM7753">
        <v>93.888089318916201</v>
      </c>
      <c r="AN7753">
        <v>0.99999996122072499</v>
      </c>
    </row>
    <row r="7754" spans="1:40" x14ac:dyDescent="0.25">
      <c r="A7754" t="str">
        <f>"20190312160519945"</f>
        <v>20190312160519945</v>
      </c>
      <c r="B7754" t="str">
        <f>"1552377919932705"</f>
        <v>1552377919932705</v>
      </c>
      <c r="C7754" t="s">
        <v>40</v>
      </c>
      <c r="D7754">
        <v>5.5145960000000001</v>
      </c>
      <c r="E7754">
        <v>0.42329080000000002</v>
      </c>
      <c r="F7754" t="s">
        <v>81</v>
      </c>
      <c r="G7754">
        <v>-187.74369999999999</v>
      </c>
      <c r="H7754" s="1">
        <v>-1.1104099999999999E-5</v>
      </c>
      <c r="I7754">
        <v>-53.034439999999996</v>
      </c>
      <c r="J7754">
        <v>-212.49180000000001</v>
      </c>
      <c r="K7754">
        <v>1.1123050000000001</v>
      </c>
      <c r="L7754">
        <v>-62.863280000000003</v>
      </c>
      <c r="M7754">
        <v>0.99370440000000004</v>
      </c>
      <c r="N7754">
        <v>0</v>
      </c>
      <c r="O7754">
        <v>0.1111597</v>
      </c>
      <c r="P7754">
        <v>0.98325680000000004</v>
      </c>
      <c r="Q7754">
        <v>4.0435739999999998E-2</v>
      </c>
      <c r="R7754">
        <v>0.17768320000000001</v>
      </c>
      <c r="S7754">
        <v>2.8530730000000002</v>
      </c>
      <c r="T7754">
        <v>-0.1275705</v>
      </c>
      <c r="U7754">
        <v>1.129059</v>
      </c>
      <c r="V7754">
        <v>-6.7529679999999995E-2</v>
      </c>
      <c r="W7754">
        <v>5.4048720000000001E-2</v>
      </c>
      <c r="X7754">
        <v>0.99625220000000003</v>
      </c>
      <c r="Y7754">
        <v>-0.26218799999999998</v>
      </c>
      <c r="Z7754">
        <v>8.9061259999999895E-4</v>
      </c>
      <c r="AA7754">
        <v>0.9650164</v>
      </c>
      <c r="AB7754">
        <v>26</v>
      </c>
      <c r="AC7754">
        <v>24.748100000000001</v>
      </c>
      <c r="AD7754">
        <v>-1.11231610409999</v>
      </c>
      <c r="AE7754">
        <v>9.8288399999999996</v>
      </c>
      <c r="AF7754">
        <v>-7.0044327778918802</v>
      </c>
      <c r="AG7754">
        <v>-1.11231610409999</v>
      </c>
      <c r="AH7754">
        <v>25.642629312884399</v>
      </c>
      <c r="AI7754">
        <v>92.396121033099902</v>
      </c>
      <c r="AJ7754">
        <v>105.277968906854</v>
      </c>
      <c r="AK7754">
        <v>26.605333370086601</v>
      </c>
      <c r="AL7754">
        <v>86.901726676482795</v>
      </c>
      <c r="AM7754">
        <v>93.877789319062899</v>
      </c>
      <c r="AN7754">
        <v>0.99999998390969003</v>
      </c>
    </row>
    <row r="7755" spans="1:40" x14ac:dyDescent="0.25">
      <c r="A7755" t="str">
        <f>"20190312160519957"</f>
        <v>20190312160519957</v>
      </c>
      <c r="B7755" t="str">
        <f>"1552377919953202"</f>
        <v>1552377919953202</v>
      </c>
      <c r="C7755" t="s">
        <v>40</v>
      </c>
      <c r="D7755">
        <v>5.5360750000000003</v>
      </c>
      <c r="E7755">
        <v>0.42360680000000001</v>
      </c>
      <c r="F7755" t="s">
        <v>81</v>
      </c>
      <c r="G7755">
        <v>-188.38900000000001</v>
      </c>
      <c r="H7755" s="1">
        <v>-1.105154E-5</v>
      </c>
      <c r="I7755">
        <v>-53.327570000000001</v>
      </c>
      <c r="J7755">
        <v>-212.36109999999999</v>
      </c>
      <c r="K7755">
        <v>1.112317</v>
      </c>
      <c r="L7755">
        <v>-62.847079999999998</v>
      </c>
      <c r="M7755">
        <v>0.99354310000000001</v>
      </c>
      <c r="N7755">
        <v>0</v>
      </c>
      <c r="O7755">
        <v>0.1125907</v>
      </c>
      <c r="P7755">
        <v>0.9829928</v>
      </c>
      <c r="Q7755">
        <v>4.0137699999999998E-2</v>
      </c>
      <c r="R7755">
        <v>0.1792049</v>
      </c>
      <c r="S7755">
        <v>2.8525390000000002</v>
      </c>
      <c r="T7755">
        <v>-0.13164129999999999</v>
      </c>
      <c r="U7755">
        <v>1.1285400000000001</v>
      </c>
      <c r="V7755">
        <v>-6.7635290000000001E-2</v>
      </c>
      <c r="W7755">
        <v>5.3749230000000002E-2</v>
      </c>
      <c r="X7755">
        <v>0.99626119999999996</v>
      </c>
      <c r="Y7755">
        <v>-0.26070209999999999</v>
      </c>
      <c r="Z7755">
        <v>8.2351639999999997E-4</v>
      </c>
      <c r="AA7755">
        <v>0.96541889999999997</v>
      </c>
      <c r="AB7755">
        <v>26</v>
      </c>
      <c r="AC7755">
        <v>23.972099999999902</v>
      </c>
      <c r="AD7755">
        <v>-1.11232805154</v>
      </c>
      <c r="AE7755">
        <v>9.5195100000000092</v>
      </c>
      <c r="AF7755">
        <v>-6.7471204505203897</v>
      </c>
      <c r="AG7755">
        <v>-1.11232805154</v>
      </c>
      <c r="AH7755">
        <v>24.845348726648599</v>
      </c>
      <c r="AI7755">
        <v>92.473941059380195</v>
      </c>
      <c r="AJ7755">
        <v>105.193103080443</v>
      </c>
      <c r="AK7755">
        <v>25.769211501651601</v>
      </c>
      <c r="AL7755">
        <v>86.918911050557497</v>
      </c>
      <c r="AM7755">
        <v>93.883800288918295</v>
      </c>
      <c r="AN7755">
        <v>0.99999994540220605</v>
      </c>
    </row>
    <row r="7756" spans="1:40" x14ac:dyDescent="0.25">
      <c r="A7756" t="str">
        <f>"20190312160519968"</f>
        <v>20190312160519968</v>
      </c>
      <c r="B7756" t="str">
        <f>"1552377919962965"</f>
        <v>1552377919962965</v>
      </c>
      <c r="C7756" t="s">
        <v>40</v>
      </c>
      <c r="D7756">
        <v>5.7034440000000002</v>
      </c>
      <c r="E7756">
        <v>0.42360680000000001</v>
      </c>
      <c r="F7756" t="s">
        <v>81</v>
      </c>
      <c r="G7756">
        <v>-189.2499</v>
      </c>
      <c r="H7756" s="1">
        <v>-1.097102E-5</v>
      </c>
      <c r="I7756">
        <v>-53.684809999999999</v>
      </c>
      <c r="J7756">
        <v>-212.22880000000001</v>
      </c>
      <c r="K7756">
        <v>1.11232999999999</v>
      </c>
      <c r="L7756">
        <v>-62.830599999999997</v>
      </c>
      <c r="M7756">
        <v>0.99337730000000002</v>
      </c>
      <c r="N7756">
        <v>0</v>
      </c>
      <c r="O7756">
        <v>0.1140449</v>
      </c>
      <c r="P7756">
        <v>0.9827477</v>
      </c>
      <c r="Q7756">
        <v>4.0076540000000001E-2</v>
      </c>
      <c r="R7756">
        <v>0.1805571</v>
      </c>
      <c r="S7756">
        <v>2.8514400000000002</v>
      </c>
      <c r="T7756">
        <v>-0.137238</v>
      </c>
      <c r="U7756">
        <v>1.1304320000000001</v>
      </c>
      <c r="V7756">
        <v>-6.7548570000000002E-2</v>
      </c>
      <c r="W7756">
        <v>5.3687329999999998E-2</v>
      </c>
      <c r="X7756">
        <v>0.99627049999999995</v>
      </c>
      <c r="Y7756">
        <v>-0.25996029999999998</v>
      </c>
      <c r="Z7756">
        <v>7.7519709999999996E-4</v>
      </c>
      <c r="AA7756">
        <v>0.96561900000000001</v>
      </c>
      <c r="AB7756">
        <v>26</v>
      </c>
      <c r="AC7756">
        <v>22.978899999999999</v>
      </c>
      <c r="AD7756">
        <v>-1.1123409710199901</v>
      </c>
      <c r="AE7756">
        <v>9.1457899999999892</v>
      </c>
      <c r="AF7756">
        <v>-6.4521736701001702</v>
      </c>
      <c r="AG7756">
        <v>-1.1123409710199901</v>
      </c>
      <c r="AH7756">
        <v>23.8238883953384</v>
      </c>
      <c r="AI7756">
        <v>92.580381597256405</v>
      </c>
      <c r="AJ7756">
        <v>105.15377803075801</v>
      </c>
      <c r="AK7756">
        <v>24.707195425189099</v>
      </c>
      <c r="AL7756">
        <v>86.922463029686497</v>
      </c>
      <c r="AM7756">
        <v>93.878799706228193</v>
      </c>
      <c r="AN7756">
        <v>1.0000000239409099</v>
      </c>
    </row>
    <row r="7757" spans="1:40" x14ac:dyDescent="0.25">
      <c r="A7757" t="str">
        <f>"20190312160519978"</f>
        <v>20190312160519978</v>
      </c>
      <c r="B7757" t="str">
        <f>"1552377919972721"</f>
        <v>1552377919972721</v>
      </c>
      <c r="C7757" t="s">
        <v>40</v>
      </c>
      <c r="D7757">
        <v>5.5444680000000002</v>
      </c>
      <c r="E7757">
        <v>0.39307029999999998</v>
      </c>
      <c r="F7757" t="s">
        <v>81</v>
      </c>
      <c r="G7757">
        <v>-189.13509999999999</v>
      </c>
      <c r="H7757" s="1">
        <v>-1.098186E-5</v>
      </c>
      <c r="I7757">
        <v>-53.637520000000002</v>
      </c>
      <c r="J7757">
        <v>-212.10560000000001</v>
      </c>
      <c r="K7757">
        <v>1.1123430000000001</v>
      </c>
      <c r="L7757">
        <v>-62.814909999999998</v>
      </c>
      <c r="M7757">
        <v>0.99321839999999995</v>
      </c>
      <c r="N7757">
        <v>0</v>
      </c>
      <c r="O7757">
        <v>0.1154196</v>
      </c>
      <c r="P7757">
        <v>0.98250400000000004</v>
      </c>
      <c r="Q7757">
        <v>4.0194309999999997E-2</v>
      </c>
      <c r="R7757">
        <v>0.18185290000000001</v>
      </c>
      <c r="S7757">
        <v>2.8498540000000001</v>
      </c>
      <c r="T7757">
        <v>-0.1372671</v>
      </c>
      <c r="U7757">
        <v>1.13446</v>
      </c>
      <c r="V7757">
        <v>-6.7486389999999993E-2</v>
      </c>
      <c r="W7757">
        <v>5.3804459999999998E-2</v>
      </c>
      <c r="X7757">
        <v>0.99626840000000005</v>
      </c>
      <c r="Y7757">
        <v>-0.2599882</v>
      </c>
      <c r="Z7757">
        <v>7.1357699999999996E-4</v>
      </c>
      <c r="AA7757">
        <v>0.96561149999999996</v>
      </c>
      <c r="AB7757">
        <v>26</v>
      </c>
      <c r="AC7757">
        <v>22.970500000000001</v>
      </c>
      <c r="AD7757">
        <v>-1.1123539818599999</v>
      </c>
      <c r="AE7757">
        <v>9.1773900000000008</v>
      </c>
      <c r="AF7757">
        <v>-6.4514923873675798</v>
      </c>
      <c r="AG7757">
        <v>-1.1123539818599999</v>
      </c>
      <c r="AH7757">
        <v>23.828122606487</v>
      </c>
      <c r="AI7757">
        <v>92.580003692051903</v>
      </c>
      <c r="AJ7757">
        <v>105.14968275688101</v>
      </c>
      <c r="AK7757">
        <v>24.711100994391199</v>
      </c>
      <c r="AL7757">
        <v>86.915742276277498</v>
      </c>
      <c r="AM7757">
        <v>93.875248210334206</v>
      </c>
      <c r="AN7757">
        <v>1.0000000287948401</v>
      </c>
    </row>
    <row r="7758" spans="1:40" x14ac:dyDescent="0.25">
      <c r="A7758" t="str">
        <f>"20190312160519991"</f>
        <v>20190312160519991</v>
      </c>
      <c r="B7758" t="str">
        <f>"1552377919982482"</f>
        <v>1552377919982482</v>
      </c>
      <c r="C7758" t="s">
        <v>40</v>
      </c>
      <c r="D7758">
        <v>4.9860379999999997</v>
      </c>
      <c r="E7758">
        <v>0.38686379999999998</v>
      </c>
      <c r="F7758" t="s">
        <v>81</v>
      </c>
      <c r="G7758">
        <v>-189.89529999999999</v>
      </c>
      <c r="H7758" s="1">
        <v>-1.0279969999999999E-5</v>
      </c>
      <c r="I7758">
        <v>-51.90108</v>
      </c>
      <c r="J7758">
        <v>-211.97200000000001</v>
      </c>
      <c r="K7758">
        <v>1.112355</v>
      </c>
      <c r="L7758">
        <v>-62.797820000000002</v>
      </c>
      <c r="M7758">
        <v>0.99304349999999997</v>
      </c>
      <c r="N7758">
        <v>0</v>
      </c>
      <c r="O7758">
        <v>0.1169152</v>
      </c>
      <c r="P7758">
        <v>0.98226270000000004</v>
      </c>
      <c r="Q7758">
        <v>4.019586E-2</v>
      </c>
      <c r="R7758">
        <v>0.1831516</v>
      </c>
      <c r="S7758">
        <v>2.8041079999999998</v>
      </c>
      <c r="T7758">
        <v>-0.14043739999999999</v>
      </c>
      <c r="U7758">
        <v>1.377899</v>
      </c>
      <c r="V7758">
        <v>-6.7304909999999996E-2</v>
      </c>
      <c r="W7758">
        <v>5.3805409999999998E-2</v>
      </c>
      <c r="X7758">
        <v>0.99628059999999996</v>
      </c>
      <c r="Y7758">
        <v>-0.33283620000000003</v>
      </c>
      <c r="Z7758">
        <v>2.3901489999999998E-3</v>
      </c>
      <c r="AA7758">
        <v>0.94298170000000003</v>
      </c>
      <c r="AB7758">
        <v>26</v>
      </c>
      <c r="AC7758">
        <v>22.076699999999999</v>
      </c>
      <c r="AD7758">
        <v>-1.1123652799699999</v>
      </c>
      <c r="AE7758">
        <v>10.8967399999999</v>
      </c>
      <c r="AF7758">
        <v>-8.2238518642766092</v>
      </c>
      <c r="AG7758">
        <v>-1.1123652799699999</v>
      </c>
      <c r="AH7758">
        <v>23.1521215095072</v>
      </c>
      <c r="AI7758">
        <v>92.592269159783299</v>
      </c>
      <c r="AJ7758">
        <v>109.55551805118201</v>
      </c>
      <c r="AK7758">
        <v>24.594508053478801</v>
      </c>
      <c r="AL7758">
        <v>86.915687688223599</v>
      </c>
      <c r="AM7758">
        <v>93.864811586582107</v>
      </c>
      <c r="AN7758">
        <v>1.00000000349586</v>
      </c>
    </row>
    <row r="7759" spans="1:40" x14ac:dyDescent="0.25">
      <c r="A7759" t="str">
        <f>"20190312160520003"</f>
        <v>20190312160520003</v>
      </c>
      <c r="B7759" t="str">
        <f>"1552377919993217"</f>
        <v>1552377919993217</v>
      </c>
      <c r="C7759" t="s">
        <v>40</v>
      </c>
      <c r="D7759">
        <v>4.9801849999999996</v>
      </c>
      <c r="E7759">
        <v>0.38370110000000002</v>
      </c>
      <c r="F7759" t="s">
        <v>81</v>
      </c>
      <c r="G7759">
        <v>-184.31190000000001</v>
      </c>
      <c r="H7759" s="1">
        <v>-3.3224510000000001E-6</v>
      </c>
      <c r="I7759">
        <v>-48.619819999999997</v>
      </c>
      <c r="J7759">
        <v>-211.8227</v>
      </c>
      <c r="K7759">
        <v>1.1123730000000001</v>
      </c>
      <c r="L7759">
        <v>-62.778410000000001</v>
      </c>
      <c r="M7759">
        <v>0.99284289999999997</v>
      </c>
      <c r="N7759">
        <v>0</v>
      </c>
      <c r="O7759">
        <v>0.1186065</v>
      </c>
      <c r="P7759">
        <v>0.98201300000000002</v>
      </c>
      <c r="Q7759">
        <v>4.022498E-2</v>
      </c>
      <c r="R7759">
        <v>0.18447939999999999</v>
      </c>
      <c r="S7759">
        <v>2.7919459999999998</v>
      </c>
      <c r="T7759">
        <v>-0.11227860000000001</v>
      </c>
      <c r="U7759">
        <v>1.4310909999999999</v>
      </c>
      <c r="V7759">
        <v>-6.6957059999999999E-2</v>
      </c>
      <c r="W7759">
        <v>5.3834920000000001E-2</v>
      </c>
      <c r="X7759">
        <v>0.99630240000000003</v>
      </c>
      <c r="Y7759">
        <v>-0.34722229999999998</v>
      </c>
      <c r="Z7759">
        <v>2.1216519999999999E-3</v>
      </c>
      <c r="AA7759">
        <v>0.93778039999999996</v>
      </c>
      <c r="AB7759">
        <v>26</v>
      </c>
      <c r="AC7759">
        <v>27.5107999999999</v>
      </c>
      <c r="AD7759">
        <v>-1.1123763224509999</v>
      </c>
      <c r="AE7759">
        <v>14.158589999999901</v>
      </c>
      <c r="AF7759">
        <v>-10.7814153778779</v>
      </c>
      <c r="AG7759">
        <v>-1.1123763224509999</v>
      </c>
      <c r="AH7759">
        <v>28.958606624406499</v>
      </c>
      <c r="AI7759">
        <v>92.061681682596799</v>
      </c>
      <c r="AJ7759">
        <v>110.42051797786399</v>
      </c>
      <c r="AK7759">
        <v>30.920497995022899</v>
      </c>
      <c r="AL7759">
        <v>86.913994299348303</v>
      </c>
      <c r="AM7759">
        <v>93.844813383360304</v>
      </c>
      <c r="AN7759">
        <v>0.99999995937050401</v>
      </c>
    </row>
    <row r="7760" spans="1:40" x14ac:dyDescent="0.25">
      <c r="A7760" t="str">
        <f>"20190312160520013"</f>
        <v>20190312160520013</v>
      </c>
      <c r="B7760" t="str">
        <f>"1552377920002551"</f>
        <v>1552377920002551</v>
      </c>
      <c r="C7760" t="s">
        <v>40</v>
      </c>
      <c r="D7760">
        <v>4.8002609999999999</v>
      </c>
      <c r="E7760">
        <v>0.38187549999999998</v>
      </c>
      <c r="F7760" t="s">
        <v>81</v>
      </c>
      <c r="G7760">
        <v>-180.26849999999999</v>
      </c>
      <c r="H7760" s="1">
        <v>-3.835861E-6</v>
      </c>
      <c r="I7760">
        <v>-46.233469999999997</v>
      </c>
      <c r="J7760">
        <v>-211.72380000000001</v>
      </c>
      <c r="K7760">
        <v>1.112384</v>
      </c>
      <c r="L7760">
        <v>-62.76538</v>
      </c>
      <c r="M7760">
        <v>0.99270729999999996</v>
      </c>
      <c r="N7760">
        <v>0</v>
      </c>
      <c r="O7760">
        <v>0.1197367</v>
      </c>
      <c r="P7760">
        <v>0.98183940000000003</v>
      </c>
      <c r="Q7760">
        <v>4.039939E-2</v>
      </c>
      <c r="R7760">
        <v>0.18536349999999999</v>
      </c>
      <c r="S7760">
        <v>2.7846980000000001</v>
      </c>
      <c r="T7760">
        <v>-9.8168729999999996E-2</v>
      </c>
      <c r="U7760">
        <v>1.4601139999999999</v>
      </c>
      <c r="V7760">
        <v>-6.6722690000000001E-2</v>
      </c>
      <c r="W7760">
        <v>5.4008720000000003E-2</v>
      </c>
      <c r="X7760">
        <v>0.99630870000000005</v>
      </c>
      <c r="Y7760">
        <v>-0.35486329999999999</v>
      </c>
      <c r="Z7760">
        <v>1.945635E-3</v>
      </c>
      <c r="AA7760">
        <v>0.93491619999999998</v>
      </c>
      <c r="AB7760">
        <v>26</v>
      </c>
      <c r="AC7760">
        <v>31.455300000000001</v>
      </c>
      <c r="AD7760">
        <v>-1.112387835861</v>
      </c>
      <c r="AE7760">
        <v>16.53191</v>
      </c>
      <c r="AF7760">
        <v>-12.633848746027001</v>
      </c>
      <c r="AG7760">
        <v>-1.112387835861</v>
      </c>
      <c r="AH7760">
        <v>33.176115381456697</v>
      </c>
      <c r="AI7760">
        <v>91.794755111103001</v>
      </c>
      <c r="AJ7760">
        <v>110.847412542436</v>
      </c>
      <c r="AK7760">
        <v>35.517688165737702</v>
      </c>
      <c r="AL7760">
        <v>86.904021731592096</v>
      </c>
      <c r="AM7760">
        <v>93.831371370322501</v>
      </c>
      <c r="AN7760">
        <v>0.99999994244627999</v>
      </c>
    </row>
    <row r="7761" spans="1:40" x14ac:dyDescent="0.25">
      <c r="A7761" t="str">
        <f>"20190312160520023"</f>
        <v>20190312160520023</v>
      </c>
      <c r="B7761" t="str">
        <f>"1552377920012302"</f>
        <v>1552377920012302</v>
      </c>
      <c r="C7761" t="s">
        <v>40</v>
      </c>
      <c r="D7761">
        <v>5.5056770000000004</v>
      </c>
      <c r="E7761">
        <v>0.38076510000000002</v>
      </c>
      <c r="F7761" t="s">
        <v>81</v>
      </c>
      <c r="G7761">
        <v>-179.40459999999999</v>
      </c>
      <c r="H7761">
        <v>7.9986559999999998E-2</v>
      </c>
      <c r="I7761">
        <v>-45.593319999999999</v>
      </c>
      <c r="J7761">
        <v>-211.6035</v>
      </c>
      <c r="K7761">
        <v>1.112398</v>
      </c>
      <c r="L7761">
        <v>-62.749389999999998</v>
      </c>
      <c r="M7761">
        <v>0.99253950000000002</v>
      </c>
      <c r="N7761">
        <v>0</v>
      </c>
      <c r="O7761">
        <v>0.1211199</v>
      </c>
      <c r="P7761">
        <v>0.9816087</v>
      </c>
      <c r="Q7761">
        <v>4.0369059999999998E-2</v>
      </c>
      <c r="R7761">
        <v>0.18658710000000001</v>
      </c>
      <c r="S7761">
        <v>2.7802730000000002</v>
      </c>
      <c r="T7761">
        <v>-8.8812470000000004E-2</v>
      </c>
      <c r="U7761">
        <v>1.4772339999999999</v>
      </c>
      <c r="V7761">
        <v>-6.6577899999999995E-2</v>
      </c>
      <c r="W7761">
        <v>5.3977770000000001E-2</v>
      </c>
      <c r="X7761">
        <v>0.99632010000000004</v>
      </c>
      <c r="Y7761">
        <v>-0.35869000000000001</v>
      </c>
      <c r="Z7761">
        <v>1.7774010000000001E-3</v>
      </c>
      <c r="AA7761">
        <v>0.93345500000000003</v>
      </c>
      <c r="AB7761">
        <v>26</v>
      </c>
      <c r="AC7761">
        <v>32.198900000000002</v>
      </c>
      <c r="AD7761">
        <v>-1.03241144</v>
      </c>
      <c r="AE7761">
        <v>17.15607</v>
      </c>
      <c r="AF7761">
        <v>-13.118926881168999</v>
      </c>
      <c r="AG7761">
        <v>-1.03241144</v>
      </c>
      <c r="AH7761">
        <v>34.0127103820058</v>
      </c>
      <c r="AI7761">
        <v>91.622189816283907</v>
      </c>
      <c r="AJ7761">
        <v>111.09195618013</v>
      </c>
      <c r="AK7761">
        <v>36.469666620701503</v>
      </c>
      <c r="AL7761">
        <v>86.905797739915698</v>
      </c>
      <c r="AM7761">
        <v>93.8230382615628</v>
      </c>
      <c r="AN7761">
        <v>0.99999997904329596</v>
      </c>
    </row>
    <row r="7762" spans="1:40" x14ac:dyDescent="0.25">
      <c r="A7762" t="str">
        <f>"20190312160520035"</f>
        <v>20190312160520035</v>
      </c>
      <c r="B7762" t="str">
        <f>"1552377920023038"</f>
        <v>1552377920023038</v>
      </c>
      <c r="C7762" t="s">
        <v>40</v>
      </c>
      <c r="D7762">
        <v>5.5213590000000003</v>
      </c>
      <c r="E7762">
        <v>0.38014229999999999</v>
      </c>
      <c r="F7762" t="s">
        <v>81</v>
      </c>
      <c r="G7762">
        <v>-177.5547</v>
      </c>
      <c r="H7762">
        <v>7.9986699999999994E-2</v>
      </c>
      <c r="I7762">
        <v>-44.484290000000001</v>
      </c>
      <c r="J7762">
        <v>-211.47069999999999</v>
      </c>
      <c r="K7762">
        <v>1.112347</v>
      </c>
      <c r="L7762">
        <v>-62.7316</v>
      </c>
      <c r="M7762">
        <v>0.99230750000000001</v>
      </c>
      <c r="N7762">
        <v>0</v>
      </c>
      <c r="O7762">
        <v>0.123022699999999</v>
      </c>
      <c r="P7762">
        <v>0.981321</v>
      </c>
      <c r="Q7762">
        <v>4.0447749999999998E-2</v>
      </c>
      <c r="R7762">
        <v>0.18807789999999999</v>
      </c>
      <c r="S7762">
        <v>2.776535</v>
      </c>
      <c r="T7762">
        <v>-8.4188699999999894E-2</v>
      </c>
      <c r="U7762">
        <v>1.489441</v>
      </c>
      <c r="V7762">
        <v>-6.6179539999999995E-2</v>
      </c>
      <c r="W7762">
        <v>5.3908249999999998E-2</v>
      </c>
      <c r="X7762">
        <v>0.99635039999999997</v>
      </c>
      <c r="Y7762">
        <v>-0.36062250000000001</v>
      </c>
      <c r="Z7762">
        <v>1.6600009999999999E-3</v>
      </c>
      <c r="AA7762">
        <v>0.93271029999999999</v>
      </c>
      <c r="AB7762">
        <v>26</v>
      </c>
      <c r="AC7762">
        <v>33.915999999999997</v>
      </c>
      <c r="AD7762">
        <v>-1.0323602999999999</v>
      </c>
      <c r="AE7762">
        <v>18.247309999999999</v>
      </c>
      <c r="AF7762">
        <v>-13.925831147316799</v>
      </c>
      <c r="AG7762">
        <v>-1.0323602999999999</v>
      </c>
      <c r="AH7762">
        <v>35.8775886129065</v>
      </c>
      <c r="AI7762">
        <v>91.5365729480082</v>
      </c>
      <c r="AJ7762">
        <v>111.213646421996</v>
      </c>
      <c r="AK7762">
        <v>38.499297469039</v>
      </c>
      <c r="AL7762">
        <v>86.909786738814404</v>
      </c>
      <c r="AM7762">
        <v>93.800115619682998</v>
      </c>
      <c r="AN7762">
        <v>0.99999997525641604</v>
      </c>
    </row>
    <row r="7763" spans="1:40" x14ac:dyDescent="0.25">
      <c r="A7763" t="str">
        <f>"20190312160520045"</f>
        <v>20190312160520045</v>
      </c>
      <c r="B7763" t="str">
        <f>"1552377920032798"</f>
        <v>1552377920032798</v>
      </c>
      <c r="C7763" t="s">
        <v>40</v>
      </c>
      <c r="D7763">
        <v>5.4991459999999996</v>
      </c>
      <c r="E7763">
        <v>0.37964009999999998</v>
      </c>
      <c r="F7763" t="s">
        <v>81</v>
      </c>
      <c r="G7763">
        <v>-176.46019999999999</v>
      </c>
      <c r="H7763">
        <v>7.9986799999999997E-2</v>
      </c>
      <c r="I7763">
        <v>-43.809890000000003</v>
      </c>
      <c r="J7763">
        <v>-211.34790000000001</v>
      </c>
      <c r="K7763">
        <v>1.1122719999999999</v>
      </c>
      <c r="L7763">
        <v>-62.715029999999999</v>
      </c>
      <c r="M7763">
        <v>0.99206899999999998</v>
      </c>
      <c r="N7763">
        <v>0</v>
      </c>
      <c r="O7763">
        <v>0.1249552</v>
      </c>
      <c r="P7763">
        <v>0.9810295</v>
      </c>
      <c r="Q7763">
        <v>4.0638769999999998E-2</v>
      </c>
      <c r="R7763">
        <v>0.1895519</v>
      </c>
      <c r="S7763">
        <v>2.7732239999999999</v>
      </c>
      <c r="T7763">
        <v>-8.1774470000000002E-2</v>
      </c>
      <c r="U7763">
        <v>1.49881</v>
      </c>
      <c r="V7763">
        <v>-6.5734420000000002E-2</v>
      </c>
      <c r="W7763">
        <v>5.3893969999999999E-2</v>
      </c>
      <c r="X7763">
        <v>0.99638070000000001</v>
      </c>
      <c r="Y7763">
        <v>-0.36171700000000001</v>
      </c>
      <c r="Z7763">
        <v>1.5759770000000001E-3</v>
      </c>
      <c r="AA7763">
        <v>0.93228659999999997</v>
      </c>
      <c r="AB7763">
        <v>26</v>
      </c>
      <c r="AC7763">
        <v>34.887700000000002</v>
      </c>
      <c r="AD7763">
        <v>-1.03228519999999</v>
      </c>
      <c r="AE7763">
        <v>18.905139999999999</v>
      </c>
      <c r="AF7763">
        <v>-14.3874007743507</v>
      </c>
      <c r="AG7763">
        <v>-1.03228519999999</v>
      </c>
      <c r="AH7763">
        <v>36.951719375072997</v>
      </c>
      <c r="AI7763">
        <v>91.491210761549496</v>
      </c>
      <c r="AJ7763">
        <v>111.27378600815101</v>
      </c>
      <c r="AK7763">
        <v>39.667272133965398</v>
      </c>
      <c r="AL7763">
        <v>86.9106063035738</v>
      </c>
      <c r="AM7763">
        <v>93.774515932000099</v>
      </c>
      <c r="AN7763">
        <v>1.00000003665379</v>
      </c>
    </row>
    <row r="7764" spans="1:40" x14ac:dyDescent="0.25">
      <c r="A7764" t="str">
        <f>"20190312160520060"</f>
        <v>20190312160520060</v>
      </c>
      <c r="B7764" t="str">
        <f>"1552377920052317"</f>
        <v>1552377920052317</v>
      </c>
      <c r="C7764" t="s">
        <v>40</v>
      </c>
      <c r="D7764">
        <v>5.4757619999999996</v>
      </c>
      <c r="E7764">
        <v>0.37889250000000002</v>
      </c>
      <c r="F7764" t="s">
        <v>81</v>
      </c>
      <c r="G7764">
        <v>-175.31729999999999</v>
      </c>
      <c r="H7764">
        <v>7.9986909999999994E-2</v>
      </c>
      <c r="I7764">
        <v>-43.1143</v>
      </c>
      <c r="J7764">
        <v>-211.18790000000001</v>
      </c>
      <c r="K7764">
        <v>1.1123479999999999</v>
      </c>
      <c r="L7764">
        <v>-62.692929999999997</v>
      </c>
      <c r="M7764">
        <v>0.99187789999999998</v>
      </c>
      <c r="N7764">
        <v>0</v>
      </c>
      <c r="O7764">
        <v>0.12647259999999999</v>
      </c>
      <c r="P7764">
        <v>0.98080310000000004</v>
      </c>
      <c r="Q7764">
        <v>4.0505180000000002E-2</v>
      </c>
      <c r="R7764">
        <v>0.19074820000000001</v>
      </c>
      <c r="S7764">
        <v>2.7701259999999999</v>
      </c>
      <c r="T7764">
        <v>-7.9364899999999905E-2</v>
      </c>
      <c r="U7764">
        <v>1.506958</v>
      </c>
      <c r="V7764">
        <v>-6.5440239999999997E-2</v>
      </c>
      <c r="W7764">
        <v>5.3648750000000002E-2</v>
      </c>
      <c r="X7764">
        <v>0.9964132</v>
      </c>
      <c r="Y7764">
        <v>-0.36285010000000001</v>
      </c>
      <c r="Z7764">
        <v>1.5056049999999999E-3</v>
      </c>
      <c r="AA7764">
        <v>0.93184630000000002</v>
      </c>
      <c r="AB7764">
        <v>26</v>
      </c>
      <c r="AC7764">
        <v>35.870600000000003</v>
      </c>
      <c r="AD7764">
        <v>-1.03236109</v>
      </c>
      <c r="AE7764">
        <v>19.57863</v>
      </c>
      <c r="AF7764">
        <v>-14.874830924536001</v>
      </c>
      <c r="AG7764">
        <v>-1.03236109</v>
      </c>
      <c r="AH7764">
        <v>38.034623724648299</v>
      </c>
      <c r="AI7764">
        <v>91.448030346125194</v>
      </c>
      <c r="AJ7764">
        <v>111.35980111166199</v>
      </c>
      <c r="AK7764">
        <v>40.8528942221877</v>
      </c>
      <c r="AL7764">
        <v>86.924676430396104</v>
      </c>
      <c r="AM7764">
        <v>93.757550204038097</v>
      </c>
      <c r="AN7764">
        <v>0.99999993926102804</v>
      </c>
    </row>
    <row r="7765" spans="1:40" x14ac:dyDescent="0.25">
      <c r="A7765" t="str">
        <f>"20190312160520070"</f>
        <v>20190312160520070</v>
      </c>
      <c r="B7765" t="str">
        <f>"1552377920063053"</f>
        <v>1552377920063053</v>
      </c>
      <c r="C7765" t="s">
        <v>40</v>
      </c>
      <c r="D7765">
        <v>5.4825439999999999</v>
      </c>
      <c r="E7765">
        <v>0.37893719999999997</v>
      </c>
      <c r="F7765" t="s">
        <v>43</v>
      </c>
      <c r="G7765">
        <v>-169.50290000000001</v>
      </c>
      <c r="H7765">
        <v>-0.05</v>
      </c>
      <c r="I7765">
        <v>-39.846330000000002</v>
      </c>
      <c r="J7765">
        <v>-211.06569999999999</v>
      </c>
      <c r="K7765">
        <v>1.112419</v>
      </c>
      <c r="L7765">
        <v>-62.675870000000003</v>
      </c>
      <c r="M7765">
        <v>0.99174269999999998</v>
      </c>
      <c r="N7765">
        <v>0</v>
      </c>
      <c r="O7765">
        <v>0.12752140000000001</v>
      </c>
      <c r="P7765">
        <v>0.98066120000000001</v>
      </c>
      <c r="Q7765">
        <v>4.0314830000000003E-2</v>
      </c>
      <c r="R7765">
        <v>0.19151560000000001</v>
      </c>
      <c r="S7765">
        <v>2.7669679999999999</v>
      </c>
      <c r="T7765">
        <v>-7.7154280000000006E-2</v>
      </c>
      <c r="U7765">
        <v>1.51651</v>
      </c>
      <c r="V7765">
        <v>-6.5175629999999998E-2</v>
      </c>
      <c r="W7765">
        <v>5.3506390000000001E-2</v>
      </c>
      <c r="X7765">
        <v>0.9964383</v>
      </c>
      <c r="Y7765">
        <v>-0.36479139999999999</v>
      </c>
      <c r="Z7765">
        <v>1.4627450000000001E-3</v>
      </c>
      <c r="AA7765">
        <v>0.93108809999999997</v>
      </c>
      <c r="AB7765">
        <v>26</v>
      </c>
      <c r="AC7765">
        <v>41.562799999999903</v>
      </c>
      <c r="AD7765">
        <v>-1.1624190000000001</v>
      </c>
      <c r="AE7765">
        <v>22.829539999999898</v>
      </c>
      <c r="AF7765">
        <v>-17.332070077371299</v>
      </c>
      <c r="AG7765">
        <v>-1.1624190000000001</v>
      </c>
      <c r="AH7765">
        <v>44.108429866805203</v>
      </c>
      <c r="AI7765">
        <v>91.405069509754696</v>
      </c>
      <c r="AJ7765">
        <v>111.451965470877</v>
      </c>
      <c r="AK7765">
        <v>47.405753410460001</v>
      </c>
      <c r="AL7765">
        <v>86.9328451030553</v>
      </c>
      <c r="AM7765">
        <v>93.742305675412297</v>
      </c>
      <c r="AN7765">
        <v>1.0000000411118</v>
      </c>
    </row>
    <row r="7766" spans="1:40" x14ac:dyDescent="0.25">
      <c r="A7766" t="str">
        <f>"20190312160520080"</f>
        <v>20190312160520080</v>
      </c>
      <c r="B7766" t="str">
        <f>"1552377920072813"</f>
        <v>1552377920072813</v>
      </c>
      <c r="C7766" t="s">
        <v>40</v>
      </c>
      <c r="D7766">
        <v>4.8425640000000003</v>
      </c>
      <c r="E7766">
        <v>0.3786678</v>
      </c>
      <c r="F7766" t="s">
        <v>81</v>
      </c>
      <c r="G7766">
        <v>-175.4615</v>
      </c>
      <c r="H7766">
        <v>7.9986899999999903E-2</v>
      </c>
      <c r="I7766">
        <v>-43.131259999999997</v>
      </c>
      <c r="J7766">
        <v>-210.9462</v>
      </c>
      <c r="K7766">
        <v>1.1124830000000001</v>
      </c>
      <c r="L7766">
        <v>-62.658909999999999</v>
      </c>
      <c r="M7766">
        <v>0.99161319999999997</v>
      </c>
      <c r="N7766">
        <v>0</v>
      </c>
      <c r="O7766">
        <v>0.12849189999999999</v>
      </c>
      <c r="P7766">
        <v>0.98052669999999997</v>
      </c>
      <c r="Q7766">
        <v>4.0396399999999999E-2</v>
      </c>
      <c r="R7766">
        <v>0.1921862</v>
      </c>
      <c r="S7766">
        <v>2.7659449999999999</v>
      </c>
      <c r="T7766">
        <v>-8.0205440000000003E-2</v>
      </c>
      <c r="U7766">
        <v>1.5183409999999999</v>
      </c>
      <c r="V7766">
        <v>-6.4888719999999997E-2</v>
      </c>
      <c r="W7766">
        <v>5.3893980000000001E-2</v>
      </c>
      <c r="X7766">
        <v>0.99643610000000005</v>
      </c>
      <c r="Y7766">
        <v>-0.36449330000000002</v>
      </c>
      <c r="Z7766">
        <v>1.4911200000000001E-3</v>
      </c>
      <c r="AA7766">
        <v>0.93120480000000005</v>
      </c>
      <c r="AB7766">
        <v>26</v>
      </c>
      <c r="AC7766">
        <v>35.484699999999997</v>
      </c>
      <c r="AD7766">
        <v>-1.0324960999999999</v>
      </c>
      <c r="AE7766">
        <v>19.527650000000001</v>
      </c>
      <c r="AF7766">
        <v>-14.7961934307876</v>
      </c>
      <c r="AG7766">
        <v>-1.0324960999999999</v>
      </c>
      <c r="AH7766">
        <v>37.675398984511197</v>
      </c>
      <c r="AI7766">
        <v>91.461207234914397</v>
      </c>
      <c r="AJ7766">
        <v>111.441338312732</v>
      </c>
      <c r="AK7766">
        <v>40.489863878258497</v>
      </c>
      <c r="AL7766">
        <v>86.910605629494498</v>
      </c>
      <c r="AM7766">
        <v>93.725886359936993</v>
      </c>
      <c r="AN7766">
        <v>1.0000000042233399</v>
      </c>
    </row>
    <row r="7767" spans="1:40" x14ac:dyDescent="0.25">
      <c r="A7767" t="str">
        <f>"20190312160520091"</f>
        <v>20190312160520091</v>
      </c>
      <c r="B7767" t="str">
        <f>"1552377920082573"</f>
        <v>1552377920082573</v>
      </c>
      <c r="C7767" t="s">
        <v>40</v>
      </c>
      <c r="D7767">
        <v>5.4590379999999996</v>
      </c>
      <c r="E7767">
        <v>0.37836019999999998</v>
      </c>
      <c r="F7767" t="s">
        <v>43</v>
      </c>
      <c r="G7767">
        <v>-170.19040000000001</v>
      </c>
      <c r="H7767">
        <v>-0.05</v>
      </c>
      <c r="I7767">
        <v>-40.213610000000003</v>
      </c>
      <c r="J7767">
        <v>-210.83260000000001</v>
      </c>
      <c r="K7767">
        <v>1.112503</v>
      </c>
      <c r="L7767">
        <v>-62.642699999999998</v>
      </c>
      <c r="M7767">
        <v>0.99147300000000005</v>
      </c>
      <c r="N7767">
        <v>0</v>
      </c>
      <c r="O7767">
        <v>0.1295376</v>
      </c>
      <c r="P7767">
        <v>0.980433</v>
      </c>
      <c r="Q7767">
        <v>4.0311550000000002E-2</v>
      </c>
      <c r="R7767">
        <v>0.19268189999999999</v>
      </c>
      <c r="S7767">
        <v>2.7644039999999999</v>
      </c>
      <c r="T7767">
        <v>-7.8849429999999998E-2</v>
      </c>
      <c r="U7767">
        <v>1.5224299999999999</v>
      </c>
      <c r="V7767">
        <v>-6.4342010000000005E-2</v>
      </c>
      <c r="W7767">
        <v>5.4112050000000002E-2</v>
      </c>
      <c r="X7767">
        <v>0.99645969999999995</v>
      </c>
      <c r="Y7767">
        <v>-0.36479010000000001</v>
      </c>
      <c r="Z7767">
        <v>1.442937E-3</v>
      </c>
      <c r="AA7767">
        <v>0.93108869999999999</v>
      </c>
      <c r="AB7767">
        <v>26</v>
      </c>
      <c r="AC7767">
        <v>40.642200000000003</v>
      </c>
      <c r="AD7767">
        <v>-1.1625030000000001</v>
      </c>
      <c r="AE7767">
        <v>22.429089999999999</v>
      </c>
      <c r="AF7767">
        <v>-16.964213624908702</v>
      </c>
      <c r="AG7767">
        <v>-1.1625030000000001</v>
      </c>
      <c r="AH7767">
        <v>43.1783240665238</v>
      </c>
      <c r="AI7767">
        <v>91.435454213626798</v>
      </c>
      <c r="AJ7767">
        <v>111.449231402942</v>
      </c>
      <c r="AK7767">
        <v>46.405857672607397</v>
      </c>
      <c r="AL7767">
        <v>86.898092776670794</v>
      </c>
      <c r="AM7767">
        <v>93.694494527768896</v>
      </c>
      <c r="AN7767">
        <v>0.99999997096506499</v>
      </c>
    </row>
    <row r="7768" spans="1:40" x14ac:dyDescent="0.25">
      <c r="A7768" t="str">
        <f>"20190312160520102"</f>
        <v>20190312160520102</v>
      </c>
      <c r="B7768" t="str">
        <f>"1552377920093310"</f>
        <v>1552377920093310</v>
      </c>
      <c r="C7768" t="s">
        <v>40</v>
      </c>
      <c r="D7768">
        <v>5.4584950000000001</v>
      </c>
      <c r="E7768">
        <v>0.37808969999999997</v>
      </c>
      <c r="F7768" t="s">
        <v>43</v>
      </c>
      <c r="G7768">
        <v>-169.58320000000001</v>
      </c>
      <c r="H7768">
        <v>-0.05</v>
      </c>
      <c r="I7768">
        <v>-39.855220000000003</v>
      </c>
      <c r="J7768">
        <v>-210.70670000000001</v>
      </c>
      <c r="K7768">
        <v>1.1124559999999999</v>
      </c>
      <c r="L7768">
        <v>-62.624510000000001</v>
      </c>
      <c r="M7768">
        <v>0.99128879999999997</v>
      </c>
      <c r="N7768">
        <v>0</v>
      </c>
      <c r="O7768">
        <v>0.13090080000000001</v>
      </c>
      <c r="P7768">
        <v>0.98024699999999998</v>
      </c>
      <c r="Q7768">
        <v>4.0156249999999998E-2</v>
      </c>
      <c r="R7768">
        <v>0.19365850000000001</v>
      </c>
      <c r="S7768">
        <v>2.7631070000000002</v>
      </c>
      <c r="T7768">
        <v>-7.7870729999999999E-2</v>
      </c>
      <c r="U7768">
        <v>1.5264279999999999</v>
      </c>
      <c r="V7768">
        <v>-6.3955990000000004E-2</v>
      </c>
      <c r="W7768">
        <v>5.430774E-2</v>
      </c>
      <c r="X7768">
        <v>0.99647390000000002</v>
      </c>
      <c r="Y7768">
        <v>-0.36472880000000002</v>
      </c>
      <c r="Z7768">
        <v>1.389361E-3</v>
      </c>
      <c r="AA7768">
        <v>0.93111279999999996</v>
      </c>
      <c r="AB7768">
        <v>26</v>
      </c>
      <c r="AC7768">
        <v>41.1235</v>
      </c>
      <c r="AD7768">
        <v>-1.1624559999999999</v>
      </c>
      <c r="AE7768">
        <v>22.769290000000002</v>
      </c>
      <c r="AF7768">
        <v>-17.179154803519999</v>
      </c>
      <c r="AG7768">
        <v>-1.1624559999999999</v>
      </c>
      <c r="AH7768">
        <v>43.7236701215514</v>
      </c>
      <c r="AI7768">
        <v>91.417492970715401</v>
      </c>
      <c r="AJ7768">
        <v>111.450005204142</v>
      </c>
      <c r="AK7768">
        <v>46.991850278675898</v>
      </c>
      <c r="AL7768">
        <v>86.886864039658406</v>
      </c>
      <c r="AM7768">
        <v>93.672338050559603</v>
      </c>
      <c r="AN7768">
        <v>0.99999996633099797</v>
      </c>
    </row>
    <row r="7769" spans="1:40" x14ac:dyDescent="0.25">
      <c r="A7769" t="str">
        <f>"20190312160520113"</f>
        <v>20190312160520113</v>
      </c>
      <c r="B7769" t="str">
        <f>"1552377920103070"</f>
        <v>1552377920103070</v>
      </c>
      <c r="C7769" t="s">
        <v>40</v>
      </c>
      <c r="D7769">
        <v>5.4518069999999996</v>
      </c>
      <c r="E7769">
        <v>0.37784980000000001</v>
      </c>
      <c r="F7769" t="s">
        <v>43</v>
      </c>
      <c r="G7769">
        <v>-169.18940000000001</v>
      </c>
      <c r="H7769">
        <v>-0.05</v>
      </c>
      <c r="I7769">
        <v>-39.597119999999997</v>
      </c>
      <c r="J7769">
        <v>-210.58420000000001</v>
      </c>
      <c r="K7769">
        <v>1.1123730000000001</v>
      </c>
      <c r="L7769">
        <v>-62.606659999999998</v>
      </c>
      <c r="M7769">
        <v>0.99108220000000002</v>
      </c>
      <c r="N7769">
        <v>0</v>
      </c>
      <c r="O7769">
        <v>0.132437</v>
      </c>
      <c r="P7769">
        <v>0.98008079999999997</v>
      </c>
      <c r="Q7769">
        <v>4.0029839999999997E-2</v>
      </c>
      <c r="R7769">
        <v>0.1945239</v>
      </c>
      <c r="S7769">
        <v>2.761047</v>
      </c>
      <c r="T7769">
        <v>-7.7307459999999995E-2</v>
      </c>
      <c r="U7769">
        <v>1.5314030000000001</v>
      </c>
      <c r="V7769">
        <v>-6.328288E-2</v>
      </c>
      <c r="W7769">
        <v>5.4381539999999999E-2</v>
      </c>
      <c r="X7769">
        <v>0.99651290000000003</v>
      </c>
      <c r="Y7769">
        <v>-0.36486469999999999</v>
      </c>
      <c r="Z7769">
        <v>1.3423199999999999E-3</v>
      </c>
      <c r="AA7769">
        <v>0.93105959999999999</v>
      </c>
      <c r="AB7769">
        <v>26</v>
      </c>
      <c r="AC7769">
        <v>41.394799999999996</v>
      </c>
      <c r="AD7769">
        <v>-1.1623729999999901</v>
      </c>
      <c r="AE7769">
        <v>23.009539999999902</v>
      </c>
      <c r="AF7769">
        <v>-17.313588647869199</v>
      </c>
      <c r="AG7769">
        <v>-1.1623729999999901</v>
      </c>
      <c r="AH7769">
        <v>44.051200481642297</v>
      </c>
      <c r="AI7769">
        <v>91.406794990909205</v>
      </c>
      <c r="AJ7769">
        <v>111.456479352464</v>
      </c>
      <c r="AK7769">
        <v>47.345746659363101</v>
      </c>
      <c r="AL7769">
        <v>86.882629512268693</v>
      </c>
      <c r="AM7769">
        <v>93.6336505042471</v>
      </c>
      <c r="AN7769">
        <v>1.00000001733013</v>
      </c>
    </row>
    <row r="7770" spans="1:40" x14ac:dyDescent="0.25">
      <c r="A7770" t="str">
        <f>"20190312160520123"</f>
        <v>20190312160520123</v>
      </c>
      <c r="B7770" t="str">
        <f>"1552377920112829"</f>
        <v>1552377920112829</v>
      </c>
      <c r="C7770" t="s">
        <v>40</v>
      </c>
      <c r="D7770">
        <v>5.4355060000000002</v>
      </c>
      <c r="E7770">
        <v>0.37757350000000001</v>
      </c>
      <c r="F7770" t="s">
        <v>43</v>
      </c>
      <c r="G7770">
        <v>-168.8887</v>
      </c>
      <c r="H7770">
        <v>-0.05</v>
      </c>
      <c r="I7770">
        <v>-39.399900000000002</v>
      </c>
      <c r="J7770">
        <v>-210.46629999999999</v>
      </c>
      <c r="K7770">
        <v>1.1122639999999999</v>
      </c>
      <c r="L7770">
        <v>-62.589359999999999</v>
      </c>
      <c r="M7770">
        <v>0.99086110000000005</v>
      </c>
      <c r="N7770">
        <v>0</v>
      </c>
      <c r="O7770">
        <v>0.13407189999999999</v>
      </c>
      <c r="P7770">
        <v>0.97982159999999996</v>
      </c>
      <c r="Q7770">
        <v>3.9990049999999999E-2</v>
      </c>
      <c r="R7770">
        <v>0.1958329</v>
      </c>
      <c r="S7770">
        <v>2.7593079999999999</v>
      </c>
      <c r="T7770">
        <v>-7.692301E-2</v>
      </c>
      <c r="U7770">
        <v>1.5357670000000001</v>
      </c>
      <c r="V7770">
        <v>-6.2962470000000006E-2</v>
      </c>
      <c r="W7770">
        <v>5.4425340000000003E-2</v>
      </c>
      <c r="X7770">
        <v>0.99653080000000005</v>
      </c>
      <c r="Y7770">
        <v>-0.36470360000000002</v>
      </c>
      <c r="Z7770">
        <v>1.2923920000000001E-3</v>
      </c>
      <c r="AA7770">
        <v>0.93112280000000003</v>
      </c>
      <c r="AB7770">
        <v>25</v>
      </c>
      <c r="AC7770">
        <v>41.577599999999897</v>
      </c>
      <c r="AD7770">
        <v>-1.162264</v>
      </c>
      <c r="AE7770">
        <v>23.18946</v>
      </c>
      <c r="AF7770">
        <v>-17.394684374054201</v>
      </c>
      <c r="AG7770">
        <v>-1.162264</v>
      </c>
      <c r="AH7770">
        <v>44.285138937122902</v>
      </c>
      <c r="AI7770">
        <v>91.399351957670703</v>
      </c>
      <c r="AJ7770">
        <v>111.444319143296</v>
      </c>
      <c r="AK7770">
        <v>47.593060762667299</v>
      </c>
      <c r="AL7770">
        <v>86.880116220967096</v>
      </c>
      <c r="AM7770">
        <v>93.615236978722294</v>
      </c>
      <c r="AN7770">
        <v>1.0000000128056199</v>
      </c>
    </row>
    <row r="7771" spans="1:40" x14ac:dyDescent="0.25">
      <c r="A7771" t="str">
        <f>"20190312160520135"</f>
        <v>20190312160520135</v>
      </c>
      <c r="B7771" t="str">
        <f>"1552377920122589"</f>
        <v>1552377920122589</v>
      </c>
      <c r="C7771" t="s">
        <v>40</v>
      </c>
      <c r="D7771">
        <v>5.4524520000000001</v>
      </c>
      <c r="E7771">
        <v>0.37739200000000001</v>
      </c>
      <c r="F7771" t="s">
        <v>43</v>
      </c>
      <c r="G7771">
        <v>-168.31720000000001</v>
      </c>
      <c r="H7771">
        <v>-0.05</v>
      </c>
      <c r="I7771">
        <v>-39.015949999999997</v>
      </c>
      <c r="J7771">
        <v>-210.3366</v>
      </c>
      <c r="K7771">
        <v>1.1121799999999999</v>
      </c>
      <c r="L7771">
        <v>-62.570099999999996</v>
      </c>
      <c r="M7771">
        <v>0.99061379999999999</v>
      </c>
      <c r="N7771">
        <v>0</v>
      </c>
      <c r="O7771">
        <v>0.13589039999999999</v>
      </c>
      <c r="P7771">
        <v>0.97952399999999995</v>
      </c>
      <c r="Q7771">
        <v>3.9885530000000002E-2</v>
      </c>
      <c r="R7771">
        <v>0.1973367</v>
      </c>
      <c r="S7771">
        <v>2.7567439999999999</v>
      </c>
      <c r="T7771">
        <v>-7.6017379999999996E-2</v>
      </c>
      <c r="U7771">
        <v>1.541809</v>
      </c>
      <c r="V7771">
        <v>-6.2661640000000005E-2</v>
      </c>
      <c r="W7771">
        <v>5.4294399999999902E-2</v>
      </c>
      <c r="X7771">
        <v>0.99655689999999997</v>
      </c>
      <c r="Y7771">
        <v>-0.36492079999999999</v>
      </c>
      <c r="Z7771">
        <v>1.234885E-3</v>
      </c>
      <c r="AA7771">
        <v>0.93103780000000003</v>
      </c>
      <c r="AB7771">
        <v>25</v>
      </c>
      <c r="AC7771">
        <v>42.019399999999898</v>
      </c>
      <c r="AD7771">
        <v>-1.16218</v>
      </c>
      <c r="AE7771">
        <v>23.55415</v>
      </c>
      <c r="AF7771">
        <v>-17.614701983943601</v>
      </c>
      <c r="AG7771">
        <v>-1.16218</v>
      </c>
      <c r="AH7771">
        <v>44.8045897718577</v>
      </c>
      <c r="AI7771">
        <v>91.382866839263301</v>
      </c>
      <c r="AJ7771">
        <v>111.462024488826</v>
      </c>
      <c r="AK7771">
        <v>48.156823534780699</v>
      </c>
      <c r="AL7771">
        <v>86.887629627562404</v>
      </c>
      <c r="AM7771">
        <v>93.597915144276399</v>
      </c>
      <c r="AN7771">
        <v>1.0000000089682199</v>
      </c>
    </row>
    <row r="7772" spans="1:40" x14ac:dyDescent="0.25">
      <c r="A7772" t="str">
        <f>"20190312160520146"</f>
        <v>20190312160520146</v>
      </c>
      <c r="B7772" t="str">
        <f>"1552377920143085"</f>
        <v>1552377920143085</v>
      </c>
      <c r="C7772" t="s">
        <v>40</v>
      </c>
      <c r="D7772">
        <v>5.4306429999999999</v>
      </c>
      <c r="E7772">
        <v>0.3769189</v>
      </c>
      <c r="F7772" t="s">
        <v>43</v>
      </c>
      <c r="G7772">
        <v>-167.89490000000001</v>
      </c>
      <c r="H7772">
        <v>-0.05</v>
      </c>
      <c r="I7772">
        <v>-38.722610000000003</v>
      </c>
      <c r="J7772">
        <v>-210.20689999999999</v>
      </c>
      <c r="K7772">
        <v>1.1121080000000001</v>
      </c>
      <c r="L7772">
        <v>-62.550690000000003</v>
      </c>
      <c r="M7772">
        <v>0.99036239999999998</v>
      </c>
      <c r="N7772">
        <v>0</v>
      </c>
      <c r="O7772">
        <v>0.13771749999999999</v>
      </c>
      <c r="P7772">
        <v>0.97921270000000005</v>
      </c>
      <c r="Q7772">
        <v>4.0011730000000002E-2</v>
      </c>
      <c r="R7772">
        <v>0.1988509</v>
      </c>
      <c r="S7772">
        <v>2.7540279999999999</v>
      </c>
      <c r="T7772">
        <v>-7.5413469999999996E-2</v>
      </c>
      <c r="U7772">
        <v>1.547455</v>
      </c>
      <c r="V7772">
        <v>-6.2367310000000002E-2</v>
      </c>
      <c r="W7772">
        <v>5.43463E-2</v>
      </c>
      <c r="X7772">
        <v>0.99657260000000003</v>
      </c>
      <c r="Y7772">
        <v>-0.36504779999999998</v>
      </c>
      <c r="Z7772">
        <v>1.181844E-3</v>
      </c>
      <c r="AA7772">
        <v>0.93098800000000004</v>
      </c>
      <c r="AB7772">
        <v>26</v>
      </c>
      <c r="AC7772">
        <v>42.311999999999898</v>
      </c>
      <c r="AD7772">
        <v>-1.1621079999999999</v>
      </c>
      <c r="AE7772">
        <v>23.82808</v>
      </c>
      <c r="AF7772">
        <v>-17.763080015424901</v>
      </c>
      <c r="AG7772">
        <v>-1.1621079999999999</v>
      </c>
      <c r="AH7772">
        <v>45.1647767335974</v>
      </c>
      <c r="AI7772">
        <v>91.371687794293507</v>
      </c>
      <c r="AJ7772">
        <v>111.469465297932</v>
      </c>
      <c r="AK7772">
        <v>48.546210604266001</v>
      </c>
      <c r="AL7772">
        <v>86.884651783690202</v>
      </c>
      <c r="AM7772">
        <v>93.581003073284293</v>
      </c>
      <c r="AN7772">
        <v>1.0000000743755399</v>
      </c>
    </row>
    <row r="7773" spans="1:40" x14ac:dyDescent="0.25">
      <c r="A7773" t="str">
        <f>"20190312160520157"</f>
        <v>20190312160520157</v>
      </c>
      <c r="B7773" t="str">
        <f>"1552377920152845"</f>
        <v>1552377920152845</v>
      </c>
      <c r="C7773" t="s">
        <v>40</v>
      </c>
      <c r="D7773">
        <v>5.4241260000000002</v>
      </c>
      <c r="E7773">
        <v>0.37675029999999998</v>
      </c>
      <c r="F7773" t="s">
        <v>43</v>
      </c>
      <c r="G7773">
        <v>-166.92580000000001</v>
      </c>
      <c r="H7773">
        <v>-0.05</v>
      </c>
      <c r="I7773">
        <v>-38.075409999999998</v>
      </c>
      <c r="J7773">
        <v>-210.08439999999999</v>
      </c>
      <c r="K7773">
        <v>1.1121030000000001</v>
      </c>
      <c r="L7773">
        <v>-62.531889999999997</v>
      </c>
      <c r="M7773">
        <v>0.99013890000000004</v>
      </c>
      <c r="N7773">
        <v>0</v>
      </c>
      <c r="O7773">
        <v>0.13932059999999999</v>
      </c>
      <c r="P7773">
        <v>0.97901159999999998</v>
      </c>
      <c r="Q7773">
        <v>3.9727520000000002E-2</v>
      </c>
      <c r="R7773">
        <v>0.19989589999999999</v>
      </c>
      <c r="S7773">
        <v>2.7508089999999998</v>
      </c>
      <c r="T7773">
        <v>-7.3859930000000004E-2</v>
      </c>
      <c r="U7773">
        <v>1.5555730000000001</v>
      </c>
      <c r="V7773">
        <v>-6.1820510000000002E-2</v>
      </c>
      <c r="W7773">
        <v>5.4014430000000002E-2</v>
      </c>
      <c r="X7773">
        <v>0.99662459999999997</v>
      </c>
      <c r="Y7773">
        <v>-0.3660928</v>
      </c>
      <c r="Z7773">
        <v>1.132072E-3</v>
      </c>
      <c r="AA7773">
        <v>0.9305776</v>
      </c>
      <c r="AB7773">
        <v>26</v>
      </c>
      <c r="AC7773">
        <v>43.1585999999999</v>
      </c>
      <c r="AD7773">
        <v>-1.1621030000000001</v>
      </c>
      <c r="AE7773">
        <v>24.456479999999999</v>
      </c>
      <c r="AF7773">
        <v>-18.194399644903601</v>
      </c>
      <c r="AG7773">
        <v>-1.1621030000000001</v>
      </c>
      <c r="AH7773">
        <v>46.119944108432897</v>
      </c>
      <c r="AI7773">
        <v>91.342731735304099</v>
      </c>
      <c r="AJ7773">
        <v>111.52932213437199</v>
      </c>
      <c r="AK7773">
        <v>49.5927001320361</v>
      </c>
      <c r="AL7773">
        <v>86.903694160341999</v>
      </c>
      <c r="AM7773">
        <v>93.549502832662796</v>
      </c>
      <c r="AN7773">
        <v>0.99999996371502098</v>
      </c>
    </row>
    <row r="7774" spans="1:40" x14ac:dyDescent="0.25">
      <c r="A7774" t="str">
        <f>"20190312160520169"</f>
        <v>20190312160520169</v>
      </c>
      <c r="B7774" t="str">
        <f>"1552377920162605"</f>
        <v>1552377920162605</v>
      </c>
      <c r="C7774" t="s">
        <v>40</v>
      </c>
      <c r="D7774">
        <v>5.4068170000000002</v>
      </c>
      <c r="E7774">
        <v>0.37662810000000002</v>
      </c>
      <c r="F7774" t="s">
        <v>43</v>
      </c>
      <c r="G7774">
        <v>-166.83449999999999</v>
      </c>
      <c r="H7774">
        <v>-0.05</v>
      </c>
      <c r="I7774">
        <v>-37.988219999999998</v>
      </c>
      <c r="J7774">
        <v>-209.9529</v>
      </c>
      <c r="K7774">
        <v>1.1121080000000001</v>
      </c>
      <c r="L7774">
        <v>-62.511629999999997</v>
      </c>
      <c r="M7774">
        <v>0.98989850000000001</v>
      </c>
      <c r="N7774">
        <v>0</v>
      </c>
      <c r="O7774">
        <v>0.14102190000000001</v>
      </c>
      <c r="P7774">
        <v>0.97876280000000004</v>
      </c>
      <c r="Q7774">
        <v>3.9298819999999998E-2</v>
      </c>
      <c r="R7774">
        <v>0.20119400000000001</v>
      </c>
      <c r="S7774">
        <v>2.7488100000000002</v>
      </c>
      <c r="T7774">
        <v>-7.3858980000000005E-2</v>
      </c>
      <c r="U7774">
        <v>1.559906</v>
      </c>
      <c r="V7774">
        <v>-6.1431430000000002E-2</v>
      </c>
      <c r="W7774">
        <v>5.3544000000000001E-2</v>
      </c>
      <c r="X7774">
        <v>0.99667410000000001</v>
      </c>
      <c r="Y7774">
        <v>-0.36589460000000001</v>
      </c>
      <c r="Z7774">
        <v>1.0885420000000001E-3</v>
      </c>
      <c r="AA7774">
        <v>0.93065569999999997</v>
      </c>
      <c r="AB7774">
        <v>26</v>
      </c>
      <c r="AC7774">
        <v>43.118400000000001</v>
      </c>
      <c r="AD7774">
        <v>-1.1621079999999999</v>
      </c>
      <c r="AE7774">
        <v>24.523409999999998</v>
      </c>
      <c r="AF7774">
        <v>-18.187011366528498</v>
      </c>
      <c r="AG7774">
        <v>-1.1621079999999999</v>
      </c>
      <c r="AH7774">
        <v>46.120796894270597</v>
      </c>
      <c r="AI7774">
        <v>91.342789425130505</v>
      </c>
      <c r="AJ7774">
        <v>111.521017642332</v>
      </c>
      <c r="AK7774">
        <v>49.590783252661602</v>
      </c>
      <c r="AL7774">
        <v>86.930687053824201</v>
      </c>
      <c r="AM7774">
        <v>93.527045151305103</v>
      </c>
      <c r="AN7774">
        <v>1.0000000210693201</v>
      </c>
    </row>
    <row r="7775" spans="1:40" x14ac:dyDescent="0.25">
      <c r="A7775" t="str">
        <f>"20190312160520179"</f>
        <v>20190312160520179</v>
      </c>
      <c r="B7775" t="str">
        <f>"1552377920172366"</f>
        <v>1552377920172366</v>
      </c>
      <c r="C7775" t="s">
        <v>40</v>
      </c>
      <c r="D7775">
        <v>5.3757510000000002</v>
      </c>
      <c r="E7775">
        <v>0.37671329999999997</v>
      </c>
      <c r="F7775" t="s">
        <v>43</v>
      </c>
      <c r="G7775">
        <v>-167.02799999999999</v>
      </c>
      <c r="H7775">
        <v>-0.05</v>
      </c>
      <c r="I7775">
        <v>-38.055480000000003</v>
      </c>
      <c r="J7775">
        <v>-209.83690000000001</v>
      </c>
      <c r="K7775">
        <v>1.1121289999999999</v>
      </c>
      <c r="L7775">
        <v>-62.49344</v>
      </c>
      <c r="M7775">
        <v>0.98969220000000002</v>
      </c>
      <c r="N7775">
        <v>0</v>
      </c>
      <c r="O7775">
        <v>0.1424629</v>
      </c>
      <c r="P7775">
        <v>0.97858719999999999</v>
      </c>
      <c r="Q7775">
        <v>3.8918849999999998E-2</v>
      </c>
      <c r="R7775">
        <v>0.20211989999999999</v>
      </c>
      <c r="S7775">
        <v>2.746429</v>
      </c>
      <c r="T7775">
        <v>-7.4354169999999997E-2</v>
      </c>
      <c r="U7775">
        <v>1.5647580000000001</v>
      </c>
      <c r="V7775">
        <v>-6.0924140000000002E-2</v>
      </c>
      <c r="W7775">
        <v>5.3164509999999998E-2</v>
      </c>
      <c r="X7775">
        <v>0.99672559999999999</v>
      </c>
      <c r="Y7775">
        <v>-0.3661277</v>
      </c>
      <c r="Z7775">
        <v>1.063928E-3</v>
      </c>
      <c r="AA7775">
        <v>0.93056399999999995</v>
      </c>
      <c r="AB7775">
        <v>26</v>
      </c>
      <c r="AC7775">
        <v>42.808900000000001</v>
      </c>
      <c r="AD7775">
        <v>-1.162129</v>
      </c>
      <c r="AE7775">
        <v>24.43796</v>
      </c>
      <c r="AF7775">
        <v>-18.079262201169801</v>
      </c>
      <c r="AG7775">
        <v>-1.162129</v>
      </c>
      <c r="AH7775">
        <v>45.828563681656703</v>
      </c>
      <c r="AI7775">
        <v>91.351297845343893</v>
      </c>
      <c r="AJ7775">
        <v>111.52911945036</v>
      </c>
      <c r="AK7775">
        <v>49.279483709500802</v>
      </c>
      <c r="AL7775">
        <v>86.952461388668397</v>
      </c>
      <c r="AM7775">
        <v>93.497811759082396</v>
      </c>
      <c r="AN7775">
        <v>1.00000006882681</v>
      </c>
    </row>
    <row r="7776" spans="1:40" x14ac:dyDescent="0.25">
      <c r="A7776" t="str">
        <f>"20190312160520190"</f>
        <v>20190312160520190</v>
      </c>
      <c r="B7776" t="str">
        <f>"1552377920183102"</f>
        <v>1552377920183102</v>
      </c>
      <c r="C7776" t="s">
        <v>40</v>
      </c>
      <c r="D7776">
        <v>5.3936869999999999</v>
      </c>
      <c r="E7776">
        <v>0.376836</v>
      </c>
      <c r="F7776" t="s">
        <v>43</v>
      </c>
      <c r="G7776">
        <v>-167.80369999999999</v>
      </c>
      <c r="H7776">
        <v>-0.05</v>
      </c>
      <c r="I7776">
        <v>-38.500979999999998</v>
      </c>
      <c r="J7776">
        <v>-209.71260000000001</v>
      </c>
      <c r="K7776">
        <v>1.11215</v>
      </c>
      <c r="L7776">
        <v>-62.473790000000001</v>
      </c>
      <c r="M7776">
        <v>0.9894674</v>
      </c>
      <c r="N7776">
        <v>0</v>
      </c>
      <c r="O7776">
        <v>0.1440148</v>
      </c>
      <c r="P7776">
        <v>0.97841789999999995</v>
      </c>
      <c r="Q7776">
        <v>3.8616869999999998E-2</v>
      </c>
      <c r="R7776">
        <v>0.20299529999999999</v>
      </c>
      <c r="S7776">
        <v>2.7450410000000001</v>
      </c>
      <c r="T7776">
        <v>-7.5894589999999998E-2</v>
      </c>
      <c r="U7776">
        <v>1.566864</v>
      </c>
      <c r="V7776">
        <v>-6.0254000000000002E-2</v>
      </c>
      <c r="W7776">
        <v>5.2864040000000001E-2</v>
      </c>
      <c r="X7776">
        <v>0.99678219999999995</v>
      </c>
      <c r="Y7776">
        <v>-0.36540729999999999</v>
      </c>
      <c r="Z7776">
        <v>1.0382099999999999E-3</v>
      </c>
      <c r="AA7776">
        <v>0.93084710000000004</v>
      </c>
      <c r="AB7776">
        <v>26</v>
      </c>
      <c r="AC7776">
        <v>41.908900000000003</v>
      </c>
      <c r="AD7776">
        <v>-1.16215</v>
      </c>
      <c r="AE7776">
        <v>23.972809999999999</v>
      </c>
      <c r="AF7776">
        <v>-17.676463122052901</v>
      </c>
      <c r="AG7776">
        <v>-1.16215</v>
      </c>
      <c r="AH7776">
        <v>44.898723038759996</v>
      </c>
      <c r="AI7776">
        <v>91.379674016134402</v>
      </c>
      <c r="AJ7776">
        <v>111.4893783883</v>
      </c>
      <c r="AK7776">
        <v>48.266999820157402</v>
      </c>
      <c r="AL7776">
        <v>86.969700941845005</v>
      </c>
      <c r="AM7776">
        <v>93.459235293876702</v>
      </c>
      <c r="AN7776">
        <v>0.99999995273897901</v>
      </c>
    </row>
    <row r="7777" spans="1:40" x14ac:dyDescent="0.25">
      <c r="A7777" t="str">
        <f>"20190312160520201"</f>
        <v>20190312160520201</v>
      </c>
      <c r="B7777" t="str">
        <f>"1552377920192861"</f>
        <v>1552377920192861</v>
      </c>
      <c r="C7777" t="s">
        <v>40</v>
      </c>
      <c r="D7777">
        <v>5.3449689999999999</v>
      </c>
      <c r="E7777">
        <v>0.376836</v>
      </c>
      <c r="F7777" t="s">
        <v>43</v>
      </c>
      <c r="G7777">
        <v>-168.99590000000001</v>
      </c>
      <c r="H7777">
        <v>-0.05</v>
      </c>
      <c r="I7777">
        <v>-39.197400000000002</v>
      </c>
      <c r="J7777">
        <v>-209.5866</v>
      </c>
      <c r="K7777">
        <v>1.112166</v>
      </c>
      <c r="L7777">
        <v>-62.45355</v>
      </c>
      <c r="M7777">
        <v>0.98923530000000004</v>
      </c>
      <c r="N7777">
        <v>0</v>
      </c>
      <c r="O7777">
        <v>0.14560119999999999</v>
      </c>
      <c r="P7777">
        <v>0.97820700000000005</v>
      </c>
      <c r="Q7777">
        <v>3.8466680000000003E-2</v>
      </c>
      <c r="R7777">
        <v>0.20403779999999999</v>
      </c>
      <c r="S7777">
        <v>2.743805</v>
      </c>
      <c r="T7777">
        <v>-7.8314659999999994E-2</v>
      </c>
      <c r="U7777">
        <v>1.5685420000000001</v>
      </c>
      <c r="V7777">
        <v>-5.9718309999999997E-2</v>
      </c>
      <c r="W7777">
        <v>5.2715480000000002E-2</v>
      </c>
      <c r="X7777">
        <v>0.9968224</v>
      </c>
      <c r="Y7777">
        <v>-0.36452109999999999</v>
      </c>
      <c r="Z7777">
        <v>1.018906E-3</v>
      </c>
      <c r="AA7777">
        <v>0.93119459999999998</v>
      </c>
      <c r="AB7777">
        <v>25</v>
      </c>
      <c r="AC7777">
        <v>40.590699999999998</v>
      </c>
      <c r="AD7777">
        <v>-1.162166</v>
      </c>
      <c r="AE7777">
        <v>23.256150000000002</v>
      </c>
      <c r="AF7777">
        <v>-17.087032359609399</v>
      </c>
      <c r="AG7777">
        <v>-1.162166</v>
      </c>
      <c r="AH7777">
        <v>43.5176746098198</v>
      </c>
      <c r="AI7777">
        <v>91.423969411020494</v>
      </c>
      <c r="AJ7777">
        <v>111.43724574567</v>
      </c>
      <c r="AK7777">
        <v>46.7664977106053</v>
      </c>
      <c r="AL7777">
        <v>86.978224975762103</v>
      </c>
      <c r="AM7777">
        <v>93.428416612640902</v>
      </c>
      <c r="AN7777">
        <v>1.00000004776132</v>
      </c>
    </row>
    <row r="7778" spans="1:40" x14ac:dyDescent="0.25">
      <c r="A7778" t="str">
        <f>"20190312160520213"</f>
        <v>20190312160520213</v>
      </c>
      <c r="B7778" t="str">
        <f>"1552377920202621"</f>
        <v>1552377920202621</v>
      </c>
      <c r="C7778" t="s">
        <v>40</v>
      </c>
      <c r="D7778">
        <v>5.3766870000000004</v>
      </c>
      <c r="E7778">
        <v>0.38049430000000001</v>
      </c>
      <c r="F7778" t="s">
        <v>43</v>
      </c>
      <c r="G7778">
        <v>-168.62599999999901</v>
      </c>
      <c r="H7778">
        <v>-0.05</v>
      </c>
      <c r="I7778">
        <v>-38.976529999999997</v>
      </c>
      <c r="J7778">
        <v>-209.4649</v>
      </c>
      <c r="K7778">
        <v>1.1121730000000001</v>
      </c>
      <c r="L7778">
        <v>-62.433869999999999</v>
      </c>
      <c r="M7778">
        <v>0.98900279999999996</v>
      </c>
      <c r="N7778">
        <v>0</v>
      </c>
      <c r="O7778">
        <v>0.1471739</v>
      </c>
      <c r="P7778">
        <v>0.97796289999999997</v>
      </c>
      <c r="Q7778">
        <v>3.8842410000000001E-2</v>
      </c>
      <c r="R7778">
        <v>0.20513390000000001</v>
      </c>
      <c r="S7778">
        <v>2.7420810000000002</v>
      </c>
      <c r="T7778">
        <v>-7.7800510000000003E-2</v>
      </c>
      <c r="U7778">
        <v>1.571655</v>
      </c>
      <c r="V7778">
        <v>-5.9255629999999997E-2</v>
      </c>
      <c r="W7778">
        <v>5.3080700000000001E-2</v>
      </c>
      <c r="X7778">
        <v>0.99683060000000001</v>
      </c>
      <c r="Y7778">
        <v>-0.36409029999999998</v>
      </c>
      <c r="Z7778">
        <v>9.6657939999999999E-4</v>
      </c>
      <c r="AA7778">
        <v>0.93136319999999995</v>
      </c>
      <c r="AB7778">
        <v>25</v>
      </c>
      <c r="AC7778">
        <v>40.838900000000002</v>
      </c>
      <c r="AD7778">
        <v>-1.1621729999999999</v>
      </c>
      <c r="AE7778">
        <v>23.457339999999999</v>
      </c>
      <c r="AF7778">
        <v>-17.180326666020001</v>
      </c>
      <c r="AG7778">
        <v>-1.1621729999999999</v>
      </c>
      <c r="AH7778">
        <v>43.820087881220502</v>
      </c>
      <c r="AI7778">
        <v>91.414433904306307</v>
      </c>
      <c r="AJ7778">
        <v>111.408411962934</v>
      </c>
      <c r="AK7778">
        <v>47.0819962655682</v>
      </c>
      <c r="AL7778">
        <v>86.957269982018701</v>
      </c>
      <c r="AM7778">
        <v>93.401888951128598</v>
      </c>
      <c r="AN7778">
        <v>1.0000000177477699</v>
      </c>
    </row>
    <row r="7779" spans="1:40" x14ac:dyDescent="0.25">
      <c r="A7779" t="str">
        <f>"20190312160520224"</f>
        <v>20190312160520224</v>
      </c>
      <c r="B7779" t="str">
        <f>"1552377920212382"</f>
        <v>1552377920212382</v>
      </c>
      <c r="C7779" t="s">
        <v>40</v>
      </c>
      <c r="D7779">
        <v>5.3762049999999997</v>
      </c>
      <c r="E7779">
        <v>0.37962590000000002</v>
      </c>
      <c r="F7779" t="s">
        <v>81</v>
      </c>
      <c r="G7779">
        <v>-190.05330000000001</v>
      </c>
      <c r="H7779" s="1">
        <v>-9.393309E-6</v>
      </c>
      <c r="I7779">
        <v>-51.522959999999998</v>
      </c>
      <c r="J7779">
        <v>-209.34100000000001</v>
      </c>
      <c r="K7779">
        <v>1.1121639999999999</v>
      </c>
      <c r="L7779">
        <v>-62.413600000000002</v>
      </c>
      <c r="M7779">
        <v>0.98875840000000004</v>
      </c>
      <c r="N7779">
        <v>0</v>
      </c>
      <c r="O7779">
        <v>0.14880839999999901</v>
      </c>
      <c r="P7779">
        <v>0.97776300000000005</v>
      </c>
      <c r="Q7779">
        <v>3.917549E-2</v>
      </c>
      <c r="R7779">
        <v>0.2060215</v>
      </c>
      <c r="S7779">
        <v>2.7496640000000001</v>
      </c>
      <c r="T7779">
        <v>-0.15754099999999999</v>
      </c>
      <c r="U7779">
        <v>1.5455319999999999</v>
      </c>
      <c r="V7779">
        <v>-5.8515980000000002E-2</v>
      </c>
      <c r="W7779">
        <v>5.3395449999999997E-2</v>
      </c>
      <c r="X7779">
        <v>0.99685749999999995</v>
      </c>
      <c r="Y7779">
        <v>-0.35453950000000001</v>
      </c>
      <c r="Z7779">
        <v>1.615081E-3</v>
      </c>
      <c r="AA7779">
        <v>0.93503959999999997</v>
      </c>
      <c r="AB7779">
        <v>25</v>
      </c>
      <c r="AC7779">
        <v>19.287699999999901</v>
      </c>
      <c r="AD7779">
        <v>-1.1121733933089999</v>
      </c>
      <c r="AE7779">
        <v>10.890639999999999</v>
      </c>
      <c r="AF7779">
        <v>-7.8790166574676102</v>
      </c>
      <c r="AG7779">
        <v>-1.1121733933089999</v>
      </c>
      <c r="AH7779">
        <v>20.641656236825199</v>
      </c>
      <c r="AI7779">
        <v>92.881701642481204</v>
      </c>
      <c r="AJ7779">
        <v>110.892089229492</v>
      </c>
      <c r="AK7779">
        <v>22.1222468421429</v>
      </c>
      <c r="AL7779">
        <v>86.939210576395894</v>
      </c>
      <c r="AM7779">
        <v>93.359432779209001</v>
      </c>
      <c r="AN7779">
        <v>1.0000000346511499</v>
      </c>
    </row>
    <row r="7780" spans="1:40" x14ac:dyDescent="0.25">
      <c r="A7780" t="str">
        <f>"20190312160520235"</f>
        <v>20190312160520235</v>
      </c>
      <c r="B7780" t="str">
        <f>"1552377920223118"</f>
        <v>1552377920223118</v>
      </c>
      <c r="C7780" t="s">
        <v>40</v>
      </c>
      <c r="D7780">
        <v>5.379016</v>
      </c>
      <c r="E7780">
        <v>0.3791909</v>
      </c>
      <c r="F7780" t="s">
        <v>81</v>
      </c>
      <c r="G7780">
        <v>-187.67339999999999</v>
      </c>
      <c r="H7780" s="1">
        <v>-3.167931E-6</v>
      </c>
      <c r="I7780">
        <v>-50.143700000000003</v>
      </c>
      <c r="J7780">
        <v>-209.21260000000001</v>
      </c>
      <c r="K7780">
        <v>1.112161</v>
      </c>
      <c r="L7780">
        <v>-62.392359999999996</v>
      </c>
      <c r="M7780">
        <v>0.98849529999999997</v>
      </c>
      <c r="N7780">
        <v>0</v>
      </c>
      <c r="O7780">
        <v>0.1505486</v>
      </c>
      <c r="P7780">
        <v>0.97745269999999995</v>
      </c>
      <c r="Q7780">
        <v>3.9519779999999997E-2</v>
      </c>
      <c r="R7780">
        <v>0.2074232</v>
      </c>
      <c r="S7780">
        <v>2.7462010000000001</v>
      </c>
      <c r="T7780">
        <v>-0.14095859999999999</v>
      </c>
      <c r="U7780">
        <v>1.555115</v>
      </c>
      <c r="V7780">
        <v>-5.8193179999999997E-2</v>
      </c>
      <c r="W7780">
        <v>5.3711599999999998E-2</v>
      </c>
      <c r="X7780">
        <v>0.99685939999999995</v>
      </c>
      <c r="Y7780">
        <v>-0.35592190000000001</v>
      </c>
      <c r="Z7780">
        <v>1.3983649999999999E-3</v>
      </c>
      <c r="AA7780">
        <v>0.93451459999999997</v>
      </c>
      <c r="AB7780">
        <v>25</v>
      </c>
      <c r="AC7780">
        <v>21.539200000000001</v>
      </c>
      <c r="AD7780">
        <v>-1.1121641679309999</v>
      </c>
      <c r="AE7780">
        <v>12.2486599999999</v>
      </c>
      <c r="AF7780">
        <v>-8.8481613209985994</v>
      </c>
      <c r="AG7780">
        <v>-1.1121641679309999</v>
      </c>
      <c r="AH7780">
        <v>23.091350914821401</v>
      </c>
      <c r="AI7780">
        <v>92.575138407121202</v>
      </c>
      <c r="AJ7780">
        <v>110.965871053518</v>
      </c>
      <c r="AK7780">
        <v>24.7535321715966</v>
      </c>
      <c r="AL7780">
        <v>86.921070448253701</v>
      </c>
      <c r="AM7780">
        <v>93.340936405243696</v>
      </c>
      <c r="AN7780">
        <v>1.00000002277071</v>
      </c>
    </row>
    <row r="7781" spans="1:40" x14ac:dyDescent="0.25">
      <c r="A7781" t="str">
        <f>"20190312160520246"</f>
        <v>20190312160520246</v>
      </c>
      <c r="B7781" t="str">
        <f>"1552377920242637"</f>
        <v>1552377920242637</v>
      </c>
      <c r="C7781" t="s">
        <v>40</v>
      </c>
      <c r="D7781">
        <v>5.3331920000000004</v>
      </c>
      <c r="E7781">
        <v>0.37884119999999999</v>
      </c>
      <c r="F7781" t="s">
        <v>81</v>
      </c>
      <c r="G7781">
        <v>-186.3135</v>
      </c>
      <c r="H7781" s="1">
        <v>-3.337752E-6</v>
      </c>
      <c r="I7781">
        <v>-49.345939999999999</v>
      </c>
      <c r="J7781">
        <v>-209.0891</v>
      </c>
      <c r="K7781">
        <v>1.1121570000000001</v>
      </c>
      <c r="L7781">
        <v>-62.3718</v>
      </c>
      <c r="M7781">
        <v>0.98823700000000003</v>
      </c>
      <c r="N7781">
        <v>0</v>
      </c>
      <c r="O7781">
        <v>0.15223879999999901</v>
      </c>
      <c r="P7781">
        <v>0.97716559999999997</v>
      </c>
      <c r="Q7781">
        <v>3.9750790000000001E-2</v>
      </c>
      <c r="R7781">
        <v>0.20872760000000001</v>
      </c>
      <c r="S7781">
        <v>2.7429809999999999</v>
      </c>
      <c r="T7781">
        <v>-0.13322129999999999</v>
      </c>
      <c r="U7781">
        <v>1.562775</v>
      </c>
      <c r="V7781">
        <v>-5.782035E-2</v>
      </c>
      <c r="W7781">
        <v>5.3913019999999999E-2</v>
      </c>
      <c r="X7781">
        <v>0.99687020000000004</v>
      </c>
      <c r="Y7781">
        <v>-0.35678880000000002</v>
      </c>
      <c r="Z7781">
        <v>1.267954E-3</v>
      </c>
      <c r="AA7781">
        <v>0.93418420000000002</v>
      </c>
      <c r="AB7781">
        <v>25</v>
      </c>
      <c r="AC7781">
        <v>22.775600000000001</v>
      </c>
      <c r="AD7781">
        <v>-1.112160337752</v>
      </c>
      <c r="AE7781">
        <v>13.02586</v>
      </c>
      <c r="AF7781">
        <v>-9.3894284407108408</v>
      </c>
      <c r="AG7781">
        <v>-1.112160337752</v>
      </c>
      <c r="AH7781">
        <v>24.4493858363806</v>
      </c>
      <c r="AI7781">
        <v>92.431577305841799</v>
      </c>
      <c r="AJ7781">
        <v>111.008554524337</v>
      </c>
      <c r="AK7781">
        <v>26.2139416119802</v>
      </c>
      <c r="AL7781">
        <v>86.909513119937202</v>
      </c>
      <c r="AM7781">
        <v>93.319543950630404</v>
      </c>
      <c r="AN7781">
        <v>1.0000000011238399</v>
      </c>
    </row>
    <row r="7782" spans="1:40" x14ac:dyDescent="0.25">
      <c r="A7782" t="str">
        <f>"20190312160520260"</f>
        <v>20190312160520260</v>
      </c>
      <c r="B7782" t="str">
        <f>"1552377920252397"</f>
        <v>1552377920252397</v>
      </c>
      <c r="C7782" t="s">
        <v>40</v>
      </c>
      <c r="D7782">
        <v>5.3281179999999999</v>
      </c>
      <c r="E7782">
        <v>0.37856200000000001</v>
      </c>
      <c r="F7782" t="s">
        <v>81</v>
      </c>
      <c r="G7782">
        <v>-185.79400000000001</v>
      </c>
      <c r="H7782" s="1">
        <v>-3.4082159999999998E-6</v>
      </c>
      <c r="I7782">
        <v>-49.031700000000001</v>
      </c>
      <c r="J7782">
        <v>-208.9495</v>
      </c>
      <c r="K7782">
        <v>1.112098</v>
      </c>
      <c r="L7782">
        <v>-62.348210000000002</v>
      </c>
      <c r="M7782">
        <v>0.9878905</v>
      </c>
      <c r="N7782">
        <v>0</v>
      </c>
      <c r="O7782">
        <v>0.1544857</v>
      </c>
      <c r="P7782">
        <v>0.9768057</v>
      </c>
      <c r="Q7782">
        <v>3.9763760000000002E-2</v>
      </c>
      <c r="R7782">
        <v>0.21040310000000001</v>
      </c>
      <c r="S7782">
        <v>2.7402340000000001</v>
      </c>
      <c r="T7782">
        <v>-0.130825</v>
      </c>
      <c r="U7782">
        <v>1.5692140000000001</v>
      </c>
      <c r="V7782">
        <v>-5.7257950000000002E-2</v>
      </c>
      <c r="W7782">
        <v>5.3777800000000001E-2</v>
      </c>
      <c r="X7782">
        <v>0.99690999999999996</v>
      </c>
      <c r="Y7782">
        <v>-0.35673050000000001</v>
      </c>
      <c r="Z7782">
        <v>1.147812E-3</v>
      </c>
      <c r="AA7782">
        <v>0.9342066</v>
      </c>
      <c r="AB7782">
        <v>25</v>
      </c>
      <c r="AC7782">
        <v>23.1554999999999</v>
      </c>
      <c r="AD7782">
        <v>-1.1121014082159999</v>
      </c>
      <c r="AE7782">
        <v>13.3165099999999</v>
      </c>
      <c r="AF7782">
        <v>-9.56247403374417</v>
      </c>
      <c r="AG7782">
        <v>-1.1121014082159999</v>
      </c>
      <c r="AH7782">
        <v>24.891737315790699</v>
      </c>
      <c r="AI7782">
        <v>92.388188202792193</v>
      </c>
      <c r="AJ7782">
        <v>111.014907087913</v>
      </c>
      <c r="AK7782">
        <v>26.688504375227001</v>
      </c>
      <c r="AL7782">
        <v>86.917272019760205</v>
      </c>
      <c r="AM7782">
        <v>93.287196016400202</v>
      </c>
      <c r="AN7782">
        <v>1.0000000363555199</v>
      </c>
    </row>
    <row r="7783" spans="1:40" x14ac:dyDescent="0.25">
      <c r="A7783" t="str">
        <f>"20190312160520272"</f>
        <v>20190312160520272</v>
      </c>
      <c r="B7783" t="str">
        <f>"1552377920263133"</f>
        <v>1552377920263133</v>
      </c>
      <c r="C7783" t="s">
        <v>40</v>
      </c>
      <c r="D7783">
        <v>5.3588950000000004</v>
      </c>
      <c r="E7783">
        <v>0.37843159999999998</v>
      </c>
      <c r="F7783" t="s">
        <v>81</v>
      </c>
      <c r="G7783">
        <v>-185.55549999999999</v>
      </c>
      <c r="H7783" s="1">
        <v>-3.4475259999999999E-6</v>
      </c>
      <c r="I7783">
        <v>-48.875709999999998</v>
      </c>
      <c r="J7783">
        <v>-208.80260000000001</v>
      </c>
      <c r="K7783">
        <v>1.1120859999999999</v>
      </c>
      <c r="L7783">
        <v>-62.323180000000001</v>
      </c>
      <c r="M7783">
        <v>0.98753860000000004</v>
      </c>
      <c r="N7783">
        <v>0</v>
      </c>
      <c r="O7783">
        <v>0.15673000000000001</v>
      </c>
      <c r="P7783">
        <v>0.97646699999999997</v>
      </c>
      <c r="Q7783">
        <v>3.93458E-2</v>
      </c>
      <c r="R7783">
        <v>0.21204770000000001</v>
      </c>
      <c r="S7783">
        <v>2.737015</v>
      </c>
      <c r="T7783">
        <v>-0.1301118</v>
      </c>
      <c r="U7783">
        <v>1.576233</v>
      </c>
      <c r="V7783">
        <v>-5.6666750000000002E-2</v>
      </c>
      <c r="W7783">
        <v>5.325498E-2</v>
      </c>
      <c r="X7783">
        <v>0.99697179999999996</v>
      </c>
      <c r="Y7783">
        <v>-0.3568866</v>
      </c>
      <c r="Z7783">
        <v>1.0497149999999999E-3</v>
      </c>
      <c r="AA7783">
        <v>0.93414710000000001</v>
      </c>
      <c r="AB7783">
        <v>25</v>
      </c>
      <c r="AC7783">
        <v>23.2471</v>
      </c>
      <c r="AD7783">
        <v>-1.1120894475259999</v>
      </c>
      <c r="AE7783">
        <v>13.447469999999999</v>
      </c>
      <c r="AF7783">
        <v>-9.6208601992228306</v>
      </c>
      <c r="AG7783">
        <v>-1.1120894475259999</v>
      </c>
      <c r="AH7783">
        <v>25.0246681965635</v>
      </c>
      <c r="AI7783">
        <v>92.3752588453779</v>
      </c>
      <c r="AJ7783">
        <v>111.029508197917</v>
      </c>
      <c r="AK7783">
        <v>26.8334066465737</v>
      </c>
      <c r="AL7783">
        <v>86.947270250601207</v>
      </c>
      <c r="AM7783">
        <v>93.253127099557005</v>
      </c>
      <c r="AN7783">
        <v>0.99999999172280096</v>
      </c>
    </row>
    <row r="7784" spans="1:40" x14ac:dyDescent="0.25">
      <c r="A7784" t="str">
        <f>"20190312160520285"</f>
        <v>20190312160520285</v>
      </c>
      <c r="B7784" t="str">
        <f>"1552377920272893"</f>
        <v>1552377920272893</v>
      </c>
      <c r="C7784" t="s">
        <v>40</v>
      </c>
      <c r="D7784">
        <v>5.3397110000000003</v>
      </c>
      <c r="E7784">
        <v>0.37823459999999998</v>
      </c>
      <c r="F7784" t="s">
        <v>81</v>
      </c>
      <c r="G7784">
        <v>-185.03659999999999</v>
      </c>
      <c r="H7784" s="1">
        <v>-3.513587E-6</v>
      </c>
      <c r="I7784">
        <v>-48.56917</v>
      </c>
      <c r="J7784">
        <v>-208.65389999999999</v>
      </c>
      <c r="K7784">
        <v>1.112141</v>
      </c>
      <c r="L7784">
        <v>-62.297550000000001</v>
      </c>
      <c r="M7784">
        <v>0.98720549999999996</v>
      </c>
      <c r="N7784">
        <v>0</v>
      </c>
      <c r="O7784">
        <v>0.15881670000000001</v>
      </c>
      <c r="P7784">
        <v>0.97621880000000005</v>
      </c>
      <c r="Q7784">
        <v>3.9004999999999998E-2</v>
      </c>
      <c r="R7784">
        <v>0.21325079999999999</v>
      </c>
      <c r="S7784">
        <v>2.7338559999999998</v>
      </c>
      <c r="T7784">
        <v>-0.12792600000000001</v>
      </c>
      <c r="U7784">
        <v>1.5821529999999999</v>
      </c>
      <c r="V7784">
        <v>-5.5792149999999999E-2</v>
      </c>
      <c r="W7784">
        <v>5.2888810000000001E-2</v>
      </c>
      <c r="X7784">
        <v>0.99704060000000005</v>
      </c>
      <c r="Y7784">
        <v>-0.35690329999999998</v>
      </c>
      <c r="Z7784">
        <v>9.4541579999999996E-4</v>
      </c>
      <c r="AA7784">
        <v>0.93414090000000005</v>
      </c>
      <c r="AB7784">
        <v>25</v>
      </c>
      <c r="AC7784">
        <v>23.6173</v>
      </c>
      <c r="AD7784">
        <v>-1.1121445135870001</v>
      </c>
      <c r="AE7784">
        <v>13.72838</v>
      </c>
      <c r="AF7784">
        <v>-9.7866825122424004</v>
      </c>
      <c r="AG7784">
        <v>-1.1121445135870001</v>
      </c>
      <c r="AH7784">
        <v>25.455815206964498</v>
      </c>
      <c r="AI7784">
        <v>92.335187306417694</v>
      </c>
      <c r="AJ7784">
        <v>111.02963696424899</v>
      </c>
      <c r="AK7784">
        <v>27.2949546228907</v>
      </c>
      <c r="AL7784">
        <v>86.968279802075998</v>
      </c>
      <c r="AM7784">
        <v>93.202802824583998</v>
      </c>
      <c r="AN7784">
        <v>0.99999997413659902</v>
      </c>
    </row>
    <row r="7785" spans="1:40" x14ac:dyDescent="0.25">
      <c r="A7785" t="str">
        <f>"20190312160520298"</f>
        <v>20190312160520298</v>
      </c>
      <c r="B7785" t="str">
        <f>"1552377920292413"</f>
        <v>1552377920292413</v>
      </c>
      <c r="C7785" t="s">
        <v>40</v>
      </c>
      <c r="D7785">
        <v>5.3494020000000004</v>
      </c>
      <c r="E7785">
        <v>0.37823709999999999</v>
      </c>
      <c r="F7785" t="s">
        <v>81</v>
      </c>
      <c r="G7785">
        <v>-184.66290000000001</v>
      </c>
      <c r="H7785" s="1">
        <v>-3.5563970000000001E-6</v>
      </c>
      <c r="I7785">
        <v>-48.356450000000002</v>
      </c>
      <c r="J7785">
        <v>-208.52950000000001</v>
      </c>
      <c r="K7785">
        <v>1.112239</v>
      </c>
      <c r="L7785">
        <v>-62.275700000000001</v>
      </c>
      <c r="M7785">
        <v>0.98695639999999996</v>
      </c>
      <c r="N7785">
        <v>0</v>
      </c>
      <c r="O7785">
        <v>0.16035369999999999</v>
      </c>
      <c r="P7785">
        <v>0.97607200000000005</v>
      </c>
      <c r="Q7785">
        <v>3.8277609999999997E-2</v>
      </c>
      <c r="R7785">
        <v>0.21405270000000001</v>
      </c>
      <c r="S7785">
        <v>2.7314150000000001</v>
      </c>
      <c r="T7785">
        <v>-0.1266197</v>
      </c>
      <c r="U7785">
        <v>1.5872189999999999</v>
      </c>
      <c r="V7785">
        <v>-5.5061539999999999E-2</v>
      </c>
      <c r="W7785">
        <v>5.2186919999999998E-2</v>
      </c>
      <c r="X7785">
        <v>0.99711819999999896</v>
      </c>
      <c r="Y7785">
        <v>-0.35711100000000001</v>
      </c>
      <c r="Z7785">
        <v>8.7676149999999897E-4</v>
      </c>
      <c r="AA7785">
        <v>0.93406149999999999</v>
      </c>
      <c r="AB7785">
        <v>25</v>
      </c>
      <c r="AC7785">
        <v>23.866599999999998</v>
      </c>
      <c r="AD7785">
        <v>-1.112242556397</v>
      </c>
      <c r="AE7785">
        <v>13.9192499999999</v>
      </c>
      <c r="AF7785">
        <v>-9.8955685508736604</v>
      </c>
      <c r="AG7785">
        <v>-1.112242556397</v>
      </c>
      <c r="AH7785">
        <v>25.748197481864899</v>
      </c>
      <c r="AI7785">
        <v>92.309008053445496</v>
      </c>
      <c r="AJ7785">
        <v>111.022807527458</v>
      </c>
      <c r="AK7785">
        <v>27.606684589323901</v>
      </c>
      <c r="AL7785">
        <v>87.008550761977006</v>
      </c>
      <c r="AM7785">
        <v>93.1607015576203</v>
      </c>
      <c r="AN7785">
        <v>0.99999997628874804</v>
      </c>
    </row>
    <row r="7786" spans="1:40" x14ac:dyDescent="0.25">
      <c r="A7786" t="str">
        <f>"20190312160520309"</f>
        <v>20190312160520309</v>
      </c>
      <c r="B7786" t="str">
        <f>"1552377920303151"</f>
        <v>1552377920303151</v>
      </c>
      <c r="C7786" t="s">
        <v>40</v>
      </c>
      <c r="D7786">
        <v>5.3406520000000004</v>
      </c>
      <c r="E7786">
        <v>0.37818960000000001</v>
      </c>
      <c r="F7786" t="s">
        <v>81</v>
      </c>
      <c r="G7786">
        <v>-184.97730000000001</v>
      </c>
      <c r="H7786" s="1">
        <v>-3.5059549999999998E-6</v>
      </c>
      <c r="I7786">
        <v>-48.559800000000003</v>
      </c>
      <c r="J7786">
        <v>-208.41069999999999</v>
      </c>
      <c r="K7786">
        <v>1.112336</v>
      </c>
      <c r="L7786">
        <v>-62.254759999999997</v>
      </c>
      <c r="M7786">
        <v>0.98672009999999999</v>
      </c>
      <c r="N7786">
        <v>0</v>
      </c>
      <c r="O7786">
        <v>0.16179859999999999</v>
      </c>
      <c r="P7786">
        <v>0.97596300000000002</v>
      </c>
      <c r="Q7786">
        <v>3.793842E-2</v>
      </c>
      <c r="R7786">
        <v>0.21460940000000001</v>
      </c>
      <c r="S7786">
        <v>2.7299349999999998</v>
      </c>
      <c r="T7786">
        <v>-0.12892029999999999</v>
      </c>
      <c r="U7786">
        <v>1.5898129999999999</v>
      </c>
      <c r="V7786">
        <v>-5.417756E-2</v>
      </c>
      <c r="W7786">
        <v>5.1876440000000003E-2</v>
      </c>
      <c r="X7786">
        <v>0.99718280000000004</v>
      </c>
      <c r="Y7786">
        <v>-0.3566222</v>
      </c>
      <c r="Z7786">
        <v>8.2105350000000004E-4</v>
      </c>
      <c r="AA7786">
        <v>0.93424830000000003</v>
      </c>
      <c r="AB7786">
        <v>25</v>
      </c>
      <c r="AC7786">
        <v>23.433399999999899</v>
      </c>
      <c r="AD7786">
        <v>-1.1123395059550001</v>
      </c>
      <c r="AE7786">
        <v>13.694959999999901</v>
      </c>
      <c r="AF7786">
        <v>-9.7062935391430294</v>
      </c>
      <c r="AG7786">
        <v>-1.1123395059550001</v>
      </c>
      <c r="AH7786">
        <v>25.298135362118</v>
      </c>
      <c r="AI7786">
        <v>92.350751484547004</v>
      </c>
      <c r="AJ7786">
        <v>110.99062157773599</v>
      </c>
      <c r="AK7786">
        <v>27.1190908078527</v>
      </c>
      <c r="AL7786">
        <v>87.026364021522895</v>
      </c>
      <c r="AM7786">
        <v>93.109857732441199</v>
      </c>
      <c r="AN7786">
        <v>0.99999995482523196</v>
      </c>
    </row>
    <row r="7787" spans="1:40" x14ac:dyDescent="0.25">
      <c r="A7787" t="str">
        <f>"20190312160520317"</f>
        <v>20190312160520317</v>
      </c>
      <c r="B7787" t="str">
        <f>"1552377920312909"</f>
        <v>1552377920312909</v>
      </c>
      <c r="C7787" t="s">
        <v>40</v>
      </c>
      <c r="D7787">
        <v>5.3443290000000001</v>
      </c>
      <c r="E7787">
        <v>0.37803340000000002</v>
      </c>
      <c r="F7787" t="s">
        <v>81</v>
      </c>
      <c r="G7787">
        <v>-184.71559999999999</v>
      </c>
      <c r="H7787" s="1">
        <v>-3.52449E-6</v>
      </c>
      <c r="I7787">
        <v>-48.430169999999997</v>
      </c>
      <c r="J7787">
        <v>-208.30420000000001</v>
      </c>
      <c r="K7787">
        <v>1.1123879999999999</v>
      </c>
      <c r="L7787">
        <v>-62.23563</v>
      </c>
      <c r="M7787">
        <v>0.98650669999999996</v>
      </c>
      <c r="N7787">
        <v>0</v>
      </c>
      <c r="O7787">
        <v>0.16309499999999999</v>
      </c>
      <c r="P7787">
        <v>0.97582199999999997</v>
      </c>
      <c r="Q7787">
        <v>3.7607460000000002E-2</v>
      </c>
      <c r="R7787">
        <v>0.21530750000000001</v>
      </c>
      <c r="S7787">
        <v>2.7287750000000002</v>
      </c>
      <c r="T7787">
        <v>-0.12809960000000001</v>
      </c>
      <c r="U7787">
        <v>1.5920719999999999</v>
      </c>
      <c r="V7787">
        <v>-5.358363E-2</v>
      </c>
      <c r="W7787">
        <v>5.154073E-2</v>
      </c>
      <c r="X7787">
        <v>0.99723229999999996</v>
      </c>
      <c r="Y7787">
        <v>-0.35614780000000001</v>
      </c>
      <c r="Z7787">
        <v>7.5115449999999895E-4</v>
      </c>
      <c r="AA7787">
        <v>0.93442930000000002</v>
      </c>
      <c r="AB7787">
        <v>25</v>
      </c>
      <c r="AC7787">
        <v>23.5886</v>
      </c>
      <c r="AD7787">
        <v>-1.11239152449</v>
      </c>
      <c r="AE7787">
        <v>13.80546</v>
      </c>
      <c r="AF7787">
        <v>-9.7568336214719302</v>
      </c>
      <c r="AG7787">
        <v>-1.11239152449</v>
      </c>
      <c r="AH7787">
        <v>25.482313069429601</v>
      </c>
      <c r="AI7787">
        <v>92.334504272388699</v>
      </c>
      <c r="AJ7787">
        <v>110.951168381549</v>
      </c>
      <c r="AK7787">
        <v>27.3090002854236</v>
      </c>
      <c r="AL7787">
        <v>87.045624559142993</v>
      </c>
      <c r="AM7787">
        <v>93.075678870620905</v>
      </c>
      <c r="AN7787">
        <v>0.99999995620809801</v>
      </c>
    </row>
    <row r="7788" spans="1:40" x14ac:dyDescent="0.25">
      <c r="A7788" t="str">
        <f>"20190312160520326"</f>
        <v>20190312160520326</v>
      </c>
      <c r="B7788" t="str">
        <f>"1552377920322670"</f>
        <v>1552377920322670</v>
      </c>
      <c r="C7788" t="s">
        <v>40</v>
      </c>
      <c r="D7788">
        <v>5.3428740000000001</v>
      </c>
      <c r="E7788">
        <v>0.3779748</v>
      </c>
      <c r="F7788" t="s">
        <v>81</v>
      </c>
      <c r="G7788">
        <v>-184.61660000000001</v>
      </c>
      <c r="H7788" s="1">
        <v>-3.532167E-6</v>
      </c>
      <c r="I7788">
        <v>-48.380009999999999</v>
      </c>
      <c r="J7788">
        <v>-208.20820000000001</v>
      </c>
      <c r="K7788">
        <v>1.1124369999999999</v>
      </c>
      <c r="L7788">
        <v>-62.218350000000001</v>
      </c>
      <c r="M7788">
        <v>0.98631290000000005</v>
      </c>
      <c r="N7788">
        <v>0</v>
      </c>
      <c r="O7788">
        <v>0.1642631</v>
      </c>
      <c r="P7788">
        <v>0.97574559999999999</v>
      </c>
      <c r="Q7788">
        <v>3.7437560000000002E-2</v>
      </c>
      <c r="R7788">
        <v>0.21568380000000001</v>
      </c>
      <c r="S7788">
        <v>2.7272799999999999</v>
      </c>
      <c r="T7788">
        <v>-0.128076</v>
      </c>
      <c r="U7788">
        <v>1.5952759999999999</v>
      </c>
      <c r="V7788">
        <v>-5.2791869999999998E-2</v>
      </c>
      <c r="W7788">
        <v>5.1367860000000001E-2</v>
      </c>
      <c r="X7788">
        <v>0.99728349999999999</v>
      </c>
      <c r="Y7788">
        <v>-0.3560837</v>
      </c>
      <c r="Z7788">
        <v>7.0073919999999999E-4</v>
      </c>
      <c r="AA7788">
        <v>0.9344538</v>
      </c>
      <c r="AB7788">
        <v>25</v>
      </c>
      <c r="AC7788">
        <v>23.5916</v>
      </c>
      <c r="AD7788">
        <v>-1.1124405321669999</v>
      </c>
      <c r="AE7788">
        <v>13.838340000000001</v>
      </c>
      <c r="AF7788">
        <v>-9.7585597843767804</v>
      </c>
      <c r="AG7788">
        <v>-1.1124405321669999</v>
      </c>
      <c r="AH7788">
        <v>25.502251582518198</v>
      </c>
      <c r="AI7788">
        <v>92.332963984343195</v>
      </c>
      <c r="AJ7788">
        <v>110.93959108202699</v>
      </c>
      <c r="AK7788">
        <v>27.328224398612502</v>
      </c>
      <c r="AL7788">
        <v>87.055542574192103</v>
      </c>
      <c r="AM7788">
        <v>93.030162215576397</v>
      </c>
      <c r="AN7788">
        <v>1.00000000897566</v>
      </c>
    </row>
    <row r="7789" spans="1:40" x14ac:dyDescent="0.25">
      <c r="A7789" t="str">
        <f>"20190312160520335"</f>
        <v>20190312160520335</v>
      </c>
      <c r="B7789" t="str">
        <f>"1552377920332430"</f>
        <v>1552377920332430</v>
      </c>
      <c r="C7789" t="s">
        <v>40</v>
      </c>
      <c r="D7789">
        <v>4.8025270000000004</v>
      </c>
      <c r="E7789">
        <v>0.3779748</v>
      </c>
      <c r="F7789" t="s">
        <v>81</v>
      </c>
      <c r="G7789">
        <v>-184.59970000000001</v>
      </c>
      <c r="H7789" s="1">
        <v>-3.5226119999999999E-6</v>
      </c>
      <c r="I7789">
        <v>-48.389809999999997</v>
      </c>
      <c r="J7789">
        <v>-208.1112</v>
      </c>
      <c r="K7789">
        <v>1.1124400000000001</v>
      </c>
      <c r="L7789">
        <v>-62.200589999999998</v>
      </c>
      <c r="M7789">
        <v>0.98609650000000004</v>
      </c>
      <c r="N7789">
        <v>0</v>
      </c>
      <c r="O7789">
        <v>0.16555980000000001</v>
      </c>
      <c r="P7789">
        <v>0.97555080000000005</v>
      </c>
      <c r="Q7789">
        <v>3.763884E-2</v>
      </c>
      <c r="R7789">
        <v>0.2165271</v>
      </c>
      <c r="S7789">
        <v>2.7265169999999999</v>
      </c>
      <c r="T7789">
        <v>-0.1284748</v>
      </c>
      <c r="U7789">
        <v>1.597046</v>
      </c>
      <c r="V7789">
        <v>-5.2345830000000003E-2</v>
      </c>
      <c r="W7789">
        <v>5.1537390000000002E-2</v>
      </c>
      <c r="X7789">
        <v>0.99729820000000002</v>
      </c>
      <c r="Y7789">
        <v>-0.3554214</v>
      </c>
      <c r="Z7789">
        <v>6.3385630000000002E-4</v>
      </c>
      <c r="AA7789">
        <v>0.93470600000000004</v>
      </c>
      <c r="AB7789">
        <v>25</v>
      </c>
      <c r="AC7789">
        <v>23.511499999999899</v>
      </c>
      <c r="AD7789">
        <v>-1.112443522612</v>
      </c>
      <c r="AE7789">
        <v>13.810779999999999</v>
      </c>
      <c r="AF7789">
        <v>-9.7110300154871396</v>
      </c>
      <c r="AG7789">
        <v>-1.112443522612</v>
      </c>
      <c r="AH7789">
        <v>25.4313836996443</v>
      </c>
      <c r="AI7789">
        <v>92.340089804493104</v>
      </c>
      <c r="AJ7789">
        <v>110.899466977015</v>
      </c>
      <c r="AK7789">
        <v>27.245126379432101</v>
      </c>
      <c r="AL7789">
        <v>87.045816145938304</v>
      </c>
      <c r="AM7789">
        <v>93.0045631932947</v>
      </c>
      <c r="AN7789">
        <v>0.99999994410481896</v>
      </c>
    </row>
    <row r="7790" spans="1:40" x14ac:dyDescent="0.25">
      <c r="A7790" t="str">
        <f>"20190312160520346"</f>
        <v>20190312160520346</v>
      </c>
      <c r="B7790" t="str">
        <f>"1552377920343166"</f>
        <v>1552377920343166</v>
      </c>
      <c r="C7790" t="s">
        <v>40</v>
      </c>
      <c r="D7790">
        <v>5.3320910000000001</v>
      </c>
      <c r="E7790">
        <v>0.37295260000000002</v>
      </c>
      <c r="F7790" t="s">
        <v>81</v>
      </c>
      <c r="G7790">
        <v>-184.36600000000001</v>
      </c>
      <c r="H7790" s="1">
        <v>-3.5452430000000001E-6</v>
      </c>
      <c r="I7790">
        <v>-48.263759999999998</v>
      </c>
      <c r="J7790">
        <v>-207.98589999999999</v>
      </c>
      <c r="K7790">
        <v>1.1124459999999901</v>
      </c>
      <c r="L7790">
        <v>-62.177639999999997</v>
      </c>
      <c r="M7790">
        <v>0.98581169999999996</v>
      </c>
      <c r="N7790">
        <v>0</v>
      </c>
      <c r="O7790">
        <v>0.16725110000000001</v>
      </c>
      <c r="P7790">
        <v>0.97527470000000005</v>
      </c>
      <c r="Q7790">
        <v>3.7792260000000001E-2</v>
      </c>
      <c r="R7790">
        <v>0.21774099999999999</v>
      </c>
      <c r="S7790">
        <v>2.7251129999999999</v>
      </c>
      <c r="T7790">
        <v>-0.12766930000000001</v>
      </c>
      <c r="U7790">
        <v>1.5994569999999999</v>
      </c>
      <c r="V7790">
        <v>-5.1878550000000002E-2</v>
      </c>
      <c r="W7790">
        <v>5.1645480000000001E-2</v>
      </c>
      <c r="X7790">
        <v>0.99731709999999996</v>
      </c>
      <c r="Y7790">
        <v>-0.3546472</v>
      </c>
      <c r="Z7790">
        <v>5.4241300000000005E-4</v>
      </c>
      <c r="AA7790">
        <v>0.9350001</v>
      </c>
      <c r="AB7790">
        <v>25</v>
      </c>
      <c r="AC7790">
        <v>23.619900000000001</v>
      </c>
      <c r="AD7790">
        <v>-1.1124495452430001</v>
      </c>
      <c r="AE7790">
        <v>13.913880000000001</v>
      </c>
      <c r="AF7790">
        <v>-9.7509421202086397</v>
      </c>
      <c r="AG7790">
        <v>-1.1124495452430001</v>
      </c>
      <c r="AH7790">
        <v>25.5723654150774</v>
      </c>
      <c r="AI7790">
        <v>92.327637165107703</v>
      </c>
      <c r="AJ7790">
        <v>110.872238620514</v>
      </c>
      <c r="AK7790">
        <v>27.3909526877876</v>
      </c>
      <c r="AL7790">
        <v>87.039615007461606</v>
      </c>
      <c r="AM7790">
        <v>92.977734260427198</v>
      </c>
      <c r="AN7790">
        <v>1.0000000187534701</v>
      </c>
    </row>
    <row r="7791" spans="1:40" x14ac:dyDescent="0.25">
      <c r="A7791" t="str">
        <f>"20190312160520358"</f>
        <v>20190312160520358</v>
      </c>
      <c r="B7791" t="str">
        <f>"1552377920352925"</f>
        <v>1552377920352925</v>
      </c>
      <c r="C7791" t="s">
        <v>40</v>
      </c>
      <c r="D7791">
        <v>5.3141579999999999</v>
      </c>
      <c r="E7791">
        <v>0.37260739999999998</v>
      </c>
      <c r="F7791" t="s">
        <v>43</v>
      </c>
      <c r="G7791">
        <v>-169.3355</v>
      </c>
      <c r="H7791">
        <v>-0.05</v>
      </c>
      <c r="I7791">
        <v>-38.783360000000002</v>
      </c>
      <c r="J7791">
        <v>-207.8597</v>
      </c>
      <c r="K7791">
        <v>1.1124229999999999</v>
      </c>
      <c r="L7791">
        <v>-62.154139999999998</v>
      </c>
      <c r="M7791">
        <v>0.98549520000000002</v>
      </c>
      <c r="N7791">
        <v>0</v>
      </c>
      <c r="O7791">
        <v>0.1691106</v>
      </c>
      <c r="P7791">
        <v>0.97499049999999998</v>
      </c>
      <c r="Q7791">
        <v>3.7493569999999997E-2</v>
      </c>
      <c r="R7791">
        <v>0.21906139999999999</v>
      </c>
      <c r="S7791">
        <v>2.7126459999999999</v>
      </c>
      <c r="T7791">
        <v>-8.1585290000000005E-2</v>
      </c>
      <c r="U7791">
        <v>1.641907</v>
      </c>
      <c r="V7791">
        <v>-5.1340629999999998E-2</v>
      </c>
      <c r="W7791">
        <v>5.1305000000000003E-2</v>
      </c>
      <c r="X7791">
        <v>0.99736250000000004</v>
      </c>
      <c r="Y7791">
        <v>-0.36560130000000002</v>
      </c>
      <c r="Z7791">
        <v>4.5019059999999999E-4</v>
      </c>
      <c r="AA7791">
        <v>0.93077149999999997</v>
      </c>
      <c r="AB7791">
        <v>25</v>
      </c>
      <c r="AC7791">
        <v>38.5242</v>
      </c>
      <c r="AD7791">
        <v>-1.162423</v>
      </c>
      <c r="AE7791">
        <v>23.37078</v>
      </c>
      <c r="AF7791">
        <v>-16.5076133286972</v>
      </c>
      <c r="AG7791">
        <v>-1.162423</v>
      </c>
      <c r="AH7791">
        <v>41.893988669320102</v>
      </c>
      <c r="AI7791">
        <v>91.478762496667898</v>
      </c>
      <c r="AJ7791">
        <v>111.506076071328</v>
      </c>
      <c r="AK7791">
        <v>45.043965319072797</v>
      </c>
      <c r="AL7791">
        <v>87.0591489447621</v>
      </c>
      <c r="AM7791">
        <v>92.946779432661103</v>
      </c>
      <c r="AN7791">
        <v>1.0000000098600199</v>
      </c>
    </row>
    <row r="7792" spans="1:40" x14ac:dyDescent="0.25">
      <c r="A7792" t="str">
        <f>"20190312160520369"</f>
        <v>20190312160520369</v>
      </c>
      <c r="B7792" t="str">
        <f>"1552377920362685"</f>
        <v>1552377920362685</v>
      </c>
      <c r="C7792" t="s">
        <v>40</v>
      </c>
      <c r="D7792">
        <v>5.3008259999999998</v>
      </c>
      <c r="E7792">
        <v>0.37212990000000001</v>
      </c>
      <c r="F7792" t="s">
        <v>43</v>
      </c>
      <c r="G7792">
        <v>-168.7937</v>
      </c>
      <c r="H7792">
        <v>-0.05</v>
      </c>
      <c r="I7792">
        <v>-38.38937</v>
      </c>
      <c r="J7792">
        <v>-207.72890000000001</v>
      </c>
      <c r="K7792">
        <v>1.112398</v>
      </c>
      <c r="L7792">
        <v>-62.129640000000002</v>
      </c>
      <c r="M7792">
        <v>0.98515810000000004</v>
      </c>
      <c r="N7792">
        <v>0</v>
      </c>
      <c r="O7792">
        <v>0.17106640000000001</v>
      </c>
      <c r="P7792">
        <v>0.9747342</v>
      </c>
      <c r="Q7792">
        <v>3.7145369999999997E-2</v>
      </c>
      <c r="R7792">
        <v>0.22025800000000001</v>
      </c>
      <c r="S7792">
        <v>2.7097020000000001</v>
      </c>
      <c r="T7792">
        <v>-8.0628160000000004E-2</v>
      </c>
      <c r="U7792">
        <v>1.6483759999999901</v>
      </c>
      <c r="V7792">
        <v>-5.0576889999999999E-2</v>
      </c>
      <c r="W7792">
        <v>5.0920220000000002E-2</v>
      </c>
      <c r="X7792">
        <v>0.99742120000000001</v>
      </c>
      <c r="Y7792">
        <v>-0.36582769999999998</v>
      </c>
      <c r="Z7792">
        <v>3.9660740000000002E-4</v>
      </c>
      <c r="AA7792">
        <v>0.93068249999999997</v>
      </c>
      <c r="AB7792">
        <v>25</v>
      </c>
      <c r="AC7792">
        <v>38.935200000000002</v>
      </c>
      <c r="AD7792">
        <v>-1.162398</v>
      </c>
      <c r="AE7792">
        <v>23.740269999999999</v>
      </c>
      <c r="AF7792">
        <v>-16.718223632797201</v>
      </c>
      <c r="AG7792">
        <v>-1.162398</v>
      </c>
      <c r="AH7792">
        <v>42.395182633243998</v>
      </c>
      <c r="AI7792">
        <v>91.461102595155594</v>
      </c>
      <c r="AJ7792">
        <v>111.521426642292</v>
      </c>
      <c r="AK7792">
        <v>45.587297365085497</v>
      </c>
      <c r="AL7792">
        <v>87.081223953948907</v>
      </c>
      <c r="AM7792">
        <v>92.902848319803894</v>
      </c>
      <c r="AN7792">
        <v>0.99999997040817901</v>
      </c>
    </row>
    <row r="7793" spans="1:40" x14ac:dyDescent="0.25">
      <c r="A7793" t="str">
        <f>"20190312160520380"</f>
        <v>20190312160520380</v>
      </c>
      <c r="B7793" t="str">
        <f>"1552377920372445"</f>
        <v>1552377920372445</v>
      </c>
      <c r="C7793" t="s">
        <v>40</v>
      </c>
      <c r="D7793">
        <v>5.3047899999999997</v>
      </c>
      <c r="E7793">
        <v>0.372</v>
      </c>
      <c r="F7793" t="s">
        <v>43</v>
      </c>
      <c r="G7793">
        <v>-168.31909999999999</v>
      </c>
      <c r="H7793">
        <v>-0.05</v>
      </c>
      <c r="I7793">
        <v>-38.0242</v>
      </c>
      <c r="J7793">
        <v>-207.61600000000001</v>
      </c>
      <c r="K7793">
        <v>1.1123879999999999</v>
      </c>
      <c r="L7793">
        <v>-62.108220000000003</v>
      </c>
      <c r="M7793">
        <v>0.98485400000000001</v>
      </c>
      <c r="N7793">
        <v>0</v>
      </c>
      <c r="O7793">
        <v>0.172811299999999</v>
      </c>
      <c r="P7793">
        <v>0.97444529999999996</v>
      </c>
      <c r="Q7793">
        <v>3.6980550000000001E-2</v>
      </c>
      <c r="R7793">
        <v>0.22156029999999999</v>
      </c>
      <c r="S7793">
        <v>2.706696</v>
      </c>
      <c r="T7793">
        <v>-7.9834340000000004E-2</v>
      </c>
      <c r="U7793">
        <v>1.6555789999999999</v>
      </c>
      <c r="V7793">
        <v>-5.0137899999999999E-2</v>
      </c>
      <c r="W7793">
        <v>5.073449E-2</v>
      </c>
      <c r="X7793">
        <v>0.99745289999999998</v>
      </c>
      <c r="Y7793">
        <v>-0.36644369999999998</v>
      </c>
      <c r="Z7793">
        <v>3.5570330000000001E-4</v>
      </c>
      <c r="AA7793">
        <v>0.93044009999999999</v>
      </c>
      <c r="AB7793">
        <v>25</v>
      </c>
      <c r="AC7793">
        <v>39.296900000000001</v>
      </c>
      <c r="AD7793">
        <v>-1.162388</v>
      </c>
      <c r="AE7793">
        <v>24.084019999999899</v>
      </c>
      <c r="AF7793">
        <v>-16.919217016287099</v>
      </c>
      <c r="AG7793">
        <v>-1.162388</v>
      </c>
      <c r="AH7793">
        <v>42.8407136821153</v>
      </c>
      <c r="AI7793">
        <v>91.445610167057893</v>
      </c>
      <c r="AJ7793">
        <v>111.55070543360701</v>
      </c>
      <c r="AK7793">
        <v>46.075349147887501</v>
      </c>
      <c r="AL7793">
        <v>87.091879482028702</v>
      </c>
      <c r="AM7793">
        <v>92.877603828809796</v>
      </c>
      <c r="AN7793">
        <v>1.0000000426051801</v>
      </c>
    </row>
    <row r="7794" spans="1:40" x14ac:dyDescent="0.25">
      <c r="A7794" t="str">
        <f>"20190312160520390"</f>
        <v>20190312160520390</v>
      </c>
      <c r="B7794" t="str">
        <f>"1552377920383182"</f>
        <v>1552377920383182</v>
      </c>
      <c r="C7794" t="s">
        <v>40</v>
      </c>
      <c r="D7794">
        <v>5.3121130000000001</v>
      </c>
      <c r="E7794">
        <v>0.37203570000000002</v>
      </c>
      <c r="F7794" t="s">
        <v>43</v>
      </c>
      <c r="G7794">
        <v>-167.61580000000001</v>
      </c>
      <c r="H7794">
        <v>-0.05</v>
      </c>
      <c r="I7794">
        <v>-37.548279999999998</v>
      </c>
      <c r="J7794">
        <v>-207.49590000000001</v>
      </c>
      <c r="K7794">
        <v>1.11239</v>
      </c>
      <c r="L7794">
        <v>-62.085270000000001</v>
      </c>
      <c r="M7794">
        <v>0.98452680000000004</v>
      </c>
      <c r="N7794">
        <v>0</v>
      </c>
      <c r="O7794">
        <v>0.17466799999999999</v>
      </c>
      <c r="P7794">
        <v>0.97421880000000005</v>
      </c>
      <c r="Q7794">
        <v>3.6890609999999997E-2</v>
      </c>
      <c r="R7794">
        <v>0.2225694</v>
      </c>
      <c r="S7794">
        <v>2.7041629999999999</v>
      </c>
      <c r="T7794">
        <v>-7.8581689999999996E-2</v>
      </c>
      <c r="U7794">
        <v>1.660339</v>
      </c>
      <c r="V7794">
        <v>-4.9286299999999998E-2</v>
      </c>
      <c r="W7794">
        <v>5.0627819999999997E-2</v>
      </c>
      <c r="X7794">
        <v>0.99750070000000002</v>
      </c>
      <c r="Y7794">
        <v>-0.36627019999999999</v>
      </c>
      <c r="Z7794">
        <v>3.0021699999999998E-4</v>
      </c>
      <c r="AA7794">
        <v>0.93050849999999996</v>
      </c>
      <c r="AB7794">
        <v>25</v>
      </c>
      <c r="AC7794">
        <v>39.880099999999999</v>
      </c>
      <c r="AD7794">
        <v>-1.16239</v>
      </c>
      <c r="AE7794">
        <v>24.536989999999999</v>
      </c>
      <c r="AF7794">
        <v>-17.1826606996305</v>
      </c>
      <c r="AG7794">
        <v>-1.16239</v>
      </c>
      <c r="AH7794">
        <v>43.526343982384297</v>
      </c>
      <c r="AI7794">
        <v>91.4229325563673</v>
      </c>
      <c r="AJ7794">
        <v>111.54235296732401</v>
      </c>
      <c r="AK7794">
        <v>46.809588758112</v>
      </c>
      <c r="AL7794">
        <v>87.097998908077003</v>
      </c>
      <c r="AM7794">
        <v>92.828672019101404</v>
      </c>
      <c r="AN7794">
        <v>0.99999998101306597</v>
      </c>
    </row>
    <row r="7795" spans="1:40" x14ac:dyDescent="0.25">
      <c r="A7795" t="str">
        <f>"20190312160520402"</f>
        <v>20190312160520402</v>
      </c>
      <c r="B7795" t="str">
        <f>"1552377920392942"</f>
        <v>1552377920392942</v>
      </c>
      <c r="C7795" t="s">
        <v>40</v>
      </c>
      <c r="D7795">
        <v>5.3282379999999998</v>
      </c>
      <c r="E7795">
        <v>0.37201329999999999</v>
      </c>
      <c r="F7795" t="s">
        <v>43</v>
      </c>
      <c r="G7795">
        <v>-166.95140000000001</v>
      </c>
      <c r="H7795">
        <v>-0.05</v>
      </c>
      <c r="I7795">
        <v>-37.136839999999999</v>
      </c>
      <c r="J7795">
        <v>-207.36959999999999</v>
      </c>
      <c r="K7795">
        <v>1.1124069999999999</v>
      </c>
      <c r="L7795">
        <v>-62.060850000000002</v>
      </c>
      <c r="M7795">
        <v>0.98417860000000001</v>
      </c>
      <c r="N7795">
        <v>0</v>
      </c>
      <c r="O7795">
        <v>0.17662059999999999</v>
      </c>
      <c r="P7795">
        <v>0.97387869999999999</v>
      </c>
      <c r="Q7795">
        <v>3.6726370000000001E-2</v>
      </c>
      <c r="R7795">
        <v>0.224079</v>
      </c>
      <c r="S7795">
        <v>2.7024379999999999</v>
      </c>
      <c r="T7795">
        <v>-7.7477459999999998E-2</v>
      </c>
      <c r="U7795">
        <v>1.66290299999999</v>
      </c>
      <c r="V7795">
        <v>-4.8851039999999998E-2</v>
      </c>
      <c r="W7795">
        <v>5.0449229999999998E-2</v>
      </c>
      <c r="X7795">
        <v>0.99753119999999995</v>
      </c>
      <c r="Y7795">
        <v>-0.36533199999999999</v>
      </c>
      <c r="Z7795">
        <v>2.3417549999999999E-4</v>
      </c>
      <c r="AA7795">
        <v>0.93087730000000002</v>
      </c>
      <c r="AB7795">
        <v>25</v>
      </c>
      <c r="AC7795">
        <v>40.418199999999899</v>
      </c>
      <c r="AD7795">
        <v>-1.162407</v>
      </c>
      <c r="AE7795">
        <v>24.924009999999999</v>
      </c>
      <c r="AF7795">
        <v>-17.382293249975401</v>
      </c>
      <c r="AG7795">
        <v>-1.162407</v>
      </c>
      <c r="AH7795">
        <v>44.158726138207399</v>
      </c>
      <c r="AI7795">
        <v>91.403125751591404</v>
      </c>
      <c r="AJ7795">
        <v>111.48619265039601</v>
      </c>
      <c r="AK7795">
        <v>47.470921655377502</v>
      </c>
      <c r="AL7795">
        <v>87.108244572672604</v>
      </c>
      <c r="AM7795">
        <v>92.803645736585807</v>
      </c>
      <c r="AN7795">
        <v>1.00000002194505</v>
      </c>
    </row>
    <row r="7796" spans="1:40" x14ac:dyDescent="0.25">
      <c r="A7796" t="str">
        <f>"20190312160520413"</f>
        <v>20190312160520413</v>
      </c>
      <c r="B7796" t="str">
        <f>"1552377920402702"</f>
        <v>1552377920402702</v>
      </c>
      <c r="C7796" t="s">
        <v>40</v>
      </c>
      <c r="D7796">
        <v>5.305021</v>
      </c>
      <c r="E7796">
        <v>0.37192259999999999</v>
      </c>
      <c r="F7796" t="s">
        <v>43</v>
      </c>
      <c r="G7796">
        <v>-166.83750000000001</v>
      </c>
      <c r="H7796">
        <v>-0.05</v>
      </c>
      <c r="I7796">
        <v>-37.027880000000003</v>
      </c>
      <c r="J7796">
        <v>-207.251</v>
      </c>
      <c r="K7796">
        <v>1.11243799999999</v>
      </c>
      <c r="L7796">
        <v>-62.037660000000002</v>
      </c>
      <c r="M7796">
        <v>0.98385</v>
      </c>
      <c r="N7796">
        <v>0</v>
      </c>
      <c r="O7796">
        <v>0.1784433</v>
      </c>
      <c r="P7796">
        <v>0.97356770000000004</v>
      </c>
      <c r="Q7796">
        <v>3.6804799999999999E-2</v>
      </c>
      <c r="R7796">
        <v>0.22541410000000001</v>
      </c>
      <c r="S7796">
        <v>2.6997529999999998</v>
      </c>
      <c r="T7796">
        <v>-7.7425240000000006E-2</v>
      </c>
      <c r="U7796">
        <v>1.667389</v>
      </c>
      <c r="V7796">
        <v>-4.837284E-2</v>
      </c>
      <c r="W7796">
        <v>5.0514000000000003E-2</v>
      </c>
      <c r="X7796">
        <v>0.99755119999999997</v>
      </c>
      <c r="Y7796">
        <v>-0.36514200000000002</v>
      </c>
      <c r="Z7796">
        <v>1.8548640000000001E-4</v>
      </c>
      <c r="AA7796">
        <v>0.9309518</v>
      </c>
      <c r="AB7796">
        <v>25</v>
      </c>
      <c r="AC7796">
        <v>40.4134999999999</v>
      </c>
      <c r="AD7796">
        <v>-1.1624380000000001</v>
      </c>
      <c r="AE7796">
        <v>25.009779999999999</v>
      </c>
      <c r="AF7796">
        <v>-17.385668039698398</v>
      </c>
      <c r="AG7796">
        <v>-1.1624380000000001</v>
      </c>
      <c r="AH7796">
        <v>44.201566982365101</v>
      </c>
      <c r="AI7796">
        <v>91.401949437176498</v>
      </c>
      <c r="AJ7796">
        <v>111.471052163895</v>
      </c>
      <c r="AK7796">
        <v>47.512011523265798</v>
      </c>
      <c r="AL7796">
        <v>87.104528712942496</v>
      </c>
      <c r="AM7796">
        <v>92.7761885857133</v>
      </c>
      <c r="AN7796">
        <v>0.99999999623355196</v>
      </c>
    </row>
    <row r="7797" spans="1:40" x14ac:dyDescent="0.25">
      <c r="A7797" t="str">
        <f>"20190312160520424"</f>
        <v>20190312160520424</v>
      </c>
      <c r="B7797" t="str">
        <f>"1552377920412462"</f>
        <v>1552377920412462</v>
      </c>
      <c r="C7797" t="s">
        <v>40</v>
      </c>
      <c r="D7797">
        <v>5.3390719999999998</v>
      </c>
      <c r="E7797">
        <v>0.37194460000000001</v>
      </c>
      <c r="F7797" t="s">
        <v>43</v>
      </c>
      <c r="G7797">
        <v>-165.95429999999999</v>
      </c>
      <c r="H7797">
        <v>-0.05</v>
      </c>
      <c r="I7797">
        <v>-36.437959999999997</v>
      </c>
      <c r="J7797">
        <v>-207.1301</v>
      </c>
      <c r="K7797">
        <v>1.1124769999999999</v>
      </c>
      <c r="L7797">
        <v>-62.01379</v>
      </c>
      <c r="M7797">
        <v>0.98351339999999998</v>
      </c>
      <c r="N7797">
        <v>0</v>
      </c>
      <c r="O7797">
        <v>0.18029010000000001</v>
      </c>
      <c r="P7797">
        <v>0.97330329999999998</v>
      </c>
      <c r="Q7797">
        <v>3.6587109999999999E-2</v>
      </c>
      <c r="R7797">
        <v>0.22658790000000001</v>
      </c>
      <c r="S7797">
        <v>2.6972200000000002</v>
      </c>
      <c r="T7797">
        <v>-7.5922489999999995E-2</v>
      </c>
      <c r="U7797">
        <v>1.671997</v>
      </c>
      <c r="V7797">
        <v>-4.7702210000000002E-2</v>
      </c>
      <c r="W7797">
        <v>5.0284929999999999E-2</v>
      </c>
      <c r="X7797">
        <v>0.99759509999999996</v>
      </c>
      <c r="Y7797">
        <v>-0.36493769999999998</v>
      </c>
      <c r="Z7797">
        <v>1.3349529999999999E-4</v>
      </c>
      <c r="AA7797">
        <v>0.93103190000000002</v>
      </c>
      <c r="AB7797">
        <v>25</v>
      </c>
      <c r="AC7797">
        <v>41.175800000000002</v>
      </c>
      <c r="AD7797">
        <v>-1.162477</v>
      </c>
      <c r="AE7797">
        <v>25.57583</v>
      </c>
      <c r="AF7797">
        <v>-17.7221351360376</v>
      </c>
      <c r="AG7797">
        <v>-1.162477</v>
      </c>
      <c r="AH7797">
        <v>45.086529433955697</v>
      </c>
      <c r="AI7797">
        <v>91.374609121377006</v>
      </c>
      <c r="AJ7797">
        <v>111.458271069695</v>
      </c>
      <c r="AK7797">
        <v>48.458441606746497</v>
      </c>
      <c r="AL7797">
        <v>87.117670253521496</v>
      </c>
      <c r="AM7797">
        <v>92.737638816052396</v>
      </c>
      <c r="AN7797">
        <v>1.0000000292839899</v>
      </c>
    </row>
    <row r="7798" spans="1:40" x14ac:dyDescent="0.25">
      <c r="A7798" t="str">
        <f>"20190312160520435"</f>
        <v>20190312160520435</v>
      </c>
      <c r="B7798" t="str">
        <f>"1552377920423197"</f>
        <v>1552377920423197</v>
      </c>
      <c r="C7798" t="s">
        <v>40</v>
      </c>
      <c r="D7798">
        <v>5.3436510000000004</v>
      </c>
      <c r="E7798">
        <v>0.37194460000000001</v>
      </c>
      <c r="F7798" t="s">
        <v>43</v>
      </c>
      <c r="G7798">
        <v>-165.81399999999999</v>
      </c>
      <c r="H7798">
        <v>-0.05</v>
      </c>
      <c r="I7798">
        <v>-36.335279999999997</v>
      </c>
      <c r="J7798">
        <v>-207.005</v>
      </c>
      <c r="K7798">
        <v>1.1125240000000001</v>
      </c>
      <c r="L7798">
        <v>-61.98874</v>
      </c>
      <c r="M7798">
        <v>0.9831626</v>
      </c>
      <c r="N7798">
        <v>0</v>
      </c>
      <c r="O7798">
        <v>0.18219440000000001</v>
      </c>
      <c r="P7798">
        <v>0.97297730000000004</v>
      </c>
      <c r="Q7798">
        <v>3.6679919999999998E-2</v>
      </c>
      <c r="R7798">
        <v>0.2279689</v>
      </c>
      <c r="S7798">
        <v>2.69516</v>
      </c>
      <c r="T7798">
        <v>-7.5831529999999994E-2</v>
      </c>
      <c r="U7798">
        <v>1.675079</v>
      </c>
      <c r="V7798">
        <v>-4.7189710000000003E-2</v>
      </c>
      <c r="W7798">
        <v>5.036446E-2</v>
      </c>
      <c r="X7798">
        <v>0.99761549999999999</v>
      </c>
      <c r="Y7798">
        <v>-0.3642225</v>
      </c>
      <c r="Z7798" s="1">
        <v>7.690582E-5</v>
      </c>
      <c r="AA7798">
        <v>0.93131200000000003</v>
      </c>
      <c r="AB7798">
        <v>25</v>
      </c>
      <c r="AC7798">
        <v>41.190999999999903</v>
      </c>
      <c r="AD7798">
        <v>-1.1625239999999999</v>
      </c>
      <c r="AE7798">
        <v>25.653459999999999</v>
      </c>
      <c r="AF7798">
        <v>-17.7083307166724</v>
      </c>
      <c r="AG7798">
        <v>-1.1625239999999999</v>
      </c>
      <c r="AH7798">
        <v>45.149893855984502</v>
      </c>
      <c r="AI7798">
        <v>91.373136481803499</v>
      </c>
      <c r="AJ7798">
        <v>111.415708080613</v>
      </c>
      <c r="AK7798">
        <v>48.512362898835299</v>
      </c>
      <c r="AL7798">
        <v>87.113107847301393</v>
      </c>
      <c r="AM7798">
        <v>92.708215074441696</v>
      </c>
      <c r="AN7798">
        <v>1.0000000667006099</v>
      </c>
    </row>
    <row r="7799" spans="1:40" x14ac:dyDescent="0.25">
      <c r="A7799" t="str">
        <f>"20190312160520447"</f>
        <v>20190312160520447</v>
      </c>
      <c r="B7799" t="str">
        <f>"1552377920442717"</f>
        <v>1552377920442717</v>
      </c>
      <c r="C7799" t="s">
        <v>40</v>
      </c>
      <c r="D7799">
        <v>5.3276370000000002</v>
      </c>
      <c r="E7799">
        <v>0.37191249999999998</v>
      </c>
      <c r="F7799" t="s">
        <v>43</v>
      </c>
      <c r="G7799">
        <v>-165.41749999999999</v>
      </c>
      <c r="H7799">
        <v>-0.05</v>
      </c>
      <c r="I7799">
        <v>-36.058199999999999</v>
      </c>
      <c r="J7799">
        <v>-206.8776</v>
      </c>
      <c r="K7799">
        <v>1.112565</v>
      </c>
      <c r="L7799">
        <v>-61.963099999999997</v>
      </c>
      <c r="M7799">
        <v>0.98280179999999995</v>
      </c>
      <c r="N7799">
        <v>0</v>
      </c>
      <c r="O7799">
        <v>0.18413209999999999</v>
      </c>
      <c r="P7799">
        <v>0.97260780000000002</v>
      </c>
      <c r="Q7799">
        <v>3.6713700000000002E-2</v>
      </c>
      <c r="R7799">
        <v>0.22953460000000001</v>
      </c>
      <c r="S7799">
        <v>2.6927639999999999</v>
      </c>
      <c r="T7799">
        <v>-7.5272679999999995E-2</v>
      </c>
      <c r="U7799">
        <v>1.6789860000000001</v>
      </c>
      <c r="V7799">
        <v>-4.6832400000000003E-2</v>
      </c>
      <c r="W7799">
        <v>5.0384940000000003E-2</v>
      </c>
      <c r="X7799">
        <v>0.9976313</v>
      </c>
      <c r="Y7799">
        <v>-0.36373290000000003</v>
      </c>
      <c r="Z7799" s="1">
        <v>2.24188E-5</v>
      </c>
      <c r="AA7799">
        <v>0.93150330000000003</v>
      </c>
      <c r="AB7799">
        <v>25</v>
      </c>
      <c r="AC7799">
        <v>41.460099999999997</v>
      </c>
      <c r="AD7799">
        <v>-1.1625650000000001</v>
      </c>
      <c r="AE7799">
        <v>25.904900000000001</v>
      </c>
      <c r="AF7799">
        <v>-17.816918582366</v>
      </c>
      <c r="AG7799">
        <v>-1.1625650000000001</v>
      </c>
      <c r="AH7799">
        <v>45.495717652299298</v>
      </c>
      <c r="AI7799">
        <v>91.363026108808597</v>
      </c>
      <c r="AJ7799">
        <v>111.386179728904</v>
      </c>
      <c r="AK7799">
        <v>48.873862849662501</v>
      </c>
      <c r="AL7799">
        <v>87.111932928320002</v>
      </c>
      <c r="AM7799">
        <v>92.687696750925795</v>
      </c>
      <c r="AN7799">
        <v>1.0000000633041199</v>
      </c>
    </row>
    <row r="7800" spans="1:40" x14ac:dyDescent="0.25">
      <c r="A7800" t="str">
        <f>"20190312160520459"</f>
        <v>20190312160520459</v>
      </c>
      <c r="B7800" t="str">
        <f>"1552377920452478"</f>
        <v>1552377920452478</v>
      </c>
      <c r="C7800" t="s">
        <v>40</v>
      </c>
      <c r="D7800">
        <v>5.3146690000000003</v>
      </c>
      <c r="E7800">
        <v>0.37188860000000001</v>
      </c>
      <c r="F7800" t="s">
        <v>43</v>
      </c>
      <c r="G7800">
        <v>-165.06030000000001</v>
      </c>
      <c r="H7800">
        <v>-0.05</v>
      </c>
      <c r="I7800">
        <v>-35.788709999999902</v>
      </c>
      <c r="J7800">
        <v>-206.7551</v>
      </c>
      <c r="K7800">
        <v>1.1126130000000001</v>
      </c>
      <c r="L7800">
        <v>-61.937930000000001</v>
      </c>
      <c r="M7800">
        <v>0.98244679999999995</v>
      </c>
      <c r="N7800">
        <v>0</v>
      </c>
      <c r="O7800">
        <v>0.18601719999999999</v>
      </c>
      <c r="P7800">
        <v>0.97224909999999998</v>
      </c>
      <c r="Q7800">
        <v>3.686938E-2</v>
      </c>
      <c r="R7800">
        <v>0.2310248</v>
      </c>
      <c r="S7800">
        <v>2.689972</v>
      </c>
      <c r="T7800">
        <v>-7.4784160000000002E-2</v>
      </c>
      <c r="U7800">
        <v>1.683716</v>
      </c>
      <c r="V7800">
        <v>-4.6452439999999998E-2</v>
      </c>
      <c r="W7800">
        <v>5.0532100000000003E-2</v>
      </c>
      <c r="X7800">
        <v>0.99764160000000002</v>
      </c>
      <c r="Y7800">
        <v>-0.36355890000000002</v>
      </c>
      <c r="Z7800" s="1">
        <v>-2.5962479999999999E-5</v>
      </c>
      <c r="AA7800">
        <v>0.93157120000000004</v>
      </c>
      <c r="AB7800">
        <v>25</v>
      </c>
      <c r="AC7800">
        <v>41.694800000000001</v>
      </c>
      <c r="AD7800">
        <v>-1.1626129999999999</v>
      </c>
      <c r="AE7800">
        <v>26.14922</v>
      </c>
      <c r="AF7800">
        <v>-17.9260211942564</v>
      </c>
      <c r="AG7800">
        <v>-1.1626129999999999</v>
      </c>
      <c r="AH7800">
        <v>45.806055723322203</v>
      </c>
      <c r="AI7800">
        <v>91.353975551410798</v>
      </c>
      <c r="AJ7800">
        <v>111.372696732081</v>
      </c>
      <c r="AK7800">
        <v>49.202526823048402</v>
      </c>
      <c r="AL7800">
        <v>87.103490466411699</v>
      </c>
      <c r="AM7800">
        <v>92.665895068626199</v>
      </c>
      <c r="AN7800">
        <v>1.0000000421814601</v>
      </c>
    </row>
    <row r="7801" spans="1:40" x14ac:dyDescent="0.25">
      <c r="A7801" t="str">
        <f>"20190312160520471"</f>
        <v>20190312160520471</v>
      </c>
      <c r="B7801" t="str">
        <f>"1552377920463213"</f>
        <v>1552377920463213</v>
      </c>
      <c r="C7801" t="s">
        <v>40</v>
      </c>
      <c r="D7801">
        <v>5.3079280000000004</v>
      </c>
      <c r="E7801">
        <v>0.37197469999999999</v>
      </c>
      <c r="F7801" t="s">
        <v>54</v>
      </c>
      <c r="G7801">
        <v>-168.45060000000001</v>
      </c>
      <c r="H7801">
        <v>7.1143150000000002E-2</v>
      </c>
      <c r="I7801">
        <v>-37.877079999999999</v>
      </c>
      <c r="J7801">
        <v>-206.63050000000001</v>
      </c>
      <c r="K7801">
        <v>1.1126579999999999</v>
      </c>
      <c r="L7801">
        <v>-61.912199999999999</v>
      </c>
      <c r="M7801">
        <v>0.98208030000000002</v>
      </c>
      <c r="N7801">
        <v>0</v>
      </c>
      <c r="O7801">
        <v>0.18794369999999999</v>
      </c>
      <c r="P7801">
        <v>0.97183909999999996</v>
      </c>
      <c r="Q7801">
        <v>3.7082469999999999E-2</v>
      </c>
      <c r="R7801">
        <v>0.23270959999999999</v>
      </c>
      <c r="S7801">
        <v>2.6873019999999999</v>
      </c>
      <c r="T7801">
        <v>-7.3067069999999998E-2</v>
      </c>
      <c r="U7801">
        <v>1.6880189999999999</v>
      </c>
      <c r="V7801">
        <v>-4.6230269999999997E-2</v>
      </c>
      <c r="W7801">
        <v>5.0736400000000001E-2</v>
      </c>
      <c r="X7801">
        <v>0.99764149999999996</v>
      </c>
      <c r="Y7801">
        <v>-0.36322120000000002</v>
      </c>
      <c r="Z7801" s="1">
        <v>-7.5553080000000005E-5</v>
      </c>
      <c r="AA7801">
        <v>0.9317029</v>
      </c>
      <c r="AB7801">
        <v>25</v>
      </c>
      <c r="AC7801">
        <v>38.179900000000004</v>
      </c>
      <c r="AD7801">
        <v>-1.04151485</v>
      </c>
      <c r="AE7801">
        <v>24.035119999999999</v>
      </c>
      <c r="AF7801">
        <v>-16.421600102627998</v>
      </c>
      <c r="AG7801">
        <v>-1.04151485</v>
      </c>
      <c r="AH7801">
        <v>41.994702454477498</v>
      </c>
      <c r="AI7801">
        <v>91.323177997898398</v>
      </c>
      <c r="AJ7801">
        <v>111.357476392892</v>
      </c>
      <c r="AK7801">
        <v>45.103311822453797</v>
      </c>
      <c r="AL7801">
        <v>87.091769756743105</v>
      </c>
      <c r="AM7801">
        <v>92.653163310629793</v>
      </c>
      <c r="AN7801">
        <v>0.99999999133574102</v>
      </c>
    </row>
    <row r="7802" spans="1:40" x14ac:dyDescent="0.25">
      <c r="A7802" t="str">
        <f>"20190312160520481"</f>
        <v>20190312160520481</v>
      </c>
      <c r="B7802" t="str">
        <f>"1552377920472973"</f>
        <v>1552377920472973</v>
      </c>
      <c r="C7802" t="s">
        <v>40</v>
      </c>
      <c r="D7802">
        <v>5.3359300000000003</v>
      </c>
      <c r="E7802">
        <v>0.37191419999999997</v>
      </c>
      <c r="F7802" t="s">
        <v>54</v>
      </c>
      <c r="G7802">
        <v>-168.45060000000001</v>
      </c>
      <c r="H7802">
        <v>8.1651689999999999E-2</v>
      </c>
      <c r="I7802">
        <v>-37.848660000000002</v>
      </c>
      <c r="J7802">
        <v>-206.50829999999999</v>
      </c>
      <c r="K7802">
        <v>1.112698</v>
      </c>
      <c r="L7802">
        <v>-61.886659999999999</v>
      </c>
      <c r="M7802">
        <v>0.98171149999999996</v>
      </c>
      <c r="N7802">
        <v>0</v>
      </c>
      <c r="O7802">
        <v>0.18986040000000001</v>
      </c>
      <c r="P7802">
        <v>0.97144039999999998</v>
      </c>
      <c r="Q7802">
        <v>3.7260500000000002E-2</v>
      </c>
      <c r="R7802">
        <v>0.23433989999999999</v>
      </c>
      <c r="S7802">
        <v>2.684555</v>
      </c>
      <c r="T7802">
        <v>-7.2494859999999994E-2</v>
      </c>
      <c r="U7802">
        <v>1.691986</v>
      </c>
      <c r="V7802">
        <v>-4.5961090000000003E-2</v>
      </c>
      <c r="W7802">
        <v>5.0910690000000001E-2</v>
      </c>
      <c r="X7802">
        <v>0.99764509999999995</v>
      </c>
      <c r="Y7802">
        <v>-0.362819</v>
      </c>
      <c r="Z7802">
        <v>-1.2534760000000001E-4</v>
      </c>
      <c r="AA7802">
        <v>0.93185960000000001</v>
      </c>
      <c r="AB7802">
        <v>25</v>
      </c>
      <c r="AC7802">
        <v>38.057699999999897</v>
      </c>
      <c r="AD7802">
        <v>-1.03104631</v>
      </c>
      <c r="AE7802">
        <v>24.038</v>
      </c>
      <c r="AF7802">
        <v>-16.3657457310807</v>
      </c>
      <c r="AG7802">
        <v>-1.03104631</v>
      </c>
      <c r="AH7802">
        <v>41.907659192589001</v>
      </c>
      <c r="AI7802">
        <v>91.312834350959903</v>
      </c>
      <c r="AJ7802">
        <v>111.331599951481</v>
      </c>
      <c r="AK7802">
        <v>45.001695399506303</v>
      </c>
      <c r="AL7802">
        <v>87.081770874264507</v>
      </c>
      <c r="AM7802">
        <v>92.6377274004886</v>
      </c>
      <c r="AN7802">
        <v>1.0000000328521299</v>
      </c>
    </row>
    <row r="7803" spans="1:40" x14ac:dyDescent="0.25">
      <c r="A7803" t="str">
        <f>"20190312160520492"</f>
        <v>20190312160520492</v>
      </c>
      <c r="B7803" t="str">
        <f>"1552377920482733"</f>
        <v>1552377920482733</v>
      </c>
      <c r="C7803" t="s">
        <v>40</v>
      </c>
      <c r="D7803">
        <v>5.3182179999999999</v>
      </c>
      <c r="E7803">
        <v>0.37204589999999998</v>
      </c>
      <c r="F7803" t="s">
        <v>54</v>
      </c>
      <c r="G7803">
        <v>-168.45060000000001</v>
      </c>
      <c r="H7803">
        <v>8.7792399999999896E-2</v>
      </c>
      <c r="I7803">
        <v>-37.803139999999999</v>
      </c>
      <c r="J7803">
        <v>-206.39169999999999</v>
      </c>
      <c r="K7803">
        <v>1.1127309999999999</v>
      </c>
      <c r="L7803">
        <v>-61.862029999999997</v>
      </c>
      <c r="M7803">
        <v>0.98135220000000001</v>
      </c>
      <c r="N7803">
        <v>0</v>
      </c>
      <c r="O7803">
        <v>0.1917095</v>
      </c>
      <c r="P7803">
        <v>0.97102659999999996</v>
      </c>
      <c r="Q7803">
        <v>3.7285310000000002E-2</v>
      </c>
      <c r="R7803">
        <v>0.23604539999999999</v>
      </c>
      <c r="S7803">
        <v>2.68161</v>
      </c>
      <c r="T7803">
        <v>-7.2217820000000002E-2</v>
      </c>
      <c r="U7803">
        <v>1.69695999999999</v>
      </c>
      <c r="V7803">
        <v>-4.5834970000000003E-2</v>
      </c>
      <c r="W7803">
        <v>5.0931169999999998E-2</v>
      </c>
      <c r="X7803">
        <v>0.99764980000000003</v>
      </c>
      <c r="Y7803">
        <v>-0.36276120000000001</v>
      </c>
      <c r="Z7803">
        <v>-1.691962E-4</v>
      </c>
      <c r="AA7803">
        <v>0.93188210000000005</v>
      </c>
      <c r="AB7803">
        <v>25</v>
      </c>
      <c r="AC7803">
        <v>37.941099999999899</v>
      </c>
      <c r="AD7803">
        <v>-1.0249386</v>
      </c>
      <c r="AE7803">
        <v>24.058890000000002</v>
      </c>
      <c r="AF7803">
        <v>-16.3296719002293</v>
      </c>
      <c r="AG7803">
        <v>-1.0249386</v>
      </c>
      <c r="AH7803">
        <v>41.828216717129003</v>
      </c>
      <c r="AI7803">
        <v>91.307591333225503</v>
      </c>
      <c r="AJ7803">
        <v>111.325597604352</v>
      </c>
      <c r="AK7803">
        <v>44.914456439302697</v>
      </c>
      <c r="AL7803">
        <v>87.080595766343393</v>
      </c>
      <c r="AM7803">
        <v>92.630487123184196</v>
      </c>
      <c r="AN7803">
        <v>0.99999997599625401</v>
      </c>
    </row>
    <row r="7804" spans="1:40" x14ac:dyDescent="0.25">
      <c r="A7804" t="str">
        <f>"20190312160520504"</f>
        <v>20190312160520504</v>
      </c>
      <c r="B7804" t="str">
        <f>"1552377920482733"</f>
        <v>1552377920482733</v>
      </c>
      <c r="C7804" t="s">
        <v>40</v>
      </c>
      <c r="D7804">
        <v>5.3182179999999999</v>
      </c>
      <c r="E7804">
        <v>0.37204589999999998</v>
      </c>
      <c r="F7804" t="s">
        <v>54</v>
      </c>
      <c r="G7804">
        <v>-168.45060000000001</v>
      </c>
      <c r="H7804">
        <v>8.8291170000000002E-2</v>
      </c>
      <c r="I7804">
        <v>-37.77666</v>
      </c>
      <c r="J7804">
        <v>-206.26759999999999</v>
      </c>
      <c r="K7804">
        <v>1.1127609999999999</v>
      </c>
      <c r="L7804">
        <v>-61.835569999999997</v>
      </c>
      <c r="M7804">
        <v>0.98096130000000004</v>
      </c>
      <c r="N7804">
        <v>0</v>
      </c>
      <c r="O7804">
        <v>0.1937005</v>
      </c>
      <c r="P7804">
        <v>0.97052309999999997</v>
      </c>
      <c r="Q7804">
        <v>3.7065239999999999E-2</v>
      </c>
      <c r="R7804">
        <v>0.23814099999999999</v>
      </c>
      <c r="S7804">
        <v>2.678909</v>
      </c>
      <c r="T7804">
        <v>-7.2333930000000005E-2</v>
      </c>
      <c r="U7804">
        <v>1.7005920000000001</v>
      </c>
      <c r="V7804">
        <v>-4.5962040000000003E-2</v>
      </c>
      <c r="W7804">
        <v>5.0707349999999998E-2</v>
      </c>
      <c r="X7804">
        <v>0.99765539999999997</v>
      </c>
      <c r="Y7804">
        <v>-0.36219610000000002</v>
      </c>
      <c r="Z7804">
        <v>-2.2355979999999999E-4</v>
      </c>
      <c r="AA7804">
        <v>0.93210179999999998</v>
      </c>
      <c r="AB7804">
        <v>25</v>
      </c>
      <c r="AC7804">
        <v>37.816999999999901</v>
      </c>
      <c r="AD7804">
        <v>-1.0244698299999999</v>
      </c>
      <c r="AE7804">
        <v>24.058910000000001</v>
      </c>
      <c r="AF7804">
        <v>-16.2687760028852</v>
      </c>
      <c r="AG7804">
        <v>-1.0244698299999999</v>
      </c>
      <c r="AH7804">
        <v>41.739503275382603</v>
      </c>
      <c r="AI7804">
        <v>91.310049367438495</v>
      </c>
      <c r="AJ7804">
        <v>111.29430848394</v>
      </c>
      <c r="AK7804">
        <v>44.809694762855798</v>
      </c>
      <c r="AL7804">
        <v>87.093436430089099</v>
      </c>
      <c r="AM7804">
        <v>92.637754649866494</v>
      </c>
      <c r="AN7804">
        <v>1.0000000208070701</v>
      </c>
    </row>
    <row r="7805" spans="1:40" x14ac:dyDescent="0.25">
      <c r="A7805" t="str">
        <f>"20190312160520515"</f>
        <v>20190312160520515</v>
      </c>
      <c r="B7805" t="str">
        <f>"1552377920503232"</f>
        <v>1552377920503232</v>
      </c>
      <c r="C7805" t="s">
        <v>40</v>
      </c>
      <c r="D7805">
        <v>5.3419629999999998</v>
      </c>
      <c r="E7805">
        <v>0.37210260000000001</v>
      </c>
      <c r="F7805" t="s">
        <v>54</v>
      </c>
      <c r="G7805">
        <v>-168.45060000000001</v>
      </c>
      <c r="H7805">
        <v>7.7014920000000001E-2</v>
      </c>
      <c r="I7805">
        <v>-37.712890000000002</v>
      </c>
      <c r="J7805">
        <v>-206.14429999999999</v>
      </c>
      <c r="K7805">
        <v>1.112795</v>
      </c>
      <c r="L7805">
        <v>-61.808929999999997</v>
      </c>
      <c r="M7805">
        <v>0.98056310000000002</v>
      </c>
      <c r="N7805">
        <v>0</v>
      </c>
      <c r="O7805">
        <v>0.1957054</v>
      </c>
      <c r="P7805">
        <v>0.96997639999999996</v>
      </c>
      <c r="Q7805">
        <v>3.7077140000000001E-2</v>
      </c>
      <c r="R7805">
        <v>0.24035629999999999</v>
      </c>
      <c r="S7805">
        <v>2.6752009999999999</v>
      </c>
      <c r="T7805">
        <v>-7.3270680000000005E-2</v>
      </c>
      <c r="U7805">
        <v>1.7064509999999999</v>
      </c>
      <c r="V7805">
        <v>-4.6201779999999998E-2</v>
      </c>
      <c r="W7805">
        <v>5.0715450000000002E-2</v>
      </c>
      <c r="X7805">
        <v>0.99764390000000003</v>
      </c>
      <c r="Y7805">
        <v>-0.3623268</v>
      </c>
      <c r="Z7805">
        <v>-2.7282910000000002E-4</v>
      </c>
      <c r="AA7805">
        <v>0.93205110000000002</v>
      </c>
      <c r="AB7805">
        <v>25</v>
      </c>
      <c r="AC7805">
        <v>37.6936999999999</v>
      </c>
      <c r="AD7805">
        <v>-1.0357800800000001</v>
      </c>
      <c r="AE7805">
        <v>24.096039999999999</v>
      </c>
      <c r="AF7805">
        <v>-16.2437078007247</v>
      </c>
      <c r="AG7805">
        <v>-1.0357800800000001</v>
      </c>
      <c r="AH7805">
        <v>41.6585184988419</v>
      </c>
      <c r="AI7805">
        <v>91.327011245625897</v>
      </c>
      <c r="AJ7805">
        <v>111.302065561685</v>
      </c>
      <c r="AK7805">
        <v>44.725418354754403</v>
      </c>
      <c r="AL7805">
        <v>87.092971694106296</v>
      </c>
      <c r="AM7805">
        <v>92.651524229109498</v>
      </c>
      <c r="AN7805">
        <v>1.0000000062755401</v>
      </c>
    </row>
    <row r="7806" spans="1:40" x14ac:dyDescent="0.25">
      <c r="A7806" t="str">
        <f>"20190312160520525"</f>
        <v>20190312160520525</v>
      </c>
      <c r="B7806" t="str">
        <f>"1552377920522752"</f>
        <v>1552377920522752</v>
      </c>
      <c r="C7806" t="s">
        <v>40</v>
      </c>
      <c r="D7806">
        <v>5.3539629999999896</v>
      </c>
      <c r="E7806">
        <v>0.37253700000000001</v>
      </c>
      <c r="F7806" t="s">
        <v>43</v>
      </c>
      <c r="G7806">
        <v>-164.0094</v>
      </c>
      <c r="H7806">
        <v>-0.05</v>
      </c>
      <c r="I7806">
        <v>-34.80565</v>
      </c>
      <c r="J7806">
        <v>-206.02709999999999</v>
      </c>
      <c r="K7806">
        <v>1.1128199999999999</v>
      </c>
      <c r="L7806">
        <v>-61.783479999999997</v>
      </c>
      <c r="M7806">
        <v>0.98017880000000002</v>
      </c>
      <c r="N7806">
        <v>0</v>
      </c>
      <c r="O7806">
        <v>0.19762170000000001</v>
      </c>
      <c r="P7806">
        <v>0.96946569999999999</v>
      </c>
      <c r="Q7806">
        <v>3.6984320000000001E-2</v>
      </c>
      <c r="R7806">
        <v>0.24242259999999999</v>
      </c>
      <c r="S7806">
        <v>2.6714479999999998</v>
      </c>
      <c r="T7806">
        <v>-7.3723789999999997E-2</v>
      </c>
      <c r="U7806">
        <v>1.71206699999999</v>
      </c>
      <c r="V7806">
        <v>-4.6376590000000002E-2</v>
      </c>
      <c r="W7806">
        <v>5.0618780000000002E-2</v>
      </c>
      <c r="X7806">
        <v>0.99764070000000005</v>
      </c>
      <c r="Y7806">
        <v>-0.36248849999999999</v>
      </c>
      <c r="Z7806">
        <v>-3.186795E-4</v>
      </c>
      <c r="AA7806">
        <v>0.93198820000000004</v>
      </c>
      <c r="AB7806">
        <v>25</v>
      </c>
      <c r="AC7806">
        <v>42.017699999999898</v>
      </c>
      <c r="AD7806">
        <v>-1.16282</v>
      </c>
      <c r="AE7806">
        <v>26.977830000000001</v>
      </c>
      <c r="AF7806">
        <v>-18.131425302219899</v>
      </c>
      <c r="AG7806">
        <v>-1.16282</v>
      </c>
      <c r="AH7806">
        <v>46.495588380955802</v>
      </c>
      <c r="AI7806">
        <v>91.334767355628898</v>
      </c>
      <c r="AJ7806">
        <v>111.30380037786</v>
      </c>
      <c r="AK7806">
        <v>49.919339666442497</v>
      </c>
      <c r="AL7806">
        <v>87.098517604228206</v>
      </c>
      <c r="AM7806">
        <v>92.661550716354398</v>
      </c>
      <c r="AN7806">
        <v>1.0000000076426001</v>
      </c>
    </row>
    <row r="7807" spans="1:40" x14ac:dyDescent="0.25">
      <c r="A7807" t="str">
        <f>"20190312160520537"</f>
        <v>20190312160520537</v>
      </c>
      <c r="B7807" t="str">
        <f>"1552377920532510"</f>
        <v>1552377920532510</v>
      </c>
      <c r="C7807" t="s">
        <v>40</v>
      </c>
      <c r="D7807">
        <v>5.3406250000000002</v>
      </c>
      <c r="E7807">
        <v>0.3728283</v>
      </c>
      <c r="F7807" t="s">
        <v>43</v>
      </c>
      <c r="G7807">
        <v>-165.97550000000001</v>
      </c>
      <c r="H7807">
        <v>-0.05</v>
      </c>
      <c r="I7807">
        <v>-36.0535</v>
      </c>
      <c r="J7807">
        <v>-205.90950000000001</v>
      </c>
      <c r="K7807">
        <v>1.1128469999999999</v>
      </c>
      <c r="L7807">
        <v>-61.757539999999999</v>
      </c>
      <c r="M7807">
        <v>0.97978379999999998</v>
      </c>
      <c r="N7807">
        <v>0</v>
      </c>
      <c r="O7807">
        <v>0.19957079999999999</v>
      </c>
      <c r="P7807">
        <v>0.96896850000000001</v>
      </c>
      <c r="Q7807">
        <v>3.6808430000000003E-2</v>
      </c>
      <c r="R7807">
        <v>0.2444286</v>
      </c>
      <c r="S7807">
        <v>2.6687319999999999</v>
      </c>
      <c r="T7807">
        <v>-7.7481389999999997E-2</v>
      </c>
      <c r="U7807">
        <v>1.7144470000000001</v>
      </c>
      <c r="V7807">
        <v>-4.6455980000000001E-2</v>
      </c>
      <c r="W7807">
        <v>5.0441140000000002E-2</v>
      </c>
      <c r="X7807">
        <v>0.99764600000000003</v>
      </c>
      <c r="Y7807">
        <v>-0.36165039999999998</v>
      </c>
      <c r="Z7807">
        <v>-3.955788E-4</v>
      </c>
      <c r="AA7807">
        <v>0.93231370000000002</v>
      </c>
      <c r="AB7807">
        <v>25</v>
      </c>
      <c r="AC7807">
        <v>39.933999999999997</v>
      </c>
      <c r="AD7807">
        <v>-1.162847</v>
      </c>
      <c r="AE7807">
        <v>25.704039999999999</v>
      </c>
      <c r="AF7807">
        <v>-17.2061063438152</v>
      </c>
      <c r="AG7807">
        <v>-1.162847</v>
      </c>
      <c r="AH7807">
        <v>44.234262022625998</v>
      </c>
      <c r="AI7807">
        <v>91.403475142394001</v>
      </c>
      <c r="AJ7807">
        <v>111.254885857882</v>
      </c>
      <c r="AK7807">
        <v>47.477070732580202</v>
      </c>
      <c r="AL7807">
        <v>87.108708634482795</v>
      </c>
      <c r="AM7807">
        <v>92.666086193761998</v>
      </c>
      <c r="AN7807">
        <v>1.0000000039991299</v>
      </c>
    </row>
    <row r="7808" spans="1:40" x14ac:dyDescent="0.25">
      <c r="A7808" t="str">
        <f>"20190312160520549"</f>
        <v>20190312160520549</v>
      </c>
      <c r="B7808" t="str">
        <f>"1552377920543245"</f>
        <v>1552377920543245</v>
      </c>
      <c r="C7808" t="s">
        <v>40</v>
      </c>
      <c r="D7808">
        <v>5.3151029999999997</v>
      </c>
      <c r="E7808">
        <v>0.37322830000000001</v>
      </c>
      <c r="F7808" t="s">
        <v>43</v>
      </c>
      <c r="G7808">
        <v>-167.7328</v>
      </c>
      <c r="H7808">
        <v>-0.05</v>
      </c>
      <c r="I7808">
        <v>-37.160350000000001</v>
      </c>
      <c r="J7808">
        <v>-205.78559999999999</v>
      </c>
      <c r="K7808">
        <v>1.1128739999999999</v>
      </c>
      <c r="L7808">
        <v>-61.730069999999998</v>
      </c>
      <c r="M7808">
        <v>0.97936230000000002</v>
      </c>
      <c r="N7808">
        <v>0</v>
      </c>
      <c r="O7808">
        <v>0.20162920000000001</v>
      </c>
      <c r="P7808">
        <v>0.96845910000000002</v>
      </c>
      <c r="Q7808">
        <v>3.6888709999999998E-2</v>
      </c>
      <c r="R7808">
        <v>0.24642739999999999</v>
      </c>
      <c r="S7808">
        <v>2.6658780000000002</v>
      </c>
      <c r="T7808">
        <v>-8.1201549999999997E-2</v>
      </c>
      <c r="U7808">
        <v>1.7176209999999901</v>
      </c>
      <c r="V7808">
        <v>-4.6420110000000001E-2</v>
      </c>
      <c r="W7808">
        <v>5.0520669999999997E-2</v>
      </c>
      <c r="X7808">
        <v>0.99764359999999996</v>
      </c>
      <c r="Y7808">
        <v>-0.36092590000000002</v>
      </c>
      <c r="Z7808">
        <v>-4.7945879999999999E-4</v>
      </c>
      <c r="AA7808">
        <v>0.93259440000000005</v>
      </c>
      <c r="AB7808">
        <v>25</v>
      </c>
      <c r="AC7808">
        <v>38.052799999999898</v>
      </c>
      <c r="AD7808">
        <v>-1.162874</v>
      </c>
      <c r="AE7808">
        <v>24.56972</v>
      </c>
      <c r="AF7808">
        <v>-16.380904646828998</v>
      </c>
      <c r="AG7808">
        <v>-1.162874</v>
      </c>
      <c r="AH7808">
        <v>42.197758368374203</v>
      </c>
      <c r="AI7808">
        <v>91.471602123319798</v>
      </c>
      <c r="AJ7808">
        <v>111.215899355866</v>
      </c>
      <c r="AK7808">
        <v>45.280648452778102</v>
      </c>
      <c r="AL7808">
        <v>87.104145952631498</v>
      </c>
      <c r="AM7808">
        <v>92.664036998156604</v>
      </c>
      <c r="AN7808">
        <v>0.999999958665309</v>
      </c>
    </row>
    <row r="7809" spans="1:40" x14ac:dyDescent="0.25">
      <c r="A7809" t="str">
        <f>"20190312160520559"</f>
        <v>20190312160520559</v>
      </c>
      <c r="B7809" t="str">
        <f>"1552377920553005"</f>
        <v>1552377920553005</v>
      </c>
      <c r="C7809" t="s">
        <v>40</v>
      </c>
      <c r="D7809">
        <v>5.3741139999999996</v>
      </c>
      <c r="E7809">
        <v>0.37352879999999999</v>
      </c>
      <c r="F7809" t="s">
        <v>43</v>
      </c>
      <c r="G7809">
        <v>-169.89529999999999</v>
      </c>
      <c r="H7809">
        <v>-0.05</v>
      </c>
      <c r="I7809">
        <v>-38.550579999999997</v>
      </c>
      <c r="J7809">
        <v>-205.65880000000001</v>
      </c>
      <c r="K7809">
        <v>1.112906</v>
      </c>
      <c r="L7809">
        <v>-61.701479999999997</v>
      </c>
      <c r="M7809">
        <v>0.97892029999999997</v>
      </c>
      <c r="N7809">
        <v>0</v>
      </c>
      <c r="O7809">
        <v>0.20376430000000001</v>
      </c>
      <c r="P7809">
        <v>0.96789970000000003</v>
      </c>
      <c r="Q7809">
        <v>3.6684420000000002E-2</v>
      </c>
      <c r="R7809">
        <v>0.24864549999999999</v>
      </c>
      <c r="S7809">
        <v>2.6633300000000002</v>
      </c>
      <c r="T7809">
        <v>-8.629394E-2</v>
      </c>
      <c r="U7809">
        <v>1.7200930000000001</v>
      </c>
      <c r="V7809">
        <v>-4.6529069999999999E-2</v>
      </c>
      <c r="W7809">
        <v>5.0313990000000003E-2</v>
      </c>
      <c r="X7809">
        <v>0.99764900000000001</v>
      </c>
      <c r="Y7809">
        <v>-0.35990359999999899</v>
      </c>
      <c r="Z7809">
        <v>-5.8510810000000002E-4</v>
      </c>
      <c r="AA7809">
        <v>0.93298930000000002</v>
      </c>
      <c r="AB7809">
        <v>25</v>
      </c>
      <c r="AC7809">
        <v>35.763500000000001</v>
      </c>
      <c r="AD7809">
        <v>-1.162906</v>
      </c>
      <c r="AE7809">
        <v>23.1509</v>
      </c>
      <c r="AF7809">
        <v>-15.365613052483001</v>
      </c>
      <c r="AG7809">
        <v>-1.162906</v>
      </c>
      <c r="AH7809">
        <v>39.701238743388501</v>
      </c>
      <c r="AI7809">
        <v>91.5647514256287</v>
      </c>
      <c r="AJ7809">
        <v>111.15798593567</v>
      </c>
      <c r="AK7809">
        <v>42.586884983560502</v>
      </c>
      <c r="AL7809">
        <v>87.116003013314995</v>
      </c>
      <c r="AM7809">
        <v>92.670266708904805</v>
      </c>
      <c r="AN7809">
        <v>0.99999998957289205</v>
      </c>
    </row>
    <row r="7810" spans="1:40" x14ac:dyDescent="0.25">
      <c r="A7810" t="str">
        <f>"20190312160520571"</f>
        <v>20190312160520571</v>
      </c>
      <c r="B7810" t="str">
        <f>"1552377920562766"</f>
        <v>1552377920562766</v>
      </c>
      <c r="C7810" t="s">
        <v>40</v>
      </c>
      <c r="D7810">
        <v>5.3603779999999999</v>
      </c>
      <c r="E7810">
        <v>0.37382019999999999</v>
      </c>
      <c r="F7810" t="s">
        <v>43</v>
      </c>
      <c r="G7810">
        <v>-170.97309999999999</v>
      </c>
      <c r="H7810">
        <v>-0.05</v>
      </c>
      <c r="I7810">
        <v>-39.221310000000003</v>
      </c>
      <c r="J7810">
        <v>-205.53819999999999</v>
      </c>
      <c r="K7810">
        <v>1.1129370000000001</v>
      </c>
      <c r="L7810">
        <v>-61.674160000000001</v>
      </c>
      <c r="M7810">
        <v>0.97849379999999997</v>
      </c>
      <c r="N7810">
        <v>0</v>
      </c>
      <c r="O7810">
        <v>0.2058025</v>
      </c>
      <c r="P7810">
        <v>0.96732560000000001</v>
      </c>
      <c r="Q7810">
        <v>3.6815489999999999E-2</v>
      </c>
      <c r="R7810">
        <v>0.25085030000000003</v>
      </c>
      <c r="S7810">
        <v>2.6599879999999998</v>
      </c>
      <c r="T7810">
        <v>-8.9181419999999997E-2</v>
      </c>
      <c r="U7810">
        <v>1.7239690000000001</v>
      </c>
      <c r="V7810">
        <v>-4.6728069999999997E-2</v>
      </c>
      <c r="W7810">
        <v>5.0442569999999999E-2</v>
      </c>
      <c r="X7810">
        <v>0.9976332</v>
      </c>
      <c r="Y7810">
        <v>-0.35944969999999998</v>
      </c>
      <c r="Z7810">
        <v>-6.7130899999999895E-4</v>
      </c>
      <c r="AA7810">
        <v>0.9331642</v>
      </c>
      <c r="AB7810">
        <v>25</v>
      </c>
      <c r="AC7810">
        <v>34.565100000000001</v>
      </c>
      <c r="AD7810">
        <v>-1.1629370000000001</v>
      </c>
      <c r="AE7810">
        <v>22.452850000000002</v>
      </c>
      <c r="AF7810">
        <v>-14.846022373797499</v>
      </c>
      <c r="AG7810">
        <v>-1.1629370000000001</v>
      </c>
      <c r="AH7810">
        <v>38.4157599471353</v>
      </c>
      <c r="AI7810">
        <v>91.617439728297896</v>
      </c>
      <c r="AJ7810">
        <v>111.12935151001</v>
      </c>
      <c r="AK7810">
        <v>41.201060849269297</v>
      </c>
      <c r="AL7810">
        <v>87.108626537961101</v>
      </c>
      <c r="AM7810">
        <v>92.681712935403198</v>
      </c>
      <c r="AN7810">
        <v>0.99999998356818398</v>
      </c>
    </row>
    <row r="7811" spans="1:40" x14ac:dyDescent="0.25">
      <c r="A7811" t="str">
        <f>"20190312160520581"</f>
        <v>20190312160520581</v>
      </c>
      <c r="B7811" t="str">
        <f>"1552377920572526"</f>
        <v>1552377920572526</v>
      </c>
      <c r="C7811" t="s">
        <v>40</v>
      </c>
      <c r="D7811">
        <v>5.3846999999999996</v>
      </c>
      <c r="E7811">
        <v>0.37410870000000002</v>
      </c>
      <c r="F7811" t="s">
        <v>81</v>
      </c>
      <c r="G7811">
        <v>-175.43629999999999</v>
      </c>
      <c r="H7811">
        <v>7.9987050000000004E-2</v>
      </c>
      <c r="I7811">
        <v>-42.099049999999998</v>
      </c>
      <c r="J7811">
        <v>-205.43049999999999</v>
      </c>
      <c r="K7811">
        <v>1.1129629999999999</v>
      </c>
      <c r="L7811">
        <v>-61.649439999999998</v>
      </c>
      <c r="M7811">
        <v>0.97810569999999997</v>
      </c>
      <c r="N7811">
        <v>0</v>
      </c>
      <c r="O7811">
        <v>0.2076393</v>
      </c>
      <c r="P7811">
        <v>0.96675310000000003</v>
      </c>
      <c r="Q7811">
        <v>3.7056930000000002E-2</v>
      </c>
      <c r="R7811">
        <v>0.25301289999999999</v>
      </c>
      <c r="S7811">
        <v>2.656784</v>
      </c>
      <c r="T7811">
        <v>-9.1167810000000002E-2</v>
      </c>
      <c r="U7811">
        <v>1.72769199999999</v>
      </c>
      <c r="V7811">
        <v>-4.7091429999999997E-2</v>
      </c>
      <c r="W7811">
        <v>5.0680210000000003E-2</v>
      </c>
      <c r="X7811">
        <v>0.99760409999999999</v>
      </c>
      <c r="Y7811">
        <v>-0.35912880000000003</v>
      </c>
      <c r="Z7811">
        <v>-7.4631489999999997E-4</v>
      </c>
      <c r="AA7811">
        <v>0.93328770000000005</v>
      </c>
      <c r="AB7811">
        <v>25</v>
      </c>
      <c r="AC7811">
        <v>29.994199999999999</v>
      </c>
      <c r="AD7811">
        <v>-1.03297595</v>
      </c>
      <c r="AE7811">
        <v>19.55039</v>
      </c>
      <c r="AF7811">
        <v>-12.8849061204817</v>
      </c>
      <c r="AG7811">
        <v>-1.03297595</v>
      </c>
      <c r="AH7811">
        <v>33.372407166930202</v>
      </c>
      <c r="AI7811">
        <v>91.653985077959604</v>
      </c>
      <c r="AJ7811">
        <v>111.111305344166</v>
      </c>
      <c r="AK7811">
        <v>35.788341749266301</v>
      </c>
      <c r="AL7811">
        <v>87.094993417913898</v>
      </c>
      <c r="AM7811">
        <v>92.7026139989309</v>
      </c>
      <c r="AN7811">
        <v>1.0000000134009399</v>
      </c>
    </row>
    <row r="7812" spans="1:40" x14ac:dyDescent="0.25">
      <c r="A7812" t="str">
        <f>"20190312160520593"</f>
        <v>20190312160520593</v>
      </c>
      <c r="B7812" t="str">
        <f>"1552377920582286"</f>
        <v>1552377920582286</v>
      </c>
      <c r="C7812" t="s">
        <v>40</v>
      </c>
      <c r="D7812">
        <v>5.34598</v>
      </c>
      <c r="E7812">
        <v>0.37427329999999998</v>
      </c>
      <c r="F7812" t="s">
        <v>81</v>
      </c>
      <c r="G7812">
        <v>-176.02369999999999</v>
      </c>
      <c r="H7812">
        <v>7.9987000000000003E-2</v>
      </c>
      <c r="I7812">
        <v>-42.463450000000002</v>
      </c>
      <c r="J7812">
        <v>-205.2989</v>
      </c>
      <c r="K7812">
        <v>1.113</v>
      </c>
      <c r="L7812">
        <v>-61.618960000000001</v>
      </c>
      <c r="M7812">
        <v>0.97762289999999996</v>
      </c>
      <c r="N7812">
        <v>0</v>
      </c>
      <c r="O7812">
        <v>0.20990059999999999</v>
      </c>
      <c r="P7812">
        <v>0.96598609999999896</v>
      </c>
      <c r="Q7812">
        <v>3.743312E-2</v>
      </c>
      <c r="R7812">
        <v>0.2558704</v>
      </c>
      <c r="S7812">
        <v>2.6536409999999999</v>
      </c>
      <c r="T7812">
        <v>-9.3214630000000007E-2</v>
      </c>
      <c r="U7812">
        <v>1.7313229999999999</v>
      </c>
      <c r="V7812">
        <v>-4.7742220000000002E-2</v>
      </c>
      <c r="W7812">
        <v>5.1049749999999998E-2</v>
      </c>
      <c r="X7812">
        <v>0.9975543</v>
      </c>
      <c r="Y7812">
        <v>-0.35837049999999998</v>
      </c>
      <c r="Z7812">
        <v>-8.4445949999999896E-4</v>
      </c>
      <c r="AA7812">
        <v>0.9335791</v>
      </c>
      <c r="AB7812">
        <v>25</v>
      </c>
      <c r="AC7812">
        <v>29.275200000000002</v>
      </c>
      <c r="AD7812">
        <v>-1.033013</v>
      </c>
      <c r="AE7812">
        <v>19.1555099999999</v>
      </c>
      <c r="AF7812">
        <v>-12.572250311670899</v>
      </c>
      <c r="AG7812">
        <v>-1.033013</v>
      </c>
      <c r="AH7812">
        <v>32.615609401481997</v>
      </c>
      <c r="AI7812">
        <v>91.692758338262806</v>
      </c>
      <c r="AJ7812">
        <v>111.080019052274</v>
      </c>
      <c r="AK7812">
        <v>34.970081074934903</v>
      </c>
      <c r="AL7812">
        <v>87.073792820990903</v>
      </c>
      <c r="AM7812">
        <v>92.740043392397396</v>
      </c>
      <c r="AN7812">
        <v>0.99999998899704001</v>
      </c>
    </row>
    <row r="7813" spans="1:40" x14ac:dyDescent="0.25">
      <c r="A7813" t="str">
        <f>"20190312160520602"</f>
        <v>20190312160520602</v>
      </c>
      <c r="B7813" t="str">
        <f>"1552377920593022"</f>
        <v>1552377920593022</v>
      </c>
      <c r="C7813" t="s">
        <v>40</v>
      </c>
      <c r="D7813">
        <v>5.3926119999999997</v>
      </c>
      <c r="E7813">
        <v>0.37455310000000003</v>
      </c>
      <c r="F7813" t="s">
        <v>81</v>
      </c>
      <c r="G7813">
        <v>-176.5796</v>
      </c>
      <c r="H7813">
        <v>7.9986950000000001E-2</v>
      </c>
      <c r="I7813">
        <v>-42.780009999999997</v>
      </c>
      <c r="J7813">
        <v>-205.19210000000001</v>
      </c>
      <c r="K7813">
        <v>1.1130310000000001</v>
      </c>
      <c r="L7813">
        <v>-61.593989999999998</v>
      </c>
      <c r="M7813">
        <v>0.97722430000000005</v>
      </c>
      <c r="N7813">
        <v>0</v>
      </c>
      <c r="O7813">
        <v>0.21174860000000001</v>
      </c>
      <c r="P7813">
        <v>0.96533880000000005</v>
      </c>
      <c r="Q7813">
        <v>3.7966989999999999E-2</v>
      </c>
      <c r="R7813">
        <v>0.25822430000000002</v>
      </c>
      <c r="S7813">
        <v>2.6490629999999999</v>
      </c>
      <c r="T7813">
        <v>-9.5284939999999999E-2</v>
      </c>
      <c r="U7813">
        <v>1.7377009999999999</v>
      </c>
      <c r="V7813">
        <v>-4.8298380000000002E-2</v>
      </c>
      <c r="W7813">
        <v>5.1578329999999999E-2</v>
      </c>
      <c r="X7813">
        <v>0.99750039999999995</v>
      </c>
      <c r="Y7813">
        <v>-0.35891430000000002</v>
      </c>
      <c r="Z7813">
        <v>-9.1224069999999995E-4</v>
      </c>
      <c r="AA7813">
        <v>0.93337009999999998</v>
      </c>
      <c r="AB7813">
        <v>25</v>
      </c>
      <c r="AC7813">
        <v>28.612500000000001</v>
      </c>
      <c r="AD7813">
        <v>-1.03304405</v>
      </c>
      <c r="AE7813">
        <v>18.813980000000001</v>
      </c>
      <c r="AF7813">
        <v>-12.316815771178399</v>
      </c>
      <c r="AG7813">
        <v>-1.03304405</v>
      </c>
      <c r="AH7813">
        <v>31.9187342952408</v>
      </c>
      <c r="AI7813">
        <v>91.729505944878895</v>
      </c>
      <c r="AJ7813">
        <v>111.100626914543</v>
      </c>
      <c r="AK7813">
        <v>34.228303051138397</v>
      </c>
      <c r="AL7813">
        <v>87.043467654393297</v>
      </c>
      <c r="AM7813">
        <v>92.772062832879797</v>
      </c>
      <c r="AN7813">
        <v>1.0000000528181801</v>
      </c>
    </row>
    <row r="7814" spans="1:40" x14ac:dyDescent="0.25">
      <c r="A7814" t="str">
        <f>"20190312160520614"</f>
        <v>20190312160520614</v>
      </c>
      <c r="B7814" t="str">
        <f>"1552377920602781"</f>
        <v>1552377920602781</v>
      </c>
      <c r="C7814" t="s">
        <v>40</v>
      </c>
      <c r="D7814">
        <v>5.3853460000000002</v>
      </c>
      <c r="E7814">
        <v>0.3748185</v>
      </c>
      <c r="F7814" t="s">
        <v>81</v>
      </c>
      <c r="G7814">
        <v>-176.95410000000001</v>
      </c>
      <c r="H7814">
        <v>7.9986929999999998E-2</v>
      </c>
      <c r="I7814">
        <v>-43.001840000000001</v>
      </c>
      <c r="J7814">
        <v>-205.07689999999999</v>
      </c>
      <c r="K7814">
        <v>1.11307</v>
      </c>
      <c r="L7814">
        <v>-61.566740000000003</v>
      </c>
      <c r="M7814">
        <v>0.97678500000000001</v>
      </c>
      <c r="N7814">
        <v>0</v>
      </c>
      <c r="O7814">
        <v>0.21376600000000001</v>
      </c>
      <c r="P7814">
        <v>0.96456039999999998</v>
      </c>
      <c r="Q7814">
        <v>3.8456850000000001E-2</v>
      </c>
      <c r="R7814">
        <v>0.26104519999999998</v>
      </c>
      <c r="S7814">
        <v>2.6455989999999998</v>
      </c>
      <c r="T7814">
        <v>-9.6784949999999995E-2</v>
      </c>
      <c r="U7814">
        <v>1.7418819999999999</v>
      </c>
      <c r="V7814">
        <v>-4.9165670000000002E-2</v>
      </c>
      <c r="W7814">
        <v>5.205978E-2</v>
      </c>
      <c r="X7814">
        <v>0.99743289999999996</v>
      </c>
      <c r="Y7814">
        <v>-0.3585758</v>
      </c>
      <c r="Z7814">
        <v>-9.964905E-4</v>
      </c>
      <c r="AA7814">
        <v>0.93350010000000005</v>
      </c>
      <c r="AB7814">
        <v>25</v>
      </c>
      <c r="AC7814">
        <v>28.122799999999899</v>
      </c>
      <c r="AD7814">
        <v>-1.03308307</v>
      </c>
      <c r="AE7814">
        <v>18.564900000000002</v>
      </c>
      <c r="AF7814">
        <v>-12.112016792966401</v>
      </c>
      <c r="AG7814">
        <v>-1.03308307</v>
      </c>
      <c r="AH7814">
        <v>31.412018802875899</v>
      </c>
      <c r="AI7814">
        <v>91.757628036127997</v>
      </c>
      <c r="AJ7814">
        <v>111.085912506551</v>
      </c>
      <c r="AK7814">
        <v>33.682089256678402</v>
      </c>
      <c r="AL7814">
        <v>87.015845145667001</v>
      </c>
      <c r="AM7814">
        <v>92.821951442852296</v>
      </c>
      <c r="AN7814">
        <v>0.99999993690130096</v>
      </c>
    </row>
    <row r="7815" spans="1:40" x14ac:dyDescent="0.25">
      <c r="A7815" t="str">
        <f>"20190312160520625"</f>
        <v>20190312160520625</v>
      </c>
      <c r="B7815" t="str">
        <f>"1552377920622303"</f>
        <v>1552377920622303</v>
      </c>
      <c r="C7815" t="s">
        <v>40</v>
      </c>
      <c r="D7815">
        <v>5.4326420000000004</v>
      </c>
      <c r="E7815">
        <v>0.37548029999999999</v>
      </c>
      <c r="F7815" t="s">
        <v>81</v>
      </c>
      <c r="G7815">
        <v>-177.02770000000001</v>
      </c>
      <c r="H7815">
        <v>7.9986929999999998E-2</v>
      </c>
      <c r="I7815">
        <v>-43.007910000000003</v>
      </c>
      <c r="J7815">
        <v>-204.95599999999999</v>
      </c>
      <c r="K7815">
        <v>1.1131059999999999</v>
      </c>
      <c r="L7815">
        <v>-61.537990000000001</v>
      </c>
      <c r="M7815">
        <v>0.97631659999999998</v>
      </c>
      <c r="N7815">
        <v>0</v>
      </c>
      <c r="O7815">
        <v>0.2158949</v>
      </c>
      <c r="P7815">
        <v>0.96381700000000003</v>
      </c>
      <c r="Q7815">
        <v>3.8487460000000001E-2</v>
      </c>
      <c r="R7815">
        <v>0.2637719</v>
      </c>
      <c r="S7815">
        <v>2.641159</v>
      </c>
      <c r="T7815">
        <v>-9.7276689999999999E-2</v>
      </c>
      <c r="U7815">
        <v>1.747528</v>
      </c>
      <c r="V7815">
        <v>-4.9815760000000001E-2</v>
      </c>
      <c r="W7815">
        <v>5.2084539999999999E-2</v>
      </c>
      <c r="X7815">
        <v>0.99739940000000005</v>
      </c>
      <c r="Y7815">
        <v>-0.35865069999999999</v>
      </c>
      <c r="Z7815">
        <v>-1.068547E-3</v>
      </c>
      <c r="AA7815">
        <v>0.9334713</v>
      </c>
      <c r="AB7815">
        <v>25</v>
      </c>
      <c r="AC7815">
        <v>27.928299999999901</v>
      </c>
      <c r="AD7815">
        <v>-1.0331190699999999</v>
      </c>
      <c r="AE7815">
        <v>18.530080000000002</v>
      </c>
      <c r="AF7815">
        <v>-12.051374688666</v>
      </c>
      <c r="AG7815">
        <v>-1.0331190699999999</v>
      </c>
      <c r="AH7815">
        <v>31.240783317064899</v>
      </c>
      <c r="AI7815">
        <v>91.767215129678505</v>
      </c>
      <c r="AJ7815">
        <v>111.09450792958501</v>
      </c>
      <c r="AK7815">
        <v>33.500589683813303</v>
      </c>
      <c r="AL7815">
        <v>87.014424722099307</v>
      </c>
      <c r="AM7815">
        <v>92.859298880793403</v>
      </c>
      <c r="AN7815">
        <v>0.99999998618587405</v>
      </c>
    </row>
    <row r="7816" spans="1:40" x14ac:dyDescent="0.25">
      <c r="A7816" t="str">
        <f>"20190312160520637"</f>
        <v>20190312160520637</v>
      </c>
      <c r="B7816" t="str">
        <f>"1552377920633037"</f>
        <v>1552377920633037</v>
      </c>
      <c r="C7816" t="s">
        <v>40</v>
      </c>
      <c r="D7816">
        <v>5.3825469999999997</v>
      </c>
      <c r="E7816">
        <v>0.37548029999999999</v>
      </c>
      <c r="F7816" t="s">
        <v>81</v>
      </c>
      <c r="G7816">
        <v>-177.9666</v>
      </c>
      <c r="H7816">
        <v>7.9986829999999995E-2</v>
      </c>
      <c r="I7816">
        <v>-43.633420000000001</v>
      </c>
      <c r="J7816">
        <v>-204.82859999999999</v>
      </c>
      <c r="K7816">
        <v>1.1131450000000001</v>
      </c>
      <c r="L7816">
        <v>-61.50714</v>
      </c>
      <c r="M7816">
        <v>0.97580889999999998</v>
      </c>
      <c r="N7816">
        <v>0</v>
      </c>
      <c r="O7816">
        <v>0.21817800000000001</v>
      </c>
      <c r="P7816">
        <v>0.96301890000000001</v>
      </c>
      <c r="Q7816">
        <v>3.8475799999999998E-2</v>
      </c>
      <c r="R7816">
        <v>0.26667229999999997</v>
      </c>
      <c r="S7816">
        <v>2.637772</v>
      </c>
      <c r="T7816">
        <v>-0.1009704</v>
      </c>
      <c r="U7816">
        <v>1.7498779999999901</v>
      </c>
      <c r="V7816">
        <v>-5.0488760000000001E-2</v>
      </c>
      <c r="W7816">
        <v>5.2066439999999999E-2</v>
      </c>
      <c r="X7816">
        <v>0.99736650000000004</v>
      </c>
      <c r="Y7816">
        <v>-0.35759259999999998</v>
      </c>
      <c r="Z7816">
        <v>-1.2036919999999999E-3</v>
      </c>
      <c r="AA7816">
        <v>0.93387690000000001</v>
      </c>
      <c r="AB7816">
        <v>25</v>
      </c>
      <c r="AC7816">
        <v>26.861999999999899</v>
      </c>
      <c r="AD7816">
        <v>-1.0331581700000001</v>
      </c>
      <c r="AE7816">
        <v>17.873719999999999</v>
      </c>
      <c r="AF7816">
        <v>-11.569905850059801</v>
      </c>
      <c r="AG7816">
        <v>-1.0331581700000001</v>
      </c>
      <c r="AH7816">
        <v>30.0839265481914</v>
      </c>
      <c r="AI7816">
        <v>91.835915896902506</v>
      </c>
      <c r="AJ7816">
        <v>111.036125446656</v>
      </c>
      <c r="AK7816">
        <v>32.248608865196999</v>
      </c>
      <c r="AL7816">
        <v>87.015463172827396</v>
      </c>
      <c r="AM7816">
        <v>92.897957405903398</v>
      </c>
      <c r="AN7816">
        <v>0.99999998219143005</v>
      </c>
    </row>
    <row r="7817" spans="1:40" x14ac:dyDescent="0.25">
      <c r="A7817" t="str">
        <f>"20190312160520648"</f>
        <v>20190312160520648</v>
      </c>
      <c r="B7817" t="str">
        <f>"1552377920642798"</f>
        <v>1552377920642798</v>
      </c>
      <c r="C7817" t="s">
        <v>40</v>
      </c>
      <c r="D7817">
        <v>5.4351529999999997</v>
      </c>
      <c r="E7817">
        <v>0.40110610000000002</v>
      </c>
      <c r="F7817" t="s">
        <v>81</v>
      </c>
      <c r="G7817">
        <v>-177.8682</v>
      </c>
      <c r="H7817">
        <v>7.9986860000000007E-2</v>
      </c>
      <c r="I7817">
        <v>-43.504489999999997</v>
      </c>
      <c r="J7817">
        <v>-204.70699999999999</v>
      </c>
      <c r="K7817">
        <v>1.113178</v>
      </c>
      <c r="L7817">
        <v>-61.477569999999901</v>
      </c>
      <c r="M7817">
        <v>0.97531650000000003</v>
      </c>
      <c r="N7817">
        <v>0</v>
      </c>
      <c r="O7817">
        <v>0.22036829999999999</v>
      </c>
      <c r="P7817">
        <v>0.96224120000000002</v>
      </c>
      <c r="Q7817">
        <v>3.8650299999999999E-2</v>
      </c>
      <c r="R7817">
        <v>0.26943979999999901</v>
      </c>
      <c r="S7817">
        <v>2.6324619999999999</v>
      </c>
      <c r="T7817">
        <v>-0.1008795</v>
      </c>
      <c r="U7817">
        <v>1.7578130000000001</v>
      </c>
      <c r="V7817">
        <v>-5.1123679999999998E-2</v>
      </c>
      <c r="W7817">
        <v>5.2234540000000003E-2</v>
      </c>
      <c r="X7817">
        <v>0.99732540000000003</v>
      </c>
      <c r="Y7817">
        <v>-0.3583133</v>
      </c>
      <c r="Z7817">
        <v>-1.2629080000000001E-3</v>
      </c>
      <c r="AA7817">
        <v>0.93360050000000006</v>
      </c>
      <c r="AB7817">
        <v>25</v>
      </c>
      <c r="AC7817">
        <v>26.8387999999999</v>
      </c>
      <c r="AD7817">
        <v>-1.03319114</v>
      </c>
      <c r="AE7817">
        <v>17.9730799999999</v>
      </c>
      <c r="AF7817">
        <v>-11.604283827538101</v>
      </c>
      <c r="AG7817">
        <v>-1.03319114</v>
      </c>
      <c r="AH7817">
        <v>30.109162910455101</v>
      </c>
      <c r="AI7817">
        <v>91.833933046523399</v>
      </c>
      <c r="AJ7817">
        <v>111.077014668706</v>
      </c>
      <c r="AK7817">
        <v>32.284494393596503</v>
      </c>
      <c r="AL7817">
        <v>87.005818728460397</v>
      </c>
      <c r="AM7817">
        <v>92.934458006453099</v>
      </c>
      <c r="AN7817">
        <v>1.00000001565545</v>
      </c>
    </row>
    <row r="7818" spans="1:40" x14ac:dyDescent="0.25">
      <c r="A7818" t="str">
        <f>"20190312160520659"</f>
        <v>20190312160520659</v>
      </c>
      <c r="B7818" t="str">
        <f>"1552377920652558"</f>
        <v>1552377920652558</v>
      </c>
      <c r="C7818" t="s">
        <v>40</v>
      </c>
      <c r="D7818">
        <v>5.4338449999999998</v>
      </c>
      <c r="E7818">
        <v>0.40199059999999998</v>
      </c>
      <c r="F7818" t="s">
        <v>81</v>
      </c>
      <c r="G7818">
        <v>-188.92160000000001</v>
      </c>
      <c r="H7818" s="1">
        <v>-1.0604730000000001E-5</v>
      </c>
      <c r="I7818">
        <v>-52.257210000000001</v>
      </c>
      <c r="J7818">
        <v>-204.5915</v>
      </c>
      <c r="K7818">
        <v>1.1132150000000001</v>
      </c>
      <c r="L7818">
        <v>-61.449010000000001</v>
      </c>
      <c r="M7818">
        <v>0.9748346</v>
      </c>
      <c r="N7818">
        <v>0</v>
      </c>
      <c r="O7818">
        <v>0.2224902</v>
      </c>
      <c r="P7818">
        <v>0.96144459999999998</v>
      </c>
      <c r="Q7818">
        <v>3.8733869999999997E-2</v>
      </c>
      <c r="R7818">
        <v>0.27225769999999999</v>
      </c>
      <c r="S7818">
        <v>2.6860050000000002</v>
      </c>
      <c r="T7818">
        <v>-0.1894169</v>
      </c>
      <c r="U7818">
        <v>1.5689090000000001</v>
      </c>
      <c r="V7818">
        <v>-5.1880080000000002E-2</v>
      </c>
      <c r="W7818">
        <v>5.2310250000000003E-2</v>
      </c>
      <c r="X7818">
        <v>0.99728229999999995</v>
      </c>
      <c r="Y7818">
        <v>-0.29944369999999998</v>
      </c>
      <c r="Z7818">
        <v>-4.4480810000000004E-3</v>
      </c>
      <c r="AA7818">
        <v>0.95410360000000005</v>
      </c>
      <c r="AB7818">
        <v>25</v>
      </c>
      <c r="AC7818">
        <v>15.669899999999901</v>
      </c>
      <c r="AD7818">
        <v>-1.11322560473</v>
      </c>
      <c r="AE7818">
        <v>9.19179999999999</v>
      </c>
      <c r="AF7818">
        <v>-5.4541408389503703</v>
      </c>
      <c r="AG7818">
        <v>-1.11322560473</v>
      </c>
      <c r="AH7818">
        <v>17.257538908414901</v>
      </c>
      <c r="AI7818">
        <v>93.519709150508703</v>
      </c>
      <c r="AJ7818">
        <v>107.538825896313</v>
      </c>
      <c r="AK7818">
        <v>18.133107089343198</v>
      </c>
      <c r="AL7818">
        <v>87.001474715710202</v>
      </c>
      <c r="AM7818">
        <v>92.977925645156304</v>
      </c>
      <c r="AN7818">
        <v>0.99999994542457704</v>
      </c>
    </row>
    <row r="7819" spans="1:40" x14ac:dyDescent="0.25">
      <c r="A7819" t="str">
        <f>"20190312160520670"</f>
        <v>20190312160520670</v>
      </c>
      <c r="B7819" t="str">
        <f>"1552377920662319"</f>
        <v>1552377920662319</v>
      </c>
      <c r="C7819" t="s">
        <v>40</v>
      </c>
      <c r="D7819">
        <v>5.4478260000000001</v>
      </c>
      <c r="E7819">
        <v>0.40286149999999998</v>
      </c>
      <c r="F7819" t="s">
        <v>81</v>
      </c>
      <c r="G7819">
        <v>-187.92449999999999</v>
      </c>
      <c r="H7819" s="1">
        <v>-1.062853E-5</v>
      </c>
      <c r="I7819">
        <v>-51.696640000000002</v>
      </c>
      <c r="J7819">
        <v>-204.47790000000001</v>
      </c>
      <c r="K7819">
        <v>1.113253</v>
      </c>
      <c r="L7819">
        <v>-61.420780000000001</v>
      </c>
      <c r="M7819">
        <v>0.97435360000000004</v>
      </c>
      <c r="N7819">
        <v>0</v>
      </c>
      <c r="O7819">
        <v>0.2245878</v>
      </c>
      <c r="P7819">
        <v>0.96066320000000005</v>
      </c>
      <c r="Q7819">
        <v>3.8836589999999997E-2</v>
      </c>
      <c r="R7819">
        <v>0.27498699999999998</v>
      </c>
      <c r="S7819">
        <v>2.6829679999999998</v>
      </c>
      <c r="T7819">
        <v>-0.17920139999999901</v>
      </c>
      <c r="U7819">
        <v>1.569885</v>
      </c>
      <c r="V7819">
        <v>-5.2571710000000001E-2</v>
      </c>
      <c r="W7819">
        <v>5.2406439999999999E-2</v>
      </c>
      <c r="X7819">
        <v>0.99724109999999999</v>
      </c>
      <c r="Y7819">
        <v>-0.29813909999999899</v>
      </c>
      <c r="Z7819">
        <v>-4.3758169999999997E-3</v>
      </c>
      <c r="AA7819">
        <v>0.95451240000000004</v>
      </c>
      <c r="AB7819">
        <v>25</v>
      </c>
      <c r="AC7819">
        <v>16.5534</v>
      </c>
      <c r="AD7819">
        <v>-1.1132636285299999</v>
      </c>
      <c r="AE7819">
        <v>9.7241400000000002</v>
      </c>
      <c r="AF7819">
        <v>-5.7383260971424201</v>
      </c>
      <c r="AG7819">
        <v>-1.1132636285299999</v>
      </c>
      <c r="AH7819">
        <v>18.253199679395198</v>
      </c>
      <c r="AI7819">
        <v>93.329866992813805</v>
      </c>
      <c r="AJ7819">
        <v>107.451776839218</v>
      </c>
      <c r="AK7819">
        <v>19.166299612591501</v>
      </c>
      <c r="AL7819">
        <v>86.995956075470303</v>
      </c>
      <c r="AM7819">
        <v>93.017676875633398</v>
      </c>
      <c r="AN7819">
        <v>1.0000000155875</v>
      </c>
    </row>
    <row r="7820" spans="1:40" x14ac:dyDescent="0.25">
      <c r="A7820" t="str">
        <f>"20190312160520681"</f>
        <v>20190312160520681</v>
      </c>
      <c r="B7820" t="str">
        <f>"1552377920673053"</f>
        <v>1552377920673053</v>
      </c>
      <c r="C7820" t="s">
        <v>40</v>
      </c>
      <c r="D7820">
        <v>5.4392760000000004</v>
      </c>
      <c r="E7820">
        <v>0.40353679999999997</v>
      </c>
      <c r="F7820" t="s">
        <v>81</v>
      </c>
      <c r="G7820">
        <v>-187.34989999999999</v>
      </c>
      <c r="H7820" s="1">
        <v>-1.0629650000000001E-5</v>
      </c>
      <c r="I7820">
        <v>-51.384520000000002</v>
      </c>
      <c r="J7820">
        <v>-204.3537</v>
      </c>
      <c r="K7820">
        <v>1.1133040000000001</v>
      </c>
      <c r="L7820">
        <v>-61.389530000000001</v>
      </c>
      <c r="M7820">
        <v>0.97381399999999996</v>
      </c>
      <c r="N7820">
        <v>0</v>
      </c>
      <c r="O7820">
        <v>0.22691539999999999</v>
      </c>
      <c r="P7820">
        <v>0.95978160000000001</v>
      </c>
      <c r="Q7820">
        <v>3.8954339999999997E-2</v>
      </c>
      <c r="R7820">
        <v>0.278032</v>
      </c>
      <c r="S7820">
        <v>2.6803279999999998</v>
      </c>
      <c r="T7820">
        <v>-0.1742127</v>
      </c>
      <c r="U7820">
        <v>1.570557</v>
      </c>
      <c r="V7820">
        <v>-5.33579E-2</v>
      </c>
      <c r="W7820">
        <v>5.251596E-2</v>
      </c>
      <c r="X7820">
        <v>0.99719360000000001</v>
      </c>
      <c r="Y7820">
        <v>-0.296458</v>
      </c>
      <c r="Z7820">
        <v>-4.4410480000000004E-3</v>
      </c>
      <c r="AA7820">
        <v>0.95503559999999998</v>
      </c>
      <c r="AB7820">
        <v>25</v>
      </c>
      <c r="AC7820">
        <v>17.003799999999998</v>
      </c>
      <c r="AD7820">
        <v>-1.1133146296500001</v>
      </c>
      <c r="AE7820">
        <v>10.00501</v>
      </c>
      <c r="AF7820">
        <v>-5.8664892485426297</v>
      </c>
      <c r="AG7820">
        <v>-1.1133146296500001</v>
      </c>
      <c r="AH7820">
        <v>18.7708975651237</v>
      </c>
      <c r="AI7820">
        <v>93.240075995318705</v>
      </c>
      <c r="AJ7820">
        <v>107.355647945687</v>
      </c>
      <c r="AK7820">
        <v>19.697760303349899</v>
      </c>
      <c r="AL7820">
        <v>86.989672443542005</v>
      </c>
      <c r="AM7820">
        <v>93.062865414834405</v>
      </c>
      <c r="AN7820">
        <v>1.00000003371404</v>
      </c>
    </row>
    <row r="7821" spans="1:40" x14ac:dyDescent="0.25">
      <c r="A7821" t="str">
        <f>"20190312160520693"</f>
        <v>20190312160520693</v>
      </c>
      <c r="B7821" t="str">
        <f>"1552377920682814"</f>
        <v>1552377920682814</v>
      </c>
      <c r="C7821" t="s">
        <v>40</v>
      </c>
      <c r="D7821">
        <v>5.3624890000000001</v>
      </c>
      <c r="E7821">
        <v>0.40394570000000002</v>
      </c>
      <c r="F7821" t="s">
        <v>81</v>
      </c>
      <c r="G7821">
        <v>-186.94460000000001</v>
      </c>
      <c r="H7821" s="1">
        <v>-1.062719E-5</v>
      </c>
      <c r="I7821">
        <v>-51.154809999999998</v>
      </c>
      <c r="J7821">
        <v>-204.2372</v>
      </c>
      <c r="K7821">
        <v>1.1133439999999999</v>
      </c>
      <c r="L7821">
        <v>-61.359859999999998</v>
      </c>
      <c r="M7821">
        <v>0.9732961</v>
      </c>
      <c r="N7821">
        <v>0</v>
      </c>
      <c r="O7821">
        <v>0.2291263</v>
      </c>
      <c r="P7821">
        <v>0.9589647</v>
      </c>
      <c r="Q7821">
        <v>3.9173439999999997E-2</v>
      </c>
      <c r="R7821">
        <v>0.28080630000000001</v>
      </c>
      <c r="S7821">
        <v>2.6767880000000002</v>
      </c>
      <c r="T7821">
        <v>-0.1711811</v>
      </c>
      <c r="U7821">
        <v>1.573669</v>
      </c>
      <c r="V7821">
        <v>-5.3984940000000002E-2</v>
      </c>
      <c r="W7821">
        <v>5.2728339999999999E-2</v>
      </c>
      <c r="X7821">
        <v>0.99714860000000005</v>
      </c>
      <c r="Y7821">
        <v>-0.29567359999999998</v>
      </c>
      <c r="Z7821">
        <v>-4.5146070000000003E-3</v>
      </c>
      <c r="AA7821">
        <v>0.95527830000000002</v>
      </c>
      <c r="AB7821">
        <v>25</v>
      </c>
      <c r="AC7821">
        <v>17.292599999999901</v>
      </c>
      <c r="AD7821">
        <v>-1.1133546271899999</v>
      </c>
      <c r="AE7821">
        <v>10.20505</v>
      </c>
      <c r="AF7821">
        <v>-5.9526293921125903</v>
      </c>
      <c r="AG7821">
        <v>-1.1133546271899999</v>
      </c>
      <c r="AH7821">
        <v>19.112182837785699</v>
      </c>
      <c r="AI7821">
        <v>93.183421946091499</v>
      </c>
      <c r="AJ7821">
        <v>107.299582777558</v>
      </c>
      <c r="AK7821">
        <v>20.0486629985812</v>
      </c>
      <c r="AL7821">
        <v>86.977486954277097</v>
      </c>
      <c r="AM7821">
        <v>93.098928773413604</v>
      </c>
      <c r="AN7821">
        <v>0.99999999103395898</v>
      </c>
    </row>
    <row r="7822" spans="1:40" x14ac:dyDescent="0.25">
      <c r="A7822" t="str">
        <f>"20190312160520704"</f>
        <v>20190312160520704</v>
      </c>
      <c r="B7822" t="str">
        <f>"1552377920692574"</f>
        <v>1552377920692574</v>
      </c>
      <c r="C7822" t="s">
        <v>40</v>
      </c>
      <c r="D7822">
        <v>5.4107589999999997</v>
      </c>
      <c r="E7822">
        <v>0.40432489999999999</v>
      </c>
      <c r="F7822" t="s">
        <v>81</v>
      </c>
      <c r="G7822">
        <v>-187.28399999999999</v>
      </c>
      <c r="H7822" s="1">
        <v>-1.0631299999999999E-5</v>
      </c>
      <c r="I7822">
        <v>-51.353149999999999</v>
      </c>
      <c r="J7822">
        <v>-204.11840000000001</v>
      </c>
      <c r="K7822">
        <v>1.113386</v>
      </c>
      <c r="L7822">
        <v>-61.329349999999998</v>
      </c>
      <c r="M7822">
        <v>0.97275730000000005</v>
      </c>
      <c r="N7822">
        <v>0</v>
      </c>
      <c r="O7822">
        <v>0.23140340000000001</v>
      </c>
      <c r="P7822">
        <v>0.95811460000000004</v>
      </c>
      <c r="Q7822">
        <v>3.9260099999999999E-2</v>
      </c>
      <c r="R7822">
        <v>0.28368130000000003</v>
      </c>
      <c r="S7822">
        <v>2.6734770000000001</v>
      </c>
      <c r="T7822">
        <v>-0.17557310000000001</v>
      </c>
      <c r="U7822">
        <v>1.578033</v>
      </c>
      <c r="V7822">
        <v>-5.4648460000000003E-2</v>
      </c>
      <c r="W7822">
        <v>5.2807850000000003E-2</v>
      </c>
      <c r="X7822">
        <v>0.99710829999999995</v>
      </c>
      <c r="Y7822">
        <v>-0.29511090000000001</v>
      </c>
      <c r="Z7822">
        <v>-4.7810500000000002E-3</v>
      </c>
      <c r="AA7822">
        <v>0.9554511</v>
      </c>
      <c r="AB7822">
        <v>25</v>
      </c>
      <c r="AC7822">
        <v>16.834399999999899</v>
      </c>
      <c r="AD7822">
        <v>-1.1133966313000001</v>
      </c>
      <c r="AE7822">
        <v>9.9762000000000004</v>
      </c>
      <c r="AF7822">
        <v>-5.7907059125283302</v>
      </c>
      <c r="AG7822">
        <v>-1.1133966313000001</v>
      </c>
      <c r="AH7822">
        <v>18.625842223359999</v>
      </c>
      <c r="AI7822">
        <v>93.267008561976397</v>
      </c>
      <c r="AJ7822">
        <v>107.270277409735</v>
      </c>
      <c r="AK7822">
        <v>19.536988651106899</v>
      </c>
      <c r="AL7822">
        <v>86.972925167212196</v>
      </c>
      <c r="AM7822">
        <v>93.137068119484894</v>
      </c>
      <c r="AN7822">
        <v>1.0000000425654401</v>
      </c>
    </row>
    <row r="7823" spans="1:40" x14ac:dyDescent="0.25">
      <c r="A7823" t="str">
        <f>"20190312160520715"</f>
        <v>20190312160520715</v>
      </c>
      <c r="B7823" t="str">
        <f>"1552377920713069"</f>
        <v>1552377920713069</v>
      </c>
      <c r="C7823" t="s">
        <v>40</v>
      </c>
      <c r="D7823">
        <v>5.437138</v>
      </c>
      <c r="E7823">
        <v>0.40518009999999999</v>
      </c>
      <c r="F7823" t="s">
        <v>81</v>
      </c>
      <c r="G7823">
        <v>-187.143</v>
      </c>
      <c r="H7823" s="1">
        <v>-1.0626939999999999E-5</v>
      </c>
      <c r="I7823">
        <v>-51.262990000000002</v>
      </c>
      <c r="J7823">
        <v>-203.99950000000001</v>
      </c>
      <c r="K7823">
        <v>1.1134360000000001</v>
      </c>
      <c r="L7823">
        <v>-61.298400000000001</v>
      </c>
      <c r="M7823">
        <v>0.97220189999999995</v>
      </c>
      <c r="N7823">
        <v>0</v>
      </c>
      <c r="O7823">
        <v>0.2337254</v>
      </c>
      <c r="P7823">
        <v>0.95719390000000004</v>
      </c>
      <c r="Q7823">
        <v>3.939848E-2</v>
      </c>
      <c r="R7823">
        <v>0.2867537</v>
      </c>
      <c r="S7823">
        <v>2.6696010000000001</v>
      </c>
      <c r="T7823">
        <v>-0.17509649999999999</v>
      </c>
      <c r="U7823">
        <v>1.5830690000000001</v>
      </c>
      <c r="V7823">
        <v>-5.5474420000000003E-2</v>
      </c>
      <c r="W7823">
        <v>5.2936900000000002E-2</v>
      </c>
      <c r="X7823">
        <v>0.99705580000000005</v>
      </c>
      <c r="Y7823">
        <v>-0.29477540000000002</v>
      </c>
      <c r="Z7823">
        <v>-4.9147349999999999E-3</v>
      </c>
      <c r="AA7823">
        <v>0.95555389999999996</v>
      </c>
      <c r="AB7823">
        <v>25</v>
      </c>
      <c r="AC7823">
        <v>16.8565</v>
      </c>
      <c r="AD7823">
        <v>-1.1134466269399901</v>
      </c>
      <c r="AE7823">
        <v>10.035410000000001</v>
      </c>
      <c r="AF7823">
        <v>-5.7985428082769701</v>
      </c>
      <c r="AG7823">
        <v>-1.1134466269399901</v>
      </c>
      <c r="AH7823">
        <v>18.675126525481701</v>
      </c>
      <c r="AI7823">
        <v>93.258920714517998</v>
      </c>
      <c r="AJ7823">
        <v>107.24933370362901</v>
      </c>
      <c r="AK7823">
        <v>19.586301662979</v>
      </c>
      <c r="AL7823">
        <v>86.965520653585799</v>
      </c>
      <c r="AM7823">
        <v>93.1845524243017</v>
      </c>
      <c r="AN7823">
        <v>0.99999999748479296</v>
      </c>
    </row>
    <row r="7824" spans="1:40" x14ac:dyDescent="0.25">
      <c r="A7824" t="str">
        <f>"20190312160520726"</f>
        <v>20190312160520726</v>
      </c>
      <c r="B7824" t="str">
        <f>"1552377920722830"</f>
        <v>1552377920722830</v>
      </c>
      <c r="C7824" t="s">
        <v>40</v>
      </c>
      <c r="D7824">
        <v>5.4487730000000001</v>
      </c>
      <c r="E7824">
        <v>0.40557500000000002</v>
      </c>
      <c r="F7824" t="s">
        <v>81</v>
      </c>
      <c r="G7824">
        <v>-187.23480000000001</v>
      </c>
      <c r="H7824" s="1">
        <v>-1.063398E-5</v>
      </c>
      <c r="I7824">
        <v>-51.334029999999998</v>
      </c>
      <c r="J7824">
        <v>-203.88120000000001</v>
      </c>
      <c r="K7824">
        <v>1.11348</v>
      </c>
      <c r="L7824">
        <v>-61.26746</v>
      </c>
      <c r="M7824">
        <v>0.97164019999999995</v>
      </c>
      <c r="N7824">
        <v>0</v>
      </c>
      <c r="O7824">
        <v>0.2360498</v>
      </c>
      <c r="P7824">
        <v>0.95632890000000004</v>
      </c>
      <c r="Q7824">
        <v>3.9565280000000001E-2</v>
      </c>
      <c r="R7824">
        <v>0.28960229999999998</v>
      </c>
      <c r="S7824">
        <v>2.6666259999999999</v>
      </c>
      <c r="T7824">
        <v>-0.17710789999999901</v>
      </c>
      <c r="U7824">
        <v>1.5849610000000001</v>
      </c>
      <c r="V7824">
        <v>-5.6066320000000003E-2</v>
      </c>
      <c r="W7824">
        <v>5.3096409999999997E-2</v>
      </c>
      <c r="X7824">
        <v>0.99701419999999996</v>
      </c>
      <c r="Y7824">
        <v>-0.2934619</v>
      </c>
      <c r="Z7824">
        <v>-5.1500299999999999E-3</v>
      </c>
      <c r="AA7824">
        <v>0.9559569</v>
      </c>
      <c r="AB7824">
        <v>25</v>
      </c>
      <c r="AC7824">
        <v>16.6464</v>
      </c>
      <c r="AD7824">
        <v>-1.1134906339799999</v>
      </c>
      <c r="AE7824">
        <v>9.9334299999999995</v>
      </c>
      <c r="AF7824">
        <v>-5.70408040446216</v>
      </c>
      <c r="AG7824">
        <v>-1.1134906339799999</v>
      </c>
      <c r="AH7824">
        <v>18.4600007414959</v>
      </c>
      <c r="AI7824">
        <v>93.298339415892897</v>
      </c>
      <c r="AJ7824">
        <v>107.170979517196</v>
      </c>
      <c r="AK7824">
        <v>19.353243191479802</v>
      </c>
      <c r="AL7824">
        <v>86.956368503574694</v>
      </c>
      <c r="AM7824">
        <v>93.218593857172905</v>
      </c>
      <c r="AN7824">
        <v>0.99999998799743495</v>
      </c>
    </row>
    <row r="7825" spans="1:40" x14ac:dyDescent="0.25">
      <c r="A7825" t="str">
        <f>"20190312160520738"</f>
        <v>20190312160520738</v>
      </c>
      <c r="B7825" t="str">
        <f>"1552377920732589"</f>
        <v>1552377920732589</v>
      </c>
      <c r="C7825" t="s">
        <v>40</v>
      </c>
      <c r="D7825">
        <v>5.4677910000000001</v>
      </c>
      <c r="E7825">
        <v>0.40593649999999998</v>
      </c>
      <c r="F7825" t="s">
        <v>81</v>
      </c>
      <c r="G7825">
        <v>-187.13149999999999</v>
      </c>
      <c r="H7825" s="1">
        <v>-1.063007E-5</v>
      </c>
      <c r="I7825">
        <v>-51.265799999999999</v>
      </c>
      <c r="J7825">
        <v>-203.76439999999999</v>
      </c>
      <c r="K7825">
        <v>1.1135280000000001</v>
      </c>
      <c r="L7825">
        <v>-61.236330000000002</v>
      </c>
      <c r="M7825">
        <v>0.9710645</v>
      </c>
      <c r="N7825">
        <v>0</v>
      </c>
      <c r="O7825">
        <v>0.2384066</v>
      </c>
      <c r="P7825">
        <v>0.95544130000000005</v>
      </c>
      <c r="Q7825">
        <v>3.9937090000000001E-2</v>
      </c>
      <c r="R7825">
        <v>0.29246719999999998</v>
      </c>
      <c r="S7825">
        <v>2.662811</v>
      </c>
      <c r="T7825">
        <v>-0.1770186</v>
      </c>
      <c r="U7825">
        <v>1.5900270000000001</v>
      </c>
      <c r="V7825">
        <v>-5.664806E-2</v>
      </c>
      <c r="W7825">
        <v>5.3461630000000003E-2</v>
      </c>
      <c r="X7825">
        <v>0.99696180000000001</v>
      </c>
      <c r="Y7825">
        <v>-0.29308970000000001</v>
      </c>
      <c r="Z7825">
        <v>-5.2989359999999998E-3</v>
      </c>
      <c r="AA7825">
        <v>0.95607019999999998</v>
      </c>
      <c r="AB7825">
        <v>25</v>
      </c>
      <c r="AC7825">
        <v>16.632899999999999</v>
      </c>
      <c r="AD7825">
        <v>-1.1135386300700001</v>
      </c>
      <c r="AE7825">
        <v>9.9705300000000001</v>
      </c>
      <c r="AF7825">
        <v>-5.6984060946405402</v>
      </c>
      <c r="AG7825">
        <v>-1.1135386300700001</v>
      </c>
      <c r="AH7825">
        <v>18.469576983572999</v>
      </c>
      <c r="AI7825">
        <v>93.297208296536098</v>
      </c>
      <c r="AJ7825">
        <v>107.146528462928</v>
      </c>
      <c r="AK7825">
        <v>19.360709549296601</v>
      </c>
      <c r="AL7825">
        <v>86.935413179993105</v>
      </c>
      <c r="AM7825">
        <v>93.252088996243103</v>
      </c>
      <c r="AN7825">
        <v>0.99999998962162995</v>
      </c>
    </row>
    <row r="7826" spans="1:40" x14ac:dyDescent="0.25">
      <c r="A7826" t="str">
        <f>"20190312160520750"</f>
        <v>20190312160520750</v>
      </c>
      <c r="B7826" t="str">
        <f>"1552377920743327"</f>
        <v>1552377920743327</v>
      </c>
      <c r="C7826" t="s">
        <v>40</v>
      </c>
      <c r="D7826">
        <v>5.4343159999999999</v>
      </c>
      <c r="E7826">
        <v>0.4062521</v>
      </c>
      <c r="F7826" t="s">
        <v>81</v>
      </c>
      <c r="G7826">
        <v>-186.9863</v>
      </c>
      <c r="H7826" s="1">
        <v>-1.062502E-5</v>
      </c>
      <c r="I7826">
        <v>-51.171300000000002</v>
      </c>
      <c r="J7826">
        <v>-203.64</v>
      </c>
      <c r="K7826">
        <v>1.113583</v>
      </c>
      <c r="L7826">
        <v>-61.203000000000003</v>
      </c>
      <c r="M7826">
        <v>0.97044059999999999</v>
      </c>
      <c r="N7826">
        <v>0</v>
      </c>
      <c r="O7826">
        <v>0.2409336</v>
      </c>
      <c r="P7826">
        <v>0.95443299999999998</v>
      </c>
      <c r="Q7826">
        <v>4.0253379999999998E-2</v>
      </c>
      <c r="R7826">
        <v>0.29569839999999997</v>
      </c>
      <c r="S7826">
        <v>2.659027</v>
      </c>
      <c r="T7826">
        <v>-0.17647550000000001</v>
      </c>
      <c r="U7826">
        <v>1.5951229999999901</v>
      </c>
      <c r="V7826">
        <v>-5.743815E-2</v>
      </c>
      <c r="W7826">
        <v>5.3767790000000003E-2</v>
      </c>
      <c r="X7826">
        <v>0.99690009999999996</v>
      </c>
      <c r="Y7826">
        <v>-0.29255340000000002</v>
      </c>
      <c r="Z7826">
        <v>-5.4486259999999998E-3</v>
      </c>
      <c r="AA7826">
        <v>0.95623369999999996</v>
      </c>
      <c r="AB7826">
        <v>25</v>
      </c>
      <c r="AC7826">
        <v>16.653699999999901</v>
      </c>
      <c r="AD7826">
        <v>-1.11359362502</v>
      </c>
      <c r="AE7826">
        <v>10.031700000000001</v>
      </c>
      <c r="AF7826">
        <v>-5.70457834843603</v>
      </c>
      <c r="AG7826">
        <v>-1.11359362502</v>
      </c>
      <c r="AH7826">
        <v>18.519462339173</v>
      </c>
      <c r="AI7826">
        <v>93.288968138224405</v>
      </c>
      <c r="AJ7826">
        <v>107.120482413207</v>
      </c>
      <c r="AK7826">
        <v>19.4101208194894</v>
      </c>
      <c r="AL7826">
        <v>86.917846154701806</v>
      </c>
      <c r="AM7826">
        <v>93.2975512331857</v>
      </c>
      <c r="AN7826">
        <v>0.99999996284845705</v>
      </c>
    </row>
    <row r="7827" spans="1:40" x14ac:dyDescent="0.25">
      <c r="A7827" t="str">
        <f>"20190312160520759"</f>
        <v>20190312160520759</v>
      </c>
      <c r="B7827" t="str">
        <f>"1552377920753086"</f>
        <v>1552377920753086</v>
      </c>
      <c r="C7827" t="s">
        <v>40</v>
      </c>
      <c r="D7827">
        <v>5.4847080000000004</v>
      </c>
      <c r="E7827">
        <v>0.40669830000000001</v>
      </c>
      <c r="F7827" t="s">
        <v>81</v>
      </c>
      <c r="G7827">
        <v>-186.8279</v>
      </c>
      <c r="H7827" s="1">
        <v>-1.0615849999999999E-5</v>
      </c>
      <c r="I7827">
        <v>-51.057490000000001</v>
      </c>
      <c r="J7827">
        <v>-203.52359999999999</v>
      </c>
      <c r="K7827">
        <v>1.1136349999999999</v>
      </c>
      <c r="L7827">
        <v>-61.171300000000002</v>
      </c>
      <c r="M7827">
        <v>0.96983520000000001</v>
      </c>
      <c r="N7827">
        <v>0</v>
      </c>
      <c r="O7827">
        <v>0.24335879999999999</v>
      </c>
      <c r="P7827">
        <v>0.95346129999999996</v>
      </c>
      <c r="Q7827">
        <v>4.0598990000000001E-2</v>
      </c>
      <c r="R7827">
        <v>0.29876940000000002</v>
      </c>
      <c r="S7827">
        <v>2.6543580000000002</v>
      </c>
      <c r="T7827">
        <v>-0.17581769999999999</v>
      </c>
      <c r="U7827">
        <v>1.601807</v>
      </c>
      <c r="V7827">
        <v>-5.8168169999999998E-2</v>
      </c>
      <c r="W7827">
        <v>5.4104430000000002E-2</v>
      </c>
      <c r="X7827">
        <v>0.99683960000000005</v>
      </c>
      <c r="Y7827">
        <v>-0.29267559999999998</v>
      </c>
      <c r="Z7827">
        <v>-5.5682860000000004E-3</v>
      </c>
      <c r="AA7827">
        <v>0.95619560000000003</v>
      </c>
      <c r="AB7827">
        <v>25</v>
      </c>
      <c r="AC7827">
        <v>16.695699999999899</v>
      </c>
      <c r="AD7827">
        <v>-1.1136456158500001</v>
      </c>
      <c r="AE7827">
        <v>10.113810000000001</v>
      </c>
      <c r="AF7827">
        <v>-5.7276047130895398</v>
      </c>
      <c r="AG7827">
        <v>-1.1136456158500001</v>
      </c>
      <c r="AH7827">
        <v>18.5946696660674</v>
      </c>
      <c r="AI7827">
        <v>93.275854241173704</v>
      </c>
      <c r="AJ7827">
        <v>107.120088798428</v>
      </c>
      <c r="AK7827">
        <v>19.488648036671901</v>
      </c>
      <c r="AL7827">
        <v>86.898530122094002</v>
      </c>
      <c r="AM7827">
        <v>93.339569984871503</v>
      </c>
      <c r="AN7827">
        <v>1.0000000067374599</v>
      </c>
    </row>
    <row r="7828" spans="1:40" x14ac:dyDescent="0.25">
      <c r="A7828" t="str">
        <f>"20190312160520771"</f>
        <v>20190312160520771</v>
      </c>
      <c r="B7828" t="str">
        <f>"1552377920762846"</f>
        <v>1552377920762846</v>
      </c>
      <c r="C7828" t="s">
        <v>40</v>
      </c>
      <c r="D7828">
        <v>5.5019920000000004</v>
      </c>
      <c r="E7828">
        <v>0.407223</v>
      </c>
      <c r="F7828" t="s">
        <v>81</v>
      </c>
      <c r="G7828">
        <v>-186.61600000000001</v>
      </c>
      <c r="H7828" s="1">
        <v>-1.060876E-5</v>
      </c>
      <c r="I7828">
        <v>-50.920360000000002</v>
      </c>
      <c r="J7828">
        <v>-203.41220000000001</v>
      </c>
      <c r="K7828">
        <v>1.113686</v>
      </c>
      <c r="L7828">
        <v>-61.140749999999997</v>
      </c>
      <c r="M7828">
        <v>0.96924390000000005</v>
      </c>
      <c r="N7828">
        <v>0</v>
      </c>
      <c r="O7828">
        <v>0.2457028</v>
      </c>
      <c r="P7828">
        <v>0.95244819999999997</v>
      </c>
      <c r="Q7828">
        <v>4.1088E-2</v>
      </c>
      <c r="R7828">
        <v>0.30191790000000002</v>
      </c>
      <c r="S7828">
        <v>2.6503299999999999</v>
      </c>
      <c r="T7828">
        <v>-0.17456830000000001</v>
      </c>
      <c r="U7828">
        <v>1.606873</v>
      </c>
      <c r="V7828">
        <v>-5.9067830000000002E-2</v>
      </c>
      <c r="W7828">
        <v>5.4582459999999999E-2</v>
      </c>
      <c r="X7828">
        <v>0.9967606</v>
      </c>
      <c r="Y7828">
        <v>-0.29234919999999998</v>
      </c>
      <c r="Z7828">
        <v>-5.67667E-3</v>
      </c>
      <c r="AA7828">
        <v>0.9562948</v>
      </c>
      <c r="AB7828">
        <v>25</v>
      </c>
      <c r="AC7828">
        <v>16.796199999999999</v>
      </c>
      <c r="AD7828">
        <v>-1.11369660876</v>
      </c>
      <c r="AE7828">
        <v>10.22039</v>
      </c>
      <c r="AF7828">
        <v>-5.7612596652491597</v>
      </c>
      <c r="AG7828">
        <v>-1.11369660876</v>
      </c>
      <c r="AH7828">
        <v>18.7325342908679</v>
      </c>
      <c r="AI7828">
        <v>93.252374790875905</v>
      </c>
      <c r="AJ7828">
        <v>107.095472312456</v>
      </c>
      <c r="AK7828">
        <v>19.630085940345001</v>
      </c>
      <c r="AL7828">
        <v>86.871100384053705</v>
      </c>
      <c r="AM7828">
        <v>93.391370075650102</v>
      </c>
      <c r="AN7828">
        <v>0.99999997359645898</v>
      </c>
    </row>
    <row r="7829" spans="1:40" x14ac:dyDescent="0.25">
      <c r="A7829" t="str">
        <f>"20190312160520782"</f>
        <v>20190312160520782</v>
      </c>
      <c r="B7829" t="str">
        <f>"1552377920772606"</f>
        <v>1552377920772606</v>
      </c>
      <c r="C7829" t="s">
        <v>40</v>
      </c>
      <c r="D7829">
        <v>5.4835330000000004</v>
      </c>
      <c r="E7829">
        <v>0.40762110000000001</v>
      </c>
      <c r="F7829" t="s">
        <v>81</v>
      </c>
      <c r="G7829">
        <v>-186.3921</v>
      </c>
      <c r="H7829" s="1">
        <v>-1.0601609999999999E-5</v>
      </c>
      <c r="I7829">
        <v>-50.776490000000003</v>
      </c>
      <c r="J7829">
        <v>-203.29390000000001</v>
      </c>
      <c r="K7829">
        <v>1.1137429999999999</v>
      </c>
      <c r="L7829">
        <v>-61.107909999999997</v>
      </c>
      <c r="M7829">
        <v>0.96859850000000003</v>
      </c>
      <c r="N7829">
        <v>0</v>
      </c>
      <c r="O7829">
        <v>0.2482346</v>
      </c>
      <c r="P7829">
        <v>0.95136279999999995</v>
      </c>
      <c r="Q7829">
        <v>4.1323239999999997E-2</v>
      </c>
      <c r="R7829">
        <v>0.30528870000000002</v>
      </c>
      <c r="S7829">
        <v>2.6464080000000001</v>
      </c>
      <c r="T7829">
        <v>-0.17316579999999901</v>
      </c>
      <c r="U7829">
        <v>1.6115109999999999</v>
      </c>
      <c r="V7829">
        <v>-6.0004349999999998E-2</v>
      </c>
      <c r="W7829">
        <v>5.4806720000000003E-2</v>
      </c>
      <c r="X7829">
        <v>0.99669240000000003</v>
      </c>
      <c r="Y7829">
        <v>-0.29170780000000002</v>
      </c>
      <c r="Z7829">
        <v>-5.7981669999999999E-3</v>
      </c>
      <c r="AA7829">
        <v>0.9564899</v>
      </c>
      <c r="AB7829">
        <v>25</v>
      </c>
      <c r="AC7829">
        <v>16.901800000000001</v>
      </c>
      <c r="AD7829">
        <v>-1.11375360161</v>
      </c>
      <c r="AE7829">
        <v>10.3314199999999</v>
      </c>
      <c r="AF7829">
        <v>-5.7936431644353901</v>
      </c>
      <c r="AG7829">
        <v>-1.11375360161</v>
      </c>
      <c r="AH7829">
        <v>18.877860083738</v>
      </c>
      <c r="AI7829">
        <v>93.228144995302401</v>
      </c>
      <c r="AJ7829">
        <v>107.061327385371</v>
      </c>
      <c r="AK7829">
        <v>19.778279741754499</v>
      </c>
      <c r="AL7829">
        <v>86.8582321138759</v>
      </c>
      <c r="AM7829">
        <v>93.445246890446498</v>
      </c>
      <c r="AN7829">
        <v>1.0000000193969201</v>
      </c>
    </row>
    <row r="7830" spans="1:40" x14ac:dyDescent="0.25">
      <c r="A7830" t="str">
        <f>"20190312160520793"</f>
        <v>20190312160520793</v>
      </c>
      <c r="B7830" t="str">
        <f>"1552377920782366"</f>
        <v>1552377920782366</v>
      </c>
      <c r="C7830" t="s">
        <v>40</v>
      </c>
      <c r="D7830">
        <v>5.4762430000000002</v>
      </c>
      <c r="E7830">
        <v>0.40804629999999997</v>
      </c>
      <c r="F7830" t="s">
        <v>81</v>
      </c>
      <c r="G7830">
        <v>-186.28899999999999</v>
      </c>
      <c r="H7830" s="1">
        <v>-1.0592599999999999E-5</v>
      </c>
      <c r="I7830">
        <v>-50.6935</v>
      </c>
      <c r="J7830">
        <v>-203.1806</v>
      </c>
      <c r="K7830">
        <v>1.1137980000000001</v>
      </c>
      <c r="L7830">
        <v>-61.076050000000002</v>
      </c>
      <c r="M7830">
        <v>0.96796269999999995</v>
      </c>
      <c r="N7830">
        <v>0</v>
      </c>
      <c r="O7830">
        <v>0.25070209999999998</v>
      </c>
      <c r="P7830">
        <v>0.95036069999999995</v>
      </c>
      <c r="Q7830">
        <v>4.145712E-2</v>
      </c>
      <c r="R7830">
        <v>0.30837639999999999</v>
      </c>
      <c r="S7830">
        <v>2.641724</v>
      </c>
      <c r="T7830">
        <v>-0.17302279999999901</v>
      </c>
      <c r="U7830">
        <v>1.6178889999999999</v>
      </c>
      <c r="V7830">
        <v>-6.0711090000000002E-2</v>
      </c>
      <c r="W7830">
        <v>5.4931460000000001E-2</v>
      </c>
      <c r="X7830">
        <v>0.99664269999999999</v>
      </c>
      <c r="Y7830">
        <v>-0.29170819999999997</v>
      </c>
      <c r="Z7830">
        <v>-5.9376380000000003E-3</v>
      </c>
      <c r="AA7830">
        <v>0.95648889999999998</v>
      </c>
      <c r="AB7830">
        <v>25</v>
      </c>
      <c r="AC7830">
        <v>16.891599999999901</v>
      </c>
      <c r="AD7830">
        <v>-1.1138085926000001</v>
      </c>
      <c r="AE7830">
        <v>10.38255</v>
      </c>
      <c r="AF7830">
        <v>-5.7974386261552997</v>
      </c>
      <c r="AG7830">
        <v>-1.1138085926000001</v>
      </c>
      <c r="AH7830">
        <v>18.895601513431998</v>
      </c>
      <c r="AI7830">
        <v>93.225358125227501</v>
      </c>
      <c r="AJ7830">
        <v>107.056756410609</v>
      </c>
      <c r="AK7830">
        <v>19.796328466647498</v>
      </c>
      <c r="AL7830">
        <v>86.851074152203395</v>
      </c>
      <c r="AM7830">
        <v>93.485899435248996</v>
      </c>
      <c r="AN7830">
        <v>0.999999986605004</v>
      </c>
    </row>
    <row r="7831" spans="1:40" x14ac:dyDescent="0.25">
      <c r="A7831" t="str">
        <f>"20190312160520804"</f>
        <v>20190312160520804</v>
      </c>
      <c r="B7831" t="str">
        <f>"1552377920793102"</f>
        <v>1552377920793102</v>
      </c>
      <c r="C7831" t="s">
        <v>40</v>
      </c>
      <c r="D7831">
        <v>5.4891670000000001</v>
      </c>
      <c r="E7831">
        <v>0.40843679999999999</v>
      </c>
      <c r="F7831" t="s">
        <v>81</v>
      </c>
      <c r="G7831">
        <v>-186.25460000000001</v>
      </c>
      <c r="H7831" s="1">
        <v>-1.0587390000000001E-5</v>
      </c>
      <c r="I7831">
        <v>-50.659329999999997</v>
      </c>
      <c r="J7831">
        <v>-203.06190000000001</v>
      </c>
      <c r="K7831">
        <v>1.1138520000000001</v>
      </c>
      <c r="L7831">
        <v>-61.0424199999999</v>
      </c>
      <c r="M7831">
        <v>0.96728130000000001</v>
      </c>
      <c r="N7831">
        <v>0</v>
      </c>
      <c r="O7831">
        <v>0.25331819999999999</v>
      </c>
      <c r="P7831">
        <v>0.94934870000000005</v>
      </c>
      <c r="Q7831">
        <v>4.1618219999999997E-2</v>
      </c>
      <c r="R7831">
        <v>0.31145640000000002</v>
      </c>
      <c r="S7831">
        <v>2.6375579999999998</v>
      </c>
      <c r="T7831">
        <v>-0.173564</v>
      </c>
      <c r="U7831">
        <v>1.62323</v>
      </c>
      <c r="V7831">
        <v>-6.1259000000000001E-2</v>
      </c>
      <c r="W7831">
        <v>5.5084300000000003E-2</v>
      </c>
      <c r="X7831">
        <v>0.99660070000000001</v>
      </c>
      <c r="Y7831">
        <v>-0.29120479999999999</v>
      </c>
      <c r="Z7831">
        <v>-6.1243869999999898E-3</v>
      </c>
      <c r="AA7831">
        <v>0.95664110000000002</v>
      </c>
      <c r="AB7831">
        <v>25</v>
      </c>
      <c r="AC7831">
        <v>16.807299999999898</v>
      </c>
      <c r="AD7831">
        <v>-1.1138625873899901</v>
      </c>
      <c r="AE7831">
        <v>10.3830899999999</v>
      </c>
      <c r="AF7831">
        <v>-5.7680074542359501</v>
      </c>
      <c r="AG7831">
        <v>-1.1138625873899901</v>
      </c>
      <c r="AH7831">
        <v>18.8296145342422</v>
      </c>
      <c r="AI7831">
        <v>93.237235301068097</v>
      </c>
      <c r="AJ7831">
        <v>107.031207686694</v>
      </c>
      <c r="AK7831">
        <v>19.7247302481898</v>
      </c>
      <c r="AL7831">
        <v>86.8423036710753</v>
      </c>
      <c r="AM7831">
        <v>93.517428473298907</v>
      </c>
      <c r="AN7831">
        <v>0.99999995021398802</v>
      </c>
    </row>
    <row r="7832" spans="1:40" x14ac:dyDescent="0.25">
      <c r="A7832" t="str">
        <f>"20190312160520815"</f>
        <v>20190312160520815</v>
      </c>
      <c r="B7832" t="str">
        <f>"1552377920802862"</f>
        <v>1552377920802862</v>
      </c>
      <c r="C7832" t="s">
        <v>40</v>
      </c>
      <c r="D7832">
        <v>5.3169219999999999</v>
      </c>
      <c r="E7832">
        <v>0.40862349999999997</v>
      </c>
      <c r="F7832" t="s">
        <v>81</v>
      </c>
      <c r="G7832">
        <v>-186.14109999999999</v>
      </c>
      <c r="H7832" s="1">
        <v>-1.057976E-5</v>
      </c>
      <c r="I7832">
        <v>-50.574660000000002</v>
      </c>
      <c r="J7832">
        <v>-202.9468</v>
      </c>
      <c r="K7832">
        <v>1.113912</v>
      </c>
      <c r="L7832">
        <v>-61.0092199999999</v>
      </c>
      <c r="M7832">
        <v>0.9665958</v>
      </c>
      <c r="N7832">
        <v>0</v>
      </c>
      <c r="O7832">
        <v>0.25592110000000001</v>
      </c>
      <c r="P7832">
        <v>0.94831129999999997</v>
      </c>
      <c r="Q7832">
        <v>4.2080050000000001E-2</v>
      </c>
      <c r="R7832">
        <v>0.31453930000000002</v>
      </c>
      <c r="S7832">
        <v>2.6332239999999998</v>
      </c>
      <c r="T7832">
        <v>-0.17333999999999999</v>
      </c>
      <c r="U7832">
        <v>1.6289979999999999</v>
      </c>
      <c r="V7832">
        <v>-6.183102E-2</v>
      </c>
      <c r="W7832">
        <v>5.5537070000000001E-2</v>
      </c>
      <c r="X7832">
        <v>0.99654030000000005</v>
      </c>
      <c r="Y7832">
        <v>-0.29085329999999998</v>
      </c>
      <c r="Z7832">
        <v>-6.2792560000000004E-3</v>
      </c>
      <c r="AA7832">
        <v>0.95674709999999996</v>
      </c>
      <c r="AB7832">
        <v>25</v>
      </c>
      <c r="AC7832">
        <v>16.805700000000002</v>
      </c>
      <c r="AD7832">
        <v>-1.1139225797600001</v>
      </c>
      <c r="AE7832">
        <v>10.4345599999999</v>
      </c>
      <c r="AF7832">
        <v>-5.7673505174996498</v>
      </c>
      <c r="AG7832">
        <v>-1.1139225797600001</v>
      </c>
      <c r="AH7832">
        <v>18.856812293372599</v>
      </c>
      <c r="AI7832">
        <v>93.233180152428801</v>
      </c>
      <c r="AJ7832">
        <v>107.006236507962</v>
      </c>
      <c r="AK7832">
        <v>19.750506964959001</v>
      </c>
      <c r="AL7832">
        <v>86.816322262377994</v>
      </c>
      <c r="AM7832">
        <v>93.550404279128102</v>
      </c>
      <c r="AN7832">
        <v>1.0000000053512501</v>
      </c>
    </row>
    <row r="7833" spans="1:40" x14ac:dyDescent="0.25">
      <c r="A7833" t="str">
        <f>"20190312160520827"</f>
        <v>20190312160520827</v>
      </c>
      <c r="B7833" t="str">
        <f>"1552377920822382"</f>
        <v>1552377920822382</v>
      </c>
      <c r="C7833" t="s">
        <v>40</v>
      </c>
      <c r="D7833">
        <v>5.5080049999999998</v>
      </c>
      <c r="E7833">
        <v>0.40919489999999997</v>
      </c>
      <c r="F7833" t="s">
        <v>81</v>
      </c>
      <c r="G7833">
        <v>-185.70320000000001</v>
      </c>
      <c r="H7833" s="1">
        <v>-2.6523209999999999E-6</v>
      </c>
      <c r="I7833">
        <v>-50.274639999999998</v>
      </c>
      <c r="J7833">
        <v>-202.82490000000001</v>
      </c>
      <c r="K7833">
        <v>1.113977</v>
      </c>
      <c r="L7833">
        <v>-60.973909999999997</v>
      </c>
      <c r="M7833">
        <v>0.96585639999999995</v>
      </c>
      <c r="N7833">
        <v>0</v>
      </c>
      <c r="O7833">
        <v>0.25869740000000002</v>
      </c>
      <c r="P7833">
        <v>0.94724940000000002</v>
      </c>
      <c r="Q7833">
        <v>4.243806E-2</v>
      </c>
      <c r="R7833">
        <v>0.31767529999999999</v>
      </c>
      <c r="S7833">
        <v>2.6283259999999999</v>
      </c>
      <c r="T7833">
        <v>-0.16978660000000001</v>
      </c>
      <c r="U7833">
        <v>1.6362000000000001</v>
      </c>
      <c r="V7833">
        <v>-6.2280750000000003E-2</v>
      </c>
      <c r="W7833">
        <v>5.5887489999999998E-2</v>
      </c>
      <c r="X7833">
        <v>0.99649270000000001</v>
      </c>
      <c r="Y7833">
        <v>-0.29079959999999999</v>
      </c>
      <c r="Z7833">
        <v>-6.3111440000000003E-3</v>
      </c>
      <c r="AA7833">
        <v>0.95676320000000004</v>
      </c>
      <c r="AB7833">
        <v>24</v>
      </c>
      <c r="AC7833">
        <v>17.121700000000001</v>
      </c>
      <c r="AD7833">
        <v>-1.1139796523209999</v>
      </c>
      <c r="AE7833">
        <v>10.699269999999901</v>
      </c>
      <c r="AF7833">
        <v>-5.8872782165312501</v>
      </c>
      <c r="AG7833">
        <v>-1.1139796523209999</v>
      </c>
      <c r="AH7833">
        <v>19.248281249218</v>
      </c>
      <c r="AI7833">
        <v>93.167712365903597</v>
      </c>
      <c r="AJ7833">
        <v>107.006772839452</v>
      </c>
      <c r="AK7833">
        <v>20.1592987604635</v>
      </c>
      <c r="AL7833">
        <v>86.7962134336845</v>
      </c>
      <c r="AM7833">
        <v>93.576331869272295</v>
      </c>
      <c r="AN7833">
        <v>1.0000000022561699</v>
      </c>
    </row>
    <row r="7834" spans="1:40" x14ac:dyDescent="0.25">
      <c r="A7834" t="str">
        <f>"20190312160520840"</f>
        <v>20190312160520840</v>
      </c>
      <c r="B7834" t="str">
        <f>"1552377920833118"</f>
        <v>1552377920833118</v>
      </c>
      <c r="C7834" t="s">
        <v>40</v>
      </c>
      <c r="D7834">
        <v>5.5113890000000003</v>
      </c>
      <c r="E7834">
        <v>0.40948390000000001</v>
      </c>
      <c r="F7834" t="s">
        <v>81</v>
      </c>
      <c r="G7834">
        <v>-185.2561</v>
      </c>
      <c r="H7834" s="1">
        <v>-2.7206319999999999E-6</v>
      </c>
      <c r="I7834">
        <v>-49.99127</v>
      </c>
      <c r="J7834">
        <v>-202.68</v>
      </c>
      <c r="K7834">
        <v>1.114063</v>
      </c>
      <c r="L7834">
        <v>-60.931089999999998</v>
      </c>
      <c r="M7834">
        <v>0.96493600000000002</v>
      </c>
      <c r="N7834">
        <v>0</v>
      </c>
      <c r="O7834">
        <v>0.26210929999999999</v>
      </c>
      <c r="P7834">
        <v>0.94594710000000004</v>
      </c>
      <c r="Q7834">
        <v>4.2796720000000003E-2</v>
      </c>
      <c r="R7834">
        <v>0.32148549999999998</v>
      </c>
      <c r="S7834">
        <v>2.6243439999999998</v>
      </c>
      <c r="T7834">
        <v>-0.16640089999999999</v>
      </c>
      <c r="U7834">
        <v>1.640533</v>
      </c>
      <c r="V7834">
        <v>-6.2788399999999994E-2</v>
      </c>
      <c r="W7834">
        <v>5.6236929999999997E-2</v>
      </c>
      <c r="X7834">
        <v>0.99644120000000003</v>
      </c>
      <c r="Y7834">
        <v>-0.28921439999999998</v>
      </c>
      <c r="Z7834">
        <v>-6.4221950000000003E-3</v>
      </c>
      <c r="AA7834">
        <v>0.95724279999999995</v>
      </c>
      <c r="AB7834">
        <v>24</v>
      </c>
      <c r="AC7834">
        <v>17.4239</v>
      </c>
      <c r="AD7834">
        <v>-1.1140657206319999</v>
      </c>
      <c r="AE7834">
        <v>10.939819999999999</v>
      </c>
      <c r="AF7834">
        <v>-5.9723382052624796</v>
      </c>
      <c r="AG7834">
        <v>-1.1140657206319999</v>
      </c>
      <c r="AH7834">
        <v>19.624773116208999</v>
      </c>
      <c r="AI7834">
        <v>93.108628767162102</v>
      </c>
      <c r="AJ7834">
        <v>106.92639391931201</v>
      </c>
      <c r="AK7834">
        <v>20.543653178794798</v>
      </c>
      <c r="AL7834">
        <v>86.776160516785595</v>
      </c>
      <c r="AM7834">
        <v>93.605591796167204</v>
      </c>
      <c r="AN7834">
        <v>1.0000000202639101</v>
      </c>
    </row>
    <row r="7835" spans="1:40" x14ac:dyDescent="0.25">
      <c r="A7835" t="str">
        <f>"20190312160520856"</f>
        <v>20190312160520856</v>
      </c>
      <c r="B7835" t="str">
        <f>"1552377920842878"</f>
        <v>1552377920842878</v>
      </c>
      <c r="C7835" t="s">
        <v>40</v>
      </c>
      <c r="D7835">
        <v>5.497611</v>
      </c>
      <c r="E7835">
        <v>0.40974509999999997</v>
      </c>
      <c r="F7835" t="s">
        <v>81</v>
      </c>
      <c r="G7835">
        <v>-185.0102</v>
      </c>
      <c r="H7835" s="1">
        <v>-2.7764970000000001E-6</v>
      </c>
      <c r="I7835">
        <v>-49.804519999999997</v>
      </c>
      <c r="J7835">
        <v>-202.52950000000001</v>
      </c>
      <c r="K7835">
        <v>1.1141490000000001</v>
      </c>
      <c r="L7835">
        <v>-60.885959999999997</v>
      </c>
      <c r="M7835">
        <v>0.96394740000000001</v>
      </c>
      <c r="N7835">
        <v>0</v>
      </c>
      <c r="O7835">
        <v>0.26572129999999999</v>
      </c>
      <c r="P7835">
        <v>0.94449910000000004</v>
      </c>
      <c r="Q7835">
        <v>4.3217899999999997E-2</v>
      </c>
      <c r="R7835">
        <v>0.32565899999999998</v>
      </c>
      <c r="S7835">
        <v>2.6185149999999999</v>
      </c>
      <c r="T7835">
        <v>-0.1650953</v>
      </c>
      <c r="U7835">
        <v>1.648865</v>
      </c>
      <c r="V7835">
        <v>-6.3476340000000006E-2</v>
      </c>
      <c r="W7835">
        <v>5.6647790000000003E-2</v>
      </c>
      <c r="X7835">
        <v>0.99637430000000005</v>
      </c>
      <c r="Y7835">
        <v>-0.288776599999999</v>
      </c>
      <c r="Z7835">
        <v>-6.5852949999999997E-3</v>
      </c>
      <c r="AA7835">
        <v>0.9573739</v>
      </c>
      <c r="AB7835">
        <v>24</v>
      </c>
      <c r="AC7835">
        <v>17.519300000000001</v>
      </c>
      <c r="AD7835">
        <v>-1.1141517764969999</v>
      </c>
      <c r="AE7835">
        <v>11.081439999999899</v>
      </c>
      <c r="AF7835">
        <v>-6.0099089479994596</v>
      </c>
      <c r="AG7835">
        <v>-1.1141517764969999</v>
      </c>
      <c r="AH7835">
        <v>19.777088440747502</v>
      </c>
      <c r="AI7835">
        <v>93.085352217678405</v>
      </c>
      <c r="AJ7835">
        <v>106.903103239533</v>
      </c>
      <c r="AK7835">
        <v>20.7000861577305</v>
      </c>
      <c r="AL7835">
        <v>86.752582261149499</v>
      </c>
      <c r="AM7835">
        <v>93.645234550561</v>
      </c>
      <c r="AN7835">
        <v>0.99999998177608396</v>
      </c>
    </row>
    <row r="7836" spans="1:40" x14ac:dyDescent="0.25">
      <c r="A7836" t="str">
        <f>"20190312160520864"</f>
        <v>20190312160520864</v>
      </c>
      <c r="B7836" t="str">
        <f>"1552377920852638"</f>
        <v>1552377920852638</v>
      </c>
      <c r="C7836" t="s">
        <v>40</v>
      </c>
      <c r="D7836">
        <v>5.4683380000000001</v>
      </c>
      <c r="E7836">
        <v>0.4100316</v>
      </c>
      <c r="F7836" t="s">
        <v>81</v>
      </c>
      <c r="G7836">
        <v>-184.72229999999999</v>
      </c>
      <c r="H7836" s="1">
        <v>-2.8454969999999998E-6</v>
      </c>
      <c r="I7836">
        <v>-49.579770000000003</v>
      </c>
      <c r="J7836">
        <v>-202.43700000000001</v>
      </c>
      <c r="K7836">
        <v>1.1142000000000001</v>
      </c>
      <c r="L7836">
        <v>-60.858029999999999</v>
      </c>
      <c r="M7836">
        <v>0.96332569999999995</v>
      </c>
      <c r="N7836">
        <v>0</v>
      </c>
      <c r="O7836">
        <v>0.26796579999999998</v>
      </c>
      <c r="P7836">
        <v>0.94356490000000004</v>
      </c>
      <c r="Q7836">
        <v>4.3667350000000001E-2</v>
      </c>
      <c r="R7836">
        <v>0.32829639999999999</v>
      </c>
      <c r="S7836">
        <v>2.6119539999999999</v>
      </c>
      <c r="T7836">
        <v>-0.16342329999999999</v>
      </c>
      <c r="U7836">
        <v>1.6583859999999999</v>
      </c>
      <c r="V7836">
        <v>-6.3955999999999999E-2</v>
      </c>
      <c r="W7836">
        <v>5.7089559999999998E-2</v>
      </c>
      <c r="X7836">
        <v>0.99631840000000005</v>
      </c>
      <c r="Y7836">
        <v>-0.29012310000000002</v>
      </c>
      <c r="Z7836">
        <v>-6.6064299999999999E-3</v>
      </c>
      <c r="AA7836">
        <v>0.95696650000000005</v>
      </c>
      <c r="AB7836">
        <v>24</v>
      </c>
      <c r="AC7836">
        <v>17.714700000000001</v>
      </c>
      <c r="AD7836">
        <v>-1.1142028454970001</v>
      </c>
      <c r="AE7836">
        <v>11.27826</v>
      </c>
      <c r="AF7836">
        <v>-6.1011346965343103</v>
      </c>
      <c r="AG7836">
        <v>-1.1142028454970001</v>
      </c>
      <c r="AH7836">
        <v>20.0328093145514</v>
      </c>
      <c r="AI7836">
        <v>93.045610205691204</v>
      </c>
      <c r="AJ7836">
        <v>106.938487452126</v>
      </c>
      <c r="AK7836">
        <v>20.9709022600208</v>
      </c>
      <c r="AL7836">
        <v>86.727229639699999</v>
      </c>
      <c r="AM7836">
        <v>93.672910213180401</v>
      </c>
      <c r="AN7836">
        <v>0.99999997098777604</v>
      </c>
    </row>
    <row r="7837" spans="1:40" x14ac:dyDescent="0.25">
      <c r="A7837" t="str">
        <f>"20190312160520874"</f>
        <v>20190312160520874</v>
      </c>
      <c r="B7837" t="str">
        <f>"1552377920862399"</f>
        <v>1552377920862399</v>
      </c>
      <c r="C7837" t="s">
        <v>40</v>
      </c>
      <c r="D7837">
        <v>5.5249709999999999</v>
      </c>
      <c r="E7837">
        <v>0.41027239999999998</v>
      </c>
      <c r="F7837" t="s">
        <v>81</v>
      </c>
      <c r="G7837">
        <v>-184.53980000000001</v>
      </c>
      <c r="H7837" s="1">
        <v>-2.8854590000000001E-6</v>
      </c>
      <c r="I7837">
        <v>-49.4437</v>
      </c>
      <c r="J7837">
        <v>-202.3466</v>
      </c>
      <c r="K7837">
        <v>1.1142529999999999</v>
      </c>
      <c r="L7837">
        <v>-60.830260000000003</v>
      </c>
      <c r="M7837">
        <v>0.96269740000000004</v>
      </c>
      <c r="N7837">
        <v>0</v>
      </c>
      <c r="O7837">
        <v>0.27021469999999997</v>
      </c>
      <c r="P7837">
        <v>0.94257120000000005</v>
      </c>
      <c r="Q7837">
        <v>4.4018000000000002E-2</v>
      </c>
      <c r="R7837">
        <v>0.33109240000000001</v>
      </c>
      <c r="S7837">
        <v>2.6081850000000002</v>
      </c>
      <c r="T7837">
        <v>-0.16237379999999901</v>
      </c>
      <c r="U7837">
        <v>1.663422</v>
      </c>
      <c r="V7837">
        <v>-6.4598470000000005E-2</v>
      </c>
      <c r="W7837">
        <v>5.7431379999999997E-2</v>
      </c>
      <c r="X7837">
        <v>0.99625730000000001</v>
      </c>
      <c r="Y7837">
        <v>-0.28983189999999998</v>
      </c>
      <c r="Z7837">
        <v>-6.6957769999999896E-3</v>
      </c>
      <c r="AA7837">
        <v>0.95705410000000002</v>
      </c>
      <c r="AB7837">
        <v>24</v>
      </c>
      <c r="AC7837">
        <v>17.8067999999999</v>
      </c>
      <c r="AD7837">
        <v>-1.1142558854589999</v>
      </c>
      <c r="AE7837">
        <v>11.3865599999999</v>
      </c>
      <c r="AF7837">
        <v>-6.1337139299369001</v>
      </c>
      <c r="AG7837">
        <v>-1.1142558854589999</v>
      </c>
      <c r="AH7837">
        <v>20.165331868843801</v>
      </c>
      <c r="AI7837">
        <v>93.026100792284396</v>
      </c>
      <c r="AJ7837">
        <v>106.918252513762</v>
      </c>
      <c r="AK7837">
        <v>21.106980412488898</v>
      </c>
      <c r="AL7837">
        <v>86.707612595590305</v>
      </c>
      <c r="AM7837">
        <v>93.709930792922506</v>
      </c>
      <c r="AN7837">
        <v>0.99999996676916703</v>
      </c>
    </row>
    <row r="7838" spans="1:40" x14ac:dyDescent="0.25">
      <c r="A7838" t="str">
        <f>"20190312160520884"</f>
        <v>20190312160520884</v>
      </c>
      <c r="B7838" t="str">
        <f>"1552377920873134"</f>
        <v>1552377920873134</v>
      </c>
      <c r="C7838" t="s">
        <v>40</v>
      </c>
      <c r="D7838">
        <v>5.5071729999999999</v>
      </c>
      <c r="E7838">
        <v>0.41058309999999998</v>
      </c>
      <c r="F7838" t="s">
        <v>81</v>
      </c>
      <c r="G7838">
        <v>-184.38390000000001</v>
      </c>
      <c r="H7838" s="1">
        <v>-2.9269860000000001E-6</v>
      </c>
      <c r="I7838">
        <v>-49.315010000000001</v>
      </c>
      <c r="J7838">
        <v>-202.23320000000001</v>
      </c>
      <c r="K7838">
        <v>1.1143209999999999</v>
      </c>
      <c r="L7838">
        <v>-60.795259999999999</v>
      </c>
      <c r="M7838">
        <v>0.9618951</v>
      </c>
      <c r="N7838">
        <v>0</v>
      </c>
      <c r="O7838">
        <v>0.27305639999999998</v>
      </c>
      <c r="P7838">
        <v>0.94143460000000001</v>
      </c>
      <c r="Q7838">
        <v>4.4648359999999998E-2</v>
      </c>
      <c r="R7838">
        <v>0.33422729999999901</v>
      </c>
      <c r="S7838">
        <v>2.603958</v>
      </c>
      <c r="T7838">
        <v>-0.16152830000000001</v>
      </c>
      <c r="U7838">
        <v>1.6693119999999999</v>
      </c>
      <c r="V7838">
        <v>-6.4995150000000002E-2</v>
      </c>
      <c r="W7838">
        <v>5.8054040000000001E-2</v>
      </c>
      <c r="X7838">
        <v>0.99619539999999995</v>
      </c>
      <c r="Y7838">
        <v>-0.28925000000000001</v>
      </c>
      <c r="Z7838">
        <v>-6.8318869999999896E-3</v>
      </c>
      <c r="AA7838">
        <v>0.9572292</v>
      </c>
      <c r="AB7838">
        <v>24</v>
      </c>
      <c r="AC7838">
        <v>17.849299999999999</v>
      </c>
      <c r="AD7838">
        <v>-1.1143239269859999</v>
      </c>
      <c r="AE7838">
        <v>11.4802499999999</v>
      </c>
      <c r="AF7838">
        <v>-6.1525790730472298</v>
      </c>
      <c r="AG7838">
        <v>-1.1143239269859999</v>
      </c>
      <c r="AH7838">
        <v>20.250091806079801</v>
      </c>
      <c r="AI7838">
        <v>93.013927566297298</v>
      </c>
      <c r="AJ7838">
        <v>106.900338741158</v>
      </c>
      <c r="AK7838">
        <v>21.193446279900101</v>
      </c>
      <c r="AL7838">
        <v>86.6718771500136</v>
      </c>
      <c r="AM7838">
        <v>93.7328794442586</v>
      </c>
      <c r="AN7838">
        <v>0.99999995803250097</v>
      </c>
    </row>
    <row r="7839" spans="1:40" x14ac:dyDescent="0.25">
      <c r="A7839" t="str">
        <f>"20190312160520894"</f>
        <v>20190312160520894</v>
      </c>
      <c r="B7839" t="str">
        <f>"1552377920882894"</f>
        <v>1552377920882894</v>
      </c>
      <c r="C7839" t="s">
        <v>40</v>
      </c>
      <c r="D7839">
        <v>5.3716309999999998</v>
      </c>
      <c r="E7839">
        <v>0.41058309999999998</v>
      </c>
      <c r="F7839" t="s">
        <v>81</v>
      </c>
      <c r="G7839">
        <v>-184.03190000000001</v>
      </c>
      <c r="H7839" s="1">
        <v>-2.9991249999999999E-6</v>
      </c>
      <c r="I7839">
        <v>-49.060879999999997</v>
      </c>
      <c r="J7839">
        <v>-202.13399999999999</v>
      </c>
      <c r="K7839">
        <v>1.114384</v>
      </c>
      <c r="L7839">
        <v>-60.764130000000002</v>
      </c>
      <c r="M7839">
        <v>0.96116690000000005</v>
      </c>
      <c r="N7839">
        <v>0</v>
      </c>
      <c r="O7839">
        <v>0.27560849999999998</v>
      </c>
      <c r="P7839">
        <v>0.94039910000000004</v>
      </c>
      <c r="Q7839">
        <v>4.5114920000000003E-2</v>
      </c>
      <c r="R7839">
        <v>0.33706750000000002</v>
      </c>
      <c r="S7839">
        <v>2.5992280000000001</v>
      </c>
      <c r="T7839">
        <v>-0.159130299999999</v>
      </c>
      <c r="U7839">
        <v>1.6757200000000001</v>
      </c>
      <c r="V7839">
        <v>-6.5377210000000005E-2</v>
      </c>
      <c r="W7839">
        <v>5.8513889999999999E-2</v>
      </c>
      <c r="X7839">
        <v>0.99614349999999996</v>
      </c>
      <c r="Y7839">
        <v>-0.28917340000000002</v>
      </c>
      <c r="Z7839">
        <v>-6.8705160000000001E-3</v>
      </c>
      <c r="AA7839">
        <v>0.95725210000000005</v>
      </c>
      <c r="AB7839">
        <v>24</v>
      </c>
      <c r="AC7839">
        <v>18.1021</v>
      </c>
      <c r="AD7839">
        <v>-1.1143869991249999</v>
      </c>
      <c r="AE7839">
        <v>11.703250000000001</v>
      </c>
      <c r="AF7839">
        <v>-6.2436170658849601</v>
      </c>
      <c r="AG7839">
        <v>-1.1143869991249999</v>
      </c>
      <c r="AH7839">
        <v>20.571716894344402</v>
      </c>
      <c r="AI7839">
        <v>92.967326753065294</v>
      </c>
      <c r="AJ7839">
        <v>106.883301368594</v>
      </c>
      <c r="AK7839">
        <v>21.527195554235199</v>
      </c>
      <c r="AL7839">
        <v>86.645484837884197</v>
      </c>
      <c r="AM7839">
        <v>93.754954852418095</v>
      </c>
      <c r="AN7839">
        <v>0.99999996375128197</v>
      </c>
    </row>
    <row r="7840" spans="1:40" x14ac:dyDescent="0.25">
      <c r="A7840" t="str">
        <f>"20190312160520918"</f>
        <v>20190312160520918</v>
      </c>
      <c r="B7840" t="str">
        <f>"1552377920913151"</f>
        <v>1552377920913151</v>
      </c>
      <c r="C7840" t="s">
        <v>40</v>
      </c>
      <c r="D7840">
        <v>5.3880319999999999</v>
      </c>
      <c r="E7840">
        <v>0.41905219999999999</v>
      </c>
      <c r="F7840" t="s">
        <v>81</v>
      </c>
      <c r="G7840">
        <v>-183.8039</v>
      </c>
      <c r="H7840" s="1">
        <v>-3.0616949999999999E-6</v>
      </c>
      <c r="I7840">
        <v>-48.869529999999997</v>
      </c>
      <c r="J7840">
        <v>-201.8973</v>
      </c>
      <c r="K7840">
        <v>1.1145320000000001</v>
      </c>
      <c r="L7840">
        <v>-60.688690000000001</v>
      </c>
      <c r="M7840">
        <v>0.95935669999999995</v>
      </c>
      <c r="N7840">
        <v>0</v>
      </c>
      <c r="O7840">
        <v>0.28184419999999999</v>
      </c>
      <c r="P7840">
        <v>0.93781440000000005</v>
      </c>
      <c r="Q7840">
        <v>4.6192490000000003E-2</v>
      </c>
      <c r="R7840">
        <v>0.34405029999999998</v>
      </c>
      <c r="S7840">
        <v>2.5942989999999999</v>
      </c>
      <c r="T7840">
        <v>-0.1577219</v>
      </c>
      <c r="U7840">
        <v>1.6834720000000001</v>
      </c>
      <c r="V7840">
        <v>-6.6361959999999998E-2</v>
      </c>
      <c r="W7840">
        <v>5.9574429999999998E-2</v>
      </c>
      <c r="X7840">
        <v>0.99601550000000005</v>
      </c>
      <c r="Y7840">
        <v>-0.28581050000000002</v>
      </c>
      <c r="Z7840">
        <v>-7.2287569999999997E-3</v>
      </c>
      <c r="AA7840">
        <v>0.95825890000000002</v>
      </c>
      <c r="AB7840">
        <v>24</v>
      </c>
      <c r="AC7840">
        <v>18.093399999999999</v>
      </c>
      <c r="AD7840">
        <v>-1.1145350616949901</v>
      </c>
      <c r="AE7840">
        <v>11.81916</v>
      </c>
      <c r="AF7840">
        <v>-6.2233386382508202</v>
      </c>
      <c r="AG7840">
        <v>-1.1145350616949901</v>
      </c>
      <c r="AH7840">
        <v>20.6363568025664</v>
      </c>
      <c r="AI7840">
        <v>92.960023872691295</v>
      </c>
      <c r="AJ7840">
        <v>106.781818236481</v>
      </c>
      <c r="AK7840">
        <v>21.583126610686499</v>
      </c>
      <c r="AL7840">
        <v>86.584614120823304</v>
      </c>
      <c r="AM7840">
        <v>93.811837080984901</v>
      </c>
      <c r="AN7840">
        <v>0.99999994934255698</v>
      </c>
    </row>
    <row r="7841" spans="1:40" x14ac:dyDescent="0.25">
      <c r="A7841" t="str">
        <f>"20190312160520928"</f>
        <v>20190312160520928</v>
      </c>
      <c r="B7841" t="str">
        <f>"1552377920922910"</f>
        <v>1552377920922910</v>
      </c>
      <c r="C7841" t="s">
        <v>40</v>
      </c>
      <c r="D7841">
        <v>5.5044529999999998</v>
      </c>
      <c r="E7841">
        <v>0.41913990000000001</v>
      </c>
      <c r="F7841" t="s">
        <v>81</v>
      </c>
      <c r="G7841">
        <v>-188.02029999999999</v>
      </c>
      <c r="H7841" s="1">
        <v>-1.070127E-5</v>
      </c>
      <c r="I7841">
        <v>-51.962470000000003</v>
      </c>
      <c r="J7841">
        <v>-201.78819999999999</v>
      </c>
      <c r="K7841">
        <v>1.1146049999999901</v>
      </c>
      <c r="L7841">
        <v>-60.653410000000001</v>
      </c>
      <c r="M7841">
        <v>0.95848880000000003</v>
      </c>
      <c r="N7841">
        <v>0</v>
      </c>
      <c r="O7841">
        <v>0.28478109999999901</v>
      </c>
      <c r="P7841">
        <v>0.93647950000000002</v>
      </c>
      <c r="Q7841">
        <v>4.6600129999999997E-2</v>
      </c>
      <c r="R7841">
        <v>0.34761300000000001</v>
      </c>
      <c r="S7841">
        <v>2.607666</v>
      </c>
      <c r="T7841">
        <v>-0.20943709999999999</v>
      </c>
      <c r="U7841">
        <v>1.6397710000000001</v>
      </c>
      <c r="V7841">
        <v>-6.7118349999999993E-2</v>
      </c>
      <c r="W7841">
        <v>5.9969969999999997E-2</v>
      </c>
      <c r="X7841">
        <v>0.99594110000000002</v>
      </c>
      <c r="Y7841">
        <v>-0.2691981</v>
      </c>
      <c r="Z7841">
        <v>-1.0414110000000001E-2</v>
      </c>
      <c r="AA7841">
        <v>0.96302849999999995</v>
      </c>
      <c r="AB7841">
        <v>24</v>
      </c>
      <c r="AC7841">
        <v>13.7678999999999</v>
      </c>
      <c r="AD7841">
        <v>-1.11461570126999</v>
      </c>
      <c r="AE7841">
        <v>8.6909399999999906</v>
      </c>
      <c r="AF7841">
        <v>-4.38919904818815</v>
      </c>
      <c r="AG7841">
        <v>-1.11461570126999</v>
      </c>
      <c r="AH7841">
        <v>15.5998417602448</v>
      </c>
      <c r="AI7841">
        <v>93.934597826451295</v>
      </c>
      <c r="AJ7841">
        <v>105.71457203543</v>
      </c>
      <c r="AK7841">
        <v>16.243844969428</v>
      </c>
      <c r="AL7841">
        <v>86.561910833767101</v>
      </c>
      <c r="AM7841">
        <v>93.855441037602503</v>
      </c>
      <c r="AN7841">
        <v>0.99999997243886596</v>
      </c>
    </row>
    <row r="7842" spans="1:40" x14ac:dyDescent="0.25">
      <c r="A7842" t="str">
        <f>"20190312160520950"</f>
        <v>20190312160520950</v>
      </c>
      <c r="B7842" t="str">
        <f>"1552377920942430"</f>
        <v>1552377920942430</v>
      </c>
      <c r="C7842" t="s">
        <v>40</v>
      </c>
      <c r="D7842">
        <v>5.4257739999999997</v>
      </c>
      <c r="E7842">
        <v>0.4185413</v>
      </c>
      <c r="F7842" t="s">
        <v>81</v>
      </c>
      <c r="G7842">
        <v>-187.01130000000001</v>
      </c>
      <c r="H7842" s="1">
        <v>-1.065945E-5</v>
      </c>
      <c r="I7842">
        <v>-51.285960000000003</v>
      </c>
      <c r="J7842">
        <v>-201.56700000000001</v>
      </c>
      <c r="K7842">
        <v>1.1147579999999999</v>
      </c>
      <c r="L7842">
        <v>-60.580170000000003</v>
      </c>
      <c r="M7842">
        <v>0.95663339999999997</v>
      </c>
      <c r="N7842">
        <v>0</v>
      </c>
      <c r="O7842">
        <v>0.29095169999999998</v>
      </c>
      <c r="P7842">
        <v>0.93366800000000005</v>
      </c>
      <c r="Q7842">
        <v>4.686916E-2</v>
      </c>
      <c r="R7842">
        <v>0.35505949999999997</v>
      </c>
      <c r="S7842">
        <v>2.601181</v>
      </c>
      <c r="T7842">
        <v>-0.1962063</v>
      </c>
      <c r="U7842">
        <v>1.6489560000000001</v>
      </c>
      <c r="V7842">
        <v>-6.8661130000000001E-2</v>
      </c>
      <c r="W7842">
        <v>6.0216039999999998E-2</v>
      </c>
      <c r="X7842">
        <v>0.99582110000000001</v>
      </c>
      <c r="Y7842">
        <v>-0.26651589999999997</v>
      </c>
      <c r="Z7842">
        <v>-1.025471E-2</v>
      </c>
      <c r="AA7842">
        <v>0.96377599999999997</v>
      </c>
      <c r="AB7842">
        <v>24</v>
      </c>
      <c r="AC7842">
        <v>14.5557</v>
      </c>
      <c r="AD7842">
        <v>-1.1147686594499999</v>
      </c>
      <c r="AE7842">
        <v>9.2942099999999996</v>
      </c>
      <c r="AF7842">
        <v>-4.6372889116528402</v>
      </c>
      <c r="AG7842">
        <v>-1.1147686594499999</v>
      </c>
      <c r="AH7842">
        <v>16.5612899020689</v>
      </c>
      <c r="AI7842">
        <v>93.708645275150005</v>
      </c>
      <c r="AJ7842">
        <v>105.642656256767</v>
      </c>
      <c r="AK7842">
        <v>17.234369174257498</v>
      </c>
      <c r="AL7842">
        <v>86.547786605314002</v>
      </c>
      <c r="AM7842">
        <v>93.944259284130695</v>
      </c>
      <c r="AN7842">
        <v>0.99999999272568396</v>
      </c>
    </row>
    <row r="7843" spans="1:40" x14ac:dyDescent="0.25">
      <c r="A7843" t="str">
        <f>"20190312160520959"</f>
        <v>20190312160520959</v>
      </c>
      <c r="B7843" t="str">
        <f>"1552377920953166"</f>
        <v>1552377920953166</v>
      </c>
      <c r="C7843" t="s">
        <v>40</v>
      </c>
      <c r="D7843">
        <v>5.5026159999999997</v>
      </c>
      <c r="E7843">
        <v>0.41845009999999999</v>
      </c>
      <c r="F7843" t="s">
        <v>81</v>
      </c>
      <c r="G7843">
        <v>-185.6352</v>
      </c>
      <c r="H7843" s="1">
        <v>-2.642358E-6</v>
      </c>
      <c r="I7843">
        <v>-50.265909999999998</v>
      </c>
      <c r="J7843">
        <v>-201.4564</v>
      </c>
      <c r="K7843">
        <v>1.114833</v>
      </c>
      <c r="L7843">
        <v>-60.542819999999899</v>
      </c>
      <c r="M7843">
        <v>0.95566410000000002</v>
      </c>
      <c r="N7843">
        <v>0</v>
      </c>
      <c r="O7843">
        <v>0.29411959999999998</v>
      </c>
      <c r="P7843">
        <v>0.93218480000000004</v>
      </c>
      <c r="Q7843">
        <v>4.7058839999999998E-2</v>
      </c>
      <c r="R7843">
        <v>0.35891119999999999</v>
      </c>
      <c r="S7843">
        <v>2.5856479999999999</v>
      </c>
      <c r="T7843">
        <v>-0.18091979999999999</v>
      </c>
      <c r="U7843">
        <v>1.67395</v>
      </c>
      <c r="V7843">
        <v>-6.9488510000000003E-2</v>
      </c>
      <c r="W7843">
        <v>6.0393580000000002E-2</v>
      </c>
      <c r="X7843">
        <v>0.995753</v>
      </c>
      <c r="Y7843">
        <v>-0.27251500000000001</v>
      </c>
      <c r="Z7843">
        <v>-9.471709E-3</v>
      </c>
      <c r="AA7843">
        <v>0.96210490000000004</v>
      </c>
      <c r="AB7843">
        <v>24</v>
      </c>
      <c r="AC7843">
        <v>15.821199999999999</v>
      </c>
      <c r="AD7843">
        <v>-1.1148356423579999</v>
      </c>
      <c r="AE7843">
        <v>10.2769099999999</v>
      </c>
      <c r="AF7843">
        <v>-5.15048024977611</v>
      </c>
      <c r="AG7843">
        <v>-1.1148356423579999</v>
      </c>
      <c r="AH7843">
        <v>18.081068670192298</v>
      </c>
      <c r="AI7843">
        <v>93.393592457741306</v>
      </c>
      <c r="AJ7843">
        <v>105.89986034161799</v>
      </c>
      <c r="AK7843">
        <v>18.833357363173899</v>
      </c>
      <c r="AL7843">
        <v>86.537595919703705</v>
      </c>
      <c r="AM7843">
        <v>93.991907754945004</v>
      </c>
      <c r="AN7843">
        <v>1.0000000372681099</v>
      </c>
    </row>
    <row r="7844" spans="1:40" x14ac:dyDescent="0.25">
      <c r="A7844" t="str">
        <f>"20190312160520972"</f>
        <v>20190312160520972</v>
      </c>
      <c r="B7844" t="str">
        <f>"1552377920962927"</f>
        <v>1552377920962927</v>
      </c>
      <c r="C7844" t="s">
        <v>40</v>
      </c>
      <c r="D7844">
        <v>5.5045099999999998</v>
      </c>
      <c r="E7844">
        <v>0.41843540000000001</v>
      </c>
      <c r="F7844" t="s">
        <v>81</v>
      </c>
      <c r="G7844">
        <v>-184.62200000000001</v>
      </c>
      <c r="H7844" s="1">
        <v>-2.8473499999999999E-6</v>
      </c>
      <c r="I7844">
        <v>-49.538989999999998</v>
      </c>
      <c r="J7844">
        <v>-201.34030000000001</v>
      </c>
      <c r="K7844">
        <v>1.1149100000000001</v>
      </c>
      <c r="L7844">
        <v>-60.503169999999997</v>
      </c>
      <c r="M7844">
        <v>0.95461989999999997</v>
      </c>
      <c r="N7844">
        <v>0</v>
      </c>
      <c r="O7844">
        <v>0.2974907</v>
      </c>
      <c r="P7844">
        <v>0.930562</v>
      </c>
      <c r="Q7844">
        <v>4.7434780000000003E-2</v>
      </c>
      <c r="R7844">
        <v>0.3630487</v>
      </c>
      <c r="S7844">
        <v>2.578049</v>
      </c>
      <c r="T7844">
        <v>-0.170728399999999</v>
      </c>
      <c r="U7844">
        <v>1.6851499999999999</v>
      </c>
      <c r="V7844">
        <v>-7.0418980000000006E-2</v>
      </c>
      <c r="W7844">
        <v>6.0756259999999999E-2</v>
      </c>
      <c r="X7844">
        <v>0.99566560000000004</v>
      </c>
      <c r="Y7844">
        <v>-0.2733468</v>
      </c>
      <c r="Z7844">
        <v>-9.1112699999999994E-3</v>
      </c>
      <c r="AA7844">
        <v>0.96187239999999996</v>
      </c>
      <c r="AB7844">
        <v>24</v>
      </c>
      <c r="AC7844">
        <v>16.718299999999999</v>
      </c>
      <c r="AD7844">
        <v>-1.1149128473500001</v>
      </c>
      <c r="AE7844">
        <v>10.964179999999899</v>
      </c>
      <c r="AF7844">
        <v>-5.4766042825127101</v>
      </c>
      <c r="AG7844">
        <v>-1.1149128473500001</v>
      </c>
      <c r="AH7844">
        <v>19.1636919978938</v>
      </c>
      <c r="AI7844">
        <v>93.201728704824802</v>
      </c>
      <c r="AJ7844">
        <v>105.948888945249</v>
      </c>
      <c r="AK7844">
        <v>19.962046891903601</v>
      </c>
      <c r="AL7844">
        <v>86.516777776712004</v>
      </c>
      <c r="AM7844">
        <v>94.045538107768195</v>
      </c>
      <c r="AN7844">
        <v>1.0000000714483901</v>
      </c>
    </row>
    <row r="7845" spans="1:40" x14ac:dyDescent="0.25">
      <c r="A7845" t="str">
        <f>"20190312160520983"</f>
        <v>20190312160520983</v>
      </c>
      <c r="B7845" t="str">
        <f>"1552377920972686"</f>
        <v>1552377920972686</v>
      </c>
      <c r="C7845" t="s">
        <v>40</v>
      </c>
      <c r="D7845">
        <v>5.4424419999999998</v>
      </c>
      <c r="E7845">
        <v>0.41850500000000002</v>
      </c>
      <c r="F7845" t="s">
        <v>81</v>
      </c>
      <c r="G7845">
        <v>-183.60830000000001</v>
      </c>
      <c r="H7845" s="1">
        <v>-3.0607580000000001E-6</v>
      </c>
      <c r="I7845">
        <v>-48.797629999999998</v>
      </c>
      <c r="J7845">
        <v>-201.22669999999999</v>
      </c>
      <c r="K7845">
        <v>1.114986</v>
      </c>
      <c r="L7845">
        <v>-60.463869999999901</v>
      </c>
      <c r="M7845">
        <v>0.95356640000000004</v>
      </c>
      <c r="N7845">
        <v>0</v>
      </c>
      <c r="O7845">
        <v>0.3008499</v>
      </c>
      <c r="P7845">
        <v>0.92892439999999998</v>
      </c>
      <c r="Q7845">
        <v>4.7533470000000001E-2</v>
      </c>
      <c r="R7845">
        <v>0.36720609999999998</v>
      </c>
      <c r="S7845">
        <v>2.57016</v>
      </c>
      <c r="T7845">
        <v>-0.16160050000000001</v>
      </c>
      <c r="U7845">
        <v>1.696655</v>
      </c>
      <c r="V7845">
        <v>-7.1379979999999996E-2</v>
      </c>
      <c r="W7845">
        <v>6.084051E-2</v>
      </c>
      <c r="X7845">
        <v>0.99559189999999997</v>
      </c>
      <c r="Y7845">
        <v>-0.27431620000000001</v>
      </c>
      <c r="Z7845">
        <v>-8.7838099999999995E-3</v>
      </c>
      <c r="AA7845">
        <v>0.96159950000000005</v>
      </c>
      <c r="AB7845">
        <v>24</v>
      </c>
      <c r="AC7845">
        <v>17.618399999999902</v>
      </c>
      <c r="AD7845">
        <v>-1.114989060758</v>
      </c>
      <c r="AE7845">
        <v>11.666239999999901</v>
      </c>
      <c r="AF7845">
        <v>-5.8084521474228499</v>
      </c>
      <c r="AG7845">
        <v>-1.114989060758</v>
      </c>
      <c r="AH7845">
        <v>20.2557399896254</v>
      </c>
      <c r="AI7845">
        <v>93.028870716517801</v>
      </c>
      <c r="AJ7845">
        <v>106.000554550513</v>
      </c>
      <c r="AK7845">
        <v>21.101571493180799</v>
      </c>
      <c r="AL7845">
        <v>86.511941237956094</v>
      </c>
      <c r="AM7845">
        <v>94.100862563771599</v>
      </c>
      <c r="AN7845">
        <v>0.99999995027373301</v>
      </c>
    </row>
    <row r="7846" spans="1:40" x14ac:dyDescent="0.25">
      <c r="A7846" t="str">
        <f>"20190312160520995"</f>
        <v>20190312160520995</v>
      </c>
      <c r="B7846" t="str">
        <f>"1552377920982446"</f>
        <v>1552377920982446</v>
      </c>
      <c r="C7846" t="s">
        <v>40</v>
      </c>
      <c r="D7846">
        <v>5.5327310000000001</v>
      </c>
      <c r="E7846">
        <v>0.41879820000000001</v>
      </c>
      <c r="F7846" t="s">
        <v>81</v>
      </c>
      <c r="G7846">
        <v>-182.77610000000001</v>
      </c>
      <c r="H7846" s="1">
        <v>-3.2481420000000002E-6</v>
      </c>
      <c r="I7846">
        <v>-48.168419999999998</v>
      </c>
      <c r="J7846">
        <v>-201.11330000000001</v>
      </c>
      <c r="K7846">
        <v>1.115062</v>
      </c>
      <c r="L7846">
        <v>-60.424069999999901</v>
      </c>
      <c r="M7846">
        <v>0.95247999999999999</v>
      </c>
      <c r="N7846">
        <v>0</v>
      </c>
      <c r="O7846">
        <v>0.30427140000000003</v>
      </c>
      <c r="P7846">
        <v>0.92730860000000004</v>
      </c>
      <c r="Q7846">
        <v>4.8051049999999998E-2</v>
      </c>
      <c r="R7846">
        <v>0.37120069999999999</v>
      </c>
      <c r="S7846">
        <v>2.5624389999999999</v>
      </c>
      <c r="T7846">
        <v>-0.1548514</v>
      </c>
      <c r="U7846">
        <v>1.707611</v>
      </c>
      <c r="V7846">
        <v>-7.2115470000000001E-2</v>
      </c>
      <c r="W7846">
        <v>6.1346909999999998E-2</v>
      </c>
      <c r="X7846">
        <v>0.9955079</v>
      </c>
      <c r="Y7846">
        <v>-0.27504820000000002</v>
      </c>
      <c r="Z7846">
        <v>-8.5795070000000001E-3</v>
      </c>
      <c r="AA7846">
        <v>0.96139220000000003</v>
      </c>
      <c r="AB7846">
        <v>24</v>
      </c>
      <c r="AC7846">
        <v>18.337199999999999</v>
      </c>
      <c r="AD7846">
        <v>-1.115065248142</v>
      </c>
      <c r="AE7846">
        <v>12.2556499999999</v>
      </c>
      <c r="AF7846">
        <v>-6.0788503237830902</v>
      </c>
      <c r="AG7846">
        <v>-1.115065248142</v>
      </c>
      <c r="AH7846">
        <v>21.142946819733499</v>
      </c>
      <c r="AI7846">
        <v>92.901611232310003</v>
      </c>
      <c r="AJ7846">
        <v>106.040576854432</v>
      </c>
      <c r="AK7846">
        <v>22.027709640102099</v>
      </c>
      <c r="AL7846">
        <v>86.482872640424603</v>
      </c>
      <c r="AM7846">
        <v>94.143319292673695</v>
      </c>
      <c r="AN7846">
        <v>1.0000000316711299</v>
      </c>
    </row>
    <row r="7847" spans="1:40" x14ac:dyDescent="0.25">
      <c r="A7847" t="str">
        <f>"20190312160521004"</f>
        <v>20190312160521004</v>
      </c>
      <c r="B7847" t="str">
        <f>"1552377920993182"</f>
        <v>1552377920993182</v>
      </c>
      <c r="C7847" t="s">
        <v>40</v>
      </c>
      <c r="D7847">
        <v>5.5240640000000001</v>
      </c>
      <c r="E7847">
        <v>0.41914449999999998</v>
      </c>
      <c r="F7847" t="s">
        <v>81</v>
      </c>
      <c r="G7847">
        <v>-182.29390000000001</v>
      </c>
      <c r="H7847" s="1">
        <v>-3.3674289999999999E-6</v>
      </c>
      <c r="I7847">
        <v>-47.785739999999997</v>
      </c>
      <c r="J7847">
        <v>-201.00569999999999</v>
      </c>
      <c r="K7847">
        <v>1.1151310000000001</v>
      </c>
      <c r="L7847">
        <v>-60.385959999999997</v>
      </c>
      <c r="M7847">
        <v>0.95142459999999995</v>
      </c>
      <c r="N7847">
        <v>0</v>
      </c>
      <c r="O7847">
        <v>0.30755539999999998</v>
      </c>
      <c r="P7847">
        <v>0.92567469999999996</v>
      </c>
      <c r="Q7847">
        <v>4.856829E-2</v>
      </c>
      <c r="R7847">
        <v>0.37518990000000002</v>
      </c>
      <c r="S7847">
        <v>2.555939</v>
      </c>
      <c r="T7847">
        <v>-0.151441299999999</v>
      </c>
      <c r="U7847">
        <v>1.716461</v>
      </c>
      <c r="V7847">
        <v>-7.2992790000000002E-2</v>
      </c>
      <c r="W7847">
        <v>6.1850919999999997E-2</v>
      </c>
      <c r="X7847">
        <v>0.99541279999999999</v>
      </c>
      <c r="Y7847">
        <v>-0.27515919999999999</v>
      </c>
      <c r="Z7847">
        <v>-8.5580869999999903E-3</v>
      </c>
      <c r="AA7847">
        <v>0.96136060000000001</v>
      </c>
      <c r="AB7847">
        <v>24</v>
      </c>
      <c r="AC7847">
        <v>18.711799999999901</v>
      </c>
      <c r="AD7847">
        <v>-1.115134367429</v>
      </c>
      <c r="AE7847">
        <v>12.600219999999901</v>
      </c>
      <c r="AF7847">
        <v>-6.2186746264507304</v>
      </c>
      <c r="AG7847">
        <v>-1.115134367429</v>
      </c>
      <c r="AH7847">
        <v>21.627462314536601</v>
      </c>
      <c r="AI7847">
        <v>92.836871890611405</v>
      </c>
      <c r="AJ7847">
        <v>106.0418499843</v>
      </c>
      <c r="AK7847">
        <v>22.531368465625501</v>
      </c>
      <c r="AL7847">
        <v>86.453940163157398</v>
      </c>
      <c r="AM7847">
        <v>94.193945269145999</v>
      </c>
      <c r="AN7847">
        <v>1.0000000630503301</v>
      </c>
    </row>
    <row r="7848" spans="1:40" x14ac:dyDescent="0.25">
      <c r="A7848" t="str">
        <f>"20190312160521018"</f>
        <v>20190312160521018</v>
      </c>
      <c r="B7848" t="str">
        <f>"1552377921012703"</f>
        <v>1552377921012703</v>
      </c>
      <c r="C7848" t="s">
        <v>40</v>
      </c>
      <c r="D7848">
        <v>5.5786720000000001</v>
      </c>
      <c r="E7848">
        <v>0.42029519999999998</v>
      </c>
      <c r="F7848" t="s">
        <v>81</v>
      </c>
      <c r="G7848">
        <v>-181.8295</v>
      </c>
      <c r="H7848" s="1">
        <v>-3.484913E-6</v>
      </c>
      <c r="I7848">
        <v>-47.412790000000001</v>
      </c>
      <c r="J7848">
        <v>-200.88910000000001</v>
      </c>
      <c r="K7848">
        <v>1.1152089999999999</v>
      </c>
      <c r="L7848">
        <v>-60.343870000000003</v>
      </c>
      <c r="M7848">
        <v>0.95023480000000005</v>
      </c>
      <c r="N7848">
        <v>0</v>
      </c>
      <c r="O7848">
        <v>0.31121120000000002</v>
      </c>
      <c r="P7848">
        <v>0.92387779999999997</v>
      </c>
      <c r="Q7848">
        <v>4.9004949999999999E-2</v>
      </c>
      <c r="R7848">
        <v>0.37953730000000002</v>
      </c>
      <c r="S7848">
        <v>2.5495760000000001</v>
      </c>
      <c r="T7848">
        <v>-0.14826320000000001</v>
      </c>
      <c r="U7848">
        <v>1.7248540000000001</v>
      </c>
      <c r="V7848">
        <v>-7.3869379999999998E-2</v>
      </c>
      <c r="W7848">
        <v>6.2274019999999999E-2</v>
      </c>
      <c r="X7848">
        <v>0.99532169999999998</v>
      </c>
      <c r="Y7848">
        <v>-0.27474959999999998</v>
      </c>
      <c r="Z7848">
        <v>-8.5742530000000004E-3</v>
      </c>
      <c r="AA7848">
        <v>0.96147760000000004</v>
      </c>
      <c r="AB7848">
        <v>24</v>
      </c>
      <c r="AC7848">
        <v>19.0596</v>
      </c>
      <c r="AD7848">
        <v>-1.1152124849130001</v>
      </c>
      <c r="AE7848">
        <v>12.9310799999999</v>
      </c>
      <c r="AF7848">
        <v>-6.3417733029417498</v>
      </c>
      <c r="AG7848">
        <v>-1.1152124849130001</v>
      </c>
      <c r="AH7848">
        <v>22.085841978948501</v>
      </c>
      <c r="AI7848">
        <v>92.778571781977803</v>
      </c>
      <c r="AJ7848">
        <v>106.020996728254</v>
      </c>
      <c r="AK7848">
        <v>23.005351625904201</v>
      </c>
      <c r="AL7848">
        <v>86.429651318057196</v>
      </c>
      <c r="AM7848">
        <v>94.244515570462198</v>
      </c>
      <c r="AN7848">
        <v>1.0000000126797099</v>
      </c>
    </row>
    <row r="7849" spans="1:40" x14ac:dyDescent="0.25">
      <c r="A7849" t="str">
        <f>"20190312160521029"</f>
        <v>20190312160521029</v>
      </c>
      <c r="B7849" t="str">
        <f>"1552377921022462"</f>
        <v>1552377921022462</v>
      </c>
      <c r="C7849" t="s">
        <v>40</v>
      </c>
      <c r="D7849">
        <v>5.5501129999999996</v>
      </c>
      <c r="E7849">
        <v>0.42029519999999998</v>
      </c>
      <c r="F7849" t="s">
        <v>81</v>
      </c>
      <c r="G7849">
        <v>-181.85079999999999</v>
      </c>
      <c r="H7849" s="1">
        <v>-3.4878700000000001E-6</v>
      </c>
      <c r="I7849">
        <v>-47.415799999999997</v>
      </c>
      <c r="J7849">
        <v>-200.774</v>
      </c>
      <c r="K7849">
        <v>1.1152869999999999</v>
      </c>
      <c r="L7849">
        <v>-60.302059999999997</v>
      </c>
      <c r="M7849">
        <v>0.9490364</v>
      </c>
      <c r="N7849">
        <v>0</v>
      </c>
      <c r="O7849">
        <v>0.31484679999999998</v>
      </c>
      <c r="P7849">
        <v>0.92213520000000004</v>
      </c>
      <c r="Q7849">
        <v>4.928652E-2</v>
      </c>
      <c r="R7849">
        <v>0.38371559999999999</v>
      </c>
      <c r="S7849">
        <v>2.545105</v>
      </c>
      <c r="T7849">
        <v>-0.14908560000000001</v>
      </c>
      <c r="U7849">
        <v>1.7282709999999999</v>
      </c>
      <c r="V7849">
        <v>-7.4584750000000005E-2</v>
      </c>
      <c r="W7849">
        <v>6.2543860000000007E-2</v>
      </c>
      <c r="X7849">
        <v>0.99525140000000001</v>
      </c>
      <c r="Y7849">
        <v>-0.27274189999999998</v>
      </c>
      <c r="Z7849">
        <v>-8.8598619999999996E-3</v>
      </c>
      <c r="AA7849">
        <v>0.96204639999999997</v>
      </c>
      <c r="AB7849">
        <v>24</v>
      </c>
      <c r="AC7849">
        <v>18.923200000000001</v>
      </c>
      <c r="AD7849">
        <v>-1.1152904878700001</v>
      </c>
      <c r="AE7849">
        <v>12.88626</v>
      </c>
      <c r="AF7849">
        <v>-6.2574027098176002</v>
      </c>
      <c r="AG7849">
        <v>-1.1152904878700001</v>
      </c>
      <c r="AH7849">
        <v>21.966091786657401</v>
      </c>
      <c r="AI7849">
        <v>92.795569257823004</v>
      </c>
      <c r="AJ7849">
        <v>105.900474955817</v>
      </c>
      <c r="AK7849">
        <v>22.867185002204</v>
      </c>
      <c r="AL7849">
        <v>86.414160326111102</v>
      </c>
      <c r="AM7849">
        <v>94.285769721789805</v>
      </c>
      <c r="AN7849">
        <v>0.99999998427910997</v>
      </c>
    </row>
    <row r="7850" spans="1:40" x14ac:dyDescent="0.25">
      <c r="A7850" t="str">
        <f>"20190312160521039"</f>
        <v>20190312160521039</v>
      </c>
      <c r="B7850" t="str">
        <f>"1552377921033199"</f>
        <v>1552377921033199</v>
      </c>
      <c r="C7850" t="s">
        <v>40</v>
      </c>
      <c r="D7850">
        <v>5.517544</v>
      </c>
      <c r="E7850">
        <v>0.43211050000000001</v>
      </c>
      <c r="F7850" t="s">
        <v>81</v>
      </c>
      <c r="G7850">
        <v>-181.67840000000001</v>
      </c>
      <c r="H7850" s="1">
        <v>-3.5725979999999998E-6</v>
      </c>
      <c r="I7850">
        <v>-47.207880000000003</v>
      </c>
      <c r="J7850">
        <v>-200.66489999999999</v>
      </c>
      <c r="K7850">
        <v>1.115364</v>
      </c>
      <c r="L7850">
        <v>-60.261539999999997</v>
      </c>
      <c r="M7850">
        <v>0.94785010000000003</v>
      </c>
      <c r="N7850">
        <v>0</v>
      </c>
      <c r="O7850">
        <v>0.3183994</v>
      </c>
      <c r="P7850">
        <v>0.92026529999999995</v>
      </c>
      <c r="Q7850">
        <v>4.9396780000000001E-2</v>
      </c>
      <c r="R7850">
        <v>0.38816460000000003</v>
      </c>
      <c r="S7850">
        <v>2.5372620000000001</v>
      </c>
      <c r="T7850">
        <v>-0.14818979999999901</v>
      </c>
      <c r="U7850">
        <v>1.739838</v>
      </c>
      <c r="V7850">
        <v>-7.5679099999999999E-2</v>
      </c>
      <c r="W7850">
        <v>6.2638559999999996E-2</v>
      </c>
      <c r="X7850">
        <v>0.99516280000000001</v>
      </c>
      <c r="Y7850">
        <v>-0.27351049999999999</v>
      </c>
      <c r="Z7850">
        <v>-8.9669490000000001E-3</v>
      </c>
      <c r="AA7850">
        <v>0.96182719999999999</v>
      </c>
      <c r="AB7850">
        <v>24</v>
      </c>
      <c r="AC7850">
        <v>18.9864999999999</v>
      </c>
      <c r="AD7850">
        <v>-1.1153675725979999</v>
      </c>
      <c r="AE7850">
        <v>13.053660000000001</v>
      </c>
      <c r="AF7850">
        <v>-6.3134673431802097</v>
      </c>
      <c r="AG7850">
        <v>-1.1153675725979999</v>
      </c>
      <c r="AH7850">
        <v>22.1030762683456</v>
      </c>
      <c r="AI7850">
        <v>92.777898414368295</v>
      </c>
      <c r="AJ7850">
        <v>105.941328108349</v>
      </c>
      <c r="AK7850">
        <v>23.014123820812902</v>
      </c>
      <c r="AL7850">
        <v>86.408723657625401</v>
      </c>
      <c r="AM7850">
        <v>94.348799180057497</v>
      </c>
      <c r="AN7850">
        <v>0.99999995693975996</v>
      </c>
    </row>
    <row r="7851" spans="1:40" x14ac:dyDescent="0.25">
      <c r="A7851" t="str">
        <f>"20190312160521050"</f>
        <v>20190312160521050</v>
      </c>
      <c r="B7851" t="str">
        <f>"1552377921042958"</f>
        <v>1552377921042958</v>
      </c>
      <c r="C7851" t="s">
        <v>40</v>
      </c>
      <c r="D7851">
        <v>5.5669559999999896</v>
      </c>
      <c r="E7851">
        <v>0.43273319999999998</v>
      </c>
      <c r="F7851" t="s">
        <v>81</v>
      </c>
      <c r="G7851">
        <v>-189.49889999999999</v>
      </c>
      <c r="H7851" s="1">
        <v>-1.0713630000000001E-5</v>
      </c>
      <c r="I7851">
        <v>-53.026690000000002</v>
      </c>
      <c r="J7851">
        <v>-200.55619999999999</v>
      </c>
      <c r="K7851">
        <v>1.1154389999999901</v>
      </c>
      <c r="L7851">
        <v>-60.2209199999999</v>
      </c>
      <c r="M7851">
        <v>0.94664539999999997</v>
      </c>
      <c r="N7851">
        <v>0</v>
      </c>
      <c r="O7851">
        <v>0.3219631</v>
      </c>
      <c r="P7851">
        <v>0.91840299999999997</v>
      </c>
      <c r="Q7851">
        <v>4.9601480000000003E-2</v>
      </c>
      <c r="R7851">
        <v>0.39252480000000001</v>
      </c>
      <c r="S7851">
        <v>2.5710600000000001</v>
      </c>
      <c r="T7851">
        <v>-0.25682569999999999</v>
      </c>
      <c r="U7851">
        <v>1.66589399999999</v>
      </c>
      <c r="V7851">
        <v>-7.6672760000000006E-2</v>
      </c>
      <c r="W7851">
        <v>6.2828439999999999E-2</v>
      </c>
      <c r="X7851">
        <v>0.99507480000000004</v>
      </c>
      <c r="Y7851">
        <v>-0.24480969999999999</v>
      </c>
      <c r="Z7851">
        <v>-1.709546E-2</v>
      </c>
      <c r="AA7851">
        <v>0.96942039999999996</v>
      </c>
      <c r="AB7851">
        <v>24</v>
      </c>
      <c r="AC7851">
        <v>11.0572999999999</v>
      </c>
      <c r="AD7851">
        <v>-1.1154497136299999</v>
      </c>
      <c r="AE7851">
        <v>7.1942299999999904</v>
      </c>
      <c r="AF7851">
        <v>-3.2275939792915</v>
      </c>
      <c r="AG7851">
        <v>-1.1154497136299999</v>
      </c>
      <c r="AH7851">
        <v>12.6941500556688</v>
      </c>
      <c r="AI7851">
        <v>94.867651731398297</v>
      </c>
      <c r="AJ7851">
        <v>104.265647188644</v>
      </c>
      <c r="AK7851">
        <v>13.1454568804067</v>
      </c>
      <c r="AL7851">
        <v>86.397822987308402</v>
      </c>
      <c r="AM7851">
        <v>94.406063261825693</v>
      </c>
      <c r="AN7851">
        <v>0.99999999129694495</v>
      </c>
    </row>
    <row r="7852" spans="1:40" x14ac:dyDescent="0.25">
      <c r="A7852" t="str">
        <f>"20190312160521064"</f>
        <v>20190312160521064</v>
      </c>
      <c r="B7852" t="str">
        <f>"1552377921052719"</f>
        <v>1552377921052719</v>
      </c>
      <c r="C7852" t="s">
        <v>40</v>
      </c>
      <c r="D7852">
        <v>5.5727589999999996</v>
      </c>
      <c r="E7852">
        <v>0.43244270000000001</v>
      </c>
      <c r="F7852" t="s">
        <v>81</v>
      </c>
      <c r="G7852">
        <v>-189.53479999999999</v>
      </c>
      <c r="H7852" s="1">
        <v>-1.0707090000000001E-5</v>
      </c>
      <c r="I7852">
        <v>-53.03116</v>
      </c>
      <c r="J7852">
        <v>-200.41489999999999</v>
      </c>
      <c r="K7852">
        <v>1.1155389999999901</v>
      </c>
      <c r="L7852">
        <v>-60.167209999999997</v>
      </c>
      <c r="M7852">
        <v>0.94502419999999998</v>
      </c>
      <c r="N7852">
        <v>0</v>
      </c>
      <c r="O7852">
        <v>0.32669029999999999</v>
      </c>
      <c r="P7852">
        <v>0.91612079999999996</v>
      </c>
      <c r="Q7852">
        <v>4.952604E-2</v>
      </c>
      <c r="R7852">
        <v>0.39783190000000002</v>
      </c>
      <c r="S7852">
        <v>2.5653079999999999</v>
      </c>
      <c r="T7852">
        <v>-0.25962809999999997</v>
      </c>
      <c r="U7852">
        <v>1.673462</v>
      </c>
      <c r="V7852">
        <v>-7.7469830000000003E-2</v>
      </c>
      <c r="W7852">
        <v>6.2740879999999999E-2</v>
      </c>
      <c r="X7852">
        <v>0.99501859999999998</v>
      </c>
      <c r="Y7852">
        <v>-0.24298980000000001</v>
      </c>
      <c r="Z7852">
        <v>-1.7778249999999999E-2</v>
      </c>
      <c r="AA7852">
        <v>0.96986589999999995</v>
      </c>
      <c r="AB7852">
        <v>24</v>
      </c>
      <c r="AC7852">
        <v>10.880100000000001</v>
      </c>
      <c r="AD7852">
        <v>-1.11554970708999</v>
      </c>
      <c r="AE7852">
        <v>7.1360499999999902</v>
      </c>
      <c r="AF7852">
        <v>-3.1663654965051999</v>
      </c>
      <c r="AG7852">
        <v>-1.11554970708999</v>
      </c>
      <c r="AH7852">
        <v>12.5224673548715</v>
      </c>
      <c r="AI7852">
        <v>94.936142204132807</v>
      </c>
      <c r="AJ7852">
        <v>104.190084031046</v>
      </c>
      <c r="AK7852">
        <v>12.9646639084964</v>
      </c>
      <c r="AL7852">
        <v>86.402849766896594</v>
      </c>
      <c r="AM7852">
        <v>94.451934795956703</v>
      </c>
      <c r="AN7852">
        <v>1.0000000034646801</v>
      </c>
    </row>
    <row r="7853" spans="1:40" x14ac:dyDescent="0.25">
      <c r="A7853" t="str">
        <f>"20190312160521073"</f>
        <v>20190312160521073</v>
      </c>
      <c r="B7853" t="str">
        <f>"1552377921062478"</f>
        <v>1552377921062478</v>
      </c>
      <c r="C7853" t="s">
        <v>40</v>
      </c>
      <c r="D7853">
        <v>5.566389</v>
      </c>
      <c r="E7853">
        <v>0.4326526</v>
      </c>
      <c r="F7853" t="s">
        <v>81</v>
      </c>
      <c r="G7853">
        <v>-189.41470000000001</v>
      </c>
      <c r="H7853" s="1">
        <v>-1.068965E-5</v>
      </c>
      <c r="I7853">
        <v>-52.888100000000001</v>
      </c>
      <c r="J7853">
        <v>-200.33099999999999</v>
      </c>
      <c r="K7853">
        <v>1.1155949999999999</v>
      </c>
      <c r="L7853">
        <v>-60.134770000000003</v>
      </c>
      <c r="M7853">
        <v>0.94402900000000001</v>
      </c>
      <c r="N7853">
        <v>0</v>
      </c>
      <c r="O7853">
        <v>0.32955430000000002</v>
      </c>
      <c r="P7853">
        <v>0.91446070000000002</v>
      </c>
      <c r="Q7853">
        <v>4.9858050000000001E-2</v>
      </c>
      <c r="R7853">
        <v>0.40159129999999998</v>
      </c>
      <c r="S7853">
        <v>2.5545810000000002</v>
      </c>
      <c r="T7853">
        <v>-0.25906449999999998</v>
      </c>
      <c r="U7853">
        <v>1.6904300000000001</v>
      </c>
      <c r="V7853">
        <v>-7.8559480000000001E-2</v>
      </c>
      <c r="W7853">
        <v>6.3056879999999996E-2</v>
      </c>
      <c r="X7853">
        <v>0.99491320000000005</v>
      </c>
      <c r="Y7853">
        <v>-0.24639910000000001</v>
      </c>
      <c r="Z7853">
        <v>-1.7847579999999998E-2</v>
      </c>
      <c r="AA7853">
        <v>0.96900410000000003</v>
      </c>
      <c r="AB7853">
        <v>24</v>
      </c>
      <c r="AC7853">
        <v>10.9162999999999</v>
      </c>
      <c r="AD7853">
        <v>-1.11560568965</v>
      </c>
      <c r="AE7853">
        <v>7.2466699999999902</v>
      </c>
      <c r="AF7853">
        <v>-3.22053568392736</v>
      </c>
      <c r="AG7853">
        <v>-1.11560568965</v>
      </c>
      <c r="AH7853">
        <v>12.6033978590864</v>
      </c>
      <c r="AI7853">
        <v>94.901729940581305</v>
      </c>
      <c r="AJ7853">
        <v>104.334015838944</v>
      </c>
      <c r="AK7853">
        <v>13.0561121219394</v>
      </c>
      <c r="AL7853">
        <v>86.384708434306503</v>
      </c>
      <c r="AM7853">
        <v>94.514772595970797</v>
      </c>
      <c r="AN7853">
        <v>1.0000000187737199</v>
      </c>
    </row>
    <row r="7854" spans="1:40" x14ac:dyDescent="0.25">
      <c r="A7854" t="str">
        <f>"20190312160521084"</f>
        <v>20190312160521084</v>
      </c>
      <c r="B7854" t="str">
        <f>"1552377921073215"</f>
        <v>1552377921073215</v>
      </c>
      <c r="C7854" t="s">
        <v>40</v>
      </c>
      <c r="D7854">
        <v>5.4947910000000002</v>
      </c>
      <c r="E7854">
        <v>0.4326526</v>
      </c>
      <c r="F7854" t="s">
        <v>81</v>
      </c>
      <c r="G7854">
        <v>-189.1926</v>
      </c>
      <c r="H7854" s="1">
        <v>-1.0683140000000001E-5</v>
      </c>
      <c r="I7854">
        <v>-52.707140000000003</v>
      </c>
      <c r="J7854">
        <v>-200.2174</v>
      </c>
      <c r="K7854">
        <v>1.1156740000000001</v>
      </c>
      <c r="L7854">
        <v>-60.09055</v>
      </c>
      <c r="M7854">
        <v>0.94265500000000002</v>
      </c>
      <c r="N7854">
        <v>0</v>
      </c>
      <c r="O7854">
        <v>0.33346379999999998</v>
      </c>
      <c r="P7854">
        <v>0.91234740000000003</v>
      </c>
      <c r="Q7854">
        <v>5.0045310000000003E-2</v>
      </c>
      <c r="R7854">
        <v>0.40634720000000002</v>
      </c>
      <c r="S7854">
        <v>2.548279</v>
      </c>
      <c r="T7854">
        <v>-0.25523099999999999</v>
      </c>
      <c r="U7854">
        <v>1.6993100000000001</v>
      </c>
      <c r="V7854">
        <v>-7.9634990000000003E-2</v>
      </c>
      <c r="W7854">
        <v>6.3228190000000004E-2</v>
      </c>
      <c r="X7854">
        <v>0.99481679999999995</v>
      </c>
      <c r="Y7854">
        <v>-0.2458323</v>
      </c>
      <c r="Z7854">
        <v>-1.7949099999999999E-2</v>
      </c>
      <c r="AA7854">
        <v>0.96914619999999996</v>
      </c>
      <c r="AB7854">
        <v>24</v>
      </c>
      <c r="AC7854">
        <v>11.024800000000001</v>
      </c>
      <c r="AD7854">
        <v>-1.11568468314</v>
      </c>
      <c r="AE7854">
        <v>7.3834099999999898</v>
      </c>
      <c r="AF7854">
        <v>-3.26091602108318</v>
      </c>
      <c r="AG7854">
        <v>-1.11568468314</v>
      </c>
      <c r="AH7854">
        <v>12.7657367541862</v>
      </c>
      <c r="AI7854">
        <v>94.840134543226</v>
      </c>
      <c r="AJ7854">
        <v>104.329372917946</v>
      </c>
      <c r="AK7854">
        <v>13.2227969993467</v>
      </c>
      <c r="AL7854">
        <v>86.374873403045598</v>
      </c>
      <c r="AM7854">
        <v>94.5767623920419</v>
      </c>
      <c r="AN7854">
        <v>1.0000000006026</v>
      </c>
    </row>
    <row r="7855" spans="1:40" x14ac:dyDescent="0.25">
      <c r="A7855" t="str">
        <f>"20190312160521097"</f>
        <v>20190312160521097</v>
      </c>
      <c r="B7855" t="str">
        <f>"1552377921092734"</f>
        <v>1552377921092734</v>
      </c>
      <c r="C7855" t="s">
        <v>40</v>
      </c>
      <c r="D7855">
        <v>5.6843959999999996</v>
      </c>
      <c r="E7855">
        <v>0.41362840000000001</v>
      </c>
      <c r="F7855" t="s">
        <v>81</v>
      </c>
      <c r="G7855">
        <v>-189.0915</v>
      </c>
      <c r="H7855" s="1">
        <v>-1.066848E-5</v>
      </c>
      <c r="I7855">
        <v>-52.586779999999997</v>
      </c>
      <c r="J7855">
        <v>-200.09610000000001</v>
      </c>
      <c r="K7855">
        <v>1.115775</v>
      </c>
      <c r="L7855">
        <v>-60.042360000000002</v>
      </c>
      <c r="M7855">
        <v>0.94113219999999997</v>
      </c>
      <c r="N7855">
        <v>0</v>
      </c>
      <c r="O7855">
        <v>0.33773710000000001</v>
      </c>
      <c r="P7855">
        <v>0.90979149999999998</v>
      </c>
      <c r="Q7855">
        <v>4.9749769999999999E-2</v>
      </c>
      <c r="R7855">
        <v>0.41207310000000003</v>
      </c>
      <c r="S7855">
        <v>2.5393979999999998</v>
      </c>
      <c r="T7855">
        <v>-0.25464639999999999</v>
      </c>
      <c r="U7855">
        <v>1.712677</v>
      </c>
      <c r="V7855">
        <v>-8.1377920000000006E-2</v>
      </c>
      <c r="W7855">
        <v>6.2906970000000006E-2</v>
      </c>
      <c r="X7855">
        <v>0.99469609999999997</v>
      </c>
      <c r="Y7855">
        <v>-0.24652209999999999</v>
      </c>
      <c r="Z7855">
        <v>-1.82498E-2</v>
      </c>
      <c r="AA7855">
        <v>0.96896539999999998</v>
      </c>
      <c r="AB7855">
        <v>24</v>
      </c>
      <c r="AC7855">
        <v>11.0046</v>
      </c>
      <c r="AD7855">
        <v>-1.1157856684799901</v>
      </c>
      <c r="AE7855">
        <v>7.4555799999999897</v>
      </c>
      <c r="AF7855">
        <v>-3.2772686855827202</v>
      </c>
      <c r="AG7855">
        <v>-1.1157856684799901</v>
      </c>
      <c r="AH7855">
        <v>12.7860283541808</v>
      </c>
      <c r="AI7855">
        <v>94.831915937085199</v>
      </c>
      <c r="AJ7855">
        <v>104.37634834065901</v>
      </c>
      <c r="AK7855">
        <v>13.246433058352</v>
      </c>
      <c r="AL7855">
        <v>86.393314634293603</v>
      </c>
      <c r="AM7855">
        <v>94.677057019543597</v>
      </c>
      <c r="AN7855">
        <v>0.99999999204665801</v>
      </c>
    </row>
    <row r="7856" spans="1:40" x14ac:dyDescent="0.25">
      <c r="A7856" t="str">
        <f>"20190312160521108"</f>
        <v>20190312160521108</v>
      </c>
      <c r="B7856" t="str">
        <f>"1552377921102494"</f>
        <v>1552377921102494</v>
      </c>
      <c r="C7856" t="s">
        <v>40</v>
      </c>
      <c r="D7856">
        <v>5.6363079999999997</v>
      </c>
      <c r="E7856">
        <v>0.37755100000000003</v>
      </c>
      <c r="F7856" t="s">
        <v>81</v>
      </c>
      <c r="G7856">
        <v>-182.4845</v>
      </c>
      <c r="H7856" s="1">
        <v>-4.0586829999999999E-6</v>
      </c>
      <c r="I7856">
        <v>-46.689500000000002</v>
      </c>
      <c r="J7856">
        <v>-199.9906</v>
      </c>
      <c r="K7856">
        <v>1.115842</v>
      </c>
      <c r="L7856">
        <v>-60.000239999999998</v>
      </c>
      <c r="M7856">
        <v>0.93978209999999995</v>
      </c>
      <c r="N7856">
        <v>0</v>
      </c>
      <c r="O7856">
        <v>0.34147559999999999</v>
      </c>
      <c r="P7856">
        <v>0.90777269999999999</v>
      </c>
      <c r="Q7856">
        <v>5.0055200000000001E-2</v>
      </c>
      <c r="R7856">
        <v>0.41646539999999999</v>
      </c>
      <c r="S7856">
        <v>2.4608919999999999</v>
      </c>
      <c r="T7856">
        <v>-0.1559094</v>
      </c>
      <c r="U7856">
        <v>1.8658140000000001</v>
      </c>
      <c r="V7856">
        <v>-8.2252909999999999E-2</v>
      </c>
      <c r="W7856">
        <v>6.3197729999999994E-2</v>
      </c>
      <c r="X7856">
        <v>0.99460570000000004</v>
      </c>
      <c r="Y7856">
        <v>-0.29574909999999999</v>
      </c>
      <c r="Z7856">
        <v>-1.0056890000000001E-2</v>
      </c>
      <c r="AA7856">
        <v>0.95521270000000003</v>
      </c>
      <c r="AB7856">
        <v>24</v>
      </c>
      <c r="AC7856">
        <v>17.5061</v>
      </c>
      <c r="AD7856">
        <v>-1.1158460586829999</v>
      </c>
      <c r="AE7856">
        <v>13.310739999999999</v>
      </c>
      <c r="AF7856">
        <v>-6.5151824369438103</v>
      </c>
      <c r="AG7856">
        <v>-1.1158460586829999</v>
      </c>
      <c r="AH7856">
        <v>20.945431318258699</v>
      </c>
      <c r="AI7856">
        <v>92.9121152116915</v>
      </c>
      <c r="AJ7856">
        <v>107.278570346189</v>
      </c>
      <c r="AK7856">
        <v>21.9636929436111</v>
      </c>
      <c r="AL7856">
        <v>86.376622114502496</v>
      </c>
      <c r="AM7856">
        <v>94.727546586498903</v>
      </c>
      <c r="AN7856">
        <v>0.99999999637655501</v>
      </c>
    </row>
    <row r="7857" spans="1:40" x14ac:dyDescent="0.25">
      <c r="A7857" t="str">
        <f>"20190312160521117"</f>
        <v>20190312160521117</v>
      </c>
      <c r="B7857" t="str">
        <f>"1552377921113229"</f>
        <v>1552377921113229</v>
      </c>
      <c r="C7857" t="s">
        <v>40</v>
      </c>
      <c r="D7857">
        <v>5.6493260000000003</v>
      </c>
      <c r="E7857">
        <v>0.37743650000000001</v>
      </c>
      <c r="F7857" t="s">
        <v>81</v>
      </c>
      <c r="G7857">
        <v>-187.88460000000001</v>
      </c>
      <c r="H7857" s="1">
        <v>-3.9083609999999997E-6</v>
      </c>
      <c r="I7857">
        <v>-48.90605</v>
      </c>
      <c r="J7857">
        <v>-199.893</v>
      </c>
      <c r="K7857">
        <v>1.1159110000000001</v>
      </c>
      <c r="L7857">
        <v>-59.960360000000001</v>
      </c>
      <c r="M7857">
        <v>0.93847990000000003</v>
      </c>
      <c r="N7857">
        <v>0</v>
      </c>
      <c r="O7857">
        <v>0.3450377</v>
      </c>
      <c r="P7857">
        <v>0.9057345</v>
      </c>
      <c r="Q7857">
        <v>5.0111870000000003E-2</v>
      </c>
      <c r="R7857">
        <v>0.42087279999999999</v>
      </c>
      <c r="S7857">
        <v>2.3349609999999998</v>
      </c>
      <c r="T7857">
        <v>-0.21521970000000001</v>
      </c>
      <c r="U7857">
        <v>2.1398009999999998</v>
      </c>
      <c r="V7857">
        <v>-8.3327810000000002E-2</v>
      </c>
      <c r="W7857">
        <v>6.323819E-2</v>
      </c>
      <c r="X7857">
        <v>0.9945136</v>
      </c>
      <c r="Y7857">
        <v>-0.37962249999999997</v>
      </c>
      <c r="Z7857">
        <v>-1.0858629999999999E-2</v>
      </c>
      <c r="AA7857">
        <v>0.92507779999999995</v>
      </c>
      <c r="AB7857">
        <v>24</v>
      </c>
      <c r="AC7857">
        <v>12.0083999999999</v>
      </c>
      <c r="AD7857">
        <v>-1.115914908361</v>
      </c>
      <c r="AE7857">
        <v>11.0543099999999</v>
      </c>
      <c r="AF7857">
        <v>-6.2025407625758904</v>
      </c>
      <c r="AG7857">
        <v>-1.115914908361</v>
      </c>
      <c r="AH7857">
        <v>15.015150701506</v>
      </c>
      <c r="AI7857">
        <v>93.929440945734797</v>
      </c>
      <c r="AJ7857">
        <v>112.444809219202</v>
      </c>
      <c r="AK7857">
        <v>16.284088202385</v>
      </c>
      <c r="AL7857">
        <v>86.374299100239099</v>
      </c>
      <c r="AM7857">
        <v>94.789483189516403</v>
      </c>
      <c r="AN7857">
        <v>0.99999994658941405</v>
      </c>
    </row>
    <row r="7858" spans="1:40" x14ac:dyDescent="0.25">
      <c r="A7858" t="str">
        <f>"20190312160521130"</f>
        <v>20190312160521130</v>
      </c>
      <c r="B7858" t="str">
        <f>"1552377921122991"</f>
        <v>1552377921122991</v>
      </c>
      <c r="C7858" t="s">
        <v>40</v>
      </c>
      <c r="D7858">
        <v>9.3944550000000007</v>
      </c>
      <c r="E7858">
        <v>0.37743650000000001</v>
      </c>
      <c r="F7858" t="s">
        <v>81</v>
      </c>
      <c r="G7858">
        <v>-188.95419999999999</v>
      </c>
      <c r="H7858" s="1">
        <v>-3.6305269999999999E-6</v>
      </c>
      <c r="I7858">
        <v>-49.836559999999999</v>
      </c>
      <c r="J7858">
        <v>-199.7636</v>
      </c>
      <c r="K7858">
        <v>1.1160000000000001</v>
      </c>
      <c r="L7858">
        <v>-59.907069999999997</v>
      </c>
      <c r="M7858">
        <v>0.93671850000000001</v>
      </c>
      <c r="N7858">
        <v>0</v>
      </c>
      <c r="O7858">
        <v>0.34979070000000001</v>
      </c>
      <c r="P7858">
        <v>0.90294529999999995</v>
      </c>
      <c r="Q7858">
        <v>4.9929889999999998E-2</v>
      </c>
      <c r="R7858">
        <v>0.42684539999999999</v>
      </c>
      <c r="S7858">
        <v>2.3253170000000001</v>
      </c>
      <c r="T7858">
        <v>-0.23721590000000001</v>
      </c>
      <c r="U7858">
        <v>2.152069</v>
      </c>
      <c r="V7858">
        <v>-8.4863380000000002E-2</v>
      </c>
      <c r="W7858">
        <v>6.3032599999999994E-2</v>
      </c>
      <c r="X7858">
        <v>0.99439690000000003</v>
      </c>
      <c r="Y7858">
        <v>-0.37946629999999998</v>
      </c>
      <c r="Z7858">
        <v>-1.234801E-2</v>
      </c>
      <c r="AA7858">
        <v>0.92512320000000003</v>
      </c>
      <c r="AB7858">
        <v>24</v>
      </c>
      <c r="AC7858">
        <v>10.8094</v>
      </c>
      <c r="AD7858">
        <v>-1.11600363052699</v>
      </c>
      <c r="AE7858">
        <v>10.070510000000001</v>
      </c>
      <c r="AF7858">
        <v>-5.6207107435703296</v>
      </c>
      <c r="AG7858">
        <v>-1.11600363052699</v>
      </c>
      <c r="AH7858">
        <v>13.571887957810199</v>
      </c>
      <c r="AI7858">
        <v>94.344508032318501</v>
      </c>
      <c r="AJ7858">
        <v>112.496579147104</v>
      </c>
      <c r="AK7858">
        <v>14.7320737204777</v>
      </c>
      <c r="AL7858">
        <v>86.386102455669004</v>
      </c>
      <c r="AM7858">
        <v>94.8778917713433</v>
      </c>
      <c r="AN7858">
        <v>1.0000000483286899</v>
      </c>
    </row>
    <row r="7859" spans="1:40" x14ac:dyDescent="0.25">
      <c r="A7859" t="str">
        <f>"20190312160521140"</f>
        <v>20190312160521140</v>
      </c>
      <c r="B7859" t="str">
        <f>"1552377921132750"</f>
        <v>1552377921132750</v>
      </c>
      <c r="C7859" t="s">
        <v>40</v>
      </c>
      <c r="D7859">
        <v>8.3294289999999993</v>
      </c>
      <c r="E7859">
        <v>0.30226619999999998</v>
      </c>
      <c r="F7859" t="s">
        <v>81</v>
      </c>
      <c r="G7859">
        <v>-188.9442</v>
      </c>
      <c r="H7859" s="1">
        <v>-3.666118E-6</v>
      </c>
      <c r="I7859">
        <v>-49.762279999999997</v>
      </c>
      <c r="J7859">
        <v>-199.67250000000001</v>
      </c>
      <c r="K7859">
        <v>1.1160639999999999</v>
      </c>
      <c r="L7859">
        <v>-59.868870000000001</v>
      </c>
      <c r="M7859">
        <v>0.93543679999999996</v>
      </c>
      <c r="N7859">
        <v>0</v>
      </c>
      <c r="O7859">
        <v>0.3532033</v>
      </c>
      <c r="P7859">
        <v>0.90099249999999997</v>
      </c>
      <c r="Q7859">
        <v>4.9714889999999998E-2</v>
      </c>
      <c r="R7859">
        <v>0.430977</v>
      </c>
      <c r="S7859">
        <v>2.3112029999999999</v>
      </c>
      <c r="T7859">
        <v>-0.23839550000000001</v>
      </c>
      <c r="U7859">
        <v>2.167084</v>
      </c>
      <c r="V7859">
        <v>-8.5795860000000002E-2</v>
      </c>
      <c r="W7859">
        <v>6.2804170000000006E-2</v>
      </c>
      <c r="X7859">
        <v>0.99433130000000003</v>
      </c>
      <c r="Y7859">
        <v>-0.38210939999999999</v>
      </c>
      <c r="Z7859">
        <v>-1.2580559999999999E-2</v>
      </c>
      <c r="AA7859">
        <v>0.92403150000000001</v>
      </c>
      <c r="AB7859">
        <v>24</v>
      </c>
      <c r="AC7859">
        <v>10.728300000000001</v>
      </c>
      <c r="AD7859">
        <v>-1.116067666118</v>
      </c>
      <c r="AE7859">
        <v>10.106589999999899</v>
      </c>
      <c r="AF7859">
        <v>-5.6330882048894599</v>
      </c>
      <c r="AG7859">
        <v>-1.116067666118</v>
      </c>
      <c r="AH7859">
        <v>13.529151822929</v>
      </c>
      <c r="AI7859">
        <v>94.355010709558698</v>
      </c>
      <c r="AJ7859">
        <v>112.60521865701099</v>
      </c>
      <c r="AK7859">
        <v>14.6974568823073</v>
      </c>
      <c r="AL7859">
        <v>86.399216388544701</v>
      </c>
      <c r="AM7859">
        <v>94.931550976949495</v>
      </c>
      <c r="AN7859">
        <v>1.0000000137611</v>
      </c>
    </row>
    <row r="7860" spans="1:40" x14ac:dyDescent="0.25">
      <c r="A7860" t="str">
        <f>"20190312160521151"</f>
        <v>20190312160521151</v>
      </c>
      <c r="B7860" t="str">
        <f>"1552377921142510"</f>
        <v>1552377921142510</v>
      </c>
      <c r="C7860" t="s">
        <v>40</v>
      </c>
      <c r="D7860">
        <v>5.5759439999999998</v>
      </c>
      <c r="E7860">
        <v>0.30226619999999998</v>
      </c>
      <c r="F7860" t="s">
        <v>53</v>
      </c>
      <c r="G7860">
        <v>-168.45050000000001</v>
      </c>
      <c r="H7860">
        <v>4.5219259999999997</v>
      </c>
      <c r="I7860">
        <v>-17.872810000000001</v>
      </c>
      <c r="J7860">
        <v>-199.56809999999999</v>
      </c>
      <c r="K7860">
        <v>1.116134</v>
      </c>
      <c r="L7860">
        <v>-59.824739999999998</v>
      </c>
      <c r="M7860">
        <v>0.93393890000000002</v>
      </c>
      <c r="N7860">
        <v>0</v>
      </c>
      <c r="O7860">
        <v>0.35714439999999997</v>
      </c>
      <c r="P7860">
        <v>0.89884229999999998</v>
      </c>
      <c r="Q7860">
        <v>4.9409370000000001E-2</v>
      </c>
      <c r="R7860">
        <v>0.43547819999999998</v>
      </c>
      <c r="S7860">
        <v>2.0186920000000002</v>
      </c>
      <c r="T7860">
        <v>0.22020960000000001</v>
      </c>
      <c r="U7860">
        <v>2.7153019999999999</v>
      </c>
      <c r="V7860">
        <v>-8.6577500000000002E-2</v>
      </c>
      <c r="W7860">
        <v>6.2486739999999999E-2</v>
      </c>
      <c r="X7860">
        <v>0.99428360000000005</v>
      </c>
      <c r="Y7860">
        <v>-0.53610409999999997</v>
      </c>
      <c r="Z7860">
        <v>5.5686679999999997E-3</v>
      </c>
      <c r="AA7860">
        <v>0.84413359999999904</v>
      </c>
      <c r="AB7860">
        <v>24</v>
      </c>
      <c r="AC7860">
        <v>31.1175999999999</v>
      </c>
      <c r="AD7860">
        <v>3.4057919999999999</v>
      </c>
      <c r="AE7860">
        <v>41.951929999999997</v>
      </c>
      <c r="AF7860">
        <v>-27.951118211853</v>
      </c>
      <c r="AG7860">
        <v>3.4057919999999999</v>
      </c>
      <c r="AH7860">
        <v>43.862885515693698</v>
      </c>
      <c r="AI7860">
        <v>86.253548896125295</v>
      </c>
      <c r="AJ7860">
        <v>122.50685498994</v>
      </c>
      <c r="AK7860">
        <v>52.123096168619</v>
      </c>
      <c r="AL7860">
        <v>86.417439770768794</v>
      </c>
      <c r="AM7860">
        <v>94.976492633537603</v>
      </c>
      <c r="AN7860">
        <v>1.00000006670551</v>
      </c>
    </row>
    <row r="7861" spans="1:40" x14ac:dyDescent="0.25">
      <c r="A7861" t="str">
        <f>"20190312160521164"</f>
        <v>20190312160521164</v>
      </c>
      <c r="B7861" t="str">
        <f>"1552377921153247"</f>
        <v>1552377921153247</v>
      </c>
      <c r="C7861" t="s">
        <v>40</v>
      </c>
      <c r="D7861">
        <v>6.6660719999999998</v>
      </c>
      <c r="E7861">
        <v>0.2967745</v>
      </c>
      <c r="F7861" t="s">
        <v>53</v>
      </c>
      <c r="G7861">
        <v>-168.45050000000001</v>
      </c>
      <c r="H7861">
        <v>4.5170659999999998</v>
      </c>
      <c r="I7861">
        <v>-17.535810000000001</v>
      </c>
      <c r="J7861">
        <v>-199.4332</v>
      </c>
      <c r="K7861">
        <v>1.11622</v>
      </c>
      <c r="L7861">
        <v>-59.766820000000003</v>
      </c>
      <c r="M7861">
        <v>0.93194339999999998</v>
      </c>
      <c r="N7861">
        <v>0</v>
      </c>
      <c r="O7861">
        <v>0.36231910000000001</v>
      </c>
      <c r="P7861">
        <v>0.89585479999999995</v>
      </c>
      <c r="Q7861">
        <v>4.9207309999999997E-2</v>
      </c>
      <c r="R7861">
        <v>0.44161410000000001</v>
      </c>
      <c r="S7861">
        <v>2.0052639999999999</v>
      </c>
      <c r="T7861">
        <v>0.21916079999999999</v>
      </c>
      <c r="U7861">
        <v>2.7251590000000001</v>
      </c>
      <c r="V7861">
        <v>-8.786824E-2</v>
      </c>
      <c r="W7861">
        <v>6.2265460000000002E-2</v>
      </c>
      <c r="X7861">
        <v>0.99418419999999996</v>
      </c>
      <c r="Y7861">
        <v>-0.53559140000000005</v>
      </c>
      <c r="Z7861">
        <v>5.9345269999999898E-3</v>
      </c>
      <c r="AA7861">
        <v>0.8444564</v>
      </c>
      <c r="AB7861">
        <v>24</v>
      </c>
      <c r="AC7861">
        <v>30.982699999999902</v>
      </c>
      <c r="AD7861">
        <v>3.400846</v>
      </c>
      <c r="AE7861">
        <v>42.231009999999998</v>
      </c>
      <c r="AF7861">
        <v>-28.016078132901502</v>
      </c>
      <c r="AG7861">
        <v>3.400846</v>
      </c>
      <c r="AH7861">
        <v>43.994309007669102</v>
      </c>
      <c r="AI7861">
        <v>86.269398233455405</v>
      </c>
      <c r="AJ7861">
        <v>122.489449463398</v>
      </c>
      <c r="AK7861">
        <v>52.268208430429603</v>
      </c>
      <c r="AL7861">
        <v>86.430142747300806</v>
      </c>
      <c r="AM7861">
        <v>95.050806066156994</v>
      </c>
      <c r="AN7861">
        <v>1.0000000193196701</v>
      </c>
    </row>
    <row r="7862" spans="1:40" x14ac:dyDescent="0.25">
      <c r="A7862" t="str">
        <f>"20190312160521173"</f>
        <v>20190312160521173</v>
      </c>
      <c r="B7862" t="str">
        <f>"1552377921163006"</f>
        <v>1552377921163006</v>
      </c>
      <c r="C7862" t="s">
        <v>40</v>
      </c>
      <c r="D7862">
        <v>5.576943</v>
      </c>
      <c r="E7862">
        <v>0.2967745</v>
      </c>
      <c r="F7862" t="s">
        <v>53</v>
      </c>
      <c r="G7862">
        <v>-162.7269</v>
      </c>
      <c r="H7862">
        <v>6.6740880000000002</v>
      </c>
      <c r="I7862">
        <v>-7.835439</v>
      </c>
      <c r="J7862">
        <v>-199.35319999999999</v>
      </c>
      <c r="K7862">
        <v>1.116274</v>
      </c>
      <c r="L7862">
        <v>-59.731839999999998</v>
      </c>
      <c r="M7862">
        <v>0.93072180000000004</v>
      </c>
      <c r="N7862">
        <v>0</v>
      </c>
      <c r="O7862">
        <v>0.36544529999999997</v>
      </c>
      <c r="P7862">
        <v>0.8940804</v>
      </c>
      <c r="Q7862">
        <v>4.965195E-2</v>
      </c>
      <c r="R7862">
        <v>0.44514599999999999</v>
      </c>
      <c r="S7862">
        <v>1.9632259999999999</v>
      </c>
      <c r="T7862">
        <v>0.29725990000000002</v>
      </c>
      <c r="U7862">
        <v>2.7775270000000001</v>
      </c>
      <c r="V7862">
        <v>-8.8478280000000006E-2</v>
      </c>
      <c r="W7862">
        <v>6.2700900000000004E-2</v>
      </c>
      <c r="X7862">
        <v>0.99410270000000001</v>
      </c>
      <c r="Y7862">
        <v>-0.54847669999999904</v>
      </c>
      <c r="Z7862">
        <v>7.6273460000000001E-3</v>
      </c>
      <c r="AA7862">
        <v>0.83613099999999996</v>
      </c>
      <c r="AB7862">
        <v>24</v>
      </c>
      <c r="AC7862">
        <v>36.626299999999901</v>
      </c>
      <c r="AD7862">
        <v>5.5578139999999996</v>
      </c>
      <c r="AE7862">
        <v>51.896400999999997</v>
      </c>
      <c r="AF7862">
        <v>-34.6545008334271</v>
      </c>
      <c r="AG7862">
        <v>5.5578139999999996</v>
      </c>
      <c r="AH7862">
        <v>52.656543251843402</v>
      </c>
      <c r="AI7862">
        <v>84.961392921115205</v>
      </c>
      <c r="AJ7862">
        <v>123.34984830609</v>
      </c>
      <c r="AK7862">
        <v>63.281397517010099</v>
      </c>
      <c r="AL7862">
        <v>86.405144935369094</v>
      </c>
      <c r="AM7862">
        <v>95.086103625887802</v>
      </c>
      <c r="AN7862">
        <v>0.99999999351992896</v>
      </c>
    </row>
    <row r="7863" spans="1:40" x14ac:dyDescent="0.25">
      <c r="A7863" t="str">
        <f>"20190312160521183"</f>
        <v>20190312160521183</v>
      </c>
      <c r="B7863" t="str">
        <f>"1552377921172768"</f>
        <v>1552377921172768</v>
      </c>
      <c r="C7863" t="s">
        <v>40</v>
      </c>
      <c r="D7863">
        <v>5.621874</v>
      </c>
      <c r="E7863">
        <v>0.3652996</v>
      </c>
      <c r="F7863" t="s">
        <v>53</v>
      </c>
      <c r="G7863">
        <v>-163.05099999999999</v>
      </c>
      <c r="H7863">
        <v>6.6740880000000002</v>
      </c>
      <c r="I7863">
        <v>-7.9336640000000003</v>
      </c>
      <c r="J7863">
        <v>-199.24969999999999</v>
      </c>
      <c r="K7863">
        <v>1.1163400000000001</v>
      </c>
      <c r="L7863">
        <v>-59.686279999999996</v>
      </c>
      <c r="M7863">
        <v>0.92911339999999998</v>
      </c>
      <c r="N7863">
        <v>0</v>
      </c>
      <c r="O7863">
        <v>0.36951489999999998</v>
      </c>
      <c r="P7863">
        <v>0.89177430000000002</v>
      </c>
      <c r="Q7863">
        <v>5.005445E-2</v>
      </c>
      <c r="R7863">
        <v>0.44970349999999998</v>
      </c>
      <c r="S7863">
        <v>1.9520569999999999</v>
      </c>
      <c r="T7863">
        <v>0.29885640000000002</v>
      </c>
      <c r="U7863">
        <v>2.7853089999999998</v>
      </c>
      <c r="V7863">
        <v>-8.9225979999999996E-2</v>
      </c>
      <c r="W7863">
        <v>6.3091610000000006E-2</v>
      </c>
      <c r="X7863">
        <v>0.99401119999999998</v>
      </c>
      <c r="Y7863">
        <v>-0.54817119999999997</v>
      </c>
      <c r="Z7863">
        <v>8.0835059999999903E-3</v>
      </c>
      <c r="AA7863">
        <v>0.83632709999999999</v>
      </c>
      <c r="AB7863">
        <v>24</v>
      </c>
      <c r="AC7863">
        <v>36.198699999999903</v>
      </c>
      <c r="AD7863">
        <v>5.5577480000000001</v>
      </c>
      <c r="AE7863">
        <v>51.752615999999897</v>
      </c>
      <c r="AF7863">
        <v>-34.444939729203199</v>
      </c>
      <c r="AG7863">
        <v>5.5577480000000001</v>
      </c>
      <c r="AH7863">
        <v>52.356073342598101</v>
      </c>
      <c r="AI7863">
        <v>84.932164119377703</v>
      </c>
      <c r="AJ7863">
        <v>123.340825452098</v>
      </c>
      <c r="AK7863">
        <v>62.916618246973897</v>
      </c>
      <c r="AL7863">
        <v>86.382714681331294</v>
      </c>
      <c r="AM7863">
        <v>95.129325881235502</v>
      </c>
      <c r="AN7863">
        <v>1.0000000462423899</v>
      </c>
    </row>
    <row r="7864" spans="1:40" x14ac:dyDescent="0.25">
      <c r="A7864" t="str">
        <f>"20190312160521195"</f>
        <v>20190312160521195</v>
      </c>
      <c r="B7864" t="str">
        <f>"1552377921182527"</f>
        <v>1552377921182527</v>
      </c>
      <c r="C7864" t="s">
        <v>40</v>
      </c>
      <c r="D7864">
        <v>4.4495889999999996</v>
      </c>
      <c r="E7864">
        <v>0.36712650000000002</v>
      </c>
      <c r="F7864" t="s">
        <v>81</v>
      </c>
      <c r="G7864">
        <v>-189.2945</v>
      </c>
      <c r="H7864" s="1">
        <v>-3.9701079999999997E-6</v>
      </c>
      <c r="I7864">
        <v>-49.282130000000002</v>
      </c>
      <c r="J7864">
        <v>-199.14230000000001</v>
      </c>
      <c r="K7864">
        <v>1.116406</v>
      </c>
      <c r="L7864">
        <v>-59.638150000000003</v>
      </c>
      <c r="M7864">
        <v>0.92739050000000001</v>
      </c>
      <c r="N7864">
        <v>0</v>
      </c>
      <c r="O7864">
        <v>0.37381730000000002</v>
      </c>
      <c r="P7864">
        <v>0.88904799999999995</v>
      </c>
      <c r="Q7864">
        <v>5.0475819999999998E-2</v>
      </c>
      <c r="R7864">
        <v>0.45502290000000001</v>
      </c>
      <c r="S7864">
        <v>2.2121580000000001</v>
      </c>
      <c r="T7864">
        <v>-0.24806449999999999</v>
      </c>
      <c r="U7864">
        <v>2.3119200000000002</v>
      </c>
      <c r="V7864">
        <v>-9.0583440000000001E-2</v>
      </c>
      <c r="W7864">
        <v>6.3491820000000004E-2</v>
      </c>
      <c r="X7864">
        <v>0.99386289999999999</v>
      </c>
      <c r="Y7864">
        <v>-0.41152119999999998</v>
      </c>
      <c r="Z7864">
        <v>-1.348037E-2</v>
      </c>
      <c r="AA7864">
        <v>0.91130049999999996</v>
      </c>
      <c r="AB7864">
        <v>24</v>
      </c>
      <c r="AC7864">
        <v>9.8477999999999994</v>
      </c>
      <c r="AD7864">
        <v>-1.1164099701079999</v>
      </c>
      <c r="AE7864">
        <v>10.356019999999999</v>
      </c>
      <c r="AF7864">
        <v>-5.8874804458221304</v>
      </c>
      <c r="AG7864">
        <v>-1.1164099701079999</v>
      </c>
      <c r="AH7864">
        <v>12.9264759995287</v>
      </c>
      <c r="AI7864">
        <v>94.494081767172005</v>
      </c>
      <c r="AJ7864">
        <v>114.487321677284</v>
      </c>
      <c r="AK7864">
        <v>14.2478973532127</v>
      </c>
      <c r="AL7864">
        <v>86.359738167093596</v>
      </c>
      <c r="AM7864">
        <v>95.207708983554994</v>
      </c>
      <c r="AN7864">
        <v>1.0000000174027699</v>
      </c>
    </row>
    <row r="7865" spans="1:40" x14ac:dyDescent="0.25">
      <c r="A7865" t="str">
        <f>"20190312160521206"</f>
        <v>20190312160521206</v>
      </c>
      <c r="B7865" t="str">
        <f>"1552377921203022"</f>
        <v>1552377921203022</v>
      </c>
      <c r="C7865" t="s">
        <v>40</v>
      </c>
      <c r="D7865">
        <v>5.1881360000000001</v>
      </c>
      <c r="E7865">
        <v>0.36548580000000003</v>
      </c>
      <c r="F7865" t="s">
        <v>81</v>
      </c>
      <c r="G7865">
        <v>-188.1207</v>
      </c>
      <c r="H7865" s="1">
        <v>-4.3675689999999997E-6</v>
      </c>
      <c r="I7865">
        <v>-48.077039999999997</v>
      </c>
      <c r="J7865">
        <v>-199.0333</v>
      </c>
      <c r="K7865">
        <v>1.1164750000000001</v>
      </c>
      <c r="L7865">
        <v>-59.589019999999998</v>
      </c>
      <c r="M7865">
        <v>0.92560960000000003</v>
      </c>
      <c r="N7865">
        <v>0</v>
      </c>
      <c r="O7865">
        <v>0.37820490000000001</v>
      </c>
      <c r="P7865">
        <v>0.88646019999999903</v>
      </c>
      <c r="Q7865">
        <v>5.0813240000000003E-2</v>
      </c>
      <c r="R7865">
        <v>0.46000679999999999</v>
      </c>
      <c r="S7865">
        <v>2.2038880000000001</v>
      </c>
      <c r="T7865">
        <v>-0.2232383</v>
      </c>
      <c r="U7865">
        <v>2.3117679999999998</v>
      </c>
      <c r="V7865">
        <v>-9.1479089999999999E-2</v>
      </c>
      <c r="W7865">
        <v>6.3814469999999998E-2</v>
      </c>
      <c r="X7865">
        <v>0.99376019999999998</v>
      </c>
      <c r="Y7865">
        <v>-0.40892030000000001</v>
      </c>
      <c r="Z7865">
        <v>-1.2586470000000001E-2</v>
      </c>
      <c r="AA7865">
        <v>0.9124833</v>
      </c>
      <c r="AB7865">
        <v>24</v>
      </c>
      <c r="AC7865">
        <v>10.9125999999999</v>
      </c>
      <c r="AD7865">
        <v>-1.1164793675689999</v>
      </c>
      <c r="AE7865">
        <v>11.5119799999999</v>
      </c>
      <c r="AF7865">
        <v>-6.4968923809134003</v>
      </c>
      <c r="AG7865">
        <v>-1.1164793675689999</v>
      </c>
      <c r="AH7865">
        <v>14.3849318479286</v>
      </c>
      <c r="AI7865">
        <v>94.046061213363103</v>
      </c>
      <c r="AJ7865">
        <v>114.306109263476</v>
      </c>
      <c r="AK7865">
        <v>15.823476263354101</v>
      </c>
      <c r="AL7865">
        <v>86.341214138591297</v>
      </c>
      <c r="AM7865">
        <v>95.259453690638907</v>
      </c>
      <c r="AN7865">
        <v>1.0000000227963199</v>
      </c>
    </row>
    <row r="7866" spans="1:40" x14ac:dyDescent="0.25">
      <c r="A7866" t="str">
        <f>"20190312160521218"</f>
        <v>20190312160521218</v>
      </c>
      <c r="B7866" t="str">
        <f>"1552377921212782"</f>
        <v>1552377921212782</v>
      </c>
      <c r="C7866" t="s">
        <v>40</v>
      </c>
      <c r="D7866">
        <v>5.6522230000000002</v>
      </c>
      <c r="E7866">
        <v>0.36487449999999999</v>
      </c>
      <c r="F7866" t="s">
        <v>81</v>
      </c>
      <c r="G7866">
        <v>-186.41329999999999</v>
      </c>
      <c r="H7866" s="1">
        <v>-5.0637579999999998E-6</v>
      </c>
      <c r="I7866">
        <v>-46.089599999999997</v>
      </c>
      <c r="J7866">
        <v>-198.92519999999999</v>
      </c>
      <c r="K7866">
        <v>1.1165419999999999</v>
      </c>
      <c r="L7866">
        <v>-59.539029999999997</v>
      </c>
      <c r="M7866">
        <v>0.92377359999999997</v>
      </c>
      <c r="N7866">
        <v>0</v>
      </c>
      <c r="O7866">
        <v>0.38266679999999997</v>
      </c>
      <c r="P7866">
        <v>0.88385369999999996</v>
      </c>
      <c r="Q7866">
        <v>5.0656439999999997E-2</v>
      </c>
      <c r="R7866">
        <v>0.4650125</v>
      </c>
      <c r="S7866">
        <v>2.1833649999999998</v>
      </c>
      <c r="T7866">
        <v>-0.1931602</v>
      </c>
      <c r="U7866">
        <v>2.3355100000000002</v>
      </c>
      <c r="V7866">
        <v>-9.2309790000000003E-2</v>
      </c>
      <c r="W7866">
        <v>6.364554E-2</v>
      </c>
      <c r="X7866">
        <v>0.99369419999999997</v>
      </c>
      <c r="Y7866">
        <v>-0.41345320000000002</v>
      </c>
      <c r="Z7866">
        <v>-1.103144E-2</v>
      </c>
      <c r="AA7866">
        <v>0.91045860000000001</v>
      </c>
      <c r="AB7866">
        <v>24</v>
      </c>
      <c r="AC7866">
        <v>12.511899999999899</v>
      </c>
      <c r="AD7866">
        <v>-1.1165470637579999</v>
      </c>
      <c r="AE7866">
        <v>13.44943</v>
      </c>
      <c r="AF7866">
        <v>-7.6090235905965597</v>
      </c>
      <c r="AG7866">
        <v>-1.1165470637579999</v>
      </c>
      <c r="AH7866">
        <v>16.6450582548038</v>
      </c>
      <c r="AI7866">
        <v>93.4911488405413</v>
      </c>
      <c r="AJ7866">
        <v>114.56675592003999</v>
      </c>
      <c r="AK7866">
        <v>18.335808726468901</v>
      </c>
      <c r="AL7866">
        <v>86.350912774619403</v>
      </c>
      <c r="AM7866">
        <v>95.307292540332398</v>
      </c>
      <c r="AN7866">
        <v>1.00000000760268</v>
      </c>
    </row>
    <row r="7867" spans="1:40" x14ac:dyDescent="0.25">
      <c r="A7867" t="str">
        <f>"20190312160521229"</f>
        <v>20190312160521229</v>
      </c>
      <c r="B7867" t="str">
        <f>"1552377921222542"</f>
        <v>1552377921222542</v>
      </c>
      <c r="C7867" t="s">
        <v>40</v>
      </c>
      <c r="D7867">
        <v>5.4714619999999998</v>
      </c>
      <c r="E7867">
        <v>0.36472100000000002</v>
      </c>
      <c r="F7867" t="s">
        <v>81</v>
      </c>
      <c r="G7867">
        <v>-186.01429999999999</v>
      </c>
      <c r="H7867" s="1">
        <v>-5.2742850000000003E-6</v>
      </c>
      <c r="I7867">
        <v>-45.530090000000001</v>
      </c>
      <c r="J7867">
        <v>-198.81479999999999</v>
      </c>
      <c r="K7867">
        <v>1.1166049999999901</v>
      </c>
      <c r="L7867">
        <v>-59.487760000000002</v>
      </c>
      <c r="M7867">
        <v>0.9218655</v>
      </c>
      <c r="N7867">
        <v>0</v>
      </c>
      <c r="O7867">
        <v>0.38724029999999998</v>
      </c>
      <c r="P7867">
        <v>0.88090429999999997</v>
      </c>
      <c r="Q7867">
        <v>5.060311E-2</v>
      </c>
      <c r="R7867">
        <v>0.47058159999999999</v>
      </c>
      <c r="S7867">
        <v>2.1675719999999998</v>
      </c>
      <c r="T7867">
        <v>-0.1874545</v>
      </c>
      <c r="U7867">
        <v>2.3519290000000002</v>
      </c>
      <c r="V7867">
        <v>-9.3665789999999999E-2</v>
      </c>
      <c r="W7867">
        <v>6.3570829999999995E-2</v>
      </c>
      <c r="X7867">
        <v>0.99357209999999996</v>
      </c>
      <c r="Y7867">
        <v>-0.4154235</v>
      </c>
      <c r="Z7867">
        <v>-1.093268E-2</v>
      </c>
      <c r="AA7867">
        <v>0.90956239999999999</v>
      </c>
      <c r="AB7867">
        <v>24</v>
      </c>
      <c r="AC7867">
        <v>12.8005</v>
      </c>
      <c r="AD7867">
        <v>-1.1166102742849999</v>
      </c>
      <c r="AE7867">
        <v>13.957669999999901</v>
      </c>
      <c r="AF7867">
        <v>-7.8836461266947797</v>
      </c>
      <c r="AG7867">
        <v>-1.1166102742849999</v>
      </c>
      <c r="AH7867">
        <v>17.147500736548</v>
      </c>
      <c r="AI7867">
        <v>93.385932023221898</v>
      </c>
      <c r="AJ7867">
        <v>114.690834778515</v>
      </c>
      <c r="AK7867">
        <v>18.9059640395697</v>
      </c>
      <c r="AL7867">
        <v>86.355202089066594</v>
      </c>
      <c r="AM7867">
        <v>95.385457760873706</v>
      </c>
      <c r="AN7867">
        <v>1.00000002427081</v>
      </c>
    </row>
    <row r="7868" spans="1:40" x14ac:dyDescent="0.25">
      <c r="A7868" t="str">
        <f>"20190312160521240"</f>
        <v>20190312160521240</v>
      </c>
      <c r="B7868" t="str">
        <f>"1552377921233279"</f>
        <v>1552377921233279</v>
      </c>
      <c r="C7868" t="s">
        <v>40</v>
      </c>
      <c r="D7868">
        <v>6.0564929999999997</v>
      </c>
      <c r="E7868">
        <v>0.36579089999999997</v>
      </c>
      <c r="F7868" t="s">
        <v>49</v>
      </c>
      <c r="G7868">
        <v>-198.10169999999999</v>
      </c>
      <c r="H7868">
        <v>1.0551349999999999</v>
      </c>
      <c r="I7868">
        <v>-58.703600000000002</v>
      </c>
      <c r="J7868">
        <v>-198.71369999999999</v>
      </c>
      <c r="K7868">
        <v>1.1166689999999999</v>
      </c>
      <c r="L7868">
        <v>-59.43985</v>
      </c>
      <c r="M7868">
        <v>0.92006019999999999</v>
      </c>
      <c r="N7868">
        <v>0</v>
      </c>
      <c r="O7868">
        <v>0.39150990000000002</v>
      </c>
      <c r="P7868">
        <v>0.87835379999999996</v>
      </c>
      <c r="Q7868">
        <v>5.0496949999999999E-2</v>
      </c>
      <c r="R7868">
        <v>0.4753366</v>
      </c>
      <c r="S7868">
        <v>2.152069</v>
      </c>
      <c r="T7868">
        <v>-0.18550700000000001</v>
      </c>
      <c r="U7868">
        <v>2.3664860000000001</v>
      </c>
      <c r="V7868">
        <v>-9.4437289999999993E-2</v>
      </c>
      <c r="W7868">
        <v>6.3452809999999998E-2</v>
      </c>
      <c r="X7868">
        <v>0.99350660000000002</v>
      </c>
      <c r="Y7868">
        <v>-0.41725719999999999</v>
      </c>
      <c r="Z7868">
        <v>-1.1032220000000001E-2</v>
      </c>
      <c r="AA7868">
        <v>0.90872149999999996</v>
      </c>
      <c r="AB7868">
        <v>24</v>
      </c>
      <c r="AC7868">
        <v>0.61199999999999399</v>
      </c>
      <c r="AD7868">
        <v>-6.15340000000002E-2</v>
      </c>
      <c r="AE7868">
        <v>0.73624999999999796</v>
      </c>
      <c r="AF7868">
        <v>-0.43603484493192801</v>
      </c>
      <c r="AG7868">
        <v>-6.15340000000002E-2</v>
      </c>
      <c r="AH7868">
        <v>0.84791242319401205</v>
      </c>
      <c r="AI7868">
        <v>93.692618199202599</v>
      </c>
      <c r="AJ7868">
        <v>117.214273165397</v>
      </c>
      <c r="AK7868">
        <v>0.95544141450826403</v>
      </c>
      <c r="AL7868">
        <v>86.361977773683407</v>
      </c>
      <c r="AM7868">
        <v>95.429908138438705</v>
      </c>
      <c r="AN7868">
        <v>1.0000000125415001</v>
      </c>
    </row>
    <row r="7869" spans="1:40" x14ac:dyDescent="0.25">
      <c r="A7869" t="str">
        <f>"20190312160521251"</f>
        <v>20190312160521251</v>
      </c>
      <c r="B7869" t="str">
        <f>"1552377921243039"</f>
        <v>1552377921243039</v>
      </c>
      <c r="C7869" t="s">
        <v>40</v>
      </c>
      <c r="D7869">
        <v>5.7346089999999998</v>
      </c>
      <c r="E7869">
        <v>0.36696709999999999</v>
      </c>
      <c r="F7869" t="s">
        <v>81</v>
      </c>
      <c r="G7869">
        <v>-186.89109999999999</v>
      </c>
      <c r="H7869" s="1">
        <v>-5.0093189999999999E-6</v>
      </c>
      <c r="I7869">
        <v>-46.366799999999998</v>
      </c>
      <c r="J7869">
        <v>-198.61189999999999</v>
      </c>
      <c r="K7869">
        <v>1.1167320000000001</v>
      </c>
      <c r="L7869">
        <v>-59.39114</v>
      </c>
      <c r="M7869">
        <v>0.91820550000000001</v>
      </c>
      <c r="N7869">
        <v>0</v>
      </c>
      <c r="O7869">
        <v>0.39583950000000001</v>
      </c>
      <c r="P7869">
        <v>0.87575210000000003</v>
      </c>
      <c r="Q7869">
        <v>5.0406220000000002E-2</v>
      </c>
      <c r="R7869">
        <v>0.48012250000000001</v>
      </c>
      <c r="S7869">
        <v>2.144104</v>
      </c>
      <c r="T7869">
        <v>-0.202516</v>
      </c>
      <c r="U7869">
        <v>2.3708800000000001</v>
      </c>
      <c r="V7869">
        <v>-9.518546E-2</v>
      </c>
      <c r="W7869">
        <v>6.3350970000000006E-2</v>
      </c>
      <c r="X7869">
        <v>0.99344169999999998</v>
      </c>
      <c r="Y7869">
        <v>-0.41548849999999998</v>
      </c>
      <c r="Z7869">
        <v>-1.2408290000000001E-2</v>
      </c>
      <c r="AA7869">
        <v>0.90951380000000004</v>
      </c>
      <c r="AB7869">
        <v>24</v>
      </c>
      <c r="AC7869">
        <v>11.720799999999899</v>
      </c>
      <c r="AD7869">
        <v>-1.1167370093189899</v>
      </c>
      <c r="AE7869">
        <v>13.02434</v>
      </c>
      <c r="AF7869">
        <v>-7.29061768790298</v>
      </c>
      <c r="AG7869">
        <v>-1.1167370093189899</v>
      </c>
      <c r="AH7869">
        <v>15.854916943707799</v>
      </c>
      <c r="AI7869">
        <v>93.661555728700407</v>
      </c>
      <c r="AJ7869">
        <v>114.694543337705</v>
      </c>
      <c r="AK7869">
        <v>17.486526216233401</v>
      </c>
      <c r="AL7869">
        <v>86.367824545247601</v>
      </c>
      <c r="AM7869">
        <v>95.473021243073902</v>
      </c>
      <c r="AN7869">
        <v>1.0000000142471199</v>
      </c>
    </row>
    <row r="7870" spans="1:40" x14ac:dyDescent="0.25">
      <c r="A7870" t="str">
        <f>"20190312160521261"</f>
        <v>20190312160521261</v>
      </c>
      <c r="B7870" t="str">
        <f>"1552377921252798"</f>
        <v>1552377921252798</v>
      </c>
      <c r="C7870" t="s">
        <v>40</v>
      </c>
      <c r="D7870">
        <v>5.6036289999999997</v>
      </c>
      <c r="E7870">
        <v>0.36807129999999999</v>
      </c>
      <c r="F7870" t="s">
        <v>49</v>
      </c>
      <c r="G7870">
        <v>-197.8819</v>
      </c>
      <c r="H7870">
        <v>1.044748</v>
      </c>
      <c r="I7870">
        <v>-58.579729999999998</v>
      </c>
      <c r="J7870">
        <v>-198.50800000000001</v>
      </c>
      <c r="K7870">
        <v>1.1167910000000001</v>
      </c>
      <c r="L7870">
        <v>-59.340670000000003</v>
      </c>
      <c r="M7870">
        <v>0.91626249999999998</v>
      </c>
      <c r="N7870">
        <v>0</v>
      </c>
      <c r="O7870">
        <v>0.4003159</v>
      </c>
      <c r="P7870">
        <v>0.87290040000000002</v>
      </c>
      <c r="Q7870">
        <v>5.0477899999999999E-2</v>
      </c>
      <c r="R7870">
        <v>0.48528019999999999</v>
      </c>
      <c r="S7870">
        <v>2.1360320000000002</v>
      </c>
      <c r="T7870">
        <v>-0.21062990000000001</v>
      </c>
      <c r="U7870">
        <v>2.3743590000000001</v>
      </c>
      <c r="V7870">
        <v>-9.621064E-2</v>
      </c>
      <c r="W7870">
        <v>6.3407119999999997E-2</v>
      </c>
      <c r="X7870">
        <v>0.99333939999999998</v>
      </c>
      <c r="Y7870">
        <v>-0.41342370000000001</v>
      </c>
      <c r="Z7870">
        <v>-1.3310000000000001E-2</v>
      </c>
      <c r="AA7870">
        <v>0.91044150000000001</v>
      </c>
      <c r="AB7870">
        <v>24</v>
      </c>
      <c r="AC7870">
        <v>0.62609999999997901</v>
      </c>
      <c r="AD7870">
        <v>-7.2042999999999996E-2</v>
      </c>
      <c r="AE7870">
        <v>0.76093999999998996</v>
      </c>
      <c r="AF7870">
        <v>-0.44425538708600298</v>
      </c>
      <c r="AG7870">
        <v>-7.2042999999999996E-2</v>
      </c>
      <c r="AH7870">
        <v>0.87371064607276605</v>
      </c>
      <c r="AI7870">
        <v>94.203710440648905</v>
      </c>
      <c r="AJ7870">
        <v>116.951956779974</v>
      </c>
      <c r="AK7870">
        <v>0.98281398843566703</v>
      </c>
      <c r="AL7870">
        <v>86.364601061337098</v>
      </c>
      <c r="AM7870">
        <v>95.532170023012299</v>
      </c>
      <c r="AN7870">
        <v>1.0000000568541301</v>
      </c>
    </row>
    <row r="7871" spans="1:40" x14ac:dyDescent="0.25">
      <c r="A7871" t="str">
        <f>"20190312160521274"</f>
        <v>20190312160521274</v>
      </c>
      <c r="B7871" t="str">
        <f>"1552377921262558"</f>
        <v>1552377921262558</v>
      </c>
      <c r="C7871" t="s">
        <v>40</v>
      </c>
      <c r="D7871">
        <v>5.6362809999999897</v>
      </c>
      <c r="E7871">
        <v>0.36913479999999999</v>
      </c>
      <c r="F7871" t="s">
        <v>81</v>
      </c>
      <c r="G7871">
        <v>-187.3954</v>
      </c>
      <c r="H7871" s="1">
        <v>-4.8271239999999997E-6</v>
      </c>
      <c r="I7871">
        <v>-46.907260000000001</v>
      </c>
      <c r="J7871">
        <v>-198.4041</v>
      </c>
      <c r="K7871">
        <v>1.1168480000000001</v>
      </c>
      <c r="L7871">
        <v>-59.289490000000001</v>
      </c>
      <c r="M7871">
        <v>0.91427170000000002</v>
      </c>
      <c r="N7871">
        <v>0</v>
      </c>
      <c r="O7871">
        <v>0.40484170000000003</v>
      </c>
      <c r="P7871">
        <v>0.87013759999999996</v>
      </c>
      <c r="Q7871">
        <v>5.061968E-2</v>
      </c>
      <c r="R7871">
        <v>0.49020229999999998</v>
      </c>
      <c r="S7871">
        <v>2.126465</v>
      </c>
      <c r="T7871">
        <v>-0.21370600000000001</v>
      </c>
      <c r="U7871">
        <v>2.3792110000000002</v>
      </c>
      <c r="V7871">
        <v>-9.6924079999999996E-2</v>
      </c>
      <c r="W7871">
        <v>6.3538460000000005E-2</v>
      </c>
      <c r="X7871">
        <v>0.99326159999999997</v>
      </c>
      <c r="Y7871">
        <v>-0.41188540000000001</v>
      </c>
      <c r="Z7871">
        <v>-1.3901139999999999E-2</v>
      </c>
      <c r="AA7871">
        <v>0.91112959999999998</v>
      </c>
      <c r="AB7871">
        <v>24</v>
      </c>
      <c r="AC7871">
        <v>11.008699999999999</v>
      </c>
      <c r="AD7871">
        <v>-1.1168528271239999</v>
      </c>
      <c r="AE7871">
        <v>12.38223</v>
      </c>
      <c r="AF7871">
        <v>-6.8336125608648404</v>
      </c>
      <c r="AG7871">
        <v>-1.1168528271239999</v>
      </c>
      <c r="AH7871">
        <v>15.0111630357616</v>
      </c>
      <c r="AI7871">
        <v>93.873870388926505</v>
      </c>
      <c r="AJ7871">
        <v>114.476707441378</v>
      </c>
      <c r="AK7871">
        <v>16.5312019089865</v>
      </c>
      <c r="AL7871">
        <v>86.357060456978303</v>
      </c>
      <c r="AM7871">
        <v>95.573369713686603</v>
      </c>
      <c r="AN7871">
        <v>1.00000000960878</v>
      </c>
    </row>
    <row r="7872" spans="1:40" x14ac:dyDescent="0.25">
      <c r="A7872" t="str">
        <f>"20190312160521285"</f>
        <v>20190312160521285</v>
      </c>
      <c r="B7872" t="str">
        <f>"1552377921273294"</f>
        <v>1552377921273294</v>
      </c>
      <c r="C7872" t="s">
        <v>40</v>
      </c>
      <c r="D7872">
        <v>5.6319140000000001</v>
      </c>
      <c r="E7872">
        <v>0.37005440000000001</v>
      </c>
      <c r="F7872" t="s">
        <v>81</v>
      </c>
      <c r="G7872">
        <v>-187.5213</v>
      </c>
      <c r="H7872" s="1">
        <v>-4.7835269999999997E-6</v>
      </c>
      <c r="I7872">
        <v>-47.038409999999999</v>
      </c>
      <c r="J7872">
        <v>-198.2954</v>
      </c>
      <c r="K7872">
        <v>1.116906</v>
      </c>
      <c r="L7872">
        <v>-59.235379999999999</v>
      </c>
      <c r="M7872">
        <v>0.91214360000000005</v>
      </c>
      <c r="N7872">
        <v>0</v>
      </c>
      <c r="O7872">
        <v>0.40961330000000001</v>
      </c>
      <c r="P7872">
        <v>0.86710540000000003</v>
      </c>
      <c r="Q7872">
        <v>5.0590820000000002E-2</v>
      </c>
      <c r="R7872">
        <v>0.49554890000000001</v>
      </c>
      <c r="S7872">
        <v>2.1174770000000001</v>
      </c>
      <c r="T7872">
        <v>-0.21730669999999999</v>
      </c>
      <c r="U7872">
        <v>2.3836979999999999</v>
      </c>
      <c r="V7872">
        <v>-9.7856390000000001E-2</v>
      </c>
      <c r="W7872">
        <v>6.3495640000000006E-2</v>
      </c>
      <c r="X7872">
        <v>0.99317290000000003</v>
      </c>
      <c r="Y7872">
        <v>-0.40990330000000003</v>
      </c>
      <c r="Z7872">
        <v>-1.457293E-2</v>
      </c>
      <c r="AA7872">
        <v>0.91201259999999995</v>
      </c>
      <c r="AB7872">
        <v>24</v>
      </c>
      <c r="AC7872">
        <v>10.774100000000001</v>
      </c>
      <c r="AD7872">
        <v>-1.116910783527</v>
      </c>
      <c r="AE7872">
        <v>12.19697</v>
      </c>
      <c r="AF7872">
        <v>-6.6814107770656799</v>
      </c>
      <c r="AG7872">
        <v>-1.116910783527</v>
      </c>
      <c r="AH7872">
        <v>14.7556293130343</v>
      </c>
      <c r="AI7872">
        <v>93.944548104386001</v>
      </c>
      <c r="AJ7872">
        <v>114.36121685883199</v>
      </c>
      <c r="AK7872">
        <v>16.2362968713289</v>
      </c>
      <c r="AL7872">
        <v>86.359518752358198</v>
      </c>
      <c r="AM7872">
        <v>95.627136701526098</v>
      </c>
      <c r="AN7872">
        <v>0.99999998932862499</v>
      </c>
    </row>
    <row r="7873" spans="1:40" x14ac:dyDescent="0.25">
      <c r="A7873" t="str">
        <f>"20190312160521296"</f>
        <v>20190312160521296</v>
      </c>
      <c r="B7873" t="str">
        <f>"1552377921292815"</f>
        <v>1552377921292815</v>
      </c>
      <c r="C7873" t="s">
        <v>40</v>
      </c>
      <c r="D7873">
        <v>5.6779489999999999</v>
      </c>
      <c r="E7873">
        <v>0.37166270000000001</v>
      </c>
      <c r="F7873" t="s">
        <v>81</v>
      </c>
      <c r="G7873">
        <v>-187.65719999999999</v>
      </c>
      <c r="H7873" s="1">
        <v>-4.7441349999999999E-6</v>
      </c>
      <c r="I7873">
        <v>-47.164790000000004</v>
      </c>
      <c r="J7873">
        <v>-198.1908</v>
      </c>
      <c r="K7873">
        <v>1.1169549999999999</v>
      </c>
      <c r="L7873">
        <v>-59.182279999999999</v>
      </c>
      <c r="M7873">
        <v>0.91003409999999996</v>
      </c>
      <c r="N7873">
        <v>0</v>
      </c>
      <c r="O7873">
        <v>0.41427829999999899</v>
      </c>
      <c r="P7873">
        <v>0.86388099999999901</v>
      </c>
      <c r="Q7873">
        <v>5.0095760000000003E-2</v>
      </c>
      <c r="R7873">
        <v>0.5011989</v>
      </c>
      <c r="S7873">
        <v>2.1066590000000001</v>
      </c>
      <c r="T7873">
        <v>-0.22118009999999999</v>
      </c>
      <c r="U7873">
        <v>2.39032</v>
      </c>
      <c r="V7873">
        <v>-9.9244299999999994E-2</v>
      </c>
      <c r="W7873">
        <v>6.2979300000000002E-2</v>
      </c>
      <c r="X7873">
        <v>0.99306799999999995</v>
      </c>
      <c r="Y7873">
        <v>-0.40881650000000003</v>
      </c>
      <c r="Z7873">
        <v>-1.523623E-2</v>
      </c>
      <c r="AA7873">
        <v>0.91248949999999995</v>
      </c>
      <c r="AB7873">
        <v>24</v>
      </c>
      <c r="AC7873">
        <v>10.5336</v>
      </c>
      <c r="AD7873">
        <v>-1.1169597441350001</v>
      </c>
      <c r="AE7873">
        <v>12.01749</v>
      </c>
      <c r="AF7873">
        <v>-6.5412226961700597</v>
      </c>
      <c r="AG7873">
        <v>-1.1169597441350001</v>
      </c>
      <c r="AH7873">
        <v>14.4952464196527</v>
      </c>
      <c r="AI7873">
        <v>94.017661228149805</v>
      </c>
      <c r="AJ7873">
        <v>114.28807365925999</v>
      </c>
      <c r="AK7873">
        <v>15.9419999434626</v>
      </c>
      <c r="AL7873">
        <v>86.389162001191096</v>
      </c>
      <c r="AM7873">
        <v>95.707022835164494</v>
      </c>
      <c r="AN7873">
        <v>0.99999993796748798</v>
      </c>
    </row>
    <row r="7874" spans="1:40" x14ac:dyDescent="0.25">
      <c r="A7874" t="str">
        <f>"20190312160521308"</f>
        <v>20190312160521308</v>
      </c>
      <c r="B7874" t="str">
        <f>"1552377921302574"</f>
        <v>1552377921302574</v>
      </c>
      <c r="C7874" t="s">
        <v>40</v>
      </c>
      <c r="D7874">
        <v>5.6406130000000001</v>
      </c>
      <c r="E7874">
        <v>0.3723688</v>
      </c>
      <c r="F7874" t="s">
        <v>81</v>
      </c>
      <c r="G7874">
        <v>-188.0155</v>
      </c>
      <c r="H7874" s="1">
        <v>-4.5998429999999997E-6</v>
      </c>
      <c r="I7874">
        <v>-47.578270000000003</v>
      </c>
      <c r="J7874">
        <v>-198.08080000000001</v>
      </c>
      <c r="K7874">
        <v>1.117008</v>
      </c>
      <c r="L7874">
        <v>-59.126040000000003</v>
      </c>
      <c r="M7874">
        <v>0.90777509999999995</v>
      </c>
      <c r="N7874">
        <v>0</v>
      </c>
      <c r="O7874">
        <v>0.41920439999999998</v>
      </c>
      <c r="P7874">
        <v>0.86078580000000005</v>
      </c>
      <c r="Q7874">
        <v>4.9838859999999999E-2</v>
      </c>
      <c r="R7874">
        <v>0.50652159999999902</v>
      </c>
      <c r="S7874">
        <v>2.0979770000000002</v>
      </c>
      <c r="T7874">
        <v>-0.2302979</v>
      </c>
      <c r="U7874">
        <v>2.3925480000000001</v>
      </c>
      <c r="V7874">
        <v>-9.9990369999999995E-2</v>
      </c>
      <c r="W7874">
        <v>6.2711390000000006E-2</v>
      </c>
      <c r="X7874">
        <v>0.99301019999999895</v>
      </c>
      <c r="Y7874">
        <v>-0.40617180000000003</v>
      </c>
      <c r="Z7874">
        <v>-1.637276E-2</v>
      </c>
      <c r="AA7874">
        <v>0.91364999999999996</v>
      </c>
      <c r="AB7874">
        <v>24</v>
      </c>
      <c r="AC7874">
        <v>10.065300000000001</v>
      </c>
      <c r="AD7874">
        <v>-1.1170125998430001</v>
      </c>
      <c r="AE7874">
        <v>11.54777</v>
      </c>
      <c r="AF7874">
        <v>-6.2308938825088998</v>
      </c>
      <c r="AG7874">
        <v>-1.1170125998430001</v>
      </c>
      <c r="AH7874">
        <v>13.90545021676</v>
      </c>
      <c r="AI7874">
        <v>94.192633959507205</v>
      </c>
      <c r="AJ7874">
        <v>114.13667649870899</v>
      </c>
      <c r="AK7874">
        <v>15.278524190971</v>
      </c>
      <c r="AL7874">
        <v>86.404542830525898</v>
      </c>
      <c r="AM7874">
        <v>95.749971478128501</v>
      </c>
      <c r="AN7874">
        <v>1.00000002491625</v>
      </c>
    </row>
    <row r="7875" spans="1:40" x14ac:dyDescent="0.25">
      <c r="A7875" t="str">
        <f>"20190312160521319"</f>
        <v>20190312160521319</v>
      </c>
      <c r="B7875" t="str">
        <f>"1552377921312919"</f>
        <v>1552377921312919</v>
      </c>
      <c r="C7875" t="s">
        <v>40</v>
      </c>
      <c r="D7875">
        <v>5.6748830000000003</v>
      </c>
      <c r="E7875">
        <v>0.37313190000000002</v>
      </c>
      <c r="F7875" t="s">
        <v>81</v>
      </c>
      <c r="G7875">
        <v>-188.10900000000001</v>
      </c>
      <c r="H7875" s="1">
        <v>-4.579118E-6</v>
      </c>
      <c r="I7875">
        <v>-47.652529999999999</v>
      </c>
      <c r="J7875">
        <v>-197.97810000000001</v>
      </c>
      <c r="K7875">
        <v>1.117056</v>
      </c>
      <c r="L7875">
        <v>-59.072299999999998</v>
      </c>
      <c r="M7875">
        <v>0.90559389999999995</v>
      </c>
      <c r="N7875">
        <v>0</v>
      </c>
      <c r="O7875">
        <v>0.42389520000000003</v>
      </c>
      <c r="P7875">
        <v>0.85784729999999998</v>
      </c>
      <c r="Q7875">
        <v>4.9358239999999998E-2</v>
      </c>
      <c r="R7875">
        <v>0.51152900000000001</v>
      </c>
      <c r="S7875">
        <v>2.0862270000000001</v>
      </c>
      <c r="T7875">
        <v>-0.23369219999999999</v>
      </c>
      <c r="U7875">
        <v>2.4003909999999999</v>
      </c>
      <c r="V7875">
        <v>-0.10062790000000001</v>
      </c>
      <c r="W7875">
        <v>6.2222630000000001E-2</v>
      </c>
      <c r="X7875">
        <v>0.99297650000000004</v>
      </c>
      <c r="Y7875">
        <v>-0.40547840000000002</v>
      </c>
      <c r="Z7875">
        <v>-1.7027179999999999E-2</v>
      </c>
      <c r="AA7875">
        <v>0.91394600000000004</v>
      </c>
      <c r="AB7875">
        <v>24</v>
      </c>
      <c r="AC7875">
        <v>9.8690999999999995</v>
      </c>
      <c r="AD7875">
        <v>-1.1170605791179999</v>
      </c>
      <c r="AE7875">
        <v>11.41977</v>
      </c>
      <c r="AF7875">
        <v>-6.1253132649414201</v>
      </c>
      <c r="AG7875">
        <v>-1.1170605791179999</v>
      </c>
      <c r="AH7875">
        <v>13.704580490755401</v>
      </c>
      <c r="AI7875">
        <v>94.255840113174401</v>
      </c>
      <c r="AJ7875">
        <v>114.08243332628</v>
      </c>
      <c r="AK7875">
        <v>15.0526679814138</v>
      </c>
      <c r="AL7875">
        <v>86.432601351744793</v>
      </c>
      <c r="AM7875">
        <v>95.786579857832294</v>
      </c>
      <c r="AN7875">
        <v>0.99999997974738797</v>
      </c>
    </row>
    <row r="7876" spans="1:40" x14ac:dyDescent="0.25">
      <c r="A7876" t="str">
        <f>"20190312160521331"</f>
        <v>20190312160521331</v>
      </c>
      <c r="B7876" t="str">
        <f>"1552377921322678"</f>
        <v>1552377921322678</v>
      </c>
      <c r="C7876" t="s">
        <v>40</v>
      </c>
      <c r="D7876">
        <v>5.7159500000000003</v>
      </c>
      <c r="E7876">
        <v>0.37317499999999998</v>
      </c>
      <c r="F7876" t="s">
        <v>81</v>
      </c>
      <c r="G7876">
        <v>-188.22649999999999</v>
      </c>
      <c r="H7876" s="1">
        <v>-4.5450300000000001E-6</v>
      </c>
      <c r="I7876">
        <v>-47.761830000000003</v>
      </c>
      <c r="J7876">
        <v>-197.87039999999999</v>
      </c>
      <c r="K7876">
        <v>1.11711</v>
      </c>
      <c r="L7876">
        <v>-59.015529999999998</v>
      </c>
      <c r="M7876">
        <v>0.90326799999999996</v>
      </c>
      <c r="N7876">
        <v>0</v>
      </c>
      <c r="O7876">
        <v>0.4288286</v>
      </c>
      <c r="P7876">
        <v>0.85455890000000001</v>
      </c>
      <c r="Q7876">
        <v>4.8468690000000002E-2</v>
      </c>
      <c r="R7876">
        <v>0.51708779999999999</v>
      </c>
      <c r="S7876">
        <v>2.0754239999999999</v>
      </c>
      <c r="T7876">
        <v>-0.23774300000000001</v>
      </c>
      <c r="U7876">
        <v>2.4071959999999999</v>
      </c>
      <c r="V7876">
        <v>-0.1016312</v>
      </c>
      <c r="W7876">
        <v>6.1318839999999999E-2</v>
      </c>
      <c r="X7876">
        <v>0.99293050000000005</v>
      </c>
      <c r="Y7876">
        <v>-0.40413389999999999</v>
      </c>
      <c r="Z7876">
        <v>-1.7788780000000001E-2</v>
      </c>
      <c r="AA7876">
        <v>0.91452679999999997</v>
      </c>
      <c r="AB7876">
        <v>24</v>
      </c>
      <c r="AC7876">
        <v>9.6439000000000004</v>
      </c>
      <c r="AD7876">
        <v>-1.11711454503</v>
      </c>
      <c r="AE7876">
        <v>11.2537</v>
      </c>
      <c r="AF7876">
        <v>-5.9961021987425198</v>
      </c>
      <c r="AG7876">
        <v>-1.11711454503</v>
      </c>
      <c r="AH7876">
        <v>13.4618925160486</v>
      </c>
      <c r="AI7876">
        <v>94.334957483533998</v>
      </c>
      <c r="AJ7876">
        <v>114.008813734814</v>
      </c>
      <c r="AK7876">
        <v>14.779165625911601</v>
      </c>
      <c r="AL7876">
        <v>86.484483641620997</v>
      </c>
      <c r="AM7876">
        <v>95.844145860369395</v>
      </c>
      <c r="AN7876">
        <v>0.99999993939131504</v>
      </c>
    </row>
    <row r="7877" spans="1:40" x14ac:dyDescent="0.25">
      <c r="A7877" t="str">
        <f>"20190312160521340"</f>
        <v>20190312160521340</v>
      </c>
      <c r="B7877" t="str">
        <f>"1552377921332440"</f>
        <v>1552377921332440</v>
      </c>
      <c r="C7877" t="s">
        <v>40</v>
      </c>
      <c r="D7877">
        <v>5.2333089999999904</v>
      </c>
      <c r="E7877">
        <v>0.37317499999999998</v>
      </c>
      <c r="F7877" t="s">
        <v>81</v>
      </c>
      <c r="G7877">
        <v>-188.33609999999999</v>
      </c>
      <c r="H7877" s="1">
        <v>-4.5388870000000001E-6</v>
      </c>
      <c r="I7877">
        <v>-47.812820000000002</v>
      </c>
      <c r="J7877">
        <v>-197.78020000000001</v>
      </c>
      <c r="K7877">
        <v>1.1171500000000001</v>
      </c>
      <c r="L7877">
        <v>-58.967190000000002</v>
      </c>
      <c r="M7877">
        <v>0.90127000000000002</v>
      </c>
      <c r="N7877">
        <v>0</v>
      </c>
      <c r="O7877">
        <v>0.4330117</v>
      </c>
      <c r="P7877">
        <v>0.8520373</v>
      </c>
      <c r="Q7877">
        <v>4.8081230000000003E-2</v>
      </c>
      <c r="R7877">
        <v>0.52126850000000002</v>
      </c>
      <c r="S7877">
        <v>2.0598139999999998</v>
      </c>
      <c r="T7877">
        <v>-0.24134369999999999</v>
      </c>
      <c r="U7877">
        <v>2.420258</v>
      </c>
      <c r="V7877">
        <v>-0.1018831</v>
      </c>
      <c r="W7877">
        <v>6.0929990000000003E-2</v>
      </c>
      <c r="X7877">
        <v>0.9929287</v>
      </c>
      <c r="Y7877">
        <v>-0.40575440000000002</v>
      </c>
      <c r="Z7877">
        <v>-1.8344409999999998E-2</v>
      </c>
      <c r="AA7877">
        <v>0.913798</v>
      </c>
      <c r="AB7877">
        <v>24</v>
      </c>
      <c r="AC7877">
        <v>9.4441000000000095</v>
      </c>
      <c r="AD7877">
        <v>-1.1171545388869999</v>
      </c>
      <c r="AE7877">
        <v>11.15437</v>
      </c>
      <c r="AF7877">
        <v>-5.9296847317708803</v>
      </c>
      <c r="AG7877">
        <v>-1.1171545388869999</v>
      </c>
      <c r="AH7877">
        <v>13.265574669779101</v>
      </c>
      <c r="AI7877">
        <v>94.396434091159804</v>
      </c>
      <c r="AJ7877">
        <v>114.084545586196</v>
      </c>
      <c r="AK7877">
        <v>14.573423297270899</v>
      </c>
      <c r="AL7877">
        <v>86.506805113919896</v>
      </c>
      <c r="AM7877">
        <v>95.858540899966499</v>
      </c>
      <c r="AN7877">
        <v>1.00000001651534</v>
      </c>
    </row>
    <row r="7878" spans="1:40" x14ac:dyDescent="0.25">
      <c r="A7878" t="str">
        <f>"20190312160521352"</f>
        <v>20190312160521352</v>
      </c>
      <c r="B7878" t="str">
        <f>"1552377921343175"</f>
        <v>1552377921343175</v>
      </c>
      <c r="C7878" t="s">
        <v>40</v>
      </c>
      <c r="D7878">
        <v>5.6773540000000002</v>
      </c>
      <c r="E7878">
        <v>0.35248170000000001</v>
      </c>
      <c r="F7878" t="s">
        <v>81</v>
      </c>
      <c r="G7878">
        <v>-188.327</v>
      </c>
      <c r="H7878" s="1">
        <v>-4.5703699999999999E-6</v>
      </c>
      <c r="I7878">
        <v>-47.747039999999998</v>
      </c>
      <c r="J7878">
        <v>-197.67670000000001</v>
      </c>
      <c r="K7878">
        <v>1.1171960000000001</v>
      </c>
      <c r="L7878">
        <v>-58.911099999999998</v>
      </c>
      <c r="M7878">
        <v>0.89893069999999897</v>
      </c>
      <c r="N7878">
        <v>0</v>
      </c>
      <c r="O7878">
        <v>0.43784689999999998</v>
      </c>
      <c r="P7878">
        <v>0.84904120000000005</v>
      </c>
      <c r="Q7878">
        <v>4.7895470000000002E-2</v>
      </c>
      <c r="R7878">
        <v>0.52615129999999999</v>
      </c>
      <c r="S7878">
        <v>2.0476990000000002</v>
      </c>
      <c r="T7878">
        <v>-0.2419924</v>
      </c>
      <c r="U7878">
        <v>2.43045</v>
      </c>
      <c r="V7878">
        <v>-0.1022489</v>
      </c>
      <c r="W7878">
        <v>6.0741509999999999E-2</v>
      </c>
      <c r="X7878">
        <v>0.99290259999999997</v>
      </c>
      <c r="Y7878">
        <v>-0.40540890000000002</v>
      </c>
      <c r="Z7878">
        <v>-1.881246E-2</v>
      </c>
      <c r="AA7878">
        <v>0.91394189999999997</v>
      </c>
      <c r="AB7878">
        <v>24</v>
      </c>
      <c r="AC7878">
        <v>9.3497000000000092</v>
      </c>
      <c r="AD7878">
        <v>-1.1172005703700001</v>
      </c>
      <c r="AE7878">
        <v>11.1640599999999</v>
      </c>
      <c r="AF7878">
        <v>-5.90784073924263</v>
      </c>
      <c r="AG7878">
        <v>-1.1172005703700001</v>
      </c>
      <c r="AH7878">
        <v>13.2165100202232</v>
      </c>
      <c r="AI7878">
        <v>94.412861185737299</v>
      </c>
      <c r="AJ7878">
        <v>114.084862845703</v>
      </c>
      <c r="AK7878">
        <v>14.5198779757045</v>
      </c>
      <c r="AL7878">
        <v>86.517624102345195</v>
      </c>
      <c r="AM7878">
        <v>95.879581720948394</v>
      </c>
      <c r="AN7878">
        <v>0.99999997083752401</v>
      </c>
    </row>
    <row r="7879" spans="1:40" x14ac:dyDescent="0.25">
      <c r="A7879" t="str">
        <f>"20190312160521362"</f>
        <v>20190312160521362</v>
      </c>
      <c r="B7879" t="str">
        <f>"1552377921352935"</f>
        <v>1552377921352935</v>
      </c>
      <c r="C7879" t="s">
        <v>40</v>
      </c>
      <c r="D7879">
        <v>5.5593890000000004</v>
      </c>
      <c r="E7879">
        <v>0.34825250000000002</v>
      </c>
      <c r="F7879" t="s">
        <v>49</v>
      </c>
      <c r="G7879">
        <v>-197.08359999999999</v>
      </c>
      <c r="H7879">
        <v>1.0567610000000001</v>
      </c>
      <c r="I7879">
        <v>-58.123640000000002</v>
      </c>
      <c r="J7879">
        <v>-197.5813</v>
      </c>
      <c r="K7879">
        <v>1.1172359999999999</v>
      </c>
      <c r="L7879">
        <v>-58.858759999999997</v>
      </c>
      <c r="M7879">
        <v>0.89673069999999899</v>
      </c>
      <c r="N7879">
        <v>0</v>
      </c>
      <c r="O7879">
        <v>0.44233479999999997</v>
      </c>
      <c r="P7879">
        <v>0.84608340000000004</v>
      </c>
      <c r="Q7879">
        <v>4.8038980000000002E-2</v>
      </c>
      <c r="R7879">
        <v>0.53088159999999995</v>
      </c>
      <c r="S7879">
        <v>1.9444429999999999</v>
      </c>
      <c r="T7879">
        <v>-0.198161</v>
      </c>
      <c r="U7879">
        <v>2.5821230000000002</v>
      </c>
      <c r="V7879">
        <v>-0.1028398</v>
      </c>
      <c r="W7879">
        <v>6.0877639999999997E-2</v>
      </c>
      <c r="X7879">
        <v>0.99283330000000003</v>
      </c>
      <c r="Y7879">
        <v>-0.45023970000000002</v>
      </c>
      <c r="Z7879">
        <v>-1.4027680000000001E-2</v>
      </c>
      <c r="AA7879">
        <v>0.89279750000000002</v>
      </c>
      <c r="AB7879">
        <v>24</v>
      </c>
      <c r="AC7879">
        <v>0.49770000000000802</v>
      </c>
      <c r="AD7879">
        <v>-6.0475000000000001E-2</v>
      </c>
      <c r="AE7879">
        <v>0.735119999999994</v>
      </c>
      <c r="AF7879">
        <v>-0.43707337529832102</v>
      </c>
      <c r="AG7879">
        <v>-6.0475000000000001E-2</v>
      </c>
      <c r="AH7879">
        <v>0.76799070231556699</v>
      </c>
      <c r="AI7879">
        <v>93.915074475733903</v>
      </c>
      <c r="AJ7879">
        <v>119.64476029728399</v>
      </c>
      <c r="AK7879">
        <v>0.88572009114777694</v>
      </c>
      <c r="AL7879">
        <v>86.509810196333902</v>
      </c>
      <c r="AM7879">
        <v>95.913729770907807</v>
      </c>
      <c r="AN7879">
        <v>1.00000003655244</v>
      </c>
    </row>
    <row r="7880" spans="1:40" x14ac:dyDescent="0.25">
      <c r="A7880" t="str">
        <f>"20190312160521374"</f>
        <v>20190312160521374</v>
      </c>
      <c r="B7880" t="str">
        <f>"1552377921362695"</f>
        <v>1552377921362695</v>
      </c>
      <c r="C7880" t="s">
        <v>40</v>
      </c>
      <c r="D7880">
        <v>5.6563129999999999</v>
      </c>
      <c r="E7880">
        <v>0.34825250000000002</v>
      </c>
      <c r="F7880" t="s">
        <v>49</v>
      </c>
      <c r="G7880">
        <v>-197.0231</v>
      </c>
      <c r="H7880">
        <v>1.05909599999999</v>
      </c>
      <c r="I7880">
        <v>-58.09366</v>
      </c>
      <c r="J7880">
        <v>-197.48009999999999</v>
      </c>
      <c r="K7880">
        <v>1.1172770000000001</v>
      </c>
      <c r="L7880">
        <v>-58.802370000000003</v>
      </c>
      <c r="M7880">
        <v>0.89433969999999896</v>
      </c>
      <c r="N7880">
        <v>0</v>
      </c>
      <c r="O7880">
        <v>0.44714890000000002</v>
      </c>
      <c r="P7880">
        <v>0.84308139999999998</v>
      </c>
      <c r="Q7880">
        <v>4.7941640000000001E-2</v>
      </c>
      <c r="R7880">
        <v>0.53564499999999904</v>
      </c>
      <c r="S7880">
        <v>1.9122619999999999</v>
      </c>
      <c r="T7880">
        <v>-0.19919410000000001</v>
      </c>
      <c r="U7880">
        <v>2.6213989999999998</v>
      </c>
      <c r="V7880">
        <v>-0.1031046</v>
      </c>
      <c r="W7880">
        <v>6.0778640000000002E-2</v>
      </c>
      <c r="X7880">
        <v>0.99281189999999997</v>
      </c>
      <c r="Y7880">
        <v>-0.45898559999999999</v>
      </c>
      <c r="Z7880">
        <v>-1.4092159999999999E-2</v>
      </c>
      <c r="AA7880">
        <v>0.88833189999999995</v>
      </c>
      <c r="AB7880">
        <v>24</v>
      </c>
      <c r="AC7880">
        <v>0.45699999999999302</v>
      </c>
      <c r="AD7880">
        <v>-5.8181000000000198E-2</v>
      </c>
      <c r="AE7880">
        <v>0.70870999999999595</v>
      </c>
      <c r="AF7880">
        <v>-0.42749155936011002</v>
      </c>
      <c r="AG7880">
        <v>-5.8181000000000198E-2</v>
      </c>
      <c r="AH7880">
        <v>0.722251900617079</v>
      </c>
      <c r="AI7880">
        <v>93.965526723068393</v>
      </c>
      <c r="AJ7880">
        <v>120.620741118707</v>
      </c>
      <c r="AK7880">
        <v>0.84129772971886796</v>
      </c>
      <c r="AL7880">
        <v>86.515492996697105</v>
      </c>
      <c r="AM7880">
        <v>95.928975464782596</v>
      </c>
      <c r="AN7880">
        <v>1.0000000352014999</v>
      </c>
    </row>
    <row r="7881" spans="1:40" x14ac:dyDescent="0.25">
      <c r="A7881" t="str">
        <f>"20190312160521386"</f>
        <v>20190312160521386</v>
      </c>
      <c r="B7881" t="str">
        <f>"1552377921383192"</f>
        <v>1552377921383192</v>
      </c>
      <c r="C7881" t="s">
        <v>40</v>
      </c>
      <c r="D7881">
        <v>5.5967589999999996</v>
      </c>
      <c r="E7881">
        <v>0.25040190000000001</v>
      </c>
      <c r="F7881" t="s">
        <v>49</v>
      </c>
      <c r="G7881">
        <v>-196.9127</v>
      </c>
      <c r="H7881">
        <v>1.0575859999999999</v>
      </c>
      <c r="I7881">
        <v>-58.015529999999998</v>
      </c>
      <c r="J7881">
        <v>-197.37280000000001</v>
      </c>
      <c r="K7881">
        <v>1.117321</v>
      </c>
      <c r="L7881">
        <v>-58.741999999999997</v>
      </c>
      <c r="M7881">
        <v>0.89175629999999995</v>
      </c>
      <c r="N7881">
        <v>0</v>
      </c>
      <c r="O7881">
        <v>0.45227830000000002</v>
      </c>
      <c r="P7881">
        <v>0.83984259999999999</v>
      </c>
      <c r="Q7881">
        <v>4.795174E-2</v>
      </c>
      <c r="R7881">
        <v>0.54070790000000002</v>
      </c>
      <c r="S7881">
        <v>1.8974759999999999</v>
      </c>
      <c r="T7881">
        <v>-0.1996483</v>
      </c>
      <c r="U7881">
        <v>2.6320800000000002</v>
      </c>
      <c r="V7881">
        <v>-0.1033834</v>
      </c>
      <c r="W7881">
        <v>6.0787199999999902E-2</v>
      </c>
      <c r="X7881">
        <v>0.99278239999999995</v>
      </c>
      <c r="Y7881">
        <v>-0.4588836</v>
      </c>
      <c r="Z7881">
        <v>-1.448151E-2</v>
      </c>
      <c r="AA7881">
        <v>0.88837840000000001</v>
      </c>
      <c r="AB7881">
        <v>24</v>
      </c>
      <c r="AC7881">
        <v>0.460100000000011</v>
      </c>
      <c r="AD7881">
        <v>-5.9734999999999802E-2</v>
      </c>
      <c r="AE7881">
        <v>0.72646999999999196</v>
      </c>
      <c r="AF7881">
        <v>-0.43767620544875202</v>
      </c>
      <c r="AG7881">
        <v>-5.9734999999999802E-2</v>
      </c>
      <c r="AH7881">
        <v>0.73539444930257203</v>
      </c>
      <c r="AI7881">
        <v>93.9928567387025</v>
      </c>
      <c r="AJ7881">
        <v>120.759349049946</v>
      </c>
      <c r="AK7881">
        <v>0.85786579784139405</v>
      </c>
      <c r="AL7881">
        <v>86.515001696382498</v>
      </c>
      <c r="AM7881">
        <v>95.945068430251695</v>
      </c>
      <c r="AN7881">
        <v>1.00000005241457</v>
      </c>
    </row>
    <row r="7882" spans="1:40" x14ac:dyDescent="0.25">
      <c r="A7882" t="str">
        <f>"20190312160521430"</f>
        <v>20190312160521430</v>
      </c>
      <c r="B7882" t="str">
        <f>"1552377921422804"</f>
        <v>1552377921422804</v>
      </c>
      <c r="C7882" t="s">
        <v>40</v>
      </c>
      <c r="D7882">
        <v>5.7993730000000001</v>
      </c>
      <c r="E7882">
        <v>0.25040190000000001</v>
      </c>
      <c r="F7882" t="s">
        <v>53</v>
      </c>
      <c r="G7882">
        <v>-167.99860000000001</v>
      </c>
      <c r="H7882">
        <v>11.062849999999999</v>
      </c>
      <c r="I7882">
        <v>9.1280230000000007</v>
      </c>
      <c r="J7882">
        <v>-196.9768</v>
      </c>
      <c r="K7882">
        <v>1.117486</v>
      </c>
      <c r="L7882">
        <v>-58.510649999999998</v>
      </c>
      <c r="M7882">
        <v>0.88164730000000002</v>
      </c>
      <c r="N7882">
        <v>0</v>
      </c>
      <c r="O7882">
        <v>0.47167940000000003</v>
      </c>
      <c r="P7882">
        <v>0.8272929</v>
      </c>
      <c r="Q7882">
        <v>4.725058E-2</v>
      </c>
      <c r="R7882">
        <v>0.55978039999999996</v>
      </c>
      <c r="S7882">
        <v>1.4248959999999999</v>
      </c>
      <c r="T7882">
        <v>0.48244140000000002</v>
      </c>
      <c r="U7882">
        <v>3.2922669999999998</v>
      </c>
      <c r="V7882">
        <v>-0.10437200000000001</v>
      </c>
      <c r="W7882">
        <v>6.0080870000000001E-2</v>
      </c>
      <c r="X7882">
        <v>0.99272190000000005</v>
      </c>
      <c r="Y7882">
        <v>-0.62044779999999999</v>
      </c>
      <c r="Z7882">
        <v>2.2096370000000001E-2</v>
      </c>
      <c r="AA7882">
        <v>0.78393639999999998</v>
      </c>
      <c r="AB7882">
        <v>23</v>
      </c>
      <c r="AC7882">
        <v>28.978199999999902</v>
      </c>
      <c r="AD7882">
        <v>9.9453639999999996</v>
      </c>
      <c r="AE7882">
        <v>67.638672999999997</v>
      </c>
      <c r="AF7882">
        <v>-45.145346287777599</v>
      </c>
      <c r="AG7882">
        <v>9.9453639999999996</v>
      </c>
      <c r="AH7882">
        <v>56.427782369566401</v>
      </c>
      <c r="AI7882">
        <v>82.163952815537897</v>
      </c>
      <c r="AJ7882">
        <v>128.66174014793799</v>
      </c>
      <c r="AK7882">
        <v>72.945919554715303</v>
      </c>
      <c r="AL7882">
        <v>86.555545341796403</v>
      </c>
      <c r="AM7882">
        <v>96.0018680430682</v>
      </c>
      <c r="AN7882">
        <v>0.99999999803178297</v>
      </c>
    </row>
    <row r="7883" spans="1:40" x14ac:dyDescent="0.25">
      <c r="A7883" t="str">
        <f>"20190312160521441"</f>
        <v>20190312160521441</v>
      </c>
      <c r="B7883" t="str">
        <f>"1552377921432565"</f>
        <v>1552377921432565</v>
      </c>
      <c r="C7883" t="s">
        <v>40</v>
      </c>
      <c r="D7883">
        <v>5.5991070000000001</v>
      </c>
      <c r="E7883">
        <v>0.3273606</v>
      </c>
      <c r="F7883" t="s">
        <v>57</v>
      </c>
      <c r="G7883">
        <v>-163.0016</v>
      </c>
      <c r="H7883">
        <v>13.19772</v>
      </c>
      <c r="I7883">
        <v>25.184909999999999</v>
      </c>
      <c r="J7883">
        <v>-196.8794</v>
      </c>
      <c r="K7883">
        <v>1.117521</v>
      </c>
      <c r="L7883">
        <v>-58.451749999999997</v>
      </c>
      <c r="M7883">
        <v>0.87902389999999997</v>
      </c>
      <c r="N7883">
        <v>0</v>
      </c>
      <c r="O7883">
        <v>0.47655019999999998</v>
      </c>
      <c r="P7883">
        <v>0.82419189999999998</v>
      </c>
      <c r="Q7883">
        <v>4.6855260000000003E-2</v>
      </c>
      <c r="R7883">
        <v>0.56436909999999996</v>
      </c>
      <c r="S7883">
        <v>1.3494870000000001</v>
      </c>
      <c r="T7883">
        <v>0.47982469999999999</v>
      </c>
      <c r="U7883">
        <v>3.3243710000000002</v>
      </c>
      <c r="V7883">
        <v>-0.1043844</v>
      </c>
      <c r="W7883">
        <v>5.968913E-2</v>
      </c>
      <c r="X7883">
        <v>0.99274419999999997</v>
      </c>
      <c r="Y7883">
        <v>-0.63386369999999903</v>
      </c>
      <c r="Z7883">
        <v>2.161217E-2</v>
      </c>
      <c r="AA7883">
        <v>0.77314280000000002</v>
      </c>
      <c r="AB7883">
        <v>23</v>
      </c>
      <c r="AC7883">
        <v>33.877800000000001</v>
      </c>
      <c r="AD7883">
        <v>12.080199</v>
      </c>
      <c r="AE7883">
        <v>83.636659999999907</v>
      </c>
      <c r="AF7883">
        <v>-56.370135669136602</v>
      </c>
      <c r="AG7883">
        <v>12.080199</v>
      </c>
      <c r="AH7883">
        <v>68.417864414872994</v>
      </c>
      <c r="AI7883">
        <v>82.2400774045567</v>
      </c>
      <c r="AJ7883">
        <v>129.485437690835</v>
      </c>
      <c r="AK7883">
        <v>89.468025429917702</v>
      </c>
      <c r="AL7883">
        <v>86.578030652700804</v>
      </c>
      <c r="AM7883">
        <v>96.002442042729996</v>
      </c>
      <c r="AN7883">
        <v>0.99999997091857795</v>
      </c>
    </row>
    <row r="7884" spans="1:40" x14ac:dyDescent="0.25">
      <c r="A7884" t="str">
        <f>"20190312160521453"</f>
        <v>20190312160521453</v>
      </c>
      <c r="B7884" t="str">
        <f>"1552377921443299"</f>
        <v>1552377921443299</v>
      </c>
      <c r="C7884" t="s">
        <v>40</v>
      </c>
      <c r="D7884">
        <v>5.6354889999999997</v>
      </c>
      <c r="E7884">
        <v>0.326464799999999</v>
      </c>
      <c r="F7884" t="s">
        <v>49</v>
      </c>
      <c r="G7884">
        <v>-196.4118</v>
      </c>
      <c r="H7884">
        <v>1.0759209999999999</v>
      </c>
      <c r="I7884">
        <v>-57.676879999999997</v>
      </c>
      <c r="J7884">
        <v>-196.77969999999999</v>
      </c>
      <c r="K7884">
        <v>1.1175580000000001</v>
      </c>
      <c r="L7884">
        <v>-58.390749999999997</v>
      </c>
      <c r="M7884">
        <v>0.87628379999999995</v>
      </c>
      <c r="N7884">
        <v>0</v>
      </c>
      <c r="O7884">
        <v>0.48156969999999999</v>
      </c>
      <c r="P7884">
        <v>0.82092770000000004</v>
      </c>
      <c r="Q7884">
        <v>4.6455740000000002E-2</v>
      </c>
      <c r="R7884">
        <v>0.56913939999999996</v>
      </c>
      <c r="S7884">
        <v>1.708939</v>
      </c>
      <c r="T7884">
        <v>-0.15206129999999901</v>
      </c>
      <c r="U7884">
        <v>2.8325499999999999</v>
      </c>
      <c r="V7884">
        <v>-0.1044527</v>
      </c>
      <c r="W7884">
        <v>5.9292640000000001E-2</v>
      </c>
      <c r="X7884">
        <v>0.9927608</v>
      </c>
      <c r="Y7884">
        <v>-0.50153639999999999</v>
      </c>
      <c r="Z7884">
        <v>-1.129879E-2</v>
      </c>
      <c r="AA7884">
        <v>0.86506269999999996</v>
      </c>
      <c r="AB7884">
        <v>23</v>
      </c>
      <c r="AC7884">
        <v>0.36789999999999101</v>
      </c>
      <c r="AD7884">
        <v>-4.1637000000000098E-2</v>
      </c>
      <c r="AE7884">
        <v>0.71386999999999201</v>
      </c>
      <c r="AF7884">
        <v>-0.44722981081198898</v>
      </c>
      <c r="AG7884">
        <v>-4.1637000000000098E-2</v>
      </c>
      <c r="AH7884">
        <v>0.66444934622488905</v>
      </c>
      <c r="AI7884">
        <v>92.975846002835794</v>
      </c>
      <c r="AJ7884">
        <v>123.943841569106</v>
      </c>
      <c r="AK7884">
        <v>0.80202311509495205</v>
      </c>
      <c r="AL7884">
        <v>86.600788245591403</v>
      </c>
      <c r="AM7884">
        <v>96.006241115124297</v>
      </c>
      <c r="AN7884">
        <v>0.99999999485604896</v>
      </c>
    </row>
    <row r="7885" spans="1:40" x14ac:dyDescent="0.25">
      <c r="A7885" t="str">
        <f>"20190312160521463"</f>
        <v>20190312160521463</v>
      </c>
      <c r="B7885" t="str">
        <f>"1552377921453060"</f>
        <v>1552377921453060</v>
      </c>
      <c r="C7885" t="s">
        <v>40</v>
      </c>
      <c r="D7885">
        <v>5.7249939999999997</v>
      </c>
      <c r="E7885">
        <v>0.32748329999999998</v>
      </c>
      <c r="F7885" t="s">
        <v>49</v>
      </c>
      <c r="G7885">
        <v>-196.27260000000001</v>
      </c>
      <c r="H7885">
        <v>1.0732389999999901</v>
      </c>
      <c r="I7885">
        <v>-57.535110000000003</v>
      </c>
      <c r="J7885">
        <v>-196.68549999999999</v>
      </c>
      <c r="K7885">
        <v>1.1175930000000001</v>
      </c>
      <c r="L7885">
        <v>-58.3324</v>
      </c>
      <c r="M7885">
        <v>0.87364129999999995</v>
      </c>
      <c r="N7885">
        <v>0</v>
      </c>
      <c r="O7885">
        <v>0.48634660000000002</v>
      </c>
      <c r="P7885">
        <v>0.81758450000000005</v>
      </c>
      <c r="Q7885">
        <v>4.5857090000000003E-2</v>
      </c>
      <c r="R7885">
        <v>0.57397969999999998</v>
      </c>
      <c r="S7885">
        <v>1.6880649999999999</v>
      </c>
      <c r="T7885">
        <v>-0.14751900000000001</v>
      </c>
      <c r="U7885">
        <v>2.8482970000000001</v>
      </c>
      <c r="V7885">
        <v>-0.10487680000000001</v>
      </c>
      <c r="W7885">
        <v>5.8689529999999997E-2</v>
      </c>
      <c r="X7885">
        <v>0.99275199999999997</v>
      </c>
      <c r="Y7885">
        <v>-0.50361179999999905</v>
      </c>
      <c r="Z7885">
        <v>-1.1146669999999999E-2</v>
      </c>
      <c r="AA7885">
        <v>0.86385820000000002</v>
      </c>
      <c r="AB7885">
        <v>23</v>
      </c>
      <c r="AC7885">
        <v>0.41289999999997901</v>
      </c>
      <c r="AD7885">
        <v>-4.4354000000000199E-2</v>
      </c>
      <c r="AE7885">
        <v>0.79729000000000305</v>
      </c>
      <c r="AF7885">
        <v>-0.494580040701741</v>
      </c>
      <c r="AG7885">
        <v>-4.4354000000000199E-2</v>
      </c>
      <c r="AH7885">
        <v>0.74674502904683404</v>
      </c>
      <c r="AI7885">
        <v>92.834975493613101</v>
      </c>
      <c r="AJ7885">
        <v>123.517085138816</v>
      </c>
      <c r="AK7885">
        <v>0.89677468317448195</v>
      </c>
      <c r="AL7885">
        <v>86.635404436315895</v>
      </c>
      <c r="AM7885">
        <v>96.030501440303098</v>
      </c>
      <c r="AN7885">
        <v>1.0000000688069199</v>
      </c>
    </row>
    <row r="7886" spans="1:40" x14ac:dyDescent="0.25">
      <c r="A7886" t="str">
        <f>"20190312160521476"</f>
        <v>20190312160521476</v>
      </c>
      <c r="B7886" t="str">
        <f>"1552377921472580"</f>
        <v>1552377921472580</v>
      </c>
      <c r="C7886" t="s">
        <v>40</v>
      </c>
      <c r="D7886">
        <v>5.6577590000000004</v>
      </c>
      <c r="E7886">
        <v>0.32809509999999997</v>
      </c>
      <c r="F7886" t="s">
        <v>49</v>
      </c>
      <c r="G7886">
        <v>-196.23859999999999</v>
      </c>
      <c r="H7886">
        <v>1.0774709999999901</v>
      </c>
      <c r="I7886">
        <v>-57.572209999999998</v>
      </c>
      <c r="J7886">
        <v>-196.584</v>
      </c>
      <c r="K7886">
        <v>1.1176330000000001</v>
      </c>
      <c r="L7886">
        <v>-58.268430000000002</v>
      </c>
      <c r="M7886">
        <v>0.87072380000000005</v>
      </c>
      <c r="N7886">
        <v>0</v>
      </c>
      <c r="O7886">
        <v>0.4915506</v>
      </c>
      <c r="P7886">
        <v>0.81399969999999999</v>
      </c>
      <c r="Q7886">
        <v>4.5721280000000003E-2</v>
      </c>
      <c r="R7886">
        <v>0.5790632</v>
      </c>
      <c r="S7886">
        <v>1.6759189999999999</v>
      </c>
      <c r="T7886">
        <v>-0.15048929999999999</v>
      </c>
      <c r="U7886">
        <v>2.8515009999999998</v>
      </c>
      <c r="V7886">
        <v>-0.10513989999999999</v>
      </c>
      <c r="W7886">
        <v>5.8552920000000001E-2</v>
      </c>
      <c r="X7886">
        <v>0.99273219999999995</v>
      </c>
      <c r="Y7886">
        <v>-0.50161489999999997</v>
      </c>
      <c r="Z7886">
        <v>-1.170407E-2</v>
      </c>
      <c r="AA7886">
        <v>0.86501189999999994</v>
      </c>
      <c r="AB7886">
        <v>23</v>
      </c>
      <c r="AC7886">
        <v>0.34540000000001198</v>
      </c>
      <c r="AD7886">
        <v>-4.0162000000000198E-2</v>
      </c>
      <c r="AE7886">
        <v>0.69622000000000295</v>
      </c>
      <c r="AF7886">
        <v>-0.435318864559537</v>
      </c>
      <c r="AG7886">
        <v>-4.0162000000000198E-2</v>
      </c>
      <c r="AH7886">
        <v>0.64133286067857698</v>
      </c>
      <c r="AI7886">
        <v>92.966067732239196</v>
      </c>
      <c r="AJ7886">
        <v>124.16756715079499</v>
      </c>
      <c r="AK7886">
        <v>0.77615935108170397</v>
      </c>
      <c r="AL7886">
        <v>86.643244972012198</v>
      </c>
      <c r="AM7886">
        <v>96.045637691597605</v>
      </c>
      <c r="AN7886">
        <v>1.00000003196468</v>
      </c>
    </row>
    <row r="7887" spans="1:40" x14ac:dyDescent="0.25">
      <c r="A7887" t="str">
        <f>"20190312160521487"</f>
        <v>20190312160521487</v>
      </c>
      <c r="B7887" t="str">
        <f>"1552377921483317"</f>
        <v>1552377921483317</v>
      </c>
      <c r="C7887" t="s">
        <v>40</v>
      </c>
      <c r="D7887">
        <v>5.7089809999999996</v>
      </c>
      <c r="E7887">
        <v>0.328497599999999</v>
      </c>
      <c r="F7887" t="s">
        <v>49</v>
      </c>
      <c r="G7887">
        <v>-196.09819999999999</v>
      </c>
      <c r="H7887">
        <v>1.0749169999999999</v>
      </c>
      <c r="I7887">
        <v>-57.432400000000001</v>
      </c>
      <c r="J7887">
        <v>-196.4862</v>
      </c>
      <c r="K7887">
        <v>1.1176710000000001</v>
      </c>
      <c r="L7887">
        <v>-58.206389999999999</v>
      </c>
      <c r="M7887">
        <v>0.86786799999999997</v>
      </c>
      <c r="N7887">
        <v>0</v>
      </c>
      <c r="O7887">
        <v>0.49657469999999998</v>
      </c>
      <c r="P7887">
        <v>0.81048679999999995</v>
      </c>
      <c r="Q7887">
        <v>4.5472100000000001E-2</v>
      </c>
      <c r="R7887">
        <v>0.58398939999999999</v>
      </c>
      <c r="S7887">
        <v>1.660736</v>
      </c>
      <c r="T7887">
        <v>-0.1460148</v>
      </c>
      <c r="U7887">
        <v>2.857758</v>
      </c>
      <c r="V7887">
        <v>-0.105417899999999</v>
      </c>
      <c r="W7887">
        <v>5.8302050000000001E-2</v>
      </c>
      <c r="X7887">
        <v>0.99271739999999997</v>
      </c>
      <c r="Y7887">
        <v>-0.50087649999999995</v>
      </c>
      <c r="Z7887">
        <v>-1.163749E-2</v>
      </c>
      <c r="AA7887">
        <v>0.86544049999999995</v>
      </c>
      <c r="AB7887">
        <v>23</v>
      </c>
      <c r="AC7887">
        <v>0.38800000000000501</v>
      </c>
      <c r="AD7887">
        <v>-4.2753999999999903E-2</v>
      </c>
      <c r="AE7887">
        <v>0.77398999999999696</v>
      </c>
      <c r="AF7887">
        <v>-0.47793711713732201</v>
      </c>
      <c r="AG7887">
        <v>-4.2753999999999903E-2</v>
      </c>
      <c r="AH7887">
        <v>0.71940124532611305</v>
      </c>
      <c r="AI7887">
        <v>92.833913995161595</v>
      </c>
      <c r="AJ7887">
        <v>123.598235859821</v>
      </c>
      <c r="AK7887">
        <v>0.86474848611043997</v>
      </c>
      <c r="AL7887">
        <v>86.657643085163699</v>
      </c>
      <c r="AM7887">
        <v>96.061593782605001</v>
      </c>
      <c r="AN7887">
        <v>0.99999994946868398</v>
      </c>
    </row>
    <row r="7888" spans="1:40" x14ac:dyDescent="0.25">
      <c r="A7888" t="str">
        <f>"20190312160521499"</f>
        <v>20190312160521499</v>
      </c>
      <c r="B7888" t="str">
        <f>"1552377921493076"</f>
        <v>1552377921493076</v>
      </c>
      <c r="C7888" t="s">
        <v>40</v>
      </c>
      <c r="D7888">
        <v>5.6552309999999997</v>
      </c>
      <c r="E7888">
        <v>0.32927689999999998</v>
      </c>
      <c r="F7888" t="s">
        <v>49</v>
      </c>
      <c r="G7888">
        <v>-196.0378</v>
      </c>
      <c r="H7888">
        <v>1.0779639999999999</v>
      </c>
      <c r="I7888">
        <v>-57.425350000000002</v>
      </c>
      <c r="J7888">
        <v>-196.38570000000001</v>
      </c>
      <c r="K7888">
        <v>1.1177109999999999</v>
      </c>
      <c r="L7888">
        <v>-58.14105</v>
      </c>
      <c r="M7888">
        <v>0.86484089999999902</v>
      </c>
      <c r="N7888">
        <v>0</v>
      </c>
      <c r="O7888">
        <v>0.50182789999999999</v>
      </c>
      <c r="P7888">
        <v>0.80658509999999894</v>
      </c>
      <c r="Q7888">
        <v>4.5075179999999999E-2</v>
      </c>
      <c r="R7888">
        <v>0.58939699999999995</v>
      </c>
      <c r="S7888">
        <v>1.6450499999999999</v>
      </c>
      <c r="T7888">
        <v>-0.14567179999999999</v>
      </c>
      <c r="U7888">
        <v>2.8653559999999998</v>
      </c>
      <c r="V7888">
        <v>-0.1060258</v>
      </c>
      <c r="W7888">
        <v>5.789743E-2</v>
      </c>
      <c r="X7888">
        <v>0.99267640000000001</v>
      </c>
      <c r="Y7888">
        <v>-0.50018499999999999</v>
      </c>
      <c r="Z7888">
        <v>-1.1898219999999999E-2</v>
      </c>
      <c r="AA7888">
        <v>0.86583679999999996</v>
      </c>
      <c r="AB7888">
        <v>23</v>
      </c>
      <c r="AC7888">
        <v>0.34790000000000898</v>
      </c>
      <c r="AD7888">
        <v>-3.9747000000000199E-2</v>
      </c>
      <c r="AE7888">
        <v>0.715699999999998</v>
      </c>
      <c r="AF7888">
        <v>-0.44332338967967599</v>
      </c>
      <c r="AG7888">
        <v>-3.9747000000000199E-2</v>
      </c>
      <c r="AH7888">
        <v>0.65846595106218697</v>
      </c>
      <c r="AI7888">
        <v>92.866521431114606</v>
      </c>
      <c r="AJ7888">
        <v>123.95108110002199</v>
      </c>
      <c r="AK7888">
        <v>0.794791079815513</v>
      </c>
      <c r="AL7888">
        <v>86.680865529665297</v>
      </c>
      <c r="AM7888">
        <v>96.096535827999602</v>
      </c>
      <c r="AN7888">
        <v>1.0000000088915999</v>
      </c>
    </row>
    <row r="7889" spans="1:40" x14ac:dyDescent="0.25">
      <c r="A7889" t="str">
        <f>"20190312160521511"</f>
        <v>20190312160521511</v>
      </c>
      <c r="B7889" t="str">
        <f>"1552377921502837"</f>
        <v>1552377921502837</v>
      </c>
      <c r="C7889" t="s">
        <v>40</v>
      </c>
      <c r="D7889">
        <v>5.8276620000000001</v>
      </c>
      <c r="E7889">
        <v>0.32998680000000002</v>
      </c>
      <c r="F7889" t="s">
        <v>49</v>
      </c>
      <c r="G7889">
        <v>-195.92449999999999</v>
      </c>
      <c r="H7889">
        <v>1.0757620000000001</v>
      </c>
      <c r="I7889">
        <v>-57.328650000000003</v>
      </c>
      <c r="J7889">
        <v>-196.28550000000001</v>
      </c>
      <c r="K7889">
        <v>1.1177490000000001</v>
      </c>
      <c r="L7889">
        <v>-58.075530000000001</v>
      </c>
      <c r="M7889">
        <v>0.86177440000000005</v>
      </c>
      <c r="N7889">
        <v>0</v>
      </c>
      <c r="O7889">
        <v>0.50707530000000001</v>
      </c>
      <c r="P7889">
        <v>0.80294140000000003</v>
      </c>
      <c r="Q7889">
        <v>4.4886219999999998E-2</v>
      </c>
      <c r="R7889">
        <v>0.59436560000000005</v>
      </c>
      <c r="S7889">
        <v>1.6296079999999999</v>
      </c>
      <c r="T7889">
        <v>-0.1482397</v>
      </c>
      <c r="U7889">
        <v>2.8711850000000001</v>
      </c>
      <c r="V7889">
        <v>-0.1061183</v>
      </c>
      <c r="W7889">
        <v>5.7709870000000003E-2</v>
      </c>
      <c r="X7889">
        <v>0.99267749999999999</v>
      </c>
      <c r="Y7889">
        <v>-0.49919790000000003</v>
      </c>
      <c r="Z7889">
        <v>-1.2413169999999999E-2</v>
      </c>
      <c r="AA7889">
        <v>0.86639909999999998</v>
      </c>
      <c r="AB7889">
        <v>23</v>
      </c>
      <c r="AC7889">
        <v>0.36100000000001797</v>
      </c>
      <c r="AD7889">
        <v>-4.1986999999999698E-2</v>
      </c>
      <c r="AE7889">
        <v>0.74688000000000399</v>
      </c>
      <c r="AF7889">
        <v>-0.45946139324719698</v>
      </c>
      <c r="AG7889">
        <v>-4.1986999999999698E-2</v>
      </c>
      <c r="AH7889">
        <v>0.688137812308385</v>
      </c>
      <c r="AI7889">
        <v>92.904922144737299</v>
      </c>
      <c r="AJ7889">
        <v>123.73056289102</v>
      </c>
      <c r="AK7889">
        <v>0.82849340901556101</v>
      </c>
      <c r="AL7889">
        <v>86.691630129572701</v>
      </c>
      <c r="AM7889">
        <v>96.101807805931799</v>
      </c>
      <c r="AN7889">
        <v>1.0000000708482699</v>
      </c>
    </row>
    <row r="7890" spans="1:40" x14ac:dyDescent="0.25">
      <c r="A7890" t="str">
        <f>"20190312160521522"</f>
        <v>20190312160521522</v>
      </c>
      <c r="B7890" t="str">
        <f>"1552377921512535"</f>
        <v>1552377921512535</v>
      </c>
      <c r="C7890" t="s">
        <v>40</v>
      </c>
      <c r="D7890">
        <v>5.6413919999999997</v>
      </c>
      <c r="E7890">
        <v>0.33013399999999998</v>
      </c>
      <c r="F7890" t="s">
        <v>49</v>
      </c>
      <c r="G7890">
        <v>-195.78630000000001</v>
      </c>
      <c r="H7890">
        <v>1.0706530000000001</v>
      </c>
      <c r="I7890">
        <v>-57.186500000000002</v>
      </c>
      <c r="J7890">
        <v>-196.1858</v>
      </c>
      <c r="K7890">
        <v>1.1177900000000001</v>
      </c>
      <c r="L7890">
        <v>-58.009160000000001</v>
      </c>
      <c r="M7890">
        <v>0.8586454</v>
      </c>
      <c r="N7890">
        <v>0</v>
      </c>
      <c r="O7890">
        <v>0.51235559999999902</v>
      </c>
      <c r="P7890">
        <v>0.79922029999999999</v>
      </c>
      <c r="Q7890">
        <v>4.4541440000000002E-2</v>
      </c>
      <c r="R7890">
        <v>0.59938559999999996</v>
      </c>
      <c r="S7890">
        <v>1.6153109999999999</v>
      </c>
      <c r="T7890">
        <v>-0.1524017</v>
      </c>
      <c r="U7890">
        <v>2.87677</v>
      </c>
      <c r="V7890">
        <v>-0.10623589999999999</v>
      </c>
      <c r="W7890">
        <v>5.7367109999999999E-2</v>
      </c>
      <c r="X7890">
        <v>0.99268469999999998</v>
      </c>
      <c r="Y7890">
        <v>-0.4978707</v>
      </c>
      <c r="Z7890">
        <v>-1.3084459999999999E-2</v>
      </c>
      <c r="AA7890">
        <v>0.86715249999999999</v>
      </c>
      <c r="AB7890">
        <v>23</v>
      </c>
      <c r="AC7890">
        <v>0.39949999999998898</v>
      </c>
      <c r="AD7890">
        <v>-4.7136999999999901E-2</v>
      </c>
      <c r="AE7890">
        <v>0.82265999999999195</v>
      </c>
      <c r="AF7890">
        <v>-0.50041291600940496</v>
      </c>
      <c r="AG7890">
        <v>-4.7136999999999901E-2</v>
      </c>
      <c r="AH7890">
        <v>0.76258146521207604</v>
      </c>
      <c r="AI7890">
        <v>92.958362939862894</v>
      </c>
      <c r="AJ7890">
        <v>123.27325097558899</v>
      </c>
      <c r="AK7890">
        <v>0.91332659786246895</v>
      </c>
      <c r="AL7890">
        <v>86.711301129050398</v>
      </c>
      <c r="AM7890">
        <v>96.108474745720898</v>
      </c>
      <c r="AN7890">
        <v>0.99999998268632595</v>
      </c>
    </row>
    <row r="7891" spans="1:40" x14ac:dyDescent="0.25">
      <c r="A7891" t="str">
        <f>"20190312160521533"</f>
        <v>20190312160521533</v>
      </c>
      <c r="B7891" t="str">
        <f>"1552377921523256"</f>
        <v>1552377921523256</v>
      </c>
      <c r="C7891" t="s">
        <v>40</v>
      </c>
      <c r="D7891">
        <v>5.6166510000000001</v>
      </c>
      <c r="E7891">
        <v>0.33113949999999998</v>
      </c>
      <c r="F7891" t="s">
        <v>49</v>
      </c>
      <c r="G7891">
        <v>-195.75069999999999</v>
      </c>
      <c r="H7891">
        <v>1.0763419999999999</v>
      </c>
      <c r="I7891">
        <v>-57.22316</v>
      </c>
      <c r="J7891">
        <v>-196.09880000000001</v>
      </c>
      <c r="K7891">
        <v>1.117826</v>
      </c>
      <c r="L7891">
        <v>-57.95044</v>
      </c>
      <c r="M7891">
        <v>0.85585619999999996</v>
      </c>
      <c r="N7891">
        <v>0</v>
      </c>
      <c r="O7891">
        <v>0.51700089999999999</v>
      </c>
      <c r="P7891">
        <v>0.79590819999999995</v>
      </c>
      <c r="Q7891">
        <v>4.3905420000000001E-2</v>
      </c>
      <c r="R7891">
        <v>0.60382329999999995</v>
      </c>
      <c r="S7891">
        <v>1.5977479999999999</v>
      </c>
      <c r="T7891">
        <v>-0.15219369999999999</v>
      </c>
      <c r="U7891">
        <v>2.8859859999999999</v>
      </c>
      <c r="V7891">
        <v>-0.1063552</v>
      </c>
      <c r="W7891">
        <v>5.6732520000000002E-2</v>
      </c>
      <c r="X7891">
        <v>0.99270840000000005</v>
      </c>
      <c r="Y7891">
        <v>-0.4983861</v>
      </c>
      <c r="Z7891">
        <v>-1.330451E-2</v>
      </c>
      <c r="AA7891">
        <v>0.86685309999999904</v>
      </c>
      <c r="AB7891">
        <v>23</v>
      </c>
      <c r="AC7891">
        <v>0.34810000000001601</v>
      </c>
      <c r="AD7891">
        <v>-4.1484E-2</v>
      </c>
      <c r="AE7891">
        <v>0.72728000000000004</v>
      </c>
      <c r="AF7891">
        <v>-0.44135948249207102</v>
      </c>
      <c r="AG7891">
        <v>-4.1484E-2</v>
      </c>
      <c r="AH7891">
        <v>0.67222272314847398</v>
      </c>
      <c r="AI7891">
        <v>92.953066406730102</v>
      </c>
      <c r="AJ7891">
        <v>123.287594925379</v>
      </c>
      <c r="AK7891">
        <v>0.80523444074307904</v>
      </c>
      <c r="AL7891">
        <v>86.747719788248006</v>
      </c>
      <c r="AM7891">
        <v>96.115137556742098</v>
      </c>
      <c r="AN7891">
        <v>0.99999998741157503</v>
      </c>
    </row>
    <row r="7892" spans="1:40" x14ac:dyDescent="0.25">
      <c r="A7892" t="str">
        <f>"20190312160521543"</f>
        <v>20190312160521543</v>
      </c>
      <c r="B7892" t="str">
        <f>"1552377921533018"</f>
        <v>1552377921533018</v>
      </c>
      <c r="C7892" t="s">
        <v>40</v>
      </c>
      <c r="D7892">
        <v>5.839899</v>
      </c>
      <c r="E7892">
        <v>0.33141670000000001</v>
      </c>
      <c r="F7892" t="s">
        <v>49</v>
      </c>
      <c r="G7892">
        <v>-195.61869999999999</v>
      </c>
      <c r="H7892">
        <v>1.069939</v>
      </c>
      <c r="I7892">
        <v>-57.076529999999998</v>
      </c>
      <c r="J7892">
        <v>-196.00360000000001</v>
      </c>
      <c r="K7892">
        <v>1.1178669999999999</v>
      </c>
      <c r="L7892">
        <v>-57.885559999999998</v>
      </c>
      <c r="M7892">
        <v>0.85274969999999894</v>
      </c>
      <c r="N7892">
        <v>0</v>
      </c>
      <c r="O7892">
        <v>0.52210840000000003</v>
      </c>
      <c r="P7892">
        <v>0.79243180000000002</v>
      </c>
      <c r="Q7892">
        <v>4.3731319999999997E-2</v>
      </c>
      <c r="R7892">
        <v>0.60839089999999996</v>
      </c>
      <c r="S7892">
        <v>1.5866549999999999</v>
      </c>
      <c r="T7892">
        <v>-0.15827550000000001</v>
      </c>
      <c r="U7892">
        <v>2.8884889999999999</v>
      </c>
      <c r="V7892">
        <v>-0.1061276</v>
      </c>
      <c r="W7892">
        <v>5.6566850000000002E-2</v>
      </c>
      <c r="X7892">
        <v>0.99274220000000002</v>
      </c>
      <c r="Y7892">
        <v>-0.49607639999999997</v>
      </c>
      <c r="Z7892">
        <v>-1.419192E-2</v>
      </c>
      <c r="AA7892">
        <v>0.86816289999999996</v>
      </c>
      <c r="AB7892">
        <v>23</v>
      </c>
      <c r="AC7892">
        <v>0.38490000000001601</v>
      </c>
      <c r="AD7892">
        <v>-4.7927999999999901E-2</v>
      </c>
      <c r="AE7892">
        <v>0.80902999999999203</v>
      </c>
      <c r="AF7892">
        <v>-0.48759914124210901</v>
      </c>
      <c r="AG7892">
        <v>-4.7927999999999901E-2</v>
      </c>
      <c r="AH7892">
        <v>0.74856535345409203</v>
      </c>
      <c r="AI7892">
        <v>93.070904580827701</v>
      </c>
      <c r="AJ7892">
        <v>123.079343449901</v>
      </c>
      <c r="AK7892">
        <v>0.89465082804180796</v>
      </c>
      <c r="AL7892">
        <v>86.757227210443205</v>
      </c>
      <c r="AM7892">
        <v>96.101943814502206</v>
      </c>
      <c r="AN7892">
        <v>0.99999997583076095</v>
      </c>
    </row>
    <row r="7893" spans="1:40" x14ac:dyDescent="0.25">
      <c r="A7893" t="str">
        <f>"20190312160521553"</f>
        <v>20190312160521553</v>
      </c>
      <c r="B7893" t="str">
        <f>"1552377921542777"</f>
        <v>1552377921542777</v>
      </c>
      <c r="C7893" t="s">
        <v>40</v>
      </c>
      <c r="D7893">
        <v>5.6662730000000003</v>
      </c>
      <c r="E7893">
        <v>0.33188440000000002</v>
      </c>
      <c r="F7893" t="s">
        <v>49</v>
      </c>
      <c r="G7893">
        <v>-195.58420000000001</v>
      </c>
      <c r="H7893">
        <v>1.075153</v>
      </c>
      <c r="I7893">
        <v>-57.11271</v>
      </c>
      <c r="J7893">
        <v>-195.92490000000001</v>
      </c>
      <c r="K7893">
        <v>1.1178969999999999</v>
      </c>
      <c r="L7893">
        <v>-57.83099</v>
      </c>
      <c r="M7893">
        <v>0.85012359999999898</v>
      </c>
      <c r="N7893">
        <v>0</v>
      </c>
      <c r="O7893">
        <v>0.52637330000000004</v>
      </c>
      <c r="P7893">
        <v>0.78932590000000002</v>
      </c>
      <c r="Q7893">
        <v>4.3463559999999998E-2</v>
      </c>
      <c r="R7893">
        <v>0.61243429999999999</v>
      </c>
      <c r="S7893">
        <v>1.5714570000000001</v>
      </c>
      <c r="T7893">
        <v>-0.16003100000000001</v>
      </c>
      <c r="U7893">
        <v>2.8956909999999998</v>
      </c>
      <c r="V7893">
        <v>-0.106222</v>
      </c>
      <c r="W7893">
        <v>5.6300719999999999E-2</v>
      </c>
      <c r="X7893">
        <v>0.99274720000000005</v>
      </c>
      <c r="Y7893">
        <v>-0.49615389999999998</v>
      </c>
      <c r="Z7893">
        <v>-1.459214E-2</v>
      </c>
      <c r="AA7893">
        <v>0.86811199999999999</v>
      </c>
      <c r="AB7893">
        <v>23</v>
      </c>
      <c r="AC7893">
        <v>0.340699999999998</v>
      </c>
      <c r="AD7893">
        <v>-4.2743999999999803E-2</v>
      </c>
      <c r="AE7893">
        <v>0.71828000000000003</v>
      </c>
      <c r="AF7893">
        <v>-0.43009570570226402</v>
      </c>
      <c r="AG7893">
        <v>-4.2743999999999803E-2</v>
      </c>
      <c r="AH7893">
        <v>0.66586936992216705</v>
      </c>
      <c r="AI7893">
        <v>93.086538066880095</v>
      </c>
      <c r="AJ7893">
        <v>122.85906574176801</v>
      </c>
      <c r="AK7893">
        <v>0.79384594437464595</v>
      </c>
      <c r="AL7893">
        <v>86.772499572007007</v>
      </c>
      <c r="AM7893">
        <v>96.107299935910902</v>
      </c>
      <c r="AN7893">
        <v>0.99999994373217704</v>
      </c>
    </row>
    <row r="7894" spans="1:40" x14ac:dyDescent="0.25">
      <c r="A7894" t="str">
        <f>"20190312160521564"</f>
        <v>20190312160521564</v>
      </c>
      <c r="B7894" t="str">
        <f>"1552377921552536"</f>
        <v>1552377921552536</v>
      </c>
      <c r="C7894" t="s">
        <v>40</v>
      </c>
      <c r="D7894">
        <v>5.1135599999999997</v>
      </c>
      <c r="E7894">
        <v>0.33188440000000002</v>
      </c>
      <c r="F7894" t="s">
        <v>49</v>
      </c>
      <c r="G7894">
        <v>-195.45689999999999</v>
      </c>
      <c r="H7894">
        <v>1.069415</v>
      </c>
      <c r="I7894">
        <v>-56.960270000000001</v>
      </c>
      <c r="J7894">
        <v>-195.82980000000001</v>
      </c>
      <c r="K7894">
        <v>1.117931</v>
      </c>
      <c r="L7894">
        <v>-57.764560000000003</v>
      </c>
      <c r="M7894">
        <v>0.84690049999999995</v>
      </c>
      <c r="N7894">
        <v>0</v>
      </c>
      <c r="O7894">
        <v>0.53154299999999999</v>
      </c>
      <c r="P7894">
        <v>0.78557690000000002</v>
      </c>
      <c r="Q7894">
        <v>4.3364819999999998E-2</v>
      </c>
      <c r="R7894">
        <v>0.61724250000000003</v>
      </c>
      <c r="S7894">
        <v>1.558853</v>
      </c>
      <c r="T7894">
        <v>-0.1615124</v>
      </c>
      <c r="U7894">
        <v>2.9008479999999999</v>
      </c>
      <c r="V7894">
        <v>-0.10623580000000001</v>
      </c>
      <c r="W7894">
        <v>5.6206449999999998E-2</v>
      </c>
      <c r="X7894">
        <v>0.9927511</v>
      </c>
      <c r="Y7894">
        <v>-0.49443690000000001</v>
      </c>
      <c r="Z7894">
        <v>-1.507267E-2</v>
      </c>
      <c r="AA7894">
        <v>0.86908289999999999</v>
      </c>
      <c r="AB7894">
        <v>23</v>
      </c>
      <c r="AC7894">
        <v>0.372900000000015</v>
      </c>
      <c r="AD7894">
        <v>-4.8515999999999997E-2</v>
      </c>
      <c r="AE7894">
        <v>0.80429000000000095</v>
      </c>
      <c r="AF7894">
        <v>-0.48155253120788699</v>
      </c>
      <c r="AG7894">
        <v>-4.8515999999999997E-2</v>
      </c>
      <c r="AH7894">
        <v>0.74118650375545003</v>
      </c>
      <c r="AI7894">
        <v>93.141788458276594</v>
      </c>
      <c r="AJ7894">
        <v>123.011981364664</v>
      </c>
      <c r="AK7894">
        <v>0.88521414127766396</v>
      </c>
      <c r="AL7894">
        <v>86.777909523637206</v>
      </c>
      <c r="AM7894">
        <v>96.108063563865301</v>
      </c>
      <c r="AN7894">
        <v>0.99999997838722599</v>
      </c>
    </row>
    <row r="7895" spans="1:40" x14ac:dyDescent="0.25">
      <c r="A7895" t="str">
        <f>"20190312160521575"</f>
        <v>20190312160521575</v>
      </c>
      <c r="B7895" t="str">
        <f>"1552377921573033"</f>
        <v>1552377921573033</v>
      </c>
      <c r="C7895" t="s">
        <v>40</v>
      </c>
      <c r="D7895">
        <v>5.7124269999999999</v>
      </c>
      <c r="E7895">
        <v>0.33064829999999901</v>
      </c>
      <c r="F7895" t="s">
        <v>49</v>
      </c>
      <c r="G7895">
        <v>-195.42250000000001</v>
      </c>
      <c r="H7895">
        <v>1.075056</v>
      </c>
      <c r="I7895">
        <v>-56.995550000000001</v>
      </c>
      <c r="J7895">
        <v>-195.73759999999999</v>
      </c>
      <c r="K7895">
        <v>1.1179669999999999</v>
      </c>
      <c r="L7895">
        <v>-57.698909999999998</v>
      </c>
      <c r="M7895">
        <v>0.84369530000000004</v>
      </c>
      <c r="N7895">
        <v>0</v>
      </c>
      <c r="O7895">
        <v>0.53661569999999903</v>
      </c>
      <c r="P7895">
        <v>0.78175749999999999</v>
      </c>
      <c r="Q7895">
        <v>4.3395019999999999E-2</v>
      </c>
      <c r="R7895">
        <v>0.62207080000000003</v>
      </c>
      <c r="S7895">
        <v>1.5411379999999999</v>
      </c>
      <c r="T7895">
        <v>-0.1622431</v>
      </c>
      <c r="U7895">
        <v>2.9102480000000002</v>
      </c>
      <c r="V7895">
        <v>-0.1064013</v>
      </c>
      <c r="W7895">
        <v>5.6237410000000002E-2</v>
      </c>
      <c r="X7895">
        <v>0.99273160000000005</v>
      </c>
      <c r="Y7895">
        <v>-0.49451699999999998</v>
      </c>
      <c r="Z7895">
        <v>-1.5430350000000001E-2</v>
      </c>
      <c r="AA7895">
        <v>0.869031</v>
      </c>
      <c r="AB7895">
        <v>23</v>
      </c>
      <c r="AC7895">
        <v>0.31509999999997201</v>
      </c>
      <c r="AD7895">
        <v>-4.2910999999999901E-2</v>
      </c>
      <c r="AE7895">
        <v>0.70335999999999599</v>
      </c>
      <c r="AF7895">
        <v>-0.42306951683838301</v>
      </c>
      <c r="AG7895">
        <v>-4.2910999999999901E-2</v>
      </c>
      <c r="AH7895">
        <v>0.64136559717828201</v>
      </c>
      <c r="AI7895">
        <v>93.196613240053495</v>
      </c>
      <c r="AJ7895">
        <v>123.410385825571</v>
      </c>
      <c r="AK7895">
        <v>0.76953167526926203</v>
      </c>
      <c r="AL7895">
        <v>86.776132764731798</v>
      </c>
      <c r="AM7895">
        <v>96.117626199116799</v>
      </c>
      <c r="AN7895">
        <v>0.99999995628187799</v>
      </c>
    </row>
    <row r="7896" spans="1:40" x14ac:dyDescent="0.25">
      <c r="A7896" t="str">
        <f>"20190312160521587"</f>
        <v>20190312160521587</v>
      </c>
      <c r="B7896" t="str">
        <f>"1552377921582793"</f>
        <v>1552377921582793</v>
      </c>
      <c r="C7896" t="s">
        <v>40</v>
      </c>
      <c r="D7896">
        <v>5.1074919999999997</v>
      </c>
      <c r="E7896">
        <v>0.3304414</v>
      </c>
      <c r="F7896" t="s">
        <v>49</v>
      </c>
      <c r="G7896">
        <v>-195.29470000000001</v>
      </c>
      <c r="H7896">
        <v>1.0753779999999999</v>
      </c>
      <c r="I7896">
        <v>-56.84431</v>
      </c>
      <c r="J7896">
        <v>-195.64349999999999</v>
      </c>
      <c r="K7896">
        <v>1.1180019999999999</v>
      </c>
      <c r="L7896">
        <v>-57.631529999999998</v>
      </c>
      <c r="M7896">
        <v>0.84037859999999998</v>
      </c>
      <c r="N7896">
        <v>0</v>
      </c>
      <c r="O7896">
        <v>0.54179469999999996</v>
      </c>
      <c r="P7896">
        <v>0.77807040000000005</v>
      </c>
      <c r="Q7896">
        <v>4.3376459999999999E-2</v>
      </c>
      <c r="R7896">
        <v>0.62667779999999995</v>
      </c>
      <c r="S7896">
        <v>1.516418</v>
      </c>
      <c r="T7896">
        <v>-0.14584330000000001</v>
      </c>
      <c r="U7896">
        <v>2.9270939999999999</v>
      </c>
      <c r="V7896">
        <v>-0.1061637</v>
      </c>
      <c r="W7896">
        <v>5.6227880000000001E-2</v>
      </c>
      <c r="X7896">
        <v>0.99275760000000002</v>
      </c>
      <c r="Y7896">
        <v>-0.49701040000000002</v>
      </c>
      <c r="Z7896">
        <v>-1.4068819999999999E-2</v>
      </c>
      <c r="AA7896">
        <v>0.86763060000000003</v>
      </c>
      <c r="AB7896">
        <v>23</v>
      </c>
      <c r="AC7896">
        <v>0.34879999999998201</v>
      </c>
      <c r="AD7896">
        <v>-4.2623999999999697E-2</v>
      </c>
      <c r="AE7896">
        <v>0.78722000000000403</v>
      </c>
      <c r="AF7896">
        <v>-0.47148198368723399</v>
      </c>
      <c r="AG7896">
        <v>-4.2623999999999697E-2</v>
      </c>
      <c r="AH7896">
        <v>0.71795627296862796</v>
      </c>
      <c r="AI7896">
        <v>92.840954005513694</v>
      </c>
      <c r="AJ7896">
        <v>123.29291156928799</v>
      </c>
      <c r="AK7896">
        <v>0.859984462773981</v>
      </c>
      <c r="AL7896">
        <v>86.776679732266302</v>
      </c>
      <c r="AM7896">
        <v>96.103909791307601</v>
      </c>
      <c r="AN7896">
        <v>0.99999997902237103</v>
      </c>
    </row>
    <row r="7897" spans="1:40" x14ac:dyDescent="0.25">
      <c r="A7897" t="str">
        <f>"20190312160521599"</f>
        <v>20190312160521599</v>
      </c>
      <c r="B7897" t="str">
        <f>"1552377921592553"</f>
        <v>1552377921592553</v>
      </c>
      <c r="C7897" t="s">
        <v>40</v>
      </c>
      <c r="D7897">
        <v>5.932766</v>
      </c>
      <c r="E7897">
        <v>0.32980110000000001</v>
      </c>
      <c r="F7897" t="s">
        <v>49</v>
      </c>
      <c r="G7897">
        <v>-195.1662</v>
      </c>
      <c r="H7897">
        <v>1.073032</v>
      </c>
      <c r="I7897">
        <v>-56.695189999999997</v>
      </c>
      <c r="J7897">
        <v>-195.547</v>
      </c>
      <c r="K7897">
        <v>1.1180369999999999</v>
      </c>
      <c r="L7897">
        <v>-57.560760000000002</v>
      </c>
      <c r="M7897">
        <v>0.83687279999999997</v>
      </c>
      <c r="N7897">
        <v>0</v>
      </c>
      <c r="O7897">
        <v>0.54719399999999996</v>
      </c>
      <c r="P7897">
        <v>0.77397609999999994</v>
      </c>
      <c r="Q7897">
        <v>4.3188089999999998E-2</v>
      </c>
      <c r="R7897">
        <v>0.63174030000000003</v>
      </c>
      <c r="S7897">
        <v>1.4976499999999999</v>
      </c>
      <c r="T7897">
        <v>-0.141083399999999</v>
      </c>
      <c r="U7897">
        <v>2.9374389999999999</v>
      </c>
      <c r="V7897">
        <v>-0.1062444</v>
      </c>
      <c r="W7897">
        <v>5.6043160000000002E-2</v>
      </c>
      <c r="X7897">
        <v>0.99275950000000002</v>
      </c>
      <c r="Y7897">
        <v>-0.49706479999999997</v>
      </c>
      <c r="Z7897">
        <v>-1.3877209999999999E-2</v>
      </c>
      <c r="AA7897">
        <v>0.86760249999999906</v>
      </c>
      <c r="AB7897">
        <v>23</v>
      </c>
      <c r="AC7897">
        <v>0.38079999999999298</v>
      </c>
      <c r="AD7897">
        <v>-4.50050000000001E-2</v>
      </c>
      <c r="AE7897">
        <v>0.86556999999999096</v>
      </c>
      <c r="AF7897">
        <v>-0.51489171216806096</v>
      </c>
      <c r="AG7897">
        <v>-4.50050000000001E-2</v>
      </c>
      <c r="AH7897">
        <v>0.79061331342045504</v>
      </c>
      <c r="AI7897">
        <v>92.730956082499603</v>
      </c>
      <c r="AJ7897">
        <v>123.07443042844299</v>
      </c>
      <c r="AK7897">
        <v>0.94456780415279296</v>
      </c>
      <c r="AL7897">
        <v>86.787280405618105</v>
      </c>
      <c r="AM7897">
        <v>96.108502990243906</v>
      </c>
      <c r="AN7897">
        <v>1.00000006657719</v>
      </c>
    </row>
    <row r="7898" spans="1:40" x14ac:dyDescent="0.25">
      <c r="A7898" t="str">
        <f>"20190312160521610"</f>
        <v>20190312160521610</v>
      </c>
      <c r="B7898" t="str">
        <f>"1552377921603288"</f>
        <v>1552377921603288</v>
      </c>
      <c r="C7898" t="s">
        <v>40</v>
      </c>
      <c r="D7898">
        <v>5.6914939999999996</v>
      </c>
      <c r="E7898">
        <v>0.3298392</v>
      </c>
      <c r="F7898" t="s">
        <v>49</v>
      </c>
      <c r="G7898">
        <v>-195.12569999999999</v>
      </c>
      <c r="H7898">
        <v>1.079545</v>
      </c>
      <c r="I7898">
        <v>-56.717610000000001</v>
      </c>
      <c r="J7898">
        <v>-195.4572</v>
      </c>
      <c r="K7898">
        <v>1.118072</v>
      </c>
      <c r="L7898">
        <v>-57.494480000000003</v>
      </c>
      <c r="M7898">
        <v>0.83356430000000004</v>
      </c>
      <c r="N7898">
        <v>0</v>
      </c>
      <c r="O7898">
        <v>0.55222059999999995</v>
      </c>
      <c r="P7898">
        <v>0.77030699999999996</v>
      </c>
      <c r="Q7898">
        <v>4.3396709999999998E-2</v>
      </c>
      <c r="R7898">
        <v>0.63619490000000001</v>
      </c>
      <c r="S7898">
        <v>1.474731</v>
      </c>
      <c r="T7898">
        <v>-0.1347409</v>
      </c>
      <c r="U7898">
        <v>2.951263</v>
      </c>
      <c r="V7898">
        <v>-0.1060121</v>
      </c>
      <c r="W7898">
        <v>5.6260739999999997E-2</v>
      </c>
      <c r="X7898">
        <v>0.99277199999999999</v>
      </c>
      <c r="Y7898">
        <v>-0.49886449999999999</v>
      </c>
      <c r="Z7898">
        <v>-1.3449239999999999E-2</v>
      </c>
      <c r="AA7898">
        <v>0.866575599999999</v>
      </c>
      <c r="AB7898">
        <v>23</v>
      </c>
      <c r="AC7898">
        <v>0.33150000000000501</v>
      </c>
      <c r="AD7898">
        <v>-3.8526999999999902E-2</v>
      </c>
      <c r="AE7898">
        <v>0.77687000000000195</v>
      </c>
      <c r="AF7898">
        <v>-0.46359720900666601</v>
      </c>
      <c r="AG7898">
        <v>-3.8526999999999902E-2</v>
      </c>
      <c r="AH7898">
        <v>0.70394421258569595</v>
      </c>
      <c r="AI7898">
        <v>92.617073294639496</v>
      </c>
      <c r="AJ7898">
        <v>123.367739351439</v>
      </c>
      <c r="AK7898">
        <v>0.84376783321045501</v>
      </c>
      <c r="AL7898">
        <v>86.774794205067195</v>
      </c>
      <c r="AM7898">
        <v>96.095171424556497</v>
      </c>
      <c r="AN7898">
        <v>1.0000000400978699</v>
      </c>
    </row>
    <row r="7899" spans="1:40" x14ac:dyDescent="0.25">
      <c r="A7899" t="str">
        <f>"20190312160521620"</f>
        <v>20190312160521620</v>
      </c>
      <c r="B7899" t="str">
        <f>"1552377921613049"</f>
        <v>1552377921613049</v>
      </c>
      <c r="C7899" t="s">
        <v>40</v>
      </c>
      <c r="D7899">
        <v>5.6919680000000001</v>
      </c>
      <c r="E7899">
        <v>0.32995099999999999</v>
      </c>
      <c r="F7899" t="s">
        <v>49</v>
      </c>
      <c r="G7899">
        <v>-195.00530000000001</v>
      </c>
      <c r="H7899">
        <v>1.0776810000000001</v>
      </c>
      <c r="I7899">
        <v>-56.576979999999999</v>
      </c>
      <c r="J7899">
        <v>-195.3673</v>
      </c>
      <c r="K7899">
        <v>1.1181049999999999</v>
      </c>
      <c r="L7899">
        <v>-57.426969999999997</v>
      </c>
      <c r="M7899">
        <v>0.8301752</v>
      </c>
      <c r="N7899">
        <v>0</v>
      </c>
      <c r="O7899">
        <v>0.55730219999999997</v>
      </c>
      <c r="P7899">
        <v>0.76665689999999997</v>
      </c>
      <c r="Q7899">
        <v>4.3414929999999997E-2</v>
      </c>
      <c r="R7899">
        <v>0.64058740000000003</v>
      </c>
      <c r="S7899">
        <v>1.4575499999999999</v>
      </c>
      <c r="T7899">
        <v>-0.13028090000000001</v>
      </c>
      <c r="U7899">
        <v>2.9595950000000002</v>
      </c>
      <c r="V7899">
        <v>-0.105627</v>
      </c>
      <c r="W7899">
        <v>5.6291199999999902E-2</v>
      </c>
      <c r="X7899">
        <v>0.99281129999999995</v>
      </c>
      <c r="Y7899">
        <v>-0.49858849999999999</v>
      </c>
      <c r="Z7899">
        <v>-1.324709E-2</v>
      </c>
      <c r="AA7899">
        <v>0.86673750000000005</v>
      </c>
      <c r="AB7899">
        <v>23</v>
      </c>
      <c r="AC7899">
        <v>0.36199999999999399</v>
      </c>
      <c r="AD7899">
        <v>-4.0424000000000002E-2</v>
      </c>
      <c r="AE7899">
        <v>0.84998999999999103</v>
      </c>
      <c r="AF7899">
        <v>-0.50299052685980195</v>
      </c>
      <c r="AG7899">
        <v>-4.0424000000000002E-2</v>
      </c>
      <c r="AH7899">
        <v>0.77283160657173</v>
      </c>
      <c r="AI7899">
        <v>92.510186398507102</v>
      </c>
      <c r="AJ7899">
        <v>123.057730154526</v>
      </c>
      <c r="AK7899">
        <v>0.92298551559758701</v>
      </c>
      <c r="AL7899">
        <v>86.773046140201501</v>
      </c>
      <c r="AM7899">
        <v>96.072957241617004</v>
      </c>
      <c r="AN7899">
        <v>1.00000001986706</v>
      </c>
    </row>
    <row r="7900" spans="1:40" x14ac:dyDescent="0.25">
      <c r="A7900" t="str">
        <f>"20190312160521632"</f>
        <v>20190312160521632</v>
      </c>
      <c r="B7900" t="str">
        <f>"1552377921622809"</f>
        <v>1552377921622809</v>
      </c>
      <c r="C7900" t="s">
        <v>40</v>
      </c>
      <c r="D7900">
        <v>5.9167120000000004</v>
      </c>
      <c r="E7900">
        <v>0.32995099999999999</v>
      </c>
      <c r="F7900" t="s">
        <v>49</v>
      </c>
      <c r="G7900">
        <v>-194.9263</v>
      </c>
      <c r="H7900">
        <v>1.0791090000000001</v>
      </c>
      <c r="I7900">
        <v>-56.518909999999998</v>
      </c>
      <c r="J7900">
        <v>-195.28110000000001</v>
      </c>
      <c r="K7900">
        <v>1.118134</v>
      </c>
      <c r="L7900">
        <v>-57.361510000000003</v>
      </c>
      <c r="M7900">
        <v>0.82686669999999995</v>
      </c>
      <c r="N7900">
        <v>0</v>
      </c>
      <c r="O7900">
        <v>0.5621988</v>
      </c>
      <c r="P7900">
        <v>0.7632236</v>
      </c>
      <c r="Q7900">
        <v>4.344191E-2</v>
      </c>
      <c r="R7900">
        <v>0.64467249999999998</v>
      </c>
      <c r="S7900">
        <v>1.4409940000000001</v>
      </c>
      <c r="T7900">
        <v>-0.1274122</v>
      </c>
      <c r="U7900">
        <v>2.9672550000000002</v>
      </c>
      <c r="V7900">
        <v>-0.1050662</v>
      </c>
      <c r="W7900">
        <v>5.6334530000000001E-2</v>
      </c>
      <c r="X7900">
        <v>0.99286830000000004</v>
      </c>
      <c r="Y7900">
        <v>-0.49825970000000003</v>
      </c>
      <c r="Z7900">
        <v>-1.318686E-2</v>
      </c>
      <c r="AA7900">
        <v>0.86692760000000002</v>
      </c>
      <c r="AB7900">
        <v>23</v>
      </c>
      <c r="AC7900">
        <v>0.354800000000011</v>
      </c>
      <c r="AD7900">
        <v>-3.9024999999999803E-2</v>
      </c>
      <c r="AE7900">
        <v>0.84259999999999702</v>
      </c>
      <c r="AF7900">
        <v>-0.49640098785666698</v>
      </c>
      <c r="AG7900">
        <v>-3.9024999999999803E-2</v>
      </c>
      <c r="AH7900">
        <v>0.76577167770328003</v>
      </c>
      <c r="AI7900">
        <v>92.448642601245197</v>
      </c>
      <c r="AJ7900">
        <v>122.95277099742999</v>
      </c>
      <c r="AK7900">
        <v>0.91342386313396196</v>
      </c>
      <c r="AL7900">
        <v>86.770559418136102</v>
      </c>
      <c r="AM7900">
        <v>96.040609207000202</v>
      </c>
      <c r="AN7900">
        <v>0.99999997339882496</v>
      </c>
    </row>
    <row r="7901" spans="1:40" x14ac:dyDescent="0.25">
      <c r="A7901" t="str">
        <f>"20190312160521642"</f>
        <v>20190312160521642</v>
      </c>
      <c r="B7901" t="str">
        <f>"1552377921632570"</f>
        <v>1552377921632570</v>
      </c>
      <c r="C7901" t="s">
        <v>40</v>
      </c>
      <c r="D7901">
        <v>5.8887070000000001</v>
      </c>
      <c r="E7901">
        <v>0.34755819999999998</v>
      </c>
      <c r="F7901" t="s">
        <v>49</v>
      </c>
      <c r="G7901">
        <v>-194.84790000000001</v>
      </c>
      <c r="H7901">
        <v>1.0797030000000001</v>
      </c>
      <c r="I7901">
        <v>-56.456760000000003</v>
      </c>
      <c r="J7901">
        <v>-195.19309999999999</v>
      </c>
      <c r="K7901">
        <v>1.11816</v>
      </c>
      <c r="L7901">
        <v>-57.293759999999999</v>
      </c>
      <c r="M7901">
        <v>0.82342309999999996</v>
      </c>
      <c r="N7901">
        <v>0</v>
      </c>
      <c r="O7901">
        <v>0.56723020000000002</v>
      </c>
      <c r="P7901">
        <v>0.75931969999999904</v>
      </c>
      <c r="Q7901">
        <v>4.3382759999999999E-2</v>
      </c>
      <c r="R7901">
        <v>0.64926989999999996</v>
      </c>
      <c r="S7901">
        <v>1.425003</v>
      </c>
      <c r="T7901">
        <v>-0.1263803</v>
      </c>
      <c r="U7901">
        <v>2.975006</v>
      </c>
      <c r="V7901">
        <v>-0.1050097</v>
      </c>
      <c r="W7901">
        <v>5.6281680000000001E-2</v>
      </c>
      <c r="X7901">
        <v>0.99287729999999996</v>
      </c>
      <c r="Y7901">
        <v>-0.49764580000000003</v>
      </c>
      <c r="Z7901">
        <v>-1.3319839999999999E-2</v>
      </c>
      <c r="AA7901">
        <v>0.86727809999999905</v>
      </c>
      <c r="AB7901">
        <v>23</v>
      </c>
      <c r="AC7901">
        <v>0.34519999999997703</v>
      </c>
      <c r="AD7901">
        <v>-3.8456999999999901E-2</v>
      </c>
      <c r="AE7901">
        <v>0.83700000000000296</v>
      </c>
      <c r="AF7901">
        <v>-0.49256394110072699</v>
      </c>
      <c r="AG7901">
        <v>-3.8456999999999901E-2</v>
      </c>
      <c r="AH7901">
        <v>0.75773538113589201</v>
      </c>
      <c r="AI7901">
        <v>92.436593033518193</v>
      </c>
      <c r="AJ7901">
        <v>123.025778121947</v>
      </c>
      <c r="AK7901">
        <v>0.90457784891452897</v>
      </c>
      <c r="AL7901">
        <v>86.773592393836395</v>
      </c>
      <c r="AM7901">
        <v>96.037330508083699</v>
      </c>
      <c r="AN7901">
        <v>0.99999999872650103</v>
      </c>
    </row>
    <row r="7902" spans="1:40" x14ac:dyDescent="0.25">
      <c r="A7902" t="str">
        <f>"20190312160521654"</f>
        <v>20190312160521654</v>
      </c>
      <c r="B7902" t="str">
        <f>"1552377921643305"</f>
        <v>1552377921643305</v>
      </c>
      <c r="C7902" t="s">
        <v>40</v>
      </c>
      <c r="D7902">
        <v>6.0064019999999996</v>
      </c>
      <c r="E7902">
        <v>0.3479487</v>
      </c>
      <c r="F7902" t="s">
        <v>49</v>
      </c>
      <c r="G7902">
        <v>-194.75980000000001</v>
      </c>
      <c r="H7902">
        <v>1.05603</v>
      </c>
      <c r="I7902">
        <v>-56.463169999999998</v>
      </c>
      <c r="J7902">
        <v>-195.1045</v>
      </c>
      <c r="K7902">
        <v>1.118188</v>
      </c>
      <c r="L7902">
        <v>-57.224519999999998</v>
      </c>
      <c r="M7902">
        <v>0.81988280000000002</v>
      </c>
      <c r="N7902">
        <v>0</v>
      </c>
      <c r="O7902">
        <v>0.57233540000000005</v>
      </c>
      <c r="P7902">
        <v>0.75546820000000003</v>
      </c>
      <c r="Q7902">
        <v>4.3349480000000003E-2</v>
      </c>
      <c r="R7902">
        <v>0.65374980000000005</v>
      </c>
      <c r="S7902">
        <v>1.5019229999999999</v>
      </c>
      <c r="T7902">
        <v>-0.2153311</v>
      </c>
      <c r="U7902">
        <v>2.878479</v>
      </c>
      <c r="V7902">
        <v>-0.1047154</v>
      </c>
      <c r="W7902">
        <v>5.6259780000000002E-2</v>
      </c>
      <c r="X7902">
        <v>0.99290959999999995</v>
      </c>
      <c r="Y7902">
        <v>-0.462256</v>
      </c>
      <c r="Z7902">
        <v>-2.4602860000000001E-2</v>
      </c>
      <c r="AA7902">
        <v>0.8864052</v>
      </c>
      <c r="AB7902">
        <v>23</v>
      </c>
      <c r="AC7902">
        <v>0.34469999999998802</v>
      </c>
      <c r="AD7902">
        <v>-6.2157999999999901E-2</v>
      </c>
      <c r="AE7902">
        <v>0.76134999999999997</v>
      </c>
      <c r="AF7902">
        <v>-0.42463279583714197</v>
      </c>
      <c r="AG7902">
        <v>-6.2157999999999901E-2</v>
      </c>
      <c r="AH7902">
        <v>0.71448954699384704</v>
      </c>
      <c r="AI7902">
        <v>94.276940267829801</v>
      </c>
      <c r="AJ7902">
        <v>120.723706690616</v>
      </c>
      <c r="AK7902">
        <v>0.83346982010624804</v>
      </c>
      <c r="AL7902">
        <v>86.774849088704798</v>
      </c>
      <c r="AM7902">
        <v>96.020340329305398</v>
      </c>
      <c r="AN7902">
        <v>0.99999997580748301</v>
      </c>
    </row>
    <row r="7903" spans="1:40" x14ac:dyDescent="0.25">
      <c r="A7903" t="str">
        <f>"20190312160521665"</f>
        <v>20190312160521665</v>
      </c>
      <c r="B7903" t="str">
        <f>"1552377921653064"</f>
        <v>1552377921653064</v>
      </c>
      <c r="C7903" t="s">
        <v>40</v>
      </c>
      <c r="D7903">
        <v>5.7151630000000004</v>
      </c>
      <c r="E7903">
        <v>0.34846660000000002</v>
      </c>
      <c r="F7903" t="s">
        <v>49</v>
      </c>
      <c r="G7903">
        <v>-194.66130000000001</v>
      </c>
      <c r="H7903">
        <v>1.051885</v>
      </c>
      <c r="I7903">
        <v>-56.365000000000002</v>
      </c>
      <c r="J7903">
        <v>-195.01679999999999</v>
      </c>
      <c r="K7903">
        <v>1.1182129999999999</v>
      </c>
      <c r="L7903">
        <v>-57.155360000000002</v>
      </c>
      <c r="M7903">
        <v>0.81632179999999999</v>
      </c>
      <c r="N7903">
        <v>0</v>
      </c>
      <c r="O7903">
        <v>0.57740259999999999</v>
      </c>
      <c r="P7903">
        <v>0.75161669999999903</v>
      </c>
      <c r="Q7903">
        <v>4.3353370000000002E-2</v>
      </c>
      <c r="R7903">
        <v>0.65817389999999998</v>
      </c>
      <c r="S7903">
        <v>1.4871669999999999</v>
      </c>
      <c r="T7903">
        <v>-0.2225181</v>
      </c>
      <c r="U7903">
        <v>2.8851010000000001</v>
      </c>
      <c r="V7903">
        <v>-0.10439900000000001</v>
      </c>
      <c r="W7903">
        <v>5.6275489999999997E-2</v>
      </c>
      <c r="X7903">
        <v>0.99294199999999999</v>
      </c>
      <c r="Y7903">
        <v>-0.4611865</v>
      </c>
      <c r="Z7903">
        <v>-2.587072E-2</v>
      </c>
      <c r="AA7903">
        <v>0.88692599999999999</v>
      </c>
      <c r="AB7903">
        <v>23</v>
      </c>
      <c r="AC7903">
        <v>0.355499999999977</v>
      </c>
      <c r="AD7903">
        <v>-6.6327999999999901E-2</v>
      </c>
      <c r="AE7903">
        <v>0.79035999999999196</v>
      </c>
      <c r="AF7903">
        <v>-0.43740876416090402</v>
      </c>
      <c r="AG7903">
        <v>-6.6327999999999901E-2</v>
      </c>
      <c r="AH7903">
        <v>0.74229418487445598</v>
      </c>
      <c r="AI7903">
        <v>94.402163085696003</v>
      </c>
      <c r="AJ7903">
        <v>120.509401230899</v>
      </c>
      <c r="AK7903">
        <v>0.86413337364506604</v>
      </c>
      <c r="AL7903">
        <v>86.773947456048504</v>
      </c>
      <c r="AM7903">
        <v>96.002088301791005</v>
      </c>
      <c r="AN7903">
        <v>0.99999994866986797</v>
      </c>
    </row>
    <row r="7904" spans="1:40" x14ac:dyDescent="0.25">
      <c r="A7904" t="str">
        <f>"20190312160521677"</f>
        <v>20190312160521677</v>
      </c>
      <c r="B7904" t="str">
        <f>"1552377921672585"</f>
        <v>1552377921672585</v>
      </c>
      <c r="C7904" t="s">
        <v>40</v>
      </c>
      <c r="D7904">
        <v>5.9782140000000004</v>
      </c>
      <c r="E7904">
        <v>0.35002499999999998</v>
      </c>
      <c r="F7904" t="s">
        <v>49</v>
      </c>
      <c r="G7904">
        <v>-194.58260000000001</v>
      </c>
      <c r="H7904">
        <v>1.054071</v>
      </c>
      <c r="I7904">
        <v>-56.303530000000002</v>
      </c>
      <c r="J7904">
        <v>-194.9265</v>
      </c>
      <c r="K7904">
        <v>1.1182379999999901</v>
      </c>
      <c r="L7904">
        <v>-57.082729999999998</v>
      </c>
      <c r="M7904">
        <v>0.81256629999999996</v>
      </c>
      <c r="N7904">
        <v>0</v>
      </c>
      <c r="O7904">
        <v>0.58267539999999995</v>
      </c>
      <c r="P7904">
        <v>0.74750079999999997</v>
      </c>
      <c r="Q7904">
        <v>4.3267729999999997E-2</v>
      </c>
      <c r="R7904">
        <v>0.6628503</v>
      </c>
      <c r="S7904">
        <v>1.47261</v>
      </c>
      <c r="T7904">
        <v>-0.21762809999999999</v>
      </c>
      <c r="U7904">
        <v>2.8907470000000002</v>
      </c>
      <c r="V7904">
        <v>-0.1041646</v>
      </c>
      <c r="W7904">
        <v>5.6200269999999997E-2</v>
      </c>
      <c r="X7904">
        <v>0.99297089999999999</v>
      </c>
      <c r="Y7904">
        <v>-0.45969159999999998</v>
      </c>
      <c r="Z7904">
        <v>-2.5779489999999999E-2</v>
      </c>
      <c r="AA7904">
        <v>0.88770439999999995</v>
      </c>
      <c r="AB7904">
        <v>23</v>
      </c>
      <c r="AC7904">
        <v>0.34389999999998999</v>
      </c>
      <c r="AD7904">
        <v>-6.4166999999999794E-2</v>
      </c>
      <c r="AE7904">
        <v>0.779200000000003</v>
      </c>
      <c r="AF7904">
        <v>-0.43037560436766897</v>
      </c>
      <c r="AG7904">
        <v>-6.4166999999999794E-2</v>
      </c>
      <c r="AH7904">
        <v>0.72940486997994702</v>
      </c>
      <c r="AI7904">
        <v>94.332800827414403</v>
      </c>
      <c r="AJ7904">
        <v>120.542162397528</v>
      </c>
      <c r="AK7904">
        <v>0.84933622851865898</v>
      </c>
      <c r="AL7904">
        <v>86.778264149102498</v>
      </c>
      <c r="AM7904">
        <v>95.988537232872901</v>
      </c>
      <c r="AN7904">
        <v>0.99999997124402096</v>
      </c>
    </row>
    <row r="7905" spans="1:40" x14ac:dyDescent="0.25">
      <c r="A7905" t="str">
        <f>"20190312160521688"</f>
        <v>20190312160521688</v>
      </c>
      <c r="B7905" t="str">
        <f>"1552377921683320"</f>
        <v>1552377921683320</v>
      </c>
      <c r="C7905" t="s">
        <v>40</v>
      </c>
      <c r="D7905">
        <v>5.6983889999999997</v>
      </c>
      <c r="E7905">
        <v>0.35080749999999999</v>
      </c>
      <c r="F7905" t="s">
        <v>49</v>
      </c>
      <c r="G7905">
        <v>-194.50200000000001</v>
      </c>
      <c r="H7905">
        <v>1.0513870000000001</v>
      </c>
      <c r="I7905">
        <v>-56.244079999999997</v>
      </c>
      <c r="J7905">
        <v>-194.83750000000001</v>
      </c>
      <c r="K7905">
        <v>1.118266</v>
      </c>
      <c r="L7905">
        <v>-57.010680000000001</v>
      </c>
      <c r="M7905">
        <v>0.80881139999999996</v>
      </c>
      <c r="N7905">
        <v>0</v>
      </c>
      <c r="O7905">
        <v>0.58787609999999901</v>
      </c>
      <c r="P7905">
        <v>0.74348400000000003</v>
      </c>
      <c r="Q7905">
        <v>4.3413960000000001E-2</v>
      </c>
      <c r="R7905">
        <v>0.66734320000000003</v>
      </c>
      <c r="S7905">
        <v>1.4631809999999901</v>
      </c>
      <c r="T7905">
        <v>-0.2304312</v>
      </c>
      <c r="U7905">
        <v>2.8908999999999998</v>
      </c>
      <c r="V7905">
        <v>-0.1037896</v>
      </c>
      <c r="W7905">
        <v>5.6359279999999998E-2</v>
      </c>
      <c r="X7905">
        <v>0.99300120000000003</v>
      </c>
      <c r="Y7905">
        <v>-0.4563372</v>
      </c>
      <c r="Z7905">
        <v>-2.787442E-2</v>
      </c>
      <c r="AA7905">
        <v>0.88937029999999995</v>
      </c>
      <c r="AB7905">
        <v>23</v>
      </c>
      <c r="AC7905">
        <v>0.33549999999999602</v>
      </c>
      <c r="AD7905">
        <v>-6.6878999999999897E-2</v>
      </c>
      <c r="AE7905">
        <v>0.76660000000000394</v>
      </c>
      <c r="AF7905">
        <v>-0.42016629349456402</v>
      </c>
      <c r="AG7905">
        <v>-6.6878999999999897E-2</v>
      </c>
      <c r="AH7905">
        <v>0.71752036990458801</v>
      </c>
      <c r="AI7905">
        <v>94.598557019613295</v>
      </c>
      <c r="AJ7905">
        <v>120.352428948644</v>
      </c>
      <c r="AK7905">
        <v>0.834175039220173</v>
      </c>
      <c r="AL7905">
        <v>86.769139229947598</v>
      </c>
      <c r="AM7905">
        <v>95.966953139346799</v>
      </c>
      <c r="AN7905">
        <v>1.00000001635585</v>
      </c>
    </row>
    <row r="7906" spans="1:40" x14ac:dyDescent="0.25">
      <c r="A7906" t="str">
        <f>"20190312160521712"</f>
        <v>20190312160521712</v>
      </c>
      <c r="B7906" t="str">
        <f>"1552377921702841"</f>
        <v>1552377921702841</v>
      </c>
      <c r="C7906" t="s">
        <v>40</v>
      </c>
      <c r="D7906">
        <v>5.2423640000000002</v>
      </c>
      <c r="E7906">
        <v>0.35080749999999999</v>
      </c>
      <c r="F7906" t="s">
        <v>49</v>
      </c>
      <c r="G7906">
        <v>-194.3785</v>
      </c>
      <c r="H7906">
        <v>1.045658</v>
      </c>
      <c r="I7906">
        <v>-56.094099999999997</v>
      </c>
      <c r="J7906">
        <v>-194.6558</v>
      </c>
      <c r="K7906">
        <v>1.1183179999999999</v>
      </c>
      <c r="L7906">
        <v>-56.8596199999999</v>
      </c>
      <c r="M7906">
        <v>0.80087869999999906</v>
      </c>
      <c r="N7906">
        <v>0</v>
      </c>
      <c r="O7906">
        <v>0.59863750000000004</v>
      </c>
      <c r="P7906">
        <v>0.73485869999999998</v>
      </c>
      <c r="Q7906">
        <v>4.3958730000000001E-2</v>
      </c>
      <c r="R7906">
        <v>0.67679409999999995</v>
      </c>
      <c r="S7906">
        <v>1.4496309999999999</v>
      </c>
      <c r="T7906">
        <v>-0.22933590000000001</v>
      </c>
      <c r="U7906">
        <v>2.8953250000000001</v>
      </c>
      <c r="V7906">
        <v>-0.1032455</v>
      </c>
      <c r="W7906">
        <v>5.692676E-2</v>
      </c>
      <c r="X7906">
        <v>0.99302550000000001</v>
      </c>
      <c r="Y7906">
        <v>-0.44831900000000002</v>
      </c>
      <c r="Z7906">
        <v>-2.8925599999999999E-2</v>
      </c>
      <c r="AA7906">
        <v>0.89340549999999996</v>
      </c>
      <c r="AB7906">
        <v>23</v>
      </c>
      <c r="AC7906">
        <v>0.27729999999999599</v>
      </c>
      <c r="AD7906">
        <v>-7.2659999999999905E-2</v>
      </c>
      <c r="AE7906">
        <v>0.76551999999999498</v>
      </c>
      <c r="AF7906">
        <v>-0.44360424222535</v>
      </c>
      <c r="AG7906">
        <v>-7.2659999999999905E-2</v>
      </c>
      <c r="AH7906">
        <v>0.67505355104121101</v>
      </c>
      <c r="AI7906">
        <v>95.140039920594305</v>
      </c>
      <c r="AJ7906">
        <v>123.310489919586</v>
      </c>
      <c r="AK7906">
        <v>0.81102496638123001</v>
      </c>
      <c r="AL7906">
        <v>86.736572572421395</v>
      </c>
      <c r="AM7906">
        <v>95.935752074696097</v>
      </c>
      <c r="AN7906">
        <v>0.99999996646229805</v>
      </c>
    </row>
    <row r="7907" spans="1:40" x14ac:dyDescent="0.25">
      <c r="A7907" t="str">
        <f>"20190312160521724"</f>
        <v>20190312160521724</v>
      </c>
      <c r="B7907" t="str">
        <f>"1552377921712601"</f>
        <v>1552377921712601</v>
      </c>
      <c r="C7907" t="s">
        <v>40</v>
      </c>
      <c r="D7907">
        <v>5.8356349999999999</v>
      </c>
      <c r="E7907">
        <v>0.32762279999999999</v>
      </c>
      <c r="F7907" t="s">
        <v>49</v>
      </c>
      <c r="G7907">
        <v>-194.22470000000001</v>
      </c>
      <c r="H7907">
        <v>1.0493600000000001</v>
      </c>
      <c r="I7907">
        <v>-55.969709999999999</v>
      </c>
      <c r="J7907">
        <v>-194.56440000000001</v>
      </c>
      <c r="K7907">
        <v>1.1183459999999901</v>
      </c>
      <c r="L7907">
        <v>-56.782139999999998</v>
      </c>
      <c r="M7907">
        <v>0.79677519999999902</v>
      </c>
      <c r="N7907">
        <v>0</v>
      </c>
      <c r="O7907">
        <v>0.60408809999999902</v>
      </c>
      <c r="P7907">
        <v>0.73043630000000004</v>
      </c>
      <c r="Q7907">
        <v>4.3876100000000001E-2</v>
      </c>
      <c r="R7907">
        <v>0.68157009999999996</v>
      </c>
      <c r="S7907">
        <v>1.4120029999999999</v>
      </c>
      <c r="T7907">
        <v>-0.22582550000000001</v>
      </c>
      <c r="U7907">
        <v>2.9141849999999998</v>
      </c>
      <c r="V7907">
        <v>-0.1029424</v>
      </c>
      <c r="W7907">
        <v>5.6856780000000003E-2</v>
      </c>
      <c r="X7907">
        <v>0.99306099999999997</v>
      </c>
      <c r="Y7907">
        <v>-0.45381929999999998</v>
      </c>
      <c r="Z7907">
        <v>-2.8748030000000001E-2</v>
      </c>
      <c r="AA7907">
        <v>0.89062989999999997</v>
      </c>
      <c r="AB7907">
        <v>23</v>
      </c>
      <c r="AC7907">
        <v>0.33969999999999301</v>
      </c>
      <c r="AD7907">
        <v>-6.89859999999997E-2</v>
      </c>
      <c r="AE7907">
        <v>0.81243000000000598</v>
      </c>
      <c r="AF7907">
        <v>-0.43946837159764701</v>
      </c>
      <c r="AG7907">
        <v>-6.89859999999997E-2</v>
      </c>
      <c r="AH7907">
        <v>0.75688501123323904</v>
      </c>
      <c r="AI7907">
        <v>94.506819205945007</v>
      </c>
      <c r="AJ7907">
        <v>120.140635552577</v>
      </c>
      <c r="AK7907">
        <v>0.87793304873448497</v>
      </c>
      <c r="AL7907">
        <v>86.740588714040499</v>
      </c>
      <c r="AM7907">
        <v>95.918240162785096</v>
      </c>
      <c r="AN7907">
        <v>0.99999999043536403</v>
      </c>
    </row>
    <row r="7908" spans="1:40" x14ac:dyDescent="0.25">
      <c r="A7908" t="str">
        <f>"20190312160521736"</f>
        <v>20190312160521736</v>
      </c>
      <c r="B7908" t="str">
        <f>"1552377921733097"</f>
        <v>1552377921733097</v>
      </c>
      <c r="C7908" t="s">
        <v>40</v>
      </c>
      <c r="D7908">
        <v>5.7816669999999997</v>
      </c>
      <c r="E7908">
        <v>0.3178222</v>
      </c>
      <c r="F7908" t="s">
        <v>43</v>
      </c>
      <c r="G7908">
        <v>-172.46260000000001</v>
      </c>
      <c r="H7908">
        <v>-0.05</v>
      </c>
      <c r="I7908">
        <v>-3.233536</v>
      </c>
      <c r="J7908">
        <v>-194.47730000000001</v>
      </c>
      <c r="K7908">
        <v>1.118368</v>
      </c>
      <c r="L7908">
        <v>-56.707030000000003</v>
      </c>
      <c r="M7908">
        <v>0.79277690000000001</v>
      </c>
      <c r="N7908">
        <v>0</v>
      </c>
      <c r="O7908">
        <v>0.60932549999999996</v>
      </c>
      <c r="P7908">
        <v>0.72596490000000002</v>
      </c>
      <c r="Q7908">
        <v>4.3868280000000003E-2</v>
      </c>
      <c r="R7908">
        <v>0.68633129999999998</v>
      </c>
      <c r="S7908">
        <v>1.2608029999999999</v>
      </c>
      <c r="T7908">
        <v>-6.6648479999999996E-2</v>
      </c>
      <c r="U7908">
        <v>3.0546880000000001</v>
      </c>
      <c r="V7908">
        <v>-0.1028936</v>
      </c>
      <c r="W7908">
        <v>5.6855349999999999E-2</v>
      </c>
      <c r="X7908">
        <v>0.99306609999999995</v>
      </c>
      <c r="Y7908">
        <v>-0.50039909999999999</v>
      </c>
      <c r="Z7908">
        <v>-8.0005730000000004E-3</v>
      </c>
      <c r="AA7908">
        <v>0.86575789999999997</v>
      </c>
      <c r="AB7908">
        <v>23</v>
      </c>
      <c r="AC7908">
        <v>22.014700000000001</v>
      </c>
      <c r="AD7908">
        <v>-1.1683680000000001</v>
      </c>
      <c r="AE7908">
        <v>53.473493999999903</v>
      </c>
      <c r="AF7908">
        <v>-28.969899707786499</v>
      </c>
      <c r="AG7908">
        <v>-1.1683680000000001</v>
      </c>
      <c r="AH7908">
        <v>50.020775592052701</v>
      </c>
      <c r="AI7908">
        <v>91.157932566625803</v>
      </c>
      <c r="AJ7908">
        <v>120.07759270407099</v>
      </c>
      <c r="AK7908">
        <v>57.816071845924697</v>
      </c>
      <c r="AL7908">
        <v>86.740670652249506</v>
      </c>
      <c r="AM7908">
        <v>95.915424347178501</v>
      </c>
      <c r="AN7908">
        <v>0.99999995135689501</v>
      </c>
    </row>
    <row r="7909" spans="1:40" x14ac:dyDescent="0.25">
      <c r="A7909" t="str">
        <f>"20190312160521745"</f>
        <v>20190312160521745</v>
      </c>
      <c r="B7909" t="str">
        <f>"1552377921742857"</f>
        <v>1552377921742857</v>
      </c>
      <c r="C7909" t="s">
        <v>40</v>
      </c>
      <c r="D7909">
        <v>5.8536640000000002</v>
      </c>
      <c r="E7909">
        <v>0.31572929999999999</v>
      </c>
      <c r="F7909" t="s">
        <v>57</v>
      </c>
      <c r="G7909">
        <v>-163.3383</v>
      </c>
      <c r="H7909">
        <v>0.26697549999999998</v>
      </c>
      <c r="I7909">
        <v>25.184909999999999</v>
      </c>
      <c r="J7909">
        <v>-194.39330000000001</v>
      </c>
      <c r="K7909">
        <v>1.118382</v>
      </c>
      <c r="L7909">
        <v>-56.634059999999998</v>
      </c>
      <c r="M7909">
        <v>0.78886869999999998</v>
      </c>
      <c r="N7909">
        <v>0</v>
      </c>
      <c r="O7909">
        <v>0.6143767</v>
      </c>
      <c r="P7909">
        <v>0.72158040000000001</v>
      </c>
      <c r="Q7909">
        <v>4.3749509999999998E-2</v>
      </c>
      <c r="R7909">
        <v>0.69094699999999998</v>
      </c>
      <c r="S7909">
        <v>1.1858979999999999</v>
      </c>
      <c r="T7909">
        <v>-3.242445E-2</v>
      </c>
      <c r="U7909">
        <v>3.1187740000000002</v>
      </c>
      <c r="V7909">
        <v>-0.1028801</v>
      </c>
      <c r="W7909">
        <v>5.6743000000000002E-2</v>
      </c>
      <c r="X7909">
        <v>0.99307400000000001</v>
      </c>
      <c r="Y7909">
        <v>-0.51906030000000003</v>
      </c>
      <c r="Z7909">
        <v>-3.82527E-3</v>
      </c>
      <c r="AA7909">
        <v>0.85472909999999902</v>
      </c>
      <c r="AB7909">
        <v>23</v>
      </c>
      <c r="AC7909">
        <v>31.055</v>
      </c>
      <c r="AD7909">
        <v>-0.85140649999999996</v>
      </c>
      <c r="AE7909">
        <v>81.818969999999993</v>
      </c>
      <c r="AF7909">
        <v>-45.465824052654199</v>
      </c>
      <c r="AG7909">
        <v>-0.85140649999999996</v>
      </c>
      <c r="AH7909">
        <v>74.767413622664193</v>
      </c>
      <c r="AI7909">
        <v>90.557452480001203</v>
      </c>
      <c r="AJ7909">
        <v>121.303649985671</v>
      </c>
      <c r="AK7909">
        <v>87.510183348212095</v>
      </c>
      <c r="AL7909">
        <v>86.747118486113607</v>
      </c>
      <c r="AM7909">
        <v>95.914607007183804</v>
      </c>
      <c r="AN7909">
        <v>1.0000000262505</v>
      </c>
    </row>
    <row r="7910" spans="1:40" x14ac:dyDescent="0.25">
      <c r="A7910" t="str">
        <f>"20190312160521756"</f>
        <v>20190312160521756</v>
      </c>
      <c r="B7910" t="str">
        <f>"1552377921752616"</f>
        <v>1552377921752616</v>
      </c>
      <c r="C7910" t="s">
        <v>40</v>
      </c>
      <c r="D7910">
        <v>5.8863560000000001</v>
      </c>
      <c r="E7910">
        <v>0.31485350000000001</v>
      </c>
      <c r="F7910" t="s">
        <v>57</v>
      </c>
      <c r="G7910">
        <v>-164.30090000000001</v>
      </c>
      <c r="H7910">
        <v>0.4992896</v>
      </c>
      <c r="I7910">
        <v>25.184909999999999</v>
      </c>
      <c r="J7910">
        <v>-194.32310000000001</v>
      </c>
      <c r="K7910">
        <v>1.1184000000000001</v>
      </c>
      <c r="L7910">
        <v>-56.5717199999999</v>
      </c>
      <c r="M7910">
        <v>0.78552089999999997</v>
      </c>
      <c r="N7910">
        <v>0</v>
      </c>
      <c r="O7910">
        <v>0.61865119999999996</v>
      </c>
      <c r="P7910">
        <v>0.71780379999999999</v>
      </c>
      <c r="Q7910">
        <v>4.3294600000000003E-2</v>
      </c>
      <c r="R7910">
        <v>0.69489799999999902</v>
      </c>
      <c r="S7910">
        <v>1.1541440000000001</v>
      </c>
      <c r="T7910">
        <v>-2.3744339999999999E-2</v>
      </c>
      <c r="U7910">
        <v>3.1380309999999998</v>
      </c>
      <c r="V7910">
        <v>-0.1029168</v>
      </c>
      <c r="W7910">
        <v>5.6291679999999997E-2</v>
      </c>
      <c r="X7910">
        <v>0.99309590000000003</v>
      </c>
      <c r="Y7910">
        <v>-0.5237484</v>
      </c>
      <c r="Z7910">
        <v>-2.8159610000000001E-3</v>
      </c>
      <c r="AA7910">
        <v>0.85186839999999997</v>
      </c>
      <c r="AB7910">
        <v>23</v>
      </c>
      <c r="AC7910">
        <v>30.022200000000002</v>
      </c>
      <c r="AD7910">
        <v>-0.61911039999999995</v>
      </c>
      <c r="AE7910">
        <v>81.756630000000001</v>
      </c>
      <c r="AF7910">
        <v>-45.651160600174201</v>
      </c>
      <c r="AG7910">
        <v>-0.61911039999999995</v>
      </c>
      <c r="AH7910">
        <v>74.166596526872695</v>
      </c>
      <c r="AI7910">
        <v>90.407299478892497</v>
      </c>
      <c r="AJ7910">
        <v>121.61320501970501</v>
      </c>
      <c r="AK7910">
        <v>87.092455483871902</v>
      </c>
      <c r="AL7910">
        <v>86.773018671793196</v>
      </c>
      <c r="AM7910">
        <v>95.916572384759704</v>
      </c>
      <c r="AN7910">
        <v>1.00000004377813</v>
      </c>
    </row>
    <row r="7911" spans="1:40" x14ac:dyDescent="0.25">
      <c r="A7911" t="str">
        <f>"20190312160521768"</f>
        <v>20190312160521768</v>
      </c>
      <c r="B7911" t="str">
        <f>"1552377921763353"</f>
        <v>1552377921763353</v>
      </c>
      <c r="C7911" t="s">
        <v>40</v>
      </c>
      <c r="D7911">
        <v>5.7481159999999996</v>
      </c>
      <c r="E7911">
        <v>0.31372139999999998</v>
      </c>
      <c r="F7911" t="s">
        <v>57</v>
      </c>
      <c r="G7911">
        <v>-164.93549999999999</v>
      </c>
      <c r="H7911">
        <v>0.57194909999999999</v>
      </c>
      <c r="I7911">
        <v>25.184899999999999</v>
      </c>
      <c r="J7911">
        <v>-194.24459999999999</v>
      </c>
      <c r="K7911">
        <v>1.1184160000000001</v>
      </c>
      <c r="L7911">
        <v>-56.501860000000001</v>
      </c>
      <c r="M7911">
        <v>0.78174350000000004</v>
      </c>
      <c r="N7911">
        <v>0</v>
      </c>
      <c r="O7911">
        <v>0.62341729999999995</v>
      </c>
      <c r="P7911">
        <v>0.71367060000000004</v>
      </c>
      <c r="Q7911">
        <v>4.319928E-2</v>
      </c>
      <c r="R7911">
        <v>0.69914829999999994</v>
      </c>
      <c r="S7911">
        <v>1.1319889999999999</v>
      </c>
      <c r="T7911">
        <v>-2.1048899999999999E-2</v>
      </c>
      <c r="U7911">
        <v>3.1492</v>
      </c>
      <c r="V7911">
        <v>-0.1027705</v>
      </c>
      <c r="W7911">
        <v>5.6204560000000001E-2</v>
      </c>
      <c r="X7911">
        <v>0.993116</v>
      </c>
      <c r="Y7911">
        <v>-0.52484140000000001</v>
      </c>
      <c r="Z7911">
        <v>-2.5274149999999999E-3</v>
      </c>
      <c r="AA7911">
        <v>0.85119630000000002</v>
      </c>
      <c r="AB7911">
        <v>23</v>
      </c>
      <c r="AC7911">
        <v>29.309100000000001</v>
      </c>
      <c r="AD7911">
        <v>-0.54646689999999998</v>
      </c>
      <c r="AE7911">
        <v>81.686759999999893</v>
      </c>
      <c r="AF7911">
        <v>-45.589683143420501</v>
      </c>
      <c r="AG7911">
        <v>-0.54646689999999998</v>
      </c>
      <c r="AH7911">
        <v>73.842627772603507</v>
      </c>
      <c r="AI7911">
        <v>90.360786286573301</v>
      </c>
      <c r="AJ7911">
        <v>121.69075774816299</v>
      </c>
      <c r="AK7911">
        <v>86.7839357920206</v>
      </c>
      <c r="AL7911">
        <v>86.778018243623606</v>
      </c>
      <c r="AM7911">
        <v>95.908102564893895</v>
      </c>
      <c r="AN7911">
        <v>1.00000005884552</v>
      </c>
    </row>
    <row r="7912" spans="1:40" x14ac:dyDescent="0.25">
      <c r="A7912" t="str">
        <f>"20190312160521777"</f>
        <v>20190312160521777</v>
      </c>
      <c r="B7912" t="str">
        <f>"1552377921773113"</f>
        <v>1552377921773113</v>
      </c>
      <c r="C7912" t="s">
        <v>40</v>
      </c>
      <c r="D7912">
        <v>5.9137870000000001</v>
      </c>
      <c r="E7912">
        <v>0.3134863</v>
      </c>
      <c r="F7912" t="s">
        <v>57</v>
      </c>
      <c r="G7912">
        <v>-165.66</v>
      </c>
      <c r="H7912">
        <v>0.70013249999999905</v>
      </c>
      <c r="I7912">
        <v>25.184899999999999</v>
      </c>
      <c r="J7912">
        <v>-194.16</v>
      </c>
      <c r="K7912">
        <v>1.1184400000000001</v>
      </c>
      <c r="L7912">
        <v>-56.424900000000001</v>
      </c>
      <c r="M7912">
        <v>0.77757069999999995</v>
      </c>
      <c r="N7912">
        <v>0</v>
      </c>
      <c r="O7912">
        <v>0.6286138</v>
      </c>
      <c r="P7912">
        <v>0.70897849999999996</v>
      </c>
      <c r="Q7912">
        <v>4.3054389999999998E-2</v>
      </c>
      <c r="R7912">
        <v>0.70391459999999995</v>
      </c>
      <c r="S7912">
        <v>1.106598</v>
      </c>
      <c r="T7912">
        <v>-1.619315E-2</v>
      </c>
      <c r="U7912">
        <v>3.1623540000000001</v>
      </c>
      <c r="V7912">
        <v>-0.10280069999999999</v>
      </c>
      <c r="W7912">
        <v>5.6064589999999997E-2</v>
      </c>
      <c r="X7912">
        <v>0.99312069999999997</v>
      </c>
      <c r="Y7912">
        <v>-0.52636819999999995</v>
      </c>
      <c r="Z7912">
        <v>-1.9693029999999999E-3</v>
      </c>
      <c r="AA7912">
        <v>0.85025450000000002</v>
      </c>
      <c r="AB7912">
        <v>23</v>
      </c>
      <c r="AC7912">
        <v>28.5</v>
      </c>
      <c r="AD7912">
        <v>-0.4183075</v>
      </c>
      <c r="AE7912">
        <v>81.609800000000007</v>
      </c>
      <c r="AF7912">
        <v>-45.5460334469347</v>
      </c>
      <c r="AG7912">
        <v>-0.4183075</v>
      </c>
      <c r="AH7912">
        <v>73.468485374708706</v>
      </c>
      <c r="AI7912">
        <v>90.277264796950107</v>
      </c>
      <c r="AJ7912">
        <v>121.796418638435</v>
      </c>
      <c r="AK7912">
        <v>86.442087475763998</v>
      </c>
      <c r="AL7912">
        <v>86.786050324060199</v>
      </c>
      <c r="AM7912">
        <v>95.909798655229196</v>
      </c>
      <c r="AN7912">
        <v>0.99999997347042302</v>
      </c>
    </row>
    <row r="7913" spans="1:40" x14ac:dyDescent="0.25">
      <c r="A7913" t="str">
        <f>"20190312160521789"</f>
        <v>20190312160521789</v>
      </c>
      <c r="B7913" t="str">
        <f>"1552377921782873"</f>
        <v>1552377921782873</v>
      </c>
      <c r="C7913" t="s">
        <v>40</v>
      </c>
      <c r="D7913">
        <v>5.9437259999999998</v>
      </c>
      <c r="E7913">
        <v>0.31333749999999999</v>
      </c>
      <c r="F7913" t="s">
        <v>57</v>
      </c>
      <c r="G7913">
        <v>-166.49789999999999</v>
      </c>
      <c r="H7913">
        <v>0.72804369999999996</v>
      </c>
      <c r="I7913">
        <v>24.492059999999999</v>
      </c>
      <c r="J7913">
        <v>-194.0763</v>
      </c>
      <c r="K7913">
        <v>1.1184609999999999</v>
      </c>
      <c r="L7913">
        <v>-56.348210000000002</v>
      </c>
      <c r="M7913">
        <v>0.77338260000000003</v>
      </c>
      <c r="N7913">
        <v>0</v>
      </c>
      <c r="O7913">
        <v>0.63375919999999997</v>
      </c>
      <c r="P7913">
        <v>0.70453350000000003</v>
      </c>
      <c r="Q7913">
        <v>4.299712E-2</v>
      </c>
      <c r="R7913">
        <v>0.70836719999999997</v>
      </c>
      <c r="S7913">
        <v>1.0840299999999901</v>
      </c>
      <c r="T7913">
        <v>-1.529896E-2</v>
      </c>
      <c r="U7913">
        <v>3.1709900000000002</v>
      </c>
      <c r="V7913">
        <v>-0.10246710000000001</v>
      </c>
      <c r="W7913">
        <v>5.6020309999999997E-2</v>
      </c>
      <c r="X7913">
        <v>0.99315770000000003</v>
      </c>
      <c r="Y7913">
        <v>-0.52685479999999996</v>
      </c>
      <c r="Z7913">
        <v>-1.887964E-3</v>
      </c>
      <c r="AA7913">
        <v>0.84995319999999996</v>
      </c>
      <c r="AB7913">
        <v>23</v>
      </c>
      <c r="AC7913">
        <v>27.578399999999998</v>
      </c>
      <c r="AD7913">
        <v>-0.39041730000000002</v>
      </c>
      <c r="AE7913">
        <v>80.840269999999904</v>
      </c>
      <c r="AF7913">
        <v>-45.046602254588997</v>
      </c>
      <c r="AG7913">
        <v>-0.39041730000000002</v>
      </c>
      <c r="AH7913">
        <v>72.568699752488698</v>
      </c>
      <c r="AI7913">
        <v>90.261892905158106</v>
      </c>
      <c r="AJ7913">
        <v>121.829704144209</v>
      </c>
      <c r="AK7913">
        <v>85.414079542650001</v>
      </c>
      <c r="AL7913">
        <v>86.788591458125694</v>
      </c>
      <c r="AM7913">
        <v>95.8905378471364</v>
      </c>
      <c r="AN7913">
        <v>0.99999999939209805</v>
      </c>
    </row>
    <row r="7914" spans="1:40" x14ac:dyDescent="0.25">
      <c r="A7914" t="str">
        <f>"20190312160521800"</f>
        <v>20190312160521800</v>
      </c>
      <c r="B7914" t="str">
        <f>"1552377921792633"</f>
        <v>1552377921792633</v>
      </c>
      <c r="C7914" t="s">
        <v>40</v>
      </c>
      <c r="D7914">
        <v>5.7647079999999997</v>
      </c>
      <c r="E7914">
        <v>0.31477729999999998</v>
      </c>
      <c r="F7914" t="s">
        <v>57</v>
      </c>
      <c r="G7914">
        <v>-167.0395</v>
      </c>
      <c r="H7914">
        <v>0.77510749999999995</v>
      </c>
      <c r="I7914">
        <v>24.492049999999999</v>
      </c>
      <c r="J7914">
        <v>-193.9956</v>
      </c>
      <c r="K7914">
        <v>1.1184799999999999</v>
      </c>
      <c r="L7914">
        <v>-56.272799999999997</v>
      </c>
      <c r="M7914">
        <v>0.76925250000000001</v>
      </c>
      <c r="N7914">
        <v>0</v>
      </c>
      <c r="O7914">
        <v>0.63876560000000004</v>
      </c>
      <c r="P7914">
        <v>0.70024849999999905</v>
      </c>
      <c r="Q7914">
        <v>4.2774899999999998E-2</v>
      </c>
      <c r="R7914">
        <v>0.71261649999999999</v>
      </c>
      <c r="S7914">
        <v>1.06308</v>
      </c>
      <c r="T7914">
        <v>-1.350057E-2</v>
      </c>
      <c r="U7914">
        <v>3.1786189999999999</v>
      </c>
      <c r="V7914">
        <v>-0.10201880000000001</v>
      </c>
      <c r="W7914">
        <v>5.581274E-2</v>
      </c>
      <c r="X7914">
        <v>0.99321559999999998</v>
      </c>
      <c r="Y7914">
        <v>-0.52699079999999998</v>
      </c>
      <c r="Z7914">
        <v>-1.690418E-3</v>
      </c>
      <c r="AA7914">
        <v>0.84986930000000005</v>
      </c>
      <c r="AB7914">
        <v>23</v>
      </c>
      <c r="AC7914">
        <v>26.9560999999999</v>
      </c>
      <c r="AD7914">
        <v>-0.34337250000000002</v>
      </c>
      <c r="AE7914">
        <v>80.764849999999996</v>
      </c>
      <c r="AF7914">
        <v>-44.914348219964602</v>
      </c>
      <c r="AG7914">
        <v>-0.34337250000000002</v>
      </c>
      <c r="AH7914">
        <v>72.332965120429606</v>
      </c>
      <c r="AI7914">
        <v>90.231066006804696</v>
      </c>
      <c r="AJ7914">
        <v>121.83775243624299</v>
      </c>
      <c r="AK7914">
        <v>85.143845484047105</v>
      </c>
      <c r="AL7914">
        <v>86.800503182369297</v>
      </c>
      <c r="AM7914">
        <v>95.864606894682694</v>
      </c>
      <c r="AN7914">
        <v>1.00000006279155</v>
      </c>
    </row>
    <row r="7915" spans="1:40" x14ac:dyDescent="0.25">
      <c r="A7915" t="str">
        <f>"20190312160521812"</f>
        <v>20190312160521812</v>
      </c>
      <c r="B7915" t="str">
        <f>"1552377921802394"</f>
        <v>1552377921802394</v>
      </c>
      <c r="C7915" t="s">
        <v>40</v>
      </c>
      <c r="D7915">
        <v>5.9535830000000001</v>
      </c>
      <c r="E7915">
        <v>0.31477729999999998</v>
      </c>
      <c r="F7915" t="s">
        <v>57</v>
      </c>
      <c r="G7915">
        <v>-167.2527</v>
      </c>
      <c r="H7915">
        <v>0.56321730000000003</v>
      </c>
      <c r="I7915">
        <v>24.492049999999999</v>
      </c>
      <c r="J7915">
        <v>-193.9152</v>
      </c>
      <c r="K7915">
        <v>1.118503</v>
      </c>
      <c r="L7915">
        <v>-56.197049999999997</v>
      </c>
      <c r="M7915">
        <v>0.76507890000000001</v>
      </c>
      <c r="N7915">
        <v>0</v>
      </c>
      <c r="O7915">
        <v>0.64375850000000001</v>
      </c>
      <c r="P7915">
        <v>0.69566510000000004</v>
      </c>
      <c r="Q7915">
        <v>4.3073010000000002E-2</v>
      </c>
      <c r="R7915">
        <v>0.71707369999999904</v>
      </c>
      <c r="S7915">
        <v>1.0520780000000001</v>
      </c>
      <c r="T7915">
        <v>-2.1844390000000002E-2</v>
      </c>
      <c r="U7915">
        <v>3.1773380000000002</v>
      </c>
      <c r="V7915">
        <v>-0.1019176</v>
      </c>
      <c r="W7915">
        <v>5.611791E-2</v>
      </c>
      <c r="X7915">
        <v>0.99320870000000006</v>
      </c>
      <c r="Y7915">
        <v>-0.52400259999999999</v>
      </c>
      <c r="Z7915">
        <v>-2.7887889999999999E-3</v>
      </c>
      <c r="AA7915">
        <v>0.85171219999999903</v>
      </c>
      <c r="AB7915">
        <v>23</v>
      </c>
      <c r="AC7915">
        <v>26.662499999999898</v>
      </c>
      <c r="AD7915">
        <v>-0.55528569999999999</v>
      </c>
      <c r="AE7915">
        <v>80.689099999999996</v>
      </c>
      <c r="AF7915">
        <v>-44.572523838745497</v>
      </c>
      <c r="AG7915">
        <v>-0.55528569999999999</v>
      </c>
      <c r="AH7915">
        <v>72.3484155927475</v>
      </c>
      <c r="AI7915">
        <v>90.374398563773596</v>
      </c>
      <c r="AJ7915">
        <v>121.636456260846</v>
      </c>
      <c r="AK7915">
        <v>84.978299949722896</v>
      </c>
      <c r="AL7915">
        <v>86.782990482604006</v>
      </c>
      <c r="AM7915">
        <v>95.858870264447702</v>
      </c>
      <c r="AN7915">
        <v>0.99999996938410796</v>
      </c>
    </row>
    <row r="7916" spans="1:40" x14ac:dyDescent="0.25">
      <c r="A7916" t="str">
        <f>"20190312160521820"</f>
        <v>20190312160521820</v>
      </c>
      <c r="B7916" t="str">
        <f>"1552377921813130"</f>
        <v>1552377921813130</v>
      </c>
      <c r="C7916" t="s">
        <v>40</v>
      </c>
      <c r="D7916">
        <v>5.8563470000000004</v>
      </c>
      <c r="E7916">
        <v>0.33309169999999999</v>
      </c>
      <c r="F7916" t="s">
        <v>57</v>
      </c>
      <c r="G7916">
        <v>-167.76920000000001</v>
      </c>
      <c r="H7916">
        <v>0.60608779999999995</v>
      </c>
      <c r="I7916">
        <v>24.492049999999999</v>
      </c>
      <c r="J7916">
        <v>-193.84110000000001</v>
      </c>
      <c r="K7916">
        <v>1.1185179999999999</v>
      </c>
      <c r="L7916">
        <v>-56.126040000000003</v>
      </c>
      <c r="M7916">
        <v>0.76115350000000004</v>
      </c>
      <c r="N7916">
        <v>0</v>
      </c>
      <c r="O7916">
        <v>0.64839469999999899</v>
      </c>
      <c r="P7916">
        <v>0.69158180000000002</v>
      </c>
      <c r="Q7916">
        <v>4.3312160000000002E-2</v>
      </c>
      <c r="R7916">
        <v>0.72099849999999999</v>
      </c>
      <c r="S7916">
        <v>1.0317229999999999</v>
      </c>
      <c r="T7916">
        <v>-2.0219919999999999E-2</v>
      </c>
      <c r="U7916">
        <v>3.1839900000000001</v>
      </c>
      <c r="V7916">
        <v>-0.10151930000000001</v>
      </c>
      <c r="W7916">
        <v>5.6370709999999997E-2</v>
      </c>
      <c r="X7916">
        <v>0.99323519999999998</v>
      </c>
      <c r="Y7916">
        <v>-0.5242774</v>
      </c>
      <c r="Z7916">
        <v>-2.615338E-3</v>
      </c>
      <c r="AA7916">
        <v>0.85154349999999901</v>
      </c>
      <c r="AB7916">
        <v>23</v>
      </c>
      <c r="AC7916">
        <v>26.071899999999999</v>
      </c>
      <c r="AD7916">
        <v>-0.51243019999999995</v>
      </c>
      <c r="AE7916">
        <v>80.618089999999995</v>
      </c>
      <c r="AF7916">
        <v>-44.461339369824003</v>
      </c>
      <c r="AG7916">
        <v>-0.51243019999999995</v>
      </c>
      <c r="AH7916">
        <v>72.122704924952103</v>
      </c>
      <c r="AI7916">
        <v>90.346525616539495</v>
      </c>
      <c r="AJ7916">
        <v>121.652503479857</v>
      </c>
      <c r="AK7916">
        <v>84.727550707902907</v>
      </c>
      <c r="AL7916">
        <v>86.768483223670302</v>
      </c>
      <c r="AM7916">
        <v>95.835977171385693</v>
      </c>
      <c r="AN7916">
        <v>0.99999999386871696</v>
      </c>
    </row>
    <row r="7917" spans="1:40" x14ac:dyDescent="0.25">
      <c r="A7917" t="str">
        <f>"20190312160521833"</f>
        <v>20190312160521833</v>
      </c>
      <c r="B7917" t="str">
        <f>"1552377921822889"</f>
        <v>1552377921822889</v>
      </c>
      <c r="C7917" t="s">
        <v>40</v>
      </c>
      <c r="D7917">
        <v>5.7824770000000001</v>
      </c>
      <c r="E7917">
        <v>0.33412920000000002</v>
      </c>
      <c r="F7917" t="s">
        <v>49</v>
      </c>
      <c r="G7917">
        <v>-193.52170000000001</v>
      </c>
      <c r="H7917">
        <v>1.07977099999999</v>
      </c>
      <c r="I7917">
        <v>-55.246690000000001</v>
      </c>
      <c r="J7917">
        <v>-193.75810000000001</v>
      </c>
      <c r="K7917">
        <v>1.1185369999999999</v>
      </c>
      <c r="L7917">
        <v>-56.045589999999997</v>
      </c>
      <c r="M7917">
        <v>0.75668570000000002</v>
      </c>
      <c r="N7917">
        <v>0</v>
      </c>
      <c r="O7917">
        <v>0.65360299999999905</v>
      </c>
      <c r="P7917">
        <v>0.68666609999999995</v>
      </c>
      <c r="Q7917">
        <v>4.3423759999999999E-2</v>
      </c>
      <c r="R7917">
        <v>0.72567490000000001</v>
      </c>
      <c r="S7917">
        <v>1.1229549999999999</v>
      </c>
      <c r="T7917">
        <v>-0.13624220000000001</v>
      </c>
      <c r="U7917">
        <v>3.0919490000000001</v>
      </c>
      <c r="V7917">
        <v>-0.1014523</v>
      </c>
      <c r="W7917">
        <v>5.6489730000000002E-2</v>
      </c>
      <c r="X7917">
        <v>0.99323530000000004</v>
      </c>
      <c r="Y7917">
        <v>-0.488201</v>
      </c>
      <c r="Z7917">
        <v>-1.8890549999999999E-2</v>
      </c>
      <c r="AA7917">
        <v>0.87252680000000005</v>
      </c>
      <c r="AB7917">
        <v>23</v>
      </c>
      <c r="AC7917">
        <v>0.236400000000003</v>
      </c>
      <c r="AD7917">
        <v>-3.87660000000003E-2</v>
      </c>
      <c r="AE7917">
        <v>0.79890000000000305</v>
      </c>
      <c r="AF7917">
        <v>-0.449083907328448</v>
      </c>
      <c r="AG7917">
        <v>-3.87660000000003E-2</v>
      </c>
      <c r="AH7917">
        <v>0.69960984941410997</v>
      </c>
      <c r="AI7917">
        <v>92.669802747653094</v>
      </c>
      <c r="AJ7917">
        <v>122.696657452282</v>
      </c>
      <c r="AK7917">
        <v>0.83224581703642098</v>
      </c>
      <c r="AL7917">
        <v>86.7616530484827</v>
      </c>
      <c r="AM7917">
        <v>95.832151559160806</v>
      </c>
      <c r="AN7917">
        <v>1.0000000099684201</v>
      </c>
    </row>
    <row r="7918" spans="1:40" x14ac:dyDescent="0.25">
      <c r="A7918" t="str">
        <f>"20190312160521844"</f>
        <v>20190312160521844</v>
      </c>
      <c r="B7918" t="str">
        <f>"1552377921832649"</f>
        <v>1552377921832649</v>
      </c>
      <c r="C7918" t="s">
        <v>40</v>
      </c>
      <c r="D7918">
        <v>5.8344500000000004</v>
      </c>
      <c r="E7918">
        <v>0.33456940000000002</v>
      </c>
      <c r="F7918" t="s">
        <v>49</v>
      </c>
      <c r="G7918">
        <v>-193.42699999999999</v>
      </c>
      <c r="H7918">
        <v>1.077412</v>
      </c>
      <c r="I7918">
        <v>-55.121209999999998</v>
      </c>
      <c r="J7918">
        <v>-193.68049999999999</v>
      </c>
      <c r="K7918">
        <v>1.1185480000000001</v>
      </c>
      <c r="L7918">
        <v>-55.969360000000002</v>
      </c>
      <c r="M7918">
        <v>0.75243309999999997</v>
      </c>
      <c r="N7918">
        <v>0</v>
      </c>
      <c r="O7918">
        <v>0.65849389999999997</v>
      </c>
      <c r="P7918">
        <v>0.68219790000000002</v>
      </c>
      <c r="Q7918">
        <v>4.3529999999999999E-2</v>
      </c>
      <c r="R7918">
        <v>0.72987060000000004</v>
      </c>
      <c r="S7918">
        <v>1.108231</v>
      </c>
      <c r="T7918">
        <v>-0.1376317</v>
      </c>
      <c r="U7918">
        <v>3.093658</v>
      </c>
      <c r="V7918">
        <v>-0.1011116</v>
      </c>
      <c r="W7918">
        <v>5.6608260000000001E-2</v>
      </c>
      <c r="X7918">
        <v>0.99326329999999996</v>
      </c>
      <c r="Y7918">
        <v>-0.48637649999999999</v>
      </c>
      <c r="Z7918">
        <v>-1.9388820000000001E-2</v>
      </c>
      <c r="AA7918">
        <v>0.87353419999999904</v>
      </c>
      <c r="AB7918">
        <v>23</v>
      </c>
      <c r="AC7918">
        <v>0.25349999999997402</v>
      </c>
      <c r="AD7918">
        <v>-4.1135999999999798E-2</v>
      </c>
      <c r="AE7918">
        <v>0.84814999999999596</v>
      </c>
      <c r="AF7918">
        <v>-0.47028663437368801</v>
      </c>
      <c r="AG7918">
        <v>-4.1135999999999798E-2</v>
      </c>
      <c r="AH7918">
        <v>0.74771501516810202</v>
      </c>
      <c r="AI7918">
        <v>92.6663361396662</v>
      </c>
      <c r="AJ7918">
        <v>122.16845924093001</v>
      </c>
      <c r="AK7918">
        <v>0.88427339260794602</v>
      </c>
      <c r="AL7918">
        <v>86.754850917818004</v>
      </c>
      <c r="AM7918">
        <v>95.812537458815498</v>
      </c>
      <c r="AN7918">
        <v>1.0000000169408301</v>
      </c>
    </row>
    <row r="7919" spans="1:40" x14ac:dyDescent="0.25">
      <c r="A7919" t="str">
        <f>"20190312160521856"</f>
        <v>20190312160521856</v>
      </c>
      <c r="B7919" t="str">
        <f>"1552377921853145"</f>
        <v>1552377921853145</v>
      </c>
      <c r="C7919" t="s">
        <v>40</v>
      </c>
      <c r="D7919">
        <v>5.8290230000000003</v>
      </c>
      <c r="E7919">
        <v>0.33084180000000002</v>
      </c>
      <c r="F7919" t="s">
        <v>49</v>
      </c>
      <c r="G7919">
        <v>-193.3665</v>
      </c>
      <c r="H7919">
        <v>1.0793649999999999</v>
      </c>
      <c r="I7919">
        <v>-55.078360000000004</v>
      </c>
      <c r="J7919">
        <v>-193.60149999999999</v>
      </c>
      <c r="K7919">
        <v>1.1185620000000001</v>
      </c>
      <c r="L7919">
        <v>-55.890439999999998</v>
      </c>
      <c r="M7919">
        <v>0.74801689999999998</v>
      </c>
      <c r="N7919">
        <v>0</v>
      </c>
      <c r="O7919">
        <v>0.66350609999999999</v>
      </c>
      <c r="P7919">
        <v>0.67743339999999996</v>
      </c>
      <c r="Q7919">
        <v>4.363649E-2</v>
      </c>
      <c r="R7919">
        <v>0.73428879999999996</v>
      </c>
      <c r="S7919">
        <v>1.0915680000000001</v>
      </c>
      <c r="T7919">
        <v>-0.13623660000000001</v>
      </c>
      <c r="U7919">
        <v>3.0981450000000001</v>
      </c>
      <c r="V7919">
        <v>-0.1009395</v>
      </c>
      <c r="W7919">
        <v>5.672348E-2</v>
      </c>
      <c r="X7919">
        <v>0.9932742</v>
      </c>
      <c r="Y7919">
        <v>-0.4851145</v>
      </c>
      <c r="Z7919">
        <v>-1.9479529999999998E-2</v>
      </c>
      <c r="AA7919">
        <v>0.8742337</v>
      </c>
      <c r="AB7919">
        <v>23</v>
      </c>
      <c r="AC7919">
        <v>0.234999999999985</v>
      </c>
      <c r="AD7919">
        <v>-3.91970000000001E-2</v>
      </c>
      <c r="AE7919">
        <v>0.81208000000000802</v>
      </c>
      <c r="AF7919">
        <v>-0.45060896469010697</v>
      </c>
      <c r="AG7919">
        <v>-3.91970000000001E-2</v>
      </c>
      <c r="AH7919">
        <v>0.71315324996319496</v>
      </c>
      <c r="AI7919">
        <v>92.660322304037905</v>
      </c>
      <c r="AJ7919">
        <v>122.286921782489</v>
      </c>
      <c r="AK7919">
        <v>0.84449535333307602</v>
      </c>
      <c r="AL7919">
        <v>86.748238573301094</v>
      </c>
      <c r="AM7919">
        <v>95.802648382387304</v>
      </c>
      <c r="AN7919">
        <v>0.99999998611459995</v>
      </c>
    </row>
    <row r="7920" spans="1:40" x14ac:dyDescent="0.25">
      <c r="A7920" t="str">
        <f>"20190312160521867"</f>
        <v>20190312160521867</v>
      </c>
      <c r="B7920" t="str">
        <f>"1552377921862906"</f>
        <v>1552377921862906</v>
      </c>
      <c r="C7920" t="s">
        <v>40</v>
      </c>
      <c r="D7920">
        <v>5.9261290000000004</v>
      </c>
      <c r="E7920">
        <v>0.32994469999999998</v>
      </c>
      <c r="F7920" t="s">
        <v>41</v>
      </c>
      <c r="G7920">
        <v>-182.45269999999999</v>
      </c>
      <c r="H7920" s="1">
        <v>-4.6403969999999998E-6</v>
      </c>
      <c r="I7920">
        <v>-22.671029999999998</v>
      </c>
      <c r="J7920">
        <v>-193.52019999999999</v>
      </c>
      <c r="K7920">
        <v>1.1185750000000001</v>
      </c>
      <c r="L7920">
        <v>-55.808689999999999</v>
      </c>
      <c r="M7920">
        <v>0.74341409999999997</v>
      </c>
      <c r="N7920">
        <v>0</v>
      </c>
      <c r="O7920">
        <v>0.66865889999999994</v>
      </c>
      <c r="P7920">
        <v>0.67274389999999995</v>
      </c>
      <c r="Q7920">
        <v>4.36345E-2</v>
      </c>
      <c r="R7920">
        <v>0.73858769999999996</v>
      </c>
      <c r="S7920">
        <v>1.0485990000000001</v>
      </c>
      <c r="T7920">
        <v>-0.1052067</v>
      </c>
      <c r="U7920">
        <v>3.1244510000000001</v>
      </c>
      <c r="V7920">
        <v>-0.1004023</v>
      </c>
      <c r="W7920">
        <v>5.6739190000000002E-2</v>
      </c>
      <c r="X7920">
        <v>0.99332770000000004</v>
      </c>
      <c r="Y7920">
        <v>-0.49211100000000002</v>
      </c>
      <c r="Z7920">
        <v>-1.509773E-2</v>
      </c>
      <c r="AA7920">
        <v>0.87040149999999905</v>
      </c>
      <c r="AB7920">
        <v>23</v>
      </c>
      <c r="AC7920">
        <v>11.0674999999999</v>
      </c>
      <c r="AD7920">
        <v>-1.1185796403970001</v>
      </c>
      <c r="AE7920">
        <v>33.137659999999997</v>
      </c>
      <c r="AF7920">
        <v>-17.2189591037809</v>
      </c>
      <c r="AG7920">
        <v>-1.1185796403970001</v>
      </c>
      <c r="AH7920">
        <v>30.357913559355101</v>
      </c>
      <c r="AI7920">
        <v>91.835693810503201</v>
      </c>
      <c r="AJ7920">
        <v>119.56183667153999</v>
      </c>
      <c r="AK7920">
        <v>34.919145016836602</v>
      </c>
      <c r="AL7920">
        <v>86.747336849744201</v>
      </c>
      <c r="AM7920">
        <v>95.771666976936999</v>
      </c>
      <c r="AN7920">
        <v>0.99999993855721603</v>
      </c>
    </row>
    <row r="7921" spans="1:40" x14ac:dyDescent="0.25">
      <c r="A7921" t="str">
        <f>"20190312160521878"</f>
        <v>20190312160521878</v>
      </c>
      <c r="B7921" t="str">
        <f>"1552377921872665"</f>
        <v>1552377921872665</v>
      </c>
      <c r="C7921" t="s">
        <v>40</v>
      </c>
      <c r="D7921">
        <v>5.8586159999999996</v>
      </c>
      <c r="E7921">
        <v>0.32954</v>
      </c>
      <c r="F7921" t="s">
        <v>41</v>
      </c>
      <c r="G7921">
        <v>-181.5378</v>
      </c>
      <c r="H7921" s="1">
        <v>-2.6844749999999998E-6</v>
      </c>
      <c r="I7921">
        <v>-19.079809999999998</v>
      </c>
      <c r="J7921">
        <v>-193.44210000000001</v>
      </c>
      <c r="K7921">
        <v>1.1185879999999999</v>
      </c>
      <c r="L7921">
        <v>-55.728209999999997</v>
      </c>
      <c r="M7921">
        <v>0.73887840000000005</v>
      </c>
      <c r="N7921">
        <v>0</v>
      </c>
      <c r="O7921">
        <v>0.67366740000000003</v>
      </c>
      <c r="P7921">
        <v>0.66792669999999998</v>
      </c>
      <c r="Q7921">
        <v>4.3669119999999999E-2</v>
      </c>
      <c r="R7921">
        <v>0.74294479999999996</v>
      </c>
      <c r="S7921">
        <v>1.02298</v>
      </c>
      <c r="T7921">
        <v>-9.549713E-2</v>
      </c>
      <c r="U7921">
        <v>3.1356809999999999</v>
      </c>
      <c r="V7921">
        <v>-0.1001505</v>
      </c>
      <c r="W7921">
        <v>5.6784420000000002E-2</v>
      </c>
      <c r="X7921">
        <v>0.99335059999999997</v>
      </c>
      <c r="Y7921">
        <v>-0.49357719999999999</v>
      </c>
      <c r="Z7921">
        <v>-1.385464E-2</v>
      </c>
      <c r="AA7921">
        <v>0.86959169999999997</v>
      </c>
      <c r="AB7921">
        <v>23</v>
      </c>
      <c r="AC7921">
        <v>11.904299999999999</v>
      </c>
      <c r="AD7921">
        <v>-1.118590684475</v>
      </c>
      <c r="AE7921">
        <v>36.648400000000002</v>
      </c>
      <c r="AF7921">
        <v>-19.0453241505958</v>
      </c>
      <c r="AG7921">
        <v>-1.118590684475</v>
      </c>
      <c r="AH7921">
        <v>33.460332910856302</v>
      </c>
      <c r="AI7921">
        <v>91.664182494966695</v>
      </c>
      <c r="AJ7921">
        <v>119.648147420706</v>
      </c>
      <c r="AK7921">
        <v>38.517132494852198</v>
      </c>
      <c r="AL7921">
        <v>86.744741389089796</v>
      </c>
      <c r="AM7921">
        <v>95.757157677714702</v>
      </c>
      <c r="AN7921">
        <v>1.00000000376267</v>
      </c>
    </row>
    <row r="7922" spans="1:40" x14ac:dyDescent="0.25">
      <c r="A7922" t="str">
        <f>"20190312160521890"</f>
        <v>20190312160521890</v>
      </c>
      <c r="B7922" t="str">
        <f>"1552377921882425"</f>
        <v>1552377921882425</v>
      </c>
      <c r="C7922" t="s">
        <v>40</v>
      </c>
      <c r="D7922">
        <v>5.9969640000000002</v>
      </c>
      <c r="E7922">
        <v>0.32953349999999998</v>
      </c>
      <c r="F7922" t="s">
        <v>41</v>
      </c>
      <c r="G7922">
        <v>-180.90819999999999</v>
      </c>
      <c r="H7922" s="1">
        <v>-3.792965E-6</v>
      </c>
      <c r="I7922">
        <v>-16.31475</v>
      </c>
      <c r="J7922">
        <v>-193.36410000000001</v>
      </c>
      <c r="K7922">
        <v>1.118598</v>
      </c>
      <c r="L7922">
        <v>-55.647280000000002</v>
      </c>
      <c r="M7922">
        <v>0.73428950000000004</v>
      </c>
      <c r="N7922">
        <v>0</v>
      </c>
      <c r="O7922">
        <v>0.678666199999999</v>
      </c>
      <c r="P7922">
        <v>0.66335429999999995</v>
      </c>
      <c r="Q7922">
        <v>4.3561540000000003E-2</v>
      </c>
      <c r="R7922">
        <v>0.74703649999999999</v>
      </c>
      <c r="S7922">
        <v>0.99990840000000003</v>
      </c>
      <c r="T7922">
        <v>-8.9236969999999999E-2</v>
      </c>
      <c r="U7922">
        <v>3.1442570000000001</v>
      </c>
      <c r="V7922">
        <v>-9.9509139999999996E-2</v>
      </c>
      <c r="W7922">
        <v>5.6695870000000002E-2</v>
      </c>
      <c r="X7922">
        <v>0.99342010000000003</v>
      </c>
      <c r="Y7922">
        <v>-0.49415550000000003</v>
      </c>
      <c r="Z7922">
        <v>-1.310352E-2</v>
      </c>
      <c r="AA7922">
        <v>0.86927480000000001</v>
      </c>
      <c r="AB7922">
        <v>23</v>
      </c>
      <c r="AC7922">
        <v>12.4559</v>
      </c>
      <c r="AD7922">
        <v>-1.1186017929650001</v>
      </c>
      <c r="AE7922">
        <v>39.332529999999998</v>
      </c>
      <c r="AF7922">
        <v>-20.4154193437173</v>
      </c>
      <c r="AG7922">
        <v>-1.1186017929650001</v>
      </c>
      <c r="AH7922">
        <v>35.817708340686302</v>
      </c>
      <c r="AI7922">
        <v>91.554195967889598</v>
      </c>
      <c r="AJ7922">
        <v>119.68232590701</v>
      </c>
      <c r="AK7922">
        <v>41.2425611199101</v>
      </c>
      <c r="AL7922">
        <v>86.749823081610302</v>
      </c>
      <c r="AM7922">
        <v>95.720136809190194</v>
      </c>
      <c r="AN7922">
        <v>0.99999999285130303</v>
      </c>
    </row>
    <row r="7923" spans="1:40" x14ac:dyDescent="0.25">
      <c r="A7923" t="str">
        <f>"20190312160521901"</f>
        <v>20190312160521901</v>
      </c>
      <c r="B7923" t="str">
        <f>"1552377921893161"</f>
        <v>1552377921893161</v>
      </c>
      <c r="C7923" t="s">
        <v>40</v>
      </c>
      <c r="D7923">
        <v>5.7751869999999998</v>
      </c>
      <c r="E7923">
        <v>0.32945170000000001</v>
      </c>
      <c r="F7923" t="s">
        <v>41</v>
      </c>
      <c r="G7923">
        <v>-180.49860000000001</v>
      </c>
      <c r="H7923" s="1">
        <v>-4.585502E-6</v>
      </c>
      <c r="I7923">
        <v>-14.30608</v>
      </c>
      <c r="J7923">
        <v>-193.2851</v>
      </c>
      <c r="K7923">
        <v>1.118609</v>
      </c>
      <c r="L7923">
        <v>-55.563899999999997</v>
      </c>
      <c r="M7923">
        <v>0.7295509</v>
      </c>
      <c r="N7923">
        <v>0</v>
      </c>
      <c r="O7923">
        <v>0.68375739999999996</v>
      </c>
      <c r="P7923">
        <v>0.65826219999999902</v>
      </c>
      <c r="Q7923">
        <v>4.3465230000000001E-2</v>
      </c>
      <c r="R7923">
        <v>0.75153300000000001</v>
      </c>
      <c r="S7923">
        <v>0.98037719999999995</v>
      </c>
      <c r="T7923">
        <v>-8.5240239999999995E-2</v>
      </c>
      <c r="U7923">
        <v>3.150299</v>
      </c>
      <c r="V7923">
        <v>-9.9353330000000004E-2</v>
      </c>
      <c r="W7923">
        <v>5.6608739999999998E-2</v>
      </c>
      <c r="X7923">
        <v>0.99344069999999995</v>
      </c>
      <c r="Y7923">
        <v>-0.49349419999999999</v>
      </c>
      <c r="Z7923">
        <v>-1.268883E-2</v>
      </c>
      <c r="AA7923">
        <v>0.869656599999999</v>
      </c>
      <c r="AB7923">
        <v>23</v>
      </c>
      <c r="AC7923">
        <v>12.786499999999901</v>
      </c>
      <c r="AD7923">
        <v>-1.1186135855020001</v>
      </c>
      <c r="AE7923">
        <v>41.257820000000002</v>
      </c>
      <c r="AF7923">
        <v>-21.3449703599067</v>
      </c>
      <c r="AG7923">
        <v>-1.1186135855020001</v>
      </c>
      <c r="AH7923">
        <v>37.517921803491603</v>
      </c>
      <c r="AI7923">
        <v>91.484484038919206</v>
      </c>
      <c r="AJ7923">
        <v>119.636729940623</v>
      </c>
      <c r="AK7923">
        <v>43.179318110316203</v>
      </c>
      <c r="AL7923">
        <v>86.754823410918604</v>
      </c>
      <c r="AM7923">
        <v>95.711121911260193</v>
      </c>
      <c r="AN7923">
        <v>1.0000000290214801</v>
      </c>
    </row>
    <row r="7924" spans="1:40" x14ac:dyDescent="0.25">
      <c r="A7924" t="str">
        <f>"20190312160521913"</f>
        <v>20190312160521913</v>
      </c>
      <c r="B7924" t="str">
        <f>"1552377921902922"</f>
        <v>1552377921902922</v>
      </c>
      <c r="C7924" t="s">
        <v>40</v>
      </c>
      <c r="D7924">
        <v>5.8055110000000001</v>
      </c>
      <c r="E7924">
        <v>0.32967940000000001</v>
      </c>
      <c r="F7924" t="s">
        <v>41</v>
      </c>
      <c r="G7924">
        <v>-180.17519999999999</v>
      </c>
      <c r="H7924" s="1">
        <v>-5.3312410000000004E-6</v>
      </c>
      <c r="I7924">
        <v>-12.36754</v>
      </c>
      <c r="J7924">
        <v>-193.2054</v>
      </c>
      <c r="K7924">
        <v>1.1186179999999999</v>
      </c>
      <c r="L7924">
        <v>-55.478520000000003</v>
      </c>
      <c r="M7924">
        <v>0.72468080000000001</v>
      </c>
      <c r="N7924">
        <v>0</v>
      </c>
      <c r="O7924">
        <v>0.68891659999999999</v>
      </c>
      <c r="P7924">
        <v>0.65325739999999999</v>
      </c>
      <c r="Q7924">
        <v>4.3715110000000001E-2</v>
      </c>
      <c r="R7924">
        <v>0.75587280000000001</v>
      </c>
      <c r="S7924">
        <v>0.9582214</v>
      </c>
      <c r="T7924">
        <v>-8.1761239999999999E-2</v>
      </c>
      <c r="U7924">
        <v>3.1572879999999999</v>
      </c>
      <c r="V7924">
        <v>-9.8896090000000006E-2</v>
      </c>
      <c r="W7924">
        <v>5.6874389999999997E-2</v>
      </c>
      <c r="X7924">
        <v>0.99347110000000005</v>
      </c>
      <c r="Y7924">
        <v>-0.49344589999999999</v>
      </c>
      <c r="Z7924">
        <v>-1.233076E-2</v>
      </c>
      <c r="AA7924">
        <v>0.86968909999999999</v>
      </c>
      <c r="AB7924">
        <v>23</v>
      </c>
      <c r="AC7924">
        <v>13.030200000000001</v>
      </c>
      <c r="AD7924">
        <v>-1.1186233312410001</v>
      </c>
      <c r="AE7924">
        <v>43.110979999999998</v>
      </c>
      <c r="AF7924">
        <v>-22.253828998800699</v>
      </c>
      <c r="AG7924">
        <v>-1.1186233312410001</v>
      </c>
      <c r="AH7924">
        <v>39.123004500565401</v>
      </c>
      <c r="AI7924">
        <v>91.423686230669702</v>
      </c>
      <c r="AJ7924">
        <v>119.631953714931</v>
      </c>
      <c r="AK7924">
        <v>45.023257372343899</v>
      </c>
      <c r="AL7924">
        <v>86.739578064966494</v>
      </c>
      <c r="AM7924">
        <v>95.684838151776404</v>
      </c>
      <c r="AN7924">
        <v>0.99999997969518495</v>
      </c>
    </row>
    <row r="7925" spans="1:40" x14ac:dyDescent="0.25">
      <c r="A7925" t="str">
        <f>"20190312160521925"</f>
        <v>20190312160521925</v>
      </c>
      <c r="B7925" t="str">
        <f>"1552377921912680"</f>
        <v>1552377921912680</v>
      </c>
      <c r="C7925" t="s">
        <v>40</v>
      </c>
      <c r="D7925">
        <v>5.9598690000000003</v>
      </c>
      <c r="E7925">
        <v>0.33000299999999999</v>
      </c>
      <c r="F7925" t="s">
        <v>41</v>
      </c>
      <c r="G7925">
        <v>-180.08279999999999</v>
      </c>
      <c r="H7925" s="1">
        <v>-5.7296709999999901E-6</v>
      </c>
      <c r="I7925">
        <v>-11.268990000000001</v>
      </c>
      <c r="J7925">
        <v>-193.12530000000001</v>
      </c>
      <c r="K7925">
        <v>1.1186259999999999</v>
      </c>
      <c r="L7925">
        <v>-55.391849999999998</v>
      </c>
      <c r="M7925">
        <v>0.71971490000000005</v>
      </c>
      <c r="N7925">
        <v>0</v>
      </c>
      <c r="O7925">
        <v>0.69410280000000002</v>
      </c>
      <c r="P7925">
        <v>0.64795239999999998</v>
      </c>
      <c r="Q7925">
        <v>4.384445E-2</v>
      </c>
      <c r="R7925">
        <v>0.76041789999999998</v>
      </c>
      <c r="S7925">
        <v>0.93865969999999999</v>
      </c>
      <c r="T7925">
        <v>-8.0015539999999996E-2</v>
      </c>
      <c r="U7925">
        <v>3.1623230000000002</v>
      </c>
      <c r="V7925">
        <v>-9.8711989999999999E-2</v>
      </c>
      <c r="W7925">
        <v>5.7012930000000003E-2</v>
      </c>
      <c r="X7925">
        <v>0.99348150000000002</v>
      </c>
      <c r="Y7925">
        <v>-0.49252059999999998</v>
      </c>
      <c r="Z7925">
        <v>-1.223802E-2</v>
      </c>
      <c r="AA7925">
        <v>0.87021469999999901</v>
      </c>
      <c r="AB7925">
        <v>23</v>
      </c>
      <c r="AC7925">
        <v>13.0425</v>
      </c>
      <c r="AD7925">
        <v>-1.118631729671</v>
      </c>
      <c r="AE7925">
        <v>44.122859999999903</v>
      </c>
      <c r="AF7925">
        <v>-22.6922617714301</v>
      </c>
      <c r="AG7925">
        <v>-1.118631729671</v>
      </c>
      <c r="AH7925">
        <v>39.993679249507203</v>
      </c>
      <c r="AI7925">
        <v>91.393564705201698</v>
      </c>
      <c r="AJ7925">
        <v>119.570411925619</v>
      </c>
      <c r="AK7925">
        <v>45.996570102152198</v>
      </c>
      <c r="AL7925">
        <v>86.7316275091394</v>
      </c>
      <c r="AM7925">
        <v>95.674265654405005</v>
      </c>
      <c r="AN7925">
        <v>1.0000000109995899</v>
      </c>
    </row>
    <row r="7926" spans="1:40" x14ac:dyDescent="0.25">
      <c r="A7926" t="str">
        <f>"20190312160521937"</f>
        <v>20190312160521937</v>
      </c>
      <c r="B7926" t="str">
        <f>"1552377921933177"</f>
        <v>1552377921933177</v>
      </c>
      <c r="C7926" t="s">
        <v>40</v>
      </c>
      <c r="D7926">
        <v>5.7988189999999999</v>
      </c>
      <c r="E7926">
        <v>0.33085560000000003</v>
      </c>
      <c r="F7926" t="s">
        <v>41</v>
      </c>
      <c r="G7926">
        <v>-180.13319999999999</v>
      </c>
      <c r="H7926" s="1">
        <v>-5.9483439999999998E-6</v>
      </c>
      <c r="I7926">
        <v>-10.587</v>
      </c>
      <c r="J7926">
        <v>-193.05090000000001</v>
      </c>
      <c r="K7926">
        <v>1.1186290000000001</v>
      </c>
      <c r="L7926">
        <v>-55.309570000000001</v>
      </c>
      <c r="M7926">
        <v>0.71499650000000003</v>
      </c>
      <c r="N7926">
        <v>0</v>
      </c>
      <c r="O7926">
        <v>0.69896219999999998</v>
      </c>
      <c r="P7926">
        <v>0.64283690000000004</v>
      </c>
      <c r="Q7926">
        <v>4.4063730000000002E-2</v>
      </c>
      <c r="R7926">
        <v>0.76473459999999904</v>
      </c>
      <c r="S7926">
        <v>0.91839599999999999</v>
      </c>
      <c r="T7926">
        <v>-7.9074859999999997E-2</v>
      </c>
      <c r="U7926">
        <v>3.1672060000000002</v>
      </c>
      <c r="V7926">
        <v>-9.8642030000000006E-2</v>
      </c>
      <c r="W7926">
        <v>5.7239060000000001E-2</v>
      </c>
      <c r="X7926">
        <v>0.99347540000000001</v>
      </c>
      <c r="Y7926">
        <v>-0.49211840000000001</v>
      </c>
      <c r="Z7926">
        <v>-1.2248469999999999E-2</v>
      </c>
      <c r="AA7926">
        <v>0.8704421</v>
      </c>
      <c r="AB7926">
        <v>23</v>
      </c>
      <c r="AC7926">
        <v>12.9177</v>
      </c>
      <c r="AD7926">
        <v>-1.1186349483439999</v>
      </c>
      <c r="AE7926">
        <v>44.722569999999898</v>
      </c>
      <c r="AF7926">
        <v>-22.936912460635401</v>
      </c>
      <c r="AG7926">
        <v>-1.1186349483439999</v>
      </c>
      <c r="AH7926">
        <v>40.476817628279001</v>
      </c>
      <c r="AI7926">
        <v>91.377371477367006</v>
      </c>
      <c r="AJ7926">
        <v>119.538834908989</v>
      </c>
      <c r="AK7926">
        <v>46.537362008255997</v>
      </c>
      <c r="AL7926">
        <v>86.718649871775895</v>
      </c>
      <c r="AM7926">
        <v>95.670304945324901</v>
      </c>
      <c r="AN7926">
        <v>0.99999996523868095</v>
      </c>
    </row>
    <row r="7927" spans="1:40" x14ac:dyDescent="0.25">
      <c r="A7927" t="str">
        <f>"20190312160521948"</f>
        <v>20190312160521948</v>
      </c>
      <c r="B7927" t="str">
        <f>"1552377921942937"</f>
        <v>1552377921942937</v>
      </c>
      <c r="C7927" t="s">
        <v>40</v>
      </c>
      <c r="D7927">
        <v>6.0672819999999996</v>
      </c>
      <c r="E7927">
        <v>0.33124369999999997</v>
      </c>
      <c r="F7927" t="s">
        <v>41</v>
      </c>
      <c r="G7927">
        <v>-180.23480000000001</v>
      </c>
      <c r="H7927" s="1">
        <v>-2.6139990000000001E-6</v>
      </c>
      <c r="I7927">
        <v>-10.3057</v>
      </c>
      <c r="J7927">
        <v>-192.9735</v>
      </c>
      <c r="K7927">
        <v>1.11863</v>
      </c>
      <c r="L7927">
        <v>-55.223419999999997</v>
      </c>
      <c r="M7927">
        <v>0.71003050000000001</v>
      </c>
      <c r="N7927">
        <v>0</v>
      </c>
      <c r="O7927">
        <v>0.70400609999999997</v>
      </c>
      <c r="P7927">
        <v>0.63747580000000004</v>
      </c>
      <c r="Q7927">
        <v>4.4222730000000002E-2</v>
      </c>
      <c r="R7927">
        <v>0.7692002</v>
      </c>
      <c r="S7927">
        <v>0.90243530000000005</v>
      </c>
      <c r="T7927">
        <v>-7.8767660000000003E-2</v>
      </c>
      <c r="U7927">
        <v>3.1689150000000001</v>
      </c>
      <c r="V7927">
        <v>-9.8550600000000002E-2</v>
      </c>
      <c r="W7927">
        <v>5.7405190000000002E-2</v>
      </c>
      <c r="X7927">
        <v>0.99347490000000005</v>
      </c>
      <c r="Y7927">
        <v>-0.49013079999999998</v>
      </c>
      <c r="Z7927">
        <v>-1.238362E-2</v>
      </c>
      <c r="AA7927">
        <v>0.87156089999999997</v>
      </c>
      <c r="AB7927">
        <v>23</v>
      </c>
      <c r="AC7927">
        <v>12.7386999999999</v>
      </c>
      <c r="AD7927">
        <v>-1.1186326139989999</v>
      </c>
      <c r="AE7927">
        <v>44.917720000000003</v>
      </c>
      <c r="AF7927">
        <v>-22.914335801045201</v>
      </c>
      <c r="AG7927">
        <v>-1.1186326139989999</v>
      </c>
      <c r="AH7927">
        <v>40.648600688678997</v>
      </c>
      <c r="AI7927">
        <v>91.373283700893595</v>
      </c>
      <c r="AJ7927">
        <v>119.41072573571201</v>
      </c>
      <c r="AK7927">
        <v>46.675763111874701</v>
      </c>
      <c r="AL7927">
        <v>86.7091156847641</v>
      </c>
      <c r="AM7927">
        <v>95.665086249481107</v>
      </c>
      <c r="AN7927">
        <v>0.99999997676465202</v>
      </c>
    </row>
    <row r="7928" spans="1:40" x14ac:dyDescent="0.25">
      <c r="A7928" t="str">
        <f>"20190312160521959"</f>
        <v>20190312160521959</v>
      </c>
      <c r="B7928" t="str">
        <f>"1552377921952698"</f>
        <v>1552377921952698</v>
      </c>
      <c r="C7928" t="s">
        <v>40</v>
      </c>
      <c r="D7928">
        <v>5.8017519999999996</v>
      </c>
      <c r="E7928">
        <v>0.3318025</v>
      </c>
      <c r="F7928" t="s">
        <v>41</v>
      </c>
      <c r="G7928">
        <v>-180.3631</v>
      </c>
      <c r="H7928" s="1">
        <v>-2.7198880000000001E-6</v>
      </c>
      <c r="I7928">
        <v>-9.8942750000000004</v>
      </c>
      <c r="J7928">
        <v>-192.90190000000001</v>
      </c>
      <c r="K7928">
        <v>1.118628</v>
      </c>
      <c r="L7928">
        <v>-55.141939999999998</v>
      </c>
      <c r="M7928">
        <v>0.70533440000000003</v>
      </c>
      <c r="N7928">
        <v>0</v>
      </c>
      <c r="O7928">
        <v>0.70871090000000003</v>
      </c>
      <c r="P7928">
        <v>0.63257769999999902</v>
      </c>
      <c r="Q7928">
        <v>4.4083039999999997E-2</v>
      </c>
      <c r="R7928">
        <v>0.77324139999999997</v>
      </c>
      <c r="S7928">
        <v>0.88273619999999997</v>
      </c>
      <c r="T7928">
        <v>-7.8304890000000002E-2</v>
      </c>
      <c r="U7928">
        <v>3.1730649999999998</v>
      </c>
      <c r="V7928">
        <v>-9.8258079999999998E-2</v>
      </c>
      <c r="W7928">
        <v>5.7277139999999997E-2</v>
      </c>
      <c r="X7928">
        <v>0.99351129999999999</v>
      </c>
      <c r="Y7928">
        <v>-0.48965059999999999</v>
      </c>
      <c r="Z7928">
        <v>-1.246192E-2</v>
      </c>
      <c r="AA7928">
        <v>0.87182969999999904</v>
      </c>
      <c r="AB7928">
        <v>22</v>
      </c>
      <c r="AC7928">
        <v>12.5388</v>
      </c>
      <c r="AD7928">
        <v>-1.1186307198879999</v>
      </c>
      <c r="AE7928">
        <v>45.247664999999998</v>
      </c>
      <c r="AF7928">
        <v>-23.017959785097101</v>
      </c>
      <c r="AG7928">
        <v>-1.1186307198879999</v>
      </c>
      <c r="AH7928">
        <v>40.893100647210503</v>
      </c>
      <c r="AI7928">
        <v>91.365561798293697</v>
      </c>
      <c r="AJ7928">
        <v>119.374344701064</v>
      </c>
      <c r="AK7928">
        <v>46.939572728122698</v>
      </c>
      <c r="AL7928">
        <v>86.716464617224702</v>
      </c>
      <c r="AM7928">
        <v>95.648174308850997</v>
      </c>
      <c r="AN7928">
        <v>1.0000000121397701</v>
      </c>
    </row>
    <row r="7929" spans="1:40" x14ac:dyDescent="0.25">
      <c r="A7929" t="str">
        <f>"20190312160521970"</f>
        <v>20190312160521970</v>
      </c>
      <c r="B7929" t="str">
        <f>"1552377921962457"</f>
        <v>1552377921962457</v>
      </c>
      <c r="C7929" t="s">
        <v>40</v>
      </c>
      <c r="D7929">
        <v>6.0933529999999996</v>
      </c>
      <c r="E7929">
        <v>0.3318025</v>
      </c>
      <c r="F7929" t="s">
        <v>41</v>
      </c>
      <c r="G7929">
        <v>-180.68440000000001</v>
      </c>
      <c r="H7929" s="1">
        <v>-2.4867470000000001E-6</v>
      </c>
      <c r="I7929">
        <v>-10.328110000000001</v>
      </c>
      <c r="J7929">
        <v>-192.83250000000001</v>
      </c>
      <c r="K7929">
        <v>1.118625</v>
      </c>
      <c r="L7929">
        <v>-55.0625</v>
      </c>
      <c r="M7929">
        <v>0.70073830000000004</v>
      </c>
      <c r="N7929">
        <v>0</v>
      </c>
      <c r="O7929">
        <v>0.71325550000000004</v>
      </c>
      <c r="P7929">
        <v>0.6276024</v>
      </c>
      <c r="Q7929">
        <v>4.4122969999999997E-2</v>
      </c>
      <c r="R7929">
        <v>0.77728269999999899</v>
      </c>
      <c r="S7929">
        <v>0.86584470000000002</v>
      </c>
      <c r="T7929">
        <v>-7.9276799999999994E-2</v>
      </c>
      <c r="U7929">
        <v>3.1759339999999998</v>
      </c>
      <c r="V7929">
        <v>-9.8210450000000005E-2</v>
      </c>
      <c r="W7929">
        <v>5.732284E-2</v>
      </c>
      <c r="X7929">
        <v>0.99351330000000004</v>
      </c>
      <c r="Y7929">
        <v>-0.48852849999999998</v>
      </c>
      <c r="Z7929">
        <v>-1.2773079999999999E-2</v>
      </c>
      <c r="AA7929">
        <v>0.87245450000000002</v>
      </c>
      <c r="AB7929">
        <v>22</v>
      </c>
      <c r="AC7929">
        <v>12.148099999999999</v>
      </c>
      <c r="AD7929">
        <v>-1.1186274867470001</v>
      </c>
      <c r="AE7929">
        <v>44.734389999999998</v>
      </c>
      <c r="AF7929">
        <v>-22.671834694548799</v>
      </c>
      <c r="AG7929">
        <v>-1.1186274867470001</v>
      </c>
      <c r="AH7929">
        <v>40.400859191427202</v>
      </c>
      <c r="AI7929">
        <v>91.383198287101806</v>
      </c>
      <c r="AJ7929">
        <v>119.29992438846401</v>
      </c>
      <c r="AK7929">
        <v>46.341049181871</v>
      </c>
      <c r="AL7929">
        <v>86.7138416499876</v>
      </c>
      <c r="AM7929">
        <v>95.6454427904753</v>
      </c>
      <c r="AN7929">
        <v>0.99999993887587701</v>
      </c>
    </row>
    <row r="7930" spans="1:40" x14ac:dyDescent="0.25">
      <c r="A7930" t="str">
        <f>"20190312160521982"</f>
        <v>20190312160521982</v>
      </c>
      <c r="B7930" t="str">
        <f>"1552377921973193"</f>
        <v>1552377921973193</v>
      </c>
      <c r="C7930" t="s">
        <v>40</v>
      </c>
      <c r="D7930">
        <v>5.8025869999999999</v>
      </c>
      <c r="E7930">
        <v>0.35307939999999999</v>
      </c>
      <c r="F7930" t="s">
        <v>41</v>
      </c>
      <c r="G7930">
        <v>-180.7518</v>
      </c>
      <c r="H7930" s="1">
        <v>-2.7170730000000001E-6</v>
      </c>
      <c r="I7930">
        <v>-9.5986170000000008</v>
      </c>
      <c r="J7930">
        <v>-192.75550000000001</v>
      </c>
      <c r="K7930">
        <v>1.118619</v>
      </c>
      <c r="L7930">
        <v>-54.972720000000002</v>
      </c>
      <c r="M7930">
        <v>0.69553640000000005</v>
      </c>
      <c r="N7930">
        <v>0</v>
      </c>
      <c r="O7930">
        <v>0.718329</v>
      </c>
      <c r="P7930">
        <v>0.62203529999999996</v>
      </c>
      <c r="Q7930">
        <v>4.3898340000000001E-2</v>
      </c>
      <c r="R7930">
        <v>0.78175760000000005</v>
      </c>
      <c r="S7930">
        <v>0.84538269999999904</v>
      </c>
      <c r="T7930">
        <v>-7.8279020000000005E-2</v>
      </c>
      <c r="U7930">
        <v>3.1814580000000001</v>
      </c>
      <c r="V7930">
        <v>-9.808944E-2</v>
      </c>
      <c r="W7930">
        <v>5.7106230000000001E-2</v>
      </c>
      <c r="X7930">
        <v>0.99353780000000003</v>
      </c>
      <c r="Y7930">
        <v>-0.48780499999999999</v>
      </c>
      <c r="Z7930">
        <v>-1.2772530000000001E-2</v>
      </c>
      <c r="AA7930">
        <v>0.87285919999999895</v>
      </c>
      <c r="AB7930">
        <v>22</v>
      </c>
      <c r="AC7930">
        <v>12.0037</v>
      </c>
      <c r="AD7930">
        <v>-1.118621717073</v>
      </c>
      <c r="AE7930">
        <v>45.374102999999998</v>
      </c>
      <c r="AF7930">
        <v>-22.926379135743701</v>
      </c>
      <c r="AG7930">
        <v>-1.118621717073</v>
      </c>
      <c r="AH7930">
        <v>40.9240598929252</v>
      </c>
      <c r="AI7930">
        <v>91.366070143593205</v>
      </c>
      <c r="AJ7930">
        <v>119.25831715059699</v>
      </c>
      <c r="AK7930">
        <v>46.921731137517703</v>
      </c>
      <c r="AL7930">
        <v>86.726273085765598</v>
      </c>
      <c r="AM7930">
        <v>95.638393463798195</v>
      </c>
      <c r="AN7930">
        <v>1.00000000988658</v>
      </c>
    </row>
    <row r="7931" spans="1:40" x14ac:dyDescent="0.25">
      <c r="A7931" t="str">
        <f>"20190312160521996"</f>
        <v>20190312160521996</v>
      </c>
      <c r="B7931" t="str">
        <f>"1552377921992713"</f>
        <v>1552377921992713</v>
      </c>
      <c r="C7931" t="s">
        <v>40</v>
      </c>
      <c r="D7931">
        <v>5.9752619999999999</v>
      </c>
      <c r="E7931">
        <v>0.3437962</v>
      </c>
      <c r="F7931" t="s">
        <v>41</v>
      </c>
      <c r="G7931">
        <v>-187.45949999999999</v>
      </c>
      <c r="H7931" s="1">
        <v>-1.5032770000000001E-6</v>
      </c>
      <c r="I7931">
        <v>-37.9208</v>
      </c>
      <c r="J7931">
        <v>-192.66630000000001</v>
      </c>
      <c r="K7931">
        <v>1.118611</v>
      </c>
      <c r="L7931">
        <v>-54.866880000000002</v>
      </c>
      <c r="M7931">
        <v>0.68939640000000002</v>
      </c>
      <c r="N7931">
        <v>0</v>
      </c>
      <c r="O7931">
        <v>0.72422369999999903</v>
      </c>
      <c r="P7931">
        <v>0.61554640000000005</v>
      </c>
      <c r="Q7931">
        <v>4.383948E-2</v>
      </c>
      <c r="R7931">
        <v>0.78688040000000004</v>
      </c>
      <c r="S7931">
        <v>0.95851140000000001</v>
      </c>
      <c r="T7931">
        <v>-0.2024561</v>
      </c>
      <c r="U7931">
        <v>3.086182</v>
      </c>
      <c r="V7931">
        <v>-9.7851859999999999E-2</v>
      </c>
      <c r="W7931">
        <v>5.7058629999999999E-2</v>
      </c>
      <c r="X7931">
        <v>0.993564</v>
      </c>
      <c r="Y7931">
        <v>-0.44377899999999998</v>
      </c>
      <c r="Z7931">
        <v>-3.5213059999999997E-2</v>
      </c>
      <c r="AA7931">
        <v>0.89544419999999902</v>
      </c>
      <c r="AB7931">
        <v>22</v>
      </c>
      <c r="AC7931">
        <v>5.2068000000000101</v>
      </c>
      <c r="AD7931">
        <v>-1.118612503277</v>
      </c>
      <c r="AE7931">
        <v>16.946079999999998</v>
      </c>
      <c r="AF7931">
        <v>-7.8812202751564797</v>
      </c>
      <c r="AG7931">
        <v>-1.118612503277</v>
      </c>
      <c r="AH7931">
        <v>15.8012353848203</v>
      </c>
      <c r="AI7931">
        <v>93.624844522633495</v>
      </c>
      <c r="AJ7931">
        <v>116.508755032769</v>
      </c>
      <c r="AK7931">
        <v>17.693048540161801</v>
      </c>
      <c r="AL7931">
        <v>86.729004943593495</v>
      </c>
      <c r="AM7931">
        <v>95.624677158595901</v>
      </c>
      <c r="AN7931">
        <v>1.00000004792946</v>
      </c>
    </row>
    <row r="7932" spans="1:40" x14ac:dyDescent="0.25">
      <c r="A7932" t="str">
        <f>"20190312160522013"</f>
        <v>20190312160522013</v>
      </c>
      <c r="B7932" t="str">
        <f>"1552377922002474"</f>
        <v>1552377922002474</v>
      </c>
      <c r="C7932" t="s">
        <v>40</v>
      </c>
      <c r="D7932">
        <v>7.5269880000000002</v>
      </c>
      <c r="E7932">
        <v>0.34541040000000001</v>
      </c>
      <c r="F7932" t="s">
        <v>41</v>
      </c>
      <c r="G7932">
        <v>-182.91079999999999</v>
      </c>
      <c r="H7932" s="1">
        <v>-2.0821529999999999E-6</v>
      </c>
      <c r="I7932">
        <v>-19.776289999999999</v>
      </c>
      <c r="J7932">
        <v>-192.56569999999999</v>
      </c>
      <c r="K7932">
        <v>1.1185959999999999</v>
      </c>
      <c r="L7932">
        <v>-54.745669999999997</v>
      </c>
      <c r="M7932">
        <v>0.68234289999999997</v>
      </c>
      <c r="N7932">
        <v>0</v>
      </c>
      <c r="O7932">
        <v>0.73087290000000005</v>
      </c>
      <c r="P7932">
        <v>0.60813189999999995</v>
      </c>
      <c r="Q7932">
        <v>4.3772180000000001E-2</v>
      </c>
      <c r="R7932">
        <v>0.79262829999999995</v>
      </c>
      <c r="S7932">
        <v>0.87185669999999904</v>
      </c>
      <c r="T7932">
        <v>-9.9971409999999997E-2</v>
      </c>
      <c r="U7932">
        <v>3.1360779999999999</v>
      </c>
      <c r="V7932">
        <v>-9.7546579999999994E-2</v>
      </c>
      <c r="W7932">
        <v>5.7004350000000002E-2</v>
      </c>
      <c r="X7932">
        <v>0.99359710000000001</v>
      </c>
      <c r="Y7932">
        <v>-0.46173130000000001</v>
      </c>
      <c r="Z7932">
        <v>-1.7314980000000001E-2</v>
      </c>
      <c r="AA7932">
        <v>0.8868509</v>
      </c>
      <c r="AB7932">
        <v>22</v>
      </c>
      <c r="AC7932">
        <v>9.6548999999999907</v>
      </c>
      <c r="AD7932">
        <v>-1.1185980821529999</v>
      </c>
      <c r="AE7932">
        <v>34.969380000000001</v>
      </c>
      <c r="AF7932">
        <v>-16.790597523811801</v>
      </c>
      <c r="AG7932">
        <v>-1.1185980821529999</v>
      </c>
      <c r="AH7932">
        <v>32.119332300840398</v>
      </c>
      <c r="AI7932">
        <v>91.767792609378404</v>
      </c>
      <c r="AJ7932">
        <v>117.598621986466</v>
      </c>
      <c r="AK7932">
        <v>36.260542388770801</v>
      </c>
      <c r="AL7932">
        <v>86.732119918051595</v>
      </c>
      <c r="AM7932">
        <v>95.607055586683998</v>
      </c>
      <c r="AN7932">
        <v>1.0000000141585099</v>
      </c>
    </row>
    <row r="7933" spans="1:40" x14ac:dyDescent="0.25">
      <c r="A7933" t="str">
        <f>"20190312160522022"</f>
        <v>20190312160522022</v>
      </c>
      <c r="B7933" t="str">
        <f>"1552377922013209"</f>
        <v>1552377922013209</v>
      </c>
      <c r="C7933" t="s">
        <v>40</v>
      </c>
      <c r="D7933">
        <v>6.2072949999999896</v>
      </c>
      <c r="E7933">
        <v>0.3460799</v>
      </c>
      <c r="F7933" t="s">
        <v>41</v>
      </c>
      <c r="G7933">
        <v>-183.7054</v>
      </c>
      <c r="H7933" s="1">
        <v>-4.6386349999999998E-6</v>
      </c>
      <c r="I7933">
        <v>-22.157170000000001</v>
      </c>
      <c r="J7933">
        <v>-192.49809999999999</v>
      </c>
      <c r="K7933">
        <v>1.1185860000000001</v>
      </c>
      <c r="L7933">
        <v>-54.662840000000003</v>
      </c>
      <c r="M7933">
        <v>0.67751660000000002</v>
      </c>
      <c r="N7933">
        <v>0</v>
      </c>
      <c r="O7933">
        <v>0.73534909999999998</v>
      </c>
      <c r="P7933">
        <v>0.60285449999999996</v>
      </c>
      <c r="Q7933">
        <v>4.3484000000000002E-2</v>
      </c>
      <c r="R7933">
        <v>0.79666530000000002</v>
      </c>
      <c r="S7933">
        <v>0.85278319999999996</v>
      </c>
      <c r="T7933">
        <v>-0.1076627</v>
      </c>
      <c r="U7933">
        <v>3.1365660000000002</v>
      </c>
      <c r="V7933">
        <v>-9.7607390000000002E-2</v>
      </c>
      <c r="W7933">
        <v>5.6719190000000003E-2</v>
      </c>
      <c r="X7933">
        <v>0.99360749999999998</v>
      </c>
      <c r="Y7933">
        <v>-0.4609473</v>
      </c>
      <c r="Z7933">
        <v>-1.8870049999999999E-2</v>
      </c>
      <c r="AA7933">
        <v>0.88722690000000004</v>
      </c>
      <c r="AB7933">
        <v>22</v>
      </c>
      <c r="AC7933">
        <v>8.7926999999999893</v>
      </c>
      <c r="AD7933">
        <v>-1.118590638635</v>
      </c>
      <c r="AE7933">
        <v>32.505670000000002</v>
      </c>
      <c r="AF7933">
        <v>-15.5420893639716</v>
      </c>
      <c r="AG7933">
        <v>-1.118590638635</v>
      </c>
      <c r="AH7933">
        <v>29.830777053457702</v>
      </c>
      <c r="AI7933">
        <v>91.904669397922603</v>
      </c>
      <c r="AJ7933">
        <v>117.519898232264</v>
      </c>
      <c r="AK7933">
        <v>33.655356875653801</v>
      </c>
      <c r="AL7933">
        <v>86.748485030465403</v>
      </c>
      <c r="AM7933">
        <v>95.610470349269704</v>
      </c>
      <c r="AN7933">
        <v>1.0000000665765501</v>
      </c>
    </row>
    <row r="7934" spans="1:40" x14ac:dyDescent="0.25">
      <c r="A7934" t="str">
        <f>"20190312160522035"</f>
        <v>20190312160522035</v>
      </c>
      <c r="B7934" t="str">
        <f>"1552377922022969"</f>
        <v>1552377922022969</v>
      </c>
      <c r="C7934" t="s">
        <v>40</v>
      </c>
      <c r="D7934">
        <v>5.8337690000000002</v>
      </c>
      <c r="E7934">
        <v>0.34631630000000002</v>
      </c>
      <c r="F7934" t="s">
        <v>41</v>
      </c>
      <c r="G7934">
        <v>-183.9676</v>
      </c>
      <c r="H7934" s="1">
        <v>-4.3854079999999998E-6</v>
      </c>
      <c r="I7934">
        <v>-22.639030000000002</v>
      </c>
      <c r="J7934">
        <v>-192.4288</v>
      </c>
      <c r="K7934">
        <v>1.1185700000000001</v>
      </c>
      <c r="L7934">
        <v>-54.576509999999999</v>
      </c>
      <c r="M7934">
        <v>0.67248599999999903</v>
      </c>
      <c r="N7934">
        <v>0</v>
      </c>
      <c r="O7934">
        <v>0.73995239999999995</v>
      </c>
      <c r="P7934">
        <v>0.59753440000000002</v>
      </c>
      <c r="Q7934">
        <v>4.3282830000000001E-2</v>
      </c>
      <c r="R7934">
        <v>0.800674199999999</v>
      </c>
      <c r="S7934">
        <v>0.83615110000000004</v>
      </c>
      <c r="T7934">
        <v>-0.1096432</v>
      </c>
      <c r="U7934">
        <v>3.1389469999999999</v>
      </c>
      <c r="V7934">
        <v>-9.7451179999999998E-2</v>
      </c>
      <c r="W7934">
        <v>5.6525899999999997E-2</v>
      </c>
      <c r="X7934">
        <v>0.99363380000000001</v>
      </c>
      <c r="Y7934">
        <v>-0.45945160000000002</v>
      </c>
      <c r="Z7934">
        <v>-1.9445810000000001E-2</v>
      </c>
      <c r="AA7934">
        <v>0.8879899</v>
      </c>
      <c r="AB7934">
        <v>22</v>
      </c>
      <c r="AC7934">
        <v>8.4611999999999892</v>
      </c>
      <c r="AD7934">
        <v>-1.1185743854079999</v>
      </c>
      <c r="AE7934">
        <v>31.937479999999901</v>
      </c>
      <c r="AF7934">
        <v>-15.200972494220601</v>
      </c>
      <c r="AG7934">
        <v>-1.1185743854079999</v>
      </c>
      <c r="AH7934">
        <v>29.292095316451501</v>
      </c>
      <c r="AI7934">
        <v>91.941279678393201</v>
      </c>
      <c r="AJ7934">
        <v>117.42680853199199</v>
      </c>
      <c r="AK7934">
        <v>33.020412193881299</v>
      </c>
      <c r="AL7934">
        <v>86.759577373383195</v>
      </c>
      <c r="AM7934">
        <v>95.601401231051597</v>
      </c>
      <c r="AN7934">
        <v>1.00000001917832</v>
      </c>
    </row>
    <row r="7935" spans="1:40" x14ac:dyDescent="0.25">
      <c r="A7935" t="str">
        <f>"20190312160522045"</f>
        <v>20190312160522045</v>
      </c>
      <c r="B7935" t="str">
        <f>"1552377922032729"</f>
        <v>1552377922032729</v>
      </c>
      <c r="C7935" t="s">
        <v>40</v>
      </c>
      <c r="D7935">
        <v>5.7780699999999996</v>
      </c>
      <c r="E7935">
        <v>0.34690759999999998</v>
      </c>
      <c r="F7935" t="s">
        <v>41</v>
      </c>
      <c r="G7935">
        <v>-184.0941</v>
      </c>
      <c r="H7935" s="1">
        <v>-4.4181720000000004E-6</v>
      </c>
      <c r="I7935">
        <v>-22.51033</v>
      </c>
      <c r="J7935">
        <v>-192.36170000000001</v>
      </c>
      <c r="K7935">
        <v>1.1185510000000001</v>
      </c>
      <c r="L7935">
        <v>-54.492220000000003</v>
      </c>
      <c r="M7935">
        <v>0.66756230000000005</v>
      </c>
      <c r="N7935">
        <v>0</v>
      </c>
      <c r="O7935">
        <v>0.74439750000000005</v>
      </c>
      <c r="P7935">
        <v>0.5922075</v>
      </c>
      <c r="Q7935">
        <v>4.2801980000000003E-2</v>
      </c>
      <c r="R7935">
        <v>0.80464789999999997</v>
      </c>
      <c r="S7935">
        <v>0.8169556</v>
      </c>
      <c r="T7935">
        <v>-0.10964169999999999</v>
      </c>
      <c r="U7935">
        <v>3.143097</v>
      </c>
      <c r="V7935">
        <v>-9.7459959999999998E-2</v>
      </c>
      <c r="W7935">
        <v>5.6048870000000001E-2</v>
      </c>
      <c r="X7935">
        <v>0.99365990000000004</v>
      </c>
      <c r="Y7935">
        <v>-0.45892430000000001</v>
      </c>
      <c r="Z7935">
        <v>-1.9648240000000001E-2</v>
      </c>
      <c r="AA7935">
        <v>0.88825810000000005</v>
      </c>
      <c r="AB7935">
        <v>22</v>
      </c>
      <c r="AC7935">
        <v>8.2676000000000105</v>
      </c>
      <c r="AD7935">
        <v>-1.1185554181720001</v>
      </c>
      <c r="AE7935">
        <v>31.98189</v>
      </c>
      <c r="AF7935">
        <v>-15.1798880934235</v>
      </c>
      <c r="AG7935">
        <v>-1.1185554181720001</v>
      </c>
      <c r="AH7935">
        <v>29.296202142198499</v>
      </c>
      <c r="AI7935">
        <v>91.941603054688301</v>
      </c>
      <c r="AJ7935">
        <v>117.39102635722401</v>
      </c>
      <c r="AK7935">
        <v>33.014354888577401</v>
      </c>
      <c r="AL7935">
        <v>86.786952383270105</v>
      </c>
      <c r="AM7935">
        <v>95.601756480560695</v>
      </c>
      <c r="AN7935">
        <v>0.99999995824974297</v>
      </c>
    </row>
    <row r="7936" spans="1:40" x14ac:dyDescent="0.25">
      <c r="A7936" t="str">
        <f>"20190312160522058"</f>
        <v>20190312160522058</v>
      </c>
      <c r="B7936" t="str">
        <f>"1552377922053225"</f>
        <v>1552377922053225</v>
      </c>
      <c r="C7936" t="s">
        <v>40</v>
      </c>
      <c r="D7936">
        <v>5.7662750000000003</v>
      </c>
      <c r="E7936">
        <v>0.33524409999999999</v>
      </c>
      <c r="F7936" t="s">
        <v>41</v>
      </c>
      <c r="G7936">
        <v>-184.31559999999999</v>
      </c>
      <c r="H7936" s="1">
        <v>-4.2324170000000002E-6</v>
      </c>
      <c r="I7936">
        <v>-22.851780000000002</v>
      </c>
      <c r="J7936">
        <v>-192.2911</v>
      </c>
      <c r="K7936">
        <v>1.1185320000000001</v>
      </c>
      <c r="L7936">
        <v>-54.401490000000003</v>
      </c>
      <c r="M7936">
        <v>0.66226940000000001</v>
      </c>
      <c r="N7936">
        <v>0</v>
      </c>
      <c r="O7936">
        <v>0.74911030000000001</v>
      </c>
      <c r="P7936">
        <v>0.58665059999999902</v>
      </c>
      <c r="Q7936">
        <v>4.2515299999999999E-2</v>
      </c>
      <c r="R7936">
        <v>0.80872339999999998</v>
      </c>
      <c r="S7936">
        <v>0.7999115</v>
      </c>
      <c r="T7936">
        <v>-0.1112013</v>
      </c>
      <c r="U7936">
        <v>3.1455380000000002</v>
      </c>
      <c r="V7936">
        <v>-9.7263429999999998E-2</v>
      </c>
      <c r="W7936">
        <v>5.5770359999999998E-2</v>
      </c>
      <c r="X7936">
        <v>0.99369479999999999</v>
      </c>
      <c r="Y7936">
        <v>-0.45731129999999998</v>
      </c>
      <c r="Z7936">
        <v>-2.016621E-2</v>
      </c>
      <c r="AA7936">
        <v>0.88907800000000003</v>
      </c>
      <c r="AB7936">
        <v>22</v>
      </c>
      <c r="AC7936">
        <v>7.97550000000001</v>
      </c>
      <c r="AD7936">
        <v>-1.1185362324169901</v>
      </c>
      <c r="AE7936">
        <v>31.549710000000001</v>
      </c>
      <c r="AF7936">
        <v>-14.9040087787392</v>
      </c>
      <c r="AG7936">
        <v>-1.1185362324169901</v>
      </c>
      <c r="AH7936">
        <v>28.885385654527902</v>
      </c>
      <c r="AI7936">
        <v>91.970913771564</v>
      </c>
      <c r="AJ7936">
        <v>117.292402182302</v>
      </c>
      <c r="AK7936">
        <v>32.5230088612781</v>
      </c>
      <c r="AL7936">
        <v>86.802934745798794</v>
      </c>
      <c r="AM7936">
        <v>95.590336951853999</v>
      </c>
      <c r="AN7936">
        <v>0.99999993170846402</v>
      </c>
    </row>
    <row r="7937" spans="1:40" x14ac:dyDescent="0.25">
      <c r="A7937" t="str">
        <f>"20190312160522069"</f>
        <v>20190312160522069</v>
      </c>
      <c r="B7937" t="str">
        <f>"1552377922062985"</f>
        <v>1552377922062985</v>
      </c>
      <c r="C7937" t="s">
        <v>40</v>
      </c>
      <c r="D7937">
        <v>5.841259</v>
      </c>
      <c r="E7937">
        <v>0.34197260000000002</v>
      </c>
      <c r="F7937" t="s">
        <v>57</v>
      </c>
      <c r="G7937">
        <v>-169.0822</v>
      </c>
      <c r="H7937">
        <v>0.4035764</v>
      </c>
      <c r="I7937">
        <v>51.728700000000003</v>
      </c>
      <c r="J7937">
        <v>-192.22149999999999</v>
      </c>
      <c r="K7937">
        <v>1.1185130000000001</v>
      </c>
      <c r="L7937">
        <v>-54.311459999999997</v>
      </c>
      <c r="M7937">
        <v>0.65700099999999995</v>
      </c>
      <c r="N7937">
        <v>0</v>
      </c>
      <c r="O7937">
        <v>0.75373519999999905</v>
      </c>
      <c r="P7937">
        <v>0.58111729999999995</v>
      </c>
      <c r="Q7937">
        <v>4.205627E-2</v>
      </c>
      <c r="R7937">
        <v>0.81273249999999997</v>
      </c>
      <c r="S7937">
        <v>0.70036319999999996</v>
      </c>
      <c r="T7937">
        <v>-2.157485E-2</v>
      </c>
      <c r="U7937">
        <v>3.2026370000000002</v>
      </c>
      <c r="V7937">
        <v>-9.7083429999999998E-2</v>
      </c>
      <c r="W7937">
        <v>5.5319020000000003E-2</v>
      </c>
      <c r="X7937">
        <v>0.99373769999999995</v>
      </c>
      <c r="Y7937">
        <v>-0.48086630000000002</v>
      </c>
      <c r="Z7937">
        <v>-3.8529409999999999E-3</v>
      </c>
      <c r="AA7937">
        <v>0.8767855</v>
      </c>
      <c r="AB7937">
        <v>22</v>
      </c>
      <c r="AC7937">
        <v>23.139299999999899</v>
      </c>
      <c r="AD7937">
        <v>-0.71493659999999903</v>
      </c>
      <c r="AE7937">
        <v>106.04016</v>
      </c>
      <c r="AF7937">
        <v>-52.231403775017398</v>
      </c>
      <c r="AG7937">
        <v>-0.71493659999999903</v>
      </c>
      <c r="AH7937">
        <v>95.135697794537094</v>
      </c>
      <c r="AI7937">
        <v>90.377425409815501</v>
      </c>
      <c r="AJ7937">
        <v>118.76766797901701</v>
      </c>
      <c r="AK7937">
        <v>108.53309020526601</v>
      </c>
      <c r="AL7937">
        <v>86.828834830232594</v>
      </c>
      <c r="AM7937">
        <v>95.579817209204805</v>
      </c>
      <c r="AN7937">
        <v>1.0000000013778001</v>
      </c>
    </row>
    <row r="7938" spans="1:40" x14ac:dyDescent="0.25">
      <c r="A7938" t="str">
        <f>"20190312160522080"</f>
        <v>20190312160522080</v>
      </c>
      <c r="B7938" t="str">
        <f>"1552377922072744"</f>
        <v>1552377922072744</v>
      </c>
      <c r="C7938" t="s">
        <v>40</v>
      </c>
      <c r="D7938">
        <v>5.8564980000000002</v>
      </c>
      <c r="E7938">
        <v>0.34160059999999998</v>
      </c>
      <c r="F7938" t="s">
        <v>41</v>
      </c>
      <c r="G7938">
        <v>-179.95779999999999</v>
      </c>
      <c r="H7938">
        <v>4.0759249999999997E-2</v>
      </c>
      <c r="I7938">
        <v>-0.41186139999999999</v>
      </c>
      <c r="J7938">
        <v>-192.15520000000001</v>
      </c>
      <c r="K7938">
        <v>1.1185</v>
      </c>
      <c r="L7938">
        <v>-54.223970000000001</v>
      </c>
      <c r="M7938">
        <v>0.65189019999999898</v>
      </c>
      <c r="N7938">
        <v>0</v>
      </c>
      <c r="O7938">
        <v>0.7581599</v>
      </c>
      <c r="P7938">
        <v>0.5759415</v>
      </c>
      <c r="Q7938">
        <v>4.1649850000000002E-2</v>
      </c>
      <c r="R7938">
        <v>0.81642930000000002</v>
      </c>
      <c r="S7938">
        <v>0.72299190000000002</v>
      </c>
      <c r="T7938">
        <v>-6.35376E-2</v>
      </c>
      <c r="U7938">
        <v>3.1775820000000001</v>
      </c>
      <c r="V7938">
        <v>-9.6681810000000007E-2</v>
      </c>
      <c r="W7938">
        <v>5.4923840000000002E-2</v>
      </c>
      <c r="X7938">
        <v>0.99379879999999998</v>
      </c>
      <c r="Y7938">
        <v>-0.46750530000000001</v>
      </c>
      <c r="Z7938">
        <v>-1.162763E-2</v>
      </c>
      <c r="AA7938">
        <v>0.88391379999999997</v>
      </c>
      <c r="AB7938">
        <v>22</v>
      </c>
      <c r="AC7938">
        <v>12.1974</v>
      </c>
      <c r="AD7938">
        <v>-1.07774075</v>
      </c>
      <c r="AE7938">
        <v>53.812108600000002</v>
      </c>
      <c r="AF7938">
        <v>-25.825160535032801</v>
      </c>
      <c r="AG7938">
        <v>-1.07774075</v>
      </c>
      <c r="AH7938">
        <v>48.736628530971799</v>
      </c>
      <c r="AI7938">
        <v>91.119406809086101</v>
      </c>
      <c r="AJ7938">
        <v>117.918768633407</v>
      </c>
      <c r="AK7938">
        <v>55.166651179406998</v>
      </c>
      <c r="AL7938">
        <v>86.851511535777803</v>
      </c>
      <c r="AM7938">
        <v>95.556539586924501</v>
      </c>
      <c r="AN7938">
        <v>1.0000000277333301</v>
      </c>
    </row>
    <row r="7939" spans="1:40" x14ac:dyDescent="0.25">
      <c r="A7939" t="str">
        <f>"20190312160522092"</f>
        <v>20190312160522092</v>
      </c>
      <c r="B7939" t="str">
        <f>"1552377922082505"</f>
        <v>1552377922082505</v>
      </c>
      <c r="C7939" t="s">
        <v>40</v>
      </c>
      <c r="D7939">
        <v>9.1334300000000006</v>
      </c>
      <c r="E7939">
        <v>0.340584</v>
      </c>
      <c r="F7939" t="s">
        <v>41</v>
      </c>
      <c r="G7939">
        <v>-180.7912</v>
      </c>
      <c r="H7939" s="1">
        <v>-5.1003540000000003E-6</v>
      </c>
      <c r="I7939">
        <v>-2.5644490000000002</v>
      </c>
      <c r="J7939">
        <v>-192.08940000000001</v>
      </c>
      <c r="K7939">
        <v>1.1184829999999999</v>
      </c>
      <c r="L7939">
        <v>-54.136110000000002</v>
      </c>
      <c r="M7939">
        <v>0.64674790000000004</v>
      </c>
      <c r="N7939">
        <v>0</v>
      </c>
      <c r="O7939">
        <v>0.76255119999999998</v>
      </c>
      <c r="P7939">
        <v>0.57077129999999998</v>
      </c>
      <c r="Q7939">
        <v>4.1368870000000002E-2</v>
      </c>
      <c r="R7939">
        <v>0.82006630000000003</v>
      </c>
      <c r="S7939">
        <v>0.7004089</v>
      </c>
      <c r="T7939">
        <v>-6.8937419999999999E-2</v>
      </c>
      <c r="U7939">
        <v>3.1839599999999999</v>
      </c>
      <c r="V7939">
        <v>-9.6241579999999993E-2</v>
      </c>
      <c r="W7939">
        <v>5.4655309999999999E-2</v>
      </c>
      <c r="X7939">
        <v>0.99385630000000003</v>
      </c>
      <c r="Y7939">
        <v>-0.4678831</v>
      </c>
      <c r="Z7939">
        <v>-1.2727189999999999E-2</v>
      </c>
      <c r="AA7939">
        <v>0.88369869999999995</v>
      </c>
      <c r="AB7939">
        <v>22</v>
      </c>
      <c r="AC7939">
        <v>11.2982</v>
      </c>
      <c r="AD7939">
        <v>-1.1184881003539999</v>
      </c>
      <c r="AE7939">
        <v>51.571660999999899</v>
      </c>
      <c r="AF7939">
        <v>-24.730188164612699</v>
      </c>
      <c r="AG7939">
        <v>-1.1184881003539999</v>
      </c>
      <c r="AH7939">
        <v>46.617625283691801</v>
      </c>
      <c r="AI7939">
        <v>91.214208110240193</v>
      </c>
      <c r="AJ7939">
        <v>117.945507359716</v>
      </c>
      <c r="AK7939">
        <v>52.782915885525703</v>
      </c>
      <c r="AL7939">
        <v>86.866920213084697</v>
      </c>
      <c r="AM7939">
        <v>95.531077727220506</v>
      </c>
      <c r="AN7939">
        <v>0.99999999484089097</v>
      </c>
    </row>
    <row r="7940" spans="1:40" x14ac:dyDescent="0.25">
      <c r="A7940" t="str">
        <f>"20190312160522102"</f>
        <v>20190312160522102</v>
      </c>
      <c r="B7940" t="str">
        <f>"1552377922082505"</f>
        <v>1552377922082505</v>
      </c>
      <c r="C7940" t="s">
        <v>40</v>
      </c>
      <c r="D7940">
        <v>9.1334300000000006</v>
      </c>
      <c r="E7940">
        <v>0.340584</v>
      </c>
      <c r="F7940" t="s">
        <v>41</v>
      </c>
      <c r="G7940">
        <v>-181.2371</v>
      </c>
      <c r="H7940" s="1">
        <v>-4.9414459999999998E-6</v>
      </c>
      <c r="I7940">
        <v>-2.682693</v>
      </c>
      <c r="J7940">
        <v>-192.0283</v>
      </c>
      <c r="K7940">
        <v>1.118468</v>
      </c>
      <c r="L7940">
        <v>-54.053440000000002</v>
      </c>
      <c r="M7940">
        <v>0.64190639999999999</v>
      </c>
      <c r="N7940">
        <v>0</v>
      </c>
      <c r="O7940">
        <v>0.76663110000000001</v>
      </c>
      <c r="P7940">
        <v>0.56620869999999901</v>
      </c>
      <c r="Q7940">
        <v>4.0996600000000001E-2</v>
      </c>
      <c r="R7940">
        <v>0.82324179999999902</v>
      </c>
      <c r="S7940">
        <v>0.67344669999999995</v>
      </c>
      <c r="T7940">
        <v>-6.9408890000000001E-2</v>
      </c>
      <c r="U7940">
        <v>3.192993</v>
      </c>
      <c r="V7940">
        <v>-9.5469499999999999E-2</v>
      </c>
      <c r="W7940">
        <v>5.4302509999999998E-2</v>
      </c>
      <c r="X7940">
        <v>0.99395009999999995</v>
      </c>
      <c r="Y7940">
        <v>-0.46994249999999999</v>
      </c>
      <c r="Z7940">
        <v>-1.2897270000000001E-2</v>
      </c>
      <c r="AA7940">
        <v>0.88260280000000002</v>
      </c>
      <c r="AB7940">
        <v>22</v>
      </c>
      <c r="AC7940">
        <v>10.7912</v>
      </c>
      <c r="AD7940">
        <v>-1.118472941446</v>
      </c>
      <c r="AE7940">
        <v>51.370746999999902</v>
      </c>
      <c r="AF7940">
        <v>-24.694007873875101</v>
      </c>
      <c r="AG7940">
        <v>-1.118472941446</v>
      </c>
      <c r="AH7940">
        <v>46.293729157484499</v>
      </c>
      <c r="AI7940">
        <v>91.221200175480902</v>
      </c>
      <c r="AJ7940">
        <v>118.07635939102001</v>
      </c>
      <c r="AK7940">
        <v>52.480037784878597</v>
      </c>
      <c r="AL7940">
        <v>86.887164227685005</v>
      </c>
      <c r="AM7940">
        <v>95.486462923864593</v>
      </c>
      <c r="AN7940">
        <v>0.99999999465627998</v>
      </c>
    </row>
    <row r="7941" spans="1:40" x14ac:dyDescent="0.25">
      <c r="A7941" t="str">
        <f>"20190312160522116"</f>
        <v>20190312160522116</v>
      </c>
      <c r="B7941" t="str">
        <f>"1552377922112761"</f>
        <v>1552377922112761</v>
      </c>
      <c r="C7941" t="s">
        <v>40</v>
      </c>
      <c r="D7941">
        <v>5.3278889999999999</v>
      </c>
      <c r="E7941">
        <v>0.33892299999999997</v>
      </c>
      <c r="F7941" t="s">
        <v>41</v>
      </c>
      <c r="G7941">
        <v>-181.5591</v>
      </c>
      <c r="H7941" s="1">
        <v>-4.7407019999999998E-6</v>
      </c>
      <c r="I7941">
        <v>-3.0208919999999999</v>
      </c>
      <c r="J7941">
        <v>-191.95330000000001</v>
      </c>
      <c r="K7941">
        <v>1.1184480000000001</v>
      </c>
      <c r="L7941">
        <v>-53.950159999999997</v>
      </c>
      <c r="M7941">
        <v>0.63585979999999998</v>
      </c>
      <c r="N7941">
        <v>0</v>
      </c>
      <c r="O7941">
        <v>0.77165379999999995</v>
      </c>
      <c r="P7941">
        <v>0.56001290000000004</v>
      </c>
      <c r="Q7941">
        <v>4.1110430000000003E-2</v>
      </c>
      <c r="R7941">
        <v>0.82746330000000001</v>
      </c>
      <c r="S7941">
        <v>0.65577700000000005</v>
      </c>
      <c r="T7941">
        <v>-7.0059300000000005E-2</v>
      </c>
      <c r="U7941">
        <v>3.1965940000000002</v>
      </c>
      <c r="V7941">
        <v>-9.51129E-2</v>
      </c>
      <c r="W7941">
        <v>5.442582E-2</v>
      </c>
      <c r="X7941">
        <v>0.99397749999999996</v>
      </c>
      <c r="Y7941">
        <v>-0.46788010000000002</v>
      </c>
      <c r="Z7941">
        <v>-1.317551E-2</v>
      </c>
      <c r="AA7941">
        <v>0.88369379999999997</v>
      </c>
      <c r="AB7941">
        <v>22</v>
      </c>
      <c r="AC7941">
        <v>10.3942</v>
      </c>
      <c r="AD7941">
        <v>-1.118452740702</v>
      </c>
      <c r="AE7941">
        <v>50.929267999999901</v>
      </c>
      <c r="AF7941">
        <v>-24.354709586738998</v>
      </c>
      <c r="AG7941">
        <v>-1.118452740702</v>
      </c>
      <c r="AH7941">
        <v>45.893111868766603</v>
      </c>
      <c r="AI7941">
        <v>91.233233285777999</v>
      </c>
      <c r="AJ7941">
        <v>117.954147174243</v>
      </c>
      <c r="AK7941">
        <v>51.967110104244803</v>
      </c>
      <c r="AL7941">
        <v>86.880088488485598</v>
      </c>
      <c r="AM7941">
        <v>95.4659443369748</v>
      </c>
      <c r="AN7941">
        <v>0.99999995206766501</v>
      </c>
    </row>
    <row r="7942" spans="1:40" x14ac:dyDescent="0.25">
      <c r="A7942" t="str">
        <f>"20190312160522130"</f>
        <v>20190312160522130</v>
      </c>
      <c r="B7942" t="str">
        <f>"1552377922122520"</f>
        <v>1552377922122520</v>
      </c>
      <c r="C7942" t="s">
        <v>40</v>
      </c>
      <c r="D7942">
        <v>5.8109869999999999</v>
      </c>
      <c r="E7942">
        <v>0.33898739999999999</v>
      </c>
      <c r="F7942" t="s">
        <v>41</v>
      </c>
      <c r="G7942">
        <v>-181.20820000000001</v>
      </c>
      <c r="H7942" s="1">
        <v>-3.0064140000000001E-6</v>
      </c>
      <c r="I7942">
        <v>1.6085210000000001</v>
      </c>
      <c r="J7942">
        <v>-191.87389999999999</v>
      </c>
      <c r="K7942">
        <v>1.1184270000000001</v>
      </c>
      <c r="L7942">
        <v>-53.839509999999997</v>
      </c>
      <c r="M7942">
        <v>0.62936819999999905</v>
      </c>
      <c r="N7942">
        <v>0</v>
      </c>
      <c r="O7942">
        <v>0.77695749999999997</v>
      </c>
      <c r="P7942">
        <v>0.55326989999999998</v>
      </c>
      <c r="Q7942">
        <v>4.0964510000000003E-2</v>
      </c>
      <c r="R7942">
        <v>0.83199419999999902</v>
      </c>
      <c r="S7942">
        <v>0.62057499999999999</v>
      </c>
      <c r="T7942">
        <v>-6.4595700000000006E-2</v>
      </c>
      <c r="U7942">
        <v>3.208771</v>
      </c>
      <c r="V7942">
        <v>-9.4856250000000003E-2</v>
      </c>
      <c r="W7942">
        <v>5.4288219999999998E-2</v>
      </c>
      <c r="X7942">
        <v>0.99400960000000005</v>
      </c>
      <c r="Y7942">
        <v>-0.47045310000000001</v>
      </c>
      <c r="Z7942">
        <v>-1.2246979999999999E-2</v>
      </c>
      <c r="AA7942">
        <v>0.88234009999999996</v>
      </c>
      <c r="AB7942">
        <v>22</v>
      </c>
      <c r="AC7942">
        <v>10.6656999999999</v>
      </c>
      <c r="AD7942">
        <v>-1.118430006414</v>
      </c>
      <c r="AE7942">
        <v>55.448031</v>
      </c>
      <c r="AF7942">
        <v>-26.603091131187899</v>
      </c>
      <c r="AG7942">
        <v>-1.118430006414</v>
      </c>
      <c r="AH7942">
        <v>49.7796799983171</v>
      </c>
      <c r="AI7942">
        <v>91.135192146467006</v>
      </c>
      <c r="AJ7942">
        <v>118.12079035257101</v>
      </c>
      <c r="AK7942">
        <v>56.453448824216103</v>
      </c>
      <c r="AL7942">
        <v>86.887984216595697</v>
      </c>
      <c r="AM7942">
        <v>95.451109170499294</v>
      </c>
      <c r="AN7942">
        <v>1.00000000194349</v>
      </c>
    </row>
    <row r="7943" spans="1:40" x14ac:dyDescent="0.25">
      <c r="A7943" t="str">
        <f>"20190312160522148"</f>
        <v>20190312160522148</v>
      </c>
      <c r="B7943" t="str">
        <f>"1552377922143017"</f>
        <v>1552377922143017</v>
      </c>
      <c r="C7943" t="s">
        <v>40</v>
      </c>
      <c r="D7943">
        <v>5.9886699999999999</v>
      </c>
      <c r="E7943">
        <v>0.33956140000000001</v>
      </c>
      <c r="F7943" t="s">
        <v>41</v>
      </c>
      <c r="G7943">
        <v>-181.8681</v>
      </c>
      <c r="H7943" s="1">
        <v>-2.3519989999999999E-6</v>
      </c>
      <c r="I7943">
        <v>0.201437</v>
      </c>
      <c r="J7943">
        <v>-191.77109999999999</v>
      </c>
      <c r="K7943">
        <v>1.1184000000000001</v>
      </c>
      <c r="L7943">
        <v>-53.692810000000001</v>
      </c>
      <c r="M7943">
        <v>0.62076119999999901</v>
      </c>
      <c r="N7943">
        <v>0</v>
      </c>
      <c r="O7943">
        <v>0.78385139999999998</v>
      </c>
      <c r="P7943">
        <v>0.54454209999999903</v>
      </c>
      <c r="Q7943">
        <v>4.0383040000000002E-2</v>
      </c>
      <c r="R7943">
        <v>0.83776079999999997</v>
      </c>
      <c r="S7943">
        <v>0.59497069999999996</v>
      </c>
      <c r="T7943">
        <v>-6.6504599999999997E-2</v>
      </c>
      <c r="U7943">
        <v>3.213409</v>
      </c>
      <c r="V7943">
        <v>-9.4287510000000005E-2</v>
      </c>
      <c r="W7943">
        <v>5.3721129999999999E-2</v>
      </c>
      <c r="X7943">
        <v>0.99409449999999999</v>
      </c>
      <c r="Y7943">
        <v>-0.46774490000000002</v>
      </c>
      <c r="Z7943">
        <v>-1.281417E-2</v>
      </c>
      <c r="AA7943">
        <v>0.88377059999999996</v>
      </c>
      <c r="AB7943">
        <v>22</v>
      </c>
      <c r="AC7943">
        <v>9.9029999999999898</v>
      </c>
      <c r="AD7943">
        <v>-1.1184023519990001</v>
      </c>
      <c r="AE7943">
        <v>53.894246999999901</v>
      </c>
      <c r="AF7943">
        <v>-25.685264790144899</v>
      </c>
      <c r="AG7943">
        <v>-1.1184023519990001</v>
      </c>
      <c r="AH7943">
        <v>48.377953202073797</v>
      </c>
      <c r="AI7943">
        <v>91.169736955189506</v>
      </c>
      <c r="AJ7943">
        <v>117.965134706469</v>
      </c>
      <c r="AK7943">
        <v>54.7851257841292</v>
      </c>
      <c r="AL7943">
        <v>86.920523512475</v>
      </c>
      <c r="AM7943">
        <v>95.418160454579606</v>
      </c>
      <c r="AN7943">
        <v>0.99999998464036299</v>
      </c>
    </row>
    <row r="7944" spans="1:40" x14ac:dyDescent="0.25">
      <c r="A7944" t="str">
        <f>"20190312160522161"</f>
        <v>20190312160522161</v>
      </c>
      <c r="B7944" t="str">
        <f>"1552377922152777"</f>
        <v>1552377922152777</v>
      </c>
      <c r="C7944" t="s">
        <v>40</v>
      </c>
      <c r="D7944">
        <v>5.8567049999999998</v>
      </c>
      <c r="E7944">
        <v>0.34020309999999998</v>
      </c>
      <c r="F7944" t="s">
        <v>41</v>
      </c>
      <c r="G7944">
        <v>-182.96090000000001</v>
      </c>
      <c r="H7944" s="1">
        <v>-4.1828279999999999E-6</v>
      </c>
      <c r="I7944">
        <v>-3.564187</v>
      </c>
      <c r="J7944">
        <v>-191.6952</v>
      </c>
      <c r="K7944">
        <v>1.1183809999999901</v>
      </c>
      <c r="L7944">
        <v>-53.582000000000001</v>
      </c>
      <c r="M7944">
        <v>0.61426080000000005</v>
      </c>
      <c r="N7944">
        <v>0</v>
      </c>
      <c r="O7944">
        <v>0.78895569999999904</v>
      </c>
      <c r="P7944">
        <v>0.53796699999999997</v>
      </c>
      <c r="Q7944">
        <v>3.9910029999999999E-2</v>
      </c>
      <c r="R7944">
        <v>0.84202060000000001</v>
      </c>
      <c r="S7944">
        <v>0.56538389999999905</v>
      </c>
      <c r="T7944">
        <v>-7.1772340000000004E-2</v>
      </c>
      <c r="U7944">
        <v>3.2169490000000001</v>
      </c>
      <c r="V7944">
        <v>-9.3854670000000001E-2</v>
      </c>
      <c r="W7944">
        <v>5.3258310000000003E-2</v>
      </c>
      <c r="X7944">
        <v>0.99416040000000006</v>
      </c>
      <c r="Y7944">
        <v>-0.46848679999999898</v>
      </c>
      <c r="Z7944">
        <v>-1.397784E-2</v>
      </c>
      <c r="AA7944">
        <v>0.88335989999999998</v>
      </c>
      <c r="AB7944">
        <v>22</v>
      </c>
      <c r="AC7944">
        <v>8.7342999999999904</v>
      </c>
      <c r="AD7944">
        <v>-1.11838518282799</v>
      </c>
      <c r="AE7944">
        <v>50.017812999999997</v>
      </c>
      <c r="AF7944">
        <v>-23.824219354804601</v>
      </c>
      <c r="AG7944">
        <v>-1.11838518282799</v>
      </c>
      <c r="AH7944">
        <v>44.810450058243397</v>
      </c>
      <c r="AI7944">
        <v>91.262429346759205</v>
      </c>
      <c r="AJ7944">
        <v>117.998086507818</v>
      </c>
      <c r="AK7944">
        <v>50.762394030476401</v>
      </c>
      <c r="AL7944">
        <v>86.947079282515105</v>
      </c>
      <c r="AM7944">
        <v>95.3930792321204</v>
      </c>
      <c r="AN7944">
        <v>1.0000000237965101</v>
      </c>
    </row>
    <row r="7945" spans="1:40" x14ac:dyDescent="0.25">
      <c r="A7945" t="str">
        <f>"20190312160522182"</f>
        <v>20190312160522182</v>
      </c>
      <c r="B7945" t="str">
        <f>"1552377922173273"</f>
        <v>1552377922173273</v>
      </c>
      <c r="C7945" t="s">
        <v>40</v>
      </c>
      <c r="D7945">
        <v>5.8874579999999996</v>
      </c>
      <c r="E7945">
        <v>0.34141480000000002</v>
      </c>
      <c r="F7945" t="s">
        <v>41</v>
      </c>
      <c r="G7945">
        <v>-183.67939999999999</v>
      </c>
      <c r="H7945" s="1">
        <v>-3.0974490000000001E-6</v>
      </c>
      <c r="I7945">
        <v>-6.1918680000000004</v>
      </c>
      <c r="J7945">
        <v>-191.5883</v>
      </c>
      <c r="K7945">
        <v>1.1183510000000001</v>
      </c>
      <c r="L7945">
        <v>-53.422849999999997</v>
      </c>
      <c r="M7945">
        <v>0.60491139999999999</v>
      </c>
      <c r="N7945">
        <v>0</v>
      </c>
      <c r="O7945">
        <v>0.79614680000000004</v>
      </c>
      <c r="P7945">
        <v>0.52868879999999996</v>
      </c>
      <c r="Q7945">
        <v>3.8766059999999998E-2</v>
      </c>
      <c r="R7945">
        <v>0.84793009999999902</v>
      </c>
      <c r="S7945">
        <v>0.54441830000000002</v>
      </c>
      <c r="T7945">
        <v>-7.5958010000000006E-2</v>
      </c>
      <c r="U7945">
        <v>3.2186279999999998</v>
      </c>
      <c r="V7945">
        <v>-9.3050030000000006E-2</v>
      </c>
      <c r="W7945">
        <v>5.2132640000000001E-2</v>
      </c>
      <c r="X7945">
        <v>0.9942957</v>
      </c>
      <c r="Y7945">
        <v>-0.463727</v>
      </c>
      <c r="Z7945">
        <v>-1.5062860000000001E-2</v>
      </c>
      <c r="AA7945">
        <v>0.88585009999999997</v>
      </c>
      <c r="AB7945">
        <v>22</v>
      </c>
      <c r="AC7945">
        <v>7.9089000000000098</v>
      </c>
      <c r="AD7945">
        <v>-1.1183540974490001</v>
      </c>
      <c r="AE7945">
        <v>47.230981999999997</v>
      </c>
      <c r="AF7945">
        <v>-22.2643610783547</v>
      </c>
      <c r="AG7945">
        <v>-1.1183540974490001</v>
      </c>
      <c r="AH7945">
        <v>42.368799826410402</v>
      </c>
      <c r="AI7945">
        <v>91.338528895956998</v>
      </c>
      <c r="AJ7945">
        <v>117.721456426431</v>
      </c>
      <c r="AK7945">
        <v>47.875543744641497</v>
      </c>
      <c r="AL7945">
        <v>87.0116651758036</v>
      </c>
      <c r="AM7945">
        <v>95.346388735230093</v>
      </c>
      <c r="AN7945">
        <v>1.0000000296374201</v>
      </c>
    </row>
    <row r="7946" spans="1:40" x14ac:dyDescent="0.25">
      <c r="A7946" t="str">
        <f>"20190312160522192"</f>
        <v>20190312160522192</v>
      </c>
      <c r="B7946" t="str">
        <f>"1552377922183033"</f>
        <v>1552377922183033</v>
      </c>
      <c r="C7946" t="s">
        <v>40</v>
      </c>
      <c r="D7946">
        <v>5.8678359999999996</v>
      </c>
      <c r="E7946">
        <v>0.34209430000000002</v>
      </c>
      <c r="F7946" t="s">
        <v>41</v>
      </c>
      <c r="G7946">
        <v>-184.6277</v>
      </c>
      <c r="H7946" s="1">
        <v>-1.51966E-6</v>
      </c>
      <c r="I7946">
        <v>-10.086819999999999</v>
      </c>
      <c r="J7946">
        <v>-191.53030000000001</v>
      </c>
      <c r="K7946">
        <v>1.1183399999999999</v>
      </c>
      <c r="L7946">
        <v>-53.334690000000002</v>
      </c>
      <c r="M7946">
        <v>0.59972700000000001</v>
      </c>
      <c r="N7946">
        <v>0</v>
      </c>
      <c r="O7946">
        <v>0.80005950000000003</v>
      </c>
      <c r="P7946">
        <v>0.52355339999999995</v>
      </c>
      <c r="Q7946">
        <v>3.8588619999999997E-2</v>
      </c>
      <c r="R7946">
        <v>0.8511185</v>
      </c>
      <c r="S7946">
        <v>0.51710509999999998</v>
      </c>
      <c r="T7946">
        <v>-8.3082080000000003E-2</v>
      </c>
      <c r="U7946">
        <v>3.2194210000000001</v>
      </c>
      <c r="V7946">
        <v>-9.2600429999999997E-2</v>
      </c>
      <c r="W7946">
        <v>5.196597E-2</v>
      </c>
      <c r="X7946">
        <v>0.99434639999999996</v>
      </c>
      <c r="Y7946">
        <v>-0.46532610000000002</v>
      </c>
      <c r="Z7946">
        <v>-1.6610840000000002E-2</v>
      </c>
      <c r="AA7946">
        <v>0.88498349999999903</v>
      </c>
      <c r="AB7946">
        <v>22</v>
      </c>
      <c r="AC7946">
        <v>6.9025999999999996</v>
      </c>
      <c r="AD7946">
        <v>-1.1183415196599999</v>
      </c>
      <c r="AE7946">
        <v>43.247869999999999</v>
      </c>
      <c r="AF7946">
        <v>-20.403491875772801</v>
      </c>
      <c r="AG7946">
        <v>-1.1183415196599999</v>
      </c>
      <c r="AH7946">
        <v>38.719797708005501</v>
      </c>
      <c r="AI7946">
        <v>91.463722171519294</v>
      </c>
      <c r="AJ7946">
        <v>117.78709782487999</v>
      </c>
      <c r="AK7946">
        <v>43.780999337934198</v>
      </c>
      <c r="AL7946">
        <v>87.021227633183301</v>
      </c>
      <c r="AM7946">
        <v>95.320434884091895</v>
      </c>
      <c r="AN7946">
        <v>1.00000003243359</v>
      </c>
    </row>
    <row r="7947" spans="1:40" x14ac:dyDescent="0.25">
      <c r="A7947" t="str">
        <f>"20190312160522203"</f>
        <v>20190312160522203</v>
      </c>
      <c r="B7947" t="str">
        <f>"1552377922192793"</f>
        <v>1552377922192793</v>
      </c>
      <c r="C7947" t="s">
        <v>40</v>
      </c>
      <c r="D7947">
        <v>5.7410800000000002</v>
      </c>
      <c r="E7947">
        <v>0.34149600000000002</v>
      </c>
      <c r="F7947" t="s">
        <v>41</v>
      </c>
      <c r="G7947">
        <v>-184.9974</v>
      </c>
      <c r="H7947" s="1">
        <v>-4.7110939999999999E-6</v>
      </c>
      <c r="I7947">
        <v>-11.454050000000001</v>
      </c>
      <c r="J7947">
        <v>-191.47460000000001</v>
      </c>
      <c r="K7947">
        <v>1.118328</v>
      </c>
      <c r="L7947">
        <v>-53.249020000000002</v>
      </c>
      <c r="M7947">
        <v>0.59468549999999998</v>
      </c>
      <c r="N7947">
        <v>0</v>
      </c>
      <c r="O7947">
        <v>0.80381389999999997</v>
      </c>
      <c r="P7947">
        <v>0.51821909999999904</v>
      </c>
      <c r="Q7947">
        <v>3.827291E-2</v>
      </c>
      <c r="R7947">
        <v>0.85439120000000002</v>
      </c>
      <c r="S7947">
        <v>0.50224299999999999</v>
      </c>
      <c r="T7947">
        <v>-8.5976839999999999E-2</v>
      </c>
      <c r="U7947">
        <v>3.2197269999999998</v>
      </c>
      <c r="V7947">
        <v>-9.2570169999999993E-2</v>
      </c>
      <c r="W7947">
        <v>5.1650719999999997E-2</v>
      </c>
      <c r="X7947">
        <v>0.99436559999999896</v>
      </c>
      <c r="Y7947">
        <v>-0.46376060000000002</v>
      </c>
      <c r="Z7947">
        <v>-1.7346469999999999E-2</v>
      </c>
      <c r="AA7947">
        <v>0.88579079999999999</v>
      </c>
      <c r="AB7947">
        <v>22</v>
      </c>
      <c r="AC7947">
        <v>6.4772000000000096</v>
      </c>
      <c r="AD7947">
        <v>-1.118332711094</v>
      </c>
      <c r="AE7947">
        <v>41.7949699999999</v>
      </c>
      <c r="AF7947">
        <v>-19.636952797450999</v>
      </c>
      <c r="AG7947">
        <v>-1.118332711094</v>
      </c>
      <c r="AH7947">
        <v>37.425459338997797</v>
      </c>
      <c r="AI7947">
        <v>91.515717214422295</v>
      </c>
      <c r="AJ7947">
        <v>117.68577344672499</v>
      </c>
      <c r="AK7947">
        <v>42.279138945311999</v>
      </c>
      <c r="AL7947">
        <v>87.039314290714103</v>
      </c>
      <c r="AM7947">
        <v>95.318604134132599</v>
      </c>
      <c r="AN7947">
        <v>0.99999998985685301</v>
      </c>
    </row>
    <row r="7948" spans="1:40" x14ac:dyDescent="0.25">
      <c r="A7948" t="str">
        <f>"20190312160522214"</f>
        <v>20190312160522214</v>
      </c>
      <c r="B7948" t="str">
        <f>"1552377922202553"</f>
        <v>1552377922202553</v>
      </c>
      <c r="C7948" t="s">
        <v>40</v>
      </c>
      <c r="D7948">
        <v>5.7379439999999997</v>
      </c>
      <c r="E7948">
        <v>0.34113949999999998</v>
      </c>
      <c r="F7948" t="s">
        <v>41</v>
      </c>
      <c r="G7948">
        <v>-185.00059999999999</v>
      </c>
      <c r="H7948" s="1">
        <v>-1.6014809999999999E-6</v>
      </c>
      <c r="I7948">
        <v>-9.5548199999999994</v>
      </c>
      <c r="J7948">
        <v>-191.4195</v>
      </c>
      <c r="K7948">
        <v>1.118309</v>
      </c>
      <c r="L7948">
        <v>-53.162779999999998</v>
      </c>
      <c r="M7948">
        <v>0.589611199999999</v>
      </c>
      <c r="N7948">
        <v>0</v>
      </c>
      <c r="O7948">
        <v>0.80754349999999997</v>
      </c>
      <c r="P7948">
        <v>0.51267959999999901</v>
      </c>
      <c r="Q7948">
        <v>3.8423800000000001E-2</v>
      </c>
      <c r="R7948">
        <v>0.85771980000000003</v>
      </c>
      <c r="S7948">
        <v>0.47785949999999999</v>
      </c>
      <c r="T7948">
        <v>-8.2545399999999894E-2</v>
      </c>
      <c r="U7948">
        <v>3.2251280000000002</v>
      </c>
      <c r="V7948">
        <v>-9.2739680000000005E-2</v>
      </c>
      <c r="W7948">
        <v>5.1798829999999997E-2</v>
      </c>
      <c r="X7948">
        <v>0.99434210000000001</v>
      </c>
      <c r="Y7948">
        <v>-0.46495120000000001</v>
      </c>
      <c r="Z7948">
        <v>-1.6761330000000001E-2</v>
      </c>
      <c r="AA7948">
        <v>0.88517769999999996</v>
      </c>
      <c r="AB7948">
        <v>22</v>
      </c>
      <c r="AC7948">
        <v>6.4188999999999998</v>
      </c>
      <c r="AD7948">
        <v>-1.118310601481</v>
      </c>
      <c r="AE7948">
        <v>43.607959999999999</v>
      </c>
      <c r="AF7948">
        <v>-20.517376602089001</v>
      </c>
      <c r="AG7948">
        <v>-1.118310601481</v>
      </c>
      <c r="AH7948">
        <v>38.979416180068903</v>
      </c>
      <c r="AI7948">
        <v>91.454289618828199</v>
      </c>
      <c r="AJ7948">
        <v>117.7607211058</v>
      </c>
      <c r="AK7948">
        <v>44.063683992289597</v>
      </c>
      <c r="AL7948">
        <v>87.030816836581593</v>
      </c>
      <c r="AM7948">
        <v>95.328412502563907</v>
      </c>
      <c r="AN7948">
        <v>0.99999998943414004</v>
      </c>
    </row>
    <row r="7949" spans="1:40" x14ac:dyDescent="0.25">
      <c r="A7949" t="str">
        <f>"20190312160522225"</f>
        <v>20190312160522225</v>
      </c>
      <c r="B7949" t="str">
        <f>"1552377922213288"</f>
        <v>1552377922213288</v>
      </c>
      <c r="C7949" t="s">
        <v>40</v>
      </c>
      <c r="D7949">
        <v>5.7874569999999999</v>
      </c>
      <c r="E7949">
        <v>0.34086040000000001</v>
      </c>
      <c r="F7949" t="s">
        <v>41</v>
      </c>
      <c r="G7949">
        <v>-185.03809999999999</v>
      </c>
      <c r="H7949" s="1">
        <v>-2.1706509999999999E-6</v>
      </c>
      <c r="I7949">
        <v>-7.8529339999999896</v>
      </c>
      <c r="J7949">
        <v>-191.36099999999999</v>
      </c>
      <c r="K7949">
        <v>1.1182920000000001</v>
      </c>
      <c r="L7949">
        <v>-53.070369999999997</v>
      </c>
      <c r="M7949">
        <v>0.5841615</v>
      </c>
      <c r="N7949">
        <v>0</v>
      </c>
      <c r="O7949">
        <v>0.81149450000000001</v>
      </c>
      <c r="P7949">
        <v>0.50667059999999997</v>
      </c>
      <c r="Q7949">
        <v>3.8600389999999998E-2</v>
      </c>
      <c r="R7949">
        <v>0.86127509999999996</v>
      </c>
      <c r="S7949">
        <v>0.45481870000000002</v>
      </c>
      <c r="T7949">
        <v>-7.9704639999999993E-2</v>
      </c>
      <c r="U7949">
        <v>3.2293400000000001</v>
      </c>
      <c r="V7949">
        <v>-9.2993919999999994E-2</v>
      </c>
      <c r="W7949">
        <v>5.1970250000000003E-2</v>
      </c>
      <c r="X7949">
        <v>0.99430940000000001</v>
      </c>
      <c r="Y7949">
        <v>-0.46534439999999999</v>
      </c>
      <c r="Z7949">
        <v>-1.630649E-2</v>
      </c>
      <c r="AA7949">
        <v>0.88497950000000003</v>
      </c>
      <c r="AB7949">
        <v>22</v>
      </c>
      <c r="AC7949">
        <v>6.3228999999999997</v>
      </c>
      <c r="AD7949">
        <v>-1.1182941706509999</v>
      </c>
      <c r="AE7949">
        <v>45.217435999999999</v>
      </c>
      <c r="AF7949">
        <v>-21.2729941469625</v>
      </c>
      <c r="AG7949">
        <v>-1.1182941706509999</v>
      </c>
      <c r="AH7949">
        <v>40.367764219432097</v>
      </c>
      <c r="AI7949">
        <v>91.403916636742693</v>
      </c>
      <c r="AJ7949">
        <v>117.788322328251</v>
      </c>
      <c r="AK7949">
        <v>45.643698906908</v>
      </c>
      <c r="AL7949">
        <v>87.020981917567298</v>
      </c>
      <c r="AM7949">
        <v>95.343110285307503</v>
      </c>
      <c r="AN7949">
        <v>0.99999997948519403</v>
      </c>
    </row>
    <row r="7950" spans="1:40" x14ac:dyDescent="0.25">
      <c r="A7950" t="str">
        <f>"20190312160522237"</f>
        <v>20190312160522237</v>
      </c>
      <c r="B7950" t="str">
        <f>"1552377922232809"</f>
        <v>1552377922232809</v>
      </c>
      <c r="C7950" t="s">
        <v>40</v>
      </c>
      <c r="D7950">
        <v>5.8293200000000001</v>
      </c>
      <c r="E7950">
        <v>0.3410145</v>
      </c>
      <c r="F7950" t="s">
        <v>41</v>
      </c>
      <c r="G7950">
        <v>-185.05719999999999</v>
      </c>
      <c r="H7950" s="1">
        <v>-2.8994769999999999E-6</v>
      </c>
      <c r="I7950">
        <v>-5.6963239999999997</v>
      </c>
      <c r="J7950">
        <v>-191.3014</v>
      </c>
      <c r="K7950">
        <v>1.118277</v>
      </c>
      <c r="L7950">
        <v>-52.973999999999997</v>
      </c>
      <c r="M7950">
        <v>0.57848529999999998</v>
      </c>
      <c r="N7950">
        <v>0</v>
      </c>
      <c r="O7950">
        <v>0.81555059999999902</v>
      </c>
      <c r="P7950">
        <v>0.50034869999999998</v>
      </c>
      <c r="Q7950">
        <v>3.8507439999999997E-2</v>
      </c>
      <c r="R7950">
        <v>0.86496719999999905</v>
      </c>
      <c r="S7950">
        <v>0.43026730000000002</v>
      </c>
      <c r="T7950">
        <v>-7.6329350000000004E-2</v>
      </c>
      <c r="U7950">
        <v>3.2335210000000001</v>
      </c>
      <c r="V7950">
        <v>-9.333814E-2</v>
      </c>
      <c r="W7950">
        <v>5.187025E-2</v>
      </c>
      <c r="X7950">
        <v>0.99428240000000001</v>
      </c>
      <c r="Y7950">
        <v>-0.4659218</v>
      </c>
      <c r="Z7950">
        <v>-1.573538E-2</v>
      </c>
      <c r="AA7950">
        <v>0.88468609999999903</v>
      </c>
      <c r="AB7950">
        <v>22</v>
      </c>
      <c r="AC7950">
        <v>6.2442000000000002</v>
      </c>
      <c r="AD7950">
        <v>-1.118279899477</v>
      </c>
      <c r="AE7950">
        <v>47.277676</v>
      </c>
      <c r="AF7950">
        <v>-22.247327870536701</v>
      </c>
      <c r="AG7950">
        <v>-1.118279899477</v>
      </c>
      <c r="AH7950">
        <v>42.151228284000197</v>
      </c>
      <c r="AI7950">
        <v>91.344066912904694</v>
      </c>
      <c r="AJ7950">
        <v>117.82499609606199</v>
      </c>
      <c r="AK7950">
        <v>47.675152785939098</v>
      </c>
      <c r="AL7950">
        <v>87.026719327964599</v>
      </c>
      <c r="AM7950">
        <v>95.362917662426398</v>
      </c>
      <c r="AN7950">
        <v>1.00000001108174</v>
      </c>
    </row>
    <row r="7951" spans="1:40" x14ac:dyDescent="0.25">
      <c r="A7951" t="str">
        <f>"20190312160522249"</f>
        <v>20190312160522249</v>
      </c>
      <c r="B7951" t="str">
        <f>"1552377922242569"</f>
        <v>1552377922242569</v>
      </c>
      <c r="C7951" t="s">
        <v>40</v>
      </c>
      <c r="D7951">
        <v>9.7057350000000007</v>
      </c>
      <c r="E7951">
        <v>0.34123979999999998</v>
      </c>
      <c r="F7951" t="s">
        <v>41</v>
      </c>
      <c r="G7951">
        <v>-185.05019999999999</v>
      </c>
      <c r="H7951" s="1">
        <v>-3.8918279999999997E-6</v>
      </c>
      <c r="I7951">
        <v>-3.3419110000000001</v>
      </c>
      <c r="J7951">
        <v>-191.244</v>
      </c>
      <c r="K7951">
        <v>1.1182639999999999</v>
      </c>
      <c r="L7951">
        <v>-52.880740000000003</v>
      </c>
      <c r="M7951">
        <v>0.57297600000000004</v>
      </c>
      <c r="N7951">
        <v>0</v>
      </c>
      <c r="O7951">
        <v>0.81943060000000001</v>
      </c>
      <c r="P7951">
        <v>0.4944732</v>
      </c>
      <c r="Q7951">
        <v>3.8049649999999997E-2</v>
      </c>
      <c r="R7951">
        <v>0.86835960000000001</v>
      </c>
      <c r="S7951">
        <v>0.40754699999999999</v>
      </c>
      <c r="T7951">
        <v>-7.2907330000000006E-2</v>
      </c>
      <c r="U7951">
        <v>3.2358090000000002</v>
      </c>
      <c r="V7951">
        <v>-9.3379219999999999E-2</v>
      </c>
      <c r="W7951">
        <v>5.1412140000000002E-2</v>
      </c>
      <c r="X7951">
        <v>0.99430229999999997</v>
      </c>
      <c r="Y7951">
        <v>-0.46614939999999999</v>
      </c>
      <c r="Z7951">
        <v>-1.514863E-2</v>
      </c>
      <c r="AA7951">
        <v>0.88457629999999998</v>
      </c>
      <c r="AB7951">
        <v>22</v>
      </c>
      <c r="AC7951">
        <v>6.1938000000000404</v>
      </c>
      <c r="AD7951">
        <v>-1.118267891828</v>
      </c>
      <c r="AE7951">
        <v>49.538829</v>
      </c>
      <c r="AF7951">
        <v>-23.3001848821233</v>
      </c>
      <c r="AG7951">
        <v>-1.118267891828</v>
      </c>
      <c r="AH7951">
        <v>44.125513667529397</v>
      </c>
      <c r="AI7951">
        <v>91.283806739043101</v>
      </c>
      <c r="AJ7951">
        <v>117.835997035188</v>
      </c>
      <c r="AK7951">
        <v>49.912023551869197</v>
      </c>
      <c r="AL7951">
        <v>87.053002061097601</v>
      </c>
      <c r="AM7951">
        <v>95.365157465917505</v>
      </c>
      <c r="AN7951">
        <v>0.99999997532623797</v>
      </c>
    </row>
    <row r="7952" spans="1:40" x14ac:dyDescent="0.25">
      <c r="A7952" t="str">
        <f>"20190312160522261"</f>
        <v>20190312160522261</v>
      </c>
      <c r="B7952" t="str">
        <f>"1552377922253306"</f>
        <v>1552377922253306</v>
      </c>
      <c r="C7952" t="s">
        <v>40</v>
      </c>
      <c r="D7952">
        <v>5.7999419999999997</v>
      </c>
      <c r="E7952">
        <v>0.34155069999999998</v>
      </c>
      <c r="F7952" t="s">
        <v>41</v>
      </c>
      <c r="G7952">
        <v>-185.27690000000001</v>
      </c>
      <c r="H7952" s="1">
        <v>-4.0173329999999999E-6</v>
      </c>
      <c r="I7952">
        <v>-2.955632</v>
      </c>
      <c r="J7952">
        <v>-191.1789</v>
      </c>
      <c r="K7952">
        <v>1.118249</v>
      </c>
      <c r="L7952">
        <v>-52.772280000000002</v>
      </c>
      <c r="M7952">
        <v>0.56657500000000005</v>
      </c>
      <c r="N7952">
        <v>0</v>
      </c>
      <c r="O7952">
        <v>0.82386959999999998</v>
      </c>
      <c r="P7952">
        <v>0.48795129999999998</v>
      </c>
      <c r="Q7952">
        <v>3.7679160000000003E-2</v>
      </c>
      <c r="R7952">
        <v>0.87205730000000004</v>
      </c>
      <c r="S7952">
        <v>0.3869629</v>
      </c>
      <c r="T7952">
        <v>-7.2518940000000004E-2</v>
      </c>
      <c r="U7952">
        <v>3.2376100000000001</v>
      </c>
      <c r="V7952">
        <v>-9.3085130000000002E-2</v>
      </c>
      <c r="W7952">
        <v>5.1047839999999997E-2</v>
      </c>
      <c r="X7952">
        <v>0.99434860000000003</v>
      </c>
      <c r="Y7952">
        <v>-0.4648584</v>
      </c>
      <c r="Z7952">
        <v>-1.521495E-2</v>
      </c>
      <c r="AA7952">
        <v>0.88525429999999905</v>
      </c>
      <c r="AB7952">
        <v>22</v>
      </c>
      <c r="AC7952">
        <v>5.9019999999999797</v>
      </c>
      <c r="AD7952">
        <v>-1.1182530173330001</v>
      </c>
      <c r="AE7952">
        <v>49.816648000000001</v>
      </c>
      <c r="AF7952">
        <v>-23.353490816629801</v>
      </c>
      <c r="AG7952">
        <v>-1.1182530173330001</v>
      </c>
      <c r="AH7952">
        <v>44.369441870730398</v>
      </c>
      <c r="AI7952">
        <v>91.277630412609895</v>
      </c>
      <c r="AJ7952">
        <v>117.75970651314999</v>
      </c>
      <c r="AK7952">
        <v>50.152601079638103</v>
      </c>
      <c r="AL7952">
        <v>87.073902228536795</v>
      </c>
      <c r="AM7952">
        <v>95.348110899801696</v>
      </c>
      <c r="AN7952">
        <v>0.99999993085886796</v>
      </c>
    </row>
    <row r="7953" spans="1:40" x14ac:dyDescent="0.25">
      <c r="A7953" t="str">
        <f>"20190312160522273"</f>
        <v>20190312160522273</v>
      </c>
      <c r="B7953" t="str">
        <f>"1552377922263065"</f>
        <v>1552377922263065</v>
      </c>
      <c r="C7953" t="s">
        <v>40</v>
      </c>
      <c r="D7953">
        <v>5.8172290000000002</v>
      </c>
      <c r="E7953">
        <v>0.34194849999999999</v>
      </c>
      <c r="F7953" t="s">
        <v>41</v>
      </c>
      <c r="G7953">
        <v>-185.50980000000001</v>
      </c>
      <c r="H7953" s="1">
        <v>-4.2046499999999996E-6</v>
      </c>
      <c r="I7953">
        <v>-2.422688</v>
      </c>
      <c r="J7953">
        <v>-191.12020000000001</v>
      </c>
      <c r="K7953">
        <v>1.1182369999999999</v>
      </c>
      <c r="L7953">
        <v>-52.673029999999997</v>
      </c>
      <c r="M7953">
        <v>0.56071040000000005</v>
      </c>
      <c r="N7953">
        <v>0</v>
      </c>
      <c r="O7953">
        <v>0.82787199999999905</v>
      </c>
      <c r="P7953">
        <v>0.48202309999999998</v>
      </c>
      <c r="Q7953">
        <v>3.713164E-2</v>
      </c>
      <c r="R7953">
        <v>0.87537129999999996</v>
      </c>
      <c r="S7953">
        <v>0.36471559999999997</v>
      </c>
      <c r="T7953">
        <v>-7.1941850000000002E-2</v>
      </c>
      <c r="U7953">
        <v>3.2391969999999999</v>
      </c>
      <c r="V7953">
        <v>-9.2771430000000002E-2</v>
      </c>
      <c r="W7953">
        <v>5.0506860000000001E-2</v>
      </c>
      <c r="X7953">
        <v>0.9944056</v>
      </c>
      <c r="Y7953">
        <v>-0.46462179999999997</v>
      </c>
      <c r="Z7953">
        <v>-1.522048E-2</v>
      </c>
      <c r="AA7953">
        <v>0.88537840000000001</v>
      </c>
      <c r="AB7953">
        <v>22</v>
      </c>
      <c r="AC7953">
        <v>5.6103999999999896</v>
      </c>
      <c r="AD7953">
        <v>-1.1182412046500001</v>
      </c>
      <c r="AE7953">
        <v>50.250341999999897</v>
      </c>
      <c r="AF7953">
        <v>-23.522418808100301</v>
      </c>
      <c r="AG7953">
        <v>-1.1182412046500001</v>
      </c>
      <c r="AH7953">
        <v>44.729969590670798</v>
      </c>
      <c r="AI7953">
        <v>91.267565741647402</v>
      </c>
      <c r="AJ7953">
        <v>117.73880622914299</v>
      </c>
      <c r="AK7953">
        <v>50.550220865568797</v>
      </c>
      <c r="AL7953">
        <v>87.104938307351105</v>
      </c>
      <c r="AM7953">
        <v>95.3298877988681</v>
      </c>
      <c r="AN7953">
        <v>0.99999998922133204</v>
      </c>
    </row>
    <row r="7954" spans="1:40" x14ac:dyDescent="0.25">
      <c r="A7954" t="str">
        <f>"20190312160522285"</f>
        <v>20190312160522285</v>
      </c>
      <c r="B7954" t="str">
        <f>"1552377922272825"</f>
        <v>1552377922272825</v>
      </c>
      <c r="C7954" t="s">
        <v>40</v>
      </c>
      <c r="D7954">
        <v>5.9070539999999996</v>
      </c>
      <c r="E7954">
        <v>0.34238940000000001</v>
      </c>
      <c r="F7954" t="s">
        <v>41</v>
      </c>
      <c r="G7954">
        <v>-185.80789999999999</v>
      </c>
      <c r="H7954" s="1">
        <v>-3.9832960000000004E-6</v>
      </c>
      <c r="I7954">
        <v>-2.8154349999999999</v>
      </c>
      <c r="J7954">
        <v>-191.06469999999999</v>
      </c>
      <c r="K7954">
        <v>1.118231</v>
      </c>
      <c r="L7954">
        <v>-52.578090000000003</v>
      </c>
      <c r="M7954">
        <v>0.55509140000000001</v>
      </c>
      <c r="N7954">
        <v>0</v>
      </c>
      <c r="O7954">
        <v>0.83165009999999995</v>
      </c>
      <c r="P7954">
        <v>0.47628310000000001</v>
      </c>
      <c r="Q7954">
        <v>3.7094849999999999E-2</v>
      </c>
      <c r="R7954">
        <v>0.87850919999999899</v>
      </c>
      <c r="S7954">
        <v>0.34523009999999998</v>
      </c>
      <c r="T7954">
        <v>-7.2670819999999997E-2</v>
      </c>
      <c r="U7954">
        <v>3.2400820000000001</v>
      </c>
      <c r="V7954">
        <v>-9.2544909999999994E-2</v>
      </c>
      <c r="W7954">
        <v>5.047447E-2</v>
      </c>
      <c r="X7954">
        <v>0.99442830000000004</v>
      </c>
      <c r="Y7954">
        <v>-0.46391369999999998</v>
      </c>
      <c r="Z7954">
        <v>-1.550086E-2</v>
      </c>
      <c r="AA7954">
        <v>0.8857448</v>
      </c>
      <c r="AB7954">
        <v>22</v>
      </c>
      <c r="AC7954">
        <v>5.2567999999999904</v>
      </c>
      <c r="AD7954">
        <v>-1.1182349832959999</v>
      </c>
      <c r="AE7954">
        <v>49.762655000000002</v>
      </c>
      <c r="AF7954">
        <v>-23.2420902295109</v>
      </c>
      <c r="AG7954">
        <v>-1.1182349832959999</v>
      </c>
      <c r="AH7954">
        <v>44.286137716381802</v>
      </c>
      <c r="AI7954">
        <v>91.280816333402399</v>
      </c>
      <c r="AJ7954">
        <v>117.691224482065</v>
      </c>
      <c r="AK7954">
        <v>50.027064690514599</v>
      </c>
      <c r="AL7954">
        <v>87.106796339874805</v>
      </c>
      <c r="AM7954">
        <v>95.316827811773095</v>
      </c>
      <c r="AN7954">
        <v>0.99999993816478705</v>
      </c>
    </row>
    <row r="7955" spans="1:40" x14ac:dyDescent="0.25">
      <c r="A7955" t="str">
        <f>"20190312160522305"</f>
        <v>20190312160522305</v>
      </c>
      <c r="B7955" t="str">
        <f>"1552377922293325"</f>
        <v>1552377922293325</v>
      </c>
      <c r="C7955" t="s">
        <v>40</v>
      </c>
      <c r="D7955">
        <v>9.6249140000000004</v>
      </c>
      <c r="E7955">
        <v>0.3433658</v>
      </c>
      <c r="F7955" t="s">
        <v>41</v>
      </c>
      <c r="G7955">
        <v>-186.06</v>
      </c>
      <c r="H7955" s="1">
        <v>-3.852684E-6</v>
      </c>
      <c r="I7955">
        <v>-3.0156360000000002</v>
      </c>
      <c r="J7955">
        <v>-190.97389999999999</v>
      </c>
      <c r="K7955">
        <v>1.118206</v>
      </c>
      <c r="L7955">
        <v>-52.418700000000001</v>
      </c>
      <c r="M7955">
        <v>0.54565589999999997</v>
      </c>
      <c r="N7955">
        <v>0</v>
      </c>
      <c r="O7955">
        <v>0.83787119999999904</v>
      </c>
      <c r="P7955">
        <v>0.4668252</v>
      </c>
      <c r="Q7955">
        <v>3.7005339999999998E-2</v>
      </c>
      <c r="R7955">
        <v>0.883575</v>
      </c>
      <c r="S7955">
        <v>0.32722469999999998</v>
      </c>
      <c r="T7955">
        <v>-7.3114159999999997E-2</v>
      </c>
      <c r="U7955">
        <v>3.24057</v>
      </c>
      <c r="V7955">
        <v>-9.1977210000000004E-2</v>
      </c>
      <c r="W7955">
        <v>5.0395889999999999E-2</v>
      </c>
      <c r="X7955">
        <v>0.99448499999999995</v>
      </c>
      <c r="Y7955">
        <v>-0.45877659999999998</v>
      </c>
      <c r="Z7955">
        <v>-1.583124E-2</v>
      </c>
      <c r="AA7955">
        <v>0.88841059999999905</v>
      </c>
      <c r="AB7955">
        <v>22</v>
      </c>
      <c r="AC7955">
        <v>4.9138999999999804</v>
      </c>
      <c r="AD7955">
        <v>-1.1182098526840001</v>
      </c>
      <c r="AE7955">
        <v>49.403064000000001</v>
      </c>
      <c r="AF7955">
        <v>-22.830920044985799</v>
      </c>
      <c r="AG7955">
        <v>-1.1182098526840001</v>
      </c>
      <c r="AH7955">
        <v>44.057455110670602</v>
      </c>
      <c r="AI7955">
        <v>91.2909251510617</v>
      </c>
      <c r="AJ7955">
        <v>117.39354631625601</v>
      </c>
      <c r="AK7955">
        <v>49.634268950030098</v>
      </c>
      <c r="AL7955">
        <v>87.111304512407202</v>
      </c>
      <c r="AM7955">
        <v>95.284098320836193</v>
      </c>
      <c r="AN7955">
        <v>0.99999998405663704</v>
      </c>
    </row>
    <row r="7956" spans="1:40" x14ac:dyDescent="0.25">
      <c r="A7956" t="str">
        <f>"20190312160522319"</f>
        <v>20190312160522319</v>
      </c>
      <c r="B7956" t="str">
        <f>"1552377922312843"</f>
        <v>1552377922312843</v>
      </c>
      <c r="C7956" t="s">
        <v>40</v>
      </c>
      <c r="D7956">
        <v>6.109648</v>
      </c>
      <c r="E7956">
        <v>0.34378639999999999</v>
      </c>
      <c r="F7956" t="s">
        <v>41</v>
      </c>
      <c r="G7956">
        <v>-186.45160000000001</v>
      </c>
      <c r="H7956" s="1">
        <v>-3.5822260000000001E-6</v>
      </c>
      <c r="I7956">
        <v>-3.484146</v>
      </c>
      <c r="J7956">
        <v>-190.90430000000001</v>
      </c>
      <c r="K7956">
        <v>1.118187</v>
      </c>
      <c r="L7956">
        <v>-52.293640000000003</v>
      </c>
      <c r="M7956">
        <v>0.53824749999999999</v>
      </c>
      <c r="N7956">
        <v>0</v>
      </c>
      <c r="O7956">
        <v>0.842649599999999</v>
      </c>
      <c r="P7956">
        <v>0.4592715</v>
      </c>
      <c r="Q7956">
        <v>3.6941349999999998E-2</v>
      </c>
      <c r="R7956">
        <v>0.88752749999999903</v>
      </c>
      <c r="S7956">
        <v>0.2994385</v>
      </c>
      <c r="T7956">
        <v>-7.4042319999999995E-2</v>
      </c>
      <c r="U7956">
        <v>3.2402039999999999</v>
      </c>
      <c r="V7956">
        <v>-9.1689619999999999E-2</v>
      </c>
      <c r="W7956">
        <v>5.0337319999999998E-2</v>
      </c>
      <c r="X7956">
        <v>0.99451449999999997</v>
      </c>
      <c r="Y7956">
        <v>-0.45848070000000002</v>
      </c>
      <c r="Z7956">
        <v>-1.6198890000000001E-2</v>
      </c>
      <c r="AA7956">
        <v>0.88855669999999898</v>
      </c>
      <c r="AB7956">
        <v>22</v>
      </c>
      <c r="AC7956">
        <v>4.4526999999999903</v>
      </c>
      <c r="AD7956">
        <v>-1.1181905822259901</v>
      </c>
      <c r="AE7956">
        <v>48.809494000000001</v>
      </c>
      <c r="AF7956">
        <v>-22.5104101122845</v>
      </c>
      <c r="AG7956">
        <v>-1.1181905822259901</v>
      </c>
      <c r="AH7956">
        <v>43.508343212854498</v>
      </c>
      <c r="AI7956">
        <v>91.307630594406504</v>
      </c>
      <c r="AJ7956">
        <v>117.35620737825801</v>
      </c>
      <c r="AK7956">
        <v>48.9994371674712</v>
      </c>
      <c r="AL7956">
        <v>87.114664525621293</v>
      </c>
      <c r="AM7956">
        <v>95.267513967607201</v>
      </c>
      <c r="AN7956">
        <v>0.99999996145538705</v>
      </c>
    </row>
    <row r="7957" spans="1:40" x14ac:dyDescent="0.25">
      <c r="A7957" t="str">
        <f>"20190312160522333"</f>
        <v>20190312160522333</v>
      </c>
      <c r="B7957" t="str">
        <f>"1552377922322603"</f>
        <v>1552377922322603</v>
      </c>
      <c r="C7957" t="s">
        <v>40</v>
      </c>
      <c r="D7957">
        <v>6.3476299999999997</v>
      </c>
      <c r="E7957">
        <v>0.34373910000000002</v>
      </c>
      <c r="F7957" t="s">
        <v>41</v>
      </c>
      <c r="G7957">
        <v>-186.73779999999999</v>
      </c>
      <c r="H7957" s="1">
        <v>-3.684558E-6</v>
      </c>
      <c r="I7957">
        <v>-3.1272709999999999</v>
      </c>
      <c r="J7957">
        <v>-190.84100000000001</v>
      </c>
      <c r="K7957">
        <v>1.1181719999999999</v>
      </c>
      <c r="L7957">
        <v>-52.177700000000002</v>
      </c>
      <c r="M7957">
        <v>0.53137239999999997</v>
      </c>
      <c r="N7957">
        <v>0</v>
      </c>
      <c r="O7957">
        <v>0.84700189999999997</v>
      </c>
      <c r="P7957">
        <v>0.45230350000000002</v>
      </c>
      <c r="Q7957">
        <v>3.6911069999999997E-2</v>
      </c>
      <c r="R7957">
        <v>0.8911</v>
      </c>
      <c r="S7957">
        <v>0.27465820000000002</v>
      </c>
      <c r="T7957">
        <v>-7.3712109999999997E-2</v>
      </c>
      <c r="U7957">
        <v>3.2410890000000001</v>
      </c>
      <c r="V7957">
        <v>-9.1386709999999996E-2</v>
      </c>
      <c r="W7957">
        <v>5.0313030000000002E-2</v>
      </c>
      <c r="X7957">
        <v>0.99454370000000003</v>
      </c>
      <c r="Y7957">
        <v>-0.45801170000000002</v>
      </c>
      <c r="Z7957">
        <v>-1.6272930000000001E-2</v>
      </c>
      <c r="AA7957">
        <v>0.88879719999999995</v>
      </c>
      <c r="AB7957">
        <v>22</v>
      </c>
      <c r="AC7957">
        <v>4.1031999999999798</v>
      </c>
      <c r="AD7957">
        <v>-1.118175684558</v>
      </c>
      <c r="AE7957">
        <v>49.050429000000001</v>
      </c>
      <c r="AF7957">
        <v>-22.5795845850615</v>
      </c>
      <c r="AG7957">
        <v>-1.118175684558</v>
      </c>
      <c r="AH7957">
        <v>43.708631824585197</v>
      </c>
      <c r="AI7957">
        <v>91.302041749796501</v>
      </c>
      <c r="AJ7957">
        <v>117.32057146876301</v>
      </c>
      <c r="AK7957">
        <v>49.209068807209</v>
      </c>
      <c r="AL7957">
        <v>87.116058265706599</v>
      </c>
      <c r="AM7957">
        <v>95.250056092063403</v>
      </c>
      <c r="AN7957">
        <v>1.0000000514810401</v>
      </c>
    </row>
    <row r="7958" spans="1:40" x14ac:dyDescent="0.25">
      <c r="A7958" t="str">
        <f>"20190312160522350"</f>
        <v>20190312160522350</v>
      </c>
      <c r="B7958" t="str">
        <f>"1552377922343098"</f>
        <v>1552377922343098</v>
      </c>
      <c r="C7958" t="s">
        <v>40</v>
      </c>
      <c r="D7958">
        <v>5.863505</v>
      </c>
      <c r="E7958">
        <v>0.34352680000000002</v>
      </c>
      <c r="F7958" t="s">
        <v>41</v>
      </c>
      <c r="G7958">
        <v>-187.09829999999999</v>
      </c>
      <c r="H7958" s="1">
        <v>-3.496702E-6</v>
      </c>
      <c r="I7958">
        <v>-3.4161459999999999</v>
      </c>
      <c r="J7958">
        <v>-190.7636</v>
      </c>
      <c r="K7958">
        <v>1.1181570000000001</v>
      </c>
      <c r="L7958">
        <v>-52.03293</v>
      </c>
      <c r="M7958">
        <v>0.5227752</v>
      </c>
      <c r="N7958">
        <v>0</v>
      </c>
      <c r="O7958">
        <v>0.85233510000000001</v>
      </c>
      <c r="P7958">
        <v>0.44343549999999998</v>
      </c>
      <c r="Q7958">
        <v>3.7210699999999999E-2</v>
      </c>
      <c r="R7958">
        <v>0.89553359999999904</v>
      </c>
      <c r="S7958">
        <v>0.2489471</v>
      </c>
      <c r="T7958">
        <v>-7.4374789999999996E-2</v>
      </c>
      <c r="U7958">
        <v>3.243347</v>
      </c>
      <c r="V7958">
        <v>-9.1193239999999995E-2</v>
      </c>
      <c r="W7958">
        <v>5.061591E-2</v>
      </c>
      <c r="X7958">
        <v>0.99454609999999999</v>
      </c>
      <c r="Y7958">
        <v>-0.45606859999999999</v>
      </c>
      <c r="Z7958">
        <v>-1.6601620000000001E-2</v>
      </c>
      <c r="AA7958">
        <v>0.88978979999999996</v>
      </c>
      <c r="AB7958">
        <v>22</v>
      </c>
      <c r="AC7958">
        <v>3.6652999999999998</v>
      </c>
      <c r="AD7958">
        <v>-1.118160496702</v>
      </c>
      <c r="AE7958">
        <v>48.616784000000003</v>
      </c>
      <c r="AF7958">
        <v>-22.282439644179799</v>
      </c>
      <c r="AG7958">
        <v>-1.118160496702</v>
      </c>
      <c r="AH7958">
        <v>43.336132727958599</v>
      </c>
      <c r="AI7958">
        <v>91.314504166955899</v>
      </c>
      <c r="AJ7958">
        <v>117.21118213117499</v>
      </c>
      <c r="AK7958">
        <v>48.741951122294502</v>
      </c>
      <c r="AL7958">
        <v>87.098682409683903</v>
      </c>
      <c r="AM7958">
        <v>95.238990815586604</v>
      </c>
      <c r="AN7958">
        <v>1.00000006119601</v>
      </c>
    </row>
    <row r="7959" spans="1:40" x14ac:dyDescent="0.25">
      <c r="A7959" t="str">
        <f>"20190312160522372"</f>
        <v>20190312160522372</v>
      </c>
      <c r="B7959" t="str">
        <f>"1552377922362617"</f>
        <v>1552377922362617</v>
      </c>
      <c r="C7959" t="s">
        <v>40</v>
      </c>
      <c r="D7959">
        <v>5.8570520000000004</v>
      </c>
      <c r="E7959">
        <v>0.3525548</v>
      </c>
      <c r="F7959" t="s">
        <v>41</v>
      </c>
      <c r="G7959">
        <v>-187.49760000000001</v>
      </c>
      <c r="H7959" s="1">
        <v>-3.6815229999999998E-6</v>
      </c>
      <c r="I7959">
        <v>-2.8201800000000001</v>
      </c>
      <c r="J7959">
        <v>-190.66749999999999</v>
      </c>
      <c r="K7959">
        <v>1.118134</v>
      </c>
      <c r="L7959">
        <v>-51.847839999999998</v>
      </c>
      <c r="M7959">
        <v>0.51177589999999995</v>
      </c>
      <c r="N7959">
        <v>0</v>
      </c>
      <c r="O7959">
        <v>0.85898459999999999</v>
      </c>
      <c r="P7959">
        <v>0.43218899999999999</v>
      </c>
      <c r="Q7959">
        <v>3.733529E-2</v>
      </c>
      <c r="R7959">
        <v>0.90100990000000003</v>
      </c>
      <c r="S7959">
        <v>0.21543880000000001</v>
      </c>
      <c r="T7959">
        <v>-7.3759909999999998E-2</v>
      </c>
      <c r="U7959">
        <v>3.2463380000000002</v>
      </c>
      <c r="V7959">
        <v>-9.0856880000000001E-2</v>
      </c>
      <c r="W7959">
        <v>5.074592E-2</v>
      </c>
      <c r="X7959">
        <v>0.99457019999999996</v>
      </c>
      <c r="Y7959">
        <v>-0.4538276</v>
      </c>
      <c r="Z7959">
        <v>-1.6687759999999999E-2</v>
      </c>
      <c r="AA7959">
        <v>0.89093319999999998</v>
      </c>
      <c r="AB7959">
        <v>22</v>
      </c>
      <c r="AC7959">
        <v>3.1698999999999802</v>
      </c>
      <c r="AD7959">
        <v>-1.118137681523</v>
      </c>
      <c r="AE7959">
        <v>49.027659999999997</v>
      </c>
      <c r="AF7959">
        <v>-22.359281015307399</v>
      </c>
      <c r="AG7959">
        <v>-1.118137681523</v>
      </c>
      <c r="AH7959">
        <v>43.718688694714103</v>
      </c>
      <c r="AI7959">
        <v>91.304429898953899</v>
      </c>
      <c r="AJ7959">
        <v>117.086806023354</v>
      </c>
      <c r="AK7959">
        <v>49.117323019293799</v>
      </c>
      <c r="AL7959">
        <v>87.091223628084407</v>
      </c>
      <c r="AM7959">
        <v>95.219648311072902</v>
      </c>
      <c r="AN7959">
        <v>1.0000000018840101</v>
      </c>
    </row>
    <row r="7960" spans="1:40" x14ac:dyDescent="0.25">
      <c r="A7960" t="str">
        <f>"20190312160522384"</f>
        <v>20190312160522384</v>
      </c>
      <c r="B7960" t="str">
        <f>"1552377922373353"</f>
        <v>1552377922373353</v>
      </c>
      <c r="C7960" t="s">
        <v>40</v>
      </c>
      <c r="D7960">
        <v>6.3380720000000004</v>
      </c>
      <c r="E7960">
        <v>0.35324870000000003</v>
      </c>
      <c r="F7960" t="s">
        <v>49</v>
      </c>
      <c r="G7960">
        <v>-190.59309999999999</v>
      </c>
      <c r="H7960">
        <v>1.0582720000000001</v>
      </c>
      <c r="I7960">
        <v>-50.857970000000002</v>
      </c>
      <c r="J7960">
        <v>-190.61680000000001</v>
      </c>
      <c r="K7960">
        <v>1.118117</v>
      </c>
      <c r="L7960">
        <v>-51.748049999999999</v>
      </c>
      <c r="M7960">
        <v>0.50583820000000002</v>
      </c>
      <c r="N7960">
        <v>0</v>
      </c>
      <c r="O7960">
        <v>0.8624946</v>
      </c>
      <c r="P7960">
        <v>0.42614209999999902</v>
      </c>
      <c r="Q7960">
        <v>3.7264980000000003E-2</v>
      </c>
      <c r="R7960">
        <v>0.90388840000000004</v>
      </c>
      <c r="S7960">
        <v>0.24183650000000001</v>
      </c>
      <c r="T7960">
        <v>-0.19481709999999999</v>
      </c>
      <c r="U7960">
        <v>3.2216800000000001</v>
      </c>
      <c r="V7960">
        <v>-9.0658000000000002E-2</v>
      </c>
      <c r="W7960">
        <v>5.067924E-2</v>
      </c>
      <c r="X7960">
        <v>0.99459180000000003</v>
      </c>
      <c r="Y7960">
        <v>-0.4399441</v>
      </c>
      <c r="Z7960">
        <v>-4.4870170000000001E-2</v>
      </c>
      <c r="AA7960">
        <v>0.89690349999999996</v>
      </c>
      <c r="AB7960">
        <v>22</v>
      </c>
      <c r="AC7960">
        <v>2.3700000000019299E-2</v>
      </c>
      <c r="AD7960">
        <v>-5.98450000000001E-2</v>
      </c>
      <c r="AE7960">
        <v>0.89007999999999698</v>
      </c>
      <c r="AF7960">
        <v>-0.427911890785803</v>
      </c>
      <c r="AG7960">
        <v>-5.98450000000001E-2</v>
      </c>
      <c r="AH7960">
        <v>0.77626085028951497</v>
      </c>
      <c r="AI7960">
        <v>93.862481801402893</v>
      </c>
      <c r="AJ7960">
        <v>118.86564334893001</v>
      </c>
      <c r="AK7960">
        <v>0.88840920638694498</v>
      </c>
      <c r="AL7960">
        <v>87.095049182854794</v>
      </c>
      <c r="AM7960">
        <v>95.208173244833802</v>
      </c>
      <c r="AN7960">
        <v>1.0000000534791</v>
      </c>
    </row>
    <row r="7961" spans="1:40" x14ac:dyDescent="0.25">
      <c r="A7961" t="str">
        <f>"20190312160522395"</f>
        <v>20190312160522395</v>
      </c>
      <c r="B7961" t="str">
        <f>"1552377922392874"</f>
        <v>1552377922392874</v>
      </c>
      <c r="C7961" t="s">
        <v>40</v>
      </c>
      <c r="D7961">
        <v>5.8991300000000004</v>
      </c>
      <c r="E7961">
        <v>0.35174329999999998</v>
      </c>
      <c r="F7961" t="s">
        <v>41</v>
      </c>
      <c r="G7961">
        <v>-189.4247</v>
      </c>
      <c r="H7961" s="1">
        <v>-2.527364E-6</v>
      </c>
      <c r="I7961">
        <v>-34.713749999999997</v>
      </c>
      <c r="J7961">
        <v>-190.56780000000001</v>
      </c>
      <c r="K7961">
        <v>1.1181030000000001</v>
      </c>
      <c r="L7961">
        <v>-51.649290000000001</v>
      </c>
      <c r="M7961">
        <v>0.49996499999999999</v>
      </c>
      <c r="N7961">
        <v>0</v>
      </c>
      <c r="O7961">
        <v>0.86591240000000003</v>
      </c>
      <c r="P7961">
        <v>0.42030339999999999</v>
      </c>
      <c r="Q7961">
        <v>3.6835590000000001E-2</v>
      </c>
      <c r="R7961">
        <v>0.90663559999999999</v>
      </c>
      <c r="S7961">
        <v>0.2254486</v>
      </c>
      <c r="T7961">
        <v>-0.21145269999999999</v>
      </c>
      <c r="U7961">
        <v>3.2214360000000002</v>
      </c>
      <c r="V7961">
        <v>-9.0312290000000003E-2</v>
      </c>
      <c r="W7961">
        <v>5.025636E-2</v>
      </c>
      <c r="X7961">
        <v>0.99464459999999999</v>
      </c>
      <c r="Y7961">
        <v>-0.43838149999999998</v>
      </c>
      <c r="Z7961">
        <v>-4.9050870000000003E-2</v>
      </c>
      <c r="AA7961">
        <v>0.89744959999999996</v>
      </c>
      <c r="AB7961">
        <v>22</v>
      </c>
      <c r="AC7961">
        <v>1.1431</v>
      </c>
      <c r="AD7961">
        <v>-1.1181055273639999</v>
      </c>
      <c r="AE7961">
        <v>16.93554</v>
      </c>
      <c r="AF7961">
        <v>-7.44590743576188</v>
      </c>
      <c r="AG7961">
        <v>-1.1181055273639999</v>
      </c>
      <c r="AH7961">
        <v>15.172129548997701</v>
      </c>
      <c r="AI7961">
        <v>93.785012092493503</v>
      </c>
      <c r="AJ7961">
        <v>116.140058252394</v>
      </c>
      <c r="AK7961">
        <v>16.9376861632227</v>
      </c>
      <c r="AL7961">
        <v>87.119309025738204</v>
      </c>
      <c r="AM7961">
        <v>95.188147377714103</v>
      </c>
      <c r="AN7961">
        <v>0.99999994587732499</v>
      </c>
    </row>
    <row r="7962" spans="1:40" x14ac:dyDescent="0.25">
      <c r="A7962" t="str">
        <f>"20190312160522409"</f>
        <v>20190312160522409</v>
      </c>
      <c r="B7962" t="str">
        <f>"1552377922402633"</f>
        <v>1552377922402633</v>
      </c>
      <c r="C7962" t="s">
        <v>40</v>
      </c>
      <c r="D7962">
        <v>5.6768780000000003</v>
      </c>
      <c r="E7962">
        <v>0.3506437</v>
      </c>
      <c r="F7962" t="s">
        <v>49</v>
      </c>
      <c r="G7962">
        <v>-190.50819999999999</v>
      </c>
      <c r="H7962">
        <v>1.0636129999999999</v>
      </c>
      <c r="I7962">
        <v>-50.653230000000001</v>
      </c>
      <c r="J7962">
        <v>-190.511</v>
      </c>
      <c r="K7962">
        <v>1.1180870000000001</v>
      </c>
      <c r="L7962">
        <v>-51.53369</v>
      </c>
      <c r="M7962">
        <v>0.4930774</v>
      </c>
      <c r="N7962">
        <v>0</v>
      </c>
      <c r="O7962">
        <v>0.86985299999999999</v>
      </c>
      <c r="P7962">
        <v>0.41324420000000001</v>
      </c>
      <c r="Q7962">
        <v>3.7075919999999998E-2</v>
      </c>
      <c r="R7962">
        <v>0.90986520000000004</v>
      </c>
      <c r="S7962">
        <v>0.19296260000000001</v>
      </c>
      <c r="T7962">
        <v>-0.17651500000000001</v>
      </c>
      <c r="U7962">
        <v>3.2266539999999999</v>
      </c>
      <c r="V7962">
        <v>-9.0147089999999999E-2</v>
      </c>
      <c r="W7962">
        <v>5.0499240000000001E-2</v>
      </c>
      <c r="X7962">
        <v>0.99464730000000001</v>
      </c>
      <c r="Y7962">
        <v>-0.44033949999999999</v>
      </c>
      <c r="Z7962">
        <v>-4.1201830000000002E-2</v>
      </c>
      <c r="AA7962">
        <v>0.8968855</v>
      </c>
      <c r="AB7962">
        <v>22</v>
      </c>
      <c r="AC7962">
        <v>2.80000000000768E-3</v>
      </c>
      <c r="AD7962">
        <v>-5.4474000000000099E-2</v>
      </c>
      <c r="AE7962">
        <v>0.88045999999999902</v>
      </c>
      <c r="AF7962">
        <v>-0.43010271876192302</v>
      </c>
      <c r="AG7962">
        <v>-5.4474000000000099E-2</v>
      </c>
      <c r="AH7962">
        <v>0.76441374460811695</v>
      </c>
      <c r="AI7962">
        <v>93.553872603225798</v>
      </c>
      <c r="AJ7962">
        <v>119.36458495975999</v>
      </c>
      <c r="AK7962">
        <v>0.87879698355661295</v>
      </c>
      <c r="AL7962">
        <v>87.105375377968002</v>
      </c>
      <c r="AM7962">
        <v>95.178694843158397</v>
      </c>
      <c r="AN7962">
        <v>0.99999996123666701</v>
      </c>
    </row>
    <row r="7963" spans="1:40" x14ac:dyDescent="0.25">
      <c r="A7963" t="str">
        <f>"20190312160522427"</f>
        <v>20190312160522427</v>
      </c>
      <c r="B7963" t="str">
        <f>"1552377922423129"</f>
        <v>1552377922423129</v>
      </c>
      <c r="C7963" t="s">
        <v>40</v>
      </c>
      <c r="D7963">
        <v>5.6929589999999903</v>
      </c>
      <c r="E7963">
        <v>0.34984910000000002</v>
      </c>
      <c r="F7963" t="s">
        <v>49</v>
      </c>
      <c r="G7963">
        <v>-190.4615</v>
      </c>
      <c r="H7963">
        <v>1.0670299999999999</v>
      </c>
      <c r="I7963">
        <v>-50.533140000000003</v>
      </c>
      <c r="J7963">
        <v>-190.43780000000001</v>
      </c>
      <c r="K7963">
        <v>1.118066</v>
      </c>
      <c r="L7963">
        <v>-51.380710000000001</v>
      </c>
      <c r="M7963">
        <v>0.48396210000000001</v>
      </c>
      <c r="N7963">
        <v>0</v>
      </c>
      <c r="O7963">
        <v>0.87495730000000005</v>
      </c>
      <c r="P7963">
        <v>0.4037673</v>
      </c>
      <c r="Q7963">
        <v>3.7567089999999997E-2</v>
      </c>
      <c r="R7963">
        <v>0.91409010000000002</v>
      </c>
      <c r="S7963">
        <v>0.15957639999999901</v>
      </c>
      <c r="T7963">
        <v>-0.1648791</v>
      </c>
      <c r="U7963">
        <v>3.2314449999999999</v>
      </c>
      <c r="V7963">
        <v>-9.0086970000000002E-2</v>
      </c>
      <c r="W7963">
        <v>5.09907E-2</v>
      </c>
      <c r="X7963">
        <v>0.9946277</v>
      </c>
      <c r="Y7963">
        <v>-0.44027690000000003</v>
      </c>
      <c r="Z7963">
        <v>-3.8825480000000002E-2</v>
      </c>
      <c r="AA7963">
        <v>0.89702219999999999</v>
      </c>
      <c r="AB7963">
        <v>22</v>
      </c>
      <c r="AC7963">
        <v>-2.3699999999990898E-2</v>
      </c>
      <c r="AD7963">
        <v>-5.1035999999999998E-2</v>
      </c>
      <c r="AE7963">
        <v>0.84756999999999705</v>
      </c>
      <c r="AF7963">
        <v>-0.42942212249862899</v>
      </c>
      <c r="AG7963">
        <v>-5.1035999999999998E-2</v>
      </c>
      <c r="AH7963">
        <v>0.72756584767600796</v>
      </c>
      <c r="AI7963">
        <v>93.456981864452501</v>
      </c>
      <c r="AJ7963">
        <v>120.549849531638</v>
      </c>
      <c r="AK7963">
        <v>0.84638058537027905</v>
      </c>
      <c r="AL7963">
        <v>87.077180544914597</v>
      </c>
      <c r="AM7963">
        <v>95.175361309463199</v>
      </c>
      <c r="AN7963">
        <v>0.99999998762877995</v>
      </c>
    </row>
    <row r="7964" spans="1:40" x14ac:dyDescent="0.25">
      <c r="A7964" t="str">
        <f>"20190312160522439"</f>
        <v>20190312160522439</v>
      </c>
      <c r="B7964" t="str">
        <f>"1552377922432890"</f>
        <v>1552377922432890</v>
      </c>
      <c r="C7964" t="s">
        <v>40</v>
      </c>
      <c r="D7964">
        <v>5.7584759999999999</v>
      </c>
      <c r="E7964">
        <v>0.34974420000000001</v>
      </c>
      <c r="F7964" t="s">
        <v>41</v>
      </c>
      <c r="G7964">
        <v>-189.55850000000001</v>
      </c>
      <c r="H7964" s="1">
        <v>-1.209062E-6</v>
      </c>
      <c r="I7964">
        <v>-27.73141</v>
      </c>
      <c r="J7964">
        <v>-190.3879</v>
      </c>
      <c r="K7964">
        <v>1.1180479999999999</v>
      </c>
      <c r="L7964">
        <v>-51.273130000000002</v>
      </c>
      <c r="M7964">
        <v>0.47756169999999998</v>
      </c>
      <c r="N7964">
        <v>0</v>
      </c>
      <c r="O7964">
        <v>0.878467199999999</v>
      </c>
      <c r="P7964">
        <v>0.39716129999999999</v>
      </c>
      <c r="Q7964">
        <v>3.794438E-2</v>
      </c>
      <c r="R7964">
        <v>0.91696409999999995</v>
      </c>
      <c r="S7964">
        <v>0.120285</v>
      </c>
      <c r="T7964">
        <v>-0.1529461</v>
      </c>
      <c r="U7964">
        <v>3.2351070000000002</v>
      </c>
      <c r="V7964">
        <v>-8.999936E-2</v>
      </c>
      <c r="W7964">
        <v>5.1368329999999997E-2</v>
      </c>
      <c r="X7964">
        <v>0.99461619999999995</v>
      </c>
      <c r="Y7964">
        <v>-0.44464120000000001</v>
      </c>
      <c r="Z7964">
        <v>-3.6177519999999998E-2</v>
      </c>
      <c r="AA7964">
        <v>0.89497789999999999</v>
      </c>
      <c r="AB7964">
        <v>22</v>
      </c>
      <c r="AC7964">
        <v>0.82939999999999203</v>
      </c>
      <c r="AD7964">
        <v>-1.118049209062</v>
      </c>
      <c r="AE7964">
        <v>23.541720000000002</v>
      </c>
      <c r="AF7964">
        <v>-10.491598899424501</v>
      </c>
      <c r="AG7964">
        <v>-1.118049209062</v>
      </c>
      <c r="AH7964">
        <v>21.031766259678399</v>
      </c>
      <c r="AI7964">
        <v>92.723491204125295</v>
      </c>
      <c r="AJ7964">
        <v>116.512101694208</v>
      </c>
      <c r="AK7964">
        <v>23.529956937955401</v>
      </c>
      <c r="AL7964">
        <v>87.055515546919807</v>
      </c>
      <c r="AM7964">
        <v>95.170414995503805</v>
      </c>
      <c r="AN7964">
        <v>0.99999998771491905</v>
      </c>
    </row>
    <row r="7965" spans="1:40" x14ac:dyDescent="0.25">
      <c r="A7965" t="str">
        <f>"20190312160522453"</f>
        <v>20190312160522453</v>
      </c>
      <c r="B7965" t="str">
        <f>"1552377922442649"</f>
        <v>1552377922442649</v>
      </c>
      <c r="C7965" t="s">
        <v>40</v>
      </c>
      <c r="D7965">
        <v>5.7528779999999999</v>
      </c>
      <c r="E7965">
        <v>0.34984969999999999</v>
      </c>
      <c r="F7965" t="s">
        <v>49</v>
      </c>
      <c r="G7965">
        <v>-190.35839999999999</v>
      </c>
      <c r="H7965">
        <v>1.0732379999999999</v>
      </c>
      <c r="I7965">
        <v>-50.280029999999996</v>
      </c>
      <c r="J7965">
        <v>-190.3347</v>
      </c>
      <c r="K7965">
        <v>1.118028</v>
      </c>
      <c r="L7965">
        <v>-51.15692</v>
      </c>
      <c r="M7965">
        <v>0.4706381</v>
      </c>
      <c r="N7965">
        <v>0</v>
      </c>
      <c r="O7965">
        <v>0.88219599999999898</v>
      </c>
      <c r="P7965">
        <v>0.38952540000000002</v>
      </c>
      <c r="Q7965">
        <v>3.8251189999999997E-2</v>
      </c>
      <c r="R7965">
        <v>0.92022110000000001</v>
      </c>
      <c r="S7965">
        <v>9.6176150000000002E-2</v>
      </c>
      <c r="T7965">
        <v>-0.1460234</v>
      </c>
      <c r="U7965">
        <v>3.2360530000000001</v>
      </c>
      <c r="V7965">
        <v>-9.0441889999999997E-2</v>
      </c>
      <c r="W7965">
        <v>5.1665959999999997E-2</v>
      </c>
      <c r="X7965">
        <v>0.99456069999999996</v>
      </c>
      <c r="Y7965">
        <v>-0.44426769999999999</v>
      </c>
      <c r="Z7965">
        <v>-3.4787489999999997E-2</v>
      </c>
      <c r="AA7965">
        <v>0.89521839999999997</v>
      </c>
      <c r="AB7965">
        <v>22</v>
      </c>
      <c r="AC7965">
        <v>-2.3699999999990898E-2</v>
      </c>
      <c r="AD7965">
        <v>-4.4790000000000101E-2</v>
      </c>
      <c r="AE7965">
        <v>0.87689000000000294</v>
      </c>
      <c r="AF7965">
        <v>-0.43252812473441898</v>
      </c>
      <c r="AG7965">
        <v>-4.4790000000000101E-2</v>
      </c>
      <c r="AH7965">
        <v>0.76053963170763705</v>
      </c>
      <c r="AI7965">
        <v>92.930568170189801</v>
      </c>
      <c r="AJ7965">
        <v>119.627415534138</v>
      </c>
      <c r="AK7965">
        <v>0.876074913568618</v>
      </c>
      <c r="AL7965">
        <v>87.038440103315807</v>
      </c>
      <c r="AM7965">
        <v>95.195987651186698</v>
      </c>
      <c r="AN7965">
        <v>1.00000004643699</v>
      </c>
    </row>
    <row r="7966" spans="1:40" x14ac:dyDescent="0.25">
      <c r="A7966" t="str">
        <f>"20190312160522467"</f>
        <v>20190312160522467</v>
      </c>
      <c r="B7966" t="str">
        <f>"1552377922463145"</f>
        <v>1552377922463145</v>
      </c>
      <c r="C7966" t="s">
        <v>40</v>
      </c>
      <c r="D7966">
        <v>5.7291860000000003</v>
      </c>
      <c r="E7966">
        <v>0.34943459999999898</v>
      </c>
      <c r="F7966" t="s">
        <v>49</v>
      </c>
      <c r="G7966">
        <v>-190.31360000000001</v>
      </c>
      <c r="H7966">
        <v>1.075388</v>
      </c>
      <c r="I7966">
        <v>-50.186529999999998</v>
      </c>
      <c r="J7966">
        <v>-190.28309999999999</v>
      </c>
      <c r="K7966">
        <v>1.1180079999999999</v>
      </c>
      <c r="L7966">
        <v>-51.042450000000002</v>
      </c>
      <c r="M7966">
        <v>0.46381699999999998</v>
      </c>
      <c r="N7966">
        <v>0</v>
      </c>
      <c r="O7966">
        <v>0.88580130000000001</v>
      </c>
      <c r="P7966">
        <v>0.38254480000000002</v>
      </c>
      <c r="Q7966">
        <v>3.855078E-2</v>
      </c>
      <c r="R7966">
        <v>0.92313239999999996</v>
      </c>
      <c r="S7966">
        <v>6.9946289999999994E-2</v>
      </c>
      <c r="T7966">
        <v>-0.14219949999999901</v>
      </c>
      <c r="U7966">
        <v>3.236389</v>
      </c>
      <c r="V7966">
        <v>-9.0297269999999999E-2</v>
      </c>
      <c r="W7966">
        <v>5.1967390000000002E-2</v>
      </c>
      <c r="X7966">
        <v>0.9945581</v>
      </c>
      <c r="Y7966">
        <v>-0.44460929999999999</v>
      </c>
      <c r="Z7966">
        <v>-3.4105879999999998E-2</v>
      </c>
      <c r="AA7966">
        <v>0.89507499999999995</v>
      </c>
      <c r="AB7966">
        <v>22</v>
      </c>
      <c r="AC7966">
        <v>-3.05000000000177E-2</v>
      </c>
      <c r="AD7966">
        <v>-4.2619999999999797E-2</v>
      </c>
      <c r="AE7966">
        <v>0.85592000000000401</v>
      </c>
      <c r="AF7966">
        <v>-0.42300841256043298</v>
      </c>
      <c r="AG7966">
        <v>-4.2619999999999797E-2</v>
      </c>
      <c r="AH7966">
        <v>0.742276027235652</v>
      </c>
      <c r="AI7966">
        <v>92.855890811825802</v>
      </c>
      <c r="AJ7966">
        <v>119.677959217085</v>
      </c>
      <c r="AK7966">
        <v>0.85541000818650703</v>
      </c>
      <c r="AL7966">
        <v>87.021146097506204</v>
      </c>
      <c r="AM7966">
        <v>95.187737929277205</v>
      </c>
      <c r="AN7966">
        <v>1.0000000104342299</v>
      </c>
    </row>
    <row r="7967" spans="1:40" x14ac:dyDescent="0.25">
      <c r="A7967" t="str">
        <f>"20190312160522485"</f>
        <v>20190312160522485</v>
      </c>
      <c r="B7967" t="str">
        <f>"1552377922472906"</f>
        <v>1552377922472906</v>
      </c>
      <c r="C7967" t="s">
        <v>40</v>
      </c>
      <c r="D7967">
        <v>5.4550369999999999</v>
      </c>
      <c r="E7967">
        <v>0.3494603</v>
      </c>
      <c r="F7967" t="s">
        <v>41</v>
      </c>
      <c r="G7967">
        <v>-189.91</v>
      </c>
      <c r="H7967" s="1">
        <v>-3.4983290000000002E-6</v>
      </c>
      <c r="I7967">
        <v>-22.249759999999998</v>
      </c>
      <c r="J7967">
        <v>-190.21270000000001</v>
      </c>
      <c r="K7967">
        <v>1.1179730000000001</v>
      </c>
      <c r="L7967">
        <v>-50.881320000000002</v>
      </c>
      <c r="M7967">
        <v>0.45423370000000002</v>
      </c>
      <c r="N7967">
        <v>0</v>
      </c>
      <c r="O7967">
        <v>0.89075369999999998</v>
      </c>
      <c r="P7967">
        <v>0.37193389999999998</v>
      </c>
      <c r="Q7967">
        <v>3.8568089999999999E-2</v>
      </c>
      <c r="R7967">
        <v>0.92745759999999999</v>
      </c>
      <c r="S7967">
        <v>4.196167E-2</v>
      </c>
      <c r="T7967">
        <v>-0.12571660000000001</v>
      </c>
      <c r="U7967">
        <v>3.2376399999999999</v>
      </c>
      <c r="V7967">
        <v>-9.0968740000000006E-2</v>
      </c>
      <c r="W7967">
        <v>5.1970240000000001E-2</v>
      </c>
      <c r="X7967">
        <v>0.99449679999999996</v>
      </c>
      <c r="Y7967">
        <v>-0.44269069999999999</v>
      </c>
      <c r="Z7967">
        <v>-3.0450499999999998E-2</v>
      </c>
      <c r="AA7967">
        <v>0.89615719999999999</v>
      </c>
      <c r="AB7967">
        <v>22</v>
      </c>
      <c r="AC7967">
        <v>0.30270000000001501</v>
      </c>
      <c r="AD7967">
        <v>-1.1179764983289999</v>
      </c>
      <c r="AE7967">
        <v>28.631559999999901</v>
      </c>
      <c r="AF7967">
        <v>-12.7178622059127</v>
      </c>
      <c r="AG7967">
        <v>-1.1179764983289999</v>
      </c>
      <c r="AH7967">
        <v>25.605073677199801</v>
      </c>
      <c r="AI7967">
        <v>92.239372711570198</v>
      </c>
      <c r="AJ7967">
        <v>116.413271455803</v>
      </c>
      <c r="AK7967">
        <v>28.611425839238301</v>
      </c>
      <c r="AL7967">
        <v>87.020982705599494</v>
      </c>
      <c r="AM7967">
        <v>95.2264225867345</v>
      </c>
      <c r="AN7967">
        <v>1.0000000513565399</v>
      </c>
    </row>
    <row r="7968" spans="1:40" x14ac:dyDescent="0.25">
      <c r="A7968" t="str">
        <f>"20190312160522500"</f>
        <v>20190312160522500</v>
      </c>
      <c r="B7968" t="str">
        <f>"1552377922492425"</f>
        <v>1552377922492425</v>
      </c>
      <c r="C7968" t="s">
        <v>40</v>
      </c>
      <c r="D7968">
        <v>5.7937209999999997</v>
      </c>
      <c r="E7968">
        <v>0.34990470000000001</v>
      </c>
      <c r="F7968" t="s">
        <v>41</v>
      </c>
      <c r="G7968">
        <v>-190.16759999999999</v>
      </c>
      <c r="H7968" s="1">
        <v>-4.2700050000000001E-6</v>
      </c>
      <c r="I7968">
        <v>-20.55293</v>
      </c>
      <c r="J7968">
        <v>-190.15809999999999</v>
      </c>
      <c r="K7968">
        <v>1.117936</v>
      </c>
      <c r="L7968">
        <v>-50.752690000000001</v>
      </c>
      <c r="M7968">
        <v>0.44659559999999998</v>
      </c>
      <c r="N7968">
        <v>0</v>
      </c>
      <c r="O7968">
        <v>0.89460769999999901</v>
      </c>
      <c r="P7968">
        <v>0.36510860000000001</v>
      </c>
      <c r="Q7968">
        <v>3.9088440000000002E-2</v>
      </c>
      <c r="R7968">
        <v>0.93014399999999997</v>
      </c>
      <c r="S7968">
        <v>4.8217770000000002E-3</v>
      </c>
      <c r="T7968">
        <v>-0.1193483</v>
      </c>
      <c r="U7968">
        <v>3.2376710000000002</v>
      </c>
      <c r="V7968">
        <v>-8.9762110000000006E-2</v>
      </c>
      <c r="W7968">
        <v>5.25131E-2</v>
      </c>
      <c r="X7968">
        <v>0.99457790000000001</v>
      </c>
      <c r="Y7968">
        <v>-0.44529780000000002</v>
      </c>
      <c r="Z7968">
        <v>-2.9094479999999999E-2</v>
      </c>
      <c r="AA7968">
        <v>0.89490970000000003</v>
      </c>
      <c r="AB7968">
        <v>22</v>
      </c>
      <c r="AC7968">
        <v>-9.5000000000027198E-3</v>
      </c>
      <c r="AD7968">
        <v>-1.1179402700049901</v>
      </c>
      <c r="AE7968">
        <v>30.199759999999898</v>
      </c>
      <c r="AF7968">
        <v>-13.478656722603199</v>
      </c>
      <c r="AG7968">
        <v>-1.1179402700049901</v>
      </c>
      <c r="AH7968">
        <v>26.978824194744</v>
      </c>
      <c r="AI7968">
        <v>92.122920067613094</v>
      </c>
      <c r="AJ7968">
        <v>116.546775040524</v>
      </c>
      <c r="AK7968">
        <v>30.179147311081799</v>
      </c>
      <c r="AL7968">
        <v>86.989836526552295</v>
      </c>
      <c r="AM7968">
        <v>95.157056209120299</v>
      </c>
      <c r="AN7968">
        <v>1.0000000306158301</v>
      </c>
    </row>
    <row r="7969" spans="1:40" x14ac:dyDescent="0.25">
      <c r="A7969" t="str">
        <f>"20190312160522519"</f>
        <v>20190312160522519</v>
      </c>
      <c r="B7969" t="str">
        <f>"1552377922512922"</f>
        <v>1552377922512922</v>
      </c>
      <c r="C7969" t="s">
        <v>40</v>
      </c>
      <c r="D7969">
        <v>5.7625580000000003</v>
      </c>
      <c r="E7969">
        <v>0.35029939999999998</v>
      </c>
      <c r="F7969" t="s">
        <v>41</v>
      </c>
      <c r="G7969">
        <v>-190.31979999999999</v>
      </c>
      <c r="H7969" s="1">
        <v>-1.175194E-6</v>
      </c>
      <c r="I7969">
        <v>-17.86983</v>
      </c>
      <c r="J7969">
        <v>-190.0883</v>
      </c>
      <c r="K7969">
        <v>1.1178939999999999</v>
      </c>
      <c r="L7969">
        <v>-50.584409999999998</v>
      </c>
      <c r="M7969">
        <v>0.43661820000000001</v>
      </c>
      <c r="N7969">
        <v>0</v>
      </c>
      <c r="O7969">
        <v>0.89951959999999997</v>
      </c>
      <c r="P7969">
        <v>0.354402299999999</v>
      </c>
      <c r="Q7969">
        <v>3.9461000000000003E-2</v>
      </c>
      <c r="R7969">
        <v>0.93426010000000004</v>
      </c>
      <c r="S7969">
        <v>-1.5914919999999999E-2</v>
      </c>
      <c r="T7969">
        <v>-0.1100221</v>
      </c>
      <c r="U7969">
        <v>3.2361759999999999</v>
      </c>
      <c r="V7969">
        <v>-9.0116520000000006E-2</v>
      </c>
      <c r="W7969">
        <v>5.287737E-2</v>
      </c>
      <c r="X7969">
        <v>0.99452649999999998</v>
      </c>
      <c r="Y7969">
        <v>-0.44107150000000001</v>
      </c>
      <c r="Z7969">
        <v>-2.7118989999999999E-2</v>
      </c>
      <c r="AA7969">
        <v>0.89706209999999997</v>
      </c>
      <c r="AB7969">
        <v>22</v>
      </c>
      <c r="AC7969">
        <v>-0.231499999999982</v>
      </c>
      <c r="AD7969">
        <v>-1.1178951751939901</v>
      </c>
      <c r="AE7969">
        <v>32.714579999999998</v>
      </c>
      <c r="AF7969">
        <v>-14.4767764820923</v>
      </c>
      <c r="AG7969">
        <v>-1.1178951751939901</v>
      </c>
      <c r="AH7969">
        <v>29.295482090468798</v>
      </c>
      <c r="AI7969">
        <v>91.959336119222101</v>
      </c>
      <c r="AJ7969">
        <v>116.29693076380801</v>
      </c>
      <c r="AK7969">
        <v>32.696360926686602</v>
      </c>
      <c r="AL7969">
        <v>86.968936206068904</v>
      </c>
      <c r="AM7969">
        <v>95.177573627187698</v>
      </c>
      <c r="AN7969">
        <v>0.99999998131863799</v>
      </c>
    </row>
    <row r="7970" spans="1:40" x14ac:dyDescent="0.25">
      <c r="A7970" t="str">
        <f>"20190312160522542"</f>
        <v>20190312160522542</v>
      </c>
      <c r="B7970" t="str">
        <f>"1552377922532443"</f>
        <v>1552377922532443</v>
      </c>
      <c r="C7970" t="s">
        <v>40</v>
      </c>
      <c r="D7970">
        <v>5.4738309999999997</v>
      </c>
      <c r="E7970">
        <v>0.35153450000000003</v>
      </c>
      <c r="F7970" t="s">
        <v>41</v>
      </c>
      <c r="G7970">
        <v>-190.6242</v>
      </c>
      <c r="H7970" s="1">
        <v>-2.0158989999999998E-6</v>
      </c>
      <c r="I7970">
        <v>-16.098929999999999</v>
      </c>
      <c r="J7970">
        <v>-190.01060000000001</v>
      </c>
      <c r="K7970">
        <v>1.1178360000000001</v>
      </c>
      <c r="L7970">
        <v>-50.390529999999998</v>
      </c>
      <c r="M7970">
        <v>0.42515520000000001</v>
      </c>
      <c r="N7970">
        <v>0</v>
      </c>
      <c r="O7970">
        <v>0.90499419999999997</v>
      </c>
      <c r="P7970">
        <v>0.34314440000000002</v>
      </c>
      <c r="Q7970">
        <v>4.0176200000000002E-2</v>
      </c>
      <c r="R7970">
        <v>0.93842300000000001</v>
      </c>
      <c r="S7970">
        <v>-5.026245E-2</v>
      </c>
      <c r="T7970">
        <v>-0.10485369999999999</v>
      </c>
      <c r="U7970">
        <v>3.2345890000000002</v>
      </c>
      <c r="V7970">
        <v>-8.9430620000000002E-2</v>
      </c>
      <c r="W7970">
        <v>5.3603999999999999E-2</v>
      </c>
      <c r="X7970">
        <v>0.99454949999999998</v>
      </c>
      <c r="Y7970">
        <v>-0.43919740000000002</v>
      </c>
      <c r="Z7970">
        <v>-2.613501E-2</v>
      </c>
      <c r="AA7970">
        <v>0.89801039999999999</v>
      </c>
      <c r="AB7970">
        <v>22</v>
      </c>
      <c r="AC7970">
        <v>-0.61359999999999004</v>
      </c>
      <c r="AD7970">
        <v>-1.117838015899</v>
      </c>
      <c r="AE7970">
        <v>34.291600000000003</v>
      </c>
      <c r="AF7970">
        <v>-15.120224256991699</v>
      </c>
      <c r="AG7970">
        <v>-1.117838015899</v>
      </c>
      <c r="AH7970">
        <v>30.743682389039499</v>
      </c>
      <c r="AI7970">
        <v>91.868750436083303</v>
      </c>
      <c r="AJ7970">
        <v>116.188681645145</v>
      </c>
      <c r="AK7970">
        <v>34.278925745268701</v>
      </c>
      <c r="AL7970">
        <v>86.927244194499394</v>
      </c>
      <c r="AM7970">
        <v>95.138259350796005</v>
      </c>
      <c r="AN7970">
        <v>0.99999996627991605</v>
      </c>
    </row>
    <row r="7971" spans="1:40" x14ac:dyDescent="0.25">
      <c r="A7971" t="str">
        <f>"20190312160522564"</f>
        <v>20190312160522564</v>
      </c>
      <c r="B7971" t="str">
        <f>"1552377922552937"</f>
        <v>1552377922552937</v>
      </c>
      <c r="C7971" t="s">
        <v>40</v>
      </c>
      <c r="D7971">
        <v>9.4014070000000007</v>
      </c>
      <c r="E7971">
        <v>0.35220210000000002</v>
      </c>
      <c r="F7971" t="s">
        <v>41</v>
      </c>
      <c r="G7971">
        <v>-190.9041</v>
      </c>
      <c r="H7971" s="1">
        <v>-2.83698E-6</v>
      </c>
      <c r="I7971">
        <v>-14.3585799999999</v>
      </c>
      <c r="J7971">
        <v>-189.9342</v>
      </c>
      <c r="K7971">
        <v>1.117775</v>
      </c>
      <c r="L7971">
        <v>-50.193080000000002</v>
      </c>
      <c r="M7971">
        <v>0.4135278</v>
      </c>
      <c r="N7971">
        <v>0</v>
      </c>
      <c r="O7971">
        <v>0.91036620000000001</v>
      </c>
      <c r="P7971">
        <v>0.33171139999999999</v>
      </c>
      <c r="Q7971">
        <v>4.1093329999999997E-2</v>
      </c>
      <c r="R7971">
        <v>0.94248549999999998</v>
      </c>
      <c r="S7971">
        <v>-8.0108639999999995E-2</v>
      </c>
      <c r="T7971">
        <v>-0.10021960000000001</v>
      </c>
      <c r="U7971">
        <v>3.2304379999999999</v>
      </c>
      <c r="V7971">
        <v>-8.8771219999999998E-2</v>
      </c>
      <c r="W7971">
        <v>5.4531040000000003E-2</v>
      </c>
      <c r="X7971">
        <v>0.99455819999999995</v>
      </c>
      <c r="Y7971">
        <v>-0.43599979999999999</v>
      </c>
      <c r="Z7971">
        <v>-2.5282309999999999E-2</v>
      </c>
      <c r="AA7971">
        <v>0.89959159999999905</v>
      </c>
      <c r="AB7971">
        <v>22</v>
      </c>
      <c r="AC7971">
        <v>-0.96989999999999499</v>
      </c>
      <c r="AD7971">
        <v>-1.11777783698</v>
      </c>
      <c r="AE7971">
        <v>35.834499999999998</v>
      </c>
      <c r="AF7971">
        <v>-15.688064357561499</v>
      </c>
      <c r="AG7971">
        <v>-1.11777783698</v>
      </c>
      <c r="AH7971">
        <v>32.193811797283203</v>
      </c>
      <c r="AI7971">
        <v>91.787717301222798</v>
      </c>
      <c r="AJ7971">
        <v>115.98000267472101</v>
      </c>
      <c r="AK7971">
        <v>35.830242932733903</v>
      </c>
      <c r="AL7971">
        <v>86.874050974094303</v>
      </c>
      <c r="AM7971">
        <v>95.100529551485494</v>
      </c>
      <c r="AN7971">
        <v>0.99999998850550498</v>
      </c>
    </row>
    <row r="7972" spans="1:40" x14ac:dyDescent="0.25">
      <c r="A7972" t="str">
        <f>"20190312160522584"</f>
        <v>20190312160522584</v>
      </c>
      <c r="B7972" t="str">
        <f>"1552377922572457"</f>
        <v>1552377922572457</v>
      </c>
      <c r="C7972" t="s">
        <v>40</v>
      </c>
      <c r="D7972">
        <v>5.5345230000000001</v>
      </c>
      <c r="E7972">
        <v>0.36950729999999998</v>
      </c>
      <c r="F7972" t="s">
        <v>41</v>
      </c>
      <c r="G7972">
        <v>-191.24420000000001</v>
      </c>
      <c r="H7972" s="1">
        <v>-3.4236140000000001E-6</v>
      </c>
      <c r="I7972">
        <v>-13.202059999999999</v>
      </c>
      <c r="J7972">
        <v>-189.86799999999999</v>
      </c>
      <c r="K7972">
        <v>1.117715</v>
      </c>
      <c r="L7972">
        <v>-50.015630000000002</v>
      </c>
      <c r="M7972">
        <v>0.40313719999999997</v>
      </c>
      <c r="N7972">
        <v>0</v>
      </c>
      <c r="O7972">
        <v>0.91501520000000003</v>
      </c>
      <c r="P7972">
        <v>0.32127719999999999</v>
      </c>
      <c r="Q7972">
        <v>4.1822110000000003E-2</v>
      </c>
      <c r="R7972">
        <v>0.94606129999999999</v>
      </c>
      <c r="S7972">
        <v>-0.11430360000000001</v>
      </c>
      <c r="T7972">
        <v>-9.7529290000000005E-2</v>
      </c>
      <c r="U7972">
        <v>3.2275700000000001</v>
      </c>
      <c r="V7972">
        <v>-8.8428080000000006E-2</v>
      </c>
      <c r="W7972">
        <v>5.5264260000000003E-2</v>
      </c>
      <c r="X7972">
        <v>0.99454830000000005</v>
      </c>
      <c r="Y7972">
        <v>-0.4352975</v>
      </c>
      <c r="Z7972">
        <v>-2.48355E-2</v>
      </c>
      <c r="AA7972">
        <v>0.89994409999999903</v>
      </c>
      <c r="AB7972">
        <v>22</v>
      </c>
      <c r="AC7972">
        <v>-1.3762000000000101</v>
      </c>
      <c r="AD7972">
        <v>-1.1177184236139901</v>
      </c>
      <c r="AE7972">
        <v>36.813569999999999</v>
      </c>
      <c r="AF7972">
        <v>-16.0871869226477</v>
      </c>
      <c r="AG7972">
        <v>-1.1177184236139901</v>
      </c>
      <c r="AH7972">
        <v>33.103476198081196</v>
      </c>
      <c r="AI7972">
        <v>91.7394422153845</v>
      </c>
      <c r="AJ7972">
        <v>115.918208250429</v>
      </c>
      <c r="AK7972">
        <v>36.822371107190001</v>
      </c>
      <c r="AL7972">
        <v>86.831977125620597</v>
      </c>
      <c r="AM7972">
        <v>95.080967460923901</v>
      </c>
      <c r="AN7972">
        <v>0.99999999239936199</v>
      </c>
    </row>
    <row r="7973" spans="1:40" x14ac:dyDescent="0.25">
      <c r="A7973" t="str">
        <f>"20190312160522596"</f>
        <v>20190312160522596</v>
      </c>
      <c r="B7973" t="str">
        <f>"1552377922592954"</f>
        <v>1552377922592954</v>
      </c>
      <c r="C7973" t="s">
        <v>40</v>
      </c>
      <c r="D7973">
        <v>5.8465009999999999</v>
      </c>
      <c r="E7973">
        <v>0.371867</v>
      </c>
      <c r="F7973" t="s">
        <v>41</v>
      </c>
      <c r="G7973">
        <v>-190.0369</v>
      </c>
      <c r="H7973" s="1">
        <v>-3.7395349999999998E-6</v>
      </c>
      <c r="I7973">
        <v>-21.716809999999999</v>
      </c>
      <c r="J7973">
        <v>-189.82769999999999</v>
      </c>
      <c r="K7973">
        <v>1.1176710000000001</v>
      </c>
      <c r="L7973">
        <v>-49.904299999999999</v>
      </c>
      <c r="M7973">
        <v>0.39666180000000001</v>
      </c>
      <c r="N7973">
        <v>0</v>
      </c>
      <c r="O7973">
        <v>0.91784109999999997</v>
      </c>
      <c r="P7973">
        <v>0.31499080000000002</v>
      </c>
      <c r="Q7973">
        <v>4.2029200000000003E-2</v>
      </c>
      <c r="R7973">
        <v>0.94816369999999905</v>
      </c>
      <c r="S7973">
        <v>-1.8997190000000001E-2</v>
      </c>
      <c r="T7973">
        <v>-0.12572079999999999</v>
      </c>
      <c r="U7973">
        <v>3.1830440000000002</v>
      </c>
      <c r="V7973">
        <v>-8.7994520000000007E-2</v>
      </c>
      <c r="W7973">
        <v>5.5477560000000002E-2</v>
      </c>
      <c r="X7973">
        <v>0.99457490000000004</v>
      </c>
      <c r="Y7973">
        <v>-0.40216109999999999</v>
      </c>
      <c r="Z7973">
        <v>-3.2941480000000002E-2</v>
      </c>
      <c r="AA7973">
        <v>0.91497609999999996</v>
      </c>
      <c r="AB7973">
        <v>22</v>
      </c>
      <c r="AC7973">
        <v>-0.20920000000000899</v>
      </c>
      <c r="AD7973">
        <v>-1.117674739535</v>
      </c>
      <c r="AE7973">
        <v>28.18749</v>
      </c>
      <c r="AF7973">
        <v>-11.356350779408</v>
      </c>
      <c r="AG7973">
        <v>-1.117674739535</v>
      </c>
      <c r="AH7973">
        <v>25.751099780761699</v>
      </c>
      <c r="AI7973">
        <v>92.2741745234202</v>
      </c>
      <c r="AJ7973">
        <v>113.797694947217</v>
      </c>
      <c r="AK7973">
        <v>28.166203857941301</v>
      </c>
      <c r="AL7973">
        <v>86.819737224893601</v>
      </c>
      <c r="AM7973">
        <v>95.056050564342499</v>
      </c>
      <c r="AN7973">
        <v>1.0000000134617899</v>
      </c>
    </row>
    <row r="7974" spans="1:40" x14ac:dyDescent="0.25">
      <c r="A7974" t="str">
        <f>"20190312160522611"</f>
        <v>20190312160522611</v>
      </c>
      <c r="B7974" t="str">
        <f>"1552377922602714"</f>
        <v>1552377922602714</v>
      </c>
      <c r="C7974" t="s">
        <v>40</v>
      </c>
      <c r="D7974">
        <v>5.8656980000000001</v>
      </c>
      <c r="E7974">
        <v>0.3730195</v>
      </c>
      <c r="F7974" t="s">
        <v>41</v>
      </c>
      <c r="G7974">
        <v>-190.01740000000001</v>
      </c>
      <c r="H7974" s="1">
        <v>-3.1934639999999999E-6</v>
      </c>
      <c r="I7974">
        <v>-22.977650000000001</v>
      </c>
      <c r="J7974">
        <v>-189.7825</v>
      </c>
      <c r="K7974">
        <v>1.117612</v>
      </c>
      <c r="L7974">
        <v>-49.77704</v>
      </c>
      <c r="M7974">
        <v>0.38928550000000001</v>
      </c>
      <c r="N7974">
        <v>0</v>
      </c>
      <c r="O7974">
        <v>0.92099399999999998</v>
      </c>
      <c r="P7974">
        <v>0.30739050000000001</v>
      </c>
      <c r="Q7974">
        <v>4.2341280000000002E-2</v>
      </c>
      <c r="R7974">
        <v>0.95064099999999996</v>
      </c>
      <c r="S7974">
        <v>-2.2384640000000001E-2</v>
      </c>
      <c r="T7974">
        <v>-0.13188269999999999</v>
      </c>
      <c r="U7974">
        <v>3.1772770000000001</v>
      </c>
      <c r="V7974">
        <v>-8.79693E-2</v>
      </c>
      <c r="W7974">
        <v>5.5788459999999998E-2</v>
      </c>
      <c r="X7974">
        <v>0.99455970000000005</v>
      </c>
      <c r="Y7974">
        <v>-0.39579039999999999</v>
      </c>
      <c r="Z7974">
        <v>-3.4869289999999997E-2</v>
      </c>
      <c r="AA7974">
        <v>0.91767869999999996</v>
      </c>
      <c r="AB7974">
        <v>21</v>
      </c>
      <c r="AC7974">
        <v>-0.23490000000000999</v>
      </c>
      <c r="AD7974">
        <v>-1.117615193464</v>
      </c>
      <c r="AE7974">
        <v>26.799389999999999</v>
      </c>
      <c r="AF7974">
        <v>-10.6316749368684</v>
      </c>
      <c r="AG7974">
        <v>-1.117615193464</v>
      </c>
      <c r="AH7974">
        <v>24.550730015496502</v>
      </c>
      <c r="AI7974">
        <v>92.392078850453998</v>
      </c>
      <c r="AJ7974">
        <v>113.41498727861401</v>
      </c>
      <c r="AK7974">
        <v>26.777227638008</v>
      </c>
      <c r="AL7974">
        <v>86.801896208623205</v>
      </c>
      <c r="AM7974">
        <v>95.054685814115899</v>
      </c>
      <c r="AN7974">
        <v>0.99999997343787494</v>
      </c>
    </row>
    <row r="7975" spans="1:40" x14ac:dyDescent="0.25">
      <c r="A7975" t="str">
        <f>"20190312160522630"</f>
        <v>20190312160522630</v>
      </c>
      <c r="B7975" t="str">
        <f>"1552377922623209"</f>
        <v>1552377922623209</v>
      </c>
      <c r="C7975" t="s">
        <v>40</v>
      </c>
      <c r="D7975">
        <v>9.901688</v>
      </c>
      <c r="E7975">
        <v>0.3739304</v>
      </c>
      <c r="F7975" t="s">
        <v>41</v>
      </c>
      <c r="G7975">
        <v>-190.1052</v>
      </c>
      <c r="H7975" s="1">
        <v>-3.004777E-6</v>
      </c>
      <c r="I7975">
        <v>-23.471910000000001</v>
      </c>
      <c r="J7975">
        <v>-189.72470000000001</v>
      </c>
      <c r="K7975">
        <v>1.117526</v>
      </c>
      <c r="L7975">
        <v>-49.609439999999999</v>
      </c>
      <c r="M7975">
        <v>0.37964389999999998</v>
      </c>
      <c r="N7975">
        <v>0</v>
      </c>
      <c r="O7975">
        <v>0.92501049999999996</v>
      </c>
      <c r="P7975">
        <v>0.2976434</v>
      </c>
      <c r="Q7975">
        <v>4.2592919999999999E-2</v>
      </c>
      <c r="R7975">
        <v>0.95372650000000003</v>
      </c>
      <c r="S7975">
        <v>-3.8940429999999998E-2</v>
      </c>
      <c r="T7975">
        <v>-0.1348684</v>
      </c>
      <c r="U7975">
        <v>3.1743769999999998</v>
      </c>
      <c r="V7975">
        <v>-8.7748480000000004E-2</v>
      </c>
      <c r="W7975">
        <v>5.6041250000000001E-2</v>
      </c>
      <c r="X7975">
        <v>0.99456500000000003</v>
      </c>
      <c r="Y7975">
        <v>-0.39098319999999998</v>
      </c>
      <c r="Z7975">
        <v>-3.5986820000000003E-2</v>
      </c>
      <c r="AA7975">
        <v>0.91969400000000001</v>
      </c>
      <c r="AB7975">
        <v>21</v>
      </c>
      <c r="AC7975">
        <v>-0.38049999999998302</v>
      </c>
      <c r="AD7975">
        <v>-1.1175290047769999</v>
      </c>
      <c r="AE7975">
        <v>26.137530000000002</v>
      </c>
      <c r="AF7975">
        <v>-10.257335047989301</v>
      </c>
      <c r="AG7975">
        <v>-1.1175290047769999</v>
      </c>
      <c r="AH7975">
        <v>23.991903242859198</v>
      </c>
      <c r="AI7975">
        <v>92.452440951687805</v>
      </c>
      <c r="AJ7975">
        <v>113.148315875346</v>
      </c>
      <c r="AK7975">
        <v>26.116531442324899</v>
      </c>
      <c r="AL7975">
        <v>86.7873897290212</v>
      </c>
      <c r="AM7975">
        <v>95.042036328458394</v>
      </c>
      <c r="AN7975">
        <v>0.99999997833443599</v>
      </c>
    </row>
    <row r="7976" spans="1:40" x14ac:dyDescent="0.25">
      <c r="A7976" t="str">
        <f>"20190312160522642"</f>
        <v>20190312160522642</v>
      </c>
      <c r="B7976" t="str">
        <f>"1552377922632971"</f>
        <v>1552377922632971</v>
      </c>
      <c r="C7976" t="s">
        <v>40</v>
      </c>
      <c r="D7976">
        <v>5.5367749999999996</v>
      </c>
      <c r="E7976">
        <v>0.38080740000000002</v>
      </c>
      <c r="F7976" t="s">
        <v>41</v>
      </c>
      <c r="G7976">
        <v>-190.2603</v>
      </c>
      <c r="H7976" s="1">
        <v>-3.1145200000000001E-6</v>
      </c>
      <c r="I7976">
        <v>-23.31231</v>
      </c>
      <c r="J7976">
        <v>-189.68440000000001</v>
      </c>
      <c r="K7976">
        <v>1.1174580000000001</v>
      </c>
      <c r="L7976">
        <v>-49.489350000000002</v>
      </c>
      <c r="M7976">
        <v>0.37279289999999998</v>
      </c>
      <c r="N7976">
        <v>0</v>
      </c>
      <c r="O7976">
        <v>0.92779299999999998</v>
      </c>
      <c r="P7976">
        <v>0.29064400000000001</v>
      </c>
      <c r="Q7976">
        <v>4.2727590000000003E-2</v>
      </c>
      <c r="R7976">
        <v>0.95587679999999997</v>
      </c>
      <c r="S7976">
        <v>-6.4605709999999997E-2</v>
      </c>
      <c r="T7976">
        <v>-0.13478619999999999</v>
      </c>
      <c r="U7976">
        <v>3.1717219999999999</v>
      </c>
      <c r="V7976">
        <v>-8.7674299999999997E-2</v>
      </c>
      <c r="W7976">
        <v>5.6174549999999997E-2</v>
      </c>
      <c r="X7976">
        <v>0.99456409999999995</v>
      </c>
      <c r="Y7976">
        <v>-0.39162609999999998</v>
      </c>
      <c r="Z7976">
        <v>-3.6161739999999998E-2</v>
      </c>
      <c r="AA7976">
        <v>0.91941360000000005</v>
      </c>
      <c r="AB7976">
        <v>21</v>
      </c>
      <c r="AC7976">
        <v>-0.57589999999998998</v>
      </c>
      <c r="AD7976">
        <v>-1.11746111452</v>
      </c>
      <c r="AE7976">
        <v>26.177039999999899</v>
      </c>
      <c r="AF7976">
        <v>-10.275375970801299</v>
      </c>
      <c r="AG7976">
        <v>-1.11746111452</v>
      </c>
      <c r="AH7976">
        <v>24.031127747033</v>
      </c>
      <c r="AI7976">
        <v>92.448247543097693</v>
      </c>
      <c r="AJ7976">
        <v>113.150878173546</v>
      </c>
      <c r="AK7976">
        <v>26.159647770526298</v>
      </c>
      <c r="AL7976">
        <v>86.779740401442197</v>
      </c>
      <c r="AM7976">
        <v>95.037800417297603</v>
      </c>
      <c r="AN7976">
        <v>1.0000000559784901</v>
      </c>
    </row>
    <row r="7977" spans="1:40" x14ac:dyDescent="0.25">
      <c r="A7977" t="str">
        <f>"20190312160522656"</f>
        <v>20190312160522656</v>
      </c>
      <c r="B7977" t="str">
        <f>"1552377922642729"</f>
        <v>1552377922642729</v>
      </c>
      <c r="C7977" t="s">
        <v>40</v>
      </c>
      <c r="D7977">
        <v>5.8662109999999998</v>
      </c>
      <c r="E7977">
        <v>0.38267440000000003</v>
      </c>
      <c r="F7977" t="s">
        <v>41</v>
      </c>
      <c r="G7977">
        <v>-189.98179999999999</v>
      </c>
      <c r="H7977" s="1">
        <v>-3.176882E-6</v>
      </c>
      <c r="I7977">
        <v>-22.994199999999999</v>
      </c>
      <c r="J7977">
        <v>-189.64769999999999</v>
      </c>
      <c r="K7977">
        <v>1.1173919999999999</v>
      </c>
      <c r="L7977">
        <v>-49.377200000000002</v>
      </c>
      <c r="M7977">
        <v>0.36643979999999998</v>
      </c>
      <c r="N7977">
        <v>0</v>
      </c>
      <c r="O7977">
        <v>0.93032079999999995</v>
      </c>
      <c r="P7977">
        <v>0.28390330000000003</v>
      </c>
      <c r="Q7977">
        <v>4.2691100000000003E-2</v>
      </c>
      <c r="R7977">
        <v>0.95790209999999998</v>
      </c>
      <c r="S7977">
        <v>-3.541565E-2</v>
      </c>
      <c r="T7977">
        <v>-0.1330732</v>
      </c>
      <c r="U7977">
        <v>3.1551819999999999</v>
      </c>
      <c r="V7977">
        <v>-8.7870379999999998E-2</v>
      </c>
      <c r="W7977">
        <v>5.6131710000000001E-2</v>
      </c>
      <c r="X7977">
        <v>0.99454920000000002</v>
      </c>
      <c r="Y7977">
        <v>-0.37688070000000001</v>
      </c>
      <c r="Z7977">
        <v>-3.6184309999999997E-2</v>
      </c>
      <c r="AA7977">
        <v>0.92555480000000001</v>
      </c>
      <c r="AB7977">
        <v>21</v>
      </c>
      <c r="AC7977">
        <v>-0.334100000000006</v>
      </c>
      <c r="AD7977">
        <v>-1.1173951768820001</v>
      </c>
      <c r="AE7977">
        <v>26.382999999999999</v>
      </c>
      <c r="AF7977">
        <v>-9.9618582598087997</v>
      </c>
      <c r="AG7977">
        <v>-1.1173951768820001</v>
      </c>
      <c r="AH7977">
        <v>24.381247910686302</v>
      </c>
      <c r="AI7977">
        <v>92.429339801278701</v>
      </c>
      <c r="AJ7977">
        <v>112.22428118089501</v>
      </c>
      <c r="AK7977">
        <v>26.361571304688599</v>
      </c>
      <c r="AL7977">
        <v>86.782198786089396</v>
      </c>
      <c r="AM7977">
        <v>95.049084331110294</v>
      </c>
      <c r="AN7977">
        <v>1.0000000418847499</v>
      </c>
    </row>
    <row r="7978" spans="1:40" x14ac:dyDescent="0.25">
      <c r="A7978" t="str">
        <f>"20190312160522674"</f>
        <v>20190312160522674</v>
      </c>
      <c r="B7978" t="str">
        <f>"1552377922672986"</f>
        <v>1552377922672986</v>
      </c>
      <c r="C7978" t="s">
        <v>40</v>
      </c>
      <c r="D7978">
        <v>5.8960359999999996</v>
      </c>
      <c r="E7978">
        <v>0.38568599999999997</v>
      </c>
      <c r="F7978" t="s">
        <v>41</v>
      </c>
      <c r="G7978">
        <v>-189.9854</v>
      </c>
      <c r="H7978" s="1">
        <v>-2.4485489999999998E-6</v>
      </c>
      <c r="I7978">
        <v>-24.694199999999999</v>
      </c>
      <c r="J7978">
        <v>-189.59370000000001</v>
      </c>
      <c r="K7978">
        <v>1.1172839999999999</v>
      </c>
      <c r="L7978">
        <v>-49.207979999999999</v>
      </c>
      <c r="M7978">
        <v>0.35693140000000001</v>
      </c>
      <c r="N7978">
        <v>0</v>
      </c>
      <c r="O7978">
        <v>0.93401049999999997</v>
      </c>
      <c r="P7978">
        <v>0.274449</v>
      </c>
      <c r="Q7978">
        <v>4.2861829999999997E-2</v>
      </c>
      <c r="R7978">
        <v>0.96064590000000005</v>
      </c>
      <c r="S7978">
        <v>-4.3106079999999998E-2</v>
      </c>
      <c r="T7978">
        <v>-0.14264370000000001</v>
      </c>
      <c r="U7978">
        <v>3.15097</v>
      </c>
      <c r="V7978">
        <v>-8.7512409999999999E-2</v>
      </c>
      <c r="W7978">
        <v>5.6304529999999998E-2</v>
      </c>
      <c r="X7978">
        <v>0.99457099999999998</v>
      </c>
      <c r="Y7978">
        <v>-0.3696913</v>
      </c>
      <c r="Z7978">
        <v>-3.9148059999999998E-2</v>
      </c>
      <c r="AA7978">
        <v>0.92832959999999998</v>
      </c>
      <c r="AB7978">
        <v>21</v>
      </c>
      <c r="AC7978">
        <v>-0.391699999999986</v>
      </c>
      <c r="AD7978">
        <v>-1.1172864485489999</v>
      </c>
      <c r="AE7978">
        <v>24.513780000000001</v>
      </c>
      <c r="AF7978">
        <v>-9.0977182242276609</v>
      </c>
      <c r="AG7978">
        <v>-1.1172864485489999</v>
      </c>
      <c r="AH7978">
        <v>22.711703151358002</v>
      </c>
      <c r="AI7978">
        <v>92.614693761567906</v>
      </c>
      <c r="AJ7978">
        <v>111.82975637550901</v>
      </c>
      <c r="AK7978">
        <v>24.4915958224645</v>
      </c>
      <c r="AL7978">
        <v>86.772281265224905</v>
      </c>
      <c r="AM7978">
        <v>95.028511183726707</v>
      </c>
      <c r="AN7978">
        <v>1.0000000480217599</v>
      </c>
    </row>
    <row r="7979" spans="1:40" x14ac:dyDescent="0.25">
      <c r="A7979" t="str">
        <f>"20190312160522688"</f>
        <v>20190312160522688</v>
      </c>
      <c r="B7979" t="str">
        <f>"1552377922682746"</f>
        <v>1552377922682746</v>
      </c>
      <c r="C7979" t="s">
        <v>40</v>
      </c>
      <c r="D7979">
        <v>5.9250999999999996</v>
      </c>
      <c r="E7979">
        <v>0.38664680000000001</v>
      </c>
      <c r="F7979" t="s">
        <v>41</v>
      </c>
      <c r="G7979">
        <v>-189.9521</v>
      </c>
      <c r="H7979" s="1">
        <v>-1.3576060000000001E-6</v>
      </c>
      <c r="I7979">
        <v>-27.22242</v>
      </c>
      <c r="J7979">
        <v>-189.55670000000001</v>
      </c>
      <c r="K7979">
        <v>1.1172029999999999</v>
      </c>
      <c r="L7979">
        <v>-49.089260000000003</v>
      </c>
      <c r="M7979">
        <v>0.35031909999999999</v>
      </c>
      <c r="N7979">
        <v>0</v>
      </c>
      <c r="O7979">
        <v>0.93651099999999998</v>
      </c>
      <c r="P7979">
        <v>0.26766190000000001</v>
      </c>
      <c r="Q7979">
        <v>4.2899369999999999E-2</v>
      </c>
      <c r="R7979">
        <v>0.96255740000000001</v>
      </c>
      <c r="S7979">
        <v>-5.1254269999999998E-2</v>
      </c>
      <c r="T7979">
        <v>-0.1598099</v>
      </c>
      <c r="U7979">
        <v>3.1446839999999998</v>
      </c>
      <c r="V7979">
        <v>-8.7489479999999994E-2</v>
      </c>
      <c r="W7979">
        <v>5.634024E-2</v>
      </c>
      <c r="X7979">
        <v>0.99457099999999998</v>
      </c>
      <c r="Y7979">
        <v>-0.36554229999999999</v>
      </c>
      <c r="Z7979">
        <v>-4.4166150000000001E-2</v>
      </c>
      <c r="AA7979">
        <v>0.92974630000000003</v>
      </c>
      <c r="AB7979">
        <v>21</v>
      </c>
      <c r="AC7979">
        <v>-0.39539999999999498</v>
      </c>
      <c r="AD7979">
        <v>-1.117204357606</v>
      </c>
      <c r="AE7979">
        <v>21.86684</v>
      </c>
      <c r="AF7979">
        <v>-8.0106629070567497</v>
      </c>
      <c r="AG7979">
        <v>-1.117204357606</v>
      </c>
      <c r="AH7979">
        <v>20.289350863617901</v>
      </c>
      <c r="AI7979">
        <v>92.931910684027599</v>
      </c>
      <c r="AJ7979">
        <v>111.545150356609</v>
      </c>
      <c r="AK7979">
        <v>21.8420837891933</v>
      </c>
      <c r="AL7979">
        <v>86.770231995836696</v>
      </c>
      <c r="AM7979">
        <v>95.027200366021802</v>
      </c>
      <c r="AN7979">
        <v>1.00000005289746</v>
      </c>
    </row>
    <row r="7980" spans="1:40" x14ac:dyDescent="0.25">
      <c r="A7980" t="str">
        <f>"20190312160522708"</f>
        <v>20190312160522708</v>
      </c>
      <c r="B7980" t="str">
        <f>"1552377922703241"</f>
        <v>1552377922703241</v>
      </c>
      <c r="C7980" t="s">
        <v>40</v>
      </c>
      <c r="D7980">
        <v>5.9435589999999996</v>
      </c>
      <c r="E7980">
        <v>0.38797409999999999</v>
      </c>
      <c r="F7980" t="s">
        <v>41</v>
      </c>
      <c r="G7980">
        <v>-190.00880000000001</v>
      </c>
      <c r="H7980" s="1">
        <v>-1.2296090000000001E-6</v>
      </c>
      <c r="I7980">
        <v>-27.550080000000001</v>
      </c>
      <c r="J7980">
        <v>-189.50479999999999</v>
      </c>
      <c r="K7980">
        <v>1.1170800000000001</v>
      </c>
      <c r="L7980">
        <v>-48.917209999999997</v>
      </c>
      <c r="M7980">
        <v>0.34086650000000002</v>
      </c>
      <c r="N7980">
        <v>0</v>
      </c>
      <c r="O7980">
        <v>0.93999319999999997</v>
      </c>
      <c r="P7980">
        <v>0.25827749999999999</v>
      </c>
      <c r="Q7980">
        <v>4.2892029999999998E-2</v>
      </c>
      <c r="R7980">
        <v>0.96511809999999998</v>
      </c>
      <c r="S7980">
        <v>-6.5948489999999999E-2</v>
      </c>
      <c r="T7980">
        <v>-0.1629864</v>
      </c>
      <c r="U7980">
        <v>3.1423030000000001</v>
      </c>
      <c r="V7980">
        <v>-8.7134760000000006E-2</v>
      </c>
      <c r="W7980">
        <v>5.6334530000000001E-2</v>
      </c>
      <c r="X7980">
        <v>0.9946024</v>
      </c>
      <c r="Y7980">
        <v>-0.36051640000000001</v>
      </c>
      <c r="Z7980">
        <v>-4.5394070000000002E-2</v>
      </c>
      <c r="AA7980">
        <v>0.93164769999999997</v>
      </c>
      <c r="AB7980">
        <v>21</v>
      </c>
      <c r="AC7980">
        <v>-0.50400000000001899</v>
      </c>
      <c r="AD7980">
        <v>-1.11708122960899</v>
      </c>
      <c r="AE7980">
        <v>21.36713</v>
      </c>
      <c r="AF7980">
        <v>-7.7368249176573904</v>
      </c>
      <c r="AG7980">
        <v>-1.11708122960899</v>
      </c>
      <c r="AH7980">
        <v>19.861124062999</v>
      </c>
      <c r="AI7980">
        <v>93.000046711131901</v>
      </c>
      <c r="AJ7980">
        <v>111.283210725939</v>
      </c>
      <c r="AK7980">
        <v>21.344099403016902</v>
      </c>
      <c r="AL7980">
        <v>86.770559471411602</v>
      </c>
      <c r="AM7980">
        <v>95.006764483633603</v>
      </c>
      <c r="AN7980">
        <v>0.99999998987816896</v>
      </c>
    </row>
    <row r="7981" spans="1:40" x14ac:dyDescent="0.25">
      <c r="A7981" t="str">
        <f>"20190312160522723"</f>
        <v>20190312160522723</v>
      </c>
      <c r="B7981" t="str">
        <f>"1552377922713001"</f>
        <v>1552377922713001</v>
      </c>
      <c r="C7981" t="s">
        <v>40</v>
      </c>
      <c r="D7981">
        <v>5.9449630000000004</v>
      </c>
      <c r="E7981">
        <v>0.38797409999999999</v>
      </c>
      <c r="F7981" t="s">
        <v>41</v>
      </c>
      <c r="G7981">
        <v>-190.07689999999999</v>
      </c>
      <c r="H7981" s="1">
        <v>-1.0332590000000001E-6</v>
      </c>
      <c r="I7981">
        <v>-28.05002</v>
      </c>
      <c r="J7981">
        <v>-189.46430000000001</v>
      </c>
      <c r="K7981">
        <v>1.1169789999999999</v>
      </c>
      <c r="L7981">
        <v>-48.778410000000001</v>
      </c>
      <c r="M7981">
        <v>0.33336080000000001</v>
      </c>
      <c r="N7981">
        <v>0</v>
      </c>
      <c r="O7981">
        <v>0.94268160000000001</v>
      </c>
      <c r="P7981">
        <v>0.25068220000000002</v>
      </c>
      <c r="Q7981">
        <v>4.3002430000000001E-2</v>
      </c>
      <c r="R7981">
        <v>0.96711389999999997</v>
      </c>
      <c r="S7981">
        <v>-8.6059570000000002E-2</v>
      </c>
      <c r="T7981">
        <v>-0.1680354</v>
      </c>
      <c r="U7981">
        <v>3.138916</v>
      </c>
      <c r="V7981">
        <v>-8.7009020000000006E-2</v>
      </c>
      <c r="W7981">
        <v>5.6441640000000001E-2</v>
      </c>
      <c r="X7981">
        <v>0.99460729999999997</v>
      </c>
      <c r="Y7981">
        <v>-0.35906270000000001</v>
      </c>
      <c r="Z7981">
        <v>-4.7072269999999999E-2</v>
      </c>
      <c r="AA7981">
        <v>0.9321256</v>
      </c>
      <c r="AB7981">
        <v>21</v>
      </c>
      <c r="AC7981">
        <v>-0.61259999999998604</v>
      </c>
      <c r="AD7981">
        <v>-1.1169800332590001</v>
      </c>
      <c r="AE7981">
        <v>20.728390000000001</v>
      </c>
      <c r="AF7981">
        <v>-7.4666880943109701</v>
      </c>
      <c r="AG7981">
        <v>-1.1169800332590001</v>
      </c>
      <c r="AH7981">
        <v>19.282259413248699</v>
      </c>
      <c r="AI7981">
        <v>93.092068814701804</v>
      </c>
      <c r="AJ7981">
        <v>111.167946583098</v>
      </c>
      <c r="AK7981">
        <v>20.707597725768299</v>
      </c>
      <c r="AL7981">
        <v>86.764412626719604</v>
      </c>
      <c r="AM7981">
        <v>94.999551600970406</v>
      </c>
      <c r="AN7981">
        <v>0.99999995475026904</v>
      </c>
    </row>
    <row r="7982" spans="1:40" x14ac:dyDescent="0.25">
      <c r="A7982" t="str">
        <f>"20190312160522744"</f>
        <v>20190312160522744</v>
      </c>
      <c r="B7982" t="str">
        <f>"1552377922732521"</f>
        <v>1552377922732521</v>
      </c>
      <c r="C7982" t="s">
        <v>40</v>
      </c>
      <c r="D7982">
        <v>5.9527599999999996</v>
      </c>
      <c r="E7982">
        <v>0.39644380000000001</v>
      </c>
      <c r="F7982" t="s">
        <v>41</v>
      </c>
      <c r="G7982">
        <v>-190.19909999999999</v>
      </c>
      <c r="H7982" s="1">
        <v>-1.1258850000000001E-6</v>
      </c>
      <c r="I7982">
        <v>-27.909870000000002</v>
      </c>
      <c r="J7982">
        <v>-189.41309999999999</v>
      </c>
      <c r="K7982">
        <v>1.116843</v>
      </c>
      <c r="L7982">
        <v>-48.597900000000003</v>
      </c>
      <c r="M7982">
        <v>0.3237157</v>
      </c>
      <c r="N7982">
        <v>0</v>
      </c>
      <c r="O7982">
        <v>0.94603769999999998</v>
      </c>
      <c r="P7982">
        <v>0.2410939</v>
      </c>
      <c r="Q7982">
        <v>4.2759100000000001E-2</v>
      </c>
      <c r="R7982">
        <v>0.96955939999999996</v>
      </c>
      <c r="S7982">
        <v>-0.1104889</v>
      </c>
      <c r="T7982">
        <v>-0.1679667</v>
      </c>
      <c r="U7982">
        <v>3.1381230000000002</v>
      </c>
      <c r="V7982">
        <v>-8.6678699999999997E-2</v>
      </c>
      <c r="W7982">
        <v>5.6197410000000003E-2</v>
      </c>
      <c r="X7982">
        <v>0.99465000000000003</v>
      </c>
      <c r="Y7982">
        <v>-0.35678539999999997</v>
      </c>
      <c r="Z7982">
        <v>-4.7350099999999999E-2</v>
      </c>
      <c r="AA7982">
        <v>0.93298559999999997</v>
      </c>
      <c r="AB7982">
        <v>21</v>
      </c>
      <c r="AC7982">
        <v>-0.78600000000000103</v>
      </c>
      <c r="AD7982">
        <v>-1.1168441258849999</v>
      </c>
      <c r="AE7982">
        <v>20.688029999999898</v>
      </c>
      <c r="AF7982">
        <v>-7.41985424552899</v>
      </c>
      <c r="AG7982">
        <v>-1.1168441258849999</v>
      </c>
      <c r="AH7982">
        <v>19.2632891927441</v>
      </c>
      <c r="AI7982">
        <v>93.096860698020805</v>
      </c>
      <c r="AJ7982">
        <v>111.065740080513</v>
      </c>
      <c r="AK7982">
        <v>20.6730715751122</v>
      </c>
      <c r="AL7982">
        <v>86.778428316242895</v>
      </c>
      <c r="AM7982">
        <v>94.980454274446799</v>
      </c>
      <c r="AN7982">
        <v>0.99999998421219805</v>
      </c>
    </row>
    <row r="7983" spans="1:40" x14ac:dyDescent="0.25">
      <c r="A7983" t="str">
        <f>"20190312160522766"</f>
        <v>20190312160522766</v>
      </c>
      <c r="B7983" t="str">
        <f>"1552377922762777"</f>
        <v>1552377922762777</v>
      </c>
      <c r="C7983" t="s">
        <v>40</v>
      </c>
      <c r="D7983">
        <v>5.9684140000000001</v>
      </c>
      <c r="E7983">
        <v>0.39736850000000001</v>
      </c>
      <c r="F7983" t="s">
        <v>41</v>
      </c>
      <c r="G7983">
        <v>-189.83179999999999</v>
      </c>
      <c r="H7983" s="1">
        <v>-3.9057489999999996E-6</v>
      </c>
      <c r="I7983">
        <v>-31.332360000000001</v>
      </c>
      <c r="J7983">
        <v>-189.35769999999999</v>
      </c>
      <c r="K7983">
        <v>1.1166739999999999</v>
      </c>
      <c r="L7983">
        <v>-48.395389999999999</v>
      </c>
      <c r="M7983">
        <v>0.31310860000000001</v>
      </c>
      <c r="N7983">
        <v>0</v>
      </c>
      <c r="O7983">
        <v>0.94960169999999999</v>
      </c>
      <c r="P7983">
        <v>0.23089180000000001</v>
      </c>
      <c r="Q7983">
        <v>4.2479450000000002E-2</v>
      </c>
      <c r="R7983">
        <v>0.97205169999999996</v>
      </c>
      <c r="S7983">
        <v>-7.5714110000000001E-2</v>
      </c>
      <c r="T7983">
        <v>-0.20194580000000001</v>
      </c>
      <c r="U7983">
        <v>3.121918</v>
      </c>
      <c r="V7983">
        <v>-8.5975709999999997E-2</v>
      </c>
      <c r="W7983">
        <v>5.5921760000000001E-2</v>
      </c>
      <c r="X7983">
        <v>0.99472649999999996</v>
      </c>
      <c r="Y7983">
        <v>-0.336014799999999</v>
      </c>
      <c r="Z7983">
        <v>-5.7793379999999998E-2</v>
      </c>
      <c r="AA7983">
        <v>0.94008190000000003</v>
      </c>
      <c r="AB7983">
        <v>21</v>
      </c>
      <c r="AC7983">
        <v>-0.47409999999999197</v>
      </c>
      <c r="AD7983">
        <v>-1.1166779057489999</v>
      </c>
      <c r="AE7983">
        <v>17.063029999999898</v>
      </c>
      <c r="AF7983">
        <v>-5.7687356232568598</v>
      </c>
      <c r="AG7983">
        <v>-1.1166779057489999</v>
      </c>
      <c r="AH7983">
        <v>15.987977755961699</v>
      </c>
      <c r="AI7983">
        <v>93.758874242126595</v>
      </c>
      <c r="AJ7983">
        <v>109.840310192988</v>
      </c>
      <c r="AK7983">
        <v>17.033517339684899</v>
      </c>
      <c r="AL7983">
        <v>86.794246625183106</v>
      </c>
      <c r="AM7983">
        <v>94.939883973199898</v>
      </c>
      <c r="AN7983">
        <v>0.99999993787687302</v>
      </c>
    </row>
    <row r="7984" spans="1:40" x14ac:dyDescent="0.25">
      <c r="A7984" t="str">
        <f>"20190312160522786"</f>
        <v>20190312160522786</v>
      </c>
      <c r="B7984" t="str">
        <f>"1552377922783274"</f>
        <v>1552377922783274</v>
      </c>
      <c r="C7984" t="s">
        <v>40</v>
      </c>
      <c r="D7984">
        <v>6.0004710000000001</v>
      </c>
      <c r="E7984">
        <v>0.39807229999999999</v>
      </c>
      <c r="F7984" t="s">
        <v>41</v>
      </c>
      <c r="G7984">
        <v>-189.9434</v>
      </c>
      <c r="H7984" s="1">
        <v>-1.6163689999999999E-8</v>
      </c>
      <c r="I7984">
        <v>-30.35295</v>
      </c>
      <c r="J7984">
        <v>-189.31049999999999</v>
      </c>
      <c r="K7984">
        <v>1.116514</v>
      </c>
      <c r="L7984">
        <v>-48.21649</v>
      </c>
      <c r="M7984">
        <v>0.30396060000000003</v>
      </c>
      <c r="N7984">
        <v>0</v>
      </c>
      <c r="O7984">
        <v>0.95257000000000003</v>
      </c>
      <c r="P7984">
        <v>0.22222339999999999</v>
      </c>
      <c r="Q7984">
        <v>4.189354E-2</v>
      </c>
      <c r="R7984">
        <v>0.9740953</v>
      </c>
      <c r="S7984">
        <v>-0.1012421</v>
      </c>
      <c r="T7984">
        <v>-0.1930239</v>
      </c>
      <c r="U7984">
        <v>3.118744</v>
      </c>
      <c r="V7984">
        <v>-8.5244669999999995E-2</v>
      </c>
      <c r="W7984">
        <v>5.5340920000000002E-2</v>
      </c>
      <c r="X7984">
        <v>0.99482199999999998</v>
      </c>
      <c r="Y7984">
        <v>-0.33467390000000002</v>
      </c>
      <c r="Z7984">
        <v>-5.558751E-2</v>
      </c>
      <c r="AA7984">
        <v>0.940693</v>
      </c>
      <c r="AB7984">
        <v>21</v>
      </c>
      <c r="AC7984">
        <v>-0.63290000000000601</v>
      </c>
      <c r="AD7984">
        <v>-1.1165140161636899</v>
      </c>
      <c r="AE7984">
        <v>17.86354</v>
      </c>
      <c r="AF7984">
        <v>-6.0099040608335104</v>
      </c>
      <c r="AG7984">
        <v>-1.1165140161636899</v>
      </c>
      <c r="AH7984">
        <v>16.760339666124501</v>
      </c>
      <c r="AI7984">
        <v>93.588143283029098</v>
      </c>
      <c r="AJ7984">
        <v>109.72676213218401</v>
      </c>
      <c r="AK7984">
        <v>17.840250449267199</v>
      </c>
      <c r="AL7984">
        <v>86.827578254764603</v>
      </c>
      <c r="AM7984">
        <v>94.897618097777595</v>
      </c>
      <c r="AN7984">
        <v>1.0000000414369199</v>
      </c>
    </row>
    <row r="7985" spans="1:40" x14ac:dyDescent="0.25">
      <c r="A7985" t="str">
        <f>"20190312160522800"</f>
        <v>20190312160522800</v>
      </c>
      <c r="B7985" t="str">
        <f>"1552377922793034"</f>
        <v>1552377922793034</v>
      </c>
      <c r="C7985" t="s">
        <v>40</v>
      </c>
      <c r="D7985">
        <v>5.991244</v>
      </c>
      <c r="E7985">
        <v>0.40525850000000002</v>
      </c>
      <c r="F7985" t="s">
        <v>41</v>
      </c>
      <c r="G7985">
        <v>-190.01300000000001</v>
      </c>
      <c r="H7985" s="1">
        <v>-4.2774370000000003E-6</v>
      </c>
      <c r="I7985">
        <v>-30.448160000000001</v>
      </c>
      <c r="J7985">
        <v>-189.27670000000001</v>
      </c>
      <c r="K7985">
        <v>1.1163829999999999</v>
      </c>
      <c r="L7985">
        <v>-48.083860000000001</v>
      </c>
      <c r="M7985">
        <v>0.29733379999999998</v>
      </c>
      <c r="N7985">
        <v>0</v>
      </c>
      <c r="O7985">
        <v>0.9546597</v>
      </c>
      <c r="P7985">
        <v>0.21594759999999999</v>
      </c>
      <c r="Q7985">
        <v>4.1792379999999997E-2</v>
      </c>
      <c r="R7985">
        <v>0.97551010000000005</v>
      </c>
      <c r="S7985">
        <v>-0.1232147</v>
      </c>
      <c r="T7985">
        <v>-0.19582069999999999</v>
      </c>
      <c r="U7985">
        <v>3.1163020000000001</v>
      </c>
      <c r="V7985">
        <v>-8.4718100000000005E-2</v>
      </c>
      <c r="W7985">
        <v>5.5241890000000002E-2</v>
      </c>
      <c r="X7985">
        <v>0.99487250000000005</v>
      </c>
      <c r="Y7985">
        <v>-0.33477119999999999</v>
      </c>
      <c r="Z7985">
        <v>-5.6620919999999998E-2</v>
      </c>
      <c r="AA7985">
        <v>0.94059680000000001</v>
      </c>
      <c r="AB7985">
        <v>21</v>
      </c>
      <c r="AC7985">
        <v>-0.73629999999999995</v>
      </c>
      <c r="AD7985">
        <v>-1.1163872774369901</v>
      </c>
      <c r="AE7985">
        <v>17.6356999999999</v>
      </c>
      <c r="AF7985">
        <v>-5.9235565852761498</v>
      </c>
      <c r="AG7985">
        <v>-1.1163872774369901</v>
      </c>
      <c r="AH7985">
        <v>16.552757047924398</v>
      </c>
      <c r="AI7985">
        <v>93.633437798756205</v>
      </c>
      <c r="AJ7985">
        <v>109.690216881181</v>
      </c>
      <c r="AK7985">
        <v>17.616146260172901</v>
      </c>
      <c r="AL7985">
        <v>86.833260998167006</v>
      </c>
      <c r="AM7985">
        <v>94.867264637321895</v>
      </c>
      <c r="AN7985">
        <v>1.00000005706731</v>
      </c>
    </row>
    <row r="7986" spans="1:40" x14ac:dyDescent="0.25">
      <c r="A7986" t="str">
        <f>"20190312160522821"</f>
        <v>20190312160522821</v>
      </c>
      <c r="B7986" t="str">
        <f>"1552377922812554"</f>
        <v>1552377922812554</v>
      </c>
      <c r="C7986" t="s">
        <v>40</v>
      </c>
      <c r="D7986">
        <v>6.0156269999999896</v>
      </c>
      <c r="E7986">
        <v>0.40583900000000001</v>
      </c>
      <c r="F7986" t="s">
        <v>41</v>
      </c>
      <c r="G7986">
        <v>-189.71860000000001</v>
      </c>
      <c r="H7986" s="1">
        <v>-3.4928499999999999E-6</v>
      </c>
      <c r="I7986">
        <v>-32.341659999999997</v>
      </c>
      <c r="J7986">
        <v>-189.2313</v>
      </c>
      <c r="K7986">
        <v>1.1161989999999999</v>
      </c>
      <c r="L7986">
        <v>-47.901179999999997</v>
      </c>
      <c r="M7986">
        <v>0.2883732</v>
      </c>
      <c r="N7986">
        <v>0</v>
      </c>
      <c r="O7986">
        <v>0.95740519999999996</v>
      </c>
      <c r="P7986">
        <v>0.20787929999999999</v>
      </c>
      <c r="Q7986">
        <v>4.1077700000000002E-2</v>
      </c>
      <c r="R7986">
        <v>0.97729160000000004</v>
      </c>
      <c r="S7986">
        <v>-8.7127689999999994E-2</v>
      </c>
      <c r="T7986">
        <v>-0.2201282</v>
      </c>
      <c r="U7986">
        <v>3.104034</v>
      </c>
      <c r="V7986">
        <v>-8.3587019999999998E-2</v>
      </c>
      <c r="W7986">
        <v>5.4536759999999997E-2</v>
      </c>
      <c r="X7986">
        <v>0.99500699999999997</v>
      </c>
      <c r="Y7986">
        <v>-0.3150772</v>
      </c>
      <c r="Z7986">
        <v>-6.4413460000000006E-2</v>
      </c>
      <c r="AA7986">
        <v>0.94687770000000004</v>
      </c>
      <c r="AB7986">
        <v>21</v>
      </c>
      <c r="AC7986">
        <v>-0.48730000000000401</v>
      </c>
      <c r="AD7986">
        <v>-1.1162024928499901</v>
      </c>
      <c r="AE7986">
        <v>15.559519999999999</v>
      </c>
      <c r="AF7986">
        <v>-4.9286880731013403</v>
      </c>
      <c r="AG7986">
        <v>-1.1162024928499901</v>
      </c>
      <c r="AH7986">
        <v>14.6823508824132</v>
      </c>
      <c r="AI7986">
        <v>94.122240990973495</v>
      </c>
      <c r="AJ7986">
        <v>108.556280884735</v>
      </c>
      <c r="AK7986">
        <v>15.5276946634481</v>
      </c>
      <c r="AL7986">
        <v>86.873722755599999</v>
      </c>
      <c r="AM7986">
        <v>94.801941130354805</v>
      </c>
      <c r="AN7986">
        <v>0.99999998907638799</v>
      </c>
    </row>
    <row r="7987" spans="1:40" x14ac:dyDescent="0.25">
      <c r="A7987" t="str">
        <f>"20190312160522842"</f>
        <v>20190312160522842</v>
      </c>
      <c r="B7987" t="str">
        <f>"1552377922833219"</f>
        <v>1552377922833219</v>
      </c>
      <c r="C7987" t="s">
        <v>40</v>
      </c>
      <c r="D7987">
        <v>5.928776</v>
      </c>
      <c r="E7987">
        <v>0.42852790000000002</v>
      </c>
      <c r="F7987" t="s">
        <v>41</v>
      </c>
      <c r="G7987">
        <v>-189.7456</v>
      </c>
      <c r="H7987" s="1">
        <v>-3.1465080000000001E-6</v>
      </c>
      <c r="I7987">
        <v>-33.137809999999902</v>
      </c>
      <c r="J7987">
        <v>-189.1842</v>
      </c>
      <c r="K7987">
        <v>1.116007</v>
      </c>
      <c r="L7987">
        <v>-47.704650000000001</v>
      </c>
      <c r="M7987">
        <v>0.27897119999999997</v>
      </c>
      <c r="N7987">
        <v>0</v>
      </c>
      <c r="O7987">
        <v>0.96018769999999998</v>
      </c>
      <c r="P7987">
        <v>0.19962679999999999</v>
      </c>
      <c r="Q7987">
        <v>4.067101E-2</v>
      </c>
      <c r="R7987">
        <v>0.9790276</v>
      </c>
      <c r="S7987">
        <v>-0.10807799999999999</v>
      </c>
      <c r="T7987">
        <v>-0.23457120000000001</v>
      </c>
      <c r="U7987">
        <v>3.1025390000000002</v>
      </c>
      <c r="V7987">
        <v>-8.2196179999999994E-2</v>
      </c>
      <c r="W7987">
        <v>5.4140130000000002E-2</v>
      </c>
      <c r="X7987">
        <v>0.99514449999999999</v>
      </c>
      <c r="Y7987">
        <v>-0.31215730000000003</v>
      </c>
      <c r="Z7987">
        <v>-6.8992300000000006E-2</v>
      </c>
      <c r="AA7987">
        <v>0.94752199999999998</v>
      </c>
      <c r="AB7987">
        <v>21</v>
      </c>
      <c r="AC7987">
        <v>-0.56139999999999102</v>
      </c>
      <c r="AD7987">
        <v>-1.1160101465079999</v>
      </c>
      <c r="AE7987">
        <v>14.566839999999999</v>
      </c>
      <c r="AF7987">
        <v>-4.5764503693748599</v>
      </c>
      <c r="AG7987">
        <v>-1.1160101465079999</v>
      </c>
      <c r="AH7987">
        <v>13.751177080412299</v>
      </c>
      <c r="AI7987">
        <v>94.403366367348497</v>
      </c>
      <c r="AJ7987">
        <v>108.40766240566001</v>
      </c>
      <c r="AK7987">
        <v>14.535619963638201</v>
      </c>
      <c r="AL7987">
        <v>86.896481548681194</v>
      </c>
      <c r="AM7987">
        <v>94.721754447102995</v>
      </c>
      <c r="AN7987">
        <v>0.99999997078162906</v>
      </c>
    </row>
    <row r="7988" spans="1:40" x14ac:dyDescent="0.25">
      <c r="A7988" t="str">
        <f>"20190312160522864"</f>
        <v>20190312160522864</v>
      </c>
      <c r="B7988" t="str">
        <f>"1552377922852736"</f>
        <v>1552377922852736</v>
      </c>
      <c r="C7988" t="s">
        <v>40</v>
      </c>
      <c r="D7988">
        <v>5.9249419999999997</v>
      </c>
      <c r="E7988">
        <v>0.43361300000000003</v>
      </c>
      <c r="F7988" t="s">
        <v>41</v>
      </c>
      <c r="G7988">
        <v>-188.98009999999999</v>
      </c>
      <c r="H7988" s="1">
        <v>-3.2555520000000002E-6</v>
      </c>
      <c r="I7988">
        <v>-33.200159999999997</v>
      </c>
      <c r="J7988">
        <v>-189.1388</v>
      </c>
      <c r="K7988">
        <v>1.115823</v>
      </c>
      <c r="L7988">
        <v>-47.508540000000004</v>
      </c>
      <c r="M7988">
        <v>0.26983800000000002</v>
      </c>
      <c r="N7988">
        <v>0</v>
      </c>
      <c r="O7988">
        <v>0.96279499999999996</v>
      </c>
      <c r="P7988">
        <v>0.19143750000000001</v>
      </c>
      <c r="Q7988">
        <v>4.0785139999999998E-2</v>
      </c>
      <c r="R7988">
        <v>0.980657</v>
      </c>
      <c r="S7988">
        <v>4.3136599999999997E-2</v>
      </c>
      <c r="T7988">
        <v>-0.2358499</v>
      </c>
      <c r="U7988">
        <v>3.065277</v>
      </c>
      <c r="V7988">
        <v>-8.1034919999999996E-2</v>
      </c>
      <c r="W7988">
        <v>5.42587E-2</v>
      </c>
      <c r="X7988">
        <v>0.99523329999999999</v>
      </c>
      <c r="Y7988">
        <v>-0.2563144</v>
      </c>
      <c r="Z7988">
        <v>-7.116836E-2</v>
      </c>
      <c r="AA7988">
        <v>0.96396990000000005</v>
      </c>
      <c r="AB7988">
        <v>21</v>
      </c>
      <c r="AC7988">
        <v>0.15870000000001</v>
      </c>
      <c r="AD7988">
        <v>-1.115826255552</v>
      </c>
      <c r="AE7988">
        <v>14.30838</v>
      </c>
      <c r="AF7988">
        <v>-3.6861299852047198</v>
      </c>
      <c r="AG7988">
        <v>-1.115826255552</v>
      </c>
      <c r="AH7988">
        <v>13.736803243609399</v>
      </c>
      <c r="AI7988">
        <v>94.485865295551207</v>
      </c>
      <c r="AJ7988">
        <v>105.020874853891</v>
      </c>
      <c r="AK7988">
        <v>14.266477696125399</v>
      </c>
      <c r="AL7988">
        <v>86.889678057068096</v>
      </c>
      <c r="AM7988">
        <v>94.654927682739498</v>
      </c>
      <c r="AN7988">
        <v>0.99999999310699295</v>
      </c>
    </row>
    <row r="7989" spans="1:40" x14ac:dyDescent="0.25">
      <c r="A7989" t="str">
        <f>"20190312160522880"</f>
        <v>20190312160522880</v>
      </c>
      <c r="B7989" t="str">
        <f>"1552377922873232"</f>
        <v>1552377922873232</v>
      </c>
      <c r="C7989" t="s">
        <v>40</v>
      </c>
      <c r="D7989">
        <v>5.9220739999999896</v>
      </c>
      <c r="E7989">
        <v>0.43575019999999998</v>
      </c>
      <c r="F7989" t="s">
        <v>41</v>
      </c>
      <c r="G7989">
        <v>-188.8631</v>
      </c>
      <c r="H7989" s="1">
        <v>-3.3919480000000001E-6</v>
      </c>
      <c r="I7989">
        <v>-32.930590000000002</v>
      </c>
      <c r="J7989">
        <v>-189.1078</v>
      </c>
      <c r="K7989">
        <v>1.115699</v>
      </c>
      <c r="L7989">
        <v>-47.369599999999998</v>
      </c>
      <c r="M7989">
        <v>0.26354139999999998</v>
      </c>
      <c r="N7989">
        <v>0</v>
      </c>
      <c r="O7989">
        <v>0.96453809999999995</v>
      </c>
      <c r="P7989">
        <v>0.18545600000000001</v>
      </c>
      <c r="Q7989">
        <v>4.0651239999999998E-2</v>
      </c>
      <c r="R7989">
        <v>0.98181130000000005</v>
      </c>
      <c r="S7989">
        <v>5.7830810000000003E-2</v>
      </c>
      <c r="T7989">
        <v>-0.2340362</v>
      </c>
      <c r="U7989">
        <v>3.057617</v>
      </c>
      <c r="V7989">
        <v>-8.0581369999999999E-2</v>
      </c>
      <c r="W7989">
        <v>5.4121570000000001E-2</v>
      </c>
      <c r="X7989">
        <v>0.99527759999999998</v>
      </c>
      <c r="Y7989">
        <v>-0.24531819999999999</v>
      </c>
      <c r="Z7989">
        <v>-7.1106059999999999E-2</v>
      </c>
      <c r="AA7989">
        <v>0.96683140000000001</v>
      </c>
      <c r="AB7989">
        <v>21</v>
      </c>
      <c r="AC7989">
        <v>0.24469999999999401</v>
      </c>
      <c r="AD7989">
        <v>-1.115702391948</v>
      </c>
      <c r="AE7989">
        <v>14.4390099999999</v>
      </c>
      <c r="AF7989">
        <v>-3.5484526673594798</v>
      </c>
      <c r="AG7989">
        <v>-1.115702391948</v>
      </c>
      <c r="AH7989">
        <v>13.9099209940069</v>
      </c>
      <c r="AI7989">
        <v>94.444098085723695</v>
      </c>
      <c r="AJ7989">
        <v>104.311054543943</v>
      </c>
      <c r="AK7989">
        <v>14.398687795052901</v>
      </c>
      <c r="AL7989">
        <v>86.897546614548901</v>
      </c>
      <c r="AM7989">
        <v>94.628782590628106</v>
      </c>
      <c r="AN7989">
        <v>1.0000000012960499</v>
      </c>
    </row>
    <row r="7990" spans="1:40" x14ac:dyDescent="0.25">
      <c r="A7990" t="str">
        <f>"20190312160522898"</f>
        <v>20190312160522898</v>
      </c>
      <c r="B7990" t="str">
        <f>"1552377922892752"</f>
        <v>1552377922892752</v>
      </c>
      <c r="C7990" t="s">
        <v>40</v>
      </c>
      <c r="D7990">
        <v>5.9307970000000001</v>
      </c>
      <c r="E7990">
        <v>0.43741029999999997</v>
      </c>
      <c r="F7990" t="s">
        <v>41</v>
      </c>
      <c r="G7990">
        <v>-188.84100000000001</v>
      </c>
      <c r="H7990" s="1">
        <v>-3.4455120000000002E-6</v>
      </c>
      <c r="I7990">
        <v>-32.814869999999999</v>
      </c>
      <c r="J7990">
        <v>-189.0718</v>
      </c>
      <c r="K7990">
        <v>1.1155520000000001</v>
      </c>
      <c r="L7990">
        <v>-47.203890000000001</v>
      </c>
      <c r="M7990">
        <v>0.2561871</v>
      </c>
      <c r="N7990">
        <v>0</v>
      </c>
      <c r="O7990">
        <v>0.96651799999999999</v>
      </c>
      <c r="P7990">
        <v>0.1790756</v>
      </c>
      <c r="Q7990">
        <v>4.011443E-2</v>
      </c>
      <c r="R7990">
        <v>0.98301709999999998</v>
      </c>
      <c r="S7990">
        <v>5.5999760000000003E-2</v>
      </c>
      <c r="T7990">
        <v>-0.23415920000000001</v>
      </c>
      <c r="U7990">
        <v>3.0546880000000001</v>
      </c>
      <c r="V7990">
        <v>-7.9442689999999996E-2</v>
      </c>
      <c r="W7990">
        <v>5.3588289999999997E-2</v>
      </c>
      <c r="X7990">
        <v>0.99539800000000001</v>
      </c>
      <c r="Y7990">
        <v>-0.23849110000000001</v>
      </c>
      <c r="Z7990">
        <v>-7.1502789999999997E-2</v>
      </c>
      <c r="AA7990">
        <v>0.96850879999999995</v>
      </c>
      <c r="AB7990">
        <v>21</v>
      </c>
      <c r="AC7990">
        <v>0.23080000000001599</v>
      </c>
      <c r="AD7990">
        <v>-1.115555445512</v>
      </c>
      <c r="AE7990">
        <v>14.38902</v>
      </c>
      <c r="AF7990">
        <v>-3.4428860088697899</v>
      </c>
      <c r="AG7990">
        <v>-1.115555445512</v>
      </c>
      <c r="AH7990">
        <v>13.884416771355401</v>
      </c>
      <c r="AI7990">
        <v>94.459134161803306</v>
      </c>
      <c r="AJ7990">
        <v>103.926595064282</v>
      </c>
      <c r="AK7990">
        <v>14.348343357432499</v>
      </c>
      <c r="AL7990">
        <v>86.928145747755394</v>
      </c>
      <c r="AM7990">
        <v>94.563102732704706</v>
      </c>
      <c r="AN7990">
        <v>1.00000001211178</v>
      </c>
    </row>
    <row r="7991" spans="1:40" x14ac:dyDescent="0.25">
      <c r="A7991" t="str">
        <f>"20190312160522912"</f>
        <v>20190312160522912</v>
      </c>
      <c r="B7991" t="str">
        <f>"1552377922903489"</f>
        <v>1552377922903489</v>
      </c>
      <c r="C7991" t="s">
        <v>40</v>
      </c>
      <c r="D7991">
        <v>5.9591919999999998</v>
      </c>
      <c r="E7991">
        <v>0.43819459999999999</v>
      </c>
      <c r="F7991" t="s">
        <v>41</v>
      </c>
      <c r="G7991">
        <v>-188.83690000000001</v>
      </c>
      <c r="H7991" s="1">
        <v>-3.5326650000000002E-6</v>
      </c>
      <c r="I7991">
        <v>-32.613390000000003</v>
      </c>
      <c r="J7991">
        <v>-189.04519999999999</v>
      </c>
      <c r="K7991">
        <v>1.1154440000000001</v>
      </c>
      <c r="L7991">
        <v>-47.078400000000002</v>
      </c>
      <c r="M7991">
        <v>0.2507277</v>
      </c>
      <c r="N7991">
        <v>0</v>
      </c>
      <c r="O7991">
        <v>0.96794910000000001</v>
      </c>
      <c r="P7991">
        <v>0.17395469999999999</v>
      </c>
      <c r="Q7991">
        <v>4.0012560000000003E-2</v>
      </c>
      <c r="R7991">
        <v>0.98394040000000005</v>
      </c>
      <c r="S7991">
        <v>4.9133299999999998E-2</v>
      </c>
      <c r="T7991">
        <v>-0.23337920000000001</v>
      </c>
      <c r="U7991">
        <v>3.0523989999999999</v>
      </c>
      <c r="V7991">
        <v>-7.8992690000000004E-2</v>
      </c>
      <c r="W7991">
        <v>5.348257E-2</v>
      </c>
      <c r="X7991">
        <v>0.99543950000000003</v>
      </c>
      <c r="Y7991">
        <v>-0.2351734</v>
      </c>
      <c r="Z7991">
        <v>-7.1514190000000005E-2</v>
      </c>
      <c r="AA7991">
        <v>0.96931889999999998</v>
      </c>
      <c r="AB7991">
        <v>21</v>
      </c>
      <c r="AC7991">
        <v>0.208299999999979</v>
      </c>
      <c r="AD7991">
        <v>-1.115447532665</v>
      </c>
      <c r="AE7991">
        <v>14.465009999999999</v>
      </c>
      <c r="AF7991">
        <v>-3.4052696531439501</v>
      </c>
      <c r="AG7991">
        <v>-1.115447532665</v>
      </c>
      <c r="AH7991">
        <v>13.9720296469223</v>
      </c>
      <c r="AI7991">
        <v>94.435205002569504</v>
      </c>
      <c r="AJ7991">
        <v>103.69712001978201</v>
      </c>
      <c r="AK7991">
        <v>14.424205248928899</v>
      </c>
      <c r="AL7991">
        <v>86.934211763054606</v>
      </c>
      <c r="AM7991">
        <v>94.537175078900304</v>
      </c>
      <c r="AN7991">
        <v>1.00000001426374</v>
      </c>
    </row>
    <row r="7992" spans="1:40" x14ac:dyDescent="0.25">
      <c r="A7992" t="str">
        <f>"20190312160522928"</f>
        <v>20190312160522928</v>
      </c>
      <c r="B7992" t="str">
        <f>"1552377922923008"</f>
        <v>1552377922923008</v>
      </c>
      <c r="C7992" t="s">
        <v>40</v>
      </c>
      <c r="D7992">
        <v>5.9133639999999996</v>
      </c>
      <c r="E7992">
        <v>0.43975199999999998</v>
      </c>
      <c r="F7992" t="s">
        <v>41</v>
      </c>
      <c r="G7992">
        <v>-188.8563</v>
      </c>
      <c r="H7992" s="1">
        <v>-3.571505E-6</v>
      </c>
      <c r="I7992">
        <v>-32.514850000000003</v>
      </c>
      <c r="J7992">
        <v>-189.01519999999999</v>
      </c>
      <c r="K7992">
        <v>1.115321</v>
      </c>
      <c r="L7992">
        <v>-46.933230000000002</v>
      </c>
      <c r="M7992">
        <v>0.2445309</v>
      </c>
      <c r="N7992">
        <v>0</v>
      </c>
      <c r="O7992">
        <v>0.96953370000000005</v>
      </c>
      <c r="P7992">
        <v>0.16821</v>
      </c>
      <c r="Q7992">
        <v>3.9968240000000002E-2</v>
      </c>
      <c r="R7992">
        <v>0.98494060000000005</v>
      </c>
      <c r="S7992">
        <v>3.95813E-2</v>
      </c>
      <c r="T7992">
        <v>-0.23371839999999999</v>
      </c>
      <c r="U7992">
        <v>3.0514830000000002</v>
      </c>
      <c r="V7992">
        <v>-7.8417120000000007E-2</v>
      </c>
      <c r="W7992">
        <v>5.3434009999999997E-2</v>
      </c>
      <c r="X7992">
        <v>0.99548760000000003</v>
      </c>
      <c r="Y7992">
        <v>-0.23198440000000001</v>
      </c>
      <c r="Z7992">
        <v>-7.1850380000000005E-2</v>
      </c>
      <c r="AA7992">
        <v>0.97006230000000004</v>
      </c>
      <c r="AB7992">
        <v>21</v>
      </c>
      <c r="AC7992">
        <v>0.158899999999988</v>
      </c>
      <c r="AD7992">
        <v>-1.115324571505</v>
      </c>
      <c r="AE7992">
        <v>14.418380000000001</v>
      </c>
      <c r="AF7992">
        <v>-3.3519782154453899</v>
      </c>
      <c r="AG7992">
        <v>-1.115324571505</v>
      </c>
      <c r="AH7992">
        <v>13.9360477186325</v>
      </c>
      <c r="AI7992">
        <v>94.449359166884093</v>
      </c>
      <c r="AJ7992">
        <v>103.524212092288</v>
      </c>
      <c r="AK7992">
        <v>14.376826244781</v>
      </c>
      <c r="AL7992">
        <v>86.936997986294301</v>
      </c>
      <c r="AM7992">
        <v>94.504035336169295</v>
      </c>
      <c r="AN7992">
        <v>0.99999999994376698</v>
      </c>
    </row>
    <row r="7993" spans="1:40" x14ac:dyDescent="0.25">
      <c r="A7993" t="str">
        <f>"20190312160522945"</f>
        <v>20190312160522945</v>
      </c>
      <c r="B7993" t="str">
        <f>"1552377922932768"</f>
        <v>1552377922932768</v>
      </c>
      <c r="C7993" t="s">
        <v>40</v>
      </c>
      <c r="D7993">
        <v>5.9524780000000002</v>
      </c>
      <c r="E7993">
        <v>0.44054929999999898</v>
      </c>
      <c r="F7993" t="s">
        <v>41</v>
      </c>
      <c r="G7993">
        <v>-188.85589999999999</v>
      </c>
      <c r="H7993" s="1">
        <v>-3.5138870000000002E-6</v>
      </c>
      <c r="I7993">
        <v>-32.649340000000002</v>
      </c>
      <c r="J7993">
        <v>-188.98410000000001</v>
      </c>
      <c r="K7993">
        <v>1.1151960000000001</v>
      </c>
      <c r="L7993">
        <v>-46.778019999999998</v>
      </c>
      <c r="M7993">
        <v>0.23806459999999999</v>
      </c>
      <c r="N7993">
        <v>0</v>
      </c>
      <c r="O7993">
        <v>0.97114219999999896</v>
      </c>
      <c r="P7993">
        <v>0.16197039999999999</v>
      </c>
      <c r="Q7993">
        <v>4.0110060000000003E-2</v>
      </c>
      <c r="R7993">
        <v>0.98598010000000003</v>
      </c>
      <c r="S7993">
        <v>3.4011840000000002E-2</v>
      </c>
      <c r="T7993">
        <v>-0.2381297</v>
      </c>
      <c r="U7993">
        <v>3.0497130000000001</v>
      </c>
      <c r="V7993">
        <v>-7.8069079999999999E-2</v>
      </c>
      <c r="W7993">
        <v>5.3566860000000001E-2</v>
      </c>
      <c r="X7993">
        <v>0.99550780000000005</v>
      </c>
      <c r="Y7993">
        <v>-0.22726489999999999</v>
      </c>
      <c r="Z7993">
        <v>-7.3472079999999995E-2</v>
      </c>
      <c r="AA7993">
        <v>0.97105739999999996</v>
      </c>
      <c r="AB7993">
        <v>21</v>
      </c>
      <c r="AC7993">
        <v>0.12820000000001999</v>
      </c>
      <c r="AD7993">
        <v>-1.1151995138869999</v>
      </c>
      <c r="AE7993">
        <v>14.1286799999999</v>
      </c>
      <c r="AF7993">
        <v>-3.2193198005292398</v>
      </c>
      <c r="AG7993">
        <v>-1.1151995138869999</v>
      </c>
      <c r="AH7993">
        <v>13.667762265471101</v>
      </c>
      <c r="AI7993">
        <v>94.540903145424707</v>
      </c>
      <c r="AJ7993">
        <v>103.253928039833</v>
      </c>
      <c r="AK7993">
        <v>14.086000684342199</v>
      </c>
      <c r="AL7993">
        <v>86.929375278463297</v>
      </c>
      <c r="AM7993">
        <v>94.484036093285695</v>
      </c>
      <c r="AN7993">
        <v>0.99999998480157304</v>
      </c>
    </row>
    <row r="7994" spans="1:40" x14ac:dyDescent="0.25">
      <c r="A7994" t="str">
        <f>"20190312160522967"</f>
        <v>20190312160522967</v>
      </c>
      <c r="B7994" t="str">
        <f>"1552377922953263"</f>
        <v>1552377922953263</v>
      </c>
      <c r="C7994" t="s">
        <v>40</v>
      </c>
      <c r="D7994">
        <v>5.9917889999999998</v>
      </c>
      <c r="E7994">
        <v>0.44210949999999999</v>
      </c>
      <c r="F7994" t="s">
        <v>41</v>
      </c>
      <c r="G7994">
        <v>-188.887</v>
      </c>
      <c r="H7994" s="1">
        <v>-3.5755840000000001E-6</v>
      </c>
      <c r="I7994">
        <v>-32.492649999999998</v>
      </c>
      <c r="J7994">
        <v>-188.94540000000001</v>
      </c>
      <c r="K7994">
        <v>1.1150370000000001</v>
      </c>
      <c r="L7994">
        <v>-46.579009999999997</v>
      </c>
      <c r="M7994">
        <v>0.2299561</v>
      </c>
      <c r="N7994">
        <v>0</v>
      </c>
      <c r="O7994">
        <v>0.97309480000000004</v>
      </c>
      <c r="P7994">
        <v>0.15444479999999999</v>
      </c>
      <c r="Q7994">
        <v>4.0366199999999998E-2</v>
      </c>
      <c r="R7994">
        <v>0.98717650000000001</v>
      </c>
      <c r="S7994">
        <v>2.0721440000000001E-2</v>
      </c>
      <c r="T7994">
        <v>-0.2380167</v>
      </c>
      <c r="U7994">
        <v>3.0489199999999999</v>
      </c>
      <c r="V7994">
        <v>-7.7338439999999994E-2</v>
      </c>
      <c r="W7994">
        <v>5.3815889999999998E-2</v>
      </c>
      <c r="X7994">
        <v>0.99555139999999998</v>
      </c>
      <c r="Y7994">
        <v>-0.2233706</v>
      </c>
      <c r="Z7994">
        <v>-7.3719809999999997E-2</v>
      </c>
      <c r="AA7994">
        <v>0.97194179999999997</v>
      </c>
      <c r="AB7994">
        <v>21</v>
      </c>
      <c r="AC7994">
        <v>5.8400000000005899E-2</v>
      </c>
      <c r="AD7994">
        <v>-1.115040575584</v>
      </c>
      <c r="AE7994">
        <v>14.086360000000001</v>
      </c>
      <c r="AF7994">
        <v>-3.1629263755853798</v>
      </c>
      <c r="AG7994">
        <v>-1.115040575584</v>
      </c>
      <c r="AH7994">
        <v>13.636766175863899</v>
      </c>
      <c r="AI7994">
        <v>94.5541522467351</v>
      </c>
      <c r="AJ7994">
        <v>103.05834799956401</v>
      </c>
      <c r="AK7994">
        <v>14.0431054428057</v>
      </c>
      <c r="AL7994">
        <v>86.915086306840806</v>
      </c>
      <c r="AM7994">
        <v>94.442045481413103</v>
      </c>
      <c r="AN7994">
        <v>0.99999998718004202</v>
      </c>
    </row>
    <row r="7995" spans="1:40" x14ac:dyDescent="0.25">
      <c r="A7995" t="str">
        <f>"20190312160522990"</f>
        <v>20190312160522990</v>
      </c>
      <c r="B7995" t="str">
        <f>"1552377922982544"</f>
        <v>1552377922982544</v>
      </c>
      <c r="C7995" t="s">
        <v>40</v>
      </c>
      <c r="D7995">
        <v>6.028619</v>
      </c>
      <c r="E7995">
        <v>0.45076050000000001</v>
      </c>
      <c r="F7995" t="s">
        <v>41</v>
      </c>
      <c r="G7995">
        <v>-188.89959999999999</v>
      </c>
      <c r="H7995" s="1">
        <v>-3.596333E-6</v>
      </c>
      <c r="I7995">
        <v>-32.43909</v>
      </c>
      <c r="J7995">
        <v>-188.90819999999999</v>
      </c>
      <c r="K7995">
        <v>1.1148739999999999</v>
      </c>
      <c r="L7995">
        <v>-46.379269999999998</v>
      </c>
      <c r="M7995">
        <v>0.2220953</v>
      </c>
      <c r="N7995">
        <v>0</v>
      </c>
      <c r="O7995">
        <v>0.9749196</v>
      </c>
      <c r="P7995">
        <v>0.1467415</v>
      </c>
      <c r="Q7995">
        <v>4.0820990000000001E-2</v>
      </c>
      <c r="R7995">
        <v>0.98833219999999999</v>
      </c>
      <c r="S7995">
        <v>9.8876950000000002E-3</v>
      </c>
      <c r="T7995">
        <v>-0.24029819999999999</v>
      </c>
      <c r="U7995">
        <v>3.0472410000000001</v>
      </c>
      <c r="V7995">
        <v>-7.7046039999999996E-2</v>
      </c>
      <c r="W7995">
        <v>5.425965E-2</v>
      </c>
      <c r="X7995">
        <v>0.99555000000000005</v>
      </c>
      <c r="Y7995">
        <v>-0.21895410000000001</v>
      </c>
      <c r="Z7995">
        <v>-7.4717339999999993E-2</v>
      </c>
      <c r="AA7995">
        <v>0.97287020000000002</v>
      </c>
      <c r="AB7995">
        <v>21</v>
      </c>
      <c r="AC7995">
        <v>8.6000000000012698E-3</v>
      </c>
      <c r="AD7995">
        <v>-1.114877596333</v>
      </c>
      <c r="AE7995">
        <v>13.9401799999999</v>
      </c>
      <c r="AF7995">
        <v>-3.0683557718008001</v>
      </c>
      <c r="AG7995">
        <v>-1.114877596333</v>
      </c>
      <c r="AH7995">
        <v>13.507465699121999</v>
      </c>
      <c r="AI7995">
        <v>94.601666284927902</v>
      </c>
      <c r="AJ7995">
        <v>102.798123798202</v>
      </c>
      <c r="AK7995">
        <v>13.8963804211783</v>
      </c>
      <c r="AL7995">
        <v>86.889623574082904</v>
      </c>
      <c r="AM7995">
        <v>94.425324098756803</v>
      </c>
      <c r="AN7995">
        <v>1.0000000021989</v>
      </c>
    </row>
    <row r="7996" spans="1:40" x14ac:dyDescent="0.25">
      <c r="A7996" t="str">
        <f>"20190312160523010"</f>
        <v>20190312160523010</v>
      </c>
      <c r="B7996" t="str">
        <f>"1552377923003040"</f>
        <v>1552377923003040</v>
      </c>
      <c r="C7996" t="s">
        <v>40</v>
      </c>
      <c r="D7996">
        <v>5.984769</v>
      </c>
      <c r="E7996">
        <v>0.45103650000000001</v>
      </c>
      <c r="F7996" t="s">
        <v>41</v>
      </c>
      <c r="G7996">
        <v>-188.50649999999999</v>
      </c>
      <c r="H7996" s="1">
        <v>-3.107111E-6</v>
      </c>
      <c r="I7996">
        <v>-23.74202</v>
      </c>
      <c r="J7996">
        <v>-188.8723</v>
      </c>
      <c r="K7996">
        <v>1.1146940000000001</v>
      </c>
      <c r="L7996">
        <v>-46.179780000000001</v>
      </c>
      <c r="M7996">
        <v>0.2145146</v>
      </c>
      <c r="N7996">
        <v>0</v>
      </c>
      <c r="O7996">
        <v>0.97661629999999999</v>
      </c>
      <c r="P7996">
        <v>0.13998379999999999</v>
      </c>
      <c r="Q7996">
        <v>4.0744219999999998E-2</v>
      </c>
      <c r="R7996">
        <v>0.98931519999999995</v>
      </c>
      <c r="S7996">
        <v>5.3833010000000001E-2</v>
      </c>
      <c r="T7996">
        <v>-0.149403799999999</v>
      </c>
      <c r="U7996">
        <v>3.0335999999999999</v>
      </c>
      <c r="V7996">
        <v>-7.6090749999999999E-2</v>
      </c>
      <c r="W7996">
        <v>5.4181090000000001E-2</v>
      </c>
      <c r="X7996">
        <v>0.99562779999999995</v>
      </c>
      <c r="Y7996">
        <v>-0.19719059999999999</v>
      </c>
      <c r="Z7996">
        <v>-4.6987269999999998E-2</v>
      </c>
      <c r="AA7996">
        <v>0.97923850000000001</v>
      </c>
      <c r="AB7996">
        <v>21</v>
      </c>
      <c r="AC7996">
        <v>0.36580000000000701</v>
      </c>
      <c r="AD7996">
        <v>-1.1146971071109999</v>
      </c>
      <c r="AE7996">
        <v>22.437760000000001</v>
      </c>
      <c r="AF7996">
        <v>-4.4454669071861401</v>
      </c>
      <c r="AG7996">
        <v>-1.1146971071109999</v>
      </c>
      <c r="AH7996">
        <v>21.9396621574707</v>
      </c>
      <c r="AI7996">
        <v>92.850716221779507</v>
      </c>
      <c r="AJ7996">
        <v>101.454332620957</v>
      </c>
      <c r="AK7996">
        <v>22.413243880515001</v>
      </c>
      <c r="AL7996">
        <v>86.894131523911994</v>
      </c>
      <c r="AM7996">
        <v>94.370328454646298</v>
      </c>
      <c r="AN7996">
        <v>1.0000000544409899</v>
      </c>
    </row>
    <row r="7997" spans="1:40" x14ac:dyDescent="0.25">
      <c r="A7997" t="str">
        <f>"20190312160523044"</f>
        <v>20190312160523044</v>
      </c>
      <c r="B7997" t="str">
        <f>"1552377923033296"</f>
        <v>1552377923033296</v>
      </c>
      <c r="C7997" t="s">
        <v>40</v>
      </c>
      <c r="D7997">
        <v>6.0921059999999896</v>
      </c>
      <c r="E7997">
        <v>0.45600180000000001</v>
      </c>
      <c r="F7997" t="s">
        <v>41</v>
      </c>
      <c r="G7997">
        <v>-188.61369999999999</v>
      </c>
      <c r="H7997" s="1">
        <v>-2.9927289999999999E-6</v>
      </c>
      <c r="I7997">
        <v>-23.964300000000001</v>
      </c>
      <c r="J7997">
        <v>-188.82079999999999</v>
      </c>
      <c r="K7997">
        <v>1.1144459999999901</v>
      </c>
      <c r="L7997">
        <v>-45.880490000000002</v>
      </c>
      <c r="M7997">
        <v>0.2035545</v>
      </c>
      <c r="N7997">
        <v>0</v>
      </c>
      <c r="O7997">
        <v>0.97896030000000001</v>
      </c>
      <c r="P7997">
        <v>0.13052339999999901</v>
      </c>
      <c r="Q7997">
        <v>4.0078259999999997E-2</v>
      </c>
      <c r="R7997">
        <v>0.99063480000000004</v>
      </c>
      <c r="S7997">
        <v>3.5308840000000001E-2</v>
      </c>
      <c r="T7997">
        <v>-0.15221870000000001</v>
      </c>
      <c r="U7997">
        <v>3.0336609999999999</v>
      </c>
      <c r="V7997">
        <v>-7.4409829999999996E-2</v>
      </c>
      <c r="W7997">
        <v>5.3513529999999997E-2</v>
      </c>
      <c r="X7997">
        <v>0.99579090000000003</v>
      </c>
      <c r="Y7997">
        <v>-0.19217809999999999</v>
      </c>
      <c r="Z7997">
        <v>-4.8072040000000003E-2</v>
      </c>
      <c r="AA7997">
        <v>0.98018190000000005</v>
      </c>
      <c r="AB7997">
        <v>21</v>
      </c>
      <c r="AC7997">
        <v>0.20709999999999601</v>
      </c>
      <c r="AD7997">
        <v>-1.11444899272899</v>
      </c>
      <c r="AE7997">
        <v>21.91619</v>
      </c>
      <c r="AF7997">
        <v>-4.2478442368271496</v>
      </c>
      <c r="AG7997">
        <v>-1.11444899272899</v>
      </c>
      <c r="AH7997">
        <v>21.443966548833401</v>
      </c>
      <c r="AI7997">
        <v>92.918394572463896</v>
      </c>
      <c r="AJ7997">
        <v>101.20469091523999</v>
      </c>
      <c r="AK7997">
        <v>21.889035578691601</v>
      </c>
      <c r="AL7997">
        <v>86.932435355169005</v>
      </c>
      <c r="AM7997">
        <v>94.273447896090303</v>
      </c>
      <c r="AN7997">
        <v>1.0000000186082401</v>
      </c>
    </row>
    <row r="7998" spans="1:40" x14ac:dyDescent="0.25">
      <c r="A7998" t="str">
        <f>"20190312160523066"</f>
        <v>20190312160523066</v>
      </c>
      <c r="B7998" t="str">
        <f>"1552377923052816"</f>
        <v>1552377923052816</v>
      </c>
      <c r="C7998" t="s">
        <v>40</v>
      </c>
      <c r="D7998">
        <v>6.0967690000000001</v>
      </c>
      <c r="E7998">
        <v>0.45814179999999999</v>
      </c>
      <c r="F7998" t="s">
        <v>41</v>
      </c>
      <c r="G7998">
        <v>-188.6035</v>
      </c>
      <c r="H7998" s="1">
        <v>-3.9611050000000004E-6</v>
      </c>
      <c r="I7998">
        <v>-31.71123</v>
      </c>
      <c r="J7998">
        <v>-188.78819999999999</v>
      </c>
      <c r="K7998">
        <v>1.114276</v>
      </c>
      <c r="L7998">
        <v>-45.682560000000002</v>
      </c>
      <c r="M7998">
        <v>0.19662019999999999</v>
      </c>
      <c r="N7998">
        <v>0</v>
      </c>
      <c r="O7998">
        <v>0.98037719999999995</v>
      </c>
      <c r="P7998">
        <v>0.1247072</v>
      </c>
      <c r="Q7998">
        <v>3.9553770000000002E-2</v>
      </c>
      <c r="R7998">
        <v>0.99140490000000003</v>
      </c>
      <c r="S7998">
        <v>4.6508790000000001E-2</v>
      </c>
      <c r="T7998">
        <v>-0.23846609999999999</v>
      </c>
      <c r="U7998">
        <v>3.0318909999999999</v>
      </c>
      <c r="V7998">
        <v>-7.3182010000000006E-2</v>
      </c>
      <c r="W7998">
        <v>5.2991179999999999E-2</v>
      </c>
      <c r="X7998">
        <v>0.99590979999999996</v>
      </c>
      <c r="Y7998">
        <v>-0.1816178</v>
      </c>
      <c r="Z7998">
        <v>-7.5461349999999996E-2</v>
      </c>
      <c r="AA7998">
        <v>0.98046960000000005</v>
      </c>
      <c r="AB7998">
        <v>21</v>
      </c>
      <c r="AC7998">
        <v>0.18469999999999201</v>
      </c>
      <c r="AD7998">
        <v>-1.1142799611049901</v>
      </c>
      <c r="AE7998">
        <v>13.971329999999901</v>
      </c>
      <c r="AF7998">
        <v>-2.5500106777433902</v>
      </c>
      <c r="AG7998">
        <v>-1.1142799611049901</v>
      </c>
      <c r="AH7998">
        <v>13.648072086285699</v>
      </c>
      <c r="AI7998">
        <v>94.588436001441394</v>
      </c>
      <c r="AJ7998">
        <v>100.583139821933</v>
      </c>
      <c r="AK7998">
        <v>13.9288924886645</v>
      </c>
      <c r="AL7998">
        <v>86.962406277275605</v>
      </c>
      <c r="AM7998">
        <v>94.202687498361399</v>
      </c>
      <c r="AN7998">
        <v>1.0000000007407299</v>
      </c>
    </row>
    <row r="7999" spans="1:40" x14ac:dyDescent="0.25">
      <c r="A7999" t="str">
        <f>"20190312160523081"</f>
        <v>20190312160523081</v>
      </c>
      <c r="B7999" t="str">
        <f>"1552377923073312"</f>
        <v>1552377923073312</v>
      </c>
      <c r="C7999" t="s">
        <v>40</v>
      </c>
      <c r="D7999">
        <v>5.991886</v>
      </c>
      <c r="E7999">
        <v>0.45917599999999997</v>
      </c>
      <c r="F7999" t="s">
        <v>41</v>
      </c>
      <c r="G7999">
        <v>-188.5849</v>
      </c>
      <c r="H7999" s="1">
        <v>-3.7374570000000001E-6</v>
      </c>
      <c r="I7999">
        <v>-32.24024</v>
      </c>
      <c r="J7999">
        <v>-188.76660000000001</v>
      </c>
      <c r="K7999">
        <v>1.11416</v>
      </c>
      <c r="L7999">
        <v>-45.546750000000003</v>
      </c>
      <c r="M7999">
        <v>0.19206129999999999</v>
      </c>
      <c r="N7999">
        <v>0</v>
      </c>
      <c r="O7999">
        <v>0.98128090000000001</v>
      </c>
      <c r="P7999">
        <v>0.1206971</v>
      </c>
      <c r="Q7999">
        <v>3.9213060000000001E-2</v>
      </c>
      <c r="R7999">
        <v>0.99191459999999998</v>
      </c>
      <c r="S7999">
        <v>4.58374E-2</v>
      </c>
      <c r="T7999">
        <v>-0.25118980000000002</v>
      </c>
      <c r="U7999">
        <v>3.0302730000000002</v>
      </c>
      <c r="V7999">
        <v>-7.2563569999999994E-2</v>
      </c>
      <c r="W7999">
        <v>5.2650240000000001E-2</v>
      </c>
      <c r="X7999">
        <v>0.99597309999999994</v>
      </c>
      <c r="Y7999">
        <v>-0.17725920000000001</v>
      </c>
      <c r="Z7999">
        <v>-7.9648029999999995E-2</v>
      </c>
      <c r="AA7999">
        <v>0.98093600000000003</v>
      </c>
      <c r="AB7999">
        <v>21</v>
      </c>
      <c r="AC7999">
        <v>0.181700000000006</v>
      </c>
      <c r="AD7999">
        <v>-1.1141637374569999</v>
      </c>
      <c r="AE7999">
        <v>13.306509999999999</v>
      </c>
      <c r="AF7999">
        <v>-2.3610550617189601</v>
      </c>
      <c r="AG7999">
        <v>-1.1141637374569999</v>
      </c>
      <c r="AH7999">
        <v>13.0024914076745</v>
      </c>
      <c r="AI7999">
        <v>94.819197543895797</v>
      </c>
      <c r="AJ7999">
        <v>100.291903150408</v>
      </c>
      <c r="AK7999">
        <v>13.2620030404529</v>
      </c>
      <c r="AL7999">
        <v>86.981967908537399</v>
      </c>
      <c r="AM7999">
        <v>94.167033530438701</v>
      </c>
      <c r="AN7999">
        <v>0.99999996769340505</v>
      </c>
    </row>
    <row r="8000" spans="1:40" x14ac:dyDescent="0.25">
      <c r="A8000" t="str">
        <f>"20190312160523099"</f>
        <v>20190312160523099</v>
      </c>
      <c r="B8000" t="str">
        <f>"1552377923092832"</f>
        <v>1552377923092832</v>
      </c>
      <c r="C8000" t="s">
        <v>40</v>
      </c>
      <c r="D8000">
        <v>6.0358179999999999</v>
      </c>
      <c r="E8000">
        <v>0.46009430000000001</v>
      </c>
      <c r="F8000" t="s">
        <v>41</v>
      </c>
      <c r="G8000">
        <v>-188.58090000000001</v>
      </c>
      <c r="H8000" s="1">
        <v>-3.8135250000000001E-6</v>
      </c>
      <c r="I8000">
        <v>-32.064579999999999</v>
      </c>
      <c r="J8000">
        <v>-188.74039999999999</v>
      </c>
      <c r="K8000">
        <v>1.1140019999999999</v>
      </c>
      <c r="L8000">
        <v>-45.378509999999999</v>
      </c>
      <c r="M8000">
        <v>0.1865918</v>
      </c>
      <c r="N8000">
        <v>0</v>
      </c>
      <c r="O8000">
        <v>0.98233610000000005</v>
      </c>
      <c r="P8000">
        <v>0.1164114</v>
      </c>
      <c r="Q8000">
        <v>3.9096209999999999E-2</v>
      </c>
      <c r="R8000">
        <v>0.99243130000000002</v>
      </c>
      <c r="S8000">
        <v>4.1732789999999999E-2</v>
      </c>
      <c r="T8000">
        <v>-0.25033810000000001</v>
      </c>
      <c r="U8000">
        <v>3.0292659999999998</v>
      </c>
      <c r="V8000">
        <v>-7.1295440000000002E-2</v>
      </c>
      <c r="W8000">
        <v>5.253882E-2</v>
      </c>
      <c r="X8000">
        <v>0.99607060000000003</v>
      </c>
      <c r="Y8000">
        <v>-0.17309910000000001</v>
      </c>
      <c r="Z8000">
        <v>-7.9567159999999998E-2</v>
      </c>
      <c r="AA8000">
        <v>0.98168520000000004</v>
      </c>
      <c r="AB8000">
        <v>21</v>
      </c>
      <c r="AC8000">
        <v>0.15949999999997999</v>
      </c>
      <c r="AD8000">
        <v>-1.1140058135249999</v>
      </c>
      <c r="AE8000">
        <v>13.313929999999999</v>
      </c>
      <c r="AF8000">
        <v>-2.3116379784659702</v>
      </c>
      <c r="AG8000">
        <v>-1.1140058135249999</v>
      </c>
      <c r="AH8000">
        <v>13.018690580299401</v>
      </c>
      <c r="AI8000">
        <v>94.815902594591094</v>
      </c>
      <c r="AJ8000">
        <v>100.06866964778099</v>
      </c>
      <c r="AK8000">
        <v>13.269174183860599</v>
      </c>
      <c r="AL8000">
        <v>86.988360761152805</v>
      </c>
      <c r="AM8000">
        <v>94.094060378208496</v>
      </c>
      <c r="AN8000">
        <v>1.0000000037780701</v>
      </c>
    </row>
    <row r="8001" spans="1:40" x14ac:dyDescent="0.25">
      <c r="A8001" t="str">
        <f>"20190312160523114"</f>
        <v>20190312160523114</v>
      </c>
      <c r="B8001" t="str">
        <f>"1552377923102593"</f>
        <v>1552377923102593</v>
      </c>
      <c r="C8001" t="s">
        <v>40</v>
      </c>
      <c r="D8001">
        <v>6.0825740000000001</v>
      </c>
      <c r="E8001">
        <v>0.46009430000000001</v>
      </c>
      <c r="F8001" t="s">
        <v>41</v>
      </c>
      <c r="G8001">
        <v>-188.5813</v>
      </c>
      <c r="H8001" s="1">
        <v>-3.8287850000000003E-6</v>
      </c>
      <c r="I8001">
        <v>-32.028840000000002</v>
      </c>
      <c r="J8001">
        <v>-188.72110000000001</v>
      </c>
      <c r="K8001">
        <v>1.1138760000000001</v>
      </c>
      <c r="L8001">
        <v>-45.251069999999999</v>
      </c>
      <c r="M8001">
        <v>0.18258530000000001</v>
      </c>
      <c r="N8001">
        <v>0</v>
      </c>
      <c r="O8001">
        <v>0.98308910000000005</v>
      </c>
      <c r="P8001">
        <v>0.11275399999999999</v>
      </c>
      <c r="Q8001">
        <v>3.9433320000000001E-2</v>
      </c>
      <c r="R8001">
        <v>0.99284019999999995</v>
      </c>
      <c r="S8001">
        <v>3.6102290000000002E-2</v>
      </c>
      <c r="T8001">
        <v>-0.25273069999999997</v>
      </c>
      <c r="U8001">
        <v>3.0285950000000001</v>
      </c>
      <c r="V8001">
        <v>-7.0888069999999997E-2</v>
      </c>
      <c r="W8001">
        <v>5.2873570000000002E-2</v>
      </c>
      <c r="X8001">
        <v>0.99608189999999996</v>
      </c>
      <c r="Y8001">
        <v>-0.1709058</v>
      </c>
      <c r="Z8001">
        <v>-8.0450590000000002E-2</v>
      </c>
      <c r="AA8001">
        <v>0.98199740000000002</v>
      </c>
      <c r="AB8001">
        <v>21</v>
      </c>
      <c r="AC8001">
        <v>0.139800000000008</v>
      </c>
      <c r="AD8001">
        <v>-1.113879828785</v>
      </c>
      <c r="AE8001">
        <v>13.2222299999999</v>
      </c>
      <c r="AF8001">
        <v>-2.2609311398176599</v>
      </c>
      <c r="AG8001">
        <v>-1.113879828785</v>
      </c>
      <c r="AH8001">
        <v>12.9336695982091</v>
      </c>
      <c r="AI8001">
        <v>94.849134595416601</v>
      </c>
      <c r="AJ8001">
        <v>99.915666792706503</v>
      </c>
      <c r="AK8001">
        <v>13.1769627444116</v>
      </c>
      <c r="AL8001">
        <v>86.969154116330003</v>
      </c>
      <c r="AM8001">
        <v>94.070700456208499</v>
      </c>
      <c r="AN8001">
        <v>0.99999994219023802</v>
      </c>
    </row>
    <row r="8002" spans="1:40" x14ac:dyDescent="0.25">
      <c r="A8002" t="str">
        <f>"20190312160523135"</f>
        <v>20190312160523135</v>
      </c>
      <c r="B8002" t="str">
        <f>"1552377923132848"</f>
        <v>1552377923132848</v>
      </c>
      <c r="C8002" t="s">
        <v>40</v>
      </c>
      <c r="D8002">
        <v>5.9236050000000002</v>
      </c>
      <c r="E8002">
        <v>0.4614934</v>
      </c>
      <c r="F8002" t="s">
        <v>41</v>
      </c>
      <c r="G8002">
        <v>-188.6104</v>
      </c>
      <c r="H8002" s="1">
        <v>-3.8984130000000004E-6</v>
      </c>
      <c r="I8002">
        <v>-31.854510000000001</v>
      </c>
      <c r="J8002">
        <v>-188.69110000000001</v>
      </c>
      <c r="K8002">
        <v>1.1136760000000001</v>
      </c>
      <c r="L8002">
        <v>-45.048609999999996</v>
      </c>
      <c r="M8002">
        <v>0.17646919999999999</v>
      </c>
      <c r="N8002">
        <v>0</v>
      </c>
      <c r="O8002">
        <v>0.98420600000000003</v>
      </c>
      <c r="P8002">
        <v>0.1072809</v>
      </c>
      <c r="Q8002">
        <v>3.924184E-2</v>
      </c>
      <c r="R8002">
        <v>0.99345399999999995</v>
      </c>
      <c r="S8002">
        <v>2.502441E-2</v>
      </c>
      <c r="T8002">
        <v>-0.25183309999999998</v>
      </c>
      <c r="U8002">
        <v>3.028778</v>
      </c>
      <c r="V8002">
        <v>-7.0157330000000004E-2</v>
      </c>
      <c r="W8002">
        <v>5.2681190000000003E-2</v>
      </c>
      <c r="X8002">
        <v>0.99614389999999997</v>
      </c>
      <c r="Y8002">
        <v>-0.1683711</v>
      </c>
      <c r="Z8002">
        <v>-8.0319799999999997E-2</v>
      </c>
      <c r="AA8002">
        <v>0.98244589999999998</v>
      </c>
      <c r="AB8002">
        <v>21</v>
      </c>
      <c r="AC8002">
        <v>8.0700000000007294E-2</v>
      </c>
      <c r="AD8002">
        <v>-1.1136798984129901</v>
      </c>
      <c r="AE8002">
        <v>13.194100000000001</v>
      </c>
      <c r="AF8002">
        <v>-2.2332382311763399</v>
      </c>
      <c r="AG8002">
        <v>-1.1136798984129901</v>
      </c>
      <c r="AH8002">
        <v>12.909265180378799</v>
      </c>
      <c r="AI8002">
        <v>94.858871032284299</v>
      </c>
      <c r="AJ8002">
        <v>99.814742821745099</v>
      </c>
      <c r="AK8002">
        <v>13.148260851179399</v>
      </c>
      <c r="AL8002">
        <v>86.980192280017803</v>
      </c>
      <c r="AM8002">
        <v>94.0286271650088</v>
      </c>
      <c r="AN8002">
        <v>1.0000000141198699</v>
      </c>
    </row>
    <row r="8003" spans="1:40" x14ac:dyDescent="0.25">
      <c r="A8003" t="str">
        <f>"20190312160523157"</f>
        <v>20190312160523157</v>
      </c>
      <c r="B8003" t="str">
        <f>"1552377923153344"</f>
        <v>1552377923153344</v>
      </c>
      <c r="C8003" t="s">
        <v>40</v>
      </c>
      <c r="D8003">
        <v>5.8771529999999998</v>
      </c>
      <c r="E8003">
        <v>0.4619819</v>
      </c>
      <c r="F8003" t="s">
        <v>41</v>
      </c>
      <c r="G8003">
        <v>-188.60220000000001</v>
      </c>
      <c r="H8003" s="1">
        <v>-4.1047440000000002E-6</v>
      </c>
      <c r="I8003">
        <v>-31.376919999999998</v>
      </c>
      <c r="J8003">
        <v>-188.6636</v>
      </c>
      <c r="K8003">
        <v>1.113499</v>
      </c>
      <c r="L8003">
        <v>-44.856929999999998</v>
      </c>
      <c r="M8003">
        <v>0.17094000000000001</v>
      </c>
      <c r="N8003">
        <v>0</v>
      </c>
      <c r="O8003">
        <v>0.98518190000000005</v>
      </c>
      <c r="P8003">
        <v>0.1024098</v>
      </c>
      <c r="Q8003">
        <v>3.9267799999999999E-2</v>
      </c>
      <c r="R8003">
        <v>0.99396689999999999</v>
      </c>
      <c r="S8003">
        <v>1.9683840000000001E-2</v>
      </c>
      <c r="T8003">
        <v>-0.2466063</v>
      </c>
      <c r="U8003">
        <v>3.027374</v>
      </c>
      <c r="V8003">
        <v>-6.9423349999999995E-2</v>
      </c>
      <c r="W8003">
        <v>5.270644E-2</v>
      </c>
      <c r="X8003">
        <v>0.99619389999999997</v>
      </c>
      <c r="Y8003">
        <v>-0.16456370000000001</v>
      </c>
      <c r="Z8003">
        <v>-7.8845129999999999E-2</v>
      </c>
      <c r="AA8003">
        <v>0.98321009999999998</v>
      </c>
      <c r="AB8003">
        <v>21</v>
      </c>
      <c r="AC8003">
        <v>6.1399999999991899E-2</v>
      </c>
      <c r="AD8003">
        <v>-1.113503104744</v>
      </c>
      <c r="AE8003">
        <v>13.480009999999901</v>
      </c>
      <c r="AF8003">
        <v>-2.2287951199400702</v>
      </c>
      <c r="AG8003">
        <v>-1.113503104744</v>
      </c>
      <c r="AH8003">
        <v>13.201980341660599</v>
      </c>
      <c r="AI8003">
        <v>94.754165399524993</v>
      </c>
      <c r="AJ8003">
        <v>99.582477808819903</v>
      </c>
      <c r="AK8003">
        <v>13.435017744407199</v>
      </c>
      <c r="AL8003">
        <v>86.978743289593496</v>
      </c>
      <c r="AM8003">
        <v>93.986417178978002</v>
      </c>
      <c r="AN8003">
        <v>0.99999992836995</v>
      </c>
    </row>
    <row r="8004" spans="1:40" x14ac:dyDescent="0.25">
      <c r="A8004" t="str">
        <f>"20190312160523179"</f>
        <v>20190312160523179</v>
      </c>
      <c r="B8004" t="str">
        <f>"1552377923172864"</f>
        <v>1552377923172864</v>
      </c>
      <c r="C8004" t="s">
        <v>40</v>
      </c>
      <c r="D8004">
        <v>5.855321</v>
      </c>
      <c r="E8004">
        <v>0.47161579999999897</v>
      </c>
      <c r="F8004" t="s">
        <v>41</v>
      </c>
      <c r="G8004">
        <v>-188.6216</v>
      </c>
      <c r="H8004" s="1">
        <v>-4.2462199999999998E-6</v>
      </c>
      <c r="I8004">
        <v>-31.03913</v>
      </c>
      <c r="J8004">
        <v>-188.63499999999999</v>
      </c>
      <c r="K8004">
        <v>1.113327</v>
      </c>
      <c r="L8004">
        <v>-44.651730000000001</v>
      </c>
      <c r="M8004">
        <v>0.16529630000000001</v>
      </c>
      <c r="N8004">
        <v>0</v>
      </c>
      <c r="O8004">
        <v>0.98614500000000005</v>
      </c>
      <c r="P8004">
        <v>9.7460779999999997E-2</v>
      </c>
      <c r="Q8004">
        <v>3.9140460000000002E-2</v>
      </c>
      <c r="R8004">
        <v>0.99446939999999995</v>
      </c>
      <c r="S8004">
        <v>9.2010500000000005E-3</v>
      </c>
      <c r="T8004">
        <v>-0.24392079999999999</v>
      </c>
      <c r="U8004">
        <v>3.0268860000000002</v>
      </c>
      <c r="V8004">
        <v>-6.8655690000000005E-2</v>
      </c>
      <c r="W8004">
        <v>5.2576909999999998E-2</v>
      </c>
      <c r="X8004">
        <v>0.99625399999999997</v>
      </c>
      <c r="Y8004">
        <v>-0.16231960000000001</v>
      </c>
      <c r="Z8004">
        <v>-7.8135739999999995E-2</v>
      </c>
      <c r="AA8004">
        <v>0.98363970000000001</v>
      </c>
      <c r="AB8004">
        <v>21</v>
      </c>
      <c r="AC8004">
        <v>1.339999999999E-2</v>
      </c>
      <c r="AD8004">
        <v>-1.11333124622</v>
      </c>
      <c r="AE8004">
        <v>13.6126</v>
      </c>
      <c r="AF8004">
        <v>-2.2222515800834799</v>
      </c>
      <c r="AG8004">
        <v>-1.11333124622</v>
      </c>
      <c r="AH8004">
        <v>13.338301869800601</v>
      </c>
      <c r="AI8004">
        <v>94.706766165956793</v>
      </c>
      <c r="AJ8004">
        <v>99.458983888340896</v>
      </c>
      <c r="AK8004">
        <v>13.567910867886701</v>
      </c>
      <c r="AL8004">
        <v>86.986175284372706</v>
      </c>
      <c r="AM8004">
        <v>93.942239418038895</v>
      </c>
      <c r="AN8004">
        <v>0.99999998387526201</v>
      </c>
    </row>
    <row r="8005" spans="1:40" x14ac:dyDescent="0.25">
      <c r="A8005" t="str">
        <f>"20190312160523202"</f>
        <v>20190312160523202</v>
      </c>
      <c r="B8005" t="str">
        <f>"1552377923193361"</f>
        <v>1552377923193361</v>
      </c>
      <c r="C8005" t="s">
        <v>40</v>
      </c>
      <c r="D8005">
        <v>5.8733559999999896</v>
      </c>
      <c r="E8005">
        <v>0.47187269999999998</v>
      </c>
      <c r="F8005" t="s">
        <v>41</v>
      </c>
      <c r="G8005">
        <v>-188.27080000000001</v>
      </c>
      <c r="H8005" s="1">
        <v>-9.0383509999999999E-7</v>
      </c>
      <c r="I8005">
        <v>-29.04795</v>
      </c>
      <c r="J8005">
        <v>-188.60820000000001</v>
      </c>
      <c r="K8005">
        <v>1.1131770000000001</v>
      </c>
      <c r="L8005">
        <v>-44.454219999999999</v>
      </c>
      <c r="M8005">
        <v>0.16014200000000001</v>
      </c>
      <c r="N8005">
        <v>0</v>
      </c>
      <c r="O8005">
        <v>0.98699559999999997</v>
      </c>
      <c r="P8005">
        <v>9.2955350000000006E-2</v>
      </c>
      <c r="Q8005">
        <v>3.8519770000000002E-2</v>
      </c>
      <c r="R8005">
        <v>0.9949249</v>
      </c>
      <c r="S8005">
        <v>7.0434570000000002E-2</v>
      </c>
      <c r="T8005">
        <v>-0.21535180000000001</v>
      </c>
      <c r="U8005">
        <v>3.0182500000000001</v>
      </c>
      <c r="V8005">
        <v>-6.7942459999999996E-2</v>
      </c>
      <c r="W8005">
        <v>5.1953590000000001E-2</v>
      </c>
      <c r="X8005">
        <v>0.99633559999999999</v>
      </c>
      <c r="Y8005">
        <v>-0.1371404</v>
      </c>
      <c r="Z8005">
        <v>-6.9447499999999995E-2</v>
      </c>
      <c r="AA8005">
        <v>0.9881141</v>
      </c>
      <c r="AB8005">
        <v>21</v>
      </c>
      <c r="AC8005">
        <v>0.33740000000000198</v>
      </c>
      <c r="AD8005">
        <v>-1.1131779038351</v>
      </c>
      <c r="AE8005">
        <v>15.406269999999999</v>
      </c>
      <c r="AF8005">
        <v>-2.1233058940117102</v>
      </c>
      <c r="AG8005">
        <v>-1.1131779038351</v>
      </c>
      <c r="AH8005">
        <v>15.1822100114048</v>
      </c>
      <c r="AI8005">
        <v>94.1532145354943</v>
      </c>
      <c r="AJ8005">
        <v>97.961454323037501</v>
      </c>
      <c r="AK8005">
        <v>15.3703316098103</v>
      </c>
      <c r="AL8005">
        <v>87.021937789696594</v>
      </c>
      <c r="AM8005">
        <v>93.901094037737494</v>
      </c>
      <c r="AN8005">
        <v>0.99999999060604905</v>
      </c>
    </row>
    <row r="8006" spans="1:40" x14ac:dyDescent="0.25">
      <c r="A8006" t="str">
        <f>"20190312160523223"</f>
        <v>20190312160523223</v>
      </c>
      <c r="B8006" t="str">
        <f>"1552377923212880"</f>
        <v>1552377923212880</v>
      </c>
      <c r="C8006" t="s">
        <v>40</v>
      </c>
      <c r="D8006">
        <v>5.8368630000000001</v>
      </c>
      <c r="E8006">
        <v>0.4726514</v>
      </c>
      <c r="F8006" t="s">
        <v>41</v>
      </c>
      <c r="G8006">
        <v>-188.31370000000001</v>
      </c>
      <c r="H8006" s="1">
        <v>-7.9904539999999898E-7</v>
      </c>
      <c r="I8006">
        <v>-29.322340000000001</v>
      </c>
      <c r="J8006">
        <v>-188.5822</v>
      </c>
      <c r="K8006">
        <v>1.1130279999999999</v>
      </c>
      <c r="L8006">
        <v>-44.256349999999998</v>
      </c>
      <c r="M8006">
        <v>0.15525369999999999</v>
      </c>
      <c r="N8006">
        <v>0</v>
      </c>
      <c r="O8006">
        <v>0.98777680000000001</v>
      </c>
      <c r="P8006">
        <v>8.8300390000000006E-2</v>
      </c>
      <c r="Q8006">
        <v>3.8794740000000001E-2</v>
      </c>
      <c r="R8006">
        <v>0.9953381</v>
      </c>
      <c r="S8006">
        <v>5.8746340000000001E-2</v>
      </c>
      <c r="T8006">
        <v>-0.22204889999999999</v>
      </c>
      <c r="U8006">
        <v>3.018402</v>
      </c>
      <c r="V8006">
        <v>-6.7650740000000001E-2</v>
      </c>
      <c r="W8006">
        <v>5.2222159999999997E-2</v>
      </c>
      <c r="X8006">
        <v>0.99634140000000004</v>
      </c>
      <c r="Y8006">
        <v>-0.13606499999999999</v>
      </c>
      <c r="Z8006">
        <v>-7.1686260000000002E-2</v>
      </c>
      <c r="AA8006">
        <v>0.98810290000000001</v>
      </c>
      <c r="AB8006">
        <v>21</v>
      </c>
      <c r="AC8006">
        <v>0.26849999999998803</v>
      </c>
      <c r="AD8006">
        <v>-1.1130287990454</v>
      </c>
      <c r="AE8006">
        <v>14.934009999999899</v>
      </c>
      <c r="AF8006">
        <v>-2.0422005752912402</v>
      </c>
      <c r="AG8006">
        <v>-1.1130287990454</v>
      </c>
      <c r="AH8006">
        <v>14.7128849352667</v>
      </c>
      <c r="AI8006">
        <v>94.2852532294296</v>
      </c>
      <c r="AJ8006">
        <v>97.902365301479605</v>
      </c>
      <c r="AK8006">
        <v>14.895583218377899</v>
      </c>
      <c r="AL8006">
        <v>87.006528915750295</v>
      </c>
      <c r="AM8006">
        <v>93.884373014972795</v>
      </c>
      <c r="AN8006">
        <v>0.99999998098578602</v>
      </c>
    </row>
    <row r="8007" spans="1:40" x14ac:dyDescent="0.25">
      <c r="A8007" t="str">
        <f>"20190312160523239"</f>
        <v>20190312160523239</v>
      </c>
      <c r="B8007" t="str">
        <f>"1552377923233377"</f>
        <v>1552377923233377</v>
      </c>
      <c r="C8007" t="s">
        <v>40</v>
      </c>
      <c r="D8007">
        <v>5.8205039999999997</v>
      </c>
      <c r="E8007">
        <v>0.47345520000000002</v>
      </c>
      <c r="F8007" t="s">
        <v>41</v>
      </c>
      <c r="G8007">
        <v>-188.3271</v>
      </c>
      <c r="H8007" s="1">
        <v>-8.373739E-7</v>
      </c>
      <c r="I8007">
        <v>-29.199290000000001</v>
      </c>
      <c r="J8007">
        <v>-188.56399999999999</v>
      </c>
      <c r="K8007">
        <v>1.11291299999999</v>
      </c>
      <c r="L8007">
        <v>-44.114530000000002</v>
      </c>
      <c r="M8007">
        <v>0.15192890000000001</v>
      </c>
      <c r="N8007">
        <v>0</v>
      </c>
      <c r="O8007">
        <v>0.98829389999999995</v>
      </c>
      <c r="P8007">
        <v>8.5365650000000001E-2</v>
      </c>
      <c r="Q8007">
        <v>3.9001590000000003E-2</v>
      </c>
      <c r="R8007">
        <v>0.99558599999999997</v>
      </c>
      <c r="S8007">
        <v>5.1147459999999999E-2</v>
      </c>
      <c r="T8007">
        <v>-0.2231089</v>
      </c>
      <c r="U8007">
        <v>3.0182190000000002</v>
      </c>
      <c r="V8007">
        <v>-6.7220059999999998E-2</v>
      </c>
      <c r="W8007">
        <v>5.2427389999999997E-2</v>
      </c>
      <c r="X8007">
        <v>0.99635980000000002</v>
      </c>
      <c r="Y8007">
        <v>-0.13521739999999999</v>
      </c>
      <c r="Z8007">
        <v>-7.2093840000000006E-2</v>
      </c>
      <c r="AA8007">
        <v>0.9881896</v>
      </c>
      <c r="AB8007">
        <v>21</v>
      </c>
      <c r="AC8007">
        <v>0.23690000000001901</v>
      </c>
      <c r="AD8007">
        <v>-1.11291383737389</v>
      </c>
      <c r="AE8007">
        <v>14.915239999999899</v>
      </c>
      <c r="AF8007">
        <v>-2.0208766098447999</v>
      </c>
      <c r="AG8007">
        <v>-1.11291383737389</v>
      </c>
      <c r="AH8007">
        <v>14.696255950929499</v>
      </c>
      <c r="AI8007">
        <v>94.290392220022696</v>
      </c>
      <c r="AJ8007">
        <v>97.829617615003698</v>
      </c>
      <c r="AK8007">
        <v>14.876238047869</v>
      </c>
      <c r="AL8007">
        <v>86.994754057811306</v>
      </c>
      <c r="AM8007">
        <v>93.859648133450904</v>
      </c>
      <c r="AN8007">
        <v>1.00000000937232</v>
      </c>
    </row>
    <row r="8008" spans="1:40" x14ac:dyDescent="0.25">
      <c r="A8008" t="str">
        <f>"20190312160523257"</f>
        <v>20190312160523257</v>
      </c>
      <c r="B8008" t="str">
        <f>"1552377923252896"</f>
        <v>1552377923252896</v>
      </c>
      <c r="C8008" t="s">
        <v>40</v>
      </c>
      <c r="D8008">
        <v>5.8410539999999997</v>
      </c>
      <c r="E8008">
        <v>0.47391909999999998</v>
      </c>
      <c r="F8008" t="s">
        <v>41</v>
      </c>
      <c r="G8008">
        <v>-188.32140000000001</v>
      </c>
      <c r="H8008" s="1">
        <v>-8.4650569999999999E-7</v>
      </c>
      <c r="I8008">
        <v>-29.1769</v>
      </c>
      <c r="J8008">
        <v>-188.54349999999999</v>
      </c>
      <c r="K8008">
        <v>1.112771</v>
      </c>
      <c r="L8008">
        <v>-43.9512</v>
      </c>
      <c r="M8008">
        <v>0.14825920000000001</v>
      </c>
      <c r="N8008">
        <v>0</v>
      </c>
      <c r="O8008">
        <v>0.98885149999999999</v>
      </c>
      <c r="P8008">
        <v>8.3071240000000005E-2</v>
      </c>
      <c r="Q8008">
        <v>3.9248070000000003E-2</v>
      </c>
      <c r="R8008">
        <v>0.9957705</v>
      </c>
      <c r="S8008">
        <v>4.9026489999999999E-2</v>
      </c>
      <c r="T8008">
        <v>-0.22484689999999999</v>
      </c>
      <c r="U8008">
        <v>3.0179140000000002</v>
      </c>
      <c r="V8008">
        <v>-6.5799040000000003E-2</v>
      </c>
      <c r="W8008">
        <v>5.2679770000000001E-2</v>
      </c>
      <c r="X8008">
        <v>0.99644129999999997</v>
      </c>
      <c r="Y8008">
        <v>-0.13223209999999999</v>
      </c>
      <c r="Z8008">
        <v>-7.2737040000000003E-2</v>
      </c>
      <c r="AA8008">
        <v>0.98854640000000005</v>
      </c>
      <c r="AB8008">
        <v>21</v>
      </c>
      <c r="AC8008">
        <v>0.22209999999998301</v>
      </c>
      <c r="AD8008">
        <v>-1.1127718465056999</v>
      </c>
      <c r="AE8008">
        <v>14.7743</v>
      </c>
      <c r="AF8008">
        <v>-1.9598756312590699</v>
      </c>
      <c r="AG8008">
        <v>-1.1127718465056999</v>
      </c>
      <c r="AH8008">
        <v>14.5613373134347</v>
      </c>
      <c r="AI8008">
        <v>94.331123988738995</v>
      </c>
      <c r="AJ8008">
        <v>97.665627859535604</v>
      </c>
      <c r="AK8008">
        <v>14.7347181183762</v>
      </c>
      <c r="AL8008">
        <v>86.980273614025904</v>
      </c>
      <c r="AM8008">
        <v>93.777986603119999</v>
      </c>
      <c r="AN8008">
        <v>0.99999996808893099</v>
      </c>
    </row>
    <row r="8009" spans="1:40" x14ac:dyDescent="0.25">
      <c r="A8009" t="str">
        <f>"20190312160523272"</f>
        <v>20190312160523272</v>
      </c>
      <c r="B8009" t="str">
        <f>"1552377923262658"</f>
        <v>1552377923262658</v>
      </c>
      <c r="C8009" t="s">
        <v>40</v>
      </c>
      <c r="D8009">
        <v>5.8940390000000003</v>
      </c>
      <c r="E8009">
        <v>0.47391909999999998</v>
      </c>
      <c r="F8009" t="s">
        <v>41</v>
      </c>
      <c r="G8009">
        <v>-188.3081</v>
      </c>
      <c r="H8009" s="1">
        <v>-1.107101E-6</v>
      </c>
      <c r="I8009">
        <v>-28.486129999999999</v>
      </c>
      <c r="J8009">
        <v>-188.5258</v>
      </c>
      <c r="K8009">
        <v>1.11264599999999</v>
      </c>
      <c r="L8009">
        <v>-43.808140000000002</v>
      </c>
      <c r="M8009">
        <v>0.14518310000000001</v>
      </c>
      <c r="N8009">
        <v>0</v>
      </c>
      <c r="O8009">
        <v>0.98930810000000002</v>
      </c>
      <c r="P8009">
        <v>8.1004129999999994E-2</v>
      </c>
      <c r="Q8009">
        <v>3.950919E-2</v>
      </c>
      <c r="R8009">
        <v>0.99593039999999999</v>
      </c>
      <c r="S8009">
        <v>4.5928959999999998E-2</v>
      </c>
      <c r="T8009">
        <v>-0.2171199</v>
      </c>
      <c r="U8009">
        <v>3.017487</v>
      </c>
      <c r="V8009">
        <v>-6.4751359999999994E-2</v>
      </c>
      <c r="W8009">
        <v>5.2944999999999999E-2</v>
      </c>
      <c r="X8009">
        <v>0.99649589999999999</v>
      </c>
      <c r="Y8009">
        <v>-0.13015879999999999</v>
      </c>
      <c r="Z8009">
        <v>-7.0319720000000002E-2</v>
      </c>
      <c r="AA8009">
        <v>0.9889964</v>
      </c>
      <c r="AB8009">
        <v>21</v>
      </c>
      <c r="AC8009">
        <v>0.217700000000007</v>
      </c>
      <c r="AD8009">
        <v>-1.11264710710099</v>
      </c>
      <c r="AE8009">
        <v>15.322010000000001</v>
      </c>
      <c r="AF8009">
        <v>-1.99877873305779</v>
      </c>
      <c r="AG8009">
        <v>-1.11264710710099</v>
      </c>
      <c r="AH8009">
        <v>15.111576498047</v>
      </c>
      <c r="AI8009">
        <v>94.174790287543203</v>
      </c>
      <c r="AJ8009">
        <v>97.534664831462706</v>
      </c>
      <c r="AK8009">
        <v>15.283744445161</v>
      </c>
      <c r="AL8009">
        <v>86.965055899033402</v>
      </c>
      <c r="AM8009">
        <v>93.717798851952296</v>
      </c>
      <c r="AN8009">
        <v>0.99999999518182903</v>
      </c>
    </row>
    <row r="8010" spans="1:40" x14ac:dyDescent="0.25">
      <c r="A8010" t="str">
        <f>"20190312160523290"</f>
        <v>20190312160523290</v>
      </c>
      <c r="B8010" t="str">
        <f>"1552377923283152"</f>
        <v>1552377923283152</v>
      </c>
      <c r="C8010" t="s">
        <v>40</v>
      </c>
      <c r="D8010">
        <v>5.8665479999999999</v>
      </c>
      <c r="E8010">
        <v>0.47424230000000001</v>
      </c>
      <c r="F8010" t="s">
        <v>41</v>
      </c>
      <c r="G8010">
        <v>-188.32089999999999</v>
      </c>
      <c r="H8010" s="1">
        <v>-1.186716E-6</v>
      </c>
      <c r="I8010">
        <v>-28.295249999999999</v>
      </c>
      <c r="J8010">
        <v>-188.50579999999999</v>
      </c>
      <c r="K8010">
        <v>1.1125119999999999</v>
      </c>
      <c r="L8010">
        <v>-43.644100000000002</v>
      </c>
      <c r="M8010">
        <v>0.1418152</v>
      </c>
      <c r="N8010">
        <v>0</v>
      </c>
      <c r="O8010">
        <v>0.98979680000000003</v>
      </c>
      <c r="P8010">
        <v>7.8548450000000006E-2</v>
      </c>
      <c r="Q8010">
        <v>3.9635429999999999E-2</v>
      </c>
      <c r="R8010">
        <v>0.99612210000000001</v>
      </c>
      <c r="S8010">
        <v>3.9855960000000003E-2</v>
      </c>
      <c r="T8010">
        <v>-0.21643519999999999</v>
      </c>
      <c r="U8010">
        <v>3.0176090000000002</v>
      </c>
      <c r="V8010">
        <v>-6.3797699999999999E-2</v>
      </c>
      <c r="W8010">
        <v>5.307547E-2</v>
      </c>
      <c r="X8010">
        <v>0.99655050000000001</v>
      </c>
      <c r="Y8010">
        <v>-0.12877459999999999</v>
      </c>
      <c r="Z8010">
        <v>-7.0156010000000005E-2</v>
      </c>
      <c r="AA8010">
        <v>0.98918919999999999</v>
      </c>
      <c r="AB8010">
        <v>21</v>
      </c>
      <c r="AC8010">
        <v>0.18489999999999801</v>
      </c>
      <c r="AD8010">
        <v>-1.1125131867160001</v>
      </c>
      <c r="AE8010">
        <v>15.348850000000001</v>
      </c>
      <c r="AF8010">
        <v>-1.98345814975242</v>
      </c>
      <c r="AG8010">
        <v>-1.1125131867160001</v>
      </c>
      <c r="AH8010">
        <v>15.1403855752094</v>
      </c>
      <c r="AI8010">
        <v>94.167053607628006</v>
      </c>
      <c r="AJ8010">
        <v>97.463500130618002</v>
      </c>
      <c r="AK8010">
        <v>15.310227535489</v>
      </c>
      <c r="AL8010">
        <v>86.957570085690193</v>
      </c>
      <c r="AM8010">
        <v>93.662993044013604</v>
      </c>
      <c r="AN8010">
        <v>1.0000000255456301</v>
      </c>
    </row>
    <row r="8011" spans="1:40" x14ac:dyDescent="0.25">
      <c r="A8011" t="str">
        <f>"20190312160523312"</f>
        <v>20190312160523312</v>
      </c>
      <c r="B8011" t="str">
        <f>"1552377923302676"</f>
        <v>1552377923302676</v>
      </c>
      <c r="C8011" t="s">
        <v>40</v>
      </c>
      <c r="D8011">
        <v>5.7679159999999996</v>
      </c>
      <c r="E8011">
        <v>0.48012860000000002</v>
      </c>
      <c r="F8011" t="s">
        <v>41</v>
      </c>
      <c r="G8011">
        <v>-188.1712</v>
      </c>
      <c r="H8011" s="1">
        <v>-3.0963260000000002E-6</v>
      </c>
      <c r="I8011">
        <v>-13.905779999999901</v>
      </c>
      <c r="J8011">
        <v>-188.4819</v>
      </c>
      <c r="K8011">
        <v>1.112347</v>
      </c>
      <c r="L8011">
        <v>-43.44406</v>
      </c>
      <c r="M8011">
        <v>0.13794300000000001</v>
      </c>
      <c r="N8011">
        <v>0</v>
      </c>
      <c r="O8011">
        <v>0.99034429999999996</v>
      </c>
      <c r="P8011">
        <v>7.5264049999999999E-2</v>
      </c>
      <c r="Q8011">
        <v>3.9458269999999997E-2</v>
      </c>
      <c r="R8011">
        <v>0.99638269999999995</v>
      </c>
      <c r="S8011">
        <v>3.3905030000000003E-2</v>
      </c>
      <c r="T8011">
        <v>-0.112735</v>
      </c>
      <c r="U8011">
        <v>3.0134889999999999</v>
      </c>
      <c r="V8011">
        <v>-6.3165319999999997E-2</v>
      </c>
      <c r="W8011">
        <v>5.2898809999999997E-2</v>
      </c>
      <c r="X8011">
        <v>0.99660020000000005</v>
      </c>
      <c r="Y8011">
        <v>-0.1268118</v>
      </c>
      <c r="Z8011">
        <v>-3.6696020000000003E-2</v>
      </c>
      <c r="AA8011">
        <v>0.99124780000000001</v>
      </c>
      <c r="AB8011">
        <v>21</v>
      </c>
      <c r="AC8011">
        <v>0.31069999999999698</v>
      </c>
      <c r="AD8011">
        <v>-1.112350096326</v>
      </c>
      <c r="AE8011">
        <v>29.53828</v>
      </c>
      <c r="AF8011">
        <v>-3.76192243248166</v>
      </c>
      <c r="AG8011">
        <v>-1.112350096326</v>
      </c>
      <c r="AH8011">
        <v>29.2572224840724</v>
      </c>
      <c r="AI8011">
        <v>92.159556407969106</v>
      </c>
      <c r="AJ8011">
        <v>97.326945196628699</v>
      </c>
      <c r="AK8011">
        <v>29.519052332473699</v>
      </c>
      <c r="AL8011">
        <v>86.9677062719296</v>
      </c>
      <c r="AM8011">
        <v>93.626601479061605</v>
      </c>
      <c r="AN8011">
        <v>1.0000000501950701</v>
      </c>
    </row>
    <row r="8012" spans="1:40" x14ac:dyDescent="0.25">
      <c r="A8012" t="str">
        <f>"20190312160523336"</f>
        <v>20190312160523336</v>
      </c>
      <c r="B8012" t="str">
        <f>"1552377923323172"</f>
        <v>1552377923323172</v>
      </c>
      <c r="C8012" t="s">
        <v>40</v>
      </c>
      <c r="D8012">
        <v>5.8621489999999996</v>
      </c>
      <c r="E8012">
        <v>0.48099930000000002</v>
      </c>
      <c r="F8012" t="s">
        <v>41</v>
      </c>
      <c r="G8012">
        <v>-188.1353</v>
      </c>
      <c r="H8012" s="1">
        <v>-9.3589919999999997E-7</v>
      </c>
      <c r="I8012">
        <v>-29.05969</v>
      </c>
      <c r="J8012">
        <v>-188.45740000000001</v>
      </c>
      <c r="K8012">
        <v>1.112201</v>
      </c>
      <c r="L8012">
        <v>-43.233249999999998</v>
      </c>
      <c r="M8012">
        <v>0.13411289999999901</v>
      </c>
      <c r="N8012">
        <v>0</v>
      </c>
      <c r="O8012">
        <v>0.99087060000000005</v>
      </c>
      <c r="P8012">
        <v>7.2265940000000001E-2</v>
      </c>
      <c r="Q8012">
        <v>3.8330320000000001E-2</v>
      </c>
      <c r="R8012">
        <v>0.9966486</v>
      </c>
      <c r="S8012">
        <v>7.2647089999999998E-2</v>
      </c>
      <c r="T8012">
        <v>-0.23312369999999999</v>
      </c>
      <c r="U8012">
        <v>3.0146480000000002</v>
      </c>
      <c r="V8012">
        <v>-6.2292680000000003E-2</v>
      </c>
      <c r="W8012">
        <v>5.1771200000000003E-2</v>
      </c>
      <c r="X8012">
        <v>0.99671430000000005</v>
      </c>
      <c r="Y8012">
        <v>-0.11028209999999999</v>
      </c>
      <c r="Z8012">
        <v>-7.5810840000000004E-2</v>
      </c>
      <c r="AA8012">
        <v>0.99100480000000002</v>
      </c>
      <c r="AB8012">
        <v>21</v>
      </c>
      <c r="AC8012">
        <v>0.32210000000000599</v>
      </c>
      <c r="AD8012">
        <v>-1.1122019358991999</v>
      </c>
      <c r="AE8012">
        <v>14.173559999999901</v>
      </c>
      <c r="AF8012">
        <v>-1.57217169074594</v>
      </c>
      <c r="AG8012">
        <v>-1.1122019358991999</v>
      </c>
      <c r="AH8012">
        <v>14.0025174239489</v>
      </c>
      <c r="AI8012">
        <v>94.513155845747605</v>
      </c>
      <c r="AJ8012">
        <v>96.406213765506294</v>
      </c>
      <c r="AK8012">
        <v>14.1343274045635</v>
      </c>
      <c r="AL8012">
        <v>87.032402123287696</v>
      </c>
      <c r="AM8012">
        <v>93.576221928731798</v>
      </c>
      <c r="AN8012">
        <v>1.00000001547775</v>
      </c>
    </row>
    <row r="8013" spans="1:40" x14ac:dyDescent="0.25">
      <c r="A8013" t="str">
        <f>"20190312160523357"</f>
        <v>20190312160523357</v>
      </c>
      <c r="B8013" t="str">
        <f>"1552377923353423"</f>
        <v>1552377923353423</v>
      </c>
      <c r="C8013" t="s">
        <v>40</v>
      </c>
      <c r="D8013">
        <v>5.8084319999999998</v>
      </c>
      <c r="E8013">
        <v>0.4774428</v>
      </c>
      <c r="F8013" t="s">
        <v>41</v>
      </c>
      <c r="G8013">
        <v>-188.03710000000001</v>
      </c>
      <c r="H8013" s="1">
        <v>-2.6200060000000001E-6</v>
      </c>
      <c r="I8013">
        <v>-25.071539999999999</v>
      </c>
      <c r="J8013">
        <v>-188.43549999999999</v>
      </c>
      <c r="K8013">
        <v>1.1120950000000001</v>
      </c>
      <c r="L8013">
        <v>-43.041840000000001</v>
      </c>
      <c r="M8013">
        <v>0.13084399999999999</v>
      </c>
      <c r="N8013">
        <v>0</v>
      </c>
      <c r="O8013">
        <v>0.99130790000000002</v>
      </c>
      <c r="P8013">
        <v>7.0127990000000001E-2</v>
      </c>
      <c r="Q8013">
        <v>3.7699999999999997E-2</v>
      </c>
      <c r="R8013">
        <v>0.99682530000000003</v>
      </c>
      <c r="S8013">
        <v>6.9702150000000004E-2</v>
      </c>
      <c r="T8013">
        <v>-0.18445890000000001</v>
      </c>
      <c r="U8013">
        <v>3.0121150000000001</v>
      </c>
      <c r="V8013">
        <v>-6.1129269999999999E-2</v>
      </c>
      <c r="W8013">
        <v>5.1141180000000001E-2</v>
      </c>
      <c r="X8013">
        <v>0.9968188</v>
      </c>
      <c r="Y8013">
        <v>-0.10792740000000001</v>
      </c>
      <c r="Z8013">
        <v>-6.0150519999999999E-2</v>
      </c>
      <c r="AA8013">
        <v>0.99233749999999998</v>
      </c>
      <c r="AB8013">
        <v>21</v>
      </c>
      <c r="AC8013">
        <v>0.39839999999998099</v>
      </c>
      <c r="AD8013">
        <v>-1.112097620006</v>
      </c>
      <c r="AE8013">
        <v>17.970300000000002</v>
      </c>
      <c r="AF8013">
        <v>-1.94909232408973</v>
      </c>
      <c r="AG8013">
        <v>-1.112097620006</v>
      </c>
      <c r="AH8013">
        <v>17.799776740685001</v>
      </c>
      <c r="AI8013">
        <v>93.553900905072695</v>
      </c>
      <c r="AJ8013">
        <v>96.249044903725107</v>
      </c>
      <c r="AK8013">
        <v>17.940673733794899</v>
      </c>
      <c r="AL8013">
        <v>87.068547342747195</v>
      </c>
      <c r="AM8013">
        <v>93.509232099017197</v>
      </c>
      <c r="AN8013">
        <v>0.99999996398798197</v>
      </c>
    </row>
    <row r="8014" spans="1:40" x14ac:dyDescent="0.25">
      <c r="A8014" t="str">
        <f>"20190312160523381"</f>
        <v>20190312160523381</v>
      </c>
      <c r="B8014" t="str">
        <f>"1552377923372944"</f>
        <v>1552377923372944</v>
      </c>
      <c r="C8014" t="s">
        <v>40</v>
      </c>
      <c r="D8014">
        <v>5.7847189999999999</v>
      </c>
      <c r="E8014">
        <v>0.48266239999999999</v>
      </c>
      <c r="F8014" t="s">
        <v>41</v>
      </c>
      <c r="G8014">
        <v>-188.11150000000001</v>
      </c>
      <c r="H8014" s="1">
        <v>-2.9671349999999998E-6</v>
      </c>
      <c r="I8014">
        <v>-14.231640000000001</v>
      </c>
      <c r="J8014">
        <v>-188.41149999999999</v>
      </c>
      <c r="K8014">
        <v>1.1119829999999999</v>
      </c>
      <c r="L8014">
        <v>-42.827390000000001</v>
      </c>
      <c r="M8014">
        <v>0.12740170000000001</v>
      </c>
      <c r="N8014">
        <v>0</v>
      </c>
      <c r="O8014">
        <v>0.99175639999999998</v>
      </c>
      <c r="P8014">
        <v>6.7651870000000003E-2</v>
      </c>
      <c r="Q8014">
        <v>3.8220469999999999E-2</v>
      </c>
      <c r="R8014">
        <v>0.99697659999999999</v>
      </c>
      <c r="S8014">
        <v>3.3874509999999997E-2</v>
      </c>
      <c r="T8014">
        <v>-0.11624900000000001</v>
      </c>
      <c r="U8014">
        <v>3.0115660000000002</v>
      </c>
      <c r="V8014">
        <v>-6.0129460000000003E-2</v>
      </c>
      <c r="W8014">
        <v>5.1659770000000001E-2</v>
      </c>
      <c r="X8014">
        <v>0.99685290000000004</v>
      </c>
      <c r="Y8014">
        <v>-0.11625770000000001</v>
      </c>
      <c r="Z8014">
        <v>-3.7968809999999999E-2</v>
      </c>
      <c r="AA8014">
        <v>0.99249310000000002</v>
      </c>
      <c r="AB8014">
        <v>20</v>
      </c>
      <c r="AC8014">
        <v>0.299999999999982</v>
      </c>
      <c r="AD8014">
        <v>-1.1119859671350001</v>
      </c>
      <c r="AE8014">
        <v>28.595749999999999</v>
      </c>
      <c r="AF8014">
        <v>-3.3408834891182599</v>
      </c>
      <c r="AG8014">
        <v>-1.1119859671350001</v>
      </c>
      <c r="AH8014">
        <v>28.358032151005801</v>
      </c>
      <c r="AI8014">
        <v>92.230146020295507</v>
      </c>
      <c r="AJ8014">
        <v>96.719092295175997</v>
      </c>
      <c r="AK8014">
        <v>28.5757940004552</v>
      </c>
      <c r="AL8014">
        <v>87.038795083064599</v>
      </c>
      <c r="AM8014">
        <v>93.451858409242803</v>
      </c>
      <c r="AN8014">
        <v>0.99999999401737705</v>
      </c>
    </row>
    <row r="8015" spans="1:40" x14ac:dyDescent="0.25">
      <c r="A8015" t="str">
        <f>"20190312160523402"</f>
        <v>20190312160523402</v>
      </c>
      <c r="B8015" t="str">
        <f>"1552377923393440"</f>
        <v>1552377923393440</v>
      </c>
      <c r="C8015" t="s">
        <v>40</v>
      </c>
      <c r="D8015">
        <v>5.7849309999999896</v>
      </c>
      <c r="E8015">
        <v>0.48250019999999999</v>
      </c>
      <c r="F8015" t="s">
        <v>41</v>
      </c>
      <c r="G8015">
        <v>-187.9999</v>
      </c>
      <c r="H8015" s="1">
        <v>-2.694499E-6</v>
      </c>
      <c r="I8015">
        <v>-24.913270000000001</v>
      </c>
      <c r="J8015">
        <v>-188.39070000000001</v>
      </c>
      <c r="K8015">
        <v>1.111893</v>
      </c>
      <c r="L8015">
        <v>-42.637180000000001</v>
      </c>
      <c r="M8015">
        <v>0.12452539999999999</v>
      </c>
      <c r="N8015">
        <v>0</v>
      </c>
      <c r="O8015">
        <v>0.9921219</v>
      </c>
      <c r="P8015">
        <v>6.5138520000000005E-2</v>
      </c>
      <c r="Q8015">
        <v>3.8809330000000003E-2</v>
      </c>
      <c r="R8015">
        <v>0.99712129999999999</v>
      </c>
      <c r="S8015">
        <v>6.9198609999999994E-2</v>
      </c>
      <c r="T8015">
        <v>-0.1869373</v>
      </c>
      <c r="U8015">
        <v>3.0115660000000002</v>
      </c>
      <c r="V8015">
        <v>-5.9738810000000003E-2</v>
      </c>
      <c r="W8015">
        <v>5.2245010000000001E-2</v>
      </c>
      <c r="X8015">
        <v>0.99684589999999995</v>
      </c>
      <c r="Y8015">
        <v>-0.101754</v>
      </c>
      <c r="Z8015">
        <v>-6.1062499999999999E-2</v>
      </c>
      <c r="AA8015">
        <v>0.99293379999999998</v>
      </c>
      <c r="AB8015">
        <v>20</v>
      </c>
      <c r="AC8015">
        <v>0.39080000000001203</v>
      </c>
      <c r="AD8015">
        <v>-1.1118956944989999</v>
      </c>
      <c r="AE8015">
        <v>17.72391</v>
      </c>
      <c r="AF8015">
        <v>-1.81239701530526</v>
      </c>
      <c r="AG8015">
        <v>-1.1118956944989999</v>
      </c>
      <c r="AH8015">
        <v>17.5655007585917</v>
      </c>
      <c r="AI8015">
        <v>93.602912020397795</v>
      </c>
      <c r="AJ8015">
        <v>95.890895733001202</v>
      </c>
      <c r="AK8015">
        <v>17.6937252119676</v>
      </c>
      <c r="AL8015">
        <v>87.005217996744904</v>
      </c>
      <c r="AM8015">
        <v>93.429510047573601</v>
      </c>
      <c r="AN8015">
        <v>1.0000000074184601</v>
      </c>
    </row>
    <row r="8016" spans="1:40" x14ac:dyDescent="0.25">
      <c r="A8016" t="str">
        <f>"20190312160523424"</f>
        <v>20190312160523424</v>
      </c>
      <c r="B8016" t="str">
        <f>"1552377923412960"</f>
        <v>1552377923412960</v>
      </c>
      <c r="C8016" t="s">
        <v>40</v>
      </c>
      <c r="D8016">
        <v>5.7950819999999998</v>
      </c>
      <c r="E8016">
        <v>0.48285230000000001</v>
      </c>
      <c r="F8016" t="s">
        <v>41</v>
      </c>
      <c r="G8016">
        <v>-188.0086</v>
      </c>
      <c r="H8016" s="1">
        <v>-3.2759260000000001E-6</v>
      </c>
      <c r="I8016">
        <v>-23.554359999999999</v>
      </c>
      <c r="J8016">
        <v>-188.36930000000001</v>
      </c>
      <c r="K8016">
        <v>1.1117980000000001</v>
      </c>
      <c r="L8016">
        <v>-42.438749999999999</v>
      </c>
      <c r="M8016">
        <v>0.1216798</v>
      </c>
      <c r="N8016">
        <v>0</v>
      </c>
      <c r="O8016">
        <v>0.9924752</v>
      </c>
      <c r="P8016">
        <v>6.2284449999999998E-2</v>
      </c>
      <c r="Q8016">
        <v>3.8738359999999999E-2</v>
      </c>
      <c r="R8016">
        <v>0.99730629999999998</v>
      </c>
      <c r="S8016">
        <v>6.0302729999999999E-2</v>
      </c>
      <c r="T8016">
        <v>-0.17547460000000001</v>
      </c>
      <c r="U8016">
        <v>3.0115660000000002</v>
      </c>
      <c r="V8016">
        <v>-5.9721459999999997E-2</v>
      </c>
      <c r="W8016">
        <v>5.2169300000000002E-2</v>
      </c>
      <c r="X8016">
        <v>0.99685089999999998</v>
      </c>
      <c r="Y8016">
        <v>-0.10182860000000001</v>
      </c>
      <c r="Z8016">
        <v>-5.7363570000000003E-2</v>
      </c>
      <c r="AA8016">
        <v>0.99314669999999905</v>
      </c>
      <c r="AB8016">
        <v>20</v>
      </c>
      <c r="AC8016">
        <v>0.36070000000000801</v>
      </c>
      <c r="AD8016">
        <v>-1.1118012759260001</v>
      </c>
      <c r="AE8016">
        <v>18.88439</v>
      </c>
      <c r="AF8016">
        <v>-1.9333455616814601</v>
      </c>
      <c r="AG8016">
        <v>-1.1118012759260001</v>
      </c>
      <c r="AH8016">
        <v>18.7230620020426</v>
      </c>
      <c r="AI8016">
        <v>93.3803798303598</v>
      </c>
      <c r="AJ8016">
        <v>95.895474314415296</v>
      </c>
      <c r="AK8016">
        <v>18.855423036101801</v>
      </c>
      <c r="AL8016">
        <v>87.009561769898099</v>
      </c>
      <c r="AM8016">
        <v>93.428499232267598</v>
      </c>
      <c r="AN8016">
        <v>1.00000000273891</v>
      </c>
    </row>
    <row r="8017" spans="1:40" x14ac:dyDescent="0.25">
      <c r="A8017" t="str">
        <f>"20190312160523448"</f>
        <v>20190312160523448</v>
      </c>
      <c r="B8017" t="str">
        <f>"1552377923443217"</f>
        <v>1552377923443217</v>
      </c>
      <c r="C8017" t="s">
        <v>40</v>
      </c>
      <c r="D8017">
        <v>5.8609269999999896</v>
      </c>
      <c r="E8017">
        <v>0.48313879999999998</v>
      </c>
      <c r="F8017" t="s">
        <v>41</v>
      </c>
      <c r="G8017">
        <v>-188.00200000000001</v>
      </c>
      <c r="H8017" s="1">
        <v>-3.8784370000000004E-6</v>
      </c>
      <c r="I8017">
        <v>-22.152609999999999</v>
      </c>
      <c r="J8017">
        <v>-188.34729999999999</v>
      </c>
      <c r="K8017">
        <v>1.1117170000000001</v>
      </c>
      <c r="L8017">
        <v>-42.230530000000002</v>
      </c>
      <c r="M8017">
        <v>0.11884309999999999</v>
      </c>
      <c r="N8017">
        <v>0</v>
      </c>
      <c r="O8017">
        <v>0.99281909999999896</v>
      </c>
      <c r="P8017">
        <v>5.961752E-2</v>
      </c>
      <c r="Q8017">
        <v>3.9234119999999997E-2</v>
      </c>
      <c r="R8017">
        <v>0.99744999999999995</v>
      </c>
      <c r="S8017">
        <v>5.4519650000000003E-2</v>
      </c>
      <c r="T8017">
        <v>-0.1650267</v>
      </c>
      <c r="U8017">
        <v>3.0111080000000001</v>
      </c>
      <c r="V8017">
        <v>-5.9525979999999999E-2</v>
      </c>
      <c r="W8017">
        <v>5.2662149999999998E-2</v>
      </c>
      <c r="X8017">
        <v>0.99683670000000002</v>
      </c>
      <c r="Y8017">
        <v>-0.100886</v>
      </c>
      <c r="Z8017">
        <v>-5.3998539999999998E-2</v>
      </c>
      <c r="AA8017">
        <v>0.99343150000000002</v>
      </c>
      <c r="AB8017">
        <v>20</v>
      </c>
      <c r="AC8017">
        <v>0.34529999999998001</v>
      </c>
      <c r="AD8017">
        <v>-1.1117208784370001</v>
      </c>
      <c r="AE8017">
        <v>20.077919999999999</v>
      </c>
      <c r="AF8017">
        <v>-2.0372483403099602</v>
      </c>
      <c r="AG8017">
        <v>-1.1117208784370001</v>
      </c>
      <c r="AH8017">
        <v>19.915601776443602</v>
      </c>
      <c r="AI8017">
        <v>93.1784742156037</v>
      </c>
      <c r="AJ8017">
        <v>95.840703575359697</v>
      </c>
      <c r="AK8017">
        <v>20.050374017198099</v>
      </c>
      <c r="AL8017">
        <v>86.981284742150706</v>
      </c>
      <c r="AM8017">
        <v>93.417352287511207</v>
      </c>
      <c r="AN8017">
        <v>1.0000000254022301</v>
      </c>
    </row>
    <row r="8018" spans="1:40" x14ac:dyDescent="0.25">
      <c r="A8018" t="str">
        <f>"20190312160523469"</f>
        <v>20190312160523469</v>
      </c>
      <c r="B8018" t="str">
        <f>"1552377923462736"</f>
        <v>1552377923462736</v>
      </c>
      <c r="C8018" t="s">
        <v>40</v>
      </c>
      <c r="D8018">
        <v>5.6406999999999998</v>
      </c>
      <c r="E8018">
        <v>0.48344379999999998</v>
      </c>
      <c r="F8018" t="s">
        <v>41</v>
      </c>
      <c r="G8018">
        <v>-187.9796</v>
      </c>
      <c r="H8018" s="1">
        <v>-8.6415179999999998E-7</v>
      </c>
      <c r="I8018">
        <v>-19.392289999999999</v>
      </c>
      <c r="J8018">
        <v>-188.327</v>
      </c>
      <c r="K8018">
        <v>1.11165</v>
      </c>
      <c r="L8018">
        <v>-42.034059999999997</v>
      </c>
      <c r="M8018">
        <v>0.1163028</v>
      </c>
      <c r="N8018">
        <v>0</v>
      </c>
      <c r="O8018">
        <v>0.99312009999999995</v>
      </c>
      <c r="P8018">
        <v>5.7141879999999999E-2</v>
      </c>
      <c r="Q8018">
        <v>3.9404710000000003E-2</v>
      </c>
      <c r="R8018">
        <v>0.99758820000000004</v>
      </c>
      <c r="S8018">
        <v>4.847717E-2</v>
      </c>
      <c r="T8018">
        <v>-0.14654619999999999</v>
      </c>
      <c r="U8018">
        <v>3.010529</v>
      </c>
      <c r="V8018">
        <v>-5.9439899999999997E-2</v>
      </c>
      <c r="W8018">
        <v>5.282833E-2</v>
      </c>
      <c r="X8018">
        <v>0.99683299999999997</v>
      </c>
      <c r="Y8018">
        <v>-0.1003257</v>
      </c>
      <c r="Z8018">
        <v>-4.7999939999999998E-2</v>
      </c>
      <c r="AA8018">
        <v>0.99379609999999996</v>
      </c>
      <c r="AB8018">
        <v>20</v>
      </c>
      <c r="AC8018">
        <v>0.34739999999999299</v>
      </c>
      <c r="AD8018">
        <v>-1.1116508641517999</v>
      </c>
      <c r="AE8018">
        <v>22.641770000000001</v>
      </c>
      <c r="AF8018">
        <v>-2.28300231480952</v>
      </c>
      <c r="AG8018">
        <v>-1.1116508641517999</v>
      </c>
      <c r="AH8018">
        <v>22.4743343960833</v>
      </c>
      <c r="AI8018">
        <v>92.817245796125206</v>
      </c>
      <c r="AJ8018">
        <v>95.800360021256296</v>
      </c>
      <c r="AK8018">
        <v>22.6173290589355</v>
      </c>
      <c r="AL8018">
        <v>86.971749925994004</v>
      </c>
      <c r="AM8018">
        <v>93.412434806713307</v>
      </c>
      <c r="AN8018">
        <v>0.99999998202579898</v>
      </c>
    </row>
    <row r="8019" spans="1:40" x14ac:dyDescent="0.25">
      <c r="A8019" t="str">
        <f>"20190312160523492"</f>
        <v>20190312160523492</v>
      </c>
      <c r="B8019" t="str">
        <f>"1552377923483233"</f>
        <v>1552377923483233</v>
      </c>
      <c r="C8019" t="s">
        <v>40</v>
      </c>
      <c r="D8019">
        <v>5.6985720000000004</v>
      </c>
      <c r="E8019">
        <v>0.4839117</v>
      </c>
      <c r="F8019" t="s">
        <v>41</v>
      </c>
      <c r="G8019">
        <v>-187.99539999999999</v>
      </c>
      <c r="H8019" s="1">
        <v>-1.012897E-6</v>
      </c>
      <c r="I8019">
        <v>-18.942820000000001</v>
      </c>
      <c r="J8019">
        <v>-188.3057</v>
      </c>
      <c r="K8019">
        <v>1.111604</v>
      </c>
      <c r="L8019">
        <v>-41.82526</v>
      </c>
      <c r="M8019">
        <v>0.1137025</v>
      </c>
      <c r="N8019">
        <v>0</v>
      </c>
      <c r="O8019">
        <v>0.99342129999999995</v>
      </c>
      <c r="P8019">
        <v>5.4142200000000001E-2</v>
      </c>
      <c r="Q8019">
        <v>4.0300290000000002E-2</v>
      </c>
      <c r="R8019">
        <v>0.99771960000000004</v>
      </c>
      <c r="S8019">
        <v>4.322815E-2</v>
      </c>
      <c r="T8019">
        <v>-0.14493049999999999</v>
      </c>
      <c r="U8019">
        <v>3.0104980000000001</v>
      </c>
      <c r="V8019">
        <v>-5.9820650000000003E-2</v>
      </c>
      <c r="W8019">
        <v>5.3715890000000002E-2</v>
      </c>
      <c r="X8019">
        <v>0.99676279999999995</v>
      </c>
      <c r="Y8019">
        <v>-9.9452840000000001E-2</v>
      </c>
      <c r="Z8019">
        <v>-4.7496839999999999E-2</v>
      </c>
      <c r="AA8019">
        <v>0.99390800000000001</v>
      </c>
      <c r="AB8019">
        <v>20</v>
      </c>
      <c r="AC8019">
        <v>0.31030000000001201</v>
      </c>
      <c r="AD8019">
        <v>-1.1116050128970001</v>
      </c>
      <c r="AE8019">
        <v>22.882439999999999</v>
      </c>
      <c r="AF8019">
        <v>-2.2883458664217202</v>
      </c>
      <c r="AG8019">
        <v>-1.1116050128970001</v>
      </c>
      <c r="AH8019">
        <v>22.715703981678601</v>
      </c>
      <c r="AI8019">
        <v>92.787478588514603</v>
      </c>
      <c r="AJ8019">
        <v>95.7524838626574</v>
      </c>
      <c r="AK8019">
        <v>22.857720793909301</v>
      </c>
      <c r="AL8019">
        <v>86.920824202975496</v>
      </c>
      <c r="AM8019">
        <v>93.434482738171596</v>
      </c>
      <c r="AN8019">
        <v>0.99999999323437705</v>
      </c>
    </row>
    <row r="8020" spans="1:40" x14ac:dyDescent="0.25">
      <c r="A8020" t="str">
        <f>"20190312160523513"</f>
        <v>20190312160523513</v>
      </c>
      <c r="B8020" t="str">
        <f>"1552377923502752"</f>
        <v>1552377923502752</v>
      </c>
      <c r="C8020" t="s">
        <v>40</v>
      </c>
      <c r="D8020">
        <v>5.7194250000000002</v>
      </c>
      <c r="E8020">
        <v>0.48442859999999999</v>
      </c>
      <c r="F8020" t="s">
        <v>41</v>
      </c>
      <c r="G8020">
        <v>-187.99619999999999</v>
      </c>
      <c r="H8020" s="1">
        <v>-1.6972419999999999E-6</v>
      </c>
      <c r="I8020">
        <v>-17.239450000000001</v>
      </c>
      <c r="J8020">
        <v>-188.28739999999999</v>
      </c>
      <c r="K8020">
        <v>1.111578</v>
      </c>
      <c r="L8020">
        <v>-41.641300000000001</v>
      </c>
      <c r="M8020">
        <v>0.1114802</v>
      </c>
      <c r="N8020">
        <v>0</v>
      </c>
      <c r="O8020">
        <v>0.99367329999999998</v>
      </c>
      <c r="P8020">
        <v>5.1074199999999903E-2</v>
      </c>
      <c r="Q8020">
        <v>4.1231770000000001E-2</v>
      </c>
      <c r="R8020">
        <v>0.99784340000000005</v>
      </c>
      <c r="S8020">
        <v>3.7902829999999998E-2</v>
      </c>
      <c r="T8020">
        <v>-0.13610639999999999</v>
      </c>
      <c r="U8020">
        <v>3.0103149999999999</v>
      </c>
      <c r="V8020">
        <v>-6.0651249999999997E-2</v>
      </c>
      <c r="W8020">
        <v>5.4636740000000003E-2</v>
      </c>
      <c r="X8020">
        <v>0.99666259999999995</v>
      </c>
      <c r="Y8020">
        <v>-9.8982570000000006E-2</v>
      </c>
      <c r="Z8020">
        <v>-4.4632390000000001E-2</v>
      </c>
      <c r="AA8020">
        <v>0.99408770000000002</v>
      </c>
      <c r="AB8020">
        <v>20</v>
      </c>
      <c r="AC8020">
        <v>0.29120000000000301</v>
      </c>
      <c r="AD8020">
        <v>-1.111579697242</v>
      </c>
      <c r="AE8020">
        <v>24.40185</v>
      </c>
      <c r="AF8020">
        <v>-2.4261572393880999</v>
      </c>
      <c r="AG8020">
        <v>-1.111579697242</v>
      </c>
      <c r="AH8020">
        <v>24.231906502170201</v>
      </c>
      <c r="AI8020">
        <v>92.613414926843205</v>
      </c>
      <c r="AJ8020">
        <v>95.717538034591001</v>
      </c>
      <c r="AK8020">
        <v>24.378415475651298</v>
      </c>
      <c r="AL8020">
        <v>86.867985938460194</v>
      </c>
      <c r="AM8020">
        <v>93.482402649767593</v>
      </c>
      <c r="AN8020">
        <v>1.0000000428615701</v>
      </c>
    </row>
    <row r="8021" spans="1:40" x14ac:dyDescent="0.25">
      <c r="A8021" t="str">
        <f>"20190312160523536"</f>
        <v>20190312160523536</v>
      </c>
      <c r="B8021" t="str">
        <f>"1552377923533008"</f>
        <v>1552377923533008</v>
      </c>
      <c r="C8021" t="s">
        <v>40</v>
      </c>
      <c r="D8021">
        <v>5.7410829999999997</v>
      </c>
      <c r="E8021">
        <v>0.4850719</v>
      </c>
      <c r="F8021" t="s">
        <v>41</v>
      </c>
      <c r="G8021">
        <v>-187.99979999999999</v>
      </c>
      <c r="H8021" s="1">
        <v>-2.3048590000000001E-6</v>
      </c>
      <c r="I8021">
        <v>-15.82156</v>
      </c>
      <c r="J8021">
        <v>-188.26679999999999</v>
      </c>
      <c r="K8021">
        <v>1.111559</v>
      </c>
      <c r="L8021">
        <v>-41.430239999999998</v>
      </c>
      <c r="M8021">
        <v>0.1089994</v>
      </c>
      <c r="N8021">
        <v>0</v>
      </c>
      <c r="O8021">
        <v>0.99394859999999896</v>
      </c>
      <c r="P8021">
        <v>4.8668759999999998E-2</v>
      </c>
      <c r="Q8021">
        <v>4.0600820000000003E-2</v>
      </c>
      <c r="R8021">
        <v>0.99798940000000003</v>
      </c>
      <c r="S8021">
        <v>3.3523560000000001E-2</v>
      </c>
      <c r="T8021">
        <v>-0.12959089999999901</v>
      </c>
      <c r="U8021">
        <v>3.010132</v>
      </c>
      <c r="V8021">
        <v>-6.0564479999999997E-2</v>
      </c>
      <c r="W8021">
        <v>5.3999199999999997E-2</v>
      </c>
      <c r="X8021">
        <v>0.99670259999999999</v>
      </c>
      <c r="Y8021">
        <v>-9.7942719999999997E-2</v>
      </c>
      <c r="Z8021">
        <v>-4.2522749999999998E-2</v>
      </c>
      <c r="AA8021">
        <v>0.99428320000000003</v>
      </c>
      <c r="AB8021">
        <v>20</v>
      </c>
      <c r="AC8021">
        <v>0.26699999999999502</v>
      </c>
      <c r="AD8021">
        <v>-1.1115613048590001</v>
      </c>
      <c r="AE8021">
        <v>25.60868</v>
      </c>
      <c r="AF8021">
        <v>-2.52143056917514</v>
      </c>
      <c r="AG8021">
        <v>-1.1115613048590001</v>
      </c>
      <c r="AH8021">
        <v>25.4372560729356</v>
      </c>
      <c r="AI8021">
        <v>92.489941309089701</v>
      </c>
      <c r="AJ8021">
        <v>95.660867907995495</v>
      </c>
      <c r="AK8021">
        <v>25.586073891274001</v>
      </c>
      <c r="AL8021">
        <v>86.904568229035704</v>
      </c>
      <c r="AM8021">
        <v>93.477293610496105</v>
      </c>
      <c r="AN8021">
        <v>1.00000002134253</v>
      </c>
    </row>
    <row r="8022" spans="1:40" x14ac:dyDescent="0.25">
      <c r="A8022" t="str">
        <f>"20190312160523560"</f>
        <v>20190312160523560</v>
      </c>
      <c r="B8022" t="str">
        <f>"1552377923552528"</f>
        <v>1552377923552528</v>
      </c>
      <c r="C8022" t="s">
        <v>40</v>
      </c>
      <c r="D8022">
        <v>5.838883</v>
      </c>
      <c r="E8022">
        <v>0.48545749999999999</v>
      </c>
      <c r="F8022" t="s">
        <v>41</v>
      </c>
      <c r="G8022">
        <v>-187.9879</v>
      </c>
      <c r="H8022" s="1">
        <v>-2.8446280000000002E-6</v>
      </c>
      <c r="I8022">
        <v>-14.56831</v>
      </c>
      <c r="J8022">
        <v>-188.2475</v>
      </c>
      <c r="K8022">
        <v>1.1115469999999901</v>
      </c>
      <c r="L8022">
        <v>-41.22824</v>
      </c>
      <c r="M8022">
        <v>0.1066778</v>
      </c>
      <c r="N8022">
        <v>0</v>
      </c>
      <c r="O8022">
        <v>0.99420059999999999</v>
      </c>
      <c r="P8022">
        <v>4.6862859999999999E-2</v>
      </c>
      <c r="Q8022">
        <v>3.9912910000000003E-2</v>
      </c>
      <c r="R8022">
        <v>0.99810359999999998</v>
      </c>
      <c r="S8022">
        <v>3.125E-2</v>
      </c>
      <c r="T8022">
        <v>-0.1245382</v>
      </c>
      <c r="U8022">
        <v>3.0095830000000001</v>
      </c>
      <c r="V8022">
        <v>-6.0039170000000003E-2</v>
      </c>
      <c r="W8022">
        <v>5.3306399999999997E-2</v>
      </c>
      <c r="X8022">
        <v>0.99677159999999998</v>
      </c>
      <c r="Y8022">
        <v>-9.6366789999999994E-2</v>
      </c>
      <c r="Z8022">
        <v>-4.0894090000000001E-2</v>
      </c>
      <c r="AA8022">
        <v>0.99450550000000004</v>
      </c>
      <c r="AB8022">
        <v>20</v>
      </c>
      <c r="AC8022">
        <v>0.25960000000000599</v>
      </c>
      <c r="AD8022">
        <v>-1.1115498446280001</v>
      </c>
      <c r="AE8022">
        <v>26.659929999999999</v>
      </c>
      <c r="AF8022">
        <v>-2.5816799890516999</v>
      </c>
      <c r="AG8022">
        <v>-1.1115498446280001</v>
      </c>
      <c r="AH8022">
        <v>26.489422984138301</v>
      </c>
      <c r="AI8022">
        <v>92.391519357341096</v>
      </c>
      <c r="AJ8022">
        <v>95.566511439613294</v>
      </c>
      <c r="AK8022">
        <v>26.6381332802349</v>
      </c>
      <c r="AL8022">
        <v>86.9443197783241</v>
      </c>
      <c r="AM8022">
        <v>93.446968071928694</v>
      </c>
      <c r="AN8022">
        <v>0.999999948390903</v>
      </c>
    </row>
    <row r="8023" spans="1:40" x14ac:dyDescent="0.25">
      <c r="A8023" t="str">
        <f>"20190312160523581"</f>
        <v>20190312160523581</v>
      </c>
      <c r="B8023" t="str">
        <f>"1552377923573024"</f>
        <v>1552377923573024</v>
      </c>
      <c r="C8023" t="s">
        <v>40</v>
      </c>
      <c r="D8023">
        <v>6.0875839999999997</v>
      </c>
      <c r="E8023">
        <v>0.48568430000000001</v>
      </c>
      <c r="F8023" t="s">
        <v>41</v>
      </c>
      <c r="G8023">
        <v>-187.99549999999999</v>
      </c>
      <c r="H8023" s="1">
        <v>-2.799024E-6</v>
      </c>
      <c r="I8023">
        <v>-14.67144</v>
      </c>
      <c r="J8023">
        <v>-188.22880000000001</v>
      </c>
      <c r="K8023">
        <v>1.1115330000000001</v>
      </c>
      <c r="L8023">
        <v>-41.028289999999998</v>
      </c>
      <c r="M8023">
        <v>0.10442129999999999</v>
      </c>
      <c r="N8023">
        <v>0</v>
      </c>
      <c r="O8023">
        <v>0.99444030000000005</v>
      </c>
      <c r="P8023">
        <v>4.5452810000000003E-2</v>
      </c>
      <c r="Q8023">
        <v>4.0099450000000002E-2</v>
      </c>
      <c r="R8023">
        <v>0.99816139999999998</v>
      </c>
      <c r="S8023">
        <v>2.8549189999999999E-2</v>
      </c>
      <c r="T8023">
        <v>-0.12596009999999999</v>
      </c>
      <c r="U8023">
        <v>3.0093990000000002</v>
      </c>
      <c r="V8023">
        <v>-5.9182079999999998E-2</v>
      </c>
      <c r="W8023">
        <v>5.3489719999999998E-2</v>
      </c>
      <c r="X8023">
        <v>0.99681310000000001</v>
      </c>
      <c r="Y8023">
        <v>-9.4999780000000006E-2</v>
      </c>
      <c r="Z8023">
        <v>-4.1380630000000002E-2</v>
      </c>
      <c r="AA8023">
        <v>0.99461690000000003</v>
      </c>
      <c r="AB8023">
        <v>20</v>
      </c>
      <c r="AC8023">
        <v>0.233300000000014</v>
      </c>
      <c r="AD8023">
        <v>-1.11153579902399</v>
      </c>
      <c r="AE8023">
        <v>26.356850000000001</v>
      </c>
      <c r="AF8023">
        <v>-2.5159720022399901</v>
      </c>
      <c r="AG8023">
        <v>-1.11153579902399</v>
      </c>
      <c r="AH8023">
        <v>26.1905213404496</v>
      </c>
      <c r="AI8023">
        <v>92.4190734859542</v>
      </c>
      <c r="AJ8023">
        <v>95.487236352483293</v>
      </c>
      <c r="AK8023">
        <v>26.3345597083588</v>
      </c>
      <c r="AL8023">
        <v>86.933801505693694</v>
      </c>
      <c r="AM8023">
        <v>93.397735824854394</v>
      </c>
      <c r="AN8023">
        <v>1.0000000125352</v>
      </c>
    </row>
    <row r="8024" spans="1:40" x14ac:dyDescent="0.25">
      <c r="A8024" t="str">
        <f>"20190312160523604"</f>
        <v>20190312160523604</v>
      </c>
      <c r="B8024" t="str">
        <f>"1552377923592544"</f>
        <v>1552377923592544</v>
      </c>
      <c r="C8024" t="s">
        <v>40</v>
      </c>
      <c r="D8024">
        <v>5.7165939999999997</v>
      </c>
      <c r="E8024">
        <v>0.47724040000000001</v>
      </c>
      <c r="F8024" t="s">
        <v>41</v>
      </c>
      <c r="G8024">
        <v>-187.99430000000001</v>
      </c>
      <c r="H8024" s="1">
        <v>-3.0786090000000001E-6</v>
      </c>
      <c r="I8024">
        <v>-14.020210000000001</v>
      </c>
      <c r="J8024">
        <v>-188.2105</v>
      </c>
      <c r="K8024">
        <v>1.1115090000000001</v>
      </c>
      <c r="L8024">
        <v>-40.828339999999997</v>
      </c>
      <c r="M8024">
        <v>0.1022026</v>
      </c>
      <c r="N8024">
        <v>0</v>
      </c>
      <c r="O8024">
        <v>0.99467090000000002</v>
      </c>
      <c r="P8024">
        <v>4.304231E-2</v>
      </c>
      <c r="Q8024">
        <v>4.0837020000000002E-2</v>
      </c>
      <c r="R8024">
        <v>0.99823830000000002</v>
      </c>
      <c r="S8024">
        <v>2.6123049999999998E-2</v>
      </c>
      <c r="T8024">
        <v>-0.1238501</v>
      </c>
      <c r="U8024">
        <v>3.0093079999999999</v>
      </c>
      <c r="V8024">
        <v>-5.9361789999999998E-2</v>
      </c>
      <c r="W8024">
        <v>5.4221560000000002E-2</v>
      </c>
      <c r="X8024">
        <v>0.99676290000000001</v>
      </c>
      <c r="Y8024">
        <v>-9.3580289999999997E-2</v>
      </c>
      <c r="Z8024">
        <v>-4.0706970000000002E-2</v>
      </c>
      <c r="AA8024">
        <v>0.99477919999999997</v>
      </c>
      <c r="AB8024">
        <v>20</v>
      </c>
      <c r="AC8024">
        <v>0.21619999999998599</v>
      </c>
      <c r="AD8024">
        <v>-1.111512078609</v>
      </c>
      <c r="AE8024">
        <v>26.808129999999998</v>
      </c>
      <c r="AF8024">
        <v>-2.5207125782101198</v>
      </c>
      <c r="AG8024">
        <v>-1.111512078609</v>
      </c>
      <c r="AH8024">
        <v>26.644024151688299</v>
      </c>
      <c r="AI8024">
        <v>92.378222896496993</v>
      </c>
      <c r="AJ8024">
        <v>95.404498785604602</v>
      </c>
      <c r="AK8024">
        <v>26.7860686551534</v>
      </c>
      <c r="AL8024">
        <v>86.891809303043701</v>
      </c>
      <c r="AM8024">
        <v>93.408200209565393</v>
      </c>
      <c r="AN8024">
        <v>1.0000000392486199</v>
      </c>
    </row>
    <row r="8025" spans="1:40" x14ac:dyDescent="0.25">
      <c r="A8025" t="str">
        <f>"20190312160523624"</f>
        <v>20190312160523624</v>
      </c>
      <c r="B8025" t="str">
        <f>"1552377923613044"</f>
        <v>1552377923613044</v>
      </c>
      <c r="C8025" t="s">
        <v>40</v>
      </c>
      <c r="D8025">
        <v>5.670814</v>
      </c>
      <c r="E8025">
        <v>0.47542869999999998</v>
      </c>
      <c r="F8025" t="s">
        <v>41</v>
      </c>
      <c r="G8025">
        <v>-188.45490000000001</v>
      </c>
      <c r="H8025" s="1">
        <v>-2.5925059999999999E-6</v>
      </c>
      <c r="I8025">
        <v>-24.962890000000002</v>
      </c>
      <c r="J8025">
        <v>-188.19370000000001</v>
      </c>
      <c r="K8025">
        <v>1.1114869999999999</v>
      </c>
      <c r="L8025">
        <v>-40.641330000000004</v>
      </c>
      <c r="M8025">
        <v>0.1001639</v>
      </c>
      <c r="N8025">
        <v>0</v>
      </c>
      <c r="O8025">
        <v>0.99487829999999999</v>
      </c>
      <c r="P8025">
        <v>4.1167299999999997E-2</v>
      </c>
      <c r="Q8025">
        <v>4.0372150000000002E-2</v>
      </c>
      <c r="R8025">
        <v>0.99833629999999995</v>
      </c>
      <c r="S8025">
        <v>-4.6463009999999999E-2</v>
      </c>
      <c r="T8025">
        <v>-0.21129200000000001</v>
      </c>
      <c r="U8025">
        <v>3.01593</v>
      </c>
      <c r="V8025">
        <v>-5.9189319999999997E-2</v>
      </c>
      <c r="W8025">
        <v>5.375398E-2</v>
      </c>
      <c r="X8025">
        <v>0.99679850000000003</v>
      </c>
      <c r="Y8025">
        <v>-0.11545</v>
      </c>
      <c r="Z8025">
        <v>-6.9122550000000005E-2</v>
      </c>
      <c r="AA8025">
        <v>0.99090529999999999</v>
      </c>
      <c r="AB8025">
        <v>20</v>
      </c>
      <c r="AC8025">
        <v>-0.26120000000000199</v>
      </c>
      <c r="AD8025">
        <v>-1.111489592506</v>
      </c>
      <c r="AE8025">
        <v>15.678439999999901</v>
      </c>
      <c r="AF8025">
        <v>-1.82129373151</v>
      </c>
      <c r="AG8025">
        <v>-1.111489592506</v>
      </c>
      <c r="AH8025">
        <v>15.4955566147979</v>
      </c>
      <c r="AI8025">
        <v>94.0748202676956</v>
      </c>
      <c r="AJ8025">
        <v>96.703589532826697</v>
      </c>
      <c r="AK8025">
        <v>15.6417644392535</v>
      </c>
      <c r="AL8025">
        <v>86.918638848202505</v>
      </c>
      <c r="AM8025">
        <v>93.398200166299105</v>
      </c>
      <c r="AN8025">
        <v>1.0000000577850701</v>
      </c>
    </row>
    <row r="8026" spans="1:40" x14ac:dyDescent="0.25">
      <c r="A8026" t="str">
        <f>"20190312160523647"</f>
        <v>20190312160523647</v>
      </c>
      <c r="B8026" t="str">
        <f>"1552377923643297"</f>
        <v>1552377923643297</v>
      </c>
      <c r="C8026" t="s">
        <v>40</v>
      </c>
      <c r="D8026">
        <v>5.727468</v>
      </c>
      <c r="E8026">
        <v>0.47459709999999999</v>
      </c>
      <c r="F8026" t="s">
        <v>41</v>
      </c>
      <c r="G8026">
        <v>-188.5325</v>
      </c>
      <c r="H8026" s="1">
        <v>-2.4604269999999999E-6</v>
      </c>
      <c r="I8026">
        <v>-25.238700000000001</v>
      </c>
      <c r="J8026">
        <v>-188.17660000000001</v>
      </c>
      <c r="K8026">
        <v>1.11147</v>
      </c>
      <c r="L8026">
        <v>-40.446260000000002</v>
      </c>
      <c r="M8026">
        <v>9.8075960000000004E-2</v>
      </c>
      <c r="N8026">
        <v>0</v>
      </c>
      <c r="O8026">
        <v>0.99508640000000004</v>
      </c>
      <c r="P8026">
        <v>3.986261E-2</v>
      </c>
      <c r="Q8026">
        <v>3.9799599999999997E-2</v>
      </c>
      <c r="R8026">
        <v>0.99841230000000003</v>
      </c>
      <c r="S8026">
        <v>-6.6345210000000002E-2</v>
      </c>
      <c r="T8026">
        <v>-0.2176806</v>
      </c>
      <c r="U8026">
        <v>3.0165410000000001</v>
      </c>
      <c r="V8026">
        <v>-5.8397810000000001E-2</v>
      </c>
      <c r="W8026">
        <v>5.3180690000000003E-2</v>
      </c>
      <c r="X8026">
        <v>0.99687590000000004</v>
      </c>
      <c r="Y8026">
        <v>-0.1198868</v>
      </c>
      <c r="Z8026">
        <v>-7.1186650000000004E-2</v>
      </c>
      <c r="AA8026">
        <v>0.99023209999999995</v>
      </c>
      <c r="AB8026">
        <v>20</v>
      </c>
      <c r="AC8026">
        <v>-0.355899999999991</v>
      </c>
      <c r="AD8026">
        <v>-1.1114724604269901</v>
      </c>
      <c r="AE8026">
        <v>15.2075599999999</v>
      </c>
      <c r="AF8026">
        <v>-1.8360152212535801</v>
      </c>
      <c r="AG8026">
        <v>-1.1114724604269901</v>
      </c>
      <c r="AH8026">
        <v>15.0191377300787</v>
      </c>
      <c r="AI8026">
        <v>94.201225681069801</v>
      </c>
      <c r="AJ8026">
        <v>96.969545341562693</v>
      </c>
      <c r="AK8026">
        <v>15.1717112112654</v>
      </c>
      <c r="AL8026">
        <v>86.951532895977493</v>
      </c>
      <c r="AM8026">
        <v>93.3526023281009</v>
      </c>
      <c r="AN8026">
        <v>1.00000002500124</v>
      </c>
    </row>
    <row r="8027" spans="1:40" x14ac:dyDescent="0.25">
      <c r="A8027" t="str">
        <f>"20190312160523669"</f>
        <v>20190312160523669</v>
      </c>
      <c r="B8027" t="str">
        <f>"1552377923662817"</f>
        <v>1552377923662817</v>
      </c>
      <c r="C8027" t="s">
        <v>40</v>
      </c>
      <c r="D8027">
        <v>5.7048480000000001</v>
      </c>
      <c r="E8027">
        <v>0.47455809999999998</v>
      </c>
      <c r="F8027" t="s">
        <v>41</v>
      </c>
      <c r="G8027">
        <v>-188.5538</v>
      </c>
      <c r="H8027" s="1">
        <v>-2.2796440000000001E-6</v>
      </c>
      <c r="I8027">
        <v>-25.651289999999999</v>
      </c>
      <c r="J8027">
        <v>-188.1592</v>
      </c>
      <c r="K8027">
        <v>1.111456</v>
      </c>
      <c r="L8027">
        <v>-40.243960000000001</v>
      </c>
      <c r="M8027">
        <v>9.5952670000000004E-2</v>
      </c>
      <c r="N8027">
        <v>0</v>
      </c>
      <c r="O8027">
        <v>0.99529339999999999</v>
      </c>
      <c r="P8027">
        <v>3.8701390000000002E-2</v>
      </c>
      <c r="Q8027">
        <v>3.9976299999999999E-2</v>
      </c>
      <c r="R8027">
        <v>0.99845090000000003</v>
      </c>
      <c r="S8027">
        <v>-7.6919559999999998E-2</v>
      </c>
      <c r="T8027">
        <v>-0.22664280000000001</v>
      </c>
      <c r="U8027">
        <v>3.0168759999999999</v>
      </c>
      <c r="V8027">
        <v>-5.7427039999999999E-2</v>
      </c>
      <c r="W8027">
        <v>5.335736E-2</v>
      </c>
      <c r="X8027">
        <v>0.99692289999999995</v>
      </c>
      <c r="Y8027">
        <v>-0.1212294</v>
      </c>
      <c r="Z8027">
        <v>-7.4107229999999996E-2</v>
      </c>
      <c r="AA8027">
        <v>0.98985429999999996</v>
      </c>
      <c r="AB8027">
        <v>20</v>
      </c>
      <c r="AC8027">
        <v>-0.39459999999999601</v>
      </c>
      <c r="AD8027">
        <v>-1.111458279644</v>
      </c>
      <c r="AE8027">
        <v>14.592669999999901</v>
      </c>
      <c r="AF8027">
        <v>-1.7827788426622999</v>
      </c>
      <c r="AG8027">
        <v>-1.111458279644</v>
      </c>
      <c r="AH8027">
        <v>14.403960087746301</v>
      </c>
      <c r="AI8027">
        <v>94.379109695828404</v>
      </c>
      <c r="AJ8027">
        <v>97.055619033004206</v>
      </c>
      <c r="AK8027">
        <v>14.556363080063001</v>
      </c>
      <c r="AL8027">
        <v>86.941396198350802</v>
      </c>
      <c r="AM8027">
        <v>93.296839574647294</v>
      </c>
      <c r="AN8027">
        <v>1.0000000706668599</v>
      </c>
    </row>
    <row r="8028" spans="1:40" x14ac:dyDescent="0.25">
      <c r="A8028" t="str">
        <f>"20190312160523692"</f>
        <v>20190312160523692</v>
      </c>
      <c r="B8028" t="str">
        <f>"1552377923683313"</f>
        <v>1552377923683313</v>
      </c>
      <c r="C8028" t="s">
        <v>40</v>
      </c>
      <c r="D8028">
        <v>5.7065239999999999</v>
      </c>
      <c r="E8028">
        <v>0.47451729999999998</v>
      </c>
      <c r="F8028" t="s">
        <v>41</v>
      </c>
      <c r="G8028">
        <v>-188.54679999999999</v>
      </c>
      <c r="H8028" s="1">
        <v>-2.2708840000000001E-6</v>
      </c>
      <c r="I8028">
        <v>-25.674610000000001</v>
      </c>
      <c r="J8028">
        <v>-188.14230000000001</v>
      </c>
      <c r="K8028">
        <v>1.1114409999999999</v>
      </c>
      <c r="L8028">
        <v>-40.042940000000002</v>
      </c>
      <c r="M8028">
        <v>9.387682E-2</v>
      </c>
      <c r="N8028">
        <v>0</v>
      </c>
      <c r="O8028">
        <v>0.99549149999999997</v>
      </c>
      <c r="P8028">
        <v>3.6471499999999997E-2</v>
      </c>
      <c r="Q8028">
        <v>4.002087E-2</v>
      </c>
      <c r="R8028">
        <v>0.998533</v>
      </c>
      <c r="S8028">
        <v>-8.0261230000000003E-2</v>
      </c>
      <c r="T8028">
        <v>-0.23015920000000001</v>
      </c>
      <c r="U8028">
        <v>3.0169980000000001</v>
      </c>
      <c r="V8028">
        <v>-5.7572869999999998E-2</v>
      </c>
      <c r="W8028">
        <v>5.3397350000000003E-2</v>
      </c>
      <c r="X8028">
        <v>0.99691229999999997</v>
      </c>
      <c r="Y8028">
        <v>-0.1202516</v>
      </c>
      <c r="Z8028">
        <v>-7.5273389999999996E-2</v>
      </c>
      <c r="AA8028">
        <v>0.98988560000000003</v>
      </c>
      <c r="AB8028">
        <v>20</v>
      </c>
      <c r="AC8028">
        <v>-0.40449999999998398</v>
      </c>
      <c r="AD8028">
        <v>-1.1114432708840001</v>
      </c>
      <c r="AE8028">
        <v>14.368329999999901</v>
      </c>
      <c r="AF8028">
        <v>-1.7412795862086701</v>
      </c>
      <c r="AG8028">
        <v>-1.1114432708840001</v>
      </c>
      <c r="AH8028">
        <v>14.1820958315899</v>
      </c>
      <c r="AI8028">
        <v>94.447816275655299</v>
      </c>
      <c r="AJ8028">
        <v>96.999749963380097</v>
      </c>
      <c r="AK8028">
        <v>14.3317550536611</v>
      </c>
      <c r="AL8028">
        <v>86.939101523561803</v>
      </c>
      <c r="AM8028">
        <v>93.305228084407105</v>
      </c>
      <c r="AN8028">
        <v>1.0000000231191699</v>
      </c>
    </row>
    <row r="8029" spans="1:40" x14ac:dyDescent="0.25">
      <c r="A8029" t="str">
        <f>"20190312160523714"</f>
        <v>20190312160523714</v>
      </c>
      <c r="B8029" t="str">
        <f>"1552377923702832"</f>
        <v>1552377923702832</v>
      </c>
      <c r="C8029" t="s">
        <v>40</v>
      </c>
      <c r="D8029">
        <v>5.689203</v>
      </c>
      <c r="E8029">
        <v>0.47439439999999999</v>
      </c>
      <c r="F8029" t="s">
        <v>41</v>
      </c>
      <c r="G8029">
        <v>-188.56039999999999</v>
      </c>
      <c r="H8029" s="1">
        <v>-2.3222029999999998E-6</v>
      </c>
      <c r="I8029">
        <v>-25.54935</v>
      </c>
      <c r="J8029">
        <v>-188.12610000000001</v>
      </c>
      <c r="K8029">
        <v>1.111437</v>
      </c>
      <c r="L8029">
        <v>-39.844149999999999</v>
      </c>
      <c r="M8029">
        <v>9.1846140000000007E-2</v>
      </c>
      <c r="N8029">
        <v>0</v>
      </c>
      <c r="O8029">
        <v>0.99568100000000004</v>
      </c>
      <c r="P8029">
        <v>3.457855E-2</v>
      </c>
      <c r="Q8029">
        <v>4.0267839999999999E-2</v>
      </c>
      <c r="R8029">
        <v>0.99859039999999999</v>
      </c>
      <c r="S8029">
        <v>-8.702087E-2</v>
      </c>
      <c r="T8029">
        <v>-0.2313472</v>
      </c>
      <c r="U8029">
        <v>3.0168460000000001</v>
      </c>
      <c r="V8029">
        <v>-5.7428559999999997E-2</v>
      </c>
      <c r="W8029">
        <v>5.363971E-2</v>
      </c>
      <c r="X8029">
        <v>0.9969076</v>
      </c>
      <c r="Y8029">
        <v>-0.1204435</v>
      </c>
      <c r="Z8029">
        <v>-7.5681940000000003E-2</v>
      </c>
      <c r="AA8029">
        <v>0.98983109999999996</v>
      </c>
      <c r="AB8029">
        <v>20</v>
      </c>
      <c r="AC8029">
        <v>-0.43429999999997898</v>
      </c>
      <c r="AD8029">
        <v>-1.1114393222029999</v>
      </c>
      <c r="AE8029">
        <v>14.2948</v>
      </c>
      <c r="AF8029">
        <v>-1.73502770412492</v>
      </c>
      <c r="AG8029">
        <v>-1.1114393222029999</v>
      </c>
      <c r="AH8029">
        <v>14.109259768289601</v>
      </c>
      <c r="AI8029">
        <v>94.470565727695998</v>
      </c>
      <c r="AJ8029">
        <v>97.0105149667245</v>
      </c>
      <c r="AK8029">
        <v>14.2589210570119</v>
      </c>
      <c r="AL8029">
        <v>86.925195350294899</v>
      </c>
      <c r="AM8029">
        <v>93.296977131945695</v>
      </c>
      <c r="AN8029">
        <v>1.0000000104651501</v>
      </c>
    </row>
    <row r="8030" spans="1:40" x14ac:dyDescent="0.25">
      <c r="A8030" t="str">
        <f>"20190312160523737"</f>
        <v>20190312160523737</v>
      </c>
      <c r="B8030" t="str">
        <f>"1552377923733089"</f>
        <v>1552377923733089</v>
      </c>
      <c r="C8030" t="s">
        <v>40</v>
      </c>
      <c r="D8030">
        <v>5.6466699999999896</v>
      </c>
      <c r="E8030">
        <v>0.47451650000000001</v>
      </c>
      <c r="F8030" t="s">
        <v>41</v>
      </c>
      <c r="G8030">
        <v>-188.5729</v>
      </c>
      <c r="H8030" s="1">
        <v>-2.3830470000000001E-6</v>
      </c>
      <c r="I8030">
        <v>-25.402339999999999</v>
      </c>
      <c r="J8030">
        <v>-188.10990000000001</v>
      </c>
      <c r="K8030">
        <v>1.111437</v>
      </c>
      <c r="L8030">
        <v>-39.642429999999997</v>
      </c>
      <c r="M8030">
        <v>8.9802019999999996E-2</v>
      </c>
      <c r="N8030">
        <v>0</v>
      </c>
      <c r="O8030">
        <v>0.99586750000000002</v>
      </c>
      <c r="P8030">
        <v>3.2977109999999997E-2</v>
      </c>
      <c r="Q8030">
        <v>3.9455839999999999E-2</v>
      </c>
      <c r="R8030">
        <v>0.99867700000000004</v>
      </c>
      <c r="S8030">
        <v>-9.3353270000000002E-2</v>
      </c>
      <c r="T8030">
        <v>-0.23217370000000001</v>
      </c>
      <c r="U8030">
        <v>3.0168149999999998</v>
      </c>
      <c r="V8030">
        <v>-5.6981339999999998E-2</v>
      </c>
      <c r="W8030">
        <v>5.2825480000000001E-2</v>
      </c>
      <c r="X8030">
        <v>0.99697670000000005</v>
      </c>
      <c r="Y8030">
        <v>-0.12048109999999999</v>
      </c>
      <c r="Z8030">
        <v>-7.5970369999999995E-2</v>
      </c>
      <c r="AA8030">
        <v>0.98980440000000003</v>
      </c>
      <c r="AB8030">
        <v>20</v>
      </c>
      <c r="AC8030">
        <v>-0.46299999999999297</v>
      </c>
      <c r="AD8030">
        <v>-1.111439383047</v>
      </c>
      <c r="AE8030">
        <v>14.24009</v>
      </c>
      <c r="AF8030">
        <v>-1.72951045541671</v>
      </c>
      <c r="AG8030">
        <v>-1.111439383047</v>
      </c>
      <c r="AH8030">
        <v>14.055429588893899</v>
      </c>
      <c r="AI8030">
        <v>94.487575289200393</v>
      </c>
      <c r="AJ8030">
        <v>97.014941398715195</v>
      </c>
      <c r="AK8030">
        <v>14.2049852110425</v>
      </c>
      <c r="AL8030">
        <v>86.971913418103298</v>
      </c>
      <c r="AM8030">
        <v>93.271131941535103</v>
      </c>
      <c r="AN8030">
        <v>0.99999997239415706</v>
      </c>
    </row>
    <row r="8031" spans="1:40" x14ac:dyDescent="0.25">
      <c r="A8031" t="str">
        <f>"20190312160523761"</f>
        <v>20190312160523761</v>
      </c>
      <c r="B8031" t="str">
        <f>"1552377923752609"</f>
        <v>1552377923752609</v>
      </c>
      <c r="C8031" t="s">
        <v>40</v>
      </c>
      <c r="D8031">
        <v>5.6522269999999999</v>
      </c>
      <c r="E8031">
        <v>0.47460219999999997</v>
      </c>
      <c r="F8031" t="s">
        <v>41</v>
      </c>
      <c r="G8031">
        <v>-188.56549999999999</v>
      </c>
      <c r="H8031" s="1">
        <v>-2.3444860000000002E-6</v>
      </c>
      <c r="I8031">
        <v>-25.49532</v>
      </c>
      <c r="J8031">
        <v>-188.0934</v>
      </c>
      <c r="K8031">
        <v>1.111432</v>
      </c>
      <c r="L8031">
        <v>-39.429839999999999</v>
      </c>
      <c r="M8031">
        <v>8.7657940000000004E-2</v>
      </c>
      <c r="N8031">
        <v>0</v>
      </c>
      <c r="O8031">
        <v>0.99605849999999996</v>
      </c>
      <c r="P8031">
        <v>3.0709259999999999E-2</v>
      </c>
      <c r="Q8031">
        <v>3.9266599999999999E-2</v>
      </c>
      <c r="R8031">
        <v>0.9987568</v>
      </c>
      <c r="S8031">
        <v>-9.713745E-2</v>
      </c>
      <c r="T8031">
        <v>-0.23698839999999999</v>
      </c>
      <c r="U8031">
        <v>3.0165410000000001</v>
      </c>
      <c r="V8031">
        <v>-5.7098870000000003E-2</v>
      </c>
      <c r="W8031">
        <v>5.2631669999999998E-2</v>
      </c>
      <c r="X8031">
        <v>0.99698019999999998</v>
      </c>
      <c r="Y8031">
        <v>-0.1195833</v>
      </c>
      <c r="Z8031">
        <v>-7.7568429999999994E-2</v>
      </c>
      <c r="AA8031">
        <v>0.98978940000000004</v>
      </c>
      <c r="AB8031">
        <v>20</v>
      </c>
      <c r="AC8031">
        <v>-0.47209999999998298</v>
      </c>
      <c r="AD8031">
        <v>-1.111434344486</v>
      </c>
      <c r="AE8031">
        <v>13.934519999999999</v>
      </c>
      <c r="AF8031">
        <v>-1.6811826407397901</v>
      </c>
      <c r="AG8031">
        <v>-1.111434344486</v>
      </c>
      <c r="AH8031">
        <v>13.7520954588466</v>
      </c>
      <c r="AI8031">
        <v>94.586562164864304</v>
      </c>
      <c r="AJ8031">
        <v>96.969779586221193</v>
      </c>
      <c r="AK8031">
        <v>13.898985246515499</v>
      </c>
      <c r="AL8031">
        <v>86.983033304204497</v>
      </c>
      <c r="AM8031">
        <v>93.277852815602998</v>
      </c>
      <c r="AN8031">
        <v>0.99999994641715095</v>
      </c>
    </row>
    <row r="8032" spans="1:40" x14ac:dyDescent="0.25">
      <c r="A8032" t="str">
        <f>"20190312160523783"</f>
        <v>20190312160523783</v>
      </c>
      <c r="B8032" t="str">
        <f>"1552377923773105"</f>
        <v>1552377923773105</v>
      </c>
      <c r="C8032" t="s">
        <v>40</v>
      </c>
      <c r="D8032">
        <v>5.6633690000000003</v>
      </c>
      <c r="E8032">
        <v>0.47478199999999998</v>
      </c>
      <c r="F8032" t="s">
        <v>41</v>
      </c>
      <c r="G8032">
        <v>-188.5762</v>
      </c>
      <c r="H8032" s="1">
        <v>-2.4085540000000001E-6</v>
      </c>
      <c r="I8032">
        <v>-25.341550000000002</v>
      </c>
      <c r="J8032">
        <v>-188.0787</v>
      </c>
      <c r="K8032">
        <v>1.111434</v>
      </c>
      <c r="L8032">
        <v>-39.23639</v>
      </c>
      <c r="M8032">
        <v>8.5709519999999997E-2</v>
      </c>
      <c r="N8032">
        <v>0</v>
      </c>
      <c r="O8032">
        <v>0.99622820000000001</v>
      </c>
      <c r="P8032">
        <v>2.8720450000000002E-2</v>
      </c>
      <c r="Q8032">
        <v>3.9300170000000002E-2</v>
      </c>
      <c r="R8032">
        <v>0.9988146</v>
      </c>
      <c r="S8032">
        <v>-0.103363</v>
      </c>
      <c r="T8032">
        <v>-0.23795530000000001</v>
      </c>
      <c r="U8032">
        <v>3.0162659999999999</v>
      </c>
      <c r="V8032">
        <v>-5.7133950000000003E-2</v>
      </c>
      <c r="W8032">
        <v>5.2661670000000001E-2</v>
      </c>
      <c r="X8032">
        <v>0.99697670000000005</v>
      </c>
      <c r="Y8032">
        <v>-0.1196841</v>
      </c>
      <c r="Z8032">
        <v>-7.7906820000000002E-2</v>
      </c>
      <c r="AA8032">
        <v>0.98975060000000004</v>
      </c>
      <c r="AB8032">
        <v>20</v>
      </c>
      <c r="AC8032">
        <v>-0.497500000000002</v>
      </c>
      <c r="AD8032">
        <v>-1.1114364085540001</v>
      </c>
      <c r="AE8032">
        <v>13.89484</v>
      </c>
      <c r="AF8032">
        <v>-1.67598846193764</v>
      </c>
      <c r="AG8032">
        <v>-1.1114364085540001</v>
      </c>
      <c r="AH8032">
        <v>13.7134257718428</v>
      </c>
      <c r="AI8032">
        <v>94.599467410484607</v>
      </c>
      <c r="AJ8032">
        <v>96.967857802100795</v>
      </c>
      <c r="AK8032">
        <v>13.8600964864841</v>
      </c>
      <c r="AL8032">
        <v>86.981312326555695</v>
      </c>
      <c r="AM8032">
        <v>93.279873733628605</v>
      </c>
      <c r="AN8032">
        <v>1.00000004003634</v>
      </c>
    </row>
    <row r="8033" spans="1:40" x14ac:dyDescent="0.25">
      <c r="A8033" t="str">
        <f>"20190312160523805"</f>
        <v>20190312160523805</v>
      </c>
      <c r="B8033" t="str">
        <f>"1552377923792627"</f>
        <v>1552377923792627</v>
      </c>
      <c r="C8033" t="s">
        <v>40</v>
      </c>
      <c r="D8033">
        <v>5.6672900000000004</v>
      </c>
      <c r="E8033">
        <v>0.47503109999999998</v>
      </c>
      <c r="F8033" t="s">
        <v>41</v>
      </c>
      <c r="G8033">
        <v>-188.58070000000001</v>
      </c>
      <c r="H8033" s="1">
        <v>-2.4761369999999999E-6</v>
      </c>
      <c r="I8033">
        <v>-25.182120000000001</v>
      </c>
      <c r="J8033">
        <v>-188.06440000000001</v>
      </c>
      <c r="K8033">
        <v>1.111432</v>
      </c>
      <c r="L8033">
        <v>-39.043120000000002</v>
      </c>
      <c r="M8033">
        <v>8.3762100000000006E-2</v>
      </c>
      <c r="N8033">
        <v>0</v>
      </c>
      <c r="O8033">
        <v>0.9963938</v>
      </c>
      <c r="P8033">
        <v>2.649555E-2</v>
      </c>
      <c r="Q8033">
        <v>3.9476629999999999E-2</v>
      </c>
      <c r="R8033">
        <v>0.99886920000000001</v>
      </c>
      <c r="S8033">
        <v>-0.1077423</v>
      </c>
      <c r="T8033">
        <v>-0.2385148</v>
      </c>
      <c r="U8033">
        <v>3.0160520000000002</v>
      </c>
      <c r="V8033">
        <v>-5.7406310000000002E-2</v>
      </c>
      <c r="W8033">
        <v>5.2833100000000001E-2</v>
      </c>
      <c r="X8033">
        <v>0.9969519</v>
      </c>
      <c r="Y8033">
        <v>-0.1191807</v>
      </c>
      <c r="Z8033">
        <v>-7.8114370000000002E-2</v>
      </c>
      <c r="AA8033">
        <v>0.98979499999999998</v>
      </c>
      <c r="AB8033">
        <v>20</v>
      </c>
      <c r="AC8033">
        <v>-0.51630000000000098</v>
      </c>
      <c r="AD8033">
        <v>-1.1114344761370001</v>
      </c>
      <c r="AE8033">
        <v>13.860999999999899</v>
      </c>
      <c r="AF8033">
        <v>-1.6649283099214101</v>
      </c>
      <c r="AG8033">
        <v>-1.1114344761370001</v>
      </c>
      <c r="AH8033">
        <v>13.681188509781601</v>
      </c>
      <c r="AI8033">
        <v>94.610537675885098</v>
      </c>
      <c r="AJ8033">
        <v>96.938475652948895</v>
      </c>
      <c r="AK8033">
        <v>13.826864862003401</v>
      </c>
      <c r="AL8033">
        <v>86.971476163716801</v>
      </c>
      <c r="AM8033">
        <v>93.295556451141195</v>
      </c>
      <c r="AN8033">
        <v>0.99999995589851698</v>
      </c>
    </row>
    <row r="8034" spans="1:40" x14ac:dyDescent="0.25">
      <c r="A8034" t="str">
        <f>"20190312160523826"</f>
        <v>20190312160523826</v>
      </c>
      <c r="B8034" t="str">
        <f>"1552377923813124"</f>
        <v>1552377923813124</v>
      </c>
      <c r="C8034" t="s">
        <v>40</v>
      </c>
      <c r="D8034">
        <v>5.6610449999999997</v>
      </c>
      <c r="E8034">
        <v>0.47509600000000002</v>
      </c>
      <c r="F8034" t="s">
        <v>41</v>
      </c>
      <c r="G8034">
        <v>-188.58160000000001</v>
      </c>
      <c r="H8034" s="1">
        <v>-2.5063609999999998E-6</v>
      </c>
      <c r="I8034">
        <v>-25.11131</v>
      </c>
      <c r="J8034">
        <v>-188.05090000000001</v>
      </c>
      <c r="K8034">
        <v>1.111426</v>
      </c>
      <c r="L8034">
        <v>-38.855409999999999</v>
      </c>
      <c r="M8034">
        <v>8.186947E-2</v>
      </c>
      <c r="N8034">
        <v>0</v>
      </c>
      <c r="O8034">
        <v>0.99655119999999997</v>
      </c>
      <c r="P8034">
        <v>2.426499E-2</v>
      </c>
      <c r="Q8034">
        <v>3.9536799999999997E-2</v>
      </c>
      <c r="R8034">
        <v>0.99892340000000002</v>
      </c>
      <c r="S8034">
        <v>-0.111969</v>
      </c>
      <c r="T8034">
        <v>-0.24059610000000001</v>
      </c>
      <c r="U8034">
        <v>3.0158689999999999</v>
      </c>
      <c r="V8034">
        <v>-5.7739369999999998E-2</v>
      </c>
      <c r="W8034">
        <v>5.2889760000000001E-2</v>
      </c>
      <c r="X8034">
        <v>0.99692970000000003</v>
      </c>
      <c r="Y8034">
        <v>-0.11868040000000001</v>
      </c>
      <c r="Z8034">
        <v>-7.8815560000000007E-2</v>
      </c>
      <c r="AA8034">
        <v>0.98979950000000005</v>
      </c>
      <c r="AB8034">
        <v>20</v>
      </c>
      <c r="AC8034">
        <v>-0.53069999999999595</v>
      </c>
      <c r="AD8034">
        <v>-1.1114285063609901</v>
      </c>
      <c r="AE8034">
        <v>13.7441</v>
      </c>
      <c r="AF8034">
        <v>-1.6435119562010101</v>
      </c>
      <c r="AG8034">
        <v>-1.1114285063609901</v>
      </c>
      <c r="AH8034">
        <v>13.5659219181238</v>
      </c>
      <c r="AI8034">
        <v>94.649818187623097</v>
      </c>
      <c r="AJ8034">
        <v>96.907721493917194</v>
      </c>
      <c r="AK8034">
        <v>13.7102385961572</v>
      </c>
      <c r="AL8034">
        <v>86.968225355531899</v>
      </c>
      <c r="AM8034">
        <v>93.314707752069197</v>
      </c>
      <c r="AN8034">
        <v>0.999999994151472</v>
      </c>
    </row>
    <row r="8035" spans="1:40" x14ac:dyDescent="0.25">
      <c r="A8035" t="str">
        <f>"20190312160523850"</f>
        <v>20190312160523850</v>
      </c>
      <c r="B8035" t="str">
        <f>"1552377923843377"</f>
        <v>1552377923843377</v>
      </c>
      <c r="C8035" t="s">
        <v>40</v>
      </c>
      <c r="D8035">
        <v>5.6462440000000003</v>
      </c>
      <c r="E8035">
        <v>0.47526669999999999</v>
      </c>
      <c r="F8035" t="s">
        <v>41</v>
      </c>
      <c r="G8035">
        <v>-188.5917</v>
      </c>
      <c r="H8035" s="1">
        <v>-2.545682E-6</v>
      </c>
      <c r="I8035">
        <v>-25.01549</v>
      </c>
      <c r="J8035">
        <v>-188.03649999999999</v>
      </c>
      <c r="K8035">
        <v>1.111421</v>
      </c>
      <c r="L8035">
        <v>-38.649380000000001</v>
      </c>
      <c r="M8035">
        <v>7.979348E-2</v>
      </c>
      <c r="N8035">
        <v>0</v>
      </c>
      <c r="O8035">
        <v>0.99671949999999998</v>
      </c>
      <c r="P8035">
        <v>2.245842E-2</v>
      </c>
      <c r="Q8035">
        <v>3.9557450000000001E-2</v>
      </c>
      <c r="R8035">
        <v>0.99896490000000004</v>
      </c>
      <c r="S8035">
        <v>-0.11784360000000001</v>
      </c>
      <c r="T8035">
        <v>-0.24217759999999999</v>
      </c>
      <c r="U8035">
        <v>3.0156860000000001</v>
      </c>
      <c r="V8035">
        <v>-5.746503E-2</v>
      </c>
      <c r="W8035">
        <v>5.2908330000000003E-2</v>
      </c>
      <c r="X8035">
        <v>0.99694450000000001</v>
      </c>
      <c r="Y8035">
        <v>-0.11853809999999999</v>
      </c>
      <c r="Z8035">
        <v>-7.9353080000000006E-2</v>
      </c>
      <c r="AA8035">
        <v>0.98977360000000003</v>
      </c>
      <c r="AB8035">
        <v>20</v>
      </c>
      <c r="AC8035">
        <v>-0.55520000000001302</v>
      </c>
      <c r="AD8035">
        <v>-1.1114235456820001</v>
      </c>
      <c r="AE8035">
        <v>13.633889999999999</v>
      </c>
      <c r="AF8035">
        <v>-1.6306065332233299</v>
      </c>
      <c r="AG8035">
        <v>-1.1114235456820001</v>
      </c>
      <c r="AH8035">
        <v>13.456826193424</v>
      </c>
      <c r="AI8035">
        <v>94.687313661163401</v>
      </c>
      <c r="AJ8035">
        <v>96.909028712525</v>
      </c>
      <c r="AK8035">
        <v>13.600746713475299</v>
      </c>
      <c r="AL8035">
        <v>86.9671596820031</v>
      </c>
      <c r="AM8035">
        <v>93.298944414707506</v>
      </c>
      <c r="AN8035">
        <v>0.99999992856826703</v>
      </c>
    </row>
    <row r="8036" spans="1:40" x14ac:dyDescent="0.25">
      <c r="A8036" t="str">
        <f>"20190312160523870"</f>
        <v>20190312160523870</v>
      </c>
      <c r="B8036" t="str">
        <f>"1552377923862896"</f>
        <v>1552377923862896</v>
      </c>
      <c r="C8036" t="s">
        <v>40</v>
      </c>
      <c r="D8036">
        <v>5.690512</v>
      </c>
      <c r="E8036">
        <v>0.47533439999999999</v>
      </c>
      <c r="F8036" t="s">
        <v>41</v>
      </c>
      <c r="G8036">
        <v>-188.58799999999999</v>
      </c>
      <c r="H8036" s="1">
        <v>-2.5608429999999998E-6</v>
      </c>
      <c r="I8036">
        <v>-24.981670000000001</v>
      </c>
      <c r="J8036">
        <v>-188.02350000000001</v>
      </c>
      <c r="K8036">
        <v>1.111418</v>
      </c>
      <c r="L8036">
        <v>-38.459629999999997</v>
      </c>
      <c r="M8036">
        <v>7.7885099999999999E-2</v>
      </c>
      <c r="N8036">
        <v>0</v>
      </c>
      <c r="O8036">
        <v>0.99687049999999999</v>
      </c>
      <c r="P8036">
        <v>2.093153E-2</v>
      </c>
      <c r="Q8036">
        <v>3.9468749999999997E-2</v>
      </c>
      <c r="R8036">
        <v>0.99900160000000005</v>
      </c>
      <c r="S8036">
        <v>-0.1216888</v>
      </c>
      <c r="T8036">
        <v>-0.2452154</v>
      </c>
      <c r="U8036">
        <v>3.015533</v>
      </c>
      <c r="V8036">
        <v>-5.7079770000000002E-2</v>
      </c>
      <c r="W8036">
        <v>5.2817860000000001E-2</v>
      </c>
      <c r="X8036">
        <v>0.99697150000000001</v>
      </c>
      <c r="Y8036">
        <v>-0.1178958</v>
      </c>
      <c r="Z8036">
        <v>-8.0365409999999998E-2</v>
      </c>
      <c r="AA8036">
        <v>0.9897686</v>
      </c>
      <c r="AB8036">
        <v>20</v>
      </c>
      <c r="AC8036">
        <v>-0.56449999999998102</v>
      </c>
      <c r="AD8036">
        <v>-1.1114205608429999</v>
      </c>
      <c r="AE8036">
        <v>13.4779599999999</v>
      </c>
      <c r="AF8036">
        <v>-1.60174056205372</v>
      </c>
      <c r="AG8036">
        <v>-1.1114205608429999</v>
      </c>
      <c r="AH8036">
        <v>13.3027407389097</v>
      </c>
      <c r="AI8036">
        <v>94.741778600832902</v>
      </c>
      <c r="AJ8036">
        <v>96.865749862151802</v>
      </c>
      <c r="AK8036">
        <v>13.4448406334118</v>
      </c>
      <c r="AL8036">
        <v>86.972350703377799</v>
      </c>
      <c r="AM8036">
        <v>93.276787271016104</v>
      </c>
      <c r="AN8036">
        <v>0.99999999914524096</v>
      </c>
    </row>
    <row r="8037" spans="1:40" x14ac:dyDescent="0.25">
      <c r="A8037" t="str">
        <f>"20190312160523885"</f>
        <v>20190312160523885</v>
      </c>
      <c r="B8037" t="str">
        <f>"1552377923883393"</f>
        <v>1552377923883393</v>
      </c>
      <c r="C8037" t="s">
        <v>40</v>
      </c>
      <c r="D8037">
        <v>5.7116119999999997</v>
      </c>
      <c r="E8037">
        <v>0.47536030000000001</v>
      </c>
      <c r="F8037" t="s">
        <v>41</v>
      </c>
      <c r="G8037">
        <v>-188.59370000000001</v>
      </c>
      <c r="H8037" s="1">
        <v>-2.6476179999999999E-6</v>
      </c>
      <c r="I8037">
        <v>-24.777059999999999</v>
      </c>
      <c r="J8037">
        <v>-188.01490000000001</v>
      </c>
      <c r="K8037">
        <v>1.1114200000000001</v>
      </c>
      <c r="L8037">
        <v>-38.329500000000003</v>
      </c>
      <c r="M8037">
        <v>7.6578590000000002E-2</v>
      </c>
      <c r="N8037">
        <v>0</v>
      </c>
      <c r="O8037">
        <v>0.99697179999999996</v>
      </c>
      <c r="P8037">
        <v>1.9932200000000001E-2</v>
      </c>
      <c r="Q8037">
        <v>3.9553640000000001E-2</v>
      </c>
      <c r="R8037">
        <v>0.99901859999999998</v>
      </c>
      <c r="S8037">
        <v>-0.1256409</v>
      </c>
      <c r="T8037">
        <v>-0.2449288</v>
      </c>
      <c r="U8037">
        <v>3.0152890000000001</v>
      </c>
      <c r="V8037">
        <v>-5.6770029999999999E-2</v>
      </c>
      <c r="W8037">
        <v>5.2902610000000003E-2</v>
      </c>
      <c r="X8037">
        <v>0.99698469999999995</v>
      </c>
      <c r="Y8037">
        <v>-0.1178931</v>
      </c>
      <c r="Z8037">
        <v>-8.0288699999999893E-2</v>
      </c>
      <c r="AA8037">
        <v>0.98977519999999997</v>
      </c>
      <c r="AB8037">
        <v>20</v>
      </c>
      <c r="AC8037">
        <v>-0.57880000000000098</v>
      </c>
      <c r="AD8037">
        <v>-1.111422647618</v>
      </c>
      <c r="AE8037">
        <v>13.552439999999899</v>
      </c>
      <c r="AF8037">
        <v>-1.60425203819618</v>
      </c>
      <c r="AG8037">
        <v>-1.111422647618</v>
      </c>
      <c r="AH8037">
        <v>13.3784958478895</v>
      </c>
      <c r="AI8037">
        <v>94.715333415730697</v>
      </c>
      <c r="AJ8037">
        <v>96.837844468265203</v>
      </c>
      <c r="AK8037">
        <v>13.5200974869152</v>
      </c>
      <c r="AL8037">
        <v>86.967488112313106</v>
      </c>
      <c r="AM8037">
        <v>93.259001355074005</v>
      </c>
      <c r="AN8037">
        <v>1.0000000072425499</v>
      </c>
    </row>
    <row r="8038" spans="1:40" x14ac:dyDescent="0.25">
      <c r="A8038" t="str">
        <f>"20190312160523903"</f>
        <v>20190312160523903</v>
      </c>
      <c r="B8038" t="str">
        <f>"1552377923893154"</f>
        <v>1552377923893154</v>
      </c>
      <c r="C8038" t="s">
        <v>40</v>
      </c>
      <c r="D8038">
        <v>5.7358359999999999</v>
      </c>
      <c r="E8038">
        <v>0.47541090000000003</v>
      </c>
      <c r="F8038" t="s">
        <v>41</v>
      </c>
      <c r="G8038">
        <v>-188.5985</v>
      </c>
      <c r="H8038" s="1">
        <v>-2.7118119999999999E-6</v>
      </c>
      <c r="I8038">
        <v>-24.625419999999998</v>
      </c>
      <c r="J8038">
        <v>-188.00450000000001</v>
      </c>
      <c r="K8038">
        <v>1.111415</v>
      </c>
      <c r="L8038">
        <v>-38.16919</v>
      </c>
      <c r="M8038">
        <v>7.4972899999999995E-2</v>
      </c>
      <c r="N8038">
        <v>0</v>
      </c>
      <c r="O8038">
        <v>0.99709389999999998</v>
      </c>
      <c r="P8038">
        <v>1.843262E-2</v>
      </c>
      <c r="Q8038">
        <v>3.9598920000000003E-2</v>
      </c>
      <c r="R8038">
        <v>0.99904559999999998</v>
      </c>
      <c r="S8038">
        <v>-0.12840270000000001</v>
      </c>
      <c r="T8038">
        <v>-0.24453749999999999</v>
      </c>
      <c r="U8038">
        <v>3.0151979999999998</v>
      </c>
      <c r="V8038">
        <v>-5.6660080000000002E-2</v>
      </c>
      <c r="W8038">
        <v>5.2945949999999999E-2</v>
      </c>
      <c r="X8038">
        <v>0.99698869999999895</v>
      </c>
      <c r="Y8038">
        <v>-0.1172005</v>
      </c>
      <c r="Z8038">
        <v>-8.018024E-2</v>
      </c>
      <c r="AA8038">
        <v>0.98986629999999998</v>
      </c>
      <c r="AB8038">
        <v>20</v>
      </c>
      <c r="AC8038">
        <v>-0.59399999999999398</v>
      </c>
      <c r="AD8038">
        <v>-1.1114177118119899</v>
      </c>
      <c r="AE8038">
        <v>13.54377</v>
      </c>
      <c r="AF8038">
        <v>-1.5971021712154101</v>
      </c>
      <c r="AG8038">
        <v>-1.1114177118119899</v>
      </c>
      <c r="AH8038">
        <v>13.3712375344066</v>
      </c>
      <c r="AI8038">
        <v>94.718120878848694</v>
      </c>
      <c r="AJ8038">
        <v>96.811316738399299</v>
      </c>
      <c r="AK8038">
        <v>13.5120678608773</v>
      </c>
      <c r="AL8038">
        <v>86.965001567559199</v>
      </c>
      <c r="AM8038">
        <v>93.252689991146596</v>
      </c>
      <c r="AN8038">
        <v>1.0000000531073401</v>
      </c>
    </row>
    <row r="8039" spans="1:40" x14ac:dyDescent="0.25">
      <c r="A8039" t="str">
        <f>"20190312160523926"</f>
        <v>20190312160523926</v>
      </c>
      <c r="B8039" t="str">
        <f>"1552377923923408"</f>
        <v>1552377923923408</v>
      </c>
      <c r="C8039" t="s">
        <v>40</v>
      </c>
      <c r="D8039">
        <v>5.6822229999999996</v>
      </c>
      <c r="E8039">
        <v>0.47552410000000001</v>
      </c>
      <c r="F8039" t="s">
        <v>41</v>
      </c>
      <c r="G8039">
        <v>-188.60489999999999</v>
      </c>
      <c r="H8039" s="1">
        <v>-2.7621460000000002E-6</v>
      </c>
      <c r="I8039">
        <v>-24.50545</v>
      </c>
      <c r="J8039">
        <v>-187.9923</v>
      </c>
      <c r="K8039">
        <v>1.111413</v>
      </c>
      <c r="L8039">
        <v>-37.976469999999999</v>
      </c>
      <c r="M8039">
        <v>7.3053049999999994E-2</v>
      </c>
      <c r="N8039">
        <v>0</v>
      </c>
      <c r="O8039">
        <v>0.99723640000000002</v>
      </c>
      <c r="P8039">
        <v>1.6998249999999999E-2</v>
      </c>
      <c r="Q8039">
        <v>3.9016000000000002E-2</v>
      </c>
      <c r="R8039">
        <v>0.99909400000000004</v>
      </c>
      <c r="S8039">
        <v>-0.13247679999999901</v>
      </c>
      <c r="T8039">
        <v>-0.2452433</v>
      </c>
      <c r="U8039">
        <v>3.015015</v>
      </c>
      <c r="V8039">
        <v>-5.6171190000000003E-2</v>
      </c>
      <c r="W8039">
        <v>5.236358E-2</v>
      </c>
      <c r="X8039">
        <v>0.99704709999999996</v>
      </c>
      <c r="Y8039">
        <v>-0.1166252</v>
      </c>
      <c r="Z8039">
        <v>-8.0432740000000003E-2</v>
      </c>
      <c r="AA8039">
        <v>0.98991370000000001</v>
      </c>
      <c r="AB8039">
        <v>20</v>
      </c>
      <c r="AC8039">
        <v>-0.61259999999998604</v>
      </c>
      <c r="AD8039">
        <v>-1.1114157621459999</v>
      </c>
      <c r="AE8039">
        <v>13.471019999999999</v>
      </c>
      <c r="AF8039">
        <v>-1.5843893398431701</v>
      </c>
      <c r="AG8039">
        <v>-1.1114157621459999</v>
      </c>
      <c r="AH8039">
        <v>13.299918256329899</v>
      </c>
      <c r="AI8039">
        <v>94.743472969255095</v>
      </c>
      <c r="AJ8039">
        <v>96.793501550783901</v>
      </c>
      <c r="AK8039">
        <v>13.439991078926001</v>
      </c>
      <c r="AL8039">
        <v>86.998415202328303</v>
      </c>
      <c r="AM8039">
        <v>93.224495247524004</v>
      </c>
      <c r="AN8039">
        <v>1.0000000333574199</v>
      </c>
    </row>
    <row r="8040" spans="1:40" x14ac:dyDescent="0.25">
      <c r="A8040" t="str">
        <f>"20190312160523951"</f>
        <v>20190312160523951</v>
      </c>
      <c r="B8040" t="str">
        <f>"1552377923942928"</f>
        <v>1552377923942928</v>
      </c>
      <c r="C8040" t="s">
        <v>40</v>
      </c>
      <c r="D8040">
        <v>5.5957150000000002</v>
      </c>
      <c r="E8040">
        <v>0.48223329999999998</v>
      </c>
      <c r="F8040" t="s">
        <v>41</v>
      </c>
      <c r="G8040">
        <v>-188.6069</v>
      </c>
      <c r="H8040" s="1">
        <v>-2.828404E-6</v>
      </c>
      <c r="I8040">
        <v>-24.350149999999999</v>
      </c>
      <c r="J8040">
        <v>-187.97919999999999</v>
      </c>
      <c r="K8040">
        <v>1.111397</v>
      </c>
      <c r="L8040">
        <v>-37.763489999999997</v>
      </c>
      <c r="M8040">
        <v>7.0952989999999994E-2</v>
      </c>
      <c r="N8040">
        <v>0</v>
      </c>
      <c r="O8040">
        <v>0.9973881</v>
      </c>
      <c r="P8040">
        <v>1.5648220000000001E-2</v>
      </c>
      <c r="Q8040">
        <v>3.9125979999999998E-2</v>
      </c>
      <c r="R8040">
        <v>0.99911179999999999</v>
      </c>
      <c r="S8040">
        <v>-0.13598629999999901</v>
      </c>
      <c r="T8040">
        <v>-0.24588409999999999</v>
      </c>
      <c r="U8040">
        <v>3.014618</v>
      </c>
      <c r="V8040">
        <v>-5.5416809999999997E-2</v>
      </c>
      <c r="W8040">
        <v>5.2475010000000002E-2</v>
      </c>
      <c r="X8040">
        <v>0.99708339999999995</v>
      </c>
      <c r="Y8040">
        <v>-0.115688899999999</v>
      </c>
      <c r="Z8040">
        <v>-8.0672869999999994E-2</v>
      </c>
      <c r="AA8040">
        <v>0.990004</v>
      </c>
      <c r="AB8040">
        <v>20</v>
      </c>
      <c r="AC8040">
        <v>-0.62770000000000403</v>
      </c>
      <c r="AD8040">
        <v>-1.1113998284040001</v>
      </c>
      <c r="AE8040">
        <v>13.41334</v>
      </c>
      <c r="AF8040">
        <v>-1.56718533378627</v>
      </c>
      <c r="AG8040">
        <v>-1.1113998284040001</v>
      </c>
      <c r="AH8040">
        <v>13.244257752315599</v>
      </c>
      <c r="AI8040">
        <v>94.763691623003396</v>
      </c>
      <c r="AJ8040">
        <v>96.748396406099403</v>
      </c>
      <c r="AK8040">
        <v>13.382886193149201</v>
      </c>
      <c r="AL8040">
        <v>86.992021777567899</v>
      </c>
      <c r="AM8040">
        <v>93.181164194975693</v>
      </c>
      <c r="AN8040">
        <v>0.99999997803031704</v>
      </c>
    </row>
    <row r="8041" spans="1:40" x14ac:dyDescent="0.25">
      <c r="A8041" t="str">
        <f>"20190312160523973"</f>
        <v>20190312160523973</v>
      </c>
      <c r="B8041" t="str">
        <f>"1552377923963425"</f>
        <v>1552377923963425</v>
      </c>
      <c r="C8041" t="s">
        <v>40</v>
      </c>
      <c r="D8041">
        <v>5.7462339999999896</v>
      </c>
      <c r="E8041">
        <v>0.48064489999999999</v>
      </c>
      <c r="F8041" t="s">
        <v>41</v>
      </c>
      <c r="G8041">
        <v>-188.9359</v>
      </c>
      <c r="H8041" s="1">
        <v>-2.1793029999999999E-6</v>
      </c>
      <c r="I8041">
        <v>-5.7271919999999996</v>
      </c>
      <c r="J8041">
        <v>-187.9676</v>
      </c>
      <c r="K8041">
        <v>1.111383</v>
      </c>
      <c r="L8041">
        <v>-37.567259999999997</v>
      </c>
      <c r="M8041">
        <v>6.9042240000000005E-2</v>
      </c>
      <c r="N8041">
        <v>0</v>
      </c>
      <c r="O8041">
        <v>0.99752220000000003</v>
      </c>
      <c r="P8041">
        <v>1.406485E-2</v>
      </c>
      <c r="Q8041">
        <v>3.9759799999999998E-2</v>
      </c>
      <c r="R8041">
        <v>0.99911030000000001</v>
      </c>
      <c r="S8041">
        <v>-8.9828489999999997E-2</v>
      </c>
      <c r="T8041">
        <v>-0.1043583</v>
      </c>
      <c r="U8041">
        <v>3.0081479999999998</v>
      </c>
      <c r="V8041">
        <v>-5.5084540000000001E-2</v>
      </c>
      <c r="W8041">
        <v>5.3108320000000001E-2</v>
      </c>
      <c r="X8041">
        <v>0.99706830000000002</v>
      </c>
      <c r="Y8041">
        <v>-9.8777110000000001E-2</v>
      </c>
      <c r="Z8041">
        <v>-3.4454430000000001E-2</v>
      </c>
      <c r="AA8041">
        <v>0.99451290000000003</v>
      </c>
      <c r="AB8041">
        <v>20</v>
      </c>
      <c r="AC8041">
        <v>-0.96829999999999905</v>
      </c>
      <c r="AD8041">
        <v>-1.1113851793030001</v>
      </c>
      <c r="AE8041">
        <v>31.840067999999999</v>
      </c>
      <c r="AF8041">
        <v>-3.1606520380974499</v>
      </c>
      <c r="AG8041">
        <v>-1.1113851793030001</v>
      </c>
      <c r="AH8041">
        <v>31.6586791108383</v>
      </c>
      <c r="AI8041">
        <v>92.000618513080397</v>
      </c>
      <c r="AJ8041">
        <v>95.701246776415203</v>
      </c>
      <c r="AK8041">
        <v>31.835465464882599</v>
      </c>
      <c r="AL8041">
        <v>86.955685175721698</v>
      </c>
      <c r="AM8041">
        <v>93.162177077275601</v>
      </c>
      <c r="AN8041">
        <v>0.99999999753256197</v>
      </c>
    </row>
    <row r="8042" spans="1:40" x14ac:dyDescent="0.25">
      <c r="A8042" t="str">
        <f>"20190312160523996"</f>
        <v>20190312160523996</v>
      </c>
      <c r="B8042" t="str">
        <f>"1552377923992705"</f>
        <v>1552377923992705</v>
      </c>
      <c r="C8042" t="s">
        <v>40</v>
      </c>
      <c r="D8042">
        <v>5.6715749999999998</v>
      </c>
      <c r="E8042">
        <v>0.48071609999999998</v>
      </c>
      <c r="F8042" t="s">
        <v>41</v>
      </c>
      <c r="G8042">
        <v>-189.3903</v>
      </c>
      <c r="H8042" s="1">
        <v>-1.1694289999999999E-6</v>
      </c>
      <c r="I8042">
        <v>2.1066389999999999</v>
      </c>
      <c r="J8042">
        <v>-187.95599999999999</v>
      </c>
      <c r="K8042">
        <v>1.11137</v>
      </c>
      <c r="L8042">
        <v>-37.365940000000002</v>
      </c>
      <c r="M8042">
        <v>6.7105460000000006E-2</v>
      </c>
      <c r="N8042">
        <v>0</v>
      </c>
      <c r="O8042">
        <v>0.99765440000000005</v>
      </c>
      <c r="P8042">
        <v>1.233889E-2</v>
      </c>
      <c r="Q8042">
        <v>4.0079249999999997E-2</v>
      </c>
      <c r="R8042">
        <v>0.99912029999999996</v>
      </c>
      <c r="S8042">
        <v>-0.1078491</v>
      </c>
      <c r="T8042">
        <v>-8.425009E-2</v>
      </c>
      <c r="U8042">
        <v>3.0075379999999998</v>
      </c>
      <c r="V8042">
        <v>-5.4868220000000002E-2</v>
      </c>
      <c r="W8042">
        <v>5.3427820000000001E-2</v>
      </c>
      <c r="X8042">
        <v>0.99706320000000004</v>
      </c>
      <c r="Y8042">
        <v>-0.10281029999999999</v>
      </c>
      <c r="Z8042">
        <v>-2.7824140000000001E-2</v>
      </c>
      <c r="AA8042">
        <v>0.99431170000000002</v>
      </c>
      <c r="AB8042">
        <v>20</v>
      </c>
      <c r="AC8042">
        <v>-1.4342999999999999</v>
      </c>
      <c r="AD8042">
        <v>-1.111371169429</v>
      </c>
      <c r="AE8042">
        <v>39.472578999999897</v>
      </c>
      <c r="AF8042">
        <v>-4.0769060806354602</v>
      </c>
      <c r="AG8042">
        <v>-1.111371169429</v>
      </c>
      <c r="AH8042">
        <v>39.256250265612003</v>
      </c>
      <c r="AI8042">
        <v>91.612978854732503</v>
      </c>
      <c r="AJ8042">
        <v>95.929122201879295</v>
      </c>
      <c r="AK8042">
        <v>39.483027923183897</v>
      </c>
      <c r="AL8042">
        <v>86.937353274714994</v>
      </c>
      <c r="AM8042">
        <v>93.149800167280205</v>
      </c>
      <c r="AN8042">
        <v>1.0000000391550701</v>
      </c>
    </row>
    <row r="8043" spans="1:40" x14ac:dyDescent="0.25">
      <c r="A8043" t="str">
        <f>"20190312160524017"</f>
        <v>20190312160524017</v>
      </c>
      <c r="B8043" t="str">
        <f>"1552377924013200"</f>
        <v>1552377924013200</v>
      </c>
      <c r="C8043" t="s">
        <v>40</v>
      </c>
      <c r="D8043">
        <v>5.7145429999999999</v>
      </c>
      <c r="E8043">
        <v>0.48060360000000002</v>
      </c>
      <c r="F8043" t="s">
        <v>41</v>
      </c>
      <c r="G8043">
        <v>-189.38679999999999</v>
      </c>
      <c r="H8043" s="1">
        <v>-7.0363730000000002E-7</v>
      </c>
      <c r="I8043">
        <v>1.019436</v>
      </c>
      <c r="J8043">
        <v>-187.9461</v>
      </c>
      <c r="K8043">
        <v>1.111354</v>
      </c>
      <c r="L8043">
        <v>-37.188630000000003</v>
      </c>
      <c r="M8043">
        <v>6.5426250000000005E-2</v>
      </c>
      <c r="N8043">
        <v>0</v>
      </c>
      <c r="O8043">
        <v>0.99776600000000004</v>
      </c>
      <c r="P8043">
        <v>1.099984E-2</v>
      </c>
      <c r="Q8043">
        <v>4.0017179999999999E-2</v>
      </c>
      <c r="R8043">
        <v>0.99913839999999998</v>
      </c>
      <c r="S8043">
        <v>-0.11210630000000001</v>
      </c>
      <c r="T8043">
        <v>-8.7077139999999997E-2</v>
      </c>
      <c r="U8043">
        <v>3.0075379999999998</v>
      </c>
      <c r="V8043">
        <v>-5.4524179999999998E-2</v>
      </c>
      <c r="W8043">
        <v>5.3366879999999998E-2</v>
      </c>
      <c r="X8043">
        <v>0.99708529999999995</v>
      </c>
      <c r="Y8043">
        <v>-0.1025407</v>
      </c>
      <c r="Z8043">
        <v>-2.8761519999999999E-2</v>
      </c>
      <c r="AA8043">
        <v>0.99431290000000006</v>
      </c>
      <c r="AB8043">
        <v>20</v>
      </c>
      <c r="AC8043">
        <v>-1.4406999999999901</v>
      </c>
      <c r="AD8043">
        <v>-1.1113547036372999</v>
      </c>
      <c r="AE8043">
        <v>38.208066000000002</v>
      </c>
      <c r="AF8043">
        <v>-3.93432720831139</v>
      </c>
      <c r="AG8043">
        <v>-1.1113547036372999</v>
      </c>
      <c r="AH8043">
        <v>37.9998144959605</v>
      </c>
      <c r="AI8043">
        <v>91.666310922314196</v>
      </c>
      <c r="AJ8043">
        <v>95.911081872138794</v>
      </c>
      <c r="AK8043">
        <v>38.2191044058697</v>
      </c>
      <c r="AL8043">
        <v>86.940849756437899</v>
      </c>
      <c r="AM8043">
        <v>93.130020143552997</v>
      </c>
      <c r="AN8043">
        <v>1.00000000278084</v>
      </c>
    </row>
    <row r="8044" spans="1:40" x14ac:dyDescent="0.25">
      <c r="A8044" t="str">
        <f>"20190312160524038"</f>
        <v>20190312160524038</v>
      </c>
      <c r="B8044" t="str">
        <f>"1552377924032721"</f>
        <v>1552377924032721</v>
      </c>
      <c r="C8044" t="s">
        <v>40</v>
      </c>
      <c r="D8044">
        <v>5.7022019999999998</v>
      </c>
      <c r="E8044">
        <v>0.4800989</v>
      </c>
      <c r="F8044" t="s">
        <v>41</v>
      </c>
      <c r="G8044">
        <v>-189.38829999999999</v>
      </c>
      <c r="H8044" s="1">
        <v>-2.4422260000000001E-7</v>
      </c>
      <c r="I8044">
        <v>-0.1125186</v>
      </c>
      <c r="J8044">
        <v>-187.93549999999999</v>
      </c>
      <c r="K8044">
        <v>1.1113299999999999</v>
      </c>
      <c r="L8044">
        <v>-36.994450000000001</v>
      </c>
      <c r="M8044">
        <v>6.3625189999999998E-2</v>
      </c>
      <c r="N8044">
        <v>0</v>
      </c>
      <c r="O8044">
        <v>0.99788239999999995</v>
      </c>
      <c r="P8044">
        <v>9.8790990000000006E-3</v>
      </c>
      <c r="Q8044">
        <v>4.0087789999999998E-2</v>
      </c>
      <c r="R8044">
        <v>0.99914729999999996</v>
      </c>
      <c r="S8044">
        <v>-0.1169891</v>
      </c>
      <c r="T8044">
        <v>-9.0148930000000002E-2</v>
      </c>
      <c r="U8044">
        <v>3.0074770000000002</v>
      </c>
      <c r="V8044">
        <v>-5.3838829999999997E-2</v>
      </c>
      <c r="W8044">
        <v>5.3439729999999998E-2</v>
      </c>
      <c r="X8044">
        <v>0.99711870000000002</v>
      </c>
      <c r="Y8044">
        <v>-0.1023568</v>
      </c>
      <c r="Z8044">
        <v>-2.9780439999999998E-2</v>
      </c>
      <c r="AA8044">
        <v>0.99430189999999996</v>
      </c>
      <c r="AB8044">
        <v>20</v>
      </c>
      <c r="AC8044">
        <v>-1.4527999999999901</v>
      </c>
      <c r="AD8044">
        <v>-1.1113302442226001</v>
      </c>
      <c r="AE8044">
        <v>36.881931399999999</v>
      </c>
      <c r="AF8044">
        <v>-3.7932512808353001</v>
      </c>
      <c r="AG8044">
        <v>-1.1113302442226001</v>
      </c>
      <c r="AH8044">
        <v>36.6814937174804</v>
      </c>
      <c r="AI8044">
        <v>91.726146082244497</v>
      </c>
      <c r="AJ8044">
        <v>95.903999122539503</v>
      </c>
      <c r="AK8044">
        <v>36.893844900428</v>
      </c>
      <c r="AL8044">
        <v>86.936669979238303</v>
      </c>
      <c r="AM8044">
        <v>93.090650312860902</v>
      </c>
      <c r="AN8044">
        <v>1.0000000631239601</v>
      </c>
    </row>
    <row r="8045" spans="1:40" x14ac:dyDescent="0.25">
      <c r="A8045" t="str">
        <f>"20190312160524061"</f>
        <v>20190312160524061</v>
      </c>
      <c r="B8045" t="str">
        <f>"1552377924053217"</f>
        <v>1552377924053217</v>
      </c>
      <c r="C8045" t="s">
        <v>40</v>
      </c>
      <c r="D8045">
        <v>5.7562530000000001</v>
      </c>
      <c r="E8045">
        <v>0.48012949999999999</v>
      </c>
      <c r="F8045" t="s">
        <v>41</v>
      </c>
      <c r="G8045">
        <v>-189.6962</v>
      </c>
      <c r="H8045" s="1">
        <v>-2.5865109999999998E-6</v>
      </c>
      <c r="I8045">
        <v>5.5363989999999896</v>
      </c>
      <c r="J8045">
        <v>-187.92519999999999</v>
      </c>
      <c r="K8045">
        <v>1.1112959999999901</v>
      </c>
      <c r="L8045">
        <v>-36.799320000000002</v>
      </c>
      <c r="M8045">
        <v>6.1862090000000002E-2</v>
      </c>
      <c r="N8045">
        <v>0</v>
      </c>
      <c r="O8045">
        <v>0.99799340000000003</v>
      </c>
      <c r="P8045">
        <v>8.2668810000000002E-3</v>
      </c>
      <c r="Q8045">
        <v>4.0320370000000001E-2</v>
      </c>
      <c r="R8045">
        <v>0.99915259999999995</v>
      </c>
      <c r="S8045">
        <v>-0.1244812</v>
      </c>
      <c r="T8045">
        <v>-7.8571920000000003E-2</v>
      </c>
      <c r="U8045">
        <v>3.006958</v>
      </c>
      <c r="V8045">
        <v>-5.3681729999999997E-2</v>
      </c>
      <c r="W8045">
        <v>5.3673039999999998E-2</v>
      </c>
      <c r="X8045">
        <v>0.99711459999999996</v>
      </c>
      <c r="Y8045">
        <v>-0.1030838</v>
      </c>
      <c r="Z8045">
        <v>-2.596534E-2</v>
      </c>
      <c r="AA8045">
        <v>0.99433369999999999</v>
      </c>
      <c r="AB8045">
        <v>20</v>
      </c>
      <c r="AC8045">
        <v>-1.7710000000000099</v>
      </c>
      <c r="AD8045">
        <v>-1.1112985865110001</v>
      </c>
      <c r="AE8045">
        <v>42.335718999999997</v>
      </c>
      <c r="AF8045">
        <v>-4.3838067857257403</v>
      </c>
      <c r="AG8045">
        <v>-1.1112985865110001</v>
      </c>
      <c r="AH8045">
        <v>42.116081955720396</v>
      </c>
      <c r="AI8045">
        <v>91.503369490313801</v>
      </c>
      <c r="AJ8045">
        <v>95.942441878898705</v>
      </c>
      <c r="AK8045">
        <v>42.358199982812202</v>
      </c>
      <c r="AL8045">
        <v>86.923282970116006</v>
      </c>
      <c r="AM8045">
        <v>93.081661947808797</v>
      </c>
      <c r="AN8045">
        <v>1.00000002444589</v>
      </c>
    </row>
    <row r="8046" spans="1:40" x14ac:dyDescent="0.25">
      <c r="A8046" t="str">
        <f>"20190312160524084"</f>
        <v>20190312160524084</v>
      </c>
      <c r="B8046" t="str">
        <f>"1552377924072737"</f>
        <v>1552377924072737</v>
      </c>
      <c r="C8046" t="s">
        <v>40</v>
      </c>
      <c r="D8046">
        <v>5.6967699999999999</v>
      </c>
      <c r="E8046">
        <v>0.48024879999999998</v>
      </c>
      <c r="F8046" t="s">
        <v>41</v>
      </c>
      <c r="G8046">
        <v>-189.81270000000001</v>
      </c>
      <c r="H8046" s="1">
        <v>-3.2900799999999999E-6</v>
      </c>
      <c r="I8046">
        <v>7.224596</v>
      </c>
      <c r="J8046">
        <v>-187.91480000000001</v>
      </c>
      <c r="K8046">
        <v>1.111253</v>
      </c>
      <c r="L8046">
        <v>-36.596710000000002</v>
      </c>
      <c r="M8046">
        <v>6.0086559999999997E-2</v>
      </c>
      <c r="N8046">
        <v>0</v>
      </c>
      <c r="O8046">
        <v>0.99810189999999999</v>
      </c>
      <c r="P8046">
        <v>6.6416969999999898E-3</v>
      </c>
      <c r="Q8046">
        <v>4.0505069999999997E-2</v>
      </c>
      <c r="R8046">
        <v>0.99915719999999997</v>
      </c>
      <c r="S8046">
        <v>-0.1289063</v>
      </c>
      <c r="T8046">
        <v>-7.5897930000000002E-2</v>
      </c>
      <c r="U8046">
        <v>3.0066830000000002</v>
      </c>
      <c r="V8046">
        <v>-5.3524769999999999E-2</v>
      </c>
      <c r="W8046">
        <v>5.3859690000000002E-2</v>
      </c>
      <c r="X8046">
        <v>0.99711289999999997</v>
      </c>
      <c r="Y8046">
        <v>-0.1027798</v>
      </c>
      <c r="Z8046">
        <v>-2.5088269999999999E-2</v>
      </c>
      <c r="AA8046">
        <v>0.99438769999999999</v>
      </c>
      <c r="AB8046">
        <v>20</v>
      </c>
      <c r="AC8046">
        <v>-1.8978999999999899</v>
      </c>
      <c r="AD8046">
        <v>-1.1112562900799901</v>
      </c>
      <c r="AE8046">
        <v>43.8213059999999</v>
      </c>
      <c r="AF8046">
        <v>-4.5248772715159298</v>
      </c>
      <c r="AG8046">
        <v>-1.1112562900799901</v>
      </c>
      <c r="AH8046">
        <v>43.600079867082499</v>
      </c>
      <c r="AI8046">
        <v>91.452212834997098</v>
      </c>
      <c r="AJ8046">
        <v>95.925024908518694</v>
      </c>
      <c r="AK8046">
        <v>43.848333711561899</v>
      </c>
      <c r="AL8046">
        <v>86.912572995806698</v>
      </c>
      <c r="AM8046">
        <v>93.072673996930902</v>
      </c>
      <c r="AN8046">
        <v>0.999999951278428</v>
      </c>
    </row>
    <row r="8047" spans="1:40" x14ac:dyDescent="0.25">
      <c r="A8047" t="str">
        <f>"20190312160524104"</f>
        <v>20190312160524104</v>
      </c>
      <c r="B8047" t="str">
        <f>"1552377924093236"</f>
        <v>1552377924093236</v>
      </c>
      <c r="C8047" t="s">
        <v>40</v>
      </c>
      <c r="D8047">
        <v>5.7475239999999896</v>
      </c>
      <c r="E8047">
        <v>0.48019909999999999</v>
      </c>
      <c r="F8047" t="s">
        <v>41</v>
      </c>
      <c r="G8047">
        <v>-189.78489999999999</v>
      </c>
      <c r="H8047" s="1">
        <v>-2.6784539999999999E-6</v>
      </c>
      <c r="I8047">
        <v>5.7874030000000003</v>
      </c>
      <c r="J8047">
        <v>-187.9059</v>
      </c>
      <c r="K8047">
        <v>1.1112169999999999</v>
      </c>
      <c r="L8047">
        <v>-36.416469999999997</v>
      </c>
      <c r="M8047">
        <v>5.8561530000000001E-2</v>
      </c>
      <c r="N8047">
        <v>0</v>
      </c>
      <c r="O8047">
        <v>0.99819250000000004</v>
      </c>
      <c r="P8047">
        <v>5.3801409999999997E-3</v>
      </c>
      <c r="Q8047">
        <v>4.0551400000000001E-2</v>
      </c>
      <c r="R8047">
        <v>0.99916300000000002</v>
      </c>
      <c r="S8047">
        <v>-0.1326599</v>
      </c>
      <c r="T8047">
        <v>-7.8829650000000001E-2</v>
      </c>
      <c r="U8047">
        <v>3.0066220000000001</v>
      </c>
      <c r="V8047">
        <v>-5.3255039999999997E-2</v>
      </c>
      <c r="W8047">
        <v>5.390826E-2</v>
      </c>
      <c r="X8047">
        <v>0.99712480000000003</v>
      </c>
      <c r="Y8047">
        <v>-0.1024989</v>
      </c>
      <c r="Z8047">
        <v>-2.6060469999999999E-2</v>
      </c>
      <c r="AA8047">
        <v>0.99439169999999999</v>
      </c>
      <c r="AB8047">
        <v>20</v>
      </c>
      <c r="AC8047">
        <v>-1.87899999999999</v>
      </c>
      <c r="AD8047">
        <v>-1.1112196784539901</v>
      </c>
      <c r="AE8047">
        <v>42.203873000000002</v>
      </c>
      <c r="AF8047">
        <v>-4.3445174184761699</v>
      </c>
      <c r="AG8047">
        <v>-1.1112196784539901</v>
      </c>
      <c r="AH8047">
        <v>41.992328441469702</v>
      </c>
      <c r="AI8047">
        <v>91.507788245471801</v>
      </c>
      <c r="AJ8047">
        <v>95.906793753349106</v>
      </c>
      <c r="AK8047">
        <v>42.231093861152701</v>
      </c>
      <c r="AL8047">
        <v>86.909786344496496</v>
      </c>
      <c r="AM8047">
        <v>93.057182751446405</v>
      </c>
      <c r="AN8047">
        <v>1.0000000332783301</v>
      </c>
    </row>
    <row r="8048" spans="1:40" x14ac:dyDescent="0.25">
      <c r="A8048" t="str">
        <f>"20190312160524128"</f>
        <v>20190312160524128</v>
      </c>
      <c r="B8048" t="str">
        <f>"1552377924122513"</f>
        <v>1552377924122513</v>
      </c>
      <c r="C8048" t="s">
        <v>40</v>
      </c>
      <c r="D8048">
        <v>5.6732120000000004</v>
      </c>
      <c r="E8048">
        <v>0.48044759999999997</v>
      </c>
      <c r="F8048" t="s">
        <v>41</v>
      </c>
      <c r="G8048">
        <v>-189.90880000000001</v>
      </c>
      <c r="H8048" s="1">
        <v>-3.451449E-6</v>
      </c>
      <c r="I8048">
        <v>7.6404729999999903</v>
      </c>
      <c r="J8048">
        <v>-187.8963</v>
      </c>
      <c r="K8048">
        <v>1.11117</v>
      </c>
      <c r="L8048">
        <v>-36.220179999999999</v>
      </c>
      <c r="M8048">
        <v>5.696151E-2</v>
      </c>
      <c r="N8048">
        <v>0</v>
      </c>
      <c r="O8048">
        <v>0.99828519999999998</v>
      </c>
      <c r="P8048">
        <v>4.5404829999999997E-3</v>
      </c>
      <c r="Q8048">
        <v>4.026486E-2</v>
      </c>
      <c r="R8048">
        <v>0.99917869999999998</v>
      </c>
      <c r="S8048">
        <v>-0.13667299999999999</v>
      </c>
      <c r="T8048">
        <v>-7.5826409999999997E-2</v>
      </c>
      <c r="U8048">
        <v>3.0063170000000001</v>
      </c>
      <c r="V8048">
        <v>-5.2488899999999998E-2</v>
      </c>
      <c r="W8048">
        <v>5.3626380000000001E-2</v>
      </c>
      <c r="X8048">
        <v>0.99718059999999997</v>
      </c>
      <c r="Y8048">
        <v>-0.1022348</v>
      </c>
      <c r="Z8048">
        <v>-2.50739E-2</v>
      </c>
      <c r="AA8048">
        <v>0.99444429999999995</v>
      </c>
      <c r="AB8048">
        <v>20</v>
      </c>
      <c r="AC8048">
        <v>-2.0125000000000099</v>
      </c>
      <c r="AD8048">
        <v>-1.1111734514489999</v>
      </c>
      <c r="AE8048">
        <v>43.860652999999999</v>
      </c>
      <c r="AF8048">
        <v>-4.5049430339391696</v>
      </c>
      <c r="AG8048">
        <v>-1.1111734514489999</v>
      </c>
      <c r="AH8048">
        <v>43.646826729779299</v>
      </c>
      <c r="AI8048">
        <v>91.450634365992798</v>
      </c>
      <c r="AJ8048">
        <v>95.892833224361098</v>
      </c>
      <c r="AK8048">
        <v>43.892763660512699</v>
      </c>
      <c r="AL8048">
        <v>86.925960205935397</v>
      </c>
      <c r="AM8048">
        <v>93.013114711834007</v>
      </c>
      <c r="AN8048">
        <v>1.0000000111357299</v>
      </c>
    </row>
    <row r="8049" spans="1:40" x14ac:dyDescent="0.25">
      <c r="A8049" t="str">
        <f>"20190312160524143"</f>
        <v>20190312160524143</v>
      </c>
      <c r="B8049" t="str">
        <f>"1552377924133250"</f>
        <v>1552377924133250</v>
      </c>
      <c r="C8049" t="s">
        <v>40</v>
      </c>
      <c r="D8049">
        <v>5.7462989999999996</v>
      </c>
      <c r="E8049">
        <v>0.48044500000000001</v>
      </c>
      <c r="F8049" t="s">
        <v>41</v>
      </c>
      <c r="G8049">
        <v>-189.8817</v>
      </c>
      <c r="H8049" s="1">
        <v>-3.307843E-6</v>
      </c>
      <c r="I8049">
        <v>7.2945279999999997</v>
      </c>
      <c r="J8049">
        <v>-187.89</v>
      </c>
      <c r="K8049">
        <v>1.1111409999999999</v>
      </c>
      <c r="L8049">
        <v>-36.088590000000003</v>
      </c>
      <c r="M8049">
        <v>5.5931269999999998E-2</v>
      </c>
      <c r="N8049">
        <v>0</v>
      </c>
      <c r="O8049">
        <v>0.99834350000000005</v>
      </c>
      <c r="P8049">
        <v>4.1007379999999996E-3</v>
      </c>
      <c r="Q8049">
        <v>4.0288940000000002E-2</v>
      </c>
      <c r="R8049">
        <v>0.9991797</v>
      </c>
      <c r="S8049">
        <v>-0.13716130000000001</v>
      </c>
      <c r="T8049">
        <v>-7.6764940000000004E-2</v>
      </c>
      <c r="U8049">
        <v>3.006195</v>
      </c>
      <c r="V8049">
        <v>-5.189444E-2</v>
      </c>
      <c r="W8049">
        <v>5.3653039999999999E-2</v>
      </c>
      <c r="X8049">
        <v>0.99721029999999999</v>
      </c>
      <c r="Y8049">
        <v>-0.1013709</v>
      </c>
      <c r="Z8049">
        <v>-2.5388339999999999E-2</v>
      </c>
      <c r="AA8049">
        <v>0.99452470000000004</v>
      </c>
      <c r="AB8049">
        <v>19</v>
      </c>
      <c r="AC8049">
        <v>-1.9917</v>
      </c>
      <c r="AD8049">
        <v>-1.1111443078429999</v>
      </c>
      <c r="AE8049">
        <v>43.383117999999897</v>
      </c>
      <c r="AF8049">
        <v>-4.4123869226661796</v>
      </c>
      <c r="AG8049">
        <v>-1.1111443078429999</v>
      </c>
      <c r="AH8049">
        <v>43.175522893370903</v>
      </c>
      <c r="AI8049">
        <v>91.466575680393504</v>
      </c>
      <c r="AJ8049">
        <v>95.835169458196503</v>
      </c>
      <c r="AK8049">
        <v>43.414624000953403</v>
      </c>
      <c r="AL8049">
        <v>86.924430562511404</v>
      </c>
      <c r="AM8049">
        <v>92.978963109922205</v>
      </c>
      <c r="AN8049">
        <v>1.0000000320151201</v>
      </c>
    </row>
    <row r="8050" spans="1:40" x14ac:dyDescent="0.25">
      <c r="A8050" t="str">
        <f>"20190312160524163"</f>
        <v>20190312160524163</v>
      </c>
      <c r="B8050" t="str">
        <f>"1552377924152770"</f>
        <v>1552377924152770</v>
      </c>
      <c r="C8050" t="s">
        <v>40</v>
      </c>
      <c r="D8050">
        <v>5.6364700000000001</v>
      </c>
      <c r="E8050">
        <v>0.48076580000000002</v>
      </c>
      <c r="F8050" t="s">
        <v>41</v>
      </c>
      <c r="G8050">
        <v>-189.96010000000001</v>
      </c>
      <c r="H8050" s="1">
        <v>-3.934938E-6</v>
      </c>
      <c r="I8050">
        <v>8.7862919999999995</v>
      </c>
      <c r="J8050">
        <v>-187.8818</v>
      </c>
      <c r="K8050">
        <v>1.1111070000000001</v>
      </c>
      <c r="L8050">
        <v>-35.91339</v>
      </c>
      <c r="M8050">
        <v>5.4594810000000001E-2</v>
      </c>
      <c r="N8050">
        <v>0</v>
      </c>
      <c r="O8050">
        <v>0.99841749999999996</v>
      </c>
      <c r="P8050">
        <v>4.3654339999999996E-3</v>
      </c>
      <c r="Q8050">
        <v>3.999163E-2</v>
      </c>
      <c r="R8050">
        <v>0.99919040000000003</v>
      </c>
      <c r="S8050">
        <v>-0.13867189999999999</v>
      </c>
      <c r="T8050">
        <v>-7.4432490000000004E-2</v>
      </c>
      <c r="U8050">
        <v>3.0060419999999999</v>
      </c>
      <c r="V8050">
        <v>-5.0290330000000001E-2</v>
      </c>
      <c r="W8050">
        <v>5.3361159999999998E-2</v>
      </c>
      <c r="X8050">
        <v>0.99730810000000003</v>
      </c>
      <c r="Y8050">
        <v>-0.10054100000000001</v>
      </c>
      <c r="Z8050">
        <v>-2.4622169999999999E-2</v>
      </c>
      <c r="AA8050">
        <v>0.99462819999999996</v>
      </c>
      <c r="AB8050">
        <v>19</v>
      </c>
      <c r="AC8050">
        <v>-2.0783000000000098</v>
      </c>
      <c r="AD8050">
        <v>-1.111110934938</v>
      </c>
      <c r="AE8050">
        <v>44.699682000000003</v>
      </c>
      <c r="AF8050">
        <v>-4.5130099762375604</v>
      </c>
      <c r="AG8050">
        <v>-1.111110934938</v>
      </c>
      <c r="AH8050">
        <v>44.492098055354198</v>
      </c>
      <c r="AI8050">
        <v>91.423262633975</v>
      </c>
      <c r="AJ8050">
        <v>95.791928286487106</v>
      </c>
      <c r="AK8050">
        <v>44.734199623136398</v>
      </c>
      <c r="AL8050">
        <v>86.941177912235801</v>
      </c>
      <c r="AM8050">
        <v>92.886755953172596</v>
      </c>
      <c r="AN8050">
        <v>0.99999998850683203</v>
      </c>
    </row>
    <row r="8051" spans="1:40" x14ac:dyDescent="0.25">
      <c r="A8051" t="str">
        <f>"20190312160524185"</f>
        <v>20190312160524185</v>
      </c>
      <c r="B8051" t="str">
        <f>"1552377924173265"</f>
        <v>1552377924173265</v>
      </c>
      <c r="C8051" t="s">
        <v>40</v>
      </c>
      <c r="D8051">
        <v>5.622611</v>
      </c>
      <c r="E8051">
        <v>0.48151359999999899</v>
      </c>
      <c r="F8051" t="s">
        <v>41</v>
      </c>
      <c r="G8051">
        <v>-189.9897</v>
      </c>
      <c r="H8051" s="1">
        <v>-5.5091060000000001E-7</v>
      </c>
      <c r="I8051">
        <v>10.879670000000001</v>
      </c>
      <c r="J8051">
        <v>-187.87289999999999</v>
      </c>
      <c r="K8051">
        <v>1.111073</v>
      </c>
      <c r="L8051">
        <v>-35.719359999999902</v>
      </c>
      <c r="M8051">
        <v>5.3166449999999997E-2</v>
      </c>
      <c r="N8051">
        <v>0</v>
      </c>
      <c r="O8051">
        <v>0.99849460000000001</v>
      </c>
      <c r="P8051">
        <v>4.366328E-3</v>
      </c>
      <c r="Q8051">
        <v>3.9894510000000001E-2</v>
      </c>
      <c r="R8051">
        <v>0.99919440000000004</v>
      </c>
      <c r="S8051">
        <v>-0.13540650000000001</v>
      </c>
      <c r="T8051">
        <v>-7.137454E-2</v>
      </c>
      <c r="U8051">
        <v>3.0058590000000001</v>
      </c>
      <c r="V8051">
        <v>-4.8857209999999998E-2</v>
      </c>
      <c r="W8051">
        <v>5.3267839999999997E-2</v>
      </c>
      <c r="X8051">
        <v>0.9973843</v>
      </c>
      <c r="Y8051">
        <v>-9.8043030000000003E-2</v>
      </c>
      <c r="Z8051">
        <v>-2.3618900000000002E-2</v>
      </c>
      <c r="AA8051">
        <v>0.99490179999999995</v>
      </c>
      <c r="AB8051">
        <v>19</v>
      </c>
      <c r="AC8051">
        <v>-2.1168000000000098</v>
      </c>
      <c r="AD8051">
        <v>-1.1110735509106</v>
      </c>
      <c r="AE8051">
        <v>46.5990299999999</v>
      </c>
      <c r="AF8051">
        <v>-4.5889324563316496</v>
      </c>
      <c r="AG8051">
        <v>-1.1110735509106</v>
      </c>
      <c r="AH8051">
        <v>46.394237451618999</v>
      </c>
      <c r="AI8051">
        <v>91.365227596327699</v>
      </c>
      <c r="AJ8051">
        <v>95.648848349281295</v>
      </c>
      <c r="AK8051">
        <v>46.633872391658798</v>
      </c>
      <c r="AL8051">
        <v>86.946532300361199</v>
      </c>
      <c r="AM8051">
        <v>92.804411606979002</v>
      </c>
      <c r="AN8051">
        <v>0.99999996581686901</v>
      </c>
    </row>
    <row r="8052" spans="1:40" x14ac:dyDescent="0.25">
      <c r="A8052" t="str">
        <f>"20190312160524208"</f>
        <v>20190312160524208</v>
      </c>
      <c r="B8052" t="str">
        <f>"1552377924202546"</f>
        <v>1552377924202546</v>
      </c>
      <c r="C8052" t="s">
        <v>40</v>
      </c>
      <c r="D8052">
        <v>5.5727440000000001</v>
      </c>
      <c r="E8052">
        <v>0.48194540000000002</v>
      </c>
      <c r="F8052" t="s">
        <v>41</v>
      </c>
      <c r="G8052">
        <v>-189.87260000000001</v>
      </c>
      <c r="H8052" s="1">
        <v>-4.5437169999999998E-7</v>
      </c>
      <c r="I8052">
        <v>10.63923</v>
      </c>
      <c r="J8052">
        <v>-187.86449999999999</v>
      </c>
      <c r="K8052">
        <v>1.111038</v>
      </c>
      <c r="L8052">
        <v>-35.531129999999997</v>
      </c>
      <c r="M8052">
        <v>5.1836470000000003E-2</v>
      </c>
      <c r="N8052">
        <v>0</v>
      </c>
      <c r="O8052">
        <v>0.99856460000000002</v>
      </c>
      <c r="P8052">
        <v>4.5716510000000004E-3</v>
      </c>
      <c r="Q8052">
        <v>3.9806729999999999E-2</v>
      </c>
      <c r="R8052">
        <v>0.99919690000000005</v>
      </c>
      <c r="S8052">
        <v>-0.12965389999999999</v>
      </c>
      <c r="T8052">
        <v>-7.2041270000000004E-2</v>
      </c>
      <c r="U8052">
        <v>3.0058590000000001</v>
      </c>
      <c r="V8052">
        <v>-4.7318819999999998E-2</v>
      </c>
      <c r="W8052">
        <v>5.3184019999999999E-2</v>
      </c>
      <c r="X8052">
        <v>0.99746299999999999</v>
      </c>
      <c r="Y8052">
        <v>-9.4816449999999997E-2</v>
      </c>
      <c r="Z8052">
        <v>-2.384667E-2</v>
      </c>
      <c r="AA8052">
        <v>0.99520909999999996</v>
      </c>
      <c r="AB8052">
        <v>19</v>
      </c>
      <c r="AC8052">
        <v>-2.00810000000001</v>
      </c>
      <c r="AD8052">
        <v>-1.1110384543717</v>
      </c>
      <c r="AE8052">
        <v>46.170360000000002</v>
      </c>
      <c r="AF8052">
        <v>-4.3963847475988702</v>
      </c>
      <c r="AG8052">
        <v>-1.1110384543717</v>
      </c>
      <c r="AH8052">
        <v>45.977600362845301</v>
      </c>
      <c r="AI8052">
        <v>91.377987486715</v>
      </c>
      <c r="AJ8052">
        <v>95.462024242783997</v>
      </c>
      <c r="AK8052">
        <v>46.200674674960297</v>
      </c>
      <c r="AL8052">
        <v>86.951341826182897</v>
      </c>
      <c r="AM8052">
        <v>92.716028176921</v>
      </c>
      <c r="AN8052">
        <v>1.0000000235392701</v>
      </c>
    </row>
    <row r="8053" spans="1:40" x14ac:dyDescent="0.25">
      <c r="A8053" t="str">
        <f>"20190312160524228"</f>
        <v>20190312160524228</v>
      </c>
      <c r="B8053" t="str">
        <f>"1552377924223043"</f>
        <v>1552377924223043</v>
      </c>
      <c r="C8053" t="s">
        <v>40</v>
      </c>
      <c r="D8053">
        <v>5.5802559999999897</v>
      </c>
      <c r="E8053">
        <v>0.48201319999999998</v>
      </c>
      <c r="F8053" t="s">
        <v>41</v>
      </c>
      <c r="G8053">
        <v>-189.8913</v>
      </c>
      <c r="H8053" s="1">
        <v>-1.472565E-6</v>
      </c>
      <c r="I8053">
        <v>13.02041</v>
      </c>
      <c r="J8053">
        <v>-187.85659999999999</v>
      </c>
      <c r="K8053">
        <v>1.1110100000000001</v>
      </c>
      <c r="L8053">
        <v>-35.348019999999998</v>
      </c>
      <c r="M8053">
        <v>5.0593399999999997E-2</v>
      </c>
      <c r="N8053">
        <v>0</v>
      </c>
      <c r="O8053">
        <v>0.99862839999999997</v>
      </c>
      <c r="P8053">
        <v>4.3921189999999999E-3</v>
      </c>
      <c r="Q8053">
        <v>3.981204E-2</v>
      </c>
      <c r="R8053">
        <v>0.99919749999999996</v>
      </c>
      <c r="S8053">
        <v>-0.125473</v>
      </c>
      <c r="T8053">
        <v>-6.8782449999999995E-2</v>
      </c>
      <c r="U8053">
        <v>3.0057369999999999</v>
      </c>
      <c r="V8053">
        <v>-4.625195E-2</v>
      </c>
      <c r="W8053">
        <v>5.3191160000000001E-2</v>
      </c>
      <c r="X8053">
        <v>0.99751259999999997</v>
      </c>
      <c r="Y8053">
        <v>-9.2197870000000001E-2</v>
      </c>
      <c r="Z8053">
        <v>-2.2775119999999999E-2</v>
      </c>
      <c r="AA8053">
        <v>0.99548020000000004</v>
      </c>
      <c r="AB8053">
        <v>19</v>
      </c>
      <c r="AC8053">
        <v>-2.0347000000000102</v>
      </c>
      <c r="AD8053">
        <v>-1.111011472565</v>
      </c>
      <c r="AE8053">
        <v>48.368429999999996</v>
      </c>
      <c r="AF8053">
        <v>-4.4770813622871604</v>
      </c>
      <c r="AG8053">
        <v>-1.111011472565</v>
      </c>
      <c r="AH8053">
        <v>48.1781488144481</v>
      </c>
      <c r="AI8053">
        <v>91.3153690696642</v>
      </c>
      <c r="AJ8053">
        <v>95.309113877488798</v>
      </c>
      <c r="AK8053">
        <v>48.398477529813</v>
      </c>
      <c r="AL8053">
        <v>86.950931975090896</v>
      </c>
      <c r="AM8053">
        <v>92.654748265924098</v>
      </c>
      <c r="AN8053">
        <v>0.99999996476985298</v>
      </c>
    </row>
    <row r="8054" spans="1:40" x14ac:dyDescent="0.25">
      <c r="A8054" t="str">
        <f>"20190312160524251"</f>
        <v>20190312160524251</v>
      </c>
      <c r="B8054" t="str">
        <f>"1552377924243537"</f>
        <v>1552377924243537</v>
      </c>
      <c r="C8054" t="s">
        <v>40</v>
      </c>
      <c r="D8054">
        <v>5.5812780000000002</v>
      </c>
      <c r="E8054">
        <v>0.48210069999999999</v>
      </c>
      <c r="F8054" t="s">
        <v>41</v>
      </c>
      <c r="G8054">
        <v>-190.0284</v>
      </c>
      <c r="H8054" s="1">
        <v>-3.0740620000000001E-6</v>
      </c>
      <c r="I8054">
        <v>16.737220000000001</v>
      </c>
      <c r="J8054">
        <v>-187.84829999999999</v>
      </c>
      <c r="K8054">
        <v>1.1109770000000001</v>
      </c>
      <c r="L8054">
        <v>-35.154969999999999</v>
      </c>
      <c r="M8054">
        <v>4.9320360000000001E-2</v>
      </c>
      <c r="N8054">
        <v>0</v>
      </c>
      <c r="O8054">
        <v>0.99869209999999997</v>
      </c>
      <c r="P8054">
        <v>5.1142330000000001E-3</v>
      </c>
      <c r="Q8054">
        <v>3.9240129999999998E-2</v>
      </c>
      <c r="R8054">
        <v>0.99921669999999996</v>
      </c>
      <c r="S8054">
        <v>-0.1253204</v>
      </c>
      <c r="T8054">
        <v>-6.4109799999999995E-2</v>
      </c>
      <c r="U8054">
        <v>3.0055239999999999</v>
      </c>
      <c r="V8054">
        <v>-4.4255460000000003E-2</v>
      </c>
      <c r="W8054">
        <v>5.2623099999999999E-2</v>
      </c>
      <c r="X8054">
        <v>0.99763329999999995</v>
      </c>
      <c r="Y8054">
        <v>-9.0882389999999993E-2</v>
      </c>
      <c r="Z8054">
        <v>-2.1233510000000001E-2</v>
      </c>
      <c r="AA8054">
        <v>0.99563520000000005</v>
      </c>
      <c r="AB8054">
        <v>19</v>
      </c>
      <c r="AC8054">
        <v>-2.1801000000000101</v>
      </c>
      <c r="AD8054">
        <v>-1.1109800740619999</v>
      </c>
      <c r="AE8054">
        <v>51.892189999999999</v>
      </c>
      <c r="AF8054">
        <v>-4.7348538070941704</v>
      </c>
      <c r="AG8054">
        <v>-1.1109800740619999</v>
      </c>
      <c r="AH8054">
        <v>51.6978386220798</v>
      </c>
      <c r="AI8054">
        <v>91.225960152619194</v>
      </c>
      <c r="AJ8054">
        <v>95.232953749401204</v>
      </c>
      <c r="AK8054">
        <v>51.926097826566199</v>
      </c>
      <c r="AL8054">
        <v>86.983525078132303</v>
      </c>
      <c r="AM8054">
        <v>92.540001200558805</v>
      </c>
      <c r="AN8054">
        <v>0.99999996883115505</v>
      </c>
    </row>
    <row r="8055" spans="1:40" x14ac:dyDescent="0.25">
      <c r="A8055" t="str">
        <f>"20190312160524284"</f>
        <v>20190312160524284</v>
      </c>
      <c r="B8055" t="str">
        <f>"1552377924272817"</f>
        <v>1552377924272817</v>
      </c>
      <c r="C8055" t="s">
        <v>40</v>
      </c>
      <c r="D8055">
        <v>5.6374519999999997</v>
      </c>
      <c r="E8055">
        <v>0.50607009999999997</v>
      </c>
      <c r="F8055" t="s">
        <v>41</v>
      </c>
      <c r="G8055">
        <v>-189.88399999999999</v>
      </c>
      <c r="H8055" s="1">
        <v>-2.3225549999999998E-6</v>
      </c>
      <c r="I8055">
        <v>14.998760000000001</v>
      </c>
      <c r="J8055">
        <v>-187.8366</v>
      </c>
      <c r="K8055">
        <v>1.1109420000000001</v>
      </c>
      <c r="L8055">
        <v>-34.870640000000002</v>
      </c>
      <c r="M8055">
        <v>4.750567E-2</v>
      </c>
      <c r="N8055">
        <v>0</v>
      </c>
      <c r="O8055">
        <v>0.99878009999999995</v>
      </c>
      <c r="P8055">
        <v>4.429723E-3</v>
      </c>
      <c r="Q8055">
        <v>3.8349260000000003E-2</v>
      </c>
      <c r="R8055">
        <v>0.99925459999999999</v>
      </c>
      <c r="S8055">
        <v>-0.12199400000000001</v>
      </c>
      <c r="T8055">
        <v>-6.6578150000000003E-2</v>
      </c>
      <c r="U8055">
        <v>3.005585</v>
      </c>
      <c r="V8055">
        <v>-4.3121920000000001E-2</v>
      </c>
      <c r="W8055">
        <v>5.1734059999999998E-2</v>
      </c>
      <c r="X8055">
        <v>0.99772950000000005</v>
      </c>
      <c r="Y8055">
        <v>-8.7970930000000003E-2</v>
      </c>
      <c r="Z8055">
        <v>-2.205652E-2</v>
      </c>
      <c r="AA8055">
        <v>0.99587879999999995</v>
      </c>
      <c r="AB8055">
        <v>19</v>
      </c>
      <c r="AC8055">
        <v>-2.0474000000000099</v>
      </c>
      <c r="AD8055">
        <v>-1.110944322555</v>
      </c>
      <c r="AE8055">
        <v>49.869399999999999</v>
      </c>
      <c r="AF8055">
        <v>-4.4121963632118097</v>
      </c>
      <c r="AG8055">
        <v>-1.110944322555</v>
      </c>
      <c r="AH8055">
        <v>49.691195044714703</v>
      </c>
      <c r="AI8055">
        <v>91.275728965101905</v>
      </c>
      <c r="AJ8055">
        <v>95.074118051378505</v>
      </c>
      <c r="AK8055">
        <v>49.899063508318903</v>
      </c>
      <c r="AL8055">
        <v>87.034532999097095</v>
      </c>
      <c r="AM8055">
        <v>92.474786342158296</v>
      </c>
      <c r="AN8055">
        <v>1.0000000340594</v>
      </c>
    </row>
    <row r="8056" spans="1:40" x14ac:dyDescent="0.25">
      <c r="A8056" t="str">
        <f>"20190312160524306"</f>
        <v>20190312160524306</v>
      </c>
      <c r="B8056" t="str">
        <f>"1552377924303073"</f>
        <v>1552377924303073</v>
      </c>
      <c r="C8056" t="s">
        <v>40</v>
      </c>
      <c r="D8056">
        <v>5.5841570000000003</v>
      </c>
      <c r="E8056">
        <v>0.50991319999999996</v>
      </c>
      <c r="F8056" t="s">
        <v>41</v>
      </c>
      <c r="G8056">
        <v>-187.02189999999999</v>
      </c>
      <c r="H8056" s="1">
        <v>-1.2458049999999999E-6</v>
      </c>
      <c r="I8056">
        <v>0.98046350000000004</v>
      </c>
      <c r="J8056">
        <v>-187.82900000000001</v>
      </c>
      <c r="K8056">
        <v>1.110924</v>
      </c>
      <c r="L8056">
        <v>-34.679659999999998</v>
      </c>
      <c r="M8056">
        <v>4.6330169999999997E-2</v>
      </c>
      <c r="N8056">
        <v>0</v>
      </c>
      <c r="O8056">
        <v>0.99883540000000004</v>
      </c>
      <c r="P8056">
        <v>3.2753399999999998E-3</v>
      </c>
      <c r="Q8056">
        <v>3.8599870000000001E-2</v>
      </c>
      <c r="R8056">
        <v>0.99924939999999995</v>
      </c>
      <c r="S8056">
        <v>6.8298339999999999E-2</v>
      </c>
      <c r="T8056">
        <v>-9.313428E-2</v>
      </c>
      <c r="U8056">
        <v>3.0055239999999999</v>
      </c>
      <c r="V8056">
        <v>-4.3097570000000002E-2</v>
      </c>
      <c r="W8056">
        <v>5.1983590000000003E-2</v>
      </c>
      <c r="X8056">
        <v>0.99771759999999998</v>
      </c>
      <c r="Y8056">
        <v>-2.363927E-2</v>
      </c>
      <c r="Z8056">
        <v>-3.0914649999999998E-2</v>
      </c>
      <c r="AA8056">
        <v>0.99924239999999998</v>
      </c>
      <c r="AB8056">
        <v>19</v>
      </c>
      <c r="AC8056">
        <v>0.80710000000001902</v>
      </c>
      <c r="AD8056">
        <v>-1.1109252458050001</v>
      </c>
      <c r="AE8056">
        <v>35.660123499999997</v>
      </c>
      <c r="AF8056">
        <v>-0.84523635825510501</v>
      </c>
      <c r="AG8056">
        <v>-1.1109252458050001</v>
      </c>
      <c r="AH8056">
        <v>35.6246638015445</v>
      </c>
      <c r="AI8056">
        <v>91.785639775343199</v>
      </c>
      <c r="AJ8056">
        <v>91.359153648939596</v>
      </c>
      <c r="AK8056">
        <v>35.652002052846299</v>
      </c>
      <c r="AL8056">
        <v>87.020216772861005</v>
      </c>
      <c r="AM8056">
        <v>92.473420084766403</v>
      </c>
      <c r="AN8056">
        <v>1.00000005175947</v>
      </c>
    </row>
    <row r="8057" spans="1:40" x14ac:dyDescent="0.25">
      <c r="A8057" t="str">
        <f>"20190312160524328"</f>
        <v>20190312160524328</v>
      </c>
      <c r="B8057" t="str">
        <f>"1552377924322593"</f>
        <v>1552377924322593</v>
      </c>
      <c r="C8057" t="s">
        <v>40</v>
      </c>
      <c r="D8057">
        <v>5.5858930000000004</v>
      </c>
      <c r="E8057">
        <v>0.51102890000000001</v>
      </c>
      <c r="F8057" t="s">
        <v>41</v>
      </c>
      <c r="G8057">
        <v>-187.01079999999999</v>
      </c>
      <c r="H8057" s="1">
        <v>-1.172486E-6</v>
      </c>
      <c r="I8057">
        <v>-9.2437090000000008</v>
      </c>
      <c r="J8057">
        <v>-187.8218</v>
      </c>
      <c r="K8057">
        <v>1.110905</v>
      </c>
      <c r="L8057">
        <v>-34.49615</v>
      </c>
      <c r="M8057">
        <v>4.5240700000000002E-2</v>
      </c>
      <c r="N8057">
        <v>0</v>
      </c>
      <c r="O8057">
        <v>0.99888540000000003</v>
      </c>
      <c r="P8057">
        <v>1.9804570000000001E-3</v>
      </c>
      <c r="Q8057">
        <v>3.9634500000000003E-2</v>
      </c>
      <c r="R8057">
        <v>0.99921230000000005</v>
      </c>
      <c r="S8057">
        <v>9.6725459999999999E-2</v>
      </c>
      <c r="T8057">
        <v>-0.1313328</v>
      </c>
      <c r="U8057">
        <v>3.0070190000000001</v>
      </c>
      <c r="V8057">
        <v>-4.3299310000000001E-2</v>
      </c>
      <c r="W8057">
        <v>5.3016420000000002E-2</v>
      </c>
      <c r="X8057">
        <v>0.99765440000000005</v>
      </c>
      <c r="Y8057">
        <v>-1.313493E-2</v>
      </c>
      <c r="Z8057">
        <v>-4.3553710000000002E-2</v>
      </c>
      <c r="AA8057">
        <v>0.99896470000000004</v>
      </c>
      <c r="AB8057">
        <v>19</v>
      </c>
      <c r="AC8057">
        <v>0.81100000000000705</v>
      </c>
      <c r="AD8057">
        <v>-1.1109061724860001</v>
      </c>
      <c r="AE8057">
        <v>25.252441000000001</v>
      </c>
      <c r="AF8057">
        <v>-0.33173083173899098</v>
      </c>
      <c r="AG8057">
        <v>-1.1109061724860001</v>
      </c>
      <c r="AH8057">
        <v>25.214526892372099</v>
      </c>
      <c r="AI8057">
        <v>92.522498311099696</v>
      </c>
      <c r="AJ8057">
        <v>90.7537591391375</v>
      </c>
      <c r="AK8057">
        <v>25.241167252624201</v>
      </c>
      <c r="AL8057">
        <v>86.960957900505804</v>
      </c>
      <c r="AM8057">
        <v>92.485140922653898</v>
      </c>
      <c r="AN8057">
        <v>0.999999936437724</v>
      </c>
    </row>
    <row r="8058" spans="1:40" x14ac:dyDescent="0.25">
      <c r="A8058" t="str">
        <f>"20190312160524352"</f>
        <v>20190312160524352</v>
      </c>
      <c r="B8058" t="str">
        <f>"1552377924342661"</f>
        <v>1552377924342661</v>
      </c>
      <c r="C8058" t="s">
        <v>40</v>
      </c>
      <c r="D8058">
        <v>5.7693070000000004</v>
      </c>
      <c r="E8058">
        <v>0.50960729999999999</v>
      </c>
      <c r="F8058" t="s">
        <v>41</v>
      </c>
      <c r="G8058">
        <v>-187.03309999999999</v>
      </c>
      <c r="H8058" s="1">
        <v>-4.4418699999999901E-6</v>
      </c>
      <c r="I8058">
        <v>-11.23986</v>
      </c>
      <c r="J8058">
        <v>-187.81399999999999</v>
      </c>
      <c r="K8058">
        <v>1.1108769999999999</v>
      </c>
      <c r="L8058">
        <v>-34.291110000000003</v>
      </c>
      <c r="M8058">
        <v>4.4070959999999999E-2</v>
      </c>
      <c r="N8058">
        <v>0</v>
      </c>
      <c r="O8058">
        <v>0.99893770000000004</v>
      </c>
      <c r="P8058" s="1">
        <v>2.0303409999999999E-6</v>
      </c>
      <c r="Q8058">
        <v>4.0860479999999998E-2</v>
      </c>
      <c r="R8058">
        <v>0.99916490000000002</v>
      </c>
      <c r="S8058">
        <v>0.102005</v>
      </c>
      <c r="T8058">
        <v>-0.14368049999999999</v>
      </c>
      <c r="U8058">
        <v>3.0078740000000002</v>
      </c>
      <c r="V8058">
        <v>-4.4103209999999997E-2</v>
      </c>
      <c r="W8058">
        <v>5.423965E-2</v>
      </c>
      <c r="X8058">
        <v>0.99755349999999998</v>
      </c>
      <c r="Y8058">
        <v>-1.022789E-2</v>
      </c>
      <c r="Z8058">
        <v>-4.7629350000000001E-2</v>
      </c>
      <c r="AA8058">
        <v>0.9988127</v>
      </c>
      <c r="AB8058">
        <v>19</v>
      </c>
      <c r="AC8058">
        <v>0.78090000000003001</v>
      </c>
      <c r="AD8058">
        <v>-1.1108814418699999</v>
      </c>
      <c r="AE8058">
        <v>23.05125</v>
      </c>
      <c r="AF8058">
        <v>-0.235295801158525</v>
      </c>
      <c r="AG8058">
        <v>-1.1108814418699999</v>
      </c>
      <c r="AH8058">
        <v>23.0098894797922</v>
      </c>
      <c r="AI8058">
        <v>92.763860139088195</v>
      </c>
      <c r="AJ8058">
        <v>90.585877931951003</v>
      </c>
      <c r="AK8058">
        <v>23.0378913002945</v>
      </c>
      <c r="AL8058">
        <v>86.890771200994607</v>
      </c>
      <c r="AM8058">
        <v>92.531476565574394</v>
      </c>
      <c r="AN8058">
        <v>1.0000000090633301</v>
      </c>
    </row>
    <row r="8059" spans="1:40" x14ac:dyDescent="0.25">
      <c r="A8059" t="str">
        <f>"20190312160524375"</f>
        <v>20190312160524375</v>
      </c>
      <c r="B8059" t="str">
        <f>"1552377924363157"</f>
        <v>1552377924363157</v>
      </c>
      <c r="C8059" t="s">
        <v>40</v>
      </c>
      <c r="D8059">
        <v>5.6651590000000001</v>
      </c>
      <c r="E8059">
        <v>0.50879169999999996</v>
      </c>
      <c r="F8059" t="s">
        <v>41</v>
      </c>
      <c r="G8059">
        <v>-187.12209999999999</v>
      </c>
      <c r="H8059" s="1">
        <v>-1.0239860000000001E-6</v>
      </c>
      <c r="I8059">
        <v>-9.5930119999999999</v>
      </c>
      <c r="J8059">
        <v>-187.8066</v>
      </c>
      <c r="K8059">
        <v>1.1108559999999901</v>
      </c>
      <c r="L8059">
        <v>-34.094270000000002</v>
      </c>
      <c r="M8059">
        <v>4.2983590000000002E-2</v>
      </c>
      <c r="N8059">
        <v>0</v>
      </c>
      <c r="O8059">
        <v>0.99898509999999996</v>
      </c>
      <c r="P8059">
        <v>-1.8135130000000001E-3</v>
      </c>
      <c r="Q8059">
        <v>4.0368399999999999E-2</v>
      </c>
      <c r="R8059">
        <v>0.99918320000000005</v>
      </c>
      <c r="S8059">
        <v>8.4259029999999999E-2</v>
      </c>
      <c r="T8059">
        <v>-0.1352959</v>
      </c>
      <c r="U8059">
        <v>3.0080260000000001</v>
      </c>
      <c r="V8059">
        <v>-4.482742E-2</v>
      </c>
      <c r="W8059">
        <v>5.3745420000000002E-2</v>
      </c>
      <c r="X8059">
        <v>0.99754799999999999</v>
      </c>
      <c r="Y8059">
        <v>-1.5024300000000001E-2</v>
      </c>
      <c r="Z8059">
        <v>-4.4859299999999998E-2</v>
      </c>
      <c r="AA8059">
        <v>0.99888030000000005</v>
      </c>
      <c r="AB8059">
        <v>19</v>
      </c>
      <c r="AC8059">
        <v>0.68450000000001399</v>
      </c>
      <c r="AD8059">
        <v>-1.1108570239859901</v>
      </c>
      <c r="AE8059">
        <v>24.501258</v>
      </c>
      <c r="AF8059">
        <v>-0.368623039020957</v>
      </c>
      <c r="AG8059">
        <v>-1.1108570239859901</v>
      </c>
      <c r="AH8059">
        <v>24.457797885224501</v>
      </c>
      <c r="AI8059">
        <v>92.600254288430804</v>
      </c>
      <c r="AJ8059">
        <v>90.863485152774103</v>
      </c>
      <c r="AK8059">
        <v>24.485786972591399</v>
      </c>
      <c r="AL8059">
        <v>86.919129955295006</v>
      </c>
      <c r="AM8059">
        <v>92.573004189867405</v>
      </c>
      <c r="AN8059">
        <v>1.00000004002941</v>
      </c>
    </row>
    <row r="8060" spans="1:40" x14ac:dyDescent="0.25">
      <c r="A8060" t="str">
        <f>"20190312160524396"</f>
        <v>20190312160524396</v>
      </c>
      <c r="B8060" t="str">
        <f>"1552377924393413"</f>
        <v>1552377924393413</v>
      </c>
      <c r="C8060" t="s">
        <v>40</v>
      </c>
      <c r="D8060">
        <v>5.550948</v>
      </c>
      <c r="E8060">
        <v>0.50813989999999998</v>
      </c>
      <c r="F8060" t="s">
        <v>41</v>
      </c>
      <c r="G8060">
        <v>-187.197</v>
      </c>
      <c r="H8060" s="1">
        <v>-1.3036460000000001E-6</v>
      </c>
      <c r="I8060">
        <v>-8.7127219999999994</v>
      </c>
      <c r="J8060">
        <v>-187.8</v>
      </c>
      <c r="K8060">
        <v>1.11084</v>
      </c>
      <c r="L8060">
        <v>-33.913330000000002</v>
      </c>
      <c r="M8060">
        <v>4.2015240000000002E-2</v>
      </c>
      <c r="N8060">
        <v>0</v>
      </c>
      <c r="O8060">
        <v>0.99902639999999998</v>
      </c>
      <c r="P8060">
        <v>-3.572736E-3</v>
      </c>
      <c r="Q8060">
        <v>3.9989120000000003E-2</v>
      </c>
      <c r="R8060">
        <v>0.99919369999999996</v>
      </c>
      <c r="S8060">
        <v>7.2250369999999994E-2</v>
      </c>
      <c r="T8060">
        <v>-0.13164500000000001</v>
      </c>
      <c r="U8060">
        <v>3.0079039999999999</v>
      </c>
      <c r="V8060">
        <v>-4.5615099999999999E-2</v>
      </c>
      <c r="W8060">
        <v>5.3364490000000001E-2</v>
      </c>
      <c r="X8060">
        <v>0.99753270000000005</v>
      </c>
      <c r="Y8060">
        <v>-1.8037810000000001E-2</v>
      </c>
      <c r="Z8060">
        <v>-4.3656769999999998E-2</v>
      </c>
      <c r="AA8060">
        <v>0.99888370000000004</v>
      </c>
      <c r="AB8060">
        <v>19</v>
      </c>
      <c r="AC8060">
        <v>0.60300000000000797</v>
      </c>
      <c r="AD8060">
        <v>-1.1108413036460001</v>
      </c>
      <c r="AE8060">
        <v>25.200607999999999</v>
      </c>
      <c r="AF8060">
        <v>-0.45555332476023103</v>
      </c>
      <c r="AG8060">
        <v>-1.1108413036460001</v>
      </c>
      <c r="AH8060">
        <v>25.154839637808902</v>
      </c>
      <c r="AI8060">
        <v>92.528132983133602</v>
      </c>
      <c r="AJ8060">
        <v>91.037511282196405</v>
      </c>
      <c r="AK8060">
        <v>25.183475821209999</v>
      </c>
      <c r="AL8060">
        <v>86.940986870615106</v>
      </c>
      <c r="AM8060">
        <v>92.618193178449005</v>
      </c>
      <c r="AN8060">
        <v>0.99999999685512997</v>
      </c>
    </row>
    <row r="8061" spans="1:40" x14ac:dyDescent="0.25">
      <c r="A8061" t="str">
        <f>"20190312160524417"</f>
        <v>20190312160524417</v>
      </c>
      <c r="B8061" t="str">
        <f>"1552377924412932"</f>
        <v>1552377924412932</v>
      </c>
      <c r="C8061" t="s">
        <v>40</v>
      </c>
      <c r="D8061">
        <v>5.9402530000000002</v>
      </c>
      <c r="E8061">
        <v>0.50856329999999905</v>
      </c>
      <c r="F8061" t="s">
        <v>41</v>
      </c>
      <c r="G8061">
        <v>-187.2688</v>
      </c>
      <c r="H8061" s="1">
        <v>-1.548664E-6</v>
      </c>
      <c r="I8061">
        <v>-7.9365399999999902</v>
      </c>
      <c r="J8061">
        <v>-187.79349999999999</v>
      </c>
      <c r="K8061">
        <v>1.110825</v>
      </c>
      <c r="L8061">
        <v>-33.730350000000001</v>
      </c>
      <c r="M8061">
        <v>4.106812E-2</v>
      </c>
      <c r="N8061">
        <v>0</v>
      </c>
      <c r="O8061">
        <v>0.9990658</v>
      </c>
      <c r="P8061">
        <v>-4.7827989999999999E-3</v>
      </c>
      <c r="Q8061">
        <v>4.0196540000000003E-2</v>
      </c>
      <c r="R8061">
        <v>0.99918030000000002</v>
      </c>
      <c r="S8061">
        <v>6.1508180000000003E-2</v>
      </c>
      <c r="T8061">
        <v>-0.12862129999999999</v>
      </c>
      <c r="U8061">
        <v>3.0077820000000002</v>
      </c>
      <c r="V8061">
        <v>-4.5875720000000002E-2</v>
      </c>
      <c r="W8061">
        <v>5.3570670000000001E-2</v>
      </c>
      <c r="X8061">
        <v>0.99750970000000005</v>
      </c>
      <c r="Y8061">
        <v>-2.065372E-2</v>
      </c>
      <c r="Z8061">
        <v>-4.2660749999999997E-2</v>
      </c>
      <c r="AA8061">
        <v>0.99887610000000004</v>
      </c>
      <c r="AB8061">
        <v>19</v>
      </c>
      <c r="AC8061">
        <v>0.52469999999999495</v>
      </c>
      <c r="AD8061">
        <v>-1.1108265486640001</v>
      </c>
      <c r="AE8061">
        <v>25.793810000000001</v>
      </c>
      <c r="AF8061">
        <v>-0.53415162119536996</v>
      </c>
      <c r="AG8061">
        <v>-1.1108265486640001</v>
      </c>
      <c r="AH8061">
        <v>25.7458657068285</v>
      </c>
      <c r="AI8061">
        <v>92.470010382329804</v>
      </c>
      <c r="AJ8061">
        <v>91.188549797818794</v>
      </c>
      <c r="AK8061">
        <v>25.7753536264721</v>
      </c>
      <c r="AL8061">
        <v>86.929156714311603</v>
      </c>
      <c r="AM8061">
        <v>92.633191751474101</v>
      </c>
      <c r="AN8061">
        <v>0.99999999998192801</v>
      </c>
    </row>
    <row r="8062" spans="1:40" x14ac:dyDescent="0.25">
      <c r="A8062" t="str">
        <f>"20190312160524441"</f>
        <v>20190312160524441</v>
      </c>
      <c r="B8062" t="str">
        <f>"1552377924433159"</f>
        <v>1552377924433159</v>
      </c>
      <c r="C8062" t="s">
        <v>40</v>
      </c>
      <c r="D8062">
        <v>5.5217599999999996</v>
      </c>
      <c r="E8062">
        <v>0.50836239999999999</v>
      </c>
      <c r="F8062" t="s">
        <v>41</v>
      </c>
      <c r="G8062">
        <v>-187.27590000000001</v>
      </c>
      <c r="H8062" s="1">
        <v>-1.414462E-6</v>
      </c>
      <c r="I8062">
        <v>-8.3253269999999997</v>
      </c>
      <c r="J8062">
        <v>-187.78659999999999</v>
      </c>
      <c r="K8062">
        <v>1.1108129999999901</v>
      </c>
      <c r="L8062">
        <v>-33.532809999999998</v>
      </c>
      <c r="M8062">
        <v>4.008163E-2</v>
      </c>
      <c r="N8062">
        <v>0</v>
      </c>
      <c r="O8062">
        <v>0.99910589999999999</v>
      </c>
      <c r="P8062">
        <v>-5.9311989999999998E-3</v>
      </c>
      <c r="Q8062">
        <v>4.0747579999999999E-2</v>
      </c>
      <c r="R8062">
        <v>0.99915189999999998</v>
      </c>
      <c r="S8062">
        <v>6.1279300000000002E-2</v>
      </c>
      <c r="T8062">
        <v>-0.13152639999999999</v>
      </c>
      <c r="U8062">
        <v>3.008057</v>
      </c>
      <c r="V8062">
        <v>-4.603513E-2</v>
      </c>
      <c r="W8062">
        <v>5.4120149999999999E-2</v>
      </c>
      <c r="X8062">
        <v>0.99747269999999999</v>
      </c>
      <c r="Y8062">
        <v>-1.9745220000000001E-2</v>
      </c>
      <c r="Z8062">
        <v>-4.3621550000000002E-2</v>
      </c>
      <c r="AA8062">
        <v>0.99885299999999999</v>
      </c>
      <c r="AB8062">
        <v>19</v>
      </c>
      <c r="AC8062">
        <v>0.51069999999998505</v>
      </c>
      <c r="AD8062">
        <v>-1.11081441446199</v>
      </c>
      <c r="AE8062">
        <v>25.207483</v>
      </c>
      <c r="AF8062">
        <v>-0.49918988317240798</v>
      </c>
      <c r="AG8062">
        <v>-1.11081441446199</v>
      </c>
      <c r="AH8062">
        <v>25.158858731135599</v>
      </c>
      <c r="AI8062">
        <v>92.527585620345207</v>
      </c>
      <c r="AJ8062">
        <v>91.136685942023902</v>
      </c>
      <c r="AK8062">
        <v>25.188316177467598</v>
      </c>
      <c r="AL8062">
        <v>86.897628107144698</v>
      </c>
      <c r="AM8062">
        <v>92.642426555849497</v>
      </c>
      <c r="AN8062">
        <v>1.0000000055377101</v>
      </c>
    </row>
    <row r="8063" spans="1:40" x14ac:dyDescent="0.25">
      <c r="A8063" t="str">
        <f>"20190312160524463"</f>
        <v>20190312160524463</v>
      </c>
      <c r="B8063" t="str">
        <f>"1552377924452677"</f>
        <v>1552377924452677</v>
      </c>
      <c r="C8063" t="s">
        <v>40</v>
      </c>
      <c r="D8063">
        <v>5.9513870000000004</v>
      </c>
      <c r="E8063">
        <v>0.50843859999999996</v>
      </c>
      <c r="F8063" t="s">
        <v>41</v>
      </c>
      <c r="G8063">
        <v>-187.2937</v>
      </c>
      <c r="H8063" s="1">
        <v>-1.8261279999999999E-6</v>
      </c>
      <c r="I8063">
        <v>-7.229482</v>
      </c>
      <c r="J8063">
        <v>-187.78020000000001</v>
      </c>
      <c r="K8063">
        <v>1.110803</v>
      </c>
      <c r="L8063">
        <v>-33.345460000000003</v>
      </c>
      <c r="M8063">
        <v>3.9175710000000002E-2</v>
      </c>
      <c r="N8063">
        <v>0</v>
      </c>
      <c r="O8063">
        <v>0.99914190000000003</v>
      </c>
      <c r="P8063">
        <v>-6.8282150000000003E-3</v>
      </c>
      <c r="Q8063">
        <v>4.1345510000000002E-2</v>
      </c>
      <c r="R8063">
        <v>0.9991215</v>
      </c>
      <c r="S8063">
        <v>5.6365970000000001E-2</v>
      </c>
      <c r="T8063">
        <v>-0.12703310000000001</v>
      </c>
      <c r="U8063">
        <v>3.008057</v>
      </c>
      <c r="V8063">
        <v>-4.6024120000000002E-2</v>
      </c>
      <c r="W8063">
        <v>5.471674E-2</v>
      </c>
      <c r="X8063">
        <v>0.99744060000000001</v>
      </c>
      <c r="Y8063">
        <v>-2.046837E-2</v>
      </c>
      <c r="Z8063">
        <v>-4.2136680000000003E-2</v>
      </c>
      <c r="AA8063">
        <v>0.99890210000000002</v>
      </c>
      <c r="AB8063">
        <v>19</v>
      </c>
      <c r="AC8063">
        <v>0.48650000000000598</v>
      </c>
      <c r="AD8063">
        <v>-1.1108048261279999</v>
      </c>
      <c r="AE8063">
        <v>26.115977999999899</v>
      </c>
      <c r="AF8063">
        <v>-0.53610844256738899</v>
      </c>
      <c r="AG8063">
        <v>-1.1108048261279999</v>
      </c>
      <c r="AH8063">
        <v>26.0678438006363</v>
      </c>
      <c r="AI8063">
        <v>92.439500499063101</v>
      </c>
      <c r="AJ8063">
        <v>91.178172688303704</v>
      </c>
      <c r="AK8063">
        <v>26.0970071088298</v>
      </c>
      <c r="AL8063">
        <v>86.863395104904399</v>
      </c>
      <c r="AM8063">
        <v>92.641880373642493</v>
      </c>
      <c r="AN8063">
        <v>0.99999994589317898</v>
      </c>
    </row>
    <row r="8064" spans="1:40" x14ac:dyDescent="0.25">
      <c r="A8064" t="str">
        <f>"20190312160524486"</f>
        <v>20190312160524486</v>
      </c>
      <c r="B8064" t="str">
        <f>"1552377924473174"</f>
        <v>1552377924473174</v>
      </c>
      <c r="C8064" t="s">
        <v>40</v>
      </c>
      <c r="D8064">
        <v>5.2271619999999999</v>
      </c>
      <c r="E8064">
        <v>0.50843859999999996</v>
      </c>
      <c r="F8064" t="s">
        <v>41</v>
      </c>
      <c r="G8064">
        <v>-187.30029999999999</v>
      </c>
      <c r="H8064" s="1">
        <v>-2.0312729999999998E-6</v>
      </c>
      <c r="I8064">
        <v>-6.7485569999999999</v>
      </c>
      <c r="J8064">
        <v>-187.77369999999999</v>
      </c>
      <c r="K8064">
        <v>1.1107910000000001</v>
      </c>
      <c r="L8064">
        <v>-33.151060000000001</v>
      </c>
      <c r="M8064">
        <v>3.8259479999999998E-2</v>
      </c>
      <c r="N8064">
        <v>0</v>
      </c>
      <c r="O8064">
        <v>0.99917739999999999</v>
      </c>
      <c r="P8064">
        <v>-7.3067829999999999E-3</v>
      </c>
      <c r="Q8064">
        <v>4.11819E-2</v>
      </c>
      <c r="R8064">
        <v>0.99912489999999998</v>
      </c>
      <c r="S8064">
        <v>5.4275509999999999E-2</v>
      </c>
      <c r="T8064">
        <v>-0.12563630000000001</v>
      </c>
      <c r="U8064">
        <v>3.0082089999999999</v>
      </c>
      <c r="V8064">
        <v>-4.5585059999999997E-2</v>
      </c>
      <c r="W8064">
        <v>5.4552469999999999E-2</v>
      </c>
      <c r="X8064">
        <v>0.99746979999999996</v>
      </c>
      <c r="Y8064">
        <v>-2.024608E-2</v>
      </c>
      <c r="Z8064">
        <v>-4.1674629999999997E-2</v>
      </c>
      <c r="AA8064">
        <v>0.99892610000000004</v>
      </c>
      <c r="AB8064">
        <v>19</v>
      </c>
      <c r="AC8064">
        <v>0.47339999999999799</v>
      </c>
      <c r="AD8064">
        <v>-1.1107930312729899</v>
      </c>
      <c r="AE8064">
        <v>26.402502999999999</v>
      </c>
      <c r="AF8064">
        <v>-0.53623516325404397</v>
      </c>
      <c r="AG8064">
        <v>-1.1107930312729899</v>
      </c>
      <c r="AH8064">
        <v>26.354649230815799</v>
      </c>
      <c r="AI8064">
        <v>92.412969299269406</v>
      </c>
      <c r="AJ8064">
        <v>91.165630116819102</v>
      </c>
      <c r="AK8064">
        <v>26.383497595807398</v>
      </c>
      <c r="AL8064">
        <v>86.872821286652396</v>
      </c>
      <c r="AM8064">
        <v>92.616636118341304</v>
      </c>
      <c r="AN8064">
        <v>0.99999998579517202</v>
      </c>
    </row>
    <row r="8065" spans="1:40" x14ac:dyDescent="0.25">
      <c r="A8065" t="str">
        <f>"20190312160524577"</f>
        <v>20190312160524577</v>
      </c>
      <c r="B8065" t="str">
        <f>"1552377924573305"</f>
        <v>1552377924573305</v>
      </c>
      <c r="C8065" t="s">
        <v>40</v>
      </c>
      <c r="D8065">
        <v>5.9455819999999999</v>
      </c>
      <c r="E8065">
        <v>0.49380489999999999</v>
      </c>
      <c r="F8065" t="s">
        <v>41</v>
      </c>
      <c r="G8065">
        <v>-187.30860000000001</v>
      </c>
      <c r="H8065" s="1">
        <v>-2.0647089999999999E-6</v>
      </c>
      <c r="I8065">
        <v>-6.6671889999999996</v>
      </c>
      <c r="J8065">
        <v>-187.74979999999999</v>
      </c>
      <c r="K8065">
        <v>1.110776</v>
      </c>
      <c r="L8065">
        <v>-32.391170000000002</v>
      </c>
      <c r="M8065">
        <v>3.4821350000000001E-2</v>
      </c>
      <c r="N8065">
        <v>0</v>
      </c>
      <c r="O8065">
        <v>0.99930319999999995</v>
      </c>
      <c r="P8065">
        <v>-1.120789E-2</v>
      </c>
      <c r="Q8065">
        <v>4.2715919999999998E-2</v>
      </c>
      <c r="R8065">
        <v>0.99902440000000003</v>
      </c>
      <c r="S8065">
        <v>5.282593E-2</v>
      </c>
      <c r="T8065">
        <v>-0.12617110000000001</v>
      </c>
      <c r="U8065">
        <v>3.0082089999999999</v>
      </c>
      <c r="V8065">
        <v>-4.6044420000000003E-2</v>
      </c>
      <c r="W8065">
        <v>5.6077439999999999E-2</v>
      </c>
      <c r="X8065">
        <v>0.99736420000000003</v>
      </c>
      <c r="Y8065">
        <v>-1.728729E-2</v>
      </c>
      <c r="Z8065">
        <v>-4.1860960000000003E-2</v>
      </c>
      <c r="AA8065">
        <v>0.99897389999999997</v>
      </c>
      <c r="AB8065">
        <v>19</v>
      </c>
      <c r="AC8065">
        <v>0.44119999999998</v>
      </c>
      <c r="AD8065">
        <v>-1.110778064709</v>
      </c>
      <c r="AE8065">
        <v>25.723980999999998</v>
      </c>
      <c r="AF8065">
        <v>-0.45404589937058898</v>
      </c>
      <c r="AG8065">
        <v>-1.110778064709</v>
      </c>
      <c r="AH8065">
        <v>25.6758821652117</v>
      </c>
      <c r="AI8065">
        <v>92.476771985066904</v>
      </c>
      <c r="AJ8065">
        <v>91.013098686498097</v>
      </c>
      <c r="AK8065">
        <v>25.703908468355799</v>
      </c>
      <c r="AL8065">
        <v>86.785313184112894</v>
      </c>
      <c r="AM8065">
        <v>92.643246158992497</v>
      </c>
      <c r="AN8065">
        <v>1.0000000576658601</v>
      </c>
    </row>
    <row r="8066" spans="1:40" x14ac:dyDescent="0.25">
      <c r="A8066" t="str">
        <f>"20190312160524597"</f>
        <v>20190312160524597</v>
      </c>
      <c r="B8066" t="str">
        <f>"1552377924592826"</f>
        <v>1552377924592826</v>
      </c>
      <c r="C8066" t="s">
        <v>40</v>
      </c>
      <c r="D8066">
        <v>5.9516689999999999</v>
      </c>
      <c r="E8066">
        <v>0.50113339999999995</v>
      </c>
      <c r="F8066" t="s">
        <v>49</v>
      </c>
      <c r="G8066">
        <v>-187.762</v>
      </c>
      <c r="H8066">
        <v>0.85960840000000005</v>
      </c>
      <c r="I8066">
        <v>-31.649519999999999</v>
      </c>
      <c r="J8066">
        <v>-187.74440000000001</v>
      </c>
      <c r="K8066">
        <v>1.110781</v>
      </c>
      <c r="L8066">
        <v>-32.210239999999999</v>
      </c>
      <c r="M8066">
        <v>3.4021790000000003E-2</v>
      </c>
      <c r="N8066">
        <v>0</v>
      </c>
      <c r="O8066">
        <v>0.99933079999999996</v>
      </c>
      <c r="P8066">
        <v>-1.190304E-2</v>
      </c>
      <c r="Q8066">
        <v>4.3058150000000003E-2</v>
      </c>
      <c r="R8066">
        <v>0.99900169999999999</v>
      </c>
      <c r="S8066">
        <v>-5.0689699999999997E-2</v>
      </c>
      <c r="T8066">
        <v>-1.0317459999999901</v>
      </c>
      <c r="U8066">
        <v>3.046478</v>
      </c>
      <c r="V8066">
        <v>-4.5940809999999999E-2</v>
      </c>
      <c r="W8066">
        <v>5.641736E-2</v>
      </c>
      <c r="X8066">
        <v>0.99734970000000001</v>
      </c>
      <c r="Y8066">
        <v>-4.9768939999999998E-2</v>
      </c>
      <c r="Z8066">
        <v>-0.32027739999999999</v>
      </c>
      <c r="AA8066">
        <v>0.94601559999999996</v>
      </c>
      <c r="AB8066">
        <v>19</v>
      </c>
      <c r="AC8066">
        <v>-1.75999999999874E-2</v>
      </c>
      <c r="AD8066">
        <v>-0.25117260000000002</v>
      </c>
      <c r="AE8066">
        <v>0.560719999999996</v>
      </c>
      <c r="AF8066">
        <v>-3.05451833834594E-2</v>
      </c>
      <c r="AG8066">
        <v>-0.25117260000000002</v>
      </c>
      <c r="AH8066">
        <v>0.46631885764818598</v>
      </c>
      <c r="AI8066">
        <v>118.256990475992</v>
      </c>
      <c r="AJ8066">
        <v>93.747679236286302</v>
      </c>
      <c r="AK8066">
        <v>0.53054119558899304</v>
      </c>
      <c r="AL8066">
        <v>86.765805974139994</v>
      </c>
      <c r="AM8066">
        <v>92.637344973541801</v>
      </c>
      <c r="AN8066">
        <v>0.99999995031145605</v>
      </c>
    </row>
    <row r="8067" spans="1:40" x14ac:dyDescent="0.25">
      <c r="A8067" t="str">
        <f>"20190312160524619"</f>
        <v>20190312160524619</v>
      </c>
      <c r="B8067" t="str">
        <f>"1552377924613322"</f>
        <v>1552377924613322</v>
      </c>
      <c r="C8067" t="s">
        <v>40</v>
      </c>
      <c r="D8067">
        <v>9.4276409999999995</v>
      </c>
      <c r="E8067">
        <v>0.49992740000000002</v>
      </c>
      <c r="F8067" t="s">
        <v>49</v>
      </c>
      <c r="G8067">
        <v>-187.74709999999999</v>
      </c>
      <c r="H8067">
        <v>0.99430969999999996</v>
      </c>
      <c r="I8067">
        <v>-31.42191</v>
      </c>
      <c r="J8067">
        <v>-187.73929999999999</v>
      </c>
      <c r="K8067">
        <v>1.1107830000000001</v>
      </c>
      <c r="L8067">
        <v>-32.029820000000001</v>
      </c>
      <c r="M8067">
        <v>3.3231660000000003E-2</v>
      </c>
      <c r="N8067">
        <v>0</v>
      </c>
      <c r="O8067">
        <v>0.99935739999999995</v>
      </c>
      <c r="P8067">
        <v>-1.263528E-2</v>
      </c>
      <c r="Q8067">
        <v>4.3265390000000001E-2</v>
      </c>
      <c r="R8067">
        <v>0.99898370000000003</v>
      </c>
      <c r="S8067">
        <v>-1.039124E-2</v>
      </c>
      <c r="T8067">
        <v>-0.44651839999999998</v>
      </c>
      <c r="U8067">
        <v>3.022125</v>
      </c>
      <c r="V8067">
        <v>-4.5882729999999997E-2</v>
      </c>
      <c r="W8067">
        <v>5.6622550000000001E-2</v>
      </c>
      <c r="X8067">
        <v>0.99734080000000003</v>
      </c>
      <c r="Y8067">
        <v>-3.6633949999999998E-2</v>
      </c>
      <c r="Z8067">
        <v>-0.14599279999999901</v>
      </c>
      <c r="AA8067">
        <v>0.98860709999999996</v>
      </c>
      <c r="AB8067">
        <v>19</v>
      </c>
      <c r="AC8067">
        <v>-7.80000000000313E-3</v>
      </c>
      <c r="AD8067">
        <v>-0.1164733</v>
      </c>
      <c r="AE8067">
        <v>0.60791000000000395</v>
      </c>
      <c r="AF8067">
        <v>-2.7008091847973599E-2</v>
      </c>
      <c r="AG8067">
        <v>-0.1164733</v>
      </c>
      <c r="AH8067">
        <v>0.58581376705474497</v>
      </c>
      <c r="AI8067">
        <v>101.23345075995999</v>
      </c>
      <c r="AJ8067">
        <v>92.639669416348497</v>
      </c>
      <c r="AK8067">
        <v>0.59789065581344303</v>
      </c>
      <c r="AL8067">
        <v>86.754030806063099</v>
      </c>
      <c r="AM8067">
        <v>92.634038919490493</v>
      </c>
      <c r="AN8067">
        <v>1.00000000471269</v>
      </c>
    </row>
    <row r="8068" spans="1:40" x14ac:dyDescent="0.25">
      <c r="A8068" t="str">
        <f>"20190312160524641"</f>
        <v>20190312160524641</v>
      </c>
      <c r="B8068" t="str">
        <f>"1552377924633367"</f>
        <v>1552377924633367</v>
      </c>
      <c r="C8068" t="s">
        <v>40</v>
      </c>
      <c r="D8068">
        <v>5.4867850000000002</v>
      </c>
      <c r="E8068">
        <v>0.50095089999999998</v>
      </c>
      <c r="F8068" t="s">
        <v>49</v>
      </c>
      <c r="G8068">
        <v>-187.74520000000001</v>
      </c>
      <c r="H8068">
        <v>1.0073110000000001</v>
      </c>
      <c r="I8068">
        <v>-31.24755</v>
      </c>
      <c r="J8068">
        <v>-187.73419999999999</v>
      </c>
      <c r="K8068">
        <v>1.1107769999999999</v>
      </c>
      <c r="L8068">
        <v>-31.848600000000001</v>
      </c>
      <c r="M8068">
        <v>3.244913E-2</v>
      </c>
      <c r="N8068">
        <v>0</v>
      </c>
      <c r="O8068">
        <v>0.99938320000000003</v>
      </c>
      <c r="P8068">
        <v>-1.316239E-2</v>
      </c>
      <c r="Q8068">
        <v>4.3312780000000002E-2</v>
      </c>
      <c r="R8068">
        <v>0.9989749</v>
      </c>
      <c r="S8068">
        <v>-2.342224E-2</v>
      </c>
      <c r="T8068">
        <v>-0.39948299999999998</v>
      </c>
      <c r="U8068">
        <v>3.0200499999999999</v>
      </c>
      <c r="V8068">
        <v>-4.5626279999999998E-2</v>
      </c>
      <c r="W8068">
        <v>5.666873E-2</v>
      </c>
      <c r="X8068">
        <v>0.99734990000000001</v>
      </c>
      <c r="Y8068">
        <v>-4.0135379999999998E-2</v>
      </c>
      <c r="Z8068">
        <v>-0.1309765</v>
      </c>
      <c r="AA8068">
        <v>0.99057269999999997</v>
      </c>
      <c r="AB8068">
        <v>19</v>
      </c>
      <c r="AC8068">
        <v>-1.10000000000241E-2</v>
      </c>
      <c r="AD8068">
        <v>-0.103466</v>
      </c>
      <c r="AE8068">
        <v>0.60104999999999997</v>
      </c>
      <c r="AF8068">
        <v>-2.9622021618179398E-2</v>
      </c>
      <c r="AG8068">
        <v>-0.103466</v>
      </c>
      <c r="AH8068">
        <v>0.58310319861089599</v>
      </c>
      <c r="AI8068">
        <v>100.049158635577</v>
      </c>
      <c r="AJ8068">
        <v>92.908162867302295</v>
      </c>
      <c r="AK8068">
        <v>0.59295195214368501</v>
      </c>
      <c r="AL8068">
        <v>86.751380495113196</v>
      </c>
      <c r="AM8068">
        <v>92.619313315813002</v>
      </c>
      <c r="AN8068">
        <v>0.99999996270822999</v>
      </c>
    </row>
    <row r="8069" spans="1:40" x14ac:dyDescent="0.25">
      <c r="A8069" t="str">
        <f>"20190312160524663"</f>
        <v>20190312160524663</v>
      </c>
      <c r="B8069" t="str">
        <f>"1552377924652887"</f>
        <v>1552377924652887</v>
      </c>
      <c r="C8069" t="s">
        <v>40</v>
      </c>
      <c r="D8069">
        <v>5.5891250000000001</v>
      </c>
      <c r="E8069">
        <v>0.50289119999999998</v>
      </c>
      <c r="F8069" t="s">
        <v>41</v>
      </c>
      <c r="G8069">
        <v>-187.8192</v>
      </c>
      <c r="H8069" s="1">
        <v>-9.72091499999999E-7</v>
      </c>
      <c r="I8069">
        <v>-19.20045</v>
      </c>
      <c r="J8069">
        <v>-187.72900000000001</v>
      </c>
      <c r="K8069">
        <v>1.110757</v>
      </c>
      <c r="L8069">
        <v>-31.659549999999999</v>
      </c>
      <c r="M8069">
        <v>3.1651110000000003E-2</v>
      </c>
      <c r="N8069">
        <v>0</v>
      </c>
      <c r="O8069">
        <v>0.99940879999999999</v>
      </c>
      <c r="P8069">
        <v>-1.305248E-2</v>
      </c>
      <c r="Q8069">
        <v>4.3000700000000003E-2</v>
      </c>
      <c r="R8069">
        <v>0.99898980000000004</v>
      </c>
      <c r="S8069">
        <v>-2.0278930000000001E-2</v>
      </c>
      <c r="T8069">
        <v>-0.26471850000000002</v>
      </c>
      <c r="U8069">
        <v>3.0142820000000001</v>
      </c>
      <c r="V8069">
        <v>-4.4718229999999998E-2</v>
      </c>
      <c r="W8069">
        <v>5.6357369999999997E-2</v>
      </c>
      <c r="X8069">
        <v>0.99740870000000004</v>
      </c>
      <c r="Y8069">
        <v>-3.8351540000000003E-2</v>
      </c>
      <c r="Z8069">
        <v>-8.7385850000000001E-2</v>
      </c>
      <c r="AA8069">
        <v>0.99543599999999999</v>
      </c>
      <c r="AB8069">
        <v>19</v>
      </c>
      <c r="AC8069">
        <v>-9.01999999999816E-2</v>
      </c>
      <c r="AD8069">
        <v>-1.1107579720915</v>
      </c>
      <c r="AE8069">
        <v>12.459099999999999</v>
      </c>
      <c r="AF8069">
        <v>-0.480714107875024</v>
      </c>
      <c r="AG8069">
        <v>-1.1107579720915</v>
      </c>
      <c r="AH8069">
        <v>12.351832450748701</v>
      </c>
      <c r="AI8069">
        <v>95.134724951183301</v>
      </c>
      <c r="AJ8069">
        <v>92.228737830131394</v>
      </c>
      <c r="AK8069">
        <v>12.410988446431</v>
      </c>
      <c r="AL8069">
        <v>86.769248766928598</v>
      </c>
      <c r="AM8069">
        <v>92.567103291375503</v>
      </c>
      <c r="AN8069">
        <v>0.99999999404166995</v>
      </c>
    </row>
    <row r="8070" spans="1:40" x14ac:dyDescent="0.25">
      <c r="A8070" t="str">
        <f>"20190312160524686"</f>
        <v>20190312160524686</v>
      </c>
      <c r="B8070" t="str">
        <f>"1552377924673387"</f>
        <v>1552377924673387</v>
      </c>
      <c r="C8070" t="s">
        <v>40</v>
      </c>
      <c r="D8070">
        <v>5.6426819999999998</v>
      </c>
      <c r="E8070">
        <v>0.50319060000000004</v>
      </c>
      <c r="F8070" t="s">
        <v>41</v>
      </c>
      <c r="G8070">
        <v>-187.74549999999999</v>
      </c>
      <c r="H8070" s="1">
        <v>-7.6691119999999999E-7</v>
      </c>
      <c r="I8070">
        <v>-19.861059999999998</v>
      </c>
      <c r="J8070">
        <v>-187.7242</v>
      </c>
      <c r="K8070">
        <v>1.110741</v>
      </c>
      <c r="L8070">
        <v>-31.477509999999999</v>
      </c>
      <c r="M8070">
        <v>3.0907589999999999E-2</v>
      </c>
      <c r="N8070">
        <v>0</v>
      </c>
      <c r="O8070">
        <v>0.99943210000000005</v>
      </c>
      <c r="P8070">
        <v>-1.301363E-2</v>
      </c>
      <c r="Q8070">
        <v>4.3171420000000002E-2</v>
      </c>
      <c r="R8070">
        <v>0.99898290000000001</v>
      </c>
      <c r="S8070">
        <v>-4.2114259999999999E-3</v>
      </c>
      <c r="T8070">
        <v>-0.28386309999999998</v>
      </c>
      <c r="U8070">
        <v>3.0151979999999998</v>
      </c>
      <c r="V8070">
        <v>-4.3934939999999999E-2</v>
      </c>
      <c r="W8070">
        <v>5.6528290000000002E-2</v>
      </c>
      <c r="X8070">
        <v>0.99743380000000004</v>
      </c>
      <c r="Y8070">
        <v>-3.2300229999999999E-2</v>
      </c>
      <c r="Z8070">
        <v>-9.3638070000000004E-2</v>
      </c>
      <c r="AA8070">
        <v>0.99508220000000003</v>
      </c>
      <c r="AB8070">
        <v>19</v>
      </c>
      <c r="AC8070">
        <v>-2.1299999999996499E-2</v>
      </c>
      <c r="AD8070">
        <v>-1.1107417669112001</v>
      </c>
      <c r="AE8070">
        <v>11.616449999999899</v>
      </c>
      <c r="AF8070">
        <v>-0.376912622950138</v>
      </c>
      <c r="AG8070">
        <v>-1.1107417669112001</v>
      </c>
      <c r="AH8070">
        <v>11.5050527325135</v>
      </c>
      <c r="AI8070">
        <v>95.511524402864694</v>
      </c>
      <c r="AJ8070">
        <v>91.876373986696095</v>
      </c>
      <c r="AK8070">
        <v>11.5646897397214</v>
      </c>
      <c r="AL8070">
        <v>86.759440012064104</v>
      </c>
      <c r="AM8070">
        <v>92.522132791489597</v>
      </c>
      <c r="AN8070">
        <v>0.99999995595278202</v>
      </c>
    </row>
    <row r="8071" spans="1:40" x14ac:dyDescent="0.25">
      <c r="A8071" t="str">
        <f>"20190312160524708"</f>
        <v>20190312160524708</v>
      </c>
      <c r="B8071" t="str">
        <f>"1552377924702663"</f>
        <v>1552377924702663</v>
      </c>
      <c r="C8071" t="s">
        <v>40</v>
      </c>
      <c r="D8071">
        <v>5.7180400000000002</v>
      </c>
      <c r="E8071">
        <v>0.50220659999999995</v>
      </c>
      <c r="F8071" t="s">
        <v>41</v>
      </c>
      <c r="G8071">
        <v>-187.7294</v>
      </c>
      <c r="H8071" s="1">
        <v>-7.4458229999999999E-7</v>
      </c>
      <c r="I8071">
        <v>-19.939250000000001</v>
      </c>
      <c r="J8071">
        <v>-187.7192</v>
      </c>
      <c r="K8071">
        <v>1.1107209999999901</v>
      </c>
      <c r="L8071">
        <v>-31.286740000000002</v>
      </c>
      <c r="M8071">
        <v>3.0162729999999999E-2</v>
      </c>
      <c r="N8071">
        <v>0</v>
      </c>
      <c r="O8071">
        <v>0.99945490000000003</v>
      </c>
      <c r="P8071">
        <v>-1.343125E-2</v>
      </c>
      <c r="Q8071">
        <v>4.3528160000000003E-2</v>
      </c>
      <c r="R8071">
        <v>0.99896189999999996</v>
      </c>
      <c r="S8071">
        <v>-1.373291E-3</v>
      </c>
      <c r="T8071">
        <v>-0.29029919999999998</v>
      </c>
      <c r="U8071">
        <v>3.0155940000000001</v>
      </c>
      <c r="V8071">
        <v>-4.360493E-2</v>
      </c>
      <c r="W8071">
        <v>5.688534E-2</v>
      </c>
      <c r="X8071">
        <v>0.99742799999999998</v>
      </c>
      <c r="Y8071">
        <v>-3.0618510000000002E-2</v>
      </c>
      <c r="Z8071">
        <v>-9.5735239999999999E-2</v>
      </c>
      <c r="AA8071">
        <v>0.99493580000000004</v>
      </c>
      <c r="AB8071">
        <v>19</v>
      </c>
      <c r="AC8071">
        <v>-1.0199999999997499E-2</v>
      </c>
      <c r="AD8071">
        <v>-1.1107217445823001</v>
      </c>
      <c r="AE8071">
        <v>11.347489999999899</v>
      </c>
      <c r="AF8071">
        <v>-0.34915223748868901</v>
      </c>
      <c r="AG8071">
        <v>-1.1107217445823001</v>
      </c>
      <c r="AH8071">
        <v>11.234381742481199</v>
      </c>
      <c r="AI8071">
        <v>95.643666466447698</v>
      </c>
      <c r="AJ8071">
        <v>91.780116867138602</v>
      </c>
      <c r="AK8071">
        <v>11.294553697009301</v>
      </c>
      <c r="AL8071">
        <v>86.738949638590896</v>
      </c>
      <c r="AM8071">
        <v>92.5032269365893</v>
      </c>
      <c r="AN8071">
        <v>0.99999997350560899</v>
      </c>
    </row>
    <row r="8072" spans="1:40" x14ac:dyDescent="0.25">
      <c r="A8072" t="str">
        <f>"20190312160524730"</f>
        <v>20190312160524730</v>
      </c>
      <c r="B8072" t="str">
        <f>"1552377924723159"</f>
        <v>1552377924723159</v>
      </c>
      <c r="C8072" t="s">
        <v>40</v>
      </c>
      <c r="D8072">
        <v>5.6419600000000001</v>
      </c>
      <c r="E8072">
        <v>0.5021774</v>
      </c>
      <c r="F8072" t="s">
        <v>49</v>
      </c>
      <c r="G8072">
        <v>-187.7218</v>
      </c>
      <c r="H8072">
        <v>1.018662</v>
      </c>
      <c r="I8072">
        <v>-30.405049999999999</v>
      </c>
      <c r="J8072">
        <v>-187.71420000000001</v>
      </c>
      <c r="K8072">
        <v>1.110719</v>
      </c>
      <c r="L8072">
        <v>-31.091740000000001</v>
      </c>
      <c r="M8072">
        <v>2.9448470000000001E-2</v>
      </c>
      <c r="N8072">
        <v>0</v>
      </c>
      <c r="O8072">
        <v>0.99947620000000004</v>
      </c>
      <c r="P8072">
        <v>-1.4958809999999999E-2</v>
      </c>
      <c r="Q8072">
        <v>4.3472950000000003E-2</v>
      </c>
      <c r="R8072">
        <v>0.99894260000000001</v>
      </c>
      <c r="S8072">
        <v>-9.292603E-3</v>
      </c>
      <c r="T8072">
        <v>-0.314984599999999</v>
      </c>
      <c r="U8072">
        <v>3.016724</v>
      </c>
      <c r="V8072">
        <v>-4.441502E-2</v>
      </c>
      <c r="W8072">
        <v>5.6829640000000001E-2</v>
      </c>
      <c r="X8072">
        <v>0.99739549999999999</v>
      </c>
      <c r="Y8072">
        <v>-3.2513319999999998E-2</v>
      </c>
      <c r="Z8072">
        <v>-0.1037531</v>
      </c>
      <c r="AA8072">
        <v>0.9940715</v>
      </c>
      <c r="AB8072">
        <v>19</v>
      </c>
      <c r="AC8072">
        <v>-7.5999999999964898E-3</v>
      </c>
      <c r="AD8072">
        <v>-9.2056999999999806E-2</v>
      </c>
      <c r="AE8072">
        <v>0.68669000000000202</v>
      </c>
      <c r="AF8072">
        <v>-2.73293955484901E-2</v>
      </c>
      <c r="AG8072">
        <v>-9.2056999999999806E-2</v>
      </c>
      <c r="AH8072">
        <v>0.67405577126941596</v>
      </c>
      <c r="AI8072">
        <v>97.770567824664496</v>
      </c>
      <c r="AJ8072">
        <v>92.321769071445303</v>
      </c>
      <c r="AK8072">
        <v>0.68086163784696596</v>
      </c>
      <c r="AL8072">
        <v>86.742146410309005</v>
      </c>
      <c r="AM8072">
        <v>92.549753908781696</v>
      </c>
      <c r="AN8072">
        <v>1.00000004270218</v>
      </c>
    </row>
    <row r="8073" spans="1:40" x14ac:dyDescent="0.25">
      <c r="A8073" t="str">
        <f>"20190312160524753"</f>
        <v>20190312160524753</v>
      </c>
      <c r="B8073" t="str">
        <f>"1552377924743246"</f>
        <v>1552377924743246</v>
      </c>
      <c r="C8073" t="s">
        <v>40</v>
      </c>
      <c r="D8073">
        <v>5.8495269999999904</v>
      </c>
      <c r="E8073">
        <v>0.50132370000000004</v>
      </c>
      <c r="F8073" t="s">
        <v>49</v>
      </c>
      <c r="G8073">
        <v>-187.71789999999999</v>
      </c>
      <c r="H8073">
        <v>1.0249090000000001</v>
      </c>
      <c r="I8073">
        <v>-30.233309999999999</v>
      </c>
      <c r="J8073">
        <v>-187.70959999999999</v>
      </c>
      <c r="K8073">
        <v>1.1107</v>
      </c>
      <c r="L8073">
        <v>-30.911069999999999</v>
      </c>
      <c r="M8073">
        <v>2.882268E-2</v>
      </c>
      <c r="N8073">
        <v>0</v>
      </c>
      <c r="O8073">
        <v>0.99949449999999995</v>
      </c>
      <c r="P8073">
        <v>-1.510766E-2</v>
      </c>
      <c r="Q8073">
        <v>4.376497E-2</v>
      </c>
      <c r="R8073">
        <v>0.99892760000000003</v>
      </c>
      <c r="S8073">
        <v>-1.376343E-2</v>
      </c>
      <c r="T8073">
        <v>-0.30150090000000002</v>
      </c>
      <c r="U8073">
        <v>3.0160830000000001</v>
      </c>
      <c r="V8073">
        <v>-4.393536E-2</v>
      </c>
      <c r="W8073">
        <v>5.7121459999999999E-2</v>
      </c>
      <c r="X8073">
        <v>0.99739999999999995</v>
      </c>
      <c r="Y8073">
        <v>-3.3363740000000003E-2</v>
      </c>
      <c r="Z8073">
        <v>-9.9378499999999995E-2</v>
      </c>
      <c r="AA8073">
        <v>0.99449019999999999</v>
      </c>
      <c r="AB8073">
        <v>19</v>
      </c>
      <c r="AC8073">
        <v>-8.2999999999913109E-3</v>
      </c>
      <c r="AD8073">
        <v>-8.5790999999999895E-2</v>
      </c>
      <c r="AE8073">
        <v>0.67776000000000602</v>
      </c>
      <c r="AF8073">
        <v>-2.7394308198258301E-2</v>
      </c>
      <c r="AG8073">
        <v>-8.5790999999999895E-2</v>
      </c>
      <c r="AH8073">
        <v>0.66656071760614599</v>
      </c>
      <c r="AI8073">
        <v>97.327926656707007</v>
      </c>
      <c r="AJ8073">
        <v>92.353417174681695</v>
      </c>
      <c r="AK8073">
        <v>0.67261707832784101</v>
      </c>
      <c r="AL8073">
        <v>86.725398908741099</v>
      </c>
      <c r="AM8073">
        <v>92.522242231659106</v>
      </c>
      <c r="AN8073">
        <v>0.99999996852543005</v>
      </c>
    </row>
    <row r="8074" spans="1:40" x14ac:dyDescent="0.25">
      <c r="A8074" t="str">
        <f>"20190312160524777"</f>
        <v>20190312160524777</v>
      </c>
      <c r="B8074" t="str">
        <f>"1552377924762764"</f>
        <v>1552377924762764</v>
      </c>
      <c r="C8074" t="s">
        <v>40</v>
      </c>
      <c r="D8074">
        <v>5.7545929999999998</v>
      </c>
      <c r="E8074">
        <v>0.50124079999999904</v>
      </c>
      <c r="F8074" t="s">
        <v>41</v>
      </c>
      <c r="G8074">
        <v>-187.79259999999999</v>
      </c>
      <c r="H8074" s="1">
        <v>-9.5428599999999995E-7</v>
      </c>
      <c r="I8074">
        <v>-19.273579999999999</v>
      </c>
      <c r="J8074">
        <v>-187.70480000000001</v>
      </c>
      <c r="K8074">
        <v>1.110681</v>
      </c>
      <c r="L8074">
        <v>-30.71622</v>
      </c>
      <c r="M8074">
        <v>2.8191709999999998E-2</v>
      </c>
      <c r="N8074">
        <v>0</v>
      </c>
      <c r="O8074">
        <v>0.99951259999999997</v>
      </c>
      <c r="P8074">
        <v>-1.5827999999999998E-2</v>
      </c>
      <c r="Q8074">
        <v>4.3051539999999999E-2</v>
      </c>
      <c r="R8074">
        <v>0.99894740000000004</v>
      </c>
      <c r="S8074">
        <v>-2.1514889999999998E-2</v>
      </c>
      <c r="T8074">
        <v>-0.28780440000000002</v>
      </c>
      <c r="U8074">
        <v>3.0155029999999998</v>
      </c>
      <c r="V8074">
        <v>-4.4021810000000001E-2</v>
      </c>
      <c r="W8074">
        <v>5.6408319999999998E-2</v>
      </c>
      <c r="X8074">
        <v>0.99743680000000001</v>
      </c>
      <c r="Y8074">
        <v>-3.5292999999999998E-2</v>
      </c>
      <c r="Z8074">
        <v>-9.4922450000000005E-2</v>
      </c>
      <c r="AA8074">
        <v>0.99485889999999999</v>
      </c>
      <c r="AB8074">
        <v>19</v>
      </c>
      <c r="AC8074">
        <v>-8.7799999999987194E-2</v>
      </c>
      <c r="AD8074">
        <v>-1.110681954286</v>
      </c>
      <c r="AE8074">
        <v>11.4426399999999</v>
      </c>
      <c r="AF8074">
        <v>-0.40655152705007302</v>
      </c>
      <c r="AG8074">
        <v>-1.110681954286</v>
      </c>
      <c r="AH8074">
        <v>11.3288851696345</v>
      </c>
      <c r="AI8074">
        <v>95.595794930279297</v>
      </c>
      <c r="AJ8074">
        <v>92.055250329414804</v>
      </c>
      <c r="AK8074">
        <v>11.390458188083899</v>
      </c>
      <c r="AL8074">
        <v>86.766324896090197</v>
      </c>
      <c r="AM8074">
        <v>92.527105608230102</v>
      </c>
      <c r="AN8074">
        <v>0.99999999415756902</v>
      </c>
    </row>
    <row r="8075" spans="1:40" x14ac:dyDescent="0.25">
      <c r="A8075" t="str">
        <f>"20190312160524798"</f>
        <v>20190312160524798</v>
      </c>
      <c r="B8075" t="str">
        <f>"1552377924793019"</f>
        <v>1552377924793019</v>
      </c>
      <c r="C8075" t="s">
        <v>40</v>
      </c>
      <c r="D8075">
        <v>5.745844</v>
      </c>
      <c r="E8075">
        <v>0.50110790000000005</v>
      </c>
      <c r="F8075" t="s">
        <v>41</v>
      </c>
      <c r="G8075">
        <v>-187.80009999999999</v>
      </c>
      <c r="H8075" s="1">
        <v>-1.095212E-6</v>
      </c>
      <c r="I8075">
        <v>-18.8536</v>
      </c>
      <c r="J8075">
        <v>-187.7004</v>
      </c>
      <c r="K8075">
        <v>1.1106469999999999</v>
      </c>
      <c r="L8075">
        <v>-30.53622</v>
      </c>
      <c r="M8075">
        <v>2.765418E-2</v>
      </c>
      <c r="N8075">
        <v>0</v>
      </c>
      <c r="O8075">
        <v>0.99952759999999996</v>
      </c>
      <c r="P8075">
        <v>-1.6359249999999999E-2</v>
      </c>
      <c r="Q8075">
        <v>4.3429540000000003E-2</v>
      </c>
      <c r="R8075">
        <v>0.99892250000000005</v>
      </c>
      <c r="S8075">
        <v>-2.4230959999999999E-2</v>
      </c>
      <c r="T8075">
        <v>-0.28228629999999999</v>
      </c>
      <c r="U8075">
        <v>3.0149539999999999</v>
      </c>
      <c r="V8075">
        <v>-4.4012299999999997E-2</v>
      </c>
      <c r="W8075">
        <v>5.6786320000000001E-2</v>
      </c>
      <c r="X8075">
        <v>0.99741579999999996</v>
      </c>
      <c r="Y8075">
        <v>-3.5654390000000001E-2</v>
      </c>
      <c r="Z8075">
        <v>-9.3136490000000002E-2</v>
      </c>
      <c r="AA8075">
        <v>0.99501470000000003</v>
      </c>
      <c r="AB8075">
        <v>19</v>
      </c>
      <c r="AC8075">
        <v>-9.9699999999984301E-2</v>
      </c>
      <c r="AD8075">
        <v>-1.1106480952119999</v>
      </c>
      <c r="AE8075">
        <v>11.68262</v>
      </c>
      <c r="AF8075">
        <v>-0.41897774509131702</v>
      </c>
      <c r="AG8075">
        <v>-1.1106480952119999</v>
      </c>
      <c r="AH8075">
        <v>11.5708242873499</v>
      </c>
      <c r="AI8075">
        <v>95.479280344027103</v>
      </c>
      <c r="AJ8075">
        <v>92.073765227006803</v>
      </c>
      <c r="AK8075">
        <v>11.631554334267101</v>
      </c>
      <c r="AL8075">
        <v>86.744632415129601</v>
      </c>
      <c r="AM8075">
        <v>92.526613513237294</v>
      </c>
      <c r="AN8075">
        <v>1.0000000233900299</v>
      </c>
    </row>
    <row r="8076" spans="1:40" x14ac:dyDescent="0.25">
      <c r="A8076" t="str">
        <f>"20190312160524821"</f>
        <v>20190312160524821</v>
      </c>
      <c r="B8076" t="str">
        <f>"1552377924812539"</f>
        <v>1552377924812539</v>
      </c>
      <c r="C8076" t="s">
        <v>40</v>
      </c>
      <c r="D8076">
        <v>5.9187799999999999</v>
      </c>
      <c r="E8076">
        <v>0.50089589999999995</v>
      </c>
      <c r="F8076" t="s">
        <v>41</v>
      </c>
      <c r="G8076">
        <v>-187.8109</v>
      </c>
      <c r="H8076" s="1">
        <v>-1.3032479999999999E-6</v>
      </c>
      <c r="I8076">
        <v>-18.234490000000001</v>
      </c>
      <c r="J8076">
        <v>-187.69569999999999</v>
      </c>
      <c r="K8076">
        <v>1.1106180000000001</v>
      </c>
      <c r="L8076">
        <v>-30.343050000000002</v>
      </c>
      <c r="M8076">
        <v>2.7129480000000001E-2</v>
      </c>
      <c r="N8076">
        <v>0</v>
      </c>
      <c r="O8076">
        <v>0.99954200000000004</v>
      </c>
      <c r="P8076">
        <v>-1.669294E-2</v>
      </c>
      <c r="Q8076">
        <v>4.391287E-2</v>
      </c>
      <c r="R8076">
        <v>0.99889589999999995</v>
      </c>
      <c r="S8076">
        <v>-2.7069090000000001E-2</v>
      </c>
      <c r="T8076">
        <v>-0.27217150000000001</v>
      </c>
      <c r="U8076">
        <v>3.014618</v>
      </c>
      <c r="V8076">
        <v>-4.3817040000000002E-2</v>
      </c>
      <c r="W8076">
        <v>5.7270479999999999E-2</v>
      </c>
      <c r="X8076">
        <v>0.99739670000000002</v>
      </c>
      <c r="Y8076">
        <v>-3.6070079999999997E-2</v>
      </c>
      <c r="Z8076">
        <v>-8.9837539999999994E-2</v>
      </c>
      <c r="AA8076">
        <v>0.99530300000000005</v>
      </c>
      <c r="AB8076">
        <v>19</v>
      </c>
      <c r="AC8076">
        <v>-0.115200000000015</v>
      </c>
      <c r="AD8076">
        <v>-1.1106193032480001</v>
      </c>
      <c r="AE8076">
        <v>12.108560000000001</v>
      </c>
      <c r="AF8076">
        <v>-0.43998484876006899</v>
      </c>
      <c r="AG8076">
        <v>-1.1106193032480001</v>
      </c>
      <c r="AH8076">
        <v>12.000030922389801</v>
      </c>
      <c r="AI8076">
        <v>95.284208813028101</v>
      </c>
      <c r="AJ8076">
        <v>92.099826866800697</v>
      </c>
      <c r="AK8076">
        <v>12.059345091761701</v>
      </c>
      <c r="AL8076">
        <v>86.716846824271897</v>
      </c>
      <c r="AM8076">
        <v>92.515466762835601</v>
      </c>
      <c r="AN8076">
        <v>1.00000000902234</v>
      </c>
    </row>
    <row r="8077" spans="1:40" x14ac:dyDescent="0.25">
      <c r="A8077" t="str">
        <f>"20190312160524835"</f>
        <v>20190312160524835</v>
      </c>
      <c r="B8077" t="str">
        <f>"1552377924833035"</f>
        <v>1552377924833035</v>
      </c>
      <c r="C8077" t="s">
        <v>40</v>
      </c>
      <c r="D8077">
        <v>5.8735970000000002</v>
      </c>
      <c r="E8077">
        <v>0.5005233</v>
      </c>
      <c r="F8077" t="s">
        <v>41</v>
      </c>
      <c r="G8077">
        <v>-187.82230000000001</v>
      </c>
      <c r="H8077" s="1">
        <v>-1.60374E-6</v>
      </c>
      <c r="I8077">
        <v>-17.52929</v>
      </c>
      <c r="J8077">
        <v>-187.69290000000001</v>
      </c>
      <c r="K8077">
        <v>1.110592</v>
      </c>
      <c r="L8077">
        <v>-30.223880000000001</v>
      </c>
      <c r="M8077">
        <v>2.6835270000000001E-2</v>
      </c>
      <c r="N8077">
        <v>0</v>
      </c>
      <c r="O8077">
        <v>0.99955000000000005</v>
      </c>
      <c r="P8077">
        <v>-1.6767959999999998E-2</v>
      </c>
      <c r="Q8077">
        <v>4.4128199999999999E-2</v>
      </c>
      <c r="R8077">
        <v>0.99888520000000003</v>
      </c>
      <c r="S8077">
        <v>-2.9785160000000001E-2</v>
      </c>
      <c r="T8077">
        <v>-0.26126240000000001</v>
      </c>
      <c r="U8077">
        <v>3.014313</v>
      </c>
      <c r="V8077">
        <v>-4.359582E-2</v>
      </c>
      <c r="W8077">
        <v>5.7486120000000002E-2</v>
      </c>
      <c r="X8077">
        <v>0.997394</v>
      </c>
      <c r="Y8077">
        <v>-3.6676689999999998E-2</v>
      </c>
      <c r="Z8077">
        <v>-8.6272459999999995E-2</v>
      </c>
      <c r="AA8077">
        <v>0.99559620000000004</v>
      </c>
      <c r="AB8077">
        <v>19</v>
      </c>
      <c r="AC8077">
        <v>-0.12940000000000301</v>
      </c>
      <c r="AD8077">
        <v>-1.1105936037399999</v>
      </c>
      <c r="AE8077">
        <v>12.6945899999999</v>
      </c>
      <c r="AF8077">
        <v>-0.46647683225943398</v>
      </c>
      <c r="AG8077">
        <v>-1.1105936037399999</v>
      </c>
      <c r="AH8077">
        <v>12.5901927813012</v>
      </c>
      <c r="AI8077">
        <v>95.037631612792694</v>
      </c>
      <c r="AJ8077">
        <v>92.121884409985796</v>
      </c>
      <c r="AK8077">
        <v>12.6476864705776</v>
      </c>
      <c r="AL8077">
        <v>86.704471211137303</v>
      </c>
      <c r="AM8077">
        <v>92.5027898299263</v>
      </c>
      <c r="AN8077">
        <v>1.0000000203750601</v>
      </c>
    </row>
    <row r="8078" spans="1:40" x14ac:dyDescent="0.25">
      <c r="A8078" t="str">
        <f>"20190312160524854"</f>
        <v>20190312160524854</v>
      </c>
      <c r="B8078" t="str">
        <f>"1552377924842794"</f>
        <v>1552377924842794</v>
      </c>
      <c r="C8078" t="s">
        <v>40</v>
      </c>
      <c r="D8078">
        <v>5.9917860000000003</v>
      </c>
      <c r="E8078">
        <v>0.50036130000000001</v>
      </c>
      <c r="F8078" t="s">
        <v>41</v>
      </c>
      <c r="G8078">
        <v>-187.8398</v>
      </c>
      <c r="H8078" s="1">
        <v>-1.8527010000000001E-6</v>
      </c>
      <c r="I8078">
        <v>-16.941739999999999</v>
      </c>
      <c r="J8078">
        <v>-187.6892</v>
      </c>
      <c r="K8078">
        <v>1.1105609999999999</v>
      </c>
      <c r="L8078">
        <v>-30.070430000000002</v>
      </c>
      <c r="M8078">
        <v>2.6488370000000001E-2</v>
      </c>
      <c r="N8078">
        <v>0</v>
      </c>
      <c r="O8078">
        <v>0.99955919999999998</v>
      </c>
      <c r="P8078">
        <v>-1.60643E-2</v>
      </c>
      <c r="Q8078">
        <v>4.4061169999999997E-2</v>
      </c>
      <c r="R8078">
        <v>0.99889969999999995</v>
      </c>
      <c r="S8078">
        <v>-3.3340450000000001E-2</v>
      </c>
      <c r="T8078">
        <v>-0.25201030000000002</v>
      </c>
      <c r="U8078">
        <v>3.013916</v>
      </c>
      <c r="V8078">
        <v>-4.2542509999999999E-2</v>
      </c>
      <c r="W8078">
        <v>5.7421380000000001E-2</v>
      </c>
      <c r="X8078">
        <v>0.99744319999999997</v>
      </c>
      <c r="Y8078">
        <v>-3.7508310000000003E-2</v>
      </c>
      <c r="Z8078">
        <v>-8.3249110000000001E-2</v>
      </c>
      <c r="AA8078">
        <v>0.9958226</v>
      </c>
      <c r="AB8078">
        <v>19</v>
      </c>
      <c r="AC8078">
        <v>-0.15059999999999699</v>
      </c>
      <c r="AD8078">
        <v>-1.1105628527010001</v>
      </c>
      <c r="AE8078">
        <v>13.128690000000001</v>
      </c>
      <c r="AF8078">
        <v>-0.49479593417199202</v>
      </c>
      <c r="AG8078">
        <v>-1.1105628527010001</v>
      </c>
      <c r="AH8078">
        <v>13.0268906843128</v>
      </c>
      <c r="AI8078">
        <v>94.869278742766298</v>
      </c>
      <c r="AJ8078">
        <v>92.175200361411399</v>
      </c>
      <c r="AK8078">
        <v>13.0835031152711</v>
      </c>
      <c r="AL8078">
        <v>86.708186638451807</v>
      </c>
      <c r="AM8078">
        <v>92.442274223024796</v>
      </c>
      <c r="AN8078">
        <v>1.00000000863222</v>
      </c>
    </row>
    <row r="8079" spans="1:40" x14ac:dyDescent="0.25">
      <c r="A8079" t="str">
        <f>"20190312160524869"</f>
        <v>20190312160524869</v>
      </c>
      <c r="B8079" t="str">
        <f>"1552377924863291"</f>
        <v>1552377924863291</v>
      </c>
      <c r="C8079" t="s">
        <v>40</v>
      </c>
      <c r="D8079">
        <v>5.8845349999999996</v>
      </c>
      <c r="E8079">
        <v>0.49992500000000001</v>
      </c>
      <c r="F8079" t="s">
        <v>41</v>
      </c>
      <c r="G8079">
        <v>-187.83529999999999</v>
      </c>
      <c r="H8079" s="1">
        <v>-1.9865369999999999E-6</v>
      </c>
      <c r="I8079">
        <v>-16.631629999999902</v>
      </c>
      <c r="J8079">
        <v>-187.68629999999999</v>
      </c>
      <c r="K8079">
        <v>1.1105320000000001</v>
      </c>
      <c r="L8079">
        <v>-29.949739999999998</v>
      </c>
      <c r="M8079">
        <v>2.623934E-2</v>
      </c>
      <c r="N8079">
        <v>0</v>
      </c>
      <c r="O8079">
        <v>0.99956579999999995</v>
      </c>
      <c r="P8079">
        <v>-1.5828720000000001E-2</v>
      </c>
      <c r="Q8079">
        <v>4.400888E-2</v>
      </c>
      <c r="R8079">
        <v>0.99890570000000001</v>
      </c>
      <c r="S8079">
        <v>-3.2760619999999997E-2</v>
      </c>
      <c r="T8079">
        <v>-0.24905289999999999</v>
      </c>
      <c r="U8079">
        <v>3.013763</v>
      </c>
      <c r="V8079">
        <v>-4.2054649999999999E-2</v>
      </c>
      <c r="W8079">
        <v>5.7370450000000003E-2</v>
      </c>
      <c r="X8079">
        <v>0.99746679999999999</v>
      </c>
      <c r="Y8079">
        <v>-3.7069199999999997E-2</v>
      </c>
      <c r="Z8079">
        <v>-8.2284529999999995E-2</v>
      </c>
      <c r="AA8079">
        <v>0.9959192</v>
      </c>
      <c r="AB8079">
        <v>19</v>
      </c>
      <c r="AC8079">
        <v>-0.14899999999999999</v>
      </c>
      <c r="AD8079">
        <v>-1.1105339865369901</v>
      </c>
      <c r="AE8079">
        <v>13.318110000000001</v>
      </c>
      <c r="AF8079">
        <v>-0.49499717506294</v>
      </c>
      <c r="AG8079">
        <v>-1.1105339865369901</v>
      </c>
      <c r="AH8079">
        <v>13.2177209524526</v>
      </c>
      <c r="AI8079">
        <v>94.799281257586799</v>
      </c>
      <c r="AJ8079">
        <v>92.144696630298597</v>
      </c>
      <c r="AK8079">
        <v>13.273524592792899</v>
      </c>
      <c r="AL8079">
        <v>86.711109468250797</v>
      </c>
      <c r="AM8079">
        <v>92.414243504846397</v>
      </c>
      <c r="AN8079">
        <v>0.99999998961103198</v>
      </c>
    </row>
    <row r="8080" spans="1:40" x14ac:dyDescent="0.25">
      <c r="A8080" t="str">
        <f>"20190312160524888"</f>
        <v>20190312160524888</v>
      </c>
      <c r="B8080" t="str">
        <f>"1552377924882810"</f>
        <v>1552377924882810</v>
      </c>
      <c r="C8080" t="s">
        <v>40</v>
      </c>
      <c r="D8080">
        <v>5.8391690000000001</v>
      </c>
      <c r="E8080">
        <v>0.49960070000000001</v>
      </c>
      <c r="F8080" t="s">
        <v>41</v>
      </c>
      <c r="G8080">
        <v>-187.8492</v>
      </c>
      <c r="H8080" s="1">
        <v>-2.1422789999999999E-6</v>
      </c>
      <c r="I8080">
        <v>-16.26285</v>
      </c>
      <c r="J8080">
        <v>-187.6825</v>
      </c>
      <c r="K8080">
        <v>1.110501</v>
      </c>
      <c r="L8080">
        <v>-29.791229999999999</v>
      </c>
      <c r="M8080">
        <v>2.595157E-2</v>
      </c>
      <c r="N8080">
        <v>0</v>
      </c>
      <c r="O8080">
        <v>0.9995733</v>
      </c>
      <c r="P8080">
        <v>-1.489475E-2</v>
      </c>
      <c r="Q8080">
        <v>4.3572640000000003E-2</v>
      </c>
      <c r="R8080">
        <v>0.99893920000000003</v>
      </c>
      <c r="S8080">
        <v>-3.5858149999999998E-2</v>
      </c>
      <c r="T8080">
        <v>-0.24451010000000001</v>
      </c>
      <c r="U8080">
        <v>3.0134889999999999</v>
      </c>
      <c r="V8080">
        <v>-4.0830409999999998E-2</v>
      </c>
      <c r="W8080">
        <v>5.6936279999999999E-2</v>
      </c>
      <c r="X8080">
        <v>0.99754259999999995</v>
      </c>
      <c r="Y8080">
        <v>-3.7807479999999997E-2</v>
      </c>
      <c r="Z8080">
        <v>-8.0800150000000001E-2</v>
      </c>
      <c r="AA8080">
        <v>0.99601300000000004</v>
      </c>
      <c r="AB8080">
        <v>19</v>
      </c>
      <c r="AC8080">
        <v>-0.16669999999999099</v>
      </c>
      <c r="AD8080">
        <v>-1.1105031422789999</v>
      </c>
      <c r="AE8080">
        <v>13.52838</v>
      </c>
      <c r="AF8080">
        <v>-0.51429318417516501</v>
      </c>
      <c r="AG8080">
        <v>-1.1105031422789999</v>
      </c>
      <c r="AH8080">
        <v>13.429021773244999</v>
      </c>
      <c r="AI8080">
        <v>94.723829424479007</v>
      </c>
      <c r="AJ8080">
        <v>92.193192921767405</v>
      </c>
      <c r="AK8080">
        <v>13.4846705741961</v>
      </c>
      <c r="AL8080">
        <v>86.736026505343403</v>
      </c>
      <c r="AM8080">
        <v>92.343864853265202</v>
      </c>
      <c r="AN8080">
        <v>1.0000000505878801</v>
      </c>
    </row>
    <row r="8081" spans="1:40" x14ac:dyDescent="0.25">
      <c r="A8081" t="str">
        <f>"20190312160524910"</f>
        <v>20190312160524910</v>
      </c>
      <c r="B8081" t="str">
        <f>"1552377924903306"</f>
        <v>1552377924903306</v>
      </c>
      <c r="C8081" t="s">
        <v>40</v>
      </c>
      <c r="D8081">
        <v>5.9427450000000004</v>
      </c>
      <c r="E8081">
        <v>0.49928</v>
      </c>
      <c r="F8081" t="s">
        <v>41</v>
      </c>
      <c r="G8081">
        <v>-187.84790000000001</v>
      </c>
      <c r="H8081" s="1">
        <v>-2.2657409999999998E-6</v>
      </c>
      <c r="I8081">
        <v>-15.975580000000001</v>
      </c>
      <c r="J8081">
        <v>-187.6782</v>
      </c>
      <c r="K8081">
        <v>1.1104620000000001</v>
      </c>
      <c r="L8081">
        <v>-29.612369999999999</v>
      </c>
      <c r="M8081">
        <v>2.5675719999999999E-2</v>
      </c>
      <c r="N8081">
        <v>0</v>
      </c>
      <c r="O8081">
        <v>0.99958049999999998</v>
      </c>
      <c r="P8081">
        <v>-1.3197199999999999E-2</v>
      </c>
      <c r="Q8081">
        <v>4.3527150000000001E-2</v>
      </c>
      <c r="R8081">
        <v>0.99896510000000005</v>
      </c>
      <c r="S8081">
        <v>-3.6071779999999998E-2</v>
      </c>
      <c r="T8081">
        <v>-0.24220240000000001</v>
      </c>
      <c r="U8081">
        <v>3.0132140000000001</v>
      </c>
      <c r="V8081">
        <v>-3.8854510000000002E-2</v>
      </c>
      <c r="W8081">
        <v>5.6892959999999999E-2</v>
      </c>
      <c r="X8081">
        <v>0.99762390000000001</v>
      </c>
      <c r="Y8081">
        <v>-3.7604119999999998E-2</v>
      </c>
      <c r="Z8081">
        <v>-8.005089E-2</v>
      </c>
      <c r="AA8081">
        <v>0.9960812</v>
      </c>
      <c r="AB8081">
        <v>18</v>
      </c>
      <c r="AC8081">
        <v>-0.16970000000000501</v>
      </c>
      <c r="AD8081">
        <v>-1.110464265741</v>
      </c>
      <c r="AE8081">
        <v>13.63679</v>
      </c>
      <c r="AF8081">
        <v>-0.51638621591348599</v>
      </c>
      <c r="AG8081">
        <v>-1.110464265741</v>
      </c>
      <c r="AH8081">
        <v>13.538176954958599</v>
      </c>
      <c r="AI8081">
        <v>94.685776711358002</v>
      </c>
      <c r="AJ8081">
        <v>92.184372012064998</v>
      </c>
      <c r="AK8081">
        <v>13.593455074896999</v>
      </c>
      <c r="AL8081">
        <v>86.738512304997101</v>
      </c>
      <c r="AM8081">
        <v>92.230374433578007</v>
      </c>
      <c r="AN8081">
        <v>0.99999996384805501</v>
      </c>
    </row>
    <row r="8082" spans="1:40" x14ac:dyDescent="0.25">
      <c r="A8082" t="str">
        <f>"20190312160524932"</f>
        <v>20190312160524932</v>
      </c>
      <c r="B8082" t="str">
        <f>"1552377924922827"</f>
        <v>1552377924922827</v>
      </c>
      <c r="C8082" t="s">
        <v>40</v>
      </c>
      <c r="D8082">
        <v>5.9863670000000004</v>
      </c>
      <c r="E8082">
        <v>0.49910510000000002</v>
      </c>
      <c r="F8082" t="s">
        <v>41</v>
      </c>
      <c r="G8082">
        <v>-187.8348</v>
      </c>
      <c r="H8082" s="1">
        <v>-2.4536269999999998E-6</v>
      </c>
      <c r="I8082">
        <v>-15.5430299999999</v>
      </c>
      <c r="J8082">
        <v>-187.6738</v>
      </c>
      <c r="K8082">
        <v>1.110441</v>
      </c>
      <c r="L8082">
        <v>-29.429500000000001</v>
      </c>
      <c r="M8082">
        <v>2.5439719999999999E-2</v>
      </c>
      <c r="N8082">
        <v>0</v>
      </c>
      <c r="O8082">
        <v>0.99958659999999999</v>
      </c>
      <c r="P8082">
        <v>-1.1986719999999999E-2</v>
      </c>
      <c r="Q8082">
        <v>4.3467029999999997E-2</v>
      </c>
      <c r="R8082">
        <v>0.99898299999999995</v>
      </c>
      <c r="S8082">
        <v>-3.3538819999999997E-2</v>
      </c>
      <c r="T8082">
        <v>-0.23781250000000001</v>
      </c>
      <c r="U8082">
        <v>3.0130309999999998</v>
      </c>
      <c r="V8082">
        <v>-3.7405609999999999E-2</v>
      </c>
      <c r="W8082">
        <v>5.6833929999999998E-2</v>
      </c>
      <c r="X8082">
        <v>0.99768270000000003</v>
      </c>
      <c r="Y8082">
        <v>-3.65329E-2</v>
      </c>
      <c r="Z8082">
        <v>-7.8616430000000001E-2</v>
      </c>
      <c r="AA8082">
        <v>0.99623530000000005</v>
      </c>
      <c r="AB8082">
        <v>18</v>
      </c>
      <c r="AC8082">
        <v>-0.161000000000001</v>
      </c>
      <c r="AD8082">
        <v>-1.110443453627</v>
      </c>
      <c r="AE8082">
        <v>13.886469999999999</v>
      </c>
      <c r="AF8082">
        <v>-0.510980449285382</v>
      </c>
      <c r="AG8082">
        <v>-1.110443453627</v>
      </c>
      <c r="AH8082">
        <v>13.789711799907399</v>
      </c>
      <c r="AI8082">
        <v>94.600776117235</v>
      </c>
      <c r="AJ8082">
        <v>92.122135302058695</v>
      </c>
      <c r="AK8082">
        <v>13.8437833415494</v>
      </c>
      <c r="AL8082">
        <v>86.741900147847502</v>
      </c>
      <c r="AM8082">
        <v>92.147155818373406</v>
      </c>
      <c r="AN8082">
        <v>1.000000022569</v>
      </c>
    </row>
    <row r="8083" spans="1:40" x14ac:dyDescent="0.25">
      <c r="A8083" t="str">
        <f>"20190312160524955"</f>
        <v>20190312160524955</v>
      </c>
      <c r="B8083" t="str">
        <f>"1552377924943322"</f>
        <v>1552377924943322</v>
      </c>
      <c r="C8083" t="s">
        <v>40</v>
      </c>
      <c r="D8083">
        <v>5.9876959999999997</v>
      </c>
      <c r="E8083">
        <v>0.49893189999999998</v>
      </c>
      <c r="F8083" t="s">
        <v>41</v>
      </c>
      <c r="G8083">
        <v>-187.8263</v>
      </c>
      <c r="H8083" s="1">
        <v>-2.6643390000000001E-6</v>
      </c>
      <c r="I8083">
        <v>-15.05536</v>
      </c>
      <c r="J8083">
        <v>-187.66929999999999</v>
      </c>
      <c r="K8083">
        <v>1.1104240000000001</v>
      </c>
      <c r="L8083">
        <v>-29.243040000000001</v>
      </c>
      <c r="M8083">
        <v>2.5238030000000002E-2</v>
      </c>
      <c r="N8083">
        <v>0</v>
      </c>
      <c r="O8083">
        <v>0.99959169999999997</v>
      </c>
      <c r="P8083">
        <v>-1.155962E-2</v>
      </c>
      <c r="Q8083">
        <v>4.412584E-2</v>
      </c>
      <c r="R8083">
        <v>0.99895909999999999</v>
      </c>
      <c r="S8083">
        <v>-3.1967160000000001E-2</v>
      </c>
      <c r="T8083">
        <v>-0.23274639999999999</v>
      </c>
      <c r="U8083">
        <v>3.0127869999999999</v>
      </c>
      <c r="V8083">
        <v>-3.6773880000000002E-2</v>
      </c>
      <c r="W8083">
        <v>5.749137E-2</v>
      </c>
      <c r="X8083">
        <v>0.99766849999999996</v>
      </c>
      <c r="Y8083">
        <v>-3.5813890000000001E-2</v>
      </c>
      <c r="Z8083">
        <v>-7.6959710000000001E-2</v>
      </c>
      <c r="AA8083">
        <v>0.99639080000000002</v>
      </c>
      <c r="AB8083">
        <v>18</v>
      </c>
      <c r="AC8083">
        <v>-0.15700000000000999</v>
      </c>
      <c r="AD8083">
        <v>-1.1104266643389999</v>
      </c>
      <c r="AE8083">
        <v>14.187679999999901</v>
      </c>
      <c r="AF8083">
        <v>-0.51191574438919596</v>
      </c>
      <c r="AG8083">
        <v>-1.1104266643389999</v>
      </c>
      <c r="AH8083">
        <v>14.092878832947701</v>
      </c>
      <c r="AI8083">
        <v>94.502267497978494</v>
      </c>
      <c r="AJ8083">
        <v>92.080321695947205</v>
      </c>
      <c r="AK8083">
        <v>14.1458240801438</v>
      </c>
      <c r="AL8083">
        <v>86.704169862181004</v>
      </c>
      <c r="AM8083">
        <v>92.110956375064006</v>
      </c>
      <c r="AN8083">
        <v>1.0000000058834899</v>
      </c>
    </row>
    <row r="8084" spans="1:40" x14ac:dyDescent="0.25">
      <c r="A8084" t="str">
        <f>"20190312160524978"</f>
        <v>20190312160524978</v>
      </c>
      <c r="B8084" t="str">
        <f>"1552377924972602"</f>
        <v>1552377924972602</v>
      </c>
      <c r="C8084" t="s">
        <v>40</v>
      </c>
      <c r="D8084">
        <v>6.0759449999999999</v>
      </c>
      <c r="E8084">
        <v>0.49875029999999998</v>
      </c>
      <c r="F8084" t="s">
        <v>41</v>
      </c>
      <c r="G8084">
        <v>-187.82640000000001</v>
      </c>
      <c r="H8084" s="1">
        <v>-2.917022E-6</v>
      </c>
      <c r="I8084">
        <v>-14.466329999999999</v>
      </c>
      <c r="J8084">
        <v>-187.66470000000001</v>
      </c>
      <c r="K8084">
        <v>1.1104099999999999</v>
      </c>
      <c r="L8084">
        <v>-29.051269999999999</v>
      </c>
      <c r="M8084">
        <v>2.5063490000000001E-2</v>
      </c>
      <c r="N8084">
        <v>0</v>
      </c>
      <c r="O8084">
        <v>0.99959620000000005</v>
      </c>
      <c r="P8084">
        <v>-1.1633859999999999E-2</v>
      </c>
      <c r="Q8084">
        <v>4.43951E-2</v>
      </c>
      <c r="R8084">
        <v>0.99894629999999995</v>
      </c>
      <c r="S8084">
        <v>-3.2012939999999997E-2</v>
      </c>
      <c r="T8084">
        <v>-0.22639999999999999</v>
      </c>
      <c r="U8084">
        <v>3.012756</v>
      </c>
      <c r="V8084">
        <v>-3.6671969999999998E-2</v>
      </c>
      <c r="W8084">
        <v>5.7759379999999999E-2</v>
      </c>
      <c r="X8084">
        <v>0.99765680000000001</v>
      </c>
      <c r="Y8084">
        <v>-3.5656319999999998E-2</v>
      </c>
      <c r="Z8084">
        <v>-7.4874640000000006E-2</v>
      </c>
      <c r="AA8084">
        <v>0.99655530000000003</v>
      </c>
      <c r="AB8084">
        <v>18</v>
      </c>
      <c r="AC8084">
        <v>-0.16169999999999601</v>
      </c>
      <c r="AD8084">
        <v>-1.1104129170219901</v>
      </c>
      <c r="AE8084">
        <v>14.58494</v>
      </c>
      <c r="AF8084">
        <v>-0.52419339012304</v>
      </c>
      <c r="AG8084">
        <v>-1.1104129170219901</v>
      </c>
      <c r="AH8084">
        <v>14.492311182916501</v>
      </c>
      <c r="AI8084">
        <v>94.3786371680999</v>
      </c>
      <c r="AJ8084">
        <v>92.071510949848999</v>
      </c>
      <c r="AK8084">
        <v>14.5442386868143</v>
      </c>
      <c r="AL8084">
        <v>86.688788557167697</v>
      </c>
      <c r="AM8084">
        <v>92.105136301090397</v>
      </c>
      <c r="AN8084">
        <v>1.00000003497395</v>
      </c>
    </row>
    <row r="8085" spans="1:40" x14ac:dyDescent="0.25">
      <c r="A8085" t="str">
        <f>"20190312160525000"</f>
        <v>20190312160525000</v>
      </c>
      <c r="B8085" t="str">
        <f>"1552377924993098"</f>
        <v>1552377924993098</v>
      </c>
      <c r="C8085" t="s">
        <v>40</v>
      </c>
      <c r="D8085">
        <v>6.0769609999999998</v>
      </c>
      <c r="E8085">
        <v>0.49853589999999998</v>
      </c>
      <c r="F8085" t="s">
        <v>41</v>
      </c>
      <c r="G8085">
        <v>-187.8329</v>
      </c>
      <c r="H8085" s="1">
        <v>-3.140237E-6</v>
      </c>
      <c r="I8085">
        <v>-13.943300000000001</v>
      </c>
      <c r="J8085">
        <v>-187.6602</v>
      </c>
      <c r="K8085">
        <v>1.1104019999999999</v>
      </c>
      <c r="L8085">
        <v>-28.864139999999999</v>
      </c>
      <c r="M8085">
        <v>2.4917100000000001E-2</v>
      </c>
      <c r="N8085">
        <v>0</v>
      </c>
      <c r="O8085">
        <v>0.99959980000000004</v>
      </c>
      <c r="P8085">
        <v>-1.189313E-2</v>
      </c>
      <c r="Q8085">
        <v>4.370371E-2</v>
      </c>
      <c r="R8085">
        <v>0.99897369999999996</v>
      </c>
      <c r="S8085">
        <v>-3.3538819999999997E-2</v>
      </c>
      <c r="T8085">
        <v>-0.2214217</v>
      </c>
      <c r="U8085">
        <v>3.0126040000000001</v>
      </c>
      <c r="V8085">
        <v>-3.6784280000000003E-2</v>
      </c>
      <c r="W8085">
        <v>5.7067199999999998E-2</v>
      </c>
      <c r="X8085">
        <v>0.99769249999999998</v>
      </c>
      <c r="Y8085">
        <v>-3.6016550000000001E-2</v>
      </c>
      <c r="Z8085">
        <v>-7.324058E-2</v>
      </c>
      <c r="AA8085">
        <v>0.99666370000000004</v>
      </c>
      <c r="AB8085">
        <v>18</v>
      </c>
      <c r="AC8085">
        <v>-0.172699999999991</v>
      </c>
      <c r="AD8085">
        <v>-1.1104051402370001</v>
      </c>
      <c r="AE8085">
        <v>14.92084</v>
      </c>
      <c r="AF8085">
        <v>-0.54146538701810099</v>
      </c>
      <c r="AG8085">
        <v>-1.1104051402370001</v>
      </c>
      <c r="AH8085">
        <v>14.8297822269182</v>
      </c>
      <c r="AI8085">
        <v>94.279287288350801</v>
      </c>
      <c r="AJ8085">
        <v>92.091056078321301</v>
      </c>
      <c r="AK8085">
        <v>14.8811499971817</v>
      </c>
      <c r="AL8085">
        <v>86.728513080173599</v>
      </c>
      <c r="AM8085">
        <v>92.111502084599906</v>
      </c>
      <c r="AN8085">
        <v>1.0000000365635999</v>
      </c>
    </row>
    <row r="8086" spans="1:40" x14ac:dyDescent="0.25">
      <c r="A8086" t="str">
        <f>"20190312160525023"</f>
        <v>20190312160525023</v>
      </c>
      <c r="B8086" t="str">
        <f>"1552377925012619"</f>
        <v>1552377925012619</v>
      </c>
      <c r="C8086" t="s">
        <v>40</v>
      </c>
      <c r="D8086">
        <v>6.0644669999999996</v>
      </c>
      <c r="E8086">
        <v>0.49872339999999998</v>
      </c>
      <c r="F8086" t="s">
        <v>41</v>
      </c>
      <c r="G8086">
        <v>-187.84520000000001</v>
      </c>
      <c r="H8086" s="1">
        <v>-3.2739690000000001E-6</v>
      </c>
      <c r="I8086">
        <v>-13.62649</v>
      </c>
      <c r="J8086">
        <v>-187.6559</v>
      </c>
      <c r="K8086">
        <v>1.1103940000000001</v>
      </c>
      <c r="L8086">
        <v>-28.681699999999999</v>
      </c>
      <c r="M8086">
        <v>2.4789599999999998E-2</v>
      </c>
      <c r="N8086">
        <v>0</v>
      </c>
      <c r="O8086">
        <v>0.99960300000000002</v>
      </c>
      <c r="P8086">
        <v>-1.165589E-2</v>
      </c>
      <c r="Q8086">
        <v>4.2543329999999997E-2</v>
      </c>
      <c r="R8086">
        <v>0.99902670000000005</v>
      </c>
      <c r="S8086">
        <v>-3.6560059999999998E-2</v>
      </c>
      <c r="T8086">
        <v>-0.21950919999999999</v>
      </c>
      <c r="U8086">
        <v>3.012238</v>
      </c>
      <c r="V8086">
        <v>-3.6420830000000001E-2</v>
      </c>
      <c r="W8086">
        <v>5.5906530000000003E-2</v>
      </c>
      <c r="X8086">
        <v>0.99777150000000003</v>
      </c>
      <c r="Y8086">
        <v>-3.6890470000000002E-2</v>
      </c>
      <c r="Z8086">
        <v>-7.2618870000000002E-2</v>
      </c>
      <c r="AA8086">
        <v>0.99667729999999999</v>
      </c>
      <c r="AB8086">
        <v>18</v>
      </c>
      <c r="AC8086">
        <v>-0.18930000000000199</v>
      </c>
      <c r="AD8086">
        <v>-1.110397273969</v>
      </c>
      <c r="AE8086">
        <v>15.055210000000001</v>
      </c>
      <c r="AF8086">
        <v>-0.55944512613741904</v>
      </c>
      <c r="AG8086">
        <v>-1.110397273969</v>
      </c>
      <c r="AH8086">
        <v>14.9644984218844</v>
      </c>
      <c r="AI8086">
        <v>94.240738668357494</v>
      </c>
      <c r="AJ8086">
        <v>92.1409955161064</v>
      </c>
      <c r="AK8086">
        <v>15.016063864201399</v>
      </c>
      <c r="AL8086">
        <v>86.795120779536703</v>
      </c>
      <c r="AM8086">
        <v>92.0904924422791</v>
      </c>
      <c r="AN8086">
        <v>0.99999999158338904</v>
      </c>
    </row>
    <row r="8087" spans="1:40" x14ac:dyDescent="0.25">
      <c r="A8087" t="str">
        <f>"20190312160525045"</f>
        <v>20190312160525045</v>
      </c>
      <c r="B8087" t="str">
        <f>"1552377925033118"</f>
        <v>1552377925033118</v>
      </c>
      <c r="C8087" t="s">
        <v>40</v>
      </c>
      <c r="D8087">
        <v>6.0409480000000002</v>
      </c>
      <c r="E8087">
        <v>0.49854179999999998</v>
      </c>
      <c r="F8087" t="s">
        <v>41</v>
      </c>
      <c r="G8087">
        <v>-187.82929999999999</v>
      </c>
      <c r="H8087" s="1">
        <v>-3.2349390000000002E-6</v>
      </c>
      <c r="I8087">
        <v>-13.72404</v>
      </c>
      <c r="J8087">
        <v>-187.6516</v>
      </c>
      <c r="K8087">
        <v>1.1103889999999901</v>
      </c>
      <c r="L8087">
        <v>-28.503080000000001</v>
      </c>
      <c r="M8087">
        <v>2.467252E-2</v>
      </c>
      <c r="N8087">
        <v>0</v>
      </c>
      <c r="O8087">
        <v>0.99960599999999999</v>
      </c>
      <c r="P8087">
        <v>-1.17734E-2</v>
      </c>
      <c r="Q8087">
        <v>4.2128239999999997E-2</v>
      </c>
      <c r="R8087">
        <v>0.99904289999999996</v>
      </c>
      <c r="S8087">
        <v>-3.4927369999999999E-2</v>
      </c>
      <c r="T8087">
        <v>-0.22360060000000001</v>
      </c>
      <c r="U8087">
        <v>3.0120239999999998</v>
      </c>
      <c r="V8087">
        <v>-3.6421210000000002E-2</v>
      </c>
      <c r="W8087">
        <v>5.5489459999999997E-2</v>
      </c>
      <c r="X8087">
        <v>0.99779470000000003</v>
      </c>
      <c r="Y8087">
        <v>-3.623295E-2</v>
      </c>
      <c r="Z8087">
        <v>-7.3971729999999999E-2</v>
      </c>
      <c r="AA8087">
        <v>0.99660190000000004</v>
      </c>
      <c r="AB8087">
        <v>18</v>
      </c>
      <c r="AC8087">
        <v>-0.17769999999998701</v>
      </c>
      <c r="AD8087">
        <v>-1.1103922349390001</v>
      </c>
      <c r="AE8087">
        <v>14.779039999999901</v>
      </c>
      <c r="AF8087">
        <v>-0.53927099600152295</v>
      </c>
      <c r="AG8087">
        <v>-1.1103922349390001</v>
      </c>
      <c r="AH8087">
        <v>14.687258652860001</v>
      </c>
      <c r="AI8087">
        <v>94.320574259593101</v>
      </c>
      <c r="AJ8087">
        <v>92.102780320590398</v>
      </c>
      <c r="AK8087">
        <v>14.7390417211755</v>
      </c>
      <c r="AL8087">
        <v>86.819054068458499</v>
      </c>
      <c r="AM8087">
        <v>92.090465670269793</v>
      </c>
      <c r="AN8087">
        <v>0.99999992402852</v>
      </c>
    </row>
    <row r="8088" spans="1:40" x14ac:dyDescent="0.25">
      <c r="A8088" t="str">
        <f>"20190312160525065"</f>
        <v>20190312160525065</v>
      </c>
      <c r="B8088" t="str">
        <f>"1552377925052642"</f>
        <v>1552377925052642</v>
      </c>
      <c r="C8088" t="s">
        <v>40</v>
      </c>
      <c r="D8088">
        <v>5.9295229999999997</v>
      </c>
      <c r="E8088">
        <v>0.49843460000000001</v>
      </c>
      <c r="F8088" t="s">
        <v>41</v>
      </c>
      <c r="G8088">
        <v>-187.83629999999999</v>
      </c>
      <c r="H8088" s="1">
        <v>-3.3788709999999998E-6</v>
      </c>
      <c r="I8088">
        <v>-13.385630000000001</v>
      </c>
      <c r="J8088">
        <v>-187.64769999999999</v>
      </c>
      <c r="K8088">
        <v>1.1103889999999901</v>
      </c>
      <c r="L8088">
        <v>-28.340209999999999</v>
      </c>
      <c r="M8088">
        <v>2.4568420000000001E-2</v>
      </c>
      <c r="N8088">
        <v>0</v>
      </c>
      <c r="O8088">
        <v>0.99960859999999996</v>
      </c>
      <c r="P8088">
        <v>-1.1658E-2</v>
      </c>
      <c r="Q8088">
        <v>4.1775159999999999E-2</v>
      </c>
      <c r="R8088">
        <v>0.99905900000000003</v>
      </c>
      <c r="S8088">
        <v>-3.6804200000000002E-2</v>
      </c>
      <c r="T8088">
        <v>-0.22121850000000001</v>
      </c>
      <c r="U8088">
        <v>3.0117799999999999</v>
      </c>
      <c r="V8088">
        <v>-3.6202579999999998E-2</v>
      </c>
      <c r="W8088">
        <v>5.513477E-2</v>
      </c>
      <c r="X8088">
        <v>0.9978224</v>
      </c>
      <c r="Y8088">
        <v>-3.675146E-2</v>
      </c>
      <c r="Z8088">
        <v>-7.319312E-2</v>
      </c>
      <c r="AA8088">
        <v>0.99664039999999998</v>
      </c>
      <c r="AB8088">
        <v>18</v>
      </c>
      <c r="AC8088">
        <v>-0.18860000000000801</v>
      </c>
      <c r="AD8088">
        <v>-1.110392378871</v>
      </c>
      <c r="AE8088">
        <v>14.954579999999901</v>
      </c>
      <c r="AF8088">
        <v>-0.55293837793103495</v>
      </c>
      <c r="AG8088">
        <v>-1.110392378871</v>
      </c>
      <c r="AH8088">
        <v>14.863498593081999</v>
      </c>
      <c r="AI8088">
        <v>94.269459317307295</v>
      </c>
      <c r="AJ8088">
        <v>92.130483117777104</v>
      </c>
      <c r="AK8088">
        <v>14.915170213959801</v>
      </c>
      <c r="AL8088">
        <v>86.839407727617498</v>
      </c>
      <c r="AM8088">
        <v>92.0778703792069</v>
      </c>
      <c r="AN8088">
        <v>1.00000000580168</v>
      </c>
    </row>
    <row r="8089" spans="1:40" x14ac:dyDescent="0.25">
      <c r="A8089" t="str">
        <f>"20190312160525088"</f>
        <v>20190312160525088</v>
      </c>
      <c r="B8089" t="str">
        <f>"1552377925082891"</f>
        <v>1552377925082891</v>
      </c>
      <c r="C8089" t="s">
        <v>40</v>
      </c>
      <c r="D8089">
        <v>6.0313179999999997</v>
      </c>
      <c r="E8089">
        <v>0.49812279999999998</v>
      </c>
      <c r="F8089" t="s">
        <v>41</v>
      </c>
      <c r="G8089">
        <v>-187.8356</v>
      </c>
      <c r="H8089" s="1">
        <v>-3.465358E-6</v>
      </c>
      <c r="I8089">
        <v>-13.18431</v>
      </c>
      <c r="J8089">
        <v>-187.64320000000001</v>
      </c>
      <c r="K8089">
        <v>1.1103889999999901</v>
      </c>
      <c r="L8089">
        <v>-28.153659999999999</v>
      </c>
      <c r="M8089">
        <v>2.4448560000000001E-2</v>
      </c>
      <c r="N8089">
        <v>0</v>
      </c>
      <c r="O8089">
        <v>0.99961149999999999</v>
      </c>
      <c r="P8089">
        <v>-1.121167E-2</v>
      </c>
      <c r="Q8089">
        <v>4.1376339999999998E-2</v>
      </c>
      <c r="R8089">
        <v>0.99908070000000004</v>
      </c>
      <c r="S8089">
        <v>-3.7353520000000001E-2</v>
      </c>
      <c r="T8089">
        <v>-0.22064610000000001</v>
      </c>
      <c r="U8089">
        <v>3.0116269999999998</v>
      </c>
      <c r="V8089">
        <v>-3.5638110000000001E-2</v>
      </c>
      <c r="W8089">
        <v>5.4733869999999997E-2</v>
      </c>
      <c r="X8089">
        <v>0.9978648</v>
      </c>
      <c r="Y8089">
        <v>-3.6814180000000002E-2</v>
      </c>
      <c r="Z8089">
        <v>-7.3008580000000003E-2</v>
      </c>
      <c r="AA8089">
        <v>0.99665159999999997</v>
      </c>
      <c r="AB8089">
        <v>18</v>
      </c>
      <c r="AC8089">
        <v>-0.19239999999999199</v>
      </c>
      <c r="AD8089">
        <v>-1.110392465358</v>
      </c>
      <c r="AE8089">
        <v>14.96935</v>
      </c>
      <c r="AF8089">
        <v>-0.555299372646334</v>
      </c>
      <c r="AG8089">
        <v>-1.110392465358</v>
      </c>
      <c r="AH8089">
        <v>14.878318386034699</v>
      </c>
      <c r="AI8089">
        <v>94.265203451911901</v>
      </c>
      <c r="AJ8089">
        <v>92.137442465380104</v>
      </c>
      <c r="AK8089">
        <v>14.9300263501644</v>
      </c>
      <c r="AL8089">
        <v>86.862412372959398</v>
      </c>
      <c r="AM8089">
        <v>92.045413158427706</v>
      </c>
      <c r="AN8089">
        <v>1.0000000152442901</v>
      </c>
    </row>
    <row r="8090" spans="1:40" x14ac:dyDescent="0.25">
      <c r="A8090" t="str">
        <f>"20190312160525101"</f>
        <v>20190312160525101</v>
      </c>
      <c r="B8090" t="str">
        <f>"1552377925092651"</f>
        <v>1552377925092651</v>
      </c>
      <c r="C8090" t="s">
        <v>40</v>
      </c>
      <c r="D8090">
        <v>6.0320710000000002</v>
      </c>
      <c r="E8090">
        <v>0.49809059999999999</v>
      </c>
      <c r="F8090" t="s">
        <v>41</v>
      </c>
      <c r="G8090">
        <v>-187.84219999999999</v>
      </c>
      <c r="H8090" s="1">
        <v>-3.658508E-6</v>
      </c>
      <c r="I8090">
        <v>-12.73137</v>
      </c>
      <c r="J8090">
        <v>-187.6405</v>
      </c>
      <c r="K8090">
        <v>1.110393</v>
      </c>
      <c r="L8090">
        <v>-28.038180000000001</v>
      </c>
      <c r="M8090">
        <v>2.4372729999999999E-2</v>
      </c>
      <c r="N8090">
        <v>0</v>
      </c>
      <c r="O8090">
        <v>0.99961339999999999</v>
      </c>
      <c r="P8090">
        <v>-1.0857250000000001E-2</v>
      </c>
      <c r="Q8090">
        <v>4.1007290000000002E-2</v>
      </c>
      <c r="R8090">
        <v>0.99909990000000004</v>
      </c>
      <c r="S8090">
        <v>-3.8848880000000002E-2</v>
      </c>
      <c r="T8090">
        <v>-0.2168107</v>
      </c>
      <c r="U8090">
        <v>3.0112920000000001</v>
      </c>
      <c r="V8090">
        <v>-3.5209150000000002E-2</v>
      </c>
      <c r="W8090">
        <v>5.4363439999999999E-2</v>
      </c>
      <c r="X8090">
        <v>0.99790020000000001</v>
      </c>
      <c r="Y8090">
        <v>-3.7235770000000001E-2</v>
      </c>
      <c r="Z8090">
        <v>-7.1753490000000003E-2</v>
      </c>
      <c r="AA8090">
        <v>0.99672709999999998</v>
      </c>
      <c r="AB8090">
        <v>18</v>
      </c>
      <c r="AC8090">
        <v>-0.201699999999988</v>
      </c>
      <c r="AD8090">
        <v>-1.1103966585079901</v>
      </c>
      <c r="AE8090">
        <v>15.30681</v>
      </c>
      <c r="AF8090">
        <v>-0.57173402575759602</v>
      </c>
      <c r="AG8090">
        <v>-1.1103966585079901</v>
      </c>
      <c r="AH8090">
        <v>15.217279665606901</v>
      </c>
      <c r="AI8090">
        <v>94.170513138178805</v>
      </c>
      <c r="AJ8090">
        <v>92.151668803541298</v>
      </c>
      <c r="AK8090">
        <v>15.268446579686101</v>
      </c>
      <c r="AL8090">
        <v>86.883667856339002</v>
      </c>
      <c r="AM8090">
        <v>92.020742343064299</v>
      </c>
      <c r="AN8090">
        <v>0.99999993850619595</v>
      </c>
    </row>
    <row r="8091" spans="1:40" x14ac:dyDescent="0.25">
      <c r="A8091" t="str">
        <f>"20190312160525123"</f>
        <v>20190312160525123</v>
      </c>
      <c r="B8091" t="str">
        <f>"1552377925113147"</f>
        <v>1552377925113147</v>
      </c>
      <c r="C8091" t="s">
        <v>40</v>
      </c>
      <c r="D8091">
        <v>6.044632</v>
      </c>
      <c r="E8091">
        <v>0.49827080000000001</v>
      </c>
      <c r="F8091" t="s">
        <v>41</v>
      </c>
      <c r="G8091">
        <v>-187.83690000000001</v>
      </c>
      <c r="H8091" s="1">
        <v>-3.7229829999999999E-6</v>
      </c>
      <c r="I8091">
        <v>-12.583259999999999</v>
      </c>
      <c r="J8091">
        <v>-187.63630000000001</v>
      </c>
      <c r="K8091">
        <v>1.1103989999999999</v>
      </c>
      <c r="L8091">
        <v>-27.86401</v>
      </c>
      <c r="M8091">
        <v>2.4255909999999999E-2</v>
      </c>
      <c r="N8091">
        <v>0</v>
      </c>
      <c r="O8091">
        <v>0.99961630000000001</v>
      </c>
      <c r="P8091">
        <v>-1.0425530000000001E-2</v>
      </c>
      <c r="Q8091">
        <v>3.9802509999999999E-2</v>
      </c>
      <c r="R8091">
        <v>0.99915319999999996</v>
      </c>
      <c r="S8091">
        <v>-3.8269039999999997E-2</v>
      </c>
      <c r="T8091">
        <v>-0.2163448</v>
      </c>
      <c r="U8091">
        <v>3.0111690000000002</v>
      </c>
      <c r="V8091">
        <v>-3.4663239999999998E-2</v>
      </c>
      <c r="W8091">
        <v>5.3157360000000001E-2</v>
      </c>
      <c r="X8091">
        <v>0.99798430000000005</v>
      </c>
      <c r="Y8091">
        <v>-3.6927740000000001E-2</v>
      </c>
      <c r="Z8091">
        <v>-7.160379E-2</v>
      </c>
      <c r="AA8091">
        <v>0.99674929999999995</v>
      </c>
      <c r="AB8091">
        <v>18</v>
      </c>
      <c r="AC8091">
        <v>-0.20060000000000799</v>
      </c>
      <c r="AD8091">
        <v>-1.110402722983</v>
      </c>
      <c r="AE8091">
        <v>15.2807499999999</v>
      </c>
      <c r="AF8091">
        <v>-0.568222666057284</v>
      </c>
      <c r="AG8091">
        <v>-1.110402722983</v>
      </c>
      <c r="AH8091">
        <v>15.1911845456733</v>
      </c>
      <c r="AI8091">
        <v>94.177700520810205</v>
      </c>
      <c r="AJ8091">
        <v>92.142136425183494</v>
      </c>
      <c r="AK8091">
        <v>15.242308194828301</v>
      </c>
      <c r="AL8091">
        <v>86.952871283613305</v>
      </c>
      <c r="AM8091">
        <v>91.989269044406598</v>
      </c>
      <c r="AN8091">
        <v>0.99999995408797704</v>
      </c>
    </row>
    <row r="8092" spans="1:40" x14ac:dyDescent="0.25">
      <c r="A8092" t="str">
        <f>"20190312160525145"</f>
        <v>20190312160525145</v>
      </c>
      <c r="B8092" t="str">
        <f>"1552377925132667"</f>
        <v>1552377925132667</v>
      </c>
      <c r="C8092" t="s">
        <v>40</v>
      </c>
      <c r="D8092">
        <v>5.9840400000000002</v>
      </c>
      <c r="E8092">
        <v>0.498164</v>
      </c>
      <c r="F8092" t="s">
        <v>41</v>
      </c>
      <c r="G8092">
        <v>-187.81610000000001</v>
      </c>
      <c r="H8092" s="1">
        <v>-3.6988749999999998E-6</v>
      </c>
      <c r="I8092">
        <v>-12.648059999999999</v>
      </c>
      <c r="J8092">
        <v>-187.63229999999999</v>
      </c>
      <c r="K8092">
        <v>1.1104050000000001</v>
      </c>
      <c r="L8092">
        <v>-27.692080000000001</v>
      </c>
      <c r="M8092">
        <v>2.4135790000000001E-2</v>
      </c>
      <c r="N8092">
        <v>0</v>
      </c>
      <c r="O8092">
        <v>0.99961920000000004</v>
      </c>
      <c r="P8092">
        <v>-9.8081409999999994E-3</v>
      </c>
      <c r="Q8092">
        <v>3.886626E-2</v>
      </c>
      <c r="R8092">
        <v>0.99919630000000004</v>
      </c>
      <c r="S8092">
        <v>-3.5568240000000001E-2</v>
      </c>
      <c r="T8092">
        <v>-0.219726</v>
      </c>
      <c r="U8092">
        <v>3.0109249999999999</v>
      </c>
      <c r="V8092">
        <v>-3.3928260000000002E-2</v>
      </c>
      <c r="W8092">
        <v>5.2219290000000002E-2</v>
      </c>
      <c r="X8092">
        <v>0.99805920000000004</v>
      </c>
      <c r="Y8092">
        <v>-3.5913750000000001E-2</v>
      </c>
      <c r="Z8092">
        <v>-7.2724899999999995E-2</v>
      </c>
      <c r="AA8092">
        <v>0.99670519999999996</v>
      </c>
      <c r="AB8092">
        <v>18</v>
      </c>
      <c r="AC8092">
        <v>-0.183800000000019</v>
      </c>
      <c r="AD8092">
        <v>-1.1104086988749999</v>
      </c>
      <c r="AE8092">
        <v>15.0440199999999</v>
      </c>
      <c r="AF8092">
        <v>-0.54391542746862498</v>
      </c>
      <c r="AG8092">
        <v>-1.1104086988749999</v>
      </c>
      <c r="AH8092">
        <v>14.953744186730299</v>
      </c>
      <c r="AI8092">
        <v>94.243978371488396</v>
      </c>
      <c r="AJ8092">
        <v>92.083112127045695</v>
      </c>
      <c r="AK8092">
        <v>15.0047764619452</v>
      </c>
      <c r="AL8092">
        <v>87.006693857656202</v>
      </c>
      <c r="AM8092">
        <v>91.946976501713195</v>
      </c>
      <c r="AN8092">
        <v>1.0000000738896799</v>
      </c>
    </row>
    <row r="8093" spans="1:40" x14ac:dyDescent="0.25">
      <c r="A8093" t="str">
        <f>"20190312160525167"</f>
        <v>20190312160525167</v>
      </c>
      <c r="B8093" t="str">
        <f>"1552377925162923"</f>
        <v>1552377925162923</v>
      </c>
      <c r="C8093" t="s">
        <v>40</v>
      </c>
      <c r="D8093">
        <v>6.0865289999999996</v>
      </c>
      <c r="E8093">
        <v>0.49798999999999999</v>
      </c>
      <c r="F8093" t="s">
        <v>41</v>
      </c>
      <c r="G8093">
        <v>-187.80719999999999</v>
      </c>
      <c r="H8093" s="1">
        <v>-3.7775510000000002E-6</v>
      </c>
      <c r="I8093">
        <v>-12.46834</v>
      </c>
      <c r="J8093">
        <v>-187.62809999999999</v>
      </c>
      <c r="K8093">
        <v>1.110412</v>
      </c>
      <c r="L8093">
        <v>-27.51126</v>
      </c>
      <c r="M8093">
        <v>2.400414E-2</v>
      </c>
      <c r="N8093">
        <v>0</v>
      </c>
      <c r="O8093">
        <v>0.99962240000000002</v>
      </c>
      <c r="P8093">
        <v>-9.219451E-3</v>
      </c>
      <c r="Q8093">
        <v>3.8665369999999998E-2</v>
      </c>
      <c r="R8093">
        <v>0.99920969999999998</v>
      </c>
      <c r="S8093">
        <v>-3.4591669999999998E-2</v>
      </c>
      <c r="T8093">
        <v>-0.2195926</v>
      </c>
      <c r="U8093">
        <v>3.0106199999999999</v>
      </c>
      <c r="V8093">
        <v>-3.3209019999999999E-2</v>
      </c>
      <c r="W8093">
        <v>5.2016920000000001E-2</v>
      </c>
      <c r="X8093">
        <v>0.99809389999999998</v>
      </c>
      <c r="Y8093">
        <v>-3.546009E-2</v>
      </c>
      <c r="Z8093">
        <v>-7.2689390000000006E-2</v>
      </c>
      <c r="AA8093">
        <v>0.9967241</v>
      </c>
      <c r="AB8093">
        <v>18</v>
      </c>
      <c r="AC8093">
        <v>-0.17910000000000501</v>
      </c>
      <c r="AD8093">
        <v>-1.110415777551</v>
      </c>
      <c r="AE8093">
        <v>15.042919999999899</v>
      </c>
      <c r="AF8093">
        <v>-0.53724606650107498</v>
      </c>
      <c r="AG8093">
        <v>-1.110415777551</v>
      </c>
      <c r="AH8093">
        <v>14.9528206942891</v>
      </c>
      <c r="AI8093">
        <v>94.244334236041198</v>
      </c>
      <c r="AJ8093">
        <v>92.057718563694493</v>
      </c>
      <c r="AK8093">
        <v>15.0036163390886</v>
      </c>
      <c r="AL8093">
        <v>87.018304411051602</v>
      </c>
      <c r="AM8093">
        <v>91.905667401505298</v>
      </c>
      <c r="AN8093">
        <v>1.00000001609642</v>
      </c>
    </row>
    <row r="8094" spans="1:40" x14ac:dyDescent="0.25">
      <c r="A8094" t="str">
        <f>"20190312160525191"</f>
        <v>20190312160525191</v>
      </c>
      <c r="B8094" t="str">
        <f>"1552377925183419"</f>
        <v>1552377925183419</v>
      </c>
      <c r="C8094" t="s">
        <v>40</v>
      </c>
      <c r="D8094">
        <v>6.0339939999999999</v>
      </c>
      <c r="E8094">
        <v>0.49810929999999998</v>
      </c>
      <c r="F8094" t="s">
        <v>41</v>
      </c>
      <c r="G8094">
        <v>-187.8065</v>
      </c>
      <c r="H8094" s="1">
        <v>-3.9754839999999999E-6</v>
      </c>
      <c r="I8094">
        <v>-12.00723</v>
      </c>
      <c r="J8094">
        <v>-187.62370000000001</v>
      </c>
      <c r="K8094">
        <v>1.1104229999999999</v>
      </c>
      <c r="L8094">
        <v>-27.32019</v>
      </c>
      <c r="M8094">
        <v>2.3858910000000001E-2</v>
      </c>
      <c r="N8094">
        <v>0</v>
      </c>
      <c r="O8094">
        <v>0.99962589999999996</v>
      </c>
      <c r="P8094">
        <v>-8.9689990000000001E-3</v>
      </c>
      <c r="Q8094">
        <v>3.9119290000000001E-2</v>
      </c>
      <c r="R8094">
        <v>0.99919429999999998</v>
      </c>
      <c r="S8094">
        <v>-3.4652710000000003E-2</v>
      </c>
      <c r="T8094">
        <v>-0.21560869999999999</v>
      </c>
      <c r="U8094">
        <v>3.0104060000000001</v>
      </c>
      <c r="V8094">
        <v>-3.281369E-2</v>
      </c>
      <c r="W8094">
        <v>5.2468330000000001E-2</v>
      </c>
      <c r="X8094">
        <v>0.99808339999999995</v>
      </c>
      <c r="Y8094">
        <v>-3.5337010000000002E-2</v>
      </c>
      <c r="Z8094">
        <v>-7.1382979999999999E-2</v>
      </c>
      <c r="AA8094">
        <v>0.99682280000000001</v>
      </c>
      <c r="AB8094">
        <v>18</v>
      </c>
      <c r="AC8094">
        <v>-0.182799999999986</v>
      </c>
      <c r="AD8094">
        <v>-1.1104269754839999</v>
      </c>
      <c r="AE8094">
        <v>15.31296</v>
      </c>
      <c r="AF8094">
        <v>-0.54526429488209605</v>
      </c>
      <c r="AG8094">
        <v>-1.1104269754839999</v>
      </c>
      <c r="AH8094">
        <v>15.224193385219399</v>
      </c>
      <c r="AI8094">
        <v>94.169006554305099</v>
      </c>
      <c r="AJ8094">
        <v>92.051208488499697</v>
      </c>
      <c r="AK8094">
        <v>15.274371523886501</v>
      </c>
      <c r="AL8094">
        <v>86.992405314100296</v>
      </c>
      <c r="AM8094">
        <v>91.883017997638902</v>
      </c>
      <c r="AN8094">
        <v>1.0000000686299799</v>
      </c>
    </row>
    <row r="8095" spans="1:40" x14ac:dyDescent="0.25">
      <c r="A8095" t="str">
        <f>"20190312160525213"</f>
        <v>20190312160525213</v>
      </c>
      <c r="B8095" t="str">
        <f>"1552377925202939"</f>
        <v>1552377925202939</v>
      </c>
      <c r="C8095" t="s">
        <v>40</v>
      </c>
      <c r="D8095">
        <v>6.0415449999999904</v>
      </c>
      <c r="E8095">
        <v>0.49862899999999999</v>
      </c>
      <c r="F8095" t="s">
        <v>41</v>
      </c>
      <c r="G8095">
        <v>-187.79810000000001</v>
      </c>
      <c r="H8095" s="1">
        <v>-4.2046060000000001E-6</v>
      </c>
      <c r="I8095">
        <v>-11.47663</v>
      </c>
      <c r="J8095">
        <v>-187.61940000000001</v>
      </c>
      <c r="K8095">
        <v>1.11043</v>
      </c>
      <c r="L8095">
        <v>-27.135619999999999</v>
      </c>
      <c r="M8095">
        <v>2.3716040000000001E-2</v>
      </c>
      <c r="N8095">
        <v>0</v>
      </c>
      <c r="O8095">
        <v>0.99962930000000005</v>
      </c>
      <c r="P8095">
        <v>-9.5291609999999995E-3</v>
      </c>
      <c r="Q8095">
        <v>4.0306639999999998E-2</v>
      </c>
      <c r="R8095">
        <v>0.99914190000000003</v>
      </c>
      <c r="S8095">
        <v>-3.3142089999999999E-2</v>
      </c>
      <c r="T8095">
        <v>-0.21098829999999999</v>
      </c>
      <c r="U8095">
        <v>3.0103759999999999</v>
      </c>
      <c r="V8095">
        <v>-3.3230889999999999E-2</v>
      </c>
      <c r="W8095">
        <v>5.3652569999999997E-2</v>
      </c>
      <c r="X8095">
        <v>0.99800659999999997</v>
      </c>
      <c r="Y8095">
        <v>-3.4695320000000002E-2</v>
      </c>
      <c r="Z8095">
        <v>-6.9862869999999994E-2</v>
      </c>
      <c r="AA8095">
        <v>0.99695310000000004</v>
      </c>
      <c r="AB8095">
        <v>18</v>
      </c>
      <c r="AC8095">
        <v>-0.178699999999992</v>
      </c>
      <c r="AD8095">
        <v>-1.1104342046060001</v>
      </c>
      <c r="AE8095">
        <v>15.658989999999999</v>
      </c>
      <c r="AF8095">
        <v>-0.54730030316251999</v>
      </c>
      <c r="AG8095">
        <v>-1.1104342046060001</v>
      </c>
      <c r="AH8095">
        <v>15.5720490474984</v>
      </c>
      <c r="AI8095">
        <v>94.076317640583</v>
      </c>
      <c r="AJ8095">
        <v>92.012907560160997</v>
      </c>
      <c r="AK8095">
        <v>15.6211815584577</v>
      </c>
      <c r="AL8095">
        <v>86.924457530263993</v>
      </c>
      <c r="AM8095">
        <v>91.907088147575493</v>
      </c>
      <c r="AN8095">
        <v>1.0000000319806699</v>
      </c>
    </row>
    <row r="8096" spans="1:40" x14ac:dyDescent="0.25">
      <c r="A8096" t="str">
        <f>"20190312160525236"</f>
        <v>20190312160525236</v>
      </c>
      <c r="B8096" t="str">
        <f>"1552377925223435"</f>
        <v>1552377925223435</v>
      </c>
      <c r="C8096" t="s">
        <v>40</v>
      </c>
      <c r="D8096">
        <v>5.7992119999999998</v>
      </c>
      <c r="E8096">
        <v>0.49922359999999999</v>
      </c>
      <c r="F8096" t="s">
        <v>41</v>
      </c>
      <c r="G8096">
        <v>-187.78399999999999</v>
      </c>
      <c r="H8096" s="1">
        <v>-4.421518E-6</v>
      </c>
      <c r="I8096">
        <v>-10.97682</v>
      </c>
      <c r="J8096">
        <v>-187.61539999999999</v>
      </c>
      <c r="K8096">
        <v>1.110439</v>
      </c>
      <c r="L8096">
        <v>-26.958159999999999</v>
      </c>
      <c r="M8096">
        <v>2.3578020000000002E-2</v>
      </c>
      <c r="N8096">
        <v>0</v>
      </c>
      <c r="O8096">
        <v>0.99963259999999998</v>
      </c>
      <c r="P8096">
        <v>-1.085533E-2</v>
      </c>
      <c r="Q8096">
        <v>4.1086230000000001E-2</v>
      </c>
      <c r="R8096">
        <v>0.9990966</v>
      </c>
      <c r="S8096">
        <v>-3.067017E-2</v>
      </c>
      <c r="T8096">
        <v>-0.2068902</v>
      </c>
      <c r="U8096">
        <v>3.0106199999999999</v>
      </c>
      <c r="V8096">
        <v>-3.4417709999999997E-2</v>
      </c>
      <c r="W8096">
        <v>5.4429150000000003E-2</v>
      </c>
      <c r="X8096">
        <v>0.99792429999999999</v>
      </c>
      <c r="Y8096">
        <v>-3.3738909999999997E-2</v>
      </c>
      <c r="Z8096">
        <v>-6.8508559999999996E-2</v>
      </c>
      <c r="AA8096">
        <v>0.99707979999999996</v>
      </c>
      <c r="AB8096">
        <v>18</v>
      </c>
      <c r="AC8096">
        <v>-0.16860000000002601</v>
      </c>
      <c r="AD8096">
        <v>-1.1104434215179999</v>
      </c>
      <c r="AE8096">
        <v>15.9813399999999</v>
      </c>
      <c r="AF8096">
        <v>-0.54277493409851096</v>
      </c>
      <c r="AG8096">
        <v>-1.1104434215179999</v>
      </c>
      <c r="AH8096">
        <v>15.896182688447301</v>
      </c>
      <c r="AI8096">
        <v>93.993641524254897</v>
      </c>
      <c r="AJ8096">
        <v>91.955603821125706</v>
      </c>
      <c r="AK8096">
        <v>15.944162357614401</v>
      </c>
      <c r="AL8096">
        <v>86.879897590706094</v>
      </c>
      <c r="AM8096">
        <v>91.9753083269878</v>
      </c>
      <c r="AN8096">
        <v>1.0000000098309201</v>
      </c>
    </row>
    <row r="8097" spans="1:40" x14ac:dyDescent="0.25">
      <c r="A8097" t="str">
        <f>"20190312160525257"</f>
        <v>20190312160525257</v>
      </c>
      <c r="B8097" t="str">
        <f>"1552377925252715"</f>
        <v>1552377925252715</v>
      </c>
      <c r="C8097" t="s">
        <v>40</v>
      </c>
      <c r="D8097">
        <v>5.9261290000000004</v>
      </c>
      <c r="E8097">
        <v>0.50001399999999996</v>
      </c>
      <c r="F8097" t="s">
        <v>41</v>
      </c>
      <c r="G8097">
        <v>-187.77350000000001</v>
      </c>
      <c r="H8097" s="1">
        <v>-4.5645269999999998E-6</v>
      </c>
      <c r="I8097">
        <v>-10.64781</v>
      </c>
      <c r="J8097">
        <v>-187.6114</v>
      </c>
      <c r="K8097">
        <v>1.1104430000000001</v>
      </c>
      <c r="L8097">
        <v>-26.783110000000001</v>
      </c>
      <c r="M8097">
        <v>2.344268E-2</v>
      </c>
      <c r="N8097">
        <v>0</v>
      </c>
      <c r="O8097">
        <v>0.99963579999999996</v>
      </c>
      <c r="P8097">
        <v>-1.2069760000000001E-2</v>
      </c>
      <c r="Q8097">
        <v>4.1156970000000001E-2</v>
      </c>
      <c r="R8097">
        <v>0.99907979999999996</v>
      </c>
      <c r="S8097">
        <v>-2.919006E-2</v>
      </c>
      <c r="T8097">
        <v>-0.2049839</v>
      </c>
      <c r="U8097">
        <v>3.010834</v>
      </c>
      <c r="V8097">
        <v>-3.5496779999999999E-2</v>
      </c>
      <c r="W8097">
        <v>5.4497230000000001E-2</v>
      </c>
      <c r="X8097">
        <v>0.99788279999999996</v>
      </c>
      <c r="Y8097">
        <v>-3.3113179999999999E-2</v>
      </c>
      <c r="Z8097">
        <v>-6.7876679999999995E-2</v>
      </c>
      <c r="AA8097">
        <v>0.99714400000000003</v>
      </c>
      <c r="AB8097">
        <v>18</v>
      </c>
      <c r="AC8097">
        <v>-0.16210000000000899</v>
      </c>
      <c r="AD8097">
        <v>-1.110447564527</v>
      </c>
      <c r="AE8097">
        <v>16.135299999999901</v>
      </c>
      <c r="AF8097">
        <v>-0.53779699447629103</v>
      </c>
      <c r="AG8097">
        <v>-1.110447564527</v>
      </c>
      <c r="AH8097">
        <v>16.051049142780599</v>
      </c>
      <c r="AI8097">
        <v>93.955332193366104</v>
      </c>
      <c r="AJ8097">
        <v>91.919000743492504</v>
      </c>
      <c r="AK8097">
        <v>16.0984004790783</v>
      </c>
      <c r="AL8097">
        <v>86.875991146541494</v>
      </c>
      <c r="AM8097">
        <v>92.037271797158894</v>
      </c>
      <c r="AN8097">
        <v>1.0000000260019399</v>
      </c>
    </row>
    <row r="8098" spans="1:40" x14ac:dyDescent="0.25">
      <c r="A8098" t="str">
        <f>"20190312160525291"</f>
        <v>20190312160525291</v>
      </c>
      <c r="B8098" t="str">
        <f>"1552377925282971"</f>
        <v>1552377925282971</v>
      </c>
      <c r="C8098" t="s">
        <v>40</v>
      </c>
      <c r="D8098">
        <v>5.9944930000000003</v>
      </c>
      <c r="E8098">
        <v>0.50066820000000001</v>
      </c>
      <c r="F8098" t="s">
        <v>41</v>
      </c>
      <c r="G8098">
        <v>-187.75409999999999</v>
      </c>
      <c r="H8098" s="1">
        <v>-4.6223779999999998E-6</v>
      </c>
      <c r="I8098">
        <v>-10.521000000000001</v>
      </c>
      <c r="J8098">
        <v>-187.6053</v>
      </c>
      <c r="K8098">
        <v>1.1104419999999999</v>
      </c>
      <c r="L8098">
        <v>-26.514309999999998</v>
      </c>
      <c r="M8098">
        <v>2.323737E-2</v>
      </c>
      <c r="N8098">
        <v>0</v>
      </c>
      <c r="O8098">
        <v>0.99964059999999999</v>
      </c>
      <c r="P8098">
        <v>-1.17558E-2</v>
      </c>
      <c r="Q8098">
        <v>4.0177959999999999E-2</v>
      </c>
      <c r="R8098">
        <v>0.99912339999999999</v>
      </c>
      <c r="S8098">
        <v>-2.6412959999999999E-2</v>
      </c>
      <c r="T8098">
        <v>-0.205599</v>
      </c>
      <c r="U8098">
        <v>3.0109249999999999</v>
      </c>
      <c r="V8098">
        <v>-3.4978549999999997E-2</v>
      </c>
      <c r="W8098">
        <v>5.3516380000000002E-2</v>
      </c>
      <c r="X8098">
        <v>0.99795409999999996</v>
      </c>
      <c r="Y8098">
        <v>-3.1987849999999998E-2</v>
      </c>
      <c r="Z8098">
        <v>-6.8079340000000002E-2</v>
      </c>
      <c r="AA8098">
        <v>0.99716700000000003</v>
      </c>
      <c r="AB8098">
        <v>18</v>
      </c>
      <c r="AC8098">
        <v>-0.14879999999999399</v>
      </c>
      <c r="AD8098">
        <v>-1.1104466223779901</v>
      </c>
      <c r="AE8098">
        <v>15.993309999999999</v>
      </c>
      <c r="AF8098">
        <v>-0.51793882430323501</v>
      </c>
      <c r="AG8098">
        <v>-1.1104466223779901</v>
      </c>
      <c r="AH8098">
        <v>15.9088459716399</v>
      </c>
      <c r="AI8098">
        <v>93.990694837463707</v>
      </c>
      <c r="AJ8098">
        <v>91.864700344189302</v>
      </c>
      <c r="AK8098">
        <v>15.9559622861247</v>
      </c>
      <c r="AL8098">
        <v>86.932271598155396</v>
      </c>
      <c r="AM8098">
        <v>92.007410151033895</v>
      </c>
      <c r="AN8098">
        <v>0.99999994379760604</v>
      </c>
    </row>
    <row r="8099" spans="1:40" x14ac:dyDescent="0.25">
      <c r="A8099" t="str">
        <f>"20190312160525313"</f>
        <v>20190312160525313</v>
      </c>
      <c r="B8099" t="str">
        <f>"1552377925303468"</f>
        <v>1552377925303468</v>
      </c>
      <c r="C8099" t="s">
        <v>40</v>
      </c>
      <c r="D8099">
        <v>5.3987569999999998</v>
      </c>
      <c r="E8099">
        <v>0.54251190000000005</v>
      </c>
      <c r="F8099" t="s">
        <v>41</v>
      </c>
      <c r="G8099">
        <v>-187.71420000000001</v>
      </c>
      <c r="H8099" s="1">
        <v>-4.6376040000000004E-6</v>
      </c>
      <c r="I8099">
        <v>-10.502000000000001</v>
      </c>
      <c r="J8099">
        <v>-187.60130000000001</v>
      </c>
      <c r="K8099">
        <v>1.110441</v>
      </c>
      <c r="L8099">
        <v>-26.331849999999999</v>
      </c>
      <c r="M8099">
        <v>2.3099729999999999E-2</v>
      </c>
      <c r="N8099">
        <v>0</v>
      </c>
      <c r="O8099">
        <v>0.99964390000000003</v>
      </c>
      <c r="P8099">
        <v>-1.1092970000000001E-2</v>
      </c>
      <c r="Q8099">
        <v>4.1542830000000003E-2</v>
      </c>
      <c r="R8099">
        <v>0.99907509999999999</v>
      </c>
      <c r="S8099">
        <v>-2.0462040000000001E-2</v>
      </c>
      <c r="T8099">
        <v>-0.2087957</v>
      </c>
      <c r="U8099">
        <v>3.0107729999999999</v>
      </c>
      <c r="V8099">
        <v>-3.4177029999999997E-2</v>
      </c>
      <c r="W8099">
        <v>5.4879089999999998E-2</v>
      </c>
      <c r="X8099">
        <v>0.99790789999999996</v>
      </c>
      <c r="Y8099">
        <v>-2.9879280000000001E-2</v>
      </c>
      <c r="Z8099">
        <v>-6.913946E-2</v>
      </c>
      <c r="AA8099">
        <v>0.99715940000000003</v>
      </c>
      <c r="AB8099">
        <v>18</v>
      </c>
      <c r="AC8099">
        <v>-0.112899999999996</v>
      </c>
      <c r="AD8099">
        <v>-1.1104456376039999</v>
      </c>
      <c r="AE8099">
        <v>15.82985</v>
      </c>
      <c r="AF8099">
        <v>-0.47622445087376603</v>
      </c>
      <c r="AG8099">
        <v>-1.1104456376039999</v>
      </c>
      <c r="AH8099">
        <v>15.745539452152</v>
      </c>
      <c r="AI8099">
        <v>94.032236797411798</v>
      </c>
      <c r="AJ8099">
        <v>91.732384960203703</v>
      </c>
      <c r="AK8099">
        <v>15.7918299091954</v>
      </c>
      <c r="AL8099">
        <v>86.854079245657104</v>
      </c>
      <c r="AM8099">
        <v>91.961538209887706</v>
      </c>
      <c r="AN8099">
        <v>0.99999998039062898</v>
      </c>
    </row>
    <row r="8100" spans="1:40" x14ac:dyDescent="0.25">
      <c r="A8100" t="str">
        <f>"20190312160525335"</f>
        <v>20190312160525335</v>
      </c>
      <c r="B8100" t="str">
        <f>"1552377925322987"</f>
        <v>1552377925322987</v>
      </c>
      <c r="C8100" t="s">
        <v>40</v>
      </c>
      <c r="D8100">
        <v>6.002122</v>
      </c>
      <c r="E8100">
        <v>0.53899469999999905</v>
      </c>
      <c r="F8100" t="s">
        <v>49</v>
      </c>
      <c r="G8100">
        <v>-187.5155</v>
      </c>
      <c r="H8100">
        <v>0.95119830000000005</v>
      </c>
      <c r="I8100">
        <v>-25.53745</v>
      </c>
      <c r="J8100">
        <v>-187.59729999999999</v>
      </c>
      <c r="K8100">
        <v>1.1104449999999999</v>
      </c>
      <c r="L8100">
        <v>-26.154419999999998</v>
      </c>
      <c r="M8100">
        <v>2.296693E-2</v>
      </c>
      <c r="N8100">
        <v>0</v>
      </c>
      <c r="O8100">
        <v>0.9996469</v>
      </c>
      <c r="P8100">
        <v>-1.129089E-2</v>
      </c>
      <c r="Q8100">
        <v>4.2593449999999998E-2</v>
      </c>
      <c r="R8100">
        <v>0.99902869999999999</v>
      </c>
      <c r="S8100">
        <v>0.32739259999999998</v>
      </c>
      <c r="T8100">
        <v>-0.60771269999999999</v>
      </c>
      <c r="U8100">
        <v>3.0316770000000002</v>
      </c>
      <c r="V8100">
        <v>-3.424166E-2</v>
      </c>
      <c r="W8100">
        <v>5.5926999999999998E-2</v>
      </c>
      <c r="X8100">
        <v>0.9978475</v>
      </c>
      <c r="Y8100">
        <v>8.2428390000000004E-2</v>
      </c>
      <c r="Z8100">
        <v>-0.1955885</v>
      </c>
      <c r="AA8100">
        <v>0.97721579999999997</v>
      </c>
      <c r="AB8100">
        <v>18</v>
      </c>
      <c r="AC8100">
        <v>8.1799999999986994E-2</v>
      </c>
      <c r="AD8100">
        <v>-0.15924669999999999</v>
      </c>
      <c r="AE8100">
        <v>0.61697000000000202</v>
      </c>
      <c r="AF8100">
        <v>6.3452957248119599E-2</v>
      </c>
      <c r="AG8100">
        <v>-0.15924669999999999</v>
      </c>
      <c r="AH8100">
        <v>0.58066943831839901</v>
      </c>
      <c r="AI8100">
        <v>105.249603100839</v>
      </c>
      <c r="AJ8100">
        <v>83.763717880710402</v>
      </c>
      <c r="AK8100">
        <v>0.60544428797489402</v>
      </c>
      <c r="AL8100">
        <v>86.793946050030698</v>
      </c>
      <c r="AM8100">
        <v>91.965363507233704</v>
      </c>
      <c r="AN8100">
        <v>0.99999997693240195</v>
      </c>
    </row>
    <row r="8101" spans="1:40" x14ac:dyDescent="0.25">
      <c r="A8101" t="str">
        <f>"20190312160525358"</f>
        <v>20190312160525358</v>
      </c>
      <c r="B8101" t="str">
        <f>"1552377925353243"</f>
        <v>1552377925353243</v>
      </c>
      <c r="C8101" t="s">
        <v>40</v>
      </c>
      <c r="D8101">
        <v>5.9508859999999997</v>
      </c>
      <c r="E8101">
        <v>0.53831909999999905</v>
      </c>
      <c r="F8101" t="s">
        <v>49</v>
      </c>
      <c r="G8101">
        <v>-187.52010000000001</v>
      </c>
      <c r="H8101">
        <v>0.96568520000000002</v>
      </c>
      <c r="I8101">
        <v>-25.36993</v>
      </c>
      <c r="J8101">
        <v>-187.5934</v>
      </c>
      <c r="K8101">
        <v>1.110444</v>
      </c>
      <c r="L8101">
        <v>-25.976320000000001</v>
      </c>
      <c r="M8101">
        <v>2.283427E-2</v>
      </c>
      <c r="N8101">
        <v>0</v>
      </c>
      <c r="O8101">
        <v>0.99965000000000004</v>
      </c>
      <c r="P8101">
        <v>-1.086928E-2</v>
      </c>
      <c r="Q8101">
        <v>4.3316220000000002E-2</v>
      </c>
      <c r="R8101">
        <v>0.99900230000000001</v>
      </c>
      <c r="S8101">
        <v>0.29754639999999999</v>
      </c>
      <c r="T8101">
        <v>-0.55912600000000001</v>
      </c>
      <c r="U8101">
        <v>3.0301209999999998</v>
      </c>
      <c r="V8101">
        <v>-3.368691E-2</v>
      </c>
      <c r="W8101">
        <v>5.6647780000000002E-2</v>
      </c>
      <c r="X8101">
        <v>0.99782570000000004</v>
      </c>
      <c r="Y8101">
        <v>7.3364600000000002E-2</v>
      </c>
      <c r="Z8101">
        <v>-0.18072559999999999</v>
      </c>
      <c r="AA8101">
        <v>0.98079349999999998</v>
      </c>
      <c r="AB8101">
        <v>18</v>
      </c>
      <c r="AC8101">
        <v>7.3299999999988999E-2</v>
      </c>
      <c r="AD8101">
        <v>-0.14475879999999999</v>
      </c>
      <c r="AE8101">
        <v>0.60639000000000098</v>
      </c>
      <c r="AF8101">
        <v>5.6272484676995901E-2</v>
      </c>
      <c r="AG8101">
        <v>-0.14475879999999999</v>
      </c>
      <c r="AH8101">
        <v>0.57557697982019995</v>
      </c>
      <c r="AI8101">
        <v>104.052885609409</v>
      </c>
      <c r="AJ8101">
        <v>84.416104457844398</v>
      </c>
      <c r="AK8101">
        <v>0.59616320115225596</v>
      </c>
      <c r="AL8101">
        <v>86.7525827422361</v>
      </c>
      <c r="AM8101">
        <v>91.933589182235096</v>
      </c>
      <c r="AN8101">
        <v>0.999999953232382</v>
      </c>
    </row>
    <row r="8102" spans="1:40" x14ac:dyDescent="0.25">
      <c r="A8102" t="str">
        <f>"20190312160525380"</f>
        <v>20190312160525380</v>
      </c>
      <c r="B8102" t="str">
        <f>"1552377925372764"</f>
        <v>1552377925372764</v>
      </c>
      <c r="C8102" t="s">
        <v>40</v>
      </c>
      <c r="D8102">
        <v>5.4035339999999996</v>
      </c>
      <c r="E8102">
        <v>0.54112709999999997</v>
      </c>
      <c r="F8102" t="s">
        <v>49</v>
      </c>
      <c r="G8102">
        <v>-187.51900000000001</v>
      </c>
      <c r="H8102">
        <v>0.96865789999999996</v>
      </c>
      <c r="I8102">
        <v>-25.208500000000001</v>
      </c>
      <c r="J8102">
        <v>-187.58959999999999</v>
      </c>
      <c r="K8102">
        <v>1.110447</v>
      </c>
      <c r="L8102">
        <v>-25.80179</v>
      </c>
      <c r="M8102">
        <v>2.2704749999999999E-2</v>
      </c>
      <c r="N8102">
        <v>0</v>
      </c>
      <c r="O8102">
        <v>0.99965300000000001</v>
      </c>
      <c r="P8102">
        <v>-1.042883E-2</v>
      </c>
      <c r="Q8102">
        <v>4.3253809999999997E-2</v>
      </c>
      <c r="R8102">
        <v>0.9990097</v>
      </c>
      <c r="S8102">
        <v>0.29342649999999998</v>
      </c>
      <c r="T8102">
        <v>-0.55960690000000002</v>
      </c>
      <c r="U8102">
        <v>3.0304570000000002</v>
      </c>
      <c r="V8102">
        <v>-3.3117500000000001E-2</v>
      </c>
      <c r="W8102">
        <v>5.6583990000000001E-2</v>
      </c>
      <c r="X8102">
        <v>0.99784850000000003</v>
      </c>
      <c r="Y8102">
        <v>7.2159669999999995E-2</v>
      </c>
      <c r="Z8102">
        <v>-0.18087690000000001</v>
      </c>
      <c r="AA8102">
        <v>0.98085500000000003</v>
      </c>
      <c r="AB8102">
        <v>18</v>
      </c>
      <c r="AC8102">
        <v>7.0599999999984606E-2</v>
      </c>
      <c r="AD8102">
        <v>-0.1417891</v>
      </c>
      <c r="AE8102">
        <v>0.59328999999999898</v>
      </c>
      <c r="AF8102">
        <v>5.4065262583261803E-2</v>
      </c>
      <c r="AG8102">
        <v>-0.1417891</v>
      </c>
      <c r="AH8102">
        <v>0.56303148511629297</v>
      </c>
      <c r="AI8102">
        <v>104.072825050067</v>
      </c>
      <c r="AJ8102">
        <v>84.514973685485202</v>
      </c>
      <c r="AK8102">
        <v>0.583122332559186</v>
      </c>
      <c r="AL8102">
        <v>86.756243900329395</v>
      </c>
      <c r="AM8102">
        <v>91.900886497039394</v>
      </c>
      <c r="AN8102">
        <v>1.0000000728414</v>
      </c>
    </row>
    <row r="8103" spans="1:40" x14ac:dyDescent="0.25">
      <c r="A8103" t="str">
        <f>"20190312160525403"</f>
        <v>20190312160525403</v>
      </c>
      <c r="B8103" t="str">
        <f>"1552377925393260"</f>
        <v>1552377925393260</v>
      </c>
      <c r="C8103" t="s">
        <v>40</v>
      </c>
      <c r="D8103">
        <v>5.7539020000000001</v>
      </c>
      <c r="E8103">
        <v>0.54115849999999999</v>
      </c>
      <c r="F8103" t="s">
        <v>49</v>
      </c>
      <c r="G8103">
        <v>-187.51070000000001</v>
      </c>
      <c r="H8103">
        <v>0.9661862</v>
      </c>
      <c r="I8103">
        <v>-25.050190000000001</v>
      </c>
      <c r="J8103">
        <v>-187.58539999999999</v>
      </c>
      <c r="K8103">
        <v>1.110449</v>
      </c>
      <c r="L8103">
        <v>-25.612030000000001</v>
      </c>
      <c r="M8103">
        <v>2.2564279999999999E-2</v>
      </c>
      <c r="N8103">
        <v>0</v>
      </c>
      <c r="O8103">
        <v>0.99965619999999999</v>
      </c>
      <c r="P8103">
        <v>-1.054299E-2</v>
      </c>
      <c r="Q8103">
        <v>4.3155600000000002E-2</v>
      </c>
      <c r="R8103">
        <v>0.99901269999999998</v>
      </c>
      <c r="S8103">
        <v>0.31750489999999998</v>
      </c>
      <c r="T8103">
        <v>-0.58184829999999998</v>
      </c>
      <c r="U8103">
        <v>3.0314939999999999</v>
      </c>
      <c r="V8103">
        <v>-3.3091040000000002E-2</v>
      </c>
      <c r="W8103">
        <v>5.6484010000000001E-2</v>
      </c>
      <c r="X8103">
        <v>0.99785489999999999</v>
      </c>
      <c r="Y8103">
        <v>7.9845840000000001E-2</v>
      </c>
      <c r="Z8103">
        <v>-0.1876285</v>
      </c>
      <c r="AA8103">
        <v>0.97898940000000001</v>
      </c>
      <c r="AB8103">
        <v>18</v>
      </c>
      <c r="AC8103">
        <v>7.4699999999978603E-2</v>
      </c>
      <c r="AD8103">
        <v>-0.1442628</v>
      </c>
      <c r="AE8103">
        <v>0.56183999999999601</v>
      </c>
      <c r="AF8103">
        <v>5.8229916709338601E-2</v>
      </c>
      <c r="AG8103">
        <v>-0.1442628</v>
      </c>
      <c r="AH8103">
        <v>0.52910467303528697</v>
      </c>
      <c r="AI8103">
        <v>105.163937712264</v>
      </c>
      <c r="AJ8103">
        <v>83.719662624968294</v>
      </c>
      <c r="AK8103">
        <v>0.55150179844819602</v>
      </c>
      <c r="AL8103">
        <v>86.761981048100793</v>
      </c>
      <c r="AM8103">
        <v>91.899356679093103</v>
      </c>
      <c r="AN8103">
        <v>0.99999993088398298</v>
      </c>
    </row>
    <row r="8104" spans="1:40" x14ac:dyDescent="0.25">
      <c r="A8104" t="str">
        <f>"20190312160525426"</f>
        <v>20190312160525426</v>
      </c>
      <c r="B8104" t="str">
        <f>"1552377925423515"</f>
        <v>1552377925423515</v>
      </c>
      <c r="C8104" t="s">
        <v>40</v>
      </c>
      <c r="D8104">
        <v>6.2306800000000004</v>
      </c>
      <c r="E8104">
        <v>0.53891029999999995</v>
      </c>
      <c r="F8104" t="s">
        <v>49</v>
      </c>
      <c r="G8104">
        <v>-187.5094</v>
      </c>
      <c r="H8104">
        <v>0.97191830000000001</v>
      </c>
      <c r="I8104">
        <v>-24.887840000000001</v>
      </c>
      <c r="J8104">
        <v>-187.58150000000001</v>
      </c>
      <c r="K8104">
        <v>1.1104529999999999</v>
      </c>
      <c r="L8104">
        <v>-25.431090000000001</v>
      </c>
      <c r="M8104">
        <v>2.243028E-2</v>
      </c>
      <c r="N8104">
        <v>0</v>
      </c>
      <c r="O8104">
        <v>0.99965919999999997</v>
      </c>
      <c r="P8104">
        <v>-1.1078559999999999E-2</v>
      </c>
      <c r="Q8104">
        <v>4.3710400000000003E-2</v>
      </c>
      <c r="R8104">
        <v>0.99898279999999995</v>
      </c>
      <c r="S8104">
        <v>0.3177643</v>
      </c>
      <c r="T8104">
        <v>-0.57986510000000002</v>
      </c>
      <c r="U8104">
        <v>3.0313720000000002</v>
      </c>
      <c r="V8104">
        <v>-3.349253E-2</v>
      </c>
      <c r="W8104">
        <v>5.7036249999999997E-2</v>
      </c>
      <c r="X8104">
        <v>0.99781019999999998</v>
      </c>
      <c r="Y8104">
        <v>8.0078570000000002E-2</v>
      </c>
      <c r="Z8104">
        <v>-0.18701699999999999</v>
      </c>
      <c r="AA8104">
        <v>0.97908740000000005</v>
      </c>
      <c r="AB8104">
        <v>18</v>
      </c>
      <c r="AC8104">
        <v>7.2100000000006007E-2</v>
      </c>
      <c r="AD8104">
        <v>-0.13853470000000001</v>
      </c>
      <c r="AE8104">
        <v>0.54325000000000001</v>
      </c>
      <c r="AF8104">
        <v>5.6297812800676701E-2</v>
      </c>
      <c r="AG8104">
        <v>-0.13853470000000001</v>
      </c>
      <c r="AH8104">
        <v>0.51201066081635505</v>
      </c>
      <c r="AI8104">
        <v>105.05343640247401</v>
      </c>
      <c r="AJ8104">
        <v>83.725284324416094</v>
      </c>
      <c r="AK8104">
        <v>0.53340062206547001</v>
      </c>
      <c r="AL8104">
        <v>86.730289286475696</v>
      </c>
      <c r="AM8104">
        <v>91.922470234895201</v>
      </c>
      <c r="AN8104">
        <v>1.0000000393019499</v>
      </c>
    </row>
    <row r="8105" spans="1:40" x14ac:dyDescent="0.25">
      <c r="A8105" t="str">
        <f>"20190312160525448"</f>
        <v>20190312160525448</v>
      </c>
      <c r="B8105" t="str">
        <f>"1552377925443036"</f>
        <v>1552377925443036</v>
      </c>
      <c r="C8105" t="s">
        <v>40</v>
      </c>
      <c r="D8105">
        <v>6.4061110000000001</v>
      </c>
      <c r="E8105">
        <v>0.51184589999999996</v>
      </c>
      <c r="F8105" t="s">
        <v>49</v>
      </c>
      <c r="G8105">
        <v>-187.5119</v>
      </c>
      <c r="H8105">
        <v>0.97707679999999997</v>
      </c>
      <c r="I8105">
        <v>-24.72589</v>
      </c>
      <c r="J8105">
        <v>-187.5778</v>
      </c>
      <c r="K8105">
        <v>1.110452</v>
      </c>
      <c r="L8105">
        <v>-25.256900000000002</v>
      </c>
      <c r="M8105">
        <v>2.230101E-2</v>
      </c>
      <c r="N8105">
        <v>0</v>
      </c>
      <c r="O8105">
        <v>0.99966219999999995</v>
      </c>
      <c r="P8105">
        <v>-1.132589E-2</v>
      </c>
      <c r="Q8105">
        <v>4.4299430000000001E-2</v>
      </c>
      <c r="R8105">
        <v>0.99895409999999996</v>
      </c>
      <c r="S8105">
        <v>0.29873660000000002</v>
      </c>
      <c r="T8105">
        <v>-0.57332320000000003</v>
      </c>
      <c r="U8105">
        <v>3.0314640000000002</v>
      </c>
      <c r="V8105">
        <v>-3.3609859999999998E-2</v>
      </c>
      <c r="W8105">
        <v>5.762275E-2</v>
      </c>
      <c r="X8105">
        <v>0.99777249999999995</v>
      </c>
      <c r="Y8105">
        <v>7.4156310000000003E-2</v>
      </c>
      <c r="Z8105">
        <v>-0.1850743</v>
      </c>
      <c r="AA8105">
        <v>0.97992270000000004</v>
      </c>
      <c r="AB8105">
        <v>18</v>
      </c>
      <c r="AC8105">
        <v>6.5899999999999098E-2</v>
      </c>
      <c r="AD8105">
        <v>-0.1333752</v>
      </c>
      <c r="AE8105">
        <v>0.53101000000000198</v>
      </c>
      <c r="AF8105">
        <v>5.0879320761634698E-2</v>
      </c>
      <c r="AG8105">
        <v>-0.1333752</v>
      </c>
      <c r="AH8105">
        <v>0.50120727472601401</v>
      </c>
      <c r="AI8105">
        <v>104.82869524842199</v>
      </c>
      <c r="AJ8105">
        <v>84.2035593950162</v>
      </c>
      <c r="AK8105">
        <v>0.52113950291115296</v>
      </c>
      <c r="AL8105">
        <v>86.696629766933398</v>
      </c>
      <c r="AM8105">
        <v>91.929272731339395</v>
      </c>
      <c r="AN8105">
        <v>0.99999998288151504</v>
      </c>
    </row>
    <row r="8106" spans="1:40" x14ac:dyDescent="0.25">
      <c r="A8106" t="str">
        <f>"20190312160525469"</f>
        <v>20190312160525469</v>
      </c>
      <c r="B8106" t="str">
        <f>"1552377925463531"</f>
        <v>1552377925463531</v>
      </c>
      <c r="C8106" t="s">
        <v>40</v>
      </c>
      <c r="D8106">
        <v>6.4558280000000003</v>
      </c>
      <c r="E8106">
        <v>0.51400539999999995</v>
      </c>
      <c r="F8106" t="s">
        <v>41</v>
      </c>
      <c r="G8106">
        <v>-187.12729999999999</v>
      </c>
      <c r="H8106" s="1">
        <v>-2.4428749999999999E-6</v>
      </c>
      <c r="I8106">
        <v>-5.8606339999999904</v>
      </c>
      <c r="J8106">
        <v>-187.57419999999999</v>
      </c>
      <c r="K8106">
        <v>1.110452</v>
      </c>
      <c r="L8106">
        <v>-25.090119999999999</v>
      </c>
      <c r="M8106">
        <v>2.2176910000000001E-2</v>
      </c>
      <c r="N8106">
        <v>0</v>
      </c>
      <c r="O8106">
        <v>0.99966489999999997</v>
      </c>
      <c r="P8106">
        <v>-1.147836E-2</v>
      </c>
      <c r="Q8106">
        <v>4.4382970000000001E-2</v>
      </c>
      <c r="R8106">
        <v>0.99894859999999996</v>
      </c>
      <c r="S8106">
        <v>6.9946289999999994E-2</v>
      </c>
      <c r="T8106">
        <v>-0.17241500000000001</v>
      </c>
      <c r="U8106">
        <v>3.0115660000000002</v>
      </c>
      <c r="V8106">
        <v>-3.3638250000000001E-2</v>
      </c>
      <c r="W8106">
        <v>5.7704150000000003E-2</v>
      </c>
      <c r="X8106">
        <v>0.99776690000000001</v>
      </c>
      <c r="Y8106">
        <v>1.003072E-3</v>
      </c>
      <c r="Z8106">
        <v>-5.7128579999999998E-2</v>
      </c>
      <c r="AA8106">
        <v>0.99836630000000004</v>
      </c>
      <c r="AB8106">
        <v>18</v>
      </c>
      <c r="AC8106">
        <v>0.44689999999999902</v>
      </c>
      <c r="AD8106">
        <v>-1.1104544428749901</v>
      </c>
      <c r="AE8106">
        <v>19.229485999999898</v>
      </c>
      <c r="AF8106">
        <v>2.02340336552915E-2</v>
      </c>
      <c r="AG8106">
        <v>-1.1104544428749901</v>
      </c>
      <c r="AH8106">
        <v>19.170771999745899</v>
      </c>
      <c r="AI8106">
        <v>93.315114404175503</v>
      </c>
      <c r="AJ8106">
        <v>89.939526467661594</v>
      </c>
      <c r="AK8106">
        <v>19.202916902180799</v>
      </c>
      <c r="AL8106">
        <v>86.6919583187656</v>
      </c>
      <c r="AM8106">
        <v>91.930911969692502</v>
      </c>
      <c r="AN8106">
        <v>1.0000000437629399</v>
      </c>
    </row>
    <row r="8107" spans="1:40" x14ac:dyDescent="0.25">
      <c r="A8107" t="str">
        <f>"20190312160525492"</f>
        <v>20190312160525492</v>
      </c>
      <c r="B8107" t="str">
        <f>"1552377925483051"</f>
        <v>1552377925483051</v>
      </c>
      <c r="C8107" t="s">
        <v>40</v>
      </c>
      <c r="D8107">
        <v>5.711938</v>
      </c>
      <c r="E8107">
        <v>0.50932599999999995</v>
      </c>
      <c r="F8107" t="s">
        <v>41</v>
      </c>
      <c r="G8107">
        <v>-186.98330000000001</v>
      </c>
      <c r="H8107" s="1">
        <v>-3.063155E-6</v>
      </c>
      <c r="I8107">
        <v>-4.4742949999999997</v>
      </c>
      <c r="J8107">
        <v>-187.5703</v>
      </c>
      <c r="K8107">
        <v>1.1104529999999999</v>
      </c>
      <c r="L8107">
        <v>-24.906739999999999</v>
      </c>
      <c r="M8107">
        <v>2.2040089999999998E-2</v>
      </c>
      <c r="N8107">
        <v>0</v>
      </c>
      <c r="O8107">
        <v>0.999668</v>
      </c>
      <c r="P8107">
        <v>-1.179447E-2</v>
      </c>
      <c r="Q8107">
        <v>4.450337E-2</v>
      </c>
      <c r="R8107">
        <v>0.99893960000000004</v>
      </c>
      <c r="S8107">
        <v>8.6318969999999995E-2</v>
      </c>
      <c r="T8107">
        <v>-0.16220409999999999</v>
      </c>
      <c r="U8107">
        <v>3.0113530000000002</v>
      </c>
      <c r="V8107">
        <v>-3.3816899999999997E-2</v>
      </c>
      <c r="W8107">
        <v>5.7822690000000003E-2</v>
      </c>
      <c r="X8107">
        <v>0.99775400000000003</v>
      </c>
      <c r="Y8107">
        <v>6.5713489999999998E-3</v>
      </c>
      <c r="Z8107">
        <v>-5.375506E-2</v>
      </c>
      <c r="AA8107">
        <v>0.99853250000000005</v>
      </c>
      <c r="AB8107">
        <v>18</v>
      </c>
      <c r="AC8107">
        <v>0.58699999999998898</v>
      </c>
      <c r="AD8107">
        <v>-1.110456063155</v>
      </c>
      <c r="AE8107">
        <v>20.432445000000001</v>
      </c>
      <c r="AF8107">
        <v>0.13608273328390499</v>
      </c>
      <c r="AG8107">
        <v>-1.110456063155</v>
      </c>
      <c r="AH8107">
        <v>20.380272536065799</v>
      </c>
      <c r="AI8107">
        <v>93.118711020500996</v>
      </c>
      <c r="AJ8107">
        <v>89.617431494309997</v>
      </c>
      <c r="AK8107">
        <v>20.410956367177199</v>
      </c>
      <c r="AL8107">
        <v>86.685155123350697</v>
      </c>
      <c r="AM8107">
        <v>91.941184138913997</v>
      </c>
      <c r="AN8107">
        <v>1.00000004536022</v>
      </c>
    </row>
    <row r="8108" spans="1:40" x14ac:dyDescent="0.25">
      <c r="A8108" t="str">
        <f>"20190312160525514"</f>
        <v>20190312160525514</v>
      </c>
      <c r="B8108" t="str">
        <f>"1552377925503547"</f>
        <v>1552377925503547</v>
      </c>
      <c r="C8108" t="s">
        <v>40</v>
      </c>
      <c r="D8108">
        <v>5.6926180000000004</v>
      </c>
      <c r="E8108">
        <v>0.50496160000000001</v>
      </c>
      <c r="F8108" t="s">
        <v>41</v>
      </c>
      <c r="G8108">
        <v>-187.20500000000001</v>
      </c>
      <c r="H8108" s="1">
        <v>-4.1541139999999997E-6</v>
      </c>
      <c r="I8108">
        <v>-1.8395429999999999</v>
      </c>
      <c r="J8108">
        <v>-187.56659999999999</v>
      </c>
      <c r="K8108">
        <v>1.110452</v>
      </c>
      <c r="L8108">
        <v>-24.732790000000001</v>
      </c>
      <c r="M8108">
        <v>2.1910120000000002E-2</v>
      </c>
      <c r="N8108">
        <v>0</v>
      </c>
      <c r="O8108">
        <v>0.99967090000000003</v>
      </c>
      <c r="P8108">
        <v>-1.1911730000000001E-2</v>
      </c>
      <c r="Q8108">
        <v>4.4893740000000001E-2</v>
      </c>
      <c r="R8108">
        <v>0.99892069999999999</v>
      </c>
      <c r="S8108">
        <v>4.7668460000000003E-2</v>
      </c>
      <c r="T8108">
        <v>-0.14491099999999901</v>
      </c>
      <c r="U8108">
        <v>3.0101930000000001</v>
      </c>
      <c r="V8108">
        <v>-3.3804729999999998E-2</v>
      </c>
      <c r="W8108">
        <v>5.8211140000000001E-2</v>
      </c>
      <c r="X8108">
        <v>0.99773179999999995</v>
      </c>
      <c r="Y8108">
        <v>-6.0977310000000003E-3</v>
      </c>
      <c r="Z8108">
        <v>-4.8063660000000001E-2</v>
      </c>
      <c r="AA8108">
        <v>0.99882570000000004</v>
      </c>
      <c r="AB8108">
        <v>18</v>
      </c>
      <c r="AC8108">
        <v>0.36159999999998099</v>
      </c>
      <c r="AD8108">
        <v>-1.1104561541139999</v>
      </c>
      <c r="AE8108">
        <v>22.893246999999999</v>
      </c>
      <c r="AF8108">
        <v>-0.13979643260569499</v>
      </c>
      <c r="AG8108">
        <v>-1.1104561541139999</v>
      </c>
      <c r="AH8108">
        <v>22.8419442793857</v>
      </c>
      <c r="AI8108">
        <v>92.783178574259907</v>
      </c>
      <c r="AJ8108">
        <v>90.350655157816504</v>
      </c>
      <c r="AK8108">
        <v>22.8693479219531</v>
      </c>
      <c r="AL8108">
        <v>86.662860943978799</v>
      </c>
      <c r="AM8108">
        <v>91.940529224949699</v>
      </c>
      <c r="AN8108">
        <v>1.0000000206608499</v>
      </c>
    </row>
    <row r="8109" spans="1:40" x14ac:dyDescent="0.25">
      <c r="A8109" t="str">
        <f>"20190312160525536"</f>
        <v>20190312160525536</v>
      </c>
      <c r="B8109" t="str">
        <f>"1552377925532827"</f>
        <v>1552377925532827</v>
      </c>
      <c r="C8109" t="s">
        <v>40</v>
      </c>
      <c r="D8109">
        <v>5.9988789999999996</v>
      </c>
      <c r="E8109">
        <v>0.50185340000000001</v>
      </c>
      <c r="F8109" t="s">
        <v>41</v>
      </c>
      <c r="G8109">
        <v>-187.46</v>
      </c>
      <c r="H8109" s="1">
        <v>-1.200832E-6</v>
      </c>
      <c r="I8109">
        <v>1.1908449999999999</v>
      </c>
      <c r="J8109">
        <v>-187.56299999999999</v>
      </c>
      <c r="K8109">
        <v>1.1104480000000001</v>
      </c>
      <c r="L8109">
        <v>-24.557590000000001</v>
      </c>
      <c r="M8109">
        <v>2.177919E-2</v>
      </c>
      <c r="N8109">
        <v>0</v>
      </c>
      <c r="O8109">
        <v>0.9996737</v>
      </c>
      <c r="P8109">
        <v>-1.1974479999999999E-2</v>
      </c>
      <c r="Q8109">
        <v>4.484088E-2</v>
      </c>
      <c r="R8109">
        <v>0.99892230000000004</v>
      </c>
      <c r="S8109">
        <v>1.237488E-2</v>
      </c>
      <c r="T8109">
        <v>-0.12890019999999999</v>
      </c>
      <c r="U8109">
        <v>3.0091860000000001</v>
      </c>
      <c r="V8109">
        <v>-3.3736330000000002E-2</v>
      </c>
      <c r="W8109">
        <v>5.8156390000000002E-2</v>
      </c>
      <c r="X8109">
        <v>0.99773730000000005</v>
      </c>
      <c r="Y8109">
        <v>-1.7673359999999999E-2</v>
      </c>
      <c r="Z8109">
        <v>-4.2777580000000003E-2</v>
      </c>
      <c r="AA8109">
        <v>0.99892829999999999</v>
      </c>
      <c r="AB8109">
        <v>18</v>
      </c>
      <c r="AC8109">
        <v>0.10299999999998</v>
      </c>
      <c r="AD8109">
        <v>-1.1104492008319999</v>
      </c>
      <c r="AE8109">
        <v>25.748435000000001</v>
      </c>
      <c r="AF8109">
        <v>-0.45700447355225698</v>
      </c>
      <c r="AG8109">
        <v>-1.1104492008319999</v>
      </c>
      <c r="AH8109">
        <v>25.6967766321598</v>
      </c>
      <c r="AI8109">
        <v>92.4740243901187</v>
      </c>
      <c r="AJ8109">
        <v>91.018869714256596</v>
      </c>
      <c r="AK8109">
        <v>25.724818362810399</v>
      </c>
      <c r="AL8109">
        <v>86.666003184736695</v>
      </c>
      <c r="AM8109">
        <v>91.936595111775205</v>
      </c>
      <c r="AN8109">
        <v>1.00000001273549</v>
      </c>
    </row>
    <row r="8110" spans="1:40" x14ac:dyDescent="0.25">
      <c r="A8110" t="str">
        <f>"20190312160525559"</f>
        <v>20190312160525559</v>
      </c>
      <c r="B8110" t="str">
        <f>"1552377925553324"</f>
        <v>1552377925553324</v>
      </c>
      <c r="C8110" t="s">
        <v>40</v>
      </c>
      <c r="D8110">
        <v>6.0445510000000002</v>
      </c>
      <c r="E8110">
        <v>0.50047019999999998</v>
      </c>
      <c r="F8110" t="s">
        <v>41</v>
      </c>
      <c r="G8110">
        <v>-187.67420000000001</v>
      </c>
      <c r="H8110" s="1">
        <v>-1.437777E-6</v>
      </c>
      <c r="I8110">
        <v>2.0225849999999999</v>
      </c>
      <c r="J8110">
        <v>-187.55930000000001</v>
      </c>
      <c r="K8110">
        <v>1.1104449999999999</v>
      </c>
      <c r="L8110">
        <v>-24.37997</v>
      </c>
      <c r="M8110">
        <v>2.1646120000000001E-2</v>
      </c>
      <c r="N8110">
        <v>0</v>
      </c>
      <c r="O8110">
        <v>0.99967660000000003</v>
      </c>
      <c r="P8110">
        <v>-1.1766469999999999E-2</v>
      </c>
      <c r="Q8110">
        <v>4.4248669999999997E-2</v>
      </c>
      <c r="R8110">
        <v>0.99895129999999999</v>
      </c>
      <c r="S8110">
        <v>-1.2588500000000001E-2</v>
      </c>
      <c r="T8110">
        <v>-0.1256968</v>
      </c>
      <c r="U8110">
        <v>3.0087280000000001</v>
      </c>
      <c r="V8110">
        <v>-3.3396349999999998E-2</v>
      </c>
      <c r="W8110">
        <v>5.7562769999999999E-2</v>
      </c>
      <c r="X8110">
        <v>0.99778310000000003</v>
      </c>
      <c r="Y8110">
        <v>-2.582719E-2</v>
      </c>
      <c r="Z8110">
        <v>-4.1719159999999998E-2</v>
      </c>
      <c r="AA8110">
        <v>0.99879549999999995</v>
      </c>
      <c r="AB8110">
        <v>18</v>
      </c>
      <c r="AC8110">
        <v>-0.114900000000005</v>
      </c>
      <c r="AD8110">
        <v>-1.110446437777</v>
      </c>
      <c r="AE8110">
        <v>26.402555</v>
      </c>
      <c r="AF8110">
        <v>-0.68522478786572605</v>
      </c>
      <c r="AG8110">
        <v>-1.110446437777</v>
      </c>
      <c r="AH8110">
        <v>26.3472754771567</v>
      </c>
      <c r="AI8110">
        <v>92.412575597363002</v>
      </c>
      <c r="AJ8110">
        <v>91.489779853590207</v>
      </c>
      <c r="AK8110">
        <v>26.3795668912562</v>
      </c>
      <c r="AL8110">
        <v>86.700071978413504</v>
      </c>
      <c r="AM8110">
        <v>91.917005656617604</v>
      </c>
      <c r="AN8110">
        <v>0.99999995166450095</v>
      </c>
    </row>
    <row r="8111" spans="1:40" x14ac:dyDescent="0.25">
      <c r="A8111" t="str">
        <f>"20190312160525582"</f>
        <v>20190312160525582</v>
      </c>
      <c r="B8111" t="str">
        <f>"1552377925572843"</f>
        <v>1552377925572843</v>
      </c>
      <c r="C8111" t="s">
        <v>40</v>
      </c>
      <c r="D8111">
        <v>6.266089</v>
      </c>
      <c r="E8111">
        <v>0.50082119999999997</v>
      </c>
      <c r="F8111" t="s">
        <v>41</v>
      </c>
      <c r="G8111">
        <v>-187.77080000000001</v>
      </c>
      <c r="H8111" s="1">
        <v>-1.865955E-6</v>
      </c>
      <c r="I8111">
        <v>3.0606439999999999</v>
      </c>
      <c r="J8111">
        <v>-187.55549999999999</v>
      </c>
      <c r="K8111">
        <v>1.1104499999999999</v>
      </c>
      <c r="L8111">
        <v>-24.199369999999998</v>
      </c>
      <c r="M8111">
        <v>2.15108E-2</v>
      </c>
      <c r="N8111">
        <v>0</v>
      </c>
      <c r="O8111">
        <v>0.9996796</v>
      </c>
      <c r="P8111">
        <v>-1.257252E-2</v>
      </c>
      <c r="Q8111">
        <v>4.471787E-2</v>
      </c>
      <c r="R8111">
        <v>0.99892060000000005</v>
      </c>
      <c r="S8111">
        <v>-2.319336E-2</v>
      </c>
      <c r="T8111">
        <v>-0.1217365</v>
      </c>
      <c r="U8111">
        <v>3.00827</v>
      </c>
      <c r="V8111">
        <v>-3.4065789999999999E-2</v>
      </c>
      <c r="W8111">
        <v>5.8029289999999997E-2</v>
      </c>
      <c r="X8111">
        <v>0.99773350000000005</v>
      </c>
      <c r="Y8111">
        <v>-2.9213619999999999E-2</v>
      </c>
      <c r="Z8111">
        <v>-4.0410910000000001E-2</v>
      </c>
      <c r="AA8111">
        <v>0.99875599999999998</v>
      </c>
      <c r="AB8111">
        <v>18</v>
      </c>
      <c r="AC8111">
        <v>-0.21530000000001301</v>
      </c>
      <c r="AD8111">
        <v>-1.110451865955</v>
      </c>
      <c r="AE8111">
        <v>27.260014000000002</v>
      </c>
      <c r="AF8111">
        <v>-0.80035905199476698</v>
      </c>
      <c r="AG8111">
        <v>-1.110451865955</v>
      </c>
      <c r="AH8111">
        <v>27.2039346549731</v>
      </c>
      <c r="AI8111">
        <v>92.336479318685903</v>
      </c>
      <c r="AJ8111">
        <v>91.685196359561999</v>
      </c>
      <c r="AK8111">
        <v>27.238350513031399</v>
      </c>
      <c r="AL8111">
        <v>86.673297777656302</v>
      </c>
      <c r="AM8111">
        <v>91.955500212835403</v>
      </c>
      <c r="AN8111">
        <v>1.0000000067842301</v>
      </c>
    </row>
    <row r="8112" spans="1:40" x14ac:dyDescent="0.25">
      <c r="A8112" t="str">
        <f>"20190312160525604"</f>
        <v>20190312160525604</v>
      </c>
      <c r="B8112" t="str">
        <f>"1552377925593341"</f>
        <v>1552377925593341</v>
      </c>
      <c r="C8112" t="s">
        <v>40</v>
      </c>
      <c r="D8112">
        <v>5.9231339999999904</v>
      </c>
      <c r="E8112">
        <v>0.49970750000000003</v>
      </c>
      <c r="F8112" t="s">
        <v>41</v>
      </c>
      <c r="G8112">
        <v>-187.75409999999999</v>
      </c>
      <c r="H8112" s="1">
        <v>-1.538587E-6</v>
      </c>
      <c r="I8112">
        <v>2.2906219999999999</v>
      </c>
      <c r="J8112">
        <v>-187.55189999999999</v>
      </c>
      <c r="K8112">
        <v>1.110452</v>
      </c>
      <c r="L8112">
        <v>-24.024049999999999</v>
      </c>
      <c r="M8112">
        <v>2.1379499999999999E-2</v>
      </c>
      <c r="N8112">
        <v>0</v>
      </c>
      <c r="O8112">
        <v>0.99968239999999997</v>
      </c>
      <c r="P8112">
        <v>-1.3722659999999999E-2</v>
      </c>
      <c r="Q8112">
        <v>4.5883899999999998E-2</v>
      </c>
      <c r="R8112">
        <v>0.99885250000000003</v>
      </c>
      <c r="S8112">
        <v>-2.2552490000000001E-2</v>
      </c>
      <c r="T8112">
        <v>-0.1261197</v>
      </c>
      <c r="U8112">
        <v>3.0086059999999999</v>
      </c>
      <c r="V8112">
        <v>-3.5083400000000001E-2</v>
      </c>
      <c r="W8112">
        <v>5.91922E-2</v>
      </c>
      <c r="X8112">
        <v>0.99762989999999996</v>
      </c>
      <c r="Y8112">
        <v>-2.8868290000000001E-2</v>
      </c>
      <c r="Z8112">
        <v>-4.1859199999999999E-2</v>
      </c>
      <c r="AA8112">
        <v>0.99870639999999999</v>
      </c>
      <c r="AB8112">
        <v>18</v>
      </c>
      <c r="AC8112">
        <v>-0.20220000000000399</v>
      </c>
      <c r="AD8112">
        <v>-1.110453538587</v>
      </c>
      <c r="AE8112">
        <v>26.314672000000002</v>
      </c>
      <c r="AF8112">
        <v>-0.76343896789508703</v>
      </c>
      <c r="AG8112">
        <v>-1.110453538587</v>
      </c>
      <c r="AH8112">
        <v>26.257577301205099</v>
      </c>
      <c r="AI8112">
        <v>92.420618724489003</v>
      </c>
      <c r="AJ8112">
        <v>91.665405407539893</v>
      </c>
      <c r="AK8112">
        <v>26.292134029930398</v>
      </c>
      <c r="AL8112">
        <v>86.606553140648501</v>
      </c>
      <c r="AM8112">
        <v>92.014076284454305</v>
      </c>
      <c r="AN8112">
        <v>0.99999998943520396</v>
      </c>
    </row>
    <row r="8113" spans="1:40" x14ac:dyDescent="0.25">
      <c r="A8113" t="str">
        <f>"20190312160525626"</f>
        <v>20190312160525626</v>
      </c>
      <c r="B8113" t="str">
        <f>"1552377925612859"</f>
        <v>1552377925612859</v>
      </c>
      <c r="C8113" t="s">
        <v>40</v>
      </c>
      <c r="D8113">
        <v>6.044003</v>
      </c>
      <c r="E8113">
        <v>0.49983339999999998</v>
      </c>
      <c r="F8113" t="s">
        <v>41</v>
      </c>
      <c r="G8113">
        <v>-187.87700000000001</v>
      </c>
      <c r="H8113" s="1">
        <v>-2.268185E-6</v>
      </c>
      <c r="I8113">
        <v>4.0421719999999999</v>
      </c>
      <c r="J8113">
        <v>-187.54839999999999</v>
      </c>
      <c r="K8113">
        <v>1.1104529999999999</v>
      </c>
      <c r="L8113">
        <v>-23.85172</v>
      </c>
      <c r="M8113">
        <v>2.125049E-2</v>
      </c>
      <c r="N8113">
        <v>0</v>
      </c>
      <c r="O8113">
        <v>0.99968520000000005</v>
      </c>
      <c r="P8113">
        <v>-1.42185E-2</v>
      </c>
      <c r="Q8113">
        <v>4.5354310000000002E-2</v>
      </c>
      <c r="R8113">
        <v>0.99886980000000003</v>
      </c>
      <c r="S8113">
        <v>-3.4851069999999998E-2</v>
      </c>
      <c r="T8113">
        <v>-0.11902980000000001</v>
      </c>
      <c r="U8113">
        <v>3.0084230000000001</v>
      </c>
      <c r="V8113">
        <v>-3.5450339999999997E-2</v>
      </c>
      <c r="W8113">
        <v>5.866097E-2</v>
      </c>
      <c r="X8113">
        <v>0.99764830000000004</v>
      </c>
      <c r="Y8113">
        <v>-3.282301E-2</v>
      </c>
      <c r="Z8113">
        <v>-3.9509219999999998E-2</v>
      </c>
      <c r="AA8113">
        <v>0.99867989999999995</v>
      </c>
      <c r="AB8113">
        <v>18</v>
      </c>
      <c r="AC8113">
        <v>-0.32860000000002199</v>
      </c>
      <c r="AD8113">
        <v>-1.110455268185</v>
      </c>
      <c r="AE8113">
        <v>27.893891999999902</v>
      </c>
      <c r="AF8113">
        <v>-0.91987973960329905</v>
      </c>
      <c r="AG8113">
        <v>-1.110455268185</v>
      </c>
      <c r="AH8113">
        <v>27.8364983067666</v>
      </c>
      <c r="AI8113">
        <v>92.283190413288196</v>
      </c>
      <c r="AJ8113">
        <v>91.892696903285099</v>
      </c>
      <c r="AK8113">
        <v>27.873821546759402</v>
      </c>
      <c r="AL8113">
        <v>86.637043339736096</v>
      </c>
      <c r="AM8113">
        <v>92.0350865394675</v>
      </c>
      <c r="AN8113">
        <v>0.99999998325017303</v>
      </c>
    </row>
    <row r="8114" spans="1:40" x14ac:dyDescent="0.25">
      <c r="A8114" t="str">
        <f>"20190312160525650"</f>
        <v>20190312160525650</v>
      </c>
      <c r="B8114" t="str">
        <f>"1552377925643116"</f>
        <v>1552377925643116</v>
      </c>
      <c r="C8114" t="s">
        <v>40</v>
      </c>
      <c r="D8114">
        <v>6.0400099999999997</v>
      </c>
      <c r="E8114">
        <v>0.49906899999999998</v>
      </c>
      <c r="F8114" t="s">
        <v>41</v>
      </c>
      <c r="G8114">
        <v>-187.8492</v>
      </c>
      <c r="H8114" s="1">
        <v>-1.4162139999999901E-6</v>
      </c>
      <c r="I8114">
        <v>2.044673</v>
      </c>
      <c r="J8114">
        <v>-187.54470000000001</v>
      </c>
      <c r="K8114">
        <v>1.110444</v>
      </c>
      <c r="L8114">
        <v>-23.667570000000001</v>
      </c>
      <c r="M8114">
        <v>2.1114770000000001E-2</v>
      </c>
      <c r="N8114">
        <v>0</v>
      </c>
      <c r="O8114">
        <v>0.99968809999999997</v>
      </c>
      <c r="P8114">
        <v>-1.435115E-2</v>
      </c>
      <c r="Q8114">
        <v>4.4575620000000003E-2</v>
      </c>
      <c r="R8114">
        <v>0.99890290000000004</v>
      </c>
      <c r="S8114">
        <v>-3.4942630000000002E-2</v>
      </c>
      <c r="T8114">
        <v>-0.12901750000000001</v>
      </c>
      <c r="U8114">
        <v>3.008759</v>
      </c>
      <c r="V8114">
        <v>-3.544862E-2</v>
      </c>
      <c r="W8114">
        <v>5.7880769999999998E-2</v>
      </c>
      <c r="X8114">
        <v>0.99769399999999997</v>
      </c>
      <c r="Y8114">
        <v>-3.271483E-2</v>
      </c>
      <c r="Z8114">
        <v>-4.2814060000000001E-2</v>
      </c>
      <c r="AA8114">
        <v>0.99854730000000003</v>
      </c>
      <c r="AB8114">
        <v>18</v>
      </c>
      <c r="AC8114">
        <v>-0.30449999999999</v>
      </c>
      <c r="AD8114">
        <v>-1.1104454162140001</v>
      </c>
      <c r="AE8114">
        <v>25.712243000000001</v>
      </c>
      <c r="AF8114">
        <v>-0.84581114296981497</v>
      </c>
      <c r="AG8114">
        <v>-1.1104454162140001</v>
      </c>
      <c r="AH8114">
        <v>25.652240982513099</v>
      </c>
      <c r="AI8114">
        <v>92.477352640521104</v>
      </c>
      <c r="AJ8114">
        <v>91.888484454780496</v>
      </c>
      <c r="AK8114">
        <v>25.690191765280499</v>
      </c>
      <c r="AL8114">
        <v>86.681821827033701</v>
      </c>
      <c r="AM8114">
        <v>92.034894747455397</v>
      </c>
      <c r="AN8114">
        <v>1.0000000529158399</v>
      </c>
    </row>
    <row r="8115" spans="1:40" x14ac:dyDescent="0.25">
      <c r="A8115" t="str">
        <f>"20190312160525671"</f>
        <v>20190312160525671</v>
      </c>
      <c r="B8115" t="str">
        <f>"1552377925663611"</f>
        <v>1552377925663611</v>
      </c>
      <c r="C8115" t="s">
        <v>40</v>
      </c>
      <c r="D8115">
        <v>6.1348140000000004</v>
      </c>
      <c r="E8115">
        <v>0.49923129999999999</v>
      </c>
      <c r="F8115" t="s">
        <v>41</v>
      </c>
      <c r="G8115">
        <v>-187.90899999999999</v>
      </c>
      <c r="H8115" s="1">
        <v>-1.67397699999999E-6</v>
      </c>
      <c r="I8115">
        <v>2.6702530000000002</v>
      </c>
      <c r="J8115">
        <v>-187.5411</v>
      </c>
      <c r="K8115">
        <v>1.11043799999999</v>
      </c>
      <c r="L8115">
        <v>-23.492979999999999</v>
      </c>
      <c r="M8115">
        <v>2.098995E-2</v>
      </c>
      <c r="N8115">
        <v>0</v>
      </c>
      <c r="O8115">
        <v>0.99969079999999999</v>
      </c>
      <c r="P8115">
        <v>-1.357468E-2</v>
      </c>
      <c r="Q8115">
        <v>4.4058739999999999E-2</v>
      </c>
      <c r="R8115">
        <v>0.99893670000000001</v>
      </c>
      <c r="S8115">
        <v>-4.1610719999999997E-2</v>
      </c>
      <c r="T8115">
        <v>-0.12683749999999999</v>
      </c>
      <c r="U8115">
        <v>3.008362</v>
      </c>
      <c r="V8115">
        <v>-3.4547639999999998E-2</v>
      </c>
      <c r="W8115">
        <v>5.7362829999999997E-2</v>
      </c>
      <c r="X8115">
        <v>0.99775550000000002</v>
      </c>
      <c r="Y8115">
        <v>-3.4804849999999998E-2</v>
      </c>
      <c r="Z8115">
        <v>-4.2095529999999999E-2</v>
      </c>
      <c r="AA8115">
        <v>0.99850720000000004</v>
      </c>
      <c r="AB8115">
        <v>18</v>
      </c>
      <c r="AC8115">
        <v>-0.36790000000001999</v>
      </c>
      <c r="AD8115">
        <v>-1.1104396739769899</v>
      </c>
      <c r="AE8115">
        <v>26.163233000000002</v>
      </c>
      <c r="AF8115">
        <v>-0.91538405658321198</v>
      </c>
      <c r="AG8115">
        <v>-1.1104396739769899</v>
      </c>
      <c r="AH8115">
        <v>26.102733139959199</v>
      </c>
      <c r="AI8115">
        <v>92.434463535855102</v>
      </c>
      <c r="AJ8115">
        <v>92.008454769719506</v>
      </c>
      <c r="AK8115">
        <v>26.142373297321601</v>
      </c>
      <c r="AL8115">
        <v>86.711546934125707</v>
      </c>
      <c r="AM8115">
        <v>91.983094530469103</v>
      </c>
      <c r="AN8115">
        <v>1.0000000357377099</v>
      </c>
    </row>
    <row r="8116" spans="1:40" x14ac:dyDescent="0.25">
      <c r="A8116" t="str">
        <f>"20190312160525691"</f>
        <v>20190312160525691</v>
      </c>
      <c r="B8116" t="str">
        <f>"1552377925683132"</f>
        <v>1552377925683132</v>
      </c>
      <c r="C8116" t="s">
        <v>40</v>
      </c>
      <c r="D8116">
        <v>5.4740760000000002</v>
      </c>
      <c r="E8116">
        <v>0.49923129999999999</v>
      </c>
      <c r="F8116" t="s">
        <v>41</v>
      </c>
      <c r="G8116">
        <v>-187.8674</v>
      </c>
      <c r="H8116" s="1">
        <v>-1.552937E-6</v>
      </c>
      <c r="I8116">
        <v>2.370908</v>
      </c>
      <c r="J8116">
        <v>-187.53790000000001</v>
      </c>
      <c r="K8116">
        <v>1.1104350000000001</v>
      </c>
      <c r="L8116">
        <v>-23.336210000000001</v>
      </c>
      <c r="M8116">
        <v>2.0881159999999999E-2</v>
      </c>
      <c r="N8116">
        <v>0</v>
      </c>
      <c r="O8116">
        <v>0.9996931</v>
      </c>
      <c r="P8116">
        <v>-1.262371E-2</v>
      </c>
      <c r="Q8116">
        <v>4.4575139999999999E-2</v>
      </c>
      <c r="R8116">
        <v>0.99892630000000004</v>
      </c>
      <c r="S8116">
        <v>-3.7948610000000001E-2</v>
      </c>
      <c r="T8116">
        <v>-0.129161</v>
      </c>
      <c r="U8116">
        <v>3.008362</v>
      </c>
      <c r="V8116">
        <v>-3.3487570000000001E-2</v>
      </c>
      <c r="W8116">
        <v>5.7877909999999998E-2</v>
      </c>
      <c r="X8116">
        <v>0.99776180000000003</v>
      </c>
      <c r="Y8116">
        <v>-3.3480379999999997E-2</v>
      </c>
      <c r="Z8116">
        <v>-4.2866729999999999E-2</v>
      </c>
      <c r="AA8116">
        <v>0.99851970000000001</v>
      </c>
      <c r="AB8116">
        <v>18</v>
      </c>
      <c r="AC8116">
        <v>-0.32949999999999502</v>
      </c>
      <c r="AD8116">
        <v>-1.1104365529369999</v>
      </c>
      <c r="AE8116">
        <v>25.707117999999902</v>
      </c>
      <c r="AF8116">
        <v>-0.86465721422720199</v>
      </c>
      <c r="AG8116">
        <v>-1.1104365529369999</v>
      </c>
      <c r="AH8116">
        <v>25.646785360208</v>
      </c>
      <c r="AI8116">
        <v>92.477798070922304</v>
      </c>
      <c r="AJ8116">
        <v>91.930941872834495</v>
      </c>
      <c r="AK8116">
        <v>25.6853713375687</v>
      </c>
      <c r="AL8116">
        <v>86.681985591967106</v>
      </c>
      <c r="AM8116">
        <v>91.922278917164903</v>
      </c>
      <c r="AN8116">
        <v>0.99999993967485401</v>
      </c>
    </row>
    <row r="8117" spans="1:40" x14ac:dyDescent="0.25">
      <c r="A8117" t="str">
        <f>"20190312160525780"</f>
        <v>20190312160525780</v>
      </c>
      <c r="B8117" t="str">
        <f>"1552377925772923"</f>
        <v>1552377925772923</v>
      </c>
      <c r="C8117" t="s">
        <v>40</v>
      </c>
      <c r="D8117">
        <v>6.3754989999999996</v>
      </c>
      <c r="E8117">
        <v>0.4999189</v>
      </c>
      <c r="F8117" t="s">
        <v>41</v>
      </c>
      <c r="G8117">
        <v>-187.84479999999999</v>
      </c>
      <c r="H8117" s="1">
        <v>-1.7597409999999999E-6</v>
      </c>
      <c r="I8117">
        <v>2.8436460000000001</v>
      </c>
      <c r="J8117">
        <v>-187.52420000000001</v>
      </c>
      <c r="K8117">
        <v>1.110425</v>
      </c>
      <c r="L8117">
        <v>-22.648990000000001</v>
      </c>
      <c r="M8117">
        <v>2.049132E-2</v>
      </c>
      <c r="N8117">
        <v>0</v>
      </c>
      <c r="O8117">
        <v>0.99970130000000001</v>
      </c>
      <c r="P8117">
        <v>-1.214543E-2</v>
      </c>
      <c r="Q8117">
        <v>4.5771840000000001E-2</v>
      </c>
      <c r="R8117">
        <v>0.99887809999999999</v>
      </c>
      <c r="S8117">
        <v>-3.5263059999999999E-2</v>
      </c>
      <c r="T8117">
        <v>-0.1276069</v>
      </c>
      <c r="U8117">
        <v>3.0084840000000002</v>
      </c>
      <c r="V8117">
        <v>-3.2615089999999999E-2</v>
      </c>
      <c r="W8117">
        <v>5.9069860000000002E-2</v>
      </c>
      <c r="X8117">
        <v>0.99772090000000002</v>
      </c>
      <c r="Y8117">
        <v>-3.2199159999999998E-2</v>
      </c>
      <c r="Z8117">
        <v>-4.2351819999999998E-2</v>
      </c>
      <c r="AA8117">
        <v>0.99858380000000002</v>
      </c>
      <c r="AB8117">
        <v>17</v>
      </c>
      <c r="AC8117">
        <v>-0.32059999999998401</v>
      </c>
      <c r="AD8117">
        <v>-1.110426759741</v>
      </c>
      <c r="AE8117">
        <v>25.492636000000001</v>
      </c>
      <c r="AF8117">
        <v>-0.84136066540740495</v>
      </c>
      <c r="AG8117">
        <v>-1.110426759741</v>
      </c>
      <c r="AH8117">
        <v>25.432465303995901</v>
      </c>
      <c r="AI8117">
        <v>92.498682786420403</v>
      </c>
      <c r="AJ8117">
        <v>91.894776616313806</v>
      </c>
      <c r="AK8117">
        <v>25.470595336524799</v>
      </c>
      <c r="AL8117">
        <v>86.6135750063833</v>
      </c>
      <c r="AM8117">
        <v>91.872308971935894</v>
      </c>
      <c r="AN8117">
        <v>0.99999999337646805</v>
      </c>
    </row>
    <row r="8118" spans="1:40" x14ac:dyDescent="0.25">
      <c r="A8118" t="str">
        <f>"20190312160525804"</f>
        <v>20190312160525804</v>
      </c>
      <c r="B8118" t="str">
        <f>"1552377925793419"</f>
        <v>1552377925793419</v>
      </c>
      <c r="C8118" t="s">
        <v>40</v>
      </c>
      <c r="D8118">
        <v>6.2408539999999997</v>
      </c>
      <c r="E8118">
        <v>0.49994909999999998</v>
      </c>
      <c r="F8118" t="s">
        <v>49</v>
      </c>
      <c r="G8118">
        <v>-187.5223</v>
      </c>
      <c r="H8118">
        <v>0.83941969999999999</v>
      </c>
      <c r="I8118">
        <v>-21.955400000000001</v>
      </c>
      <c r="J8118">
        <v>-187.5205</v>
      </c>
      <c r="K8118">
        <v>1.1104160000000001</v>
      </c>
      <c r="L8118">
        <v>-22.463709999999999</v>
      </c>
      <c r="M8118">
        <v>2.0422059999999999E-2</v>
      </c>
      <c r="N8118">
        <v>0</v>
      </c>
      <c r="O8118">
        <v>0.99970270000000006</v>
      </c>
      <c r="P8118">
        <v>-1.191422E-2</v>
      </c>
      <c r="Q8118">
        <v>4.628699E-2</v>
      </c>
      <c r="R8118">
        <v>0.99885710000000005</v>
      </c>
      <c r="S8118">
        <v>7.6446530000000004E-3</v>
      </c>
      <c r="T8118">
        <v>-1.1949209999999999</v>
      </c>
      <c r="U8118">
        <v>3.0582280000000002</v>
      </c>
      <c r="V8118">
        <v>-3.2312939999999998E-2</v>
      </c>
      <c r="W8118">
        <v>5.9583469999999999E-2</v>
      </c>
      <c r="X8118">
        <v>0.99770020000000004</v>
      </c>
      <c r="Y8118">
        <v>-1.8095839999999998E-2</v>
      </c>
      <c r="Z8118">
        <v>-0.36378890000000003</v>
      </c>
      <c r="AA8118">
        <v>0.93130559999999996</v>
      </c>
      <c r="AB8118">
        <v>17</v>
      </c>
      <c r="AC8118">
        <v>-1.8000000000029099E-3</v>
      </c>
      <c r="AD8118">
        <v>-0.27099630000000002</v>
      </c>
      <c r="AE8118">
        <v>0.50830999999999804</v>
      </c>
      <c r="AF8118">
        <v>-9.4853102063601705E-3</v>
      </c>
      <c r="AG8118">
        <v>-0.27099630000000002</v>
      </c>
      <c r="AH8118">
        <v>0.39569917294227303</v>
      </c>
      <c r="AI8118">
        <v>124.397791437061</v>
      </c>
      <c r="AJ8118">
        <v>91.373174929902504</v>
      </c>
      <c r="AK8118">
        <v>0.47969448734647702</v>
      </c>
      <c r="AL8118">
        <v>86.584095427131501</v>
      </c>
      <c r="AM8118">
        <v>91.855014317320297</v>
      </c>
      <c r="AN8118">
        <v>1.0000000025343601</v>
      </c>
    </row>
    <row r="8119" spans="1:40" x14ac:dyDescent="0.25">
      <c r="A8119" t="str">
        <f>"20190312160525826"</f>
        <v>20190312160525826</v>
      </c>
      <c r="B8119" t="str">
        <f>"1552377925822699"</f>
        <v>1552377925822699</v>
      </c>
      <c r="C8119" t="s">
        <v>40</v>
      </c>
      <c r="D8119">
        <v>6.0793109999999997</v>
      </c>
      <c r="E8119">
        <v>0.50222670000000003</v>
      </c>
      <c r="F8119" t="s">
        <v>49</v>
      </c>
      <c r="G8119">
        <v>-187.51949999999999</v>
      </c>
      <c r="H8119">
        <v>0.87141229999999903</v>
      </c>
      <c r="I8119">
        <v>-21.786370000000002</v>
      </c>
      <c r="J8119">
        <v>-187.517</v>
      </c>
      <c r="K8119">
        <v>1.110406</v>
      </c>
      <c r="L8119">
        <v>-22.292269999999998</v>
      </c>
      <c r="M8119">
        <v>2.0371500000000001E-2</v>
      </c>
      <c r="N8119">
        <v>0</v>
      </c>
      <c r="O8119">
        <v>0.99970380000000003</v>
      </c>
      <c r="P8119">
        <v>-1.159843E-2</v>
      </c>
      <c r="Q8119">
        <v>4.6822229999999999E-2</v>
      </c>
      <c r="R8119">
        <v>0.9988359</v>
      </c>
      <c r="S8119">
        <v>4.0130620000000004E-3</v>
      </c>
      <c r="T8119">
        <v>-1.077393</v>
      </c>
      <c r="U8119">
        <v>3.0534059999999998</v>
      </c>
      <c r="V8119">
        <v>-3.1945130000000002E-2</v>
      </c>
      <c r="W8119">
        <v>6.0117049999999998E-2</v>
      </c>
      <c r="X8119">
        <v>0.99768000000000001</v>
      </c>
      <c r="Y8119">
        <v>-1.9134020000000002E-2</v>
      </c>
      <c r="Z8119">
        <v>-0.3326114</v>
      </c>
      <c r="AA8119">
        <v>0.94286979999999998</v>
      </c>
      <c r="AB8119">
        <v>17</v>
      </c>
      <c r="AC8119">
        <v>-2.4999999999977202E-3</v>
      </c>
      <c r="AD8119">
        <v>-0.2389937</v>
      </c>
      <c r="AE8119">
        <v>0.50590000000000002</v>
      </c>
      <c r="AF8119">
        <v>-1.0469805689153899E-2</v>
      </c>
      <c r="AG8119">
        <v>-0.2389937</v>
      </c>
      <c r="AH8119">
        <v>0.41347046909042301</v>
      </c>
      <c r="AI8119">
        <v>120.020763885932</v>
      </c>
      <c r="AJ8119">
        <v>91.450520800332299</v>
      </c>
      <c r="AK8119">
        <v>0.47768759067063199</v>
      </c>
      <c r="AL8119">
        <v>86.553468518606394</v>
      </c>
      <c r="AM8119">
        <v>91.833950767337001</v>
      </c>
      <c r="AN8119">
        <v>0.99999996671570901</v>
      </c>
    </row>
    <row r="8120" spans="1:40" x14ac:dyDescent="0.25">
      <c r="A8120" t="str">
        <f>"20190312160525847"</f>
        <v>20190312160525847</v>
      </c>
      <c r="B8120" t="str">
        <f>"1552377925843195"</f>
        <v>1552377925843195</v>
      </c>
      <c r="C8120" t="s">
        <v>40</v>
      </c>
      <c r="D8120">
        <v>6.0844950000000004</v>
      </c>
      <c r="E8120">
        <v>0.50155340000000004</v>
      </c>
      <c r="F8120" t="s">
        <v>49</v>
      </c>
      <c r="G8120">
        <v>-187.5172</v>
      </c>
      <c r="H8120">
        <v>1.0325740000000001</v>
      </c>
      <c r="I8120">
        <v>-21.554099999999998</v>
      </c>
      <c r="J8120">
        <v>-187.5138</v>
      </c>
      <c r="K8120">
        <v>1.1104039999999999</v>
      </c>
      <c r="L8120">
        <v>-22.129670000000001</v>
      </c>
      <c r="M8120">
        <v>2.0333440000000001E-2</v>
      </c>
      <c r="N8120">
        <v>0</v>
      </c>
      <c r="O8120">
        <v>0.9997045</v>
      </c>
      <c r="P8120">
        <v>-1.061084E-2</v>
      </c>
      <c r="Q8120">
        <v>4.6833909999999999E-2</v>
      </c>
      <c r="R8120">
        <v>0.99884640000000002</v>
      </c>
      <c r="S8120">
        <v>-1.480103E-3</v>
      </c>
      <c r="T8120">
        <v>-0.31822790000000001</v>
      </c>
      <c r="U8120">
        <v>3.018402</v>
      </c>
      <c r="V8120">
        <v>-3.0918939999999999E-2</v>
      </c>
      <c r="W8120">
        <v>6.0127989999999999E-2</v>
      </c>
      <c r="X8120">
        <v>0.99771169999999998</v>
      </c>
      <c r="Y8120">
        <v>-2.0822779999999999E-2</v>
      </c>
      <c r="Z8120">
        <v>-0.1048043</v>
      </c>
      <c r="AA8120">
        <v>0.99427489999999996</v>
      </c>
      <c r="AB8120">
        <v>17</v>
      </c>
      <c r="AC8120">
        <v>-3.3999999999991802E-3</v>
      </c>
      <c r="AD8120">
        <v>-7.7830000000000205E-2</v>
      </c>
      <c r="AE8120">
        <v>0.57557000000000202</v>
      </c>
      <c r="AF8120">
        <v>-1.4832449965969901E-2</v>
      </c>
      <c r="AG8120">
        <v>-7.7830000000000205E-2</v>
      </c>
      <c r="AH8120">
        <v>0.56505019356956898</v>
      </c>
      <c r="AI8120">
        <v>97.839903560723002</v>
      </c>
      <c r="AJ8120">
        <v>91.503656983799303</v>
      </c>
      <c r="AK8120">
        <v>0.57057798040671104</v>
      </c>
      <c r="AL8120">
        <v>86.552840668467894</v>
      </c>
      <c r="AM8120">
        <v>91.775019766267505</v>
      </c>
      <c r="AN8120">
        <v>0.99999999617452595</v>
      </c>
    </row>
    <row r="8121" spans="1:40" x14ac:dyDescent="0.25">
      <c r="A8121" t="str">
        <f>"20190312160525860"</f>
        <v>20190312160525860</v>
      </c>
      <c r="B8121" t="str">
        <f>"1552377925852956"</f>
        <v>1552377925852956</v>
      </c>
      <c r="C8121" t="s">
        <v>40</v>
      </c>
      <c r="D8121">
        <v>6.1726269999999896</v>
      </c>
      <c r="E8121">
        <v>0.50058080000000005</v>
      </c>
      <c r="F8121" t="s">
        <v>41</v>
      </c>
      <c r="G8121">
        <v>-187.5497</v>
      </c>
      <c r="H8121" s="1">
        <v>-1.8144989999999999E-6</v>
      </c>
      <c r="I8121">
        <v>-7.1507569999999996</v>
      </c>
      <c r="J8121">
        <v>-187.51150000000001</v>
      </c>
      <c r="K8121">
        <v>1.110401</v>
      </c>
      <c r="L8121">
        <v>-22.018460000000001</v>
      </c>
      <c r="M8121">
        <v>2.0311940000000001E-2</v>
      </c>
      <c r="N8121">
        <v>0</v>
      </c>
      <c r="O8121">
        <v>0.99970499999999995</v>
      </c>
      <c r="P8121">
        <v>-1.006434E-2</v>
      </c>
      <c r="Q8121">
        <v>4.6797569999999997E-2</v>
      </c>
      <c r="R8121">
        <v>0.99885369999999996</v>
      </c>
      <c r="S8121">
        <v>-7.2174069999999899E-3</v>
      </c>
      <c r="T8121">
        <v>-0.22342100000000001</v>
      </c>
      <c r="U8121">
        <v>3.013855</v>
      </c>
      <c r="V8121">
        <v>-3.035096E-2</v>
      </c>
      <c r="W8121">
        <v>6.0090869999999998E-2</v>
      </c>
      <c r="X8121">
        <v>0.99773140000000005</v>
      </c>
      <c r="Y8121">
        <v>-2.270138E-2</v>
      </c>
      <c r="Z8121">
        <v>-7.3895959999999997E-2</v>
      </c>
      <c r="AA8121">
        <v>0.99700750000000005</v>
      </c>
      <c r="AB8121">
        <v>17</v>
      </c>
      <c r="AC8121">
        <v>-3.8199999999989097E-2</v>
      </c>
      <c r="AD8121">
        <v>-1.1104028144989999</v>
      </c>
      <c r="AE8121">
        <v>14.867703000000001</v>
      </c>
      <c r="AF8121">
        <v>-0.33832365528691299</v>
      </c>
      <c r="AG8121">
        <v>-1.1104028144989999</v>
      </c>
      <c r="AH8121">
        <v>14.7814099524157</v>
      </c>
      <c r="AI8121">
        <v>94.294959440651994</v>
      </c>
      <c r="AJ8121">
        <v>91.311183007606601</v>
      </c>
      <c r="AK8121">
        <v>14.826919352567799</v>
      </c>
      <c r="AL8121">
        <v>86.554971422644499</v>
      </c>
      <c r="AM8121">
        <v>91.742398612047097</v>
      </c>
      <c r="AN8121">
        <v>1.0000000199881101</v>
      </c>
    </row>
    <row r="8122" spans="1:40" x14ac:dyDescent="0.25">
      <c r="A8122" t="str">
        <f>"20190312160525881"</f>
        <v>20190312160525881</v>
      </c>
      <c r="B8122" t="str">
        <f>"1552377925873452"</f>
        <v>1552377925873452</v>
      </c>
      <c r="C8122" t="s">
        <v>40</v>
      </c>
      <c r="D8122">
        <v>6.1063589999999897</v>
      </c>
      <c r="E8122">
        <v>0.50012599999999996</v>
      </c>
      <c r="F8122" t="s">
        <v>41</v>
      </c>
      <c r="G8122">
        <v>-187.5976</v>
      </c>
      <c r="H8122" s="1">
        <v>-2.997887E-6</v>
      </c>
      <c r="I8122">
        <v>-4.372414</v>
      </c>
      <c r="J8122">
        <v>-187.5085</v>
      </c>
      <c r="K8122">
        <v>1.1104069999999999</v>
      </c>
      <c r="L8122">
        <v>-21.867249999999999</v>
      </c>
      <c r="M8122">
        <v>2.0285049999999999E-2</v>
      </c>
      <c r="N8122">
        <v>0</v>
      </c>
      <c r="O8122">
        <v>0.99970559999999997</v>
      </c>
      <c r="P8122">
        <v>-9.684926E-3</v>
      </c>
      <c r="Q8122">
        <v>4.5656309999999999E-2</v>
      </c>
      <c r="R8122">
        <v>0.99891019999999997</v>
      </c>
      <c r="S8122">
        <v>-1.4694209999999999E-2</v>
      </c>
      <c r="T8122">
        <v>-0.18954570000000001</v>
      </c>
      <c r="U8122">
        <v>3.0121769999999999</v>
      </c>
      <c r="V8122">
        <v>-2.9946230000000001E-2</v>
      </c>
      <c r="W8122">
        <v>5.894895E-2</v>
      </c>
      <c r="X8122">
        <v>0.99781169999999997</v>
      </c>
      <c r="Y8122">
        <v>-2.5154180000000002E-2</v>
      </c>
      <c r="Z8122">
        <v>-6.2772590000000003E-2</v>
      </c>
      <c r="AA8122">
        <v>0.99771080000000001</v>
      </c>
      <c r="AB8122">
        <v>17</v>
      </c>
      <c r="AC8122">
        <v>-8.91000000000019E-2</v>
      </c>
      <c r="AD8122">
        <v>-1.1104099978869999</v>
      </c>
      <c r="AE8122">
        <v>17.494835999999999</v>
      </c>
      <c r="AF8122">
        <v>-0.44221530554326999</v>
      </c>
      <c r="AG8122">
        <v>-1.1104099978869999</v>
      </c>
      <c r="AH8122">
        <v>17.419255782621299</v>
      </c>
      <c r="AI8122">
        <v>93.646276907334894</v>
      </c>
      <c r="AJ8122">
        <v>91.454231455060693</v>
      </c>
      <c r="AK8122">
        <v>17.460212964344102</v>
      </c>
      <c r="AL8122">
        <v>86.620514659881096</v>
      </c>
      <c r="AM8122">
        <v>91.719039497290396</v>
      </c>
      <c r="AN8122">
        <v>0.999999972027102</v>
      </c>
    </row>
    <row r="8123" spans="1:40" x14ac:dyDescent="0.25">
      <c r="A8123" t="str">
        <f>"20190312160525894"</f>
        <v>20190312160525894</v>
      </c>
      <c r="B8123" t="str">
        <f>"1552377925883212"</f>
        <v>1552377925883212</v>
      </c>
      <c r="C8123" t="s">
        <v>40</v>
      </c>
      <c r="D8123">
        <v>8.4776220000000002</v>
      </c>
      <c r="E8123">
        <v>0.49914389999999997</v>
      </c>
      <c r="F8123" t="s">
        <v>41</v>
      </c>
      <c r="G8123">
        <v>-187.64760000000001</v>
      </c>
      <c r="H8123" s="1">
        <v>-9.6306990000000002E-7</v>
      </c>
      <c r="I8123">
        <v>0.63880309999999996</v>
      </c>
      <c r="J8123">
        <v>-187.50630000000001</v>
      </c>
      <c r="K8123">
        <v>1.1104050000000001</v>
      </c>
      <c r="L8123">
        <v>-21.759609999999999</v>
      </c>
      <c r="M8123">
        <v>2.0266800000000001E-2</v>
      </c>
      <c r="N8123">
        <v>0</v>
      </c>
      <c r="O8123">
        <v>0.99970599999999998</v>
      </c>
      <c r="P8123">
        <v>-9.4858830000000005E-3</v>
      </c>
      <c r="Q8123">
        <v>4.585173E-2</v>
      </c>
      <c r="R8123">
        <v>0.99890319999999999</v>
      </c>
      <c r="S8123">
        <v>-1.8600459999999999E-2</v>
      </c>
      <c r="T8123">
        <v>-0.1485023</v>
      </c>
      <c r="U8123">
        <v>3.0098880000000001</v>
      </c>
      <c r="V8123">
        <v>-2.972845E-2</v>
      </c>
      <c r="W8123">
        <v>5.9143170000000002E-2</v>
      </c>
      <c r="X8123">
        <v>0.99780670000000005</v>
      </c>
      <c r="Y8123">
        <v>-2.64391E-2</v>
      </c>
      <c r="Z8123">
        <v>-4.9253959999999999E-2</v>
      </c>
      <c r="AA8123">
        <v>0.99843630000000005</v>
      </c>
      <c r="AB8123">
        <v>17</v>
      </c>
      <c r="AC8123">
        <v>-0.14130000000000101</v>
      </c>
      <c r="AD8123">
        <v>-1.1104059630698999</v>
      </c>
      <c r="AE8123">
        <v>22.398413099999999</v>
      </c>
      <c r="AF8123">
        <v>-0.59379603444719198</v>
      </c>
      <c r="AG8123">
        <v>-1.1104059630698999</v>
      </c>
      <c r="AH8123">
        <v>22.336054699520901</v>
      </c>
      <c r="AI8123">
        <v>92.845033580280599</v>
      </c>
      <c r="AJ8123">
        <v>91.522829146822801</v>
      </c>
      <c r="AK8123">
        <v>22.3715206160274</v>
      </c>
      <c r="AL8123">
        <v>86.609367159045405</v>
      </c>
      <c r="AM8123">
        <v>91.706553975583205</v>
      </c>
      <c r="AN8123">
        <v>0.99999995293096899</v>
      </c>
    </row>
    <row r="8124" spans="1:40" x14ac:dyDescent="0.25">
      <c r="A8124" t="str">
        <f>"20190312160525914"</f>
        <v>20190312160525914</v>
      </c>
      <c r="B8124" t="str">
        <f>"1552377925902748"</f>
        <v>1552377925902748</v>
      </c>
      <c r="C8124" t="s">
        <v>40</v>
      </c>
      <c r="D8124">
        <v>6.0380929999999999</v>
      </c>
      <c r="E8124">
        <v>0.49916569999999999</v>
      </c>
      <c r="F8124" t="s">
        <v>41</v>
      </c>
      <c r="G8124">
        <v>-187.73429999999999</v>
      </c>
      <c r="H8124" s="1">
        <v>-2.3859119999999998E-6</v>
      </c>
      <c r="I8124">
        <v>4.2575890000000003</v>
      </c>
      <c r="J8124">
        <v>-187.5033</v>
      </c>
      <c r="K8124">
        <v>1.1104080000000001</v>
      </c>
      <c r="L8124">
        <v>-21.610720000000001</v>
      </c>
      <c r="M8124">
        <v>2.0241189999999999E-2</v>
      </c>
      <c r="N8124">
        <v>0</v>
      </c>
      <c r="O8124">
        <v>0.99970650000000005</v>
      </c>
      <c r="P8124">
        <v>-9.839736E-3</v>
      </c>
      <c r="Q8124">
        <v>4.5425319999999998E-2</v>
      </c>
      <c r="R8124">
        <v>0.99891920000000001</v>
      </c>
      <c r="S8124">
        <v>-2.6367189999999999E-2</v>
      </c>
      <c r="T8124">
        <v>-0.1284208</v>
      </c>
      <c r="U8124">
        <v>3.0089419999999998</v>
      </c>
      <c r="V8124">
        <v>-3.0057500000000001E-2</v>
      </c>
      <c r="W8124">
        <v>5.8715709999999997E-2</v>
      </c>
      <c r="X8124">
        <v>0.99782210000000005</v>
      </c>
      <c r="Y8124">
        <v>-2.8995050000000001E-2</v>
      </c>
      <c r="Z8124">
        <v>-4.2618030000000001E-2</v>
      </c>
      <c r="AA8124">
        <v>0.99867059999999996</v>
      </c>
      <c r="AB8124">
        <v>17</v>
      </c>
      <c r="AC8124">
        <v>-0.23099999999999399</v>
      </c>
      <c r="AD8124">
        <v>-1.110410385912</v>
      </c>
      <c r="AE8124">
        <v>25.868309</v>
      </c>
      <c r="AF8124">
        <v>-0.75321665693602502</v>
      </c>
      <c r="AG8124">
        <v>-1.110410385912</v>
      </c>
      <c r="AH8124">
        <v>25.8107770577925</v>
      </c>
      <c r="AI8124">
        <v>92.462366712112001</v>
      </c>
      <c r="AJ8124">
        <v>91.671545611172604</v>
      </c>
      <c r="AK8124">
        <v>25.8456293961763</v>
      </c>
      <c r="AL8124">
        <v>86.633901493828901</v>
      </c>
      <c r="AM8124">
        <v>91.725405036537694</v>
      </c>
      <c r="AN8124">
        <v>0.99999996557773096</v>
      </c>
    </row>
    <row r="8125" spans="1:40" x14ac:dyDescent="0.25">
      <c r="A8125" t="str">
        <f>"20190312160525928"</f>
        <v>20190312160525928</v>
      </c>
      <c r="B8125" t="str">
        <f>"1552377925923228"</f>
        <v>1552377925923228</v>
      </c>
      <c r="C8125" t="s">
        <v>40</v>
      </c>
      <c r="D8125">
        <v>6.0392219999999996</v>
      </c>
      <c r="E8125">
        <v>0.50009959999999998</v>
      </c>
      <c r="F8125" t="s">
        <v>41</v>
      </c>
      <c r="G8125">
        <v>-187.83420000000001</v>
      </c>
      <c r="H8125" s="1">
        <v>-2.050296E-6</v>
      </c>
      <c r="I8125">
        <v>13.51651</v>
      </c>
      <c r="J8125">
        <v>-187.50120000000001</v>
      </c>
      <c r="K8125">
        <v>1.110409</v>
      </c>
      <c r="L8125">
        <v>-21.502199999999998</v>
      </c>
      <c r="M8125">
        <v>2.022152E-2</v>
      </c>
      <c r="N8125">
        <v>0</v>
      </c>
      <c r="O8125">
        <v>0.99970689999999995</v>
      </c>
      <c r="P8125">
        <v>-9.8671269999999998E-3</v>
      </c>
      <c r="Q8125">
        <v>4.5807529999999999E-2</v>
      </c>
      <c r="R8125">
        <v>0.9989015</v>
      </c>
      <c r="S8125">
        <v>-2.8320310000000001E-2</v>
      </c>
      <c r="T8125">
        <v>-9.5063809999999999E-2</v>
      </c>
      <c r="U8125">
        <v>3.0072939999999999</v>
      </c>
      <c r="V8125">
        <v>-3.006491E-2</v>
      </c>
      <c r="W8125">
        <v>5.909652E-2</v>
      </c>
      <c r="X8125">
        <v>0.99779949999999995</v>
      </c>
      <c r="Y8125">
        <v>-2.9632579999999999E-2</v>
      </c>
      <c r="Z8125">
        <v>-3.1577969999999997E-2</v>
      </c>
      <c r="AA8125">
        <v>0.99906189999999995</v>
      </c>
      <c r="AB8125">
        <v>17</v>
      </c>
      <c r="AC8125">
        <v>-0.33299999999999802</v>
      </c>
      <c r="AD8125">
        <v>-1.1104110502959901</v>
      </c>
      <c r="AE8125">
        <v>35.018709999999999</v>
      </c>
      <c r="AF8125">
        <v>-1.0400805216626301</v>
      </c>
      <c r="AG8125">
        <v>-1.1104110502959901</v>
      </c>
      <c r="AH8125">
        <v>34.969656276721402</v>
      </c>
      <c r="AI8125">
        <v>91.817930459659706</v>
      </c>
      <c r="AJ8125">
        <v>91.703610157367294</v>
      </c>
      <c r="AK8125">
        <v>35.0027376115669</v>
      </c>
      <c r="AL8125">
        <v>86.612045087138497</v>
      </c>
      <c r="AM8125">
        <v>91.725869205238894</v>
      </c>
      <c r="AN8125">
        <v>1.0000000698448299</v>
      </c>
    </row>
    <row r="8126" spans="1:40" x14ac:dyDescent="0.25">
      <c r="A8126" t="str">
        <f>"20190312160525947"</f>
        <v>20190312160525947</v>
      </c>
      <c r="B8126" t="str">
        <f>"1552377925942747"</f>
        <v>1552377925942747</v>
      </c>
      <c r="C8126" t="s">
        <v>40</v>
      </c>
      <c r="D8126">
        <v>5.6389870000000002</v>
      </c>
      <c r="E8126">
        <v>0.49970429999999999</v>
      </c>
      <c r="F8126" t="s">
        <v>41</v>
      </c>
      <c r="G8126">
        <v>-187.68279999999999</v>
      </c>
      <c r="H8126" s="1">
        <v>-3.082949E-6</v>
      </c>
      <c r="I8126">
        <v>5.861103</v>
      </c>
      <c r="J8126">
        <v>-187.4983</v>
      </c>
      <c r="K8126">
        <v>1.1104099999999999</v>
      </c>
      <c r="L8126">
        <v>-21.355560000000001</v>
      </c>
      <c r="M8126">
        <v>2.019199E-2</v>
      </c>
      <c r="N8126">
        <v>0</v>
      </c>
      <c r="O8126">
        <v>0.99970749999999997</v>
      </c>
      <c r="P8126">
        <v>-1.1141379999999999E-2</v>
      </c>
      <c r="Q8126">
        <v>4.5949419999999998E-2</v>
      </c>
      <c r="R8126">
        <v>0.99888160000000004</v>
      </c>
      <c r="S8126">
        <v>-1.9973749999999998E-2</v>
      </c>
      <c r="T8126">
        <v>-0.12209390000000001</v>
      </c>
      <c r="U8126">
        <v>3.0086979999999999</v>
      </c>
      <c r="V8126">
        <v>-3.1309770000000001E-2</v>
      </c>
      <c r="W8126">
        <v>5.923552E-2</v>
      </c>
      <c r="X8126">
        <v>0.99775290000000005</v>
      </c>
      <c r="Y8126">
        <v>-2.682505E-2</v>
      </c>
      <c r="Z8126">
        <v>-4.0526810000000003E-2</v>
      </c>
      <c r="AA8126">
        <v>0.99881830000000005</v>
      </c>
      <c r="AB8126">
        <v>17</v>
      </c>
      <c r="AC8126">
        <v>-0.18449999999998501</v>
      </c>
      <c r="AD8126">
        <v>-1.110413082949</v>
      </c>
      <c r="AE8126">
        <v>27.216663</v>
      </c>
      <c r="AF8126">
        <v>-0.73284984529443098</v>
      </c>
      <c r="AG8126">
        <v>-1.110413082949</v>
      </c>
      <c r="AH8126">
        <v>27.162176369978798</v>
      </c>
      <c r="AI8126">
        <v>92.340146445939894</v>
      </c>
      <c r="AJ8126">
        <v>91.545495411117102</v>
      </c>
      <c r="AK8126">
        <v>27.1947405073917</v>
      </c>
      <c r="AL8126">
        <v>86.6040667570837</v>
      </c>
      <c r="AM8126">
        <v>91.797368055049205</v>
      </c>
      <c r="AN8126">
        <v>0.99999999899276604</v>
      </c>
    </row>
    <row r="8127" spans="1:40" x14ac:dyDescent="0.25">
      <c r="A8127" t="str">
        <f>"20190312160525961"</f>
        <v>20190312160525961</v>
      </c>
      <c r="B8127" t="str">
        <f>"1552377925953483"</f>
        <v>1552377925953483</v>
      </c>
      <c r="C8127" t="s">
        <v>40</v>
      </c>
      <c r="D8127">
        <v>6.0851100000000002</v>
      </c>
      <c r="E8127">
        <v>0.49955509999999997</v>
      </c>
      <c r="F8127" t="s">
        <v>41</v>
      </c>
      <c r="G8127">
        <v>-187.78569999999999</v>
      </c>
      <c r="H8127" s="1">
        <v>-8.1017990000000003E-7</v>
      </c>
      <c r="I8127">
        <v>10.297510000000001</v>
      </c>
      <c r="J8127">
        <v>-187.49619999999999</v>
      </c>
      <c r="K8127">
        <v>1.110412</v>
      </c>
      <c r="L8127">
        <v>-21.250579999999999</v>
      </c>
      <c r="M8127">
        <v>2.0168289999999998E-2</v>
      </c>
      <c r="N8127">
        <v>0</v>
      </c>
      <c r="O8127">
        <v>0.99970800000000004</v>
      </c>
      <c r="P8127">
        <v>-1.21061E-2</v>
      </c>
      <c r="Q8127">
        <v>4.5476210000000003E-2</v>
      </c>
      <c r="R8127">
        <v>0.99889209999999995</v>
      </c>
      <c r="S8127">
        <v>-2.7313230000000001E-2</v>
      </c>
      <c r="T8127">
        <v>-0.1055193</v>
      </c>
      <c r="U8127">
        <v>3.0079039999999999</v>
      </c>
      <c r="V8127">
        <v>-3.2250769999999998E-2</v>
      </c>
      <c r="W8127">
        <v>5.876141E-2</v>
      </c>
      <c r="X8127">
        <v>0.9977509</v>
      </c>
      <c r="Y8127">
        <v>-2.9241940000000001E-2</v>
      </c>
      <c r="Z8127">
        <v>-3.5040200000000001E-2</v>
      </c>
      <c r="AA8127">
        <v>0.99895800000000001</v>
      </c>
      <c r="AB8127">
        <v>17</v>
      </c>
      <c r="AC8127">
        <v>-0.28950000000000298</v>
      </c>
      <c r="AD8127">
        <v>-1.1104128101799</v>
      </c>
      <c r="AE8127">
        <v>31.548089999999998</v>
      </c>
      <c r="AF8127">
        <v>-0.92462311626734905</v>
      </c>
      <c r="AG8127">
        <v>-1.1104128101799</v>
      </c>
      <c r="AH8127">
        <v>31.496815814319099</v>
      </c>
      <c r="AI8127">
        <v>92.018244214006501</v>
      </c>
      <c r="AJ8127">
        <v>91.681496701525802</v>
      </c>
      <c r="AK8127">
        <v>31.529943719538899</v>
      </c>
      <c r="AL8127">
        <v>86.6312784513227</v>
      </c>
      <c r="AM8127">
        <v>91.851353747160204</v>
      </c>
      <c r="AN8127">
        <v>0.99999993696079303</v>
      </c>
    </row>
    <row r="8128" spans="1:40" x14ac:dyDescent="0.25">
      <c r="A8128" t="str">
        <f>"20190312160525982"</f>
        <v>20190312160525982</v>
      </c>
      <c r="B8128" t="str">
        <f>"1552377925973004"</f>
        <v>1552377925973004</v>
      </c>
      <c r="C8128" t="s">
        <v>40</v>
      </c>
      <c r="D8128">
        <v>5.6405760000000003</v>
      </c>
      <c r="E8128">
        <v>0.4995095</v>
      </c>
      <c r="F8128" t="s">
        <v>41</v>
      </c>
      <c r="G8128">
        <v>-187.81460000000001</v>
      </c>
      <c r="H8128" s="1">
        <v>-4.6150190000000002E-6</v>
      </c>
      <c r="I8128">
        <v>9.4868620000000004</v>
      </c>
      <c r="J8128">
        <v>-187.49299999999999</v>
      </c>
      <c r="K8128">
        <v>1.1104160000000001</v>
      </c>
      <c r="L8128">
        <v>-21.09027</v>
      </c>
      <c r="M8128">
        <v>2.0129589999999999E-2</v>
      </c>
      <c r="N8128">
        <v>0</v>
      </c>
      <c r="O8128">
        <v>0.99970879999999995</v>
      </c>
      <c r="P8128">
        <v>-1.2764559999999999E-2</v>
      </c>
      <c r="Q8128">
        <v>4.468929E-2</v>
      </c>
      <c r="R8128">
        <v>0.99891940000000001</v>
      </c>
      <c r="S8128">
        <v>-3.1158450000000001E-2</v>
      </c>
      <c r="T8128">
        <v>-0.1086631</v>
      </c>
      <c r="U8128">
        <v>3.0079039999999999</v>
      </c>
      <c r="V8128">
        <v>-3.2871259999999999E-2</v>
      </c>
      <c r="W8128">
        <v>5.7972160000000002E-2</v>
      </c>
      <c r="X8128">
        <v>0.99777689999999997</v>
      </c>
      <c r="Y8128">
        <v>-3.047975E-2</v>
      </c>
      <c r="Z8128">
        <v>-3.608198E-2</v>
      </c>
      <c r="AA8128">
        <v>0.99888390000000005</v>
      </c>
      <c r="AB8128">
        <v>17</v>
      </c>
      <c r="AC8128">
        <v>-0.32160000000001698</v>
      </c>
      <c r="AD8128">
        <v>-1.1104206150189999</v>
      </c>
      <c r="AE8128">
        <v>30.577131999999999</v>
      </c>
      <c r="AF8128">
        <v>-0.93586038740106803</v>
      </c>
      <c r="AG8128">
        <v>-1.1104206150189999</v>
      </c>
      <c r="AH8128">
        <v>30.5242099760016</v>
      </c>
      <c r="AI8128">
        <v>92.082429947371693</v>
      </c>
      <c r="AJ8128">
        <v>91.756116162033294</v>
      </c>
      <c r="AK8128">
        <v>30.5587346476585</v>
      </c>
      <c r="AL8128">
        <v>86.676576638019696</v>
      </c>
      <c r="AM8128">
        <v>91.886898301421397</v>
      </c>
      <c r="AN8128">
        <v>1.0000000166213301</v>
      </c>
    </row>
    <row r="8129" spans="1:40" x14ac:dyDescent="0.25">
      <c r="A8129" t="str">
        <f>"20190312160526028"</f>
        <v>20190312160526028</v>
      </c>
      <c r="B8129" t="str">
        <f>"1552377926022780"</f>
        <v>1552377926022780</v>
      </c>
      <c r="C8129" t="s">
        <v>40</v>
      </c>
      <c r="D8129">
        <v>6.0069429999999997</v>
      </c>
      <c r="E8129">
        <v>0.49845210000000001</v>
      </c>
      <c r="F8129" t="s">
        <v>41</v>
      </c>
      <c r="G8129">
        <v>-187.82679999999999</v>
      </c>
      <c r="H8129" s="1">
        <v>-4.3436740000000001E-6</v>
      </c>
      <c r="I8129">
        <v>8.8594019999999993</v>
      </c>
      <c r="J8129">
        <v>-187.48609999999999</v>
      </c>
      <c r="K8129">
        <v>1.110417</v>
      </c>
      <c r="L8129">
        <v>-20.74399</v>
      </c>
      <c r="M8129">
        <v>2.0037650000000001E-2</v>
      </c>
      <c r="N8129">
        <v>0</v>
      </c>
      <c r="O8129">
        <v>0.99971069999999995</v>
      </c>
      <c r="P8129">
        <v>-1.3093530000000001E-2</v>
      </c>
      <c r="Q8129">
        <v>4.4525120000000001E-2</v>
      </c>
      <c r="R8129">
        <v>0.99892250000000005</v>
      </c>
      <c r="S8129">
        <v>-3.3523560000000001E-2</v>
      </c>
      <c r="T8129">
        <v>-0.1115183</v>
      </c>
      <c r="U8129">
        <v>3.0078130000000001</v>
      </c>
      <c r="V8129">
        <v>-3.3109470000000002E-2</v>
      </c>
      <c r="W8129">
        <v>5.7803649999999998E-2</v>
      </c>
      <c r="X8129">
        <v>0.99777879999999997</v>
      </c>
      <c r="Y8129">
        <v>-3.1173099999999999E-2</v>
      </c>
      <c r="Z8129">
        <v>-3.7029439999999997E-2</v>
      </c>
      <c r="AA8129">
        <v>0.99882780000000004</v>
      </c>
      <c r="AB8129">
        <v>17</v>
      </c>
      <c r="AC8129">
        <v>-0.340699999999998</v>
      </c>
      <c r="AD8129">
        <v>-1.110421343674</v>
      </c>
      <c r="AE8129">
        <v>29.603391999999999</v>
      </c>
      <c r="AF8129">
        <v>-0.93255457205116299</v>
      </c>
      <c r="AG8129">
        <v>-1.110421343674</v>
      </c>
      <c r="AH8129">
        <v>29.549050059810501</v>
      </c>
      <c r="AI8129">
        <v>92.151030816457407</v>
      </c>
      <c r="AJ8129">
        <v>91.807628749631903</v>
      </c>
      <c r="AK8129">
        <v>29.584608380499599</v>
      </c>
      <c r="AL8129">
        <v>86.686247766374393</v>
      </c>
      <c r="AM8129">
        <v>91.900558584323903</v>
      </c>
      <c r="AN8129">
        <v>1.0000000163432201</v>
      </c>
    </row>
    <row r="8130" spans="1:40" x14ac:dyDescent="0.25">
      <c r="A8130" t="str">
        <f>"20190312160526049"</f>
        <v>20190312160526049</v>
      </c>
      <c r="B8130" t="str">
        <f>"1552377926043276"</f>
        <v>1552377926043276</v>
      </c>
      <c r="C8130" t="s">
        <v>40</v>
      </c>
      <c r="D8130">
        <v>6.0314329999999998</v>
      </c>
      <c r="E8130">
        <v>0.49792019999999998</v>
      </c>
      <c r="F8130" t="s">
        <v>41</v>
      </c>
      <c r="G8130">
        <v>-187.93209999999999</v>
      </c>
      <c r="H8130" s="1">
        <v>-7.9396669999999995E-7</v>
      </c>
      <c r="I8130">
        <v>10.36435</v>
      </c>
      <c r="J8130">
        <v>-187.4829</v>
      </c>
      <c r="K8130">
        <v>1.110414</v>
      </c>
      <c r="L8130">
        <v>-20.58456</v>
      </c>
      <c r="M8130">
        <v>1.9993810000000001E-2</v>
      </c>
      <c r="N8130">
        <v>0</v>
      </c>
      <c r="O8130">
        <v>0.99971160000000003</v>
      </c>
      <c r="P8130">
        <v>-1.3028110000000001E-2</v>
      </c>
      <c r="Q8130">
        <v>4.504387E-2</v>
      </c>
      <c r="R8130">
        <v>0.99890009999999996</v>
      </c>
      <c r="S8130">
        <v>-4.3121340000000001E-2</v>
      </c>
      <c r="T8130">
        <v>-0.1073513</v>
      </c>
      <c r="U8130">
        <v>3.0074459999999998</v>
      </c>
      <c r="V8130">
        <v>-3.3000000000000002E-2</v>
      </c>
      <c r="W8130">
        <v>5.8320139999999999E-2</v>
      </c>
      <c r="X8130">
        <v>0.99775239999999998</v>
      </c>
      <c r="Y8130">
        <v>-3.4318260000000003E-2</v>
      </c>
      <c r="Z8130">
        <v>-3.5649420000000001E-2</v>
      </c>
      <c r="AA8130">
        <v>0.99877490000000002</v>
      </c>
      <c r="AB8130">
        <v>17</v>
      </c>
      <c r="AC8130">
        <v>-0.44919999999999</v>
      </c>
      <c r="AD8130">
        <v>-1.1104147939667</v>
      </c>
      <c r="AE8130">
        <v>30.948910000000001</v>
      </c>
      <c r="AF8130">
        <v>-1.0665788580851601</v>
      </c>
      <c r="AG8130">
        <v>-1.1104147939667</v>
      </c>
      <c r="AH8130">
        <v>30.893978879104001</v>
      </c>
      <c r="AI8130">
        <v>92.057257581784</v>
      </c>
      <c r="AJ8130">
        <v>91.977285139362095</v>
      </c>
      <c r="AK8130">
        <v>30.932321970031602</v>
      </c>
      <c r="AL8130">
        <v>86.656605158331502</v>
      </c>
      <c r="AM8130">
        <v>91.894329429077501</v>
      </c>
      <c r="AN8130">
        <v>1.00000004521768</v>
      </c>
    </row>
    <row r="8131" spans="1:40" x14ac:dyDescent="0.25">
      <c r="A8131" t="str">
        <f>"20190312160526071"</f>
        <v>20190312160526071</v>
      </c>
      <c r="B8131" t="str">
        <f>"1552377926062796"</f>
        <v>1552377926062796</v>
      </c>
      <c r="C8131" t="s">
        <v>40</v>
      </c>
      <c r="D8131">
        <v>6.0846099999999996</v>
      </c>
      <c r="E8131">
        <v>0.49766830000000001</v>
      </c>
      <c r="F8131" t="s">
        <v>41</v>
      </c>
      <c r="G8131">
        <v>-187.99010000000001</v>
      </c>
      <c r="H8131" s="1">
        <v>-1.183677E-6</v>
      </c>
      <c r="I8131">
        <v>11.55486</v>
      </c>
      <c r="J8131">
        <v>-187.4795</v>
      </c>
      <c r="K8131">
        <v>1.110414</v>
      </c>
      <c r="L8131">
        <v>-20.409849999999999</v>
      </c>
      <c r="M8131">
        <v>1.994576E-2</v>
      </c>
      <c r="N8131">
        <v>0</v>
      </c>
      <c r="O8131">
        <v>0.99971259999999995</v>
      </c>
      <c r="P8131">
        <v>-1.32803E-2</v>
      </c>
      <c r="Q8131">
        <v>4.5035220000000001E-2</v>
      </c>
      <c r="R8131">
        <v>0.99889709999999998</v>
      </c>
      <c r="S8131">
        <v>-4.7454830000000003E-2</v>
      </c>
      <c r="T8131">
        <v>-0.10390389999999999</v>
      </c>
      <c r="U8131">
        <v>3.007355</v>
      </c>
      <c r="V8131">
        <v>-3.3204119999999997E-2</v>
      </c>
      <c r="W8131">
        <v>5.8309189999999997E-2</v>
      </c>
      <c r="X8131">
        <v>0.99774620000000003</v>
      </c>
      <c r="Y8131">
        <v>-3.571013E-2</v>
      </c>
      <c r="Z8131">
        <v>-3.4505870000000001E-2</v>
      </c>
      <c r="AA8131">
        <v>0.9987663</v>
      </c>
      <c r="AB8131">
        <v>17</v>
      </c>
      <c r="AC8131">
        <v>-0.51060000000001005</v>
      </c>
      <c r="AD8131">
        <v>-1.110415183677</v>
      </c>
      <c r="AE8131">
        <v>31.964709999999901</v>
      </c>
      <c r="AF8131">
        <v>-1.1467317302862901</v>
      </c>
      <c r="AG8131">
        <v>-1.110415183677</v>
      </c>
      <c r="AH8131">
        <v>31.909666497563698</v>
      </c>
      <c r="AI8131">
        <v>91.991730247181394</v>
      </c>
      <c r="AJ8131">
        <v>92.058142042391296</v>
      </c>
      <c r="AK8131">
        <v>31.949567000620199</v>
      </c>
      <c r="AL8131">
        <v>86.657233389673394</v>
      </c>
      <c r="AM8131">
        <v>91.906049936720606</v>
      </c>
      <c r="AN8131">
        <v>0.99999997741893498</v>
      </c>
    </row>
    <row r="8132" spans="1:40" x14ac:dyDescent="0.25">
      <c r="A8132" t="str">
        <f>"20190312160526093"</f>
        <v>20190312160526093</v>
      </c>
      <c r="B8132" t="str">
        <f>"1552377926083295"</f>
        <v>1552377926083295</v>
      </c>
      <c r="C8132" t="s">
        <v>40</v>
      </c>
      <c r="D8132">
        <v>6.1060819999999998</v>
      </c>
      <c r="E8132">
        <v>0.4975001</v>
      </c>
      <c r="F8132" t="s">
        <v>41</v>
      </c>
      <c r="G8132">
        <v>-188.03469999999999</v>
      </c>
      <c r="H8132" s="1">
        <v>-1.7321680000000001E-6</v>
      </c>
      <c r="I8132">
        <v>12.85788</v>
      </c>
      <c r="J8132">
        <v>-187.47620000000001</v>
      </c>
      <c r="K8132">
        <v>1.1104179999999999</v>
      </c>
      <c r="L8132">
        <v>-20.24249</v>
      </c>
      <c r="M8132">
        <v>1.9900569999999999E-2</v>
      </c>
      <c r="N8132">
        <v>0</v>
      </c>
      <c r="O8132">
        <v>0.99971350000000003</v>
      </c>
      <c r="P8132">
        <v>-1.353906E-2</v>
      </c>
      <c r="Q8132">
        <v>4.4415099999999999E-2</v>
      </c>
      <c r="R8132">
        <v>0.99892139999999996</v>
      </c>
      <c r="S8132">
        <v>-5.018616E-2</v>
      </c>
      <c r="T8132">
        <v>-0.1003739</v>
      </c>
      <c r="U8132">
        <v>3.0071720000000002</v>
      </c>
      <c r="V8132">
        <v>-3.341848E-2</v>
      </c>
      <c r="W8132">
        <v>5.7687969999999998E-2</v>
      </c>
      <c r="X8132">
        <v>0.99777519999999997</v>
      </c>
      <c r="Y8132">
        <v>-3.6573479999999998E-2</v>
      </c>
      <c r="Z8132">
        <v>-3.3336200000000003E-2</v>
      </c>
      <c r="AA8132">
        <v>0.99877479999999996</v>
      </c>
      <c r="AB8132">
        <v>17</v>
      </c>
      <c r="AC8132">
        <v>-0.55849999999998001</v>
      </c>
      <c r="AD8132">
        <v>-1.1104197321680001</v>
      </c>
      <c r="AE8132">
        <v>33.100369999999998</v>
      </c>
      <c r="AF8132">
        <v>-1.2157960010244999</v>
      </c>
      <c r="AG8132">
        <v>-1.1104197321680001</v>
      </c>
      <c r="AH8132">
        <v>33.045519334208898</v>
      </c>
      <c r="AI8132">
        <v>91.923270304666005</v>
      </c>
      <c r="AJ8132">
        <v>92.1070503808822</v>
      </c>
      <c r="AK8132">
        <v>33.086515984087399</v>
      </c>
      <c r="AL8132">
        <v>86.692886843250506</v>
      </c>
      <c r="AM8132">
        <v>91.918290183243201</v>
      </c>
      <c r="AN8132">
        <v>1.00000002321163</v>
      </c>
    </row>
    <row r="8133" spans="1:40" x14ac:dyDescent="0.25">
      <c r="A8133" t="str">
        <f>"20190312160526114"</f>
        <v>20190312160526114</v>
      </c>
      <c r="B8133" t="str">
        <f>"1552377926102811"</f>
        <v>1552377926102811</v>
      </c>
      <c r="C8133" t="s">
        <v>40</v>
      </c>
      <c r="D8133">
        <v>6.3764539999999998</v>
      </c>
      <c r="E8133">
        <v>0.49778460000000002</v>
      </c>
      <c r="F8133" t="s">
        <v>41</v>
      </c>
      <c r="G8133">
        <v>-188.06229999999999</v>
      </c>
      <c r="H8133" s="1">
        <v>-1.9673939999999998E-6</v>
      </c>
      <c r="I8133">
        <v>13.417590000000001</v>
      </c>
      <c r="J8133">
        <v>-187.47309999999999</v>
      </c>
      <c r="K8133">
        <v>1.110412</v>
      </c>
      <c r="L8133">
        <v>-20.083100000000002</v>
      </c>
      <c r="M8133">
        <v>1.9858310000000001E-2</v>
      </c>
      <c r="N8133">
        <v>0</v>
      </c>
      <c r="O8133">
        <v>0.9997144</v>
      </c>
      <c r="P8133">
        <v>-1.369825E-2</v>
      </c>
      <c r="Q8133">
        <v>4.3880240000000001E-2</v>
      </c>
      <c r="R8133">
        <v>0.99894289999999997</v>
      </c>
      <c r="S8133">
        <v>-5.2352910000000002E-2</v>
      </c>
      <c r="T8133">
        <v>-9.9196199999999998E-2</v>
      </c>
      <c r="U8133">
        <v>3.0069270000000001</v>
      </c>
      <c r="V8133">
        <v>-3.3535599999999999E-2</v>
      </c>
      <c r="W8133">
        <v>5.7151460000000001E-2</v>
      </c>
      <c r="X8133">
        <v>0.99780210000000003</v>
      </c>
      <c r="Y8133">
        <v>-3.7252300000000002E-2</v>
      </c>
      <c r="Z8133">
        <v>-3.2947589999999999E-2</v>
      </c>
      <c r="AA8133">
        <v>0.99876259999999994</v>
      </c>
      <c r="AB8133">
        <v>17</v>
      </c>
      <c r="AC8133">
        <v>-0.58920000000000505</v>
      </c>
      <c r="AD8133">
        <v>-1.1104139673939999</v>
      </c>
      <c r="AE8133">
        <v>33.500689999999999</v>
      </c>
      <c r="AF8133">
        <v>-1.2530334561691701</v>
      </c>
      <c r="AG8133">
        <v>-1.1104139673939999</v>
      </c>
      <c r="AH8133">
        <v>33.4456471415198</v>
      </c>
      <c r="AI8133">
        <v>91.900220930367595</v>
      </c>
      <c r="AJ8133">
        <v>92.145569693138697</v>
      </c>
      <c r="AK8133">
        <v>33.487526405160402</v>
      </c>
      <c r="AL8133">
        <v>86.723677254796499</v>
      </c>
      <c r="AM8133">
        <v>91.924956207539296</v>
      </c>
      <c r="AN8133">
        <v>0.99999997830595</v>
      </c>
    </row>
    <row r="8134" spans="1:40" x14ac:dyDescent="0.25">
      <c r="A8134" t="str">
        <f>"20190312160526137"</f>
        <v>20190312160526137</v>
      </c>
      <c r="B8134" t="str">
        <f>"1552377926133068"</f>
        <v>1552377926133068</v>
      </c>
      <c r="C8134" t="s">
        <v>40</v>
      </c>
      <c r="D8134">
        <v>6.135974</v>
      </c>
      <c r="E8134">
        <v>0.49939070000000002</v>
      </c>
      <c r="F8134" t="s">
        <v>41</v>
      </c>
      <c r="G8134">
        <v>-188.00810000000001</v>
      </c>
      <c r="H8134" s="1">
        <v>-1.2659569999999999E-6</v>
      </c>
      <c r="I8134">
        <v>11.760120000000001</v>
      </c>
      <c r="J8134">
        <v>-187.46969999999999</v>
      </c>
      <c r="K8134">
        <v>1.110412</v>
      </c>
      <c r="L8134">
        <v>-19.909939999999999</v>
      </c>
      <c r="M8134">
        <v>1.9813040000000001E-2</v>
      </c>
      <c r="N8134">
        <v>0</v>
      </c>
      <c r="O8134">
        <v>0.99971529999999997</v>
      </c>
      <c r="P8134">
        <v>-1.317683E-2</v>
      </c>
      <c r="Q8134">
        <v>4.3364149999999997E-2</v>
      </c>
      <c r="R8134">
        <v>0.99897239999999998</v>
      </c>
      <c r="S8134">
        <v>-5.052185E-2</v>
      </c>
      <c r="T8134">
        <v>-0.1048607</v>
      </c>
      <c r="U8134">
        <v>3.0070800000000002</v>
      </c>
      <c r="V8134">
        <v>-3.2969430000000001E-2</v>
      </c>
      <c r="W8134">
        <v>5.663398E-2</v>
      </c>
      <c r="X8134">
        <v>0.99785049999999997</v>
      </c>
      <c r="Y8134">
        <v>-3.65971E-2</v>
      </c>
      <c r="Z8134">
        <v>-3.4825679999999998E-2</v>
      </c>
      <c r="AA8134">
        <v>0.99872309999999997</v>
      </c>
      <c r="AB8134">
        <v>17</v>
      </c>
      <c r="AC8134">
        <v>-0.53840000000002397</v>
      </c>
      <c r="AD8134">
        <v>-1.1104132659569901</v>
      </c>
      <c r="AE8134">
        <v>31.670059999999999</v>
      </c>
      <c r="AF8134">
        <v>-1.1643988981926501</v>
      </c>
      <c r="AG8134">
        <v>-1.1104132659569901</v>
      </c>
      <c r="AH8134">
        <v>31.614320387501898</v>
      </c>
      <c r="AI8134">
        <v>92.010253358078799</v>
      </c>
      <c r="AJ8134">
        <v>92.109328898079198</v>
      </c>
      <c r="AK8134">
        <v>31.655238049633201</v>
      </c>
      <c r="AL8134">
        <v>86.753374865871606</v>
      </c>
      <c r="AM8134">
        <v>91.892389941609807</v>
      </c>
      <c r="AN8134">
        <v>1.0000000056777001</v>
      </c>
    </row>
    <row r="8135" spans="1:40" x14ac:dyDescent="0.25">
      <c r="A8135" t="str">
        <f>"20190312160526150"</f>
        <v>20190312160526150</v>
      </c>
      <c r="B8135" t="str">
        <f>"1552377926142829"</f>
        <v>1552377926142829</v>
      </c>
      <c r="C8135" t="s">
        <v>40</v>
      </c>
      <c r="D8135">
        <v>6.0445169999999999</v>
      </c>
      <c r="E8135">
        <v>0.49939070000000002</v>
      </c>
      <c r="F8135" t="s">
        <v>41</v>
      </c>
      <c r="G8135">
        <v>-187.8306</v>
      </c>
      <c r="H8135" s="1">
        <v>-8.3193050000000003E-7</v>
      </c>
      <c r="I8135">
        <v>10.39653</v>
      </c>
      <c r="J8135">
        <v>-187.46770000000001</v>
      </c>
      <c r="K8135">
        <v>1.1104099999999999</v>
      </c>
      <c r="L8135">
        <v>-19.806850000000001</v>
      </c>
      <c r="M8135">
        <v>1.9786580000000002E-2</v>
      </c>
      <c r="N8135">
        <v>0</v>
      </c>
      <c r="O8135">
        <v>0.99971589999999999</v>
      </c>
      <c r="P8135">
        <v>-1.315826E-2</v>
      </c>
      <c r="Q8135">
        <v>4.3627649999999997E-2</v>
      </c>
      <c r="R8135">
        <v>0.99896119999999999</v>
      </c>
      <c r="S8135">
        <v>-3.5812379999999998E-2</v>
      </c>
      <c r="T8135">
        <v>-0.110189</v>
      </c>
      <c r="U8135">
        <v>3.0073850000000002</v>
      </c>
      <c r="V8135">
        <v>-3.2924210000000002E-2</v>
      </c>
      <c r="W8135">
        <v>5.689582E-2</v>
      </c>
      <c r="X8135">
        <v>0.99783710000000003</v>
      </c>
      <c r="Y8135">
        <v>-3.1683919999999997E-2</v>
      </c>
      <c r="Z8135">
        <v>-3.659366E-2</v>
      </c>
      <c r="AA8135">
        <v>0.99882780000000004</v>
      </c>
      <c r="AB8135">
        <v>17</v>
      </c>
      <c r="AC8135">
        <v>-0.362899999999996</v>
      </c>
      <c r="AD8135">
        <v>-1.1104108319304999</v>
      </c>
      <c r="AE8135">
        <v>30.203379999999999</v>
      </c>
      <c r="AF8135">
        <v>-0.95920701475099202</v>
      </c>
      <c r="AG8135">
        <v>-1.1104108319304999</v>
      </c>
      <c r="AH8135">
        <v>30.149539752754499</v>
      </c>
      <c r="AI8135">
        <v>92.108190722851703</v>
      </c>
      <c r="AJ8135">
        <v>91.822249442431499</v>
      </c>
      <c r="AK8135">
        <v>30.1852254855871</v>
      </c>
      <c r="AL8135">
        <v>86.738348317486299</v>
      </c>
      <c r="AM8135">
        <v>91.889821632601894</v>
      </c>
      <c r="AN8135">
        <v>1.000000008037</v>
      </c>
    </row>
    <row r="8136" spans="1:40" x14ac:dyDescent="0.25">
      <c r="A8136" t="str">
        <f>"20190312160526165"</f>
        <v>20190312160526165</v>
      </c>
      <c r="B8136" t="str">
        <f>"1552377926153564"</f>
        <v>1552377926153564</v>
      </c>
      <c r="C8136" t="s">
        <v>40</v>
      </c>
      <c r="D8136">
        <v>6.0520430000000003</v>
      </c>
      <c r="E8136">
        <v>0.54385890000000003</v>
      </c>
      <c r="F8136" t="s">
        <v>41</v>
      </c>
      <c r="G8136">
        <v>-187.83260000000001</v>
      </c>
      <c r="H8136" s="1">
        <v>-9.4111440000000001E-7</v>
      </c>
      <c r="I8136">
        <v>10.71893</v>
      </c>
      <c r="J8136">
        <v>-187.46559999999999</v>
      </c>
      <c r="K8136">
        <v>1.110409</v>
      </c>
      <c r="L8136">
        <v>-19.698820000000001</v>
      </c>
      <c r="M8136">
        <v>1.9759260000000001E-2</v>
      </c>
      <c r="N8136">
        <v>0</v>
      </c>
      <c r="O8136">
        <v>0.99971639999999995</v>
      </c>
      <c r="P8136">
        <v>-1.2962049999999999E-2</v>
      </c>
      <c r="Q8136">
        <v>4.3584539999999998E-2</v>
      </c>
      <c r="R8136">
        <v>0.99896569999999996</v>
      </c>
      <c r="S8136">
        <v>-3.5949710000000003E-2</v>
      </c>
      <c r="T8136">
        <v>-0.1093982</v>
      </c>
      <c r="U8136">
        <v>3.0074160000000001</v>
      </c>
      <c r="V8136">
        <v>-3.2700659999999999E-2</v>
      </c>
      <c r="W8136">
        <v>5.6852020000000003E-2</v>
      </c>
      <c r="X8136">
        <v>0.99784700000000004</v>
      </c>
      <c r="Y8136">
        <v>-3.17022E-2</v>
      </c>
      <c r="Z8136">
        <v>-3.6331049999999997E-2</v>
      </c>
      <c r="AA8136">
        <v>0.99883679999999997</v>
      </c>
      <c r="AB8136">
        <v>17</v>
      </c>
      <c r="AC8136">
        <v>-0.36700000000001798</v>
      </c>
      <c r="AD8136">
        <v>-1.1104099411143999</v>
      </c>
      <c r="AE8136">
        <v>30.417750000000002</v>
      </c>
      <c r="AF8136">
        <v>-0.96672556454805203</v>
      </c>
      <c r="AG8136">
        <v>-1.1104099411143999</v>
      </c>
      <c r="AH8136">
        <v>30.3640996125995</v>
      </c>
      <c r="AI8136">
        <v>92.093303858021898</v>
      </c>
      <c r="AJ8136">
        <v>91.823554522008493</v>
      </c>
      <c r="AK8136">
        <v>30.399771608325299</v>
      </c>
      <c r="AL8136">
        <v>86.740862112002603</v>
      </c>
      <c r="AM8136">
        <v>91.876980653779597</v>
      </c>
      <c r="AN8136">
        <v>1.00000006037575</v>
      </c>
    </row>
    <row r="8137" spans="1:40" x14ac:dyDescent="0.25">
      <c r="A8137" t="str">
        <f>"20190312160526182"</f>
        <v>20190312160526182</v>
      </c>
      <c r="B8137" t="str">
        <f>"1552377926173087"</f>
        <v>1552377926173087</v>
      </c>
      <c r="C8137" t="s">
        <v>40</v>
      </c>
      <c r="D8137">
        <v>5.638172</v>
      </c>
      <c r="E8137">
        <v>0.52351029999999998</v>
      </c>
      <c r="F8137" t="s">
        <v>49</v>
      </c>
      <c r="G8137">
        <v>-187.38759999999999</v>
      </c>
      <c r="H8137">
        <v>0.94779279999999999</v>
      </c>
      <c r="I8137">
        <v>-19.001470000000001</v>
      </c>
      <c r="J8137">
        <v>-187.46299999999999</v>
      </c>
      <c r="K8137">
        <v>1.1104130000000001</v>
      </c>
      <c r="L8137">
        <v>-19.568049999999999</v>
      </c>
      <c r="M8137">
        <v>1.9726110000000002E-2</v>
      </c>
      <c r="N8137">
        <v>0</v>
      </c>
      <c r="O8137">
        <v>0.99971710000000003</v>
      </c>
      <c r="P8137">
        <v>-1.221947E-2</v>
      </c>
      <c r="Q8137">
        <v>4.3554349999999999E-2</v>
      </c>
      <c r="R8137">
        <v>0.99897630000000004</v>
      </c>
      <c r="S8137">
        <v>0.34001160000000002</v>
      </c>
      <c r="T8137">
        <v>-0.70853449999999996</v>
      </c>
      <c r="U8137">
        <v>3.0384220000000002</v>
      </c>
      <c r="V8137">
        <v>-3.1925130000000003E-2</v>
      </c>
      <c r="W8137">
        <v>5.6820599999999999E-2</v>
      </c>
      <c r="X8137">
        <v>0.99787380000000003</v>
      </c>
      <c r="Y8137">
        <v>8.8708040000000002E-2</v>
      </c>
      <c r="Z8137">
        <v>-0.2259198</v>
      </c>
      <c r="AA8137">
        <v>0.97009849999999997</v>
      </c>
      <c r="AB8137">
        <v>17</v>
      </c>
      <c r="AC8137">
        <v>7.5400000000001896E-2</v>
      </c>
      <c r="AD8137">
        <v>-0.16262019999999899</v>
      </c>
      <c r="AE8137">
        <v>0.56657999999999797</v>
      </c>
      <c r="AF8137">
        <v>5.9399675692273501E-2</v>
      </c>
      <c r="AG8137">
        <v>-0.16262019999999899</v>
      </c>
      <c r="AH8137">
        <v>0.52542543932129004</v>
      </c>
      <c r="AI8137">
        <v>107.0949099079</v>
      </c>
      <c r="AJ8137">
        <v>83.550060835874007</v>
      </c>
      <c r="AK8137">
        <v>0.55321383135850599</v>
      </c>
      <c r="AL8137">
        <v>86.742664924978996</v>
      </c>
      <c r="AM8137">
        <v>91.832447651253702</v>
      </c>
      <c r="AN8137">
        <v>0.99999995761815696</v>
      </c>
    </row>
    <row r="8138" spans="1:40" x14ac:dyDescent="0.25">
      <c r="A8138" t="str">
        <f>"20190312160526207"</f>
        <v>20190312160526207</v>
      </c>
      <c r="B8138" t="str">
        <f>"1552377926203340"</f>
        <v>1552377926203340</v>
      </c>
      <c r="C8138" t="s">
        <v>40</v>
      </c>
      <c r="D8138">
        <v>6.1889609999999999</v>
      </c>
      <c r="E8138">
        <v>0.52493559999999995</v>
      </c>
      <c r="F8138" t="s">
        <v>49</v>
      </c>
      <c r="G8138">
        <v>-187.4211</v>
      </c>
      <c r="H8138">
        <v>1.0347660000000001</v>
      </c>
      <c r="I8138">
        <v>-18.806439999999998</v>
      </c>
      <c r="J8138">
        <v>-187.45949999999999</v>
      </c>
      <c r="K8138">
        <v>1.1104050000000001</v>
      </c>
      <c r="L8138">
        <v>-19.385590000000001</v>
      </c>
      <c r="M8138">
        <v>1.9680260000000002E-2</v>
      </c>
      <c r="N8138">
        <v>0</v>
      </c>
      <c r="O8138">
        <v>0.999718</v>
      </c>
      <c r="P8138">
        <v>-1.0935139999999999E-2</v>
      </c>
      <c r="Q8138">
        <v>4.3090940000000001E-2</v>
      </c>
      <c r="R8138">
        <v>0.99901130000000005</v>
      </c>
      <c r="S8138">
        <v>0.16575619999999999</v>
      </c>
      <c r="T8138">
        <v>-0.2997553</v>
      </c>
      <c r="U8138">
        <v>3.0181580000000001</v>
      </c>
      <c r="V8138">
        <v>-3.0596459999999999E-2</v>
      </c>
      <c r="W8138">
        <v>5.6356429999999999E-2</v>
      </c>
      <c r="X8138">
        <v>0.99794179999999999</v>
      </c>
      <c r="Y8138">
        <v>3.490625E-2</v>
      </c>
      <c r="Z8138">
        <v>-9.8698789999999995E-2</v>
      </c>
      <c r="AA8138">
        <v>0.99450490000000002</v>
      </c>
      <c r="AB8138">
        <v>17</v>
      </c>
      <c r="AC8138">
        <v>3.8399999999995701E-2</v>
      </c>
      <c r="AD8138">
        <v>-7.5638999999999706E-2</v>
      </c>
      <c r="AE8138">
        <v>0.57915000000000205</v>
      </c>
      <c r="AF8138">
        <v>2.6542963655622798E-2</v>
      </c>
      <c r="AG8138">
        <v>-7.5638999999999706E-2</v>
      </c>
      <c r="AH8138">
        <v>0.57011162034163998</v>
      </c>
      <c r="AI8138">
        <v>97.549440905854198</v>
      </c>
      <c r="AJ8138">
        <v>87.334377448880602</v>
      </c>
      <c r="AK8138">
        <v>0.57571959050321897</v>
      </c>
      <c r="AL8138">
        <v>86.769302773228304</v>
      </c>
      <c r="AM8138">
        <v>91.756113474847197</v>
      </c>
      <c r="AN8138">
        <v>1.0000000133770499</v>
      </c>
    </row>
    <row r="8139" spans="1:40" x14ac:dyDescent="0.25">
      <c r="A8139" t="str">
        <f>"20190312160526229"</f>
        <v>20190312160526229</v>
      </c>
      <c r="B8139" t="str">
        <f>"1552377926222860"</f>
        <v>1552377926222860</v>
      </c>
      <c r="C8139" t="s">
        <v>40</v>
      </c>
      <c r="D8139">
        <v>6.0719149999999997</v>
      </c>
      <c r="E8139">
        <v>0.52559709999999904</v>
      </c>
      <c r="F8139" t="s">
        <v>49</v>
      </c>
      <c r="G8139">
        <v>-187.41560000000001</v>
      </c>
      <c r="H8139">
        <v>1.0380499999999999</v>
      </c>
      <c r="I8139">
        <v>-18.6541</v>
      </c>
      <c r="J8139">
        <v>-187.4562</v>
      </c>
      <c r="K8139">
        <v>1.1104080000000001</v>
      </c>
      <c r="L8139">
        <v>-19.21866</v>
      </c>
      <c r="M8139">
        <v>1.963846E-2</v>
      </c>
      <c r="N8139">
        <v>0</v>
      </c>
      <c r="O8139">
        <v>0.99971880000000002</v>
      </c>
      <c r="P8139">
        <v>-9.7821750000000006E-3</v>
      </c>
      <c r="Q8139">
        <v>4.2718010000000001E-2</v>
      </c>
      <c r="R8139">
        <v>0.99903929999999996</v>
      </c>
      <c r="S8139">
        <v>0.1809692</v>
      </c>
      <c r="T8139">
        <v>-0.29851290000000003</v>
      </c>
      <c r="U8139">
        <v>3.0178219999999998</v>
      </c>
      <c r="V8139">
        <v>-2.9402190000000002E-2</v>
      </c>
      <c r="W8139">
        <v>5.5981749999999997E-2</v>
      </c>
      <c r="X8139">
        <v>0.99799879999999996</v>
      </c>
      <c r="Y8139">
        <v>3.9952969999999997E-2</v>
      </c>
      <c r="Z8139">
        <v>-9.8281270000000004E-2</v>
      </c>
      <c r="AA8139">
        <v>0.99435629999999997</v>
      </c>
      <c r="AB8139">
        <v>17</v>
      </c>
      <c r="AC8139">
        <v>4.0599999999983503E-2</v>
      </c>
      <c r="AD8139">
        <v>-7.2358000000000103E-2</v>
      </c>
      <c r="AE8139">
        <v>0.56455999999999995</v>
      </c>
      <c r="AF8139">
        <v>2.9029689078710098E-2</v>
      </c>
      <c r="AG8139">
        <v>-7.2358000000000103E-2</v>
      </c>
      <c r="AH8139">
        <v>0.55615957976538699</v>
      </c>
      <c r="AI8139">
        <v>97.402746910888794</v>
      </c>
      <c r="AJ8139">
        <v>87.012061540320403</v>
      </c>
      <c r="AK8139">
        <v>0.56159761500278604</v>
      </c>
      <c r="AL8139">
        <v>86.790804338028806</v>
      </c>
      <c r="AM8139">
        <v>91.687511302501406</v>
      </c>
      <c r="AN8139">
        <v>1.00000002495564</v>
      </c>
    </row>
    <row r="8140" spans="1:40" x14ac:dyDescent="0.25">
      <c r="A8140" t="str">
        <f>"20190312160526249"</f>
        <v>20190312160526249</v>
      </c>
      <c r="B8140" t="str">
        <f>"1552377926243046"</f>
        <v>1552377926243046</v>
      </c>
      <c r="C8140" t="s">
        <v>40</v>
      </c>
      <c r="D8140">
        <v>6.0624390000000004</v>
      </c>
      <c r="E8140">
        <v>0.52577229999999997</v>
      </c>
      <c r="F8140" t="s">
        <v>49</v>
      </c>
      <c r="G8140">
        <v>-187.40219999999999</v>
      </c>
      <c r="H8140">
        <v>1.0245059999999999</v>
      </c>
      <c r="I8140">
        <v>-18.360029999999998</v>
      </c>
      <c r="J8140">
        <v>-187.45320000000001</v>
      </c>
      <c r="K8140">
        <v>1.110409</v>
      </c>
      <c r="L8140">
        <v>-19.058990000000001</v>
      </c>
      <c r="M8140">
        <v>1.9598560000000001E-2</v>
      </c>
      <c r="N8140">
        <v>0</v>
      </c>
      <c r="O8140">
        <v>0.99971969999999999</v>
      </c>
      <c r="P8140">
        <v>-9.0819909999999993E-3</v>
      </c>
      <c r="Q8140">
        <v>4.2176169999999999E-2</v>
      </c>
      <c r="R8140">
        <v>0.99906890000000004</v>
      </c>
      <c r="S8140">
        <v>0.18971250000000001</v>
      </c>
      <c r="T8140">
        <v>-0.30189729999999998</v>
      </c>
      <c r="U8140">
        <v>3.017639</v>
      </c>
      <c r="V8140">
        <v>-2.8663049999999999E-2</v>
      </c>
      <c r="W8140">
        <v>5.5439469999999998E-2</v>
      </c>
      <c r="X8140">
        <v>0.99805060000000001</v>
      </c>
      <c r="Y8140">
        <v>4.2859670000000002E-2</v>
      </c>
      <c r="Z8140">
        <v>-9.9375959999999999E-2</v>
      </c>
      <c r="AA8140">
        <v>0.99412650000000002</v>
      </c>
      <c r="AB8140">
        <v>17</v>
      </c>
      <c r="AC8140">
        <v>5.1000000000016102E-2</v>
      </c>
      <c r="AD8140">
        <v>-8.5902999999999993E-2</v>
      </c>
      <c r="AE8140">
        <v>0.69895999999999903</v>
      </c>
      <c r="AF8140">
        <v>3.67384010237208E-2</v>
      </c>
      <c r="AG8140">
        <v>-8.5902999999999993E-2</v>
      </c>
      <c r="AH8140">
        <v>0.68946631309293005</v>
      </c>
      <c r="AI8140">
        <v>97.092122466704794</v>
      </c>
      <c r="AJ8140">
        <v>86.949863310706604</v>
      </c>
      <c r="AK8140">
        <v>0.69576780064094501</v>
      </c>
      <c r="AL8140">
        <v>86.821923109884594</v>
      </c>
      <c r="AM8140">
        <v>91.645027326615207</v>
      </c>
      <c r="AN8140">
        <v>1.0000000527147701</v>
      </c>
    </row>
    <row r="8141" spans="1:40" x14ac:dyDescent="0.25">
      <c r="A8141" t="str">
        <f>"20190312160526272"</f>
        <v>20190312160526272</v>
      </c>
      <c r="B8141" t="str">
        <f>"1552377926263543"</f>
        <v>1552377926263543</v>
      </c>
      <c r="C8141" t="s">
        <v>40</v>
      </c>
      <c r="D8141">
        <v>6.2494860000000001</v>
      </c>
      <c r="E8141">
        <v>0.52602150000000003</v>
      </c>
      <c r="F8141" t="s">
        <v>49</v>
      </c>
      <c r="G8141">
        <v>-187.39879999999999</v>
      </c>
      <c r="H8141">
        <v>1.0239780000000001</v>
      </c>
      <c r="I8141">
        <v>-18.210129999999999</v>
      </c>
      <c r="J8141">
        <v>-187.45</v>
      </c>
      <c r="K8141">
        <v>1.1104099999999999</v>
      </c>
      <c r="L8141">
        <v>-18.89377</v>
      </c>
      <c r="M8141">
        <v>1.955699E-2</v>
      </c>
      <c r="N8141">
        <v>0</v>
      </c>
      <c r="O8141">
        <v>0.99972050000000001</v>
      </c>
      <c r="P8141">
        <v>-8.1578969999999904E-3</v>
      </c>
      <c r="Q8141">
        <v>4.1829119999999997E-2</v>
      </c>
      <c r="R8141">
        <v>0.99909139999999996</v>
      </c>
      <c r="S8141">
        <v>0.19314580000000001</v>
      </c>
      <c r="T8141">
        <v>-0.30724050000000003</v>
      </c>
      <c r="U8141">
        <v>3.0175169999999998</v>
      </c>
      <c r="V8141">
        <v>-2.7697960000000001E-2</v>
      </c>
      <c r="W8141">
        <v>5.5090960000000001E-2</v>
      </c>
      <c r="X8141">
        <v>0.99809709999999996</v>
      </c>
      <c r="Y8141">
        <v>4.401907E-2</v>
      </c>
      <c r="Z8141">
        <v>-0.10111489999999999</v>
      </c>
      <c r="AA8141">
        <v>0.99390040000000002</v>
      </c>
      <c r="AB8141">
        <v>17</v>
      </c>
      <c r="AC8141">
        <v>5.1199999999994299E-2</v>
      </c>
      <c r="AD8141">
        <v>-8.6431999999999995E-2</v>
      </c>
      <c r="AE8141">
        <v>0.68364000000000003</v>
      </c>
      <c r="AF8141">
        <v>3.72273507287239E-2</v>
      </c>
      <c r="AG8141">
        <v>-8.6431999999999995E-2</v>
      </c>
      <c r="AH8141">
        <v>0.67380046311213604</v>
      </c>
      <c r="AI8141">
        <v>97.298707650115205</v>
      </c>
      <c r="AJ8141">
        <v>86.837633935727396</v>
      </c>
      <c r="AK8141">
        <v>0.68034067227853501</v>
      </c>
      <c r="AL8141">
        <v>86.841921677030001</v>
      </c>
      <c r="AM8141">
        <v>91.589593855929607</v>
      </c>
      <c r="AN8141">
        <v>1.0000000059451399</v>
      </c>
    </row>
    <row r="8142" spans="1:40" x14ac:dyDescent="0.25">
      <c r="A8142" t="str">
        <f>"20190312160526294"</f>
        <v>20190312160526294</v>
      </c>
      <c r="B8142" t="str">
        <f>"1552377926283066"</f>
        <v>1552377926283066</v>
      </c>
      <c r="C8142" t="s">
        <v>40</v>
      </c>
      <c r="D8142">
        <v>6.2323469999999999</v>
      </c>
      <c r="E8142">
        <v>0.52618759999999998</v>
      </c>
      <c r="F8142" t="s">
        <v>49</v>
      </c>
      <c r="G8142">
        <v>-187.39529999999999</v>
      </c>
      <c r="H8142">
        <v>1.024259</v>
      </c>
      <c r="I8142">
        <v>-18.060040000000001</v>
      </c>
      <c r="J8142">
        <v>-187.4468</v>
      </c>
      <c r="K8142">
        <v>1.110403</v>
      </c>
      <c r="L8142">
        <v>-18.727869999999999</v>
      </c>
      <c r="M8142">
        <v>1.9515020000000001E-2</v>
      </c>
      <c r="N8142">
        <v>0</v>
      </c>
      <c r="O8142">
        <v>0.99972130000000003</v>
      </c>
      <c r="P8142">
        <v>-7.85456E-3</v>
      </c>
      <c r="Q8142">
        <v>4.1848959999999998E-2</v>
      </c>
      <c r="R8142">
        <v>0.99909309999999996</v>
      </c>
      <c r="S8142">
        <v>0.19790650000000001</v>
      </c>
      <c r="T8142">
        <v>-0.3117974</v>
      </c>
      <c r="U8142">
        <v>3.017395</v>
      </c>
      <c r="V8142">
        <v>-2.7352399999999999E-2</v>
      </c>
      <c r="W8142">
        <v>5.510905E-2</v>
      </c>
      <c r="X8142">
        <v>0.99810560000000004</v>
      </c>
      <c r="Y8142">
        <v>4.561519E-2</v>
      </c>
      <c r="Z8142">
        <v>-0.1025943</v>
      </c>
      <c r="AA8142">
        <v>0.99367680000000003</v>
      </c>
      <c r="AB8142">
        <v>17</v>
      </c>
      <c r="AC8142">
        <v>5.1500000000004299E-2</v>
      </c>
      <c r="AD8142">
        <v>-8.6143999999999998E-2</v>
      </c>
      <c r="AE8142">
        <v>0.66783000000000203</v>
      </c>
      <c r="AF8142">
        <v>3.7830595648073E-2</v>
      </c>
      <c r="AG8142">
        <v>-8.6143999999999998E-2</v>
      </c>
      <c r="AH8142">
        <v>0.65782725498747296</v>
      </c>
      <c r="AI8142">
        <v>97.448394209818005</v>
      </c>
      <c r="AJ8142">
        <v>86.708636377985698</v>
      </c>
      <c r="AK8142">
        <v>0.66452136166374798</v>
      </c>
      <c r="AL8142">
        <v>86.840883521439295</v>
      </c>
      <c r="AM8142">
        <v>91.569758692285603</v>
      </c>
      <c r="AN8142">
        <v>0.99999997496451098</v>
      </c>
    </row>
    <row r="8143" spans="1:40" x14ac:dyDescent="0.25">
      <c r="A8143" t="str">
        <f>"20190312160526316"</f>
        <v>20190312160526316</v>
      </c>
      <c r="B8143" t="str">
        <f>"1552377926313319"</f>
        <v>1552377926313319</v>
      </c>
      <c r="C8143" t="s">
        <v>40</v>
      </c>
      <c r="D8143">
        <v>6.1831459999999998</v>
      </c>
      <c r="E8143">
        <v>0.55089250000000001</v>
      </c>
      <c r="F8143" t="s">
        <v>49</v>
      </c>
      <c r="G8143">
        <v>-187.39240000000001</v>
      </c>
      <c r="H8143">
        <v>1.0256179999999999</v>
      </c>
      <c r="I8143">
        <v>-17.90962</v>
      </c>
      <c r="J8143">
        <v>-187.4436</v>
      </c>
      <c r="K8143">
        <v>1.1104050000000001</v>
      </c>
      <c r="L8143">
        <v>-18.56381</v>
      </c>
      <c r="M8143">
        <v>1.9473509999999999E-2</v>
      </c>
      <c r="N8143">
        <v>0</v>
      </c>
      <c r="O8143">
        <v>0.99972220000000001</v>
      </c>
      <c r="P8143">
        <v>-7.672763E-3</v>
      </c>
      <c r="Q8143">
        <v>4.1682740000000003E-2</v>
      </c>
      <c r="R8143">
        <v>0.99910149999999998</v>
      </c>
      <c r="S8143">
        <v>0.2002563</v>
      </c>
      <c r="T8143">
        <v>-0.312639</v>
      </c>
      <c r="U8143">
        <v>3.017395</v>
      </c>
      <c r="V8143">
        <v>-2.7129440000000001E-2</v>
      </c>
      <c r="W8143">
        <v>5.4941459999999998E-2</v>
      </c>
      <c r="X8143">
        <v>0.99812100000000004</v>
      </c>
      <c r="Y8143">
        <v>4.6425300000000003E-2</v>
      </c>
      <c r="Z8143">
        <v>-0.10286389999999999</v>
      </c>
      <c r="AA8143">
        <v>0.99361149999999998</v>
      </c>
      <c r="AB8143">
        <v>17</v>
      </c>
      <c r="AC8143">
        <v>5.1199999999994299E-2</v>
      </c>
      <c r="AD8143">
        <v>-8.4786999999999904E-2</v>
      </c>
      <c r="AE8143">
        <v>0.65418999999999905</v>
      </c>
      <c r="AF8143">
        <v>3.78183948737029E-2</v>
      </c>
      <c r="AG8143">
        <v>-8.4786999999999904E-2</v>
      </c>
      <c r="AH8143">
        <v>0.644306065527114</v>
      </c>
      <c r="AI8143">
        <v>97.4839871519398</v>
      </c>
      <c r="AJ8143">
        <v>86.640802831333701</v>
      </c>
      <c r="AK8143">
        <v>0.65096034628451205</v>
      </c>
      <c r="AL8143">
        <v>86.850500529569203</v>
      </c>
      <c r="AM8143">
        <v>91.556945295087004</v>
      </c>
      <c r="AN8143">
        <v>1.00000005059132</v>
      </c>
    </row>
    <row r="8144" spans="1:40" x14ac:dyDescent="0.25">
      <c r="A8144" t="str">
        <f>"20190312160526330"</f>
        <v>20190312160526330</v>
      </c>
      <c r="B8144" t="str">
        <f>"1552377926323079"</f>
        <v>1552377926323079</v>
      </c>
      <c r="C8144" t="s">
        <v>40</v>
      </c>
      <c r="D8144">
        <v>5.627548</v>
      </c>
      <c r="E8144">
        <v>0.54940710000000004</v>
      </c>
      <c r="F8144" t="s">
        <v>49</v>
      </c>
      <c r="G8144">
        <v>-187.33799999999999</v>
      </c>
      <c r="H8144">
        <v>1.018491</v>
      </c>
      <c r="I8144">
        <v>-17.76465</v>
      </c>
      <c r="J8144">
        <v>-187.44149999999999</v>
      </c>
      <c r="K8144">
        <v>1.1104080000000001</v>
      </c>
      <c r="L8144">
        <v>-18.45551</v>
      </c>
      <c r="M8144">
        <v>1.944599E-2</v>
      </c>
      <c r="N8144">
        <v>0</v>
      </c>
      <c r="O8144">
        <v>0.99972269999999996</v>
      </c>
      <c r="P8144">
        <v>-7.6545340000000002E-3</v>
      </c>
      <c r="Q8144">
        <v>4.1462539999999999E-2</v>
      </c>
      <c r="R8144">
        <v>0.99911079999999997</v>
      </c>
      <c r="S8144">
        <v>0.39913939999999998</v>
      </c>
      <c r="T8144">
        <v>-0.34736309999999998</v>
      </c>
      <c r="U8144">
        <v>3.0202640000000001</v>
      </c>
      <c r="V8144">
        <v>-2.708408E-2</v>
      </c>
      <c r="W8144">
        <v>5.4720539999999998E-2</v>
      </c>
      <c r="X8144">
        <v>0.99813430000000003</v>
      </c>
      <c r="Y8144">
        <v>0.1108652</v>
      </c>
      <c r="Z8144">
        <v>-0.1133871</v>
      </c>
      <c r="AA8144">
        <v>0.9873461</v>
      </c>
      <c r="AB8144">
        <v>17</v>
      </c>
      <c r="AC8144">
        <v>0.103499999999996</v>
      </c>
      <c r="AD8144">
        <v>-9.1916999999999999E-2</v>
      </c>
      <c r="AE8144">
        <v>0.69086000000000003</v>
      </c>
      <c r="AF8144">
        <v>8.8512370367854407E-2</v>
      </c>
      <c r="AG8144">
        <v>-9.1916999999999999E-2</v>
      </c>
      <c r="AH8144">
        <v>0.68095284986909699</v>
      </c>
      <c r="AI8144">
        <v>97.624112926387994</v>
      </c>
      <c r="AJ8144">
        <v>82.5940394189969</v>
      </c>
      <c r="AK8144">
        <v>0.69280585905575398</v>
      </c>
      <c r="AL8144">
        <v>86.863177170330104</v>
      </c>
      <c r="AM8144">
        <v>91.554322683712599</v>
      </c>
      <c r="AN8144">
        <v>0.99999998286191305</v>
      </c>
    </row>
    <row r="8145" spans="1:40" x14ac:dyDescent="0.25">
      <c r="A8145" t="str">
        <f>"20190312160526350"</f>
        <v>20190312160526350</v>
      </c>
      <c r="B8145" t="str">
        <f>"1552377926343416"</f>
        <v>1552377926343416</v>
      </c>
      <c r="C8145" t="s">
        <v>40</v>
      </c>
      <c r="D8145">
        <v>5.9766149999999998</v>
      </c>
      <c r="E8145">
        <v>0.54591610000000002</v>
      </c>
      <c r="F8145" t="s">
        <v>49</v>
      </c>
      <c r="G8145">
        <v>-187.334</v>
      </c>
      <c r="H8145">
        <v>1.0148680000000001</v>
      </c>
      <c r="I8145">
        <v>-17.61713</v>
      </c>
      <c r="J8145">
        <v>-187.43870000000001</v>
      </c>
      <c r="K8145">
        <v>1.1103989999999999</v>
      </c>
      <c r="L8145">
        <v>-18.305910000000001</v>
      </c>
      <c r="M8145">
        <v>1.9407509999999999E-2</v>
      </c>
      <c r="N8145">
        <v>0</v>
      </c>
      <c r="O8145">
        <v>0.99972349999999999</v>
      </c>
      <c r="P8145">
        <v>-7.4371400000000001E-3</v>
      </c>
      <c r="Q8145">
        <v>4.0978760000000003E-2</v>
      </c>
      <c r="R8145">
        <v>0.99913229999999997</v>
      </c>
      <c r="S8145">
        <v>0.3872681</v>
      </c>
      <c r="T8145">
        <v>-0.34414299999999998</v>
      </c>
      <c r="U8145">
        <v>3.0199280000000002</v>
      </c>
      <c r="V8145">
        <v>-2.682872E-2</v>
      </c>
      <c r="W8145">
        <v>5.4234400000000002E-2</v>
      </c>
      <c r="X8145">
        <v>0.99816780000000005</v>
      </c>
      <c r="Y8145">
        <v>0.1071144</v>
      </c>
      <c r="Z8145">
        <v>-0.112413</v>
      </c>
      <c r="AA8145">
        <v>0.98787130000000001</v>
      </c>
      <c r="AB8145">
        <v>17</v>
      </c>
      <c r="AC8145">
        <v>0.104700000000008</v>
      </c>
      <c r="AD8145">
        <v>-9.5530999999999797E-2</v>
      </c>
      <c r="AE8145">
        <v>0.68878000000000095</v>
      </c>
      <c r="AF8145">
        <v>8.9626427188968696E-2</v>
      </c>
      <c r="AG8145">
        <v>-9.5530999999999797E-2</v>
      </c>
      <c r="AH8145">
        <v>0.677935766585257</v>
      </c>
      <c r="AI8145">
        <v>97.952694051181595</v>
      </c>
      <c r="AJ8145">
        <v>82.468891381859706</v>
      </c>
      <c r="AK8145">
        <v>0.69047517842946404</v>
      </c>
      <c r="AL8145">
        <v>86.891072586021295</v>
      </c>
      <c r="AM8145">
        <v>91.539623319998299</v>
      </c>
      <c r="AN8145">
        <v>1.0000000536585101</v>
      </c>
    </row>
    <row r="8146" spans="1:40" x14ac:dyDescent="0.25">
      <c r="A8146" t="str">
        <f>"20190312160526373"</f>
        <v>20190312160526373</v>
      </c>
      <c r="B8146" t="str">
        <f>"1552377926362936"</f>
        <v>1552377926362936</v>
      </c>
      <c r="C8146" t="s">
        <v>40</v>
      </c>
      <c r="D8146">
        <v>5.9563499999999996</v>
      </c>
      <c r="E8146">
        <v>0.54290090000000002</v>
      </c>
      <c r="F8146" t="s">
        <v>49</v>
      </c>
      <c r="G8146">
        <v>-187.33879999999999</v>
      </c>
      <c r="H8146">
        <v>1.0167310000000001</v>
      </c>
      <c r="I8146">
        <v>-17.466950000000001</v>
      </c>
      <c r="J8146">
        <v>-187.43549999999999</v>
      </c>
      <c r="K8146">
        <v>1.1103959999999999</v>
      </c>
      <c r="L8146">
        <v>-18.13748</v>
      </c>
      <c r="M8146">
        <v>1.9364320000000001E-2</v>
      </c>
      <c r="N8146">
        <v>0</v>
      </c>
      <c r="O8146">
        <v>0.99972450000000002</v>
      </c>
      <c r="P8146">
        <v>-7.336034E-3</v>
      </c>
      <c r="Q8146">
        <v>4.0559690000000002E-2</v>
      </c>
      <c r="R8146">
        <v>0.99915019999999999</v>
      </c>
      <c r="S8146">
        <v>0.35932920000000002</v>
      </c>
      <c r="T8146">
        <v>-0.33707320000000002</v>
      </c>
      <c r="U8146">
        <v>3.019104</v>
      </c>
      <c r="V8146">
        <v>-2.6684659999999999E-2</v>
      </c>
      <c r="W8146">
        <v>5.3803980000000001E-2</v>
      </c>
      <c r="X8146">
        <v>0.9981949</v>
      </c>
      <c r="Y8146">
        <v>9.8211300000000001E-2</v>
      </c>
      <c r="Z8146">
        <v>-0.1102741</v>
      </c>
      <c r="AA8146">
        <v>0.98903700000000005</v>
      </c>
      <c r="AB8146">
        <v>17</v>
      </c>
      <c r="AC8146">
        <v>9.6699999999998398E-2</v>
      </c>
      <c r="AD8146">
        <v>-9.3664999999999804E-2</v>
      </c>
      <c r="AE8146">
        <v>0.67052999999999896</v>
      </c>
      <c r="AF8146">
        <v>8.2126501655274006E-2</v>
      </c>
      <c r="AG8146">
        <v>-9.3664999999999804E-2</v>
      </c>
      <c r="AH8146">
        <v>0.659667280821987</v>
      </c>
      <c r="AI8146">
        <v>98.020207328684805</v>
      </c>
      <c r="AJ8146">
        <v>82.903369995723907</v>
      </c>
      <c r="AK8146">
        <v>0.67132616207489504</v>
      </c>
      <c r="AL8146">
        <v>86.915769725744099</v>
      </c>
      <c r="AM8146">
        <v>91.531318521676198</v>
      </c>
      <c r="AN8146">
        <v>0.99999999886458302</v>
      </c>
    </row>
    <row r="8147" spans="1:40" x14ac:dyDescent="0.25">
      <c r="A8147" t="str">
        <f>"20190312160526394"</f>
        <v>20190312160526394</v>
      </c>
      <c r="B8147" t="str">
        <f>"1552377926383432"</f>
        <v>1552377926383432</v>
      </c>
      <c r="C8147" t="s">
        <v>40</v>
      </c>
      <c r="D8147">
        <v>5.9939150000000003</v>
      </c>
      <c r="E8147">
        <v>0.54376919999999995</v>
      </c>
      <c r="F8147" t="s">
        <v>49</v>
      </c>
      <c r="G8147">
        <v>-187.3441</v>
      </c>
      <c r="H8147">
        <v>1.021522</v>
      </c>
      <c r="I8147">
        <v>-17.31549</v>
      </c>
      <c r="J8147">
        <v>-187.4324</v>
      </c>
      <c r="K8147">
        <v>1.1103860000000001</v>
      </c>
      <c r="L8147">
        <v>-17.980039999999999</v>
      </c>
      <c r="M8147">
        <v>1.932408E-2</v>
      </c>
      <c r="N8147">
        <v>0</v>
      </c>
      <c r="O8147">
        <v>0.99972559999999999</v>
      </c>
      <c r="P8147">
        <v>-6.8927980000000003E-3</v>
      </c>
      <c r="Q8147">
        <v>4.028988E-2</v>
      </c>
      <c r="R8147">
        <v>0.99916430000000001</v>
      </c>
      <c r="S8147">
        <v>0.3351288</v>
      </c>
      <c r="T8147">
        <v>-0.32631929999999998</v>
      </c>
      <c r="U8147">
        <v>3.0182500000000001</v>
      </c>
      <c r="V8147">
        <v>-2.6201470000000001E-2</v>
      </c>
      <c r="W8147">
        <v>5.3511629999999998E-2</v>
      </c>
      <c r="X8147">
        <v>0.99822339999999998</v>
      </c>
      <c r="Y8147">
        <v>9.0495210000000006E-2</v>
      </c>
      <c r="Z8147">
        <v>-0.1069141</v>
      </c>
      <c r="AA8147">
        <v>0.99014139999999995</v>
      </c>
      <c r="AB8147">
        <v>17</v>
      </c>
      <c r="AC8147">
        <v>8.8300000000003806E-2</v>
      </c>
      <c r="AD8147">
        <v>-8.8863999999999999E-2</v>
      </c>
      <c r="AE8147">
        <v>0.66454999999999798</v>
      </c>
      <c r="AF8147">
        <v>7.4137890952861898E-2</v>
      </c>
      <c r="AG8147">
        <v>-8.8863999999999999E-2</v>
      </c>
      <c r="AH8147">
        <v>0.65462986958476699</v>
      </c>
      <c r="AI8147">
        <v>97.681958745301699</v>
      </c>
      <c r="AJ8147">
        <v>83.538690596417993</v>
      </c>
      <c r="AK8147">
        <v>0.66478079358801201</v>
      </c>
      <c r="AL8147">
        <v>86.932544266911506</v>
      </c>
      <c r="AM8147">
        <v>91.503560250876504</v>
      </c>
      <c r="AN8147">
        <v>0.99999998394148804</v>
      </c>
    </row>
    <row r="8148" spans="1:40" x14ac:dyDescent="0.25">
      <c r="A8148" t="str">
        <f>"20190312160526418"</f>
        <v>20190312160526418</v>
      </c>
      <c r="B8148" t="str">
        <f>"1552377926412712"</f>
        <v>1552377926412712</v>
      </c>
      <c r="C8148" t="s">
        <v>40</v>
      </c>
      <c r="D8148">
        <v>5.7403240000000002</v>
      </c>
      <c r="E8148">
        <v>0.54493619999999898</v>
      </c>
      <c r="F8148" t="s">
        <v>49</v>
      </c>
      <c r="G8148">
        <v>-187.3399</v>
      </c>
      <c r="H8148">
        <v>1.0209919999999999</v>
      </c>
      <c r="I8148">
        <v>-17.16694</v>
      </c>
      <c r="J8148">
        <v>-187.42910000000001</v>
      </c>
      <c r="K8148">
        <v>1.1103780000000001</v>
      </c>
      <c r="L8148">
        <v>-17.80499</v>
      </c>
      <c r="M8148">
        <v>1.927978E-2</v>
      </c>
      <c r="N8148">
        <v>0</v>
      </c>
      <c r="O8148">
        <v>0.99972700000000003</v>
      </c>
      <c r="P8148">
        <v>-6.3515689999999996E-3</v>
      </c>
      <c r="Q8148">
        <v>4.0534599999999997E-2</v>
      </c>
      <c r="R8148">
        <v>0.99915799999999999</v>
      </c>
      <c r="S8148">
        <v>0.34361269999999999</v>
      </c>
      <c r="T8148">
        <v>-0.33183629999999997</v>
      </c>
      <c r="U8148">
        <v>3.0182500000000001</v>
      </c>
      <c r="V8148">
        <v>-2.561619E-2</v>
      </c>
      <c r="W8148">
        <v>5.3717319999999999E-2</v>
      </c>
      <c r="X8148">
        <v>0.99822750000000005</v>
      </c>
      <c r="Y8148">
        <v>9.3265879999999995E-2</v>
      </c>
      <c r="Z8148">
        <v>-0.1086698</v>
      </c>
      <c r="AA8148">
        <v>0.98969300000000004</v>
      </c>
      <c r="AB8148">
        <v>17</v>
      </c>
      <c r="AC8148">
        <v>8.9200000000005206E-2</v>
      </c>
      <c r="AD8148">
        <v>-8.9386000000000104E-2</v>
      </c>
      <c r="AE8148">
        <v>0.63804999999999901</v>
      </c>
      <c r="AF8148">
        <v>7.5428899926581305E-2</v>
      </c>
      <c r="AG8148">
        <v>-8.9386000000000104E-2</v>
      </c>
      <c r="AH8148">
        <v>0.62757075461195</v>
      </c>
      <c r="AI8148">
        <v>98.049052191952299</v>
      </c>
      <c r="AJ8148">
        <v>83.146389785623896</v>
      </c>
      <c r="AK8148">
        <v>0.63837639992746198</v>
      </c>
      <c r="AL8148">
        <v>86.920741989645407</v>
      </c>
      <c r="AM8148">
        <v>91.469983075826704</v>
      </c>
      <c r="AN8148">
        <v>0.99999994070717202</v>
      </c>
    </row>
    <row r="8149" spans="1:40" x14ac:dyDescent="0.25">
      <c r="A8149" t="str">
        <f>"20190312160526441"</f>
        <v>20190312160526441</v>
      </c>
      <c r="B8149" t="str">
        <f>"1552377926433208"</f>
        <v>1552377926433208</v>
      </c>
      <c r="C8149" t="s">
        <v>40</v>
      </c>
      <c r="D8149">
        <v>5.9367739999999998</v>
      </c>
      <c r="E8149">
        <v>0.54614649999999998</v>
      </c>
      <c r="F8149" t="s">
        <v>49</v>
      </c>
      <c r="G8149">
        <v>-187.3365</v>
      </c>
      <c r="H8149">
        <v>1.022338</v>
      </c>
      <c r="I8149">
        <v>-17.017569999999999</v>
      </c>
      <c r="J8149">
        <v>-187.42590000000001</v>
      </c>
      <c r="K8149">
        <v>1.1103689999999999</v>
      </c>
      <c r="L8149">
        <v>-17.633179999999999</v>
      </c>
      <c r="M8149">
        <v>1.923737E-2</v>
      </c>
      <c r="N8149">
        <v>0</v>
      </c>
      <c r="O8149">
        <v>0.99972850000000002</v>
      </c>
      <c r="P8149">
        <v>-5.454693E-3</v>
      </c>
      <c r="Q8149">
        <v>4.0748720000000002E-2</v>
      </c>
      <c r="R8149">
        <v>0.99915449999999995</v>
      </c>
      <c r="S8149">
        <v>0.35467530000000003</v>
      </c>
      <c r="T8149">
        <v>-0.33747680000000002</v>
      </c>
      <c r="U8149">
        <v>3.0184630000000001</v>
      </c>
      <c r="V8149">
        <v>-2.4677319999999999E-2</v>
      </c>
      <c r="W8149">
        <v>5.3875880000000001E-2</v>
      </c>
      <c r="X8149">
        <v>0.99824270000000004</v>
      </c>
      <c r="Y8149">
        <v>9.6856129999999999E-2</v>
      </c>
      <c r="Z8149">
        <v>-0.1104451</v>
      </c>
      <c r="AA8149">
        <v>0.98915149999999996</v>
      </c>
      <c r="AB8149">
        <v>17</v>
      </c>
      <c r="AC8149">
        <v>8.9400000000011901E-2</v>
      </c>
      <c r="AD8149">
        <v>-8.8031000000000095E-2</v>
      </c>
      <c r="AE8149">
        <v>0.61560999999999599</v>
      </c>
      <c r="AF8149">
        <v>7.6017381227533598E-2</v>
      </c>
      <c r="AG8149">
        <v>-8.8031000000000095E-2</v>
      </c>
      <c r="AH8149">
        <v>0.60509827491011703</v>
      </c>
      <c r="AI8149">
        <v>98.213770143722996</v>
      </c>
      <c r="AJ8149">
        <v>82.839549340222007</v>
      </c>
      <c r="AK8149">
        <v>0.61617531718569496</v>
      </c>
      <c r="AL8149">
        <v>86.911644285060802</v>
      </c>
      <c r="AM8149">
        <v>91.416106895622406</v>
      </c>
      <c r="AN8149">
        <v>1.00000003433572</v>
      </c>
    </row>
    <row r="8150" spans="1:40" x14ac:dyDescent="0.25">
      <c r="A8150" t="str">
        <f>"20190312160526463"</f>
        <v>20190312160526463</v>
      </c>
      <c r="B8150" t="str">
        <f>"1552377926453319"</f>
        <v>1552377926453319</v>
      </c>
      <c r="C8150" t="s">
        <v>40</v>
      </c>
      <c r="D8150">
        <v>6.0607220000000002</v>
      </c>
      <c r="E8150">
        <v>0.54669080000000003</v>
      </c>
      <c r="F8150" t="s">
        <v>49</v>
      </c>
      <c r="G8150">
        <v>-187.3329</v>
      </c>
      <c r="H8150">
        <v>1.023101</v>
      </c>
      <c r="I8150">
        <v>-16.868590000000001</v>
      </c>
      <c r="J8150">
        <v>-187.42269999999999</v>
      </c>
      <c r="K8150">
        <v>1.1103609999999999</v>
      </c>
      <c r="L8150">
        <v>-17.467379999999999</v>
      </c>
      <c r="M8150">
        <v>1.9196100000000001E-2</v>
      </c>
      <c r="N8150">
        <v>0</v>
      </c>
      <c r="O8150">
        <v>0.99973020000000001</v>
      </c>
      <c r="P8150">
        <v>-5.0688529999999999E-3</v>
      </c>
      <c r="Q8150">
        <v>4.0901310000000003E-2</v>
      </c>
      <c r="R8150">
        <v>0.99915030000000005</v>
      </c>
      <c r="S8150">
        <v>0.36706539999999999</v>
      </c>
      <c r="T8150">
        <v>-0.34453440000000002</v>
      </c>
      <c r="U8150">
        <v>3.0185849999999999</v>
      </c>
      <c r="V8150">
        <v>-2.4250239999999999E-2</v>
      </c>
      <c r="W8150">
        <v>5.3958730000000003E-2</v>
      </c>
      <c r="X8150">
        <v>0.99824860000000004</v>
      </c>
      <c r="Y8150">
        <v>0.1008645</v>
      </c>
      <c r="Z8150">
        <v>-0.1126718</v>
      </c>
      <c r="AA8150">
        <v>0.98849960000000003</v>
      </c>
      <c r="AB8150">
        <v>17</v>
      </c>
      <c r="AC8150">
        <v>8.9799999999996702E-2</v>
      </c>
      <c r="AD8150">
        <v>-8.7260000000000101E-2</v>
      </c>
      <c r="AE8150">
        <v>0.59878999999999705</v>
      </c>
      <c r="AF8150">
        <v>7.6695130069824993E-2</v>
      </c>
      <c r="AG8150">
        <v>-8.7260000000000101E-2</v>
      </c>
      <c r="AH8150">
        <v>0.588187361462159</v>
      </c>
      <c r="AI8150">
        <v>98.368687577785906</v>
      </c>
      <c r="AJ8150">
        <v>82.570982794179102</v>
      </c>
      <c r="AK8150">
        <v>0.59955051727126696</v>
      </c>
      <c r="AL8150">
        <v>86.906890132276402</v>
      </c>
      <c r="AM8150">
        <v>91.391600429487795</v>
      </c>
      <c r="AN8150">
        <v>0.99999994304261297</v>
      </c>
    </row>
    <row r="8151" spans="1:40" x14ac:dyDescent="0.25">
      <c r="A8151" t="str">
        <f>"20190312160526486"</f>
        <v>20190312160526486</v>
      </c>
      <c r="B8151" t="str">
        <f>"1552377926472837"</f>
        <v>1552377926472837</v>
      </c>
      <c r="C8151" t="s">
        <v>40</v>
      </c>
      <c r="D8151">
        <v>6.0699360000000002</v>
      </c>
      <c r="E8151">
        <v>0.54735610000000001</v>
      </c>
      <c r="F8151" t="s">
        <v>49</v>
      </c>
      <c r="G8151">
        <v>-187.3304</v>
      </c>
      <c r="H8151">
        <v>1.024211</v>
      </c>
      <c r="I8151">
        <v>-16.71949</v>
      </c>
      <c r="J8151">
        <v>-187.4196</v>
      </c>
      <c r="K8151">
        <v>1.110344</v>
      </c>
      <c r="L8151">
        <v>-17.300989999999999</v>
      </c>
      <c r="M8151">
        <v>1.9151419999999999E-2</v>
      </c>
      <c r="N8151">
        <v>0</v>
      </c>
      <c r="O8151">
        <v>0.99973210000000001</v>
      </c>
      <c r="P8151">
        <v>-5.0623600000000001E-3</v>
      </c>
      <c r="Q8151">
        <v>4.1120530000000002E-2</v>
      </c>
      <c r="R8151">
        <v>0.99914139999999996</v>
      </c>
      <c r="S8151">
        <v>0.37257390000000001</v>
      </c>
      <c r="T8151">
        <v>-0.347721</v>
      </c>
      <c r="U8151">
        <v>3.0186769999999998</v>
      </c>
      <c r="V8151">
        <v>-2.4198649999999999E-2</v>
      </c>
      <c r="W8151">
        <v>5.4095860000000003E-2</v>
      </c>
      <c r="X8151">
        <v>0.99824250000000003</v>
      </c>
      <c r="Y8151">
        <v>0.10266840000000001</v>
      </c>
      <c r="Z8151">
        <v>-0.1136742</v>
      </c>
      <c r="AA8151">
        <v>0.9881991</v>
      </c>
      <c r="AB8151">
        <v>17</v>
      </c>
      <c r="AC8151">
        <v>8.9200000000005206E-2</v>
      </c>
      <c r="AD8151">
        <v>-8.6133000000000001E-2</v>
      </c>
      <c r="AE8151">
        <v>0.58149999999999802</v>
      </c>
      <c r="AF8151">
        <v>7.6408276189611601E-2</v>
      </c>
      <c r="AG8151">
        <v>-8.6133000000000001E-2</v>
      </c>
      <c r="AH8151">
        <v>0.57086485913461504</v>
      </c>
      <c r="AI8151">
        <v>98.505434586482906</v>
      </c>
      <c r="AJ8151">
        <v>82.376468604460598</v>
      </c>
      <c r="AK8151">
        <v>0.58236054618599697</v>
      </c>
      <c r="AL8151">
        <v>86.899021885795094</v>
      </c>
      <c r="AM8151">
        <v>91.388649579203204</v>
      </c>
      <c r="AN8151">
        <v>1.0000000127686</v>
      </c>
    </row>
    <row r="8152" spans="1:40" x14ac:dyDescent="0.25">
      <c r="A8152" t="str">
        <f>"20190312160526507"</f>
        <v>20190312160526507</v>
      </c>
      <c r="B8152" t="str">
        <f>"1552377926503094"</f>
        <v>1552377926503094</v>
      </c>
      <c r="C8152" t="s">
        <v>40</v>
      </c>
      <c r="D8152">
        <v>5.3705150000000001</v>
      </c>
      <c r="E8152">
        <v>0.54817459999999996</v>
      </c>
      <c r="F8152" t="s">
        <v>49</v>
      </c>
      <c r="G8152">
        <v>-187.328</v>
      </c>
      <c r="H8152">
        <v>1.0249969999999999</v>
      </c>
      <c r="I8152">
        <v>-16.570589999999999</v>
      </c>
      <c r="J8152">
        <v>-187.41659999999999</v>
      </c>
      <c r="K8152">
        <v>1.1103289999999999</v>
      </c>
      <c r="L8152">
        <v>-17.142700000000001</v>
      </c>
      <c r="M8152">
        <v>1.910512E-2</v>
      </c>
      <c r="N8152">
        <v>0</v>
      </c>
      <c r="O8152">
        <v>0.99973420000000002</v>
      </c>
      <c r="P8152">
        <v>-5.0637019999999998E-3</v>
      </c>
      <c r="Q8152">
        <v>4.0681019999999998E-2</v>
      </c>
      <c r="R8152">
        <v>0.99915929999999997</v>
      </c>
      <c r="S8152">
        <v>0.37791439999999998</v>
      </c>
      <c r="T8152">
        <v>-0.35275889999999999</v>
      </c>
      <c r="U8152">
        <v>3.019012</v>
      </c>
      <c r="V8152">
        <v>-2.4154120000000001E-2</v>
      </c>
      <c r="W8152">
        <v>5.356876E-2</v>
      </c>
      <c r="X8152">
        <v>0.99827200000000005</v>
      </c>
      <c r="Y8152">
        <v>0.1043997</v>
      </c>
      <c r="Z8152">
        <v>-0.11526409999999999</v>
      </c>
      <c r="AA8152">
        <v>0.98783339999999997</v>
      </c>
      <c r="AB8152">
        <v>17</v>
      </c>
      <c r="AC8152">
        <v>8.8599999999985302E-2</v>
      </c>
      <c r="AD8152">
        <v>-8.5332000000000102E-2</v>
      </c>
      <c r="AE8152">
        <v>0.57211000000000201</v>
      </c>
      <c r="AF8152">
        <v>7.6001506855266604E-2</v>
      </c>
      <c r="AG8152">
        <v>-8.5332000000000102E-2</v>
      </c>
      <c r="AH8152">
        <v>0.56149949877234795</v>
      </c>
      <c r="AI8152">
        <v>98.564291585019902</v>
      </c>
      <c r="AJ8152">
        <v>82.291603063765294</v>
      </c>
      <c r="AK8152">
        <v>0.57300913290266897</v>
      </c>
      <c r="AL8152">
        <v>86.929266336705695</v>
      </c>
      <c r="AM8152">
        <v>91.386054259873305</v>
      </c>
      <c r="AN8152">
        <v>1.00000000977245</v>
      </c>
    </row>
    <row r="8153" spans="1:40" x14ac:dyDescent="0.25">
      <c r="A8153" t="str">
        <f>"20190312160526529"</f>
        <v>20190312160526529</v>
      </c>
      <c r="B8153" t="str">
        <f>"1552377926523589"</f>
        <v>1552377926523589</v>
      </c>
      <c r="C8153" t="s">
        <v>40</v>
      </c>
      <c r="D8153">
        <v>5.6567749999999997</v>
      </c>
      <c r="E8153">
        <v>0.54848469999999905</v>
      </c>
      <c r="F8153" t="s">
        <v>49</v>
      </c>
      <c r="G8153">
        <v>-187.3246</v>
      </c>
      <c r="H8153">
        <v>1.024178</v>
      </c>
      <c r="I8153">
        <v>-16.422539999999898</v>
      </c>
      <c r="J8153">
        <v>-187.4135</v>
      </c>
      <c r="K8153">
        <v>1.1103229999999999</v>
      </c>
      <c r="L8153">
        <v>-16.980560000000001</v>
      </c>
      <c r="M8153">
        <v>1.9057419999999999E-2</v>
      </c>
      <c r="N8153">
        <v>0</v>
      </c>
      <c r="O8153">
        <v>0.99973619999999996</v>
      </c>
      <c r="P8153">
        <v>-4.4149100000000002E-3</v>
      </c>
      <c r="Q8153">
        <v>4.027066E-2</v>
      </c>
      <c r="R8153">
        <v>0.99917909999999999</v>
      </c>
      <c r="S8153">
        <v>0.38464359999999997</v>
      </c>
      <c r="T8153">
        <v>-0.36114420000000003</v>
      </c>
      <c r="U8153">
        <v>3.0191650000000001</v>
      </c>
      <c r="V8153">
        <v>-2.3458329999999999E-2</v>
      </c>
      <c r="W8153">
        <v>5.3069270000000002E-2</v>
      </c>
      <c r="X8153">
        <v>0.99831530000000002</v>
      </c>
      <c r="Y8153">
        <v>0.1065683</v>
      </c>
      <c r="Z8153">
        <v>-0.1179307</v>
      </c>
      <c r="AA8153">
        <v>0.98728700000000003</v>
      </c>
      <c r="AB8153">
        <v>17</v>
      </c>
      <c r="AC8153">
        <v>8.8899999999995302E-2</v>
      </c>
      <c r="AD8153">
        <v>-8.6144999999999902E-2</v>
      </c>
      <c r="AE8153">
        <v>0.55802000000000196</v>
      </c>
      <c r="AF8153">
        <v>7.6471204989404601E-2</v>
      </c>
      <c r="AG8153">
        <v>-8.6144999999999902E-2</v>
      </c>
      <c r="AH8153">
        <v>0.54690183540810999</v>
      </c>
      <c r="AI8153">
        <v>98.866506082259605</v>
      </c>
      <c r="AJ8153">
        <v>82.0401564641991</v>
      </c>
      <c r="AK8153">
        <v>0.55890108587324305</v>
      </c>
      <c r="AL8153">
        <v>86.957925863168398</v>
      </c>
      <c r="AM8153">
        <v>91.346083756859301</v>
      </c>
      <c r="AN8153">
        <v>1.0000000394394</v>
      </c>
    </row>
    <row r="8154" spans="1:40" x14ac:dyDescent="0.25">
      <c r="A8154" t="str">
        <f>"20190312160526551"</f>
        <v>20190312160526551</v>
      </c>
      <c r="B8154" t="str">
        <f>"1552377926543109"</f>
        <v>1552377926543109</v>
      </c>
      <c r="C8154" t="s">
        <v>40</v>
      </c>
      <c r="D8154">
        <v>5.7344549999999996</v>
      </c>
      <c r="E8154">
        <v>0.54879460000000002</v>
      </c>
      <c r="F8154" t="s">
        <v>49</v>
      </c>
      <c r="G8154">
        <v>-187.30449999999999</v>
      </c>
      <c r="H8154">
        <v>1.0079020000000001</v>
      </c>
      <c r="I8154">
        <v>-16.133939999999999</v>
      </c>
      <c r="J8154">
        <v>-187.41040000000001</v>
      </c>
      <c r="K8154">
        <v>1.1103149999999999</v>
      </c>
      <c r="L8154">
        <v>-16.812560000000001</v>
      </c>
      <c r="M8154">
        <v>1.9011440000000001E-2</v>
      </c>
      <c r="N8154">
        <v>0</v>
      </c>
      <c r="O8154">
        <v>0.99973820000000002</v>
      </c>
      <c r="P8154">
        <v>-4.3077819999999996E-3</v>
      </c>
      <c r="Q8154">
        <v>4.0407360000000003E-2</v>
      </c>
      <c r="R8154">
        <v>0.99917400000000001</v>
      </c>
      <c r="S8154">
        <v>0.38842769999999999</v>
      </c>
      <c r="T8154">
        <v>-0.36520180000000002</v>
      </c>
      <c r="U8154">
        <v>3.0188899999999999</v>
      </c>
      <c r="V8154">
        <v>-2.3304979999999999E-2</v>
      </c>
      <c r="W8154">
        <v>5.3121179999999997E-2</v>
      </c>
      <c r="X8154">
        <v>0.99831610000000004</v>
      </c>
      <c r="Y8154">
        <v>0.10782310000000001</v>
      </c>
      <c r="Z8154">
        <v>-0.11923019999999999</v>
      </c>
      <c r="AA8154">
        <v>0.98699460000000006</v>
      </c>
      <c r="AB8154">
        <v>17</v>
      </c>
      <c r="AC8154">
        <v>0.10590000000001901</v>
      </c>
      <c r="AD8154">
        <v>-0.102412999999999</v>
      </c>
      <c r="AE8154">
        <v>0.678620000000002</v>
      </c>
      <c r="AF8154">
        <v>9.0955999111926603E-2</v>
      </c>
      <c r="AG8154">
        <v>-0.102412999999999</v>
      </c>
      <c r="AH8154">
        <v>0.66570975700139201</v>
      </c>
      <c r="AI8154">
        <v>98.666556209388702</v>
      </c>
      <c r="AJ8154">
        <v>82.219845273892602</v>
      </c>
      <c r="AK8154">
        <v>0.67965498373093802</v>
      </c>
      <c r="AL8154">
        <v>86.954947344437898</v>
      </c>
      <c r="AM8154">
        <v>91.337286375773303</v>
      </c>
      <c r="AN8154">
        <v>1.0000000086883001</v>
      </c>
    </row>
    <row r="8155" spans="1:40" x14ac:dyDescent="0.25">
      <c r="A8155" t="str">
        <f>"20190312160526573"</f>
        <v>20190312160526573</v>
      </c>
      <c r="B8155" t="str">
        <f>"1552377926563607"</f>
        <v>1552377926563607</v>
      </c>
      <c r="C8155" t="s">
        <v>40</v>
      </c>
      <c r="D8155">
        <v>6.0794079999999999</v>
      </c>
      <c r="E8155">
        <v>0.54898939999999996</v>
      </c>
      <c r="F8155" t="s">
        <v>49</v>
      </c>
      <c r="G8155">
        <v>-187.303</v>
      </c>
      <c r="H8155">
        <v>1.009838</v>
      </c>
      <c r="I8155">
        <v>-15.9846</v>
      </c>
      <c r="J8155">
        <v>-187.4074</v>
      </c>
      <c r="K8155">
        <v>1.1103099999999999</v>
      </c>
      <c r="L8155">
        <v>-16.652279999999902</v>
      </c>
      <c r="M8155">
        <v>1.8969690000000001E-2</v>
      </c>
      <c r="N8155">
        <v>0</v>
      </c>
      <c r="O8155">
        <v>0.99973990000000001</v>
      </c>
      <c r="P8155">
        <v>-4.6314939999999999E-3</v>
      </c>
      <c r="Q8155">
        <v>4.0748039999999999E-2</v>
      </c>
      <c r="R8155">
        <v>0.99915869999999996</v>
      </c>
      <c r="S8155">
        <v>0.3917542</v>
      </c>
      <c r="T8155">
        <v>-0.36636990000000003</v>
      </c>
      <c r="U8155">
        <v>3.0189819999999998</v>
      </c>
      <c r="V8155">
        <v>-2.358646E-2</v>
      </c>
      <c r="W8155">
        <v>5.338735E-2</v>
      </c>
      <c r="X8155">
        <v>0.9982953</v>
      </c>
      <c r="Y8155">
        <v>0.10892490000000001</v>
      </c>
      <c r="Z8155">
        <v>-0.1195872</v>
      </c>
      <c r="AA8155">
        <v>0.9868304</v>
      </c>
      <c r="AB8155">
        <v>17</v>
      </c>
      <c r="AC8155">
        <v>0.10439999999999799</v>
      </c>
      <c r="AD8155">
        <v>-0.10047200000000001</v>
      </c>
      <c r="AE8155">
        <v>0.66767999999999705</v>
      </c>
      <c r="AF8155">
        <v>8.9731132643992698E-2</v>
      </c>
      <c r="AG8155">
        <v>-0.10047200000000001</v>
      </c>
      <c r="AH8155">
        <v>0.65506122337044304</v>
      </c>
      <c r="AI8155">
        <v>98.640505711461103</v>
      </c>
      <c r="AJ8155">
        <v>82.200093851259496</v>
      </c>
      <c r="AK8155">
        <v>0.66876864857225204</v>
      </c>
      <c r="AL8155">
        <v>86.939675284453998</v>
      </c>
      <c r="AM8155">
        <v>91.353460478353995</v>
      </c>
      <c r="AN8155">
        <v>1.0000000181187201</v>
      </c>
    </row>
    <row r="8156" spans="1:40" x14ac:dyDescent="0.25">
      <c r="A8156" t="str">
        <f>"20190312160526594"</f>
        <v>20190312160526594</v>
      </c>
      <c r="B8156" t="str">
        <f>"1552377926583125"</f>
        <v>1552377926583125</v>
      </c>
      <c r="C8156" t="s">
        <v>40</v>
      </c>
      <c r="D8156">
        <v>5.8536449999999904</v>
      </c>
      <c r="E8156">
        <v>0.54917059999999995</v>
      </c>
      <c r="F8156" t="s">
        <v>49</v>
      </c>
      <c r="G8156">
        <v>-187.30090000000001</v>
      </c>
      <c r="H8156">
        <v>1.0112989999999999</v>
      </c>
      <c r="I8156">
        <v>-15.83554</v>
      </c>
      <c r="J8156">
        <v>-187.40450000000001</v>
      </c>
      <c r="K8156">
        <v>1.1103019999999999</v>
      </c>
      <c r="L8156">
        <v>-16.493770000000001</v>
      </c>
      <c r="M8156">
        <v>1.8928919999999998E-2</v>
      </c>
      <c r="N8156">
        <v>0</v>
      </c>
      <c r="O8156">
        <v>0.99974160000000001</v>
      </c>
      <c r="P8156">
        <v>-5.2628819999999896E-3</v>
      </c>
      <c r="Q8156">
        <v>4.0302440000000002E-2</v>
      </c>
      <c r="R8156">
        <v>0.9991736</v>
      </c>
      <c r="S8156">
        <v>0.3933411</v>
      </c>
      <c r="T8156">
        <v>-0.36600179999999999</v>
      </c>
      <c r="U8156">
        <v>3.0192869999999998</v>
      </c>
      <c r="V8156">
        <v>-2.4177379999999998E-2</v>
      </c>
      <c r="W8156">
        <v>5.2874989999999997E-2</v>
      </c>
      <c r="X8156">
        <v>0.99830839999999998</v>
      </c>
      <c r="Y8156">
        <v>0.1094649</v>
      </c>
      <c r="Z8156">
        <v>-0.1194496</v>
      </c>
      <c r="AA8156">
        <v>0.98678730000000003</v>
      </c>
      <c r="AB8156">
        <v>17</v>
      </c>
      <c r="AC8156">
        <v>0.1036</v>
      </c>
      <c r="AD8156">
        <v>-9.9003000000000105E-2</v>
      </c>
      <c r="AE8156">
        <v>0.65823000000000098</v>
      </c>
      <c r="AF8156">
        <v>8.9152757616916101E-2</v>
      </c>
      <c r="AG8156">
        <v>-9.9003000000000105E-2</v>
      </c>
      <c r="AH8156">
        <v>0.64581640435888499</v>
      </c>
      <c r="AI8156">
        <v>98.634897091754098</v>
      </c>
      <c r="AJ8156">
        <v>82.140189110671002</v>
      </c>
      <c r="AK8156">
        <v>0.65941537466056999</v>
      </c>
      <c r="AL8156">
        <v>86.969072774927795</v>
      </c>
      <c r="AM8156">
        <v>91.387337917988901</v>
      </c>
      <c r="AN8156">
        <v>0.99999998589086203</v>
      </c>
    </row>
    <row r="8157" spans="1:40" x14ac:dyDescent="0.25">
      <c r="A8157" t="str">
        <f>"20190312160526619"</f>
        <v>20190312160526619</v>
      </c>
      <c r="B8157" t="str">
        <f>"1552377926613381"</f>
        <v>1552377926613381</v>
      </c>
      <c r="C8157" t="s">
        <v>40</v>
      </c>
      <c r="D8157">
        <v>5.9226409999999996</v>
      </c>
      <c r="E8157">
        <v>0.512652</v>
      </c>
      <c r="F8157" t="s">
        <v>49</v>
      </c>
      <c r="G8157">
        <v>-187.2996</v>
      </c>
      <c r="H8157">
        <v>1.011576</v>
      </c>
      <c r="I8157">
        <v>-15.6870799999999</v>
      </c>
      <c r="J8157">
        <v>-187.40110000000001</v>
      </c>
      <c r="K8157">
        <v>1.1102970000000001</v>
      </c>
      <c r="L8157">
        <v>-16.311769999999999</v>
      </c>
      <c r="M8157">
        <v>1.8881140000000001E-2</v>
      </c>
      <c r="N8157">
        <v>0</v>
      </c>
      <c r="O8157">
        <v>0.9997433</v>
      </c>
      <c r="P8157">
        <v>-6.0766459999999998E-3</v>
      </c>
      <c r="Q8157">
        <v>4.0584950000000002E-2</v>
      </c>
      <c r="R8157">
        <v>0.99915759999999998</v>
      </c>
      <c r="S8157">
        <v>0.39250180000000001</v>
      </c>
      <c r="T8157">
        <v>-0.3695369</v>
      </c>
      <c r="U8157">
        <v>3.0194399999999999</v>
      </c>
      <c r="V8157">
        <v>-2.4942550000000001E-2</v>
      </c>
      <c r="W8157">
        <v>5.3085460000000001E-2</v>
      </c>
      <c r="X8157">
        <v>0.99827840000000001</v>
      </c>
      <c r="Y8157">
        <v>0.1092186</v>
      </c>
      <c r="Z8157">
        <v>-0.1205845</v>
      </c>
      <c r="AA8157">
        <v>0.98667660000000001</v>
      </c>
      <c r="AB8157">
        <v>17</v>
      </c>
      <c r="AC8157">
        <v>0.10150000000001499</v>
      </c>
      <c r="AD8157">
        <v>-9.8720999999999795E-2</v>
      </c>
      <c r="AE8157">
        <v>0.62469000000000396</v>
      </c>
      <c r="AF8157">
        <v>8.7555734573711103E-2</v>
      </c>
      <c r="AG8157">
        <v>-9.8720999999999795E-2</v>
      </c>
      <c r="AH8157">
        <v>0.61161357904581903</v>
      </c>
      <c r="AI8157">
        <v>99.078086791958199</v>
      </c>
      <c r="AJ8157">
        <v>81.853156019283105</v>
      </c>
      <c r="AK8157">
        <v>0.62568603354316499</v>
      </c>
      <c r="AL8157">
        <v>86.956996755249605</v>
      </c>
      <c r="AM8157">
        <v>91.431269644411302</v>
      </c>
      <c r="AN8157">
        <v>0.99999998038523596</v>
      </c>
    </row>
    <row r="8158" spans="1:40" x14ac:dyDescent="0.25">
      <c r="A8158" t="str">
        <f>"20190312160526642"</f>
        <v>20190312160526642</v>
      </c>
      <c r="B8158" t="str">
        <f>"1552377926632903"</f>
        <v>1552377926632903</v>
      </c>
      <c r="C8158" t="s">
        <v>40</v>
      </c>
      <c r="D8158">
        <v>6.0948419999999999</v>
      </c>
      <c r="E8158">
        <v>0.50228689999999998</v>
      </c>
      <c r="F8158" t="s">
        <v>49</v>
      </c>
      <c r="G8158">
        <v>-187.376</v>
      </c>
      <c r="H8158">
        <v>1.030041</v>
      </c>
      <c r="I8158">
        <v>-15.52774</v>
      </c>
      <c r="J8158">
        <v>-187.39789999999999</v>
      </c>
      <c r="K8158">
        <v>1.110298</v>
      </c>
      <c r="L8158">
        <v>-16.141200000000001</v>
      </c>
      <c r="M8158">
        <v>1.8836209999999999E-2</v>
      </c>
      <c r="N8158">
        <v>0</v>
      </c>
      <c r="O8158">
        <v>0.99974499999999999</v>
      </c>
      <c r="P8158">
        <v>-6.6481369999999897E-3</v>
      </c>
      <c r="Q8158">
        <v>4.097079E-2</v>
      </c>
      <c r="R8158">
        <v>0.99913819999999998</v>
      </c>
      <c r="S8158">
        <v>9.6435549999999995E-2</v>
      </c>
      <c r="T8158">
        <v>-0.3086873</v>
      </c>
      <c r="U8158">
        <v>3.0156559999999999</v>
      </c>
      <c r="V8158">
        <v>-2.5469060000000002E-2</v>
      </c>
      <c r="W8158">
        <v>5.3411630000000002E-2</v>
      </c>
      <c r="X8158">
        <v>0.99824769999999896</v>
      </c>
      <c r="Y8158">
        <v>1.296226E-2</v>
      </c>
      <c r="Z8158">
        <v>-0.1017725</v>
      </c>
      <c r="AA8158">
        <v>0.99472329999999998</v>
      </c>
      <c r="AB8158">
        <v>17</v>
      </c>
      <c r="AC8158">
        <v>2.1900000000016399E-2</v>
      </c>
      <c r="AD8158">
        <v>-8.0256999999999995E-2</v>
      </c>
      <c r="AE8158">
        <v>0.613460000000001</v>
      </c>
      <c r="AF8158">
        <v>1.0166176939042801E-2</v>
      </c>
      <c r="AG8158">
        <v>-8.0256999999999995E-2</v>
      </c>
      <c r="AH8158">
        <v>0.60344842511108698</v>
      </c>
      <c r="AI8158">
        <v>97.574662157288799</v>
      </c>
      <c r="AJ8158">
        <v>89.034840572699295</v>
      </c>
      <c r="AK8158">
        <v>0.60884689288162297</v>
      </c>
      <c r="AL8158">
        <v>86.938282016685505</v>
      </c>
      <c r="AM8158">
        <v>91.461514142676805</v>
      </c>
      <c r="AN8158">
        <v>0.99999997289591402</v>
      </c>
    </row>
    <row r="8159" spans="1:40" x14ac:dyDescent="0.25">
      <c r="A8159" t="str">
        <f>"20190312160526663"</f>
        <v>20190312160526663</v>
      </c>
      <c r="B8159" t="str">
        <f>"1552377926653401"</f>
        <v>1552377926653401</v>
      </c>
      <c r="C8159" t="s">
        <v>40</v>
      </c>
      <c r="D8159">
        <v>6.2385830000000002</v>
      </c>
      <c r="E8159">
        <v>0.49970829999999999</v>
      </c>
      <c r="F8159" t="s">
        <v>41</v>
      </c>
      <c r="G8159">
        <v>-187.3492</v>
      </c>
      <c r="H8159" s="1">
        <v>-1.0754670000000001E-6</v>
      </c>
      <c r="I8159">
        <v>0.73575769999999996</v>
      </c>
      <c r="J8159">
        <v>-187.39510000000001</v>
      </c>
      <c r="K8159">
        <v>1.1102989999999999</v>
      </c>
      <c r="L8159">
        <v>-15.987550000000001</v>
      </c>
      <c r="M8159">
        <v>1.8796449999999999E-2</v>
      </c>
      <c r="N8159">
        <v>0</v>
      </c>
      <c r="O8159">
        <v>0.99974629999999998</v>
      </c>
      <c r="P8159">
        <v>-6.7660869999999996E-3</v>
      </c>
      <c r="Q8159">
        <v>4.1105780000000001E-2</v>
      </c>
      <c r="R8159">
        <v>0.99913189999999996</v>
      </c>
      <c r="S8159">
        <v>8.6975100000000003E-3</v>
      </c>
      <c r="T8159">
        <v>-0.19807230000000001</v>
      </c>
      <c r="U8159">
        <v>3.0107729999999999</v>
      </c>
      <c r="V8159">
        <v>-2.5547E-2</v>
      </c>
      <c r="W8159">
        <v>5.3499730000000002E-2</v>
      </c>
      <c r="X8159">
        <v>0.99824100000000004</v>
      </c>
      <c r="Y8159">
        <v>-1.5915769999999999E-2</v>
      </c>
      <c r="Z8159">
        <v>-6.5624269999999998E-2</v>
      </c>
      <c r="AA8159">
        <v>0.99771739999999998</v>
      </c>
      <c r="AB8159">
        <v>17</v>
      </c>
      <c r="AC8159">
        <v>4.5900000000017302E-2</v>
      </c>
      <c r="AD8159">
        <v>-1.1103000754669901</v>
      </c>
      <c r="AE8159">
        <v>16.723307699999999</v>
      </c>
      <c r="AF8159">
        <v>-0.26729293457860798</v>
      </c>
      <c r="AG8159">
        <v>-1.1103000754669901</v>
      </c>
      <c r="AH8159">
        <v>16.647833363819299</v>
      </c>
      <c r="AI8159">
        <v>93.815107674102904</v>
      </c>
      <c r="AJ8159">
        <v>90.919845900462803</v>
      </c>
      <c r="AK8159">
        <v>16.686958005578902</v>
      </c>
      <c r="AL8159">
        <v>86.933227059430095</v>
      </c>
      <c r="AM8159">
        <v>91.465994530676596</v>
      </c>
      <c r="AN8159">
        <v>0.99999998220003605</v>
      </c>
    </row>
    <row r="8160" spans="1:40" x14ac:dyDescent="0.25">
      <c r="A8160" t="str">
        <f>"20190312160526685"</f>
        <v>20190312160526685</v>
      </c>
      <c r="B8160" t="str">
        <f>"1552377926672917"</f>
        <v>1552377926672917</v>
      </c>
      <c r="C8160" t="s">
        <v>40</v>
      </c>
      <c r="D8160">
        <v>6.081353</v>
      </c>
      <c r="E8160">
        <v>0.49741580000000002</v>
      </c>
      <c r="F8160" t="s">
        <v>41</v>
      </c>
      <c r="G8160">
        <v>-187.48820000000001</v>
      </c>
      <c r="H8160" s="1">
        <v>-2.6160960000000001E-6</v>
      </c>
      <c r="I8160">
        <v>4.6923649999999997</v>
      </c>
      <c r="J8160">
        <v>-187.392</v>
      </c>
      <c r="K8160">
        <v>1.1102959999999999</v>
      </c>
      <c r="L8160">
        <v>-15.8215</v>
      </c>
      <c r="M8160">
        <v>1.875344E-2</v>
      </c>
      <c r="N8160">
        <v>0</v>
      </c>
      <c r="O8160">
        <v>0.99974759999999996</v>
      </c>
      <c r="P8160">
        <v>-6.3972609999999996E-3</v>
      </c>
      <c r="Q8160">
        <v>4.0927980000000003E-2</v>
      </c>
      <c r="R8160">
        <v>0.99914159999999996</v>
      </c>
      <c r="S8160">
        <v>-1.3549800000000001E-2</v>
      </c>
      <c r="T8160">
        <v>-0.16156119999999999</v>
      </c>
      <c r="U8160">
        <v>3.0091549999999998</v>
      </c>
      <c r="V8160">
        <v>-2.5135560000000001E-2</v>
      </c>
      <c r="W8160">
        <v>5.3277350000000001E-2</v>
      </c>
      <c r="X8160">
        <v>0.99826340000000002</v>
      </c>
      <c r="Y8160">
        <v>-2.3250239999999998E-2</v>
      </c>
      <c r="Z8160">
        <v>-5.3591020000000003E-2</v>
      </c>
      <c r="AA8160">
        <v>0.99829230000000002</v>
      </c>
      <c r="AB8160">
        <v>17</v>
      </c>
      <c r="AC8160">
        <v>-9.6200000000010194E-2</v>
      </c>
      <c r="AD8160">
        <v>-1.110298616096</v>
      </c>
      <c r="AE8160">
        <v>20.513864999999999</v>
      </c>
      <c r="AF8160">
        <v>-0.47951338316828601</v>
      </c>
      <c r="AG8160">
        <v>-1.110298616096</v>
      </c>
      <c r="AH8160">
        <v>20.448551148610601</v>
      </c>
      <c r="AI8160">
        <v>93.107094765244099</v>
      </c>
      <c r="AJ8160">
        <v>91.343325432723901</v>
      </c>
      <c r="AK8160">
        <v>20.484285200584502</v>
      </c>
      <c r="AL8160">
        <v>86.945986881921698</v>
      </c>
      <c r="AM8160">
        <v>91.442362072964102</v>
      </c>
      <c r="AN8160">
        <v>1.00000004408954</v>
      </c>
    </row>
    <row r="8161" spans="1:40" x14ac:dyDescent="0.25">
      <c r="A8161" t="str">
        <f>"20190312160526707"</f>
        <v>20190312160526707</v>
      </c>
      <c r="B8161" t="str">
        <f>"1552377926703174"</f>
        <v>1552377926703174</v>
      </c>
      <c r="C8161" t="s">
        <v>40</v>
      </c>
      <c r="D8161">
        <v>6.9046079999999996</v>
      </c>
      <c r="E8161">
        <v>0.49545339999999999</v>
      </c>
      <c r="F8161" t="s">
        <v>41</v>
      </c>
      <c r="G8161">
        <v>-187.62710000000001</v>
      </c>
      <c r="H8161" s="1">
        <v>-3.554077E-6</v>
      </c>
      <c r="I8161">
        <v>6.9362700000000004</v>
      </c>
      <c r="J8161">
        <v>-187.38900000000001</v>
      </c>
      <c r="K8161">
        <v>1.1102939999999999</v>
      </c>
      <c r="L8161">
        <v>-15.6601</v>
      </c>
      <c r="M8161">
        <v>1.870931E-2</v>
      </c>
      <c r="N8161">
        <v>0</v>
      </c>
      <c r="O8161">
        <v>0.99974890000000005</v>
      </c>
      <c r="P8161">
        <v>-6.0868199999999997E-3</v>
      </c>
      <c r="Q8161">
        <v>4.1269390000000003E-2</v>
      </c>
      <c r="R8161">
        <v>0.9991295</v>
      </c>
      <c r="S8161">
        <v>-3.1082149999999999E-2</v>
      </c>
      <c r="T8161">
        <v>-0.1467725</v>
      </c>
      <c r="U8161">
        <v>3.0083920000000002</v>
      </c>
      <c r="V8161">
        <v>-2.4781000000000001E-2</v>
      </c>
      <c r="W8161">
        <v>5.3581139999999999E-2</v>
      </c>
      <c r="X8161">
        <v>0.99825600000000003</v>
      </c>
      <c r="Y8161">
        <v>-2.902691E-2</v>
      </c>
      <c r="Z8161">
        <v>-4.8705369999999998E-2</v>
      </c>
      <c r="AA8161">
        <v>0.99839129999999998</v>
      </c>
      <c r="AB8161">
        <v>17</v>
      </c>
      <c r="AC8161">
        <v>-0.238100000000002</v>
      </c>
      <c r="AD8161">
        <v>-1.1102975540769999</v>
      </c>
      <c r="AE8161">
        <v>22.59637</v>
      </c>
      <c r="AF8161">
        <v>-0.65926144812750298</v>
      </c>
      <c r="AG8161">
        <v>-1.1102975540769999</v>
      </c>
      <c r="AH8161">
        <v>22.533561217483701</v>
      </c>
      <c r="AI8161">
        <v>92.819652547147001</v>
      </c>
      <c r="AJ8161">
        <v>91.675817076670498</v>
      </c>
      <c r="AK8161">
        <v>22.570528736776701</v>
      </c>
      <c r="AL8161">
        <v>86.928556084741501</v>
      </c>
      <c r="AM8161">
        <v>91.422035191206206</v>
      </c>
      <c r="AN8161">
        <v>1.0000000390303401</v>
      </c>
    </row>
    <row r="8162" spans="1:40" x14ac:dyDescent="0.25">
      <c r="A8162" t="str">
        <f>"20190312160526729"</f>
        <v>20190312160526729</v>
      </c>
      <c r="B8162" t="str">
        <f>"1552377926722693"</f>
        <v>1552377926722693</v>
      </c>
      <c r="C8162" t="s">
        <v>40</v>
      </c>
      <c r="D8162">
        <v>6.258076</v>
      </c>
      <c r="E8162">
        <v>0.49491930000000001</v>
      </c>
      <c r="F8162" t="s">
        <v>41</v>
      </c>
      <c r="G8162">
        <v>-187.7432</v>
      </c>
      <c r="H8162" s="1">
        <v>-3.8441369999999997E-6</v>
      </c>
      <c r="I8162">
        <v>7.6603979999999998</v>
      </c>
      <c r="J8162">
        <v>-187.38589999999999</v>
      </c>
      <c r="K8162">
        <v>1.1102890000000001</v>
      </c>
      <c r="L8162">
        <v>-15.492889999999999</v>
      </c>
      <c r="M8162">
        <v>1.866073E-2</v>
      </c>
      <c r="N8162">
        <v>0</v>
      </c>
      <c r="O8162">
        <v>0.99975029999999998</v>
      </c>
      <c r="P8162">
        <v>-6.0375460000000004E-3</v>
      </c>
      <c r="Q8162">
        <v>4.090564E-2</v>
      </c>
      <c r="R8162">
        <v>0.99914480000000006</v>
      </c>
      <c r="S8162">
        <v>-4.5684809999999999E-2</v>
      </c>
      <c r="T8162">
        <v>-0.1432235</v>
      </c>
      <c r="U8162">
        <v>3.0082399999999998</v>
      </c>
      <c r="V8162">
        <v>-2.4683469999999999E-2</v>
      </c>
      <c r="W8162">
        <v>5.3183080000000001E-2</v>
      </c>
      <c r="X8162">
        <v>0.99827969999999999</v>
      </c>
      <c r="Y8162">
        <v>-3.3824989999999999E-2</v>
      </c>
      <c r="Z8162">
        <v>-4.7527769999999997E-2</v>
      </c>
      <c r="AA8162">
        <v>0.99829699999999999</v>
      </c>
      <c r="AB8162">
        <v>17</v>
      </c>
      <c r="AC8162">
        <v>-0.357300000000009</v>
      </c>
      <c r="AD8162">
        <v>-1.1102928441369999</v>
      </c>
      <c r="AE8162">
        <v>23.153288</v>
      </c>
      <c r="AF8162">
        <v>-0.78751714741038603</v>
      </c>
      <c r="AG8162">
        <v>-1.1102928441369999</v>
      </c>
      <c r="AH8162">
        <v>23.089504136674499</v>
      </c>
      <c r="AI8162">
        <v>92.751433932662593</v>
      </c>
      <c r="AJ8162">
        <v>91.953438420935896</v>
      </c>
      <c r="AK8162">
        <v>23.1295943486849</v>
      </c>
      <c r="AL8162">
        <v>86.951395800279698</v>
      </c>
      <c r="AM8162">
        <v>91.416407191399699</v>
      </c>
      <c r="AN8162">
        <v>1.0000000365607999</v>
      </c>
    </row>
    <row r="8163" spans="1:40" x14ac:dyDescent="0.25">
      <c r="A8163" t="str">
        <f>"20190312160526752"</f>
        <v>20190312160526752</v>
      </c>
      <c r="B8163" t="str">
        <f>"1552377926743190"</f>
        <v>1552377926743190</v>
      </c>
      <c r="C8163" t="s">
        <v>40</v>
      </c>
      <c r="D8163">
        <v>6.1470659999999997</v>
      </c>
      <c r="E8163">
        <v>0.49461699999999997</v>
      </c>
      <c r="F8163" t="s">
        <v>41</v>
      </c>
      <c r="G8163">
        <v>-187.77279999999999</v>
      </c>
      <c r="H8163" s="1">
        <v>-3.9671980000000003E-6</v>
      </c>
      <c r="I8163">
        <v>7.9595130000000003</v>
      </c>
      <c r="J8163">
        <v>-187.3828</v>
      </c>
      <c r="K8163">
        <v>1.11029</v>
      </c>
      <c r="L8163">
        <v>-15.32077</v>
      </c>
      <c r="M8163">
        <v>1.86091E-2</v>
      </c>
      <c r="N8163">
        <v>0</v>
      </c>
      <c r="O8163">
        <v>0.99975159999999996</v>
      </c>
      <c r="P8163">
        <v>-6.0736360000000003E-3</v>
      </c>
      <c r="Q8163">
        <v>4.0500660000000001E-2</v>
      </c>
      <c r="R8163">
        <v>0.99916110000000002</v>
      </c>
      <c r="S8163">
        <v>-4.9621579999999998E-2</v>
      </c>
      <c r="T8163">
        <v>-0.14240999999999901</v>
      </c>
      <c r="U8163">
        <v>3.0080870000000002</v>
      </c>
      <c r="V8163">
        <v>-2.4668809999999999E-2</v>
      </c>
      <c r="W8163">
        <v>5.2747860000000001E-2</v>
      </c>
      <c r="X8163">
        <v>0.9983031</v>
      </c>
      <c r="Y8163">
        <v>-3.5080489999999999E-2</v>
      </c>
      <c r="Z8163">
        <v>-4.7259379999999997E-2</v>
      </c>
      <c r="AA8163">
        <v>0.99826649999999995</v>
      </c>
      <c r="AB8163">
        <v>17</v>
      </c>
      <c r="AC8163">
        <v>-0.38999999999998602</v>
      </c>
      <c r="AD8163">
        <v>-1.1102939671979899</v>
      </c>
      <c r="AE8163">
        <v>23.280282999999901</v>
      </c>
      <c r="AF8163">
        <v>-0.82132252888072199</v>
      </c>
      <c r="AG8163">
        <v>-1.1102939671979899</v>
      </c>
      <c r="AH8163">
        <v>23.216200908873201</v>
      </c>
      <c r="AI8163">
        <v>92.736323894597007</v>
      </c>
      <c r="AJ8163">
        <v>92.026115195602401</v>
      </c>
      <c r="AK8163">
        <v>23.257242055566401</v>
      </c>
      <c r="AL8163">
        <v>86.976366958350496</v>
      </c>
      <c r="AM8163">
        <v>91.415533134544106</v>
      </c>
      <c r="AN8163">
        <v>0.99999998319550198</v>
      </c>
    </row>
    <row r="8164" spans="1:40" x14ac:dyDescent="0.25">
      <c r="A8164" t="str">
        <f>"20190312160526774"</f>
        <v>20190312160526774</v>
      </c>
      <c r="B8164" t="str">
        <f>"1552377926762710"</f>
        <v>1552377926762710</v>
      </c>
      <c r="C8164" t="s">
        <v>40</v>
      </c>
      <c r="D8164">
        <v>5.9994009999999998</v>
      </c>
      <c r="E8164">
        <v>0.49404310000000001</v>
      </c>
      <c r="F8164" t="s">
        <v>41</v>
      </c>
      <c r="G8164">
        <v>-187.80099999999999</v>
      </c>
      <c r="H8164" s="1">
        <v>-4.2774239999999997E-6</v>
      </c>
      <c r="I8164">
        <v>8.69432299999999</v>
      </c>
      <c r="J8164">
        <v>-187.38</v>
      </c>
      <c r="K8164">
        <v>1.1102890000000001</v>
      </c>
      <c r="L8164">
        <v>-15.164669999999999</v>
      </c>
      <c r="M8164">
        <v>1.8562430000000001E-2</v>
      </c>
      <c r="N8164">
        <v>0</v>
      </c>
      <c r="O8164">
        <v>0.9997528</v>
      </c>
      <c r="P8164">
        <v>-6.0625369999999998E-3</v>
      </c>
      <c r="Q8164">
        <v>4.0009799999999998E-2</v>
      </c>
      <c r="R8164">
        <v>0.99918090000000004</v>
      </c>
      <c r="S8164">
        <v>-5.238342E-2</v>
      </c>
      <c r="T8164">
        <v>-0.1390622</v>
      </c>
      <c r="U8164">
        <v>3.0078429999999998</v>
      </c>
      <c r="V8164">
        <v>-2.4611399999999999E-2</v>
      </c>
      <c r="W8164">
        <v>5.2232630000000002E-2</v>
      </c>
      <c r="X8164">
        <v>0.99833159999999999</v>
      </c>
      <c r="Y8164">
        <v>-3.5952400000000002E-2</v>
      </c>
      <c r="Z8164">
        <v>-4.6153510000000002E-2</v>
      </c>
      <c r="AA8164">
        <v>0.99828720000000004</v>
      </c>
      <c r="AB8164">
        <v>17</v>
      </c>
      <c r="AC8164">
        <v>-0.42099999999999199</v>
      </c>
      <c r="AD8164">
        <v>-1.110293277424</v>
      </c>
      <c r="AE8164">
        <v>23.858993000000002</v>
      </c>
      <c r="AF8164">
        <v>-0.86197542692490703</v>
      </c>
      <c r="AG8164">
        <v>-1.110293277424</v>
      </c>
      <c r="AH8164">
        <v>23.795551417873899</v>
      </c>
      <c r="AI8164">
        <v>92.669717784080802</v>
      </c>
      <c r="AJ8164">
        <v>92.074588149081407</v>
      </c>
      <c r="AK8164">
        <v>23.837030437518798</v>
      </c>
      <c r="AL8164">
        <v>87.005928194460097</v>
      </c>
      <c r="AM8164">
        <v>91.412199898931803</v>
      </c>
      <c r="AN8164">
        <v>0.99999997610261804</v>
      </c>
    </row>
    <row r="8165" spans="1:40" x14ac:dyDescent="0.25">
      <c r="A8165" t="str">
        <f>"20190312160526795"</f>
        <v>20190312160526795</v>
      </c>
      <c r="B8165" t="str">
        <f>"1552377926792966"</f>
        <v>1552377926792966</v>
      </c>
      <c r="C8165" t="s">
        <v>40</v>
      </c>
      <c r="D8165">
        <v>5.7292199999999998</v>
      </c>
      <c r="E8165">
        <v>0.49409409999999998</v>
      </c>
      <c r="F8165" t="s">
        <v>41</v>
      </c>
      <c r="G8165">
        <v>-187.83699999999999</v>
      </c>
      <c r="H8165" s="1">
        <v>-4.3499569999999997E-6</v>
      </c>
      <c r="I8165">
        <v>8.8782789999999991</v>
      </c>
      <c r="J8165">
        <v>-187.37700000000001</v>
      </c>
      <c r="K8165">
        <v>1.1102860000000001</v>
      </c>
      <c r="L8165">
        <v>-15.002529999999901</v>
      </c>
      <c r="M8165">
        <v>1.8514039999999999E-2</v>
      </c>
      <c r="N8165">
        <v>0</v>
      </c>
      <c r="O8165">
        <v>0.99975400000000003</v>
      </c>
      <c r="P8165">
        <v>-6.6189079999999997E-3</v>
      </c>
      <c r="Q8165">
        <v>4.0189879999999997E-2</v>
      </c>
      <c r="R8165">
        <v>0.99917009999999995</v>
      </c>
      <c r="S8165">
        <v>-5.7174679999999999E-2</v>
      </c>
      <c r="T8165">
        <v>-0.1388924</v>
      </c>
      <c r="U8165">
        <v>3.00766</v>
      </c>
      <c r="V8165">
        <v>-2.511913E-2</v>
      </c>
      <c r="W8165">
        <v>5.2390730000000003E-2</v>
      </c>
      <c r="X8165">
        <v>0.9983107</v>
      </c>
      <c r="Y8165">
        <v>-3.749487E-2</v>
      </c>
      <c r="Z8165">
        <v>-4.6098170000000001E-2</v>
      </c>
      <c r="AA8165">
        <v>0.99823300000000004</v>
      </c>
      <c r="AB8165">
        <v>17</v>
      </c>
      <c r="AC8165">
        <v>-0.46000000000000801</v>
      </c>
      <c r="AD8165">
        <v>-1.110290349957</v>
      </c>
      <c r="AE8165">
        <v>23.880808999999999</v>
      </c>
      <c r="AF8165">
        <v>-0.90013935909623599</v>
      </c>
      <c r="AG8165">
        <v>-1.110290349957</v>
      </c>
      <c r="AH8165">
        <v>23.816735008768799</v>
      </c>
      <c r="AI8165">
        <v>92.667185072187607</v>
      </c>
      <c r="AJ8165">
        <v>92.164429791554696</v>
      </c>
      <c r="AK8165">
        <v>23.859586375394599</v>
      </c>
      <c r="AL8165">
        <v>86.996857403096698</v>
      </c>
      <c r="AM8165">
        <v>91.441351397064594</v>
      </c>
      <c r="AN8165">
        <v>1.00000000650818</v>
      </c>
    </row>
    <row r="8166" spans="1:40" x14ac:dyDescent="0.25">
      <c r="A8166" t="str">
        <f>"20190312160526820"</f>
        <v>20190312160526820</v>
      </c>
      <c r="B8166" t="str">
        <f>"1552377926813461"</f>
        <v>1552377926813461</v>
      </c>
      <c r="C8166" t="s">
        <v>40</v>
      </c>
      <c r="D8166">
        <v>6.1560430000000004</v>
      </c>
      <c r="E8166">
        <v>0.4940988</v>
      </c>
      <c r="F8166" t="s">
        <v>41</v>
      </c>
      <c r="G8166">
        <v>-187.84880000000001</v>
      </c>
      <c r="H8166" s="1">
        <v>-4.5079020000000001E-6</v>
      </c>
      <c r="I8166">
        <v>9.2513140000000007</v>
      </c>
      <c r="J8166">
        <v>-187.37370000000001</v>
      </c>
      <c r="K8166">
        <v>1.110293</v>
      </c>
      <c r="L8166">
        <v>-14.82367</v>
      </c>
      <c r="M8166">
        <v>1.8460689999999998E-2</v>
      </c>
      <c r="N8166">
        <v>0</v>
      </c>
      <c r="O8166">
        <v>0.99975519999999996</v>
      </c>
      <c r="P8166">
        <v>-6.4510069999999999E-3</v>
      </c>
      <c r="Q8166">
        <v>4.0652609999999999E-2</v>
      </c>
      <c r="R8166">
        <v>0.9991525</v>
      </c>
      <c r="S8166">
        <v>-5.85021999999999E-2</v>
      </c>
      <c r="T8166">
        <v>-0.137683</v>
      </c>
      <c r="U8166">
        <v>3.0076290000000001</v>
      </c>
      <c r="V8166">
        <v>-2.489719E-2</v>
      </c>
      <c r="W8166">
        <v>5.2832150000000001E-2</v>
      </c>
      <c r="X8166">
        <v>0.99829299999999999</v>
      </c>
      <c r="Y8166">
        <v>-3.7882510000000001E-2</v>
      </c>
      <c r="Z8166">
        <v>-4.5697630000000003E-2</v>
      </c>
      <c r="AA8166">
        <v>0.99823680000000004</v>
      </c>
      <c r="AB8166">
        <v>17</v>
      </c>
      <c r="AC8166">
        <v>-0.47509999999999702</v>
      </c>
      <c r="AD8166">
        <v>-1.1102975079020001</v>
      </c>
      <c r="AE8166">
        <v>24.074984000000001</v>
      </c>
      <c r="AF8166">
        <v>-0.91754213942757801</v>
      </c>
      <c r="AG8166">
        <v>-1.1102975079020001</v>
      </c>
      <c r="AH8166">
        <v>24.0110601702049</v>
      </c>
      <c r="AI8166">
        <v>92.645604966096897</v>
      </c>
      <c r="AJ8166">
        <v>92.188396719498797</v>
      </c>
      <c r="AK8166">
        <v>24.054223218197599</v>
      </c>
      <c r="AL8166">
        <v>86.971530834821493</v>
      </c>
      <c r="AM8166">
        <v>91.428646961543507</v>
      </c>
      <c r="AN8166">
        <v>1.00000000999625</v>
      </c>
    </row>
    <row r="8167" spans="1:40" x14ac:dyDescent="0.25">
      <c r="A8167" t="str">
        <f>"20190312160526843"</f>
        <v>20190312160526843</v>
      </c>
      <c r="B8167" t="str">
        <f>"1552377926832984"</f>
        <v>1552377926832984</v>
      </c>
      <c r="C8167" t="s">
        <v>40</v>
      </c>
      <c r="D8167">
        <v>6.0350799999999998</v>
      </c>
      <c r="E8167">
        <v>0.49415949999999997</v>
      </c>
      <c r="F8167" t="s">
        <v>41</v>
      </c>
      <c r="G8167">
        <v>-187.84719999999999</v>
      </c>
      <c r="H8167" s="1">
        <v>-5.9497309999999996E-7</v>
      </c>
      <c r="I8167">
        <v>9.7131629999999998</v>
      </c>
      <c r="J8167">
        <v>-187.3706</v>
      </c>
      <c r="K8167">
        <v>1.1102939999999999</v>
      </c>
      <c r="L8167">
        <v>-14.651</v>
      </c>
      <c r="M8167">
        <v>1.8409289999999998E-2</v>
      </c>
      <c r="N8167">
        <v>0</v>
      </c>
      <c r="O8167">
        <v>0.99975630000000004</v>
      </c>
      <c r="P8167">
        <v>-6.3012529999999997E-3</v>
      </c>
      <c r="Q8167">
        <v>4.0757660000000001E-2</v>
      </c>
      <c r="R8167">
        <v>0.99914919999999996</v>
      </c>
      <c r="S8167">
        <v>-5.8029169999999998E-2</v>
      </c>
      <c r="T8167">
        <v>-0.13609959999999999</v>
      </c>
      <c r="U8167">
        <v>3.0077210000000001</v>
      </c>
      <c r="V8167">
        <v>-2.4696200000000001E-2</v>
      </c>
      <c r="W8167">
        <v>5.2920229999999999E-2</v>
      </c>
      <c r="X8167">
        <v>0.99829330000000005</v>
      </c>
      <c r="Y8167">
        <v>-3.7674079999999999E-2</v>
      </c>
      <c r="Z8167">
        <v>-4.5172080000000003E-2</v>
      </c>
      <c r="AA8167">
        <v>0.99826859999999995</v>
      </c>
      <c r="AB8167">
        <v>17</v>
      </c>
      <c r="AC8167">
        <v>-0.47659999999998998</v>
      </c>
      <c r="AD8167">
        <v>-1.1102945949731</v>
      </c>
      <c r="AE8167">
        <v>24.364163000000001</v>
      </c>
      <c r="AF8167">
        <v>-0.92316305811206201</v>
      </c>
      <c r="AG8167">
        <v>-1.1102945949731</v>
      </c>
      <c r="AH8167">
        <v>24.300812827701499</v>
      </c>
      <c r="AI8167">
        <v>92.614119340076201</v>
      </c>
      <c r="AJ8167">
        <v>92.175561980246698</v>
      </c>
      <c r="AK8167">
        <v>24.3436745009144</v>
      </c>
      <c r="AL8167">
        <v>86.966477070713793</v>
      </c>
      <c r="AM8167">
        <v>91.417118078786402</v>
      </c>
      <c r="AN8167">
        <v>0.999999982931291</v>
      </c>
    </row>
    <row r="8168" spans="1:40" x14ac:dyDescent="0.25">
      <c r="A8168" t="str">
        <f>"20190312160526864"</f>
        <v>20190312160526864</v>
      </c>
      <c r="B8168" t="str">
        <f>"1552377926853477"</f>
        <v>1552377926853477</v>
      </c>
      <c r="C8168" t="s">
        <v>40</v>
      </c>
      <c r="D8168">
        <v>5.9957760000000002</v>
      </c>
      <c r="E8168">
        <v>0.49408859999999899</v>
      </c>
      <c r="F8168" t="s">
        <v>41</v>
      </c>
      <c r="G8168">
        <v>-187.83750000000001</v>
      </c>
      <c r="H8168" s="1">
        <v>-6.9367680000000004E-7</v>
      </c>
      <c r="I8168">
        <v>9.9956720000000008</v>
      </c>
      <c r="J8168">
        <v>-187.36779999999999</v>
      </c>
      <c r="K8168">
        <v>1.1102920000000001</v>
      </c>
      <c r="L8168">
        <v>-14.49863</v>
      </c>
      <c r="M8168">
        <v>1.8364510000000001E-2</v>
      </c>
      <c r="N8168">
        <v>0</v>
      </c>
      <c r="O8168">
        <v>0.99975729999999996</v>
      </c>
      <c r="P8168">
        <v>-6.6663249999999999E-3</v>
      </c>
      <c r="Q8168">
        <v>4.1640740000000002E-2</v>
      </c>
      <c r="R8168">
        <v>0.99911039999999995</v>
      </c>
      <c r="S8168">
        <v>-5.6976319999999997E-2</v>
      </c>
      <c r="T8168">
        <v>-0.13549320000000001</v>
      </c>
      <c r="U8168">
        <v>3.0077210000000001</v>
      </c>
      <c r="V8168">
        <v>-2.5015869999999999E-2</v>
      </c>
      <c r="W8168">
        <v>5.3789219999999999E-2</v>
      </c>
      <c r="X8168">
        <v>0.99823890000000004</v>
      </c>
      <c r="Y8168">
        <v>-3.728016E-2</v>
      </c>
      <c r="Z8168">
        <v>-4.4971749999999998E-2</v>
      </c>
      <c r="AA8168">
        <v>0.99829239999999997</v>
      </c>
      <c r="AB8168">
        <v>17</v>
      </c>
      <c r="AC8168">
        <v>-0.46970000000001699</v>
      </c>
      <c r="AD8168">
        <v>-1.1102926936768001</v>
      </c>
      <c r="AE8168">
        <v>24.494302000000001</v>
      </c>
      <c r="AF8168">
        <v>-0.91759526697270499</v>
      </c>
      <c r="AG8168">
        <v>-1.1102926936768001</v>
      </c>
      <c r="AH8168">
        <v>24.431363918960201</v>
      </c>
      <c r="AI8168">
        <v>92.600207548047393</v>
      </c>
      <c r="AJ8168">
        <v>92.150908829718801</v>
      </c>
      <c r="AK8168">
        <v>24.473787485395</v>
      </c>
      <c r="AL8168">
        <v>86.916616603414397</v>
      </c>
      <c r="AM8168">
        <v>91.435531960135805</v>
      </c>
      <c r="AN8168">
        <v>0.99999998770663701</v>
      </c>
    </row>
    <row r="8169" spans="1:40" x14ac:dyDescent="0.25">
      <c r="A8169" t="str">
        <f>"20190312160526886"</f>
        <v>20190312160526886</v>
      </c>
      <c r="B8169" t="str">
        <f>"1552377926882758"</f>
        <v>1552377926882758</v>
      </c>
      <c r="C8169" t="s">
        <v>40</v>
      </c>
      <c r="D8169">
        <v>5.9889729999999997</v>
      </c>
      <c r="E8169">
        <v>0.49419150000000001</v>
      </c>
      <c r="F8169" t="s">
        <v>41</v>
      </c>
      <c r="G8169">
        <v>-187.8595</v>
      </c>
      <c r="H8169" s="1">
        <v>-9.5408540000000008E-7</v>
      </c>
      <c r="I8169">
        <v>10.778079999999999</v>
      </c>
      <c r="J8169">
        <v>-187.36490000000001</v>
      </c>
      <c r="K8169">
        <v>1.1102959999999999</v>
      </c>
      <c r="L8169">
        <v>-14.3324</v>
      </c>
      <c r="M8169">
        <v>1.8313650000000001E-2</v>
      </c>
      <c r="N8169">
        <v>0</v>
      </c>
      <c r="O8169">
        <v>0.99975840000000005</v>
      </c>
      <c r="P8169">
        <v>-6.3263109999999899E-3</v>
      </c>
      <c r="Q8169">
        <v>4.2470920000000002E-2</v>
      </c>
      <c r="R8169">
        <v>0.99907769999999996</v>
      </c>
      <c r="S8169">
        <v>-5.85021999999999E-2</v>
      </c>
      <c r="T8169">
        <v>-0.1321185</v>
      </c>
      <c r="U8169">
        <v>3.0077820000000002</v>
      </c>
      <c r="V8169">
        <v>-2.4624460000000001E-2</v>
      </c>
      <c r="W8169">
        <v>5.4605790000000001E-2</v>
      </c>
      <c r="X8169">
        <v>0.99820430000000004</v>
      </c>
      <c r="Y8169">
        <v>-3.7736159999999998E-2</v>
      </c>
      <c r="Z8169">
        <v>-4.3852420000000003E-2</v>
      </c>
      <c r="AA8169">
        <v>0.99832500000000002</v>
      </c>
      <c r="AB8169">
        <v>17</v>
      </c>
      <c r="AC8169">
        <v>-0.49459999999999099</v>
      </c>
      <c r="AD8169">
        <v>-1.1102969540854</v>
      </c>
      <c r="AE8169">
        <v>25.110479999999999</v>
      </c>
      <c r="AF8169">
        <v>-0.95255394469919596</v>
      </c>
      <c r="AG8169">
        <v>-1.1102969540854</v>
      </c>
      <c r="AH8169">
        <v>25.0482567501174</v>
      </c>
      <c r="AI8169">
        <v>92.536218586412204</v>
      </c>
      <c r="AJ8169">
        <v>92.177837543249893</v>
      </c>
      <c r="AK8169">
        <v>25.090940288550598</v>
      </c>
      <c r="AL8169">
        <v>86.869761729734506</v>
      </c>
      <c r="AM8169">
        <v>91.413129095757199</v>
      </c>
      <c r="AN8169">
        <v>0.99999999043515198</v>
      </c>
    </row>
    <row r="8170" spans="1:40" x14ac:dyDescent="0.25">
      <c r="A8170" t="str">
        <f>"20190312160526909"</f>
        <v>20190312160526909</v>
      </c>
      <c r="B8170" t="str">
        <f>"1552377926903254"</f>
        <v>1552377926903254</v>
      </c>
      <c r="C8170" t="s">
        <v>40</v>
      </c>
      <c r="D8170">
        <v>6.0302610000000003</v>
      </c>
      <c r="E8170">
        <v>0.49419209999999902</v>
      </c>
      <c r="F8170" t="s">
        <v>41</v>
      </c>
      <c r="G8170">
        <v>-187.84899999999999</v>
      </c>
      <c r="H8170" s="1">
        <v>-1.148556E-6</v>
      </c>
      <c r="I8170">
        <v>11.34132</v>
      </c>
      <c r="J8170">
        <v>-187.36199999999999</v>
      </c>
      <c r="K8170">
        <v>1.1103000000000001</v>
      </c>
      <c r="L8170">
        <v>-14.1731</v>
      </c>
      <c r="M8170">
        <v>1.8255549999999999E-2</v>
      </c>
      <c r="N8170">
        <v>0</v>
      </c>
      <c r="O8170">
        <v>0.99975970000000003</v>
      </c>
      <c r="P8170">
        <v>-5.7450879999999998E-3</v>
      </c>
      <c r="Q8170">
        <v>4.2742170000000003E-2</v>
      </c>
      <c r="R8170">
        <v>0.9990696</v>
      </c>
      <c r="S8170">
        <v>-5.6716919999999997E-2</v>
      </c>
      <c r="T8170">
        <v>-0.13008249999999999</v>
      </c>
      <c r="U8170">
        <v>3.0079349999999998</v>
      </c>
      <c r="V8170">
        <v>-2.3985820000000001E-2</v>
      </c>
      <c r="W8170">
        <v>5.4861939999999998E-2</v>
      </c>
      <c r="X8170">
        <v>0.99820580000000003</v>
      </c>
      <c r="Y8170">
        <v>-3.7085340000000001E-2</v>
      </c>
      <c r="Z8170">
        <v>-4.3176569999999997E-2</v>
      </c>
      <c r="AA8170">
        <v>0.99837889999999996</v>
      </c>
      <c r="AB8170">
        <v>17</v>
      </c>
      <c r="AC8170">
        <v>-0.48700000000002303</v>
      </c>
      <c r="AD8170">
        <v>-1.1103011485559999</v>
      </c>
      <c r="AE8170">
        <v>25.514420000000001</v>
      </c>
      <c r="AF8170">
        <v>-0.95093278297542105</v>
      </c>
      <c r="AG8170">
        <v>-1.1103011485559999</v>
      </c>
      <c r="AH8170">
        <v>25.453093520910599</v>
      </c>
      <c r="AI8170">
        <v>92.496003073658997</v>
      </c>
      <c r="AJ8170">
        <v>92.139586950860107</v>
      </c>
      <c r="AK8170">
        <v>25.495038960206401</v>
      </c>
      <c r="AL8170">
        <v>86.855063367231494</v>
      </c>
      <c r="AM8170">
        <v>91.376491547355002</v>
      </c>
      <c r="AN8170">
        <v>0.99999998558763703</v>
      </c>
    </row>
    <row r="8171" spans="1:40" x14ac:dyDescent="0.25">
      <c r="A8171" t="str">
        <f>"20190312160526930"</f>
        <v>20190312160526930</v>
      </c>
      <c r="B8171" t="str">
        <f>"1552377926922776"</f>
        <v>1552377926922776</v>
      </c>
      <c r="C8171" t="s">
        <v>40</v>
      </c>
      <c r="D8171">
        <v>6.0547760000000004</v>
      </c>
      <c r="E8171">
        <v>0.49422129999999997</v>
      </c>
      <c r="F8171" t="s">
        <v>41</v>
      </c>
      <c r="G8171">
        <v>-187.833</v>
      </c>
      <c r="H8171" s="1">
        <v>-1.2450120000000001E-6</v>
      </c>
      <c r="I8171">
        <v>11.612299999999999</v>
      </c>
      <c r="J8171">
        <v>-187.35900000000001</v>
      </c>
      <c r="K8171">
        <v>1.1103050000000001</v>
      </c>
      <c r="L8171">
        <v>-14.005000000000001</v>
      </c>
      <c r="M8171">
        <v>1.8183609999999999E-2</v>
      </c>
      <c r="N8171">
        <v>0</v>
      </c>
      <c r="O8171">
        <v>0.99976120000000002</v>
      </c>
      <c r="P8171">
        <v>-5.0989379999999999E-3</v>
      </c>
      <c r="Q8171">
        <v>4.2697560000000002E-2</v>
      </c>
      <c r="R8171">
        <v>0.99907509999999999</v>
      </c>
      <c r="S8171">
        <v>-5.49469E-2</v>
      </c>
      <c r="T8171">
        <v>-0.12952350000000001</v>
      </c>
      <c r="U8171">
        <v>3.0080260000000001</v>
      </c>
      <c r="V8171">
        <v>-2.32686E-2</v>
      </c>
      <c r="W8171">
        <v>5.479672E-2</v>
      </c>
      <c r="X8171">
        <v>0.99822630000000001</v>
      </c>
      <c r="Y8171">
        <v>-3.642571E-2</v>
      </c>
      <c r="Z8171">
        <v>-4.2990920000000002E-2</v>
      </c>
      <c r="AA8171">
        <v>0.99841120000000005</v>
      </c>
      <c r="AB8171">
        <v>17</v>
      </c>
      <c r="AC8171">
        <v>-0.47399999999998899</v>
      </c>
      <c r="AD8171">
        <v>-1.11030624501199</v>
      </c>
      <c r="AE8171">
        <v>25.6173</v>
      </c>
      <c r="AF8171">
        <v>-0.93800935106351102</v>
      </c>
      <c r="AG8171">
        <v>-1.11030624501199</v>
      </c>
      <c r="AH8171">
        <v>25.556452053431698</v>
      </c>
      <c r="AI8171">
        <v>92.485992822652804</v>
      </c>
      <c r="AJ8171">
        <v>92.102007851287098</v>
      </c>
      <c r="AK8171">
        <v>25.597751523517601</v>
      </c>
      <c r="AL8171">
        <v>86.858805643877304</v>
      </c>
      <c r="AM8171">
        <v>91.335319645359505</v>
      </c>
      <c r="AN8171">
        <v>0.99999992714020103</v>
      </c>
    </row>
    <row r="8172" spans="1:40" x14ac:dyDescent="0.25">
      <c r="A8172" t="str">
        <f>"20190312160526954"</f>
        <v>20190312160526954</v>
      </c>
      <c r="B8172" t="str">
        <f>"1552377926943273"</f>
        <v>1552377926943273</v>
      </c>
      <c r="C8172" t="s">
        <v>40</v>
      </c>
      <c r="D8172">
        <v>6.0734370000000002</v>
      </c>
      <c r="E8172">
        <v>0.50209490000000001</v>
      </c>
      <c r="F8172" t="s">
        <v>41</v>
      </c>
      <c r="G8172">
        <v>-187.80959999999999</v>
      </c>
      <c r="H8172" s="1">
        <v>-1.289658E-6</v>
      </c>
      <c r="I8172">
        <v>11.72514</v>
      </c>
      <c r="J8172">
        <v>-187.35599999999999</v>
      </c>
      <c r="K8172">
        <v>1.1103160000000001</v>
      </c>
      <c r="L8172">
        <v>-13.83521</v>
      </c>
      <c r="M8172">
        <v>1.8098599999999999E-2</v>
      </c>
      <c r="N8172">
        <v>0</v>
      </c>
      <c r="O8172">
        <v>0.99976299999999996</v>
      </c>
      <c r="P8172">
        <v>-4.145241E-3</v>
      </c>
      <c r="Q8172">
        <v>4.2643840000000002E-2</v>
      </c>
      <c r="R8172">
        <v>0.99908169999999996</v>
      </c>
      <c r="S8172">
        <v>-5.2673339999999999E-2</v>
      </c>
      <c r="T8172">
        <v>-0.12980349999999999</v>
      </c>
      <c r="U8172">
        <v>3.008057</v>
      </c>
      <c r="V8172">
        <v>-2.223149E-2</v>
      </c>
      <c r="W8172">
        <v>5.472482E-2</v>
      </c>
      <c r="X8172">
        <v>0.99825390000000003</v>
      </c>
      <c r="Y8172">
        <v>-3.5586090000000001E-2</v>
      </c>
      <c r="Z8172">
        <v>-4.3084289999999997E-2</v>
      </c>
      <c r="AA8172">
        <v>0.99843749999999998</v>
      </c>
      <c r="AB8172">
        <v>17</v>
      </c>
      <c r="AC8172">
        <v>-0.45359999999999401</v>
      </c>
      <c r="AD8172">
        <v>-1.110317289658</v>
      </c>
      <c r="AE8172">
        <v>25.56035</v>
      </c>
      <c r="AF8172">
        <v>-0.91444114367709906</v>
      </c>
      <c r="AG8172">
        <v>-1.110317289658</v>
      </c>
      <c r="AH8172">
        <v>25.499850833521101</v>
      </c>
      <c r="AI8172">
        <v>92.491604700276099</v>
      </c>
      <c r="AJ8172">
        <v>92.053783633802098</v>
      </c>
      <c r="AK8172">
        <v>25.5403876168862</v>
      </c>
      <c r="AL8172">
        <v>86.862931463676603</v>
      </c>
      <c r="AM8172">
        <v>91.275787680951595</v>
      </c>
      <c r="AN8172">
        <v>0.99999994696842898</v>
      </c>
    </row>
    <row r="8173" spans="1:40" x14ac:dyDescent="0.25">
      <c r="A8173" t="str">
        <f>"20190312160526967"</f>
        <v>20190312160526967</v>
      </c>
      <c r="B8173" t="str">
        <f>"1552377926962790"</f>
        <v>1552377926962790</v>
      </c>
      <c r="C8173" t="s">
        <v>40</v>
      </c>
      <c r="D8173">
        <v>5.9147910000000001</v>
      </c>
      <c r="E8173">
        <v>0.49526150000000002</v>
      </c>
      <c r="F8173" t="s">
        <v>41</v>
      </c>
      <c r="G8173">
        <v>-187.27850000000001</v>
      </c>
      <c r="H8173" s="1">
        <v>-9.5452649999999991E-7</v>
      </c>
      <c r="I8173">
        <v>0.32512799999999997</v>
      </c>
      <c r="J8173">
        <v>-187.35429999999999</v>
      </c>
      <c r="K8173">
        <v>1.1103179999999999</v>
      </c>
      <c r="L8173">
        <v>-13.73404</v>
      </c>
      <c r="M8173">
        <v>1.8041169999999999E-2</v>
      </c>
      <c r="N8173">
        <v>0</v>
      </c>
      <c r="O8173">
        <v>0.99976410000000004</v>
      </c>
      <c r="P8173">
        <v>-3.600191E-3</v>
      </c>
      <c r="Q8173">
        <v>4.2695749999999998E-2</v>
      </c>
      <c r="R8173">
        <v>0.99908160000000001</v>
      </c>
      <c r="S8173">
        <v>1.6494749999999999E-2</v>
      </c>
      <c r="T8173">
        <v>-0.23624319999999999</v>
      </c>
      <c r="U8173">
        <v>3.0129090000000001</v>
      </c>
      <c r="V8173">
        <v>-2.1630239999999998E-2</v>
      </c>
      <c r="W8173">
        <v>5.476673E-2</v>
      </c>
      <c r="X8173">
        <v>0.99826479999999995</v>
      </c>
      <c r="Y8173">
        <v>-1.2585239999999999E-2</v>
      </c>
      <c r="Z8173">
        <v>-7.8147690000000006E-2</v>
      </c>
      <c r="AA8173">
        <v>0.99686240000000004</v>
      </c>
      <c r="AB8173">
        <v>17</v>
      </c>
      <c r="AC8173">
        <v>7.5799999999986697E-2</v>
      </c>
      <c r="AD8173">
        <v>-1.1103189545265</v>
      </c>
      <c r="AE8173">
        <v>14.059168</v>
      </c>
      <c r="AF8173">
        <v>-0.176772231979375</v>
      </c>
      <c r="AG8173">
        <v>-1.1103189545265</v>
      </c>
      <c r="AH8173">
        <v>13.971111688372201</v>
      </c>
      <c r="AI8173">
        <v>94.543525636395202</v>
      </c>
      <c r="AJ8173">
        <v>90.724907410584095</v>
      </c>
      <c r="AK8173">
        <v>14.016276909784301</v>
      </c>
      <c r="AL8173">
        <v>86.860526557873399</v>
      </c>
      <c r="AM8173">
        <v>91.241281436192494</v>
      </c>
      <c r="AN8173">
        <v>0.99999993645819296</v>
      </c>
    </row>
    <row r="8174" spans="1:40" x14ac:dyDescent="0.25">
      <c r="A8174" t="str">
        <f>"20190312160526988"</f>
        <v>20190312160526988</v>
      </c>
      <c r="B8174" t="str">
        <f>"1552377926983288"</f>
        <v>1552377926983288</v>
      </c>
      <c r="C8174" t="s">
        <v>40</v>
      </c>
      <c r="D8174">
        <v>5.9760929999999997</v>
      </c>
      <c r="E8174">
        <v>0.50090829999999997</v>
      </c>
      <c r="F8174" t="s">
        <v>41</v>
      </c>
      <c r="G8174">
        <v>-187.6825</v>
      </c>
      <c r="H8174" s="1">
        <v>-1.0908129999999999E-6</v>
      </c>
      <c r="I8174">
        <v>11.04148</v>
      </c>
      <c r="J8174">
        <v>-187.35169999999999</v>
      </c>
      <c r="K8174">
        <v>1.1103270000000001</v>
      </c>
      <c r="L8174">
        <v>-13.586360000000001</v>
      </c>
      <c r="M8174">
        <v>1.7940319999999999E-2</v>
      </c>
      <c r="N8174">
        <v>0</v>
      </c>
      <c r="O8174">
        <v>0.99976620000000005</v>
      </c>
      <c r="P8174">
        <v>-3.136696E-3</v>
      </c>
      <c r="Q8174">
        <v>4.313616E-2</v>
      </c>
      <c r="R8174">
        <v>0.99906430000000002</v>
      </c>
      <c r="S8174">
        <v>-3.9855960000000003E-2</v>
      </c>
      <c r="T8174">
        <v>-0.13482169999999999</v>
      </c>
      <c r="U8174">
        <v>3.0083920000000002</v>
      </c>
      <c r="V8174">
        <v>-2.1067099999999998E-2</v>
      </c>
      <c r="W8174">
        <v>5.5190000000000003E-2</v>
      </c>
      <c r="X8174">
        <v>0.99825359999999996</v>
      </c>
      <c r="Y8174">
        <v>-3.117174E-2</v>
      </c>
      <c r="Z8174">
        <v>-4.4746599999999997E-2</v>
      </c>
      <c r="AA8174">
        <v>0.99851190000000001</v>
      </c>
      <c r="AB8174">
        <v>17</v>
      </c>
      <c r="AC8174">
        <v>-0.33080000000000997</v>
      </c>
      <c r="AD8174">
        <v>-1.110328090813</v>
      </c>
      <c r="AE8174">
        <v>24.627839999999999</v>
      </c>
      <c r="AF8174">
        <v>-0.77104333932786195</v>
      </c>
      <c r="AG8174">
        <v>-1.110328090813</v>
      </c>
      <c r="AH8174">
        <v>24.568013000115702</v>
      </c>
      <c r="AI8174">
        <v>92.586396002267094</v>
      </c>
      <c r="AJ8174">
        <v>91.797582629101001</v>
      </c>
      <c r="AK8174">
        <v>24.605174233770899</v>
      </c>
      <c r="AL8174">
        <v>86.836238451615998</v>
      </c>
      <c r="AM8174">
        <v>91.208988143047407</v>
      </c>
      <c r="AN8174">
        <v>1.00000000435768</v>
      </c>
    </row>
    <row r="8175" spans="1:40" x14ac:dyDescent="0.25">
      <c r="A8175" t="str">
        <f>"20190312160527009"</f>
        <v>20190312160527009</v>
      </c>
      <c r="B8175" t="str">
        <f>"1552377927002806"</f>
        <v>1552377927002806</v>
      </c>
      <c r="C8175" t="s">
        <v>40</v>
      </c>
      <c r="D8175">
        <v>5.9805519999999897</v>
      </c>
      <c r="E8175">
        <v>0.4949886</v>
      </c>
      <c r="F8175" t="s">
        <v>41</v>
      </c>
      <c r="G8175">
        <v>-187.3056</v>
      </c>
      <c r="H8175" s="1">
        <v>-1.296913E-6</v>
      </c>
      <c r="I8175">
        <v>1.352455</v>
      </c>
      <c r="J8175">
        <v>-187.34899999999999</v>
      </c>
      <c r="K8175">
        <v>1.1103369999999999</v>
      </c>
      <c r="L8175">
        <v>-13.426360000000001</v>
      </c>
      <c r="M8175">
        <v>1.78075E-2</v>
      </c>
      <c r="N8175">
        <v>0</v>
      </c>
      <c r="O8175">
        <v>0.99976889999999996</v>
      </c>
      <c r="P8175">
        <v>-2.9108189999999998E-3</v>
      </c>
      <c r="Q8175">
        <v>4.4269929999999999E-2</v>
      </c>
      <c r="R8175">
        <v>0.9990154</v>
      </c>
      <c r="S8175">
        <v>9.292603E-3</v>
      </c>
      <c r="T8175">
        <v>-0.2239051</v>
      </c>
      <c r="U8175">
        <v>3.0125120000000001</v>
      </c>
      <c r="V8175">
        <v>-2.0709769999999999E-2</v>
      </c>
      <c r="W8175">
        <v>5.6295009999999999E-2</v>
      </c>
      <c r="X8175">
        <v>0.99819930000000001</v>
      </c>
      <c r="Y8175">
        <v>-1.4733019999999999E-2</v>
      </c>
      <c r="Z8175">
        <v>-7.4098800000000006E-2</v>
      </c>
      <c r="AA8175">
        <v>0.99714210000000003</v>
      </c>
      <c r="AB8175">
        <v>17</v>
      </c>
      <c r="AC8175">
        <v>4.3400000000019603E-2</v>
      </c>
      <c r="AD8175">
        <v>-1.110338296913</v>
      </c>
      <c r="AE8175">
        <v>14.778815</v>
      </c>
      <c r="AF8175">
        <v>-0.21856601615361601</v>
      </c>
      <c r="AG8175">
        <v>-1.110338296913</v>
      </c>
      <c r="AH8175">
        <v>14.694301737976801</v>
      </c>
      <c r="AI8175">
        <v>94.320724929944006</v>
      </c>
      <c r="AJ8175">
        <v>90.852166172007401</v>
      </c>
      <c r="AK8175">
        <v>14.737812789003501</v>
      </c>
      <c r="AL8175">
        <v>86.772827214727897</v>
      </c>
      <c r="AM8175">
        <v>91.188552433830594</v>
      </c>
      <c r="AN8175">
        <v>0.99999993262241904</v>
      </c>
    </row>
    <row r="8176" spans="1:40" x14ac:dyDescent="0.25">
      <c r="A8176" t="str">
        <f>"20190312160527034"</f>
        <v>20190312160527034</v>
      </c>
      <c r="B8176" t="str">
        <f>"1552377927023302"</f>
        <v>1552377927023302</v>
      </c>
      <c r="C8176" t="s">
        <v>40</v>
      </c>
      <c r="D8176">
        <v>5.9795949999999998</v>
      </c>
      <c r="E8176">
        <v>0.49518069999999997</v>
      </c>
      <c r="F8176" t="s">
        <v>41</v>
      </c>
      <c r="G8176">
        <v>-187.65770000000001</v>
      </c>
      <c r="H8176" s="1">
        <v>-7.3715030000000004E-7</v>
      </c>
      <c r="I8176">
        <v>9.9828340000000004</v>
      </c>
      <c r="J8176">
        <v>-187.3459</v>
      </c>
      <c r="K8176">
        <v>1.110349</v>
      </c>
      <c r="L8176">
        <v>-13.24591</v>
      </c>
      <c r="M8176">
        <v>1.7625330000000002E-2</v>
      </c>
      <c r="N8176">
        <v>0</v>
      </c>
      <c r="O8176">
        <v>0.99977260000000001</v>
      </c>
      <c r="P8176">
        <v>-3.1140059999999999E-3</v>
      </c>
      <c r="Q8176">
        <v>4.4111909999999997E-2</v>
      </c>
      <c r="R8176">
        <v>0.99902179999999996</v>
      </c>
      <c r="S8176">
        <v>-3.9688109999999999E-2</v>
      </c>
      <c r="T8176">
        <v>-0.142729299999999</v>
      </c>
      <c r="U8176">
        <v>3.0091549999999998</v>
      </c>
      <c r="V8176">
        <v>-2.07338E-2</v>
      </c>
      <c r="W8176">
        <v>5.6093150000000001E-2</v>
      </c>
      <c r="X8176">
        <v>0.99821029999999999</v>
      </c>
      <c r="Y8176">
        <v>-3.0796190000000001E-2</v>
      </c>
      <c r="Z8176">
        <v>-4.735408E-2</v>
      </c>
      <c r="AA8176">
        <v>0.99840329999999999</v>
      </c>
      <c r="AB8176">
        <v>17</v>
      </c>
      <c r="AC8176">
        <v>-0.31180000000000502</v>
      </c>
      <c r="AD8176">
        <v>-1.1103497371502999</v>
      </c>
      <c r="AE8176">
        <v>23.228743999999999</v>
      </c>
      <c r="AF8176">
        <v>-0.71955152708429804</v>
      </c>
      <c r="AG8176">
        <v>-1.1103497371502999</v>
      </c>
      <c r="AH8176">
        <v>23.166714989627501</v>
      </c>
      <c r="AI8176">
        <v>92.742689800154295</v>
      </c>
      <c r="AJ8176">
        <v>91.779018559039102</v>
      </c>
      <c r="AK8176">
        <v>23.2044675515201</v>
      </c>
      <c r="AL8176">
        <v>86.784411680034793</v>
      </c>
      <c r="AM8176">
        <v>91.189918032035607</v>
      </c>
      <c r="AN8176">
        <v>1.0000000674827201</v>
      </c>
    </row>
    <row r="8177" spans="1:40" x14ac:dyDescent="0.25">
      <c r="A8177" t="str">
        <f>"20190312160527055"</f>
        <v>20190312160527055</v>
      </c>
      <c r="B8177" t="str">
        <f>"1552377927042822"</f>
        <v>1552377927042822</v>
      </c>
      <c r="C8177" t="s">
        <v>40</v>
      </c>
      <c r="D8177">
        <v>5.8879809999999999</v>
      </c>
      <c r="E8177">
        <v>0.49511860000000002</v>
      </c>
      <c r="F8177" t="s">
        <v>41</v>
      </c>
      <c r="G8177">
        <v>-187.6326</v>
      </c>
      <c r="H8177" s="1">
        <v>-4.4770079999999999E-6</v>
      </c>
      <c r="I8177">
        <v>9.0898970000000006</v>
      </c>
      <c r="J8177">
        <v>-187.3433</v>
      </c>
      <c r="K8177">
        <v>1.1103620000000001</v>
      </c>
      <c r="L8177">
        <v>-13.08578</v>
      </c>
      <c r="M8177">
        <v>1.743366E-2</v>
      </c>
      <c r="N8177">
        <v>0</v>
      </c>
      <c r="O8177">
        <v>0.99977649999999996</v>
      </c>
      <c r="P8177">
        <v>-3.1173519999999999E-3</v>
      </c>
      <c r="Q8177">
        <v>4.3518920000000003E-2</v>
      </c>
      <c r="R8177">
        <v>0.99904780000000004</v>
      </c>
      <c r="S8177">
        <v>-3.8620000000000002E-2</v>
      </c>
      <c r="T8177">
        <v>-0.14960419999999999</v>
      </c>
      <c r="U8177">
        <v>3.00943</v>
      </c>
      <c r="V8177">
        <v>-2.0547949999999999E-2</v>
      </c>
      <c r="W8177">
        <v>5.5453280000000001E-2</v>
      </c>
      <c r="X8177">
        <v>0.99824979999999996</v>
      </c>
      <c r="Y8177">
        <v>-3.0247639999999999E-2</v>
      </c>
      <c r="Z8177">
        <v>-4.962577E-2</v>
      </c>
      <c r="AA8177">
        <v>0.99830969999999997</v>
      </c>
      <c r="AB8177">
        <v>17</v>
      </c>
      <c r="AC8177">
        <v>-0.289299999999997</v>
      </c>
      <c r="AD8177">
        <v>-1.110366477008</v>
      </c>
      <c r="AE8177">
        <v>22.175677</v>
      </c>
      <c r="AF8177">
        <v>-0.67419686854565197</v>
      </c>
      <c r="AG8177">
        <v>-1.110366477008</v>
      </c>
      <c r="AH8177">
        <v>22.111834316789999</v>
      </c>
      <c r="AI8177">
        <v>92.873413414651694</v>
      </c>
      <c r="AJ8177">
        <v>91.746425500266895</v>
      </c>
      <c r="AK8177">
        <v>22.149958735491801</v>
      </c>
      <c r="AL8177">
        <v>86.821130385183196</v>
      </c>
      <c r="AM8177">
        <v>91.179208429939393</v>
      </c>
      <c r="AN8177">
        <v>0.99999997385600004</v>
      </c>
    </row>
    <row r="8178" spans="1:40" x14ac:dyDescent="0.25">
      <c r="A8178" t="str">
        <f>"20190312160527076"</f>
        <v>20190312160527076</v>
      </c>
      <c r="B8178" t="str">
        <f>"1552377927073078"</f>
        <v>1552377927073078</v>
      </c>
      <c r="C8178" t="s">
        <v>40</v>
      </c>
      <c r="D8178">
        <v>5.9314019999999896</v>
      </c>
      <c r="E8178">
        <v>0.49514789999999997</v>
      </c>
      <c r="F8178" t="s">
        <v>41</v>
      </c>
      <c r="G8178">
        <v>-187.6353</v>
      </c>
      <c r="H8178" s="1">
        <v>-4.4749229999999997E-6</v>
      </c>
      <c r="I8178">
        <v>9.0861630000000009</v>
      </c>
      <c r="J8178">
        <v>-187.3409</v>
      </c>
      <c r="K8178">
        <v>1.1103700000000001</v>
      </c>
      <c r="L8178">
        <v>-12.934480000000001</v>
      </c>
      <c r="M8178">
        <v>1.7223329999999999E-2</v>
      </c>
      <c r="N8178">
        <v>0</v>
      </c>
      <c r="O8178">
        <v>0.99978069999999997</v>
      </c>
      <c r="P8178">
        <v>-3.333646E-3</v>
      </c>
      <c r="Q8178">
        <v>4.3233000000000001E-2</v>
      </c>
      <c r="R8178">
        <v>0.99905940000000004</v>
      </c>
      <c r="S8178">
        <v>-3.9627080000000002E-2</v>
      </c>
      <c r="T8178">
        <v>-0.15070549999999999</v>
      </c>
      <c r="U8178">
        <v>3.0093079999999999</v>
      </c>
      <c r="V8178">
        <v>-2.0556899999999999E-2</v>
      </c>
      <c r="W8178">
        <v>5.5120009999999997E-2</v>
      </c>
      <c r="X8178">
        <v>0.99826809999999999</v>
      </c>
      <c r="Y8178">
        <v>-3.0371660000000002E-2</v>
      </c>
      <c r="Z8178">
        <v>-4.999228E-2</v>
      </c>
      <c r="AA8178">
        <v>0.9982877</v>
      </c>
      <c r="AB8178">
        <v>17</v>
      </c>
      <c r="AC8178">
        <v>-0.294399999999996</v>
      </c>
      <c r="AD8178">
        <v>-1.110374474923</v>
      </c>
      <c r="AE8178">
        <v>22.020643</v>
      </c>
      <c r="AF8178">
        <v>-0.67194385686463998</v>
      </c>
      <c r="AG8178">
        <v>-1.110374474923</v>
      </c>
      <c r="AH8178">
        <v>21.9564885425863</v>
      </c>
      <c r="AI8178">
        <v>92.893719691733295</v>
      </c>
      <c r="AJ8178">
        <v>91.752900267747407</v>
      </c>
      <c r="AK8178">
        <v>21.994813687368701</v>
      </c>
      <c r="AL8178">
        <v>86.840254684703297</v>
      </c>
      <c r="AM8178">
        <v>91.179700288327595</v>
      </c>
      <c r="AN8178">
        <v>1.0000000005587999</v>
      </c>
    </row>
    <row r="8179" spans="1:40" x14ac:dyDescent="0.25">
      <c r="A8179" t="str">
        <f>"20190312160527090"</f>
        <v>20190312160527090</v>
      </c>
      <c r="B8179" t="str">
        <f>"1552377927082838"</f>
        <v>1552377927082838</v>
      </c>
      <c r="C8179" t="s">
        <v>40</v>
      </c>
      <c r="D8179">
        <v>5.8266299999999998</v>
      </c>
      <c r="E8179">
        <v>0.49522529999999998</v>
      </c>
      <c r="F8179" t="s">
        <v>41</v>
      </c>
      <c r="G8179">
        <v>-187.6352</v>
      </c>
      <c r="H8179" s="1">
        <v>-4.5278750000000002E-6</v>
      </c>
      <c r="I8179">
        <v>9.2095699999999994</v>
      </c>
      <c r="J8179">
        <v>-187.33920000000001</v>
      </c>
      <c r="K8179">
        <v>1.110376</v>
      </c>
      <c r="L8179">
        <v>-12.825559999999999</v>
      </c>
      <c r="M8179">
        <v>1.7055230000000001E-2</v>
      </c>
      <c r="N8179">
        <v>0</v>
      </c>
      <c r="O8179">
        <v>0.99978409999999995</v>
      </c>
      <c r="P8179">
        <v>-3.530278E-3</v>
      </c>
      <c r="Q8179">
        <v>4.3156140000000003E-2</v>
      </c>
      <c r="R8179">
        <v>0.99906209999999995</v>
      </c>
      <c r="S8179">
        <v>-3.9993290000000001E-2</v>
      </c>
      <c r="T8179">
        <v>-0.15089179999999999</v>
      </c>
      <c r="U8179">
        <v>3.0092159999999999</v>
      </c>
      <c r="V8179">
        <v>-2.0587020000000001E-2</v>
      </c>
      <c r="W8179">
        <v>5.5008120000000001E-2</v>
      </c>
      <c r="X8179">
        <v>0.99827370000000004</v>
      </c>
      <c r="Y8179">
        <v>-3.032543E-2</v>
      </c>
      <c r="Z8179">
        <v>-5.0055679999999998E-2</v>
      </c>
      <c r="AA8179">
        <v>0.99828589999999995</v>
      </c>
      <c r="AB8179">
        <v>17</v>
      </c>
      <c r="AC8179">
        <v>-0.29599999999999199</v>
      </c>
      <c r="AD8179">
        <v>-1.1103805278749901</v>
      </c>
      <c r="AE8179">
        <v>22.035129999999999</v>
      </c>
      <c r="AF8179">
        <v>-0.67009636186596</v>
      </c>
      <c r="AG8179">
        <v>-1.1103805278749901</v>
      </c>
      <c r="AH8179">
        <v>21.9710948790411</v>
      </c>
      <c r="AI8179">
        <v>92.891824158970294</v>
      </c>
      <c r="AJ8179">
        <v>91.746922299107695</v>
      </c>
      <c r="AK8179">
        <v>22.0093385687689</v>
      </c>
      <c r="AL8179">
        <v>86.846675404725403</v>
      </c>
      <c r="AM8179">
        <v>91.181421671812402</v>
      </c>
      <c r="AN8179">
        <v>1.00000004938505</v>
      </c>
    </row>
    <row r="8180" spans="1:40" x14ac:dyDescent="0.25">
      <c r="A8180" t="str">
        <f>"20190312160527110"</f>
        <v>20190312160527110</v>
      </c>
      <c r="B8180" t="str">
        <f>"1552377927103334"</f>
        <v>1552377927103334</v>
      </c>
      <c r="C8180" t="s">
        <v>40</v>
      </c>
      <c r="D8180">
        <v>5.907864</v>
      </c>
      <c r="E8180">
        <v>0.49524509999999999</v>
      </c>
      <c r="F8180" t="s">
        <v>41</v>
      </c>
      <c r="G8180">
        <v>-187.6318</v>
      </c>
      <c r="H8180" s="1">
        <v>-4.5101360000000004E-6</v>
      </c>
      <c r="I8180">
        <v>9.1668190000000003</v>
      </c>
      <c r="J8180">
        <v>-187.33699999999999</v>
      </c>
      <c r="K8180">
        <v>1.110384</v>
      </c>
      <c r="L8180">
        <v>-12.68314</v>
      </c>
      <c r="M8180">
        <v>1.6810660000000002E-2</v>
      </c>
      <c r="N8180">
        <v>0</v>
      </c>
      <c r="O8180">
        <v>0.99978869999999997</v>
      </c>
      <c r="P8180">
        <v>-3.426274E-3</v>
      </c>
      <c r="Q8180">
        <v>4.3336909999999999E-2</v>
      </c>
      <c r="R8180">
        <v>0.99905460000000001</v>
      </c>
      <c r="S8180">
        <v>-4.0039060000000001E-2</v>
      </c>
      <c r="T8180">
        <v>-0.15193489999999901</v>
      </c>
      <c r="U8180">
        <v>3.0092469999999998</v>
      </c>
      <c r="V8180">
        <v>-2.024128E-2</v>
      </c>
      <c r="W8180">
        <v>5.5141910000000002E-2</v>
      </c>
      <c r="X8180">
        <v>0.99827330000000003</v>
      </c>
      <c r="Y8180">
        <v>-3.0095719999999999E-2</v>
      </c>
      <c r="Z8180">
        <v>-5.0400769999999998E-2</v>
      </c>
      <c r="AA8180">
        <v>0.99827549999999998</v>
      </c>
      <c r="AB8180">
        <v>17</v>
      </c>
      <c r="AC8180">
        <v>-0.29479999999998002</v>
      </c>
      <c r="AD8180">
        <v>-1.110388510136</v>
      </c>
      <c r="AE8180">
        <v>21.849958999999998</v>
      </c>
      <c r="AF8180">
        <v>-0.66039109234159799</v>
      </c>
      <c r="AG8180">
        <v>-1.110388510136</v>
      </c>
      <c r="AH8180">
        <v>21.785662526241499</v>
      </c>
      <c r="AI8180">
        <v>92.916433465083202</v>
      </c>
      <c r="AJ8180">
        <v>91.736281340644496</v>
      </c>
      <c r="AK8180">
        <v>21.823935729963299</v>
      </c>
      <c r="AL8180">
        <v>86.838997869353506</v>
      </c>
      <c r="AM8180">
        <v>91.161586733105494</v>
      </c>
      <c r="AN8180">
        <v>0.99999996057368701</v>
      </c>
    </row>
    <row r="8181" spans="1:40" x14ac:dyDescent="0.25">
      <c r="A8181" t="str">
        <f>"20190312160527132"</f>
        <v>20190312160527132</v>
      </c>
      <c r="B8181" t="str">
        <f>"1552377927122855"</f>
        <v>1552377927122855</v>
      </c>
      <c r="C8181" t="s">
        <v>40</v>
      </c>
      <c r="D8181">
        <v>5.8324889999999998</v>
      </c>
      <c r="E8181">
        <v>0.49521730000000003</v>
      </c>
      <c r="F8181" t="s">
        <v>41</v>
      </c>
      <c r="G8181">
        <v>-187.62719999999999</v>
      </c>
      <c r="H8181" s="1">
        <v>-4.6314780000000003E-6</v>
      </c>
      <c r="I8181">
        <v>9.4477689999999992</v>
      </c>
      <c r="J8181">
        <v>-187.33449999999999</v>
      </c>
      <c r="K8181">
        <v>1.1103909999999999</v>
      </c>
      <c r="L8181">
        <v>-12.514279999999999</v>
      </c>
      <c r="M8181">
        <v>1.6489429999999999E-2</v>
      </c>
      <c r="N8181">
        <v>0</v>
      </c>
      <c r="O8181">
        <v>0.99979479999999998</v>
      </c>
      <c r="P8181">
        <v>-3.0754139999999998E-3</v>
      </c>
      <c r="Q8181">
        <v>4.2763259999999997E-2</v>
      </c>
      <c r="R8181">
        <v>0.99908050000000004</v>
      </c>
      <c r="S8181">
        <v>-3.9459229999999998E-2</v>
      </c>
      <c r="T8181">
        <v>-0.15098499999999901</v>
      </c>
      <c r="U8181">
        <v>3.0092469999999998</v>
      </c>
      <c r="V8181">
        <v>-1.957221E-2</v>
      </c>
      <c r="W8181">
        <v>5.4508189999999998E-2</v>
      </c>
      <c r="X8181">
        <v>0.99832149999999997</v>
      </c>
      <c r="Y8181">
        <v>-2.958245E-2</v>
      </c>
      <c r="Z8181">
        <v>-5.0087329999999999E-2</v>
      </c>
      <c r="AA8181">
        <v>0.99830660000000004</v>
      </c>
      <c r="AB8181">
        <v>17</v>
      </c>
      <c r="AC8181">
        <v>-0.29269999999999602</v>
      </c>
      <c r="AD8181">
        <v>-1.1103956314779999</v>
      </c>
      <c r="AE8181">
        <v>21.962049</v>
      </c>
      <c r="AF8181">
        <v>-0.65315757937751195</v>
      </c>
      <c r="AG8181">
        <v>-1.1103956314779999</v>
      </c>
      <c r="AH8181">
        <v>21.8982675017639</v>
      </c>
      <c r="AI8181">
        <v>92.901523197591303</v>
      </c>
      <c r="AJ8181">
        <v>91.708449346548505</v>
      </c>
      <c r="AK8181">
        <v>21.9361280279978</v>
      </c>
      <c r="AL8181">
        <v>86.875362218039697</v>
      </c>
      <c r="AM8181">
        <v>91.123146588773594</v>
      </c>
      <c r="AN8181">
        <v>1.0000000157718001</v>
      </c>
    </row>
    <row r="8182" spans="1:40" x14ac:dyDescent="0.25">
      <c r="A8182" t="str">
        <f>"20190312160527146"</f>
        <v>20190312160527146</v>
      </c>
      <c r="B8182" t="str">
        <f>"1552377927143350"</f>
        <v>1552377927143350</v>
      </c>
      <c r="C8182" t="s">
        <v>40</v>
      </c>
      <c r="D8182">
        <v>5.9092609999999999</v>
      </c>
      <c r="E8182">
        <v>0.49522949999999999</v>
      </c>
      <c r="F8182" t="s">
        <v>41</v>
      </c>
      <c r="G8182">
        <v>-187.61619999999999</v>
      </c>
      <c r="H8182" s="1">
        <v>-4.5981850000000001E-6</v>
      </c>
      <c r="I8182">
        <v>9.3656199999999998</v>
      </c>
      <c r="J8182">
        <v>-187.3331</v>
      </c>
      <c r="K8182">
        <v>1.110393</v>
      </c>
      <c r="L8182">
        <v>-12.41217</v>
      </c>
      <c r="M8182">
        <v>1.628334E-2</v>
      </c>
      <c r="N8182">
        <v>0</v>
      </c>
      <c r="O8182">
        <v>0.99979859999999998</v>
      </c>
      <c r="P8182">
        <v>-3.2162409999999999E-3</v>
      </c>
      <c r="Q8182">
        <v>4.2479210000000003E-2</v>
      </c>
      <c r="R8182">
        <v>0.99909219999999999</v>
      </c>
      <c r="S8182">
        <v>-3.8742070000000003E-2</v>
      </c>
      <c r="T8182">
        <v>-0.15271479999999901</v>
      </c>
      <c r="U8182">
        <v>3.0091860000000001</v>
      </c>
      <c r="V8182">
        <v>-1.9508279999999999E-2</v>
      </c>
      <c r="W8182">
        <v>5.4185839999999999E-2</v>
      </c>
      <c r="X8182">
        <v>0.99834029999999996</v>
      </c>
      <c r="Y8182">
        <v>-2.9138399999999998E-2</v>
      </c>
      <c r="Z8182">
        <v>-5.0661400000000002E-2</v>
      </c>
      <c r="AA8182">
        <v>0.99829069999999998</v>
      </c>
      <c r="AB8182">
        <v>17</v>
      </c>
      <c r="AC8182">
        <v>-0.28309999999999003</v>
      </c>
      <c r="AD8182">
        <v>-1.1103975981850001</v>
      </c>
      <c r="AE8182">
        <v>21.77779</v>
      </c>
      <c r="AF8182">
        <v>-0.63604874193198602</v>
      </c>
      <c r="AG8182">
        <v>-1.1103975981850001</v>
      </c>
      <c r="AH8182">
        <v>21.713851355631199</v>
      </c>
      <c r="AI8182">
        <v>92.926174535902305</v>
      </c>
      <c r="AJ8182">
        <v>91.677845633955101</v>
      </c>
      <c r="AK8182">
        <v>21.751525958484301</v>
      </c>
      <c r="AL8182">
        <v>86.893858850389407</v>
      </c>
      <c r="AM8182">
        <v>91.119457840324202</v>
      </c>
      <c r="AN8182">
        <v>1.0000000164245699</v>
      </c>
    </row>
    <row r="8183" spans="1:40" x14ac:dyDescent="0.25">
      <c r="A8183" t="str">
        <f>"20190312160527165"</f>
        <v>20190312160527165</v>
      </c>
      <c r="B8183" t="str">
        <f>"1552377927162870"</f>
        <v>1552377927162870</v>
      </c>
      <c r="C8183" t="s">
        <v>40</v>
      </c>
      <c r="D8183">
        <v>6.0704099999999999</v>
      </c>
      <c r="E8183">
        <v>0.50052600000000003</v>
      </c>
      <c r="F8183" t="s">
        <v>41</v>
      </c>
      <c r="G8183">
        <v>-187.61840000000001</v>
      </c>
      <c r="H8183" s="1">
        <v>-4.6538019999999999E-6</v>
      </c>
      <c r="I8183">
        <v>9.4961529999999996</v>
      </c>
      <c r="J8183">
        <v>-187.33109999999999</v>
      </c>
      <c r="K8183">
        <v>1.1103909999999999</v>
      </c>
      <c r="L8183">
        <v>-12.26703</v>
      </c>
      <c r="M8183">
        <v>1.5973959999999999E-2</v>
      </c>
      <c r="N8183">
        <v>0</v>
      </c>
      <c r="O8183">
        <v>0.99980429999999998</v>
      </c>
      <c r="P8183">
        <v>-3.1751990000000001E-3</v>
      </c>
      <c r="Q8183">
        <v>4.2339679999999998E-2</v>
      </c>
      <c r="R8183">
        <v>0.99909820000000005</v>
      </c>
      <c r="S8183">
        <v>-3.9184570000000002E-2</v>
      </c>
      <c r="T8183">
        <v>-0.15251239999999999</v>
      </c>
      <c r="U8183">
        <v>3.0090940000000002</v>
      </c>
      <c r="V8183">
        <v>-1.915907E-2</v>
      </c>
      <c r="W8183">
        <v>5.3991579999999997E-2</v>
      </c>
      <c r="X8183">
        <v>0.99835759999999996</v>
      </c>
      <c r="Y8183">
        <v>-2.89763E-2</v>
      </c>
      <c r="Z8183">
        <v>-5.0596410000000001E-2</v>
      </c>
      <c r="AA8183">
        <v>0.99829880000000004</v>
      </c>
      <c r="AB8183">
        <v>17</v>
      </c>
      <c r="AC8183">
        <v>-0.28730000000001599</v>
      </c>
      <c r="AD8183">
        <v>-1.1103956538019999</v>
      </c>
      <c r="AE8183">
        <v>21.763183000000001</v>
      </c>
      <c r="AF8183">
        <v>-0.63328294174974498</v>
      </c>
      <c r="AG8183">
        <v>-1.1103956538019999</v>
      </c>
      <c r="AH8183">
        <v>21.699337903257099</v>
      </c>
      <c r="AI8183">
        <v>92.928132375316494</v>
      </c>
      <c r="AJ8183">
        <v>91.671670522469199</v>
      </c>
      <c r="AK8183">
        <v>21.7369568070607</v>
      </c>
      <c r="AL8183">
        <v>86.905005484664599</v>
      </c>
      <c r="AM8183">
        <v>91.099404785255302</v>
      </c>
      <c r="AN8183">
        <v>1.0000000290759601</v>
      </c>
    </row>
    <row r="8184" spans="1:40" x14ac:dyDescent="0.25">
      <c r="A8184" t="str">
        <f>"20190312160527189"</f>
        <v>20190312160527189</v>
      </c>
      <c r="B8184" t="str">
        <f>"1552377927183366"</f>
        <v>1552377927183366</v>
      </c>
      <c r="C8184" t="s">
        <v>40</v>
      </c>
      <c r="D8184">
        <v>5.897392</v>
      </c>
      <c r="E8184">
        <v>0.4977065</v>
      </c>
      <c r="F8184" t="s">
        <v>41</v>
      </c>
      <c r="G8184">
        <v>-187.30350000000001</v>
      </c>
      <c r="H8184" s="1">
        <v>-9.5693880000000003E-7</v>
      </c>
      <c r="I8184">
        <v>0.35174509999999998</v>
      </c>
      <c r="J8184">
        <v>-187.3288</v>
      </c>
      <c r="K8184">
        <v>1.1103829999999999</v>
      </c>
      <c r="L8184">
        <v>-12.09891</v>
      </c>
      <c r="M8184">
        <v>1.5597089999999999E-2</v>
      </c>
      <c r="N8184">
        <v>0</v>
      </c>
      <c r="O8184">
        <v>0.99981089999999995</v>
      </c>
      <c r="P8184">
        <v>-3.2080260000000001E-3</v>
      </c>
      <c r="Q8184">
        <v>4.1998050000000002E-2</v>
      </c>
      <c r="R8184">
        <v>0.99911249999999996</v>
      </c>
      <c r="S8184">
        <v>6.5917969999999999E-3</v>
      </c>
      <c r="T8184">
        <v>-0.2652156</v>
      </c>
      <c r="U8184">
        <v>3.0139770000000001</v>
      </c>
      <c r="V8184">
        <v>-1.8816240000000001E-2</v>
      </c>
      <c r="W8184">
        <v>5.3588759999999999E-2</v>
      </c>
      <c r="X8184">
        <v>0.99838579999999999</v>
      </c>
      <c r="Y8184">
        <v>-1.341971E-2</v>
      </c>
      <c r="Z8184">
        <v>-8.7636519999999996E-2</v>
      </c>
      <c r="AA8184">
        <v>0.99606209999999995</v>
      </c>
      <c r="AB8184">
        <v>17</v>
      </c>
      <c r="AC8184">
        <v>2.5299999999987201E-2</v>
      </c>
      <c r="AD8184">
        <v>-1.1103839569388001</v>
      </c>
      <c r="AE8184">
        <v>12.450655099999899</v>
      </c>
      <c r="AF8184">
        <v>-0.16757733327122901</v>
      </c>
      <c r="AG8184">
        <v>-1.1103839569388001</v>
      </c>
      <c r="AH8184">
        <v>12.3512985295483</v>
      </c>
      <c r="AI8184">
        <v>95.136620955520499</v>
      </c>
      <c r="AJ8184">
        <v>90.777317853333699</v>
      </c>
      <c r="AK8184">
        <v>12.402242138439201</v>
      </c>
      <c r="AL8184">
        <v>86.928118760778204</v>
      </c>
      <c r="AM8184">
        <v>91.079706382747304</v>
      </c>
      <c r="AN8184">
        <v>1.0000000058638501</v>
      </c>
    </row>
    <row r="8185" spans="1:40" x14ac:dyDescent="0.25">
      <c r="A8185" t="str">
        <f>"20190312160527210"</f>
        <v>20190312160527210</v>
      </c>
      <c r="B8185" t="str">
        <f>"1552377927202886"</f>
        <v>1552377927202886</v>
      </c>
      <c r="C8185" t="s">
        <v>40</v>
      </c>
      <c r="D8185">
        <v>5.8940380000000001</v>
      </c>
      <c r="E8185">
        <v>0.49799510000000002</v>
      </c>
      <c r="F8185" t="s">
        <v>41</v>
      </c>
      <c r="G8185">
        <v>-187.40809999999999</v>
      </c>
      <c r="H8185" s="1">
        <v>-1.5809950000000001E-6</v>
      </c>
      <c r="I8185">
        <v>2.2464119999999999</v>
      </c>
      <c r="J8185">
        <v>-187.32679999999999</v>
      </c>
      <c r="K8185">
        <v>1.1103809999999901</v>
      </c>
      <c r="L8185">
        <v>-11.93805</v>
      </c>
      <c r="M8185">
        <v>1.5221459999999999E-2</v>
      </c>
      <c r="N8185">
        <v>0</v>
      </c>
      <c r="O8185">
        <v>0.99981730000000002</v>
      </c>
      <c r="P8185">
        <v>-3.1764150000000001E-3</v>
      </c>
      <c r="Q8185">
        <v>4.1608579999999999E-2</v>
      </c>
      <c r="R8185">
        <v>0.99912889999999999</v>
      </c>
      <c r="S8185">
        <v>-1.664734E-2</v>
      </c>
      <c r="T8185">
        <v>-0.2331734</v>
      </c>
      <c r="U8185">
        <v>3.0124209999999998</v>
      </c>
      <c r="V8185">
        <v>-1.841011E-2</v>
      </c>
      <c r="W8185">
        <v>5.3145459999999999E-2</v>
      </c>
      <c r="X8185">
        <v>0.99841709999999995</v>
      </c>
      <c r="Y8185">
        <v>-2.073127E-2</v>
      </c>
      <c r="Z8185">
        <v>-7.7150869999999996E-2</v>
      </c>
      <c r="AA8185">
        <v>0.99680389999999996</v>
      </c>
      <c r="AB8185">
        <v>17</v>
      </c>
      <c r="AC8185">
        <v>-8.1299999999998804E-2</v>
      </c>
      <c r="AD8185">
        <v>-1.1103825809950001</v>
      </c>
      <c r="AE8185">
        <v>14.184462</v>
      </c>
      <c r="AF8185">
        <v>-0.29540305915405901</v>
      </c>
      <c r="AG8185">
        <v>-1.1103825809950001</v>
      </c>
      <c r="AH8185">
        <v>14.0952081239785</v>
      </c>
      <c r="AI8185">
        <v>94.503320248556903</v>
      </c>
      <c r="AJ8185">
        <v>91.200611657312194</v>
      </c>
      <c r="AK8185">
        <v>14.1419625406732</v>
      </c>
      <c r="AL8185">
        <v>86.953554326938402</v>
      </c>
      <c r="AM8185">
        <v>91.056374213342593</v>
      </c>
      <c r="AN8185">
        <v>1.0000000388206101</v>
      </c>
    </row>
    <row r="8186" spans="1:40" x14ac:dyDescent="0.25">
      <c r="A8186" t="str">
        <f>"20190312160527235"</f>
        <v>20190312160527235</v>
      </c>
      <c r="B8186" t="str">
        <f>"1552377927223384"</f>
        <v>1552377927223384</v>
      </c>
      <c r="C8186" t="s">
        <v>40</v>
      </c>
      <c r="D8186">
        <v>5.8757760000000001</v>
      </c>
      <c r="E8186">
        <v>0.49751770000000001</v>
      </c>
      <c r="F8186" t="s">
        <v>41</v>
      </c>
      <c r="G8186">
        <v>-187.39519999999999</v>
      </c>
      <c r="H8186" s="1">
        <v>-1.67394E-6</v>
      </c>
      <c r="I8186">
        <v>2.4577529999999999</v>
      </c>
      <c r="J8186">
        <v>-187.3245</v>
      </c>
      <c r="K8186">
        <v>1.110376</v>
      </c>
      <c r="L8186">
        <v>-11.75726</v>
      </c>
      <c r="M8186">
        <v>1.479045E-2</v>
      </c>
      <c r="N8186">
        <v>0</v>
      </c>
      <c r="O8186">
        <v>0.99982439999999995</v>
      </c>
      <c r="P8186">
        <v>-3.6731979999999999E-3</v>
      </c>
      <c r="Q8186">
        <v>4.0756439999999998E-2</v>
      </c>
      <c r="R8186">
        <v>0.99916240000000001</v>
      </c>
      <c r="S8186">
        <v>-1.4328E-2</v>
      </c>
      <c r="T8186">
        <v>-0.23234109999999999</v>
      </c>
      <c r="U8186">
        <v>3.012238</v>
      </c>
      <c r="V8186">
        <v>-1.8476220000000002E-2</v>
      </c>
      <c r="W8186">
        <v>5.2238819999999998E-2</v>
      </c>
      <c r="X8186">
        <v>0.99846369999999895</v>
      </c>
      <c r="Y8186">
        <v>-1.9533200000000001E-2</v>
      </c>
      <c r="Z8186">
        <v>-7.6883590000000002E-2</v>
      </c>
      <c r="AA8186">
        <v>0.99684870000000003</v>
      </c>
      <c r="AB8186">
        <v>17</v>
      </c>
      <c r="AC8186">
        <v>-7.0699999999987995E-2</v>
      </c>
      <c r="AD8186">
        <v>-1.11037767394</v>
      </c>
      <c r="AE8186">
        <v>14.215013000000001</v>
      </c>
      <c r="AF8186">
        <v>-0.27924879066270097</v>
      </c>
      <c r="AG8186">
        <v>-1.11037767394</v>
      </c>
      <c r="AH8186">
        <v>14.1262210844429</v>
      </c>
      <c r="AI8186">
        <v>94.493562692132002</v>
      </c>
      <c r="AJ8186">
        <v>91.132482169810402</v>
      </c>
      <c r="AK8186">
        <v>14.172545311002899</v>
      </c>
      <c r="AL8186">
        <v>87.005573158170805</v>
      </c>
      <c r="AM8186">
        <v>91.060117279957296</v>
      </c>
      <c r="AN8186">
        <v>1.00000001261908</v>
      </c>
    </row>
    <row r="8187" spans="1:40" x14ac:dyDescent="0.25">
      <c r="A8187" t="str">
        <f>"20190312160527256"</f>
        <v>20190312160527256</v>
      </c>
      <c r="B8187" t="str">
        <f>"1552377927253638"</f>
        <v>1552377927253638</v>
      </c>
      <c r="C8187" t="s">
        <v>40</v>
      </c>
      <c r="D8187">
        <v>5.8379190000000003</v>
      </c>
      <c r="E8187">
        <v>0.4972279</v>
      </c>
      <c r="F8187" t="s">
        <v>41</v>
      </c>
      <c r="G8187">
        <v>-187.42259999999999</v>
      </c>
      <c r="H8187" s="1">
        <v>-1.902034E-6</v>
      </c>
      <c r="I8187">
        <v>3.0007730000000001</v>
      </c>
      <c r="J8187">
        <v>-187.32259999999999</v>
      </c>
      <c r="K8187">
        <v>1.110376</v>
      </c>
      <c r="L8187">
        <v>-11.59689</v>
      </c>
      <c r="M8187">
        <v>1.44052E-2</v>
      </c>
      <c r="N8187">
        <v>0</v>
      </c>
      <c r="O8187">
        <v>0.99983060000000001</v>
      </c>
      <c r="P8187">
        <v>-4.4088749999999996E-3</v>
      </c>
      <c r="Q8187">
        <v>4.0999279999999999E-2</v>
      </c>
      <c r="R8187">
        <v>0.99914939999999997</v>
      </c>
      <c r="S8187">
        <v>-2.0019530000000001E-2</v>
      </c>
      <c r="T8187">
        <v>-0.22659599999999999</v>
      </c>
      <c r="U8187">
        <v>3.0116879999999999</v>
      </c>
      <c r="V8187">
        <v>-1.882644E-2</v>
      </c>
      <c r="W8187">
        <v>5.2431199999999997E-2</v>
      </c>
      <c r="X8187">
        <v>0.99844710000000003</v>
      </c>
      <c r="Y8187">
        <v>-2.103354E-2</v>
      </c>
      <c r="Z8187">
        <v>-7.5006020000000007E-2</v>
      </c>
      <c r="AA8187">
        <v>0.99696119999999999</v>
      </c>
      <c r="AB8187">
        <v>17</v>
      </c>
      <c r="AC8187">
        <v>-9.9999999999994302E-2</v>
      </c>
      <c r="AD8187">
        <v>-1.1103779020340001</v>
      </c>
      <c r="AE8187">
        <v>14.597663000000001</v>
      </c>
      <c r="AF8187">
        <v>-0.30850079246191697</v>
      </c>
      <c r="AG8187">
        <v>-1.1103779020340001</v>
      </c>
      <c r="AH8187">
        <v>14.510752924385301</v>
      </c>
      <c r="AI8187">
        <v>94.374820376488998</v>
      </c>
      <c r="AJ8187">
        <v>91.217933423651999</v>
      </c>
      <c r="AK8187">
        <v>14.556444011393401</v>
      </c>
      <c r="AL8187">
        <v>86.994535547978003</v>
      </c>
      <c r="AM8187">
        <v>91.080225227481293</v>
      </c>
      <c r="AN8187">
        <v>1.0000000385374599</v>
      </c>
    </row>
    <row r="8188" spans="1:40" x14ac:dyDescent="0.25">
      <c r="A8188" t="str">
        <f>"20190312160527277"</f>
        <v>20190312160527277</v>
      </c>
      <c r="B8188" t="str">
        <f>"1552377927273158"</f>
        <v>1552377927273158</v>
      </c>
      <c r="C8188" t="s">
        <v>40</v>
      </c>
      <c r="D8188">
        <v>5.7973679999999996</v>
      </c>
      <c r="E8188">
        <v>0.49757750000000001</v>
      </c>
      <c r="F8188" t="s">
        <v>41</v>
      </c>
      <c r="G8188">
        <v>-187.4462</v>
      </c>
      <c r="H8188" s="1">
        <v>-2.1350049999999998E-6</v>
      </c>
      <c r="I8188">
        <v>3.5535860000000001</v>
      </c>
      <c r="J8188">
        <v>-187.32079999999999</v>
      </c>
      <c r="K8188">
        <v>1.1103559999999999</v>
      </c>
      <c r="L8188">
        <v>-11.44214</v>
      </c>
      <c r="M8188">
        <v>1.4031149999999999E-2</v>
      </c>
      <c r="N8188">
        <v>0</v>
      </c>
      <c r="O8188">
        <v>0.99983650000000002</v>
      </c>
      <c r="P8188">
        <v>-4.9106039999999998E-3</v>
      </c>
      <c r="Q8188">
        <v>4.0668000000000003E-2</v>
      </c>
      <c r="R8188">
        <v>0.99916059999999995</v>
      </c>
      <c r="S8188">
        <v>-2.4566649999999999E-2</v>
      </c>
      <c r="T8188">
        <v>-0.2207131</v>
      </c>
      <c r="U8188">
        <v>3.0115050000000001</v>
      </c>
      <c r="V8188">
        <v>-1.8954410000000001E-2</v>
      </c>
      <c r="W8188">
        <v>5.2050260000000001E-2</v>
      </c>
      <c r="X8188">
        <v>0.99846460000000004</v>
      </c>
      <c r="Y8188">
        <v>-2.2166310000000002E-2</v>
      </c>
      <c r="Z8188">
        <v>-7.3072960000000006E-2</v>
      </c>
      <c r="AA8188">
        <v>0.99708030000000003</v>
      </c>
      <c r="AB8188">
        <v>17</v>
      </c>
      <c r="AC8188">
        <v>-0.125400000000013</v>
      </c>
      <c r="AD8188">
        <v>-1.11035813500499</v>
      </c>
      <c r="AE8188">
        <v>14.995725999999999</v>
      </c>
      <c r="AF8188">
        <v>-0.33397766572377802</v>
      </c>
      <c r="AG8188">
        <v>-1.11035813500499</v>
      </c>
      <c r="AH8188">
        <v>14.910745184903501</v>
      </c>
      <c r="AI8188">
        <v>94.257719077811998</v>
      </c>
      <c r="AJ8188">
        <v>91.283122431950005</v>
      </c>
      <c r="AK8188">
        <v>14.9557600354611</v>
      </c>
      <c r="AL8188">
        <v>87.016391615106201</v>
      </c>
      <c r="AM8188">
        <v>91.087547087321894</v>
      </c>
      <c r="AN8188">
        <v>1.0000000283388299</v>
      </c>
    </row>
    <row r="8189" spans="1:40" x14ac:dyDescent="0.25">
      <c r="A8189" t="str">
        <f>"20190312160527300"</f>
        <v>20190312160527300</v>
      </c>
      <c r="B8189" t="str">
        <f>"1552377927293654"</f>
        <v>1552377927293654</v>
      </c>
      <c r="C8189" t="s">
        <v>40</v>
      </c>
      <c r="D8189">
        <v>5.7637320000000001</v>
      </c>
      <c r="E8189">
        <v>0.49798779999999998</v>
      </c>
      <c r="F8189" t="s">
        <v>41</v>
      </c>
      <c r="G8189">
        <v>-187.43459999999999</v>
      </c>
      <c r="H8189" s="1">
        <v>-2.0491239999999998E-6</v>
      </c>
      <c r="I8189">
        <v>3.348592</v>
      </c>
      <c r="J8189">
        <v>-187.31890000000001</v>
      </c>
      <c r="K8189">
        <v>1.110341</v>
      </c>
      <c r="L8189">
        <v>-11.270049999999999</v>
      </c>
      <c r="M8189">
        <v>1.361221E-2</v>
      </c>
      <c r="N8189">
        <v>0</v>
      </c>
      <c r="O8189">
        <v>0.99984289999999998</v>
      </c>
      <c r="P8189">
        <v>-5.5002640000000004E-3</v>
      </c>
      <c r="Q8189">
        <v>4.0633660000000002E-2</v>
      </c>
      <c r="R8189">
        <v>0.99915900000000002</v>
      </c>
      <c r="S8189">
        <v>-2.3162840000000001E-2</v>
      </c>
      <c r="T8189">
        <v>-0.22608420000000001</v>
      </c>
      <c r="U8189">
        <v>3.0115970000000001</v>
      </c>
      <c r="V8189">
        <v>-1.9125420000000001E-2</v>
      </c>
      <c r="W8189">
        <v>5.1960249999999999E-2</v>
      </c>
      <c r="X8189">
        <v>0.99846599999999996</v>
      </c>
      <c r="Y8189">
        <v>-2.1281390000000001E-2</v>
      </c>
      <c r="Z8189">
        <v>-7.4840589999999999E-2</v>
      </c>
      <c r="AA8189">
        <v>0.99696839999999998</v>
      </c>
      <c r="AB8189">
        <v>17</v>
      </c>
      <c r="AC8189">
        <v>-0.115699999999975</v>
      </c>
      <c r="AD8189">
        <v>-1.1103430491240001</v>
      </c>
      <c r="AE8189">
        <v>14.618641999999999</v>
      </c>
      <c r="AF8189">
        <v>-0.31288918474217903</v>
      </c>
      <c r="AG8189">
        <v>-1.1103430491240001</v>
      </c>
      <c r="AH8189">
        <v>14.5318832316455</v>
      </c>
      <c r="AI8189">
        <v>94.368321929877794</v>
      </c>
      <c r="AJ8189">
        <v>91.233457488620303</v>
      </c>
      <c r="AK8189">
        <v>14.577598965085</v>
      </c>
      <c r="AL8189">
        <v>87.021555715322194</v>
      </c>
      <c r="AM8189">
        <v>91.097355200360397</v>
      </c>
      <c r="AN8189">
        <v>1.0000000012131101</v>
      </c>
    </row>
    <row r="8190" spans="1:40" x14ac:dyDescent="0.25">
      <c r="A8190" t="str">
        <f>"20190312160527322"</f>
        <v>20190312160527322</v>
      </c>
      <c r="B8190" t="str">
        <f>"1552377927312923"</f>
        <v>1552377927312923</v>
      </c>
      <c r="C8190" t="s">
        <v>40</v>
      </c>
      <c r="D8190">
        <v>5.7848309999999996</v>
      </c>
      <c r="E8190">
        <v>0.49802610000000003</v>
      </c>
      <c r="F8190" t="s">
        <v>41</v>
      </c>
      <c r="G8190">
        <v>-187.42320000000001</v>
      </c>
      <c r="H8190" s="1">
        <v>-2.0686910000000002E-6</v>
      </c>
      <c r="I8190">
        <v>3.389494</v>
      </c>
      <c r="J8190">
        <v>-187.31720000000001</v>
      </c>
      <c r="K8190">
        <v>1.1103339999999999</v>
      </c>
      <c r="L8190">
        <v>-11.10355</v>
      </c>
      <c r="M8190">
        <v>1.3203110000000001E-2</v>
      </c>
      <c r="N8190">
        <v>0</v>
      </c>
      <c r="O8190">
        <v>0.99984899999999999</v>
      </c>
      <c r="P8190">
        <v>-6.2958679999999996E-3</v>
      </c>
      <c r="Q8190">
        <v>4.1177020000000002E-2</v>
      </c>
      <c r="R8190">
        <v>0.99913200000000002</v>
      </c>
      <c r="S8190">
        <v>-2.1423339999999999E-2</v>
      </c>
      <c r="T8190">
        <v>-0.22811129999999999</v>
      </c>
      <c r="U8190">
        <v>3.0116879999999999</v>
      </c>
      <c r="V8190">
        <v>-1.9511520000000001E-2</v>
      </c>
      <c r="W8190">
        <v>5.2453590000000001E-2</v>
      </c>
      <c r="X8190">
        <v>0.99843280000000001</v>
      </c>
      <c r="Y8190">
        <v>-2.029591E-2</v>
      </c>
      <c r="Z8190">
        <v>-7.5507080000000004E-2</v>
      </c>
      <c r="AA8190">
        <v>0.99693869999999896</v>
      </c>
      <c r="AB8190">
        <v>17</v>
      </c>
      <c r="AC8190">
        <v>-0.105999999999994</v>
      </c>
      <c r="AD8190">
        <v>-1.110336068691</v>
      </c>
      <c r="AE8190">
        <v>14.493043999999999</v>
      </c>
      <c r="AF8190">
        <v>-0.29562121803702002</v>
      </c>
      <c r="AG8190">
        <v>-1.110336068691</v>
      </c>
      <c r="AH8190">
        <v>14.405832649424999</v>
      </c>
      <c r="AI8190">
        <v>94.406460322566005</v>
      </c>
      <c r="AJ8190">
        <v>91.175598216423595</v>
      </c>
      <c r="AK8190">
        <v>14.451583041771899</v>
      </c>
      <c r="AL8190">
        <v>86.993251014433795</v>
      </c>
      <c r="AM8190">
        <v>91.119540013072395</v>
      </c>
      <c r="AN8190">
        <v>1.0000000673162099</v>
      </c>
    </row>
    <row r="8191" spans="1:40" x14ac:dyDescent="0.25">
      <c r="A8191" t="str">
        <f>"20190312160527344"</f>
        <v>20190312160527344</v>
      </c>
      <c r="B8191" t="str">
        <f>"1552377927333423"</f>
        <v>1552377927333423</v>
      </c>
      <c r="C8191" t="s">
        <v>40</v>
      </c>
      <c r="D8191">
        <v>5.8366429999999996</v>
      </c>
      <c r="E8191">
        <v>0.4981718</v>
      </c>
      <c r="F8191" t="s">
        <v>41</v>
      </c>
      <c r="G8191">
        <v>-187.4374</v>
      </c>
      <c r="H8191" s="1">
        <v>-2.444898E-6</v>
      </c>
      <c r="I8191">
        <v>4.2723240000000002</v>
      </c>
      <c r="J8191">
        <v>-187.31549999999999</v>
      </c>
      <c r="K8191">
        <v>1.11032999999999</v>
      </c>
      <c r="L8191">
        <v>-10.94168</v>
      </c>
      <c r="M8191">
        <v>1.2800809999999999E-2</v>
      </c>
      <c r="N8191">
        <v>0</v>
      </c>
      <c r="O8191">
        <v>0.99985469999999999</v>
      </c>
      <c r="P8191">
        <v>-6.4348189999999996E-3</v>
      </c>
      <c r="Q8191">
        <v>4.087209E-2</v>
      </c>
      <c r="R8191">
        <v>0.99914369999999997</v>
      </c>
      <c r="S8191">
        <v>-2.3559569999999998E-2</v>
      </c>
      <c r="T8191">
        <v>-0.21746299999999999</v>
      </c>
      <c r="U8191">
        <v>3.0114139999999998</v>
      </c>
      <c r="V8191">
        <v>-1.9248600000000001E-2</v>
      </c>
      <c r="W8191">
        <v>5.2102639999999999E-2</v>
      </c>
      <c r="X8191">
        <v>0.99845620000000002</v>
      </c>
      <c r="Y8191">
        <v>-2.0603460000000001E-2</v>
      </c>
      <c r="Z8191">
        <v>-7.2007810000000005E-2</v>
      </c>
      <c r="AA8191">
        <v>0.9971913</v>
      </c>
      <c r="AB8191">
        <v>17</v>
      </c>
      <c r="AC8191">
        <v>-0.12190000000001</v>
      </c>
      <c r="AD8191">
        <v>-1.1103324448980001</v>
      </c>
      <c r="AE8191">
        <v>15.214003999999999</v>
      </c>
      <c r="AF8191">
        <v>-0.31497640045537401</v>
      </c>
      <c r="AG8191">
        <v>-1.1103324448980001</v>
      </c>
      <c r="AH8191">
        <v>15.1306130012349</v>
      </c>
      <c r="AI8191">
        <v>94.196117451418601</v>
      </c>
      <c r="AJ8191">
        <v>91.192563194923295</v>
      </c>
      <c r="AK8191">
        <v>15.174567475357501</v>
      </c>
      <c r="AL8191">
        <v>87.013386265397898</v>
      </c>
      <c r="AM8191">
        <v>91.104431965725595</v>
      </c>
      <c r="AN8191">
        <v>0.99999998850768401</v>
      </c>
    </row>
    <row r="8192" spans="1:40" x14ac:dyDescent="0.25">
      <c r="A8192" t="str">
        <f>"20190312160527377"</f>
        <v>20190312160527377</v>
      </c>
      <c r="B8192" t="str">
        <f>"1552377927373434"</f>
        <v>1552377927373434</v>
      </c>
      <c r="C8192" t="s">
        <v>40</v>
      </c>
      <c r="D8192">
        <v>5.7212300000000003</v>
      </c>
      <c r="E8192">
        <v>0.49854530000000002</v>
      </c>
      <c r="F8192" t="s">
        <v>41</v>
      </c>
      <c r="G8192">
        <v>-187.4365</v>
      </c>
      <c r="H8192" s="1">
        <v>-2.7049090000000002E-6</v>
      </c>
      <c r="I8192">
        <v>4.878012</v>
      </c>
      <c r="J8192">
        <v>-187.31309999999999</v>
      </c>
      <c r="K8192">
        <v>1.110328</v>
      </c>
      <c r="L8192">
        <v>-10.6965</v>
      </c>
      <c r="M8192">
        <v>1.217876E-2</v>
      </c>
      <c r="N8192">
        <v>0</v>
      </c>
      <c r="O8192">
        <v>0.99986330000000001</v>
      </c>
      <c r="P8192">
        <v>-6.7155919999999899E-3</v>
      </c>
      <c r="Q8192">
        <v>4.0530169999999997E-2</v>
      </c>
      <c r="R8192">
        <v>0.99915580000000004</v>
      </c>
      <c r="S8192">
        <v>-2.3025509999999999E-2</v>
      </c>
      <c r="T8192">
        <v>-0.21133779999999999</v>
      </c>
      <c r="U8192">
        <v>3.0110779999999999</v>
      </c>
      <c r="V8192">
        <v>-1.8908109999999999E-2</v>
      </c>
      <c r="W8192">
        <v>5.1691199999999903E-2</v>
      </c>
      <c r="X8192">
        <v>0.99848409999999999</v>
      </c>
      <c r="Y8192">
        <v>-1.9806549999999999E-2</v>
      </c>
      <c r="Z8192">
        <v>-6.9998850000000001E-2</v>
      </c>
      <c r="AA8192">
        <v>0.99735039999999997</v>
      </c>
      <c r="AB8192">
        <v>17</v>
      </c>
      <c r="AC8192">
        <v>-0.12340000000000299</v>
      </c>
      <c r="AD8192">
        <v>-1.1103307049090001</v>
      </c>
      <c r="AE8192">
        <v>15.574512</v>
      </c>
      <c r="AF8192">
        <v>-0.311497869640397</v>
      </c>
      <c r="AG8192">
        <v>-1.1103307049090001</v>
      </c>
      <c r="AH8192">
        <v>15.493115308249999</v>
      </c>
      <c r="AI8192">
        <v>94.098329776444402</v>
      </c>
      <c r="AJ8192">
        <v>91.151808957047294</v>
      </c>
      <c r="AK8192">
        <v>15.535973968560301</v>
      </c>
      <c r="AL8192">
        <v>87.036991877414494</v>
      </c>
      <c r="AM8192">
        <v>91.084869985726002</v>
      </c>
      <c r="AN8192">
        <v>0.99999999736701095</v>
      </c>
    </row>
    <row r="8193" spans="1:40" x14ac:dyDescent="0.25">
      <c r="A8193" t="str">
        <f>"20190312160527400"</f>
        <v>20190312160527400</v>
      </c>
      <c r="B8193" t="str">
        <f>"1552377927392955"</f>
        <v>1552377927392955</v>
      </c>
      <c r="C8193" t="s">
        <v>40</v>
      </c>
      <c r="D8193">
        <v>5.8381610000000004</v>
      </c>
      <c r="E8193">
        <v>0.49882159999999898</v>
      </c>
      <c r="F8193" t="s">
        <v>41</v>
      </c>
      <c r="G8193">
        <v>-187.4325</v>
      </c>
      <c r="H8193" s="1">
        <v>-3.184055E-6</v>
      </c>
      <c r="I8193">
        <v>5.9932740000000004</v>
      </c>
      <c r="J8193">
        <v>-187.3116</v>
      </c>
      <c r="K8193">
        <v>1.1103289999999999</v>
      </c>
      <c r="L8193">
        <v>-10.52225</v>
      </c>
      <c r="M8193">
        <v>1.1725569999999999E-2</v>
      </c>
      <c r="N8193">
        <v>0</v>
      </c>
      <c r="O8193">
        <v>0.99986920000000001</v>
      </c>
      <c r="P8193">
        <v>-7.0694629999999998E-3</v>
      </c>
      <c r="Q8193">
        <v>4.094706E-2</v>
      </c>
      <c r="R8193">
        <v>0.99913629999999998</v>
      </c>
      <c r="S8193">
        <v>-2.1530150000000001E-2</v>
      </c>
      <c r="T8193">
        <v>-0.2002833</v>
      </c>
      <c r="U8193">
        <v>3.010529</v>
      </c>
      <c r="V8193">
        <v>-1.8810139999999999E-2</v>
      </c>
      <c r="W8193">
        <v>5.2062629999999999E-2</v>
      </c>
      <c r="X8193">
        <v>0.99846670000000004</v>
      </c>
      <c r="Y8193">
        <v>-1.886117E-2</v>
      </c>
      <c r="Z8193">
        <v>-6.6367280000000001E-2</v>
      </c>
      <c r="AA8193">
        <v>0.99761699999999998</v>
      </c>
      <c r="AB8193">
        <v>17</v>
      </c>
      <c r="AC8193">
        <v>-0.120900000000006</v>
      </c>
      <c r="AD8193">
        <v>-1.110332184055</v>
      </c>
      <c r="AE8193">
        <v>16.515523999999999</v>
      </c>
      <c r="AF8193">
        <v>-0.31314236568236298</v>
      </c>
      <c r="AG8193">
        <v>-1.110332184055</v>
      </c>
      <c r="AH8193">
        <v>16.438674888711699</v>
      </c>
      <c r="AI8193">
        <v>93.863412409075707</v>
      </c>
      <c r="AJ8193">
        <v>91.091302453919695</v>
      </c>
      <c r="AK8193">
        <v>16.4791057948207</v>
      </c>
      <c r="AL8193">
        <v>87.015681953563501</v>
      </c>
      <c r="AM8193">
        <v>91.079269004327003</v>
      </c>
      <c r="AN8193">
        <v>1.00000004490911</v>
      </c>
    </row>
    <row r="8194" spans="1:40" x14ac:dyDescent="0.25">
      <c r="A8194" t="str">
        <f>"20190312160527423"</f>
        <v>20190312160527423</v>
      </c>
      <c r="B8194" t="str">
        <f>"1552377927413451"</f>
        <v>1552377927413451</v>
      </c>
      <c r="C8194" t="s">
        <v>40</v>
      </c>
      <c r="D8194">
        <v>5.802289</v>
      </c>
      <c r="E8194">
        <v>0.498917</v>
      </c>
      <c r="F8194" t="s">
        <v>41</v>
      </c>
      <c r="G8194">
        <v>-187.4265</v>
      </c>
      <c r="H8194" s="1">
        <v>-3.41367E-6</v>
      </c>
      <c r="I8194">
        <v>6.5260230000000004</v>
      </c>
      <c r="J8194">
        <v>-187.31010000000001</v>
      </c>
      <c r="K8194">
        <v>1.110325</v>
      </c>
      <c r="L8194">
        <v>-10.35355</v>
      </c>
      <c r="M8194">
        <v>1.12756E-2</v>
      </c>
      <c r="N8194">
        <v>0</v>
      </c>
      <c r="O8194">
        <v>0.99987479999999995</v>
      </c>
      <c r="P8194">
        <v>-7.9470169999999903E-3</v>
      </c>
      <c r="Q8194">
        <v>4.1521210000000003E-2</v>
      </c>
      <c r="R8194">
        <v>0.99910600000000005</v>
      </c>
      <c r="S8194">
        <v>-2.029419E-2</v>
      </c>
      <c r="T8194">
        <v>-0.19606999999999999</v>
      </c>
      <c r="U8194">
        <v>3.0104980000000001</v>
      </c>
      <c r="V8194">
        <v>-1.9238089999999999E-2</v>
      </c>
      <c r="W8194">
        <v>5.2597860000000003E-2</v>
      </c>
      <c r="X8194">
        <v>0.99843040000000005</v>
      </c>
      <c r="Y8194">
        <v>-1.8002359999999999E-2</v>
      </c>
      <c r="Z8194">
        <v>-6.4978880000000003E-2</v>
      </c>
      <c r="AA8194">
        <v>0.99772419999999995</v>
      </c>
      <c r="AB8194">
        <v>17</v>
      </c>
      <c r="AC8194">
        <v>-0.11639999999999801</v>
      </c>
      <c r="AD8194">
        <v>-1.11032841367</v>
      </c>
      <c r="AE8194">
        <v>16.879573000000001</v>
      </c>
      <c r="AF8194">
        <v>-0.30541021604760799</v>
      </c>
      <c r="AG8194">
        <v>-1.11032841367</v>
      </c>
      <c r="AH8194">
        <v>16.804478878264</v>
      </c>
      <c r="AI8194">
        <v>93.779607705767006</v>
      </c>
      <c r="AJ8194">
        <v>91.041198020006604</v>
      </c>
      <c r="AK8194">
        <v>16.843889543578999</v>
      </c>
      <c r="AL8194">
        <v>86.984973176318604</v>
      </c>
      <c r="AM8194">
        <v>91.103857596448705</v>
      </c>
      <c r="AN8194">
        <v>0.99999995131379205</v>
      </c>
    </row>
    <row r="8195" spans="1:40" x14ac:dyDescent="0.25">
      <c r="A8195" t="str">
        <f>"20190312160527447"</f>
        <v>20190312160527447</v>
      </c>
      <c r="B8195" t="str">
        <f>"1552377927443707"</f>
        <v>1552377927443707</v>
      </c>
      <c r="C8195" t="s">
        <v>40</v>
      </c>
      <c r="D8195">
        <v>5.7127109999999997</v>
      </c>
      <c r="E8195">
        <v>0.49915609999999999</v>
      </c>
      <c r="F8195" t="s">
        <v>41</v>
      </c>
      <c r="G8195">
        <v>-187.43680000000001</v>
      </c>
      <c r="H8195" s="1">
        <v>-3.602559E-6</v>
      </c>
      <c r="I8195">
        <v>6.970574</v>
      </c>
      <c r="J8195">
        <v>-187.30869999999999</v>
      </c>
      <c r="K8195">
        <v>1.1103320000000001</v>
      </c>
      <c r="L8195">
        <v>-10.169280000000001</v>
      </c>
      <c r="M8195">
        <v>1.07689E-2</v>
      </c>
      <c r="N8195">
        <v>0</v>
      </c>
      <c r="O8195">
        <v>0.99988080000000001</v>
      </c>
      <c r="P8195">
        <v>-8.2551280000000005E-3</v>
      </c>
      <c r="Q8195">
        <v>4.143227E-2</v>
      </c>
      <c r="R8195">
        <v>0.99910719999999997</v>
      </c>
      <c r="S8195">
        <v>-2.2003169999999999E-2</v>
      </c>
      <c r="T8195">
        <v>-0.19294919999999999</v>
      </c>
      <c r="U8195">
        <v>3.010529</v>
      </c>
      <c r="V8195">
        <v>-1.9040640000000001E-2</v>
      </c>
      <c r="W8195">
        <v>5.2472150000000002E-2</v>
      </c>
      <c r="X8195">
        <v>0.99844089999999996</v>
      </c>
      <c r="Y8195">
        <v>-1.8062430000000001E-2</v>
      </c>
      <c r="Z8195">
        <v>-6.3948599999999994E-2</v>
      </c>
      <c r="AA8195">
        <v>0.9977897</v>
      </c>
      <c r="AB8195">
        <v>17</v>
      </c>
      <c r="AC8195">
        <v>-0.12810000000001701</v>
      </c>
      <c r="AD8195">
        <v>-1.1103356025590001</v>
      </c>
      <c r="AE8195">
        <v>17.139854</v>
      </c>
      <c r="AF8195">
        <v>-0.31137461165535402</v>
      </c>
      <c r="AG8195">
        <v>-1.1103356025590001</v>
      </c>
      <c r="AH8195">
        <v>17.0658663479776</v>
      </c>
      <c r="AI8195">
        <v>93.721900957065699</v>
      </c>
      <c r="AJ8195">
        <v>91.045271974487903</v>
      </c>
      <c r="AK8195">
        <v>17.104782766996099</v>
      </c>
      <c r="AL8195">
        <v>86.9921860911914</v>
      </c>
      <c r="AM8195">
        <v>91.092519435426198</v>
      </c>
      <c r="AN8195">
        <v>1.00000005164501</v>
      </c>
    </row>
    <row r="8196" spans="1:40" x14ac:dyDescent="0.25">
      <c r="A8196" t="str">
        <f>"20190312160527469"</f>
        <v>20190312160527469</v>
      </c>
      <c r="B8196" t="str">
        <f>"1552377927463227"</f>
        <v>1552377927463227</v>
      </c>
      <c r="C8196" t="s">
        <v>40</v>
      </c>
      <c r="D8196">
        <v>5.6585979999999996</v>
      </c>
      <c r="E8196">
        <v>0.49931789999999998</v>
      </c>
      <c r="F8196" t="s">
        <v>41</v>
      </c>
      <c r="G8196">
        <v>-187.4308</v>
      </c>
      <c r="H8196" s="1">
        <v>-3.6653350000000002E-6</v>
      </c>
      <c r="I8196">
        <v>7.1144350000000003</v>
      </c>
      <c r="J8196">
        <v>-187.3074</v>
      </c>
      <c r="K8196">
        <v>1.1103369999999999</v>
      </c>
      <c r="L8196">
        <v>-10.00656</v>
      </c>
      <c r="M8196">
        <v>1.030563E-2</v>
      </c>
      <c r="N8196">
        <v>0</v>
      </c>
      <c r="O8196">
        <v>0.99988600000000005</v>
      </c>
      <c r="P8196">
        <v>-8.0915699999999993E-3</v>
      </c>
      <c r="Q8196">
        <v>4.0798429999999997E-2</v>
      </c>
      <c r="R8196">
        <v>0.99913470000000004</v>
      </c>
      <c r="S8196">
        <v>-2.1270750000000001E-2</v>
      </c>
      <c r="T8196">
        <v>-0.1934015</v>
      </c>
      <c r="U8196">
        <v>3.010529</v>
      </c>
      <c r="V8196">
        <v>-1.8415689999999998E-2</v>
      </c>
      <c r="W8196">
        <v>5.1810250000000002E-2</v>
      </c>
      <c r="X8196">
        <v>0.99848709999999996</v>
      </c>
      <c r="Y8196">
        <v>-1.7356380000000001E-2</v>
      </c>
      <c r="Z8196">
        <v>-6.4098810000000006E-2</v>
      </c>
      <c r="AA8196">
        <v>0.99779260000000003</v>
      </c>
      <c r="AB8196">
        <v>17</v>
      </c>
      <c r="AC8196">
        <v>-0.12340000000000299</v>
      </c>
      <c r="AD8196">
        <v>-1.1103406653350001</v>
      </c>
      <c r="AE8196">
        <v>17.120995000000001</v>
      </c>
      <c r="AF8196">
        <v>-0.29859106443100503</v>
      </c>
      <c r="AG8196">
        <v>-1.1103406653350001</v>
      </c>
      <c r="AH8196">
        <v>17.047119874537199</v>
      </c>
      <c r="AI8196">
        <v>93.726047767703704</v>
      </c>
      <c r="AJ8196">
        <v>91.003469130056104</v>
      </c>
      <c r="AK8196">
        <v>17.085851135770099</v>
      </c>
      <c r="AL8196">
        <v>87.030161564156103</v>
      </c>
      <c r="AM8196">
        <v>91.056620257908307</v>
      </c>
      <c r="AN8196">
        <v>0.99999996425482296</v>
      </c>
    </row>
    <row r="8197" spans="1:40" x14ac:dyDescent="0.25">
      <c r="A8197" t="str">
        <f>"20190312160527490"</f>
        <v>20190312160527490</v>
      </c>
      <c r="B8197" t="str">
        <f>"1552377927483723"</f>
        <v>1552377927483723</v>
      </c>
      <c r="C8197" t="s">
        <v>40</v>
      </c>
      <c r="D8197">
        <v>5.7544040000000001</v>
      </c>
      <c r="E8197">
        <v>0.49951200000000001</v>
      </c>
      <c r="F8197" t="s">
        <v>41</v>
      </c>
      <c r="G8197">
        <v>-187.41650000000001</v>
      </c>
      <c r="H8197" s="1">
        <v>-3.5239159999999999E-6</v>
      </c>
      <c r="I8197">
        <v>6.7788880000000002</v>
      </c>
      <c r="J8197">
        <v>-187.30629999999999</v>
      </c>
      <c r="K8197">
        <v>1.110341</v>
      </c>
      <c r="L8197">
        <v>-9.8443909999999999</v>
      </c>
      <c r="M8197">
        <v>9.8313480000000002E-3</v>
      </c>
      <c r="N8197">
        <v>0</v>
      </c>
      <c r="O8197">
        <v>0.99989099999999997</v>
      </c>
      <c r="P8197">
        <v>-8.3563790000000006E-3</v>
      </c>
      <c r="Q8197">
        <v>4.1012069999999998E-2</v>
      </c>
      <c r="R8197">
        <v>0.99912369999999995</v>
      </c>
      <c r="S8197">
        <v>-1.9561769999999999E-2</v>
      </c>
      <c r="T8197">
        <v>-0.19914560000000001</v>
      </c>
      <c r="U8197">
        <v>3.0105590000000002</v>
      </c>
      <c r="V8197">
        <v>-1.820745E-2</v>
      </c>
      <c r="W8197">
        <v>5.1997880000000003E-2</v>
      </c>
      <c r="X8197">
        <v>0.99848119999999996</v>
      </c>
      <c r="Y8197">
        <v>-1.6314840000000001E-2</v>
      </c>
      <c r="Z8197">
        <v>-6.5994910000000004E-2</v>
      </c>
      <c r="AA8197">
        <v>0.99768659999999998</v>
      </c>
      <c r="AB8197">
        <v>17</v>
      </c>
      <c r="AC8197">
        <v>-0.11020000000002</v>
      </c>
      <c r="AD8197">
        <v>-1.1103445239159999</v>
      </c>
      <c r="AE8197">
        <v>16.623279</v>
      </c>
      <c r="AF8197">
        <v>-0.27241848473527802</v>
      </c>
      <c r="AG8197">
        <v>-1.1103445239159999</v>
      </c>
      <c r="AH8197">
        <v>16.547568099022701</v>
      </c>
      <c r="AI8197">
        <v>93.838283216343299</v>
      </c>
      <c r="AJ8197">
        <v>90.943160922246605</v>
      </c>
      <c r="AK8197">
        <v>16.5870156081319</v>
      </c>
      <c r="AL8197">
        <v>87.0193967492784</v>
      </c>
      <c r="AM8197">
        <v>91.044681095821602</v>
      </c>
      <c r="AN8197">
        <v>0.99999999875671797</v>
      </c>
    </row>
    <row r="8198" spans="1:40" x14ac:dyDescent="0.25">
      <c r="A8198" t="str">
        <f>"20190312160527513"</f>
        <v>20190312160527513</v>
      </c>
      <c r="B8198" t="str">
        <f>"1552377927503244"</f>
        <v>1552377927503244</v>
      </c>
      <c r="C8198" t="s">
        <v>40</v>
      </c>
      <c r="D8198">
        <v>5.7346729999999999</v>
      </c>
      <c r="E8198">
        <v>0.4996197</v>
      </c>
      <c r="F8198" t="s">
        <v>41</v>
      </c>
      <c r="G8198">
        <v>-187.41120000000001</v>
      </c>
      <c r="H8198" s="1">
        <v>-3.6087100000000001E-6</v>
      </c>
      <c r="I8198">
        <v>6.9743360000000001</v>
      </c>
      <c r="J8198">
        <v>-187.30529999999999</v>
      </c>
      <c r="K8198">
        <v>1.1103510000000001</v>
      </c>
      <c r="L8198">
        <v>-9.6738590000000002</v>
      </c>
      <c r="M8198">
        <v>9.3219800000000005E-3</v>
      </c>
      <c r="N8198">
        <v>0</v>
      </c>
      <c r="O8198">
        <v>0.99989620000000001</v>
      </c>
      <c r="P8198">
        <v>-9.3762649999999999E-3</v>
      </c>
      <c r="Q8198">
        <v>4.1175730000000001E-2</v>
      </c>
      <c r="R8198">
        <v>0.99910790000000005</v>
      </c>
      <c r="S8198">
        <v>-1.876831E-2</v>
      </c>
      <c r="T8198">
        <v>-0.19875609999999999</v>
      </c>
      <c r="U8198">
        <v>3.0106199999999999</v>
      </c>
      <c r="V8198">
        <v>-1.871913E-2</v>
      </c>
      <c r="W8198">
        <v>5.21374E-2</v>
      </c>
      <c r="X8198">
        <v>0.99846449999999998</v>
      </c>
      <c r="Y8198">
        <v>-1.5542469999999999E-2</v>
      </c>
      <c r="Z8198">
        <v>-6.5866019999999997E-2</v>
      </c>
      <c r="AA8198">
        <v>0.99770740000000002</v>
      </c>
      <c r="AB8198">
        <v>17</v>
      </c>
      <c r="AC8198">
        <v>-0.10590000000001901</v>
      </c>
      <c r="AD8198">
        <v>-1.11035460871</v>
      </c>
      <c r="AE8198">
        <v>16.648195000000001</v>
      </c>
      <c r="AF8198">
        <v>-0.25994266197989901</v>
      </c>
      <c r="AG8198">
        <v>-1.11035460871</v>
      </c>
      <c r="AH8198">
        <v>16.5727674676832</v>
      </c>
      <c r="AI8198">
        <v>93.832546868515294</v>
      </c>
      <c r="AJ8198">
        <v>90.898606481705599</v>
      </c>
      <c r="AK8198">
        <v>16.6119559077943</v>
      </c>
      <c r="AL8198">
        <v>87.011392095631095</v>
      </c>
      <c r="AM8198">
        <v>91.074050717671099</v>
      </c>
      <c r="AN8198">
        <v>1.00000003603348</v>
      </c>
    </row>
    <row r="8199" spans="1:40" x14ac:dyDescent="0.25">
      <c r="A8199" t="str">
        <f>"20190312160527535"</f>
        <v>20190312160527535</v>
      </c>
      <c r="B8199" t="str">
        <f>"1552377927522763"</f>
        <v>1552377927522763</v>
      </c>
      <c r="C8199" t="s">
        <v>40</v>
      </c>
      <c r="D8199">
        <v>5.672574</v>
      </c>
      <c r="E8199">
        <v>0.49980829999999998</v>
      </c>
      <c r="F8199" t="s">
        <v>41</v>
      </c>
      <c r="G8199">
        <v>-187.41800000000001</v>
      </c>
      <c r="H8199" s="1">
        <v>-3.702634E-6</v>
      </c>
      <c r="I8199">
        <v>7.1960819999999996</v>
      </c>
      <c r="J8199">
        <v>-187.30430000000001</v>
      </c>
      <c r="K8199">
        <v>1.110355</v>
      </c>
      <c r="L8199">
        <v>-9.5084230000000005</v>
      </c>
      <c r="M8199">
        <v>8.8208139999999997E-3</v>
      </c>
      <c r="N8199">
        <v>0</v>
      </c>
      <c r="O8199">
        <v>0.99990089999999998</v>
      </c>
      <c r="P8199">
        <v>-1.043258E-2</v>
      </c>
      <c r="Q8199">
        <v>4.1105580000000003E-2</v>
      </c>
      <c r="R8199">
        <v>0.99910030000000005</v>
      </c>
      <c r="S8199">
        <v>-2.011108E-2</v>
      </c>
      <c r="T8199">
        <v>-0.19815659999999999</v>
      </c>
      <c r="U8199">
        <v>3.0106510000000002</v>
      </c>
      <c r="V8199">
        <v>-1.927483E-2</v>
      </c>
      <c r="W8199">
        <v>5.2047389999999999E-2</v>
      </c>
      <c r="X8199">
        <v>0.99845859999999997</v>
      </c>
      <c r="Y8199">
        <v>-1.54863E-2</v>
      </c>
      <c r="Z8199">
        <v>-6.5667929999999999E-2</v>
      </c>
      <c r="AA8199">
        <v>0.99772139999999998</v>
      </c>
      <c r="AB8199">
        <v>17</v>
      </c>
      <c r="AC8199">
        <v>-0.113699999999994</v>
      </c>
      <c r="AD8199">
        <v>-1.110358702634</v>
      </c>
      <c r="AE8199">
        <v>16.704504999999902</v>
      </c>
      <c r="AF8199">
        <v>-0.25990348809070601</v>
      </c>
      <c r="AG8199">
        <v>-1.110358702634</v>
      </c>
      <c r="AH8199">
        <v>16.6293811625311</v>
      </c>
      <c r="AI8199">
        <v>93.819555252940503</v>
      </c>
      <c r="AJ8199">
        <v>90.895412791968695</v>
      </c>
      <c r="AK8199">
        <v>16.668436163011201</v>
      </c>
      <c r="AL8199">
        <v>87.016556231065806</v>
      </c>
      <c r="AM8199">
        <v>91.105933940085706</v>
      </c>
      <c r="AN8199">
        <v>1.0000000128956501</v>
      </c>
    </row>
    <row r="8200" spans="1:40" x14ac:dyDescent="0.25">
      <c r="A8200" t="str">
        <f>"20190312160527555"</f>
        <v>20190312160527555</v>
      </c>
      <c r="B8200" t="str">
        <f>"1552377927543263"</f>
        <v>1552377927543263</v>
      </c>
      <c r="C8200" t="s">
        <v>40</v>
      </c>
      <c r="D8200">
        <v>5.7798160000000003</v>
      </c>
      <c r="E8200">
        <v>0.4998534</v>
      </c>
      <c r="F8200" t="s">
        <v>41</v>
      </c>
      <c r="G8200">
        <v>-187.42359999999999</v>
      </c>
      <c r="H8200" s="1">
        <v>-3.685082E-6</v>
      </c>
      <c r="I8200">
        <v>7.1575009999999999</v>
      </c>
      <c r="J8200">
        <v>-187.30350000000001</v>
      </c>
      <c r="K8200">
        <v>1.1103529999999999</v>
      </c>
      <c r="L8200">
        <v>-9.3542179999999995</v>
      </c>
      <c r="M8200">
        <v>8.3498540000000003E-3</v>
      </c>
      <c r="N8200">
        <v>0</v>
      </c>
      <c r="O8200">
        <v>0.99990520000000005</v>
      </c>
      <c r="P8200">
        <v>-1.1355799999999999E-2</v>
      </c>
      <c r="Q8200">
        <v>3.991952E-2</v>
      </c>
      <c r="R8200">
        <v>0.99913839999999998</v>
      </c>
      <c r="S8200">
        <v>-2.1545410000000001E-2</v>
      </c>
      <c r="T8200">
        <v>-0.20058909999999999</v>
      </c>
      <c r="U8200">
        <v>3.010742</v>
      </c>
      <c r="V8200">
        <v>-1.9727410000000001E-2</v>
      </c>
      <c r="W8200">
        <v>5.0844979999999998E-2</v>
      </c>
      <c r="X8200">
        <v>0.9985117</v>
      </c>
      <c r="Y8200">
        <v>-1.549006E-2</v>
      </c>
      <c r="Z8200">
        <v>-6.646879E-2</v>
      </c>
      <c r="AA8200">
        <v>0.99766829999999995</v>
      </c>
      <c r="AB8200">
        <v>17</v>
      </c>
      <c r="AC8200">
        <v>-0.120099999999979</v>
      </c>
      <c r="AD8200">
        <v>-1.1103566850819999</v>
      </c>
      <c r="AE8200">
        <v>16.511718999999999</v>
      </c>
      <c r="AF8200">
        <v>-0.25681324525221499</v>
      </c>
      <c r="AG8200">
        <v>-1.1103566850819999</v>
      </c>
      <c r="AH8200">
        <v>16.435819906656999</v>
      </c>
      <c r="AI8200">
        <v>93.864395100543504</v>
      </c>
      <c r="AJ8200">
        <v>90.895186114701801</v>
      </c>
      <c r="AK8200">
        <v>16.475285157322901</v>
      </c>
      <c r="AL8200">
        <v>87.085540562989706</v>
      </c>
      <c r="AM8200">
        <v>91.131834814283394</v>
      </c>
      <c r="AN8200">
        <v>0.99999999886669899</v>
      </c>
    </row>
    <row r="8201" spans="1:40" x14ac:dyDescent="0.25">
      <c r="A8201" t="str">
        <f>"20190312160527578"</f>
        <v>20190312160527578</v>
      </c>
      <c r="B8201" t="str">
        <f>"1552377927573515"</f>
        <v>1552377927573515</v>
      </c>
      <c r="C8201" t="s">
        <v>40</v>
      </c>
      <c r="D8201">
        <v>5.6863390000000003</v>
      </c>
      <c r="E8201">
        <v>0.49987730000000002</v>
      </c>
      <c r="F8201" t="s">
        <v>41</v>
      </c>
      <c r="G8201">
        <v>-187.43729999999999</v>
      </c>
      <c r="H8201" s="1">
        <v>-3.6429100000000002E-6</v>
      </c>
      <c r="I8201">
        <v>7.064845</v>
      </c>
      <c r="J8201">
        <v>-187.30269999999999</v>
      </c>
      <c r="K8201">
        <v>1.110352</v>
      </c>
      <c r="L8201">
        <v>-9.1833189999999991</v>
      </c>
      <c r="M8201">
        <v>7.8263780000000002E-3</v>
      </c>
      <c r="N8201">
        <v>0</v>
      </c>
      <c r="O8201">
        <v>0.99990959999999995</v>
      </c>
      <c r="P8201">
        <v>-1.129309E-2</v>
      </c>
      <c r="Q8201">
        <v>4.0132620000000001E-2</v>
      </c>
      <c r="R8201">
        <v>0.99913050000000003</v>
      </c>
      <c r="S8201">
        <v>-2.452087E-2</v>
      </c>
      <c r="T8201">
        <v>-0.20358409999999999</v>
      </c>
      <c r="U8201">
        <v>3.010437</v>
      </c>
      <c r="V8201">
        <v>-1.914157E-2</v>
      </c>
      <c r="W8201">
        <v>5.1043089999999999E-2</v>
      </c>
      <c r="X8201">
        <v>0.99851299999999998</v>
      </c>
      <c r="Y8201">
        <v>-1.59528E-2</v>
      </c>
      <c r="Z8201">
        <v>-6.7463480000000006E-2</v>
      </c>
      <c r="AA8201">
        <v>0.99759419999999999</v>
      </c>
      <c r="AB8201">
        <v>17</v>
      </c>
      <c r="AC8201">
        <v>-0.13460000000000599</v>
      </c>
      <c r="AD8201">
        <v>-1.1103556429100001</v>
      </c>
      <c r="AE8201">
        <v>16.248163999999999</v>
      </c>
      <c r="AF8201">
        <v>-0.26055106525987998</v>
      </c>
      <c r="AG8201">
        <v>-1.1103556429100001</v>
      </c>
      <c r="AH8201">
        <v>16.1710991896711</v>
      </c>
      <c r="AI8201">
        <v>93.927424899374202</v>
      </c>
      <c r="AJ8201">
        <v>90.923077930358502</v>
      </c>
      <c r="AK8201">
        <v>16.211268473303701</v>
      </c>
      <c r="AL8201">
        <v>87.074174952821096</v>
      </c>
      <c r="AM8201">
        <v>91.098229925193095</v>
      </c>
      <c r="AN8201">
        <v>1.0000000039539001</v>
      </c>
    </row>
    <row r="8202" spans="1:40" x14ac:dyDescent="0.25">
      <c r="A8202" t="str">
        <f>"20190312160527601"</f>
        <v>20190312160527601</v>
      </c>
      <c r="B8202" t="str">
        <f>"1552377927593036"</f>
        <v>1552377927593036</v>
      </c>
      <c r="C8202" t="s">
        <v>40</v>
      </c>
      <c r="D8202">
        <v>5.6956810000000004</v>
      </c>
      <c r="E8202">
        <v>0.50005250000000001</v>
      </c>
      <c r="F8202" t="s">
        <v>41</v>
      </c>
      <c r="G8202">
        <v>-187.4402</v>
      </c>
      <c r="H8202" s="1">
        <v>-3.8637690000000004E-6</v>
      </c>
      <c r="I8202">
        <v>7.5808919999999897</v>
      </c>
      <c r="J8202">
        <v>-187.30199999999999</v>
      </c>
      <c r="K8202">
        <v>1.1103510000000001</v>
      </c>
      <c r="L8202">
        <v>-9.0052800000000008</v>
      </c>
      <c r="M8202">
        <v>7.2823209999999996E-3</v>
      </c>
      <c r="N8202">
        <v>0</v>
      </c>
      <c r="O8202">
        <v>0.99991390000000002</v>
      </c>
      <c r="P8202">
        <v>-1.168012E-2</v>
      </c>
      <c r="Q8202">
        <v>4.1014340000000003E-2</v>
      </c>
      <c r="R8202">
        <v>0.99909029999999999</v>
      </c>
      <c r="S8202">
        <v>-2.4688720000000001E-2</v>
      </c>
      <c r="T8202">
        <v>-0.19938639999999999</v>
      </c>
      <c r="U8202">
        <v>3.010345</v>
      </c>
      <c r="V8202">
        <v>-1.8985019999999998E-2</v>
      </c>
      <c r="W8202">
        <v>5.1909780000000003E-2</v>
      </c>
      <c r="X8202">
        <v>0.99847129999999995</v>
      </c>
      <c r="Y8202">
        <v>-1.5465380000000001E-2</v>
      </c>
      <c r="Z8202">
        <v>-6.6081230000000005E-2</v>
      </c>
      <c r="AA8202">
        <v>0.99769439999999998</v>
      </c>
      <c r="AB8202">
        <v>17</v>
      </c>
      <c r="AC8202">
        <v>-0.138199999999983</v>
      </c>
      <c r="AD8202">
        <v>-1.1103548637689999</v>
      </c>
      <c r="AE8202">
        <v>16.586172000000001</v>
      </c>
      <c r="AF8202">
        <v>-0.25783393723360998</v>
      </c>
      <c r="AG8202">
        <v>-1.1103548637689999</v>
      </c>
      <c r="AH8202">
        <v>16.510736594595599</v>
      </c>
      <c r="AI8202">
        <v>93.846907611285005</v>
      </c>
      <c r="AJ8202">
        <v>90.894666065313501</v>
      </c>
      <c r="AK8202">
        <v>16.55003894735</v>
      </c>
      <c r="AL8202">
        <v>87.024451327268096</v>
      </c>
      <c r="AM8202">
        <v>91.089295666550996</v>
      </c>
      <c r="AN8202">
        <v>0.99999999658386896</v>
      </c>
    </row>
    <row r="8203" spans="1:40" x14ac:dyDescent="0.25">
      <c r="A8203" t="str">
        <f>"20190312160527624"</f>
        <v>20190312160527624</v>
      </c>
      <c r="B8203" t="str">
        <f>"1552377927613534"</f>
        <v>1552377927613534</v>
      </c>
      <c r="C8203" t="s">
        <v>40</v>
      </c>
      <c r="D8203">
        <v>5.7131150000000002</v>
      </c>
      <c r="E8203">
        <v>0.50016369999999999</v>
      </c>
      <c r="F8203" t="s">
        <v>41</v>
      </c>
      <c r="G8203">
        <v>-187.43860000000001</v>
      </c>
      <c r="H8203" s="1">
        <v>-3.991285E-6</v>
      </c>
      <c r="I8203">
        <v>7.8774490000000004</v>
      </c>
      <c r="J8203">
        <v>-187.3014</v>
      </c>
      <c r="K8203">
        <v>1.110339</v>
      </c>
      <c r="L8203">
        <v>-8.8384400000000003</v>
      </c>
      <c r="M8203">
        <v>6.7758089999999998E-3</v>
      </c>
      <c r="N8203">
        <v>0</v>
      </c>
      <c r="O8203">
        <v>0.99991759999999996</v>
      </c>
      <c r="P8203">
        <v>-1.241422E-2</v>
      </c>
      <c r="Q8203">
        <v>4.0538280000000003E-2</v>
      </c>
      <c r="R8203">
        <v>0.99910089999999996</v>
      </c>
      <c r="S8203">
        <v>-2.4353030000000001E-2</v>
      </c>
      <c r="T8203">
        <v>-0.1980025</v>
      </c>
      <c r="U8203">
        <v>3.0105900000000001</v>
      </c>
      <c r="V8203">
        <v>-1.9212139999999999E-2</v>
      </c>
      <c r="W8203">
        <v>5.1422620000000002E-2</v>
      </c>
      <c r="X8203">
        <v>0.99849219999999905</v>
      </c>
      <c r="Y8203">
        <v>-1.4847229999999999E-2</v>
      </c>
      <c r="Z8203">
        <v>-6.5619949999999996E-2</v>
      </c>
      <c r="AA8203">
        <v>0.99773420000000002</v>
      </c>
      <c r="AB8203">
        <v>17</v>
      </c>
      <c r="AC8203">
        <v>-0.13720000000000701</v>
      </c>
      <c r="AD8203">
        <v>-1.110342991285</v>
      </c>
      <c r="AE8203">
        <v>16.715889000000001</v>
      </c>
      <c r="AF8203">
        <v>-0.249367070581579</v>
      </c>
      <c r="AG8203">
        <v>-1.110342991285</v>
      </c>
      <c r="AH8203">
        <v>16.6411563356179</v>
      </c>
      <c r="AI8203">
        <v>93.816844221982507</v>
      </c>
      <c r="AJ8203">
        <v>90.858510738163801</v>
      </c>
      <c r="AK8203">
        <v>16.680021872907201</v>
      </c>
      <c r="AL8203">
        <v>87.052400975610595</v>
      </c>
      <c r="AM8203">
        <v>91.102300773065494</v>
      </c>
      <c r="AN8203">
        <v>1.00000003281594</v>
      </c>
    </row>
    <row r="8204" spans="1:40" x14ac:dyDescent="0.25">
      <c r="A8204" t="str">
        <f>"20190312160527648"</f>
        <v>20190312160527648</v>
      </c>
      <c r="B8204" t="str">
        <f>"1552377927642812"</f>
        <v>1552377927642812</v>
      </c>
      <c r="C8204" t="s">
        <v>40</v>
      </c>
      <c r="D8204">
        <v>5.6775949999999904</v>
      </c>
      <c r="E8204">
        <v>0.50024259999999998</v>
      </c>
      <c r="F8204" t="s">
        <v>41</v>
      </c>
      <c r="G8204">
        <v>-187.44239999999999</v>
      </c>
      <c r="H8204" s="1">
        <v>-3.972459E-6</v>
      </c>
      <c r="I8204">
        <v>7.8351600000000001</v>
      </c>
      <c r="J8204">
        <v>-187.30080000000001</v>
      </c>
      <c r="K8204">
        <v>1.1103350000000001</v>
      </c>
      <c r="L8204">
        <v>-8.6582340000000002</v>
      </c>
      <c r="M8204">
        <v>6.2334819999999899E-3</v>
      </c>
      <c r="N8204">
        <v>0</v>
      </c>
      <c r="O8204">
        <v>0.99992119999999995</v>
      </c>
      <c r="P8204">
        <v>-1.2861900000000001E-2</v>
      </c>
      <c r="Q8204">
        <v>4.0268749999999999E-2</v>
      </c>
      <c r="R8204">
        <v>0.9991061</v>
      </c>
      <c r="S8204">
        <v>-2.5466920000000001E-2</v>
      </c>
      <c r="T8204">
        <v>-0.20047970000000001</v>
      </c>
      <c r="U8204">
        <v>3.010529</v>
      </c>
      <c r="V8204">
        <v>-1.9117660000000002E-2</v>
      </c>
      <c r="W8204">
        <v>5.1143090000000002E-2</v>
      </c>
      <c r="X8204">
        <v>0.99850830000000002</v>
      </c>
      <c r="Y8204">
        <v>-1.4673749999999999E-2</v>
      </c>
      <c r="Z8204">
        <v>-6.6439010000000007E-2</v>
      </c>
      <c r="AA8204">
        <v>0.99768259999999998</v>
      </c>
      <c r="AB8204">
        <v>17</v>
      </c>
      <c r="AC8204">
        <v>-0.14159999999998199</v>
      </c>
      <c r="AD8204">
        <v>-1.110338972459</v>
      </c>
      <c r="AE8204">
        <v>16.493393999999999</v>
      </c>
      <c r="AF8204">
        <v>-0.24331201572951999</v>
      </c>
      <c r="AG8204">
        <v>-1.110338972459</v>
      </c>
      <c r="AH8204">
        <v>16.417790660396101</v>
      </c>
      <c r="AI8204">
        <v>93.868611655816807</v>
      </c>
      <c r="AJ8204">
        <v>90.849062545159697</v>
      </c>
      <c r="AK8204">
        <v>16.457092803388701</v>
      </c>
      <c r="AL8204">
        <v>87.068437761139194</v>
      </c>
      <c r="AM8204">
        <v>91.0968636080203</v>
      </c>
      <c r="AN8204">
        <v>0.99999996287375603</v>
      </c>
    </row>
    <row r="8205" spans="1:40" x14ac:dyDescent="0.25">
      <c r="A8205" t="str">
        <f>"20190312160527670"</f>
        <v>20190312160527670</v>
      </c>
      <c r="B8205" t="str">
        <f>"1552377927663307"</f>
        <v>1552377927663307</v>
      </c>
      <c r="C8205" t="s">
        <v>40</v>
      </c>
      <c r="D8205">
        <v>5.769495</v>
      </c>
      <c r="E8205">
        <v>0.5002702</v>
      </c>
      <c r="F8205" t="s">
        <v>41</v>
      </c>
      <c r="G8205">
        <v>-187.447</v>
      </c>
      <c r="H8205" s="1">
        <v>-4.1000039999999998E-6</v>
      </c>
      <c r="I8205">
        <v>8.1343750000000004</v>
      </c>
      <c r="J8205">
        <v>-187.3004</v>
      </c>
      <c r="K8205">
        <v>1.110331</v>
      </c>
      <c r="L8205">
        <v>-8.4917599999999993</v>
      </c>
      <c r="M8205">
        <v>5.7364529999999999E-3</v>
      </c>
      <c r="N8205">
        <v>0</v>
      </c>
      <c r="O8205">
        <v>0.99992420000000004</v>
      </c>
      <c r="P8205">
        <v>-1.365854E-2</v>
      </c>
      <c r="Q8205">
        <v>4.0214439999999997E-2</v>
      </c>
      <c r="R8205">
        <v>0.99909769999999998</v>
      </c>
      <c r="S8205">
        <v>-2.62145999999999E-2</v>
      </c>
      <c r="T8205">
        <v>-0.19904820000000001</v>
      </c>
      <c r="U8205">
        <v>3.0103759999999999</v>
      </c>
      <c r="V8205">
        <v>-1.9417210000000001E-2</v>
      </c>
      <c r="W8205">
        <v>5.1080229999999997E-2</v>
      </c>
      <c r="X8205">
        <v>0.9985058</v>
      </c>
      <c r="Y8205">
        <v>-1.4425220000000001E-2</v>
      </c>
      <c r="Z8205">
        <v>-6.5970329999999994E-2</v>
      </c>
      <c r="AA8205">
        <v>0.99771730000000003</v>
      </c>
      <c r="AB8205">
        <v>17</v>
      </c>
      <c r="AC8205">
        <v>-0.146600000000006</v>
      </c>
      <c r="AD8205">
        <v>-1.110335100004</v>
      </c>
      <c r="AE8205">
        <v>16.626135000000001</v>
      </c>
      <c r="AF8205">
        <v>-0.240903964941451</v>
      </c>
      <c r="AG8205">
        <v>-1.110335100004</v>
      </c>
      <c r="AH8205">
        <v>16.5512093242824</v>
      </c>
      <c r="AI8205">
        <v>93.837522023271305</v>
      </c>
      <c r="AJ8205">
        <v>90.833885041648998</v>
      </c>
      <c r="AK8205">
        <v>16.590160000760601</v>
      </c>
      <c r="AL8205">
        <v>87.072044270544893</v>
      </c>
      <c r="AM8205">
        <v>91.114048589757402</v>
      </c>
      <c r="AN8205">
        <v>1.00000002528733</v>
      </c>
    </row>
    <row r="8206" spans="1:40" x14ac:dyDescent="0.25">
      <c r="A8206" t="str">
        <f>"20190312160527691"</f>
        <v>20190312160527691</v>
      </c>
      <c r="B8206" t="str">
        <f>"1552377927682827"</f>
        <v>1552377927682827</v>
      </c>
      <c r="C8206" t="s">
        <v>40</v>
      </c>
      <c r="D8206">
        <v>5.7566600000000001</v>
      </c>
      <c r="E8206">
        <v>0.50036789999999998</v>
      </c>
      <c r="F8206" t="s">
        <v>41</v>
      </c>
      <c r="G8206">
        <v>-187.45920000000001</v>
      </c>
      <c r="H8206" s="1">
        <v>-4.1645209999999996E-6</v>
      </c>
      <c r="I8206">
        <v>8.28979</v>
      </c>
      <c r="J8206">
        <v>-187.3</v>
      </c>
      <c r="K8206">
        <v>1.110328</v>
      </c>
      <c r="L8206">
        <v>-8.327515</v>
      </c>
      <c r="M8206">
        <v>5.2485169999999899E-3</v>
      </c>
      <c r="N8206">
        <v>0</v>
      </c>
      <c r="O8206">
        <v>0.99992700000000001</v>
      </c>
      <c r="P8206">
        <v>-1.544825E-2</v>
      </c>
      <c r="Q8206">
        <v>4.0393159999999997E-2</v>
      </c>
      <c r="R8206">
        <v>0.99906439999999996</v>
      </c>
      <c r="S8206">
        <v>-2.8488159999999998E-2</v>
      </c>
      <c r="T8206">
        <v>-0.19917670000000001</v>
      </c>
      <c r="U8206">
        <v>3.010345</v>
      </c>
      <c r="V8206">
        <v>-2.0719689999999999E-2</v>
      </c>
      <c r="W8206">
        <v>5.1250709999999998E-2</v>
      </c>
      <c r="X8206">
        <v>0.99847079999999999</v>
      </c>
      <c r="Y8206">
        <v>-1.469082E-2</v>
      </c>
      <c r="Z8206">
        <v>-6.6013310000000006E-2</v>
      </c>
      <c r="AA8206">
        <v>0.9977106</v>
      </c>
      <c r="AB8206">
        <v>17</v>
      </c>
      <c r="AC8206">
        <v>-0.15919999999999801</v>
      </c>
      <c r="AD8206">
        <v>-1.110332164521</v>
      </c>
      <c r="AE8206">
        <v>16.617304999999899</v>
      </c>
      <c r="AF8206">
        <v>-0.24532400218836101</v>
      </c>
      <c r="AG8206">
        <v>-1.110332164521</v>
      </c>
      <c r="AH8206">
        <v>16.542391738113999</v>
      </c>
      <c r="AI8206">
        <v>93.839535838018605</v>
      </c>
      <c r="AJ8206">
        <v>90.849635279584504</v>
      </c>
      <c r="AK8206">
        <v>16.581427737044901</v>
      </c>
      <c r="AL8206">
        <v>87.062263423736297</v>
      </c>
      <c r="AM8206">
        <v>91.188798340013705</v>
      </c>
      <c r="AN8206">
        <v>0.99999993964091805</v>
      </c>
    </row>
    <row r="8207" spans="1:40" x14ac:dyDescent="0.25">
      <c r="A8207" t="str">
        <f>"20190312160527713"</f>
        <v>20190312160527713</v>
      </c>
      <c r="B8207" t="str">
        <f>"1552377927703327"</f>
        <v>1552377927703327</v>
      </c>
      <c r="C8207" t="s">
        <v>40</v>
      </c>
      <c r="D8207">
        <v>5.7168900000000002</v>
      </c>
      <c r="E8207">
        <v>0.50051080000000003</v>
      </c>
      <c r="F8207" t="s">
        <v>41</v>
      </c>
      <c r="G8207">
        <v>-187.48169999999999</v>
      </c>
      <c r="H8207" s="1">
        <v>-4.2394819999999997E-6</v>
      </c>
      <c r="I8207">
        <v>8.4738319999999998</v>
      </c>
      <c r="J8207">
        <v>-187.2998</v>
      </c>
      <c r="K8207">
        <v>1.1103179999999999</v>
      </c>
      <c r="L8207">
        <v>-8.157349</v>
      </c>
      <c r="M8207">
        <v>4.7439960000000003E-3</v>
      </c>
      <c r="N8207">
        <v>0</v>
      </c>
      <c r="O8207">
        <v>0.99992959999999997</v>
      </c>
      <c r="P8207">
        <v>-1.7332650000000002E-2</v>
      </c>
      <c r="Q8207">
        <v>3.985789E-2</v>
      </c>
      <c r="R8207">
        <v>0.99905500000000003</v>
      </c>
      <c r="S8207">
        <v>-3.2547E-2</v>
      </c>
      <c r="T8207">
        <v>-0.19894149999999999</v>
      </c>
      <c r="U8207">
        <v>3.010345</v>
      </c>
      <c r="V8207">
        <v>-2.2099089999999998E-2</v>
      </c>
      <c r="W8207">
        <v>5.0708299999999998E-2</v>
      </c>
      <c r="X8207">
        <v>0.99846900000000005</v>
      </c>
      <c r="Y8207">
        <v>-1.5531430000000001E-2</v>
      </c>
      <c r="Z8207">
        <v>-6.5935079999999993E-2</v>
      </c>
      <c r="AA8207">
        <v>0.99770300000000001</v>
      </c>
      <c r="AB8207">
        <v>17</v>
      </c>
      <c r="AC8207">
        <v>-0.18189999999998399</v>
      </c>
      <c r="AD8207">
        <v>-1.110322239482</v>
      </c>
      <c r="AE8207">
        <v>16.631180999999899</v>
      </c>
      <c r="AF8207">
        <v>-0.25964375735376299</v>
      </c>
      <c r="AG8207">
        <v>-1.110322239482</v>
      </c>
      <c r="AH8207">
        <v>16.5563464626665</v>
      </c>
      <c r="AI8207">
        <v>93.836225386781706</v>
      </c>
      <c r="AJ8207">
        <v>90.898463445347701</v>
      </c>
      <c r="AK8207">
        <v>16.595566834190102</v>
      </c>
      <c r="AL8207">
        <v>87.093381934534193</v>
      </c>
      <c r="AM8207">
        <v>91.267919078242898</v>
      </c>
      <c r="AN8207">
        <v>1.00000002271435</v>
      </c>
    </row>
    <row r="8208" spans="1:40" x14ac:dyDescent="0.25">
      <c r="A8208" t="str">
        <f>"20190312160527735"</f>
        <v>20190312160527735</v>
      </c>
      <c r="B8208" t="str">
        <f>"1552377927723819"</f>
        <v>1552377927723819</v>
      </c>
      <c r="C8208" t="s">
        <v>40</v>
      </c>
      <c r="D8208">
        <v>5.6978759999999999</v>
      </c>
      <c r="E8208">
        <v>0.50075599999999998</v>
      </c>
      <c r="F8208" t="s">
        <v>41</v>
      </c>
      <c r="G8208">
        <v>-187.50280000000001</v>
      </c>
      <c r="H8208" s="1">
        <v>-4.1553209999999998E-6</v>
      </c>
      <c r="I8208">
        <v>8.2863869999999995</v>
      </c>
      <c r="J8208">
        <v>-187.2996</v>
      </c>
      <c r="K8208">
        <v>1.1103179999999999</v>
      </c>
      <c r="L8208">
        <v>-7.9889219999999996</v>
      </c>
      <c r="M8208">
        <v>4.2450430000000004E-3</v>
      </c>
      <c r="N8208">
        <v>0</v>
      </c>
      <c r="O8208">
        <v>0.99993189999999998</v>
      </c>
      <c r="P8208">
        <v>-1.8624470000000001E-2</v>
      </c>
      <c r="Q8208">
        <v>3.9518270000000001E-2</v>
      </c>
      <c r="R8208">
        <v>0.99904530000000002</v>
      </c>
      <c r="S8208">
        <v>-3.7170410000000001E-2</v>
      </c>
      <c r="T8208">
        <v>-0.203264</v>
      </c>
      <c r="U8208">
        <v>3.0103149999999999</v>
      </c>
      <c r="V8208">
        <v>-2.2892200000000001E-2</v>
      </c>
      <c r="W8208">
        <v>5.0363039999999998E-2</v>
      </c>
      <c r="X8208">
        <v>0.99846860000000004</v>
      </c>
      <c r="Y8208">
        <v>-1.6563560000000001E-2</v>
      </c>
      <c r="Z8208">
        <v>-6.7361030000000002E-2</v>
      </c>
      <c r="AA8208">
        <v>0.99759120000000001</v>
      </c>
      <c r="AB8208">
        <v>17</v>
      </c>
      <c r="AC8208">
        <v>-0.20320000000000901</v>
      </c>
      <c r="AD8208">
        <v>-1.1103221553210001</v>
      </c>
      <c r="AE8208">
        <v>16.275309</v>
      </c>
      <c r="AF8208">
        <v>-0.27103042096033397</v>
      </c>
      <c r="AG8208">
        <v>-1.1103221553210001</v>
      </c>
      <c r="AH8208">
        <v>16.198919391717901</v>
      </c>
      <c r="AI8208">
        <v>93.920543340323803</v>
      </c>
      <c r="AJ8208">
        <v>90.958548533912406</v>
      </c>
      <c r="AK8208">
        <v>16.239189088038199</v>
      </c>
      <c r="AL8208">
        <v>87.113189166805</v>
      </c>
      <c r="AM8208">
        <v>91.313408045430506</v>
      </c>
      <c r="AN8208">
        <v>1.0000000169024199</v>
      </c>
    </row>
    <row r="8209" spans="1:40" x14ac:dyDescent="0.25">
      <c r="A8209" t="str">
        <f>"20190312160527757"</f>
        <v>20190312160527757</v>
      </c>
      <c r="B8209" t="str">
        <f>"1552377927753099"</f>
        <v>1552377927753099</v>
      </c>
      <c r="C8209" t="s">
        <v>40</v>
      </c>
      <c r="D8209">
        <v>5.7546549999999996</v>
      </c>
      <c r="E8209">
        <v>0.50102170000000001</v>
      </c>
      <c r="F8209" t="s">
        <v>41</v>
      </c>
      <c r="G8209">
        <v>-187.5121</v>
      </c>
      <c r="H8209" s="1">
        <v>-4.1502840000000003E-6</v>
      </c>
      <c r="I8209">
        <v>8.2785069999999994</v>
      </c>
      <c r="J8209">
        <v>-187.29949999999999</v>
      </c>
      <c r="K8209">
        <v>1.1103190000000001</v>
      </c>
      <c r="L8209">
        <v>-7.8229369999999996</v>
      </c>
      <c r="M8209">
        <v>3.7526479999999999E-3</v>
      </c>
      <c r="N8209">
        <v>0</v>
      </c>
      <c r="O8209">
        <v>0.99993390000000004</v>
      </c>
      <c r="P8209">
        <v>-1.9733529999999999E-2</v>
      </c>
      <c r="Q8209">
        <v>3.9789539999999998E-2</v>
      </c>
      <c r="R8209">
        <v>0.99901320000000005</v>
      </c>
      <c r="S8209">
        <v>-3.9337160000000003E-2</v>
      </c>
      <c r="T8209">
        <v>-0.2054628</v>
      </c>
      <c r="U8209">
        <v>3.0102540000000002</v>
      </c>
      <c r="V8209">
        <v>-2.3509390000000002E-2</v>
      </c>
      <c r="W8209">
        <v>5.0629250000000001E-2</v>
      </c>
      <c r="X8209">
        <v>0.99844080000000002</v>
      </c>
      <c r="Y8209">
        <v>-1.678874E-2</v>
      </c>
      <c r="Z8209">
        <v>-6.8087449999999994E-2</v>
      </c>
      <c r="AA8209">
        <v>0.99753809999999998</v>
      </c>
      <c r="AB8209">
        <v>17</v>
      </c>
      <c r="AC8209">
        <v>-0.212600000000008</v>
      </c>
      <c r="AD8209">
        <v>-1.1103231502840001</v>
      </c>
      <c r="AE8209">
        <v>16.101444000000001</v>
      </c>
      <c r="AF8209">
        <v>-0.27173320165463799</v>
      </c>
      <c r="AG8209">
        <v>-1.1103231502840001</v>
      </c>
      <c r="AH8209">
        <v>16.0243469987991</v>
      </c>
      <c r="AI8209">
        <v>93.963107636373806</v>
      </c>
      <c r="AJ8209">
        <v>90.971501273869706</v>
      </c>
      <c r="AK8209">
        <v>16.065066236055799</v>
      </c>
      <c r="AL8209">
        <v>87.097916988192907</v>
      </c>
      <c r="AM8209">
        <v>91.348843092799399</v>
      </c>
      <c r="AN8209">
        <v>1.00000002173918</v>
      </c>
    </row>
    <row r="8210" spans="1:40" x14ac:dyDescent="0.25">
      <c r="A8210" t="str">
        <f>"20190312160527779"</f>
        <v>20190312160527779</v>
      </c>
      <c r="B8210" t="str">
        <f>"1552377927773595"</f>
        <v>1552377927773595</v>
      </c>
      <c r="C8210" t="s">
        <v>40</v>
      </c>
      <c r="D8210">
        <v>5.6719679999999997</v>
      </c>
      <c r="E8210">
        <v>0.50120679999999995</v>
      </c>
      <c r="F8210" t="s">
        <v>41</v>
      </c>
      <c r="G8210">
        <v>-187.51779999999999</v>
      </c>
      <c r="H8210" s="1">
        <v>-4.2349720000000002E-6</v>
      </c>
      <c r="I8210">
        <v>8.4782720000000005</v>
      </c>
      <c r="J8210">
        <v>-187.29939999999999</v>
      </c>
      <c r="K8210">
        <v>1.110322</v>
      </c>
      <c r="L8210">
        <v>-7.6522519999999998</v>
      </c>
      <c r="M8210">
        <v>3.2455449999999999E-3</v>
      </c>
      <c r="N8210">
        <v>0</v>
      </c>
      <c r="O8210">
        <v>0.99993569999999998</v>
      </c>
      <c r="P8210">
        <v>-2.078723E-2</v>
      </c>
      <c r="Q8210">
        <v>4.0611229999999998E-2</v>
      </c>
      <c r="R8210">
        <v>0.99895880000000004</v>
      </c>
      <c r="S8210">
        <v>-4.032898E-2</v>
      </c>
      <c r="T8210">
        <v>-0.20504349999999999</v>
      </c>
      <c r="U8210">
        <v>3.010345</v>
      </c>
      <c r="V8210">
        <v>-2.4056839999999999E-2</v>
      </c>
      <c r="W8210">
        <v>5.1445959999999999E-2</v>
      </c>
      <c r="X8210">
        <v>0.998386</v>
      </c>
      <c r="Y8210">
        <v>-1.6610010000000001E-2</v>
      </c>
      <c r="Z8210">
        <v>-6.7947250000000001E-2</v>
      </c>
      <c r="AA8210">
        <v>0.99755070000000001</v>
      </c>
      <c r="AB8210">
        <v>17</v>
      </c>
      <c r="AC8210">
        <v>-0.21840000000000201</v>
      </c>
      <c r="AD8210">
        <v>-1.110326234972</v>
      </c>
      <c r="AE8210">
        <v>16.130523999999902</v>
      </c>
      <c r="AF8210">
        <v>-0.26947770343343502</v>
      </c>
      <c r="AG8210">
        <v>-1.110326234972</v>
      </c>
      <c r="AH8210">
        <v>16.0536801592907</v>
      </c>
      <c r="AI8210">
        <v>93.955911649597098</v>
      </c>
      <c r="AJ8210">
        <v>90.961678879588206</v>
      </c>
      <c r="AK8210">
        <v>16.0942874721908</v>
      </c>
      <c r="AL8210">
        <v>87.051061857358107</v>
      </c>
      <c r="AM8210">
        <v>91.380316564589194</v>
      </c>
      <c r="AN8210">
        <v>1.0000000116735499</v>
      </c>
    </row>
    <row r="8211" spans="1:40" x14ac:dyDescent="0.25">
      <c r="A8211" t="str">
        <f>"20190312160527801"</f>
        <v>20190312160527801</v>
      </c>
      <c r="B8211" t="str">
        <f>"1552377927793116"</f>
        <v>1552377927793116</v>
      </c>
      <c r="C8211" t="s">
        <v>40</v>
      </c>
      <c r="D8211">
        <v>5.9156890000000004</v>
      </c>
      <c r="E8211">
        <v>0.50132949999999998</v>
      </c>
      <c r="F8211" t="s">
        <v>41</v>
      </c>
      <c r="G8211">
        <v>-187.52629999999999</v>
      </c>
      <c r="H8211" s="1">
        <v>-4.3773609999999998E-6</v>
      </c>
      <c r="I8211">
        <v>8.8136749999999999</v>
      </c>
      <c r="J8211">
        <v>-187.29949999999999</v>
      </c>
      <c r="K8211">
        <v>1.110325</v>
      </c>
      <c r="L8211">
        <v>-7.4819639999999996</v>
      </c>
      <c r="M8211">
        <v>2.738805E-3</v>
      </c>
      <c r="N8211">
        <v>0</v>
      </c>
      <c r="O8211">
        <v>0.99993730000000003</v>
      </c>
      <c r="P8211">
        <v>-2.152803E-2</v>
      </c>
      <c r="Q8211">
        <v>4.0520769999999998E-2</v>
      </c>
      <c r="R8211">
        <v>0.99894669999999997</v>
      </c>
      <c r="S8211">
        <v>-4.1473389999999999E-2</v>
      </c>
      <c r="T8211">
        <v>-0.2030052</v>
      </c>
      <c r="U8211">
        <v>3.010529</v>
      </c>
      <c r="V8211">
        <v>-2.4291179999999999E-2</v>
      </c>
      <c r="W8211">
        <v>5.1352149999999999E-2</v>
      </c>
      <c r="X8211">
        <v>0.99838510000000003</v>
      </c>
      <c r="Y8211">
        <v>-1.6482259999999999E-2</v>
      </c>
      <c r="Z8211">
        <v>-6.7270849999999993E-2</v>
      </c>
      <c r="AA8211">
        <v>0.9975986</v>
      </c>
      <c r="AB8211">
        <v>17</v>
      </c>
      <c r="AC8211">
        <v>-0.226799999999997</v>
      </c>
      <c r="AD8211">
        <v>-1.1103293773609999</v>
      </c>
      <c r="AE8211">
        <v>16.295639000000001</v>
      </c>
      <c r="AF8211">
        <v>-0.27017827236455999</v>
      </c>
      <c r="AG8211">
        <v>-1.1103293773609999</v>
      </c>
      <c r="AH8211">
        <v>16.2196698905991</v>
      </c>
      <c r="AI8211">
        <v>93.915573444166498</v>
      </c>
      <c r="AJ8211">
        <v>90.954313084708005</v>
      </c>
      <c r="AK8211">
        <v>16.259874507052501</v>
      </c>
      <c r="AL8211">
        <v>87.056443725285305</v>
      </c>
      <c r="AM8211">
        <v>91.393758339306004</v>
      </c>
      <c r="AN8211">
        <v>0.99999995631871097</v>
      </c>
    </row>
    <row r="8212" spans="1:40" x14ac:dyDescent="0.25">
      <c r="A8212" t="str">
        <f>"20190312160527825"</f>
        <v>20190312160527825</v>
      </c>
      <c r="B8212" t="str">
        <f>"1552377927813612"</f>
        <v>1552377927813612</v>
      </c>
      <c r="C8212" t="s">
        <v>40</v>
      </c>
      <c r="D8212">
        <v>5.7202279999999996</v>
      </c>
      <c r="E8212">
        <v>0.50147200000000003</v>
      </c>
      <c r="F8212" t="s">
        <v>41</v>
      </c>
      <c r="G8212">
        <v>-187.5333</v>
      </c>
      <c r="H8212" s="1">
        <v>-4.480034E-6</v>
      </c>
      <c r="I8212">
        <v>9.0559019999999997</v>
      </c>
      <c r="J8212">
        <v>-187.2996</v>
      </c>
      <c r="K8212">
        <v>1.11032</v>
      </c>
      <c r="L8212">
        <v>-7.3106080000000002</v>
      </c>
      <c r="M8212">
        <v>2.2281269999999999E-3</v>
      </c>
      <c r="N8212">
        <v>0</v>
      </c>
      <c r="O8212">
        <v>0.99993860000000001</v>
      </c>
      <c r="P8212">
        <v>-2.1727679999999999E-2</v>
      </c>
      <c r="Q8212">
        <v>4.0456180000000001E-2</v>
      </c>
      <c r="R8212">
        <v>0.99894510000000003</v>
      </c>
      <c r="S8212">
        <v>-4.2556759999999999E-2</v>
      </c>
      <c r="T8212">
        <v>-0.2021165</v>
      </c>
      <c r="U8212">
        <v>3.010437</v>
      </c>
      <c r="V8212">
        <v>-2.3980870000000001E-2</v>
      </c>
      <c r="W8212">
        <v>5.128452E-2</v>
      </c>
      <c r="X8212">
        <v>0.99839610000000001</v>
      </c>
      <c r="Y8212">
        <v>-1.6331249999999999E-2</v>
      </c>
      <c r="Z8212">
        <v>-6.6979750000000005E-2</v>
      </c>
      <c r="AA8212">
        <v>0.99762059999999997</v>
      </c>
      <c r="AB8212">
        <v>17</v>
      </c>
      <c r="AC8212">
        <v>-0.23369999999999799</v>
      </c>
      <c r="AD8212">
        <v>-1.110324480034</v>
      </c>
      <c r="AE8212">
        <v>16.366509999999899</v>
      </c>
      <c r="AF8212">
        <v>-0.26893074731857503</v>
      </c>
      <c r="AG8212">
        <v>-1.110324480034</v>
      </c>
      <c r="AH8212">
        <v>16.290985705690201</v>
      </c>
      <c r="AI8212">
        <v>93.898477995541</v>
      </c>
      <c r="AJ8212">
        <v>90.945749854070002</v>
      </c>
      <c r="AK8212">
        <v>16.330993829550501</v>
      </c>
      <c r="AL8212">
        <v>87.060323816249294</v>
      </c>
      <c r="AM8212">
        <v>91.375945375215494</v>
      </c>
      <c r="AN8212">
        <v>0.99999997830639797</v>
      </c>
    </row>
    <row r="8213" spans="1:40" x14ac:dyDescent="0.25">
      <c r="A8213" t="str">
        <f>"20190312160527847"</f>
        <v>20190312160527847</v>
      </c>
      <c r="B8213" t="str">
        <f>"1552377927842892"</f>
        <v>1552377927842892</v>
      </c>
      <c r="C8213" t="s">
        <v>40</v>
      </c>
      <c r="D8213">
        <v>5.7857279999999998</v>
      </c>
      <c r="E8213">
        <v>0.50141040000000003</v>
      </c>
      <c r="F8213" t="s">
        <v>41</v>
      </c>
      <c r="G8213">
        <v>-187.53479999999999</v>
      </c>
      <c r="H8213" s="1">
        <v>-4.6151949999999999E-6</v>
      </c>
      <c r="I8213">
        <v>9.3715890000000002</v>
      </c>
      <c r="J8213">
        <v>-187.29990000000001</v>
      </c>
      <c r="K8213">
        <v>1.110312</v>
      </c>
      <c r="L8213">
        <v>-7.1342160000000003</v>
      </c>
      <c r="M8213">
        <v>1.7018580000000001E-3</v>
      </c>
      <c r="N8213">
        <v>0</v>
      </c>
      <c r="O8213">
        <v>0.99993969999999999</v>
      </c>
      <c r="P8213">
        <v>-2.1534129999999999E-2</v>
      </c>
      <c r="Q8213">
        <v>4.0841750000000003E-2</v>
      </c>
      <c r="R8213">
        <v>0.99893359999999998</v>
      </c>
      <c r="S8213">
        <v>-4.2434689999999997E-2</v>
      </c>
      <c r="T8213">
        <v>-0.20036100000000001</v>
      </c>
      <c r="U8213">
        <v>3.010345</v>
      </c>
      <c r="V8213">
        <v>-2.326201E-2</v>
      </c>
      <c r="W8213">
        <v>5.1663100000000003E-2</v>
      </c>
      <c r="X8213">
        <v>0.99839359999999999</v>
      </c>
      <c r="Y8213">
        <v>-1.576555E-2</v>
      </c>
      <c r="Z8213">
        <v>-6.6403000000000004E-2</v>
      </c>
      <c r="AA8213">
        <v>0.99766829999999995</v>
      </c>
      <c r="AB8213">
        <v>17</v>
      </c>
      <c r="AC8213">
        <v>-0.23489999999998101</v>
      </c>
      <c r="AD8213">
        <v>-1.1103166151949999</v>
      </c>
      <c r="AE8213">
        <v>16.505804999999999</v>
      </c>
      <c r="AF8213">
        <v>-0.261807406154968</v>
      </c>
      <c r="AG8213">
        <v>-1.1103166151949999</v>
      </c>
      <c r="AH8213">
        <v>16.431045591580201</v>
      </c>
      <c r="AI8213">
        <v>93.865356734059702</v>
      </c>
      <c r="AJ8213">
        <v>90.9128567061844</v>
      </c>
      <c r="AK8213">
        <v>16.4705982082159</v>
      </c>
      <c r="AL8213">
        <v>87.038604017434693</v>
      </c>
      <c r="AM8213">
        <v>91.334717986476605</v>
      </c>
      <c r="AN8213">
        <v>0.99999998876590501</v>
      </c>
    </row>
    <row r="8214" spans="1:40" x14ac:dyDescent="0.25">
      <c r="A8214" t="str">
        <f>"20190312160527871"</f>
        <v>20190312160527871</v>
      </c>
      <c r="B8214" t="str">
        <f>"1552377927863388"</f>
        <v>1552377927863388</v>
      </c>
      <c r="C8214" t="s">
        <v>40</v>
      </c>
      <c r="D8214">
        <v>5.6999440000000003</v>
      </c>
      <c r="E8214">
        <v>0.50122149999999999</v>
      </c>
      <c r="F8214" t="s">
        <v>41</v>
      </c>
      <c r="G8214">
        <v>-187.5376</v>
      </c>
      <c r="H8214" s="1">
        <v>-4.7179449999999999E-6</v>
      </c>
      <c r="I8214">
        <v>9.6122759999999996</v>
      </c>
      <c r="J8214">
        <v>-187.30019999999999</v>
      </c>
      <c r="K8214">
        <v>1.1103099999999999</v>
      </c>
      <c r="L8214">
        <v>-6.9575500000000003</v>
      </c>
      <c r="M8214">
        <v>1.1743890000000001E-3</v>
      </c>
      <c r="N8214">
        <v>0</v>
      </c>
      <c r="O8214">
        <v>0.99994059999999996</v>
      </c>
      <c r="P8214">
        <v>-2.167359E-2</v>
      </c>
      <c r="Q8214">
        <v>4.1413499999999999E-2</v>
      </c>
      <c r="R8214">
        <v>0.99890699999999999</v>
      </c>
      <c r="S8214">
        <v>-4.2739869999999999E-2</v>
      </c>
      <c r="T8214">
        <v>-0.19959640000000001</v>
      </c>
      <c r="U8214">
        <v>3.010437</v>
      </c>
      <c r="V8214">
        <v>-2.2874780000000001E-2</v>
      </c>
      <c r="W8214">
        <v>5.2222159999999997E-2</v>
      </c>
      <c r="X8214">
        <v>0.99837339999999997</v>
      </c>
      <c r="Y8214">
        <v>-1.533904E-2</v>
      </c>
      <c r="Z8214">
        <v>-6.6148940000000003E-2</v>
      </c>
      <c r="AA8214">
        <v>0.99769189999999996</v>
      </c>
      <c r="AB8214">
        <v>17</v>
      </c>
      <c r="AC8214">
        <v>-0.23740000000000799</v>
      </c>
      <c r="AD8214">
        <v>-1.1103147179449999</v>
      </c>
      <c r="AE8214">
        <v>16.569825999999999</v>
      </c>
      <c r="AF8214">
        <v>-0.255712460561065</v>
      </c>
      <c r="AG8214">
        <v>-1.1103147179449999</v>
      </c>
      <c r="AH8214">
        <v>16.495484532794599</v>
      </c>
      <c r="AI8214">
        <v>93.850321865609999</v>
      </c>
      <c r="AJ8214">
        <v>90.888126158449694</v>
      </c>
      <c r="AK8214">
        <v>16.534787498091401</v>
      </c>
      <c r="AL8214">
        <v>87.006528756069599</v>
      </c>
      <c r="AM8214">
        <v>91.312534048033299</v>
      </c>
      <c r="AN8214">
        <v>0.99999992769133395</v>
      </c>
    </row>
    <row r="8215" spans="1:40" x14ac:dyDescent="0.25">
      <c r="A8215" t="str">
        <f>"20190312160527892"</f>
        <v>20190312160527892</v>
      </c>
      <c r="B8215" t="str">
        <f>"1552377927882907"</f>
        <v>1552377927882907</v>
      </c>
      <c r="C8215" t="s">
        <v>40</v>
      </c>
      <c r="D8215">
        <v>5.7634819999999998</v>
      </c>
      <c r="E8215">
        <v>0.50119659999999999</v>
      </c>
      <c r="F8215" t="s">
        <v>41</v>
      </c>
      <c r="G8215">
        <v>-187.5504</v>
      </c>
      <c r="H8215" s="1">
        <v>-7.7443939999999898E-7</v>
      </c>
      <c r="I8215">
        <v>10.008520000000001</v>
      </c>
      <c r="J8215">
        <v>-187.3006</v>
      </c>
      <c r="K8215">
        <v>1.1103080000000001</v>
      </c>
      <c r="L8215">
        <v>-6.7899479999999999</v>
      </c>
      <c r="M8215">
        <v>6.7357690000000004E-4</v>
      </c>
      <c r="N8215">
        <v>0</v>
      </c>
      <c r="O8215">
        <v>0.99994119999999997</v>
      </c>
      <c r="P8215">
        <v>-2.226448E-2</v>
      </c>
      <c r="Q8215">
        <v>4.144072E-2</v>
      </c>
      <c r="R8215">
        <v>0.99889280000000003</v>
      </c>
      <c r="S8215">
        <v>-4.4403079999999998E-2</v>
      </c>
      <c r="T8215">
        <v>-0.1970161</v>
      </c>
      <c r="U8215">
        <v>3.0104980000000001</v>
      </c>
      <c r="V8215">
        <v>-2.296569E-2</v>
      </c>
      <c r="W8215">
        <v>5.2236449999999997E-2</v>
      </c>
      <c r="X8215">
        <v>0.9983706</v>
      </c>
      <c r="Y8215">
        <v>-1.538988E-2</v>
      </c>
      <c r="Z8215">
        <v>-6.5295930000000002E-2</v>
      </c>
      <c r="AA8215">
        <v>0.99774719999999995</v>
      </c>
      <c r="AB8215">
        <v>17</v>
      </c>
      <c r="AC8215">
        <v>-0.249799999999993</v>
      </c>
      <c r="AD8215">
        <v>-1.11030877443939</v>
      </c>
      <c r="AE8215">
        <v>16.798468</v>
      </c>
      <c r="AF8215">
        <v>-0.25998015246912698</v>
      </c>
      <c r="AG8215">
        <v>-1.11030877443939</v>
      </c>
      <c r="AH8215">
        <v>16.725245172731501</v>
      </c>
      <c r="AI8215">
        <v>93.797561722220905</v>
      </c>
      <c r="AJ8215">
        <v>90.890543953275198</v>
      </c>
      <c r="AK8215">
        <v>16.764074723713598</v>
      </c>
      <c r="AL8215">
        <v>87.005708983965704</v>
      </c>
      <c r="AM8215">
        <v>91.317752239828906</v>
      </c>
      <c r="AN8215">
        <v>0.99999996228506804</v>
      </c>
    </row>
    <row r="8216" spans="1:40" x14ac:dyDescent="0.25">
      <c r="A8216" t="str">
        <f>"20190312160527914"</f>
        <v>20190312160527914</v>
      </c>
      <c r="B8216" t="str">
        <f>"1552377927903403"</f>
        <v>1552377927903403</v>
      </c>
      <c r="C8216" t="s">
        <v>40</v>
      </c>
      <c r="D8216">
        <v>5.7137200000000004</v>
      </c>
      <c r="E8216">
        <v>0.50123240000000002</v>
      </c>
      <c r="F8216" t="s">
        <v>41</v>
      </c>
      <c r="G8216">
        <v>-187.5581</v>
      </c>
      <c r="H8216" s="1">
        <v>-7.9539649999999899E-7</v>
      </c>
      <c r="I8216">
        <v>10.0761</v>
      </c>
      <c r="J8216">
        <v>-187.30109999999999</v>
      </c>
      <c r="K8216">
        <v>1.110312</v>
      </c>
      <c r="L8216">
        <v>-6.6257320000000002</v>
      </c>
      <c r="M8216">
        <v>1.830442E-4</v>
      </c>
      <c r="N8216">
        <v>0</v>
      </c>
      <c r="O8216">
        <v>0.99994159999999999</v>
      </c>
      <c r="P8216">
        <v>-2.3050299999999999E-2</v>
      </c>
      <c r="Q8216">
        <v>4.1567659999999999E-2</v>
      </c>
      <c r="R8216">
        <v>0.99886980000000003</v>
      </c>
      <c r="S8216">
        <v>-4.5959470000000002E-2</v>
      </c>
      <c r="T8216">
        <v>-0.1981861</v>
      </c>
      <c r="U8216">
        <v>3.010529</v>
      </c>
      <c r="V8216">
        <v>-2.3261179999999999E-2</v>
      </c>
      <c r="W8216">
        <v>5.2345969999999999E-2</v>
      </c>
      <c r="X8216">
        <v>0.99835810000000003</v>
      </c>
      <c r="Y8216">
        <v>-1.5414539999999999E-2</v>
      </c>
      <c r="Z8216">
        <v>-6.5681089999999998E-2</v>
      </c>
      <c r="AA8216">
        <v>0.99772159999999999</v>
      </c>
      <c r="AB8216">
        <v>17</v>
      </c>
      <c r="AC8216">
        <v>-0.257000000000005</v>
      </c>
      <c r="AD8216">
        <v>-1.1103127953965</v>
      </c>
      <c r="AE8216">
        <v>16.701832</v>
      </c>
      <c r="AF8216">
        <v>-0.25891337896967898</v>
      </c>
      <c r="AG8216">
        <v>-1.1103127953965</v>
      </c>
      <c r="AH8216">
        <v>16.6283150382089</v>
      </c>
      <c r="AI8216">
        <v>93.819645435594396</v>
      </c>
      <c r="AJ8216">
        <v>90.892059427247801</v>
      </c>
      <c r="AK8216">
        <v>16.667354068698302</v>
      </c>
      <c r="AL8216">
        <v>86.999425584944305</v>
      </c>
      <c r="AM8216">
        <v>91.334717821859897</v>
      </c>
      <c r="AN8216">
        <v>1.00000003945292</v>
      </c>
    </row>
    <row r="8217" spans="1:40" x14ac:dyDescent="0.25">
      <c r="A8217" t="str">
        <f>"20190312160527935"</f>
        <v>20190312160527935</v>
      </c>
      <c r="B8217" t="str">
        <f>"1552377927922923"</f>
        <v>1552377927922923</v>
      </c>
      <c r="C8217" t="s">
        <v>40</v>
      </c>
      <c r="D8217">
        <v>5.7656669999999997</v>
      </c>
      <c r="E8217">
        <v>0.50112309999999904</v>
      </c>
      <c r="F8217" t="s">
        <v>41</v>
      </c>
      <c r="G8217">
        <v>-187.5694</v>
      </c>
      <c r="H8217" s="1">
        <v>-8.3111079999999997E-7</v>
      </c>
      <c r="I8217">
        <v>10.189870000000001</v>
      </c>
      <c r="J8217">
        <v>-187.30160000000001</v>
      </c>
      <c r="K8217">
        <v>1.110304</v>
      </c>
      <c r="L8217">
        <v>-6.4605100000000002</v>
      </c>
      <c r="M8217">
        <v>-3.097059E-4</v>
      </c>
      <c r="N8217">
        <v>0</v>
      </c>
      <c r="O8217">
        <v>0.99994179999999999</v>
      </c>
      <c r="P8217">
        <v>-2.3755740000000001E-2</v>
      </c>
      <c r="Q8217">
        <v>4.1372359999999997E-2</v>
      </c>
      <c r="R8217">
        <v>0.99886140000000001</v>
      </c>
      <c r="S8217">
        <v>-4.8034670000000002E-2</v>
      </c>
      <c r="T8217">
        <v>-0.1987833</v>
      </c>
      <c r="U8217">
        <v>3.0105590000000002</v>
      </c>
      <c r="V8217">
        <v>-2.3474729999999999E-2</v>
      </c>
      <c r="W8217">
        <v>5.2125970000000001E-2</v>
      </c>
      <c r="X8217">
        <v>0.99836460000000005</v>
      </c>
      <c r="Y8217">
        <v>-1.5609029999999999E-2</v>
      </c>
      <c r="Z8217">
        <v>-6.5877030000000003E-2</v>
      </c>
      <c r="AA8217">
        <v>0.99770559999999997</v>
      </c>
      <c r="AB8217">
        <v>17</v>
      </c>
      <c r="AC8217">
        <v>-0.26779999999999399</v>
      </c>
      <c r="AD8217">
        <v>-1.1103048311107999</v>
      </c>
      <c r="AE8217">
        <v>16.650379999999998</v>
      </c>
      <c r="AF8217">
        <v>-0.26148054597112302</v>
      </c>
      <c r="AG8217">
        <v>-1.1103048311107999</v>
      </c>
      <c r="AH8217">
        <v>16.576769570955701</v>
      </c>
      <c r="AI8217">
        <v>93.831447732271002</v>
      </c>
      <c r="AJ8217">
        <v>90.903703780373107</v>
      </c>
      <c r="AK8217">
        <v>16.6159693759489</v>
      </c>
      <c r="AL8217">
        <v>87.012047851415801</v>
      </c>
      <c r="AM8217">
        <v>91.346957980979596</v>
      </c>
      <c r="AN8217">
        <v>1.00000002711508</v>
      </c>
    </row>
    <row r="8218" spans="1:40" x14ac:dyDescent="0.25">
      <c r="A8218" t="str">
        <f>"20190312160527949"</f>
        <v>20190312160527949</v>
      </c>
      <c r="B8218" t="str">
        <f>"1552377927943419"</f>
        <v>1552377927943419</v>
      </c>
      <c r="C8218" t="s">
        <v>40</v>
      </c>
      <c r="D8218">
        <v>5.7748280000000003</v>
      </c>
      <c r="E8218">
        <v>0.5009844</v>
      </c>
      <c r="F8218" t="s">
        <v>41</v>
      </c>
      <c r="G8218">
        <v>-187.58850000000001</v>
      </c>
      <c r="H8218" s="1">
        <v>-9.0120230000000003E-7</v>
      </c>
      <c r="I8218">
        <v>10.41076</v>
      </c>
      <c r="J8218">
        <v>-187.30199999999999</v>
      </c>
      <c r="K8218">
        <v>1.1103050000000001</v>
      </c>
      <c r="L8218">
        <v>-6.3541259999999999</v>
      </c>
      <c r="M8218">
        <v>-6.2610010000000002E-4</v>
      </c>
      <c r="N8218">
        <v>0</v>
      </c>
      <c r="O8218">
        <v>0.99994190000000005</v>
      </c>
      <c r="P8218">
        <v>-2.4294219999999998E-2</v>
      </c>
      <c r="Q8218">
        <v>4.1302140000000001E-2</v>
      </c>
      <c r="R8218">
        <v>0.9988513</v>
      </c>
      <c r="S8218">
        <v>-5.1177979999999998E-2</v>
      </c>
      <c r="T8218">
        <v>-0.19811590000000001</v>
      </c>
      <c r="U8218">
        <v>3.0104060000000001</v>
      </c>
      <c r="V8218">
        <v>-2.3697159999999998E-2</v>
      </c>
      <c r="W8218">
        <v>5.2037399999999998E-2</v>
      </c>
      <c r="X8218">
        <v>0.99836389999999997</v>
      </c>
      <c r="Y8218">
        <v>-1.633517E-2</v>
      </c>
      <c r="Z8218">
        <v>-6.5659170000000003E-2</v>
      </c>
      <c r="AA8218">
        <v>0.99770840000000005</v>
      </c>
      <c r="AB8218">
        <v>17</v>
      </c>
      <c r="AC8218">
        <v>-0.28649999999998899</v>
      </c>
      <c r="AD8218">
        <v>-1.11030590120229</v>
      </c>
      <c r="AE8218">
        <v>16.764885999999901</v>
      </c>
      <c r="AF8218">
        <v>-0.27479788468674499</v>
      </c>
      <c r="AG8218">
        <v>-1.11030590120229</v>
      </c>
      <c r="AH8218">
        <v>16.691870327583</v>
      </c>
      <c r="AI8218">
        <v>93.805066947311801</v>
      </c>
      <c r="AJ8218">
        <v>90.9431739225097</v>
      </c>
      <c r="AK8218">
        <v>16.731013959247001</v>
      </c>
      <c r="AL8218">
        <v>87.017129239474698</v>
      </c>
      <c r="AM8218">
        <v>91.359716989800205</v>
      </c>
      <c r="AN8218">
        <v>0.99999996160701698</v>
      </c>
    </row>
    <row r="8219" spans="1:40" x14ac:dyDescent="0.25">
      <c r="A8219" t="str">
        <f>"20190312160527969"</f>
        <v>20190312160527969</v>
      </c>
      <c r="B8219" t="str">
        <f>"1552377927962939"</f>
        <v>1552377927962939</v>
      </c>
      <c r="C8219" t="s">
        <v>40</v>
      </c>
      <c r="D8219">
        <v>5.6576829999999996</v>
      </c>
      <c r="E8219">
        <v>0.50093929999999998</v>
      </c>
      <c r="F8219" t="s">
        <v>41</v>
      </c>
      <c r="G8219">
        <v>-187.60650000000001</v>
      </c>
      <c r="H8219" s="1">
        <v>-9.5746759999999993E-7</v>
      </c>
      <c r="I8219">
        <v>10.59023</v>
      </c>
      <c r="J8219">
        <v>-187.30269999999999</v>
      </c>
      <c r="K8219">
        <v>1.1102970000000001</v>
      </c>
      <c r="L8219">
        <v>-6.1995239999999896</v>
      </c>
      <c r="M8219">
        <v>-1.0835409999999999E-3</v>
      </c>
      <c r="N8219">
        <v>0</v>
      </c>
      <c r="O8219">
        <v>0.99994179999999999</v>
      </c>
      <c r="P8219">
        <v>-2.516875E-2</v>
      </c>
      <c r="Q8219">
        <v>4.1250639999999998E-2</v>
      </c>
      <c r="R8219">
        <v>0.99883169999999999</v>
      </c>
      <c r="S8219">
        <v>-5.409241E-2</v>
      </c>
      <c r="T8219">
        <v>-0.1972537</v>
      </c>
      <c r="U8219">
        <v>3.010284</v>
      </c>
      <c r="V8219">
        <v>-2.4114759999999999E-2</v>
      </c>
      <c r="W8219">
        <v>5.1955500000000002E-2</v>
      </c>
      <c r="X8219">
        <v>0.99835819999999997</v>
      </c>
      <c r="Y8219">
        <v>-1.6844430000000001E-2</v>
      </c>
      <c r="Z8219">
        <v>-6.5376420000000005E-2</v>
      </c>
      <c r="AA8219">
        <v>0.99771849999999995</v>
      </c>
      <c r="AB8219">
        <v>17</v>
      </c>
      <c r="AC8219">
        <v>-0.303800000000023</v>
      </c>
      <c r="AD8219">
        <v>-1.1102979574676</v>
      </c>
      <c r="AE8219">
        <v>16.789753999999999</v>
      </c>
      <c r="AF8219">
        <v>-0.28436324185954298</v>
      </c>
      <c r="AG8219">
        <v>-1.1102979574676</v>
      </c>
      <c r="AH8219">
        <v>16.716992021397701</v>
      </c>
      <c r="AI8219">
        <v>93.799303786997001</v>
      </c>
      <c r="AJ8219">
        <v>90.974531924843902</v>
      </c>
      <c r="AK8219">
        <v>16.756236040685</v>
      </c>
      <c r="AL8219">
        <v>87.021828221552397</v>
      </c>
      <c r="AM8219">
        <v>91.383677080985393</v>
      </c>
      <c r="AN8219">
        <v>0.99999999556867303</v>
      </c>
    </row>
    <row r="8220" spans="1:40" x14ac:dyDescent="0.25">
      <c r="A8220" t="str">
        <f>"20190312160527993"</f>
        <v>20190312160527993</v>
      </c>
      <c r="B8220" t="str">
        <f>"1552377927983436"</f>
        <v>1552377927983436</v>
      </c>
      <c r="C8220" t="s">
        <v>40</v>
      </c>
      <c r="D8220">
        <v>5.8249740000000001</v>
      </c>
      <c r="E8220">
        <v>0.50078769999999995</v>
      </c>
      <c r="F8220" t="s">
        <v>41</v>
      </c>
      <c r="G8220">
        <v>-187.62219999999999</v>
      </c>
      <c r="H8220" s="1">
        <v>-9.6027769999999994E-7</v>
      </c>
      <c r="I8220">
        <v>10.61078</v>
      </c>
      <c r="J8220">
        <v>-187.30359999999999</v>
      </c>
      <c r="K8220">
        <v>1.1102909999999999</v>
      </c>
      <c r="L8220">
        <v>-6.0137939999999999</v>
      </c>
      <c r="M8220">
        <v>-1.6287729999999901E-3</v>
      </c>
      <c r="N8220">
        <v>0</v>
      </c>
      <c r="O8220">
        <v>0.99994150000000004</v>
      </c>
      <c r="P8220">
        <v>-2.606224E-2</v>
      </c>
      <c r="Q8220">
        <v>4.140199E-2</v>
      </c>
      <c r="R8220">
        <v>0.99880259999999998</v>
      </c>
      <c r="S8220">
        <v>-5.7220460000000001E-2</v>
      </c>
      <c r="T8220">
        <v>-0.19882530000000001</v>
      </c>
      <c r="U8220">
        <v>3.010284</v>
      </c>
      <c r="V8220">
        <v>-2.4463080000000002E-2</v>
      </c>
      <c r="W8220">
        <v>5.2070730000000003E-2</v>
      </c>
      <c r="X8220">
        <v>0.99834369999999995</v>
      </c>
      <c r="Y8220">
        <v>-1.7334990000000002E-2</v>
      </c>
      <c r="Z8220">
        <v>-6.5894069999999999E-2</v>
      </c>
      <c r="AA8220">
        <v>0.99767600000000001</v>
      </c>
      <c r="AB8220">
        <v>17</v>
      </c>
      <c r="AC8220">
        <v>-0.31860000000000299</v>
      </c>
      <c r="AD8220">
        <v>-1.1102919602776999</v>
      </c>
      <c r="AE8220">
        <v>16.624573999999999</v>
      </c>
      <c r="AF8220">
        <v>-0.29022632303854301</v>
      </c>
      <c r="AG8220">
        <v>-1.1102919602776999</v>
      </c>
      <c r="AH8220">
        <v>16.551272789072002</v>
      </c>
      <c r="AI8220">
        <v>93.837175824621895</v>
      </c>
      <c r="AJ8220">
        <v>91.004577691904302</v>
      </c>
      <c r="AK8220">
        <v>16.591009929896298</v>
      </c>
      <c r="AL8220">
        <v>87.015217013393197</v>
      </c>
      <c r="AM8220">
        <v>91.403675720034599</v>
      </c>
      <c r="AN8220">
        <v>0.99999997326775403</v>
      </c>
    </row>
    <row r="8221" spans="1:40" x14ac:dyDescent="0.25">
      <c r="A8221" t="str">
        <f>"20190312160528014"</f>
        <v>20190312160528014</v>
      </c>
      <c r="B8221" t="str">
        <f>"1552377928002955"</f>
        <v>1552377928002955</v>
      </c>
      <c r="C8221" t="s">
        <v>40</v>
      </c>
      <c r="D8221">
        <v>5.6993460000000002</v>
      </c>
      <c r="E8221">
        <v>0.50067050000000002</v>
      </c>
      <c r="F8221" t="s">
        <v>41</v>
      </c>
      <c r="G8221">
        <v>-187.64330000000001</v>
      </c>
      <c r="H8221" s="1">
        <v>-9.9510359999999994E-7</v>
      </c>
      <c r="I8221">
        <v>10.72958</v>
      </c>
      <c r="J8221">
        <v>-187.30439999999999</v>
      </c>
      <c r="K8221">
        <v>1.1102829999999999</v>
      </c>
      <c r="L8221">
        <v>-5.8469239999999996</v>
      </c>
      <c r="M8221">
        <v>-2.1142130000000002E-3</v>
      </c>
      <c r="N8221">
        <v>0</v>
      </c>
      <c r="O8221">
        <v>0.99994090000000002</v>
      </c>
      <c r="P8221">
        <v>-2.6955650000000001E-2</v>
      </c>
      <c r="Q8221">
        <v>4.1400619999999999E-2</v>
      </c>
      <c r="R8221">
        <v>0.99877890000000003</v>
      </c>
      <c r="S8221">
        <v>-6.1080929999999999E-2</v>
      </c>
      <c r="T8221">
        <v>-0.19961909999999999</v>
      </c>
      <c r="U8221">
        <v>3.010284</v>
      </c>
      <c r="V8221">
        <v>-2.4871089999999998E-2</v>
      </c>
      <c r="W8221">
        <v>5.2039299999999997E-2</v>
      </c>
      <c r="X8221">
        <v>0.99833530000000004</v>
      </c>
      <c r="Y8221">
        <v>-1.8128189999999999E-2</v>
      </c>
      <c r="Z8221">
        <v>-6.6154589999999999E-2</v>
      </c>
      <c r="AA8221">
        <v>0.99764470000000005</v>
      </c>
      <c r="AB8221">
        <v>17</v>
      </c>
      <c r="AC8221">
        <v>-0.33890000000002302</v>
      </c>
      <c r="AD8221">
        <v>-1.1102839951036001</v>
      </c>
      <c r="AE8221">
        <v>16.576504</v>
      </c>
      <c r="AF8221">
        <v>-0.302494494031193</v>
      </c>
      <c r="AG8221">
        <v>-1.1102839951036001</v>
      </c>
      <c r="AH8221">
        <v>16.5031772541724</v>
      </c>
      <c r="AI8221">
        <v>93.848242860202504</v>
      </c>
      <c r="AJ8221">
        <v>91.050083689272498</v>
      </c>
      <c r="AK8221">
        <v>16.543249165485499</v>
      </c>
      <c r="AL8221">
        <v>87.017020390829799</v>
      </c>
      <c r="AM8221">
        <v>91.427089470728802</v>
      </c>
      <c r="AN8221">
        <v>1.0000000155441799</v>
      </c>
    </row>
    <row r="8222" spans="1:40" x14ac:dyDescent="0.25">
      <c r="A8222" t="str">
        <f>"20190312160528036"</f>
        <v>20190312160528036</v>
      </c>
      <c r="B8222" t="str">
        <f>"1552377928033213"</f>
        <v>1552377928033213</v>
      </c>
      <c r="C8222" t="s">
        <v>40</v>
      </c>
      <c r="D8222">
        <v>5.6152689999999996</v>
      </c>
      <c r="E8222">
        <v>0.50063270000000004</v>
      </c>
      <c r="F8222" t="s">
        <v>41</v>
      </c>
      <c r="G8222">
        <v>-187.66540000000001</v>
      </c>
      <c r="H8222" s="1">
        <v>-1.0745039999999999E-6</v>
      </c>
      <c r="I8222">
        <v>10.980180000000001</v>
      </c>
      <c r="J8222">
        <v>-187.30529999999999</v>
      </c>
      <c r="K8222">
        <v>1.110276</v>
      </c>
      <c r="L8222">
        <v>-5.6806340000000004</v>
      </c>
      <c r="M8222">
        <v>-2.5906409999999999E-3</v>
      </c>
      <c r="N8222">
        <v>0</v>
      </c>
      <c r="O8222">
        <v>0.9999401</v>
      </c>
      <c r="P8222">
        <v>-2.7718240000000002E-2</v>
      </c>
      <c r="Q8222">
        <v>4.0768369999999998E-2</v>
      </c>
      <c r="R8222">
        <v>0.99878409999999995</v>
      </c>
      <c r="S8222">
        <v>-6.4575199999999999E-2</v>
      </c>
      <c r="T8222">
        <v>-0.19861609999999999</v>
      </c>
      <c r="U8222">
        <v>3.0101619999999998</v>
      </c>
      <c r="V8222">
        <v>-2.515711E-2</v>
      </c>
      <c r="W8222">
        <v>5.137738E-2</v>
      </c>
      <c r="X8222">
        <v>0.99836239999999998</v>
      </c>
      <c r="Y8222">
        <v>-1.881068E-2</v>
      </c>
      <c r="Z8222">
        <v>-6.5825010000000003E-2</v>
      </c>
      <c r="AA8222">
        <v>0.99765380000000004</v>
      </c>
      <c r="AB8222">
        <v>17</v>
      </c>
      <c r="AC8222">
        <v>-0.36010000000001602</v>
      </c>
      <c r="AD8222">
        <v>-1.110277074504</v>
      </c>
      <c r="AE8222">
        <v>16.660813999999998</v>
      </c>
      <c r="AF8222">
        <v>-0.315533566390585</v>
      </c>
      <c r="AG8222">
        <v>-1.110277074504</v>
      </c>
      <c r="AH8222">
        <v>16.588059625525901</v>
      </c>
      <c r="AI8222">
        <v>93.828536696283294</v>
      </c>
      <c r="AJ8222">
        <v>91.0897333429198</v>
      </c>
      <c r="AK8222">
        <v>16.628168833449099</v>
      </c>
      <c r="AL8222">
        <v>87.054996366438402</v>
      </c>
      <c r="AM8222">
        <v>91.443455070542001</v>
      </c>
      <c r="AN8222">
        <v>0.99999999854648802</v>
      </c>
    </row>
    <row r="8223" spans="1:40" x14ac:dyDescent="0.25">
      <c r="A8223" t="str">
        <f>"20190312160528061"</f>
        <v>20190312160528061</v>
      </c>
      <c r="B8223" t="str">
        <f>"1552377928053273"</f>
        <v>1552377928053273</v>
      </c>
      <c r="C8223" t="s">
        <v>40</v>
      </c>
      <c r="D8223">
        <v>5.6699869999999999</v>
      </c>
      <c r="E8223">
        <v>0.50055309999999997</v>
      </c>
      <c r="F8223" t="s">
        <v>41</v>
      </c>
      <c r="G8223">
        <v>-187.67789999999999</v>
      </c>
      <c r="H8223" s="1">
        <v>-1.108366E-6</v>
      </c>
      <c r="I8223">
        <v>11.08943</v>
      </c>
      <c r="J8223">
        <v>-187.3065</v>
      </c>
      <c r="K8223">
        <v>1.11026</v>
      </c>
      <c r="L8223">
        <v>-5.4945979999999999</v>
      </c>
      <c r="M8223">
        <v>-3.1084950000000002E-3</v>
      </c>
      <c r="N8223">
        <v>0</v>
      </c>
      <c r="O8223">
        <v>0.99993900000000002</v>
      </c>
      <c r="P8223">
        <v>-2.8196349999999998E-2</v>
      </c>
      <c r="Q8223">
        <v>4.0755630000000001E-2</v>
      </c>
      <c r="R8223">
        <v>0.99877119999999997</v>
      </c>
      <c r="S8223">
        <v>-6.6864010000000001E-2</v>
      </c>
      <c r="T8223">
        <v>-0.19927439999999999</v>
      </c>
      <c r="U8223">
        <v>3.0099179999999999</v>
      </c>
      <c r="V8223">
        <v>-2.5117179999999999E-2</v>
      </c>
      <c r="W8223">
        <v>5.132834E-2</v>
      </c>
      <c r="X8223">
        <v>0.99836590000000003</v>
      </c>
      <c r="Y8223">
        <v>-1.905258E-2</v>
      </c>
      <c r="Z8223">
        <v>-6.60467E-2</v>
      </c>
      <c r="AA8223">
        <v>0.99763460000000004</v>
      </c>
      <c r="AB8223">
        <v>17</v>
      </c>
      <c r="AC8223">
        <v>-0.37139999999999401</v>
      </c>
      <c r="AD8223">
        <v>-1.1102611083659999</v>
      </c>
      <c r="AE8223">
        <v>16.584028</v>
      </c>
      <c r="AF8223">
        <v>-0.31841751509000099</v>
      </c>
      <c r="AG8223">
        <v>-1.1102611083659999</v>
      </c>
      <c r="AH8223">
        <v>16.511136888021401</v>
      </c>
      <c r="AI8223">
        <v>93.846245342684199</v>
      </c>
      <c r="AJ8223">
        <v>91.104812990707202</v>
      </c>
      <c r="AK8223">
        <v>16.551486663670001</v>
      </c>
      <c r="AL8223">
        <v>87.057809781825796</v>
      </c>
      <c r="AM8223">
        <v>91.441159899007502</v>
      </c>
      <c r="AN8223">
        <v>0.99999997075055802</v>
      </c>
    </row>
    <row r="8224" spans="1:40" x14ac:dyDescent="0.25">
      <c r="A8224" t="str">
        <f>"20190312160528083"</f>
        <v>20190312160528083</v>
      </c>
      <c r="B8224" t="str">
        <f>"1552377928073769"</f>
        <v>1552377928073769</v>
      </c>
      <c r="C8224" t="s">
        <v>40</v>
      </c>
      <c r="D8224">
        <v>5.9817119999999999</v>
      </c>
      <c r="E8224">
        <v>0.50048909999999902</v>
      </c>
      <c r="F8224" t="s">
        <v>41</v>
      </c>
      <c r="G8224">
        <v>-187.69309999999999</v>
      </c>
      <c r="H8224" s="1">
        <v>-1.1922040000000001E-6</v>
      </c>
      <c r="I8224">
        <v>11.34769</v>
      </c>
      <c r="J8224">
        <v>-187.30760000000001</v>
      </c>
      <c r="K8224">
        <v>1.110236</v>
      </c>
      <c r="L8224">
        <v>-5.3144839999999904</v>
      </c>
      <c r="M8224">
        <v>-3.5874879999999998E-3</v>
      </c>
      <c r="N8224">
        <v>0</v>
      </c>
      <c r="O8224">
        <v>0.99993779999999999</v>
      </c>
      <c r="P8224">
        <v>-2.9547850000000001E-2</v>
      </c>
      <c r="Q8224">
        <v>4.1306200000000001E-2</v>
      </c>
      <c r="R8224">
        <v>0.99870950000000003</v>
      </c>
      <c r="S8224">
        <v>-6.9091799999999995E-2</v>
      </c>
      <c r="T8224">
        <v>-0.1984109</v>
      </c>
      <c r="U8224">
        <v>3.009827</v>
      </c>
      <c r="V8224">
        <v>-2.5989100000000001E-2</v>
      </c>
      <c r="W8224">
        <v>5.1843109999999998E-2</v>
      </c>
      <c r="X8224">
        <v>0.99831700000000001</v>
      </c>
      <c r="Y8224">
        <v>-1.931279E-2</v>
      </c>
      <c r="Z8224">
        <v>-6.5762879999999996E-2</v>
      </c>
      <c r="AA8224">
        <v>0.99764839999999999</v>
      </c>
      <c r="AB8224">
        <v>17</v>
      </c>
      <c r="AC8224">
        <v>-0.38549999999997903</v>
      </c>
      <c r="AD8224">
        <v>-1.110237192204</v>
      </c>
      <c r="AE8224">
        <v>16.662174</v>
      </c>
      <c r="AF8224">
        <v>-0.32427985284076</v>
      </c>
      <c r="AG8224">
        <v>-1.110237192204</v>
      </c>
      <c r="AH8224">
        <v>16.589832870789198</v>
      </c>
      <c r="AI8224">
        <v>93.827952950373302</v>
      </c>
      <c r="AJ8224">
        <v>91.119812435442199</v>
      </c>
      <c r="AK8224">
        <v>16.6301033889339</v>
      </c>
      <c r="AL8224">
        <v>87.028276358593402</v>
      </c>
      <c r="AM8224">
        <v>91.491239249522593</v>
      </c>
      <c r="AN8224">
        <v>0.99999998693114101</v>
      </c>
    </row>
    <row r="8225" spans="1:40" x14ac:dyDescent="0.25">
      <c r="A8225" t="str">
        <f>"20190312160528105"</f>
        <v>20190312160528105</v>
      </c>
      <c r="B8225" t="str">
        <f>"1552377928093290"</f>
        <v>1552377928093290</v>
      </c>
      <c r="C8225" t="s">
        <v>40</v>
      </c>
      <c r="D8225">
        <v>5.7131879999999997</v>
      </c>
      <c r="E8225">
        <v>0.50041159999999996</v>
      </c>
      <c r="F8225" t="s">
        <v>41</v>
      </c>
      <c r="G8225">
        <v>-187.72399999999999</v>
      </c>
      <c r="H8225" s="1">
        <v>-1.317268E-6</v>
      </c>
      <c r="I8225">
        <v>11.739380000000001</v>
      </c>
      <c r="J8225">
        <v>-187.30869999999999</v>
      </c>
      <c r="K8225">
        <v>1.1102129999999999</v>
      </c>
      <c r="L8225">
        <v>-5.1498410000000003</v>
      </c>
      <c r="M8225">
        <v>-3.9983110000000001E-3</v>
      </c>
      <c r="N8225">
        <v>0</v>
      </c>
      <c r="O8225">
        <v>0.99993650000000001</v>
      </c>
      <c r="P8225">
        <v>-3.0373000000000001E-2</v>
      </c>
      <c r="Q8225">
        <v>4.0973089999999997E-2</v>
      </c>
      <c r="R8225">
        <v>0.99869850000000004</v>
      </c>
      <c r="S8225">
        <v>-7.3486330000000002E-2</v>
      </c>
      <c r="T8225">
        <v>-0.19594320000000001</v>
      </c>
      <c r="U8225">
        <v>3.0097960000000001</v>
      </c>
      <c r="V8225">
        <v>-2.6401830000000001E-2</v>
      </c>
      <c r="W8225">
        <v>5.1481190000000003E-2</v>
      </c>
      <c r="X8225">
        <v>0.99832489999999996</v>
      </c>
      <c r="Y8225">
        <v>-2.035938E-2</v>
      </c>
      <c r="Z8225">
        <v>-6.4947169999999999E-2</v>
      </c>
      <c r="AA8225">
        <v>0.99768100000000004</v>
      </c>
      <c r="AB8225">
        <v>17</v>
      </c>
      <c r="AC8225">
        <v>-0.41530000000002998</v>
      </c>
      <c r="AD8225">
        <v>-1.1102143172679999</v>
      </c>
      <c r="AE8225">
        <v>16.889220999999999</v>
      </c>
      <c r="AF8225">
        <v>-0.346269213413257</v>
      </c>
      <c r="AG8225">
        <v>-1.1102143172679999</v>
      </c>
      <c r="AH8225">
        <v>16.818117706605001</v>
      </c>
      <c r="AI8225">
        <v>93.775988366456403</v>
      </c>
      <c r="AJ8225">
        <v>91.179499522020393</v>
      </c>
      <c r="AK8225">
        <v>16.858278719716498</v>
      </c>
      <c r="AL8225">
        <v>87.049040578066297</v>
      </c>
      <c r="AM8225">
        <v>91.514898522044504</v>
      </c>
      <c r="AN8225">
        <v>0.99999998775558696</v>
      </c>
    </row>
    <row r="8226" spans="1:40" x14ac:dyDescent="0.25">
      <c r="A8226" t="str">
        <f>"20190312160528125"</f>
        <v>20190312160528125</v>
      </c>
      <c r="B8226" t="str">
        <f>"1552377928123545"</f>
        <v>1552377928123545</v>
      </c>
      <c r="C8226" t="s">
        <v>40</v>
      </c>
      <c r="D8226">
        <v>5.7258879999999897</v>
      </c>
      <c r="E8226">
        <v>0.50032299999999996</v>
      </c>
      <c r="F8226" t="s">
        <v>41</v>
      </c>
      <c r="G8226">
        <v>-187.74080000000001</v>
      </c>
      <c r="H8226" s="1">
        <v>-1.3505870000000001E-6</v>
      </c>
      <c r="I8226">
        <v>11.84686</v>
      </c>
      <c r="J8226">
        <v>-187.3098</v>
      </c>
      <c r="K8226">
        <v>1.1101840000000001</v>
      </c>
      <c r="L8226">
        <v>-4.9841920000000002</v>
      </c>
      <c r="M8226">
        <v>-4.3779429999999996E-3</v>
      </c>
      <c r="N8226">
        <v>0</v>
      </c>
      <c r="O8226">
        <v>0.99993520000000002</v>
      </c>
      <c r="P8226">
        <v>-3.0957249999999999E-2</v>
      </c>
      <c r="Q8226">
        <v>4.026569E-2</v>
      </c>
      <c r="R8226">
        <v>0.99870930000000002</v>
      </c>
      <c r="S8226">
        <v>-7.6507569999999997E-2</v>
      </c>
      <c r="T8226">
        <v>-0.19658819999999999</v>
      </c>
      <c r="U8226">
        <v>3.0096440000000002</v>
      </c>
      <c r="V8226">
        <v>-2.6603720000000001E-2</v>
      </c>
      <c r="W8226">
        <v>5.074973E-2</v>
      </c>
      <c r="X8226">
        <v>0.99835700000000005</v>
      </c>
      <c r="Y8226">
        <v>-2.0981570000000001E-2</v>
      </c>
      <c r="Z8226">
        <v>-6.5161940000000002E-2</v>
      </c>
      <c r="AA8226">
        <v>0.99765409999999999</v>
      </c>
      <c r="AB8226">
        <v>17</v>
      </c>
      <c r="AC8226">
        <v>-0.43100000000001099</v>
      </c>
      <c r="AD8226">
        <v>-1.1101853505869901</v>
      </c>
      <c r="AE8226">
        <v>16.831052</v>
      </c>
      <c r="AF8226">
        <v>-0.35575959185748501</v>
      </c>
      <c r="AG8226">
        <v>-1.1101853505869901</v>
      </c>
      <c r="AH8226">
        <v>16.759906577433</v>
      </c>
      <c r="AI8226">
        <v>93.788916204031096</v>
      </c>
      <c r="AJ8226">
        <v>91.216024827572497</v>
      </c>
      <c r="AK8226">
        <v>16.800403116715401</v>
      </c>
      <c r="AL8226">
        <v>87.091005033067304</v>
      </c>
      <c r="AM8226">
        <v>91.526428158576707</v>
      </c>
      <c r="AN8226">
        <v>0.99999999623095503</v>
      </c>
    </row>
    <row r="8227" spans="1:40" x14ac:dyDescent="0.25">
      <c r="A8227" t="str">
        <f>"20190312160528148"</f>
        <v>20190312160528148</v>
      </c>
      <c r="B8227" t="str">
        <f>"1552377928143065"</f>
        <v>1552377928143065</v>
      </c>
      <c r="C8227" t="s">
        <v>40</v>
      </c>
      <c r="D8227">
        <v>5.688663</v>
      </c>
      <c r="E8227">
        <v>0.50031959999999998</v>
      </c>
      <c r="F8227" t="s">
        <v>41</v>
      </c>
      <c r="G8227">
        <v>-187.75470000000001</v>
      </c>
      <c r="H8227" s="1">
        <v>-1.3864040000000001E-6</v>
      </c>
      <c r="I8227">
        <v>11.93613</v>
      </c>
      <c r="J8227">
        <v>-187.31100000000001</v>
      </c>
      <c r="K8227">
        <v>1.110152</v>
      </c>
      <c r="L8227">
        <v>-4.8088989999999896</v>
      </c>
      <c r="M8227">
        <v>-4.7335110000000001E-3</v>
      </c>
      <c r="N8227">
        <v>0</v>
      </c>
      <c r="O8227">
        <v>0.99993379999999998</v>
      </c>
      <c r="P8227">
        <v>-3.0994609999999999E-2</v>
      </c>
      <c r="Q8227">
        <v>3.9976770000000002E-2</v>
      </c>
      <c r="R8227">
        <v>0.99871980000000005</v>
      </c>
      <c r="S8227">
        <v>-7.9132079999999994E-2</v>
      </c>
      <c r="T8227">
        <v>-0.1974543</v>
      </c>
      <c r="U8227">
        <v>3.0093990000000002</v>
      </c>
      <c r="V8227">
        <v>-2.6281840000000001E-2</v>
      </c>
      <c r="W8227">
        <v>5.0439240000000003E-2</v>
      </c>
      <c r="X8227">
        <v>0.99838130000000003</v>
      </c>
      <c r="Y8227">
        <v>-2.149709E-2</v>
      </c>
      <c r="Z8227">
        <v>-6.5451850000000006E-2</v>
      </c>
      <c r="AA8227">
        <v>0.99762419999999996</v>
      </c>
      <c r="AB8227">
        <v>17</v>
      </c>
      <c r="AC8227">
        <v>-0.44370000000003501</v>
      </c>
      <c r="AD8227">
        <v>-1.1101533864040001</v>
      </c>
      <c r="AE8227">
        <v>16.745028999999999</v>
      </c>
      <c r="AF8227">
        <v>-0.36283422320768499</v>
      </c>
      <c r="AG8227">
        <v>-1.1101533864040001</v>
      </c>
      <c r="AH8227">
        <v>16.673706282817001</v>
      </c>
      <c r="AI8227">
        <v>93.808293879630696</v>
      </c>
      <c r="AJ8227">
        <v>91.246608811034093</v>
      </c>
      <c r="AK8227">
        <v>16.714561628129101</v>
      </c>
      <c r="AL8227">
        <v>87.108817728151607</v>
      </c>
      <c r="AM8227">
        <v>91.5079317064245</v>
      </c>
      <c r="AN8227">
        <v>1.00000003611762</v>
      </c>
    </row>
    <row r="8228" spans="1:40" x14ac:dyDescent="0.25">
      <c r="A8228" t="str">
        <f>"20190312160528171"</f>
        <v>20190312160528171</v>
      </c>
      <c r="B8228" t="str">
        <f>"1552377928163111"</f>
        <v>1552377928163111</v>
      </c>
      <c r="C8228" t="s">
        <v>40</v>
      </c>
      <c r="D8228">
        <v>5.4521940000000004</v>
      </c>
      <c r="E8228">
        <v>0.50033050000000001</v>
      </c>
      <c r="F8228" t="s">
        <v>41</v>
      </c>
      <c r="G8228">
        <v>-187.75899999999999</v>
      </c>
      <c r="H8228" s="1">
        <v>-1.490485E-6</v>
      </c>
      <c r="I8228">
        <v>12.18051</v>
      </c>
      <c r="J8228">
        <v>-187.31229999999999</v>
      </c>
      <c r="K8228">
        <v>1.110117</v>
      </c>
      <c r="L8228">
        <v>-4.6258239999999997</v>
      </c>
      <c r="M8228">
        <v>-5.0482460000000002E-3</v>
      </c>
      <c r="N8228">
        <v>0</v>
      </c>
      <c r="O8228">
        <v>0.9999325</v>
      </c>
      <c r="P8228">
        <v>-3.0970149999999998E-2</v>
      </c>
      <c r="Q8228">
        <v>3.9965359999999998E-2</v>
      </c>
      <c r="R8228">
        <v>0.99872099999999997</v>
      </c>
      <c r="S8228">
        <v>-7.9345700000000005E-2</v>
      </c>
      <c r="T8228">
        <v>-0.1966358</v>
      </c>
      <c r="U8228">
        <v>3.0092469999999998</v>
      </c>
      <c r="V8228">
        <v>-2.5939110000000001E-2</v>
      </c>
      <c r="W8228">
        <v>5.0406850000000003E-2</v>
      </c>
      <c r="X8228">
        <v>0.9983919</v>
      </c>
      <c r="Y8228">
        <v>-2.1254970000000002E-2</v>
      </c>
      <c r="Z8228">
        <v>-6.5184909999999999E-2</v>
      </c>
      <c r="AA8228">
        <v>0.99764679999999994</v>
      </c>
      <c r="AB8228">
        <v>17</v>
      </c>
      <c r="AC8228">
        <v>-0.44670000000002102</v>
      </c>
      <c r="AD8228">
        <v>-1.1101184904850001</v>
      </c>
      <c r="AE8228">
        <v>16.806334</v>
      </c>
      <c r="AF8228">
        <v>-0.36027634988120599</v>
      </c>
      <c r="AG8228">
        <v>-1.1101184904850001</v>
      </c>
      <c r="AH8228">
        <v>16.735408699136102</v>
      </c>
      <c r="AI8228">
        <v>93.794194182537694</v>
      </c>
      <c r="AJ8228">
        <v>91.233260967811702</v>
      </c>
      <c r="AK8228">
        <v>16.7760563434415</v>
      </c>
      <c r="AL8228">
        <v>87.110675904539605</v>
      </c>
      <c r="AM8228">
        <v>91.488260535828402</v>
      </c>
      <c r="AN8228">
        <v>1.0000000369700599</v>
      </c>
    </row>
    <row r="8229" spans="1:40" x14ac:dyDescent="0.25">
      <c r="A8229" t="str">
        <f>"20190312160528193"</f>
        <v>20190312160528193</v>
      </c>
      <c r="B8229" t="str">
        <f>"1552377928183608"</f>
        <v>1552377928183608</v>
      </c>
      <c r="C8229" t="s">
        <v>40</v>
      </c>
      <c r="D8229">
        <v>5.5622629999999997</v>
      </c>
      <c r="E8229">
        <v>0.50036590000000003</v>
      </c>
      <c r="F8229" t="s">
        <v>41</v>
      </c>
      <c r="G8229">
        <v>-187.75980000000001</v>
      </c>
      <c r="H8229" s="1">
        <v>-1.588088E-6</v>
      </c>
      <c r="I8229">
        <v>12.40836</v>
      </c>
      <c r="J8229">
        <v>-187.3135</v>
      </c>
      <c r="K8229">
        <v>1.110093</v>
      </c>
      <c r="L8229">
        <v>-4.4546510000000001</v>
      </c>
      <c r="M8229">
        <v>-5.3007690000000003E-3</v>
      </c>
      <c r="N8229">
        <v>0</v>
      </c>
      <c r="O8229">
        <v>0.99993149999999997</v>
      </c>
      <c r="P8229">
        <v>-3.0922600000000001E-2</v>
      </c>
      <c r="Q8229">
        <v>4.0320399999999999E-2</v>
      </c>
      <c r="R8229">
        <v>0.99870820000000005</v>
      </c>
      <c r="S8229">
        <v>-7.9055790000000001E-2</v>
      </c>
      <c r="T8229">
        <v>-0.1961128</v>
      </c>
      <c r="U8229">
        <v>3.0092469999999998</v>
      </c>
      <c r="V8229">
        <v>-2.56359E-2</v>
      </c>
      <c r="W8229">
        <v>5.0743539999999997E-2</v>
      </c>
      <c r="X8229">
        <v>0.99838260000000001</v>
      </c>
      <c r="Y8229">
        <v>-2.090674E-2</v>
      </c>
      <c r="Z8229">
        <v>-6.5012449999999999E-2</v>
      </c>
      <c r="AA8229">
        <v>0.99766540000000004</v>
      </c>
      <c r="AB8229">
        <v>18</v>
      </c>
      <c r="AC8229">
        <v>-0.44630000000000702</v>
      </c>
      <c r="AD8229">
        <v>-1.110094588088</v>
      </c>
      <c r="AE8229">
        <v>16.863011</v>
      </c>
      <c r="AF8229">
        <v>-0.355363009448531</v>
      </c>
      <c r="AG8229">
        <v>-1.110094588088</v>
      </c>
      <c r="AH8229">
        <v>16.792419084480802</v>
      </c>
      <c r="AI8229">
        <v>93.781298534274995</v>
      </c>
      <c r="AJ8229">
        <v>91.212318601921496</v>
      </c>
      <c r="AK8229">
        <v>16.832823042253601</v>
      </c>
      <c r="AL8229">
        <v>87.091360049226395</v>
      </c>
      <c r="AM8229">
        <v>91.470885196849295</v>
      </c>
      <c r="AN8229">
        <v>0.99999996110165001</v>
      </c>
    </row>
    <row r="8230" spans="1:40" x14ac:dyDescent="0.25">
      <c r="A8230" t="str">
        <f>"20190312160528215"</f>
        <v>20190312160528215</v>
      </c>
      <c r="B8230" t="str">
        <f>"1552377928203130"</f>
        <v>1552377928203130</v>
      </c>
      <c r="C8230" t="s">
        <v>40</v>
      </c>
      <c r="D8230">
        <v>5.6186389999999999</v>
      </c>
      <c r="E8230">
        <v>0.50049319999999997</v>
      </c>
      <c r="F8230" t="s">
        <v>41</v>
      </c>
      <c r="G8230">
        <v>-187.76400000000001</v>
      </c>
      <c r="H8230" s="1">
        <v>-1.7564339999999999E-6</v>
      </c>
      <c r="I8230">
        <v>12.80251</v>
      </c>
      <c r="J8230">
        <v>-187.31469999999999</v>
      </c>
      <c r="K8230">
        <v>1.1100730000000001</v>
      </c>
      <c r="L8230">
        <v>-4.2840579999999999</v>
      </c>
      <c r="M8230">
        <v>-5.5132480000000001E-3</v>
      </c>
      <c r="N8230">
        <v>0</v>
      </c>
      <c r="O8230">
        <v>0.9999304</v>
      </c>
      <c r="P8230">
        <v>-3.062898E-2</v>
      </c>
      <c r="Q8230">
        <v>4.0556429999999997E-2</v>
      </c>
      <c r="R8230">
        <v>0.99870769999999998</v>
      </c>
      <c r="S8230">
        <v>-7.8552250000000004E-2</v>
      </c>
      <c r="T8230">
        <v>-0.19357659999999999</v>
      </c>
      <c r="U8230">
        <v>3.009277</v>
      </c>
      <c r="V8230">
        <v>-2.5127650000000001E-2</v>
      </c>
      <c r="W8230">
        <v>5.0963559999999998E-2</v>
      </c>
      <c r="X8230">
        <v>0.99838439999999995</v>
      </c>
      <c r="Y8230">
        <v>-2.0528609999999999E-2</v>
      </c>
      <c r="Z8230">
        <v>-6.4174819999999994E-2</v>
      </c>
      <c r="AA8230">
        <v>0.99772749999999999</v>
      </c>
      <c r="AB8230">
        <v>18</v>
      </c>
      <c r="AC8230">
        <v>-0.44930000000002202</v>
      </c>
      <c r="AD8230">
        <v>-1.1100747564340001</v>
      </c>
      <c r="AE8230">
        <v>17.086568</v>
      </c>
      <c r="AF8230">
        <v>-0.35359414001191097</v>
      </c>
      <c r="AG8230">
        <v>-1.1100747564340001</v>
      </c>
      <c r="AH8230">
        <v>17.017009760686602</v>
      </c>
      <c r="AI8230">
        <v>93.731498271153001</v>
      </c>
      <c r="AJ8230">
        <v>91.190369940120902</v>
      </c>
      <c r="AK8230">
        <v>17.056843669800902</v>
      </c>
      <c r="AL8230">
        <v>87.078737749530902</v>
      </c>
      <c r="AM8230">
        <v>91.441733683013894</v>
      </c>
      <c r="AN8230">
        <v>1.00000004670287</v>
      </c>
    </row>
    <row r="8231" spans="1:40" x14ac:dyDescent="0.25">
      <c r="A8231" t="str">
        <f>"20190312160528229"</f>
        <v>20190312160528229</v>
      </c>
      <c r="B8231" t="str">
        <f>"1552377928223624"</f>
        <v>1552377928223624</v>
      </c>
      <c r="C8231" t="s">
        <v>40</v>
      </c>
      <c r="D8231">
        <v>5.4736330000000004</v>
      </c>
      <c r="E8231">
        <v>0.50055190000000005</v>
      </c>
      <c r="F8231" t="s">
        <v>41</v>
      </c>
      <c r="G8231">
        <v>-187.75800000000001</v>
      </c>
      <c r="H8231" s="1">
        <v>-1.8792999999999999E-6</v>
      </c>
      <c r="I8231">
        <v>13.08643</v>
      </c>
      <c r="J8231">
        <v>-187.31549999999999</v>
      </c>
      <c r="K8231">
        <v>1.11006</v>
      </c>
      <c r="L8231">
        <v>-4.1747129999999997</v>
      </c>
      <c r="M8231">
        <v>-5.63168E-3</v>
      </c>
      <c r="N8231">
        <v>0</v>
      </c>
      <c r="O8231">
        <v>0.99992990000000004</v>
      </c>
      <c r="P8231">
        <v>-3.0455650000000001E-2</v>
      </c>
      <c r="Q8231">
        <v>4.0815530000000003E-2</v>
      </c>
      <c r="R8231">
        <v>0.99870239999999999</v>
      </c>
      <c r="S8231">
        <v>-7.6797489999999996E-2</v>
      </c>
      <c r="T8231">
        <v>-0.19231429999999999</v>
      </c>
      <c r="U8231">
        <v>3.0093380000000001</v>
      </c>
      <c r="V8231">
        <v>-2.4835019999999999E-2</v>
      </c>
      <c r="W8231">
        <v>5.121357E-2</v>
      </c>
      <c r="X8231">
        <v>0.99837889999999996</v>
      </c>
      <c r="Y8231">
        <v>-1.982896E-2</v>
      </c>
      <c r="Z8231">
        <v>-6.3757610000000006E-2</v>
      </c>
      <c r="AA8231">
        <v>0.9977684</v>
      </c>
      <c r="AB8231">
        <v>18</v>
      </c>
      <c r="AC8231">
        <v>-0.44249999999999501</v>
      </c>
      <c r="AD8231">
        <v>-1.1100618793000001</v>
      </c>
      <c r="AE8231">
        <v>17.261143000000001</v>
      </c>
      <c r="AF8231">
        <v>-0.34385729811218702</v>
      </c>
      <c r="AG8231">
        <v>-1.1100618793000001</v>
      </c>
      <c r="AH8231">
        <v>17.192304855106901</v>
      </c>
      <c r="AI8231">
        <v>93.693572957423498</v>
      </c>
      <c r="AJ8231">
        <v>91.145800152193999</v>
      </c>
      <c r="AK8231">
        <v>17.2315356671503</v>
      </c>
      <c r="AL8231">
        <v>87.064394417433903</v>
      </c>
      <c r="AM8231">
        <v>91.424958441856901</v>
      </c>
      <c r="AN8231">
        <v>1.0000000179678701</v>
      </c>
    </row>
    <row r="8232" spans="1:40" x14ac:dyDescent="0.25">
      <c r="A8232" t="str">
        <f>"20190312160528249"</f>
        <v>20190312160528249</v>
      </c>
      <c r="B8232" t="str">
        <f>"1552377928243143"</f>
        <v>1552377928243143</v>
      </c>
      <c r="C8232" t="s">
        <v>40</v>
      </c>
      <c r="D8232">
        <v>5.5703110000000002</v>
      </c>
      <c r="E8232">
        <v>0.50063939999999996</v>
      </c>
      <c r="F8232" t="s">
        <v>41</v>
      </c>
      <c r="G8232">
        <v>-187.75909999999999</v>
      </c>
      <c r="H8232" s="1">
        <v>-2.0219430000000002E-6</v>
      </c>
      <c r="I8232">
        <v>13.41939</v>
      </c>
      <c r="J8232">
        <v>-187.31659999999999</v>
      </c>
      <c r="K8232">
        <v>1.1100490000000001</v>
      </c>
      <c r="L8232">
        <v>-4.0106199999999896</v>
      </c>
      <c r="M8232">
        <v>-5.7760210000000001E-3</v>
      </c>
      <c r="N8232">
        <v>0</v>
      </c>
      <c r="O8232">
        <v>0.99992919999999996</v>
      </c>
      <c r="P8232">
        <v>-3.1025549999999999E-2</v>
      </c>
      <c r="Q8232">
        <v>4.056527E-2</v>
      </c>
      <c r="R8232">
        <v>0.99869509999999995</v>
      </c>
      <c r="S8232">
        <v>-7.5881959999999998E-2</v>
      </c>
      <c r="T8232">
        <v>-0.1898677</v>
      </c>
      <c r="U8232">
        <v>3.0093380000000001</v>
      </c>
      <c r="V8232">
        <v>-2.5258590000000001E-2</v>
      </c>
      <c r="W8232">
        <v>5.0951660000000003E-2</v>
      </c>
      <c r="X8232">
        <v>0.99838170000000004</v>
      </c>
      <c r="Y8232">
        <v>-1.9382569999999998E-2</v>
      </c>
      <c r="Z8232">
        <v>-6.2950199999999998E-2</v>
      </c>
      <c r="AA8232">
        <v>0.99782839999999995</v>
      </c>
      <c r="AB8232">
        <v>18</v>
      </c>
      <c r="AC8232">
        <v>-0.44249999999999501</v>
      </c>
      <c r="AD8232">
        <v>-1.110051021943</v>
      </c>
      <c r="AE8232">
        <v>17.430009999999999</v>
      </c>
      <c r="AF8232">
        <v>-0.34043118902642999</v>
      </c>
      <c r="AG8232">
        <v>-1.110051021943</v>
      </c>
      <c r="AH8232">
        <v>17.361901912056201</v>
      </c>
      <c r="AI8232">
        <v>93.6575839636197</v>
      </c>
      <c r="AJ8232">
        <v>91.123308453261899</v>
      </c>
      <c r="AK8232">
        <v>17.400682304715499</v>
      </c>
      <c r="AL8232">
        <v>87.079420446757496</v>
      </c>
      <c r="AM8232">
        <v>91.449247268571398</v>
      </c>
      <c r="AN8232">
        <v>1.0000000434602101</v>
      </c>
    </row>
    <row r="8233" spans="1:40" x14ac:dyDescent="0.25">
      <c r="A8233" t="str">
        <f>"20190312160528272"</f>
        <v>20190312160528272</v>
      </c>
      <c r="B8233" t="str">
        <f>"1552377928253543"</f>
        <v>1552377928253543</v>
      </c>
      <c r="C8233" t="s">
        <v>40</v>
      </c>
      <c r="D8233">
        <v>5.1678889999999997</v>
      </c>
      <c r="E8233">
        <v>0.5006661</v>
      </c>
      <c r="F8233" t="s">
        <v>41</v>
      </c>
      <c r="G8233">
        <v>-187.76740000000001</v>
      </c>
      <c r="H8233" s="1">
        <v>-2.1144769999999998E-6</v>
      </c>
      <c r="I8233">
        <v>13.638540000000001</v>
      </c>
      <c r="J8233">
        <v>-187.31780000000001</v>
      </c>
      <c r="K8233">
        <v>1.110031</v>
      </c>
      <c r="L8233">
        <v>-3.8350520000000001</v>
      </c>
      <c r="M8233">
        <v>-5.8965249999999997E-3</v>
      </c>
      <c r="N8233">
        <v>0</v>
      </c>
      <c r="O8233">
        <v>0.9999287</v>
      </c>
      <c r="P8233">
        <v>-3.1775100000000001E-2</v>
      </c>
      <c r="Q8233">
        <v>4.0909880000000003E-2</v>
      </c>
      <c r="R8233">
        <v>0.99865749999999998</v>
      </c>
      <c r="S8233">
        <v>-7.6873780000000003E-2</v>
      </c>
      <c r="T8233">
        <v>-0.18926599999999999</v>
      </c>
      <c r="U8233">
        <v>3.0092159999999999</v>
      </c>
      <c r="V8233">
        <v>-2.5886059999999999E-2</v>
      </c>
      <c r="W8233">
        <v>5.1284040000000003E-2</v>
      </c>
      <c r="X8233">
        <v>0.99834860000000003</v>
      </c>
      <c r="Y8233">
        <v>-1.959209E-2</v>
      </c>
      <c r="Z8233">
        <v>-6.2753550000000005E-2</v>
      </c>
      <c r="AA8233">
        <v>0.99783670000000002</v>
      </c>
      <c r="AB8233">
        <v>18</v>
      </c>
      <c r="AC8233">
        <v>-0.449600000000003</v>
      </c>
      <c r="AD8233">
        <v>-1.1100331144769999</v>
      </c>
      <c r="AE8233">
        <v>17.473592</v>
      </c>
      <c r="AF8233">
        <v>-0.345161146916177</v>
      </c>
      <c r="AG8233">
        <v>-1.1100331144769999</v>
      </c>
      <c r="AH8233">
        <v>17.405743371696801</v>
      </c>
      <c r="AI8233">
        <v>93.648321537155198</v>
      </c>
      <c r="AJ8233">
        <v>91.136043711505494</v>
      </c>
      <c r="AK8233">
        <v>17.444518108963202</v>
      </c>
      <c r="AL8233">
        <v>87.060351518300095</v>
      </c>
      <c r="AM8233">
        <v>91.485282535869601</v>
      </c>
      <c r="AN8233">
        <v>1.0000000339915001</v>
      </c>
    </row>
    <row r="8234" spans="1:40" x14ac:dyDescent="0.25">
      <c r="A8234" t="str">
        <f>"20190312160528485"</f>
        <v>20190312160528485</v>
      </c>
      <c r="B8234" t="str">
        <f>"1552377928482903"</f>
        <v>1552377928482903</v>
      </c>
      <c r="C8234" t="s">
        <v>40</v>
      </c>
      <c r="D8234">
        <v>5.5239979999999997</v>
      </c>
      <c r="E8234">
        <v>0.52389969999999997</v>
      </c>
      <c r="F8234" t="s">
        <v>41</v>
      </c>
      <c r="G8234">
        <v>-187.78569999999999</v>
      </c>
      <c r="H8234" s="1">
        <v>-2.284727E-6</v>
      </c>
      <c r="I8234">
        <v>14.042960000000001</v>
      </c>
      <c r="J8234">
        <v>-187.3288</v>
      </c>
      <c r="K8234">
        <v>1.110006</v>
      </c>
      <c r="L8234">
        <v>-2.139221</v>
      </c>
      <c r="M8234">
        <v>-6.3160849999999999E-3</v>
      </c>
      <c r="N8234">
        <v>0</v>
      </c>
      <c r="O8234">
        <v>0.99992669999999995</v>
      </c>
      <c r="P8234">
        <v>-2.9435630000000001E-2</v>
      </c>
      <c r="Q8234">
        <v>4.1384200000000003E-2</v>
      </c>
      <c r="R8234">
        <v>0.99870959999999998</v>
      </c>
      <c r="S8234">
        <v>-7.8765870000000002E-2</v>
      </c>
      <c r="T8234">
        <v>-0.18683820000000001</v>
      </c>
      <c r="U8234">
        <v>3.0091860000000001</v>
      </c>
      <c r="V8234">
        <v>-2.3125819999999998E-2</v>
      </c>
      <c r="W8234">
        <v>5.1698830000000001E-2</v>
      </c>
      <c r="X8234">
        <v>0.99839489999999997</v>
      </c>
      <c r="Y8234">
        <v>-1.9801139999999998E-2</v>
      </c>
      <c r="Z8234">
        <v>-6.1951470000000002E-2</v>
      </c>
      <c r="AA8234">
        <v>0.99788270000000001</v>
      </c>
      <c r="AB8234">
        <v>18</v>
      </c>
      <c r="AC8234">
        <v>-0.45689999999998998</v>
      </c>
      <c r="AD8234">
        <v>-1.1100082847270001</v>
      </c>
      <c r="AE8234">
        <v>16.182181</v>
      </c>
      <c r="AF8234">
        <v>-0.35301770467304699</v>
      </c>
      <c r="AG8234">
        <v>-1.1100082847270001</v>
      </c>
      <c r="AH8234">
        <v>16.109008386241499</v>
      </c>
      <c r="AI8234">
        <v>93.940852468816402</v>
      </c>
      <c r="AJ8234">
        <v>91.255396185476997</v>
      </c>
      <c r="AK8234">
        <v>16.1510647042222</v>
      </c>
      <c r="AL8234">
        <v>87.0365540573613</v>
      </c>
      <c r="AM8234">
        <v>91.326904807818806</v>
      </c>
      <c r="AN8234">
        <v>0.99999997446002498</v>
      </c>
    </row>
    <row r="8235" spans="1:40" x14ac:dyDescent="0.25">
      <c r="A8235" t="str">
        <f>"20190312160528508"</f>
        <v>20190312160528508</v>
      </c>
      <c r="B8235" t="str">
        <f>"1552377928503399"</f>
        <v>1552377928503399</v>
      </c>
      <c r="C8235" t="s">
        <v>40</v>
      </c>
      <c r="D8235">
        <v>5.556451</v>
      </c>
      <c r="E8235">
        <v>0.52032679999999998</v>
      </c>
      <c r="F8235" t="s">
        <v>49</v>
      </c>
      <c r="G8235">
        <v>-187.29839999999999</v>
      </c>
      <c r="H8235">
        <v>0.95570169999999999</v>
      </c>
      <c r="I8235">
        <v>-1.437826</v>
      </c>
      <c r="J8235">
        <v>-187.32990000000001</v>
      </c>
      <c r="K8235">
        <v>1.110012</v>
      </c>
      <c r="L8235">
        <v>-1.9628909999999999</v>
      </c>
      <c r="M8235">
        <v>-6.3564950000000002E-3</v>
      </c>
      <c r="N8235">
        <v>0</v>
      </c>
      <c r="O8235">
        <v>0.99992650000000005</v>
      </c>
      <c r="P8235">
        <v>-2.938698E-2</v>
      </c>
      <c r="Q8235">
        <v>4.0565530000000002E-2</v>
      </c>
      <c r="R8235">
        <v>0.99874459999999998</v>
      </c>
      <c r="S8235">
        <v>0.1308289</v>
      </c>
      <c r="T8235">
        <v>-0.667767</v>
      </c>
      <c r="U8235">
        <v>3.0354000000000001</v>
      </c>
      <c r="V8235">
        <v>-2.303728E-2</v>
      </c>
      <c r="W8235">
        <v>5.0877829999999999E-2</v>
      </c>
      <c r="X8235">
        <v>0.99843910000000002</v>
      </c>
      <c r="Y8235">
        <v>4.8407510000000001E-2</v>
      </c>
      <c r="Z8235">
        <v>-0.2146275</v>
      </c>
      <c r="AA8235">
        <v>0.97549560000000002</v>
      </c>
      <c r="AB8235">
        <v>18</v>
      </c>
      <c r="AC8235">
        <v>3.1500000000022503E-2</v>
      </c>
      <c r="AD8235">
        <v>-0.15431029999999901</v>
      </c>
      <c r="AE8235">
        <v>0.525064999999999</v>
      </c>
      <c r="AF8235">
        <v>3.2076589916458002E-2</v>
      </c>
      <c r="AG8235">
        <v>-0.15431029999999901</v>
      </c>
      <c r="AH8235">
        <v>0.48326423163867999</v>
      </c>
      <c r="AI8235">
        <v>107.67225765247299</v>
      </c>
      <c r="AJ8235">
        <v>86.202571483717904</v>
      </c>
      <c r="AK8235">
        <v>0.50831574231778598</v>
      </c>
      <c r="AL8235">
        <v>87.083655823932105</v>
      </c>
      <c r="AM8235">
        <v>91.321767902756093</v>
      </c>
      <c r="AN8235">
        <v>0.99999995313205703</v>
      </c>
    </row>
    <row r="8236" spans="1:40" x14ac:dyDescent="0.25">
      <c r="A8236" t="str">
        <f>"20190312160528527"</f>
        <v>20190312160528527</v>
      </c>
      <c r="B8236" t="str">
        <f>"1552377928522919"</f>
        <v>1552377928522919</v>
      </c>
      <c r="C8236" t="s">
        <v>40</v>
      </c>
      <c r="D8236">
        <v>5.2994529999999997</v>
      </c>
      <c r="E8236">
        <v>0.51939760000000001</v>
      </c>
      <c r="F8236" t="s">
        <v>49</v>
      </c>
      <c r="G8236">
        <v>-187.30330000000001</v>
      </c>
      <c r="H8236">
        <v>0.98023830000000001</v>
      </c>
      <c r="I8236">
        <v>-1.1048709999999999</v>
      </c>
      <c r="J8236">
        <v>-187.33099999999999</v>
      </c>
      <c r="K8236">
        <v>1.110026</v>
      </c>
      <c r="L8236">
        <v>-1.800934</v>
      </c>
      <c r="M8236">
        <v>-6.3968749999999998E-3</v>
      </c>
      <c r="N8236">
        <v>0</v>
      </c>
      <c r="O8236">
        <v>0.99992630000000005</v>
      </c>
      <c r="P8236">
        <v>-2.8357799999999999E-2</v>
      </c>
      <c r="Q8236">
        <v>4.0192760000000001E-2</v>
      </c>
      <c r="R8236">
        <v>0.99878940000000005</v>
      </c>
      <c r="S8236">
        <v>9.3505859999999996E-2</v>
      </c>
      <c r="T8236">
        <v>-0.45753529999999998</v>
      </c>
      <c r="U8236">
        <v>3.0251160000000001</v>
      </c>
      <c r="V8236">
        <v>-2.196791E-2</v>
      </c>
      <c r="W8236">
        <v>5.0503060000000002E-2</v>
      </c>
      <c r="X8236">
        <v>0.99848230000000004</v>
      </c>
      <c r="Y8236">
        <v>3.6941599999999998E-2</v>
      </c>
      <c r="Z8236">
        <v>-0.14945420000000001</v>
      </c>
      <c r="AA8236">
        <v>0.98807829999999996</v>
      </c>
      <c r="AB8236">
        <v>18</v>
      </c>
      <c r="AC8236">
        <v>2.76999999999816E-2</v>
      </c>
      <c r="AD8236">
        <v>-0.12978769999999901</v>
      </c>
      <c r="AE8236">
        <v>0.69606299999999999</v>
      </c>
      <c r="AF8236">
        <v>3.10736616039862E-2</v>
      </c>
      <c r="AG8236">
        <v>-0.12978769999999901</v>
      </c>
      <c r="AH8236">
        <v>0.67252664225459002</v>
      </c>
      <c r="AI8236">
        <v>100.91159603553599</v>
      </c>
      <c r="AJ8236">
        <v>87.3545667607724</v>
      </c>
      <c r="AK8236">
        <v>0.68564021473291803</v>
      </c>
      <c r="AL8236">
        <v>87.1051564154386</v>
      </c>
      <c r="AM8236">
        <v>91.260378373730902</v>
      </c>
      <c r="AN8236">
        <v>1.0000000257762101</v>
      </c>
    </row>
    <row r="8237" spans="1:40" x14ac:dyDescent="0.25">
      <c r="A8237" t="str">
        <f>"20190312160528551"</f>
        <v>20190312160528551</v>
      </c>
      <c r="B8237" t="str">
        <f>"1552377928543415"</f>
        <v>1552377928543415</v>
      </c>
      <c r="C8237" t="s">
        <v>40</v>
      </c>
      <c r="D8237">
        <v>5.3011100000000004</v>
      </c>
      <c r="E8237">
        <v>0.52042920000000004</v>
      </c>
      <c r="F8237" t="s">
        <v>49</v>
      </c>
      <c r="G8237">
        <v>-187.3066</v>
      </c>
      <c r="H8237">
        <v>1.020597</v>
      </c>
      <c r="I8237">
        <v>-0.92426940000000002</v>
      </c>
      <c r="J8237">
        <v>-187.3323</v>
      </c>
      <c r="K8237">
        <v>1.110017</v>
      </c>
      <c r="L8237">
        <v>-1.612152</v>
      </c>
      <c r="M8237">
        <v>-6.4452490000000001E-3</v>
      </c>
      <c r="N8237">
        <v>0</v>
      </c>
      <c r="O8237">
        <v>0.99992599999999998</v>
      </c>
      <c r="P8237">
        <v>-2.7276849999999998E-2</v>
      </c>
      <c r="Q8237">
        <v>4.1111960000000003E-2</v>
      </c>
      <c r="R8237">
        <v>0.99878219999999995</v>
      </c>
      <c r="S8237">
        <v>8.3236690000000002E-2</v>
      </c>
      <c r="T8237">
        <v>-0.30789729999999998</v>
      </c>
      <c r="U8237">
        <v>3.018402</v>
      </c>
      <c r="V8237">
        <v>-2.0839010000000002E-2</v>
      </c>
      <c r="W8237">
        <v>5.1420250000000001E-2</v>
      </c>
      <c r="X8237">
        <v>0.9984596</v>
      </c>
      <c r="Y8237">
        <v>3.386633E-2</v>
      </c>
      <c r="Z8237">
        <v>-0.1014287</v>
      </c>
      <c r="AA8237">
        <v>0.99426619999999999</v>
      </c>
      <c r="AB8237">
        <v>18</v>
      </c>
      <c r="AC8237">
        <v>2.57000000000005E-2</v>
      </c>
      <c r="AD8237">
        <v>-8.9419999999999999E-2</v>
      </c>
      <c r="AE8237">
        <v>0.68788260000000001</v>
      </c>
      <c r="AF8237">
        <v>2.9633226311229902E-2</v>
      </c>
      <c r="AG8237">
        <v>-8.9419999999999999E-2</v>
      </c>
      <c r="AH8237">
        <v>0.67629049030309496</v>
      </c>
      <c r="AI8237">
        <v>97.524894316799504</v>
      </c>
      <c r="AJ8237">
        <v>87.491058250089196</v>
      </c>
      <c r="AK8237">
        <v>0.68281980915613005</v>
      </c>
      <c r="AL8237">
        <v>87.052536671612003</v>
      </c>
      <c r="AM8237">
        <v>91.195655786627498</v>
      </c>
      <c r="AN8237">
        <v>0.999999939639999</v>
      </c>
    </row>
    <row r="8238" spans="1:40" x14ac:dyDescent="0.25">
      <c r="A8238" t="str">
        <f>"20190312160528573"</f>
        <v>20190312160528573</v>
      </c>
      <c r="B8238" t="str">
        <f>"1552377928562935"</f>
        <v>1552377928562935</v>
      </c>
      <c r="C8238" t="s">
        <v>40</v>
      </c>
      <c r="D8238">
        <v>5.3755220000000001</v>
      </c>
      <c r="E8238">
        <v>0.52009119999999998</v>
      </c>
      <c r="F8238" t="s">
        <v>49</v>
      </c>
      <c r="G8238">
        <v>-187.3058</v>
      </c>
      <c r="H8238">
        <v>1.0437959999999999</v>
      </c>
      <c r="I8238">
        <v>-0.75166809999999995</v>
      </c>
      <c r="J8238">
        <v>-187.33340000000001</v>
      </c>
      <c r="K8238">
        <v>1.1100099999999999</v>
      </c>
      <c r="L8238">
        <v>-1.4338679999999999</v>
      </c>
      <c r="M8238">
        <v>-6.4881169999999998E-3</v>
      </c>
      <c r="N8238">
        <v>0</v>
      </c>
      <c r="O8238">
        <v>0.99992570000000003</v>
      </c>
      <c r="P8238">
        <v>-2.6707740000000001E-2</v>
      </c>
      <c r="Q8238">
        <v>4.1358819999999998E-2</v>
      </c>
      <c r="R8238">
        <v>0.99878730000000004</v>
      </c>
      <c r="S8238">
        <v>9.27124E-2</v>
      </c>
      <c r="T8238">
        <v>-0.2320815</v>
      </c>
      <c r="U8238">
        <v>3.0157470000000002</v>
      </c>
      <c r="V8238">
        <v>-2.0226480000000002E-2</v>
      </c>
      <c r="W8238">
        <v>5.1664059999999998E-2</v>
      </c>
      <c r="X8238">
        <v>0.99845969999999995</v>
      </c>
      <c r="Y8238">
        <v>3.7122519999999999E-2</v>
      </c>
      <c r="Z8238">
        <v>-7.6682790000000001E-2</v>
      </c>
      <c r="AA8238">
        <v>0.99636420000000003</v>
      </c>
      <c r="AB8238">
        <v>18</v>
      </c>
      <c r="AC8238">
        <v>2.7600000000006699E-2</v>
      </c>
      <c r="AD8238">
        <v>-6.6213999999999995E-2</v>
      </c>
      <c r="AE8238">
        <v>0.68219989999999997</v>
      </c>
      <c r="AF8238">
        <v>3.1727445864229403E-2</v>
      </c>
      <c r="AG8238">
        <v>-6.6213999999999995E-2</v>
      </c>
      <c r="AH8238">
        <v>0.67565184586221605</v>
      </c>
      <c r="AI8238">
        <v>95.591002021297001</v>
      </c>
      <c r="AJ8238">
        <v>87.311463956183005</v>
      </c>
      <c r="AK8238">
        <v>0.679629561918908</v>
      </c>
      <c r="AL8238">
        <v>87.038549059357095</v>
      </c>
      <c r="AM8238">
        <v>91.160521001662104</v>
      </c>
      <c r="AN8238">
        <v>1.0000000290564801</v>
      </c>
    </row>
    <row r="8239" spans="1:40" x14ac:dyDescent="0.25">
      <c r="A8239" t="str">
        <f>"20190312160528595"</f>
        <v>20190312160528595</v>
      </c>
      <c r="B8239" t="str">
        <f>"1552377928583431"</f>
        <v>1552377928583431</v>
      </c>
      <c r="C8239" t="s">
        <v>40</v>
      </c>
      <c r="D8239">
        <v>5.3716699999999999</v>
      </c>
      <c r="E8239">
        <v>0.51981860000000002</v>
      </c>
      <c r="F8239" t="s">
        <v>41</v>
      </c>
      <c r="G8239">
        <v>-186.76329999999999</v>
      </c>
      <c r="H8239" s="1">
        <v>-3.97751999999999E-6</v>
      </c>
      <c r="I8239">
        <v>17.566129999999902</v>
      </c>
      <c r="J8239">
        <v>-187.33459999999999</v>
      </c>
      <c r="K8239">
        <v>1.110001</v>
      </c>
      <c r="L8239">
        <v>-1.2614749999999999</v>
      </c>
      <c r="M8239">
        <v>-6.5230590000000003E-3</v>
      </c>
      <c r="N8239">
        <v>0</v>
      </c>
      <c r="O8239">
        <v>0.99992559999999997</v>
      </c>
      <c r="P8239">
        <v>-2.5925E-2</v>
      </c>
      <c r="Q8239">
        <v>4.0881399999999998E-2</v>
      </c>
      <c r="R8239">
        <v>0.99882760000000004</v>
      </c>
      <c r="S8239">
        <v>9.0423580000000003E-2</v>
      </c>
      <c r="T8239">
        <v>-0.1760446</v>
      </c>
      <c r="U8239">
        <v>3.0133359999999998</v>
      </c>
      <c r="V8239">
        <v>-1.9408539999999998E-2</v>
      </c>
      <c r="W8239">
        <v>5.117737E-2</v>
      </c>
      <c r="X8239">
        <v>0.99850090000000002</v>
      </c>
      <c r="Y8239">
        <v>3.6463130000000003E-2</v>
      </c>
      <c r="Z8239">
        <v>-5.8288039999999999E-2</v>
      </c>
      <c r="AA8239">
        <v>0.99763369999999996</v>
      </c>
      <c r="AB8239">
        <v>18</v>
      </c>
      <c r="AC8239">
        <v>0.57130000000000702</v>
      </c>
      <c r="AD8239">
        <v>-1.11000497752</v>
      </c>
      <c r="AE8239">
        <v>18.827604999999998</v>
      </c>
      <c r="AF8239">
        <v>0.69170590004225097</v>
      </c>
      <c r="AG8239">
        <v>-1.11000497752</v>
      </c>
      <c r="AH8239">
        <v>18.7583365850702</v>
      </c>
      <c r="AI8239">
        <v>93.384174305206301</v>
      </c>
      <c r="AJ8239">
        <v>87.888198654071701</v>
      </c>
      <c r="AK8239">
        <v>18.803876183942901</v>
      </c>
      <c r="AL8239">
        <v>87.066470992607705</v>
      </c>
      <c r="AM8239">
        <v>91.1135567431824</v>
      </c>
      <c r="AN8239">
        <v>0.99999993096292605</v>
      </c>
    </row>
    <row r="8240" spans="1:40" x14ac:dyDescent="0.25">
      <c r="A8240" t="str">
        <f>"20190312160528616"</f>
        <v>20190312160528616</v>
      </c>
      <c r="B8240" t="str">
        <f>"1552377928602952"</f>
        <v>1552377928602952</v>
      </c>
      <c r="C8240" t="s">
        <v>40</v>
      </c>
      <c r="D8240">
        <v>5.4276609999999996</v>
      </c>
      <c r="E8240">
        <v>0.51899529999999905</v>
      </c>
      <c r="F8240" t="s">
        <v>41</v>
      </c>
      <c r="G8240">
        <v>-186.6551</v>
      </c>
      <c r="H8240" s="1">
        <v>-1.568521E-6</v>
      </c>
      <c r="I8240">
        <v>21.641940000000002</v>
      </c>
      <c r="J8240">
        <v>-187.33580000000001</v>
      </c>
      <c r="K8240">
        <v>1.1099870000000001</v>
      </c>
      <c r="L8240">
        <v>-1.0835269999999999</v>
      </c>
      <c r="M8240">
        <v>-6.5483769999999898E-3</v>
      </c>
      <c r="N8240">
        <v>0</v>
      </c>
      <c r="O8240">
        <v>0.99992559999999997</v>
      </c>
      <c r="P8240">
        <v>-2.5354519999999998E-2</v>
      </c>
      <c r="Q8240">
        <v>4.0145680000000003E-2</v>
      </c>
      <c r="R8240">
        <v>0.99887210000000004</v>
      </c>
      <c r="S8240">
        <v>8.9355470000000006E-2</v>
      </c>
      <c r="T8240">
        <v>-0.14596589999999901</v>
      </c>
      <c r="U8240">
        <v>3.0118100000000001</v>
      </c>
      <c r="V8240">
        <v>-1.8812209999999999E-2</v>
      </c>
      <c r="W8240">
        <v>5.0421609999999999E-2</v>
      </c>
      <c r="X8240">
        <v>0.99855079999999996</v>
      </c>
      <c r="Y8240">
        <v>3.6165790000000003E-2</v>
      </c>
      <c r="Z8240">
        <v>-4.8379690000000003E-2</v>
      </c>
      <c r="AA8240">
        <v>0.99817409999999995</v>
      </c>
      <c r="AB8240">
        <v>18</v>
      </c>
      <c r="AC8240">
        <v>0.68070000000000097</v>
      </c>
      <c r="AD8240">
        <v>-1.109988568521</v>
      </c>
      <c r="AE8240">
        <v>22.725466999999998</v>
      </c>
      <c r="AF8240">
        <v>0.82753574832455001</v>
      </c>
      <c r="AG8240">
        <v>-1.109988568521</v>
      </c>
      <c r="AH8240">
        <v>22.666495546724398</v>
      </c>
      <c r="AI8240">
        <v>92.801697042623104</v>
      </c>
      <c r="AJ8240">
        <v>87.909105270192697</v>
      </c>
      <c r="AK8240">
        <v>22.708740837102301</v>
      </c>
      <c r="AL8240">
        <v>87.109828945766793</v>
      </c>
      <c r="AM8240">
        <v>91.079296859826499</v>
      </c>
      <c r="AN8240">
        <v>0.99999996909035704</v>
      </c>
    </row>
    <row r="8241" spans="1:40" x14ac:dyDescent="0.25">
      <c r="A8241" t="str">
        <f>"20190312160528639"</f>
        <v>20190312160528639</v>
      </c>
      <c r="B8241" t="str">
        <f>"1552377928633207"</f>
        <v>1552377928633207</v>
      </c>
      <c r="C8241" t="s">
        <v>40</v>
      </c>
      <c r="D8241">
        <v>5.4823500000000003</v>
      </c>
      <c r="E8241">
        <v>0.51769960000000004</v>
      </c>
      <c r="F8241" t="s">
        <v>41</v>
      </c>
      <c r="G8241">
        <v>-186.63929999999999</v>
      </c>
      <c r="H8241" s="1">
        <v>-2.4420890000000002E-6</v>
      </c>
      <c r="I8241">
        <v>23.935759999999998</v>
      </c>
      <c r="J8241">
        <v>-187.33699999999999</v>
      </c>
      <c r="K8241">
        <v>1.1099699999999999</v>
      </c>
      <c r="L8241">
        <v>-0.90118410000000004</v>
      </c>
      <c r="M8241">
        <v>-6.5627300000000001E-3</v>
      </c>
      <c r="N8241">
        <v>0</v>
      </c>
      <c r="O8241">
        <v>0.99992590000000003</v>
      </c>
      <c r="P8241">
        <v>-2.6013640000000001E-2</v>
      </c>
      <c r="Q8241">
        <v>4.0489909999999997E-2</v>
      </c>
      <c r="R8241">
        <v>0.99884130000000004</v>
      </c>
      <c r="S8241">
        <v>8.381653E-2</v>
      </c>
      <c r="T8241">
        <v>-0.13357949999999999</v>
      </c>
      <c r="U8241">
        <v>3.0108950000000001</v>
      </c>
      <c r="V8241">
        <v>-1.945564E-2</v>
      </c>
      <c r="W8241">
        <v>5.0736400000000001E-2</v>
      </c>
      <c r="X8241">
        <v>0.99852260000000004</v>
      </c>
      <c r="Y8241">
        <v>3.4359580000000001E-2</v>
      </c>
      <c r="Z8241">
        <v>-4.4298700000000003E-2</v>
      </c>
      <c r="AA8241">
        <v>0.99842730000000002</v>
      </c>
      <c r="AB8241">
        <v>18</v>
      </c>
      <c r="AC8241">
        <v>0.69770000000002597</v>
      </c>
      <c r="AD8241">
        <v>-1.109972442089</v>
      </c>
      <c r="AE8241">
        <v>24.8369441</v>
      </c>
      <c r="AF8241">
        <v>0.85897747708154004</v>
      </c>
      <c r="AG8241">
        <v>-1.109972442089</v>
      </c>
      <c r="AH8241">
        <v>24.782373053476402</v>
      </c>
      <c r="AI8241">
        <v>92.562957573588406</v>
      </c>
      <c r="AJ8241">
        <v>88.014875759151806</v>
      </c>
      <c r="AK8241">
        <v>24.822084829643199</v>
      </c>
      <c r="AL8241">
        <v>87.091769908467896</v>
      </c>
      <c r="AM8241">
        <v>91.116234150250804</v>
      </c>
      <c r="AN8241">
        <v>1.00000004346176</v>
      </c>
    </row>
    <row r="8242" spans="1:40" x14ac:dyDescent="0.25">
      <c r="A8242" t="str">
        <f>"20190312160528663"</f>
        <v>20190312160528663</v>
      </c>
      <c r="B8242" t="str">
        <f>"1552377928653703"</f>
        <v>1552377928653703</v>
      </c>
      <c r="C8242" t="s">
        <v>40</v>
      </c>
      <c r="D8242">
        <v>5.9626570000000001</v>
      </c>
      <c r="E8242">
        <v>0.52740619999999905</v>
      </c>
      <c r="F8242" t="s">
        <v>41</v>
      </c>
      <c r="G8242">
        <v>-186.6112</v>
      </c>
      <c r="H8242" s="1">
        <v>-9.8972379999999996E-7</v>
      </c>
      <c r="I8242">
        <v>29.906790000000001</v>
      </c>
      <c r="J8242">
        <v>-187.3383</v>
      </c>
      <c r="K8242">
        <v>1.1099619999999999</v>
      </c>
      <c r="L8242">
        <v>-0.70465089999999997</v>
      </c>
      <c r="M8242">
        <v>-6.5678869999999997E-3</v>
      </c>
      <c r="N8242">
        <v>0</v>
      </c>
      <c r="O8242">
        <v>0.99992610000000004</v>
      </c>
      <c r="P8242">
        <v>-2.704616E-2</v>
      </c>
      <c r="Q8242">
        <v>4.0882290000000002E-2</v>
      </c>
      <c r="R8242">
        <v>0.99879779999999996</v>
      </c>
      <c r="S8242">
        <v>7.0907590000000006E-2</v>
      </c>
      <c r="T8242">
        <v>-0.1084368</v>
      </c>
      <c r="U8242">
        <v>3.009735</v>
      </c>
      <c r="V8242">
        <v>-2.048227E-2</v>
      </c>
      <c r="W8242">
        <v>5.1097370000000003E-2</v>
      </c>
      <c r="X8242">
        <v>0.99848360000000003</v>
      </c>
      <c r="Y8242">
        <v>3.0103520000000002E-2</v>
      </c>
      <c r="Z8242">
        <v>-3.599103E-2</v>
      </c>
      <c r="AA8242">
        <v>0.99889859999999997</v>
      </c>
      <c r="AB8242">
        <v>18</v>
      </c>
      <c r="AC8242">
        <v>0.72710000000000696</v>
      </c>
      <c r="AD8242">
        <v>-1.1099629897237999</v>
      </c>
      <c r="AE8242">
        <v>30.611440899999899</v>
      </c>
      <c r="AF8242">
        <v>0.92692931133323697</v>
      </c>
      <c r="AG8242">
        <v>-1.1099629897237999</v>
      </c>
      <c r="AH8242">
        <v>30.5658404592468</v>
      </c>
      <c r="AI8242">
        <v>92.078761023732994</v>
      </c>
      <c r="AJ8242">
        <v>88.262999966757604</v>
      </c>
      <c r="AK8242">
        <v>30.600029718398801</v>
      </c>
      <c r="AL8242">
        <v>87.071060810000006</v>
      </c>
      <c r="AM8242">
        <v>91.175165078648703</v>
      </c>
      <c r="AN8242">
        <v>0.99999998203711404</v>
      </c>
    </row>
    <row r="8243" spans="1:40" x14ac:dyDescent="0.25">
      <c r="A8243" t="str">
        <f>"20190312160528685"</f>
        <v>20190312160528685</v>
      </c>
      <c r="B8243" t="str">
        <f>"1552377928682983"</f>
        <v>1552377928682983</v>
      </c>
      <c r="C8243" t="s">
        <v>40</v>
      </c>
      <c r="D8243">
        <v>5.4809199999999896</v>
      </c>
      <c r="E8243">
        <v>0.58893219999999902</v>
      </c>
      <c r="F8243" t="s">
        <v>49</v>
      </c>
      <c r="G8243">
        <v>-187.3</v>
      </c>
      <c r="H8243">
        <v>1.0311900000000001</v>
      </c>
      <c r="I8243">
        <v>5.1561469999999998E-2</v>
      </c>
      <c r="J8243">
        <v>-187.33949999999999</v>
      </c>
      <c r="K8243">
        <v>1.109958</v>
      </c>
      <c r="L8243">
        <v>-0.52124020000000004</v>
      </c>
      <c r="M8243">
        <v>-6.5633480000000001E-3</v>
      </c>
      <c r="N8243">
        <v>0</v>
      </c>
      <c r="O8243">
        <v>0.99992639999999999</v>
      </c>
      <c r="P8243">
        <v>-2.711883E-2</v>
      </c>
      <c r="Q8243">
        <v>4.108407E-2</v>
      </c>
      <c r="R8243">
        <v>0.9987876</v>
      </c>
      <c r="S8243">
        <v>0.15252689999999999</v>
      </c>
      <c r="T8243">
        <v>-0.31463350000000001</v>
      </c>
      <c r="U8243">
        <v>3.0206300000000001</v>
      </c>
      <c r="V8243">
        <v>-2.055922E-2</v>
      </c>
      <c r="W8243">
        <v>5.1269290000000002E-2</v>
      </c>
      <c r="X8243">
        <v>0.99847319999999995</v>
      </c>
      <c r="Y8243">
        <v>5.671445E-2</v>
      </c>
      <c r="Z8243">
        <v>-0.1034491</v>
      </c>
      <c r="AA8243">
        <v>0.99301649999999997</v>
      </c>
      <c r="AB8243">
        <v>18</v>
      </c>
      <c r="AC8243">
        <v>3.9499999999975402E-2</v>
      </c>
      <c r="AD8243">
        <v>-7.8767999999999894E-2</v>
      </c>
      <c r="AE8243">
        <v>0.57280167000000004</v>
      </c>
      <c r="AF8243">
        <v>4.2459728976708098E-2</v>
      </c>
      <c r="AG8243">
        <v>-7.8767999999999894E-2</v>
      </c>
      <c r="AH8243">
        <v>0.56195382352902301</v>
      </c>
      <c r="AI8243">
        <v>97.956668532559306</v>
      </c>
      <c r="AJ8243">
        <v>85.679094107273997</v>
      </c>
      <c r="AK8243">
        <v>0.569033677551394</v>
      </c>
      <c r="AL8243">
        <v>87.061197574757401</v>
      </c>
      <c r="AM8243">
        <v>91.179591103331603</v>
      </c>
      <c r="AN8243">
        <v>0.99999997637117599</v>
      </c>
    </row>
    <row r="8244" spans="1:40" x14ac:dyDescent="0.25">
      <c r="A8244" t="str">
        <f>"20190312160528708"</f>
        <v>20190312160528708</v>
      </c>
      <c r="B8244" t="str">
        <f>"1552377928703479"</f>
        <v>1552377928703479</v>
      </c>
      <c r="C8244" t="s">
        <v>40</v>
      </c>
      <c r="D8244">
        <v>5.5128219999999999</v>
      </c>
      <c r="E8244">
        <v>0.58889389999999997</v>
      </c>
      <c r="F8244" t="s">
        <v>49</v>
      </c>
      <c r="G8244">
        <v>-187.19040000000001</v>
      </c>
      <c r="H8244">
        <v>0.93258869999999905</v>
      </c>
      <c r="I8244">
        <v>0.1695179</v>
      </c>
      <c r="J8244">
        <v>-187.3407</v>
      </c>
      <c r="K8244">
        <v>1.109953</v>
      </c>
      <c r="L8244">
        <v>-0.3443909</v>
      </c>
      <c r="M8244">
        <v>-6.5472550000000001E-3</v>
      </c>
      <c r="N8244">
        <v>0</v>
      </c>
      <c r="O8244">
        <v>0.99992689999999995</v>
      </c>
      <c r="P8244">
        <v>-2.6278180000000002E-2</v>
      </c>
      <c r="Q8244">
        <v>4.1234399999999997E-2</v>
      </c>
      <c r="R8244">
        <v>0.99880389999999997</v>
      </c>
      <c r="S8244">
        <v>0.65914919999999899</v>
      </c>
      <c r="T8244">
        <v>-0.78413269999999902</v>
      </c>
      <c r="U8244">
        <v>3.0538020000000001</v>
      </c>
      <c r="V8244">
        <v>-1.9734000000000002E-2</v>
      </c>
      <c r="W8244">
        <v>5.138881E-2</v>
      </c>
      <c r="X8244">
        <v>0.99848369999999997</v>
      </c>
      <c r="Y8244">
        <v>0.2110417</v>
      </c>
      <c r="Z8244">
        <v>-0.2432636</v>
      </c>
      <c r="AA8244">
        <v>0.94672290000000003</v>
      </c>
      <c r="AB8244">
        <v>18</v>
      </c>
      <c r="AC8244">
        <v>0.150299999999987</v>
      </c>
      <c r="AD8244">
        <v>-0.1773643</v>
      </c>
      <c r="AE8244">
        <v>0.51390879999999906</v>
      </c>
      <c r="AF8244">
        <v>0.13846788037723901</v>
      </c>
      <c r="AG8244">
        <v>-0.1773643</v>
      </c>
      <c r="AH8244">
        <v>0.46219777641928</v>
      </c>
      <c r="AI8244">
        <v>110.183388843136</v>
      </c>
      <c r="AJ8244">
        <v>73.322531807163102</v>
      </c>
      <c r="AK8244">
        <v>0.51406053470149105</v>
      </c>
      <c r="AL8244">
        <v>87.054340524850602</v>
      </c>
      <c r="AM8244">
        <v>91.132244550502804</v>
      </c>
      <c r="AN8244">
        <v>0.99999996985745199</v>
      </c>
    </row>
    <row r="8245" spans="1:40" x14ac:dyDescent="0.25">
      <c r="A8245" t="str">
        <f>"20190312160528728"</f>
        <v>20190312160528728</v>
      </c>
      <c r="B8245" t="str">
        <f>"1552377928722999"</f>
        <v>1552377928722999</v>
      </c>
      <c r="C8245" t="s">
        <v>40</v>
      </c>
      <c r="D8245">
        <v>5.361002</v>
      </c>
      <c r="E8245">
        <v>0.58254600000000001</v>
      </c>
      <c r="F8245" t="s">
        <v>49</v>
      </c>
      <c r="G8245">
        <v>-187.1618</v>
      </c>
      <c r="H8245">
        <v>0.89626649999999997</v>
      </c>
      <c r="I8245">
        <v>0.4822612</v>
      </c>
      <c r="J8245">
        <v>-187.34180000000001</v>
      </c>
      <c r="K8245">
        <v>1.1099429999999999</v>
      </c>
      <c r="L8245">
        <v>-0.17095949999999999</v>
      </c>
      <c r="M8245">
        <v>-6.5174899999999999E-3</v>
      </c>
      <c r="N8245">
        <v>0</v>
      </c>
      <c r="O8245">
        <v>0.99992749999999997</v>
      </c>
      <c r="P8245">
        <v>-2.4952410000000001E-2</v>
      </c>
      <c r="Q8245">
        <v>4.2099919999999999E-2</v>
      </c>
      <c r="R8245">
        <v>0.99880179999999996</v>
      </c>
      <c r="S8245">
        <v>0.66041559999999999</v>
      </c>
      <c r="T8245">
        <v>-0.78932910000000001</v>
      </c>
      <c r="U8245">
        <v>3.0535580000000002</v>
      </c>
      <c r="V8245">
        <v>-1.8437200000000001E-2</v>
      </c>
      <c r="W8245">
        <v>5.221692E-2</v>
      </c>
      <c r="X8245">
        <v>0.99846550000000001</v>
      </c>
      <c r="Y8245">
        <v>0.21132280000000001</v>
      </c>
      <c r="Z8245">
        <v>-0.24477760000000001</v>
      </c>
      <c r="AA8245">
        <v>0.94626980000000005</v>
      </c>
      <c r="AB8245">
        <v>18</v>
      </c>
      <c r="AC8245">
        <v>0.18000000000000599</v>
      </c>
      <c r="AD8245">
        <v>-0.21367649999999999</v>
      </c>
      <c r="AE8245">
        <v>0.65322069999999999</v>
      </c>
      <c r="AF8245">
        <v>0.16758706644482199</v>
      </c>
      <c r="AG8245">
        <v>-0.21367649999999999</v>
      </c>
      <c r="AH8245">
        <v>0.593053864643864</v>
      </c>
      <c r="AI8245">
        <v>109.122509459768</v>
      </c>
      <c r="AJ8245">
        <v>74.220598771535904</v>
      </c>
      <c r="AK8245">
        <v>0.65226985049199804</v>
      </c>
      <c r="AL8245">
        <v>87.006829450664497</v>
      </c>
      <c r="AM8245">
        <v>91.057877016848494</v>
      </c>
      <c r="AN8245">
        <v>0.99999994588418595</v>
      </c>
    </row>
    <row r="8246" spans="1:40" x14ac:dyDescent="0.25">
      <c r="A8246" t="str">
        <f>"20190312160528751"</f>
        <v>20190312160528751</v>
      </c>
      <c r="B8246" t="str">
        <f>"1552377928743496"</f>
        <v>1552377928743496</v>
      </c>
      <c r="C8246" t="s">
        <v>40</v>
      </c>
      <c r="D8246">
        <v>5.6898849999999896</v>
      </c>
      <c r="E8246">
        <v>0.57040919999999995</v>
      </c>
      <c r="F8246" t="s">
        <v>49</v>
      </c>
      <c r="G8246">
        <v>-187.17679999999999</v>
      </c>
      <c r="H8246">
        <v>0.90586529999999998</v>
      </c>
      <c r="I8246">
        <v>0.64923180000000003</v>
      </c>
      <c r="J8246">
        <v>-187.34289999999999</v>
      </c>
      <c r="K8246">
        <v>1.1099349999999999</v>
      </c>
      <c r="L8246">
        <v>1.6082760000000001E-2</v>
      </c>
      <c r="M8246">
        <v>-6.474006E-3</v>
      </c>
      <c r="N8246">
        <v>0</v>
      </c>
      <c r="O8246">
        <v>0.99992820000000004</v>
      </c>
      <c r="P8246">
        <v>-2.4362729999999999E-2</v>
      </c>
      <c r="Q8246">
        <v>4.3094250000000001E-2</v>
      </c>
      <c r="R8246">
        <v>0.99877389999999999</v>
      </c>
      <c r="S8246">
        <v>0.61302190000000001</v>
      </c>
      <c r="T8246">
        <v>-0.75910149999999998</v>
      </c>
      <c r="U8246">
        <v>3.0509029999999999</v>
      </c>
      <c r="V8246">
        <v>-1.788973E-2</v>
      </c>
      <c r="W8246">
        <v>5.3169269999999998E-2</v>
      </c>
      <c r="X8246">
        <v>0.99842520000000001</v>
      </c>
      <c r="Y8246">
        <v>0.19773109999999999</v>
      </c>
      <c r="Z8246">
        <v>-0.23682710000000001</v>
      </c>
      <c r="AA8246">
        <v>0.9512178</v>
      </c>
      <c r="AB8246">
        <v>18</v>
      </c>
      <c r="AC8246">
        <v>0.1661</v>
      </c>
      <c r="AD8246">
        <v>-0.20406969999999999</v>
      </c>
      <c r="AE8246">
        <v>0.63314904000000005</v>
      </c>
      <c r="AF8246">
        <v>0.15511908320253001</v>
      </c>
      <c r="AG8246">
        <v>-0.20406969999999999</v>
      </c>
      <c r="AH8246">
        <v>0.57606981447072703</v>
      </c>
      <c r="AI8246">
        <v>108.883807610565</v>
      </c>
      <c r="AJ8246">
        <v>74.929345146773201</v>
      </c>
      <c r="AK8246">
        <v>0.63052581515432204</v>
      </c>
      <c r="AL8246">
        <v>86.952187902392197</v>
      </c>
      <c r="AM8246">
        <v>91.026512905582393</v>
      </c>
      <c r="AN8246">
        <v>0.99999994685342097</v>
      </c>
    </row>
    <row r="8247" spans="1:40" x14ac:dyDescent="0.25">
      <c r="A8247" t="str">
        <f>"20190312160528773"</f>
        <v>20190312160528773</v>
      </c>
      <c r="B8247" t="str">
        <f>"1552377928763028"</f>
        <v>1552377928763028</v>
      </c>
      <c r="C8247" t="s">
        <v>40</v>
      </c>
      <c r="D8247">
        <v>5.6931599999999998</v>
      </c>
      <c r="E8247">
        <v>0.56934019999999996</v>
      </c>
      <c r="F8247" t="s">
        <v>49</v>
      </c>
      <c r="G8247">
        <v>-187.20429999999999</v>
      </c>
      <c r="H8247">
        <v>0.96773450000000005</v>
      </c>
      <c r="I8247">
        <v>0.83951260000000005</v>
      </c>
      <c r="J8247">
        <v>-187.3441</v>
      </c>
      <c r="K8247">
        <v>1.1099349999999999</v>
      </c>
      <c r="L8247">
        <v>0.19888310000000001</v>
      </c>
      <c r="M8247">
        <v>-6.4242989999999996E-3</v>
      </c>
      <c r="N8247">
        <v>0</v>
      </c>
      <c r="O8247">
        <v>0.99992890000000001</v>
      </c>
      <c r="P8247">
        <v>-2.4341069999999999E-2</v>
      </c>
      <c r="Q8247">
        <v>4.302479E-2</v>
      </c>
      <c r="R8247">
        <v>0.99877740000000004</v>
      </c>
      <c r="S8247">
        <v>0.51095579999999996</v>
      </c>
      <c r="T8247">
        <v>-0.52476219999999996</v>
      </c>
      <c r="U8247">
        <v>3.0387879999999998</v>
      </c>
      <c r="V8247">
        <v>-1.7916970000000001E-2</v>
      </c>
      <c r="W8247">
        <v>5.3063560000000003E-2</v>
      </c>
      <c r="X8247">
        <v>0.99843040000000005</v>
      </c>
      <c r="Y8247">
        <v>0.169797799999999</v>
      </c>
      <c r="Z8247">
        <v>-0.16778409999999999</v>
      </c>
      <c r="AA8247">
        <v>0.97109069999999997</v>
      </c>
      <c r="AB8247">
        <v>18</v>
      </c>
      <c r="AC8247">
        <v>0.139800000000008</v>
      </c>
      <c r="AD8247">
        <v>-0.14220050000000001</v>
      </c>
      <c r="AE8247">
        <v>0.64062949999999996</v>
      </c>
      <c r="AF8247">
        <v>0.13744857573152999</v>
      </c>
      <c r="AG8247">
        <v>-0.14220050000000001</v>
      </c>
      <c r="AH8247">
        <v>0.61098298339340895</v>
      </c>
      <c r="AI8247">
        <v>102.792987712</v>
      </c>
      <c r="AJ8247">
        <v>77.32163334981</v>
      </c>
      <c r="AK8247">
        <v>0.64219412887941196</v>
      </c>
      <c r="AL8247">
        <v>86.958253398398</v>
      </c>
      <c r="AM8247">
        <v>91.028070248621106</v>
      </c>
      <c r="AN8247">
        <v>1.000000011429</v>
      </c>
    </row>
    <row r="8248" spans="1:40" x14ac:dyDescent="0.25">
      <c r="A8248" t="str">
        <f>"20190312160528795"</f>
        <v>20190312160528795</v>
      </c>
      <c r="B8248" t="str">
        <f>"1552377928783511"</f>
        <v>1552377928783511</v>
      </c>
      <c r="C8248" t="s">
        <v>40</v>
      </c>
      <c r="D8248">
        <v>5.6558679999999999</v>
      </c>
      <c r="E8248">
        <v>0.56565750000000004</v>
      </c>
      <c r="F8248" t="s">
        <v>49</v>
      </c>
      <c r="G8248">
        <v>-187.21090000000001</v>
      </c>
      <c r="H8248">
        <v>0.96630550000000004</v>
      </c>
      <c r="I8248">
        <v>1.0029410000000001</v>
      </c>
      <c r="J8248">
        <v>-187.3451</v>
      </c>
      <c r="K8248">
        <v>1.1099239999999999</v>
      </c>
      <c r="L8248">
        <v>0.3711853</v>
      </c>
      <c r="M8248">
        <v>-6.3725680000000003E-3</v>
      </c>
      <c r="N8248">
        <v>0</v>
      </c>
      <c r="O8248">
        <v>0.99992950000000003</v>
      </c>
      <c r="P8248">
        <v>-2.4362200000000001E-2</v>
      </c>
      <c r="Q8248">
        <v>4.3512240000000001E-2</v>
      </c>
      <c r="R8248">
        <v>0.99875579999999997</v>
      </c>
      <c r="S8248">
        <v>0.5027161</v>
      </c>
      <c r="T8248">
        <v>-0.54289589999999999</v>
      </c>
      <c r="U8248">
        <v>3.039307</v>
      </c>
      <c r="V8248">
        <v>-1.7989370000000001E-2</v>
      </c>
      <c r="W8248">
        <v>5.3518759999999999E-2</v>
      </c>
      <c r="X8248">
        <v>0.99840479999999998</v>
      </c>
      <c r="Y8248">
        <v>0.16699729999999999</v>
      </c>
      <c r="Z8248">
        <v>-0.1734588</v>
      </c>
      <c r="AA8248">
        <v>0.97057919999999998</v>
      </c>
      <c r="AB8248">
        <v>18</v>
      </c>
      <c r="AC8248">
        <v>0.13419999999999199</v>
      </c>
      <c r="AD8248">
        <v>-0.14361849999999901</v>
      </c>
      <c r="AE8248">
        <v>0.63175570000000003</v>
      </c>
      <c r="AF8248">
        <v>0.13171047467359701</v>
      </c>
      <c r="AG8248">
        <v>-0.14361849999999901</v>
      </c>
      <c r="AH8248">
        <v>0.60116101415969103</v>
      </c>
      <c r="AI8248">
        <v>103.135824977057</v>
      </c>
      <c r="AJ8248">
        <v>77.642131367593905</v>
      </c>
      <c r="AK8248">
        <v>0.63195608045694296</v>
      </c>
      <c r="AL8248">
        <v>86.932135241428</v>
      </c>
      <c r="AM8248">
        <v>91.032250102829494</v>
      </c>
      <c r="AN8248">
        <v>1.0000000098839801</v>
      </c>
    </row>
    <row r="8249" spans="1:40" x14ac:dyDescent="0.25">
      <c r="A8249" t="str">
        <f>"20190312160528817"</f>
        <v>20190312160528817</v>
      </c>
      <c r="B8249" t="str">
        <f>"1552377928812791"</f>
        <v>1552377928812791</v>
      </c>
      <c r="C8249" t="s">
        <v>40</v>
      </c>
      <c r="D8249">
        <v>5.6752379999999896</v>
      </c>
      <c r="E8249">
        <v>0.56570609999999999</v>
      </c>
      <c r="F8249" t="s">
        <v>49</v>
      </c>
      <c r="G8249">
        <v>-187.22120000000001</v>
      </c>
      <c r="H8249">
        <v>0.96603519999999998</v>
      </c>
      <c r="I8249">
        <v>1.1671279999999999</v>
      </c>
      <c r="J8249">
        <v>-187.34620000000001</v>
      </c>
      <c r="K8249">
        <v>1.109918</v>
      </c>
      <c r="L8249">
        <v>0.55889889999999998</v>
      </c>
      <c r="M8249">
        <v>-6.3117879999999996E-3</v>
      </c>
      <c r="N8249">
        <v>0</v>
      </c>
      <c r="O8249">
        <v>0.99993030000000005</v>
      </c>
      <c r="P8249">
        <v>-2.485126E-2</v>
      </c>
      <c r="Q8249">
        <v>4.4160360000000003E-2</v>
      </c>
      <c r="R8249">
        <v>0.99871529999999997</v>
      </c>
      <c r="S8249">
        <v>0.4727325</v>
      </c>
      <c r="T8249">
        <v>-0.54940819999999901</v>
      </c>
      <c r="U8249">
        <v>3.039215</v>
      </c>
      <c r="V8249">
        <v>-1.8539099999999999E-2</v>
      </c>
      <c r="W8249">
        <v>5.4129660000000003E-2</v>
      </c>
      <c r="X8249">
        <v>0.99836179999999997</v>
      </c>
      <c r="Y8249">
        <v>0.15753719999999999</v>
      </c>
      <c r="Z8249">
        <v>-0.17574970000000001</v>
      </c>
      <c r="AA8249">
        <v>0.9717479</v>
      </c>
      <c r="AB8249">
        <v>18</v>
      </c>
      <c r="AC8249">
        <v>0.125</v>
      </c>
      <c r="AD8249">
        <v>-0.14388280000000001</v>
      </c>
      <c r="AE8249">
        <v>0.60822909999999997</v>
      </c>
      <c r="AF8249">
        <v>0.12227159274122799</v>
      </c>
      <c r="AG8249">
        <v>-0.14388280000000001</v>
      </c>
      <c r="AH8249">
        <v>0.57647531572250399</v>
      </c>
      <c r="AI8249">
        <v>103.72083242233199</v>
      </c>
      <c r="AJ8249">
        <v>78.024918527497405</v>
      </c>
      <c r="AK8249">
        <v>0.60661057703000598</v>
      </c>
      <c r="AL8249">
        <v>86.897082410344794</v>
      </c>
      <c r="AM8249">
        <v>91.0638328890835</v>
      </c>
      <c r="AN8249">
        <v>1.00000000100988</v>
      </c>
    </row>
    <row r="8250" spans="1:40" x14ac:dyDescent="0.25">
      <c r="A8250" t="str">
        <f>"20190312160528841"</f>
        <v>20190312160528841</v>
      </c>
      <c r="B8250" t="str">
        <f>"1552377928833287"</f>
        <v>1552377928833287</v>
      </c>
      <c r="C8250" t="s">
        <v>40</v>
      </c>
      <c r="D8250">
        <v>5.8261229999999999</v>
      </c>
      <c r="E8250">
        <v>0.56501129999999999</v>
      </c>
      <c r="F8250" t="s">
        <v>49</v>
      </c>
      <c r="G8250">
        <v>-187.22630000000001</v>
      </c>
      <c r="H8250">
        <v>0.95843610000000001</v>
      </c>
      <c r="I8250">
        <v>1.3283419999999999</v>
      </c>
      <c r="J8250">
        <v>-187.34739999999999</v>
      </c>
      <c r="K8250">
        <v>1.1099110000000001</v>
      </c>
      <c r="L8250">
        <v>0.75204469999999901</v>
      </c>
      <c r="M8250">
        <v>-6.2457340000000002E-3</v>
      </c>
      <c r="N8250">
        <v>0</v>
      </c>
      <c r="O8250">
        <v>0.99993109999999996</v>
      </c>
      <c r="P8250">
        <v>-2.502213E-2</v>
      </c>
      <c r="Q8250">
        <v>4.3994949999999998E-2</v>
      </c>
      <c r="R8250">
        <v>0.99871829999999995</v>
      </c>
      <c r="S8250">
        <v>0.47346500000000002</v>
      </c>
      <c r="T8250">
        <v>-0.59888629999999998</v>
      </c>
      <c r="U8250">
        <v>3.0421140000000002</v>
      </c>
      <c r="V8250">
        <v>-1.877639E-2</v>
      </c>
      <c r="W8250">
        <v>5.3921110000000001E-2</v>
      </c>
      <c r="X8250">
        <v>0.99836860000000005</v>
      </c>
      <c r="Y8250">
        <v>0.15712679999999901</v>
      </c>
      <c r="Z8250">
        <v>-0.1908454</v>
      </c>
      <c r="AA8250">
        <v>0.96896300000000002</v>
      </c>
      <c r="AB8250">
        <v>18</v>
      </c>
      <c r="AC8250">
        <v>0.121099999999984</v>
      </c>
      <c r="AD8250">
        <v>-0.1514749</v>
      </c>
      <c r="AE8250">
        <v>0.57629730000000001</v>
      </c>
      <c r="AF8250">
        <v>0.116958742507958</v>
      </c>
      <c r="AG8250">
        <v>-0.1514749</v>
      </c>
      <c r="AH8250">
        <v>0.53981338329695805</v>
      </c>
      <c r="AI8250">
        <v>105.335913093806</v>
      </c>
      <c r="AJ8250">
        <v>77.774960849129101</v>
      </c>
      <c r="AK8250">
        <v>0.57273246945285206</v>
      </c>
      <c r="AL8250">
        <v>86.909048764297097</v>
      </c>
      <c r="AM8250">
        <v>91.077438822211803</v>
      </c>
      <c r="AN8250">
        <v>0.99999995019551002</v>
      </c>
    </row>
    <row r="8251" spans="1:40" x14ac:dyDescent="0.25">
      <c r="A8251" t="str">
        <f>"20190312160528863"</f>
        <v>20190312160528863</v>
      </c>
      <c r="B8251" t="str">
        <f>"1552377928852807"</f>
        <v>1552377928852807</v>
      </c>
      <c r="C8251" t="s">
        <v>40</v>
      </c>
      <c r="D8251">
        <v>5.7047400000000001</v>
      </c>
      <c r="E8251">
        <v>0.56374349999999995</v>
      </c>
      <c r="F8251" t="s">
        <v>49</v>
      </c>
      <c r="G8251">
        <v>-187.2329</v>
      </c>
      <c r="H8251">
        <v>0.96626659999999998</v>
      </c>
      <c r="I8251">
        <v>1.4971730000000001</v>
      </c>
      <c r="J8251">
        <v>-187.3484</v>
      </c>
      <c r="K8251">
        <v>1.109901</v>
      </c>
      <c r="L8251">
        <v>0.93536379999999997</v>
      </c>
      <c r="M8251">
        <v>-6.1821109999999997E-3</v>
      </c>
      <c r="N8251">
        <v>0</v>
      </c>
      <c r="O8251">
        <v>0.99993200000000004</v>
      </c>
      <c r="P8251">
        <v>-2.5304440000000001E-2</v>
      </c>
      <c r="Q8251">
        <v>4.374335E-2</v>
      </c>
      <c r="R8251">
        <v>0.99872229999999995</v>
      </c>
      <c r="S8251">
        <v>0.46707149999999997</v>
      </c>
      <c r="T8251">
        <v>-0.58630179999999998</v>
      </c>
      <c r="U8251">
        <v>3.041382</v>
      </c>
      <c r="V8251">
        <v>-1.9122320000000002E-2</v>
      </c>
      <c r="W8251">
        <v>5.3623520000000001E-2</v>
      </c>
      <c r="X8251">
        <v>0.99837810000000005</v>
      </c>
      <c r="Y8251">
        <v>0.15521979999999999</v>
      </c>
      <c r="Z8251">
        <v>-0.18707889999999999</v>
      </c>
      <c r="AA8251">
        <v>0.97000430000000004</v>
      </c>
      <c r="AB8251">
        <v>18</v>
      </c>
      <c r="AC8251">
        <v>0.11549999999999699</v>
      </c>
      <c r="AD8251">
        <v>-0.1436344</v>
      </c>
      <c r="AE8251">
        <v>0.56180919999999901</v>
      </c>
      <c r="AF8251">
        <v>0.111950334824176</v>
      </c>
      <c r="AG8251">
        <v>-0.1436344</v>
      </c>
      <c r="AH8251">
        <v>0.52797335108524202</v>
      </c>
      <c r="AI8251">
        <v>104.902797314702</v>
      </c>
      <c r="AJ8251">
        <v>78.028438210438793</v>
      </c>
      <c r="AK8251">
        <v>0.55849760768223999</v>
      </c>
      <c r="AL8251">
        <v>86.926124236149207</v>
      </c>
      <c r="AM8251">
        <v>91.097273950743499</v>
      </c>
      <c r="AN8251">
        <v>0.99999998778949095</v>
      </c>
    </row>
    <row r="8252" spans="1:40" x14ac:dyDescent="0.25">
      <c r="A8252" t="str">
        <f>"20190312160528886"</f>
        <v>20190312160528886</v>
      </c>
      <c r="B8252" t="str">
        <f>"1552377928883063"</f>
        <v>1552377928883063</v>
      </c>
      <c r="C8252" t="s">
        <v>40</v>
      </c>
      <c r="D8252">
        <v>5.7611489999999996</v>
      </c>
      <c r="E8252">
        <v>0.56259179999999998</v>
      </c>
      <c r="F8252" t="s">
        <v>49</v>
      </c>
      <c r="G8252">
        <v>-187.2388</v>
      </c>
      <c r="H8252">
        <v>0.97368060000000001</v>
      </c>
      <c r="I8252">
        <v>1.6662699999999999</v>
      </c>
      <c r="J8252">
        <v>-187.34960000000001</v>
      </c>
      <c r="K8252">
        <v>1.109888</v>
      </c>
      <c r="L8252">
        <v>1.1290279999999999</v>
      </c>
      <c r="M8252">
        <v>-6.1163859999999997E-3</v>
      </c>
      <c r="N8252">
        <v>0</v>
      </c>
      <c r="O8252">
        <v>0.99993290000000001</v>
      </c>
      <c r="P8252">
        <v>-2.527107E-2</v>
      </c>
      <c r="Q8252">
        <v>4.3667640000000001E-2</v>
      </c>
      <c r="R8252">
        <v>0.99872640000000001</v>
      </c>
      <c r="S8252">
        <v>0.4555206</v>
      </c>
      <c r="T8252">
        <v>-0.56659209999999904</v>
      </c>
      <c r="U8252">
        <v>3.0401919999999998</v>
      </c>
      <c r="V8252">
        <v>-1.9154819999999999E-2</v>
      </c>
      <c r="W8252">
        <v>5.3496389999999998E-2</v>
      </c>
      <c r="X8252">
        <v>0.9983843</v>
      </c>
      <c r="Y8252">
        <v>0.1517725</v>
      </c>
      <c r="Z8252">
        <v>-0.1811682</v>
      </c>
      <c r="AA8252">
        <v>0.97167029999999999</v>
      </c>
      <c r="AB8252">
        <v>18</v>
      </c>
      <c r="AC8252">
        <v>0.110800000000011</v>
      </c>
      <c r="AD8252">
        <v>-0.13620739999999901</v>
      </c>
      <c r="AE8252">
        <v>0.537242</v>
      </c>
      <c r="AF8252">
        <v>0.10745865902672901</v>
      </c>
      <c r="AG8252">
        <v>-0.13620739999999901</v>
      </c>
      <c r="AH8252">
        <v>0.50539395451415203</v>
      </c>
      <c r="AI8252">
        <v>104.768022095136</v>
      </c>
      <c r="AJ8252">
        <v>77.996327567988104</v>
      </c>
      <c r="AK8252">
        <v>0.53434339939222197</v>
      </c>
      <c r="AL8252">
        <v>86.933418727805304</v>
      </c>
      <c r="AM8252">
        <v>91.099131579491299</v>
      </c>
      <c r="AN8252">
        <v>0.99999999067937695</v>
      </c>
    </row>
    <row r="8253" spans="1:40" x14ac:dyDescent="0.25">
      <c r="A8253" t="str">
        <f>"20190312160528909"</f>
        <v>20190312160528909</v>
      </c>
      <c r="B8253" t="str">
        <f>"1552377928903559"</f>
        <v>1552377928903559</v>
      </c>
      <c r="C8253" t="s">
        <v>40</v>
      </c>
      <c r="D8253">
        <v>5.814495</v>
      </c>
      <c r="E8253">
        <v>0.56217220000000001</v>
      </c>
      <c r="F8253" t="s">
        <v>49</v>
      </c>
      <c r="G8253">
        <v>-187.2458</v>
      </c>
      <c r="H8253">
        <v>0.98156129999999997</v>
      </c>
      <c r="I8253">
        <v>1.835934</v>
      </c>
      <c r="J8253">
        <v>-187.35059999999999</v>
      </c>
      <c r="K8253">
        <v>1.1098790000000001</v>
      </c>
      <c r="L8253">
        <v>1.3119510000000001</v>
      </c>
      <c r="M8253">
        <v>-6.05742E-3</v>
      </c>
      <c r="N8253">
        <v>0</v>
      </c>
      <c r="O8253">
        <v>0.99993370000000004</v>
      </c>
      <c r="P8253">
        <v>-2.5165409999999999E-2</v>
      </c>
      <c r="Q8253">
        <v>4.3341249999999998E-2</v>
      </c>
      <c r="R8253">
        <v>0.99874339999999995</v>
      </c>
      <c r="S8253">
        <v>0.44581599999999999</v>
      </c>
      <c r="T8253">
        <v>-0.55171440000000005</v>
      </c>
      <c r="U8253">
        <v>3.039215</v>
      </c>
      <c r="V8253">
        <v>-1.9108070000000001E-2</v>
      </c>
      <c r="W8253">
        <v>5.3120220000000003E-2</v>
      </c>
      <c r="X8253">
        <v>0.99840530000000005</v>
      </c>
      <c r="Y8253">
        <v>0.14884140000000001</v>
      </c>
      <c r="Z8253">
        <v>-0.17669699999999999</v>
      </c>
      <c r="AA8253">
        <v>0.97294619999999998</v>
      </c>
      <c r="AB8253">
        <v>19</v>
      </c>
      <c r="AC8253">
        <v>0.104799999999983</v>
      </c>
      <c r="AD8253">
        <v>-0.12831769999999901</v>
      </c>
      <c r="AE8253">
        <v>0.52398299999999898</v>
      </c>
      <c r="AF8253">
        <v>0.102085558852757</v>
      </c>
      <c r="AG8253">
        <v>-0.12831769999999901</v>
      </c>
      <c r="AH8253">
        <v>0.494806070123608</v>
      </c>
      <c r="AI8253">
        <v>104.25067552464201</v>
      </c>
      <c r="AJ8253">
        <v>78.342626680008095</v>
      </c>
      <c r="AK8253">
        <v>0.52126762846999997</v>
      </c>
      <c r="AL8253">
        <v>86.955002428903995</v>
      </c>
      <c r="AM8253">
        <v>91.096426595225594</v>
      </c>
      <c r="AN8253">
        <v>1.0000000095900301</v>
      </c>
    </row>
    <row r="8254" spans="1:40" x14ac:dyDescent="0.25">
      <c r="A8254" t="str">
        <f>"20190312160528930"</f>
        <v>20190312160528930</v>
      </c>
      <c r="B8254" t="str">
        <f>"1552377928923080"</f>
        <v>1552377928923080</v>
      </c>
      <c r="C8254" t="s">
        <v>40</v>
      </c>
      <c r="D8254">
        <v>5.6809310000000002</v>
      </c>
      <c r="E8254">
        <v>0.57485830000000004</v>
      </c>
      <c r="F8254" t="s">
        <v>49</v>
      </c>
      <c r="G8254">
        <v>-187.22720000000001</v>
      </c>
      <c r="H8254">
        <v>0.95762409999999998</v>
      </c>
      <c r="I8254">
        <v>2.158401</v>
      </c>
      <c r="J8254">
        <v>-187.35169999999999</v>
      </c>
      <c r="K8254">
        <v>1.1098709999999901</v>
      </c>
      <c r="L8254">
        <v>1.4968870000000001</v>
      </c>
      <c r="M8254">
        <v>-6.0009640000000001E-3</v>
      </c>
      <c r="N8254">
        <v>0</v>
      </c>
      <c r="O8254">
        <v>0.99993460000000001</v>
      </c>
      <c r="P8254">
        <v>-2.488311E-2</v>
      </c>
      <c r="Q8254">
        <v>4.3043390000000001E-2</v>
      </c>
      <c r="R8254">
        <v>0.99876330000000002</v>
      </c>
      <c r="S8254">
        <v>0.44262699999999999</v>
      </c>
      <c r="T8254">
        <v>-0.54656289999999996</v>
      </c>
      <c r="U8254">
        <v>3.0386350000000002</v>
      </c>
      <c r="V8254">
        <v>-1.8882759999999998E-2</v>
      </c>
      <c r="W8254">
        <v>5.276691E-2</v>
      </c>
      <c r="X8254">
        <v>0.99842830000000005</v>
      </c>
      <c r="Y8254">
        <v>0.14785219999999999</v>
      </c>
      <c r="Z8254">
        <v>-0.1751566</v>
      </c>
      <c r="AA8254">
        <v>0.97337549999999995</v>
      </c>
      <c r="AB8254">
        <v>19</v>
      </c>
      <c r="AC8254">
        <v>0.124499999999983</v>
      </c>
      <c r="AD8254">
        <v>-0.15224689999999899</v>
      </c>
      <c r="AE8254">
        <v>0.66151399999999905</v>
      </c>
      <c r="AF8254">
        <v>0.122215533801745</v>
      </c>
      <c r="AG8254">
        <v>-0.15224689999999899</v>
      </c>
      <c r="AH8254">
        <v>0.62859798175029802</v>
      </c>
      <c r="AI8254">
        <v>103.373712777478</v>
      </c>
      <c r="AJ8254">
        <v>78.9975000473585</v>
      </c>
      <c r="AK8254">
        <v>0.65821818413243705</v>
      </c>
      <c r="AL8254">
        <v>86.975273965593402</v>
      </c>
      <c r="AM8254">
        <v>91.0834763887013</v>
      </c>
      <c r="AN8254">
        <v>0.99999998782852695</v>
      </c>
    </row>
    <row r="8255" spans="1:40" x14ac:dyDescent="0.25">
      <c r="A8255" t="str">
        <f>"20190312160528943"</f>
        <v>20190312160528943</v>
      </c>
      <c r="B8255" t="str">
        <f>"1552377928932840"</f>
        <v>1552377928932840</v>
      </c>
      <c r="C8255" t="s">
        <v>40</v>
      </c>
      <c r="D8255">
        <v>5.7235389999999997</v>
      </c>
      <c r="E8255">
        <v>0.57460319999999898</v>
      </c>
      <c r="F8255" t="s">
        <v>49</v>
      </c>
      <c r="G8255">
        <v>-187.20580000000001</v>
      </c>
      <c r="H8255">
        <v>0.90276979999999996</v>
      </c>
      <c r="I8255">
        <v>2.3021980000000002</v>
      </c>
      <c r="J8255">
        <v>-187.35230000000001</v>
      </c>
      <c r="K8255">
        <v>1.109866</v>
      </c>
      <c r="L8255">
        <v>1.6118159999999999</v>
      </c>
      <c r="M8255">
        <v>-5.9669320000000003E-3</v>
      </c>
      <c r="N8255">
        <v>0</v>
      </c>
      <c r="O8255">
        <v>0.99993520000000002</v>
      </c>
      <c r="P8255">
        <v>-2.4449129999999999E-2</v>
      </c>
      <c r="Q8255">
        <v>4.2851220000000002E-2</v>
      </c>
      <c r="R8255">
        <v>0.99878230000000001</v>
      </c>
      <c r="S8255">
        <v>0.55195620000000001</v>
      </c>
      <c r="T8255">
        <v>-0.78467790000000004</v>
      </c>
      <c r="U8255">
        <v>3.0512700000000001</v>
      </c>
      <c r="V8255">
        <v>-1.8483070000000001E-2</v>
      </c>
      <c r="W8255">
        <v>5.2539290000000002E-2</v>
      </c>
      <c r="X8255">
        <v>0.9984478</v>
      </c>
      <c r="Y8255">
        <v>0.1784386</v>
      </c>
      <c r="Z8255">
        <v>-0.2451863</v>
      </c>
      <c r="AA8255">
        <v>0.95291309999999996</v>
      </c>
      <c r="AB8255">
        <v>19</v>
      </c>
      <c r="AC8255">
        <v>0.14650000000000299</v>
      </c>
      <c r="AD8255">
        <v>-0.20709619999999901</v>
      </c>
      <c r="AE8255">
        <v>0.69038199999999905</v>
      </c>
      <c r="AF8255">
        <v>0.138676108980236</v>
      </c>
      <c r="AG8255">
        <v>-0.20709619999999901</v>
      </c>
      <c r="AH8255">
        <v>0.63483221953897995</v>
      </c>
      <c r="AI8255">
        <v>107.677417488063</v>
      </c>
      <c r="AJ8255">
        <v>77.677575048868803</v>
      </c>
      <c r="AK8255">
        <v>0.68200575233727001</v>
      </c>
      <c r="AL8255">
        <v>86.988333798870201</v>
      </c>
      <c r="AM8255">
        <v>91.060527109802294</v>
      </c>
      <c r="AN8255">
        <v>1.0000000050975799</v>
      </c>
    </row>
    <row r="8256" spans="1:40" x14ac:dyDescent="0.25">
      <c r="A8256" t="str">
        <f>"20190312160528965"</f>
        <v>20190312160528965</v>
      </c>
      <c r="B8256" t="str">
        <f>"1552377928953335"</f>
        <v>1552377928953335</v>
      </c>
      <c r="C8256" t="s">
        <v>40</v>
      </c>
      <c r="D8256">
        <v>5.7686669999999998</v>
      </c>
      <c r="E8256">
        <v>0.57530760000000003</v>
      </c>
      <c r="F8256" t="s">
        <v>49</v>
      </c>
      <c r="G8256">
        <v>-187.22550000000001</v>
      </c>
      <c r="H8256">
        <v>0.93157239999999997</v>
      </c>
      <c r="I8256">
        <v>2.31351</v>
      </c>
      <c r="J8256">
        <v>-187.35329999999999</v>
      </c>
      <c r="K8256">
        <v>1.1098619999999999</v>
      </c>
      <c r="L8256">
        <v>1.7799069999999999</v>
      </c>
      <c r="M8256">
        <v>-5.9184260000000001E-3</v>
      </c>
      <c r="N8256">
        <v>0</v>
      </c>
      <c r="O8256">
        <v>0.99993589999999999</v>
      </c>
      <c r="P8256">
        <v>-2.3732590000000001E-2</v>
      </c>
      <c r="Q8256">
        <v>4.2403169999999997E-2</v>
      </c>
      <c r="R8256">
        <v>0.99881869999999995</v>
      </c>
      <c r="S8256">
        <v>0.55076599999999998</v>
      </c>
      <c r="T8256">
        <v>-0.77505749999999995</v>
      </c>
      <c r="U8256">
        <v>3.0503849999999999</v>
      </c>
      <c r="V8256">
        <v>-1.781462E-2</v>
      </c>
      <c r="W8256">
        <v>5.2041690000000002E-2</v>
      </c>
      <c r="X8256">
        <v>0.99848599999999998</v>
      </c>
      <c r="Y8256">
        <v>0.1782021</v>
      </c>
      <c r="Z8256">
        <v>-0.24243899999999999</v>
      </c>
      <c r="AA8256">
        <v>0.95365999999999995</v>
      </c>
      <c r="AB8256">
        <v>19</v>
      </c>
      <c r="AC8256">
        <v>0.12779999999997901</v>
      </c>
      <c r="AD8256">
        <v>-0.17828959999999999</v>
      </c>
      <c r="AE8256">
        <v>0.53360299999999905</v>
      </c>
      <c r="AF8256">
        <v>0.118449780117481</v>
      </c>
      <c r="AG8256">
        <v>-0.17828959999999999</v>
      </c>
      <c r="AH8256">
        <v>0.481951610142903</v>
      </c>
      <c r="AI8256">
        <v>109.760415720962</v>
      </c>
      <c r="AJ8256">
        <v>76.192027446846794</v>
      </c>
      <c r="AK8256">
        <v>0.52734702653696397</v>
      </c>
      <c r="AL8256">
        <v>87.016883207340101</v>
      </c>
      <c r="AM8256">
        <v>91.022141778311706</v>
      </c>
      <c r="AN8256">
        <v>0.99999999518990002</v>
      </c>
    </row>
    <row r="8257" spans="1:40" x14ac:dyDescent="0.25">
      <c r="A8257" t="str">
        <f>"20190312160528985"</f>
        <v>20190312160528985</v>
      </c>
      <c r="B8257" t="str">
        <f>"1552377928972855"</f>
        <v>1552377928972855</v>
      </c>
      <c r="C8257" t="s">
        <v>40</v>
      </c>
      <c r="D8257">
        <v>5.7301739999999999</v>
      </c>
      <c r="E8257">
        <v>0.57538279999999997</v>
      </c>
      <c r="F8257" t="s">
        <v>49</v>
      </c>
      <c r="G8257">
        <v>-187.22479999999999</v>
      </c>
      <c r="H8257">
        <v>0.93072270000000001</v>
      </c>
      <c r="I8257">
        <v>2.480788</v>
      </c>
      <c r="J8257">
        <v>-187.35419999999999</v>
      </c>
      <c r="K8257">
        <v>1.109861</v>
      </c>
      <c r="L8257">
        <v>1.959198</v>
      </c>
      <c r="M8257">
        <v>-5.8677030000000002E-3</v>
      </c>
      <c r="N8257">
        <v>0</v>
      </c>
      <c r="O8257">
        <v>0.99993670000000001</v>
      </c>
      <c r="P8257">
        <v>-2.3053250000000001E-2</v>
      </c>
      <c r="Q8257">
        <v>4.2133509999999999E-2</v>
      </c>
      <c r="R8257">
        <v>0.99884600000000001</v>
      </c>
      <c r="S8257">
        <v>0.55865480000000001</v>
      </c>
      <c r="T8257">
        <v>-0.779524199999999</v>
      </c>
      <c r="U8257">
        <v>3.0499269999999998</v>
      </c>
      <c r="V8257">
        <v>-1.7185949999999998E-2</v>
      </c>
      <c r="W8257">
        <v>5.1725019999999997E-2</v>
      </c>
      <c r="X8257">
        <v>0.99851350000000005</v>
      </c>
      <c r="Y8257">
        <v>0.18050830000000001</v>
      </c>
      <c r="Z8257">
        <v>-0.2436817</v>
      </c>
      <c r="AA8257">
        <v>0.95290920000000001</v>
      </c>
      <c r="AB8257">
        <v>19</v>
      </c>
      <c r="AC8257">
        <v>0.12940000000000301</v>
      </c>
      <c r="AD8257">
        <v>-0.1791383</v>
      </c>
      <c r="AE8257">
        <v>0.52159</v>
      </c>
      <c r="AF8257">
        <v>0.11921201384455</v>
      </c>
      <c r="AG8257">
        <v>-0.1791383</v>
      </c>
      <c r="AH8257">
        <v>0.468737214969428</v>
      </c>
      <c r="AI8257">
        <v>110.323690703837</v>
      </c>
      <c r="AJ8257">
        <v>75.730718983654299</v>
      </c>
      <c r="AK8257">
        <v>0.51576798220620401</v>
      </c>
      <c r="AL8257">
        <v>87.035051611917098</v>
      </c>
      <c r="AM8257">
        <v>90.986050950841005</v>
      </c>
      <c r="AN8257">
        <v>1.0000000221268199</v>
      </c>
    </row>
    <row r="8258" spans="1:40" x14ac:dyDescent="0.25">
      <c r="A8258" t="str">
        <f>"20190312160529007"</f>
        <v>20190312160529007</v>
      </c>
      <c r="B8258" t="str">
        <f>"1552377929003112"</f>
        <v>1552377929003112</v>
      </c>
      <c r="C8258" t="s">
        <v>40</v>
      </c>
      <c r="D8258">
        <v>5.7572519999999896</v>
      </c>
      <c r="E8258">
        <v>0.57495490000000005</v>
      </c>
      <c r="F8258" t="s">
        <v>49</v>
      </c>
      <c r="G8258">
        <v>-187.2268</v>
      </c>
      <c r="H8258">
        <v>0.9334114</v>
      </c>
      <c r="I8258">
        <v>2.6499869999999999</v>
      </c>
      <c r="J8258">
        <v>-187.3553</v>
      </c>
      <c r="K8258">
        <v>1.109856</v>
      </c>
      <c r="L8258">
        <v>2.1437379999999999</v>
      </c>
      <c r="M8258">
        <v>-5.8153249999999997E-3</v>
      </c>
      <c r="N8258">
        <v>0</v>
      </c>
      <c r="O8258">
        <v>0.99993739999999998</v>
      </c>
      <c r="P8258">
        <v>-2.3051619999999998E-2</v>
      </c>
      <c r="Q8258">
        <v>4.1907519999999997E-2</v>
      </c>
      <c r="R8258">
        <v>0.99885550000000001</v>
      </c>
      <c r="S8258">
        <v>0.56158450000000004</v>
      </c>
      <c r="T8258">
        <v>-0.7788602</v>
      </c>
      <c r="U8258">
        <v>3.0492859999999999</v>
      </c>
      <c r="V8258">
        <v>-1.7236660000000001E-2</v>
      </c>
      <c r="W8258">
        <v>5.1455000000000001E-2</v>
      </c>
      <c r="X8258">
        <v>0.99852660000000004</v>
      </c>
      <c r="Y8258">
        <v>0.1813864</v>
      </c>
      <c r="Z8258">
        <v>-0.24349460000000001</v>
      </c>
      <c r="AA8258">
        <v>0.95279029999999998</v>
      </c>
      <c r="AB8258">
        <v>19</v>
      </c>
      <c r="AC8258">
        <v>0.128500000000002</v>
      </c>
      <c r="AD8258">
        <v>-0.17644459999999901</v>
      </c>
      <c r="AE8258">
        <v>0.50624899999999995</v>
      </c>
      <c r="AF8258">
        <v>0.11797800031675</v>
      </c>
      <c r="AG8258">
        <v>-0.17644459999999901</v>
      </c>
      <c r="AH8258">
        <v>0.45371407663132202</v>
      </c>
      <c r="AI8258">
        <v>110.62500413963301</v>
      </c>
      <c r="AJ8258">
        <v>75.4243241210999</v>
      </c>
      <c r="AK8258">
        <v>0.500907145847723</v>
      </c>
      <c r="AL8258">
        <v>87.050543315545497</v>
      </c>
      <c r="AM8258">
        <v>90.988946909037494</v>
      </c>
      <c r="AN8258">
        <v>1.00000004519025</v>
      </c>
    </row>
    <row r="8259" spans="1:40" x14ac:dyDescent="0.25">
      <c r="A8259" t="str">
        <f>"20190312160529021"</f>
        <v>20190312160529021</v>
      </c>
      <c r="B8259" t="str">
        <f>"1552377929012872"</f>
        <v>1552377929012872</v>
      </c>
      <c r="C8259" t="s">
        <v>40</v>
      </c>
      <c r="D8259">
        <v>5.7538749999999999</v>
      </c>
      <c r="E8259">
        <v>0.5749379</v>
      </c>
      <c r="F8259" t="s">
        <v>49</v>
      </c>
      <c r="G8259">
        <v>-187.203</v>
      </c>
      <c r="H8259">
        <v>0.89818639999999905</v>
      </c>
      <c r="I8259">
        <v>2.9733800000000001</v>
      </c>
      <c r="J8259">
        <v>-187.35589999999999</v>
      </c>
      <c r="K8259">
        <v>1.109853</v>
      </c>
      <c r="L8259">
        <v>2.2634889999999999</v>
      </c>
      <c r="M8259">
        <v>-5.7813530000000004E-3</v>
      </c>
      <c r="N8259">
        <v>0</v>
      </c>
      <c r="O8259">
        <v>0.99993779999999999</v>
      </c>
      <c r="P8259">
        <v>-2.3005729999999999E-2</v>
      </c>
      <c r="Q8259">
        <v>4.2238129999999999E-2</v>
      </c>
      <c r="R8259">
        <v>0.99884269999999997</v>
      </c>
      <c r="S8259">
        <v>0.55871579999999998</v>
      </c>
      <c r="T8259">
        <v>-0.77787790000000001</v>
      </c>
      <c r="U8259">
        <v>3.0489809999999999</v>
      </c>
      <c r="V8259">
        <v>-1.7224960000000001E-2</v>
      </c>
      <c r="W8259">
        <v>5.1759769999999997E-2</v>
      </c>
      <c r="X8259">
        <v>0.99851100000000004</v>
      </c>
      <c r="Y8259">
        <v>0.18051310000000001</v>
      </c>
      <c r="Z8259">
        <v>-0.2432675</v>
      </c>
      <c r="AA8259">
        <v>0.95301409999999998</v>
      </c>
      <c r="AB8259">
        <v>19</v>
      </c>
      <c r="AC8259">
        <v>0.15289999999998799</v>
      </c>
      <c r="AD8259">
        <v>-0.21166660000000001</v>
      </c>
      <c r="AE8259">
        <v>0.70989100000000005</v>
      </c>
      <c r="AF8259">
        <v>0.144707082151385</v>
      </c>
      <c r="AG8259">
        <v>-0.21166660000000001</v>
      </c>
      <c r="AH8259">
        <v>0.65347429785879196</v>
      </c>
      <c r="AI8259">
        <v>107.549479705728</v>
      </c>
      <c r="AJ8259">
        <v>77.513763409325605</v>
      </c>
      <c r="AK8259">
        <v>0.70197688504848099</v>
      </c>
      <c r="AL8259">
        <v>87.033057832673407</v>
      </c>
      <c r="AM8259">
        <v>90.988291196133702</v>
      </c>
      <c r="AN8259">
        <v>0.99999999507922699</v>
      </c>
    </row>
    <row r="8260" spans="1:40" x14ac:dyDescent="0.25">
      <c r="A8260" t="str">
        <f>"20190312160529042"</f>
        <v>20190312160529042</v>
      </c>
      <c r="B8260" t="str">
        <f>"1552377929033368"</f>
        <v>1552377929033368</v>
      </c>
      <c r="C8260" t="s">
        <v>40</v>
      </c>
      <c r="D8260">
        <v>5.7850339999999996</v>
      </c>
      <c r="E8260">
        <v>0.57497559999999903</v>
      </c>
      <c r="F8260" t="s">
        <v>49</v>
      </c>
      <c r="G8260">
        <v>-187.22370000000001</v>
      </c>
      <c r="H8260">
        <v>0.92544280000000001</v>
      </c>
      <c r="I8260">
        <v>2.9838140000000002</v>
      </c>
      <c r="J8260">
        <v>-187.3569</v>
      </c>
      <c r="K8260">
        <v>1.1098429999999999</v>
      </c>
      <c r="L8260">
        <v>2.4371339999999999</v>
      </c>
      <c r="M8260">
        <v>-5.7318050000000004E-3</v>
      </c>
      <c r="N8260">
        <v>0</v>
      </c>
      <c r="O8260">
        <v>0.99993849999999995</v>
      </c>
      <c r="P8260">
        <v>-2.3303290000000001E-2</v>
      </c>
      <c r="Q8260">
        <v>4.292928E-2</v>
      </c>
      <c r="R8260">
        <v>0.99880630000000004</v>
      </c>
      <c r="S8260">
        <v>0.55902099999999999</v>
      </c>
      <c r="T8260">
        <v>-0.78064599999999995</v>
      </c>
      <c r="U8260">
        <v>3.0493769999999998</v>
      </c>
      <c r="V8260">
        <v>-1.7571929999999999E-2</v>
      </c>
      <c r="W8260">
        <v>5.2415490000000002E-2</v>
      </c>
      <c r="X8260">
        <v>0.99847070000000004</v>
      </c>
      <c r="Y8260">
        <v>0.1804992</v>
      </c>
      <c r="Z8260">
        <v>-0.24404980000000001</v>
      </c>
      <c r="AA8260">
        <v>0.95281669999999996</v>
      </c>
      <c r="AB8260">
        <v>19</v>
      </c>
      <c r="AC8260">
        <v>0.13319999999998799</v>
      </c>
      <c r="AD8260">
        <v>-0.18440019999999999</v>
      </c>
      <c r="AE8260">
        <v>0.54667999999999894</v>
      </c>
      <c r="AF8260">
        <v>0.123109299233324</v>
      </c>
      <c r="AG8260">
        <v>-0.18440019999999999</v>
      </c>
      <c r="AH8260">
        <v>0.49296261032423599</v>
      </c>
      <c r="AI8260">
        <v>109.946815421761</v>
      </c>
      <c r="AJ8260">
        <v>75.978126244572906</v>
      </c>
      <c r="AK8260">
        <v>0.540528878502754</v>
      </c>
      <c r="AL8260">
        <v>86.995436630381107</v>
      </c>
      <c r="AM8260">
        <v>91.008235399072603</v>
      </c>
      <c r="AN8260">
        <v>0.99999994753717603</v>
      </c>
    </row>
    <row r="8261" spans="1:40" x14ac:dyDescent="0.25">
      <c r="A8261" t="str">
        <f>"20190312160529064"</f>
        <v>20190312160529064</v>
      </c>
      <c r="B8261" t="str">
        <f>"1552377929052887"</f>
        <v>1552377929052887</v>
      </c>
      <c r="C8261" t="s">
        <v>40</v>
      </c>
      <c r="D8261">
        <v>5.7647240000000002</v>
      </c>
      <c r="E8261">
        <v>0.57485520000000001</v>
      </c>
      <c r="F8261" t="s">
        <v>49</v>
      </c>
      <c r="G8261">
        <v>-187.22559999999999</v>
      </c>
      <c r="H8261">
        <v>0.9266818</v>
      </c>
      <c r="I8261">
        <v>3.153448</v>
      </c>
      <c r="J8261">
        <v>-187.3579</v>
      </c>
      <c r="K8261">
        <v>1.1098330000000001</v>
      </c>
      <c r="L8261">
        <v>2.6215820000000001</v>
      </c>
      <c r="M8261">
        <v>-5.6786869999999904E-3</v>
      </c>
      <c r="N8261">
        <v>0</v>
      </c>
      <c r="O8261">
        <v>0.99993909999999997</v>
      </c>
      <c r="P8261">
        <v>-2.4022559999999998E-2</v>
      </c>
      <c r="Q8261">
        <v>4.3046210000000001E-2</v>
      </c>
      <c r="R8261">
        <v>0.99878420000000001</v>
      </c>
      <c r="S8261">
        <v>0.55850219999999995</v>
      </c>
      <c r="T8261">
        <v>-0.77990939999999997</v>
      </c>
      <c r="U8261">
        <v>3.0501399999999999</v>
      </c>
      <c r="V8261">
        <v>-1.8344570000000001E-2</v>
      </c>
      <c r="W8261">
        <v>5.2498339999999998E-2</v>
      </c>
      <c r="X8261">
        <v>0.99845249999999997</v>
      </c>
      <c r="Y8261">
        <v>0.1802599</v>
      </c>
      <c r="Z8261">
        <v>-0.24378620000000001</v>
      </c>
      <c r="AA8261">
        <v>0.95292949999999998</v>
      </c>
      <c r="AB8261">
        <v>19</v>
      </c>
      <c r="AC8261">
        <v>0.13230000000001399</v>
      </c>
      <c r="AD8261">
        <v>-0.18315119999999999</v>
      </c>
      <c r="AE8261">
        <v>0.53186599999999995</v>
      </c>
      <c r="AF8261">
        <v>0.12172509890248601</v>
      </c>
      <c r="AG8261">
        <v>-0.18315119999999999</v>
      </c>
      <c r="AH8261">
        <v>0.477754607834668</v>
      </c>
      <c r="AI8261">
        <v>110.379533153041</v>
      </c>
      <c r="AJ8261">
        <v>75.705971181292</v>
      </c>
      <c r="AK8261">
        <v>0.52593804489836804</v>
      </c>
      <c r="AL8261">
        <v>86.990683278668001</v>
      </c>
      <c r="AM8261">
        <v>91.052577056403507</v>
      </c>
      <c r="AN8261">
        <v>0.99999999685374497</v>
      </c>
    </row>
    <row r="8262" spans="1:40" x14ac:dyDescent="0.25">
      <c r="A8262" t="str">
        <f>"20190312160529088"</f>
        <v>20190312160529088</v>
      </c>
      <c r="B8262" t="str">
        <f>"1552377929083144"</f>
        <v>1552377929083144</v>
      </c>
      <c r="C8262" t="s">
        <v>40</v>
      </c>
      <c r="D8262">
        <v>5.7751349999999997</v>
      </c>
      <c r="E8262">
        <v>0.57472579999999995</v>
      </c>
      <c r="F8262" t="s">
        <v>49</v>
      </c>
      <c r="G8262">
        <v>-187.22970000000001</v>
      </c>
      <c r="H8262">
        <v>0.93042290000000005</v>
      </c>
      <c r="I8262">
        <v>3.3245010000000002</v>
      </c>
      <c r="J8262">
        <v>-187.35890000000001</v>
      </c>
      <c r="K8262">
        <v>1.1098319999999999</v>
      </c>
      <c r="L8262">
        <v>2.817596</v>
      </c>
      <c r="M8262">
        <v>-5.6219290000000003E-3</v>
      </c>
      <c r="N8262">
        <v>0</v>
      </c>
      <c r="O8262">
        <v>0.99993969999999999</v>
      </c>
      <c r="P8262">
        <v>-2.464098E-2</v>
      </c>
      <c r="Q8262">
        <v>4.315397E-2</v>
      </c>
      <c r="R8262">
        <v>0.99876450000000006</v>
      </c>
      <c r="S8262">
        <v>0.55538940000000003</v>
      </c>
      <c r="T8262">
        <v>-0.77858760000000005</v>
      </c>
      <c r="U8262">
        <v>3.0505680000000002</v>
      </c>
      <c r="V8262">
        <v>-1.9019600000000001E-2</v>
      </c>
      <c r="W8262">
        <v>5.2574530000000001E-2</v>
      </c>
      <c r="X8262">
        <v>0.99843590000000004</v>
      </c>
      <c r="Y8262">
        <v>0.17925639999999901</v>
      </c>
      <c r="Z8262">
        <v>-0.24340980000000001</v>
      </c>
      <c r="AA8262">
        <v>0.95321500000000003</v>
      </c>
      <c r="AB8262">
        <v>19</v>
      </c>
      <c r="AC8262">
        <v>0.12919999999999701</v>
      </c>
      <c r="AD8262">
        <v>-0.17940909999999999</v>
      </c>
      <c r="AE8262">
        <v>0.50690500000000005</v>
      </c>
      <c r="AF8262">
        <v>0.118150388521727</v>
      </c>
      <c r="AG8262">
        <v>-0.17940909999999999</v>
      </c>
      <c r="AH8262">
        <v>0.45289828574944702</v>
      </c>
      <c r="AI8262">
        <v>110.972175607682</v>
      </c>
      <c r="AJ8262">
        <v>75.378769526037104</v>
      </c>
      <c r="AK8262">
        <v>0.50126240304398695</v>
      </c>
      <c r="AL8262">
        <v>86.986311995626707</v>
      </c>
      <c r="AM8262">
        <v>91.091317952035695</v>
      </c>
      <c r="AN8262">
        <v>1.0000000363988399</v>
      </c>
    </row>
    <row r="8263" spans="1:40" x14ac:dyDescent="0.25">
      <c r="A8263" t="str">
        <f>"20190312160529111"</f>
        <v>20190312160529111</v>
      </c>
      <c r="B8263" t="str">
        <f>"1552377929103639"</f>
        <v>1552377929103639</v>
      </c>
      <c r="C8263" t="s">
        <v>40</v>
      </c>
      <c r="D8263">
        <v>5.7702359999999997</v>
      </c>
      <c r="E8263">
        <v>0.57486409999999999</v>
      </c>
      <c r="F8263" t="s">
        <v>49</v>
      </c>
      <c r="G8263">
        <v>-187.23570000000001</v>
      </c>
      <c r="H8263">
        <v>0.93732559999999998</v>
      </c>
      <c r="I8263">
        <v>3.4974620000000001</v>
      </c>
      <c r="J8263">
        <v>-187.36</v>
      </c>
      <c r="K8263">
        <v>1.109831</v>
      </c>
      <c r="L8263">
        <v>3.0187379999999999</v>
      </c>
      <c r="M8263">
        <v>-5.5627050000000003E-3</v>
      </c>
      <c r="N8263">
        <v>0</v>
      </c>
      <c r="O8263">
        <v>0.9999403</v>
      </c>
      <c r="P8263">
        <v>-2.525345E-2</v>
      </c>
      <c r="Q8263">
        <v>4.3235030000000001E-2</v>
      </c>
      <c r="R8263">
        <v>0.99874569999999996</v>
      </c>
      <c r="S8263">
        <v>0.55241390000000001</v>
      </c>
      <c r="T8263">
        <v>-0.77408129999999997</v>
      </c>
      <c r="U8263">
        <v>3.0507810000000002</v>
      </c>
      <c r="V8263">
        <v>-1.9691779999999999E-2</v>
      </c>
      <c r="W8263">
        <v>5.2627380000000001E-2</v>
      </c>
      <c r="X8263">
        <v>0.99842010000000003</v>
      </c>
      <c r="Y8263">
        <v>0.17834430000000001</v>
      </c>
      <c r="Z8263">
        <v>-0.24210960000000001</v>
      </c>
      <c r="AA8263">
        <v>0.95371709999999998</v>
      </c>
      <c r="AB8263">
        <v>19</v>
      </c>
      <c r="AC8263">
        <v>0.124300000000005</v>
      </c>
      <c r="AD8263">
        <v>-0.1725054</v>
      </c>
      <c r="AE8263">
        <v>0.47872399999999998</v>
      </c>
      <c r="AF8263">
        <v>0.113191776493442</v>
      </c>
      <c r="AG8263">
        <v>-0.1725054</v>
      </c>
      <c r="AH8263">
        <v>0.42618149864126997</v>
      </c>
      <c r="AI8263">
        <v>111.36577917839099</v>
      </c>
      <c r="AJ8263">
        <v>75.125910869625599</v>
      </c>
      <c r="AK8263">
        <v>0.473498850134845</v>
      </c>
      <c r="AL8263">
        <v>86.983279762152407</v>
      </c>
      <c r="AM8263">
        <v>91.129894744879294</v>
      </c>
      <c r="AN8263">
        <v>1.0000000517046199</v>
      </c>
    </row>
    <row r="8264" spans="1:40" x14ac:dyDescent="0.25">
      <c r="A8264" t="str">
        <f>"20190312160529131"</f>
        <v>20190312160529131</v>
      </c>
      <c r="B8264" t="str">
        <f>"1552377929123160"</f>
        <v>1552377929123160</v>
      </c>
      <c r="C8264" t="s">
        <v>40</v>
      </c>
      <c r="D8264">
        <v>5.9100789999999996</v>
      </c>
      <c r="E8264">
        <v>0.57458189999999998</v>
      </c>
      <c r="F8264" t="s">
        <v>49</v>
      </c>
      <c r="G8264">
        <v>-187.214</v>
      </c>
      <c r="H8264">
        <v>0.90492930000000005</v>
      </c>
      <c r="I8264">
        <v>3.8256299999999999</v>
      </c>
      <c r="J8264">
        <v>-187.36089999999999</v>
      </c>
      <c r="K8264">
        <v>1.109831</v>
      </c>
      <c r="L8264">
        <v>3.1984859999999999</v>
      </c>
      <c r="M8264">
        <v>-5.5097050000000002E-3</v>
      </c>
      <c r="N8264">
        <v>0</v>
      </c>
      <c r="O8264">
        <v>0.99994079999999996</v>
      </c>
      <c r="P8264">
        <v>-2.5626400000000001E-2</v>
      </c>
      <c r="Q8264">
        <v>4.3244129999999999E-2</v>
      </c>
      <c r="R8264">
        <v>0.99873579999999995</v>
      </c>
      <c r="S8264">
        <v>0.55181880000000005</v>
      </c>
      <c r="T8264">
        <v>-0.77482859999999998</v>
      </c>
      <c r="U8264">
        <v>3.0512700000000001</v>
      </c>
      <c r="V8264">
        <v>-2.0116930000000002E-2</v>
      </c>
      <c r="W8264">
        <v>5.2615490000000001E-2</v>
      </c>
      <c r="X8264">
        <v>0.99841219999999997</v>
      </c>
      <c r="Y8264">
        <v>0.1780767</v>
      </c>
      <c r="Z8264">
        <v>-0.2423034</v>
      </c>
      <c r="AA8264">
        <v>0.95371779999999995</v>
      </c>
      <c r="AB8264">
        <v>19</v>
      </c>
      <c r="AC8264">
        <v>0.14689999999995901</v>
      </c>
      <c r="AD8264">
        <v>-0.20490169999999999</v>
      </c>
      <c r="AE8264">
        <v>0.62714400000000003</v>
      </c>
      <c r="AF8264">
        <v>0.136536492446892</v>
      </c>
      <c r="AG8264">
        <v>-0.20490169999999999</v>
      </c>
      <c r="AH8264">
        <v>0.56876854490045603</v>
      </c>
      <c r="AI8264">
        <v>109.305505070123</v>
      </c>
      <c r="AJ8264">
        <v>76.501214784613893</v>
      </c>
      <c r="AK8264">
        <v>0.61977784576473205</v>
      </c>
      <c r="AL8264">
        <v>86.983961800673697</v>
      </c>
      <c r="AM8264">
        <v>91.154292029411806</v>
      </c>
      <c r="AN8264">
        <v>1.0000000008847001</v>
      </c>
    </row>
    <row r="8265" spans="1:40" x14ac:dyDescent="0.25">
      <c r="A8265" t="str">
        <f>"20190312160529153"</f>
        <v>20190312160529153</v>
      </c>
      <c r="B8265" t="str">
        <f>"1552377929143660"</f>
        <v>1552377929143660</v>
      </c>
      <c r="C8265" t="s">
        <v>40</v>
      </c>
      <c r="D8265">
        <v>5.7943470000000001</v>
      </c>
      <c r="E8265">
        <v>0.57463909999999996</v>
      </c>
      <c r="F8265" t="s">
        <v>49</v>
      </c>
      <c r="G8265">
        <v>-187.21719999999999</v>
      </c>
      <c r="H8265">
        <v>0.90807689999999996</v>
      </c>
      <c r="I8265">
        <v>3.9979680000000002</v>
      </c>
      <c r="J8265">
        <v>-187.36189999999999</v>
      </c>
      <c r="K8265">
        <v>1.1098239999999999</v>
      </c>
      <c r="L8265">
        <v>3.3864749999999999</v>
      </c>
      <c r="M8265">
        <v>-5.4541199999999998E-3</v>
      </c>
      <c r="N8265">
        <v>0</v>
      </c>
      <c r="O8265">
        <v>0.99994130000000003</v>
      </c>
      <c r="P8265">
        <v>-2.5700540000000001E-2</v>
      </c>
      <c r="Q8265">
        <v>4.3064150000000002E-2</v>
      </c>
      <c r="R8265">
        <v>0.99874169999999995</v>
      </c>
      <c r="S8265">
        <v>0.54804989999999998</v>
      </c>
      <c r="T8265">
        <v>-0.76997269999999995</v>
      </c>
      <c r="U8265">
        <v>3.0512079999999999</v>
      </c>
      <c r="V8265">
        <v>-2.0247109999999999E-2</v>
      </c>
      <c r="W8265">
        <v>5.241548E-2</v>
      </c>
      <c r="X8265">
        <v>0.99842010000000003</v>
      </c>
      <c r="Y8265">
        <v>0.17694489999999999</v>
      </c>
      <c r="Z8265">
        <v>-0.2409288</v>
      </c>
      <c r="AA8265">
        <v>0.95427660000000003</v>
      </c>
      <c r="AB8265">
        <v>19</v>
      </c>
      <c r="AC8265">
        <v>0.1447</v>
      </c>
      <c r="AD8265">
        <v>-0.20174709999999901</v>
      </c>
      <c r="AE8265">
        <v>0.61149299999999995</v>
      </c>
      <c r="AF8265">
        <v>0.134199973003539</v>
      </c>
      <c r="AG8265">
        <v>-0.20174709999999901</v>
      </c>
      <c r="AH8265">
        <v>0.55362739141605199</v>
      </c>
      <c r="AI8265">
        <v>109.50176845603799</v>
      </c>
      <c r="AJ8265">
        <v>76.374249265744595</v>
      </c>
      <c r="AK8265">
        <v>0.60433005356237501</v>
      </c>
      <c r="AL8265">
        <v>86.995437398124693</v>
      </c>
      <c r="AM8265">
        <v>91.161750414604796</v>
      </c>
      <c r="AN8265">
        <v>1.0000000120454899</v>
      </c>
    </row>
    <row r="8266" spans="1:40" x14ac:dyDescent="0.25">
      <c r="A8266" t="str">
        <f>"20190312160529174"</f>
        <v>20190312160529174</v>
      </c>
      <c r="B8266" t="str">
        <f>"1552377929163179"</f>
        <v>1552377929163179</v>
      </c>
      <c r="C8266" t="s">
        <v>40</v>
      </c>
      <c r="D8266">
        <v>5.4871230000000004</v>
      </c>
      <c r="E8266">
        <v>0.57471039999999995</v>
      </c>
      <c r="F8266" t="s">
        <v>49</v>
      </c>
      <c r="G8266">
        <v>-187.2209</v>
      </c>
      <c r="H8266">
        <v>0.91192830000000002</v>
      </c>
      <c r="I8266">
        <v>4.1709630000000004</v>
      </c>
      <c r="J8266">
        <v>-187.36279999999999</v>
      </c>
      <c r="K8266">
        <v>1.109823</v>
      </c>
      <c r="L8266">
        <v>3.569153</v>
      </c>
      <c r="M8266">
        <v>-5.4001759999999996E-3</v>
      </c>
      <c r="N8266">
        <v>0</v>
      </c>
      <c r="O8266">
        <v>0.99994179999999999</v>
      </c>
      <c r="P8266">
        <v>-2.544621E-2</v>
      </c>
      <c r="Q8266">
        <v>4.3345500000000002E-2</v>
      </c>
      <c r="R8266">
        <v>0.99873599999999996</v>
      </c>
      <c r="S8266">
        <v>0.54818730000000004</v>
      </c>
      <c r="T8266">
        <v>-0.76966179999999995</v>
      </c>
      <c r="U8266">
        <v>3.0510860000000002</v>
      </c>
      <c r="V8266">
        <v>-2.0046399999999999E-2</v>
      </c>
      <c r="W8266">
        <v>5.2679770000000001E-2</v>
      </c>
      <c r="X8266">
        <v>0.99841020000000003</v>
      </c>
      <c r="Y8266">
        <v>0.17694379999999901</v>
      </c>
      <c r="Z8266">
        <v>-0.24084539999999999</v>
      </c>
      <c r="AA8266">
        <v>0.95429779999999997</v>
      </c>
      <c r="AB8266">
        <v>19</v>
      </c>
      <c r="AC8266">
        <v>0.141899999999992</v>
      </c>
      <c r="AD8266">
        <v>-0.19789469999999901</v>
      </c>
      <c r="AE8266">
        <v>0.60180999999999896</v>
      </c>
      <c r="AF8266">
        <v>0.13166114127223799</v>
      </c>
      <c r="AG8266">
        <v>-0.19789469999999901</v>
      </c>
      <c r="AH8266">
        <v>0.54518813603232796</v>
      </c>
      <c r="AI8266">
        <v>109.434934279628</v>
      </c>
      <c r="AJ8266">
        <v>76.423209607083393</v>
      </c>
      <c r="AK8266">
        <v>0.59474958770864395</v>
      </c>
      <c r="AL8266">
        <v>86.980273625521093</v>
      </c>
      <c r="AM8266">
        <v>91.150248471784906</v>
      </c>
      <c r="AN8266">
        <v>0.99999997189212597</v>
      </c>
    </row>
    <row r="8267" spans="1:40" x14ac:dyDescent="0.25">
      <c r="A8267" t="str">
        <f>"20190312160529188"</f>
        <v>20190312160529188</v>
      </c>
      <c r="B8267" t="str">
        <f>"1552377929183671"</f>
        <v>1552377929183671</v>
      </c>
      <c r="C8267" t="s">
        <v>40</v>
      </c>
      <c r="D8267">
        <v>5.8170120000000001</v>
      </c>
      <c r="E8267">
        <v>0.559415</v>
      </c>
      <c r="F8267" t="s">
        <v>49</v>
      </c>
      <c r="G8267">
        <v>-187.22300000000001</v>
      </c>
      <c r="H8267">
        <v>0.91468640000000001</v>
      </c>
      <c r="I8267">
        <v>4.3439779999999999</v>
      </c>
      <c r="J8267">
        <v>-187.36340000000001</v>
      </c>
      <c r="K8267">
        <v>1.1098250000000001</v>
      </c>
      <c r="L8267">
        <v>3.68573</v>
      </c>
      <c r="M8267">
        <v>-5.3658469999999896E-3</v>
      </c>
      <c r="N8267">
        <v>0</v>
      </c>
      <c r="O8267">
        <v>0.99994209999999994</v>
      </c>
      <c r="P8267">
        <v>-2.5217650000000001E-2</v>
      </c>
      <c r="Q8267">
        <v>4.3296670000000002E-2</v>
      </c>
      <c r="R8267">
        <v>0.99874399999999997</v>
      </c>
      <c r="S8267">
        <v>0.54986569999999901</v>
      </c>
      <c r="T8267">
        <v>-0.76839860000000004</v>
      </c>
      <c r="U8267">
        <v>3.0511469999999998</v>
      </c>
      <c r="V8267">
        <v>-1.985222E-2</v>
      </c>
      <c r="W8267">
        <v>5.2621189999999998E-2</v>
      </c>
      <c r="X8267">
        <v>0.9984172</v>
      </c>
      <c r="Y8267">
        <v>0.1774327</v>
      </c>
      <c r="Z8267">
        <v>-0.24044740000000001</v>
      </c>
      <c r="AA8267">
        <v>0.95430740000000003</v>
      </c>
      <c r="AB8267">
        <v>19</v>
      </c>
      <c r="AC8267">
        <v>0.140400000000028</v>
      </c>
      <c r="AD8267">
        <v>-0.1951386</v>
      </c>
      <c r="AE8267">
        <v>0.65824799999999895</v>
      </c>
      <c r="AF8267">
        <v>0.13276966718067701</v>
      </c>
      <c r="AG8267">
        <v>-0.1951386</v>
      </c>
      <c r="AH8267">
        <v>0.60650292380523296</v>
      </c>
      <c r="AI8267">
        <v>107.447989752393</v>
      </c>
      <c r="AJ8267">
        <v>77.652154219094697</v>
      </c>
      <c r="AK8267">
        <v>0.65080923035673399</v>
      </c>
      <c r="AL8267">
        <v>86.983634767361906</v>
      </c>
      <c r="AM8267">
        <v>91.139101524414798</v>
      </c>
      <c r="AN8267">
        <v>1.00000000276589</v>
      </c>
    </row>
    <row r="8268" spans="1:40" x14ac:dyDescent="0.25">
      <c r="A8268" t="str">
        <f>"20190312160529209"</f>
        <v>20190312160529209</v>
      </c>
      <c r="B8268" t="str">
        <f>"1552377929203192"</f>
        <v>1552377929203192</v>
      </c>
      <c r="C8268" t="s">
        <v>40</v>
      </c>
      <c r="D8268">
        <v>5.9364970000000001</v>
      </c>
      <c r="E8268">
        <v>0.55897330000000001</v>
      </c>
      <c r="F8268" t="s">
        <v>49</v>
      </c>
      <c r="G8268">
        <v>-187.2449</v>
      </c>
      <c r="H8268">
        <v>0.97782910000000001</v>
      </c>
      <c r="I8268">
        <v>4.5443920000000002</v>
      </c>
      <c r="J8268">
        <v>-187.36429999999999</v>
      </c>
      <c r="K8268">
        <v>1.109823</v>
      </c>
      <c r="L8268">
        <v>3.8603209999999999</v>
      </c>
      <c r="M8268">
        <v>-5.3141259999999997E-3</v>
      </c>
      <c r="N8268">
        <v>0</v>
      </c>
      <c r="O8268">
        <v>0.99994240000000001</v>
      </c>
      <c r="P8268">
        <v>-2.4811699999999999E-2</v>
      </c>
      <c r="Q8268">
        <v>4.3174570000000002E-2</v>
      </c>
      <c r="R8268">
        <v>0.99875939999999996</v>
      </c>
      <c r="S8268">
        <v>0.41838069999999999</v>
      </c>
      <c r="T8268">
        <v>-0.46647270000000002</v>
      </c>
      <c r="U8268">
        <v>3.0345460000000002</v>
      </c>
      <c r="V8268">
        <v>-1.949768E-2</v>
      </c>
      <c r="W8268">
        <v>5.248597E-2</v>
      </c>
      <c r="X8268">
        <v>0.99843130000000002</v>
      </c>
      <c r="Y8268">
        <v>0.14028750000000001</v>
      </c>
      <c r="Z8268">
        <v>-0.15048590000000001</v>
      </c>
      <c r="AA8268">
        <v>0.97860789999999998</v>
      </c>
      <c r="AB8268">
        <v>19</v>
      </c>
      <c r="AC8268">
        <v>0.11939999999998401</v>
      </c>
      <c r="AD8268">
        <v>-0.1319939</v>
      </c>
      <c r="AE8268">
        <v>0.68407099999999998</v>
      </c>
      <c r="AF8268">
        <v>0.118743470325286</v>
      </c>
      <c r="AG8268">
        <v>-0.1319939</v>
      </c>
      <c r="AH8268">
        <v>0.65959540409615802</v>
      </c>
      <c r="AI8268">
        <v>101.14166302864599</v>
      </c>
      <c r="AJ8268">
        <v>79.794655022464397</v>
      </c>
      <c r="AK8268">
        <v>0.68307283541865205</v>
      </c>
      <c r="AL8268">
        <v>86.991393011485499</v>
      </c>
      <c r="AM8268">
        <v>91.118747778091304</v>
      </c>
      <c r="AN8268">
        <v>0.99999999869595602</v>
      </c>
    </row>
    <row r="8269" spans="1:40" x14ac:dyDescent="0.25">
      <c r="A8269" t="str">
        <f>"20190312160529232"</f>
        <v>20190312160529232</v>
      </c>
      <c r="B8269" t="str">
        <f>"1552377929223687"</f>
        <v>1552377929223687</v>
      </c>
      <c r="C8269" t="s">
        <v>40</v>
      </c>
      <c r="D8269">
        <v>5.8011839999999903</v>
      </c>
      <c r="E8269">
        <v>0.55884869999999898</v>
      </c>
      <c r="F8269" t="s">
        <v>49</v>
      </c>
      <c r="G8269">
        <v>-187.2466</v>
      </c>
      <c r="H8269">
        <v>0.97656419999999999</v>
      </c>
      <c r="I8269">
        <v>4.7164519999999897</v>
      </c>
      <c r="J8269">
        <v>-187.36529999999999</v>
      </c>
      <c r="K8269">
        <v>1.1098209999999999</v>
      </c>
      <c r="L8269">
        <v>4.061401</v>
      </c>
      <c r="M8269">
        <v>-5.2550849999999996E-3</v>
      </c>
      <c r="N8269">
        <v>0</v>
      </c>
      <c r="O8269">
        <v>0.99994280000000002</v>
      </c>
      <c r="P8269">
        <v>-2.426449E-2</v>
      </c>
      <c r="Q8269">
        <v>4.3099560000000002E-2</v>
      </c>
      <c r="R8269">
        <v>0.99877609999999994</v>
      </c>
      <c r="S8269">
        <v>0.41651919999999998</v>
      </c>
      <c r="T8269">
        <v>-0.47231339999999999</v>
      </c>
      <c r="U8269">
        <v>3.0344850000000001</v>
      </c>
      <c r="V8269">
        <v>-1.9009769999999999E-2</v>
      </c>
      <c r="W8269">
        <v>5.2398340000000002E-2</v>
      </c>
      <c r="X8269">
        <v>0.99844529999999998</v>
      </c>
      <c r="Y8269">
        <v>0.139603799999999</v>
      </c>
      <c r="Z8269">
        <v>-0.152342899999999</v>
      </c>
      <c r="AA8269">
        <v>0.97841840000000002</v>
      </c>
      <c r="AB8269">
        <v>19</v>
      </c>
      <c r="AC8269">
        <v>0.11869999999998899</v>
      </c>
      <c r="AD8269">
        <v>-0.13325679999999901</v>
      </c>
      <c r="AE8269">
        <v>0.65505099999999905</v>
      </c>
      <c r="AF8269">
        <v>0.11743546061483599</v>
      </c>
      <c r="AG8269">
        <v>-0.13325679999999901</v>
      </c>
      <c r="AH8269">
        <v>0.62920710894514897</v>
      </c>
      <c r="AI8269">
        <v>101.760428879573</v>
      </c>
      <c r="AJ8269">
        <v>79.427931400913707</v>
      </c>
      <c r="AK8269">
        <v>0.65379664124494496</v>
      </c>
      <c r="AL8269">
        <v>86.996420724579806</v>
      </c>
      <c r="AM8269">
        <v>91.090743790162307</v>
      </c>
      <c r="AN8269">
        <v>0.99999998724114902</v>
      </c>
    </row>
    <row r="8270" spans="1:40" x14ac:dyDescent="0.25">
      <c r="A8270" t="str">
        <f>"20190312160529253"</f>
        <v>20190312160529253</v>
      </c>
      <c r="B8270" t="str">
        <f>"1552377929243211"</f>
        <v>1552377929243211</v>
      </c>
      <c r="C8270" t="s">
        <v>40</v>
      </c>
      <c r="D8270">
        <v>5.7810649999999999</v>
      </c>
      <c r="E8270">
        <v>0.55900139999999998</v>
      </c>
      <c r="F8270" t="s">
        <v>49</v>
      </c>
      <c r="G8270">
        <v>-187.25120000000001</v>
      </c>
      <c r="H8270">
        <v>0.97919140000000005</v>
      </c>
      <c r="I8270">
        <v>4.8906900000000002</v>
      </c>
      <c r="J8270">
        <v>-187.36619999999999</v>
      </c>
      <c r="K8270">
        <v>1.1098209999999999</v>
      </c>
      <c r="L8270">
        <v>4.2474980000000002</v>
      </c>
      <c r="M8270">
        <v>-5.2002359999999996E-3</v>
      </c>
      <c r="N8270">
        <v>0</v>
      </c>
      <c r="O8270">
        <v>0.99994329999999998</v>
      </c>
      <c r="P8270">
        <v>-2.3971570000000001E-2</v>
      </c>
      <c r="Q8270">
        <v>4.3124339999999997E-2</v>
      </c>
      <c r="R8270">
        <v>0.99878210000000001</v>
      </c>
      <c r="S8270">
        <v>0.41728209999999999</v>
      </c>
      <c r="T8270">
        <v>-0.47798020000000002</v>
      </c>
      <c r="U8270">
        <v>3.0344540000000002</v>
      </c>
      <c r="V8270">
        <v>-1.8771240000000002E-2</v>
      </c>
      <c r="W8270">
        <v>5.241262E-2</v>
      </c>
      <c r="X8270">
        <v>0.99844909999999998</v>
      </c>
      <c r="Y8270">
        <v>0.13975470000000001</v>
      </c>
      <c r="Z8270">
        <v>-0.15412439999999999</v>
      </c>
      <c r="AA8270">
        <v>0.97811769999999998</v>
      </c>
      <c r="AB8270">
        <v>19</v>
      </c>
      <c r="AC8270">
        <v>0.11499999999997999</v>
      </c>
      <c r="AD8270">
        <v>-0.13062959999999901</v>
      </c>
      <c r="AE8270">
        <v>0.64319199999999999</v>
      </c>
      <c r="AF8270">
        <v>0.113794939266413</v>
      </c>
      <c r="AG8270">
        <v>-0.13062959999999901</v>
      </c>
      <c r="AH8270">
        <v>0.61788816951195802</v>
      </c>
      <c r="AI8270">
        <v>101.74539192180301</v>
      </c>
      <c r="AJ8270">
        <v>79.564907208670107</v>
      </c>
      <c r="AK8270">
        <v>0.64171580206633905</v>
      </c>
      <c r="AL8270">
        <v>86.995601524768901</v>
      </c>
      <c r="AM8270">
        <v>91.077056546981794</v>
      </c>
      <c r="AN8270">
        <v>1.0000000237386</v>
      </c>
    </row>
    <row r="8271" spans="1:40" x14ac:dyDescent="0.25">
      <c r="A8271" t="str">
        <f>"20190312160529268"</f>
        <v>20190312160529268</v>
      </c>
      <c r="B8271" t="str">
        <f>"1552377929263703"</f>
        <v>1552377929263703</v>
      </c>
      <c r="C8271" t="s">
        <v>40</v>
      </c>
      <c r="D8271">
        <v>5.9723689999999996</v>
      </c>
      <c r="E8271">
        <v>0.5590929</v>
      </c>
      <c r="F8271" t="s">
        <v>49</v>
      </c>
      <c r="G8271">
        <v>-187.25299999999999</v>
      </c>
      <c r="H8271">
        <v>0.98049200000000003</v>
      </c>
      <c r="I8271">
        <v>5.0647640000000003</v>
      </c>
      <c r="J8271">
        <v>-187.36680000000001</v>
      </c>
      <c r="K8271">
        <v>1.1098209999999999</v>
      </c>
      <c r="L8271">
        <v>4.371124</v>
      </c>
      <c r="M8271">
        <v>-5.163717E-3</v>
      </c>
      <c r="N8271">
        <v>0</v>
      </c>
      <c r="O8271">
        <v>0.99994349999999999</v>
      </c>
      <c r="P8271">
        <v>-2.3793439999999999E-2</v>
      </c>
      <c r="Q8271">
        <v>4.332279E-2</v>
      </c>
      <c r="R8271">
        <v>0.99877769999999999</v>
      </c>
      <c r="S8271">
        <v>0.41960140000000001</v>
      </c>
      <c r="T8271">
        <v>-0.48017300000000002</v>
      </c>
      <c r="U8271">
        <v>3.0344540000000002</v>
      </c>
      <c r="V8271">
        <v>-1.8629650000000001E-2</v>
      </c>
      <c r="W8271">
        <v>5.2604529999999997E-2</v>
      </c>
      <c r="X8271">
        <v>0.99844160000000004</v>
      </c>
      <c r="Y8271">
        <v>0.1404377</v>
      </c>
      <c r="Z8271">
        <v>-0.1547991</v>
      </c>
      <c r="AA8271">
        <v>0.97791329999999999</v>
      </c>
      <c r="AB8271">
        <v>19</v>
      </c>
      <c r="AC8271">
        <v>0.11380000000002601</v>
      </c>
      <c r="AD8271">
        <v>-0.129328999999999</v>
      </c>
      <c r="AE8271">
        <v>0.69364000000000003</v>
      </c>
      <c r="AF8271">
        <v>0.11353690953597</v>
      </c>
      <c r="AG8271">
        <v>-0.129328999999999</v>
      </c>
      <c r="AH8271">
        <v>0.67035018256020296</v>
      </c>
      <c r="AI8271">
        <v>100.770049798754</v>
      </c>
      <c r="AJ8271">
        <v>80.3870657896003</v>
      </c>
      <c r="AK8271">
        <v>0.69208813551922499</v>
      </c>
      <c r="AL8271">
        <v>86.984590523518804</v>
      </c>
      <c r="AM8271">
        <v>91.068942313237002</v>
      </c>
      <c r="AN8271">
        <v>0.99999996452310103</v>
      </c>
    </row>
    <row r="8272" spans="1:40" x14ac:dyDescent="0.25">
      <c r="A8272" t="str">
        <f>"20190312160529289"</f>
        <v>20190312160529289</v>
      </c>
      <c r="B8272" t="str">
        <f>"1552377929283224"</f>
        <v>1552377929283224</v>
      </c>
      <c r="C8272" t="s">
        <v>40</v>
      </c>
      <c r="D8272">
        <v>5.8138339999999999</v>
      </c>
      <c r="E8272">
        <v>0.55905780000000005</v>
      </c>
      <c r="F8272" t="s">
        <v>49</v>
      </c>
      <c r="G8272">
        <v>-187.24680000000001</v>
      </c>
      <c r="H8272">
        <v>0.97324319999999997</v>
      </c>
      <c r="I8272">
        <v>5.2353569999999996</v>
      </c>
      <c r="J8272">
        <v>-187.36770000000001</v>
      </c>
      <c r="K8272">
        <v>1.1098209999999999</v>
      </c>
      <c r="L8272">
        <v>4.5488589999999904</v>
      </c>
      <c r="M8272">
        <v>-5.11146E-3</v>
      </c>
      <c r="N8272">
        <v>0</v>
      </c>
      <c r="O8272">
        <v>0.9999439</v>
      </c>
      <c r="P8272">
        <v>-2.3943140000000002E-2</v>
      </c>
      <c r="Q8272">
        <v>4.3939449999999998E-2</v>
      </c>
      <c r="R8272">
        <v>0.99874719999999995</v>
      </c>
      <c r="S8272">
        <v>0.42114259999999898</v>
      </c>
      <c r="T8272">
        <v>-0.4795432</v>
      </c>
      <c r="U8272">
        <v>3.0345149999999999</v>
      </c>
      <c r="V8272">
        <v>-1.8831850000000001E-2</v>
      </c>
      <c r="W8272">
        <v>5.3213070000000001E-2</v>
      </c>
      <c r="X8272">
        <v>0.9984056</v>
      </c>
      <c r="Y8272">
        <v>0.1408751</v>
      </c>
      <c r="Z8272">
        <v>-0.154588</v>
      </c>
      <c r="AA8272">
        <v>0.97788379999999997</v>
      </c>
      <c r="AB8272">
        <v>19</v>
      </c>
      <c r="AC8272">
        <v>0.120900000000006</v>
      </c>
      <c r="AD8272">
        <v>-0.1365778</v>
      </c>
      <c r="AE8272">
        <v>0.68649800000000005</v>
      </c>
      <c r="AF8272">
        <v>0.119808159123932</v>
      </c>
      <c r="AG8272">
        <v>-0.1365778</v>
      </c>
      <c r="AH8272">
        <v>0.66051398418821905</v>
      </c>
      <c r="AI8272">
        <v>101.50015850985299</v>
      </c>
      <c r="AJ8272">
        <v>79.719110914967004</v>
      </c>
      <c r="AK8272">
        <v>0.68504468011488195</v>
      </c>
      <c r="AL8272">
        <v>86.949674969252001</v>
      </c>
      <c r="AM8272">
        <v>91.080580472567206</v>
      </c>
      <c r="AN8272">
        <v>1.0000000057523</v>
      </c>
    </row>
    <row r="8273" spans="1:40" x14ac:dyDescent="0.25">
      <c r="A8273" t="str">
        <f>"20190312160529311"</f>
        <v>20190312160529311</v>
      </c>
      <c r="B8273" t="str">
        <f>"1552377929303719"</f>
        <v>1552377929303719</v>
      </c>
      <c r="C8273" t="s">
        <v>40</v>
      </c>
      <c r="D8273">
        <v>5.8230589999999998</v>
      </c>
      <c r="E8273">
        <v>0.5591043</v>
      </c>
      <c r="F8273" t="s">
        <v>49</v>
      </c>
      <c r="G8273">
        <v>-187.2483</v>
      </c>
      <c r="H8273">
        <v>0.9739139</v>
      </c>
      <c r="I8273">
        <v>5.4099149999999998</v>
      </c>
      <c r="J8273">
        <v>-187.36859999999999</v>
      </c>
      <c r="K8273">
        <v>1.10982</v>
      </c>
      <c r="L8273">
        <v>4.7458799999999997</v>
      </c>
      <c r="M8273">
        <v>-5.0536160000000004E-3</v>
      </c>
      <c r="N8273">
        <v>0</v>
      </c>
      <c r="O8273">
        <v>0.99994419999999995</v>
      </c>
      <c r="P8273">
        <v>-2.3840980000000001E-2</v>
      </c>
      <c r="Q8273">
        <v>4.3916289999999997E-2</v>
      </c>
      <c r="R8273">
        <v>0.99875069999999999</v>
      </c>
      <c r="S8273">
        <v>0.42010500000000001</v>
      </c>
      <c r="T8273">
        <v>-0.47900710000000002</v>
      </c>
      <c r="U8273">
        <v>3.0349119999999998</v>
      </c>
      <c r="V8273">
        <v>-1.8787129999999999E-2</v>
      </c>
      <c r="W8273">
        <v>5.3182599999999997E-2</v>
      </c>
      <c r="X8273">
        <v>0.99840810000000002</v>
      </c>
      <c r="Y8273">
        <v>0.1404763</v>
      </c>
      <c r="Z8273">
        <v>-0.15440779999999901</v>
      </c>
      <c r="AA8273">
        <v>0.97796959999999999</v>
      </c>
      <c r="AB8273">
        <v>19</v>
      </c>
      <c r="AC8273">
        <v>0.120299999999986</v>
      </c>
      <c r="AD8273">
        <v>-0.135906099999999</v>
      </c>
      <c r="AE8273">
        <v>0.66403499999999904</v>
      </c>
      <c r="AF8273">
        <v>0.11883474790842299</v>
      </c>
      <c r="AG8273">
        <v>-0.135906099999999</v>
      </c>
      <c r="AH8273">
        <v>0.63756068788190801</v>
      </c>
      <c r="AI8273">
        <v>101.83545090899</v>
      </c>
      <c r="AJ8273">
        <v>79.441811816923504</v>
      </c>
      <c r="AK8273">
        <v>0.66262794693562399</v>
      </c>
      <c r="AL8273">
        <v>86.951423350719693</v>
      </c>
      <c r="AM8273">
        <v>91.078012325356298</v>
      </c>
      <c r="AN8273">
        <v>1.000000039671</v>
      </c>
    </row>
    <row r="8274" spans="1:40" x14ac:dyDescent="0.25">
      <c r="A8274" t="str">
        <f>"20190312160529334"</f>
        <v>20190312160529334</v>
      </c>
      <c r="B8274" t="str">
        <f>"1552377929323240"</f>
        <v>1552377929323240</v>
      </c>
      <c r="C8274" t="s">
        <v>40</v>
      </c>
      <c r="D8274">
        <v>5.8014130000000002</v>
      </c>
      <c r="E8274">
        <v>0.55904569999999998</v>
      </c>
      <c r="F8274" t="s">
        <v>49</v>
      </c>
      <c r="G8274">
        <v>-187.25210000000001</v>
      </c>
      <c r="H8274">
        <v>0.97698620000000003</v>
      </c>
      <c r="I8274">
        <v>5.5859560000000004</v>
      </c>
      <c r="J8274">
        <v>-187.36959999999999</v>
      </c>
      <c r="K8274">
        <v>1.109815</v>
      </c>
      <c r="L8274">
        <v>4.9520869999999997</v>
      </c>
      <c r="M8274">
        <v>-4.9932450000000003E-3</v>
      </c>
      <c r="N8274">
        <v>0</v>
      </c>
      <c r="O8274">
        <v>0.99994459999999996</v>
      </c>
      <c r="P8274">
        <v>-2.4079139999999999E-2</v>
      </c>
      <c r="Q8274">
        <v>4.4115059999999998E-2</v>
      </c>
      <c r="R8274">
        <v>0.99873619999999996</v>
      </c>
      <c r="S8274">
        <v>0.42053220000000002</v>
      </c>
      <c r="T8274">
        <v>-0.47987170000000001</v>
      </c>
      <c r="U8274">
        <v>3.0348820000000001</v>
      </c>
      <c r="V8274">
        <v>-1.9085910000000001E-2</v>
      </c>
      <c r="W8274">
        <v>5.3374970000000001E-2</v>
      </c>
      <c r="X8274">
        <v>0.9983921</v>
      </c>
      <c r="Y8274">
        <v>0.14054710000000001</v>
      </c>
      <c r="Z8274">
        <v>-0.15467910000000001</v>
      </c>
      <c r="AA8274">
        <v>0.97791660000000002</v>
      </c>
      <c r="AB8274">
        <v>19</v>
      </c>
      <c r="AC8274">
        <v>0.117499999999978</v>
      </c>
      <c r="AD8274">
        <v>-0.1328288</v>
      </c>
      <c r="AE8274">
        <v>0.63386899999999802</v>
      </c>
      <c r="AF8274">
        <v>0.115749757813979</v>
      </c>
      <c r="AG8274">
        <v>-0.1328288</v>
      </c>
      <c r="AH8274">
        <v>0.60748455173891402</v>
      </c>
      <c r="AI8274">
        <v>102.122354761881</v>
      </c>
      <c r="AJ8274">
        <v>79.212205891609699</v>
      </c>
      <c r="AK8274">
        <v>0.63251796586726605</v>
      </c>
      <c r="AL8274">
        <v>86.9403854788508</v>
      </c>
      <c r="AM8274">
        <v>91.095169833669502</v>
      </c>
      <c r="AN8274">
        <v>0.99999997236271898</v>
      </c>
    </row>
    <row r="8275" spans="1:40" x14ac:dyDescent="0.25">
      <c r="A8275" t="str">
        <f>"20190312160529355"</f>
        <v>20190312160529355</v>
      </c>
      <c r="B8275" t="str">
        <f>"1552377929343737"</f>
        <v>1552377929343737</v>
      </c>
      <c r="C8275" t="s">
        <v>40</v>
      </c>
      <c r="D8275">
        <v>5.8830229999999997</v>
      </c>
      <c r="E8275">
        <v>0.55900749999999999</v>
      </c>
      <c r="F8275" t="s">
        <v>49</v>
      </c>
      <c r="G8275">
        <v>-187.25729999999999</v>
      </c>
      <c r="H8275">
        <v>0.98165729999999995</v>
      </c>
      <c r="I8275">
        <v>5.7631189999999997</v>
      </c>
      <c r="J8275">
        <v>-187.37049999999999</v>
      </c>
      <c r="K8275">
        <v>1.1098159999999999</v>
      </c>
      <c r="L8275">
        <v>5.1349489999999998</v>
      </c>
      <c r="M8275">
        <v>-4.9396270000000003E-3</v>
      </c>
      <c r="N8275">
        <v>0</v>
      </c>
      <c r="O8275">
        <v>0.99994490000000003</v>
      </c>
      <c r="P8275">
        <v>-2.4096320000000001E-2</v>
      </c>
      <c r="Q8275">
        <v>4.4104070000000002E-2</v>
      </c>
      <c r="R8275">
        <v>0.99873630000000002</v>
      </c>
      <c r="S8275">
        <v>0.41963200000000001</v>
      </c>
      <c r="T8275">
        <v>-0.47958679999999898</v>
      </c>
      <c r="U8275">
        <v>3.0350950000000001</v>
      </c>
      <c r="V8275">
        <v>-1.9156389999999999E-2</v>
      </c>
      <c r="W8275">
        <v>5.3358309999999999E-2</v>
      </c>
      <c r="X8275">
        <v>0.99839169999999999</v>
      </c>
      <c r="Y8275">
        <v>0.1402021</v>
      </c>
      <c r="Z8275">
        <v>-0.1545859</v>
      </c>
      <c r="AA8275">
        <v>0.97798090000000004</v>
      </c>
      <c r="AB8275">
        <v>20</v>
      </c>
      <c r="AC8275">
        <v>0.113200000000006</v>
      </c>
      <c r="AD8275">
        <v>-0.12815869999999899</v>
      </c>
      <c r="AE8275">
        <v>0.62817000000000001</v>
      </c>
      <c r="AF8275">
        <v>0.111794715712112</v>
      </c>
      <c r="AG8275">
        <v>-0.12815869999999899</v>
      </c>
      <c r="AH8275">
        <v>0.60328205759715803</v>
      </c>
      <c r="AI8275">
        <v>101.798281780968</v>
      </c>
      <c r="AJ8275">
        <v>79.501561366297807</v>
      </c>
      <c r="AK8275">
        <v>0.62679498391858801</v>
      </c>
      <c r="AL8275">
        <v>86.941341570036101</v>
      </c>
      <c r="AM8275">
        <v>91.099213500939101</v>
      </c>
      <c r="AN8275">
        <v>1.00000003157638</v>
      </c>
    </row>
    <row r="8276" spans="1:40" x14ac:dyDescent="0.25">
      <c r="A8276" t="str">
        <f>"20190312160529376"</f>
        <v>20190312160529376</v>
      </c>
      <c r="B8276" t="str">
        <f>"1552377929363259"</f>
        <v>1552377929363259</v>
      </c>
      <c r="C8276" t="s">
        <v>40</v>
      </c>
      <c r="D8276">
        <v>6.0223399999999998</v>
      </c>
      <c r="E8276">
        <v>0.57420899999999997</v>
      </c>
      <c r="F8276" t="s">
        <v>49</v>
      </c>
      <c r="G8276">
        <v>-187.25919999999999</v>
      </c>
      <c r="H8276">
        <v>0.98266710000000002</v>
      </c>
      <c r="I8276">
        <v>5.939006</v>
      </c>
      <c r="J8276">
        <v>-187.37129999999999</v>
      </c>
      <c r="K8276">
        <v>1.1098170000000001</v>
      </c>
      <c r="L8276">
        <v>5.3175660000000002</v>
      </c>
      <c r="M8276">
        <v>-4.8862840000000003E-3</v>
      </c>
      <c r="N8276">
        <v>0</v>
      </c>
      <c r="O8276">
        <v>0.99994519999999998</v>
      </c>
      <c r="P8276">
        <v>-2.3921499999999998E-2</v>
      </c>
      <c r="Q8276">
        <v>4.409511E-2</v>
      </c>
      <c r="R8276">
        <v>0.99874090000000004</v>
      </c>
      <c r="S8276">
        <v>0.41952509999999998</v>
      </c>
      <c r="T8276">
        <v>-0.47994769999999998</v>
      </c>
      <c r="U8276">
        <v>3.035126</v>
      </c>
      <c r="V8276">
        <v>-1.9034530000000001E-2</v>
      </c>
      <c r="W8276">
        <v>5.3344969999999999E-2</v>
      </c>
      <c r="X8276">
        <v>0.99839469999999997</v>
      </c>
      <c r="Y8276">
        <v>0.14011170000000001</v>
      </c>
      <c r="Z8276">
        <v>-0.15469929999999901</v>
      </c>
      <c r="AA8276">
        <v>0.97797590000000001</v>
      </c>
      <c r="AB8276">
        <v>20</v>
      </c>
      <c r="AC8276">
        <v>0.11209999999999801</v>
      </c>
      <c r="AD8276">
        <v>-0.12714990000000001</v>
      </c>
      <c r="AE8276">
        <v>0.62143999999999899</v>
      </c>
      <c r="AF8276">
        <v>0.110649161335709</v>
      </c>
      <c r="AG8276">
        <v>-0.12714990000000001</v>
      </c>
      <c r="AH8276">
        <v>0.59669248730456703</v>
      </c>
      <c r="AI8276">
        <v>101.83339456572099</v>
      </c>
      <c r="AJ8276">
        <v>79.494546539857495</v>
      </c>
      <c r="AK8276">
        <v>0.62004214242260702</v>
      </c>
      <c r="AL8276">
        <v>86.942106852668502</v>
      </c>
      <c r="AM8276">
        <v>91.092219466076301</v>
      </c>
      <c r="AN8276">
        <v>0.99999998807235502</v>
      </c>
    </row>
    <row r="8277" spans="1:40" x14ac:dyDescent="0.25">
      <c r="A8277" t="str">
        <f>"20190312160529390"</f>
        <v>20190312160529390</v>
      </c>
      <c r="B8277" t="str">
        <f>"1552377929383752"</f>
        <v>1552377929383752</v>
      </c>
      <c r="C8277" t="s">
        <v>40</v>
      </c>
      <c r="D8277">
        <v>6.1540599999999896</v>
      </c>
      <c r="E8277">
        <v>0.55953850000000005</v>
      </c>
      <c r="F8277" t="s">
        <v>49</v>
      </c>
      <c r="G8277">
        <v>-187.2337</v>
      </c>
      <c r="H8277">
        <v>0.89002969999999904</v>
      </c>
      <c r="I8277">
        <v>6.0738859999999999</v>
      </c>
      <c r="J8277">
        <v>-187.37190000000001</v>
      </c>
      <c r="K8277">
        <v>1.1098170000000001</v>
      </c>
      <c r="L8277">
        <v>5.444458</v>
      </c>
      <c r="M8277">
        <v>-4.8491209999999996E-3</v>
      </c>
      <c r="N8277">
        <v>0</v>
      </c>
      <c r="O8277">
        <v>0.99994539999999998</v>
      </c>
      <c r="P8277">
        <v>-2.40171E-2</v>
      </c>
      <c r="Q8277">
        <v>4.417898E-2</v>
      </c>
      <c r="R8277">
        <v>0.99873489999999998</v>
      </c>
      <c r="S8277">
        <v>0.55509949999999997</v>
      </c>
      <c r="T8277">
        <v>-0.88813390000000003</v>
      </c>
      <c r="U8277">
        <v>3.0562740000000002</v>
      </c>
      <c r="V8277">
        <v>-1.9167750000000001E-2</v>
      </c>
      <c r="W8277">
        <v>5.3426399999999999E-2</v>
      </c>
      <c r="X8277">
        <v>0.99838780000000005</v>
      </c>
      <c r="Y8277">
        <v>0.17659149999999901</v>
      </c>
      <c r="Z8277">
        <v>-0.27477629999999997</v>
      </c>
      <c r="AA8277">
        <v>0.94515260000000001</v>
      </c>
      <c r="AB8277">
        <v>20</v>
      </c>
      <c r="AC8277">
        <v>0.13820000000001101</v>
      </c>
      <c r="AD8277">
        <v>-0.21978729999999999</v>
      </c>
      <c r="AE8277">
        <v>0.62942799999999899</v>
      </c>
      <c r="AF8277">
        <v>0.126532093022791</v>
      </c>
      <c r="AG8277">
        <v>-0.21978729999999999</v>
      </c>
      <c r="AH8277">
        <v>0.56323344999346403</v>
      </c>
      <c r="AI8277">
        <v>110.84356914879901</v>
      </c>
      <c r="AJ8277">
        <v>77.338540690362194</v>
      </c>
      <c r="AK8277">
        <v>0.61769632263561303</v>
      </c>
      <c r="AL8277">
        <v>86.937434603538705</v>
      </c>
      <c r="AM8277">
        <v>91.0998694847748</v>
      </c>
      <c r="AN8277">
        <v>0.99999999102293102</v>
      </c>
    </row>
    <row r="8278" spans="1:40" x14ac:dyDescent="0.25">
      <c r="A8278" t="str">
        <f>"20190312160529410"</f>
        <v>20190312160529410</v>
      </c>
      <c r="B8278" t="str">
        <f>"1552377929403272"</f>
        <v>1552377929403272</v>
      </c>
      <c r="C8278" t="s">
        <v>40</v>
      </c>
      <c r="D8278">
        <v>5.8519629999999996</v>
      </c>
      <c r="E8278">
        <v>0.55985719999999894</v>
      </c>
      <c r="F8278" t="s">
        <v>49</v>
      </c>
      <c r="G8278">
        <v>-187.25389999999999</v>
      </c>
      <c r="H8278">
        <v>0.97563800000000001</v>
      </c>
      <c r="I8278">
        <v>6.2878689999999997</v>
      </c>
      <c r="J8278">
        <v>-187.37270000000001</v>
      </c>
      <c r="K8278">
        <v>1.1098129999999999</v>
      </c>
      <c r="L8278">
        <v>5.6191409999999999</v>
      </c>
      <c r="M8278">
        <v>-4.7979379999999999E-3</v>
      </c>
      <c r="N8278">
        <v>0</v>
      </c>
      <c r="O8278">
        <v>0.99994559999999999</v>
      </c>
      <c r="P8278">
        <v>-2.4191089999999998E-2</v>
      </c>
      <c r="Q8278">
        <v>4.46217E-2</v>
      </c>
      <c r="R8278">
        <v>0.99871100000000002</v>
      </c>
      <c r="S8278">
        <v>0.42416379999999998</v>
      </c>
      <c r="T8278">
        <v>-0.4828885</v>
      </c>
      <c r="U8278">
        <v>3.0353699999999999</v>
      </c>
      <c r="V8278">
        <v>-1.939246E-2</v>
      </c>
      <c r="W8278">
        <v>5.3864929999999998E-2</v>
      </c>
      <c r="X8278">
        <v>0.99835989999999997</v>
      </c>
      <c r="Y8278">
        <v>0.14146049999999999</v>
      </c>
      <c r="Z8278">
        <v>-0.1555812</v>
      </c>
      <c r="AA8278">
        <v>0.97764180000000001</v>
      </c>
      <c r="AB8278">
        <v>20</v>
      </c>
      <c r="AC8278">
        <v>0.118800000000021</v>
      </c>
      <c r="AD8278">
        <v>-0.13417499999999999</v>
      </c>
      <c r="AE8278">
        <v>0.66872799999999999</v>
      </c>
      <c r="AF8278">
        <v>0.117424713503015</v>
      </c>
      <c r="AG8278">
        <v>-0.13417499999999999</v>
      </c>
      <c r="AH8278">
        <v>0.64305467621734402</v>
      </c>
      <c r="AI8278">
        <v>101.599339192757</v>
      </c>
      <c r="AJ8278">
        <v>79.651545454183093</v>
      </c>
      <c r="AK8278">
        <v>0.667316124914765</v>
      </c>
      <c r="AL8278">
        <v>86.9122724616726</v>
      </c>
      <c r="AM8278">
        <v>91.112791491689194</v>
      </c>
      <c r="AN8278">
        <v>0.99999999405838302</v>
      </c>
    </row>
    <row r="8279" spans="1:40" x14ac:dyDescent="0.25">
      <c r="A8279" t="str">
        <f>"20190312160529424"</f>
        <v>20190312160529424</v>
      </c>
      <c r="B8279" t="str">
        <f>"1552377929413033"</f>
        <v>1552377929413033</v>
      </c>
      <c r="C8279" t="s">
        <v>40</v>
      </c>
      <c r="D8279">
        <v>5.7779049999999996</v>
      </c>
      <c r="E8279">
        <v>0.56027919999999998</v>
      </c>
      <c r="F8279" t="s">
        <v>49</v>
      </c>
      <c r="G8279">
        <v>-187.25370000000001</v>
      </c>
      <c r="H8279">
        <v>0.97508689999999998</v>
      </c>
      <c r="I8279">
        <v>6.4642439999999999</v>
      </c>
      <c r="J8279">
        <v>-187.3732</v>
      </c>
      <c r="K8279">
        <v>1.1098110000000001</v>
      </c>
      <c r="L8279">
        <v>5.7430110000000001</v>
      </c>
      <c r="M8279">
        <v>-4.7616200000000003E-3</v>
      </c>
      <c r="N8279">
        <v>0</v>
      </c>
      <c r="O8279">
        <v>0.99994590000000005</v>
      </c>
      <c r="P8279">
        <v>-2.4370929999999999E-2</v>
      </c>
      <c r="Q8279">
        <v>4.4819079999999997E-2</v>
      </c>
      <c r="R8279">
        <v>0.99869779999999997</v>
      </c>
      <c r="S8279">
        <v>0.42694090000000001</v>
      </c>
      <c r="T8279">
        <v>-0.48396040000000001</v>
      </c>
      <c r="U8279">
        <v>3.035828</v>
      </c>
      <c r="V8279">
        <v>-1.9608859999999999E-2</v>
      </c>
      <c r="W8279">
        <v>5.4060150000000001E-2</v>
      </c>
      <c r="X8279">
        <v>0.99834509999999999</v>
      </c>
      <c r="Y8279">
        <v>0.14227490000000001</v>
      </c>
      <c r="Z8279">
        <v>-0.15587670000000001</v>
      </c>
      <c r="AA8279">
        <v>0.97747649999999997</v>
      </c>
      <c r="AB8279">
        <v>20</v>
      </c>
      <c r="AC8279">
        <v>0.11949999999998701</v>
      </c>
      <c r="AD8279">
        <v>-0.13472409999999899</v>
      </c>
      <c r="AE8279">
        <v>0.72123299999999901</v>
      </c>
      <c r="AF8279">
        <v>0.118895254660161</v>
      </c>
      <c r="AG8279">
        <v>-0.13472409999999899</v>
      </c>
      <c r="AH8279">
        <v>0.69698561430119499</v>
      </c>
      <c r="AI8279">
        <v>100.787988130017</v>
      </c>
      <c r="AJ8279">
        <v>80.319384171747004</v>
      </c>
      <c r="AK8279">
        <v>0.71977469477908795</v>
      </c>
      <c r="AL8279">
        <v>86.901070792861404</v>
      </c>
      <c r="AM8279">
        <v>91.125222606947204</v>
      </c>
      <c r="AN8279">
        <v>0.99999997295126497</v>
      </c>
    </row>
    <row r="8280" spans="1:40" x14ac:dyDescent="0.25">
      <c r="A8280" t="str">
        <f>"20190312160529445"</f>
        <v>20190312160529445</v>
      </c>
      <c r="B8280" t="str">
        <f>"1552377929433528"</f>
        <v>1552377929433528</v>
      </c>
      <c r="C8280" t="s">
        <v>40</v>
      </c>
      <c r="D8280">
        <v>5.759506</v>
      </c>
      <c r="E8280">
        <v>0.56056289999999998</v>
      </c>
      <c r="F8280" t="s">
        <v>49</v>
      </c>
      <c r="G8280">
        <v>-187.2697</v>
      </c>
      <c r="H8280">
        <v>0.99379419999999996</v>
      </c>
      <c r="I8280">
        <v>6.4728409999999998</v>
      </c>
      <c r="J8280">
        <v>-187.374</v>
      </c>
      <c r="K8280">
        <v>1.1098059999999901</v>
      </c>
      <c r="L8280">
        <v>5.9253539999999996</v>
      </c>
      <c r="M8280">
        <v>-4.7083569999999998E-3</v>
      </c>
      <c r="N8280">
        <v>0</v>
      </c>
      <c r="O8280">
        <v>0.99994609999999995</v>
      </c>
      <c r="P8280">
        <v>-2.4479879999999999E-2</v>
      </c>
      <c r="Q8280">
        <v>4.4429410000000003E-2</v>
      </c>
      <c r="R8280">
        <v>0.9987125</v>
      </c>
      <c r="S8280">
        <v>0.4301605</v>
      </c>
      <c r="T8280">
        <v>-0.48261549999999998</v>
      </c>
      <c r="U8280">
        <v>3.0360719999999999</v>
      </c>
      <c r="V8280">
        <v>-1.9770659999999999E-2</v>
      </c>
      <c r="W8280">
        <v>5.3668279999999999E-2</v>
      </c>
      <c r="X8280">
        <v>0.99836309999999995</v>
      </c>
      <c r="Y8280">
        <v>0.1432377</v>
      </c>
      <c r="Z8280">
        <v>-0.15542010000000001</v>
      </c>
      <c r="AA8280">
        <v>0.97740859999999996</v>
      </c>
      <c r="AB8280">
        <v>20</v>
      </c>
      <c r="AC8280">
        <v>0.104300000000023</v>
      </c>
      <c r="AD8280">
        <v>-0.116011799999999</v>
      </c>
      <c r="AE8280">
        <v>0.54748699999999995</v>
      </c>
      <c r="AF8280">
        <v>0.102438218409329</v>
      </c>
      <c r="AG8280">
        <v>-0.116011799999999</v>
      </c>
      <c r="AH8280">
        <v>0.52427380184588701</v>
      </c>
      <c r="AI8280">
        <v>102.25289448648699</v>
      </c>
      <c r="AJ8280">
        <v>78.944227853006396</v>
      </c>
      <c r="AK8280">
        <v>0.54664005125133097</v>
      </c>
      <c r="AL8280">
        <v>86.923556082164296</v>
      </c>
      <c r="AM8280">
        <v>91.134484371409101</v>
      </c>
      <c r="AN8280">
        <v>1.0000000213583</v>
      </c>
    </row>
    <row r="8281" spans="1:40" x14ac:dyDescent="0.25">
      <c r="A8281" t="str">
        <f>"20190312160529466"</f>
        <v>20190312160529466</v>
      </c>
      <c r="B8281" t="str">
        <f>"1552377929453048"</f>
        <v>1552377929453048</v>
      </c>
      <c r="C8281" t="s">
        <v>40</v>
      </c>
      <c r="D8281">
        <v>5.8393959999999998</v>
      </c>
      <c r="E8281">
        <v>0.56078169999999905</v>
      </c>
      <c r="F8281" t="s">
        <v>49</v>
      </c>
      <c r="G8281">
        <v>-187.27090000000001</v>
      </c>
      <c r="H8281">
        <v>0.99425140000000001</v>
      </c>
      <c r="I8281">
        <v>6.6500570000000003</v>
      </c>
      <c r="J8281">
        <v>-187.3749</v>
      </c>
      <c r="K8281">
        <v>1.1098049999999999</v>
      </c>
      <c r="L8281">
        <v>6.1108399999999996</v>
      </c>
      <c r="M8281">
        <v>-4.6538079999999997E-3</v>
      </c>
      <c r="N8281">
        <v>0</v>
      </c>
      <c r="O8281">
        <v>0.99994640000000001</v>
      </c>
      <c r="P8281">
        <v>-2.4462970000000001E-2</v>
      </c>
      <c r="Q8281">
        <v>4.4115559999999998E-2</v>
      </c>
      <c r="R8281">
        <v>0.99872689999999997</v>
      </c>
      <c r="S8281">
        <v>0.43167109999999898</v>
      </c>
      <c r="T8281">
        <v>-0.48408420000000002</v>
      </c>
      <c r="U8281">
        <v>3.0359799999999999</v>
      </c>
      <c r="V8281">
        <v>-1.9808599999999999E-2</v>
      </c>
      <c r="W8281">
        <v>5.3352589999999998E-2</v>
      </c>
      <c r="X8281">
        <v>0.99837920000000002</v>
      </c>
      <c r="Y8281">
        <v>0.14365439999999999</v>
      </c>
      <c r="Z8281">
        <v>-0.15587599999999999</v>
      </c>
      <c r="AA8281">
        <v>0.9772748</v>
      </c>
      <c r="AB8281">
        <v>20</v>
      </c>
      <c r="AC8281">
        <v>0.10399999999998499</v>
      </c>
      <c r="AD8281">
        <v>-0.11555359999999899</v>
      </c>
      <c r="AE8281">
        <v>0.53921699999999895</v>
      </c>
      <c r="AF8281">
        <v>0.101992480305188</v>
      </c>
      <c r="AG8281">
        <v>-0.11555359999999899</v>
      </c>
      <c r="AH8281">
        <v>0.51588532906333595</v>
      </c>
      <c r="AI8281">
        <v>102.393077817712</v>
      </c>
      <c r="AJ8281">
        <v>78.816626703203099</v>
      </c>
      <c r="AK8281">
        <v>0.53841691397517399</v>
      </c>
      <c r="AL8281">
        <v>86.941669529580395</v>
      </c>
      <c r="AM8281">
        <v>91.136642557090298</v>
      </c>
      <c r="AN8281">
        <v>0.99999995324315305</v>
      </c>
    </row>
    <row r="8282" spans="1:40" x14ac:dyDescent="0.25">
      <c r="A8282" t="str">
        <f>"20190312160529491"</f>
        <v>20190312160529491</v>
      </c>
      <c r="B8282" t="str">
        <f>"1552377929483304"</f>
        <v>1552377929483304</v>
      </c>
      <c r="C8282" t="s">
        <v>40</v>
      </c>
      <c r="D8282">
        <v>5.9408659999999998</v>
      </c>
      <c r="E8282">
        <v>0.57302299999999995</v>
      </c>
      <c r="F8282" t="s">
        <v>49</v>
      </c>
      <c r="G8282">
        <v>-187.27250000000001</v>
      </c>
      <c r="H8282">
        <v>0.99528879999999997</v>
      </c>
      <c r="I8282">
        <v>6.8279389999999998</v>
      </c>
      <c r="J8282">
        <v>-187.3758</v>
      </c>
      <c r="K8282">
        <v>1.1098059999999901</v>
      </c>
      <c r="L8282">
        <v>6.3262939999999999</v>
      </c>
      <c r="M8282">
        <v>-4.5908479999999998E-3</v>
      </c>
      <c r="N8282">
        <v>0</v>
      </c>
      <c r="O8282">
        <v>0.99994669999999997</v>
      </c>
      <c r="P8282">
        <v>-2.4076500000000001E-2</v>
      </c>
      <c r="Q8282">
        <v>4.4675659999999999E-2</v>
      </c>
      <c r="R8282">
        <v>0.99871129999999997</v>
      </c>
      <c r="S8282">
        <v>0.43254090000000001</v>
      </c>
      <c r="T8282">
        <v>-0.48478929999999998</v>
      </c>
      <c r="U8282">
        <v>3.035828</v>
      </c>
      <c r="V8282">
        <v>-1.9485249999999999E-2</v>
      </c>
      <c r="W8282">
        <v>5.3909690000000003E-2</v>
      </c>
      <c r="X8282">
        <v>0.99835569999999896</v>
      </c>
      <c r="Y8282">
        <v>0.14386840000000001</v>
      </c>
      <c r="Z8282">
        <v>-0.15609960000000001</v>
      </c>
      <c r="AA8282">
        <v>0.97720770000000001</v>
      </c>
      <c r="AB8282">
        <v>20</v>
      </c>
      <c r="AC8282">
        <v>0.10329999999999</v>
      </c>
      <c r="AD8282">
        <v>-0.114517199999999</v>
      </c>
      <c r="AE8282">
        <v>0.50164499999999901</v>
      </c>
      <c r="AF8282">
        <v>0.100573955383612</v>
      </c>
      <c r="AG8282">
        <v>-0.114517199999999</v>
      </c>
      <c r="AH8282">
        <v>0.47730345299711402</v>
      </c>
      <c r="AI8282">
        <v>103.212066172915</v>
      </c>
      <c r="AJ8282">
        <v>78.1011100913653</v>
      </c>
      <c r="AK8282">
        <v>0.50104680004996804</v>
      </c>
      <c r="AL8282">
        <v>86.909704240884096</v>
      </c>
      <c r="AM8282">
        <v>91.118119385480497</v>
      </c>
      <c r="AN8282">
        <v>1.0000000166829699</v>
      </c>
    </row>
    <row r="8283" spans="1:40" x14ac:dyDescent="0.25">
      <c r="A8283" t="str">
        <f>"20190312160529513"</f>
        <v>20190312160529513</v>
      </c>
      <c r="B8283" t="str">
        <f>"1552377929503802"</f>
        <v>1552377929503802</v>
      </c>
      <c r="C8283" t="s">
        <v>40</v>
      </c>
      <c r="D8283">
        <v>5.7507659999999996</v>
      </c>
      <c r="E8283">
        <v>0.57489100000000004</v>
      </c>
      <c r="F8283" t="s">
        <v>49</v>
      </c>
      <c r="G8283">
        <v>-187.2294</v>
      </c>
      <c r="H8283">
        <v>0.93178150000000004</v>
      </c>
      <c r="I8283">
        <v>7.1555020000000003</v>
      </c>
      <c r="J8283">
        <v>-187.3767</v>
      </c>
      <c r="K8283">
        <v>1.1097969999999999</v>
      </c>
      <c r="L8283">
        <v>6.5315250000000002</v>
      </c>
      <c r="M8283">
        <v>-4.5306770000000003E-3</v>
      </c>
      <c r="N8283">
        <v>0</v>
      </c>
      <c r="O8283">
        <v>0.99994700000000003</v>
      </c>
      <c r="P8283">
        <v>-2.3783240000000001E-2</v>
      </c>
      <c r="Q8283">
        <v>4.4901070000000001E-2</v>
      </c>
      <c r="R8283">
        <v>0.99870829999999999</v>
      </c>
      <c r="S8283">
        <v>0.53727720000000001</v>
      </c>
      <c r="T8283">
        <v>-0.65395409999999998</v>
      </c>
      <c r="U8283">
        <v>3.0460820000000002</v>
      </c>
      <c r="V8283">
        <v>-1.9251750000000002E-2</v>
      </c>
      <c r="W8283">
        <v>5.4133939999999998E-2</v>
      </c>
      <c r="X8283">
        <v>0.99834809999999996</v>
      </c>
      <c r="Y8283">
        <v>0.1744076</v>
      </c>
      <c r="Z8283">
        <v>-0.20676549999999999</v>
      </c>
      <c r="AA8283">
        <v>0.96272009999999997</v>
      </c>
      <c r="AB8283">
        <v>20</v>
      </c>
      <c r="AC8283">
        <v>0.14730000000000101</v>
      </c>
      <c r="AD8283">
        <v>-0.17801549999999899</v>
      </c>
      <c r="AE8283">
        <v>0.623977</v>
      </c>
      <c r="AF8283">
        <v>0.13938012427624399</v>
      </c>
      <c r="AG8283">
        <v>-0.17801549999999899</v>
      </c>
      <c r="AH8283">
        <v>0.57868911054019101</v>
      </c>
      <c r="AI8283">
        <v>106.650148826129</v>
      </c>
      <c r="AJ8283">
        <v>76.457959725848696</v>
      </c>
      <c r="AK8283">
        <v>0.62128690952031895</v>
      </c>
      <c r="AL8283">
        <v>86.896836886597001</v>
      </c>
      <c r="AM8283">
        <v>91.104732235889003</v>
      </c>
      <c r="AN8283">
        <v>1.00000002105579</v>
      </c>
    </row>
    <row r="8284" spans="1:40" x14ac:dyDescent="0.25">
      <c r="A8284" t="str">
        <f>"20190312160529536"</f>
        <v>20190312160529536</v>
      </c>
      <c r="B8284" t="str">
        <f>"1552377929523320"</f>
        <v>1552377929523320</v>
      </c>
      <c r="C8284" t="s">
        <v>40</v>
      </c>
      <c r="D8284">
        <v>5.9434699999999996</v>
      </c>
      <c r="E8284">
        <v>0.57557340000000001</v>
      </c>
      <c r="F8284" t="s">
        <v>49</v>
      </c>
      <c r="G8284">
        <v>-187.23089999999999</v>
      </c>
      <c r="H8284">
        <v>0.92536850000000004</v>
      </c>
      <c r="I8284">
        <v>7.33127</v>
      </c>
      <c r="J8284">
        <v>-187.3775</v>
      </c>
      <c r="K8284">
        <v>1.109793</v>
      </c>
      <c r="L8284">
        <v>6.727417</v>
      </c>
      <c r="M8284">
        <v>-4.4732649999999997E-3</v>
      </c>
      <c r="N8284">
        <v>0</v>
      </c>
      <c r="O8284">
        <v>0.99994729999999998</v>
      </c>
      <c r="P8284">
        <v>-2.3570109999999998E-2</v>
      </c>
      <c r="Q8284">
        <v>4.466299E-2</v>
      </c>
      <c r="R8284">
        <v>0.99872399999999995</v>
      </c>
      <c r="S8284">
        <v>0.55529790000000001</v>
      </c>
      <c r="T8284">
        <v>-0.70305309999999999</v>
      </c>
      <c r="U8284">
        <v>3.0487060000000001</v>
      </c>
      <c r="V8284">
        <v>-1.9095850000000001E-2</v>
      </c>
      <c r="W8284">
        <v>5.3894450000000003E-2</v>
      </c>
      <c r="X8284">
        <v>0.99836400000000003</v>
      </c>
      <c r="Y8284">
        <v>0.17915500000000001</v>
      </c>
      <c r="Z8284">
        <v>-0.22115899999999999</v>
      </c>
      <c r="AA8284">
        <v>0.95864079999999996</v>
      </c>
      <c r="AB8284">
        <v>20</v>
      </c>
      <c r="AC8284">
        <v>0.146600000000006</v>
      </c>
      <c r="AD8284">
        <v>-0.18442449999999999</v>
      </c>
      <c r="AE8284">
        <v>0.60385299999999997</v>
      </c>
      <c r="AF8284">
        <v>0.13721335658276301</v>
      </c>
      <c r="AG8284">
        <v>-0.18442449999999999</v>
      </c>
      <c r="AH8284">
        <v>0.554360142730139</v>
      </c>
      <c r="AI8284">
        <v>107.897071988215</v>
      </c>
      <c r="AJ8284">
        <v>76.097751184005602</v>
      </c>
      <c r="AK8284">
        <v>0.60012921048115897</v>
      </c>
      <c r="AL8284">
        <v>86.910578555024301</v>
      </c>
      <c r="AM8284">
        <v>91.095770895659101</v>
      </c>
      <c r="AN8284">
        <v>0.99999996986201201</v>
      </c>
    </row>
    <row r="8285" spans="1:40" x14ac:dyDescent="0.25">
      <c r="A8285" t="str">
        <f>"20190312160529555"</f>
        <v>20190312160529555</v>
      </c>
      <c r="B8285" t="str">
        <f>"1552377929543815"</f>
        <v>1552377929543815</v>
      </c>
      <c r="C8285" t="s">
        <v>40</v>
      </c>
      <c r="D8285">
        <v>5.7511519999999896</v>
      </c>
      <c r="E8285">
        <v>0.57617929999999995</v>
      </c>
      <c r="F8285" t="s">
        <v>49</v>
      </c>
      <c r="G8285">
        <v>-187.2328</v>
      </c>
      <c r="H8285">
        <v>0.92978070000000002</v>
      </c>
      <c r="I8285">
        <v>7.5120539999999902</v>
      </c>
      <c r="J8285">
        <v>-187.3783</v>
      </c>
      <c r="K8285">
        <v>1.1097919999999999</v>
      </c>
      <c r="L8285">
        <v>6.9069820000000002</v>
      </c>
      <c r="M8285">
        <v>-4.4207439999999999E-3</v>
      </c>
      <c r="N8285">
        <v>0</v>
      </c>
      <c r="O8285">
        <v>0.99994749999999999</v>
      </c>
      <c r="P8285">
        <v>-2.3599350000000002E-2</v>
      </c>
      <c r="Q8285">
        <v>4.4458520000000001E-2</v>
      </c>
      <c r="R8285">
        <v>0.99873239999999996</v>
      </c>
      <c r="S8285">
        <v>0.561554</v>
      </c>
      <c r="T8285">
        <v>-0.69933859999999903</v>
      </c>
      <c r="U8285">
        <v>3.0483699999999998</v>
      </c>
      <c r="V8285">
        <v>-1.9177469999999999E-2</v>
      </c>
      <c r="W8285">
        <v>5.368875E-2</v>
      </c>
      <c r="X8285">
        <v>0.99837359999999997</v>
      </c>
      <c r="Y8285">
        <v>0.18107290000000001</v>
      </c>
      <c r="Z8285">
        <v>-0.21999360000000001</v>
      </c>
      <c r="AA8285">
        <v>0.95854859999999997</v>
      </c>
      <c r="AB8285">
        <v>20</v>
      </c>
      <c r="AC8285">
        <v>0.14549999999999799</v>
      </c>
      <c r="AD8285">
        <v>-0.18001130000000001</v>
      </c>
      <c r="AE8285">
        <v>0.60507199999999794</v>
      </c>
      <c r="AF8285">
        <v>0.136733052716703</v>
      </c>
      <c r="AG8285">
        <v>-0.18001130000000001</v>
      </c>
      <c r="AH8285">
        <v>0.55775524159729295</v>
      </c>
      <c r="AI8285">
        <v>107.404158198869</v>
      </c>
      <c r="AJ8285">
        <v>76.225654372191102</v>
      </c>
      <c r="AK8285">
        <v>0.60182298507299803</v>
      </c>
      <c r="AL8285">
        <v>86.922381636159102</v>
      </c>
      <c r="AM8285">
        <v>91.100442741098206</v>
      </c>
      <c r="AN8285">
        <v>1.0000000512045599</v>
      </c>
    </row>
    <row r="8286" spans="1:40" x14ac:dyDescent="0.25">
      <c r="A8286" t="str">
        <f>"20190312160529569"</f>
        <v>20190312160529569</v>
      </c>
      <c r="B8286" t="str">
        <f>"1552377929563036"</f>
        <v>1552377929563036</v>
      </c>
      <c r="C8286" t="s">
        <v>40</v>
      </c>
      <c r="D8286">
        <v>5.7368819999999996</v>
      </c>
      <c r="E8286">
        <v>0.57698319999999903</v>
      </c>
      <c r="F8286" t="s">
        <v>49</v>
      </c>
      <c r="G8286">
        <v>-187.23240000000001</v>
      </c>
      <c r="H8286">
        <v>0.93078159999999999</v>
      </c>
      <c r="I8286">
        <v>7.691897</v>
      </c>
      <c r="J8286">
        <v>-187.37880000000001</v>
      </c>
      <c r="K8286">
        <v>1.1097889999999999</v>
      </c>
      <c r="L8286">
        <v>7.0353700000000003</v>
      </c>
      <c r="M8286">
        <v>-4.3832790000000003E-3</v>
      </c>
      <c r="N8286">
        <v>0</v>
      </c>
      <c r="O8286">
        <v>0.99994769999999999</v>
      </c>
      <c r="P8286">
        <v>-2.3579019999999999E-2</v>
      </c>
      <c r="Q8286">
        <v>4.4293810000000003E-2</v>
      </c>
      <c r="R8286">
        <v>0.99874030000000003</v>
      </c>
      <c r="S8286">
        <v>0.56611630000000002</v>
      </c>
      <c r="T8286">
        <v>-0.69516089999999997</v>
      </c>
      <c r="U8286">
        <v>3.0481259999999999</v>
      </c>
      <c r="V8286">
        <v>-1.9194780000000002E-2</v>
      </c>
      <c r="W8286">
        <v>5.3523059999999997E-2</v>
      </c>
      <c r="X8286">
        <v>0.99838210000000005</v>
      </c>
      <c r="Y8286">
        <v>0.18248980000000001</v>
      </c>
      <c r="Z8286">
        <v>-0.21870300000000001</v>
      </c>
      <c r="AA8286">
        <v>0.95857519999999996</v>
      </c>
      <c r="AB8286">
        <v>20</v>
      </c>
      <c r="AC8286">
        <v>0.146399999999999</v>
      </c>
      <c r="AD8286">
        <v>-0.17900740000000001</v>
      </c>
      <c r="AE8286">
        <v>0.65652699999999997</v>
      </c>
      <c r="AF8286">
        <v>0.13940376409701599</v>
      </c>
      <c r="AG8286">
        <v>-0.17900740000000001</v>
      </c>
      <c r="AH8286">
        <v>0.61250110343413899</v>
      </c>
      <c r="AI8286">
        <v>105.905901266203</v>
      </c>
      <c r="AJ8286">
        <v>77.1780370929215</v>
      </c>
      <c r="AK8286">
        <v>0.65317276459388196</v>
      </c>
      <c r="AL8286">
        <v>86.931888447413499</v>
      </c>
      <c r="AM8286">
        <v>91.101426404913795</v>
      </c>
      <c r="AN8286">
        <v>0.99999998756571096</v>
      </c>
    </row>
    <row r="8287" spans="1:40" x14ac:dyDescent="0.25">
      <c r="A8287" t="str">
        <f>"20190312160529589"</f>
        <v>20190312160529589</v>
      </c>
      <c r="B8287" t="str">
        <f>"1552377929583533"</f>
        <v>1552377929583533</v>
      </c>
      <c r="C8287" t="s">
        <v>40</v>
      </c>
      <c r="D8287">
        <v>5.8563580000000002</v>
      </c>
      <c r="E8287">
        <v>0.57424449999999905</v>
      </c>
      <c r="F8287" t="s">
        <v>49</v>
      </c>
      <c r="G8287">
        <v>-187.22210000000001</v>
      </c>
      <c r="H8287">
        <v>0.92090570000000005</v>
      </c>
      <c r="I8287">
        <v>7.8680599999999998</v>
      </c>
      <c r="J8287">
        <v>-187.37950000000001</v>
      </c>
      <c r="K8287">
        <v>1.109785</v>
      </c>
      <c r="L8287">
        <v>7.2123109999999997</v>
      </c>
      <c r="M8287">
        <v>-4.3315050000000003E-3</v>
      </c>
      <c r="N8287">
        <v>0</v>
      </c>
      <c r="O8287">
        <v>0.99994799999999995</v>
      </c>
      <c r="P8287">
        <v>-2.4213289999999998E-2</v>
      </c>
      <c r="Q8287">
        <v>4.4160949999999997E-2</v>
      </c>
      <c r="R8287">
        <v>0.99873100000000004</v>
      </c>
      <c r="S8287">
        <v>0.57269289999999995</v>
      </c>
      <c r="T8287">
        <v>-0.69137179999999998</v>
      </c>
      <c r="U8287">
        <v>3.047974</v>
      </c>
      <c r="V8287">
        <v>-1.9880450000000001E-2</v>
      </c>
      <c r="W8287">
        <v>5.3389730000000003E-2</v>
      </c>
      <c r="X8287">
        <v>0.99837580000000004</v>
      </c>
      <c r="Y8287">
        <v>0.18449550000000001</v>
      </c>
      <c r="Z8287">
        <v>-0.217497</v>
      </c>
      <c r="AA8287">
        <v>0.95846569999999998</v>
      </c>
      <c r="AB8287">
        <v>20</v>
      </c>
      <c r="AC8287">
        <v>0.15739999999999499</v>
      </c>
      <c r="AD8287">
        <v>-0.1888793</v>
      </c>
      <c r="AE8287">
        <v>0.65574900000000003</v>
      </c>
      <c r="AF8287">
        <v>0.14858338318624301</v>
      </c>
      <c r="AG8287">
        <v>-0.1888793</v>
      </c>
      <c r="AH8287">
        <v>0.60741249425536104</v>
      </c>
      <c r="AI8287">
        <v>106.807020838507</v>
      </c>
      <c r="AJ8287">
        <v>76.254406276433897</v>
      </c>
      <c r="AK8287">
        <v>0.65322457846063897</v>
      </c>
      <c r="AL8287">
        <v>86.939538568515303</v>
      </c>
      <c r="AM8287">
        <v>91.140768197467295</v>
      </c>
      <c r="AN8287">
        <v>0.99999996679365699</v>
      </c>
    </row>
    <row r="8288" spans="1:40" x14ac:dyDescent="0.25">
      <c r="A8288" t="str">
        <f>"20190312160529603"</f>
        <v>20190312160529603</v>
      </c>
      <c r="B8288" t="str">
        <f>"1552377929593293"</f>
        <v>1552377929593293</v>
      </c>
      <c r="C8288" t="s">
        <v>40</v>
      </c>
      <c r="D8288">
        <v>5.8069419999999896</v>
      </c>
      <c r="E8288">
        <v>0.57302209999999998</v>
      </c>
      <c r="F8288" t="s">
        <v>49</v>
      </c>
      <c r="G8288">
        <v>-187.22839999999999</v>
      </c>
      <c r="H8288">
        <v>0.92906889999999998</v>
      </c>
      <c r="I8288">
        <v>8.0513589999999997</v>
      </c>
      <c r="J8288">
        <v>-187.38</v>
      </c>
      <c r="K8288">
        <v>1.109782</v>
      </c>
      <c r="L8288">
        <v>7.3374629999999996</v>
      </c>
      <c r="M8288">
        <v>-4.2948880000000002E-3</v>
      </c>
      <c r="N8288">
        <v>0</v>
      </c>
      <c r="O8288">
        <v>0.99994810000000001</v>
      </c>
      <c r="P8288">
        <v>-2.4727180000000001E-2</v>
      </c>
      <c r="Q8288">
        <v>4.416556E-2</v>
      </c>
      <c r="R8288">
        <v>0.99871810000000005</v>
      </c>
      <c r="S8288">
        <v>0.54814149999999995</v>
      </c>
      <c r="T8288">
        <v>-0.65606880000000001</v>
      </c>
      <c r="U8288">
        <v>3.0461119999999999</v>
      </c>
      <c r="V8288">
        <v>-2.0431250000000001E-2</v>
      </c>
      <c r="W8288">
        <v>5.339402E-2</v>
      </c>
      <c r="X8288">
        <v>0.99836449999999999</v>
      </c>
      <c r="Y8288">
        <v>0.17748149999999999</v>
      </c>
      <c r="Z8288">
        <v>-0.2072843</v>
      </c>
      <c r="AA8288">
        <v>0.96204650000000003</v>
      </c>
      <c r="AB8288">
        <v>20</v>
      </c>
      <c r="AC8288">
        <v>0.15160000000000101</v>
      </c>
      <c r="AD8288">
        <v>-0.18071309999999999</v>
      </c>
      <c r="AE8288">
        <v>0.71389599999999898</v>
      </c>
      <c r="AF8288">
        <v>0.14572969012843301</v>
      </c>
      <c r="AG8288">
        <v>-0.18071309999999999</v>
      </c>
      <c r="AH8288">
        <v>0.67203377727191305</v>
      </c>
      <c r="AI8288">
        <v>104.724220673576</v>
      </c>
      <c r="AJ8288">
        <v>77.764912432486597</v>
      </c>
      <c r="AK8288">
        <v>0.71100194436505904</v>
      </c>
      <c r="AL8288">
        <v>86.939292569582804</v>
      </c>
      <c r="AM8288">
        <v>91.172378440142495</v>
      </c>
      <c r="AN8288">
        <v>1.0000000161042799</v>
      </c>
    </row>
    <row r="8289" spans="1:40" x14ac:dyDescent="0.25">
      <c r="A8289" t="str">
        <f>"20190312160529622"</f>
        <v>20190312160529622</v>
      </c>
      <c r="B8289" t="str">
        <f>"1552377929613788"</f>
        <v>1552377929613788</v>
      </c>
      <c r="C8289" t="s">
        <v>40</v>
      </c>
      <c r="D8289">
        <v>5.7586069999999996</v>
      </c>
      <c r="E8289">
        <v>0.57169159999999997</v>
      </c>
      <c r="F8289" t="s">
        <v>49</v>
      </c>
      <c r="G8289">
        <v>-187.25200000000001</v>
      </c>
      <c r="H8289">
        <v>0.95684000000000002</v>
      </c>
      <c r="I8289">
        <v>8.0629799999999996</v>
      </c>
      <c r="J8289">
        <v>-187.38069999999999</v>
      </c>
      <c r="K8289">
        <v>1.109783</v>
      </c>
      <c r="L8289">
        <v>7.5168460000000001</v>
      </c>
      <c r="M8289">
        <v>-4.2423890000000001E-3</v>
      </c>
      <c r="N8289">
        <v>0</v>
      </c>
      <c r="O8289">
        <v>0.99994830000000001</v>
      </c>
      <c r="P8289">
        <v>-2.537677E-2</v>
      </c>
      <c r="Q8289">
        <v>4.421506E-2</v>
      </c>
      <c r="R8289">
        <v>0.99869969999999997</v>
      </c>
      <c r="S8289">
        <v>0.53671259999999998</v>
      </c>
      <c r="T8289">
        <v>-0.64200179999999996</v>
      </c>
      <c r="U8289">
        <v>3.0455320000000001</v>
      </c>
      <c r="V8289">
        <v>-2.11329E-2</v>
      </c>
      <c r="W8289">
        <v>5.3443060000000001E-2</v>
      </c>
      <c r="X8289">
        <v>0.99834730000000005</v>
      </c>
      <c r="Y8289">
        <v>0.1741105</v>
      </c>
      <c r="Z8289">
        <v>-0.2031898</v>
      </c>
      <c r="AA8289">
        <v>0.96353489999999997</v>
      </c>
      <c r="AB8289">
        <v>20</v>
      </c>
      <c r="AC8289">
        <v>0.12869999999998</v>
      </c>
      <c r="AD8289">
        <v>-0.152943</v>
      </c>
      <c r="AE8289">
        <v>0.54613399999999801</v>
      </c>
      <c r="AF8289">
        <v>0.121954629681959</v>
      </c>
      <c r="AG8289">
        <v>-0.152943</v>
      </c>
      <c r="AH8289">
        <v>0.50784984407062295</v>
      </c>
      <c r="AI8289">
        <v>106.321766016973</v>
      </c>
      <c r="AJ8289">
        <v>76.496728488045207</v>
      </c>
      <c r="AK8289">
        <v>0.54422050409041001</v>
      </c>
      <c r="AL8289">
        <v>86.936478858054002</v>
      </c>
      <c r="AM8289">
        <v>91.212649324321802</v>
      </c>
      <c r="AN8289">
        <v>1.0000000457709299</v>
      </c>
    </row>
    <row r="8290" spans="1:40" x14ac:dyDescent="0.25">
      <c r="A8290" t="str">
        <f>"20190312160529645"</f>
        <v>20190312160529645</v>
      </c>
      <c r="B8290" t="str">
        <f>"1552377929633312"</f>
        <v>1552377929633312</v>
      </c>
      <c r="C8290" t="s">
        <v>40</v>
      </c>
      <c r="D8290">
        <v>5.7662699999999996</v>
      </c>
      <c r="E8290">
        <v>0.57074990000000003</v>
      </c>
      <c r="F8290" t="s">
        <v>49</v>
      </c>
      <c r="G8290">
        <v>-187.2552</v>
      </c>
      <c r="H8290">
        <v>0.96153</v>
      </c>
      <c r="I8290">
        <v>8.2456410000000009</v>
      </c>
      <c r="J8290">
        <v>-187.38149999999999</v>
      </c>
      <c r="K8290">
        <v>1.109783</v>
      </c>
      <c r="L8290">
        <v>7.7107239999999999</v>
      </c>
      <c r="M8290">
        <v>-4.1858149999999998E-3</v>
      </c>
      <c r="N8290">
        <v>0</v>
      </c>
      <c r="O8290">
        <v>0.99994859999999997</v>
      </c>
      <c r="P8290">
        <v>-2.5836830000000002E-2</v>
      </c>
      <c r="Q8290">
        <v>4.4005080000000002E-2</v>
      </c>
      <c r="R8290">
        <v>0.99869719999999995</v>
      </c>
      <c r="S8290">
        <v>0.52369690000000002</v>
      </c>
      <c r="T8290">
        <v>-0.61933479999999996</v>
      </c>
      <c r="U8290">
        <v>3.0446469999999999</v>
      </c>
      <c r="V8290">
        <v>-2.1649649999999999E-2</v>
      </c>
      <c r="W8290">
        <v>5.3232120000000001E-2</v>
      </c>
      <c r="X8290">
        <v>0.99834750000000005</v>
      </c>
      <c r="Y8290">
        <v>0.17033509999999999</v>
      </c>
      <c r="Z8290">
        <v>-0.19648959999999999</v>
      </c>
      <c r="AA8290">
        <v>0.96559709999999999</v>
      </c>
      <c r="AB8290">
        <v>20</v>
      </c>
      <c r="AC8290">
        <v>0.12629999999998601</v>
      </c>
      <c r="AD8290">
        <v>-0.148253</v>
      </c>
      <c r="AE8290">
        <v>0.53491699999999998</v>
      </c>
      <c r="AF8290">
        <v>0.11982030868706001</v>
      </c>
      <c r="AG8290">
        <v>-0.148253</v>
      </c>
      <c r="AH8290">
        <v>0.498140506578167</v>
      </c>
      <c r="AI8290">
        <v>106.138315213862</v>
      </c>
      <c r="AJ8290">
        <v>76.4752775546431</v>
      </c>
      <c r="AK8290">
        <v>0.53336649939494296</v>
      </c>
      <c r="AL8290">
        <v>86.948582065580595</v>
      </c>
      <c r="AM8290">
        <v>91.242292073221506</v>
      </c>
      <c r="AN8290">
        <v>1.00000004835053</v>
      </c>
    </row>
    <row r="8291" spans="1:40" x14ac:dyDescent="0.25">
      <c r="A8291" t="str">
        <f>"20190312160529658"</f>
        <v>20190312160529658</v>
      </c>
      <c r="B8291" t="str">
        <f>"1552377929653804"</f>
        <v>1552377929653804</v>
      </c>
      <c r="C8291" t="s">
        <v>40</v>
      </c>
      <c r="D8291">
        <v>5.72966</v>
      </c>
      <c r="E8291">
        <v>0.56993070000000001</v>
      </c>
      <c r="F8291" t="s">
        <v>49</v>
      </c>
      <c r="G8291">
        <v>-187.26</v>
      </c>
      <c r="H8291">
        <v>0.96723230000000004</v>
      </c>
      <c r="I8291">
        <v>8.4291169999999997</v>
      </c>
      <c r="J8291">
        <v>-187.38200000000001</v>
      </c>
      <c r="K8291">
        <v>1.1097840000000001</v>
      </c>
      <c r="L8291">
        <v>7.8374329999999999</v>
      </c>
      <c r="M8291">
        <v>-4.1487390000000002E-3</v>
      </c>
      <c r="N8291">
        <v>0</v>
      </c>
      <c r="O8291">
        <v>0.99994870000000002</v>
      </c>
      <c r="P8291">
        <v>-2.5730610000000001E-2</v>
      </c>
      <c r="Q8291">
        <v>4.3857930000000003E-2</v>
      </c>
      <c r="R8291">
        <v>0.99870639999999999</v>
      </c>
      <c r="S8291">
        <v>0.51428220000000002</v>
      </c>
      <c r="T8291">
        <v>-0.60397419999999902</v>
      </c>
      <c r="U8291">
        <v>3.0438230000000002</v>
      </c>
      <c r="V8291">
        <v>-2.158032E-2</v>
      </c>
      <c r="W8291">
        <v>5.3085460000000001E-2</v>
      </c>
      <c r="X8291">
        <v>0.99835680000000004</v>
      </c>
      <c r="Y8291">
        <v>0.167589299999999</v>
      </c>
      <c r="Z8291">
        <v>-0.191943</v>
      </c>
      <c r="AA8291">
        <v>0.96699109999999999</v>
      </c>
      <c r="AB8291">
        <v>20</v>
      </c>
      <c r="AC8291">
        <v>0.122000000000014</v>
      </c>
      <c r="AD8291">
        <v>-0.1425517</v>
      </c>
      <c r="AE8291">
        <v>0.59168399999999899</v>
      </c>
      <c r="AF8291">
        <v>0.117889932195331</v>
      </c>
      <c r="AG8291">
        <v>-0.1425517</v>
      </c>
      <c r="AH8291">
        <v>0.55999347335870397</v>
      </c>
      <c r="AI8291">
        <v>103.987674624699</v>
      </c>
      <c r="AJ8291">
        <v>78.111678067941895</v>
      </c>
      <c r="AK8291">
        <v>0.58975563879479398</v>
      </c>
      <c r="AL8291">
        <v>86.956996931316695</v>
      </c>
      <c r="AM8291">
        <v>91.238303514271905</v>
      </c>
      <c r="AN8291">
        <v>1.0000000381904699</v>
      </c>
    </row>
    <row r="8292" spans="1:40" x14ac:dyDescent="0.25">
      <c r="A8292" t="str">
        <f>"20190312160529678"</f>
        <v>20190312160529678</v>
      </c>
      <c r="B8292" t="str">
        <f>"1552377929673888"</f>
        <v>1552377929673888</v>
      </c>
      <c r="C8292" t="s">
        <v>40</v>
      </c>
      <c r="D8292">
        <v>6.263725</v>
      </c>
      <c r="E8292">
        <v>0.56911369999999994</v>
      </c>
      <c r="F8292" t="s">
        <v>49</v>
      </c>
      <c r="G8292">
        <v>-187.2534</v>
      </c>
      <c r="H8292">
        <v>0.96046699999999996</v>
      </c>
      <c r="I8292">
        <v>8.6074800000000007</v>
      </c>
      <c r="J8292">
        <v>-187.3827</v>
      </c>
      <c r="K8292">
        <v>1.109788</v>
      </c>
      <c r="L8292">
        <v>8.0164789999999897</v>
      </c>
      <c r="M8292">
        <v>-4.096344E-3</v>
      </c>
      <c r="N8292">
        <v>0</v>
      </c>
      <c r="O8292">
        <v>0.99994890000000003</v>
      </c>
      <c r="P8292">
        <v>-2.5639680000000001E-2</v>
      </c>
      <c r="Q8292">
        <v>4.4182010000000001E-2</v>
      </c>
      <c r="R8292">
        <v>0.99869439999999998</v>
      </c>
      <c r="S8292">
        <v>0.50735470000000005</v>
      </c>
      <c r="T8292">
        <v>-0.59002049999999995</v>
      </c>
      <c r="U8292">
        <v>3.0428769999999998</v>
      </c>
      <c r="V8292">
        <v>-2.1541859999999999E-2</v>
      </c>
      <c r="W8292">
        <v>5.3408780000000003E-2</v>
      </c>
      <c r="X8292">
        <v>0.99834040000000002</v>
      </c>
      <c r="Y8292">
        <v>0.16557759999999999</v>
      </c>
      <c r="Z8292">
        <v>-0.1877904</v>
      </c>
      <c r="AA8292">
        <v>0.96815229999999997</v>
      </c>
      <c r="AB8292">
        <v>20</v>
      </c>
      <c r="AC8292">
        <v>0.1293</v>
      </c>
      <c r="AD8292">
        <v>-0.14932100000000001</v>
      </c>
      <c r="AE8292">
        <v>0.591001000000002</v>
      </c>
      <c r="AF8292">
        <v>0.12415635659709399</v>
      </c>
      <c r="AG8292">
        <v>-0.14932100000000001</v>
      </c>
      <c r="AH8292">
        <v>0.55656068411317605</v>
      </c>
      <c r="AI8292">
        <v>104.673780391412</v>
      </c>
      <c r="AJ8292">
        <v>77.424484321869997</v>
      </c>
      <c r="AK8292">
        <v>0.589467010972617</v>
      </c>
      <c r="AL8292">
        <v>86.938445785153505</v>
      </c>
      <c r="AM8292">
        <v>91.236117620074594</v>
      </c>
      <c r="AN8292">
        <v>1.0000000518927501</v>
      </c>
    </row>
    <row r="8293" spans="1:40" x14ac:dyDescent="0.25">
      <c r="A8293" t="str">
        <f>"20190312160529692"</f>
        <v>20190312160529692</v>
      </c>
      <c r="B8293" t="str">
        <f>"1552377929683649"</f>
        <v>1552377929683649</v>
      </c>
      <c r="C8293" t="s">
        <v>40</v>
      </c>
      <c r="D8293">
        <v>5.7561470000000003</v>
      </c>
      <c r="E8293">
        <v>0.56867069999999997</v>
      </c>
      <c r="F8293" t="s">
        <v>49</v>
      </c>
      <c r="G8293">
        <v>-187.2552</v>
      </c>
      <c r="H8293">
        <v>0.96276899999999999</v>
      </c>
      <c r="I8293">
        <v>8.7902330000000006</v>
      </c>
      <c r="J8293">
        <v>-187.38310000000001</v>
      </c>
      <c r="K8293">
        <v>1.1097889999999999</v>
      </c>
      <c r="L8293">
        <v>8.1459960000000002</v>
      </c>
      <c r="M8293">
        <v>-4.0584559999999898E-3</v>
      </c>
      <c r="N8293">
        <v>0</v>
      </c>
      <c r="O8293">
        <v>0.99994910000000004</v>
      </c>
      <c r="P8293">
        <v>-2.5747030000000001E-2</v>
      </c>
      <c r="Q8293">
        <v>4.4142670000000002E-2</v>
      </c>
      <c r="R8293">
        <v>0.99869339999999995</v>
      </c>
      <c r="S8293">
        <v>0.50083919999999904</v>
      </c>
      <c r="T8293">
        <v>-0.57806469999999999</v>
      </c>
      <c r="U8293">
        <v>3.0423580000000001</v>
      </c>
      <c r="V8293">
        <v>-2.1687100000000001E-2</v>
      </c>
      <c r="W8293">
        <v>5.336925E-2</v>
      </c>
      <c r="X8293">
        <v>0.99833930000000004</v>
      </c>
      <c r="Y8293">
        <v>0.1636589</v>
      </c>
      <c r="Z8293">
        <v>-0.1842078</v>
      </c>
      <c r="AA8293">
        <v>0.96916630000000004</v>
      </c>
      <c r="AB8293">
        <v>20</v>
      </c>
      <c r="AC8293">
        <v>0.127900000000011</v>
      </c>
      <c r="AD8293">
        <v>-0.14701999999999901</v>
      </c>
      <c r="AE8293">
        <v>0.64423699999999995</v>
      </c>
      <c r="AF8293">
        <v>0.124286411040684</v>
      </c>
      <c r="AG8293">
        <v>-0.14701999999999901</v>
      </c>
      <c r="AH8293">
        <v>0.612998859551946</v>
      </c>
      <c r="AI8293">
        <v>103.227517943172</v>
      </c>
      <c r="AJ8293">
        <v>78.538564589543697</v>
      </c>
      <c r="AK8293">
        <v>0.64251816642127701</v>
      </c>
      <c r="AL8293">
        <v>86.940713709663399</v>
      </c>
      <c r="AM8293">
        <v>91.244450558025406</v>
      </c>
      <c r="AN8293">
        <v>0.99999998253823097</v>
      </c>
    </row>
    <row r="8294" spans="1:40" x14ac:dyDescent="0.25">
      <c r="A8294" t="str">
        <f>"20190312160529713"</f>
        <v>20190312160529713</v>
      </c>
      <c r="B8294" t="str">
        <f>"1552377929703168"</f>
        <v>1552377929703168</v>
      </c>
      <c r="C8294" t="s">
        <v>40</v>
      </c>
      <c r="D8294">
        <v>5.7531179999999997</v>
      </c>
      <c r="E8294">
        <v>0.56804379999999999</v>
      </c>
      <c r="F8294" t="s">
        <v>49</v>
      </c>
      <c r="G8294">
        <v>-187.24850000000001</v>
      </c>
      <c r="H8294">
        <v>0.95468500000000001</v>
      </c>
      <c r="I8294">
        <v>8.9687809999999999</v>
      </c>
      <c r="J8294">
        <v>-187.38390000000001</v>
      </c>
      <c r="K8294">
        <v>1.1097809999999999</v>
      </c>
      <c r="L8294">
        <v>8.3373720000000002</v>
      </c>
      <c r="M8294">
        <v>-4.0025620000000003E-3</v>
      </c>
      <c r="N8294">
        <v>0</v>
      </c>
      <c r="O8294">
        <v>0.99994930000000004</v>
      </c>
      <c r="P8294">
        <v>-2.5732000000000001E-2</v>
      </c>
      <c r="Q8294">
        <v>4.4366500000000003E-2</v>
      </c>
      <c r="R8294">
        <v>0.99868389999999996</v>
      </c>
      <c r="S8294">
        <v>0.49719239999999998</v>
      </c>
      <c r="T8294">
        <v>-0.57345199999999996</v>
      </c>
      <c r="U8294">
        <v>3.042084</v>
      </c>
      <c r="V8294">
        <v>-2.1727779999999999E-2</v>
      </c>
      <c r="W8294">
        <v>5.359353E-2</v>
      </c>
      <c r="X8294">
        <v>0.99832639999999995</v>
      </c>
      <c r="Y8294">
        <v>0.16252759999999999</v>
      </c>
      <c r="Z8294">
        <v>-0.182838</v>
      </c>
      <c r="AA8294">
        <v>0.96961589999999998</v>
      </c>
      <c r="AB8294">
        <v>20</v>
      </c>
      <c r="AC8294">
        <v>0.13540000000000399</v>
      </c>
      <c r="AD8294">
        <v>-0.15509599999999901</v>
      </c>
      <c r="AE8294">
        <v>0.631408999999999</v>
      </c>
      <c r="AF8294">
        <v>0.13040406848372199</v>
      </c>
      <c r="AG8294">
        <v>-0.15509599999999901</v>
      </c>
      <c r="AH8294">
        <v>0.59645608968672204</v>
      </c>
      <c r="AI8294">
        <v>104.253292280246</v>
      </c>
      <c r="AJ8294">
        <v>77.667394311177105</v>
      </c>
      <c r="AK8294">
        <v>0.62993639140589597</v>
      </c>
      <c r="AL8294">
        <v>86.927844992939796</v>
      </c>
      <c r="AM8294">
        <v>91.246800229645601</v>
      </c>
      <c r="AN8294">
        <v>0.99999998190927397</v>
      </c>
    </row>
    <row r="8295" spans="1:40" x14ac:dyDescent="0.25">
      <c r="A8295" t="str">
        <f>"20190312160529736"</f>
        <v>20190312160529736</v>
      </c>
      <c r="B8295" t="str">
        <f>"1552377929733426"</f>
        <v>1552377929733426</v>
      </c>
      <c r="C8295" t="s">
        <v>40</v>
      </c>
      <c r="D8295">
        <v>5.9392509999999996</v>
      </c>
      <c r="E8295">
        <v>0.56743789999999905</v>
      </c>
      <c r="F8295" t="s">
        <v>49</v>
      </c>
      <c r="G8295">
        <v>-187.2517</v>
      </c>
      <c r="H8295">
        <v>0.95847709999999997</v>
      </c>
      <c r="I8295">
        <v>9.1529450000000008</v>
      </c>
      <c r="J8295">
        <v>-187.38460000000001</v>
      </c>
      <c r="K8295">
        <v>1.1097790000000001</v>
      </c>
      <c r="L8295">
        <v>8.5473630000000007</v>
      </c>
      <c r="M8295">
        <v>-3.9412149999999996E-3</v>
      </c>
      <c r="N8295">
        <v>0</v>
      </c>
      <c r="O8295">
        <v>0.99994959999999999</v>
      </c>
      <c r="P8295">
        <v>-2.547311E-2</v>
      </c>
      <c r="Q8295">
        <v>4.4515800000000001E-2</v>
      </c>
      <c r="R8295">
        <v>0.99868389999999996</v>
      </c>
      <c r="S8295">
        <v>0.49243160000000002</v>
      </c>
      <c r="T8295">
        <v>-0.56429110000000005</v>
      </c>
      <c r="U8295">
        <v>3.0417179999999999</v>
      </c>
      <c r="V8295">
        <v>-2.1530529999999999E-2</v>
      </c>
      <c r="W8295">
        <v>5.3743029999999997E-2</v>
      </c>
      <c r="X8295">
        <v>0.99832270000000001</v>
      </c>
      <c r="Y8295">
        <v>0.16108839999999999</v>
      </c>
      <c r="Z8295">
        <v>-0.18007770000000001</v>
      </c>
      <c r="AA8295">
        <v>0.97037240000000002</v>
      </c>
      <c r="AB8295">
        <v>20</v>
      </c>
      <c r="AC8295">
        <v>0.13290000000000601</v>
      </c>
      <c r="AD8295">
        <v>-0.15130189999999999</v>
      </c>
      <c r="AE8295">
        <v>0.60558199999999796</v>
      </c>
      <c r="AF8295">
        <v>0.12768177618680501</v>
      </c>
      <c r="AG8295">
        <v>-0.15130189999999999</v>
      </c>
      <c r="AH8295">
        <v>0.57104518570007601</v>
      </c>
      <c r="AI8295">
        <v>104.49752083181799</v>
      </c>
      <c r="AJ8295">
        <v>77.396363574122503</v>
      </c>
      <c r="AK8295">
        <v>0.60439019269430705</v>
      </c>
      <c r="AL8295">
        <v>86.9192671062372</v>
      </c>
      <c r="AM8295">
        <v>91.235489579932107</v>
      </c>
      <c r="AN8295">
        <v>1.00000004516547</v>
      </c>
    </row>
    <row r="8296" spans="1:40" x14ac:dyDescent="0.25">
      <c r="A8296" t="str">
        <f>"20190312160529756"</f>
        <v>20190312160529756</v>
      </c>
      <c r="B8296" t="str">
        <f>"1552377929743188"</f>
        <v>1552377929743188</v>
      </c>
      <c r="C8296" t="s">
        <v>40</v>
      </c>
      <c r="D8296">
        <v>6.2935809999999996</v>
      </c>
      <c r="E8296">
        <v>0.56727749999999999</v>
      </c>
      <c r="F8296" t="s">
        <v>49</v>
      </c>
      <c r="G8296">
        <v>-187.2576</v>
      </c>
      <c r="H8296">
        <v>0.96537019999999996</v>
      </c>
      <c r="I8296">
        <v>9.3389059999999997</v>
      </c>
      <c r="J8296">
        <v>-187.3853</v>
      </c>
      <c r="K8296">
        <v>1.1097790000000001</v>
      </c>
      <c r="L8296">
        <v>8.7285769999999996</v>
      </c>
      <c r="M8296">
        <v>-3.8880899999999999E-3</v>
      </c>
      <c r="N8296">
        <v>0</v>
      </c>
      <c r="O8296">
        <v>0.9999498</v>
      </c>
      <c r="P8296">
        <v>-2.526434E-2</v>
      </c>
      <c r="Q8296">
        <v>4.4247330000000001E-2</v>
      </c>
      <c r="R8296">
        <v>0.99870110000000001</v>
      </c>
      <c r="S8296">
        <v>0.48767090000000002</v>
      </c>
      <c r="T8296">
        <v>-0.55481340000000001</v>
      </c>
      <c r="U8296">
        <v>3.0411380000000001</v>
      </c>
      <c r="V8296">
        <v>-2.1374219999999999E-2</v>
      </c>
      <c r="W8296">
        <v>5.3474960000000002E-2</v>
      </c>
      <c r="X8296">
        <v>0.99834040000000002</v>
      </c>
      <c r="Y8296">
        <v>0.15966639999999999</v>
      </c>
      <c r="Z8296">
        <v>-0.1772243</v>
      </c>
      <c r="AA8296">
        <v>0.97113240000000001</v>
      </c>
      <c r="AB8296">
        <v>20</v>
      </c>
      <c r="AC8296">
        <v>0.127700000000004</v>
      </c>
      <c r="AD8296">
        <v>-0.1444088</v>
      </c>
      <c r="AE8296">
        <v>0.61032900000000001</v>
      </c>
      <c r="AF8296">
        <v>0.123450819917791</v>
      </c>
      <c r="AG8296">
        <v>-0.1444088</v>
      </c>
      <c r="AH8296">
        <v>0.578784535117012</v>
      </c>
      <c r="AI8296">
        <v>103.713031119503</v>
      </c>
      <c r="AJ8296">
        <v>77.959622894602006</v>
      </c>
      <c r="AK8296">
        <v>0.60916791161914496</v>
      </c>
      <c r="AL8296">
        <v>86.934648338776896</v>
      </c>
      <c r="AM8296">
        <v>91.226501031223606</v>
      </c>
      <c r="AN8296">
        <v>0.99999999144988505</v>
      </c>
    </row>
    <row r="8297" spans="1:40" x14ac:dyDescent="0.25">
      <c r="A8297" t="str">
        <f>"20190312160529770"</f>
        <v>20190312160529770</v>
      </c>
      <c r="B8297" t="str">
        <f>"1552377929763471"</f>
        <v>1552377929763471</v>
      </c>
      <c r="C8297" t="s">
        <v>40</v>
      </c>
      <c r="D8297">
        <v>5.7381729999999997</v>
      </c>
      <c r="E8297">
        <v>0.56700399999999995</v>
      </c>
      <c r="F8297" t="s">
        <v>49</v>
      </c>
      <c r="G8297">
        <v>-187.25810000000001</v>
      </c>
      <c r="H8297">
        <v>0.96538659999999998</v>
      </c>
      <c r="I8297">
        <v>9.5221839999999993</v>
      </c>
      <c r="J8297">
        <v>-187.38570000000001</v>
      </c>
      <c r="K8297">
        <v>1.1097779999999999</v>
      </c>
      <c r="L8297">
        <v>8.8581539999999901</v>
      </c>
      <c r="M8297">
        <v>-3.8501870000000001E-3</v>
      </c>
      <c r="N8297">
        <v>0</v>
      </c>
      <c r="O8297">
        <v>0.99994989999999995</v>
      </c>
      <c r="P8297">
        <v>-2.5115599999999998E-2</v>
      </c>
      <c r="Q8297">
        <v>4.4203300000000001E-2</v>
      </c>
      <c r="R8297">
        <v>0.99870680000000001</v>
      </c>
      <c r="S8297">
        <v>0.48684690000000003</v>
      </c>
      <c r="T8297">
        <v>-0.55323489999999997</v>
      </c>
      <c r="U8297">
        <v>3.0407410000000001</v>
      </c>
      <c r="V8297">
        <v>-2.1263819999999999E-2</v>
      </c>
      <c r="W8297">
        <v>5.3430680000000001E-2</v>
      </c>
      <c r="X8297">
        <v>0.99834509999999999</v>
      </c>
      <c r="Y8297">
        <v>0.1594053</v>
      </c>
      <c r="Z8297">
        <v>-0.17676559999999999</v>
      </c>
      <c r="AA8297">
        <v>0.97125890000000004</v>
      </c>
      <c r="AB8297">
        <v>20</v>
      </c>
      <c r="AC8297">
        <v>0.12760000000000099</v>
      </c>
      <c r="AD8297">
        <v>-0.1443914</v>
      </c>
      <c r="AE8297">
        <v>0.66403000000000001</v>
      </c>
      <c r="AF8297">
        <v>0.12447960022445501</v>
      </c>
      <c r="AG8297">
        <v>-0.1443914</v>
      </c>
      <c r="AH8297">
        <v>0.63459651365827097</v>
      </c>
      <c r="AI8297">
        <v>102.58641939823001</v>
      </c>
      <c r="AJ8297">
        <v>78.902024497927997</v>
      </c>
      <c r="AK8297">
        <v>0.66261359962894895</v>
      </c>
      <c r="AL8297">
        <v>86.937188941386495</v>
      </c>
      <c r="AM8297">
        <v>91.220162207405394</v>
      </c>
      <c r="AN8297">
        <v>0.99999996315013095</v>
      </c>
    </row>
    <row r="8298" spans="1:40" x14ac:dyDescent="0.25">
      <c r="A8298" t="str">
        <f>"20190312160529790"</f>
        <v>20190312160529790</v>
      </c>
      <c r="B8298" t="str">
        <f>"1552377929782991"</f>
        <v>1552377929782991</v>
      </c>
      <c r="C8298" t="s">
        <v>40</v>
      </c>
      <c r="D8298">
        <v>5.4165669999999997</v>
      </c>
      <c r="E8298">
        <v>0.56693059999999995</v>
      </c>
      <c r="F8298" t="s">
        <v>49</v>
      </c>
      <c r="G8298">
        <v>-187.2509</v>
      </c>
      <c r="H8298">
        <v>0.95694179999999995</v>
      </c>
      <c r="I8298">
        <v>9.7021259999999998</v>
      </c>
      <c r="J8298">
        <v>-187.38640000000001</v>
      </c>
      <c r="K8298">
        <v>1.1097790000000001</v>
      </c>
      <c r="L8298">
        <v>9.043488</v>
      </c>
      <c r="M8298">
        <v>-3.7959460000000001E-3</v>
      </c>
      <c r="N8298">
        <v>0</v>
      </c>
      <c r="O8298">
        <v>0.99995009999999995</v>
      </c>
      <c r="P8298">
        <v>-2.5117500000000001E-2</v>
      </c>
      <c r="Q8298">
        <v>4.4137419999999997E-2</v>
      </c>
      <c r="R8298">
        <v>0.99870970000000003</v>
      </c>
      <c r="S8298">
        <v>0.48493960000000003</v>
      </c>
      <c r="T8298">
        <v>-0.5505835</v>
      </c>
      <c r="U8298">
        <v>3.0404360000000001</v>
      </c>
      <c r="V8298">
        <v>-2.1319600000000001E-2</v>
      </c>
      <c r="W8298">
        <v>5.3365450000000002E-2</v>
      </c>
      <c r="X8298">
        <v>0.99834750000000005</v>
      </c>
      <c r="Y8298">
        <v>0.15879499999999999</v>
      </c>
      <c r="Z8298">
        <v>-0.1759791</v>
      </c>
      <c r="AA8298">
        <v>0.97150159999999997</v>
      </c>
      <c r="AB8298">
        <v>20</v>
      </c>
      <c r="AC8298">
        <v>0.135500000000007</v>
      </c>
      <c r="AD8298">
        <v>-0.15283720000000001</v>
      </c>
      <c r="AE8298">
        <v>0.65863799999999895</v>
      </c>
      <c r="AF8298">
        <v>0.131220325526515</v>
      </c>
      <c r="AG8298">
        <v>-0.15283720000000001</v>
      </c>
      <c r="AH8298">
        <v>0.62579001092839903</v>
      </c>
      <c r="AI8298">
        <v>103.443299002861</v>
      </c>
      <c r="AJ8298">
        <v>78.157372156136503</v>
      </c>
      <c r="AK8298">
        <v>0.657412443837878</v>
      </c>
      <c r="AL8298">
        <v>86.940931992785494</v>
      </c>
      <c r="AM8298">
        <v>91.223359068308895</v>
      </c>
      <c r="AN8298">
        <v>1.0000000636770501</v>
      </c>
    </row>
    <row r="8299" spans="1:40" x14ac:dyDescent="0.25">
      <c r="A8299" t="str">
        <f>"20190312160529813"</f>
        <v>20190312160529813</v>
      </c>
      <c r="B8299" t="str">
        <f>"1552377929803489"</f>
        <v>1552377929803489</v>
      </c>
      <c r="C8299" t="s">
        <v>40</v>
      </c>
      <c r="D8299">
        <v>5.467187</v>
      </c>
      <c r="E8299">
        <v>0.5666968</v>
      </c>
      <c r="F8299" t="s">
        <v>49</v>
      </c>
      <c r="G8299">
        <v>-187.25210000000001</v>
      </c>
      <c r="H8299">
        <v>0.95736339999999998</v>
      </c>
      <c r="I8299">
        <v>9.8863489999999992</v>
      </c>
      <c r="J8299">
        <v>-187.3871</v>
      </c>
      <c r="K8299">
        <v>1.1097790000000001</v>
      </c>
      <c r="L8299">
        <v>9.2472840000000005</v>
      </c>
      <c r="M8299">
        <v>-3.7363330000000001E-3</v>
      </c>
      <c r="N8299">
        <v>0</v>
      </c>
      <c r="O8299">
        <v>0.99995029999999996</v>
      </c>
      <c r="P8299">
        <v>-2.4995179999999999E-2</v>
      </c>
      <c r="Q8299">
        <v>4.4351660000000001E-2</v>
      </c>
      <c r="R8299">
        <v>0.99870320000000001</v>
      </c>
      <c r="S8299">
        <v>0.48410029999999998</v>
      </c>
      <c r="T8299">
        <v>-0.54978479999999996</v>
      </c>
      <c r="U8299">
        <v>3.0403440000000002</v>
      </c>
      <c r="V8299">
        <v>-2.1256509999999999E-2</v>
      </c>
      <c r="W8299">
        <v>5.3579719999999997E-2</v>
      </c>
      <c r="X8299">
        <v>0.99833729999999998</v>
      </c>
      <c r="Y8299">
        <v>0.15848579999999901</v>
      </c>
      <c r="Z8299">
        <v>-0.17574500000000001</v>
      </c>
      <c r="AA8299">
        <v>0.97159450000000003</v>
      </c>
      <c r="AB8299">
        <v>21</v>
      </c>
      <c r="AC8299">
        <v>0.13499999999998999</v>
      </c>
      <c r="AD8299">
        <v>-0.15241560000000001</v>
      </c>
      <c r="AE8299">
        <v>0.63906499999999999</v>
      </c>
      <c r="AF8299">
        <v>0.13029233023527501</v>
      </c>
      <c r="AG8299">
        <v>-0.15241560000000001</v>
      </c>
      <c r="AH8299">
        <v>0.60558140697720098</v>
      </c>
      <c r="AI8299">
        <v>103.823266090185</v>
      </c>
      <c r="AJ8299">
        <v>77.857770654080397</v>
      </c>
      <c r="AK8299">
        <v>0.63791492137900696</v>
      </c>
      <c r="AL8299">
        <v>86.928637426703801</v>
      </c>
      <c r="AM8299">
        <v>91.219752398110003</v>
      </c>
      <c r="AN8299">
        <v>0.99999999509197401</v>
      </c>
    </row>
    <row r="8300" spans="1:40" x14ac:dyDescent="0.25">
      <c r="A8300" t="str">
        <f>"20190312160529826"</f>
        <v>20190312160529826</v>
      </c>
      <c r="B8300" t="str">
        <f>"1552377929813247"</f>
        <v>1552377929813247</v>
      </c>
      <c r="C8300" t="s">
        <v>40</v>
      </c>
      <c r="D8300">
        <v>5.8213460000000001</v>
      </c>
      <c r="E8300">
        <v>0.56675540000000002</v>
      </c>
      <c r="F8300" t="s">
        <v>49</v>
      </c>
      <c r="G8300">
        <v>-187.2559</v>
      </c>
      <c r="H8300">
        <v>0.96161169999999996</v>
      </c>
      <c r="I8300">
        <v>10.07269</v>
      </c>
      <c r="J8300">
        <v>-187.38749999999999</v>
      </c>
      <c r="K8300">
        <v>1.1097790000000001</v>
      </c>
      <c r="L8300">
        <v>9.3791499999999992</v>
      </c>
      <c r="M8300">
        <v>-3.6977820000000002E-3</v>
      </c>
      <c r="N8300">
        <v>0</v>
      </c>
      <c r="O8300">
        <v>0.99995049999999996</v>
      </c>
      <c r="P8300">
        <v>-2.5050599999999999E-2</v>
      </c>
      <c r="Q8300">
        <v>4.4482910000000001E-2</v>
      </c>
      <c r="R8300">
        <v>0.99869600000000003</v>
      </c>
      <c r="S8300">
        <v>0.4824524</v>
      </c>
      <c r="T8300">
        <v>-0.54572109999999996</v>
      </c>
      <c r="U8300">
        <v>3.0401919999999998</v>
      </c>
      <c r="V8300">
        <v>-2.1350620000000001E-2</v>
      </c>
      <c r="W8300">
        <v>5.3711139999999997E-2</v>
      </c>
      <c r="X8300">
        <v>0.9983282</v>
      </c>
      <c r="Y8300">
        <v>0.15797610000000001</v>
      </c>
      <c r="Z8300">
        <v>-0.17450889999999999</v>
      </c>
      <c r="AA8300">
        <v>0.97190030000000005</v>
      </c>
      <c r="AB8300">
        <v>21</v>
      </c>
      <c r="AC8300">
        <v>0.131599999999991</v>
      </c>
      <c r="AD8300">
        <v>-0.148167299999999</v>
      </c>
      <c r="AE8300">
        <v>0.69354000000000005</v>
      </c>
      <c r="AF8300">
        <v>0.12850253236993001</v>
      </c>
      <c r="AG8300">
        <v>-0.148167299999999</v>
      </c>
      <c r="AH8300">
        <v>0.66380440683277098</v>
      </c>
      <c r="AI8300">
        <v>102.36045823530699</v>
      </c>
      <c r="AJ8300">
        <v>79.043918990271294</v>
      </c>
      <c r="AK8300">
        <v>0.69217247861019504</v>
      </c>
      <c r="AL8300">
        <v>86.921096665062706</v>
      </c>
      <c r="AM8300">
        <v>91.225162190150996</v>
      </c>
      <c r="AN8300">
        <v>0.99999996522486101</v>
      </c>
    </row>
    <row r="8301" spans="1:40" x14ac:dyDescent="0.25">
      <c r="A8301" t="str">
        <f>"20190312160529846"</f>
        <v>20190312160529846</v>
      </c>
      <c r="B8301" t="str">
        <f>"1552377929833742"</f>
        <v>1552377929833742</v>
      </c>
      <c r="C8301" t="s">
        <v>40</v>
      </c>
      <c r="D8301">
        <v>5.7472390000000004</v>
      </c>
      <c r="E8301">
        <v>0.56675229999999999</v>
      </c>
      <c r="F8301" t="s">
        <v>49</v>
      </c>
      <c r="G8301">
        <v>-187.2756</v>
      </c>
      <c r="H8301">
        <v>0.98336409999999996</v>
      </c>
      <c r="I8301">
        <v>10.08245</v>
      </c>
      <c r="J8301">
        <v>-187.38810000000001</v>
      </c>
      <c r="K8301">
        <v>1.1097760000000001</v>
      </c>
      <c r="L8301">
        <v>9.5557859999999994</v>
      </c>
      <c r="M8301">
        <v>-3.6459600000000002E-3</v>
      </c>
      <c r="N8301">
        <v>0</v>
      </c>
      <c r="O8301">
        <v>0.99995060000000002</v>
      </c>
      <c r="P8301">
        <v>-2.5014089999999999E-2</v>
      </c>
      <c r="Q8301">
        <v>4.4997780000000001E-2</v>
      </c>
      <c r="R8301">
        <v>0.9986739</v>
      </c>
      <c r="S8301">
        <v>0.48280329999999999</v>
      </c>
      <c r="T8301">
        <v>-0.54647639999999997</v>
      </c>
      <c r="U8301">
        <v>3.040375</v>
      </c>
      <c r="V8301">
        <v>-2.1365729999999999E-2</v>
      </c>
      <c r="W8301">
        <v>5.4225849999999999E-2</v>
      </c>
      <c r="X8301">
        <v>0.99830010000000002</v>
      </c>
      <c r="Y8301">
        <v>0.1580191</v>
      </c>
      <c r="Z8301">
        <v>-0.17473089999999999</v>
      </c>
      <c r="AA8301">
        <v>0.97185339999999998</v>
      </c>
      <c r="AB8301">
        <v>21</v>
      </c>
      <c r="AC8301">
        <v>0.11250000000001099</v>
      </c>
      <c r="AD8301">
        <v>-0.12641189999999999</v>
      </c>
      <c r="AE8301">
        <v>0.52666400000000002</v>
      </c>
      <c r="AF8301">
        <v>0.10844451828418999</v>
      </c>
      <c r="AG8301">
        <v>-0.12641189999999999</v>
      </c>
      <c r="AH8301">
        <v>0.49876940941929299</v>
      </c>
      <c r="AI8301">
        <v>103.910058593724</v>
      </c>
      <c r="AJ8301">
        <v>77.733428918762996</v>
      </c>
      <c r="AK8301">
        <v>0.52584323308375003</v>
      </c>
      <c r="AL8301">
        <v>86.891563061717406</v>
      </c>
      <c r="AM8301">
        <v>91.226063481958704</v>
      </c>
      <c r="AN8301">
        <v>1.00000001344333</v>
      </c>
    </row>
    <row r="8302" spans="1:40" x14ac:dyDescent="0.25">
      <c r="A8302" t="str">
        <f>"20190312160529868"</f>
        <v>20190312160529868</v>
      </c>
      <c r="B8302" t="str">
        <f>"1552377929863023"</f>
        <v>1552377929863023</v>
      </c>
      <c r="C8302" t="s">
        <v>40</v>
      </c>
      <c r="D8302">
        <v>5.4283010000000003</v>
      </c>
      <c r="E8302">
        <v>0.57655540000000005</v>
      </c>
      <c r="F8302" t="s">
        <v>49</v>
      </c>
      <c r="G8302">
        <v>-187.27529999999999</v>
      </c>
      <c r="H8302">
        <v>0.98213899999999998</v>
      </c>
      <c r="I8302">
        <v>10.266719999999999</v>
      </c>
      <c r="J8302">
        <v>-187.3888</v>
      </c>
      <c r="K8302">
        <v>1.109775</v>
      </c>
      <c r="L8302">
        <v>9.7606199999999994</v>
      </c>
      <c r="M8302">
        <v>-3.5863399999999999E-3</v>
      </c>
      <c r="N8302">
        <v>0</v>
      </c>
      <c r="O8302">
        <v>0.99995089999999998</v>
      </c>
      <c r="P8302">
        <v>-2.4580689999999999E-2</v>
      </c>
      <c r="Q8302">
        <v>4.4982380000000002E-2</v>
      </c>
      <c r="R8302">
        <v>0.9986853</v>
      </c>
      <c r="S8302">
        <v>0.4824524</v>
      </c>
      <c r="T8302">
        <v>-0.54590050000000001</v>
      </c>
      <c r="U8302">
        <v>3.0406490000000002</v>
      </c>
      <c r="V8302">
        <v>-2.0992070000000002E-2</v>
      </c>
      <c r="W8302">
        <v>5.4211080000000002E-2</v>
      </c>
      <c r="X8302">
        <v>0.9983088</v>
      </c>
      <c r="Y8302">
        <v>0.1578425</v>
      </c>
      <c r="Z8302">
        <v>-0.17454140000000001</v>
      </c>
      <c r="AA8302">
        <v>0.97191620000000001</v>
      </c>
      <c r="AB8302">
        <v>21</v>
      </c>
      <c r="AC8302">
        <v>0.113500000000016</v>
      </c>
      <c r="AD8302">
        <v>-0.127635999999999</v>
      </c>
      <c r="AE8302">
        <v>0.50609999999999999</v>
      </c>
      <c r="AF8302">
        <v>0.10873005372580299</v>
      </c>
      <c r="AG8302">
        <v>-0.127635999999999</v>
      </c>
      <c r="AH8302">
        <v>0.47681528633279302</v>
      </c>
      <c r="AI8302">
        <v>104.627056935658</v>
      </c>
      <c r="AJ8302">
        <v>77.154270317222498</v>
      </c>
      <c r="AK8302">
        <v>0.50543643552858397</v>
      </c>
      <c r="AL8302">
        <v>86.892410475931896</v>
      </c>
      <c r="AM8302">
        <v>91.204617038723399</v>
      </c>
      <c r="AN8302">
        <v>0.99999998417754499</v>
      </c>
    </row>
    <row r="8303" spans="1:40" x14ac:dyDescent="0.25">
      <c r="A8303" t="str">
        <f>"20190312160529882"</f>
        <v>20190312160529882</v>
      </c>
      <c r="B8303" t="str">
        <f>"1552377929873758"</f>
        <v>1552377929873758</v>
      </c>
      <c r="C8303" t="s">
        <v>40</v>
      </c>
      <c r="D8303">
        <v>5.846603</v>
      </c>
      <c r="E8303">
        <v>0.56139749999999999</v>
      </c>
      <c r="F8303" t="s">
        <v>49</v>
      </c>
      <c r="G8303">
        <v>-187.23140000000001</v>
      </c>
      <c r="H8303">
        <v>0.90570689999999998</v>
      </c>
      <c r="I8303">
        <v>10.60467</v>
      </c>
      <c r="J8303">
        <v>-187.38919999999999</v>
      </c>
      <c r="K8303">
        <v>1.1097760000000001</v>
      </c>
      <c r="L8303">
        <v>9.9000240000000002</v>
      </c>
      <c r="M8303">
        <v>-3.5456229999999999E-3</v>
      </c>
      <c r="N8303">
        <v>0</v>
      </c>
      <c r="O8303">
        <v>0.99995100000000003</v>
      </c>
      <c r="P8303">
        <v>-2.4232670000000001E-2</v>
      </c>
      <c r="Q8303">
        <v>4.5241389999999999E-2</v>
      </c>
      <c r="R8303">
        <v>0.99868210000000002</v>
      </c>
      <c r="S8303">
        <v>0.56864930000000002</v>
      </c>
      <c r="T8303">
        <v>-0.7376878</v>
      </c>
      <c r="U8303">
        <v>3.0511780000000002</v>
      </c>
      <c r="V8303">
        <v>-2.0684729999999998E-2</v>
      </c>
      <c r="W8303">
        <v>5.4470579999999998E-2</v>
      </c>
      <c r="X8303">
        <v>0.99830110000000005</v>
      </c>
      <c r="Y8303">
        <v>0.18173719999999999</v>
      </c>
      <c r="Z8303">
        <v>-0.2311597</v>
      </c>
      <c r="AA8303">
        <v>0.95579119999999995</v>
      </c>
      <c r="AB8303">
        <v>21</v>
      </c>
      <c r="AC8303">
        <v>0.15779999999998001</v>
      </c>
      <c r="AD8303">
        <v>-0.2040691</v>
      </c>
      <c r="AE8303">
        <v>0.70464599999999999</v>
      </c>
      <c r="AF8303">
        <v>0.148442071335601</v>
      </c>
      <c r="AG8303">
        <v>-0.2040691</v>
      </c>
      <c r="AH8303">
        <v>0.65200880830927899</v>
      </c>
      <c r="AI8303">
        <v>106.970931096161</v>
      </c>
      <c r="AJ8303">
        <v>77.174156390598796</v>
      </c>
      <c r="AK8303">
        <v>0.69913856439914701</v>
      </c>
      <c r="AL8303">
        <v>86.877520251034099</v>
      </c>
      <c r="AM8303">
        <v>91.186994757654404</v>
      </c>
      <c r="AN8303">
        <v>0.99999999420095897</v>
      </c>
    </row>
    <row r="8304" spans="1:40" x14ac:dyDescent="0.25">
      <c r="A8304" t="str">
        <f>"20190312160529903"</f>
        <v>20190312160529903</v>
      </c>
      <c r="B8304" t="str">
        <f>"1552377929893279"</f>
        <v>1552377929893279</v>
      </c>
      <c r="C8304" t="s">
        <v>40</v>
      </c>
      <c r="D8304">
        <v>5.769215</v>
      </c>
      <c r="E8304">
        <v>0.5618455</v>
      </c>
      <c r="F8304" t="s">
        <v>49</v>
      </c>
      <c r="G8304">
        <v>-187.2818</v>
      </c>
      <c r="H8304">
        <v>0.99134949999999999</v>
      </c>
      <c r="I8304">
        <v>10.641870000000001</v>
      </c>
      <c r="J8304">
        <v>-187.38980000000001</v>
      </c>
      <c r="K8304">
        <v>1.1097790000000001</v>
      </c>
      <c r="L8304">
        <v>10.08215</v>
      </c>
      <c r="M8304">
        <v>-3.492471E-3</v>
      </c>
      <c r="N8304">
        <v>0</v>
      </c>
      <c r="O8304">
        <v>0.99995120000000004</v>
      </c>
      <c r="P8304">
        <v>-2.3153070000000001E-2</v>
      </c>
      <c r="Q8304">
        <v>4.5154590000000001E-2</v>
      </c>
      <c r="R8304">
        <v>0.99871160000000003</v>
      </c>
      <c r="S8304">
        <v>0.43951420000000002</v>
      </c>
      <c r="T8304">
        <v>-0.48475459999999898</v>
      </c>
      <c r="U8304">
        <v>3.036591</v>
      </c>
      <c r="V8304">
        <v>-1.965803E-2</v>
      </c>
      <c r="W8304">
        <v>5.4384389999999998E-2</v>
      </c>
      <c r="X8304">
        <v>0.99832650000000001</v>
      </c>
      <c r="Y8304">
        <v>0.1449481</v>
      </c>
      <c r="Z8304">
        <v>-0.15601489999999901</v>
      </c>
      <c r="AA8304">
        <v>0.97706159999999997</v>
      </c>
      <c r="AB8304">
        <v>21</v>
      </c>
      <c r="AC8304">
        <v>0.108000000000004</v>
      </c>
      <c r="AD8304">
        <v>-0.11842949999999899</v>
      </c>
      <c r="AE8304">
        <v>0.559719999999998</v>
      </c>
      <c r="AF8304">
        <v>0.10540474022768</v>
      </c>
      <c r="AG8304">
        <v>-0.11842949999999899</v>
      </c>
      <c r="AH8304">
        <v>0.53619603397960103</v>
      </c>
      <c r="AI8304">
        <v>102.228153779582</v>
      </c>
      <c r="AJ8304">
        <v>78.878675374062794</v>
      </c>
      <c r="AK8304">
        <v>0.55914389256091102</v>
      </c>
      <c r="AL8304">
        <v>86.882465768151107</v>
      </c>
      <c r="AM8304">
        <v>91.128064430789195</v>
      </c>
      <c r="AN8304">
        <v>0.99999995031069999</v>
      </c>
    </row>
    <row r="8305" spans="1:40" x14ac:dyDescent="0.25">
      <c r="A8305" t="str">
        <f>"20190312160529925"</f>
        <v>20190312160529925</v>
      </c>
      <c r="B8305" t="str">
        <f>"1552377929913774"</f>
        <v>1552377929913774</v>
      </c>
      <c r="C8305" t="s">
        <v>40</v>
      </c>
      <c r="D8305">
        <v>5.7685139999999997</v>
      </c>
      <c r="E8305">
        <v>0.56169069999999899</v>
      </c>
      <c r="F8305" t="s">
        <v>49</v>
      </c>
      <c r="G8305">
        <v>-187.28020000000001</v>
      </c>
      <c r="H8305">
        <v>0.99111910000000003</v>
      </c>
      <c r="I8305">
        <v>10.827809999999999</v>
      </c>
      <c r="J8305">
        <v>-187.3905</v>
      </c>
      <c r="K8305">
        <v>1.1097779999999999</v>
      </c>
      <c r="L8305">
        <v>10.294309999999999</v>
      </c>
      <c r="M8305">
        <v>-3.4303430000000002E-3</v>
      </c>
      <c r="N8305">
        <v>0</v>
      </c>
      <c r="O8305">
        <v>0.99995140000000005</v>
      </c>
      <c r="P8305">
        <v>-2.2484170000000001E-2</v>
      </c>
      <c r="Q8305">
        <v>4.5472680000000001E-2</v>
      </c>
      <c r="R8305">
        <v>0.9987125</v>
      </c>
      <c r="S8305">
        <v>0.44589230000000002</v>
      </c>
      <c r="T8305">
        <v>-0.48313149999999999</v>
      </c>
      <c r="U8305">
        <v>3.036041</v>
      </c>
      <c r="V8305">
        <v>-1.9051220000000001E-2</v>
      </c>
      <c r="W8305">
        <v>5.4702929999999997E-2</v>
      </c>
      <c r="X8305">
        <v>0.99832089999999996</v>
      </c>
      <c r="Y8305">
        <v>0.14693329999999999</v>
      </c>
      <c r="Z8305">
        <v>-0.15548670000000001</v>
      </c>
      <c r="AA8305">
        <v>0.97684930000000003</v>
      </c>
      <c r="AB8305">
        <v>21</v>
      </c>
      <c r="AC8305">
        <v>0.110299999999995</v>
      </c>
      <c r="AD8305">
        <v>-0.1186589</v>
      </c>
      <c r="AE8305">
        <v>0.53349999999999997</v>
      </c>
      <c r="AF8305">
        <v>0.107050915077225</v>
      </c>
      <c r="AG8305">
        <v>-0.1186589</v>
      </c>
      <c r="AH8305">
        <v>0.50897232367166301</v>
      </c>
      <c r="AI8305">
        <v>102.85165158977399</v>
      </c>
      <c r="AJ8305">
        <v>78.122246083696197</v>
      </c>
      <c r="AK8305">
        <v>0.533472266600442</v>
      </c>
      <c r="AL8305">
        <v>86.864187683245504</v>
      </c>
      <c r="AM8305">
        <v>91.093257714414506</v>
      </c>
      <c r="AN8305">
        <v>0.999999989455441</v>
      </c>
    </row>
    <row r="8306" spans="1:40" x14ac:dyDescent="0.25">
      <c r="A8306" t="str">
        <f>"20190312160529948"</f>
        <v>20190312160529948</v>
      </c>
      <c r="B8306" t="str">
        <f>"1552377929943055"</f>
        <v>1552377929943055</v>
      </c>
      <c r="C8306" t="s">
        <v>40</v>
      </c>
      <c r="D8306">
        <v>5.7848639999999998</v>
      </c>
      <c r="E8306">
        <v>0.57329909999999995</v>
      </c>
      <c r="F8306" t="s">
        <v>49</v>
      </c>
      <c r="G8306">
        <v>-187.2842</v>
      </c>
      <c r="H8306">
        <v>0.99477340000000003</v>
      </c>
      <c r="I8306">
        <v>11.015919999999999</v>
      </c>
      <c r="J8306">
        <v>-187.39109999999999</v>
      </c>
      <c r="K8306">
        <v>1.1097790000000001</v>
      </c>
      <c r="L8306">
        <v>10.504</v>
      </c>
      <c r="M8306">
        <v>-3.3690730000000002E-3</v>
      </c>
      <c r="N8306">
        <v>0</v>
      </c>
      <c r="O8306">
        <v>0.99995160000000005</v>
      </c>
      <c r="P8306">
        <v>-2.1694950000000001E-2</v>
      </c>
      <c r="Q8306">
        <v>4.6008849999999997E-2</v>
      </c>
      <c r="R8306">
        <v>0.99870539999999997</v>
      </c>
      <c r="S8306">
        <v>0.44682309999999997</v>
      </c>
      <c r="T8306">
        <v>-0.48384110000000002</v>
      </c>
      <c r="U8306">
        <v>3.0359500000000001</v>
      </c>
      <c r="V8306">
        <v>-1.8323289999999999E-2</v>
      </c>
      <c r="W8306">
        <v>5.5239509999999999E-2</v>
      </c>
      <c r="X8306">
        <v>0.998305</v>
      </c>
      <c r="Y8306">
        <v>0.14716509999999999</v>
      </c>
      <c r="Z8306">
        <v>-0.15570800000000001</v>
      </c>
      <c r="AA8306">
        <v>0.97677910000000001</v>
      </c>
      <c r="AB8306">
        <v>21</v>
      </c>
      <c r="AC8306">
        <v>0.106899999999996</v>
      </c>
      <c r="AD8306">
        <v>-0.1150056</v>
      </c>
      <c r="AE8306">
        <v>0.51191999999999804</v>
      </c>
      <c r="AF8306">
        <v>0.10361329998096699</v>
      </c>
      <c r="AG8306">
        <v>-0.1150056</v>
      </c>
      <c r="AH8306">
        <v>0.48795866203608701</v>
      </c>
      <c r="AI8306">
        <v>102.982526094516</v>
      </c>
      <c r="AJ8306">
        <v>78.011854509032801</v>
      </c>
      <c r="AK8306">
        <v>0.51192349020176298</v>
      </c>
      <c r="AL8306">
        <v>86.833397420578805</v>
      </c>
      <c r="AM8306">
        <v>91.051511627578407</v>
      </c>
      <c r="AN8306">
        <v>1.00000000972323</v>
      </c>
    </row>
    <row r="8307" spans="1:40" x14ac:dyDescent="0.25">
      <c r="A8307" t="str">
        <f>"20190312160529969"</f>
        <v>20190312160529969</v>
      </c>
      <c r="B8307" t="str">
        <f>"1552377929963552"</f>
        <v>1552377929963552</v>
      </c>
      <c r="C8307" t="s">
        <v>40</v>
      </c>
      <c r="D8307">
        <v>5.7831989999999998</v>
      </c>
      <c r="E8307">
        <v>0.57183130000000004</v>
      </c>
      <c r="F8307" t="s">
        <v>49</v>
      </c>
      <c r="G8307">
        <v>-187.2373</v>
      </c>
      <c r="H8307">
        <v>0.92066139999999996</v>
      </c>
      <c r="I8307">
        <v>11.357250000000001</v>
      </c>
      <c r="J8307">
        <v>-187.39169999999999</v>
      </c>
      <c r="K8307">
        <v>1.1097790000000001</v>
      </c>
      <c r="L8307">
        <v>10.70035</v>
      </c>
      <c r="M8307">
        <v>-3.3116859999999999E-3</v>
      </c>
      <c r="N8307">
        <v>0</v>
      </c>
      <c r="O8307">
        <v>0.99995179999999995</v>
      </c>
      <c r="P8307">
        <v>-2.136774E-2</v>
      </c>
      <c r="Q8307">
        <v>4.6443539999999998E-2</v>
      </c>
      <c r="R8307">
        <v>0.99869229999999998</v>
      </c>
      <c r="S8307">
        <v>0.54902649999999997</v>
      </c>
      <c r="T8307">
        <v>-0.67532749999999997</v>
      </c>
      <c r="U8307">
        <v>3.0469360000000001</v>
      </c>
      <c r="V8307">
        <v>-1.8053420000000001E-2</v>
      </c>
      <c r="W8307">
        <v>5.567515E-2</v>
      </c>
      <c r="X8307">
        <v>0.99828570000000005</v>
      </c>
      <c r="Y8307">
        <v>0.17652010000000001</v>
      </c>
      <c r="Z8307">
        <v>-0.21305289999999999</v>
      </c>
      <c r="AA8307">
        <v>0.9609626</v>
      </c>
      <c r="AB8307">
        <v>21</v>
      </c>
      <c r="AC8307">
        <v>0.154399999999981</v>
      </c>
      <c r="AD8307">
        <v>-0.1891176</v>
      </c>
      <c r="AE8307">
        <v>0.65690000000000004</v>
      </c>
      <c r="AF8307">
        <v>0.14517230803655701</v>
      </c>
      <c r="AG8307">
        <v>-0.1891176</v>
      </c>
      <c r="AH8307">
        <v>0.60858451137960101</v>
      </c>
      <c r="AI8307">
        <v>106.81844424239</v>
      </c>
      <c r="AJ8307">
        <v>76.583339030024803</v>
      </c>
      <c r="AK8307">
        <v>0.65361729868598895</v>
      </c>
      <c r="AL8307">
        <v>86.808398563895906</v>
      </c>
      <c r="AM8307">
        <v>91.036048127291593</v>
      </c>
      <c r="AN8307">
        <v>0.99999999356285396</v>
      </c>
    </row>
    <row r="8308" spans="1:40" x14ac:dyDescent="0.25">
      <c r="A8308" t="str">
        <f>"20190312160529994"</f>
        <v>20190312160529994</v>
      </c>
      <c r="B8308" t="str">
        <f>"1552377929983072"</f>
        <v>1552377929983072</v>
      </c>
      <c r="C8308" t="s">
        <v>40</v>
      </c>
      <c r="D8308">
        <v>5.7758269999999996</v>
      </c>
      <c r="E8308">
        <v>0.57252769999999897</v>
      </c>
      <c r="F8308" t="s">
        <v>49</v>
      </c>
      <c r="G8308">
        <v>-187.24250000000001</v>
      </c>
      <c r="H8308">
        <v>0.91554899999999995</v>
      </c>
      <c r="I8308">
        <v>11.542350000000001</v>
      </c>
      <c r="J8308">
        <v>-187.39240000000001</v>
      </c>
      <c r="K8308">
        <v>1.109777</v>
      </c>
      <c r="L8308">
        <v>10.935420000000001</v>
      </c>
      <c r="M8308">
        <v>-3.243147E-3</v>
      </c>
      <c r="N8308">
        <v>0</v>
      </c>
      <c r="O8308">
        <v>0.99995199999999995</v>
      </c>
      <c r="P8308">
        <v>-2.0928120000000001E-2</v>
      </c>
      <c r="Q8308">
        <v>4.6735789999999999E-2</v>
      </c>
      <c r="R8308">
        <v>0.99868800000000002</v>
      </c>
      <c r="S8308">
        <v>0.53932190000000002</v>
      </c>
      <c r="T8308">
        <v>-0.70311800000000002</v>
      </c>
      <c r="U8308">
        <v>3.0481569999999998</v>
      </c>
      <c r="V8308">
        <v>-1.7681829999999999E-2</v>
      </c>
      <c r="W8308">
        <v>5.5967950000000002E-2</v>
      </c>
      <c r="X8308">
        <v>0.99827600000000005</v>
      </c>
      <c r="Y8308">
        <v>0.17309459999999999</v>
      </c>
      <c r="Z8308">
        <v>-0.2214352</v>
      </c>
      <c r="AA8308">
        <v>0.95968989999999998</v>
      </c>
      <c r="AB8308">
        <v>21</v>
      </c>
      <c r="AC8308">
        <v>0.149900000000002</v>
      </c>
      <c r="AD8308">
        <v>-0.19422800000000001</v>
      </c>
      <c r="AE8308">
        <v>0.60692999999999997</v>
      </c>
      <c r="AF8308">
        <v>0.13849927809161799</v>
      </c>
      <c r="AG8308">
        <v>-0.19422800000000001</v>
      </c>
      <c r="AH8308">
        <v>0.55305778293061703</v>
      </c>
      <c r="AI8308">
        <v>108.812418334448</v>
      </c>
      <c r="AJ8308">
        <v>75.940861686642506</v>
      </c>
      <c r="AK8308">
        <v>0.602311777467475</v>
      </c>
      <c r="AL8308">
        <v>86.791596230533798</v>
      </c>
      <c r="AM8308">
        <v>91.0147377155143</v>
      </c>
      <c r="AN8308">
        <v>1.00000001535767</v>
      </c>
    </row>
    <row r="8309" spans="1:40" x14ac:dyDescent="0.25">
      <c r="A8309" t="str">
        <f>"20190312160530015"</f>
        <v>20190312160530015</v>
      </c>
      <c r="B8309" t="str">
        <f>"1552377930003570"</f>
        <v>1552377930003570</v>
      </c>
      <c r="C8309" t="s">
        <v>40</v>
      </c>
      <c r="D8309">
        <v>5.7732390000000002</v>
      </c>
      <c r="E8309">
        <v>0.57336189999999998</v>
      </c>
      <c r="F8309" t="s">
        <v>49</v>
      </c>
      <c r="G8309">
        <v>-187.24930000000001</v>
      </c>
      <c r="H8309">
        <v>0.92312090000000002</v>
      </c>
      <c r="I8309">
        <v>11.73319</v>
      </c>
      <c r="J8309">
        <v>-187.3929</v>
      </c>
      <c r="K8309">
        <v>1.109782</v>
      </c>
      <c r="L8309">
        <v>11.12738</v>
      </c>
      <c r="M8309">
        <v>-3.187254E-3</v>
      </c>
      <c r="N8309">
        <v>0</v>
      </c>
      <c r="O8309">
        <v>0.99995219999999996</v>
      </c>
      <c r="P8309">
        <v>-2.0770589999999998E-2</v>
      </c>
      <c r="Q8309">
        <v>4.6999109999999997E-2</v>
      </c>
      <c r="R8309">
        <v>0.99867899999999998</v>
      </c>
      <c r="S8309">
        <v>0.54632569999999903</v>
      </c>
      <c r="T8309">
        <v>-0.71331999999999995</v>
      </c>
      <c r="U8309">
        <v>3.0487669999999998</v>
      </c>
      <c r="V8309">
        <v>-1.7580180000000001E-2</v>
      </c>
      <c r="W8309">
        <v>5.6232169999999998E-2</v>
      </c>
      <c r="X8309">
        <v>0.99826289999999995</v>
      </c>
      <c r="Y8309">
        <v>0.17502509999999999</v>
      </c>
      <c r="Z8309">
        <v>-0.2243618</v>
      </c>
      <c r="AA8309">
        <v>0.9586595</v>
      </c>
      <c r="AB8309">
        <v>21</v>
      </c>
      <c r="AC8309">
        <v>0.14359999999999201</v>
      </c>
      <c r="AD8309">
        <v>-0.1866611</v>
      </c>
      <c r="AE8309">
        <v>0.60580999999999796</v>
      </c>
      <c r="AF8309">
        <v>0.13352788391106901</v>
      </c>
      <c r="AG8309">
        <v>-0.1866611</v>
      </c>
      <c r="AH8309">
        <v>0.55542414224119796</v>
      </c>
      <c r="AI8309">
        <v>108.095294412925</v>
      </c>
      <c r="AJ8309">
        <v>76.482216281298506</v>
      </c>
      <c r="AK8309">
        <v>0.60097257825906503</v>
      </c>
      <c r="AL8309">
        <v>86.776433510205905</v>
      </c>
      <c r="AM8309">
        <v>91.008918597606396</v>
      </c>
      <c r="AN8309">
        <v>0.99999996859407503</v>
      </c>
    </row>
    <row r="8310" spans="1:40" x14ac:dyDescent="0.25">
      <c r="A8310" t="str">
        <f>"20190312160530029"</f>
        <v>20190312160530029</v>
      </c>
      <c r="B8310" t="str">
        <f>"1552377930023087"</f>
        <v>1552377930023087</v>
      </c>
      <c r="C8310" t="s">
        <v>40</v>
      </c>
      <c r="D8310">
        <v>5.8290050000000004</v>
      </c>
      <c r="E8310">
        <v>0.57290969999999997</v>
      </c>
      <c r="F8310" t="s">
        <v>49</v>
      </c>
      <c r="G8310">
        <v>-187.24879999999999</v>
      </c>
      <c r="H8310">
        <v>0.92160940000000002</v>
      </c>
      <c r="I8310">
        <v>11.920949999999999</v>
      </c>
      <c r="J8310">
        <v>-187.39340000000001</v>
      </c>
      <c r="K8310">
        <v>1.109783</v>
      </c>
      <c r="L8310">
        <v>11.274839999999999</v>
      </c>
      <c r="M8310">
        <v>-3.1441429999999999E-3</v>
      </c>
      <c r="N8310">
        <v>0</v>
      </c>
      <c r="O8310">
        <v>0.99995230000000002</v>
      </c>
      <c r="P8310">
        <v>-2.0730390000000001E-2</v>
      </c>
      <c r="Q8310">
        <v>4.7200970000000002E-2</v>
      </c>
      <c r="R8310">
        <v>0.99867030000000001</v>
      </c>
      <c r="S8310">
        <v>0.55334469999999902</v>
      </c>
      <c r="T8310">
        <v>-0.72308989999999995</v>
      </c>
      <c r="U8310">
        <v>3.0495000000000001</v>
      </c>
      <c r="V8310">
        <v>-1.7583310000000001E-2</v>
      </c>
      <c r="W8310">
        <v>5.6435449999999998E-2</v>
      </c>
      <c r="X8310">
        <v>0.99825140000000001</v>
      </c>
      <c r="Y8310">
        <v>0.17696429999999999</v>
      </c>
      <c r="Z8310">
        <v>-0.22714029999999999</v>
      </c>
      <c r="AA8310">
        <v>0.95764859999999896</v>
      </c>
      <c r="AB8310">
        <v>21</v>
      </c>
      <c r="AC8310">
        <v>0.14460000000002499</v>
      </c>
      <c r="AD8310">
        <v>-0.188173599999999</v>
      </c>
      <c r="AE8310">
        <v>0.64610999999999996</v>
      </c>
      <c r="AF8310">
        <v>0.13567188066331401</v>
      </c>
      <c r="AG8310">
        <v>-0.188173599999999</v>
      </c>
      <c r="AH8310">
        <v>0.59739713678199302</v>
      </c>
      <c r="AI8310">
        <v>107.075249560047</v>
      </c>
      <c r="AJ8310">
        <v>77.204871966586197</v>
      </c>
      <c r="AK8310">
        <v>0.640858410239737</v>
      </c>
      <c r="AL8310">
        <v>86.764767984834705</v>
      </c>
      <c r="AM8310">
        <v>91.009109812306903</v>
      </c>
      <c r="AN8310">
        <v>0.99999999520460903</v>
      </c>
    </row>
    <row r="8311" spans="1:40" x14ac:dyDescent="0.25">
      <c r="A8311" t="str">
        <f>"20190312160530046"</f>
        <v>20190312160530046</v>
      </c>
      <c r="B8311" t="str">
        <f>"1552377930033822"</f>
        <v>1552377930033822</v>
      </c>
      <c r="C8311" t="s">
        <v>40</v>
      </c>
      <c r="D8311">
        <v>5.837739</v>
      </c>
      <c r="E8311">
        <v>0.57224489999999995</v>
      </c>
      <c r="F8311" t="s">
        <v>49</v>
      </c>
      <c r="G8311">
        <v>-187.2432</v>
      </c>
      <c r="H8311">
        <v>0.91557370000000005</v>
      </c>
      <c r="I8311">
        <v>12.10745</v>
      </c>
      <c r="J8311">
        <v>-187.3938</v>
      </c>
      <c r="K8311">
        <v>1.1097840000000001</v>
      </c>
      <c r="L8311">
        <v>11.42886</v>
      </c>
      <c r="M8311">
        <v>-3.0992649999999999E-3</v>
      </c>
      <c r="N8311">
        <v>0</v>
      </c>
      <c r="O8311">
        <v>0.99995239999999996</v>
      </c>
      <c r="P8311">
        <v>-2.1204230000000001E-2</v>
      </c>
      <c r="Q8311">
        <v>4.7803819999999997E-2</v>
      </c>
      <c r="R8311">
        <v>0.99863170000000001</v>
      </c>
      <c r="S8311">
        <v>0.54968260000000002</v>
      </c>
      <c r="T8311">
        <v>-0.71118530000000002</v>
      </c>
      <c r="U8311">
        <v>3.0490110000000001</v>
      </c>
      <c r="V8311">
        <v>-1.8102E-2</v>
      </c>
      <c r="W8311">
        <v>5.704244E-2</v>
      </c>
      <c r="X8311">
        <v>0.99820759999999997</v>
      </c>
      <c r="Y8311">
        <v>0.17597579999999999</v>
      </c>
      <c r="Z8311">
        <v>-0.22366829999999999</v>
      </c>
      <c r="AA8311">
        <v>0.95864749999999999</v>
      </c>
      <c r="AB8311">
        <v>21</v>
      </c>
      <c r="AC8311">
        <v>0.15059999999999699</v>
      </c>
      <c r="AD8311">
        <v>-0.1942103</v>
      </c>
      <c r="AE8311">
        <v>0.67858999999999903</v>
      </c>
      <c r="AF8311">
        <v>0.14164514877665099</v>
      </c>
      <c r="AG8311">
        <v>-0.1942103</v>
      </c>
      <c r="AH8311">
        <v>0.62901659228615803</v>
      </c>
      <c r="AI8311">
        <v>106.762815176353</v>
      </c>
      <c r="AJ8311">
        <v>77.309523829750702</v>
      </c>
      <c r="AK8311">
        <v>0.67338166159269597</v>
      </c>
      <c r="AL8311">
        <v>86.729933812311202</v>
      </c>
      <c r="AM8311">
        <v>91.038916682973706</v>
      </c>
      <c r="AN8311">
        <v>0.99999996753145604</v>
      </c>
    </row>
    <row r="8312" spans="1:40" x14ac:dyDescent="0.25">
      <c r="A8312" t="str">
        <f>"20190312160530061"</f>
        <v>20190312160530061</v>
      </c>
      <c r="B8312" t="str">
        <f>"1552377930053343"</f>
        <v>1552377930053343</v>
      </c>
      <c r="C8312" t="s">
        <v>40</v>
      </c>
      <c r="D8312">
        <v>5.7626520000000001</v>
      </c>
      <c r="E8312">
        <v>0.5727139</v>
      </c>
      <c r="F8312" t="s">
        <v>49</v>
      </c>
      <c r="G8312">
        <v>-187.2704</v>
      </c>
      <c r="H8312">
        <v>0.95105490000000004</v>
      </c>
      <c r="I8312">
        <v>12.122070000000001</v>
      </c>
      <c r="J8312">
        <v>-187.39420000000001</v>
      </c>
      <c r="K8312">
        <v>1.1097859999999999</v>
      </c>
      <c r="L8312">
        <v>11.564909999999999</v>
      </c>
      <c r="M8312">
        <v>-3.0595829999999998E-3</v>
      </c>
      <c r="N8312">
        <v>0</v>
      </c>
      <c r="O8312">
        <v>0.99995250000000002</v>
      </c>
      <c r="P8312">
        <v>-2.1312459999999998E-2</v>
      </c>
      <c r="Q8312">
        <v>4.8239490000000003E-2</v>
      </c>
      <c r="R8312">
        <v>0.99860839999999995</v>
      </c>
      <c r="S8312">
        <v>0.54261780000000004</v>
      </c>
      <c r="T8312">
        <v>-0.69815780000000005</v>
      </c>
      <c r="U8312">
        <v>3.049042</v>
      </c>
      <c r="V8312">
        <v>-1.8250039999999999E-2</v>
      </c>
      <c r="W8312">
        <v>5.74847E-2</v>
      </c>
      <c r="X8312">
        <v>0.99817959999999994</v>
      </c>
      <c r="Y8312">
        <v>0.17393449999999999</v>
      </c>
      <c r="Z8312">
        <v>-0.21985450000000001</v>
      </c>
      <c r="AA8312">
        <v>0.95990149999999996</v>
      </c>
      <c r="AB8312">
        <v>21</v>
      </c>
      <c r="AC8312">
        <v>0.12380000000001699</v>
      </c>
      <c r="AD8312">
        <v>-0.15873110000000001</v>
      </c>
      <c r="AE8312">
        <v>0.55715999999999699</v>
      </c>
      <c r="AF8312">
        <v>0.116493899419174</v>
      </c>
      <c r="AG8312">
        <v>-0.15873110000000001</v>
      </c>
      <c r="AH8312">
        <v>0.51680601338771104</v>
      </c>
      <c r="AI8312">
        <v>106.67932259295399</v>
      </c>
      <c r="AJ8312">
        <v>77.297189939049403</v>
      </c>
      <c r="AK8312">
        <v>0.55304145069135102</v>
      </c>
      <c r="AL8312">
        <v>86.704552751764197</v>
      </c>
      <c r="AM8312">
        <v>91.047440538776499</v>
      </c>
      <c r="AN8312">
        <v>1.0000000342751201</v>
      </c>
    </row>
    <row r="8313" spans="1:40" x14ac:dyDescent="0.25">
      <c r="A8313" t="str">
        <f>"20190312160530092"</f>
        <v>20190312160530092</v>
      </c>
      <c r="B8313" t="str">
        <f>"1552377930083598"</f>
        <v>1552377930083598</v>
      </c>
      <c r="C8313" t="s">
        <v>40</v>
      </c>
      <c r="D8313">
        <v>5.4337160000000004</v>
      </c>
      <c r="E8313">
        <v>0.57006440000000003</v>
      </c>
      <c r="F8313" t="s">
        <v>49</v>
      </c>
      <c r="G8313">
        <v>-187.26130000000001</v>
      </c>
      <c r="H8313">
        <v>0.93805179999999999</v>
      </c>
      <c r="I8313">
        <v>12.305479999999999</v>
      </c>
      <c r="J8313">
        <v>-187.39500000000001</v>
      </c>
      <c r="K8313">
        <v>1.109793</v>
      </c>
      <c r="L8313">
        <v>11.85901</v>
      </c>
      <c r="M8313">
        <v>-2.9742280000000002E-3</v>
      </c>
      <c r="N8313">
        <v>0</v>
      </c>
      <c r="O8313">
        <v>0.99995259999999997</v>
      </c>
      <c r="P8313">
        <v>-2.2690740000000001E-2</v>
      </c>
      <c r="Q8313">
        <v>4.7990129999999999E-2</v>
      </c>
      <c r="R8313">
        <v>0.99859010000000004</v>
      </c>
      <c r="S8313">
        <v>0.54673769999999999</v>
      </c>
      <c r="T8313">
        <v>-0.70727559999999901</v>
      </c>
      <c r="U8313">
        <v>3.0500180000000001</v>
      </c>
      <c r="V8313">
        <v>-1.9713410000000001E-2</v>
      </c>
      <c r="W8313">
        <v>5.7251900000000001E-2</v>
      </c>
      <c r="X8313">
        <v>0.99816510000000003</v>
      </c>
      <c r="Y8313">
        <v>0.1749492</v>
      </c>
      <c r="Z8313">
        <v>-0.22247059999999999</v>
      </c>
      <c r="AA8313">
        <v>0.95911400000000002</v>
      </c>
      <c r="AB8313">
        <v>21</v>
      </c>
      <c r="AC8313">
        <v>0.13370000000000401</v>
      </c>
      <c r="AD8313">
        <v>-0.17174120000000001</v>
      </c>
      <c r="AE8313">
        <v>0.44646999999999898</v>
      </c>
      <c r="AF8313">
        <v>0.11888412769248</v>
      </c>
      <c r="AG8313">
        <v>-0.17174120000000001</v>
      </c>
      <c r="AH8313">
        <v>0.39274026584071797</v>
      </c>
      <c r="AI8313">
        <v>112.71099702176301</v>
      </c>
      <c r="AJ8313">
        <v>73.158715714303099</v>
      </c>
      <c r="AK8313">
        <v>0.44482962132402998</v>
      </c>
      <c r="AL8313">
        <v>86.717913042992805</v>
      </c>
      <c r="AM8313">
        <v>91.131424425166102</v>
      </c>
      <c r="AN8313">
        <v>0.99999998272272395</v>
      </c>
    </row>
    <row r="8314" spans="1:40" x14ac:dyDescent="0.25">
      <c r="A8314" t="str">
        <f>"20190312160530115"</f>
        <v>20190312160530115</v>
      </c>
      <c r="B8314" t="str">
        <f>"1552377930103118"</f>
        <v>1552377930103118</v>
      </c>
      <c r="C8314" t="s">
        <v>40</v>
      </c>
      <c r="D8314">
        <v>5.8028820000000003</v>
      </c>
      <c r="E8314">
        <v>0.5692564</v>
      </c>
      <c r="F8314" t="s">
        <v>49</v>
      </c>
      <c r="G8314">
        <v>-187.25470000000001</v>
      </c>
      <c r="H8314">
        <v>0.92917870000000002</v>
      </c>
      <c r="I8314">
        <v>12.68111</v>
      </c>
      <c r="J8314">
        <v>-187.3956</v>
      </c>
      <c r="K8314">
        <v>1.1097969999999999</v>
      </c>
      <c r="L8314">
        <v>12.08234</v>
      </c>
      <c r="M8314">
        <v>-2.909975E-3</v>
      </c>
      <c r="N8314">
        <v>0</v>
      </c>
      <c r="O8314">
        <v>0.99995270000000003</v>
      </c>
      <c r="P8314">
        <v>-2.315327E-2</v>
      </c>
      <c r="Q8314">
        <v>4.8327299999999997E-2</v>
      </c>
      <c r="R8314">
        <v>0.99856319999999998</v>
      </c>
      <c r="S8314">
        <v>0.51947019999999999</v>
      </c>
      <c r="T8314">
        <v>-0.66967089999999996</v>
      </c>
      <c r="U8314">
        <v>3.0482179999999999</v>
      </c>
      <c r="V8314">
        <v>-2.0240370000000001E-2</v>
      </c>
      <c r="W8314">
        <v>5.759943E-2</v>
      </c>
      <c r="X8314">
        <v>0.99813459999999998</v>
      </c>
      <c r="Y8314">
        <v>0.16705880000000001</v>
      </c>
      <c r="Z8314">
        <v>-0.2116101</v>
      </c>
      <c r="AA8314">
        <v>0.96297069999999996</v>
      </c>
      <c r="AB8314">
        <v>21</v>
      </c>
      <c r="AC8314">
        <v>0.14089999999998701</v>
      </c>
      <c r="AD8314">
        <v>-0.18061829999999901</v>
      </c>
      <c r="AE8314">
        <v>0.59877000000000002</v>
      </c>
      <c r="AF8314">
        <v>0.13131977391410701</v>
      </c>
      <c r="AG8314">
        <v>-0.18061829999999901</v>
      </c>
      <c r="AH8314">
        <v>0.55086318500682496</v>
      </c>
      <c r="AI8314">
        <v>107.689813777849</v>
      </c>
      <c r="AJ8314">
        <v>76.591570020163601</v>
      </c>
      <c r="AK8314">
        <v>0.594405671163731</v>
      </c>
      <c r="AL8314">
        <v>86.697968261077705</v>
      </c>
      <c r="AM8314">
        <v>91.161695886921706</v>
      </c>
      <c r="AN8314">
        <v>1.0000000233156101</v>
      </c>
    </row>
    <row r="8315" spans="1:40" x14ac:dyDescent="0.25">
      <c r="A8315" t="str">
        <f>"20190312160530137"</f>
        <v>20190312160530137</v>
      </c>
      <c r="B8315" t="str">
        <f>"1552377930133375"</f>
        <v>1552377930133375</v>
      </c>
      <c r="C8315" t="s">
        <v>40</v>
      </c>
      <c r="D8315">
        <v>5.6883489999999997</v>
      </c>
      <c r="E8315">
        <v>0.50917849999999998</v>
      </c>
      <c r="F8315" t="s">
        <v>49</v>
      </c>
      <c r="G8315">
        <v>-187.26259999999999</v>
      </c>
      <c r="H8315">
        <v>0.9381758</v>
      </c>
      <c r="I8315">
        <v>12.875069999999999</v>
      </c>
      <c r="J8315">
        <v>-187.39609999999999</v>
      </c>
      <c r="K8315">
        <v>1.109802</v>
      </c>
      <c r="L8315">
        <v>12.290649999999999</v>
      </c>
      <c r="M8315">
        <v>-2.850146E-3</v>
      </c>
      <c r="N8315">
        <v>0</v>
      </c>
      <c r="O8315">
        <v>0.99995270000000003</v>
      </c>
      <c r="P8315">
        <v>-2.3318720000000001E-2</v>
      </c>
      <c r="Q8315">
        <v>4.8705100000000001E-2</v>
      </c>
      <c r="R8315">
        <v>0.99854089999999995</v>
      </c>
      <c r="S8315">
        <v>0.51104740000000004</v>
      </c>
      <c r="T8315">
        <v>-0.65988769999999997</v>
      </c>
      <c r="U8315">
        <v>3.0480960000000001</v>
      </c>
      <c r="V8315">
        <v>-2.0465029999999999E-2</v>
      </c>
      <c r="W8315">
        <v>5.7985969999999998E-2</v>
      </c>
      <c r="X8315">
        <v>0.99810759999999998</v>
      </c>
      <c r="Y8315">
        <v>0.1645201</v>
      </c>
      <c r="Z8315">
        <v>-0.20875460000000001</v>
      </c>
      <c r="AA8315">
        <v>0.96403039999999995</v>
      </c>
      <c r="AB8315">
        <v>21</v>
      </c>
      <c r="AC8315">
        <v>0.13349999999999701</v>
      </c>
      <c r="AD8315">
        <v>-0.17162619999999901</v>
      </c>
      <c r="AE8315">
        <v>0.58441999999999905</v>
      </c>
      <c r="AF8315">
        <v>0.124925719430941</v>
      </c>
      <c r="AG8315">
        <v>-0.17162619999999901</v>
      </c>
      <c r="AH8315">
        <v>0.53979315879294298</v>
      </c>
      <c r="AI8315">
        <v>107.210928176541</v>
      </c>
      <c r="AJ8315">
        <v>76.969303453828203</v>
      </c>
      <c r="AK8315">
        <v>0.58003331126879398</v>
      </c>
      <c r="AL8315">
        <v>86.675783947033594</v>
      </c>
      <c r="AM8315">
        <v>91.174618418442805</v>
      </c>
      <c r="AN8315">
        <v>0.99999998567375004</v>
      </c>
    </row>
    <row r="8316" spans="1:40" x14ac:dyDescent="0.25">
      <c r="A8316" t="str">
        <f>"20190312160530160"</f>
        <v>20190312160530160</v>
      </c>
      <c r="B8316" t="str">
        <f>"1552377930153870"</f>
        <v>1552377930153870</v>
      </c>
      <c r="C8316" t="s">
        <v>40</v>
      </c>
      <c r="D8316">
        <v>5.678439</v>
      </c>
      <c r="E8316">
        <v>0.50391249999999999</v>
      </c>
      <c r="F8316" t="s">
        <v>49</v>
      </c>
      <c r="G8316">
        <v>-187.39070000000001</v>
      </c>
      <c r="H8316">
        <v>1.0264819999999999</v>
      </c>
      <c r="I8316">
        <v>13.107229999999999</v>
      </c>
      <c r="J8316">
        <v>-187.39670000000001</v>
      </c>
      <c r="K8316">
        <v>1.109807</v>
      </c>
      <c r="L8316">
        <v>12.50873</v>
      </c>
      <c r="M8316">
        <v>-2.787865E-3</v>
      </c>
      <c r="N8316">
        <v>0</v>
      </c>
      <c r="O8316">
        <v>0.99995290000000003</v>
      </c>
      <c r="P8316">
        <v>-2.3197510000000001E-2</v>
      </c>
      <c r="Q8316">
        <v>4.8985809999999998E-2</v>
      </c>
      <c r="R8316">
        <v>0.99853000000000003</v>
      </c>
      <c r="S8316">
        <v>1.919556E-2</v>
      </c>
      <c r="T8316">
        <v>-0.30812319999999999</v>
      </c>
      <c r="U8316">
        <v>3.0198670000000001</v>
      </c>
      <c r="V8316">
        <v>-2.0406150000000001E-2</v>
      </c>
      <c r="W8316">
        <v>5.827587E-2</v>
      </c>
      <c r="X8316">
        <v>0.99809190000000003</v>
      </c>
      <c r="Y8316">
        <v>9.1113740000000002E-3</v>
      </c>
      <c r="Z8316">
        <v>-0.1015013</v>
      </c>
      <c r="AA8316">
        <v>0.9947937</v>
      </c>
      <c r="AB8316">
        <v>21</v>
      </c>
      <c r="AC8316">
        <v>6.0000000000002196E-3</v>
      </c>
      <c r="AD8316">
        <v>-8.3325000000000093E-2</v>
      </c>
      <c r="AE8316">
        <v>0.59849999999999903</v>
      </c>
      <c r="AF8316">
        <v>7.5227860324880201E-3</v>
      </c>
      <c r="AG8316">
        <v>-8.3325000000000093E-2</v>
      </c>
      <c r="AH8316">
        <v>0.58710225159405205</v>
      </c>
      <c r="AI8316">
        <v>98.077150622894706</v>
      </c>
      <c r="AJ8316">
        <v>89.265885453566995</v>
      </c>
      <c r="AK8316">
        <v>0.59303347440215903</v>
      </c>
      <c r="AL8316">
        <v>86.659145693453794</v>
      </c>
      <c r="AM8316">
        <v>91.171258281460396</v>
      </c>
      <c r="AN8316">
        <v>0.99999996441384398</v>
      </c>
    </row>
    <row r="8317" spans="1:40" x14ac:dyDescent="0.25">
      <c r="A8317" t="str">
        <f>"20190312160530182"</f>
        <v>20190312160530182</v>
      </c>
      <c r="B8317" t="str">
        <f>"1552377930173391"</f>
        <v>1552377930173391</v>
      </c>
      <c r="C8317" t="s">
        <v>40</v>
      </c>
      <c r="D8317">
        <v>5.7007729999999999</v>
      </c>
      <c r="E8317">
        <v>0.50228609999999996</v>
      </c>
      <c r="F8317" t="s">
        <v>41</v>
      </c>
      <c r="G8317">
        <v>-187.50810000000001</v>
      </c>
      <c r="H8317" s="1">
        <v>-3.239712E-6</v>
      </c>
      <c r="I8317">
        <v>26.15428</v>
      </c>
      <c r="J8317">
        <v>-187.3972</v>
      </c>
      <c r="K8317">
        <v>1.1098129999999999</v>
      </c>
      <c r="L8317">
        <v>12.717499999999999</v>
      </c>
      <c r="M8317">
        <v>-2.7289969999999999E-3</v>
      </c>
      <c r="N8317">
        <v>0</v>
      </c>
      <c r="O8317">
        <v>0.99995290000000003</v>
      </c>
      <c r="P8317">
        <v>-2.2643480000000001E-2</v>
      </c>
      <c r="Q8317">
        <v>4.9328860000000002E-2</v>
      </c>
      <c r="R8317">
        <v>0.99852589999999997</v>
      </c>
      <c r="S8317">
        <v>-2.4642939999999999E-2</v>
      </c>
      <c r="T8317">
        <v>-0.24528459999999999</v>
      </c>
      <c r="U8317">
        <v>3.0158689999999999</v>
      </c>
      <c r="V8317">
        <v>-1.9910770000000001E-2</v>
      </c>
      <c r="W8317">
        <v>5.8627650000000003E-2</v>
      </c>
      <c r="X8317">
        <v>0.99808129999999995</v>
      </c>
      <c r="Y8317">
        <v>-5.4148759999999999E-3</v>
      </c>
      <c r="Z8317">
        <v>-8.1061259999999996E-2</v>
      </c>
      <c r="AA8317">
        <v>0.99669439999999998</v>
      </c>
      <c r="AB8317">
        <v>21</v>
      </c>
      <c r="AC8317">
        <v>-0.110900000000015</v>
      </c>
      <c r="AD8317">
        <v>-1.1098162397119999</v>
      </c>
      <c r="AE8317">
        <v>13.436779999999899</v>
      </c>
      <c r="AF8317">
        <v>-7.3726138584393294E-2</v>
      </c>
      <c r="AG8317">
        <v>-1.1098162397119999</v>
      </c>
      <c r="AH8317">
        <v>13.345992456071601</v>
      </c>
      <c r="AI8317">
        <v>94.753550981264198</v>
      </c>
      <c r="AJ8317">
        <v>90.316511014485997</v>
      </c>
      <c r="AK8317">
        <v>13.392260536106599</v>
      </c>
      <c r="AL8317">
        <v>86.638955650787494</v>
      </c>
      <c r="AM8317">
        <v>91.142844566828003</v>
      </c>
      <c r="AN8317">
        <v>0.99999996075810105</v>
      </c>
    </row>
    <row r="8318" spans="1:40" x14ac:dyDescent="0.25">
      <c r="A8318" t="str">
        <f>"20190312160530204"</f>
        <v>20190312160530204</v>
      </c>
      <c r="B8318" t="str">
        <f>"1552377930192911"</f>
        <v>1552377930192911</v>
      </c>
      <c r="C8318" t="s">
        <v>40</v>
      </c>
      <c r="D8318">
        <v>5.8652240000000004</v>
      </c>
      <c r="E8318">
        <v>0.50070320000000001</v>
      </c>
      <c r="F8318" t="s">
        <v>41</v>
      </c>
      <c r="G8318">
        <v>-187.60390000000001</v>
      </c>
      <c r="H8318" s="1">
        <v>-4.6194290000000004E-6</v>
      </c>
      <c r="I8318">
        <v>29.410019999999999</v>
      </c>
      <c r="J8318">
        <v>-187.39769999999999</v>
      </c>
      <c r="K8318">
        <v>1.1098129999999999</v>
      </c>
      <c r="L8318">
        <v>12.92999</v>
      </c>
      <c r="M8318">
        <v>-2.6705330000000001E-3</v>
      </c>
      <c r="N8318">
        <v>0</v>
      </c>
      <c r="O8318">
        <v>0.99995299999999998</v>
      </c>
      <c r="P8318">
        <v>-2.2689879999999999E-2</v>
      </c>
      <c r="Q8318">
        <v>4.9256469999999997E-2</v>
      </c>
      <c r="R8318">
        <v>0.99852839999999998</v>
      </c>
      <c r="S8318">
        <v>-3.7323000000000002E-2</v>
      </c>
      <c r="T8318">
        <v>-0.20035449999999999</v>
      </c>
      <c r="U8318">
        <v>3.0134889999999999</v>
      </c>
      <c r="V8318">
        <v>-2.001555E-2</v>
      </c>
      <c r="W8318">
        <v>5.856339E-2</v>
      </c>
      <c r="X8318">
        <v>0.99808300000000005</v>
      </c>
      <c r="Y8318">
        <v>-9.6865969999999999E-3</v>
      </c>
      <c r="Z8318">
        <v>-6.6335000000000005E-2</v>
      </c>
      <c r="AA8318">
        <v>0.99775040000000004</v>
      </c>
      <c r="AB8318">
        <v>21</v>
      </c>
      <c r="AC8318">
        <v>-0.206200000000023</v>
      </c>
      <c r="AD8318">
        <v>-1.1098176194289999</v>
      </c>
      <c r="AE8318">
        <v>16.480029999999999</v>
      </c>
      <c r="AF8318">
        <v>-0.16145478944167899</v>
      </c>
      <c r="AG8318">
        <v>-1.1098176194289999</v>
      </c>
      <c r="AH8318">
        <v>16.406130059860299</v>
      </c>
      <c r="AI8318">
        <v>93.869777462518599</v>
      </c>
      <c r="AJ8318">
        <v>90.563836771071394</v>
      </c>
      <c r="AK8318">
        <v>16.444417482491701</v>
      </c>
      <c r="AL8318">
        <v>86.642643892453705</v>
      </c>
      <c r="AM8318">
        <v>91.148855197878007</v>
      </c>
      <c r="AN8318">
        <v>0.99999998388954703</v>
      </c>
    </row>
    <row r="8319" spans="1:40" x14ac:dyDescent="0.25">
      <c r="A8319" t="str">
        <f>"20190312160530225"</f>
        <v>20190312160530225</v>
      </c>
      <c r="B8319" t="str">
        <f>"1552377930213410"</f>
        <v>1552377930213410</v>
      </c>
      <c r="C8319" t="s">
        <v>40</v>
      </c>
      <c r="D8319">
        <v>5.6902509999999999</v>
      </c>
      <c r="E8319">
        <v>0.50005710000000003</v>
      </c>
      <c r="F8319" t="s">
        <v>41</v>
      </c>
      <c r="G8319">
        <v>-187.6833</v>
      </c>
      <c r="H8319" s="1">
        <v>-7.7201510000000001E-7</v>
      </c>
      <c r="I8319">
        <v>30.105329999999999</v>
      </c>
      <c r="J8319">
        <v>-187.3982</v>
      </c>
      <c r="K8319">
        <v>1.109812</v>
      </c>
      <c r="L8319">
        <v>13.13269</v>
      </c>
      <c r="M8319">
        <v>-2.6154630000000002E-3</v>
      </c>
      <c r="N8319">
        <v>0</v>
      </c>
      <c r="O8319">
        <v>0.99995310000000004</v>
      </c>
      <c r="P8319">
        <v>-2.2251340000000001E-2</v>
      </c>
      <c r="Q8319">
        <v>4.9169709999999998E-2</v>
      </c>
      <c r="R8319">
        <v>0.9985425</v>
      </c>
      <c r="S8319">
        <v>-5.0109859999999999E-2</v>
      </c>
      <c r="T8319">
        <v>-0.19468240000000001</v>
      </c>
      <c r="U8319">
        <v>3.0128780000000002</v>
      </c>
      <c r="V8319">
        <v>-1.9632520000000001E-2</v>
      </c>
      <c r="W8319">
        <v>5.8483899999999998E-2</v>
      </c>
      <c r="X8319">
        <v>0.99809530000000002</v>
      </c>
      <c r="Y8319">
        <v>-1.3979719999999999E-2</v>
      </c>
      <c r="Z8319">
        <v>-6.4474329999999996E-2</v>
      </c>
      <c r="AA8319">
        <v>0.99782150000000003</v>
      </c>
      <c r="AB8319">
        <v>21</v>
      </c>
      <c r="AC8319">
        <v>-0.28509999999999902</v>
      </c>
      <c r="AD8319">
        <v>-1.1098127720151001</v>
      </c>
      <c r="AE8319">
        <v>16.972639999999998</v>
      </c>
      <c r="AF8319">
        <v>-0.23968128201178401</v>
      </c>
      <c r="AG8319">
        <v>-1.1098127720151001</v>
      </c>
      <c r="AH8319">
        <v>16.901085154237599</v>
      </c>
      <c r="AI8319">
        <v>93.756567258354096</v>
      </c>
      <c r="AJ8319">
        <v>90.812480693737598</v>
      </c>
      <c r="AK8319">
        <v>16.939179758673799</v>
      </c>
      <c r="AL8319">
        <v>86.6472062585553</v>
      </c>
      <c r="AM8319">
        <v>91.126861831970103</v>
      </c>
      <c r="AN8319">
        <v>1.0000000151414199</v>
      </c>
    </row>
    <row r="8320" spans="1:40" x14ac:dyDescent="0.25">
      <c r="A8320" t="str">
        <f>"20190312160530248"</f>
        <v>20190312160530248</v>
      </c>
      <c r="B8320" t="str">
        <f>"1552377930243663"</f>
        <v>1552377930243663</v>
      </c>
      <c r="C8320" t="s">
        <v>40</v>
      </c>
      <c r="D8320">
        <v>5.8606579999999999</v>
      </c>
      <c r="E8320">
        <v>0.49987409999999999</v>
      </c>
      <c r="F8320" t="s">
        <v>41</v>
      </c>
      <c r="G8320">
        <v>-187.73570000000001</v>
      </c>
      <c r="H8320" s="1">
        <v>-1.335339E-6</v>
      </c>
      <c r="I8320">
        <v>31.801629999999999</v>
      </c>
      <c r="J8320">
        <v>-187.39869999999999</v>
      </c>
      <c r="K8320">
        <v>1.1098129999999999</v>
      </c>
      <c r="L8320">
        <v>13.3468</v>
      </c>
      <c r="M8320">
        <v>-2.5583950000000002E-3</v>
      </c>
      <c r="N8320">
        <v>0</v>
      </c>
      <c r="O8320">
        <v>0.99995319999999999</v>
      </c>
      <c r="P8320">
        <v>-2.223789E-2</v>
      </c>
      <c r="Q8320">
        <v>4.9316369999999998E-2</v>
      </c>
      <c r="R8320">
        <v>0.99853559999999997</v>
      </c>
      <c r="S8320">
        <v>-5.4458619999999999E-2</v>
      </c>
      <c r="T8320">
        <v>-0.17905399999999999</v>
      </c>
      <c r="U8320">
        <v>3.0119929999999999</v>
      </c>
      <c r="V8320">
        <v>-1.967613E-2</v>
      </c>
      <c r="W8320">
        <v>5.8636699999999903E-2</v>
      </c>
      <c r="X8320">
        <v>0.99808540000000001</v>
      </c>
      <c r="Y8320">
        <v>-1.548764E-2</v>
      </c>
      <c r="Z8320">
        <v>-5.9333570000000002E-2</v>
      </c>
      <c r="AA8320">
        <v>0.99811799999999995</v>
      </c>
      <c r="AB8320">
        <v>21</v>
      </c>
      <c r="AC8320">
        <v>-0.33700000000001701</v>
      </c>
      <c r="AD8320">
        <v>-1.109814335339</v>
      </c>
      <c r="AE8320">
        <v>18.454829999999902</v>
      </c>
      <c r="AF8320">
        <v>-0.28873824223252298</v>
      </c>
      <c r="AG8320">
        <v>-1.109814335339</v>
      </c>
      <c r="AH8320">
        <v>18.3891508296567</v>
      </c>
      <c r="AI8320">
        <v>93.453277191211797</v>
      </c>
      <c r="AJ8320">
        <v>90.899558847578206</v>
      </c>
      <c r="AK8320">
        <v>18.424872478997401</v>
      </c>
      <c r="AL8320">
        <v>86.638436157780205</v>
      </c>
      <c r="AM8320">
        <v>91.129375498086802</v>
      </c>
      <c r="AN8320">
        <v>0.99999993918591101</v>
      </c>
    </row>
    <row r="8321" spans="1:40" x14ac:dyDescent="0.25">
      <c r="A8321" t="str">
        <f>"20190312160530270"</f>
        <v>20190312160530270</v>
      </c>
      <c r="B8321" t="str">
        <f>"1552377930263183"</f>
        <v>1552377930263183</v>
      </c>
      <c r="C8321" t="s">
        <v>40</v>
      </c>
      <c r="D8321">
        <v>5.6966469999999996</v>
      </c>
      <c r="E8321">
        <v>0.49971510000000002</v>
      </c>
      <c r="F8321" t="s">
        <v>41</v>
      </c>
      <c r="G8321">
        <v>-187.7876</v>
      </c>
      <c r="H8321" s="1">
        <v>-2.2734129999999998E-6</v>
      </c>
      <c r="I8321">
        <v>34.01735</v>
      </c>
      <c r="J8321">
        <v>-187.39920000000001</v>
      </c>
      <c r="K8321">
        <v>1.1098140000000001</v>
      </c>
      <c r="L8321">
        <v>13.568849999999999</v>
      </c>
      <c r="M8321">
        <v>-2.4996580000000001E-3</v>
      </c>
      <c r="N8321">
        <v>0</v>
      </c>
      <c r="O8321">
        <v>0.99995330000000004</v>
      </c>
      <c r="P8321">
        <v>-2.302597E-2</v>
      </c>
      <c r="Q8321">
        <v>4.9204730000000002E-2</v>
      </c>
      <c r="R8321">
        <v>0.99852320000000006</v>
      </c>
      <c r="S8321">
        <v>-5.6655879999999999E-2</v>
      </c>
      <c r="T8321">
        <v>-0.16166839999999999</v>
      </c>
      <c r="U8321">
        <v>3.0111080000000001</v>
      </c>
      <c r="V8321">
        <v>-2.052292E-2</v>
      </c>
      <c r="W8321">
        <v>5.85315E-2</v>
      </c>
      <c r="X8321">
        <v>0.99807460000000003</v>
      </c>
      <c r="Y8321">
        <v>-1.6285859999999999E-2</v>
      </c>
      <c r="Z8321">
        <v>-5.3604909999999999E-2</v>
      </c>
      <c r="AA8321">
        <v>0.99842940000000002</v>
      </c>
      <c r="AB8321">
        <v>22</v>
      </c>
      <c r="AC8321">
        <v>-0.38839999999998998</v>
      </c>
      <c r="AD8321">
        <v>-1.1098162734129999</v>
      </c>
      <c r="AE8321">
        <v>20.448499999999999</v>
      </c>
      <c r="AF8321">
        <v>-0.33629206523639199</v>
      </c>
      <c r="AG8321">
        <v>-1.1098162734129999</v>
      </c>
      <c r="AH8321">
        <v>20.389368994748899</v>
      </c>
      <c r="AI8321">
        <v>93.115176343527693</v>
      </c>
      <c r="AJ8321">
        <v>90.9449222831594</v>
      </c>
      <c r="AK8321">
        <v>20.422319959248</v>
      </c>
      <c r="AL8321">
        <v>86.644474305609407</v>
      </c>
      <c r="AM8321">
        <v>91.177979095433798</v>
      </c>
      <c r="AN8321">
        <v>1.0000000169513601</v>
      </c>
    </row>
    <row r="8322" spans="1:40" x14ac:dyDescent="0.25">
      <c r="A8322" t="str">
        <f>"20190312160530292"</f>
        <v>20190312160530292</v>
      </c>
      <c r="B8322" t="str">
        <f>"1552377930283679"</f>
        <v>1552377930283679</v>
      </c>
      <c r="C8322" t="s">
        <v>40</v>
      </c>
      <c r="D8322">
        <v>5.7446609999999998</v>
      </c>
      <c r="E8322">
        <v>0.49960690000000002</v>
      </c>
      <c r="F8322" t="s">
        <v>41</v>
      </c>
      <c r="G8322">
        <v>-187.8331</v>
      </c>
      <c r="H8322" s="1">
        <v>-2.7813290000000001E-6</v>
      </c>
      <c r="I8322">
        <v>35.220120000000001</v>
      </c>
      <c r="J8322">
        <v>-187.39959999999999</v>
      </c>
      <c r="K8322">
        <v>1.1098129999999999</v>
      </c>
      <c r="L8322">
        <v>13.78049</v>
      </c>
      <c r="M8322">
        <v>-2.444117E-3</v>
      </c>
      <c r="N8322">
        <v>0</v>
      </c>
      <c r="O8322">
        <v>0.99995330000000004</v>
      </c>
      <c r="P8322">
        <v>-2.331045E-2</v>
      </c>
      <c r="Q8322">
        <v>4.8872359999999997E-2</v>
      </c>
      <c r="R8322">
        <v>0.998533</v>
      </c>
      <c r="S8322">
        <v>-6.0333249999999998E-2</v>
      </c>
      <c r="T8322">
        <v>-0.15432209999999999</v>
      </c>
      <c r="U8322">
        <v>3.0106510000000002</v>
      </c>
      <c r="V8322">
        <v>-2.086265E-2</v>
      </c>
      <c r="W8322">
        <v>5.8206380000000002E-2</v>
      </c>
      <c r="X8322">
        <v>0.99808660000000005</v>
      </c>
      <c r="Y8322">
        <v>-1.7565859999999999E-2</v>
      </c>
      <c r="Z8322">
        <v>-5.1182209999999999E-2</v>
      </c>
      <c r="AA8322">
        <v>0.9985349</v>
      </c>
      <c r="AB8322">
        <v>22</v>
      </c>
      <c r="AC8322">
        <v>-0.43350000000000899</v>
      </c>
      <c r="AD8322">
        <v>-1.1098157813289999</v>
      </c>
      <c r="AE8322">
        <v>21.439629999999902</v>
      </c>
      <c r="AF8322">
        <v>-0.38007741742545598</v>
      </c>
      <c r="AG8322">
        <v>-1.1098157813289999</v>
      </c>
      <c r="AH8322">
        <v>21.383350480871201</v>
      </c>
      <c r="AI8322">
        <v>92.970570096085694</v>
      </c>
      <c r="AJ8322">
        <v>91.0182940710515</v>
      </c>
      <c r="AK8322">
        <v>21.415504376490802</v>
      </c>
      <c r="AL8322">
        <v>86.663134222982507</v>
      </c>
      <c r="AM8322">
        <v>91.197458968264996</v>
      </c>
      <c r="AN8322">
        <v>1.0000000469686401</v>
      </c>
    </row>
    <row r="8323" spans="1:40" x14ac:dyDescent="0.25">
      <c r="A8323" t="str">
        <f>"20190312160530316"</f>
        <v>20190312160530316</v>
      </c>
      <c r="B8323" t="str">
        <f>"1552377930303198"</f>
        <v>1552377930303198</v>
      </c>
      <c r="C8323" t="s">
        <v>40</v>
      </c>
      <c r="D8323">
        <v>5.740875</v>
      </c>
      <c r="E8323">
        <v>0.4995153</v>
      </c>
      <c r="F8323" t="s">
        <v>41</v>
      </c>
      <c r="G8323">
        <v>-187.86170000000001</v>
      </c>
      <c r="H8323" s="1">
        <v>-3.171316E-6</v>
      </c>
      <c r="I8323">
        <v>36.141039999999997</v>
      </c>
      <c r="J8323">
        <v>-187.40010000000001</v>
      </c>
      <c r="K8323">
        <v>1.109807</v>
      </c>
      <c r="L8323">
        <v>14.010680000000001</v>
      </c>
      <c r="M8323">
        <v>-2.3841420000000001E-3</v>
      </c>
      <c r="N8323">
        <v>0</v>
      </c>
      <c r="O8323">
        <v>0.99995330000000004</v>
      </c>
      <c r="P8323">
        <v>-2.3562059999999999E-2</v>
      </c>
      <c r="Q8323">
        <v>4.9040760000000003E-2</v>
      </c>
      <c r="R8323">
        <v>0.99851880000000004</v>
      </c>
      <c r="S8323">
        <v>-6.2210080000000001E-2</v>
      </c>
      <c r="T8323">
        <v>-0.14940719999999999</v>
      </c>
      <c r="U8323">
        <v>3.0102540000000002</v>
      </c>
      <c r="V8323">
        <v>-2.1174160000000001E-2</v>
      </c>
      <c r="W8323">
        <v>5.838774E-2</v>
      </c>
      <c r="X8323">
        <v>0.9980694</v>
      </c>
      <c r="Y8323">
        <v>-1.8252460000000002E-2</v>
      </c>
      <c r="Z8323">
        <v>-4.9562130000000003E-2</v>
      </c>
      <c r="AA8323">
        <v>0.99860420000000005</v>
      </c>
      <c r="AB8323">
        <v>22</v>
      </c>
      <c r="AC8323">
        <v>-0.46160000000000401</v>
      </c>
      <c r="AD8323">
        <v>-1.109810171316</v>
      </c>
      <c r="AE8323">
        <v>22.13036</v>
      </c>
      <c r="AF8323">
        <v>-0.40780930016402001</v>
      </c>
      <c r="AG8323">
        <v>-1.109810171316</v>
      </c>
      <c r="AH8323">
        <v>22.075903156943301</v>
      </c>
      <c r="AI8323">
        <v>92.877487334324996</v>
      </c>
      <c r="AJ8323">
        <v>91.058307523862496</v>
      </c>
      <c r="AK8323">
        <v>22.107543672610799</v>
      </c>
      <c r="AL8323">
        <v>86.652725201681406</v>
      </c>
      <c r="AM8323">
        <v>91.215354403733997</v>
      </c>
      <c r="AN8323">
        <v>1.0000000002251801</v>
      </c>
    </row>
    <row r="8324" spans="1:40" x14ac:dyDescent="0.25">
      <c r="A8324" t="str">
        <f>"20190312160530339"</f>
        <v>20190312160530339</v>
      </c>
      <c r="B8324" t="str">
        <f>"1552377930333455"</f>
        <v>1552377930333455</v>
      </c>
      <c r="C8324" t="s">
        <v>40</v>
      </c>
      <c r="D8324">
        <v>5.6424440000000002</v>
      </c>
      <c r="E8324">
        <v>0.49951580000000001</v>
      </c>
      <c r="F8324" t="s">
        <v>41</v>
      </c>
      <c r="G8324">
        <v>-187.89269999999999</v>
      </c>
      <c r="H8324" s="1">
        <v>-3.6015589999999999E-6</v>
      </c>
      <c r="I8324">
        <v>37.156750000000002</v>
      </c>
      <c r="J8324">
        <v>-187.4006</v>
      </c>
      <c r="K8324">
        <v>1.109807</v>
      </c>
      <c r="L8324">
        <v>14.22672</v>
      </c>
      <c r="M8324">
        <v>-2.3289780000000002E-3</v>
      </c>
      <c r="N8324">
        <v>0</v>
      </c>
      <c r="O8324">
        <v>0.99995330000000004</v>
      </c>
      <c r="P8324">
        <v>-2.3567310000000001E-2</v>
      </c>
      <c r="Q8324">
        <v>4.89104E-2</v>
      </c>
      <c r="R8324">
        <v>0.99852510000000005</v>
      </c>
      <c r="S8324">
        <v>-6.4056399999999999E-2</v>
      </c>
      <c r="T8324">
        <v>-0.1443257</v>
      </c>
      <c r="U8324">
        <v>3.01004</v>
      </c>
      <c r="V8324">
        <v>-2.123473E-2</v>
      </c>
      <c r="W8324">
        <v>5.8275399999999998E-2</v>
      </c>
      <c r="X8324">
        <v>0.99807469999999998</v>
      </c>
      <c r="Y8324">
        <v>-1.8923079999999998E-2</v>
      </c>
      <c r="Z8324">
        <v>-4.7883200000000001E-2</v>
      </c>
      <c r="AA8324">
        <v>0.9986737</v>
      </c>
      <c r="AB8324">
        <v>22</v>
      </c>
      <c r="AC8324">
        <v>-0.49209999999999299</v>
      </c>
      <c r="AD8324">
        <v>-1.1098106015589999</v>
      </c>
      <c r="AE8324">
        <v>22.930029999999999</v>
      </c>
      <c r="AF8324">
        <v>-0.43766799437183301</v>
      </c>
      <c r="AG8324">
        <v>-1.1098106015589999</v>
      </c>
      <c r="AH8324">
        <v>22.877546867699301</v>
      </c>
      <c r="AI8324">
        <v>92.776785823167202</v>
      </c>
      <c r="AJ8324">
        <v>91.095985966455402</v>
      </c>
      <c r="AK8324">
        <v>22.908631201545099</v>
      </c>
      <c r="AL8324">
        <v>86.659172858883295</v>
      </c>
      <c r="AM8324">
        <v>91.218823482957703</v>
      </c>
      <c r="AN8324">
        <v>1.00000002139171</v>
      </c>
    </row>
    <row r="8325" spans="1:40" x14ac:dyDescent="0.25">
      <c r="A8325" t="str">
        <f>"20190312160530359"</f>
        <v>20190312160530359</v>
      </c>
      <c r="B8325" t="str">
        <f>"1552377930352974"</f>
        <v>1552377930352974</v>
      </c>
      <c r="C8325" t="s">
        <v>40</v>
      </c>
      <c r="D8325">
        <v>5.6392540000000002</v>
      </c>
      <c r="E8325">
        <v>0.49952990000000003</v>
      </c>
      <c r="F8325" t="s">
        <v>41</v>
      </c>
      <c r="G8325">
        <v>-187.911</v>
      </c>
      <c r="H8325" s="1">
        <v>-4.0688620000000003E-6</v>
      </c>
      <c r="I8325">
        <v>38.253610000000002</v>
      </c>
      <c r="J8325">
        <v>-187.40100000000001</v>
      </c>
      <c r="K8325">
        <v>1.1098159999999999</v>
      </c>
      <c r="L8325">
        <v>14.434329999999999</v>
      </c>
      <c r="M8325">
        <v>-2.2793039999999998E-3</v>
      </c>
      <c r="N8325">
        <v>0</v>
      </c>
      <c r="O8325">
        <v>0.99995319999999999</v>
      </c>
      <c r="P8325">
        <v>-2.3437070000000001E-2</v>
      </c>
      <c r="Q8325">
        <v>4.9054439999999998E-2</v>
      </c>
      <c r="R8325">
        <v>0.99852110000000005</v>
      </c>
      <c r="S8325">
        <v>-6.3934329999999998E-2</v>
      </c>
      <c r="T8325">
        <v>-0.1390207</v>
      </c>
      <c r="U8325">
        <v>3.009735</v>
      </c>
      <c r="V8325">
        <v>-2.1154099999999999E-2</v>
      </c>
      <c r="W8325">
        <v>5.8440110000000003E-2</v>
      </c>
      <c r="X8325">
        <v>0.99806680000000003</v>
      </c>
      <c r="Y8325">
        <v>-1.893616E-2</v>
      </c>
      <c r="Z8325">
        <v>-4.6131650000000003E-2</v>
      </c>
      <c r="AA8325">
        <v>0.99875590000000003</v>
      </c>
      <c r="AB8325">
        <v>22</v>
      </c>
      <c r="AC8325">
        <v>-0.50999999999999002</v>
      </c>
      <c r="AD8325">
        <v>-1.1098200688619999</v>
      </c>
      <c r="AE8325">
        <v>23.819279999999999</v>
      </c>
      <c r="AF8325">
        <v>-0.45471818131598202</v>
      </c>
      <c r="AG8325">
        <v>-1.1098200688619999</v>
      </c>
      <c r="AH8325">
        <v>23.768803608031899</v>
      </c>
      <c r="AI8325">
        <v>92.672841622641599</v>
      </c>
      <c r="AJ8325">
        <v>91.095985113387997</v>
      </c>
      <c r="AK8325">
        <v>23.799043975900702</v>
      </c>
      <c r="AL8325">
        <v>86.649719622149405</v>
      </c>
      <c r="AM8325">
        <v>91.214206506839204</v>
      </c>
      <c r="AN8325">
        <v>1.0000000398329301</v>
      </c>
    </row>
    <row r="8326" spans="1:40" x14ac:dyDescent="0.25">
      <c r="A8326" t="str">
        <f>"20190312160530383"</f>
        <v>20190312160530383</v>
      </c>
      <c r="B8326" t="str">
        <f>"1552377930373471"</f>
        <v>1552377930373471</v>
      </c>
      <c r="C8326" t="s">
        <v>40</v>
      </c>
      <c r="D8326">
        <v>5.5892160000000004</v>
      </c>
      <c r="E8326">
        <v>0.49953649999999999</v>
      </c>
      <c r="F8326" t="s">
        <v>41</v>
      </c>
      <c r="G8326">
        <v>-187.92400000000001</v>
      </c>
      <c r="H8326" s="1">
        <v>-4.4342270000000004E-6</v>
      </c>
      <c r="I8326">
        <v>39.11065</v>
      </c>
      <c r="J8326">
        <v>-187.4015</v>
      </c>
      <c r="K8326">
        <v>1.1098190000000001</v>
      </c>
      <c r="L8326">
        <v>14.663329999999901</v>
      </c>
      <c r="M8326">
        <v>-2.2322919999999999E-3</v>
      </c>
      <c r="N8326">
        <v>0</v>
      </c>
      <c r="O8326">
        <v>0.99995310000000004</v>
      </c>
      <c r="P8326">
        <v>-2.2968039999999999E-2</v>
      </c>
      <c r="Q8326">
        <v>4.8831939999999997E-2</v>
      </c>
      <c r="R8326">
        <v>0.99854290000000001</v>
      </c>
      <c r="S8326">
        <v>-6.3781740000000003E-2</v>
      </c>
      <c r="T8326">
        <v>-0.13535629999999901</v>
      </c>
      <c r="U8326">
        <v>3.0095830000000001</v>
      </c>
      <c r="V8326">
        <v>-2.0732670000000002E-2</v>
      </c>
      <c r="W8326">
        <v>5.8242549999999997E-2</v>
      </c>
      <c r="X8326">
        <v>0.99808719999999995</v>
      </c>
      <c r="Y8326">
        <v>-1.8934800000000002E-2</v>
      </c>
      <c r="Z8326">
        <v>-4.4920469999999997E-2</v>
      </c>
      <c r="AA8326">
        <v>0.99881109999999995</v>
      </c>
      <c r="AB8326">
        <v>22</v>
      </c>
      <c r="AC8326">
        <v>-0.52250000000000796</v>
      </c>
      <c r="AD8326">
        <v>-1.1098234342269999</v>
      </c>
      <c r="AE8326">
        <v>24.447320000000001</v>
      </c>
      <c r="AF8326">
        <v>-0.46696082319160698</v>
      </c>
      <c r="AG8326">
        <v>-1.1098234342269999</v>
      </c>
      <c r="AH8326">
        <v>24.3981676291491</v>
      </c>
      <c r="AI8326">
        <v>92.603997846961505</v>
      </c>
      <c r="AJ8326">
        <v>91.096460137828501</v>
      </c>
      <c r="AK8326">
        <v>24.427859998894998</v>
      </c>
      <c r="AL8326">
        <v>86.6610583181739</v>
      </c>
      <c r="AM8326">
        <v>91.189999909132496</v>
      </c>
      <c r="AN8326">
        <v>1.0000000485198299</v>
      </c>
    </row>
    <row r="8327" spans="1:40" x14ac:dyDescent="0.25">
      <c r="A8327" t="str">
        <f>"20190312160530405"</f>
        <v>20190312160530405</v>
      </c>
      <c r="B8327" t="str">
        <f>"1552377930392991"</f>
        <v>1552377930392991</v>
      </c>
      <c r="C8327" t="s">
        <v>40</v>
      </c>
      <c r="D8327">
        <v>5.5880919999999996</v>
      </c>
      <c r="E8327">
        <v>0.49961339999999999</v>
      </c>
      <c r="F8327" t="s">
        <v>41</v>
      </c>
      <c r="G8327">
        <v>-187.9169</v>
      </c>
      <c r="H8327" s="1">
        <v>-4.6058580000000003E-6</v>
      </c>
      <c r="I8327">
        <v>39.507809999999999</v>
      </c>
      <c r="J8327">
        <v>-187.40190000000001</v>
      </c>
      <c r="K8327">
        <v>1.1098319999999999</v>
      </c>
      <c r="L8327">
        <v>14.876189999999999</v>
      </c>
      <c r="M8327">
        <v>-2.2004080000000001E-3</v>
      </c>
      <c r="N8327">
        <v>0</v>
      </c>
      <c r="O8327">
        <v>0.99995299999999998</v>
      </c>
      <c r="P8327">
        <v>-2.2938819999999999E-2</v>
      </c>
      <c r="Q8327">
        <v>4.8996930000000001E-2</v>
      </c>
      <c r="R8327">
        <v>0.99853550000000002</v>
      </c>
      <c r="S8327">
        <v>-6.2438960000000002E-2</v>
      </c>
      <c r="T8327">
        <v>-0.1344378</v>
      </c>
      <c r="U8327">
        <v>3.0095209999999999</v>
      </c>
      <c r="V8327">
        <v>-2.073674E-2</v>
      </c>
      <c r="W8327">
        <v>5.842725E-2</v>
      </c>
      <c r="X8327">
        <v>0.99807630000000003</v>
      </c>
      <c r="Y8327">
        <v>-1.8521940000000001E-2</v>
      </c>
      <c r="Z8327">
        <v>-4.4617549999999999E-2</v>
      </c>
      <c r="AA8327">
        <v>0.99883239999999995</v>
      </c>
      <c r="AB8327">
        <v>22</v>
      </c>
      <c r="AC8327">
        <v>-0.51499999999998602</v>
      </c>
      <c r="AD8327">
        <v>-1.109836605858</v>
      </c>
      <c r="AE8327">
        <v>24.631620000000002</v>
      </c>
      <c r="AF8327">
        <v>-0.459863530526954</v>
      </c>
      <c r="AG8327">
        <v>-1.109836605858</v>
      </c>
      <c r="AH8327">
        <v>24.582808183000299</v>
      </c>
      <c r="AI8327">
        <v>92.584517681442406</v>
      </c>
      <c r="AJ8327">
        <v>91.0716906895356</v>
      </c>
      <c r="AK8327">
        <v>24.612144764741601</v>
      </c>
      <c r="AL8327">
        <v>86.650457668257701</v>
      </c>
      <c r="AM8327">
        <v>91.190246443883098</v>
      </c>
      <c r="AN8327">
        <v>1.0000000282750301</v>
      </c>
    </row>
    <row r="8328" spans="1:40" x14ac:dyDescent="0.25">
      <c r="A8328" t="str">
        <f>"20190312160530427"</f>
        <v>20190312160530427</v>
      </c>
      <c r="B8328" t="str">
        <f>"1552377930413490"</f>
        <v>1552377930413490</v>
      </c>
      <c r="C8328" t="s">
        <v>40</v>
      </c>
      <c r="D8328">
        <v>5.4868119999999996</v>
      </c>
      <c r="E8328">
        <v>0.49967859999999997</v>
      </c>
      <c r="F8328" t="s">
        <v>41</v>
      </c>
      <c r="G8328">
        <v>-187.91130000000001</v>
      </c>
      <c r="H8328" s="1">
        <v>-6.0928179999999998E-7</v>
      </c>
      <c r="I8328">
        <v>39.805329999999998</v>
      </c>
      <c r="J8328">
        <v>-187.4023</v>
      </c>
      <c r="K8328">
        <v>1.109847</v>
      </c>
      <c r="L8328">
        <v>15.08466</v>
      </c>
      <c r="M8328">
        <v>-2.1810150000000001E-3</v>
      </c>
      <c r="N8328">
        <v>0</v>
      </c>
      <c r="O8328">
        <v>0.99995279999999998</v>
      </c>
      <c r="P8328">
        <v>-2.360077E-2</v>
      </c>
      <c r="Q8328">
        <v>4.9678319999999998E-2</v>
      </c>
      <c r="R8328">
        <v>0.9984864</v>
      </c>
      <c r="S8328">
        <v>-6.149292E-2</v>
      </c>
      <c r="T8328">
        <v>-0.13398370000000001</v>
      </c>
      <c r="U8328">
        <v>3.0095519999999998</v>
      </c>
      <c r="V8328">
        <v>-2.141974E-2</v>
      </c>
      <c r="W8328">
        <v>5.913127E-2</v>
      </c>
      <c r="X8328">
        <v>0.99802040000000003</v>
      </c>
      <c r="Y8328">
        <v>-1.8227400000000001E-2</v>
      </c>
      <c r="Z8328">
        <v>-4.4466949999999998E-2</v>
      </c>
      <c r="AA8328">
        <v>0.99884459999999997</v>
      </c>
      <c r="AB8328">
        <v>22</v>
      </c>
      <c r="AC8328">
        <v>-0.509000000000014</v>
      </c>
      <c r="AD8328">
        <v>-1.1098476092817999</v>
      </c>
      <c r="AE8328">
        <v>24.720669999999998</v>
      </c>
      <c r="AF8328">
        <v>-0.45416518910273401</v>
      </c>
      <c r="AG8328">
        <v>-1.1098476092817999</v>
      </c>
      <c r="AH8328">
        <v>24.672013333756201</v>
      </c>
      <c r="AI8328">
        <v>92.575225338004401</v>
      </c>
      <c r="AJ8328">
        <v>91.054588028620799</v>
      </c>
      <c r="AK8328">
        <v>24.701139036001301</v>
      </c>
      <c r="AL8328">
        <v>86.610050386865495</v>
      </c>
      <c r="AM8328">
        <v>91.229506246353296</v>
      </c>
      <c r="AN8328">
        <v>1.0000000155848201</v>
      </c>
    </row>
    <row r="8329" spans="1:40" x14ac:dyDescent="0.25">
      <c r="A8329" t="str">
        <f>"20190312160530450"</f>
        <v>20190312160530450</v>
      </c>
      <c r="B8329" t="str">
        <f>"1552377930443743"</f>
        <v>1552377930443743</v>
      </c>
      <c r="C8329" t="s">
        <v>40</v>
      </c>
      <c r="D8329">
        <v>5.4042320000000004</v>
      </c>
      <c r="E8329">
        <v>0.4998898</v>
      </c>
      <c r="F8329" t="s">
        <v>41</v>
      </c>
      <c r="G8329">
        <v>-187.93899999999999</v>
      </c>
      <c r="H8329" s="1">
        <v>-9.784856000000001E-7</v>
      </c>
      <c r="I8329">
        <v>40.911920000000002</v>
      </c>
      <c r="J8329">
        <v>-187.40280000000001</v>
      </c>
      <c r="K8329">
        <v>1.109856</v>
      </c>
      <c r="L8329">
        <v>15.31573</v>
      </c>
      <c r="M8329">
        <v>-2.171185E-3</v>
      </c>
      <c r="N8329">
        <v>0</v>
      </c>
      <c r="O8329">
        <v>0.99995259999999997</v>
      </c>
      <c r="P8329">
        <v>-2.4025640000000001E-2</v>
      </c>
      <c r="Q8329">
        <v>4.8993889999999998E-2</v>
      </c>
      <c r="R8329">
        <v>0.99851009999999996</v>
      </c>
      <c r="S8329">
        <v>-6.2530520000000006E-2</v>
      </c>
      <c r="T8329">
        <v>-0.12932370000000001</v>
      </c>
      <c r="U8329">
        <v>3.0094910000000001</v>
      </c>
      <c r="V8329">
        <v>-2.185554E-2</v>
      </c>
      <c r="W8329">
        <v>5.8477700000000001E-2</v>
      </c>
      <c r="X8329">
        <v>0.99804939999999998</v>
      </c>
      <c r="Y8329">
        <v>-1.8583280000000001E-2</v>
      </c>
      <c r="Z8329">
        <v>-4.2923860000000001E-2</v>
      </c>
      <c r="AA8329">
        <v>0.9989055</v>
      </c>
      <c r="AB8329">
        <v>22</v>
      </c>
      <c r="AC8329">
        <v>-0.536200000000008</v>
      </c>
      <c r="AD8329">
        <v>-1.1098569784856001</v>
      </c>
      <c r="AE8329">
        <v>25.59619</v>
      </c>
      <c r="AF8329">
        <v>-0.47972063673711501</v>
      </c>
      <c r="AG8329">
        <v>-1.1098569784856001</v>
      </c>
      <c r="AH8329">
        <v>25.5492795063826</v>
      </c>
      <c r="AI8329">
        <v>92.486918743052698</v>
      </c>
      <c r="AJ8329">
        <v>91.075675674392798</v>
      </c>
      <c r="AK8329">
        <v>25.577873205121399</v>
      </c>
      <c r="AL8329">
        <v>86.647561900999094</v>
      </c>
      <c r="AM8329">
        <v>91.254477079405802</v>
      </c>
      <c r="AN8329">
        <v>0.999999955433169</v>
      </c>
    </row>
    <row r="8330" spans="1:40" x14ac:dyDescent="0.25">
      <c r="A8330" t="str">
        <f>"20190312160530473"</f>
        <v>20190312160530473</v>
      </c>
      <c r="B8330" t="str">
        <f>"1552377930463263"</f>
        <v>1552377930463263</v>
      </c>
      <c r="C8330" t="s">
        <v>40</v>
      </c>
      <c r="D8330">
        <v>5.4547220000000003</v>
      </c>
      <c r="E8330">
        <v>0.50002740000000001</v>
      </c>
      <c r="F8330" t="s">
        <v>41</v>
      </c>
      <c r="G8330">
        <v>-187.9469</v>
      </c>
      <c r="H8330" s="1">
        <v>-1.1631079999999999E-6</v>
      </c>
      <c r="I8330">
        <v>41.460630000000002</v>
      </c>
      <c r="J8330">
        <v>-187.4033</v>
      </c>
      <c r="K8330">
        <v>1.1098669999999999</v>
      </c>
      <c r="L8330">
        <v>15.533049999999999</v>
      </c>
      <c r="M8330">
        <v>-2.1706160000000002E-3</v>
      </c>
      <c r="N8330">
        <v>0</v>
      </c>
      <c r="O8330">
        <v>0.99995219999999996</v>
      </c>
      <c r="P8330">
        <v>-2.3998909999999998E-2</v>
      </c>
      <c r="Q8330">
        <v>4.8876200000000002E-2</v>
      </c>
      <c r="R8330">
        <v>0.99851650000000003</v>
      </c>
      <c r="S8330">
        <v>-6.2622070000000002E-2</v>
      </c>
      <c r="T8330">
        <v>-0.1277432</v>
      </c>
      <c r="U8330">
        <v>3.0092469999999998</v>
      </c>
      <c r="V8330">
        <v>-2.1830430000000001E-2</v>
      </c>
      <c r="W8330">
        <v>5.8393929999999997E-2</v>
      </c>
      <c r="X8330">
        <v>0.99805489999999997</v>
      </c>
      <c r="Y8330">
        <v>-1.861637E-2</v>
      </c>
      <c r="Z8330">
        <v>-4.2403639999999999E-2</v>
      </c>
      <c r="AA8330">
        <v>0.99892709999999996</v>
      </c>
      <c r="AB8330">
        <v>22</v>
      </c>
      <c r="AC8330">
        <v>-0.54359999999999697</v>
      </c>
      <c r="AD8330">
        <v>-1.1098681631079901</v>
      </c>
      <c r="AE8330">
        <v>25.927579999999999</v>
      </c>
      <c r="AF8330">
        <v>-0.48642640851275598</v>
      </c>
      <c r="AG8330">
        <v>-1.1098681631079901</v>
      </c>
      <c r="AH8330">
        <v>25.881295027260101</v>
      </c>
      <c r="AI8330">
        <v>92.455078722739202</v>
      </c>
      <c r="AJ8330">
        <v>91.076719667775606</v>
      </c>
      <c r="AK8330">
        <v>25.909647822354898</v>
      </c>
      <c r="AL8330">
        <v>86.652369937495706</v>
      </c>
      <c r="AM8330">
        <v>91.2530293577734</v>
      </c>
      <c r="AN8330">
        <v>1.0000000010744099</v>
      </c>
    </row>
    <row r="8331" spans="1:40" x14ac:dyDescent="0.25">
      <c r="A8331" t="str">
        <f>"20190312160530496"</f>
        <v>20190312160530496</v>
      </c>
      <c r="B8331" t="str">
        <f>"1552377930483759"</f>
        <v>1552377930483759</v>
      </c>
      <c r="C8331" t="s">
        <v>40</v>
      </c>
      <c r="D8331">
        <v>5.4082780000000001</v>
      </c>
      <c r="E8331">
        <v>0.49997320000000001</v>
      </c>
      <c r="F8331" t="s">
        <v>41</v>
      </c>
      <c r="G8331">
        <v>-187.94820000000001</v>
      </c>
      <c r="H8331" s="1">
        <v>-1.413074E-6</v>
      </c>
      <c r="I8331">
        <v>42.078290000000003</v>
      </c>
      <c r="J8331">
        <v>-187.40379999999999</v>
      </c>
      <c r="K8331">
        <v>1.1098840000000001</v>
      </c>
      <c r="L8331">
        <v>15.76404</v>
      </c>
      <c r="M8331">
        <v>-2.1771669999999998E-3</v>
      </c>
      <c r="N8331">
        <v>0</v>
      </c>
      <c r="O8331">
        <v>0.99995179999999995</v>
      </c>
      <c r="P8331">
        <v>-2.4015330000000001E-2</v>
      </c>
      <c r="Q8331">
        <v>4.9564360000000002E-2</v>
      </c>
      <c r="R8331">
        <v>0.99848219999999999</v>
      </c>
      <c r="S8331">
        <v>-6.1767580000000002E-2</v>
      </c>
      <c r="T8331">
        <v>-0.12581289999999901</v>
      </c>
      <c r="U8331">
        <v>3.009125</v>
      </c>
      <c r="V8331">
        <v>-2.1840439999999999E-2</v>
      </c>
      <c r="W8331">
        <v>5.9117940000000001E-2</v>
      </c>
      <c r="X8331">
        <v>0.99801209999999996</v>
      </c>
      <c r="Y8331">
        <v>-1.8327679999999999E-2</v>
      </c>
      <c r="Z8331">
        <v>-4.1765919999999998E-2</v>
      </c>
      <c r="AA8331">
        <v>0.99895929999999999</v>
      </c>
      <c r="AB8331">
        <v>22</v>
      </c>
      <c r="AC8331">
        <v>-0.54440000000002398</v>
      </c>
      <c r="AD8331">
        <v>-1.1098854130739999</v>
      </c>
      <c r="AE8331">
        <v>26.314250000000001</v>
      </c>
      <c r="AF8331">
        <v>-0.48624091794998597</v>
      </c>
      <c r="AG8331">
        <v>-1.1098854130739999</v>
      </c>
      <c r="AH8331">
        <v>26.268661155604299</v>
      </c>
      <c r="AI8331">
        <v>92.418969021229202</v>
      </c>
      <c r="AJ8331">
        <v>91.060441225451399</v>
      </c>
      <c r="AK8331">
        <v>26.2965935962891</v>
      </c>
      <c r="AL8331">
        <v>86.610815573428397</v>
      </c>
      <c r="AM8331">
        <v>91.253657475307705</v>
      </c>
      <c r="AN8331">
        <v>1.00000004369782</v>
      </c>
    </row>
    <row r="8332" spans="1:40" x14ac:dyDescent="0.25">
      <c r="A8332" t="str">
        <f>"20190312160530517"</f>
        <v>20190312160530517</v>
      </c>
      <c r="B8332" t="str">
        <f>"1552377930503279"</f>
        <v>1552377930503279</v>
      </c>
      <c r="C8332" t="s">
        <v>40</v>
      </c>
      <c r="D8332">
        <v>5.6820709999999996</v>
      </c>
      <c r="E8332">
        <v>0.50003609999999998</v>
      </c>
      <c r="F8332" t="s">
        <v>41</v>
      </c>
      <c r="G8332">
        <v>-187.93770000000001</v>
      </c>
      <c r="H8332" s="1">
        <v>-1.252919E-6</v>
      </c>
      <c r="I8332">
        <v>41.700629999999997</v>
      </c>
      <c r="J8332">
        <v>-187.40430000000001</v>
      </c>
      <c r="K8332">
        <v>1.10989</v>
      </c>
      <c r="L8332">
        <v>15.973140000000001</v>
      </c>
      <c r="M8332">
        <v>-2.1868360000000002E-3</v>
      </c>
      <c r="N8332">
        <v>0</v>
      </c>
      <c r="O8332">
        <v>0.99995149999999999</v>
      </c>
      <c r="P8332">
        <v>-2.400362E-2</v>
      </c>
      <c r="Q8332">
        <v>4.9582590000000003E-2</v>
      </c>
      <c r="R8332">
        <v>0.99848159999999997</v>
      </c>
      <c r="S8332">
        <v>-6.1950680000000001E-2</v>
      </c>
      <c r="T8332">
        <v>-0.1287816</v>
      </c>
      <c r="U8332">
        <v>3.0094599999999998</v>
      </c>
      <c r="V8332">
        <v>-2.1819439999999999E-2</v>
      </c>
      <c r="W8332">
        <v>5.9169819999999998E-2</v>
      </c>
      <c r="X8332">
        <v>0.99800940000000005</v>
      </c>
      <c r="Y8332">
        <v>-1.8375619999999999E-2</v>
      </c>
      <c r="Z8332">
        <v>-4.2744839999999999E-2</v>
      </c>
      <c r="AA8332">
        <v>0.99891700000000005</v>
      </c>
      <c r="AB8332">
        <v>22</v>
      </c>
      <c r="AC8332">
        <v>-0.53339999999999999</v>
      </c>
      <c r="AD8332">
        <v>-1.1098912529189999</v>
      </c>
      <c r="AE8332">
        <v>25.72749</v>
      </c>
      <c r="AF8332">
        <v>-0.47624837135734499</v>
      </c>
      <c r="AG8332">
        <v>-1.1098912529189999</v>
      </c>
      <c r="AH8332">
        <v>25.680821353146801</v>
      </c>
      <c r="AI8332">
        <v>92.474283142079202</v>
      </c>
      <c r="AJ8332">
        <v>91.062422958522404</v>
      </c>
      <c r="AK8332">
        <v>25.709205675725698</v>
      </c>
      <c r="AL8332">
        <v>86.6078375683677</v>
      </c>
      <c r="AM8332">
        <v>91.252455831140296</v>
      </c>
      <c r="AN8332">
        <v>0.99999995902455197</v>
      </c>
    </row>
    <row r="8333" spans="1:40" x14ac:dyDescent="0.25">
      <c r="A8333" t="str">
        <f>"20190312160530540"</f>
        <v>20190312160530540</v>
      </c>
      <c r="B8333" t="str">
        <f>"1552377930533535"</f>
        <v>1552377930533535</v>
      </c>
      <c r="C8333" t="s">
        <v>40</v>
      </c>
      <c r="D8333">
        <v>5.2542920000000004</v>
      </c>
      <c r="E8333">
        <v>0.50027290000000002</v>
      </c>
      <c r="F8333" t="s">
        <v>41</v>
      </c>
      <c r="G8333">
        <v>-187.92660000000001</v>
      </c>
      <c r="H8333" s="1">
        <v>-1.2483599999999999E-6</v>
      </c>
      <c r="I8333">
        <v>41.685420000000001</v>
      </c>
      <c r="J8333">
        <v>-187.40479999999999</v>
      </c>
      <c r="K8333">
        <v>1.10989</v>
      </c>
      <c r="L8333">
        <v>16.19849</v>
      </c>
      <c r="M8333">
        <v>-2.1979899999999999E-3</v>
      </c>
      <c r="N8333">
        <v>0</v>
      </c>
      <c r="O8333">
        <v>0.99995109999999998</v>
      </c>
      <c r="P8333">
        <v>-2.4696070000000001E-2</v>
      </c>
      <c r="Q8333">
        <v>4.9107749999999999E-2</v>
      </c>
      <c r="R8333">
        <v>0.99848809999999999</v>
      </c>
      <c r="S8333">
        <v>-6.1141969999999997E-2</v>
      </c>
      <c r="T8333">
        <v>-0.12990979999999999</v>
      </c>
      <c r="U8333">
        <v>3.0095519999999998</v>
      </c>
      <c r="V8333">
        <v>-2.2500050000000001E-2</v>
      </c>
      <c r="W8333">
        <v>5.873333E-2</v>
      </c>
      <c r="X8333">
        <v>0.99802009999999997</v>
      </c>
      <c r="Y8333">
        <v>-1.8095199999999999E-2</v>
      </c>
      <c r="Z8333">
        <v>-4.3117530000000001E-2</v>
      </c>
      <c r="AA8333">
        <v>0.99890610000000002</v>
      </c>
      <c r="AB8333">
        <v>22</v>
      </c>
      <c r="AC8333">
        <v>-0.52180000000001303</v>
      </c>
      <c r="AD8333">
        <v>-1.1098912483600001</v>
      </c>
      <c r="AE8333">
        <v>25.486929999999901</v>
      </c>
      <c r="AF8333">
        <v>-0.46489486915157702</v>
      </c>
      <c r="AG8333">
        <v>-1.1098912483600001</v>
      </c>
      <c r="AH8333">
        <v>25.439792044790401</v>
      </c>
      <c r="AI8333">
        <v>92.497708600225096</v>
      </c>
      <c r="AJ8333">
        <v>91.046924808676295</v>
      </c>
      <c r="AK8333">
        <v>25.4682352177125</v>
      </c>
      <c r="AL8333">
        <v>86.632890272991801</v>
      </c>
      <c r="AM8333">
        <v>91.291496594153401</v>
      </c>
      <c r="AN8333">
        <v>0.99999998815345004</v>
      </c>
    </row>
    <row r="8334" spans="1:40" x14ac:dyDescent="0.25">
      <c r="A8334" t="str">
        <f>"20190312160530563"</f>
        <v>20190312160530563</v>
      </c>
      <c r="B8334" t="str">
        <f>"1552377930553055"</f>
        <v>1552377930553055</v>
      </c>
      <c r="C8334" t="s">
        <v>40</v>
      </c>
      <c r="D8334">
        <v>5.6581849999999996</v>
      </c>
      <c r="E8334">
        <v>0.51719559999999998</v>
      </c>
      <c r="F8334" t="s">
        <v>41</v>
      </c>
      <c r="G8334">
        <v>-187.93530000000001</v>
      </c>
      <c r="H8334" s="1">
        <v>-1.4482050000000001E-6</v>
      </c>
      <c r="I8334">
        <v>42.154850000000003</v>
      </c>
      <c r="J8334">
        <v>-187.40530000000001</v>
      </c>
      <c r="K8334">
        <v>1.109891</v>
      </c>
      <c r="L8334">
        <v>16.426909999999999</v>
      </c>
      <c r="M8334">
        <v>-2.2068830000000002E-3</v>
      </c>
      <c r="N8334">
        <v>0</v>
      </c>
      <c r="O8334">
        <v>0.99995060000000002</v>
      </c>
      <c r="P8334">
        <v>-2.43436E-2</v>
      </c>
      <c r="Q8334">
        <v>4.8026560000000003E-2</v>
      </c>
      <c r="R8334">
        <v>0.99854929999999997</v>
      </c>
      <c r="S8334">
        <v>-6.1508180000000003E-2</v>
      </c>
      <c r="T8334">
        <v>-0.12867899999999999</v>
      </c>
      <c r="U8334">
        <v>3.0093380000000001</v>
      </c>
      <c r="V8334">
        <v>-2.2138290000000001E-2</v>
      </c>
      <c r="W8334">
        <v>5.7695110000000001E-2</v>
      </c>
      <c r="X8334">
        <v>0.9980888</v>
      </c>
      <c r="Y8334">
        <v>-1.8209619999999999E-2</v>
      </c>
      <c r="Z8334">
        <v>-4.2712710000000001E-2</v>
      </c>
      <c r="AA8334">
        <v>0.99892150000000002</v>
      </c>
      <c r="AB8334">
        <v>22</v>
      </c>
      <c r="AC8334">
        <v>-0.53000000000000103</v>
      </c>
      <c r="AD8334">
        <v>-1.1098924482050001</v>
      </c>
      <c r="AE8334">
        <v>25.72794</v>
      </c>
      <c r="AF8334">
        <v>-0.47233882851688502</v>
      </c>
      <c r="AG8334">
        <v>-1.1098924482050001</v>
      </c>
      <c r="AH8334">
        <v>25.6812738745401</v>
      </c>
      <c r="AI8334">
        <v>92.474249219347399</v>
      </c>
      <c r="AJ8334">
        <v>91.053684895632998</v>
      </c>
      <c r="AK8334">
        <v>25.7095856254947</v>
      </c>
      <c r="AL8334">
        <v>86.692477128273893</v>
      </c>
      <c r="AM8334">
        <v>91.270651097119597</v>
      </c>
      <c r="AN8334">
        <v>1.00000004114373</v>
      </c>
    </row>
    <row r="8335" spans="1:40" x14ac:dyDescent="0.25">
      <c r="A8335" t="str">
        <f>"20190312160530584"</f>
        <v>20190312160530584</v>
      </c>
      <c r="B8335" t="str">
        <f>"1552377930573554"</f>
        <v>1552377930573554</v>
      </c>
      <c r="C8335" t="s">
        <v>40</v>
      </c>
      <c r="D8335">
        <v>5.279083</v>
      </c>
      <c r="E8335">
        <v>0.56512359999999995</v>
      </c>
      <c r="F8335" t="s">
        <v>49</v>
      </c>
      <c r="G8335">
        <v>-187.38480000000001</v>
      </c>
      <c r="H8335">
        <v>1.0452539999999999</v>
      </c>
      <c r="I8335">
        <v>17.20215</v>
      </c>
      <c r="J8335">
        <v>-187.4057</v>
      </c>
      <c r="K8335">
        <v>1.1098889999999999</v>
      </c>
      <c r="L8335">
        <v>16.629549999999998</v>
      </c>
      <c r="M8335">
        <v>-2.2117650000000001E-3</v>
      </c>
      <c r="N8335">
        <v>0</v>
      </c>
      <c r="O8335">
        <v>0.99995020000000001</v>
      </c>
      <c r="P8335">
        <v>-2.4127019999999999E-2</v>
      </c>
      <c r="Q8335">
        <v>4.7462549999999999E-2</v>
      </c>
      <c r="R8335">
        <v>0.99858159999999896</v>
      </c>
      <c r="S8335">
        <v>7.9269409999999998E-2</v>
      </c>
      <c r="T8335">
        <v>-0.25166090000000002</v>
      </c>
      <c r="U8335">
        <v>3.018402</v>
      </c>
      <c r="V8335">
        <v>-2.1917160000000002E-2</v>
      </c>
      <c r="W8335">
        <v>5.7175740000000003E-2</v>
      </c>
      <c r="X8335">
        <v>0.99812350000000005</v>
      </c>
      <c r="Y8335">
        <v>2.8373329999999999E-2</v>
      </c>
      <c r="Z8335">
        <v>-8.3055999999999894E-2</v>
      </c>
      <c r="AA8335">
        <v>0.9961409</v>
      </c>
      <c r="AB8335">
        <v>22</v>
      </c>
      <c r="AC8335">
        <v>2.0899999999983199E-2</v>
      </c>
      <c r="AD8335">
        <v>-6.4634999999999707E-2</v>
      </c>
      <c r="AE8335">
        <v>0.572600000000001</v>
      </c>
      <c r="AF8335">
        <v>2.1887943448126699E-2</v>
      </c>
      <c r="AG8335">
        <v>-6.4634999999999707E-2</v>
      </c>
      <c r="AH8335">
        <v>0.56535824032762205</v>
      </c>
      <c r="AI8335">
        <v>96.517225220189303</v>
      </c>
      <c r="AJ8335">
        <v>87.782891118545805</v>
      </c>
      <c r="AK8335">
        <v>0.56946176798774994</v>
      </c>
      <c r="AL8335">
        <v>86.722283821279305</v>
      </c>
      <c r="AM8335">
        <v>91.257919481221606</v>
      </c>
      <c r="AN8335">
        <v>0.99999997419963105</v>
      </c>
    </row>
    <row r="8336" spans="1:40" x14ac:dyDescent="0.25">
      <c r="A8336" t="str">
        <f>"20190312160530605"</f>
        <v>20190312160530605</v>
      </c>
      <c r="B8336" t="str">
        <f>"1552377930603807"</f>
        <v>1552377930603807</v>
      </c>
      <c r="C8336" t="s">
        <v>40</v>
      </c>
      <c r="D8336">
        <v>5.5152869999999998</v>
      </c>
      <c r="E8336">
        <v>0.57235029999999998</v>
      </c>
      <c r="F8336" t="s">
        <v>49</v>
      </c>
      <c r="G8336">
        <v>-187.29140000000001</v>
      </c>
      <c r="H8336">
        <v>0.96883149999999996</v>
      </c>
      <c r="I8336">
        <v>17.36138</v>
      </c>
      <c r="J8336">
        <v>-187.40620000000001</v>
      </c>
      <c r="K8336">
        <v>1.109896</v>
      </c>
      <c r="L8336">
        <v>16.849879999999999</v>
      </c>
      <c r="M8336">
        <v>-2.2139500000000001E-3</v>
      </c>
      <c r="N8336">
        <v>0</v>
      </c>
      <c r="O8336">
        <v>0.99994970000000005</v>
      </c>
      <c r="P8336">
        <v>-2.430645E-2</v>
      </c>
      <c r="Q8336">
        <v>4.6926170000000003E-2</v>
      </c>
      <c r="R8336">
        <v>0.99860260000000001</v>
      </c>
      <c r="S8336">
        <v>0.47486879999999998</v>
      </c>
      <c r="T8336">
        <v>-0.58663379999999998</v>
      </c>
      <c r="U8336">
        <v>3.0436100000000001</v>
      </c>
      <c r="V8336">
        <v>-2.2093870000000002E-2</v>
      </c>
      <c r="W8336">
        <v>5.6694439999999999E-2</v>
      </c>
      <c r="X8336">
        <v>0.99814709999999995</v>
      </c>
      <c r="Y8336">
        <v>0.15362290000000001</v>
      </c>
      <c r="Z8336">
        <v>-0.18704390000000001</v>
      </c>
      <c r="AA8336">
        <v>0.97026520000000005</v>
      </c>
      <c r="AB8336">
        <v>22</v>
      </c>
      <c r="AC8336">
        <v>0.114800000000002</v>
      </c>
      <c r="AD8336">
        <v>-0.14106449999999901</v>
      </c>
      <c r="AE8336">
        <v>0.51150000000000095</v>
      </c>
      <c r="AF8336">
        <v>0.108104331261762</v>
      </c>
      <c r="AG8336">
        <v>-0.14106449999999901</v>
      </c>
      <c r="AH8336">
        <v>0.47672474700184703</v>
      </c>
      <c r="AI8336">
        <v>106.09691457352</v>
      </c>
      <c r="AJ8336">
        <v>77.223416616289498</v>
      </c>
      <c r="AK8336">
        <v>0.508775219524082</v>
      </c>
      <c r="AL8336">
        <v>86.7499052216575</v>
      </c>
      <c r="AM8336">
        <v>91.268028353101499</v>
      </c>
      <c r="AN8336">
        <v>1.0000000159284499</v>
      </c>
    </row>
    <row r="8337" spans="1:40" x14ac:dyDescent="0.25">
      <c r="A8337" t="str">
        <f>"20190312160530628"</f>
        <v>20190312160530628</v>
      </c>
      <c r="B8337" t="str">
        <f>"1552377930623329"</f>
        <v>1552377930623329</v>
      </c>
      <c r="C8337" t="s">
        <v>40</v>
      </c>
      <c r="D8337">
        <v>5.1931640000000003</v>
      </c>
      <c r="E8337">
        <v>0.57515099999999997</v>
      </c>
      <c r="F8337" t="s">
        <v>49</v>
      </c>
      <c r="G8337">
        <v>-187.28210000000001</v>
      </c>
      <c r="H8337">
        <v>0.96614120000000003</v>
      </c>
      <c r="I8337">
        <v>17.558509999999998</v>
      </c>
      <c r="J8337">
        <v>-187.4067</v>
      </c>
      <c r="K8337">
        <v>1.1098939999999999</v>
      </c>
      <c r="L8337">
        <v>17.06494</v>
      </c>
      <c r="M8337">
        <v>-2.2139239999999999E-3</v>
      </c>
      <c r="N8337">
        <v>0</v>
      </c>
      <c r="O8337">
        <v>0.99994910000000004</v>
      </c>
      <c r="P8337">
        <v>-2.4640519999999999E-2</v>
      </c>
      <c r="Q8337">
        <v>4.6955179999999999E-2</v>
      </c>
      <c r="R8337">
        <v>0.99859299999999995</v>
      </c>
      <c r="S8337">
        <v>0.53359990000000002</v>
      </c>
      <c r="T8337">
        <v>-0.6179597</v>
      </c>
      <c r="U8337">
        <v>3.0462340000000001</v>
      </c>
      <c r="V8337">
        <v>-2.2427869999999999E-2</v>
      </c>
      <c r="W8337">
        <v>5.6784889999999998E-2</v>
      </c>
      <c r="X8337">
        <v>0.99813450000000004</v>
      </c>
      <c r="Y8337">
        <v>0.17137669999999999</v>
      </c>
      <c r="Z8337">
        <v>-0.1959061</v>
      </c>
      <c r="AA8337">
        <v>0.96553129999999998</v>
      </c>
      <c r="AB8337">
        <v>22</v>
      </c>
      <c r="AC8337">
        <v>0.124599999999986</v>
      </c>
      <c r="AD8337">
        <v>-0.14375279999999999</v>
      </c>
      <c r="AE8337">
        <v>0.49357000000000101</v>
      </c>
      <c r="AF8337">
        <v>0.11640939474314201</v>
      </c>
      <c r="AG8337">
        <v>-0.14375279999999999</v>
      </c>
      <c r="AH8337">
        <v>0.45686053143130101</v>
      </c>
      <c r="AI8337">
        <v>106.95704652017599</v>
      </c>
      <c r="AJ8337">
        <v>75.705051400610401</v>
      </c>
      <c r="AK8337">
        <v>0.49288696459938502</v>
      </c>
      <c r="AL8337">
        <v>86.744714425758005</v>
      </c>
      <c r="AM8337">
        <v>91.287207379780796</v>
      </c>
      <c r="AN8337">
        <v>1.00000000658764</v>
      </c>
    </row>
    <row r="8338" spans="1:40" x14ac:dyDescent="0.25">
      <c r="A8338" t="str">
        <f>"20190312160530650"</f>
        <v>20190312160530650</v>
      </c>
      <c r="B8338" t="str">
        <f>"1552377930643822"</f>
        <v>1552377930643822</v>
      </c>
      <c r="C8338" t="s">
        <v>40</v>
      </c>
      <c r="D8338">
        <v>5.1885370000000002</v>
      </c>
      <c r="E8338">
        <v>0.577349</v>
      </c>
      <c r="F8338" t="s">
        <v>49</v>
      </c>
      <c r="G8338">
        <v>-187.2474</v>
      </c>
      <c r="H8338">
        <v>0.92477039999999999</v>
      </c>
      <c r="I8338">
        <v>17.93798</v>
      </c>
      <c r="J8338">
        <v>-187.40719999999999</v>
      </c>
      <c r="K8338">
        <v>1.109907</v>
      </c>
      <c r="L8338">
        <v>17.293029999999899</v>
      </c>
      <c r="M8338">
        <v>-2.212819E-3</v>
      </c>
      <c r="N8338">
        <v>0</v>
      </c>
      <c r="O8338">
        <v>0.99994839999999996</v>
      </c>
      <c r="P8338">
        <v>-2.5020489999999999E-2</v>
      </c>
      <c r="Q8338">
        <v>4.7058669999999997E-2</v>
      </c>
      <c r="R8338">
        <v>0.99857870000000004</v>
      </c>
      <c r="S8338">
        <v>0.55603029999999998</v>
      </c>
      <c r="T8338">
        <v>-0.64638390000000001</v>
      </c>
      <c r="U8338">
        <v>3.04834</v>
      </c>
      <c r="V8338">
        <v>-2.2808889999999998E-2</v>
      </c>
      <c r="W8338">
        <v>5.695389E-2</v>
      </c>
      <c r="X8338">
        <v>0.99811629999999996</v>
      </c>
      <c r="Y8338">
        <v>0.17784</v>
      </c>
      <c r="Z8338">
        <v>-0.2041655</v>
      </c>
      <c r="AA8338">
        <v>0.96264709999999998</v>
      </c>
      <c r="AB8338">
        <v>22</v>
      </c>
      <c r="AC8338">
        <v>0.15979999999998901</v>
      </c>
      <c r="AD8338">
        <v>-0.18513660000000001</v>
      </c>
      <c r="AE8338">
        <v>0.64495000000000102</v>
      </c>
      <c r="AF8338">
        <v>0.149611737207308</v>
      </c>
      <c r="AG8338">
        <v>-0.18513660000000001</v>
      </c>
      <c r="AH8338">
        <v>0.59815691462459097</v>
      </c>
      <c r="AI8338">
        <v>106.713012495203</v>
      </c>
      <c r="AJ8338">
        <v>75.957219879468497</v>
      </c>
      <c r="AK8338">
        <v>0.64377863204906005</v>
      </c>
      <c r="AL8338">
        <v>86.735015949226096</v>
      </c>
      <c r="AM8338">
        <v>91.309091655224293</v>
      </c>
      <c r="AN8338">
        <v>1.0000000696874201</v>
      </c>
    </row>
    <row r="8339" spans="1:40" x14ac:dyDescent="0.25">
      <c r="A8339" t="str">
        <f>"20190312160530663"</f>
        <v>20190312160530663</v>
      </c>
      <c r="B8339" t="str">
        <f>"1552377930653583"</f>
        <v>1552377930653583</v>
      </c>
      <c r="C8339" t="s">
        <v>40</v>
      </c>
      <c r="D8339">
        <v>5.2002639999999998</v>
      </c>
      <c r="E8339">
        <v>0.57780290000000001</v>
      </c>
      <c r="F8339" t="s">
        <v>49</v>
      </c>
      <c r="G8339">
        <v>-187.2483</v>
      </c>
      <c r="H8339">
        <v>0.92705539999999997</v>
      </c>
      <c r="I8339">
        <v>18.137689999999999</v>
      </c>
      <c r="J8339">
        <v>-187.4075</v>
      </c>
      <c r="K8339">
        <v>1.1099139999999901</v>
      </c>
      <c r="L8339">
        <v>17.42944</v>
      </c>
      <c r="M8339">
        <v>-2.212042E-3</v>
      </c>
      <c r="N8339">
        <v>0</v>
      </c>
      <c r="O8339">
        <v>0.99994810000000001</v>
      </c>
      <c r="P8339">
        <v>-2.530143E-2</v>
      </c>
      <c r="Q8339">
        <v>4.6834000000000001E-2</v>
      </c>
      <c r="R8339">
        <v>0.99858219999999998</v>
      </c>
      <c r="S8339">
        <v>0.57293700000000003</v>
      </c>
      <c r="T8339">
        <v>-0.6601977</v>
      </c>
      <c r="U8339">
        <v>3.049744</v>
      </c>
      <c r="V8339">
        <v>-2.3090409999999999E-2</v>
      </c>
      <c r="W8339">
        <v>5.6766799999999999E-2</v>
      </c>
      <c r="X8339">
        <v>0.99812040000000002</v>
      </c>
      <c r="Y8339">
        <v>0.18276700000000001</v>
      </c>
      <c r="Z8339">
        <v>-0.20805360000000001</v>
      </c>
      <c r="AA8339">
        <v>0.96089020000000003</v>
      </c>
      <c r="AB8339">
        <v>22</v>
      </c>
      <c r="AC8339">
        <v>0.15919999999999801</v>
      </c>
      <c r="AD8339">
        <v>-0.18285859999999901</v>
      </c>
      <c r="AE8339">
        <v>0.70824999999999905</v>
      </c>
      <c r="AF8339">
        <v>0.15117395357968899</v>
      </c>
      <c r="AG8339">
        <v>-0.18285859999999901</v>
      </c>
      <c r="AH8339">
        <v>0.66565820471722303</v>
      </c>
      <c r="AI8339">
        <v>104.996412755393</v>
      </c>
      <c r="AJ8339">
        <v>77.204901217649294</v>
      </c>
      <c r="AK8339">
        <v>0.70667650119572401</v>
      </c>
      <c r="AL8339">
        <v>86.745752509876596</v>
      </c>
      <c r="AM8339">
        <v>91.325238023347694</v>
      </c>
      <c r="AN8339">
        <v>0.99999998475618301</v>
      </c>
    </row>
    <row r="8340" spans="1:40" x14ac:dyDescent="0.25">
      <c r="A8340" t="str">
        <f>"20190312160530683"</f>
        <v>20190312160530683</v>
      </c>
      <c r="B8340" t="str">
        <f>"1552377930673106"</f>
        <v>1552377930673106</v>
      </c>
      <c r="C8340" t="s">
        <v>40</v>
      </c>
      <c r="D8340">
        <v>5.1779320000000002</v>
      </c>
      <c r="E8340">
        <v>0.57859769999999999</v>
      </c>
      <c r="F8340" t="s">
        <v>49</v>
      </c>
      <c r="G8340">
        <v>-187.2715</v>
      </c>
      <c r="H8340">
        <v>0.95344870000000004</v>
      </c>
      <c r="I8340">
        <v>18.148540000000001</v>
      </c>
      <c r="J8340">
        <v>-187.40790000000001</v>
      </c>
      <c r="K8340">
        <v>1.1099220000000001</v>
      </c>
      <c r="L8340">
        <v>17.6264</v>
      </c>
      <c r="M8340">
        <v>-2.2110179999999999E-3</v>
      </c>
      <c r="N8340">
        <v>0</v>
      </c>
      <c r="O8340">
        <v>0.99994760000000005</v>
      </c>
      <c r="P8340">
        <v>-2.5703170000000001E-2</v>
      </c>
      <c r="Q8340">
        <v>4.6931889999999997E-2</v>
      </c>
      <c r="R8340">
        <v>0.99856730000000005</v>
      </c>
      <c r="S8340">
        <v>0.57601930000000001</v>
      </c>
      <c r="T8340">
        <v>-0.66361969999999904</v>
      </c>
      <c r="U8340">
        <v>3.0499879999999999</v>
      </c>
      <c r="V8340">
        <v>-2.3492860000000001E-2</v>
      </c>
      <c r="W8340">
        <v>5.6913900000000003E-2</v>
      </c>
      <c r="X8340">
        <v>0.99810270000000001</v>
      </c>
      <c r="Y8340">
        <v>0.18365110000000001</v>
      </c>
      <c r="Z8340">
        <v>-0.20903260000000001</v>
      </c>
      <c r="AA8340">
        <v>0.9605091</v>
      </c>
      <c r="AB8340">
        <v>22</v>
      </c>
      <c r="AC8340">
        <v>0.13640000000000799</v>
      </c>
      <c r="AD8340">
        <v>-0.15647329999999901</v>
      </c>
      <c r="AE8340">
        <v>0.52214000000000005</v>
      </c>
      <c r="AF8340">
        <v>0.12688690927145399</v>
      </c>
      <c r="AG8340">
        <v>-0.15647329999999901</v>
      </c>
      <c r="AH8340">
        <v>0.48136885065164198</v>
      </c>
      <c r="AI8340">
        <v>107.449101854313</v>
      </c>
      <c r="AJ8340">
        <v>75.232963227375095</v>
      </c>
      <c r="AK8340">
        <v>0.521823870415138</v>
      </c>
      <c r="AL8340">
        <v>86.737310875734707</v>
      </c>
      <c r="AM8340">
        <v>91.348351460861593</v>
      </c>
      <c r="AN8340">
        <v>1.00000005311573</v>
      </c>
    </row>
    <row r="8341" spans="1:40" x14ac:dyDescent="0.25">
      <c r="A8341" t="str">
        <f>"20190312160530706"</f>
        <v>20190312160530706</v>
      </c>
      <c r="B8341" t="str">
        <f>"1552377930693600"</f>
        <v>1552377930693600</v>
      </c>
      <c r="C8341" t="s">
        <v>40</v>
      </c>
      <c r="D8341">
        <v>5.173076</v>
      </c>
      <c r="E8341">
        <v>0.57937430000000001</v>
      </c>
      <c r="F8341" t="s">
        <v>49</v>
      </c>
      <c r="G8341">
        <v>-187.2706</v>
      </c>
      <c r="H8341">
        <v>0.95192719999999997</v>
      </c>
      <c r="I8341">
        <v>18.34686</v>
      </c>
      <c r="J8341">
        <v>-187.4084</v>
      </c>
      <c r="K8341">
        <v>1.1099330000000001</v>
      </c>
      <c r="L8341">
        <v>17.844449999999998</v>
      </c>
      <c r="M8341">
        <v>-2.2101270000000001E-3</v>
      </c>
      <c r="N8341">
        <v>0</v>
      </c>
      <c r="O8341">
        <v>0.99994700000000003</v>
      </c>
      <c r="P8341">
        <v>-2.6107479999999999E-2</v>
      </c>
      <c r="Q8341">
        <v>4.6731580000000002E-2</v>
      </c>
      <c r="R8341">
        <v>0.99856630000000002</v>
      </c>
      <c r="S8341">
        <v>0.5811615</v>
      </c>
      <c r="T8341">
        <v>-0.66901180000000005</v>
      </c>
      <c r="U8341">
        <v>3.0507200000000001</v>
      </c>
      <c r="V8341">
        <v>-2.3898539999999999E-2</v>
      </c>
      <c r="W8341">
        <v>5.6777269999999998E-2</v>
      </c>
      <c r="X8341">
        <v>0.99810080000000001</v>
      </c>
      <c r="Y8341">
        <v>0.18510989999999999</v>
      </c>
      <c r="Z8341">
        <v>-0.21054690000000001</v>
      </c>
      <c r="AA8341">
        <v>0.95989809999999998</v>
      </c>
      <c r="AB8341">
        <v>22</v>
      </c>
      <c r="AC8341">
        <v>0.13779999999999801</v>
      </c>
      <c r="AD8341">
        <v>-0.1580058</v>
      </c>
      <c r="AE8341">
        <v>0.50241000000000102</v>
      </c>
      <c r="AF8341">
        <v>0.127208517045032</v>
      </c>
      <c r="AG8341">
        <v>-0.1580058</v>
      </c>
      <c r="AH8341">
        <v>0.45980764954542303</v>
      </c>
      <c r="AI8341">
        <v>108.32454474966799</v>
      </c>
      <c r="AJ8341">
        <v>74.535578534060903</v>
      </c>
      <c r="AK8341">
        <v>0.50256433839153603</v>
      </c>
      <c r="AL8341">
        <v>86.7451517127095</v>
      </c>
      <c r="AM8341">
        <v>91.371628888407201</v>
      </c>
      <c r="AN8341">
        <v>1.00000000278171</v>
      </c>
    </row>
    <row r="8342" spans="1:40" x14ac:dyDescent="0.25">
      <c r="A8342" t="str">
        <f>"20190312160530729"</f>
        <v>20190312160530729</v>
      </c>
      <c r="B8342" t="str">
        <f>"1552377930723854"</f>
        <v>1552377930723854</v>
      </c>
      <c r="C8342" t="s">
        <v>40</v>
      </c>
      <c r="D8342">
        <v>5.3903359999999996</v>
      </c>
      <c r="E8342">
        <v>0.58135209999999904</v>
      </c>
      <c r="F8342" t="s">
        <v>49</v>
      </c>
      <c r="G8342">
        <v>-187.2731</v>
      </c>
      <c r="H8342">
        <v>0.95501650000000005</v>
      </c>
      <c r="I8342">
        <v>18.54738</v>
      </c>
      <c r="J8342">
        <v>-187.40889999999999</v>
      </c>
      <c r="K8342">
        <v>1.1099410000000001</v>
      </c>
      <c r="L8342">
        <v>18.07413</v>
      </c>
      <c r="M8342">
        <v>-2.20952E-3</v>
      </c>
      <c r="N8342">
        <v>0</v>
      </c>
      <c r="O8342">
        <v>0.99994609999999995</v>
      </c>
      <c r="P8342">
        <v>-2.6273620000000001E-2</v>
      </c>
      <c r="Q8342">
        <v>4.6813439999999998E-2</v>
      </c>
      <c r="R8342">
        <v>0.99855799999999995</v>
      </c>
      <c r="S8342">
        <v>0.58639529999999995</v>
      </c>
      <c r="T8342">
        <v>-0.67241669999999998</v>
      </c>
      <c r="U8342">
        <v>3.0511170000000001</v>
      </c>
      <c r="V8342">
        <v>-2.406488E-2</v>
      </c>
      <c r="W8342">
        <v>5.6943899999999999E-2</v>
      </c>
      <c r="X8342">
        <v>0.99808730000000001</v>
      </c>
      <c r="Y8342">
        <v>0.18663650000000001</v>
      </c>
      <c r="Z8342">
        <v>-0.2114809</v>
      </c>
      <c r="AA8342">
        <v>0.95939700000000006</v>
      </c>
      <c r="AB8342">
        <v>22</v>
      </c>
      <c r="AC8342">
        <v>0.13579999999998901</v>
      </c>
      <c r="AD8342">
        <v>-0.15492449999999999</v>
      </c>
      <c r="AE8342">
        <v>0.47325</v>
      </c>
      <c r="AF8342">
        <v>0.124516550383825</v>
      </c>
      <c r="AG8342">
        <v>-0.15492449999999999</v>
      </c>
      <c r="AH8342">
        <v>0.43033934480251301</v>
      </c>
      <c r="AI8342">
        <v>109.076420751746</v>
      </c>
      <c r="AJ8342">
        <v>73.862462902240395</v>
      </c>
      <c r="AK8342">
        <v>0.47402312570674598</v>
      </c>
      <c r="AL8342">
        <v>86.735589011591003</v>
      </c>
      <c r="AM8342">
        <v>91.381190768169105</v>
      </c>
      <c r="AN8342">
        <v>0.99999999230895698</v>
      </c>
    </row>
    <row r="8343" spans="1:40" x14ac:dyDescent="0.25">
      <c r="A8343" t="str">
        <f>"20190312160530752"</f>
        <v>20190312160530752</v>
      </c>
      <c r="B8343" t="str">
        <f>"1552377930743375"</f>
        <v>1552377930743375</v>
      </c>
      <c r="C8343" t="s">
        <v>40</v>
      </c>
      <c r="D8343">
        <v>5.1765930000000004</v>
      </c>
      <c r="E8343">
        <v>0.58257990000000004</v>
      </c>
      <c r="F8343" t="s">
        <v>49</v>
      </c>
      <c r="G8343">
        <v>-187.23990000000001</v>
      </c>
      <c r="H8343">
        <v>0.91835440000000002</v>
      </c>
      <c r="I8343">
        <v>18.931349999999998</v>
      </c>
      <c r="J8343">
        <v>-187.40950000000001</v>
      </c>
      <c r="K8343">
        <v>1.109953</v>
      </c>
      <c r="L8343">
        <v>18.30743</v>
      </c>
      <c r="M8343">
        <v>-2.209206E-3</v>
      </c>
      <c r="N8343">
        <v>0</v>
      </c>
      <c r="O8343">
        <v>0.99994519999999998</v>
      </c>
      <c r="P8343">
        <v>-2.5989970000000001E-2</v>
      </c>
      <c r="Q8343">
        <v>4.7221230000000003E-2</v>
      </c>
      <c r="R8343">
        <v>0.9985463</v>
      </c>
      <c r="S8343">
        <v>0.60130309999999998</v>
      </c>
      <c r="T8343">
        <v>-0.68213199999999996</v>
      </c>
      <c r="U8343">
        <v>3.0521240000000001</v>
      </c>
      <c r="V8343">
        <v>-2.3781509999999999E-2</v>
      </c>
      <c r="W8343">
        <v>5.7440419999999999E-2</v>
      </c>
      <c r="X8343">
        <v>0.99806569999999994</v>
      </c>
      <c r="Y8343">
        <v>0.1909785</v>
      </c>
      <c r="Z8343">
        <v>-0.21414349999999999</v>
      </c>
      <c r="AA8343">
        <v>0.95795079999999999</v>
      </c>
      <c r="AB8343">
        <v>22</v>
      </c>
      <c r="AC8343">
        <v>0.169600000000002</v>
      </c>
      <c r="AD8343">
        <v>-0.19159859999999901</v>
      </c>
      <c r="AE8343">
        <v>0.62391999999999803</v>
      </c>
      <c r="AF8343">
        <v>0.15717571154220999</v>
      </c>
      <c r="AG8343">
        <v>-0.19159859999999901</v>
      </c>
      <c r="AH8343">
        <v>0.57320779154439205</v>
      </c>
      <c r="AI8343">
        <v>107.867128186511</v>
      </c>
      <c r="AJ8343">
        <v>74.666172912175497</v>
      </c>
      <c r="AK8343">
        <v>0.62448490783041199</v>
      </c>
      <c r="AL8343">
        <v>86.707094065553207</v>
      </c>
      <c r="AM8343">
        <v>91.3649626181071</v>
      </c>
      <c r="AN8343">
        <v>1.00000005179207</v>
      </c>
    </row>
    <row r="8344" spans="1:40" x14ac:dyDescent="0.25">
      <c r="A8344" t="str">
        <f>"20190312160530773"</f>
        <v>20190312160530773</v>
      </c>
      <c r="B8344" t="str">
        <f>"1552377930763870"</f>
        <v>1552377930763870</v>
      </c>
      <c r="C8344" t="s">
        <v>40</v>
      </c>
      <c r="D8344">
        <v>5.4103329999999996</v>
      </c>
      <c r="E8344">
        <v>0.58312140000000001</v>
      </c>
      <c r="F8344" t="s">
        <v>49</v>
      </c>
      <c r="G8344">
        <v>-187.2439</v>
      </c>
      <c r="H8344">
        <v>0.92379840000000002</v>
      </c>
      <c r="I8344">
        <v>19.133050000000001</v>
      </c>
      <c r="J8344">
        <v>-187.40989999999999</v>
      </c>
      <c r="K8344">
        <v>1.1099619999999999</v>
      </c>
      <c r="L8344">
        <v>18.519380000000002</v>
      </c>
      <c r="M8344">
        <v>-2.2091189999999998E-3</v>
      </c>
      <c r="N8344">
        <v>0</v>
      </c>
      <c r="O8344">
        <v>0.99994439999999996</v>
      </c>
      <c r="P8344">
        <v>-2.5710139999999999E-2</v>
      </c>
      <c r="Q8344">
        <v>4.7001670000000002E-2</v>
      </c>
      <c r="R8344">
        <v>0.99856389999999995</v>
      </c>
      <c r="S8344">
        <v>0.61180109999999999</v>
      </c>
      <c r="T8344">
        <v>-0.6883378</v>
      </c>
      <c r="U8344">
        <v>3.0528559999999998</v>
      </c>
      <c r="V8344">
        <v>-2.350139E-2</v>
      </c>
      <c r="W8344">
        <v>5.7294270000000001E-2</v>
      </c>
      <c r="X8344">
        <v>0.99808070000000004</v>
      </c>
      <c r="Y8344">
        <v>0.19403039999999999</v>
      </c>
      <c r="Z8344">
        <v>-0.2158176</v>
      </c>
      <c r="AA8344">
        <v>0.95696130000000001</v>
      </c>
      <c r="AB8344">
        <v>22</v>
      </c>
      <c r="AC8344">
        <v>0.16599999999999601</v>
      </c>
      <c r="AD8344">
        <v>-0.18616360000000001</v>
      </c>
      <c r="AE8344">
        <v>0.61367000000000205</v>
      </c>
      <c r="AF8344">
        <v>0.154137549424467</v>
      </c>
      <c r="AG8344">
        <v>-0.18616360000000001</v>
      </c>
      <c r="AH8344">
        <v>0.56486296425990301</v>
      </c>
      <c r="AI8344">
        <v>107.637965010331</v>
      </c>
      <c r="AJ8344">
        <v>74.736949796533494</v>
      </c>
      <c r="AK8344">
        <v>0.61439843627732704</v>
      </c>
      <c r="AL8344">
        <v>86.715481539508701</v>
      </c>
      <c r="AM8344">
        <v>91.348870572246696</v>
      </c>
      <c r="AN8344">
        <v>1.0000000162096201</v>
      </c>
    </row>
    <row r="8345" spans="1:40" x14ac:dyDescent="0.25">
      <c r="A8345" t="str">
        <f>"20190312160530795"</f>
        <v>20190312160530795</v>
      </c>
      <c r="B8345" t="str">
        <f>"1552377930783391"</f>
        <v>1552377930783391</v>
      </c>
      <c r="C8345" t="s">
        <v>40</v>
      </c>
      <c r="D8345">
        <v>5.2010969999999999</v>
      </c>
      <c r="E8345">
        <v>0.58312810000000004</v>
      </c>
      <c r="F8345" t="s">
        <v>49</v>
      </c>
      <c r="G8345">
        <v>-187.245</v>
      </c>
      <c r="H8345">
        <v>0.9257126</v>
      </c>
      <c r="I8345">
        <v>19.333549999999999</v>
      </c>
      <c r="J8345">
        <v>-187.41040000000001</v>
      </c>
      <c r="K8345">
        <v>1.109964</v>
      </c>
      <c r="L8345">
        <v>18.733830000000001</v>
      </c>
      <c r="M8345">
        <v>-2.2091770000000001E-3</v>
      </c>
      <c r="N8345">
        <v>0</v>
      </c>
      <c r="O8345">
        <v>0.99994369999999999</v>
      </c>
      <c r="P8345">
        <v>-2.4951830000000001E-2</v>
      </c>
      <c r="Q8345">
        <v>4.6543019999999997E-2</v>
      </c>
      <c r="R8345">
        <v>0.99860459999999995</v>
      </c>
      <c r="S8345">
        <v>0.6175079</v>
      </c>
      <c r="T8345">
        <v>-0.69082940000000004</v>
      </c>
      <c r="U8345">
        <v>3.0527340000000001</v>
      </c>
      <c r="V8345">
        <v>-2.2743260000000001E-2</v>
      </c>
      <c r="W8345">
        <v>5.6911049999999998E-2</v>
      </c>
      <c r="X8345">
        <v>0.99812020000000001</v>
      </c>
      <c r="Y8345">
        <v>0.19572700000000001</v>
      </c>
      <c r="Z8345">
        <v>-0.21649499999999999</v>
      </c>
      <c r="AA8345">
        <v>0.9564627</v>
      </c>
      <c r="AB8345">
        <v>22</v>
      </c>
      <c r="AC8345">
        <v>0.16540000000000499</v>
      </c>
      <c r="AD8345">
        <v>-0.18425139999999901</v>
      </c>
      <c r="AE8345">
        <v>0.59972000000000103</v>
      </c>
      <c r="AF8345">
        <v>0.153279264454735</v>
      </c>
      <c r="AG8345">
        <v>-0.18425139999999901</v>
      </c>
      <c r="AH8345">
        <v>0.55101904466653495</v>
      </c>
      <c r="AI8345">
        <v>107.856399934758</v>
      </c>
      <c r="AJ8345">
        <v>74.454806555108803</v>
      </c>
      <c r="AK8345">
        <v>0.600886926883058</v>
      </c>
      <c r="AL8345">
        <v>86.737474353622204</v>
      </c>
      <c r="AM8345">
        <v>91.3053210986441</v>
      </c>
      <c r="AN8345">
        <v>1.0000000285677799</v>
      </c>
    </row>
    <row r="8346" spans="1:40" x14ac:dyDescent="0.25">
      <c r="A8346" t="str">
        <f>"20190312160530808"</f>
        <v>20190312160530808</v>
      </c>
      <c r="B8346" t="str">
        <f>"1552377930803887"</f>
        <v>1552377930803887</v>
      </c>
      <c r="C8346" t="s">
        <v>40</v>
      </c>
      <c r="D8346">
        <v>5.194769</v>
      </c>
      <c r="E8346">
        <v>0.58301590000000003</v>
      </c>
      <c r="F8346" t="s">
        <v>49</v>
      </c>
      <c r="G8346">
        <v>-187.24780000000001</v>
      </c>
      <c r="H8346">
        <v>0.92839470000000002</v>
      </c>
      <c r="I8346">
        <v>19.534369999999999</v>
      </c>
      <c r="J8346">
        <v>-187.41069999999999</v>
      </c>
      <c r="K8346">
        <v>1.109969</v>
      </c>
      <c r="L8346">
        <v>18.872340000000001</v>
      </c>
      <c r="M8346">
        <v>-2.2092660000000001E-3</v>
      </c>
      <c r="N8346">
        <v>0</v>
      </c>
      <c r="O8346">
        <v>0.99994309999999997</v>
      </c>
      <c r="P8346">
        <v>-2.454574E-2</v>
      </c>
      <c r="Q8346">
        <v>4.619529E-2</v>
      </c>
      <c r="R8346">
        <v>0.99863080000000004</v>
      </c>
      <c r="S8346">
        <v>0.61936950000000002</v>
      </c>
      <c r="T8346">
        <v>-0.692191</v>
      </c>
      <c r="U8346">
        <v>3.0519409999999998</v>
      </c>
      <c r="V8346">
        <v>-2.2337180000000002E-2</v>
      </c>
      <c r="W8346">
        <v>5.6617309999999997E-2</v>
      </c>
      <c r="X8346">
        <v>0.99814610000000004</v>
      </c>
      <c r="Y8346">
        <v>0.19631660000000001</v>
      </c>
      <c r="Z8346">
        <v>-0.2169286</v>
      </c>
      <c r="AA8346">
        <v>0.95624359999999997</v>
      </c>
      <c r="AB8346">
        <v>22</v>
      </c>
      <c r="AC8346">
        <v>0.16289999999997901</v>
      </c>
      <c r="AD8346">
        <v>-0.18157429999999999</v>
      </c>
      <c r="AE8346">
        <v>0.662030000000005</v>
      </c>
      <c r="AF8346">
        <v>0.15347635804972501</v>
      </c>
      <c r="AG8346">
        <v>-0.18157429999999999</v>
      </c>
      <c r="AH8346">
        <v>0.61784532495593603</v>
      </c>
      <c r="AI8346">
        <v>105.918952491382</v>
      </c>
      <c r="AJ8346">
        <v>76.049757026807598</v>
      </c>
      <c r="AK8346">
        <v>0.662009867351389</v>
      </c>
      <c r="AL8346">
        <v>86.754331675803897</v>
      </c>
      <c r="AM8346">
        <v>91.2819892365643</v>
      </c>
      <c r="AN8346">
        <v>1.00000005317359</v>
      </c>
    </row>
    <row r="8347" spans="1:40" x14ac:dyDescent="0.25">
      <c r="A8347" t="str">
        <f>"20190312160530829"</f>
        <v>20190312160530829</v>
      </c>
      <c r="B8347" t="str">
        <f>"1552377930823407"</f>
        <v>1552377930823407</v>
      </c>
      <c r="C8347" t="s">
        <v>40</v>
      </c>
      <c r="D8347">
        <v>5.1941290000000002</v>
      </c>
      <c r="E8347">
        <v>0.58312739999999996</v>
      </c>
      <c r="F8347" t="s">
        <v>49</v>
      </c>
      <c r="G8347">
        <v>-187.23660000000001</v>
      </c>
      <c r="H8347">
        <v>0.91474909999999998</v>
      </c>
      <c r="I8347">
        <v>19.72899</v>
      </c>
      <c r="J8347">
        <v>-187.4111</v>
      </c>
      <c r="K8347">
        <v>1.109993</v>
      </c>
      <c r="L8347">
        <v>19.071929999999998</v>
      </c>
      <c r="M8347">
        <v>-2.2094570000000002E-3</v>
      </c>
      <c r="N8347">
        <v>0</v>
      </c>
      <c r="O8347">
        <v>0.999942</v>
      </c>
      <c r="P8347">
        <v>-2.4332510000000002E-2</v>
      </c>
      <c r="Q8347">
        <v>4.594765E-2</v>
      </c>
      <c r="R8347">
        <v>0.99864750000000002</v>
      </c>
      <c r="S8347">
        <v>0.61953740000000002</v>
      </c>
      <c r="T8347">
        <v>-0.6953973</v>
      </c>
      <c r="U8347">
        <v>3.0515140000000001</v>
      </c>
      <c r="V8347">
        <v>-2.212366E-2</v>
      </c>
      <c r="W8347">
        <v>5.6472590000000003E-2</v>
      </c>
      <c r="X8347">
        <v>0.99815900000000002</v>
      </c>
      <c r="Y8347">
        <v>0.19634989999999999</v>
      </c>
      <c r="Z8347">
        <v>-0.21791150000000001</v>
      </c>
      <c r="AA8347">
        <v>0.95601329999999995</v>
      </c>
      <c r="AB8347">
        <v>22</v>
      </c>
      <c r="AC8347">
        <v>0.17449999999999399</v>
      </c>
      <c r="AD8347">
        <v>-0.1952439</v>
      </c>
      <c r="AE8347">
        <v>0.65706000000000098</v>
      </c>
      <c r="AF8347">
        <v>0.162544799897129</v>
      </c>
      <c r="AG8347">
        <v>-0.1952439</v>
      </c>
      <c r="AH8347">
        <v>0.60663769955693803</v>
      </c>
      <c r="AI8347">
        <v>107.269411741922</v>
      </c>
      <c r="AJ8347">
        <v>75.000289196578095</v>
      </c>
      <c r="AK8347">
        <v>0.65768555631436998</v>
      </c>
      <c r="AL8347">
        <v>86.762636634449393</v>
      </c>
      <c r="AM8347">
        <v>91.269722391517504</v>
      </c>
      <c r="AN8347">
        <v>0.99999999951705099</v>
      </c>
    </row>
    <row r="8348" spans="1:40" x14ac:dyDescent="0.25">
      <c r="A8348" t="str">
        <f>"20190312160530850"</f>
        <v>20190312160530850</v>
      </c>
      <c r="B8348" t="str">
        <f>"1552377930843904"</f>
        <v>1552377930843904</v>
      </c>
      <c r="C8348" t="s">
        <v>40</v>
      </c>
      <c r="D8348">
        <v>5.4073719999999996</v>
      </c>
      <c r="E8348">
        <v>0.58354209999999995</v>
      </c>
      <c r="F8348" t="s">
        <v>49</v>
      </c>
      <c r="G8348">
        <v>-187.23670000000001</v>
      </c>
      <c r="H8348">
        <v>0.91328480000000001</v>
      </c>
      <c r="I8348">
        <v>19.928139999999999</v>
      </c>
      <c r="J8348">
        <v>-187.41159999999999</v>
      </c>
      <c r="K8348">
        <v>1.11002</v>
      </c>
      <c r="L8348">
        <v>19.294589999999999</v>
      </c>
      <c r="M8348">
        <v>-2.2097169999999999E-3</v>
      </c>
      <c r="N8348">
        <v>0</v>
      </c>
      <c r="O8348">
        <v>0.99994050000000001</v>
      </c>
      <c r="P8348">
        <v>-2.424223E-2</v>
      </c>
      <c r="Q8348">
        <v>4.5974189999999998E-2</v>
      </c>
      <c r="R8348">
        <v>0.99864839999999999</v>
      </c>
      <c r="S8348">
        <v>0.62121579999999998</v>
      </c>
      <c r="T8348">
        <v>-0.70104089999999997</v>
      </c>
      <c r="U8348">
        <v>3.051453</v>
      </c>
      <c r="V8348">
        <v>-2.2033009999999999E-2</v>
      </c>
      <c r="W8348">
        <v>5.6644449999999999E-2</v>
      </c>
      <c r="X8348">
        <v>0.99815120000000002</v>
      </c>
      <c r="Y8348">
        <v>0.1967843</v>
      </c>
      <c r="Z8348">
        <v>-0.2195764</v>
      </c>
      <c r="AA8348">
        <v>0.95554289999999997</v>
      </c>
      <c r="AB8348">
        <v>22</v>
      </c>
      <c r="AC8348">
        <v>0.17489999999997899</v>
      </c>
      <c r="AD8348">
        <v>-0.1967352</v>
      </c>
      <c r="AE8348">
        <v>0.63354999999999895</v>
      </c>
      <c r="AF8348">
        <v>0.16180224155673101</v>
      </c>
      <c r="AG8348">
        <v>-0.1967352</v>
      </c>
      <c r="AH8348">
        <v>0.5810961111645</v>
      </c>
      <c r="AI8348">
        <v>108.063811255281</v>
      </c>
      <c r="AJ8348">
        <v>74.440502027790203</v>
      </c>
      <c r="AK8348">
        <v>0.63447410877223998</v>
      </c>
      <c r="AL8348">
        <v>86.752773777143105</v>
      </c>
      <c r="AM8348">
        <v>91.264531372452495</v>
      </c>
      <c r="AN8348">
        <v>0.999999932653449</v>
      </c>
    </row>
    <row r="8349" spans="1:40" x14ac:dyDescent="0.25">
      <c r="A8349" t="str">
        <f>"20190312160530863"</f>
        <v>20190312160530863</v>
      </c>
      <c r="B8349" t="str">
        <f>"1552377930853664"</f>
        <v>1552377930853664</v>
      </c>
      <c r="C8349" t="s">
        <v>40</v>
      </c>
      <c r="D8349">
        <v>5.2102149999999998</v>
      </c>
      <c r="E8349">
        <v>0.58359619999999901</v>
      </c>
      <c r="F8349" t="s">
        <v>49</v>
      </c>
      <c r="G8349">
        <v>-187.24039999999999</v>
      </c>
      <c r="H8349">
        <v>0.91782920000000001</v>
      </c>
      <c r="I8349">
        <v>20.129619999999999</v>
      </c>
      <c r="J8349">
        <v>-187.4119</v>
      </c>
      <c r="K8349">
        <v>1.110034</v>
      </c>
      <c r="L8349">
        <v>19.42651</v>
      </c>
      <c r="M8349">
        <v>-2.209819E-3</v>
      </c>
      <c r="N8349">
        <v>0</v>
      </c>
      <c r="O8349">
        <v>0.99993940000000003</v>
      </c>
      <c r="P8349">
        <v>-2.4223910000000001E-2</v>
      </c>
      <c r="Q8349">
        <v>4.5498070000000002E-2</v>
      </c>
      <c r="R8349">
        <v>0.99867070000000002</v>
      </c>
      <c r="S8349">
        <v>0.624679599999999</v>
      </c>
      <c r="T8349">
        <v>-0.70233059999999903</v>
      </c>
      <c r="U8349">
        <v>3.0515439999999998</v>
      </c>
      <c r="V8349">
        <v>-2.201492E-2</v>
      </c>
      <c r="W8349">
        <v>5.6261680000000001E-2</v>
      </c>
      <c r="X8349">
        <v>0.99817330000000004</v>
      </c>
      <c r="Y8349">
        <v>0.19780500000000001</v>
      </c>
      <c r="Z8349">
        <v>-0.21990799999999999</v>
      </c>
      <c r="AA8349">
        <v>0.95525579999999999</v>
      </c>
      <c r="AB8349">
        <v>22</v>
      </c>
      <c r="AC8349">
        <v>0.17150000000000801</v>
      </c>
      <c r="AD8349">
        <v>-0.19220480000000001</v>
      </c>
      <c r="AE8349">
        <v>0.70311000000000201</v>
      </c>
      <c r="AF8349">
        <v>0.16165187334131101</v>
      </c>
      <c r="AG8349">
        <v>-0.19220480000000001</v>
      </c>
      <c r="AH8349">
        <v>0.65643028484944299</v>
      </c>
      <c r="AI8349">
        <v>105.870938331666</v>
      </c>
      <c r="AJ8349">
        <v>76.165667852424704</v>
      </c>
      <c r="AK8349">
        <v>0.70283336016819598</v>
      </c>
      <c r="AL8349">
        <v>86.774740083979296</v>
      </c>
      <c r="AM8349">
        <v>91.263465512070894</v>
      </c>
      <c r="AN8349">
        <v>0.999999985085959</v>
      </c>
    </row>
    <row r="8350" spans="1:40" x14ac:dyDescent="0.25">
      <c r="A8350" t="str">
        <f>"20190312160530884"</f>
        <v>20190312160530884</v>
      </c>
      <c r="B8350" t="str">
        <f>"1552377930873187"</f>
        <v>1552377930873187</v>
      </c>
      <c r="C8350" t="s">
        <v>40</v>
      </c>
      <c r="D8350">
        <v>5.4178189999999997</v>
      </c>
      <c r="E8350">
        <v>0.58379060000000005</v>
      </c>
      <c r="F8350" t="s">
        <v>49</v>
      </c>
      <c r="G8350">
        <v>-187.2655</v>
      </c>
      <c r="H8350">
        <v>0.94485589999999997</v>
      </c>
      <c r="I8350">
        <v>20.140149999999998</v>
      </c>
      <c r="J8350">
        <v>-187.41239999999999</v>
      </c>
      <c r="K8350">
        <v>1.110055</v>
      </c>
      <c r="L8350">
        <v>19.630859999999998</v>
      </c>
      <c r="M8350">
        <v>-2.2099350000000001E-3</v>
      </c>
      <c r="N8350">
        <v>0</v>
      </c>
      <c r="O8350">
        <v>0.99993799999999999</v>
      </c>
      <c r="P8350">
        <v>-2.3818559999999999E-2</v>
      </c>
      <c r="Q8350">
        <v>4.503513E-2</v>
      </c>
      <c r="R8350">
        <v>0.99870139999999996</v>
      </c>
      <c r="S8350">
        <v>0.62516780000000005</v>
      </c>
      <c r="T8350">
        <v>-0.70625000000000004</v>
      </c>
      <c r="U8350">
        <v>3.0513309999999998</v>
      </c>
      <c r="V8350">
        <v>-2.1608840000000001E-2</v>
      </c>
      <c r="W8350">
        <v>5.5940330000000003E-2</v>
      </c>
      <c r="X8350">
        <v>0.99820019999999998</v>
      </c>
      <c r="Y8350">
        <v>0.19791159999999999</v>
      </c>
      <c r="Z8350">
        <v>-0.2210828</v>
      </c>
      <c r="AA8350">
        <v>0.95496250000000005</v>
      </c>
      <c r="AB8350">
        <v>22</v>
      </c>
      <c r="AC8350">
        <v>0.14689999999998801</v>
      </c>
      <c r="AD8350">
        <v>-0.16519909999999899</v>
      </c>
      <c r="AE8350">
        <v>0.50928999999999602</v>
      </c>
      <c r="AF8350">
        <v>0.13491973448108199</v>
      </c>
      <c r="AG8350">
        <v>-0.16519909999999899</v>
      </c>
      <c r="AH8350">
        <v>0.46390275485184901</v>
      </c>
      <c r="AI8350">
        <v>108.87756478946901</v>
      </c>
      <c r="AJ8350">
        <v>73.783654574299007</v>
      </c>
      <c r="AK8350">
        <v>0.51058774304950805</v>
      </c>
      <c r="AL8350">
        <v>86.793181016110594</v>
      </c>
      <c r="AM8350">
        <v>91.240133977903298</v>
      </c>
      <c r="AN8350">
        <v>0.99999995088334603</v>
      </c>
    </row>
    <row r="8351" spans="1:40" x14ac:dyDescent="0.25">
      <c r="A8351" t="str">
        <f>"20190312160530906"</f>
        <v>20190312160530906</v>
      </c>
      <c r="B8351" t="str">
        <f>"1552377930903439"</f>
        <v>1552377930903439</v>
      </c>
      <c r="C8351" t="s">
        <v>40</v>
      </c>
      <c r="D8351">
        <v>5.4335809999999896</v>
      </c>
      <c r="E8351">
        <v>0.58368500000000001</v>
      </c>
      <c r="F8351" t="s">
        <v>49</v>
      </c>
      <c r="G8351">
        <v>-187.26650000000001</v>
      </c>
      <c r="H8351">
        <v>0.94422830000000002</v>
      </c>
      <c r="I8351">
        <v>20.339510000000001</v>
      </c>
      <c r="J8351">
        <v>-187.4128</v>
      </c>
      <c r="K8351">
        <v>1.1100760000000001</v>
      </c>
      <c r="L8351">
        <v>19.849550000000001</v>
      </c>
      <c r="M8351">
        <v>-2.2100599999999998E-3</v>
      </c>
      <c r="N8351">
        <v>0</v>
      </c>
      <c r="O8351">
        <v>0.9999363</v>
      </c>
      <c r="P8351">
        <v>-2.3273350000000002E-2</v>
      </c>
      <c r="Q8351">
        <v>4.4537449999999999E-2</v>
      </c>
      <c r="R8351">
        <v>0.99873659999999997</v>
      </c>
      <c r="S8351">
        <v>0.6275482</v>
      </c>
      <c r="T8351">
        <v>-0.71395019999999998</v>
      </c>
      <c r="U8351">
        <v>3.051056</v>
      </c>
      <c r="V8351">
        <v>-2.1063769999999999E-2</v>
      </c>
      <c r="W8351">
        <v>5.5591349999999998E-2</v>
      </c>
      <c r="X8351">
        <v>0.99823139999999999</v>
      </c>
      <c r="Y8351">
        <v>0.19853899999999999</v>
      </c>
      <c r="Z8351">
        <v>-0.2233591</v>
      </c>
      <c r="AA8351">
        <v>0.9543024</v>
      </c>
      <c r="AB8351">
        <v>22</v>
      </c>
      <c r="AC8351">
        <v>0.14629999999999599</v>
      </c>
      <c r="AD8351">
        <v>-0.16584769999999899</v>
      </c>
      <c r="AE8351">
        <v>0.48996000000000001</v>
      </c>
      <c r="AF8351">
        <v>0.13335401603750599</v>
      </c>
      <c r="AG8351">
        <v>-0.16584769999999899</v>
      </c>
      <c r="AH8351">
        <v>0.44302974726976702</v>
      </c>
      <c r="AI8351">
        <v>109.7208248221</v>
      </c>
      <c r="AJ8351">
        <v>73.247960777248196</v>
      </c>
      <c r="AK8351">
        <v>0.49149171931430902</v>
      </c>
      <c r="AL8351">
        <v>86.813207431998407</v>
      </c>
      <c r="AM8351">
        <v>91.208823974251303</v>
      </c>
      <c r="AN8351">
        <v>1.0000000042736901</v>
      </c>
    </row>
    <row r="8352" spans="1:40" x14ac:dyDescent="0.25">
      <c r="A8352" t="str">
        <f>"20190312160530929"</f>
        <v>20190312160530929</v>
      </c>
      <c r="B8352" t="str">
        <f>"1552377930923935"</f>
        <v>1552377930923935</v>
      </c>
      <c r="C8352" t="s">
        <v>40</v>
      </c>
      <c r="D8352">
        <v>5.2299519999999999</v>
      </c>
      <c r="E8352">
        <v>0.58349240000000002</v>
      </c>
      <c r="F8352" t="s">
        <v>49</v>
      </c>
      <c r="G8352">
        <v>-187.2704</v>
      </c>
      <c r="H8352">
        <v>0.9475576</v>
      </c>
      <c r="I8352">
        <v>20.54055</v>
      </c>
      <c r="J8352">
        <v>-187.41329999999999</v>
      </c>
      <c r="K8352">
        <v>1.1100950000000001</v>
      </c>
      <c r="L8352">
        <v>20.07358</v>
      </c>
      <c r="M8352">
        <v>-2.2099530000000002E-3</v>
      </c>
      <c r="N8352">
        <v>0</v>
      </c>
      <c r="O8352">
        <v>0.99993469999999995</v>
      </c>
      <c r="P8352">
        <v>-2.2724569999999999E-2</v>
      </c>
      <c r="Q8352">
        <v>4.450606E-2</v>
      </c>
      <c r="R8352">
        <v>0.99875060000000004</v>
      </c>
      <c r="S8352">
        <v>0.62789919999999899</v>
      </c>
      <c r="T8352">
        <v>-0.71742249999999996</v>
      </c>
      <c r="U8352">
        <v>3.0504150000000001</v>
      </c>
      <c r="V8352">
        <v>-2.05153E-2</v>
      </c>
      <c r="W8352">
        <v>5.5706560000000002E-2</v>
      </c>
      <c r="X8352">
        <v>0.99823640000000002</v>
      </c>
      <c r="Y8352">
        <v>0.19863420000000001</v>
      </c>
      <c r="Z8352">
        <v>-0.22442889999999999</v>
      </c>
      <c r="AA8352">
        <v>0.95403150000000003</v>
      </c>
      <c r="AB8352">
        <v>22</v>
      </c>
      <c r="AC8352">
        <v>0.142899999999997</v>
      </c>
      <c r="AD8352">
        <v>-0.1625374</v>
      </c>
      <c r="AE8352">
        <v>0.466969999999999</v>
      </c>
      <c r="AF8352">
        <v>0.12957741679886001</v>
      </c>
      <c r="AG8352">
        <v>-0.1625374</v>
      </c>
      <c r="AH8352">
        <v>0.42011381874449399</v>
      </c>
      <c r="AI8352">
        <v>110.289513756557</v>
      </c>
      <c r="AJ8352">
        <v>72.858454716215206</v>
      </c>
      <c r="AK8352">
        <v>0.46872628904629099</v>
      </c>
      <c r="AL8352">
        <v>86.806596140540904</v>
      </c>
      <c r="AM8352">
        <v>91.177351035014297</v>
      </c>
      <c r="AN8352">
        <v>1.0000000043230399</v>
      </c>
    </row>
    <row r="8353" spans="1:40" x14ac:dyDescent="0.25">
      <c r="A8353" t="str">
        <f>"20190312160530953"</f>
        <v>20190312160530953</v>
      </c>
      <c r="B8353" t="str">
        <f>"1552377930943455"</f>
        <v>1552377930943455</v>
      </c>
      <c r="C8353" t="s">
        <v>40</v>
      </c>
      <c r="D8353">
        <v>5.3696060000000001</v>
      </c>
      <c r="E8353">
        <v>0.5833642</v>
      </c>
      <c r="F8353" t="s">
        <v>49</v>
      </c>
      <c r="G8353">
        <v>-187.23769999999999</v>
      </c>
      <c r="H8353">
        <v>0.90971120000000005</v>
      </c>
      <c r="I8353">
        <v>20.92464</v>
      </c>
      <c r="J8353">
        <v>-187.41390000000001</v>
      </c>
      <c r="K8353">
        <v>1.110115</v>
      </c>
      <c r="L8353">
        <v>20.31467</v>
      </c>
      <c r="M8353">
        <v>-2.2101289999999999E-3</v>
      </c>
      <c r="N8353">
        <v>0</v>
      </c>
      <c r="O8353">
        <v>0.99993290000000001</v>
      </c>
      <c r="P8353">
        <v>-2.277063E-2</v>
      </c>
      <c r="Q8353">
        <v>4.448506E-2</v>
      </c>
      <c r="R8353">
        <v>0.99875049999999999</v>
      </c>
      <c r="S8353">
        <v>0.62884519999999899</v>
      </c>
      <c r="T8353">
        <v>-0.71812949999999998</v>
      </c>
      <c r="U8353">
        <v>3.050049</v>
      </c>
      <c r="V8353">
        <v>-2.056084E-2</v>
      </c>
      <c r="W8353">
        <v>5.583892E-2</v>
      </c>
      <c r="X8353">
        <v>0.99822809999999995</v>
      </c>
      <c r="Y8353">
        <v>0.19893050000000001</v>
      </c>
      <c r="Z8353">
        <v>-0.2246503</v>
      </c>
      <c r="AA8353">
        <v>0.95391760000000003</v>
      </c>
      <c r="AB8353">
        <v>22</v>
      </c>
      <c r="AC8353">
        <v>0.17620000000002201</v>
      </c>
      <c r="AD8353">
        <v>-0.20040379999999999</v>
      </c>
      <c r="AE8353">
        <v>0.60997000000000001</v>
      </c>
      <c r="AF8353">
        <v>0.16146142738981301</v>
      </c>
      <c r="AG8353">
        <v>-0.20040379999999999</v>
      </c>
      <c r="AH8353">
        <v>0.554349432957848</v>
      </c>
      <c r="AI8353">
        <v>109.141318585082</v>
      </c>
      <c r="AJ8353">
        <v>73.761117640620199</v>
      </c>
      <c r="AK8353">
        <v>0.61117490901531901</v>
      </c>
      <c r="AL8353">
        <v>86.799000751445902</v>
      </c>
      <c r="AM8353">
        <v>91.179973596936193</v>
      </c>
      <c r="AN8353">
        <v>1.0000000363789401</v>
      </c>
    </row>
    <row r="8354" spans="1:40" x14ac:dyDescent="0.25">
      <c r="A8354" t="str">
        <f>"20190312160530975"</f>
        <v>20190312160530975</v>
      </c>
      <c r="B8354" t="str">
        <f>"1552377930962977"</f>
        <v>1552377930962977</v>
      </c>
      <c r="C8354" t="s">
        <v>40</v>
      </c>
      <c r="D8354">
        <v>5.4841930000000003</v>
      </c>
      <c r="E8354">
        <v>0.58338559999999995</v>
      </c>
      <c r="F8354" t="s">
        <v>49</v>
      </c>
      <c r="G8354">
        <v>-187.24639999999999</v>
      </c>
      <c r="H8354">
        <v>0.91875269999999998</v>
      </c>
      <c r="I8354">
        <v>21.127410000000001</v>
      </c>
      <c r="J8354">
        <v>-187.4144</v>
      </c>
      <c r="K8354">
        <v>1.110131</v>
      </c>
      <c r="L8354">
        <v>20.535640000000001</v>
      </c>
      <c r="M8354">
        <v>-2.210105E-3</v>
      </c>
      <c r="N8354">
        <v>0</v>
      </c>
      <c r="O8354">
        <v>0.99993129999999997</v>
      </c>
      <c r="P8354">
        <v>-2.3069780000000002E-2</v>
      </c>
      <c r="Q8354">
        <v>4.4427679999999997E-2</v>
      </c>
      <c r="R8354">
        <v>0.99874620000000003</v>
      </c>
      <c r="S8354">
        <v>0.62791439999999998</v>
      </c>
      <c r="T8354">
        <v>-0.71812500000000001</v>
      </c>
      <c r="U8354">
        <v>3.050049</v>
      </c>
      <c r="V8354">
        <v>-2.0860139999999999E-2</v>
      </c>
      <c r="W8354">
        <v>5.5921289999999998E-2</v>
      </c>
      <c r="X8354">
        <v>0.99821720000000003</v>
      </c>
      <c r="Y8354">
        <v>0.19865070000000001</v>
      </c>
      <c r="Z8354">
        <v>-0.2246619</v>
      </c>
      <c r="AA8354">
        <v>0.95397319999999997</v>
      </c>
      <c r="AB8354">
        <v>22</v>
      </c>
      <c r="AC8354">
        <v>0.16800000000000601</v>
      </c>
      <c r="AD8354">
        <v>-0.1913783</v>
      </c>
      <c r="AE8354">
        <v>0.59177000000000002</v>
      </c>
      <c r="AF8354">
        <v>0.154366872168684</v>
      </c>
      <c r="AG8354">
        <v>-0.1913783</v>
      </c>
      <c r="AH8354">
        <v>0.53920891822670602</v>
      </c>
      <c r="AI8354">
        <v>108.8404999147</v>
      </c>
      <c r="AJ8354">
        <v>74.024431335800102</v>
      </c>
      <c r="AK8354">
        <v>0.59262217510758697</v>
      </c>
      <c r="AL8354">
        <v>86.794273658563498</v>
      </c>
      <c r="AM8354">
        <v>91.197158340067006</v>
      </c>
      <c r="AN8354">
        <v>0.99999995724596002</v>
      </c>
    </row>
    <row r="8355" spans="1:40" x14ac:dyDescent="0.25">
      <c r="A8355" t="str">
        <f>"20190312160530997"</f>
        <v>20190312160530997</v>
      </c>
      <c r="B8355" t="str">
        <f>"1552377930993231"</f>
        <v>1552377930993231</v>
      </c>
      <c r="C8355" t="s">
        <v>40</v>
      </c>
      <c r="D8355">
        <v>5.3829659999999997</v>
      </c>
      <c r="E8355">
        <v>0.583271599999999</v>
      </c>
      <c r="F8355" t="s">
        <v>49</v>
      </c>
      <c r="G8355">
        <v>-187.25120000000001</v>
      </c>
      <c r="H8355">
        <v>0.92334970000000005</v>
      </c>
      <c r="I8355">
        <v>21.32835</v>
      </c>
      <c r="J8355">
        <v>-187.41480000000001</v>
      </c>
      <c r="K8355">
        <v>1.11015</v>
      </c>
      <c r="L8355">
        <v>20.74634</v>
      </c>
      <c r="M8355">
        <v>-2.2096989999999999E-3</v>
      </c>
      <c r="N8355">
        <v>0</v>
      </c>
      <c r="O8355">
        <v>0.99992959999999997</v>
      </c>
      <c r="P8355">
        <v>-2.3561479999999999E-2</v>
      </c>
      <c r="Q8355">
        <v>4.3867709999999997E-2</v>
      </c>
      <c r="R8355">
        <v>0.99875939999999996</v>
      </c>
      <c r="S8355">
        <v>0.62715149999999997</v>
      </c>
      <c r="T8355">
        <v>-0.71870210000000001</v>
      </c>
      <c r="U8355">
        <v>3.0502319999999998</v>
      </c>
      <c r="V8355">
        <v>-2.1352320000000001E-2</v>
      </c>
      <c r="W8355">
        <v>5.551089E-2</v>
      </c>
      <c r="X8355">
        <v>0.9982297</v>
      </c>
      <c r="Y8355">
        <v>0.1984022</v>
      </c>
      <c r="Z8355">
        <v>-0.2248317</v>
      </c>
      <c r="AA8355">
        <v>0.95398490000000002</v>
      </c>
      <c r="AB8355">
        <v>22</v>
      </c>
      <c r="AC8355">
        <v>0.16360000000000199</v>
      </c>
      <c r="AD8355">
        <v>-0.1868003</v>
      </c>
      <c r="AE8355">
        <v>0.58201000000000003</v>
      </c>
      <c r="AF8355">
        <v>0.15051598932303401</v>
      </c>
      <c r="AG8355">
        <v>-0.1868003</v>
      </c>
      <c r="AH8355">
        <v>0.530956606159522</v>
      </c>
      <c r="AI8355">
        <v>108.69997228027501</v>
      </c>
      <c r="AJ8355">
        <v>74.172986431047406</v>
      </c>
      <c r="AK8355">
        <v>0.58263567754336798</v>
      </c>
      <c r="AL8355">
        <v>86.817824430107606</v>
      </c>
      <c r="AM8355">
        <v>91.225380576731993</v>
      </c>
      <c r="AN8355">
        <v>0.99999995722003099</v>
      </c>
    </row>
    <row r="8356" spans="1:40" x14ac:dyDescent="0.25">
      <c r="A8356" t="str">
        <f>"20190312160531018"</f>
        <v>20190312160531018</v>
      </c>
      <c r="B8356" t="str">
        <f>"1552377931013727"</f>
        <v>1552377931013727</v>
      </c>
      <c r="C8356" t="s">
        <v>40</v>
      </c>
      <c r="D8356">
        <v>5.4794409999999996</v>
      </c>
      <c r="E8356">
        <v>0.5830438</v>
      </c>
      <c r="F8356" t="s">
        <v>49</v>
      </c>
      <c r="G8356">
        <v>-187.25470000000001</v>
      </c>
      <c r="H8356">
        <v>0.92539260000000001</v>
      </c>
      <c r="I8356">
        <v>21.528009999999998</v>
      </c>
      <c r="J8356">
        <v>-187.4153</v>
      </c>
      <c r="K8356">
        <v>1.110168</v>
      </c>
      <c r="L8356">
        <v>20.96191</v>
      </c>
      <c r="M8356">
        <v>-2.2096099999999999E-3</v>
      </c>
      <c r="N8356">
        <v>0</v>
      </c>
      <c r="O8356">
        <v>0.99992760000000003</v>
      </c>
      <c r="P8356">
        <v>-2.4283920000000001E-2</v>
      </c>
      <c r="Q8356">
        <v>4.3640180000000001E-2</v>
      </c>
      <c r="R8356">
        <v>0.99875210000000003</v>
      </c>
      <c r="S8356">
        <v>0.62452700000000005</v>
      </c>
      <c r="T8356">
        <v>-0.72092659999999997</v>
      </c>
      <c r="U8356">
        <v>3.0501100000000001</v>
      </c>
      <c r="V8356">
        <v>-2.2074949999999999E-2</v>
      </c>
      <c r="W8356">
        <v>5.5452799999999997E-2</v>
      </c>
      <c r="X8356">
        <v>0.99821720000000003</v>
      </c>
      <c r="Y8356">
        <v>0.19758919999999999</v>
      </c>
      <c r="Z8356">
        <v>-0.22553690000000001</v>
      </c>
      <c r="AA8356">
        <v>0.95398720000000004</v>
      </c>
      <c r="AB8356">
        <v>22</v>
      </c>
      <c r="AC8356">
        <v>0.160599999999988</v>
      </c>
      <c r="AD8356">
        <v>-0.18477540000000001</v>
      </c>
      <c r="AE8356">
        <v>0.56610000000000205</v>
      </c>
      <c r="AF8356">
        <v>0.14732415653067099</v>
      </c>
      <c r="AG8356">
        <v>-0.18477540000000001</v>
      </c>
      <c r="AH8356">
        <v>0.51496714028467105</v>
      </c>
      <c r="AI8356">
        <v>109.032935176555</v>
      </c>
      <c r="AJ8356">
        <v>74.034991104141795</v>
      </c>
      <c r="AK8356">
        <v>0.56660172177253898</v>
      </c>
      <c r="AL8356">
        <v>86.821157845388498</v>
      </c>
      <c r="AM8356">
        <v>91.266853893696194</v>
      </c>
      <c r="AN8356">
        <v>0.99999994741058895</v>
      </c>
    </row>
    <row r="8357" spans="1:40" x14ac:dyDescent="0.25">
      <c r="A8357" t="str">
        <f>"20190312160531041"</f>
        <v>20190312160531041</v>
      </c>
      <c r="B8357" t="str">
        <f>"1552377931033248"</f>
        <v>1552377931033248</v>
      </c>
      <c r="C8357" t="s">
        <v>40</v>
      </c>
      <c r="D8357">
        <v>5.5440889999999996</v>
      </c>
      <c r="E8357">
        <v>0.58291630000000005</v>
      </c>
      <c r="F8357" t="s">
        <v>49</v>
      </c>
      <c r="G8357">
        <v>-187.25919999999999</v>
      </c>
      <c r="H8357">
        <v>0.92875700000000005</v>
      </c>
      <c r="I8357">
        <v>21.727959999999999</v>
      </c>
      <c r="J8357">
        <v>-187.41579999999999</v>
      </c>
      <c r="K8357">
        <v>1.11019</v>
      </c>
      <c r="L8357">
        <v>21.187560000000001</v>
      </c>
      <c r="M8357">
        <v>-2.209796E-3</v>
      </c>
      <c r="N8357">
        <v>0</v>
      </c>
      <c r="O8357">
        <v>0.99992550000000002</v>
      </c>
      <c r="P8357">
        <v>-2.4942619999999999E-2</v>
      </c>
      <c r="Q8357">
        <v>4.3379210000000001E-2</v>
      </c>
      <c r="R8357">
        <v>0.9987473</v>
      </c>
      <c r="S8357">
        <v>0.62081909999999996</v>
      </c>
      <c r="T8357">
        <v>-0.72236829999999996</v>
      </c>
      <c r="U8357">
        <v>3.0504150000000001</v>
      </c>
      <c r="V8357">
        <v>-2.2733340000000001E-2</v>
      </c>
      <c r="W8357">
        <v>5.5366150000000003E-2</v>
      </c>
      <c r="X8357">
        <v>0.99820730000000002</v>
      </c>
      <c r="Y8357">
        <v>0.1964361</v>
      </c>
      <c r="Z8357">
        <v>-0.22599569999999999</v>
      </c>
      <c r="AA8357">
        <v>0.95411679999999999</v>
      </c>
      <c r="AB8357">
        <v>22</v>
      </c>
      <c r="AC8357">
        <v>0.15659999999999699</v>
      </c>
      <c r="AD8357">
        <v>-0.18143300000000001</v>
      </c>
      <c r="AE8357">
        <v>0.54039999999999799</v>
      </c>
      <c r="AF8357">
        <v>0.14293081602784</v>
      </c>
      <c r="AG8357">
        <v>-0.18143300000000001</v>
      </c>
      <c r="AH8357">
        <v>0.48918348596489197</v>
      </c>
      <c r="AI8357">
        <v>109.595957752893</v>
      </c>
      <c r="AJ8357">
        <v>73.712565200294506</v>
      </c>
      <c r="AK8357">
        <v>0.54096916233751102</v>
      </c>
      <c r="AL8357">
        <v>86.826130377134106</v>
      </c>
      <c r="AM8357">
        <v>91.304638140806006</v>
      </c>
      <c r="AN8357">
        <v>1.0000000145433301</v>
      </c>
    </row>
    <row r="8358" spans="1:40" x14ac:dyDescent="0.25">
      <c r="A8358" t="str">
        <f>"20190312160531063"</f>
        <v>20190312160531063</v>
      </c>
      <c r="B8358" t="str">
        <f>"1552377931053743"</f>
        <v>1552377931053743</v>
      </c>
      <c r="C8358" t="s">
        <v>40</v>
      </c>
      <c r="D8358">
        <v>5.3104959999999997</v>
      </c>
      <c r="E8358">
        <v>0.58277449999999997</v>
      </c>
      <c r="F8358" t="s">
        <v>49</v>
      </c>
      <c r="G8358">
        <v>-187.2655</v>
      </c>
      <c r="H8358">
        <v>0.9346392</v>
      </c>
      <c r="I8358">
        <v>21.92869</v>
      </c>
      <c r="J8358">
        <v>-187.41630000000001</v>
      </c>
      <c r="K8358">
        <v>1.110209</v>
      </c>
      <c r="L8358">
        <v>21.414180000000002</v>
      </c>
      <c r="M8358">
        <v>-2.2100430000000001E-3</v>
      </c>
      <c r="N8358">
        <v>0</v>
      </c>
      <c r="O8358">
        <v>0.99992360000000002</v>
      </c>
      <c r="P8358">
        <v>-2.5676629999999999E-2</v>
      </c>
      <c r="Q8358">
        <v>4.3244419999999999E-2</v>
      </c>
      <c r="R8358">
        <v>0.99873449999999997</v>
      </c>
      <c r="S8358">
        <v>0.61816409999999999</v>
      </c>
      <c r="T8358">
        <v>-0.72257959999999999</v>
      </c>
      <c r="U8358">
        <v>3.0505680000000002</v>
      </c>
      <c r="V8358">
        <v>-2.3466790000000001E-2</v>
      </c>
      <c r="W8358">
        <v>5.5392810000000001E-2</v>
      </c>
      <c r="X8358">
        <v>0.99818890000000005</v>
      </c>
      <c r="Y8358">
        <v>0.1956253</v>
      </c>
      <c r="Z8358">
        <v>-0.2260847</v>
      </c>
      <c r="AA8358">
        <v>0.95426230000000001</v>
      </c>
      <c r="AB8358">
        <v>22</v>
      </c>
      <c r="AC8358">
        <v>0.15080000000000299</v>
      </c>
      <c r="AD8358">
        <v>-0.1755698</v>
      </c>
      <c r="AE8358">
        <v>0.51451000000000102</v>
      </c>
      <c r="AF8358">
        <v>0.137222316456175</v>
      </c>
      <c r="AG8358">
        <v>-0.1755698</v>
      </c>
      <c r="AH8358">
        <v>0.464379552509742</v>
      </c>
      <c r="AI8358">
        <v>109.92940401922699</v>
      </c>
      <c r="AJ8358">
        <v>73.537798893575001</v>
      </c>
      <c r="AK8358">
        <v>0.51507580761940897</v>
      </c>
      <c r="AL8358">
        <v>86.824600690219697</v>
      </c>
      <c r="AM8358">
        <v>91.346739481454193</v>
      </c>
      <c r="AN8358">
        <v>1.0000000668579001</v>
      </c>
    </row>
    <row r="8359" spans="1:40" x14ac:dyDescent="0.25">
      <c r="A8359" t="str">
        <f>"20190312160531096"</f>
        <v>20190312160531096</v>
      </c>
      <c r="B8359" t="str">
        <f>"1552377931093759"</f>
        <v>1552377931093759</v>
      </c>
      <c r="C8359" t="s">
        <v>40</v>
      </c>
      <c r="D8359">
        <v>5.3625369999999997</v>
      </c>
      <c r="E8359">
        <v>0.58247910000000003</v>
      </c>
      <c r="F8359" t="s">
        <v>49</v>
      </c>
      <c r="G8359">
        <v>-187.27199999999999</v>
      </c>
      <c r="H8359">
        <v>0.94034220000000002</v>
      </c>
      <c r="I8359">
        <v>22.129339999999999</v>
      </c>
      <c r="J8359">
        <v>-187.417</v>
      </c>
      <c r="K8359">
        <v>1.1102299999999901</v>
      </c>
      <c r="L8359">
        <v>21.73105</v>
      </c>
      <c r="M8359">
        <v>-2.2101519999999999E-3</v>
      </c>
      <c r="N8359">
        <v>0</v>
      </c>
      <c r="O8359">
        <v>0.99992110000000001</v>
      </c>
      <c r="P8359">
        <v>-2.5295640000000001E-2</v>
      </c>
      <c r="Q8359">
        <v>4.3186559999999999E-2</v>
      </c>
      <c r="R8359">
        <v>0.99874680000000005</v>
      </c>
      <c r="S8359">
        <v>0.6146393</v>
      </c>
      <c r="T8359">
        <v>-0.72467230000000005</v>
      </c>
      <c r="U8359">
        <v>3.0509949999999999</v>
      </c>
      <c r="V8359">
        <v>-2.3085830000000002E-2</v>
      </c>
      <c r="W8359">
        <v>5.5534689999999998E-2</v>
      </c>
      <c r="X8359">
        <v>0.99818980000000002</v>
      </c>
      <c r="Y8359">
        <v>0.19451060000000001</v>
      </c>
      <c r="Z8359">
        <v>-0.2267255</v>
      </c>
      <c r="AA8359">
        <v>0.95433809999999997</v>
      </c>
      <c r="AB8359">
        <v>22</v>
      </c>
      <c r="AC8359">
        <v>0.14499999999998101</v>
      </c>
      <c r="AD8359">
        <v>-0.16988779999999901</v>
      </c>
      <c r="AE8359">
        <v>0.39828999999999898</v>
      </c>
      <c r="AF8359">
        <v>0.12568848998047899</v>
      </c>
      <c r="AG8359">
        <v>-0.16988779999999901</v>
      </c>
      <c r="AH8359">
        <v>0.34288501186562498</v>
      </c>
      <c r="AI8359">
        <v>114.94770303480399</v>
      </c>
      <c r="AJ8359">
        <v>69.869001523836104</v>
      </c>
      <c r="AK8359">
        <v>0.40277734849976699</v>
      </c>
      <c r="AL8359">
        <v>86.816458715152393</v>
      </c>
      <c r="AM8359">
        <v>91.324883167910698</v>
      </c>
      <c r="AN8359">
        <v>0.99999996708211203</v>
      </c>
    </row>
    <row r="8360" spans="1:40" x14ac:dyDescent="0.25">
      <c r="A8360" t="str">
        <f>"20190312160531119"</f>
        <v>20190312160531119</v>
      </c>
      <c r="B8360" t="str">
        <f>"1552377931113279"</f>
        <v>1552377931113279</v>
      </c>
      <c r="C8360" t="s">
        <v>40</v>
      </c>
      <c r="D8360">
        <v>5.372935</v>
      </c>
      <c r="E8360">
        <v>0.58233550000000001</v>
      </c>
      <c r="F8360" t="s">
        <v>49</v>
      </c>
      <c r="G8360">
        <v>-187.2585</v>
      </c>
      <c r="H8360">
        <v>0.92271530000000002</v>
      </c>
      <c r="I8360">
        <v>22.518280000000001</v>
      </c>
      <c r="J8360">
        <v>-187.41749999999999</v>
      </c>
      <c r="K8360">
        <v>1.110239</v>
      </c>
      <c r="L8360">
        <v>21.95486</v>
      </c>
      <c r="M8360">
        <v>-2.2100890000000002E-3</v>
      </c>
      <c r="N8360">
        <v>0</v>
      </c>
      <c r="O8360">
        <v>0.99991949999999996</v>
      </c>
      <c r="P8360">
        <v>-2.5123010000000001E-2</v>
      </c>
      <c r="Q8360">
        <v>4.3075349999999998E-2</v>
      </c>
      <c r="R8360">
        <v>0.99875590000000003</v>
      </c>
      <c r="S8360">
        <v>0.61361690000000002</v>
      </c>
      <c r="T8360">
        <v>-0.72665409999999997</v>
      </c>
      <c r="U8360">
        <v>3.0507200000000001</v>
      </c>
      <c r="V8360">
        <v>-2.2913030000000001E-2</v>
      </c>
      <c r="W8360">
        <v>5.55504E-2</v>
      </c>
      <c r="X8360">
        <v>0.998193</v>
      </c>
      <c r="Y8360">
        <v>0.19419130000000001</v>
      </c>
      <c r="Z8360">
        <v>-0.2273462</v>
      </c>
      <c r="AA8360">
        <v>0.95425550000000003</v>
      </c>
      <c r="AB8360">
        <v>22</v>
      </c>
      <c r="AC8360">
        <v>0.15899999999999101</v>
      </c>
      <c r="AD8360">
        <v>-0.18752369999999999</v>
      </c>
      <c r="AE8360">
        <v>0.56341999999999703</v>
      </c>
      <c r="AF8360">
        <v>0.14533300904070501</v>
      </c>
      <c r="AG8360">
        <v>-0.18752369999999999</v>
      </c>
      <c r="AH8360">
        <v>0.510669859471788</v>
      </c>
      <c r="AI8360">
        <v>109.45254861639999</v>
      </c>
      <c r="AJ8360">
        <v>74.114023988421494</v>
      </c>
      <c r="AK8360">
        <v>0.56309015881246904</v>
      </c>
      <c r="AL8360">
        <v>86.8155575016021</v>
      </c>
      <c r="AM8360">
        <v>91.314965551393499</v>
      </c>
      <c r="AN8360">
        <v>1.00000005956646</v>
      </c>
    </row>
    <row r="8361" spans="1:40" x14ac:dyDescent="0.25">
      <c r="A8361" t="str">
        <f>"20190312160531143"</f>
        <v>20190312160531143</v>
      </c>
      <c r="B8361" t="str">
        <f>"1552377931133775"</f>
        <v>1552377931133775</v>
      </c>
      <c r="C8361" t="s">
        <v>40</v>
      </c>
      <c r="D8361">
        <v>5.4113239999999996</v>
      </c>
      <c r="E8361">
        <v>0.58221230000000002</v>
      </c>
      <c r="F8361" t="s">
        <v>49</v>
      </c>
      <c r="G8361">
        <v>-187.26400000000001</v>
      </c>
      <c r="H8361">
        <v>0.92821779999999998</v>
      </c>
      <c r="I8361">
        <v>22.71801</v>
      </c>
      <c r="J8361">
        <v>-187.41810000000001</v>
      </c>
      <c r="K8361">
        <v>1.1102510000000001</v>
      </c>
      <c r="L8361">
        <v>22.195740000000001</v>
      </c>
      <c r="M8361">
        <v>-2.2100319999999998E-3</v>
      </c>
      <c r="N8361">
        <v>0</v>
      </c>
      <c r="O8361">
        <v>0.99991799999999997</v>
      </c>
      <c r="P8361">
        <v>-2.4916000000000001E-2</v>
      </c>
      <c r="Q8361">
        <v>4.2713139999999997E-2</v>
      </c>
      <c r="R8361">
        <v>0.99877660000000001</v>
      </c>
      <c r="S8361">
        <v>0.61341859999999904</v>
      </c>
      <c r="T8361">
        <v>-0.72758750000000005</v>
      </c>
      <c r="U8361">
        <v>3.0505369999999998</v>
      </c>
      <c r="V8361">
        <v>-2.2706279999999999E-2</v>
      </c>
      <c r="W8361">
        <v>5.531092E-2</v>
      </c>
      <c r="X8361">
        <v>0.99821099999999996</v>
      </c>
      <c r="Y8361">
        <v>0.1941293</v>
      </c>
      <c r="Z8361">
        <v>-0.22763829999999999</v>
      </c>
      <c r="AA8361">
        <v>0.9541984</v>
      </c>
      <c r="AB8361">
        <v>22</v>
      </c>
      <c r="AC8361">
        <v>0.15409999999999899</v>
      </c>
      <c r="AD8361">
        <v>-0.18203320000000001</v>
      </c>
      <c r="AE8361">
        <v>0.52226999999999801</v>
      </c>
      <c r="AF8361">
        <v>0.139647923825514</v>
      </c>
      <c r="AG8361">
        <v>-0.18203320000000001</v>
      </c>
      <c r="AH8361">
        <v>0.46946425815092802</v>
      </c>
      <c r="AI8361">
        <v>110.38771001695601</v>
      </c>
      <c r="AJ8361">
        <v>73.434242141530504</v>
      </c>
      <c r="AK8361">
        <v>0.52252685884289096</v>
      </c>
      <c r="AL8361">
        <v>86.829299750025697</v>
      </c>
      <c r="AM8361">
        <v>91.303080908399195</v>
      </c>
      <c r="AN8361">
        <v>1.00000003677184</v>
      </c>
    </row>
    <row r="8362" spans="1:40" x14ac:dyDescent="0.25">
      <c r="A8362" t="str">
        <f>"20190312160531165"</f>
        <v>20190312160531165</v>
      </c>
      <c r="B8362" t="str">
        <f>"1552377931153295"</f>
        <v>1552377931153295</v>
      </c>
      <c r="C8362" t="s">
        <v>40</v>
      </c>
      <c r="D8362">
        <v>5.407699</v>
      </c>
      <c r="E8362">
        <v>0.58209730000000004</v>
      </c>
      <c r="F8362" t="s">
        <v>49</v>
      </c>
      <c r="G8362">
        <v>-187.27260000000001</v>
      </c>
      <c r="H8362">
        <v>0.93694189999999999</v>
      </c>
      <c r="I8362">
        <v>22.91883</v>
      </c>
      <c r="J8362">
        <v>-187.41849999999999</v>
      </c>
      <c r="K8362">
        <v>1.1102540000000001</v>
      </c>
      <c r="L8362">
        <v>22.41037</v>
      </c>
      <c r="M8362">
        <v>-2.2100620000000001E-3</v>
      </c>
      <c r="N8362">
        <v>0</v>
      </c>
      <c r="O8362">
        <v>0.99991680000000005</v>
      </c>
      <c r="P8362">
        <v>-2.431297E-2</v>
      </c>
      <c r="Q8362">
        <v>4.26126E-2</v>
      </c>
      <c r="R8362">
        <v>0.99879580000000001</v>
      </c>
      <c r="S8362">
        <v>0.61253359999999901</v>
      </c>
      <c r="T8362">
        <v>-0.73106890000000002</v>
      </c>
      <c r="U8362">
        <v>3.0502319999999998</v>
      </c>
      <c r="V8362">
        <v>-2.2103210000000002E-2</v>
      </c>
      <c r="W8362">
        <v>5.5306639999999997E-2</v>
      </c>
      <c r="X8362">
        <v>0.99822469999999996</v>
      </c>
      <c r="Y8362">
        <v>0.19383249999999999</v>
      </c>
      <c r="Z8362">
        <v>-0.22870370000000001</v>
      </c>
      <c r="AA8362">
        <v>0.95400399999999996</v>
      </c>
      <c r="AB8362">
        <v>22</v>
      </c>
      <c r="AC8362">
        <v>0.14589999999998299</v>
      </c>
      <c r="AD8362">
        <v>-0.1733121</v>
      </c>
      <c r="AE8362">
        <v>0.50845999999999902</v>
      </c>
      <c r="AF8362">
        <v>0.13277115269147199</v>
      </c>
      <c r="AG8362">
        <v>-0.1733121</v>
      </c>
      <c r="AH8362">
        <v>0.45887805248289598</v>
      </c>
      <c r="AI8362">
        <v>109.941042543992</v>
      </c>
      <c r="AJ8362">
        <v>73.862800586365594</v>
      </c>
      <c r="AK8362">
        <v>0.50816762002702198</v>
      </c>
      <c r="AL8362">
        <v>86.829545120957306</v>
      </c>
      <c r="AM8362">
        <v>91.268465642989597</v>
      </c>
      <c r="AN8362">
        <v>0.99999996400524105</v>
      </c>
    </row>
    <row r="8363" spans="1:40" x14ac:dyDescent="0.25">
      <c r="A8363" t="str">
        <f>"20190312160531186"</f>
        <v>20190312160531186</v>
      </c>
      <c r="B8363" t="str">
        <f>"1552377931183552"</f>
        <v>1552377931183552</v>
      </c>
      <c r="C8363" t="s">
        <v>40</v>
      </c>
      <c r="D8363">
        <v>5.5766749999999998</v>
      </c>
      <c r="E8363">
        <v>0.58188769999999901</v>
      </c>
      <c r="F8363" t="s">
        <v>49</v>
      </c>
      <c r="G8363">
        <v>-187.27619999999999</v>
      </c>
      <c r="H8363">
        <v>0.93984559999999995</v>
      </c>
      <c r="I8363">
        <v>23.117280000000001</v>
      </c>
      <c r="J8363">
        <v>-187.41900000000001</v>
      </c>
      <c r="K8363">
        <v>1.1102650000000001</v>
      </c>
      <c r="L8363">
        <v>22.62555</v>
      </c>
      <c r="M8363">
        <v>-2.2101529999999999E-3</v>
      </c>
      <c r="N8363">
        <v>0</v>
      </c>
      <c r="O8363">
        <v>0.99991560000000002</v>
      </c>
      <c r="P8363">
        <v>-2.4108560000000001E-2</v>
      </c>
      <c r="Q8363">
        <v>4.2549740000000003E-2</v>
      </c>
      <c r="R8363">
        <v>0.99880340000000001</v>
      </c>
      <c r="S8363">
        <v>0.61360170000000003</v>
      </c>
      <c r="T8363">
        <v>-0.73521230000000004</v>
      </c>
      <c r="U8363">
        <v>3.0499269999999998</v>
      </c>
      <c r="V8363">
        <v>-2.1898500000000001E-2</v>
      </c>
      <c r="W8363">
        <v>5.5332819999999998E-2</v>
      </c>
      <c r="X8363">
        <v>0.9982278</v>
      </c>
      <c r="Y8363">
        <v>0.1941148</v>
      </c>
      <c r="Z8363">
        <v>-0.22993769999999999</v>
      </c>
      <c r="AA8363">
        <v>0.95364990000000005</v>
      </c>
      <c r="AB8363">
        <v>22</v>
      </c>
      <c r="AC8363">
        <v>0.14280000000002199</v>
      </c>
      <c r="AD8363">
        <v>-0.1704194</v>
      </c>
      <c r="AE8363">
        <v>0.491729999999996</v>
      </c>
      <c r="AF8363">
        <v>0.12953767084523099</v>
      </c>
      <c r="AG8363">
        <v>-0.1704194</v>
      </c>
      <c r="AH8363">
        <v>0.442407727003787</v>
      </c>
      <c r="AI8363">
        <v>110.288727180197</v>
      </c>
      <c r="AJ8363">
        <v>73.679887131464298</v>
      </c>
      <c r="AK8363">
        <v>0.49147469617165901</v>
      </c>
      <c r="AL8363">
        <v>86.828042940663593</v>
      </c>
      <c r="AM8363">
        <v>91.256717567805197</v>
      </c>
      <c r="AN8363">
        <v>1.0000000029821201</v>
      </c>
    </row>
    <row r="8364" spans="1:40" x14ac:dyDescent="0.25">
      <c r="A8364" t="str">
        <f>"20190312160531208"</f>
        <v>20190312160531208</v>
      </c>
      <c r="B8364" t="str">
        <f>"1552377931203071"</f>
        <v>1552377931203071</v>
      </c>
      <c r="C8364" t="s">
        <v>40</v>
      </c>
      <c r="D8364">
        <v>5.6358699999999997</v>
      </c>
      <c r="E8364">
        <v>0.58174989999999904</v>
      </c>
      <c r="F8364" t="s">
        <v>49</v>
      </c>
      <c r="G8364">
        <v>-187.2801</v>
      </c>
      <c r="H8364">
        <v>0.94389820000000002</v>
      </c>
      <c r="I8364">
        <v>23.316030000000001</v>
      </c>
      <c r="J8364">
        <v>-187.4195</v>
      </c>
      <c r="K8364">
        <v>1.1102719999999999</v>
      </c>
      <c r="L8364">
        <v>22.841740000000001</v>
      </c>
      <c r="M8364">
        <v>-2.2102580000000001E-3</v>
      </c>
      <c r="N8364">
        <v>0</v>
      </c>
      <c r="O8364">
        <v>0.99991450000000004</v>
      </c>
      <c r="P8364">
        <v>-2.4135170000000001E-2</v>
      </c>
      <c r="Q8364">
        <v>4.2305509999999998E-2</v>
      </c>
      <c r="R8364">
        <v>0.99881319999999996</v>
      </c>
      <c r="S8364">
        <v>0.61286929999999995</v>
      </c>
      <c r="T8364">
        <v>-0.73479469999999902</v>
      </c>
      <c r="U8364">
        <v>3.0496829999999999</v>
      </c>
      <c r="V8364">
        <v>-2.1925340000000001E-2</v>
      </c>
      <c r="W8364">
        <v>5.5180949999999999E-2</v>
      </c>
      <c r="X8364">
        <v>0.9982356</v>
      </c>
      <c r="Y8364">
        <v>0.193914</v>
      </c>
      <c r="Z8364">
        <v>-0.22984080000000001</v>
      </c>
      <c r="AA8364">
        <v>0.95371410000000001</v>
      </c>
      <c r="AB8364">
        <v>22</v>
      </c>
      <c r="AC8364">
        <v>0.139399999999994</v>
      </c>
      <c r="AD8364">
        <v>-0.16637379999999899</v>
      </c>
      <c r="AE8364">
        <v>0.47428999999999899</v>
      </c>
      <c r="AF8364">
        <v>0.126158612188946</v>
      </c>
      <c r="AG8364">
        <v>-0.16637379999999899</v>
      </c>
      <c r="AH8364">
        <v>0.425757054881018</v>
      </c>
      <c r="AI8364">
        <v>110.53942382768101</v>
      </c>
      <c r="AJ8364">
        <v>73.494602688064106</v>
      </c>
      <c r="AK8364">
        <v>0.47419964839383799</v>
      </c>
      <c r="AL8364">
        <v>86.836757709901505</v>
      </c>
      <c r="AM8364">
        <v>91.258247546155701</v>
      </c>
      <c r="AN8364">
        <v>0.99999998544218804</v>
      </c>
    </row>
    <row r="8365" spans="1:40" x14ac:dyDescent="0.25">
      <c r="A8365" t="str">
        <f>"20190312160531230"</f>
        <v>20190312160531230</v>
      </c>
      <c r="B8365" t="str">
        <f>"1552377931223567"</f>
        <v>1552377931223567</v>
      </c>
      <c r="C8365" t="s">
        <v>40</v>
      </c>
      <c r="D8365">
        <v>5.6582330000000001</v>
      </c>
      <c r="E8365">
        <v>0.58167709999999995</v>
      </c>
      <c r="F8365" t="s">
        <v>49</v>
      </c>
      <c r="G8365">
        <v>-187.2483</v>
      </c>
      <c r="H8365">
        <v>0.9047366</v>
      </c>
      <c r="I8365">
        <v>23.693580000000001</v>
      </c>
      <c r="J8365">
        <v>-187.42</v>
      </c>
      <c r="K8365">
        <v>1.110282</v>
      </c>
      <c r="L8365">
        <v>23.059719999999999</v>
      </c>
      <c r="M8365">
        <v>-2.210325E-3</v>
      </c>
      <c r="N8365">
        <v>0</v>
      </c>
      <c r="O8365">
        <v>0.9999133</v>
      </c>
      <c r="P8365">
        <v>-2.4267730000000001E-2</v>
      </c>
      <c r="Q8365">
        <v>4.1640040000000003E-2</v>
      </c>
      <c r="R8365">
        <v>0.99883789999999995</v>
      </c>
      <c r="S8365">
        <v>0.61225889999999905</v>
      </c>
      <c r="T8365">
        <v>-0.73578920000000003</v>
      </c>
      <c r="U8365">
        <v>3.0495299999999999</v>
      </c>
      <c r="V8365">
        <v>-2.205789E-2</v>
      </c>
      <c r="W8365">
        <v>5.4605800000000003E-2</v>
      </c>
      <c r="X8365">
        <v>0.99826429999999999</v>
      </c>
      <c r="Y8365">
        <v>0.19372519999999999</v>
      </c>
      <c r="Z8365">
        <v>-0.23015440000000001</v>
      </c>
      <c r="AA8365">
        <v>0.95367679999999999</v>
      </c>
      <c r="AB8365">
        <v>22</v>
      </c>
      <c r="AC8365">
        <v>0.171699999999987</v>
      </c>
      <c r="AD8365">
        <v>-0.20554539999999899</v>
      </c>
      <c r="AE8365">
        <v>0.63385999999999498</v>
      </c>
      <c r="AF8365">
        <v>0.15765577334161199</v>
      </c>
      <c r="AG8365">
        <v>-0.20554539999999899</v>
      </c>
      <c r="AH8365">
        <v>0.57695657280955503</v>
      </c>
      <c r="AI8365">
        <v>108.96573628265701</v>
      </c>
      <c r="AJ8365">
        <v>74.716787560586994</v>
      </c>
      <c r="AK8365">
        <v>0.632442203871033</v>
      </c>
      <c r="AL8365">
        <v>86.869761117833093</v>
      </c>
      <c r="AM8365">
        <v>91.265815453280297</v>
      </c>
      <c r="AN8365">
        <v>0.99999997827969</v>
      </c>
    </row>
    <row r="8366" spans="1:40" x14ac:dyDescent="0.25">
      <c r="A8366" t="str">
        <f>"20190312160531253"</f>
        <v>20190312160531253</v>
      </c>
      <c r="B8366" t="str">
        <f>"1552377931243087"</f>
        <v>1552377931243087</v>
      </c>
      <c r="C8366" t="s">
        <v>40</v>
      </c>
      <c r="D8366">
        <v>5.4754069999999997</v>
      </c>
      <c r="E8366">
        <v>0.58151989999999998</v>
      </c>
      <c r="F8366" t="s">
        <v>49</v>
      </c>
      <c r="G8366">
        <v>-187.2534</v>
      </c>
      <c r="H8366">
        <v>0.90903259999999997</v>
      </c>
      <c r="I8366">
        <v>23.89134</v>
      </c>
      <c r="J8366">
        <v>-187.4205</v>
      </c>
      <c r="K8366">
        <v>1.110287</v>
      </c>
      <c r="L8366">
        <v>23.282499999999999</v>
      </c>
      <c r="M8366">
        <v>-2.210362E-3</v>
      </c>
      <c r="N8366">
        <v>0</v>
      </c>
      <c r="O8366">
        <v>0.99991220000000003</v>
      </c>
      <c r="P8366">
        <v>-2.443178E-2</v>
      </c>
      <c r="Q8366">
        <v>4.1200019999999997E-2</v>
      </c>
      <c r="R8366">
        <v>0.99885219999999997</v>
      </c>
      <c r="S8366">
        <v>0.61058040000000002</v>
      </c>
      <c r="T8366">
        <v>-0.7378654</v>
      </c>
      <c r="U8366">
        <v>3.0490719999999998</v>
      </c>
      <c r="V8366">
        <v>-2.2221600000000001E-2</v>
      </c>
      <c r="W8366">
        <v>5.424822E-2</v>
      </c>
      <c r="X8366">
        <v>0.99828019999999995</v>
      </c>
      <c r="Y8366">
        <v>0.193217</v>
      </c>
      <c r="Z8366">
        <v>-0.23082420000000001</v>
      </c>
      <c r="AA8366">
        <v>0.95361799999999997</v>
      </c>
      <c r="AB8366">
        <v>22</v>
      </c>
      <c r="AC8366">
        <v>0.167100000000004</v>
      </c>
      <c r="AD8366">
        <v>-0.2012544</v>
      </c>
      <c r="AE8366">
        <v>0.60884000000000005</v>
      </c>
      <c r="AF8366">
        <v>0.152908187026187</v>
      </c>
      <c r="AG8366">
        <v>-0.2012544</v>
      </c>
      <c r="AH8366">
        <v>0.55234441793783196</v>
      </c>
      <c r="AI8366">
        <v>109.349053862481</v>
      </c>
      <c r="AJ8366">
        <v>74.526056646640399</v>
      </c>
      <c r="AK8366">
        <v>0.60742785843759095</v>
      </c>
      <c r="AL8366">
        <v>86.890279465348698</v>
      </c>
      <c r="AM8366">
        <v>91.275186730816102</v>
      </c>
      <c r="AN8366">
        <v>1.00000001329588</v>
      </c>
    </row>
    <row r="8367" spans="1:40" x14ac:dyDescent="0.25">
      <c r="A8367" t="str">
        <f>"20190312160531275"</f>
        <v>20190312160531275</v>
      </c>
      <c r="B8367" t="str">
        <f>"1552377931263584"</f>
        <v>1552377931263584</v>
      </c>
      <c r="C8367" t="s">
        <v>40</v>
      </c>
      <c r="D8367">
        <v>5.5023589999999896</v>
      </c>
      <c r="E8367">
        <v>0.58134439999999998</v>
      </c>
      <c r="F8367" t="s">
        <v>49</v>
      </c>
      <c r="G8367">
        <v>-187.2594</v>
      </c>
      <c r="H8367">
        <v>0.91419099999999998</v>
      </c>
      <c r="I8367">
        <v>24.089179999999999</v>
      </c>
      <c r="J8367">
        <v>-187.42089999999999</v>
      </c>
      <c r="K8367">
        <v>1.110298</v>
      </c>
      <c r="L8367">
        <v>23.490970000000001</v>
      </c>
      <c r="M8367">
        <v>-2.210395E-3</v>
      </c>
      <c r="N8367">
        <v>0</v>
      </c>
      <c r="O8367">
        <v>0.99991129999999995</v>
      </c>
      <c r="P8367">
        <v>-2.4568010000000001E-2</v>
      </c>
      <c r="Q8367">
        <v>4.0748510000000002E-2</v>
      </c>
      <c r="R8367">
        <v>0.99886730000000001</v>
      </c>
      <c r="S8367">
        <v>0.60804749999999996</v>
      </c>
      <c r="T8367">
        <v>-0.74115359999999997</v>
      </c>
      <c r="U8367">
        <v>3.048889</v>
      </c>
      <c r="V8367">
        <v>-2.2357720000000001E-2</v>
      </c>
      <c r="W8367">
        <v>5.3863500000000002E-2</v>
      </c>
      <c r="X8367">
        <v>0.99829800000000002</v>
      </c>
      <c r="Y8367">
        <v>0.1924187</v>
      </c>
      <c r="Z8367">
        <v>-0.23184550000000001</v>
      </c>
      <c r="AA8367">
        <v>0.95353169999999998</v>
      </c>
      <c r="AB8367">
        <v>22</v>
      </c>
      <c r="AC8367">
        <v>0.16149999999998901</v>
      </c>
      <c r="AD8367">
        <v>-0.196107</v>
      </c>
      <c r="AE8367">
        <v>0.59820999999999802</v>
      </c>
      <c r="AF8367">
        <v>0.147997498750437</v>
      </c>
      <c r="AG8367">
        <v>-0.196107</v>
      </c>
      <c r="AH8367">
        <v>0.54341876994809801</v>
      </c>
      <c r="AI8367">
        <v>109.197822214407</v>
      </c>
      <c r="AJ8367">
        <v>74.765258378726998</v>
      </c>
      <c r="AK8367">
        <v>0.59637670529396902</v>
      </c>
      <c r="AL8367">
        <v>86.912354595600206</v>
      </c>
      <c r="AM8367">
        <v>91.282972506767194</v>
      </c>
      <c r="AN8367">
        <v>1.00000002053992</v>
      </c>
    </row>
    <row r="8368" spans="1:40" x14ac:dyDescent="0.25">
      <c r="A8368" t="str">
        <f>"20190312160531297"</f>
        <v>20190312160531297</v>
      </c>
      <c r="B8368" t="str">
        <f>"1552377931293662"</f>
        <v>1552377931293662</v>
      </c>
      <c r="C8368" t="s">
        <v>40</v>
      </c>
      <c r="D8368">
        <v>5.6584050000000001</v>
      </c>
      <c r="E8368">
        <v>0.58108219999999899</v>
      </c>
      <c r="F8368" t="s">
        <v>49</v>
      </c>
      <c r="G8368">
        <v>-187.2628</v>
      </c>
      <c r="H8368">
        <v>0.91665799999999997</v>
      </c>
      <c r="I8368">
        <v>24.285740000000001</v>
      </c>
      <c r="J8368">
        <v>-187.42140000000001</v>
      </c>
      <c r="K8368">
        <v>1.110312</v>
      </c>
      <c r="L8368">
        <v>23.713039999999999</v>
      </c>
      <c r="M8368">
        <v>-2.2104379999999999E-3</v>
      </c>
      <c r="N8368">
        <v>0</v>
      </c>
      <c r="O8368">
        <v>0.99991050000000004</v>
      </c>
      <c r="P8368">
        <v>-2.4847890000000001E-2</v>
      </c>
      <c r="Q8368">
        <v>4.1753369999999998E-2</v>
      </c>
      <c r="R8368">
        <v>0.99881889999999995</v>
      </c>
      <c r="S8368">
        <v>0.60606380000000004</v>
      </c>
      <c r="T8368">
        <v>-0.74276640000000005</v>
      </c>
      <c r="U8368">
        <v>3.0486149999999999</v>
      </c>
      <c r="V8368">
        <v>-2.2637259999999999E-2</v>
      </c>
      <c r="W8368">
        <v>5.4930519999999997E-2</v>
      </c>
      <c r="X8368">
        <v>0.99823360000000005</v>
      </c>
      <c r="Y8368">
        <v>0.19181400000000001</v>
      </c>
      <c r="Z8368">
        <v>-0.2323694</v>
      </c>
      <c r="AA8368">
        <v>0.95352599999999998</v>
      </c>
      <c r="AB8368">
        <v>22</v>
      </c>
      <c r="AC8368">
        <v>0.15860000000000599</v>
      </c>
      <c r="AD8368">
        <v>-0.19365399999999999</v>
      </c>
      <c r="AE8368">
        <v>0.57270000000000099</v>
      </c>
      <c r="AF8368">
        <v>0.14451840643130801</v>
      </c>
      <c r="AG8368">
        <v>-0.19365399999999999</v>
      </c>
      <c r="AH8368">
        <v>0.51740211240796097</v>
      </c>
      <c r="AI8368">
        <v>109.823399013336</v>
      </c>
      <c r="AJ8368">
        <v>74.394130126664507</v>
      </c>
      <c r="AK8368">
        <v>0.57104499598338598</v>
      </c>
      <c r="AL8368">
        <v>86.851128335214895</v>
      </c>
      <c r="AM8368">
        <v>91.299091906877393</v>
      </c>
      <c r="AN8368">
        <v>1.0000000638683599</v>
      </c>
    </row>
    <row r="8369" spans="1:40" x14ac:dyDescent="0.25">
      <c r="A8369" t="str">
        <f>"20190312160531320"</f>
        <v>20190312160531320</v>
      </c>
      <c r="B8369" t="str">
        <f>"1552377931313182"</f>
        <v>1552377931313182</v>
      </c>
      <c r="C8369" t="s">
        <v>40</v>
      </c>
      <c r="D8369">
        <v>5.5432439999999996</v>
      </c>
      <c r="E8369">
        <v>0.58091139999999997</v>
      </c>
      <c r="F8369" t="s">
        <v>49</v>
      </c>
      <c r="G8369">
        <v>-187.26849999999999</v>
      </c>
      <c r="H8369">
        <v>0.92333779999999999</v>
      </c>
      <c r="I8369">
        <v>24.483740000000001</v>
      </c>
      <c r="J8369">
        <v>-187.42189999999999</v>
      </c>
      <c r="K8369">
        <v>1.1103179999999999</v>
      </c>
      <c r="L8369">
        <v>23.930420000000002</v>
      </c>
      <c r="M8369">
        <v>-2.2104809999999998E-3</v>
      </c>
      <c r="N8369">
        <v>0</v>
      </c>
      <c r="O8369">
        <v>0.99990979999999996</v>
      </c>
      <c r="P8369">
        <v>-2.497564E-2</v>
      </c>
      <c r="Q8369">
        <v>4.1838470000000003E-2</v>
      </c>
      <c r="R8369">
        <v>0.99881220000000004</v>
      </c>
      <c r="S8369">
        <v>0.60430909999999904</v>
      </c>
      <c r="T8369">
        <v>-0.73981180000000002</v>
      </c>
      <c r="U8369">
        <v>3.0495000000000001</v>
      </c>
      <c r="V8369">
        <v>-2.27656E-2</v>
      </c>
      <c r="W8369">
        <v>5.5071439999999999E-2</v>
      </c>
      <c r="X8369">
        <v>0.99822279999999997</v>
      </c>
      <c r="Y8369">
        <v>0.19127549999999999</v>
      </c>
      <c r="Z8369">
        <v>-0.23145769999999999</v>
      </c>
      <c r="AA8369">
        <v>0.95385589999999998</v>
      </c>
      <c r="AB8369">
        <v>22</v>
      </c>
      <c r="AC8369">
        <v>0.15340000000000401</v>
      </c>
      <c r="AD8369">
        <v>-0.18698020000000001</v>
      </c>
      <c r="AE8369">
        <v>0.55331999999999903</v>
      </c>
      <c r="AF8369">
        <v>0.139798293374228</v>
      </c>
      <c r="AG8369">
        <v>-0.18698020000000001</v>
      </c>
      <c r="AH8369">
        <v>0.49996233864014999</v>
      </c>
      <c r="AI8369">
        <v>109.80766451229999</v>
      </c>
      <c r="AJ8369">
        <v>74.378070041539601</v>
      </c>
      <c r="AK8369">
        <v>0.551785735662779</v>
      </c>
      <c r="AL8369">
        <v>86.843041605602295</v>
      </c>
      <c r="AM8369">
        <v>91.306468581300393</v>
      </c>
      <c r="AN8369">
        <v>0.99999994724343499</v>
      </c>
    </row>
    <row r="8370" spans="1:40" x14ac:dyDescent="0.25">
      <c r="A8370" t="str">
        <f>"20190312160531342"</f>
        <v>20190312160531342</v>
      </c>
      <c r="B8370" t="str">
        <f>"1552377931333678"</f>
        <v>1552377931333678</v>
      </c>
      <c r="C8370" t="s">
        <v>40</v>
      </c>
      <c r="D8370">
        <v>5.537236</v>
      </c>
      <c r="E8370">
        <v>0.58078669999999899</v>
      </c>
      <c r="F8370" t="s">
        <v>49</v>
      </c>
      <c r="G8370">
        <v>-187.27350000000001</v>
      </c>
      <c r="H8370">
        <v>0.92801020000000001</v>
      </c>
      <c r="I8370">
        <v>24.68066</v>
      </c>
      <c r="J8370">
        <v>-187.42240000000001</v>
      </c>
      <c r="K8370">
        <v>1.11032</v>
      </c>
      <c r="L8370">
        <v>24.154209999999999</v>
      </c>
      <c r="M8370">
        <v>-2.2105250000000001E-3</v>
      </c>
      <c r="N8370">
        <v>0</v>
      </c>
      <c r="O8370">
        <v>0.9999091</v>
      </c>
      <c r="P8370">
        <v>-2.4683110000000001E-2</v>
      </c>
      <c r="Q8370">
        <v>4.1372329999999999E-2</v>
      </c>
      <c r="R8370">
        <v>0.99883880000000003</v>
      </c>
      <c r="S8370">
        <v>0.60273739999999998</v>
      </c>
      <c r="T8370">
        <v>-0.74106119999999898</v>
      </c>
      <c r="U8370">
        <v>3.0496829999999999</v>
      </c>
      <c r="V8370">
        <v>-2.2472900000000001E-2</v>
      </c>
      <c r="W8370">
        <v>5.4655790000000003E-2</v>
      </c>
      <c r="X8370">
        <v>0.99825229999999998</v>
      </c>
      <c r="Y8370">
        <v>0.190774</v>
      </c>
      <c r="Z8370">
        <v>-0.2318366</v>
      </c>
      <c r="AA8370">
        <v>0.9538643</v>
      </c>
      <c r="AB8370">
        <v>22</v>
      </c>
      <c r="AC8370">
        <v>0.14889999999999701</v>
      </c>
      <c r="AD8370">
        <v>-0.18230979999999999</v>
      </c>
      <c r="AE8370">
        <v>0.52644999999999997</v>
      </c>
      <c r="AF8370">
        <v>0.13506565340439899</v>
      </c>
      <c r="AG8370">
        <v>-0.18230979999999999</v>
      </c>
      <c r="AH8370">
        <v>0.47353749103036602</v>
      </c>
      <c r="AI8370">
        <v>110.316064490877</v>
      </c>
      <c r="AJ8370">
        <v>74.080422456359202</v>
      </c>
      <c r="AK8370">
        <v>0.52508794436449602</v>
      </c>
      <c r="AL8370">
        <v>86.866892593712194</v>
      </c>
      <c r="AM8370">
        <v>91.289638771770399</v>
      </c>
      <c r="AN8370">
        <v>0.99999997053511103</v>
      </c>
    </row>
    <row r="8371" spans="1:40" x14ac:dyDescent="0.25">
      <c r="A8371" t="str">
        <f>"20190312160531365"</f>
        <v>20190312160531365</v>
      </c>
      <c r="B8371" t="str">
        <f>"1552377931353198"</f>
        <v>1552377931353198</v>
      </c>
      <c r="C8371" t="s">
        <v>40</v>
      </c>
      <c r="D8371">
        <v>5.5864250000000002</v>
      </c>
      <c r="E8371">
        <v>0.58058969999999999</v>
      </c>
      <c r="F8371" t="s">
        <v>49</v>
      </c>
      <c r="G8371">
        <v>-187.27940000000001</v>
      </c>
      <c r="H8371">
        <v>0.93344990000000005</v>
      </c>
      <c r="I8371">
        <v>24.877610000000001</v>
      </c>
      <c r="J8371">
        <v>-187.4229</v>
      </c>
      <c r="K8371">
        <v>1.1103259999999999</v>
      </c>
      <c r="L8371">
        <v>24.379429999999999</v>
      </c>
      <c r="M8371">
        <v>-2.2105670000000001E-3</v>
      </c>
      <c r="N8371">
        <v>0</v>
      </c>
      <c r="O8371">
        <v>0.99990849999999998</v>
      </c>
      <c r="P8371">
        <v>-2.422026E-2</v>
      </c>
      <c r="Q8371">
        <v>4.088514E-2</v>
      </c>
      <c r="R8371">
        <v>0.99887029999999999</v>
      </c>
      <c r="S8371">
        <v>0.6018829</v>
      </c>
      <c r="T8371">
        <v>-0.745515699999999</v>
      </c>
      <c r="U8371">
        <v>3.0492249999999999</v>
      </c>
      <c r="V8371">
        <v>-2.2009810000000001E-2</v>
      </c>
      <c r="W8371">
        <v>5.4213459999999998E-2</v>
      </c>
      <c r="X8371">
        <v>0.99828680000000003</v>
      </c>
      <c r="Y8371">
        <v>0.19048100000000001</v>
      </c>
      <c r="Z8371">
        <v>-0.2331983</v>
      </c>
      <c r="AA8371">
        <v>0.95359090000000002</v>
      </c>
      <c r="AB8371">
        <v>22</v>
      </c>
      <c r="AC8371">
        <v>0.143499999999988</v>
      </c>
      <c r="AD8371">
        <v>-0.17687609999999901</v>
      </c>
      <c r="AE8371">
        <v>0.49818000000000101</v>
      </c>
      <c r="AF8371">
        <v>0.12952450934010801</v>
      </c>
      <c r="AG8371">
        <v>-0.17687609999999901</v>
      </c>
      <c r="AH8371">
        <v>0.44595312619683197</v>
      </c>
      <c r="AI8371">
        <v>110.851075976031</v>
      </c>
      <c r="AJ8371">
        <v>73.804366128298994</v>
      </c>
      <c r="AK8371">
        <v>0.496926497618846</v>
      </c>
      <c r="AL8371">
        <v>86.892274063078105</v>
      </c>
      <c r="AM8371">
        <v>91.263028767831898</v>
      </c>
      <c r="AN8371">
        <v>1.00000003301782</v>
      </c>
    </row>
    <row r="8372" spans="1:40" x14ac:dyDescent="0.25">
      <c r="A8372" t="str">
        <f>"20190312160531389"</f>
        <v>20190312160531389</v>
      </c>
      <c r="B8372" t="str">
        <f>"1552377931383223"</f>
        <v>1552377931383223</v>
      </c>
      <c r="C8372" t="s">
        <v>40</v>
      </c>
      <c r="D8372">
        <v>5.7340920000000004</v>
      </c>
      <c r="E8372">
        <v>0.58021309999999904</v>
      </c>
      <c r="F8372" t="s">
        <v>49</v>
      </c>
      <c r="G8372">
        <v>-187.28569999999999</v>
      </c>
      <c r="H8372">
        <v>0.93925670000000006</v>
      </c>
      <c r="I8372">
        <v>25.074770000000001</v>
      </c>
      <c r="J8372">
        <v>-187.42330000000001</v>
      </c>
      <c r="K8372">
        <v>1.1103259999999999</v>
      </c>
      <c r="L8372">
        <v>24.600519999999999</v>
      </c>
      <c r="M8372">
        <v>-2.2105979999999998E-3</v>
      </c>
      <c r="N8372">
        <v>0</v>
      </c>
      <c r="O8372">
        <v>0.99990800000000002</v>
      </c>
      <c r="P8372">
        <v>-2.389894E-2</v>
      </c>
      <c r="Q8372">
        <v>4.1672880000000002E-2</v>
      </c>
      <c r="R8372">
        <v>0.99884550000000005</v>
      </c>
      <c r="S8372">
        <v>0.60104369999999996</v>
      </c>
      <c r="T8372">
        <v>-0.750032699999999</v>
      </c>
      <c r="U8372">
        <v>3.0486759999999999</v>
      </c>
      <c r="V8372">
        <v>-2.1688470000000001E-2</v>
      </c>
      <c r="W8372">
        <v>5.5037160000000002E-2</v>
      </c>
      <c r="X8372">
        <v>0.99824880000000005</v>
      </c>
      <c r="Y8372">
        <v>0.19019649999999999</v>
      </c>
      <c r="Z8372">
        <v>-0.23458380000000001</v>
      </c>
      <c r="AA8372">
        <v>0.95330780000000004</v>
      </c>
      <c r="AB8372">
        <v>22</v>
      </c>
      <c r="AC8372">
        <v>0.13760000000002001</v>
      </c>
      <c r="AD8372">
        <v>-0.17106929999999901</v>
      </c>
      <c r="AE8372">
        <v>0.474250000000001</v>
      </c>
      <c r="AF8372">
        <v>0.12379157743835301</v>
      </c>
      <c r="AG8372">
        <v>-0.17106929999999901</v>
      </c>
      <c r="AH8372">
        <v>0.423160070516308</v>
      </c>
      <c r="AI8372">
        <v>111.20646371921799</v>
      </c>
      <c r="AJ8372">
        <v>73.693649603899203</v>
      </c>
      <c r="AK8372">
        <v>0.47292018917205603</v>
      </c>
      <c r="AL8372">
        <v>86.845009084616393</v>
      </c>
      <c r="AM8372">
        <v>91.244641938710302</v>
      </c>
      <c r="AN8372">
        <v>1.0000000727066201</v>
      </c>
    </row>
    <row r="8373" spans="1:40" x14ac:dyDescent="0.25">
      <c r="A8373" t="str">
        <f>"20190312160531410"</f>
        <v>20190312160531410</v>
      </c>
      <c r="B8373" t="str">
        <f>"1552377931403719"</f>
        <v>1552377931403719</v>
      </c>
      <c r="C8373" t="s">
        <v>40</v>
      </c>
      <c r="D8373">
        <v>5.6981599999999997</v>
      </c>
      <c r="E8373">
        <v>0.56166830000000001</v>
      </c>
      <c r="F8373" t="s">
        <v>49</v>
      </c>
      <c r="G8373">
        <v>-187.25659999999999</v>
      </c>
      <c r="H8373">
        <v>0.90192950000000005</v>
      </c>
      <c r="I8373">
        <v>25.44847</v>
      </c>
      <c r="J8373">
        <v>-187.4238</v>
      </c>
      <c r="K8373">
        <v>1.1103270000000001</v>
      </c>
      <c r="L8373">
        <v>24.81061</v>
      </c>
      <c r="M8373">
        <v>-2.210638E-3</v>
      </c>
      <c r="N8373">
        <v>0</v>
      </c>
      <c r="O8373">
        <v>0.99990760000000001</v>
      </c>
      <c r="P8373">
        <v>-2.3662349999999999E-2</v>
      </c>
      <c r="Q8373">
        <v>4.1813999999999997E-2</v>
      </c>
      <c r="R8373">
        <v>0.99884519999999999</v>
      </c>
      <c r="S8373">
        <v>0.59938049999999998</v>
      </c>
      <c r="T8373">
        <v>-0.74936069999999999</v>
      </c>
      <c r="U8373">
        <v>3.0490719999999998</v>
      </c>
      <c r="V8373">
        <v>-2.145217E-2</v>
      </c>
      <c r="W8373">
        <v>5.5208559999999997E-2</v>
      </c>
      <c r="X8373">
        <v>0.99824429999999997</v>
      </c>
      <c r="Y8373">
        <v>0.18968180000000001</v>
      </c>
      <c r="Z8373">
        <v>-0.23438039999999999</v>
      </c>
      <c r="AA8373">
        <v>0.95346030000000004</v>
      </c>
      <c r="AB8373">
        <v>22</v>
      </c>
      <c r="AC8373">
        <v>0.16720000000000801</v>
      </c>
      <c r="AD8373">
        <v>-0.20839749999999899</v>
      </c>
      <c r="AE8373">
        <v>0.63785999999999898</v>
      </c>
      <c r="AF8373">
        <v>0.15329849235419199</v>
      </c>
      <c r="AG8373">
        <v>-0.20839749999999899</v>
      </c>
      <c r="AH8373">
        <v>0.57959900739787595</v>
      </c>
      <c r="AI8373">
        <v>109.167545163841</v>
      </c>
      <c r="AJ8373">
        <v>75.185047431493302</v>
      </c>
      <c r="AK8373">
        <v>0.634716436797505</v>
      </c>
      <c r="AL8373">
        <v>86.835173187622004</v>
      </c>
      <c r="AM8373">
        <v>91.231091072578494</v>
      </c>
      <c r="AN8373">
        <v>0.99999993158873302</v>
      </c>
    </row>
    <row r="8374" spans="1:40" x14ac:dyDescent="0.25">
      <c r="A8374" t="str">
        <f>"20190312160531432"</f>
        <v>20190312160531432</v>
      </c>
      <c r="B8374" t="str">
        <f>"1552377931423244"</f>
        <v>1552377931423244</v>
      </c>
      <c r="C8374" t="s">
        <v>40</v>
      </c>
      <c r="D8374">
        <v>5.7724609999999998</v>
      </c>
      <c r="E8374">
        <v>0.56181409999999998</v>
      </c>
      <c r="F8374" t="s">
        <v>49</v>
      </c>
      <c r="G8374">
        <v>-187.2987</v>
      </c>
      <c r="H8374">
        <v>0.94937709999999997</v>
      </c>
      <c r="I8374">
        <v>25.6615</v>
      </c>
      <c r="J8374">
        <v>-187.42429999999999</v>
      </c>
      <c r="K8374">
        <v>1.110328</v>
      </c>
      <c r="L8374">
        <v>25.025120000000001</v>
      </c>
      <c r="M8374">
        <v>-2.2106819999999998E-3</v>
      </c>
      <c r="N8374">
        <v>0</v>
      </c>
      <c r="O8374">
        <v>0.99990730000000005</v>
      </c>
      <c r="P8374">
        <v>-2.348509E-2</v>
      </c>
      <c r="Q8374">
        <v>4.1388420000000002E-2</v>
      </c>
      <c r="R8374">
        <v>0.99886710000000001</v>
      </c>
      <c r="S8374">
        <v>0.44607540000000001</v>
      </c>
      <c r="T8374">
        <v>-0.57466470000000003</v>
      </c>
      <c r="U8374">
        <v>3.0380859999999998</v>
      </c>
      <c r="V8374">
        <v>-2.1274129999999999E-2</v>
      </c>
      <c r="W8374">
        <v>5.4809579999999997E-2</v>
      </c>
      <c r="X8374">
        <v>0.9982702</v>
      </c>
      <c r="Y8374">
        <v>0.14497889999999999</v>
      </c>
      <c r="Z8374">
        <v>-0.183923</v>
      </c>
      <c r="AA8374">
        <v>0.97219</v>
      </c>
      <c r="AB8374">
        <v>22</v>
      </c>
      <c r="AC8374">
        <v>0.125599999999991</v>
      </c>
      <c r="AD8374">
        <v>-0.16095089999999901</v>
      </c>
      <c r="AE8374">
        <v>0.63637999999999895</v>
      </c>
      <c r="AF8374">
        <v>0.119640578153016</v>
      </c>
      <c r="AG8374">
        <v>-0.16095089999999901</v>
      </c>
      <c r="AH8374">
        <v>0.59920846782843895</v>
      </c>
      <c r="AI8374">
        <v>104.75689391176699</v>
      </c>
      <c r="AJ8374">
        <v>78.708559561669702</v>
      </c>
      <c r="AK8374">
        <v>0.63187803258928299</v>
      </c>
      <c r="AL8374">
        <v>86.858068051721801</v>
      </c>
      <c r="AM8374">
        <v>91.220845202826695</v>
      </c>
      <c r="AN8374">
        <v>1.00000003543753</v>
      </c>
    </row>
    <row r="8375" spans="1:40" x14ac:dyDescent="0.25">
      <c r="A8375" t="str">
        <f>"20190312160531455"</f>
        <v>20190312160531455</v>
      </c>
      <c r="B8375" t="str">
        <f>"1552377931443735"</f>
        <v>1552377931443735</v>
      </c>
      <c r="C8375" t="s">
        <v>40</v>
      </c>
      <c r="D8375">
        <v>5.5750769999999896</v>
      </c>
      <c r="E8375">
        <v>0.56140089999999998</v>
      </c>
      <c r="F8375" t="s">
        <v>49</v>
      </c>
      <c r="G8375">
        <v>-187.30160000000001</v>
      </c>
      <c r="H8375">
        <v>0.9532368</v>
      </c>
      <c r="I8375">
        <v>25.8569</v>
      </c>
      <c r="J8375">
        <v>-187.4248</v>
      </c>
      <c r="K8375">
        <v>1.110336</v>
      </c>
      <c r="L8375">
        <v>25.24945</v>
      </c>
      <c r="M8375">
        <v>-2.2107229999999999E-3</v>
      </c>
      <c r="N8375">
        <v>0</v>
      </c>
      <c r="O8375">
        <v>0.99990699999999999</v>
      </c>
      <c r="P8375">
        <v>-2.4020529999999998E-2</v>
      </c>
      <c r="Q8375">
        <v>4.1650449999999999E-2</v>
      </c>
      <c r="R8375">
        <v>0.99884340000000005</v>
      </c>
      <c r="S8375">
        <v>0.44778440000000003</v>
      </c>
      <c r="T8375">
        <v>-0.57370750000000004</v>
      </c>
      <c r="U8375">
        <v>3.0377200000000002</v>
      </c>
      <c r="V8375">
        <v>-2.1809780000000001E-2</v>
      </c>
      <c r="W8375">
        <v>5.5095249999999998E-2</v>
      </c>
      <c r="X8375">
        <v>0.99824290000000004</v>
      </c>
      <c r="Y8375">
        <v>0.145539</v>
      </c>
      <c r="Z8375">
        <v>-0.1836334</v>
      </c>
      <c r="AA8375">
        <v>0.9721611</v>
      </c>
      <c r="AB8375">
        <v>22</v>
      </c>
      <c r="AC8375">
        <v>0.12319999999999701</v>
      </c>
      <c r="AD8375">
        <v>-0.15709919999999999</v>
      </c>
      <c r="AE8375">
        <v>0.60745000000000005</v>
      </c>
      <c r="AF8375">
        <v>0.11702479619481</v>
      </c>
      <c r="AG8375">
        <v>-0.15709919999999999</v>
      </c>
      <c r="AH8375">
        <v>0.57052439859958803</v>
      </c>
      <c r="AI8375">
        <v>105.095863621859</v>
      </c>
      <c r="AJ8375">
        <v>78.408388332151503</v>
      </c>
      <c r="AK8375">
        <v>0.60321890799484901</v>
      </c>
      <c r="AL8375">
        <v>86.841675549443707</v>
      </c>
      <c r="AM8375">
        <v>91.251608774419495</v>
      </c>
      <c r="AN8375">
        <v>1.0000000202383099</v>
      </c>
    </row>
    <row r="8376" spans="1:40" x14ac:dyDescent="0.25">
      <c r="A8376" t="str">
        <f>"20190312160531476"</f>
        <v>20190312160531476</v>
      </c>
      <c r="B8376" t="str">
        <f>"1552377931473015"</f>
        <v>1552377931473015</v>
      </c>
      <c r="C8376" t="s">
        <v>40</v>
      </c>
      <c r="D8376">
        <v>5.5492670000000004</v>
      </c>
      <c r="E8376">
        <v>0.5623686</v>
      </c>
      <c r="F8376" t="s">
        <v>49</v>
      </c>
      <c r="G8376">
        <v>-187.3073</v>
      </c>
      <c r="H8376">
        <v>0.95879009999999998</v>
      </c>
      <c r="I8376">
        <v>26.05275</v>
      </c>
      <c r="J8376">
        <v>-187.42519999999999</v>
      </c>
      <c r="K8376">
        <v>1.1103459999999901</v>
      </c>
      <c r="L8376">
        <v>25.45224</v>
      </c>
      <c r="M8376">
        <v>-2.2107630000000001E-3</v>
      </c>
      <c r="N8376">
        <v>0</v>
      </c>
      <c r="O8376">
        <v>0.99990670000000004</v>
      </c>
      <c r="P8376">
        <v>-2.4492949999999999E-2</v>
      </c>
      <c r="Q8376">
        <v>4.1183490000000003E-2</v>
      </c>
      <c r="R8376">
        <v>0.99885139999999994</v>
      </c>
      <c r="S8376">
        <v>0.4437103</v>
      </c>
      <c r="T8376">
        <v>-0.57313359999999902</v>
      </c>
      <c r="U8376">
        <v>3.0380250000000002</v>
      </c>
      <c r="V8376">
        <v>-2.2282039999999999E-2</v>
      </c>
      <c r="W8376">
        <v>5.4647229999999998E-2</v>
      </c>
      <c r="X8376">
        <v>0.99825710000000001</v>
      </c>
      <c r="Y8376">
        <v>0.14425299999999999</v>
      </c>
      <c r="Z8376">
        <v>-0.18347289999999999</v>
      </c>
      <c r="AA8376">
        <v>0.972383</v>
      </c>
      <c r="AB8376">
        <v>22</v>
      </c>
      <c r="AC8376">
        <v>0.117899999999991</v>
      </c>
      <c r="AD8376">
        <v>-0.15155589999999899</v>
      </c>
      <c r="AE8376">
        <v>0.60050999999999899</v>
      </c>
      <c r="AF8376">
        <v>0.112337650998159</v>
      </c>
      <c r="AG8376">
        <v>-0.15155589999999899</v>
      </c>
      <c r="AH8376">
        <v>0.56556147769431098</v>
      </c>
      <c r="AI8376">
        <v>104.72649248644299</v>
      </c>
      <c r="AJ8376">
        <v>78.765546518570702</v>
      </c>
      <c r="AK8376">
        <v>0.596195206042758</v>
      </c>
      <c r="AL8376">
        <v>86.867383945379899</v>
      </c>
      <c r="AM8376">
        <v>91.278683509552494</v>
      </c>
      <c r="AN8376">
        <v>1.00000002337682</v>
      </c>
    </row>
    <row r="8377" spans="1:40" x14ac:dyDescent="0.25">
      <c r="A8377" t="str">
        <f>"20190312160531500"</f>
        <v>20190312160531500</v>
      </c>
      <c r="B8377" t="str">
        <f>"1552377931493511"</f>
        <v>1552377931493511</v>
      </c>
      <c r="C8377" t="s">
        <v>40</v>
      </c>
      <c r="D8377">
        <v>5.679824</v>
      </c>
      <c r="E8377">
        <v>0.56273289999999998</v>
      </c>
      <c r="F8377" t="s">
        <v>49</v>
      </c>
      <c r="G8377">
        <v>-187.30770000000001</v>
      </c>
      <c r="H8377">
        <v>0.9597099</v>
      </c>
      <c r="I8377">
        <v>26.246320000000001</v>
      </c>
      <c r="J8377">
        <v>-187.42570000000001</v>
      </c>
      <c r="K8377">
        <v>1.110352</v>
      </c>
      <c r="L8377">
        <v>25.675689999999999</v>
      </c>
      <c r="M8377">
        <v>-2.2108090000000002E-3</v>
      </c>
      <c r="N8377">
        <v>0</v>
      </c>
      <c r="O8377">
        <v>0.99990639999999997</v>
      </c>
      <c r="P8377">
        <v>-2.4685660000000002E-2</v>
      </c>
      <c r="Q8377">
        <v>4.0294080000000003E-2</v>
      </c>
      <c r="R8377">
        <v>0.99888290000000002</v>
      </c>
      <c r="S8377">
        <v>0.44926450000000001</v>
      </c>
      <c r="T8377">
        <v>-0.57635380000000003</v>
      </c>
      <c r="U8377">
        <v>3.0382389999999999</v>
      </c>
      <c r="V8377">
        <v>-2.2474930000000001E-2</v>
      </c>
      <c r="W8377">
        <v>5.3775410000000003E-2</v>
      </c>
      <c r="X8377">
        <v>0.99830010000000002</v>
      </c>
      <c r="Y8377">
        <v>0.14595739999999999</v>
      </c>
      <c r="Z8377">
        <v>-0.1844093</v>
      </c>
      <c r="AA8377">
        <v>0.97195149999999997</v>
      </c>
      <c r="AB8377">
        <v>22</v>
      </c>
      <c r="AC8377">
        <v>0.117999999999994</v>
      </c>
      <c r="AD8377">
        <v>-0.1506421</v>
      </c>
      <c r="AE8377">
        <v>0.57063000000000097</v>
      </c>
      <c r="AF8377">
        <v>0.111789991020064</v>
      </c>
      <c r="AG8377">
        <v>-0.1506421</v>
      </c>
      <c r="AH8377">
        <v>0.534635776052933</v>
      </c>
      <c r="AI8377">
        <v>105.41891995482401</v>
      </c>
      <c r="AJ8377">
        <v>78.189859260487594</v>
      </c>
      <c r="AK8377">
        <v>0.56659108484020304</v>
      </c>
      <c r="AL8377">
        <v>86.917409053509004</v>
      </c>
      <c r="AM8377">
        <v>91.289693492390199</v>
      </c>
      <c r="AN8377">
        <v>1.0000000034295899</v>
      </c>
    </row>
    <row r="8378" spans="1:40" x14ac:dyDescent="0.25">
      <c r="A8378" t="str">
        <f>"20190312160531520"</f>
        <v>20190312160531520</v>
      </c>
      <c r="B8378" t="str">
        <f>"1552377931513031"</f>
        <v>1552377931513031</v>
      </c>
      <c r="C8378" t="s">
        <v>40</v>
      </c>
      <c r="D8378">
        <v>5.5298579999999999</v>
      </c>
      <c r="E8378">
        <v>0.56079489999999999</v>
      </c>
      <c r="F8378" t="s">
        <v>49</v>
      </c>
      <c r="G8378">
        <v>-187.31209999999999</v>
      </c>
      <c r="H8378">
        <v>0.96457020000000004</v>
      </c>
      <c r="I8378">
        <v>26.441400000000002</v>
      </c>
      <c r="J8378">
        <v>-187.42619999999999</v>
      </c>
      <c r="K8378">
        <v>1.1103499999999999</v>
      </c>
      <c r="L8378">
        <v>25.882390000000001</v>
      </c>
      <c r="M8378">
        <v>-2.2108520000000001E-3</v>
      </c>
      <c r="N8378">
        <v>0</v>
      </c>
      <c r="O8378">
        <v>0.99990619999999997</v>
      </c>
      <c r="P8378">
        <v>-2.46363E-2</v>
      </c>
      <c r="Q8378">
        <v>4.1300799999999999E-2</v>
      </c>
      <c r="R8378">
        <v>0.99884300000000004</v>
      </c>
      <c r="S8378">
        <v>0.45027159999999999</v>
      </c>
      <c r="T8378">
        <v>-0.57836279999999995</v>
      </c>
      <c r="U8378">
        <v>3.037811</v>
      </c>
      <c r="V8378">
        <v>-2.2425609999999999E-2</v>
      </c>
      <c r="W8378">
        <v>5.4794820000000001E-2</v>
      </c>
      <c r="X8378">
        <v>0.99824579999999996</v>
      </c>
      <c r="Y8378">
        <v>0.14627490000000001</v>
      </c>
      <c r="Z8378">
        <v>-0.18504609999999999</v>
      </c>
      <c r="AA8378">
        <v>0.9717827</v>
      </c>
      <c r="AB8378">
        <v>22</v>
      </c>
      <c r="AC8378">
        <v>0.114100000000007</v>
      </c>
      <c r="AD8378">
        <v>-0.14577979999999999</v>
      </c>
      <c r="AE8378">
        <v>0.55901000000000001</v>
      </c>
      <c r="AF8378">
        <v>0.108267241077232</v>
      </c>
      <c r="AG8378">
        <v>-0.14577979999999999</v>
      </c>
      <c r="AH8378">
        <v>0.52451233187517499</v>
      </c>
      <c r="AI8378">
        <v>105.22676762756601</v>
      </c>
      <c r="AJ8378">
        <v>78.337088709870699</v>
      </c>
      <c r="AK8378">
        <v>0.55505561150901706</v>
      </c>
      <c r="AL8378">
        <v>86.858914989154201</v>
      </c>
      <c r="AM8378">
        <v>91.286934259547095</v>
      </c>
      <c r="AN8378">
        <v>1.00000002875017</v>
      </c>
    </row>
    <row r="8379" spans="1:40" x14ac:dyDescent="0.25">
      <c r="A8379" t="str">
        <f>"20190312160531543"</f>
        <v>20190312160531543</v>
      </c>
      <c r="B8379" t="str">
        <f>"1552377931533526"</f>
        <v>1552377931533526</v>
      </c>
      <c r="C8379" t="s">
        <v>40</v>
      </c>
      <c r="D8379">
        <v>5.4662540000000002</v>
      </c>
      <c r="E8379">
        <v>0.55806290000000003</v>
      </c>
      <c r="F8379" t="s">
        <v>49</v>
      </c>
      <c r="G8379">
        <v>-187.31819999999999</v>
      </c>
      <c r="H8379">
        <v>0.96665380000000001</v>
      </c>
      <c r="I8379">
        <v>26.634879999999999</v>
      </c>
      <c r="J8379">
        <v>-187.42660000000001</v>
      </c>
      <c r="K8379">
        <v>1.110352</v>
      </c>
      <c r="L8379">
        <v>26.093959999999999</v>
      </c>
      <c r="M8379">
        <v>-2.2108980000000002E-3</v>
      </c>
      <c r="N8379">
        <v>0</v>
      </c>
      <c r="O8379">
        <v>0.99990610000000002</v>
      </c>
      <c r="P8379">
        <v>-2.4886459999999999E-2</v>
      </c>
      <c r="Q8379">
        <v>4.106216E-2</v>
      </c>
      <c r="R8379">
        <v>0.99884660000000003</v>
      </c>
      <c r="S8379">
        <v>0.43566890000000003</v>
      </c>
      <c r="T8379">
        <v>-0.58016909999999999</v>
      </c>
      <c r="U8379">
        <v>3.038208</v>
      </c>
      <c r="V8379">
        <v>-2.2675799999999999E-2</v>
      </c>
      <c r="W8379">
        <v>5.4568190000000003E-2</v>
      </c>
      <c r="X8379">
        <v>0.99825249999999999</v>
      </c>
      <c r="Y8379">
        <v>0.14166379999999901</v>
      </c>
      <c r="Z8379">
        <v>-0.18570510000000001</v>
      </c>
      <c r="AA8379">
        <v>0.97233990000000003</v>
      </c>
      <c r="AB8379">
        <v>22</v>
      </c>
      <c r="AC8379">
        <v>0.108400000000017</v>
      </c>
      <c r="AD8379">
        <v>-0.1436982</v>
      </c>
      <c r="AE8379">
        <v>0.54091999999999896</v>
      </c>
      <c r="AF8379">
        <v>0.102632371421366</v>
      </c>
      <c r="AG8379">
        <v>-0.1436982</v>
      </c>
      <c r="AH8379">
        <v>0.50632584403552905</v>
      </c>
      <c r="AI8379">
        <v>105.543859640991</v>
      </c>
      <c r="AJ8379">
        <v>78.541383044633804</v>
      </c>
      <c r="AK8379">
        <v>0.53623543027769405</v>
      </c>
      <c r="AL8379">
        <v>86.871919193002398</v>
      </c>
      <c r="AM8379">
        <v>91.301278225502699</v>
      </c>
      <c r="AN8379">
        <v>0.99999996651088197</v>
      </c>
    </row>
    <row r="8380" spans="1:40" x14ac:dyDescent="0.25">
      <c r="A8380" t="str">
        <f>"20190312160531568"</f>
        <v>20190312160531568</v>
      </c>
      <c r="B8380" t="str">
        <f>"1552377931563783"</f>
        <v>1552377931563783</v>
      </c>
      <c r="C8380" t="s">
        <v>40</v>
      </c>
      <c r="D8380">
        <v>5.5359160000000003</v>
      </c>
      <c r="E8380">
        <v>0.50258400000000003</v>
      </c>
      <c r="F8380" t="s">
        <v>49</v>
      </c>
      <c r="G8380">
        <v>-187.3262</v>
      </c>
      <c r="H8380">
        <v>0.97357819999999995</v>
      </c>
      <c r="I8380">
        <v>26.83043</v>
      </c>
      <c r="J8380">
        <v>-187.4272</v>
      </c>
      <c r="K8380">
        <v>1.110357</v>
      </c>
      <c r="L8380">
        <v>26.32977</v>
      </c>
      <c r="M8380">
        <v>-2.2109500000000002E-3</v>
      </c>
      <c r="N8380">
        <v>0</v>
      </c>
      <c r="O8380">
        <v>0.99990590000000001</v>
      </c>
      <c r="P8380">
        <v>-2.4550510000000001E-2</v>
      </c>
      <c r="Q8380">
        <v>4.040904E-2</v>
      </c>
      <c r="R8380">
        <v>0.99888160000000004</v>
      </c>
      <c r="S8380">
        <v>0.41313169999999999</v>
      </c>
      <c r="T8380">
        <v>-0.56401069999999998</v>
      </c>
      <c r="U8380">
        <v>3.0369570000000001</v>
      </c>
      <c r="V8380">
        <v>-2.2340039999999999E-2</v>
      </c>
      <c r="W8380">
        <v>5.3926830000000002E-2</v>
      </c>
      <c r="X8380">
        <v>0.99829489999999999</v>
      </c>
      <c r="Y8380">
        <v>0.1347585</v>
      </c>
      <c r="Z8380">
        <v>-0.18095430000000001</v>
      </c>
      <c r="AA8380">
        <v>0.97421539999999995</v>
      </c>
      <c r="AB8380">
        <v>22</v>
      </c>
      <c r="AC8380">
        <v>0.10099999999999899</v>
      </c>
      <c r="AD8380">
        <v>-0.13677880000000001</v>
      </c>
      <c r="AE8380">
        <v>0.50065999999999899</v>
      </c>
      <c r="AF8380">
        <v>9.5273939791745199E-2</v>
      </c>
      <c r="AG8380">
        <v>-0.13677880000000001</v>
      </c>
      <c r="AH8380">
        <v>0.46694698234076398</v>
      </c>
      <c r="AI8380">
        <v>106.01391443782801</v>
      </c>
      <c r="AJ8380">
        <v>78.4678958299653</v>
      </c>
      <c r="AK8380">
        <v>0.49580747074850201</v>
      </c>
      <c r="AL8380">
        <v>86.908720535329707</v>
      </c>
      <c r="AM8380">
        <v>91.281962278165807</v>
      </c>
      <c r="AN8380">
        <v>0.99999994387352797</v>
      </c>
    </row>
    <row r="8381" spans="1:40" x14ac:dyDescent="0.25">
      <c r="A8381" t="str">
        <f>"20190312160531590"</f>
        <v>20190312160531590</v>
      </c>
      <c r="B8381" t="str">
        <f>"1552377931583303"</f>
        <v>1552377931583303</v>
      </c>
      <c r="C8381" t="s">
        <v>40</v>
      </c>
      <c r="D8381">
        <v>5.4784560000000004</v>
      </c>
      <c r="E8381">
        <v>0.50289010000000001</v>
      </c>
      <c r="F8381" t="s">
        <v>41</v>
      </c>
      <c r="G8381">
        <v>-187.7328</v>
      </c>
      <c r="H8381" s="1">
        <v>-3.8496000000000004E-6</v>
      </c>
      <c r="I8381">
        <v>47.66883</v>
      </c>
      <c r="J8381">
        <v>-187.42760000000001</v>
      </c>
      <c r="K8381">
        <v>1.1103529999999999</v>
      </c>
      <c r="L8381">
        <v>26.536709999999999</v>
      </c>
      <c r="M8381">
        <v>-2.2109849999999999E-3</v>
      </c>
      <c r="N8381">
        <v>0</v>
      </c>
      <c r="O8381">
        <v>0.99990579999999996</v>
      </c>
      <c r="P8381">
        <v>-2.418843E-2</v>
      </c>
      <c r="Q8381">
        <v>4.0214260000000002E-2</v>
      </c>
      <c r="R8381">
        <v>0.99889830000000002</v>
      </c>
      <c r="S8381">
        <v>-4.3090820000000002E-2</v>
      </c>
      <c r="T8381">
        <v>-0.1565521</v>
      </c>
      <c r="U8381">
        <v>3.0086360000000001</v>
      </c>
      <c r="V8381">
        <v>-2.1977529999999999E-2</v>
      </c>
      <c r="W8381">
        <v>5.3740179999999999E-2</v>
      </c>
      <c r="X8381">
        <v>0.99831309999999995</v>
      </c>
      <c r="Y8381">
        <v>-1.209057E-2</v>
      </c>
      <c r="Z8381">
        <v>-5.1959190000000002E-2</v>
      </c>
      <c r="AA8381">
        <v>0.99857600000000002</v>
      </c>
      <c r="AB8381">
        <v>21</v>
      </c>
      <c r="AC8381">
        <v>-0.30519999999998498</v>
      </c>
      <c r="AD8381">
        <v>-1.1103568496</v>
      </c>
      <c r="AE8381">
        <v>21.13212</v>
      </c>
      <c r="AF8381">
        <v>-0.25776068212201603</v>
      </c>
      <c r="AG8381">
        <v>-1.1103568496</v>
      </c>
      <c r="AH8381">
        <v>21.074572103071599</v>
      </c>
      <c r="AI8381">
        <v>93.015731328495804</v>
      </c>
      <c r="AJ8381">
        <v>90.700743188037904</v>
      </c>
      <c r="AK8381">
        <v>21.1053766190103</v>
      </c>
      <c r="AL8381">
        <v>86.919430595546501</v>
      </c>
      <c r="AM8381">
        <v>91.261143770607902</v>
      </c>
      <c r="AN8381">
        <v>1.0000000322014699</v>
      </c>
    </row>
    <row r="8382" spans="1:40" x14ac:dyDescent="0.25">
      <c r="A8382" t="str">
        <f>"20190312160531610"</f>
        <v>20190312160531610</v>
      </c>
      <c r="B8382" t="str">
        <f>"1552377931603800"</f>
        <v>1552377931603800</v>
      </c>
      <c r="C8382" t="s">
        <v>40</v>
      </c>
      <c r="D8382">
        <v>5.4544139999999999</v>
      </c>
      <c r="E8382">
        <v>0.50332710000000003</v>
      </c>
      <c r="F8382" t="s">
        <v>41</v>
      </c>
      <c r="G8382">
        <v>-187.74549999999999</v>
      </c>
      <c r="H8382" s="1">
        <v>-8.3227769999999995E-7</v>
      </c>
      <c r="I8382">
        <v>50.331049999999998</v>
      </c>
      <c r="J8382">
        <v>-187.4281</v>
      </c>
      <c r="K8382">
        <v>1.1103620000000001</v>
      </c>
      <c r="L8382">
        <v>26.74417</v>
      </c>
      <c r="M8382">
        <v>-2.2110229999999999E-3</v>
      </c>
      <c r="N8382">
        <v>0</v>
      </c>
      <c r="O8382">
        <v>0.99990579999999996</v>
      </c>
      <c r="P8382">
        <v>-2.432869E-2</v>
      </c>
      <c r="Q8382">
        <v>4.0236880000000003E-2</v>
      </c>
      <c r="R8382">
        <v>0.9988939</v>
      </c>
      <c r="S8382">
        <v>-4.0191650000000002E-2</v>
      </c>
      <c r="T8382">
        <v>-0.14036689999999999</v>
      </c>
      <c r="U8382">
        <v>3.0079959999999999</v>
      </c>
      <c r="V8382">
        <v>-2.2117919999999999E-2</v>
      </c>
      <c r="W8382">
        <v>5.376922E-2</v>
      </c>
      <c r="X8382">
        <v>0.99830839999999998</v>
      </c>
      <c r="Y8382">
        <v>-1.113483E-2</v>
      </c>
      <c r="Z8382">
        <v>-4.6610190000000003E-2</v>
      </c>
      <c r="AA8382">
        <v>0.99885109999999999</v>
      </c>
      <c r="AB8382">
        <v>21</v>
      </c>
      <c r="AC8382">
        <v>-0.31739999999999202</v>
      </c>
      <c r="AD8382">
        <v>-1.1103628322776999</v>
      </c>
      <c r="AE8382">
        <v>23.586880000000001</v>
      </c>
      <c r="AF8382">
        <v>-0.26465690498010802</v>
      </c>
      <c r="AG8382">
        <v>-1.1103628322776999</v>
      </c>
      <c r="AH8382">
        <v>23.5353769348852</v>
      </c>
      <c r="AI8382">
        <v>92.700953241268095</v>
      </c>
      <c r="AJ8382">
        <v>90.644267759383197</v>
      </c>
      <c r="AK8382">
        <v>23.5630413224563</v>
      </c>
      <c r="AL8382">
        <v>86.917764206731604</v>
      </c>
      <c r="AM8382">
        <v>91.269203162372904</v>
      </c>
      <c r="AN8382">
        <v>0.999999996457547</v>
      </c>
    </row>
    <row r="8383" spans="1:40" x14ac:dyDescent="0.25">
      <c r="A8383" t="str">
        <f>"20190312160531633"</f>
        <v>20190312160531633</v>
      </c>
      <c r="B8383" t="str">
        <f>"1552377931623322"</f>
        <v>1552377931623322</v>
      </c>
      <c r="C8383" t="s">
        <v>40</v>
      </c>
      <c r="D8383">
        <v>5.5572109999999997</v>
      </c>
      <c r="E8383">
        <v>0.50369039999999998</v>
      </c>
      <c r="F8383" t="s">
        <v>41</v>
      </c>
      <c r="G8383">
        <v>-187.7379</v>
      </c>
      <c r="H8383" s="1">
        <v>-1.3091139999999901E-6</v>
      </c>
      <c r="I8383">
        <v>51.726320000000001</v>
      </c>
      <c r="J8383">
        <v>-187.42859999999999</v>
      </c>
      <c r="K8383">
        <v>1.110363</v>
      </c>
      <c r="L8383">
        <v>26.958220000000001</v>
      </c>
      <c r="M8383">
        <v>-2.2110699999999999E-3</v>
      </c>
      <c r="N8383">
        <v>0</v>
      </c>
      <c r="O8383">
        <v>0.99990570000000001</v>
      </c>
      <c r="P8383">
        <v>-2.4571030000000001E-2</v>
      </c>
      <c r="Q8383">
        <v>4.0308120000000003E-2</v>
      </c>
      <c r="R8383">
        <v>0.99888520000000003</v>
      </c>
      <c r="S8383">
        <v>-3.7307739999999999E-2</v>
      </c>
      <c r="T8383">
        <v>-0.1336861</v>
      </c>
      <c r="U8383">
        <v>3.0078130000000001</v>
      </c>
      <c r="V8383">
        <v>-2.2360129999999999E-2</v>
      </c>
      <c r="W8383">
        <v>5.3845879999999999E-2</v>
      </c>
      <c r="X8383">
        <v>0.99829889999999999</v>
      </c>
      <c r="Y8383">
        <v>-1.0179290000000001E-2</v>
      </c>
      <c r="Z8383">
        <v>-4.4399429999999997E-2</v>
      </c>
      <c r="AA8383">
        <v>0.99896200000000002</v>
      </c>
      <c r="AB8383">
        <v>21</v>
      </c>
      <c r="AC8383">
        <v>-0.30930000000000701</v>
      </c>
      <c r="AD8383">
        <v>-1.1103643091140001</v>
      </c>
      <c r="AE8383">
        <v>24.7681</v>
      </c>
      <c r="AF8383">
        <v>-0.25401976928555398</v>
      </c>
      <c r="AG8383">
        <v>-1.1103643091140001</v>
      </c>
      <c r="AH8383">
        <v>24.719051616380501</v>
      </c>
      <c r="AI8383">
        <v>92.571825975325297</v>
      </c>
      <c r="AJ8383">
        <v>90.588766455624395</v>
      </c>
      <c r="AK8383">
        <v>24.7452813230204</v>
      </c>
      <c r="AL8383">
        <v>86.913365625031702</v>
      </c>
      <c r="AM8383">
        <v>91.283109599283193</v>
      </c>
      <c r="AN8383">
        <v>1.0000000239739</v>
      </c>
    </row>
    <row r="8384" spans="1:40" x14ac:dyDescent="0.25">
      <c r="A8384" t="str">
        <f>"20190312160531655"</f>
        <v>20190312160531655</v>
      </c>
      <c r="B8384" t="str">
        <f>"1552377931643815"</f>
        <v>1552377931643815</v>
      </c>
      <c r="C8384" t="s">
        <v>40</v>
      </c>
      <c r="D8384">
        <v>5.4597360000000004</v>
      </c>
      <c r="E8384">
        <v>0.50406649999999997</v>
      </c>
      <c r="F8384" t="s">
        <v>41</v>
      </c>
      <c r="G8384">
        <v>-187.73429999999999</v>
      </c>
      <c r="H8384" s="1">
        <v>-1.8760450000000001E-6</v>
      </c>
      <c r="I8384">
        <v>53.069049999999997</v>
      </c>
      <c r="J8384">
        <v>-187.429</v>
      </c>
      <c r="K8384">
        <v>1.110365</v>
      </c>
      <c r="L8384">
        <v>27.168579999999999</v>
      </c>
      <c r="M8384">
        <v>-2.2111129999999998E-3</v>
      </c>
      <c r="N8384">
        <v>0</v>
      </c>
      <c r="O8384">
        <v>0.99990559999999995</v>
      </c>
      <c r="P8384">
        <v>-2.48706E-2</v>
      </c>
      <c r="Q8384">
        <v>4.0250840000000003E-2</v>
      </c>
      <c r="R8384">
        <v>0.99887999999999999</v>
      </c>
      <c r="S8384">
        <v>-3.5217289999999998E-2</v>
      </c>
      <c r="T8384">
        <v>-0.1278996</v>
      </c>
      <c r="U8384">
        <v>3.0076290000000001</v>
      </c>
      <c r="V8384">
        <v>-2.265961E-2</v>
      </c>
      <c r="W8384">
        <v>5.3793510000000003E-2</v>
      </c>
      <c r="X8384">
        <v>0.99829489999999999</v>
      </c>
      <c r="Y8384">
        <v>-9.4867489999999992E-3</v>
      </c>
      <c r="Z8384">
        <v>-4.2484099999999997E-2</v>
      </c>
      <c r="AA8384">
        <v>0.9990521</v>
      </c>
      <c r="AB8384">
        <v>21</v>
      </c>
      <c r="AC8384">
        <v>-0.30529999999998803</v>
      </c>
      <c r="AD8384">
        <v>-1.1103668760450001</v>
      </c>
      <c r="AE8384">
        <v>25.900469999999999</v>
      </c>
      <c r="AF8384">
        <v>-0.24757017932200601</v>
      </c>
      <c r="AG8384">
        <v>-1.1103668760450001</v>
      </c>
      <c r="AH8384">
        <v>25.853572565788401</v>
      </c>
      <c r="AI8384">
        <v>92.459132138123394</v>
      </c>
      <c r="AJ8384">
        <v>90.548639567324003</v>
      </c>
      <c r="AK8384">
        <v>25.878589992648202</v>
      </c>
      <c r="AL8384">
        <v>86.916370342564804</v>
      </c>
      <c r="AM8384">
        <v>91.300294251848797</v>
      </c>
      <c r="AN8384">
        <v>0.99999995350473903</v>
      </c>
    </row>
    <row r="8385" spans="1:40" x14ac:dyDescent="0.25">
      <c r="A8385" t="str">
        <f>"20190312160531677"</f>
        <v>20190312160531677</v>
      </c>
      <c r="B8385" t="str">
        <f>"1552377931673095"</f>
        <v>1552377931673095</v>
      </c>
      <c r="C8385" t="s">
        <v>40</v>
      </c>
      <c r="D8385">
        <v>5.594036</v>
      </c>
      <c r="E8385">
        <v>0.50439120000000004</v>
      </c>
      <c r="F8385" t="s">
        <v>41</v>
      </c>
      <c r="G8385">
        <v>-187.72290000000001</v>
      </c>
      <c r="H8385" s="1">
        <v>-2.201624E-6</v>
      </c>
      <c r="I8385">
        <v>53.823270000000001</v>
      </c>
      <c r="J8385">
        <v>-187.42949999999999</v>
      </c>
      <c r="K8385">
        <v>1.1103700000000001</v>
      </c>
      <c r="L8385">
        <v>27.380649999999999</v>
      </c>
      <c r="M8385">
        <v>-2.2111549999999998E-3</v>
      </c>
      <c r="N8385">
        <v>0</v>
      </c>
      <c r="O8385">
        <v>0.99990559999999995</v>
      </c>
      <c r="P8385">
        <v>-2.5107029999999999E-2</v>
      </c>
      <c r="Q8385">
        <v>4.0027119999999999E-2</v>
      </c>
      <c r="R8385">
        <v>0.99888310000000002</v>
      </c>
      <c r="S8385">
        <v>-3.3157350000000002E-2</v>
      </c>
      <c r="T8385">
        <v>-0.12528900000000001</v>
      </c>
      <c r="U8385">
        <v>3.0075989999999999</v>
      </c>
      <c r="V8385">
        <v>-2.2895990000000001E-2</v>
      </c>
      <c r="W8385">
        <v>5.3573049999999997E-2</v>
      </c>
      <c r="X8385">
        <v>0.99830140000000001</v>
      </c>
      <c r="Y8385">
        <v>-8.80305199999999E-3</v>
      </c>
      <c r="Z8385">
        <v>-4.1619169999999997E-2</v>
      </c>
      <c r="AA8385">
        <v>0.99909479999999995</v>
      </c>
      <c r="AB8385">
        <v>21</v>
      </c>
      <c r="AC8385">
        <v>-0.29340000000001898</v>
      </c>
      <c r="AD8385">
        <v>-1.1103722016240001</v>
      </c>
      <c r="AE8385">
        <v>26.442619999999899</v>
      </c>
      <c r="AF8385">
        <v>-0.234511708715017</v>
      </c>
      <c r="AG8385">
        <v>-1.1103722016240001</v>
      </c>
      <c r="AH8385">
        <v>26.3966644373604</v>
      </c>
      <c r="AI8385">
        <v>92.408624418748502</v>
      </c>
      <c r="AJ8385">
        <v>90.509010435706003</v>
      </c>
      <c r="AK8385">
        <v>26.421048722302299</v>
      </c>
      <c r="AL8385">
        <v>86.929020128622994</v>
      </c>
      <c r="AM8385">
        <v>91.313845349978706</v>
      </c>
      <c r="AN8385">
        <v>0.99999999164317099</v>
      </c>
    </row>
    <row r="8386" spans="1:40" x14ac:dyDescent="0.25">
      <c r="A8386" t="str">
        <f>"20190312160531700"</f>
        <v>20190312160531700</v>
      </c>
      <c r="B8386" t="str">
        <f>"1552377931693591"</f>
        <v>1552377931693591</v>
      </c>
      <c r="C8386" t="s">
        <v>40</v>
      </c>
      <c r="D8386">
        <v>5.5433379999999897</v>
      </c>
      <c r="E8386">
        <v>0.5044324</v>
      </c>
      <c r="F8386" t="s">
        <v>41</v>
      </c>
      <c r="G8386">
        <v>-187.71350000000001</v>
      </c>
      <c r="H8386" s="1">
        <v>-2.475828E-6</v>
      </c>
      <c r="I8386">
        <v>54.458559999999999</v>
      </c>
      <c r="J8386">
        <v>-187.43</v>
      </c>
      <c r="K8386">
        <v>1.1103700000000001</v>
      </c>
      <c r="L8386">
        <v>27.593630000000001</v>
      </c>
      <c r="M8386">
        <v>-2.211195E-3</v>
      </c>
      <c r="N8386">
        <v>0</v>
      </c>
      <c r="O8386">
        <v>0.9999055</v>
      </c>
      <c r="P8386">
        <v>-2.5646209999999999E-2</v>
      </c>
      <c r="Q8386">
        <v>4.0250559999999998E-2</v>
      </c>
      <c r="R8386">
        <v>0.99886039999999998</v>
      </c>
      <c r="S8386">
        <v>-3.1539919999999999E-2</v>
      </c>
      <c r="T8386">
        <v>-0.1233276</v>
      </c>
      <c r="U8386">
        <v>3.0075069999999999</v>
      </c>
      <c r="V8386">
        <v>-2.343551E-2</v>
      </c>
      <c r="W8386">
        <v>5.3799220000000002E-2</v>
      </c>
      <c r="X8386">
        <v>0.99827670000000002</v>
      </c>
      <c r="Y8386">
        <v>-8.2663779999999996E-3</v>
      </c>
      <c r="Z8386">
        <v>-4.0970159999999999E-2</v>
      </c>
      <c r="AA8386">
        <v>0.99912619999999996</v>
      </c>
      <c r="AB8386">
        <v>21</v>
      </c>
      <c r="AC8386">
        <v>-0.28350000000000303</v>
      </c>
      <c r="AD8386">
        <v>-1.110372475828</v>
      </c>
      <c r="AE8386">
        <v>26.864929999999902</v>
      </c>
      <c r="AF8386">
        <v>-0.223708119385464</v>
      </c>
      <c r="AG8386">
        <v>-1.110372475828</v>
      </c>
      <c r="AH8386">
        <v>26.819680094180001</v>
      </c>
      <c r="AI8386">
        <v>92.370689535930296</v>
      </c>
      <c r="AJ8386">
        <v>90.477904053626602</v>
      </c>
      <c r="AK8386">
        <v>26.843587925460199</v>
      </c>
      <c r="AL8386">
        <v>86.916042773967803</v>
      </c>
      <c r="AM8386">
        <v>91.344826761595002</v>
      </c>
      <c r="AN8386">
        <v>0.99999997448222899</v>
      </c>
    </row>
    <row r="8387" spans="1:40" x14ac:dyDescent="0.25">
      <c r="A8387" t="str">
        <f>"20190312160531722"</f>
        <v>20190312160531722</v>
      </c>
      <c r="B8387" t="str">
        <f>"1552377931713114"</f>
        <v>1552377931713114</v>
      </c>
      <c r="C8387" t="s">
        <v>40</v>
      </c>
      <c r="D8387">
        <v>5.4751300000000001</v>
      </c>
      <c r="E8387">
        <v>0.5046872</v>
      </c>
      <c r="F8387" t="s">
        <v>41</v>
      </c>
      <c r="G8387">
        <v>-187.71019999999999</v>
      </c>
      <c r="H8387" s="1">
        <v>-2.0335730000000002E-6</v>
      </c>
      <c r="I8387">
        <v>53.426270000000002</v>
      </c>
      <c r="J8387">
        <v>-187.43049999999999</v>
      </c>
      <c r="K8387">
        <v>1.110374</v>
      </c>
      <c r="L8387">
        <v>27.8139</v>
      </c>
      <c r="M8387">
        <v>-2.2112379999999999E-3</v>
      </c>
      <c r="N8387">
        <v>0</v>
      </c>
      <c r="O8387">
        <v>0.9999055</v>
      </c>
      <c r="P8387">
        <v>-2.5654630000000001E-2</v>
      </c>
      <c r="Q8387">
        <v>4.0481000000000003E-2</v>
      </c>
      <c r="R8387">
        <v>0.99885089999999999</v>
      </c>
      <c r="S8387">
        <v>-3.2623289999999999E-2</v>
      </c>
      <c r="T8387">
        <v>-0.1292857</v>
      </c>
      <c r="U8387">
        <v>3.0078130000000001</v>
      </c>
      <c r="V8387">
        <v>-2.3443789999999999E-2</v>
      </c>
      <c r="W8387">
        <v>5.4032049999999998E-2</v>
      </c>
      <c r="X8387">
        <v>0.99826400000000004</v>
      </c>
      <c r="Y8387">
        <v>-8.6242049999999994E-3</v>
      </c>
      <c r="Z8387">
        <v>-4.2941430000000003E-2</v>
      </c>
      <c r="AA8387">
        <v>0.99904040000000005</v>
      </c>
      <c r="AB8387">
        <v>21</v>
      </c>
      <c r="AC8387">
        <v>-0.27969999999999101</v>
      </c>
      <c r="AD8387">
        <v>-1.110376033573</v>
      </c>
      <c r="AE8387">
        <v>25.612369999999899</v>
      </c>
      <c r="AF8387">
        <v>-0.22264065466434799</v>
      </c>
      <c r="AG8387">
        <v>-1.110376033573</v>
      </c>
      <c r="AH8387">
        <v>25.564882633114799</v>
      </c>
      <c r="AI8387">
        <v>92.486907243808801</v>
      </c>
      <c r="AJ8387">
        <v>90.498967570472303</v>
      </c>
      <c r="AK8387">
        <v>25.589953650641501</v>
      </c>
      <c r="AL8387">
        <v>86.902683380244397</v>
      </c>
      <c r="AM8387">
        <v>91.345318836507303</v>
      </c>
      <c r="AN8387">
        <v>1.0000000437063801</v>
      </c>
    </row>
    <row r="8388" spans="1:40" x14ac:dyDescent="0.25">
      <c r="A8388" t="str">
        <f>"20190312160531745"</f>
        <v>20190312160531745</v>
      </c>
      <c r="B8388" t="str">
        <f>"1552377931733610"</f>
        <v>1552377931733610</v>
      </c>
      <c r="C8388" t="s">
        <v>40</v>
      </c>
      <c r="D8388">
        <v>5.5230220000000001</v>
      </c>
      <c r="E8388">
        <v>0.50469359999999996</v>
      </c>
      <c r="F8388" t="s">
        <v>41</v>
      </c>
      <c r="G8388">
        <v>-187.68639999999999</v>
      </c>
      <c r="H8388" s="1">
        <v>-1.9918199999999998E-6</v>
      </c>
      <c r="I8388">
        <v>53.319119999999998</v>
      </c>
      <c r="J8388">
        <v>-187.43100000000001</v>
      </c>
      <c r="K8388">
        <v>1.110374</v>
      </c>
      <c r="L8388">
        <v>28.019780000000001</v>
      </c>
      <c r="M8388">
        <v>-2.2112799999999999E-3</v>
      </c>
      <c r="N8388">
        <v>0</v>
      </c>
      <c r="O8388">
        <v>0.9999055</v>
      </c>
      <c r="P8388">
        <v>-2.5522599999999999E-2</v>
      </c>
      <c r="Q8388">
        <v>4.0401109999999997E-2</v>
      </c>
      <c r="R8388">
        <v>0.99885749999999995</v>
      </c>
      <c r="S8388">
        <v>-3.0181880000000001E-2</v>
      </c>
      <c r="T8388">
        <v>-0.13095380000000001</v>
      </c>
      <c r="U8388">
        <v>3.0079959999999999</v>
      </c>
      <c r="V8388">
        <v>-2.3311559999999999E-2</v>
      </c>
      <c r="W8388">
        <v>5.3953969999999997E-2</v>
      </c>
      <c r="X8388">
        <v>0.99827129999999997</v>
      </c>
      <c r="Y8388">
        <v>-7.8124930000000002E-3</v>
      </c>
      <c r="Z8388">
        <v>-4.349215E-2</v>
      </c>
      <c r="AA8388">
        <v>0.9990232</v>
      </c>
      <c r="AB8388">
        <v>21</v>
      </c>
      <c r="AC8388">
        <v>-0.25540000000000801</v>
      </c>
      <c r="AD8388">
        <v>-1.11037599182</v>
      </c>
      <c r="AE8388">
        <v>25.299340000000001</v>
      </c>
      <c r="AF8388">
        <v>-0.19906687899321801</v>
      </c>
      <c r="AG8388">
        <v>-1.11037599182</v>
      </c>
      <c r="AH8388">
        <v>25.251206748988999</v>
      </c>
      <c r="AI8388">
        <v>92.517777748586695</v>
      </c>
      <c r="AJ8388">
        <v>90.451679630420898</v>
      </c>
      <c r="AK8388">
        <v>25.276392241491099</v>
      </c>
      <c r="AL8388">
        <v>86.907163508871093</v>
      </c>
      <c r="AM8388">
        <v>91.3377238214714</v>
      </c>
      <c r="AN8388">
        <v>1.00000002405604</v>
      </c>
    </row>
    <row r="8389" spans="1:40" x14ac:dyDescent="0.25">
      <c r="A8389" t="str">
        <f>"20190312160531769"</f>
        <v>20190312160531769</v>
      </c>
      <c r="B8389" t="str">
        <f>"1552377931763863"</f>
        <v>1552377931763863</v>
      </c>
      <c r="C8389" t="s">
        <v>40</v>
      </c>
      <c r="D8389">
        <v>5.5159849999999997</v>
      </c>
      <c r="E8389">
        <v>0.50480789999999998</v>
      </c>
      <c r="F8389" t="s">
        <v>41</v>
      </c>
      <c r="G8389">
        <v>-187.68450000000001</v>
      </c>
      <c r="H8389" s="1">
        <v>-2.1271450000000001E-6</v>
      </c>
      <c r="I8389">
        <v>53.633760000000002</v>
      </c>
      <c r="J8389">
        <v>-187.4315</v>
      </c>
      <c r="K8389">
        <v>1.1103769999999999</v>
      </c>
      <c r="L8389">
        <v>28.248080000000002</v>
      </c>
      <c r="M8389">
        <v>-2.2113340000000001E-3</v>
      </c>
      <c r="N8389">
        <v>0</v>
      </c>
      <c r="O8389">
        <v>0.9999055</v>
      </c>
      <c r="P8389">
        <v>-2.5375729999999999E-2</v>
      </c>
      <c r="Q8389">
        <v>4.0406570000000003E-2</v>
      </c>
      <c r="R8389">
        <v>0.998861</v>
      </c>
      <c r="S8389">
        <v>-2.9769899999999998E-2</v>
      </c>
      <c r="T8389">
        <v>-0.13039510000000001</v>
      </c>
      <c r="U8389">
        <v>3.0079349999999998</v>
      </c>
      <c r="V8389">
        <v>-2.3164460000000001E-2</v>
      </c>
      <c r="W8389">
        <v>5.396016E-2</v>
      </c>
      <c r="X8389">
        <v>0.99827440000000001</v>
      </c>
      <c r="Y8389">
        <v>-7.6758989999999999E-3</v>
      </c>
      <c r="Z8389">
        <v>-4.330784E-2</v>
      </c>
      <c r="AA8389">
        <v>0.99903229999999998</v>
      </c>
      <c r="AB8389">
        <v>21</v>
      </c>
      <c r="AC8389">
        <v>-0.25300000000001399</v>
      </c>
      <c r="AD8389">
        <v>-1.1103791271450001</v>
      </c>
      <c r="AE8389">
        <v>25.385680000000001</v>
      </c>
      <c r="AF8389">
        <v>-0.196482119678872</v>
      </c>
      <c r="AG8389">
        <v>-1.1103791271450001</v>
      </c>
      <c r="AH8389">
        <v>25.3377056417185</v>
      </c>
      <c r="AI8389">
        <v>92.509203062778298</v>
      </c>
      <c r="AJ8389">
        <v>90.444293209669794</v>
      </c>
      <c r="AK8389">
        <v>25.362785221968998</v>
      </c>
      <c r="AL8389">
        <v>86.906808362580804</v>
      </c>
      <c r="AM8389">
        <v>91.329281463300703</v>
      </c>
      <c r="AN8389">
        <v>1.0000000343848301</v>
      </c>
    </row>
    <row r="8390" spans="1:40" x14ac:dyDescent="0.25">
      <c r="A8390" t="str">
        <f>"20190312160531792"</f>
        <v>20190312160531792</v>
      </c>
      <c r="B8390" t="str">
        <f>"1552377931783383"</f>
        <v>1552377931783383</v>
      </c>
      <c r="C8390" t="s">
        <v>40</v>
      </c>
      <c r="D8390">
        <v>5.7128759999999996</v>
      </c>
      <c r="E8390">
        <v>0.50507389999999996</v>
      </c>
      <c r="F8390" t="s">
        <v>41</v>
      </c>
      <c r="G8390">
        <v>-187.6782</v>
      </c>
      <c r="H8390" s="1">
        <v>-2.3489289999999998E-6</v>
      </c>
      <c r="I8390">
        <v>54.148159999999997</v>
      </c>
      <c r="J8390">
        <v>-187.43190000000001</v>
      </c>
      <c r="K8390">
        <v>1.110382</v>
      </c>
      <c r="L8390">
        <v>28.46332</v>
      </c>
      <c r="M8390">
        <v>-2.2113900000000001E-3</v>
      </c>
      <c r="N8390">
        <v>0</v>
      </c>
      <c r="O8390">
        <v>0.9999055</v>
      </c>
      <c r="P8390">
        <v>-2.5245009999999998E-2</v>
      </c>
      <c r="Q8390">
        <v>4.0853149999999998E-2</v>
      </c>
      <c r="R8390">
        <v>0.99884620000000002</v>
      </c>
      <c r="S8390">
        <v>-2.8656009999999999E-2</v>
      </c>
      <c r="T8390">
        <v>-0.12895380000000001</v>
      </c>
      <c r="U8390">
        <v>3.0079039999999999</v>
      </c>
      <c r="V8390">
        <v>-2.3033950000000001E-2</v>
      </c>
      <c r="W8390">
        <v>5.4407730000000001E-2</v>
      </c>
      <c r="X8390">
        <v>0.9982531</v>
      </c>
      <c r="Y8390">
        <v>-7.306211E-3</v>
      </c>
      <c r="Z8390">
        <v>-4.2830609999999998E-2</v>
      </c>
      <c r="AA8390">
        <v>0.99905560000000004</v>
      </c>
      <c r="AB8390">
        <v>21</v>
      </c>
      <c r="AC8390">
        <v>-0.24629999999999</v>
      </c>
      <c r="AD8390">
        <v>-1.110384348929</v>
      </c>
      <c r="AE8390">
        <v>25.684840000000001</v>
      </c>
      <c r="AF8390">
        <v>-0.189141510556912</v>
      </c>
      <c r="AG8390">
        <v>-1.110384348929</v>
      </c>
      <c r="AH8390">
        <v>25.637411790008201</v>
      </c>
      <c r="AI8390">
        <v>92.4799255575264</v>
      </c>
      <c r="AJ8390">
        <v>90.422695308216404</v>
      </c>
      <c r="AK8390">
        <v>25.6621435426547</v>
      </c>
      <c r="AL8390">
        <v>86.881126681196903</v>
      </c>
      <c r="AM8390">
        <v>91.321823067310902</v>
      </c>
      <c r="AN8390">
        <v>1.00000000779798</v>
      </c>
    </row>
    <row r="8391" spans="1:40" x14ac:dyDescent="0.25">
      <c r="A8391" t="str">
        <f>"20190312160531812"</f>
        <v>20190312160531812</v>
      </c>
      <c r="B8391" t="str">
        <f>"1552377931803879"</f>
        <v>1552377931803879</v>
      </c>
      <c r="C8391" t="s">
        <v>40</v>
      </c>
      <c r="D8391">
        <v>5.4855830000000001</v>
      </c>
      <c r="E8391">
        <v>0.50524529999999901</v>
      </c>
      <c r="F8391" t="s">
        <v>41</v>
      </c>
      <c r="G8391">
        <v>-187.65440000000001</v>
      </c>
      <c r="H8391" s="1">
        <v>-2.3835699999999999E-6</v>
      </c>
      <c r="I8391">
        <v>54.219070000000002</v>
      </c>
      <c r="J8391">
        <v>-187.4324</v>
      </c>
      <c r="K8391">
        <v>1.1103879999999999</v>
      </c>
      <c r="L8391">
        <v>28.662569999999999</v>
      </c>
      <c r="M8391">
        <v>-2.2114399999999998E-3</v>
      </c>
      <c r="N8391">
        <v>0</v>
      </c>
      <c r="O8391">
        <v>0.9999055</v>
      </c>
      <c r="P8391">
        <v>-2.4778769999999999E-2</v>
      </c>
      <c r="Q8391">
        <v>4.0890849999999999E-2</v>
      </c>
      <c r="R8391">
        <v>0.99885630000000003</v>
      </c>
      <c r="S8391">
        <v>-2.598572E-2</v>
      </c>
      <c r="T8391">
        <v>-0.1296862</v>
      </c>
      <c r="U8391">
        <v>3.0081180000000001</v>
      </c>
      <c r="V8391">
        <v>-2.2567420000000001E-2</v>
      </c>
      <c r="W8391">
        <v>5.4445340000000002E-2</v>
      </c>
      <c r="X8391">
        <v>0.99826170000000003</v>
      </c>
      <c r="Y8391">
        <v>-6.4186099999999999E-3</v>
      </c>
      <c r="Z8391">
        <v>-4.307068E-2</v>
      </c>
      <c r="AA8391">
        <v>0.99905140000000003</v>
      </c>
      <c r="AB8391">
        <v>21</v>
      </c>
      <c r="AC8391">
        <v>-0.222000000000008</v>
      </c>
      <c r="AD8391">
        <v>-1.11039038357</v>
      </c>
      <c r="AE8391">
        <v>25.5565</v>
      </c>
      <c r="AF8391">
        <v>-0.16516581637748401</v>
      </c>
      <c r="AG8391">
        <v>-1.11039038357</v>
      </c>
      <c r="AH8391">
        <v>25.508777459982099</v>
      </c>
      <c r="AI8391">
        <v>92.492444557014693</v>
      </c>
      <c r="AJ8391">
        <v>90.370977087021103</v>
      </c>
      <c r="AK8391">
        <v>25.533467724806101</v>
      </c>
      <c r="AL8391">
        <v>86.878968571902206</v>
      </c>
      <c r="AM8391">
        <v>91.295048900028505</v>
      </c>
      <c r="AN8391">
        <v>1.00000000259003</v>
      </c>
    </row>
    <row r="8392" spans="1:40" x14ac:dyDescent="0.25">
      <c r="A8392" t="str">
        <f>"20190312160531835"</f>
        <v>20190312160531835</v>
      </c>
      <c r="B8392" t="str">
        <f>"1552377931823403"</f>
        <v>1552377931823403</v>
      </c>
      <c r="C8392" t="s">
        <v>40</v>
      </c>
      <c r="D8392">
        <v>5.2089790000000002</v>
      </c>
      <c r="E8392">
        <v>0.50532940000000004</v>
      </c>
      <c r="F8392" t="s">
        <v>41</v>
      </c>
      <c r="G8392">
        <v>-187.6276</v>
      </c>
      <c r="H8392" s="1">
        <v>-2.2310419999999998E-6</v>
      </c>
      <c r="I8392">
        <v>53.852429999999998</v>
      </c>
      <c r="J8392">
        <v>-187.43279999999999</v>
      </c>
      <c r="K8392">
        <v>1.1103909999999999</v>
      </c>
      <c r="L8392">
        <v>28.870419999999999</v>
      </c>
      <c r="M8392">
        <v>-2.2115440000000002E-3</v>
      </c>
      <c r="N8392">
        <v>0</v>
      </c>
      <c r="O8392">
        <v>0.9999055</v>
      </c>
      <c r="P8392">
        <v>-2.4312719999999999E-2</v>
      </c>
      <c r="Q8392">
        <v>4.1081819999999998E-2</v>
      </c>
      <c r="R8392">
        <v>0.99885990000000002</v>
      </c>
      <c r="S8392">
        <v>-2.3315430000000002E-2</v>
      </c>
      <c r="T8392">
        <v>-0.13260710000000001</v>
      </c>
      <c r="U8392">
        <v>3.00827</v>
      </c>
      <c r="V8392">
        <v>-2.210117E-2</v>
      </c>
      <c r="W8392">
        <v>5.4636259999999999E-2</v>
      </c>
      <c r="X8392">
        <v>0.99826170000000003</v>
      </c>
      <c r="Y8392">
        <v>-5.5309929999999997E-3</v>
      </c>
      <c r="Z8392">
        <v>-4.4036930000000002E-2</v>
      </c>
      <c r="AA8392">
        <v>0.99901459999999997</v>
      </c>
      <c r="AB8392">
        <v>21</v>
      </c>
      <c r="AC8392">
        <v>-0.19480000000001399</v>
      </c>
      <c r="AD8392">
        <v>-1.1103932310419999</v>
      </c>
      <c r="AE8392">
        <v>24.982009999999999</v>
      </c>
      <c r="AF8392">
        <v>-0.13927049688970899</v>
      </c>
      <c r="AG8392">
        <v>-1.1103932310419999</v>
      </c>
      <c r="AH8392">
        <v>24.933124876205099</v>
      </c>
      <c r="AI8392">
        <v>92.549934861117507</v>
      </c>
      <c r="AJ8392">
        <v>90.320037248990005</v>
      </c>
      <c r="AK8392">
        <v>24.958226809837399</v>
      </c>
      <c r="AL8392">
        <v>86.868013353952904</v>
      </c>
      <c r="AM8392">
        <v>91.268301613841203</v>
      </c>
      <c r="AN8392">
        <v>1.0000000021545199</v>
      </c>
    </row>
    <row r="8393" spans="1:40" x14ac:dyDescent="0.25">
      <c r="A8393" t="str">
        <f>"20190312160531856"</f>
        <v>20190312160531856</v>
      </c>
      <c r="B8393" t="str">
        <f>"1552377931843895"</f>
        <v>1552377931843895</v>
      </c>
      <c r="C8393" t="s">
        <v>40</v>
      </c>
      <c r="D8393">
        <v>5.4249349999999996</v>
      </c>
      <c r="E8393">
        <v>0.50544789999999995</v>
      </c>
      <c r="F8393" t="s">
        <v>41</v>
      </c>
      <c r="G8393">
        <v>-187.60380000000001</v>
      </c>
      <c r="H8393" s="1">
        <v>-2.0434000000000002E-6</v>
      </c>
      <c r="I8393">
        <v>53.405189999999997</v>
      </c>
      <c r="J8393">
        <v>-187.4332</v>
      </c>
      <c r="K8393">
        <v>1.110395</v>
      </c>
      <c r="L8393">
        <v>29.07272</v>
      </c>
      <c r="M8393">
        <v>-2.2136439999999999E-3</v>
      </c>
      <c r="N8393">
        <v>0</v>
      </c>
      <c r="O8393">
        <v>0.9999055</v>
      </c>
      <c r="P8393">
        <v>-2.3864349999999999E-2</v>
      </c>
      <c r="Q8393">
        <v>4.1216490000000001E-2</v>
      </c>
      <c r="R8393">
        <v>0.99886520000000001</v>
      </c>
      <c r="S8393">
        <v>-2.0965580000000001E-2</v>
      </c>
      <c r="T8393">
        <v>-0.13615920000000001</v>
      </c>
      <c r="U8393">
        <v>3.0085139999999999</v>
      </c>
      <c r="V8393">
        <v>-2.1650699999999998E-2</v>
      </c>
      <c r="W8393">
        <v>5.477054E-2</v>
      </c>
      <c r="X8393">
        <v>0.99826420000000005</v>
      </c>
      <c r="Y8393">
        <v>-4.7476410000000004E-3</v>
      </c>
      <c r="Z8393">
        <v>-4.5210699999999999E-2</v>
      </c>
      <c r="AA8393">
        <v>0.99896620000000003</v>
      </c>
      <c r="AB8393">
        <v>21</v>
      </c>
      <c r="AC8393">
        <v>-0.170600000000007</v>
      </c>
      <c r="AD8393">
        <v>-1.1103970433999999</v>
      </c>
      <c r="AE8393">
        <v>24.332470000000001</v>
      </c>
      <c r="AF8393">
        <v>-0.116488621967882</v>
      </c>
      <c r="AG8393">
        <v>-1.1103970433999999</v>
      </c>
      <c r="AH8393">
        <v>24.282222904879902</v>
      </c>
      <c r="AI8393">
        <v>92.618213453088501</v>
      </c>
      <c r="AJ8393">
        <v>90.274861787831796</v>
      </c>
      <c r="AK8393">
        <v>24.307877332159499</v>
      </c>
      <c r="AL8393">
        <v>86.860308097715702</v>
      </c>
      <c r="AM8393">
        <v>91.242455940443094</v>
      </c>
      <c r="AN8393">
        <v>0.99999998893201003</v>
      </c>
    </row>
    <row r="8394" spans="1:40" x14ac:dyDescent="0.25">
      <c r="A8394" t="str">
        <f>"20190312160531879"</f>
        <v>20190312160531879</v>
      </c>
      <c r="B8394" t="str">
        <f>"1552377931873175"</f>
        <v>1552377931873175</v>
      </c>
      <c r="C8394" t="s">
        <v>40</v>
      </c>
      <c r="D8394">
        <v>5.3817599999999999</v>
      </c>
      <c r="E8394">
        <v>0.5055094</v>
      </c>
      <c r="F8394" t="s">
        <v>41</v>
      </c>
      <c r="G8394">
        <v>-187.5857</v>
      </c>
      <c r="H8394" s="1">
        <v>-2.210805E-6</v>
      </c>
      <c r="I8394">
        <v>53.7879199999999</v>
      </c>
      <c r="J8394">
        <v>-187.43369999999999</v>
      </c>
      <c r="K8394">
        <v>1.110401</v>
      </c>
      <c r="L8394">
        <v>29.2865</v>
      </c>
      <c r="M8394">
        <v>-2.2248319999999999E-3</v>
      </c>
      <c r="N8394">
        <v>0</v>
      </c>
      <c r="O8394">
        <v>0.9999055</v>
      </c>
      <c r="P8394">
        <v>-2.389314E-2</v>
      </c>
      <c r="Q8394">
        <v>4.1874340000000003E-2</v>
      </c>
      <c r="R8394">
        <v>0.99883719999999998</v>
      </c>
      <c r="S8394">
        <v>-1.8554689999999999E-2</v>
      </c>
      <c r="T8394">
        <v>-0.13516700000000001</v>
      </c>
      <c r="U8394">
        <v>3.0085449999999998</v>
      </c>
      <c r="V8394">
        <v>-2.166943E-2</v>
      </c>
      <c r="W8394">
        <v>5.5426620000000003E-2</v>
      </c>
      <c r="X8394">
        <v>0.99822759999999999</v>
      </c>
      <c r="Y8394">
        <v>-3.935989E-3</v>
      </c>
      <c r="Z8394">
        <v>-4.4881669999999999E-2</v>
      </c>
      <c r="AA8394">
        <v>0.9989846</v>
      </c>
      <c r="AB8394">
        <v>21</v>
      </c>
      <c r="AC8394">
        <v>-0.15200000000001501</v>
      </c>
      <c r="AD8394">
        <v>-1.1104032108049999</v>
      </c>
      <c r="AE8394">
        <v>24.5014199999999</v>
      </c>
      <c r="AF8394">
        <v>-9.7283261378137198E-2</v>
      </c>
      <c r="AG8394">
        <v>-1.1104032108049999</v>
      </c>
      <c r="AH8394">
        <v>24.451478640351802</v>
      </c>
      <c r="AI8394">
        <v>92.600138608831102</v>
      </c>
      <c r="AJ8394">
        <v>90.227957211332296</v>
      </c>
      <c r="AK8394">
        <v>24.476872084134602</v>
      </c>
      <c r="AL8394">
        <v>86.822660351876706</v>
      </c>
      <c r="AM8394">
        <v>91.243576030243801</v>
      </c>
      <c r="AN8394">
        <v>1.0000000079014499</v>
      </c>
    </row>
    <row r="8395" spans="1:40" x14ac:dyDescent="0.25">
      <c r="A8395" t="str">
        <f>"20190312160531902"</f>
        <v>20190312160531902</v>
      </c>
      <c r="B8395" t="str">
        <f>"1552377931893672"</f>
        <v>1552377931893672</v>
      </c>
      <c r="C8395" t="s">
        <v>40</v>
      </c>
      <c r="D8395">
        <v>5.4179139999999997</v>
      </c>
      <c r="E8395">
        <v>0.50562379999999996</v>
      </c>
      <c r="F8395" t="s">
        <v>41</v>
      </c>
      <c r="G8395">
        <v>-187.58930000000001</v>
      </c>
      <c r="H8395" s="1">
        <v>-2.5492129999999998E-6</v>
      </c>
      <c r="I8395">
        <v>54.578270000000003</v>
      </c>
      <c r="J8395">
        <v>-187.4342</v>
      </c>
      <c r="K8395">
        <v>1.1104160000000001</v>
      </c>
      <c r="L8395">
        <v>29.50357</v>
      </c>
      <c r="M8395">
        <v>-2.2540110000000002E-3</v>
      </c>
      <c r="N8395">
        <v>0</v>
      </c>
      <c r="O8395">
        <v>0.99990540000000006</v>
      </c>
      <c r="P8395">
        <v>-2.3437220000000002E-2</v>
      </c>
      <c r="Q8395">
        <v>4.1640000000000003E-2</v>
      </c>
      <c r="R8395">
        <v>0.99885769999999996</v>
      </c>
      <c r="S8395">
        <v>-1.850891E-2</v>
      </c>
      <c r="T8395">
        <v>-0.13208909999999999</v>
      </c>
      <c r="U8395">
        <v>3.0086059999999999</v>
      </c>
      <c r="V8395">
        <v>-2.118563E-2</v>
      </c>
      <c r="W8395">
        <v>5.5190950000000003E-2</v>
      </c>
      <c r="X8395">
        <v>0.998251</v>
      </c>
      <c r="Y8395">
        <v>-3.8917610000000001E-3</v>
      </c>
      <c r="Z8395">
        <v>-4.386077E-2</v>
      </c>
      <c r="AA8395">
        <v>0.99903010000000003</v>
      </c>
      <c r="AB8395">
        <v>21</v>
      </c>
      <c r="AC8395">
        <v>-0.15510000000000401</v>
      </c>
      <c r="AD8395">
        <v>-1.1104185492129901</v>
      </c>
      <c r="AE8395">
        <v>25.0747</v>
      </c>
      <c r="AF8395">
        <v>-9.8382820612462105E-2</v>
      </c>
      <c r="AG8395">
        <v>-1.1104185492129901</v>
      </c>
      <c r="AH8395">
        <v>25.025909240853402</v>
      </c>
      <c r="AI8395">
        <v>92.540571130213195</v>
      </c>
      <c r="AJ8395">
        <v>90.225242220166805</v>
      </c>
      <c r="AK8395">
        <v>25.050725376029799</v>
      </c>
      <c r="AL8395">
        <v>86.836183814286301</v>
      </c>
      <c r="AM8395">
        <v>91.215791412769704</v>
      </c>
      <c r="AN8395">
        <v>0.99999996544069902</v>
      </c>
    </row>
    <row r="8396" spans="1:40" x14ac:dyDescent="0.25">
      <c r="A8396" t="str">
        <f>"20190312160531924"</f>
        <v>20190312160531924</v>
      </c>
      <c r="B8396" t="str">
        <f>"1552377931913191"</f>
        <v>1552377931913191</v>
      </c>
      <c r="C8396" t="s">
        <v>40</v>
      </c>
      <c r="D8396">
        <v>5.3640749999999997</v>
      </c>
      <c r="E8396">
        <v>0.50584839999999998</v>
      </c>
      <c r="F8396" t="s">
        <v>41</v>
      </c>
      <c r="G8396">
        <v>-187.56389999999999</v>
      </c>
      <c r="H8396" s="1">
        <v>-2.1230580000000002E-6</v>
      </c>
      <c r="I8396">
        <v>53.574370000000002</v>
      </c>
      <c r="J8396">
        <v>-187.4348</v>
      </c>
      <c r="K8396">
        <v>1.1104339999999999</v>
      </c>
      <c r="L8396">
        <v>29.71509</v>
      </c>
      <c r="M8396">
        <v>-2.3080190000000001E-3</v>
      </c>
      <c r="N8396">
        <v>0</v>
      </c>
      <c r="O8396">
        <v>0.9999053</v>
      </c>
      <c r="P8396">
        <v>-2.3049119999999999E-2</v>
      </c>
      <c r="Q8396">
        <v>4.2027620000000002E-2</v>
      </c>
      <c r="R8396">
        <v>0.99885049999999997</v>
      </c>
      <c r="S8396">
        <v>-1.620483E-2</v>
      </c>
      <c r="T8396">
        <v>-0.13880229999999999</v>
      </c>
      <c r="U8396">
        <v>3.0088499999999998</v>
      </c>
      <c r="V8396">
        <v>-2.074583E-2</v>
      </c>
      <c r="W8396">
        <v>5.557612E-2</v>
      </c>
      <c r="X8396">
        <v>0.99823890000000004</v>
      </c>
      <c r="Y8396">
        <v>-3.0717119999999999E-3</v>
      </c>
      <c r="Z8396">
        <v>-4.6081730000000001E-2</v>
      </c>
      <c r="AA8396">
        <v>0.99893299999999996</v>
      </c>
      <c r="AB8396">
        <v>21</v>
      </c>
      <c r="AC8396">
        <v>-0.129099999999994</v>
      </c>
      <c r="AD8396">
        <v>-1.110436123058</v>
      </c>
      <c r="AE8396">
        <v>23.859279999999899</v>
      </c>
      <c r="AF8396">
        <v>-7.3866919588460395E-2</v>
      </c>
      <c r="AG8396">
        <v>-1.110436123058</v>
      </c>
      <c r="AH8396">
        <v>23.807946263064299</v>
      </c>
      <c r="AI8396">
        <v>92.670407657710996</v>
      </c>
      <c r="AJ8396">
        <v>90.177766242880594</v>
      </c>
      <c r="AK8396">
        <v>23.833942812093799</v>
      </c>
      <c r="AL8396">
        <v>86.814081377913695</v>
      </c>
      <c r="AM8396">
        <v>91.190574136456604</v>
      </c>
      <c r="AN8396">
        <v>0.99999999802492601</v>
      </c>
    </row>
    <row r="8397" spans="1:40" x14ac:dyDescent="0.25">
      <c r="A8397" t="str">
        <f>"20190312160531945"</f>
        <v>20190312160531945</v>
      </c>
      <c r="B8397" t="str">
        <f>"1552377931933687"</f>
        <v>1552377931933687</v>
      </c>
      <c r="C8397" t="s">
        <v>40</v>
      </c>
      <c r="D8397">
        <v>5.3346419999999997</v>
      </c>
      <c r="E8397">
        <v>0.50620449999999995</v>
      </c>
      <c r="F8397" t="s">
        <v>41</v>
      </c>
      <c r="G8397">
        <v>-187.5419</v>
      </c>
      <c r="H8397" s="1">
        <v>-2.2395369999999999E-6</v>
      </c>
      <c r="I8397">
        <v>53.836799999999997</v>
      </c>
      <c r="J8397">
        <v>-187.43530000000001</v>
      </c>
      <c r="K8397">
        <v>1.11046</v>
      </c>
      <c r="L8397">
        <v>29.91028</v>
      </c>
      <c r="M8397">
        <v>-2.385224E-3</v>
      </c>
      <c r="N8397">
        <v>0</v>
      </c>
      <c r="O8397">
        <v>0.99990509999999999</v>
      </c>
      <c r="P8397">
        <v>-2.2968840000000001E-2</v>
      </c>
      <c r="Q8397">
        <v>4.2174250000000003E-2</v>
      </c>
      <c r="R8397">
        <v>0.99884620000000002</v>
      </c>
      <c r="S8397">
        <v>-1.33667E-2</v>
      </c>
      <c r="T8397">
        <v>-0.1385171</v>
      </c>
      <c r="U8397">
        <v>3.008972</v>
      </c>
      <c r="V8397">
        <v>-2.0590959999999998E-2</v>
      </c>
      <c r="W8397">
        <v>5.5720850000000002E-2</v>
      </c>
      <c r="X8397">
        <v>0.99823399999999995</v>
      </c>
      <c r="Y8397">
        <v>-2.0521049999999998E-3</v>
      </c>
      <c r="Z8397">
        <v>-4.5985539999999998E-2</v>
      </c>
      <c r="AA8397">
        <v>0.99894000000000005</v>
      </c>
      <c r="AB8397">
        <v>21</v>
      </c>
      <c r="AC8397">
        <v>-0.106599999999986</v>
      </c>
      <c r="AD8397">
        <v>-1.1104622395370001</v>
      </c>
      <c r="AE8397">
        <v>23.92652</v>
      </c>
      <c r="AF8397">
        <v>-4.94178881775241E-2</v>
      </c>
      <c r="AG8397">
        <v>-1.1104622395370001</v>
      </c>
      <c r="AH8397">
        <v>23.875279548200499</v>
      </c>
      <c r="AI8397">
        <v>92.662957045891005</v>
      </c>
      <c r="AJ8397">
        <v>90.118592637871302</v>
      </c>
      <c r="AK8397">
        <v>23.901141019161201</v>
      </c>
      <c r="AL8397">
        <v>86.805775967671096</v>
      </c>
      <c r="AM8397">
        <v>91.181694692491604</v>
      </c>
      <c r="AN8397">
        <v>0.999999959757221</v>
      </c>
    </row>
    <row r="8398" spans="1:40" x14ac:dyDescent="0.25">
      <c r="A8398" t="str">
        <f>"20190312160531960"</f>
        <v>20190312160531960</v>
      </c>
      <c r="B8398" t="str">
        <f>"1552377931953208"</f>
        <v>1552377931953208</v>
      </c>
      <c r="C8398" t="s">
        <v>40</v>
      </c>
      <c r="D8398">
        <v>5.3335710000000001</v>
      </c>
      <c r="E8398">
        <v>0.50650220000000001</v>
      </c>
      <c r="F8398" t="s">
        <v>41</v>
      </c>
      <c r="G8398">
        <v>-187.51400000000001</v>
      </c>
      <c r="H8398" s="1">
        <v>-2.074662E-6</v>
      </c>
      <c r="I8398">
        <v>53.440950000000001</v>
      </c>
      <c r="J8398">
        <v>-187.4357</v>
      </c>
      <c r="K8398">
        <v>1.1104750000000001</v>
      </c>
      <c r="L8398">
        <v>30.045010000000001</v>
      </c>
      <c r="M8398">
        <v>-2.4561890000000001E-3</v>
      </c>
      <c r="N8398">
        <v>0</v>
      </c>
      <c r="O8398">
        <v>0.99990489999999999</v>
      </c>
      <c r="P8398">
        <v>-2.3006390000000002E-2</v>
      </c>
      <c r="Q8398">
        <v>4.2654669999999999E-2</v>
      </c>
      <c r="R8398">
        <v>0.99882499999999996</v>
      </c>
      <c r="S8398">
        <v>-1.00708E-2</v>
      </c>
      <c r="T8398">
        <v>-0.14201129999999901</v>
      </c>
      <c r="U8398">
        <v>3.0092159999999999</v>
      </c>
      <c r="V8398">
        <v>-2.0560419999999999E-2</v>
      </c>
      <c r="W8398">
        <v>5.6199319999999997E-2</v>
      </c>
      <c r="X8398">
        <v>0.99820790000000004</v>
      </c>
      <c r="Y8398">
        <v>-8.8650149999999902E-4</v>
      </c>
      <c r="Z8398">
        <v>-4.7139300000000002E-2</v>
      </c>
      <c r="AA8398">
        <v>0.998888</v>
      </c>
      <c r="AB8398">
        <v>21</v>
      </c>
      <c r="AC8398">
        <v>-7.8300000000012901E-2</v>
      </c>
      <c r="AD8398">
        <v>-1.1104770746619901</v>
      </c>
      <c r="AE8398">
        <v>23.39594</v>
      </c>
      <c r="AF8398">
        <v>-2.07828006111371E-2</v>
      </c>
      <c r="AG8398">
        <v>-1.1104770746619901</v>
      </c>
      <c r="AH8398">
        <v>23.3434722825629</v>
      </c>
      <c r="AI8398">
        <v>92.723574856328696</v>
      </c>
      <c r="AJ8398">
        <v>90.051010682234804</v>
      </c>
      <c r="AK8398">
        <v>23.36987996257</v>
      </c>
      <c r="AL8398">
        <v>86.778318930025407</v>
      </c>
      <c r="AM8398">
        <v>91.179973371236997</v>
      </c>
      <c r="AN8398">
        <v>1.00000005303072</v>
      </c>
    </row>
    <row r="8399" spans="1:40" x14ac:dyDescent="0.25">
      <c r="A8399" t="str">
        <f>"20190312160531981"</f>
        <v>20190312160531981</v>
      </c>
      <c r="B8399" t="str">
        <f>"1552377931973703"</f>
        <v>1552377931973703</v>
      </c>
      <c r="C8399" t="s">
        <v>40</v>
      </c>
      <c r="D8399">
        <v>5.2779780000000001</v>
      </c>
      <c r="E8399">
        <v>0.50679110000000005</v>
      </c>
      <c r="F8399" t="s">
        <v>41</v>
      </c>
      <c r="G8399">
        <v>-187.4967</v>
      </c>
      <c r="H8399" s="1">
        <v>-2.1007480000000001E-6</v>
      </c>
      <c r="I8399">
        <v>53.494579999999999</v>
      </c>
      <c r="J8399">
        <v>-187.43629999999999</v>
      </c>
      <c r="K8399">
        <v>1.110495</v>
      </c>
      <c r="L8399">
        <v>30.241029999999999</v>
      </c>
      <c r="M8399">
        <v>-2.5768779999999999E-3</v>
      </c>
      <c r="N8399">
        <v>0</v>
      </c>
      <c r="O8399">
        <v>0.99990469999999998</v>
      </c>
      <c r="P8399">
        <v>-2.3749610000000001E-2</v>
      </c>
      <c r="Q8399">
        <v>4.2835680000000001E-2</v>
      </c>
      <c r="R8399">
        <v>0.99879980000000002</v>
      </c>
      <c r="S8399">
        <v>-7.8277590000000001E-3</v>
      </c>
      <c r="T8399">
        <v>-0.14251449999999999</v>
      </c>
      <c r="U8399">
        <v>3.00943</v>
      </c>
      <c r="V8399">
        <v>-2.118517E-2</v>
      </c>
      <c r="W8399">
        <v>5.6377379999999998E-2</v>
      </c>
      <c r="X8399">
        <v>0.99818470000000004</v>
      </c>
      <c r="Y8399" s="1">
        <v>-2.104109E-5</v>
      </c>
      <c r="Z8399">
        <v>-4.7302650000000002E-2</v>
      </c>
      <c r="AA8399">
        <v>0.99888060000000001</v>
      </c>
      <c r="AB8399">
        <v>21</v>
      </c>
      <c r="AC8399">
        <v>-6.0400000000015497E-2</v>
      </c>
      <c r="AD8399">
        <v>-1.110497100748</v>
      </c>
      <c r="AE8399">
        <v>23.253550000000001</v>
      </c>
      <c r="AF8399">
        <v>-4.7165028798146902E-4</v>
      </c>
      <c r="AG8399">
        <v>-1.110497100748</v>
      </c>
      <c r="AH8399">
        <v>23.200716362899001</v>
      </c>
      <c r="AI8399">
        <v>92.740358196974796</v>
      </c>
      <c r="AJ8399">
        <v>90.001164773125097</v>
      </c>
      <c r="AK8399">
        <v>23.227278010669099</v>
      </c>
      <c r="AL8399">
        <v>86.768100335600394</v>
      </c>
      <c r="AM8399">
        <v>91.215845749990194</v>
      </c>
      <c r="AN8399">
        <v>0.99999995785883999</v>
      </c>
    </row>
    <row r="8400" spans="1:40" x14ac:dyDescent="0.25">
      <c r="A8400" t="str">
        <f>"20190312160532025"</f>
        <v>20190312160532025</v>
      </c>
      <c r="B8400" t="str">
        <f>"1552377932013719"</f>
        <v>1552377932013719</v>
      </c>
      <c r="C8400" t="s">
        <v>40</v>
      </c>
      <c r="D8400">
        <v>5.4691900000000002</v>
      </c>
      <c r="E8400">
        <v>0.52894399999999997</v>
      </c>
      <c r="F8400" t="s">
        <v>41</v>
      </c>
      <c r="G8400">
        <v>-187.4923</v>
      </c>
      <c r="H8400" s="1">
        <v>-1.9490470000000001E-6</v>
      </c>
      <c r="I8400">
        <v>53.139139999999998</v>
      </c>
      <c r="J8400">
        <v>-187.43780000000001</v>
      </c>
      <c r="K8400">
        <v>1.110506</v>
      </c>
      <c r="L8400">
        <v>30.660219999999999</v>
      </c>
      <c r="M8400">
        <v>-2.8939450000000002E-3</v>
      </c>
      <c r="N8400">
        <v>0</v>
      </c>
      <c r="O8400">
        <v>0.99990389999999996</v>
      </c>
      <c r="P8400">
        <v>-2.4453969999999998E-2</v>
      </c>
      <c r="Q8400">
        <v>4.1838750000000001E-2</v>
      </c>
      <c r="R8400">
        <v>0.99882510000000002</v>
      </c>
      <c r="S8400">
        <v>-7.3547359999999997E-3</v>
      </c>
      <c r="T8400">
        <v>-0.1459626</v>
      </c>
      <c r="U8400">
        <v>3.0097049999999999</v>
      </c>
      <c r="V8400">
        <v>-2.1575250000000001E-2</v>
      </c>
      <c r="W8400">
        <v>5.5376630000000003E-2</v>
      </c>
      <c r="X8400">
        <v>0.99823240000000002</v>
      </c>
      <c r="Y8400">
        <v>4.5341549999999999E-4</v>
      </c>
      <c r="Z8400">
        <v>-4.8440009999999999E-2</v>
      </c>
      <c r="AA8400">
        <v>0.99882599999999999</v>
      </c>
      <c r="AB8400">
        <v>21</v>
      </c>
      <c r="AC8400">
        <v>-5.4499999999990202E-2</v>
      </c>
      <c r="AD8400">
        <v>-1.110507949047</v>
      </c>
      <c r="AE8400">
        <v>22.478919999999999</v>
      </c>
      <c r="AF8400">
        <v>1.0533259011311601E-2</v>
      </c>
      <c r="AG8400">
        <v>-1.110507949047</v>
      </c>
      <c r="AH8400">
        <v>22.4242557930712</v>
      </c>
      <c r="AI8400">
        <v>92.835120745218404</v>
      </c>
      <c r="AJ8400">
        <v>89.973086676898006</v>
      </c>
      <c r="AK8400">
        <v>22.4517390579778</v>
      </c>
      <c r="AL8400">
        <v>86.825528927835705</v>
      </c>
      <c r="AM8400">
        <v>91.238166915869797</v>
      </c>
      <c r="AN8400">
        <v>0.99999999348623902</v>
      </c>
    </row>
    <row r="8401" spans="1:40" x14ac:dyDescent="0.25">
      <c r="A8401" t="str">
        <f>"20190312160532044"</f>
        <v>20190312160532044</v>
      </c>
      <c r="B8401" t="str">
        <f>"1552377932033239"</f>
        <v>1552377932033239</v>
      </c>
      <c r="C8401" t="s">
        <v>40</v>
      </c>
      <c r="D8401">
        <v>5.3572199999999999</v>
      </c>
      <c r="E8401">
        <v>0.57383469999999903</v>
      </c>
      <c r="F8401" t="s">
        <v>49</v>
      </c>
      <c r="G8401">
        <v>-187.39510000000001</v>
      </c>
      <c r="H8401">
        <v>1.024562</v>
      </c>
      <c r="I8401">
        <v>31.39734</v>
      </c>
      <c r="J8401">
        <v>-187.4385</v>
      </c>
      <c r="K8401">
        <v>1.1105100000000001</v>
      </c>
      <c r="L8401">
        <v>30.843319999999999</v>
      </c>
      <c r="M8401">
        <v>-3.0465280000000002E-3</v>
      </c>
      <c r="N8401">
        <v>0</v>
      </c>
      <c r="O8401">
        <v>0.9999034</v>
      </c>
      <c r="P8401">
        <v>-2.453667E-2</v>
      </c>
      <c r="Q8401">
        <v>4.1589519999999998E-2</v>
      </c>
      <c r="R8401">
        <v>0.99883350000000004</v>
      </c>
      <c r="S8401">
        <v>0.17422489999999999</v>
      </c>
      <c r="T8401">
        <v>-0.35243429999999998</v>
      </c>
      <c r="U8401">
        <v>3.0225520000000001</v>
      </c>
      <c r="V8401">
        <v>-2.1505570000000002E-2</v>
      </c>
      <c r="W8401">
        <v>5.5126189999999999E-2</v>
      </c>
      <c r="X8401">
        <v>0.99824769999999896</v>
      </c>
      <c r="Y8401">
        <v>6.0201669999999999E-2</v>
      </c>
      <c r="Z8401">
        <v>-0.11561630000000001</v>
      </c>
      <c r="AA8401">
        <v>0.99146789999999996</v>
      </c>
      <c r="AB8401">
        <v>21</v>
      </c>
      <c r="AC8401">
        <v>4.3399999999991203E-2</v>
      </c>
      <c r="AD8401">
        <v>-8.5948000000000094E-2</v>
      </c>
      <c r="AE8401">
        <v>0.55402000000000096</v>
      </c>
      <c r="AF8401">
        <v>4.4034480304188599E-2</v>
      </c>
      <c r="AG8401">
        <v>-8.5948000000000094E-2</v>
      </c>
      <c r="AH8401">
        <v>0.54094570028619504</v>
      </c>
      <c r="AI8401">
        <v>98.998683836738294</v>
      </c>
      <c r="AJ8401">
        <v>85.3462258122306</v>
      </c>
      <c r="AK8401">
        <v>0.54949826643746702</v>
      </c>
      <c r="AL8401">
        <v>86.839899829528605</v>
      </c>
      <c r="AM8401">
        <v>91.234150427867107</v>
      </c>
      <c r="AN8401">
        <v>0.99999992846011199</v>
      </c>
    </row>
    <row r="8402" spans="1:40" x14ac:dyDescent="0.25">
      <c r="A8402" t="str">
        <f>"20190312160532060"</f>
        <v>20190312160532060</v>
      </c>
      <c r="B8402" t="str">
        <f>"1552377932053736"</f>
        <v>1552377932053736</v>
      </c>
      <c r="C8402" t="s">
        <v>40</v>
      </c>
      <c r="D8402">
        <v>5.4986579999999998</v>
      </c>
      <c r="E8402">
        <v>0.57445679999999999</v>
      </c>
      <c r="F8402" t="s">
        <v>49</v>
      </c>
      <c r="G8402">
        <v>-187.3124</v>
      </c>
      <c r="H8402">
        <v>0.95395569999999996</v>
      </c>
      <c r="I8402">
        <v>31.549949999999999</v>
      </c>
      <c r="J8402">
        <v>-187.43899999999999</v>
      </c>
      <c r="K8402">
        <v>1.1105100000000001</v>
      </c>
      <c r="L8402">
        <v>30.97861</v>
      </c>
      <c r="M8402">
        <v>-3.1592410000000001E-3</v>
      </c>
      <c r="N8402">
        <v>0</v>
      </c>
      <c r="O8402">
        <v>0.99990310000000004</v>
      </c>
      <c r="P8402">
        <v>-2.467629E-2</v>
      </c>
      <c r="Q8402">
        <v>4.1784540000000002E-2</v>
      </c>
      <c r="R8402">
        <v>0.99882190000000004</v>
      </c>
      <c r="S8402">
        <v>0.54281619999999997</v>
      </c>
      <c r="T8402">
        <v>-0.67460359999999997</v>
      </c>
      <c r="U8402">
        <v>3.0449220000000001</v>
      </c>
      <c r="V8402">
        <v>-2.1532470000000001E-2</v>
      </c>
      <c r="W8402">
        <v>5.532045E-2</v>
      </c>
      <c r="X8402">
        <v>0.99823640000000002</v>
      </c>
      <c r="Y8402">
        <v>0.1745825</v>
      </c>
      <c r="Z8402">
        <v>-0.2130407</v>
      </c>
      <c r="AA8402">
        <v>0.96131920000000004</v>
      </c>
      <c r="AB8402">
        <v>21</v>
      </c>
      <c r="AC8402">
        <v>0.126600000000024</v>
      </c>
      <c r="AD8402">
        <v>-0.15655430000000001</v>
      </c>
      <c r="AE8402">
        <v>0.57134000000000196</v>
      </c>
      <c r="AF8402">
        <v>0.119828544227384</v>
      </c>
      <c r="AG8402">
        <v>-0.15655430000000001</v>
      </c>
      <c r="AH8402">
        <v>0.53280491881365599</v>
      </c>
      <c r="AI8402">
        <v>105.99600309691</v>
      </c>
      <c r="AJ8402">
        <v>77.324996627536606</v>
      </c>
      <c r="AK8402">
        <v>0.56811020970597903</v>
      </c>
      <c r="AL8402">
        <v>86.828752623968299</v>
      </c>
      <c r="AM8402">
        <v>91.235707656352304</v>
      </c>
      <c r="AN8402">
        <v>0.99999995486872995</v>
      </c>
    </row>
    <row r="8403" spans="1:40" x14ac:dyDescent="0.25">
      <c r="A8403" t="str">
        <f>"20190312160532080"</f>
        <v>20190312160532080</v>
      </c>
      <c r="B8403" t="str">
        <f>"1552377932073255"</f>
        <v>1552377932073255</v>
      </c>
      <c r="C8403" t="s">
        <v>40</v>
      </c>
      <c r="D8403">
        <v>5.31114</v>
      </c>
      <c r="E8403">
        <v>0.57675669999999901</v>
      </c>
      <c r="F8403" t="s">
        <v>49</v>
      </c>
      <c r="G8403">
        <v>-187.30350000000001</v>
      </c>
      <c r="H8403">
        <v>0.94234030000000002</v>
      </c>
      <c r="I8403">
        <v>31.730709999999998</v>
      </c>
      <c r="J8403">
        <v>-187.43979999999999</v>
      </c>
      <c r="K8403">
        <v>1.1105130000000001</v>
      </c>
      <c r="L8403">
        <v>31.167629999999999</v>
      </c>
      <c r="M8403">
        <v>-3.313594E-3</v>
      </c>
      <c r="N8403">
        <v>0</v>
      </c>
      <c r="O8403">
        <v>0.99990259999999997</v>
      </c>
      <c r="P8403">
        <v>-2.503621E-2</v>
      </c>
      <c r="Q8403">
        <v>4.2026550000000003E-2</v>
      </c>
      <c r="R8403">
        <v>0.99880279999999999</v>
      </c>
      <c r="S8403">
        <v>0.54759219999999997</v>
      </c>
      <c r="T8403">
        <v>-0.6809982</v>
      </c>
      <c r="U8403">
        <v>3.045563</v>
      </c>
      <c r="V8403">
        <v>-2.173829E-2</v>
      </c>
      <c r="W8403">
        <v>5.556088E-2</v>
      </c>
      <c r="X8403">
        <v>0.99821870000000001</v>
      </c>
      <c r="Y8403">
        <v>0.1760891</v>
      </c>
      <c r="Z8403">
        <v>-0.214866</v>
      </c>
      <c r="AA8403">
        <v>0.96063790000000004</v>
      </c>
      <c r="AB8403">
        <v>21</v>
      </c>
      <c r="AC8403">
        <v>0.136299999999977</v>
      </c>
      <c r="AD8403">
        <v>-0.16817269999999901</v>
      </c>
      <c r="AE8403">
        <v>0.56307999999999903</v>
      </c>
      <c r="AF8403">
        <v>0.12742769002047399</v>
      </c>
      <c r="AG8403">
        <v>-0.16817269999999901</v>
      </c>
      <c r="AH8403">
        <v>0.51890064234440003</v>
      </c>
      <c r="AI8403">
        <v>107.471016788189</v>
      </c>
      <c r="AJ8403">
        <v>76.2027629694566</v>
      </c>
      <c r="AK8403">
        <v>0.56015868272720304</v>
      </c>
      <c r="AL8403">
        <v>86.814956142628205</v>
      </c>
      <c r="AM8403">
        <v>91.247537674585601</v>
      </c>
      <c r="AN8403">
        <v>1.00000006883409</v>
      </c>
    </row>
    <row r="8404" spans="1:40" x14ac:dyDescent="0.25">
      <c r="A8404" t="str">
        <f>"20190312160532102"</f>
        <v>20190312160532102</v>
      </c>
      <c r="B8404" t="str">
        <f>"1552377932093752"</f>
        <v>1552377932093752</v>
      </c>
      <c r="C8404" t="s">
        <v>40</v>
      </c>
      <c r="D8404">
        <v>5.5177199999999997</v>
      </c>
      <c r="E8404">
        <v>0.57928029999999997</v>
      </c>
      <c r="F8404" t="s">
        <v>49</v>
      </c>
      <c r="G8404">
        <v>-187.30119999999999</v>
      </c>
      <c r="H8404">
        <v>0.93440500000000004</v>
      </c>
      <c r="I8404">
        <v>31.912739999999999</v>
      </c>
      <c r="J8404">
        <v>-187.44059999999999</v>
      </c>
      <c r="K8404">
        <v>1.110511</v>
      </c>
      <c r="L8404">
        <v>31.3721</v>
      </c>
      <c r="M8404">
        <v>-3.4736110000000001E-3</v>
      </c>
      <c r="N8404">
        <v>0</v>
      </c>
      <c r="O8404">
        <v>0.99990210000000002</v>
      </c>
      <c r="P8404">
        <v>-2.583059E-2</v>
      </c>
      <c r="Q8404">
        <v>4.2164170000000001E-2</v>
      </c>
      <c r="R8404">
        <v>0.99877669999999996</v>
      </c>
      <c r="S8404">
        <v>0.56666559999999999</v>
      </c>
      <c r="T8404">
        <v>-0.72043269999999904</v>
      </c>
      <c r="U8404">
        <v>3.0481259999999999</v>
      </c>
      <c r="V8404">
        <v>-2.237213E-2</v>
      </c>
      <c r="W8404">
        <v>5.5696089999999997E-2</v>
      </c>
      <c r="X8404">
        <v>0.99819709999999995</v>
      </c>
      <c r="Y8404">
        <v>0.1814479</v>
      </c>
      <c r="Z8404">
        <v>-0.22626660000000001</v>
      </c>
      <c r="AA8404">
        <v>0.95701619999999998</v>
      </c>
      <c r="AB8404">
        <v>21</v>
      </c>
      <c r="AC8404">
        <v>0.139399999999994</v>
      </c>
      <c r="AD8404">
        <v>-0.17610600000000001</v>
      </c>
      <c r="AE8404">
        <v>0.54064000000000301</v>
      </c>
      <c r="AF8404">
        <v>0.128493522803419</v>
      </c>
      <c r="AG8404">
        <v>-0.17610600000000001</v>
      </c>
      <c r="AH8404">
        <v>0.49127561031614703</v>
      </c>
      <c r="AI8404">
        <v>109.12659200052001</v>
      </c>
      <c r="AJ8404">
        <v>75.342587870380001</v>
      </c>
      <c r="AK8404">
        <v>0.53747151918025904</v>
      </c>
      <c r="AL8404">
        <v>86.807196973631093</v>
      </c>
      <c r="AM8404">
        <v>91.283928857548503</v>
      </c>
      <c r="AN8404">
        <v>1.0000000085452101</v>
      </c>
    </row>
    <row r="8405" spans="1:40" x14ac:dyDescent="0.25">
      <c r="A8405" t="str">
        <f>"20190312160532124"</f>
        <v>20190312160532124</v>
      </c>
      <c r="B8405" t="str">
        <f>"1552377932113275"</f>
        <v>1552377932113275</v>
      </c>
      <c r="C8405" t="s">
        <v>40</v>
      </c>
      <c r="D8405">
        <v>5.5685760000000002</v>
      </c>
      <c r="E8405">
        <v>0.58029629999999999</v>
      </c>
      <c r="F8405" t="s">
        <v>49</v>
      </c>
      <c r="G8405">
        <v>-187.30070000000001</v>
      </c>
      <c r="H8405">
        <v>0.9369653</v>
      </c>
      <c r="I8405">
        <v>32.099420000000002</v>
      </c>
      <c r="J8405">
        <v>-187.44149999999999</v>
      </c>
      <c r="K8405">
        <v>1.110509</v>
      </c>
      <c r="L8405">
        <v>31.57123</v>
      </c>
      <c r="M8405">
        <v>-3.6217900000000002E-3</v>
      </c>
      <c r="N8405">
        <v>0</v>
      </c>
      <c r="O8405">
        <v>0.99990159999999995</v>
      </c>
      <c r="P8405">
        <v>-2.608357E-2</v>
      </c>
      <c r="Q8405">
        <v>4.2015450000000003E-2</v>
      </c>
      <c r="R8405">
        <v>0.99877640000000001</v>
      </c>
      <c r="S8405">
        <v>0.58621219999999996</v>
      </c>
      <c r="T8405">
        <v>-0.72765880000000005</v>
      </c>
      <c r="U8405">
        <v>3.0495610000000002</v>
      </c>
      <c r="V8405">
        <v>-2.247656E-2</v>
      </c>
      <c r="W8405">
        <v>5.5545650000000002E-2</v>
      </c>
      <c r="X8405">
        <v>0.99820310000000001</v>
      </c>
      <c r="Y8405">
        <v>0.1873524</v>
      </c>
      <c r="Z8405">
        <v>-0.22806090000000001</v>
      </c>
      <c r="AA8405">
        <v>0.95545139999999995</v>
      </c>
      <c r="AB8405">
        <v>21</v>
      </c>
      <c r="AC8405">
        <v>0.14079999999998399</v>
      </c>
      <c r="AD8405">
        <v>-0.173543699999999</v>
      </c>
      <c r="AE8405">
        <v>0.52819000000000205</v>
      </c>
      <c r="AF8405">
        <v>0.12964512850359899</v>
      </c>
      <c r="AG8405">
        <v>-0.173543699999999</v>
      </c>
      <c r="AH8405">
        <v>0.47936105770208998</v>
      </c>
      <c r="AI8405">
        <v>109.263273372509</v>
      </c>
      <c r="AJ8405">
        <v>74.866181365042394</v>
      </c>
      <c r="AK8405">
        <v>0.52603450342698099</v>
      </c>
      <c r="AL8405">
        <v>86.815829798010896</v>
      </c>
      <c r="AM8405">
        <v>91.289912288351601</v>
      </c>
      <c r="AN8405">
        <v>0.99999997191648204</v>
      </c>
    </row>
    <row r="8406" spans="1:40" x14ac:dyDescent="0.25">
      <c r="A8406" t="str">
        <f>"20190312160532145"</f>
        <v>20190312160532145</v>
      </c>
      <c r="B8406" t="str">
        <f>"1552377932143527"</f>
        <v>1552377932143527</v>
      </c>
      <c r="C8406" t="s">
        <v>40</v>
      </c>
      <c r="D8406">
        <v>5.3413409999999999</v>
      </c>
      <c r="E8406">
        <v>0.58116259999999997</v>
      </c>
      <c r="F8406" t="s">
        <v>49</v>
      </c>
      <c r="G8406">
        <v>-187.3023</v>
      </c>
      <c r="H8406">
        <v>0.93939459999999997</v>
      </c>
      <c r="I8406">
        <v>32.285719999999998</v>
      </c>
      <c r="J8406">
        <v>-187.4425</v>
      </c>
      <c r="K8406">
        <v>1.1105</v>
      </c>
      <c r="L8406">
        <v>31.776340000000001</v>
      </c>
      <c r="M8406">
        <v>-3.7683389999999999E-3</v>
      </c>
      <c r="N8406">
        <v>0</v>
      </c>
      <c r="O8406">
        <v>0.99990109999999999</v>
      </c>
      <c r="P8406">
        <v>-2.6789090000000002E-2</v>
      </c>
      <c r="Q8406">
        <v>4.1915130000000002E-2</v>
      </c>
      <c r="R8406">
        <v>0.99876200000000004</v>
      </c>
      <c r="S8406">
        <v>0.59385679999999996</v>
      </c>
      <c r="T8406">
        <v>-0.73043800000000003</v>
      </c>
      <c r="U8406">
        <v>3.0499269999999998</v>
      </c>
      <c r="V8406">
        <v>-2.3035489999999999E-2</v>
      </c>
      <c r="W8406">
        <v>5.5443760000000002E-2</v>
      </c>
      <c r="X8406">
        <v>0.99819610000000003</v>
      </c>
      <c r="Y8406">
        <v>0.18975159999999999</v>
      </c>
      <c r="Z8406">
        <v>-0.2287554</v>
      </c>
      <c r="AA8406">
        <v>0.95481159999999998</v>
      </c>
      <c r="AB8406">
        <v>21</v>
      </c>
      <c r="AC8406">
        <v>0.140199999999993</v>
      </c>
      <c r="AD8406">
        <v>-0.17110539999999999</v>
      </c>
      <c r="AE8406">
        <v>0.50937999999999595</v>
      </c>
      <c r="AF8406">
        <v>0.128627118892264</v>
      </c>
      <c r="AG8406">
        <v>-0.17110539999999999</v>
      </c>
      <c r="AH8406">
        <v>0.46054217492418797</v>
      </c>
      <c r="AI8406">
        <v>109.689027538107</v>
      </c>
      <c r="AJ8406">
        <v>74.395218204802603</v>
      </c>
      <c r="AK8406">
        <v>0.50785931960296404</v>
      </c>
      <c r="AL8406">
        <v>86.8216769211474</v>
      </c>
      <c r="AM8406">
        <v>91.321986868512099</v>
      </c>
      <c r="AN8406">
        <v>1.0000000491888399</v>
      </c>
    </row>
    <row r="8407" spans="1:40" x14ac:dyDescent="0.25">
      <c r="A8407" t="str">
        <f>"20190312160532168"</f>
        <v>20190312160532168</v>
      </c>
      <c r="B8407" t="str">
        <f>"1552377932163047"</f>
        <v>1552377932163047</v>
      </c>
      <c r="C8407" t="s">
        <v>40</v>
      </c>
      <c r="D8407">
        <v>5.539237</v>
      </c>
      <c r="E8407">
        <v>0.58166280000000004</v>
      </c>
      <c r="F8407" t="s">
        <v>49</v>
      </c>
      <c r="G8407">
        <v>-187.30600000000001</v>
      </c>
      <c r="H8407">
        <v>0.94071939999999998</v>
      </c>
      <c r="I8407">
        <v>32.471170000000001</v>
      </c>
      <c r="J8407">
        <v>-187.4435</v>
      </c>
      <c r="K8407">
        <v>1.1104989999999999</v>
      </c>
      <c r="L8407">
        <v>31.985199999999999</v>
      </c>
      <c r="M8407">
        <v>-3.9136459999999998E-3</v>
      </c>
      <c r="N8407">
        <v>0</v>
      </c>
      <c r="O8407">
        <v>0.99990049999999997</v>
      </c>
      <c r="P8407">
        <v>-2.7375969999999999E-2</v>
      </c>
      <c r="Q8407">
        <v>4.1500219999999997E-2</v>
      </c>
      <c r="R8407">
        <v>0.99876339999999997</v>
      </c>
      <c r="S8407">
        <v>0.59851069999999995</v>
      </c>
      <c r="T8407">
        <v>-0.74552819999999997</v>
      </c>
      <c r="U8407">
        <v>3.051056</v>
      </c>
      <c r="V8407">
        <v>-2.347631E-2</v>
      </c>
      <c r="W8407">
        <v>5.5027159999999999E-2</v>
      </c>
      <c r="X8407">
        <v>0.99820880000000001</v>
      </c>
      <c r="Y8407">
        <v>0.1910328</v>
      </c>
      <c r="Z8407">
        <v>-0.2330806</v>
      </c>
      <c r="AA8407">
        <v>0.9535093</v>
      </c>
      <c r="AB8407">
        <v>21</v>
      </c>
      <c r="AC8407">
        <v>0.137500000000017</v>
      </c>
      <c r="AD8407">
        <v>-0.169779599999999</v>
      </c>
      <c r="AE8407">
        <v>0.48597000000000101</v>
      </c>
      <c r="AF8407">
        <v>0.12524719317392</v>
      </c>
      <c r="AG8407">
        <v>-0.169779599999999</v>
      </c>
      <c r="AH8407">
        <v>0.43614099994307398</v>
      </c>
      <c r="AI8407">
        <v>110.513571433396</v>
      </c>
      <c r="AJ8407">
        <v>73.977451655776804</v>
      </c>
      <c r="AK8407">
        <v>0.48449039598886801</v>
      </c>
      <c r="AL8407">
        <v>86.845582577966695</v>
      </c>
      <c r="AM8407">
        <v>91.347258775777405</v>
      </c>
      <c r="AN8407">
        <v>0.99999996693315996</v>
      </c>
    </row>
    <row r="8408" spans="1:40" x14ac:dyDescent="0.25">
      <c r="A8408" t="str">
        <f>"20190312160532193"</f>
        <v>20190312160532193</v>
      </c>
      <c r="B8408" t="str">
        <f>"1552377932183544"</f>
        <v>1552377932183544</v>
      </c>
      <c r="C8408" t="s">
        <v>40</v>
      </c>
      <c r="D8408">
        <v>5.5210189999999999</v>
      </c>
      <c r="E8408">
        <v>0.581794699999999</v>
      </c>
      <c r="F8408" t="s">
        <v>49</v>
      </c>
      <c r="G8408">
        <v>-187.27789999999999</v>
      </c>
      <c r="H8408">
        <v>0.90266919999999995</v>
      </c>
      <c r="I8408">
        <v>32.825180000000003</v>
      </c>
      <c r="J8408">
        <v>-187.44450000000001</v>
      </c>
      <c r="K8408">
        <v>1.1104969999999901</v>
      </c>
      <c r="L8408">
        <v>32.208950000000002</v>
      </c>
      <c r="M8408">
        <v>-4.0675420000000004E-3</v>
      </c>
      <c r="N8408">
        <v>0</v>
      </c>
      <c r="O8408">
        <v>0.99989989999999995</v>
      </c>
      <c r="P8408">
        <v>-2.8226330000000001E-2</v>
      </c>
      <c r="Q8408">
        <v>4.1946799999999999E-2</v>
      </c>
      <c r="R8408">
        <v>0.99872110000000003</v>
      </c>
      <c r="S8408">
        <v>0.60081479999999998</v>
      </c>
      <c r="T8408">
        <v>-0.75501879999999999</v>
      </c>
      <c r="U8408">
        <v>3.0515439999999998</v>
      </c>
      <c r="V8408">
        <v>-2.417302E-2</v>
      </c>
      <c r="W8408">
        <v>5.5470890000000002E-2</v>
      </c>
      <c r="X8408">
        <v>0.99816760000000004</v>
      </c>
      <c r="Y8408">
        <v>0.19172059999999999</v>
      </c>
      <c r="Z8408">
        <v>-0.2358132</v>
      </c>
      <c r="AA8408">
        <v>0.95269899999999996</v>
      </c>
      <c r="AB8408">
        <v>21</v>
      </c>
      <c r="AC8408">
        <v>0.16660000000001601</v>
      </c>
      <c r="AD8408">
        <v>-0.20782779999999901</v>
      </c>
      <c r="AE8408">
        <v>0.61622999999999395</v>
      </c>
      <c r="AF8408">
        <v>0.15289888865144</v>
      </c>
      <c r="AG8408">
        <v>-0.20782779999999901</v>
      </c>
      <c r="AH8408">
        <v>0.55655516946948602</v>
      </c>
      <c r="AI8408">
        <v>109.80279283077201</v>
      </c>
      <c r="AJ8408">
        <v>74.638468228555098</v>
      </c>
      <c r="AK8408">
        <v>0.61345262349010599</v>
      </c>
      <c r="AL8408">
        <v>86.820119794576001</v>
      </c>
      <c r="AM8408">
        <v>91.387283415790804</v>
      </c>
      <c r="AN8408">
        <v>0.99999995611153503</v>
      </c>
    </row>
    <row r="8409" spans="1:40" x14ac:dyDescent="0.25">
      <c r="A8409" t="str">
        <f>"20190312160532215"</f>
        <v>20190312160532215</v>
      </c>
      <c r="B8409" t="str">
        <f>"1552377932203063"</f>
        <v>1552377932203063</v>
      </c>
      <c r="C8409" t="s">
        <v>40</v>
      </c>
      <c r="D8409">
        <v>5.5372620000000001</v>
      </c>
      <c r="E8409">
        <v>0.58132189999999995</v>
      </c>
      <c r="F8409" t="s">
        <v>49</v>
      </c>
      <c r="G8409">
        <v>-187.28639999999999</v>
      </c>
      <c r="H8409">
        <v>0.91234959999999998</v>
      </c>
      <c r="I8409">
        <v>33.013150000000003</v>
      </c>
      <c r="J8409">
        <v>-187.44550000000001</v>
      </c>
      <c r="K8409">
        <v>1.1104989999999999</v>
      </c>
      <c r="L8409">
        <v>32.41245</v>
      </c>
      <c r="M8409">
        <v>-4.2072460000000004E-3</v>
      </c>
      <c r="N8409">
        <v>0</v>
      </c>
      <c r="O8409">
        <v>0.99989939999999999</v>
      </c>
      <c r="P8409">
        <v>-2.870352E-2</v>
      </c>
      <c r="Q8409">
        <v>4.2396040000000003E-2</v>
      </c>
      <c r="R8409">
        <v>0.99868849999999998</v>
      </c>
      <c r="S8409">
        <v>0.59951779999999999</v>
      </c>
      <c r="T8409">
        <v>-0.75207599999999997</v>
      </c>
      <c r="U8409">
        <v>3.052368</v>
      </c>
      <c r="V8409">
        <v>-2.4510339999999999E-2</v>
      </c>
      <c r="W8409">
        <v>5.5917950000000001E-2</v>
      </c>
      <c r="X8409">
        <v>0.99813450000000004</v>
      </c>
      <c r="Y8409">
        <v>0.19146160000000001</v>
      </c>
      <c r="Z8409">
        <v>-0.234902</v>
      </c>
      <c r="AA8409">
        <v>0.95297619999999905</v>
      </c>
      <c r="AB8409">
        <v>21</v>
      </c>
      <c r="AC8409">
        <v>0.159100000000023</v>
      </c>
      <c r="AD8409">
        <v>-0.1981494</v>
      </c>
      <c r="AE8409">
        <v>0.60070000000000301</v>
      </c>
      <c r="AF8409">
        <v>0.146709073054614</v>
      </c>
      <c r="AG8409">
        <v>-0.1981494</v>
      </c>
      <c r="AH8409">
        <v>0.54464680618958905</v>
      </c>
      <c r="AI8409">
        <v>109.355933815442</v>
      </c>
      <c r="AJ8409">
        <v>74.924312959803999</v>
      </c>
      <c r="AK8409">
        <v>0.59785188828791402</v>
      </c>
      <c r="AL8409">
        <v>86.794465550198396</v>
      </c>
      <c r="AM8409">
        <v>91.406681027728894</v>
      </c>
      <c r="AN8409">
        <v>1.00000002699468</v>
      </c>
    </row>
    <row r="8410" spans="1:40" x14ac:dyDescent="0.25">
      <c r="A8410" t="str">
        <f>"20190312160532237"</f>
        <v>20190312160532237</v>
      </c>
      <c r="B8410" t="str">
        <f>"1552377932233319"</f>
        <v>1552377932233319</v>
      </c>
      <c r="C8410" t="s">
        <v>40</v>
      </c>
      <c r="D8410">
        <v>5.6717550000000001</v>
      </c>
      <c r="E8410">
        <v>0.58000169999999995</v>
      </c>
      <c r="F8410" t="s">
        <v>49</v>
      </c>
      <c r="G8410">
        <v>-187.292</v>
      </c>
      <c r="H8410">
        <v>0.91806319999999997</v>
      </c>
      <c r="I8410">
        <v>33.199339999999999</v>
      </c>
      <c r="J8410">
        <v>-187.44649999999999</v>
      </c>
      <c r="K8410">
        <v>1.1104969999999901</v>
      </c>
      <c r="L8410">
        <v>32.614809999999999</v>
      </c>
      <c r="M8410">
        <v>-4.3466199999999998E-3</v>
      </c>
      <c r="N8410">
        <v>0</v>
      </c>
      <c r="O8410">
        <v>0.99989890000000003</v>
      </c>
      <c r="P8410">
        <v>-2.9098249999999999E-2</v>
      </c>
      <c r="Q8410">
        <v>4.2061969999999997E-2</v>
      </c>
      <c r="R8410">
        <v>0.9986912</v>
      </c>
      <c r="S8410">
        <v>0.59461980000000003</v>
      </c>
      <c r="T8410">
        <v>-0.74656</v>
      </c>
      <c r="U8410">
        <v>3.0527340000000001</v>
      </c>
      <c r="V8410">
        <v>-2.476592E-2</v>
      </c>
      <c r="W8410">
        <v>5.5582300000000001E-2</v>
      </c>
      <c r="X8410">
        <v>0.99814689999999995</v>
      </c>
      <c r="Y8410">
        <v>0.19017690000000001</v>
      </c>
      <c r="Z8410">
        <v>-0.23331180000000001</v>
      </c>
      <c r="AA8410">
        <v>0.95362380000000002</v>
      </c>
      <c r="AB8410">
        <v>21</v>
      </c>
      <c r="AC8410">
        <v>0.15449999999998401</v>
      </c>
      <c r="AD8410">
        <v>-0.19243379999999899</v>
      </c>
      <c r="AE8410">
        <v>0.58452999999999999</v>
      </c>
      <c r="AF8410">
        <v>0.14259430891803501</v>
      </c>
      <c r="AG8410">
        <v>-0.19243379999999899</v>
      </c>
      <c r="AH8410">
        <v>0.53014747208637802</v>
      </c>
      <c r="AI8410">
        <v>109.31676997789801</v>
      </c>
      <c r="AJ8410">
        <v>74.945389163634303</v>
      </c>
      <c r="AK8410">
        <v>0.58173898483583597</v>
      </c>
      <c r="AL8410">
        <v>86.813726711202506</v>
      </c>
      <c r="AM8410">
        <v>91.421325467901397</v>
      </c>
      <c r="AN8410">
        <v>0.99999998842317295</v>
      </c>
    </row>
    <row r="8411" spans="1:40" x14ac:dyDescent="0.25">
      <c r="A8411" t="str">
        <f>"20190312160532258"</f>
        <v>20190312160532258</v>
      </c>
      <c r="B8411" t="str">
        <f>"1552377932253816"</f>
        <v>1552377932253816</v>
      </c>
      <c r="C8411" t="s">
        <v>40</v>
      </c>
      <c r="D8411">
        <v>5.6028180000000001</v>
      </c>
      <c r="E8411">
        <v>0.57887999999999995</v>
      </c>
      <c r="F8411" t="s">
        <v>49</v>
      </c>
      <c r="G8411">
        <v>-187.29929999999999</v>
      </c>
      <c r="H8411">
        <v>0.92509220000000003</v>
      </c>
      <c r="I8411">
        <v>33.385730000000002</v>
      </c>
      <c r="J8411">
        <v>-187.44759999999999</v>
      </c>
      <c r="K8411">
        <v>1.1104940000000001</v>
      </c>
      <c r="L8411">
        <v>32.811190000000003</v>
      </c>
      <c r="M8411">
        <v>-4.4824269999999998E-3</v>
      </c>
      <c r="N8411">
        <v>0</v>
      </c>
      <c r="O8411">
        <v>0.99989830000000002</v>
      </c>
      <c r="P8411">
        <v>-2.8885149999999998E-2</v>
      </c>
      <c r="Q8411">
        <v>4.1357890000000001E-2</v>
      </c>
      <c r="R8411">
        <v>0.99872680000000003</v>
      </c>
      <c r="S8411">
        <v>0.58242799999999995</v>
      </c>
      <c r="T8411">
        <v>-0.73395650000000001</v>
      </c>
      <c r="U8411">
        <v>3.0518190000000001</v>
      </c>
      <c r="V8411">
        <v>-2.4416569999999999E-2</v>
      </c>
      <c r="W8411">
        <v>5.4877189999999999E-2</v>
      </c>
      <c r="X8411">
        <v>0.99819449999999998</v>
      </c>
      <c r="Y8411">
        <v>0.18684600000000001</v>
      </c>
      <c r="Z8411">
        <v>-0.2298056</v>
      </c>
      <c r="AA8411">
        <v>0.95513239999999999</v>
      </c>
      <c r="AB8411">
        <v>21</v>
      </c>
      <c r="AC8411">
        <v>0.14830000000000601</v>
      </c>
      <c r="AD8411">
        <v>-0.18540180000000001</v>
      </c>
      <c r="AE8411">
        <v>0.57453999999999805</v>
      </c>
      <c r="AF8411">
        <v>0.13745463052878301</v>
      </c>
      <c r="AG8411">
        <v>-0.18540180000000001</v>
      </c>
      <c r="AH8411">
        <v>0.522826781324229</v>
      </c>
      <c r="AI8411">
        <v>108.929895102272</v>
      </c>
      <c r="AJ8411">
        <v>75.2699016488355</v>
      </c>
      <c r="AK8411">
        <v>0.57150279628965694</v>
      </c>
      <c r="AL8411">
        <v>86.854188230876701</v>
      </c>
      <c r="AM8411">
        <v>91.401217395957303</v>
      </c>
      <c r="AN8411">
        <v>0.99999996735155405</v>
      </c>
    </row>
    <row r="8412" spans="1:40" x14ac:dyDescent="0.25">
      <c r="A8412" t="str">
        <f>"20190312160532281"</f>
        <v>20190312160532281</v>
      </c>
      <c r="B8412" t="str">
        <f>"1552377932273335"</f>
        <v>1552377932273335</v>
      </c>
      <c r="C8412" t="s">
        <v>40</v>
      </c>
      <c r="D8412">
        <v>5.5821420000000002</v>
      </c>
      <c r="E8412">
        <v>0.57780359999999997</v>
      </c>
      <c r="F8412" t="s">
        <v>49</v>
      </c>
      <c r="G8412">
        <v>-187.30439999999999</v>
      </c>
      <c r="H8412">
        <v>0.92983760000000004</v>
      </c>
      <c r="I8412">
        <v>33.57103</v>
      </c>
      <c r="J8412">
        <v>-187.4487</v>
      </c>
      <c r="K8412">
        <v>1.1104959999999999</v>
      </c>
      <c r="L8412">
        <v>33.018459999999997</v>
      </c>
      <c r="M8412">
        <v>-4.6267829999999998E-3</v>
      </c>
      <c r="N8412">
        <v>0</v>
      </c>
      <c r="O8412">
        <v>0.99989760000000005</v>
      </c>
      <c r="P8412">
        <v>-2.911182E-2</v>
      </c>
      <c r="Q8412">
        <v>4.1764269999999999E-2</v>
      </c>
      <c r="R8412">
        <v>0.99870329999999996</v>
      </c>
      <c r="S8412">
        <v>0.574295</v>
      </c>
      <c r="T8412">
        <v>-0.72526599999999997</v>
      </c>
      <c r="U8412">
        <v>3.0504760000000002</v>
      </c>
      <c r="V8412">
        <v>-2.4498840000000001E-2</v>
      </c>
      <c r="W8412">
        <v>5.5281410000000003E-2</v>
      </c>
      <c r="X8412">
        <v>0.99817020000000001</v>
      </c>
      <c r="Y8412">
        <v>0.18471009999999999</v>
      </c>
      <c r="Z8412">
        <v>-0.2274206</v>
      </c>
      <c r="AA8412">
        <v>0.95611820000000003</v>
      </c>
      <c r="AB8412">
        <v>21</v>
      </c>
      <c r="AC8412">
        <v>0.144300000000015</v>
      </c>
      <c r="AD8412">
        <v>-0.180658399999999</v>
      </c>
      <c r="AE8412">
        <v>0.552570000000002</v>
      </c>
      <c r="AF8412">
        <v>0.133496698786084</v>
      </c>
      <c r="AG8412">
        <v>-0.180658399999999</v>
      </c>
      <c r="AH8412">
        <v>0.50169342891082203</v>
      </c>
      <c r="AI8412">
        <v>109.18729453158601</v>
      </c>
      <c r="AJ8412">
        <v>75.099317540525703</v>
      </c>
      <c r="AK8412">
        <v>0.54968638575977202</v>
      </c>
      <c r="AL8412">
        <v>86.830992983990896</v>
      </c>
      <c r="AM8412">
        <v>91.405971025632894</v>
      </c>
      <c r="AN8412">
        <v>0.99999998781048605</v>
      </c>
    </row>
    <row r="8413" spans="1:40" x14ac:dyDescent="0.25">
      <c r="A8413" t="str">
        <f>"20190312160532303"</f>
        <v>20190312160532303</v>
      </c>
      <c r="B8413" t="str">
        <f>"1552377932293831"</f>
        <v>1552377932293831</v>
      </c>
      <c r="C8413" t="s">
        <v>40</v>
      </c>
      <c r="D8413">
        <v>5.5818050000000001</v>
      </c>
      <c r="E8413">
        <v>0.57698559999999999</v>
      </c>
      <c r="F8413" t="s">
        <v>49</v>
      </c>
      <c r="G8413">
        <v>-187.31190000000001</v>
      </c>
      <c r="H8413">
        <v>0.93736090000000005</v>
      </c>
      <c r="I8413">
        <v>33.757350000000002</v>
      </c>
      <c r="J8413">
        <v>-187.44980000000001</v>
      </c>
      <c r="K8413">
        <v>1.1104989999999999</v>
      </c>
      <c r="L8413">
        <v>33.226009999999903</v>
      </c>
      <c r="M8413">
        <v>-4.7723560000000002E-3</v>
      </c>
      <c r="N8413">
        <v>0</v>
      </c>
      <c r="O8413">
        <v>0.99989689999999998</v>
      </c>
      <c r="P8413">
        <v>-2.8917390000000001E-2</v>
      </c>
      <c r="Q8413">
        <v>4.1415430000000003E-2</v>
      </c>
      <c r="R8413">
        <v>0.99872340000000004</v>
      </c>
      <c r="S8413">
        <v>0.56471249999999995</v>
      </c>
      <c r="T8413">
        <v>-0.71473100000000001</v>
      </c>
      <c r="U8413">
        <v>3.050262</v>
      </c>
      <c r="V8413">
        <v>-2.4158990000000002E-2</v>
      </c>
      <c r="W8413">
        <v>5.4930979999999997E-2</v>
      </c>
      <c r="X8413">
        <v>0.99819789999999997</v>
      </c>
      <c r="Y8413">
        <v>0.18208869999999999</v>
      </c>
      <c r="Z8413">
        <v>-0.22441810000000001</v>
      </c>
      <c r="AA8413">
        <v>0.95732980000000001</v>
      </c>
      <c r="AB8413">
        <v>21</v>
      </c>
      <c r="AC8413">
        <v>0.13790000000000099</v>
      </c>
      <c r="AD8413">
        <v>-0.17313809999999899</v>
      </c>
      <c r="AE8413">
        <v>0.53134000000000703</v>
      </c>
      <c r="AF8413">
        <v>0.12772816180406499</v>
      </c>
      <c r="AG8413">
        <v>-0.17313809999999899</v>
      </c>
      <c r="AH8413">
        <v>0.48266122257163302</v>
      </c>
      <c r="AI8413">
        <v>109.125444422678</v>
      </c>
      <c r="AJ8413">
        <v>75.177414248315003</v>
      </c>
      <c r="AK8413">
        <v>0.52844407534175197</v>
      </c>
      <c r="AL8413">
        <v>86.851101922266395</v>
      </c>
      <c r="AM8413">
        <v>91.386436482355293</v>
      </c>
      <c r="AN8413">
        <v>1.00000005846299</v>
      </c>
    </row>
    <row r="8414" spans="1:40" x14ac:dyDescent="0.25">
      <c r="A8414" t="str">
        <f>"20190312160532325"</f>
        <v>20190312160532325</v>
      </c>
      <c r="B8414" t="str">
        <f>"1552377932313355"</f>
        <v>1552377932313355</v>
      </c>
      <c r="C8414" t="s">
        <v>40</v>
      </c>
      <c r="D8414">
        <v>5.6558219999999997</v>
      </c>
      <c r="E8414">
        <v>0.57619469999999995</v>
      </c>
      <c r="F8414" t="s">
        <v>49</v>
      </c>
      <c r="G8414">
        <v>-187.3184</v>
      </c>
      <c r="H8414">
        <v>0.94409759999999998</v>
      </c>
      <c r="I8414">
        <v>33.943309999999997</v>
      </c>
      <c r="J8414">
        <v>-187.45089999999999</v>
      </c>
      <c r="K8414">
        <v>1.1104959999999999</v>
      </c>
      <c r="L8414">
        <v>33.418520000000001</v>
      </c>
      <c r="M8414">
        <v>-4.9081230000000003E-3</v>
      </c>
      <c r="N8414">
        <v>0</v>
      </c>
      <c r="O8414">
        <v>0.99989629999999996</v>
      </c>
      <c r="P8414">
        <v>-2.8651909999999999E-2</v>
      </c>
      <c r="Q8414">
        <v>4.165E-2</v>
      </c>
      <c r="R8414">
        <v>0.99872139999999998</v>
      </c>
      <c r="S8414">
        <v>0.55793760000000003</v>
      </c>
      <c r="T8414">
        <v>-0.70739810000000003</v>
      </c>
      <c r="U8414">
        <v>3.0493160000000001</v>
      </c>
      <c r="V8414">
        <v>-2.375791E-2</v>
      </c>
      <c r="W8414">
        <v>5.5163329999999997E-2</v>
      </c>
      <c r="X8414">
        <v>0.99819460000000004</v>
      </c>
      <c r="Y8414">
        <v>0.18030189999999999</v>
      </c>
      <c r="Z8414">
        <v>-0.22237509999999999</v>
      </c>
      <c r="AA8414">
        <v>0.95814429999999995</v>
      </c>
      <c r="AB8414">
        <v>20</v>
      </c>
      <c r="AC8414">
        <v>0.13249999999999301</v>
      </c>
      <c r="AD8414">
        <v>-0.166398399999999</v>
      </c>
      <c r="AE8414">
        <v>0.52478999999999498</v>
      </c>
      <c r="AF8414">
        <v>0.123410546854116</v>
      </c>
      <c r="AG8414">
        <v>-0.166398399999999</v>
      </c>
      <c r="AH8414">
        <v>0.478873781848286</v>
      </c>
      <c r="AI8414">
        <v>108.597289267287</v>
      </c>
      <c r="AJ8414">
        <v>75.548753267243697</v>
      </c>
      <c r="AK8414">
        <v>0.52176497538553801</v>
      </c>
      <c r="AL8414">
        <v>86.837768674731194</v>
      </c>
      <c r="AM8414">
        <v>91.363432564532303</v>
      </c>
      <c r="AN8414">
        <v>0.999999945366707</v>
      </c>
    </row>
    <row r="8415" spans="1:40" x14ac:dyDescent="0.25">
      <c r="A8415" t="str">
        <f>"20190312160532346"</f>
        <v>20190312160532346</v>
      </c>
      <c r="B8415" t="str">
        <f>"1552377932333847"</f>
        <v>1552377932333847</v>
      </c>
      <c r="C8415" t="s">
        <v>40</v>
      </c>
      <c r="D8415">
        <v>5.4530919999999998</v>
      </c>
      <c r="E8415">
        <v>0.57547680000000001</v>
      </c>
      <c r="F8415" t="s">
        <v>49</v>
      </c>
      <c r="G8415">
        <v>-187.32239999999999</v>
      </c>
      <c r="H8415">
        <v>0.9479436</v>
      </c>
      <c r="I8415">
        <v>34.127769999999998</v>
      </c>
      <c r="J8415">
        <v>-187.452</v>
      </c>
      <c r="K8415">
        <v>1.110495</v>
      </c>
      <c r="L8415">
        <v>33.61768</v>
      </c>
      <c r="M8415">
        <v>-5.049146E-3</v>
      </c>
      <c r="N8415">
        <v>0</v>
      </c>
      <c r="O8415">
        <v>0.9998956</v>
      </c>
      <c r="P8415">
        <v>-2.905603E-2</v>
      </c>
      <c r="Q8415">
        <v>4.1394220000000002E-2</v>
      </c>
      <c r="R8415">
        <v>0.99872030000000001</v>
      </c>
      <c r="S8415">
        <v>0.55220029999999998</v>
      </c>
      <c r="T8415">
        <v>-0.69875319999999996</v>
      </c>
      <c r="U8415">
        <v>3.0488279999999999</v>
      </c>
      <c r="V8415">
        <v>-2.402147E-2</v>
      </c>
      <c r="W8415">
        <v>5.4905750000000003E-2</v>
      </c>
      <c r="X8415">
        <v>0.99820260000000005</v>
      </c>
      <c r="Y8415">
        <v>0.178822799999999</v>
      </c>
      <c r="Z8415">
        <v>-0.21988940000000001</v>
      </c>
      <c r="AA8415">
        <v>0.95899489999999998</v>
      </c>
      <c r="AB8415">
        <v>20</v>
      </c>
      <c r="AC8415">
        <v>0.12960000000001001</v>
      </c>
      <c r="AD8415">
        <v>-0.16255139999999901</v>
      </c>
      <c r="AE8415">
        <v>0.51008999999999804</v>
      </c>
      <c r="AF8415">
        <v>0.120663539178618</v>
      </c>
      <c r="AG8415">
        <v>-0.16255139999999901</v>
      </c>
      <c r="AH8415">
        <v>0.465064736609484</v>
      </c>
      <c r="AI8415">
        <v>108.69182263715599</v>
      </c>
      <c r="AJ8415">
        <v>75.455017266207193</v>
      </c>
      <c r="AK8415">
        <v>0.50721578895645503</v>
      </c>
      <c r="AL8415">
        <v>86.852549657727195</v>
      </c>
      <c r="AM8415">
        <v>91.378541048294295</v>
      </c>
      <c r="AN8415">
        <v>1.00000005152539</v>
      </c>
    </row>
    <row r="8416" spans="1:40" x14ac:dyDescent="0.25">
      <c r="A8416" t="str">
        <f>"20190312160532370"</f>
        <v>20190312160532370</v>
      </c>
      <c r="B8416" t="str">
        <f>"1552377932363127"</f>
        <v>1552377932363127</v>
      </c>
      <c r="C8416" t="s">
        <v>40</v>
      </c>
      <c r="D8416">
        <v>5.3833909999999996</v>
      </c>
      <c r="E8416">
        <v>0.53836729999999999</v>
      </c>
      <c r="F8416" t="s">
        <v>49</v>
      </c>
      <c r="G8416">
        <v>-187.32769999999999</v>
      </c>
      <c r="H8416">
        <v>0.9526888</v>
      </c>
      <c r="I8416">
        <v>34.312359999999998</v>
      </c>
      <c r="J8416">
        <v>-187.45330000000001</v>
      </c>
      <c r="K8416">
        <v>1.1104969999999901</v>
      </c>
      <c r="L8416">
        <v>33.835169999999998</v>
      </c>
      <c r="M8416">
        <v>-5.2032299999999997E-3</v>
      </c>
      <c r="N8416">
        <v>0</v>
      </c>
      <c r="O8416">
        <v>0.99989490000000003</v>
      </c>
      <c r="P8416">
        <v>-2.9964379999999999E-2</v>
      </c>
      <c r="Q8416">
        <v>4.1463399999999997E-2</v>
      </c>
      <c r="R8416">
        <v>0.99869059999999998</v>
      </c>
      <c r="S8416">
        <v>0.54521180000000002</v>
      </c>
      <c r="T8416">
        <v>-0.69249530000000004</v>
      </c>
      <c r="U8416">
        <v>3.0484010000000001</v>
      </c>
      <c r="V8416">
        <v>-2.4775789999999999E-2</v>
      </c>
      <c r="W8416">
        <v>5.4972399999999998E-2</v>
      </c>
      <c r="X8416">
        <v>0.99818039999999997</v>
      </c>
      <c r="Y8416">
        <v>0.1769377</v>
      </c>
      <c r="Z8416">
        <v>-0.21812319999999999</v>
      </c>
      <c r="AA8416">
        <v>0.95974749999999998</v>
      </c>
      <c r="AB8416">
        <v>20</v>
      </c>
      <c r="AC8416">
        <v>0.125600000000019</v>
      </c>
      <c r="AD8416">
        <v>-0.15780819999999901</v>
      </c>
      <c r="AE8416">
        <v>0.47719</v>
      </c>
      <c r="AF8416">
        <v>0.116196966388576</v>
      </c>
      <c r="AG8416">
        <v>-0.15780819999999901</v>
      </c>
      <c r="AH8416">
        <v>0.43231344077190098</v>
      </c>
      <c r="AI8416">
        <v>109.41859740933999</v>
      </c>
      <c r="AJ8416">
        <v>74.955625870438993</v>
      </c>
      <c r="AK8416">
        <v>0.47465784946336598</v>
      </c>
      <c r="AL8416">
        <v>86.848724822201405</v>
      </c>
      <c r="AM8416">
        <v>91.421843977807399</v>
      </c>
      <c r="AN8416">
        <v>0.99999995773802097</v>
      </c>
    </row>
    <row r="8417" spans="1:40" x14ac:dyDescent="0.25">
      <c r="A8417" t="str">
        <f>"20190312160532394"</f>
        <v>20190312160532394</v>
      </c>
      <c r="B8417" t="str">
        <f>"1552377932383623"</f>
        <v>1552377932383623</v>
      </c>
      <c r="C8417" t="s">
        <v>40</v>
      </c>
      <c r="D8417">
        <v>5.4193410000000002</v>
      </c>
      <c r="E8417">
        <v>0.52275590000000005</v>
      </c>
      <c r="F8417" t="s">
        <v>49</v>
      </c>
      <c r="G8417">
        <v>-187.38579999999999</v>
      </c>
      <c r="H8417">
        <v>0.96825830000000002</v>
      </c>
      <c r="I8417">
        <v>34.682789999999997</v>
      </c>
      <c r="J8417">
        <v>-187.4546</v>
      </c>
      <c r="K8417">
        <v>1.1104969999999901</v>
      </c>
      <c r="L8417">
        <v>34.05209</v>
      </c>
      <c r="M8417">
        <v>-5.3571729999999998E-3</v>
      </c>
      <c r="N8417">
        <v>0</v>
      </c>
      <c r="O8417">
        <v>0.99989410000000001</v>
      </c>
      <c r="P8417">
        <v>-3.0759649999999999E-2</v>
      </c>
      <c r="Q8417">
        <v>4.1770380000000003E-2</v>
      </c>
      <c r="R8417">
        <v>0.99865369999999998</v>
      </c>
      <c r="S8417">
        <v>0.24102779999999999</v>
      </c>
      <c r="T8417">
        <v>-0.50886980000000004</v>
      </c>
      <c r="U8417">
        <v>3.0322879999999999</v>
      </c>
      <c r="V8417">
        <v>-2.5417450000000001E-2</v>
      </c>
      <c r="W8417">
        <v>5.5276649999999997E-2</v>
      </c>
      <c r="X8417">
        <v>0.99814749999999997</v>
      </c>
      <c r="Y8417">
        <v>8.3491250000000003E-2</v>
      </c>
      <c r="Z8417">
        <v>-0.1649571</v>
      </c>
      <c r="AA8417">
        <v>0.98276059999999998</v>
      </c>
      <c r="AB8417">
        <v>20</v>
      </c>
      <c r="AC8417">
        <v>6.8800000000010103E-2</v>
      </c>
      <c r="AD8417">
        <v>-0.142238699999999</v>
      </c>
      <c r="AE8417">
        <v>0.63070000000000404</v>
      </c>
      <c r="AF8417">
        <v>6.8723794467486804E-2</v>
      </c>
      <c r="AG8417">
        <v>-0.142238699999999</v>
      </c>
      <c r="AH8417">
        <v>0.60015639704186696</v>
      </c>
      <c r="AI8417">
        <v>103.249741943505</v>
      </c>
      <c r="AJ8417">
        <v>83.467524420626205</v>
      </c>
      <c r="AK8417">
        <v>0.62059850838845398</v>
      </c>
      <c r="AL8417">
        <v>86.831266146901896</v>
      </c>
      <c r="AM8417">
        <v>91.458700194978604</v>
      </c>
      <c r="AN8417">
        <v>0.99999999327798705</v>
      </c>
    </row>
    <row r="8418" spans="1:40" x14ac:dyDescent="0.25">
      <c r="A8418" t="str">
        <f>"20190312160532416"</f>
        <v>20190312160532416</v>
      </c>
      <c r="B8418" t="str">
        <f>"1552377932403143"</f>
        <v>1552377932403143</v>
      </c>
      <c r="C8418" t="s">
        <v>40</v>
      </c>
      <c r="D8418">
        <v>5.5139389999999997</v>
      </c>
      <c r="E8418">
        <v>0.51546819999999904</v>
      </c>
      <c r="F8418" t="s">
        <v>49</v>
      </c>
      <c r="G8418">
        <v>-187.42490000000001</v>
      </c>
      <c r="H8418">
        <v>1.0179049999999901</v>
      </c>
      <c r="I8418">
        <v>34.889130000000002</v>
      </c>
      <c r="J8418">
        <v>-187.45590000000001</v>
      </c>
      <c r="K8418">
        <v>1.110492</v>
      </c>
      <c r="L8418">
        <v>34.25018</v>
      </c>
      <c r="M8418">
        <v>-5.4977259999999997E-3</v>
      </c>
      <c r="N8418">
        <v>0</v>
      </c>
      <c r="O8418">
        <v>0.99989340000000004</v>
      </c>
      <c r="P8418">
        <v>-3.1176990000000002E-2</v>
      </c>
      <c r="Q8418">
        <v>4.04693E-2</v>
      </c>
      <c r="R8418">
        <v>0.99869419999999998</v>
      </c>
      <c r="S8418">
        <v>0.10736080000000001</v>
      </c>
      <c r="T8418">
        <v>-0.33421339999999999</v>
      </c>
      <c r="U8418">
        <v>3.0213320000000001</v>
      </c>
      <c r="V8418">
        <v>-2.5694379999999999E-2</v>
      </c>
      <c r="W8418">
        <v>5.3973960000000001E-2</v>
      </c>
      <c r="X8418">
        <v>0.99821170000000004</v>
      </c>
      <c r="Y8418">
        <v>4.0791099999999997E-2</v>
      </c>
      <c r="Z8418">
        <v>-0.1098648</v>
      </c>
      <c r="AA8418">
        <v>0.99310920000000003</v>
      </c>
      <c r="AB8418">
        <v>20</v>
      </c>
      <c r="AC8418">
        <v>3.1000000000005901E-2</v>
      </c>
      <c r="AD8418">
        <v>-9.2587000000000197E-2</v>
      </c>
      <c r="AE8418">
        <v>0.63895000000000102</v>
      </c>
      <c r="AF8418">
        <v>3.3804484238546997E-2</v>
      </c>
      <c r="AG8418">
        <v>-9.2587000000000197E-2</v>
      </c>
      <c r="AH8418">
        <v>0.62566342046585699</v>
      </c>
      <c r="AI8418">
        <v>98.405576041711399</v>
      </c>
      <c r="AJ8418">
        <v>86.907326201261895</v>
      </c>
      <c r="AK8418">
        <v>0.63337967399709705</v>
      </c>
      <c r="AL8418">
        <v>86.906016401135503</v>
      </c>
      <c r="AM8418">
        <v>91.474491353218397</v>
      </c>
      <c r="AN8418">
        <v>0.99999999376927795</v>
      </c>
    </row>
    <row r="8419" spans="1:40" x14ac:dyDescent="0.25">
      <c r="A8419" t="str">
        <f>"20190312160532437"</f>
        <v>20190312160532437</v>
      </c>
      <c r="B8419" t="str">
        <f>"1552377932433400"</f>
        <v>1552377932433400</v>
      </c>
      <c r="C8419" t="s">
        <v>40</v>
      </c>
      <c r="D8419">
        <v>5.4250099999999897</v>
      </c>
      <c r="E8419">
        <v>0.51292450000000001</v>
      </c>
      <c r="F8419" t="s">
        <v>49</v>
      </c>
      <c r="G8419">
        <v>-187.4436</v>
      </c>
      <c r="H8419">
        <v>1.0387569999999999</v>
      </c>
      <c r="I8419">
        <v>35.081829999999997</v>
      </c>
      <c r="J8419">
        <v>-187.4571</v>
      </c>
      <c r="K8419">
        <v>1.11049</v>
      </c>
      <c r="L8419">
        <v>34.43732</v>
      </c>
      <c r="M8419">
        <v>-5.6303730000000001E-3</v>
      </c>
      <c r="N8419">
        <v>0</v>
      </c>
      <c r="O8419">
        <v>0.99989269999999997</v>
      </c>
      <c r="P8419">
        <v>-3.1636930000000001E-2</v>
      </c>
      <c r="Q8419">
        <v>4.0460059999999999E-2</v>
      </c>
      <c r="R8419">
        <v>0.99868020000000002</v>
      </c>
      <c r="S8419">
        <v>4.400635E-2</v>
      </c>
      <c r="T8419">
        <v>-0.26015060000000001</v>
      </c>
      <c r="U8419">
        <v>3.0158390000000002</v>
      </c>
      <c r="V8419">
        <v>-2.6021869999999999E-2</v>
      </c>
      <c r="W8419">
        <v>5.3963009999999999E-2</v>
      </c>
      <c r="X8419">
        <v>0.99820379999999997</v>
      </c>
      <c r="Y8419">
        <v>2.0166280000000002E-2</v>
      </c>
      <c r="Z8419">
        <v>-8.5926970000000005E-2</v>
      </c>
      <c r="AA8419">
        <v>0.99609729999999996</v>
      </c>
      <c r="AB8419">
        <v>20</v>
      </c>
      <c r="AC8419">
        <v>1.3499999999993399E-2</v>
      </c>
      <c r="AD8419">
        <v>-7.1733000000000005E-2</v>
      </c>
      <c r="AE8419">
        <v>0.64450999999999603</v>
      </c>
      <c r="AF8419">
        <v>1.6919454146906501E-2</v>
      </c>
      <c r="AG8419">
        <v>-7.1733000000000005E-2</v>
      </c>
      <c r="AH8419">
        <v>0.63654214812312904</v>
      </c>
      <c r="AI8419">
        <v>96.427380236909698</v>
      </c>
      <c r="AJ8419">
        <v>88.477421936983106</v>
      </c>
      <c r="AK8419">
        <v>0.64079466099120796</v>
      </c>
      <c r="AL8419">
        <v>86.906644679214097</v>
      </c>
      <c r="AM8419">
        <v>91.493287970684904</v>
      </c>
      <c r="AN8419">
        <v>0.99999998525049805</v>
      </c>
    </row>
    <row r="8420" spans="1:40" x14ac:dyDescent="0.25">
      <c r="A8420" t="str">
        <f>"20190312160532460"</f>
        <v>20190312160532460</v>
      </c>
      <c r="B8420" t="str">
        <f>"1552377932453896"</f>
        <v>1552377932453896</v>
      </c>
      <c r="C8420" t="s">
        <v>40</v>
      </c>
      <c r="D8420">
        <v>5.4967280000000001</v>
      </c>
      <c r="E8420">
        <v>0.51169659999999995</v>
      </c>
      <c r="F8420" t="s">
        <v>41</v>
      </c>
      <c r="G8420">
        <v>-187.352</v>
      </c>
      <c r="H8420" s="1">
        <v>-4.7230009999999997E-6</v>
      </c>
      <c r="I8420">
        <v>49.5473</v>
      </c>
      <c r="J8420">
        <v>-187.45849999999999</v>
      </c>
      <c r="K8420">
        <v>1.110493</v>
      </c>
      <c r="L8420">
        <v>34.655639999999998</v>
      </c>
      <c r="M8420">
        <v>-5.7849599999999996E-3</v>
      </c>
      <c r="N8420">
        <v>0</v>
      </c>
      <c r="O8420">
        <v>0.9998918</v>
      </c>
      <c r="P8420">
        <v>-3.1735640000000002E-2</v>
      </c>
      <c r="Q8420">
        <v>4.1034979999999999E-2</v>
      </c>
      <c r="R8420">
        <v>0.99865360000000003</v>
      </c>
      <c r="S8420">
        <v>2.0950320000000001E-2</v>
      </c>
      <c r="T8420">
        <v>-0.2214826</v>
      </c>
      <c r="U8420">
        <v>3.013611</v>
      </c>
      <c r="V8420">
        <v>-2.5966320000000001E-2</v>
      </c>
      <c r="W8420">
        <v>5.4535319999999998E-2</v>
      </c>
      <c r="X8420">
        <v>0.99817409999999995</v>
      </c>
      <c r="Y8420">
        <v>1.271827E-2</v>
      </c>
      <c r="Z8420">
        <v>-7.3290739999999993E-2</v>
      </c>
      <c r="AA8420">
        <v>0.99722949999999999</v>
      </c>
      <c r="AB8420">
        <v>20</v>
      </c>
      <c r="AC8420">
        <v>0.106499999999982</v>
      </c>
      <c r="AD8420">
        <v>-1.110497723001</v>
      </c>
      <c r="AE8420">
        <v>14.8916599999999</v>
      </c>
      <c r="AF8420">
        <v>0.19158839597399999</v>
      </c>
      <c r="AG8420">
        <v>-1.110497723001</v>
      </c>
      <c r="AH8420">
        <v>14.8084497555651</v>
      </c>
      <c r="AI8420">
        <v>94.288272492575004</v>
      </c>
      <c r="AJ8420">
        <v>89.258761432920096</v>
      </c>
      <c r="AK8420">
        <v>14.851265786772499</v>
      </c>
      <c r="AL8420">
        <v>86.873805238446906</v>
      </c>
      <c r="AM8420">
        <v>91.490145940666395</v>
      </c>
      <c r="AN8420">
        <v>0.99999994240632495</v>
      </c>
    </row>
    <row r="8421" spans="1:40" x14ac:dyDescent="0.25">
      <c r="A8421" t="str">
        <f>"20190312160532484"</f>
        <v>20190312160532484</v>
      </c>
      <c r="B8421" t="str">
        <f>"1552377932473416"</f>
        <v>1552377932473416</v>
      </c>
      <c r="C8421" t="s">
        <v>40</v>
      </c>
      <c r="D8421">
        <v>5.6718529999999996</v>
      </c>
      <c r="E8421">
        <v>0.51105080000000003</v>
      </c>
      <c r="F8421" t="s">
        <v>41</v>
      </c>
      <c r="G8421">
        <v>-187.39879999999999</v>
      </c>
      <c r="H8421" s="1">
        <v>-1.404565E-6</v>
      </c>
      <c r="I8421">
        <v>51.741619999999998</v>
      </c>
      <c r="J8421">
        <v>-187.4598</v>
      </c>
      <c r="K8421">
        <v>1.1104889999999901</v>
      </c>
      <c r="L8421">
        <v>34.857759999999999</v>
      </c>
      <c r="M8421">
        <v>-5.9280000000000001E-3</v>
      </c>
      <c r="N8421">
        <v>0</v>
      </c>
      <c r="O8421">
        <v>0.99989099999999997</v>
      </c>
      <c r="P8421">
        <v>-3.175153E-2</v>
      </c>
      <c r="Q8421">
        <v>4.0696089999999997E-2</v>
      </c>
      <c r="R8421">
        <v>0.99866690000000002</v>
      </c>
      <c r="S8421">
        <v>1.0528559999999999E-2</v>
      </c>
      <c r="T8421">
        <v>-0.19579079999999999</v>
      </c>
      <c r="U8421">
        <v>3.0124209999999998</v>
      </c>
      <c r="V8421">
        <v>-2.5839239999999999E-2</v>
      </c>
      <c r="W8421">
        <v>5.4194890000000003E-2</v>
      </c>
      <c r="X8421">
        <v>0.99819599999999997</v>
      </c>
      <c r="Y8421">
        <v>9.4161160000000004E-3</v>
      </c>
      <c r="Z8421">
        <v>-6.4854319999999993E-2</v>
      </c>
      <c r="AA8421">
        <v>0.99785029999999997</v>
      </c>
      <c r="AB8421">
        <v>20</v>
      </c>
      <c r="AC8421">
        <v>6.1000000000007E-2</v>
      </c>
      <c r="AD8421">
        <v>-1.1104904045649999</v>
      </c>
      <c r="AE8421">
        <v>16.883859999999999</v>
      </c>
      <c r="AF8421">
        <v>0.160401713522489</v>
      </c>
      <c r="AG8421">
        <v>-1.1104904045649999</v>
      </c>
      <c r="AH8421">
        <v>16.810480516689701</v>
      </c>
      <c r="AI8421">
        <v>93.779262542546405</v>
      </c>
      <c r="AJ8421">
        <v>89.453313526343393</v>
      </c>
      <c r="AK8421">
        <v>16.847883334423202</v>
      </c>
      <c r="AL8421">
        <v>86.893339520123206</v>
      </c>
      <c r="AM8421">
        <v>91.482823864197201</v>
      </c>
      <c r="AN8421">
        <v>1.00000000342094</v>
      </c>
    </row>
    <row r="8422" spans="1:40" x14ac:dyDescent="0.25">
      <c r="A8422" t="str">
        <f>"20190312160532506"</f>
        <v>20190312160532506</v>
      </c>
      <c r="B8422" t="str">
        <f>"1552377932493911"</f>
        <v>1552377932493911</v>
      </c>
      <c r="C8422" t="s">
        <v>40</v>
      </c>
      <c r="D8422">
        <v>5.5129780000000004</v>
      </c>
      <c r="E8422">
        <v>0.51049949999999999</v>
      </c>
      <c r="F8422" t="s">
        <v>41</v>
      </c>
      <c r="G8422">
        <v>-187.4316</v>
      </c>
      <c r="H8422" s="1">
        <v>-2.0968870000000001E-6</v>
      </c>
      <c r="I8422">
        <v>53.458689999999997</v>
      </c>
      <c r="J8422">
        <v>-187.46119999999999</v>
      </c>
      <c r="K8422">
        <v>1.110487</v>
      </c>
      <c r="L8422">
        <v>35.063079999999999</v>
      </c>
      <c r="M8422">
        <v>-6.0733609999999898E-3</v>
      </c>
      <c r="N8422">
        <v>0</v>
      </c>
      <c r="O8422">
        <v>0.9998901</v>
      </c>
      <c r="P8422">
        <v>-3.108052E-2</v>
      </c>
      <c r="Q8422">
        <v>3.9886499999999998E-2</v>
      </c>
      <c r="R8422">
        <v>0.99872070000000002</v>
      </c>
      <c r="S8422">
        <v>4.5623779999999997E-3</v>
      </c>
      <c r="T8422">
        <v>-0.17978759999999999</v>
      </c>
      <c r="U8422">
        <v>3.0114749999999999</v>
      </c>
      <c r="V8422">
        <v>-2.5022599999999999E-2</v>
      </c>
      <c r="W8422">
        <v>5.3384019999999997E-2</v>
      </c>
      <c r="X8422">
        <v>0.9982605</v>
      </c>
      <c r="Y8422">
        <v>7.586186E-3</v>
      </c>
      <c r="Z8422">
        <v>-5.9592199999999998E-2</v>
      </c>
      <c r="AA8422">
        <v>0.99819400000000003</v>
      </c>
      <c r="AB8422">
        <v>20</v>
      </c>
      <c r="AC8422">
        <v>2.9599999999987799E-2</v>
      </c>
      <c r="AD8422">
        <v>-1.110489096887</v>
      </c>
      <c r="AE8422">
        <v>18.395610000000001</v>
      </c>
      <c r="AF8422">
        <v>0.140819681542276</v>
      </c>
      <c r="AG8422">
        <v>-1.110489096887</v>
      </c>
      <c r="AH8422">
        <v>18.328299370205499</v>
      </c>
      <c r="AI8422">
        <v>93.467140064413897</v>
      </c>
      <c r="AJ8422">
        <v>89.559794692065793</v>
      </c>
      <c r="AK8422">
        <v>18.362450109418599</v>
      </c>
      <c r="AL8422">
        <v>86.939866311623803</v>
      </c>
      <c r="AM8422">
        <v>91.435886941645094</v>
      </c>
      <c r="AN8422">
        <v>1.0000000049811799</v>
      </c>
    </row>
    <row r="8423" spans="1:40" x14ac:dyDescent="0.25">
      <c r="A8423" t="str">
        <f>"20190312160532527"</f>
        <v>20190312160532527</v>
      </c>
      <c r="B8423" t="str">
        <f>"1552377932523192"</f>
        <v>1552377932523192</v>
      </c>
      <c r="C8423" t="s">
        <v>40</v>
      </c>
      <c r="D8423">
        <v>5.5492910000000002</v>
      </c>
      <c r="E8423">
        <v>0.50985009999999997</v>
      </c>
      <c r="F8423" t="s">
        <v>41</v>
      </c>
      <c r="G8423">
        <v>-187.45079999999999</v>
      </c>
      <c r="H8423" s="1">
        <v>-2.6082899999999998E-6</v>
      </c>
      <c r="I8423">
        <v>54.658700000000003</v>
      </c>
      <c r="J8423">
        <v>-187.46250000000001</v>
      </c>
      <c r="K8423">
        <v>1.1104879999999999</v>
      </c>
      <c r="L8423">
        <v>35.250579999999999</v>
      </c>
      <c r="M8423">
        <v>-6.2057199999999996E-3</v>
      </c>
      <c r="N8423">
        <v>0</v>
      </c>
      <c r="O8423">
        <v>0.99988940000000004</v>
      </c>
      <c r="P8423">
        <v>-3.0927969999999999E-2</v>
      </c>
      <c r="Q8423">
        <v>3.9710200000000001E-2</v>
      </c>
      <c r="R8423">
        <v>0.99873250000000002</v>
      </c>
      <c r="S8423">
        <v>1.6021729999999999E-3</v>
      </c>
      <c r="T8423">
        <v>-0.17061789999999999</v>
      </c>
      <c r="U8423">
        <v>3.0107119999999998</v>
      </c>
      <c r="V8423">
        <v>-2.4737229999999999E-2</v>
      </c>
      <c r="W8423">
        <v>5.3206410000000003E-2</v>
      </c>
      <c r="X8423">
        <v>0.99827710000000003</v>
      </c>
      <c r="Y8423">
        <v>6.7375809999999899E-3</v>
      </c>
      <c r="Z8423">
        <v>-5.6577250000000003E-2</v>
      </c>
      <c r="AA8423">
        <v>0.99837549999999997</v>
      </c>
      <c r="AB8423">
        <v>20</v>
      </c>
      <c r="AC8423">
        <v>1.17000000000189E-2</v>
      </c>
      <c r="AD8423">
        <v>-1.1104906082899999</v>
      </c>
      <c r="AE8423">
        <v>19.40812</v>
      </c>
      <c r="AF8423">
        <v>0.131720897203637</v>
      </c>
      <c r="AG8423">
        <v>-1.1104906082899999</v>
      </c>
      <c r="AH8423">
        <v>19.3443425562225</v>
      </c>
      <c r="AI8423">
        <v>93.285466997056005</v>
      </c>
      <c r="AJ8423">
        <v>89.609863461522096</v>
      </c>
      <c r="AK8423">
        <v>19.376638736332499</v>
      </c>
      <c r="AL8423">
        <v>86.950057114974598</v>
      </c>
      <c r="AM8423">
        <v>91.419494526704796</v>
      </c>
      <c r="AN8423">
        <v>1.0000000104987801</v>
      </c>
    </row>
    <row r="8424" spans="1:40" x14ac:dyDescent="0.25">
      <c r="A8424" t="str">
        <f>"20190312160532549"</f>
        <v>20190312160532549</v>
      </c>
      <c r="B8424" t="str">
        <f>"1552377932543687"</f>
        <v>1552377932543687</v>
      </c>
      <c r="C8424" t="s">
        <v>40</v>
      </c>
      <c r="D8424">
        <v>5.5712999999999999</v>
      </c>
      <c r="E8424">
        <v>0.50937049999999995</v>
      </c>
      <c r="F8424" t="s">
        <v>41</v>
      </c>
      <c r="G8424">
        <v>-187.48750000000001</v>
      </c>
      <c r="H8424" s="1">
        <v>-3.121473E-6</v>
      </c>
      <c r="I8424">
        <v>55.870119999999901</v>
      </c>
      <c r="J8424">
        <v>-187.464</v>
      </c>
      <c r="K8424">
        <v>1.1104799999999999</v>
      </c>
      <c r="L8424">
        <v>35.454039999999999</v>
      </c>
      <c r="M8424">
        <v>-6.34951E-3</v>
      </c>
      <c r="N8424">
        <v>0</v>
      </c>
      <c r="O8424">
        <v>0.99988849999999996</v>
      </c>
      <c r="P8424">
        <v>-3.1133279999999999E-2</v>
      </c>
      <c r="Q8424">
        <v>4.0098219999999997E-2</v>
      </c>
      <c r="R8424">
        <v>0.9987106</v>
      </c>
      <c r="S8424">
        <v>-3.646851E-3</v>
      </c>
      <c r="T8424">
        <v>-0.16211439999999999</v>
      </c>
      <c r="U8424">
        <v>3.010132</v>
      </c>
      <c r="V8424">
        <v>-2.479955E-2</v>
      </c>
      <c r="W8424">
        <v>5.359162E-2</v>
      </c>
      <c r="X8424">
        <v>0.998255</v>
      </c>
      <c r="Y8424">
        <v>5.1403389999999998E-3</v>
      </c>
      <c r="Z8424">
        <v>-5.3776329999999997E-2</v>
      </c>
      <c r="AA8424">
        <v>0.99853979999999998</v>
      </c>
      <c r="AB8424">
        <v>20</v>
      </c>
      <c r="AC8424">
        <v>-2.3499999999984301E-2</v>
      </c>
      <c r="AD8424">
        <v>-1.110483121473</v>
      </c>
      <c r="AE8424">
        <v>20.416079999999901</v>
      </c>
      <c r="AF8424">
        <v>0.105831312556492</v>
      </c>
      <c r="AG8424">
        <v>-1.110483121473</v>
      </c>
      <c r="AH8424">
        <v>20.3555945923835</v>
      </c>
      <c r="AI8424">
        <v>93.122587773651901</v>
      </c>
      <c r="AJ8424">
        <v>89.702114674788504</v>
      </c>
      <c r="AK8424">
        <v>20.386137550778699</v>
      </c>
      <c r="AL8424">
        <v>86.927954832331494</v>
      </c>
      <c r="AM8424">
        <v>91.423100653543102</v>
      </c>
      <c r="AN8424">
        <v>1.0000000622197101</v>
      </c>
    </row>
    <row r="8425" spans="1:40" x14ac:dyDescent="0.25">
      <c r="A8425" t="str">
        <f>"20190312160532571"</f>
        <v>20190312160532571</v>
      </c>
      <c r="B8425" t="str">
        <f>"1552377932563208"</f>
        <v>1552377932563208</v>
      </c>
      <c r="C8425" t="s">
        <v>40</v>
      </c>
      <c r="D8425">
        <v>5.4960699999999996</v>
      </c>
      <c r="E8425">
        <v>0.50904450000000001</v>
      </c>
      <c r="F8425" t="s">
        <v>41</v>
      </c>
      <c r="G8425">
        <v>-187.5256</v>
      </c>
      <c r="H8425" s="1">
        <v>-3.8875859999999999E-6</v>
      </c>
      <c r="I8425">
        <v>57.671700000000001</v>
      </c>
      <c r="J8425">
        <v>-187.46539999999999</v>
      </c>
      <c r="K8425">
        <v>1.1104810000000001</v>
      </c>
      <c r="L8425">
        <v>35.653590000000001</v>
      </c>
      <c r="M8425">
        <v>-6.4905090000000002E-3</v>
      </c>
      <c r="N8425">
        <v>0</v>
      </c>
      <c r="O8425">
        <v>0.99988759999999999</v>
      </c>
      <c r="P8425">
        <v>-3.1558450000000002E-2</v>
      </c>
      <c r="Q8425">
        <v>4.0113030000000001E-2</v>
      </c>
      <c r="R8425">
        <v>0.99869669999999999</v>
      </c>
      <c r="S8425">
        <v>-8.3465580000000004E-3</v>
      </c>
      <c r="T8425">
        <v>-0.15042820000000001</v>
      </c>
      <c r="U8425">
        <v>3.0096440000000002</v>
      </c>
      <c r="V8425">
        <v>-2.5083230000000001E-2</v>
      </c>
      <c r="W8425">
        <v>5.3604470000000001E-2</v>
      </c>
      <c r="X8425">
        <v>0.99824710000000005</v>
      </c>
      <c r="Y8425">
        <v>3.7213319999999999E-3</v>
      </c>
      <c r="Z8425">
        <v>-4.9917889999999999E-2</v>
      </c>
      <c r="AA8425">
        <v>0.99874640000000003</v>
      </c>
      <c r="AB8425">
        <v>20</v>
      </c>
      <c r="AC8425">
        <v>-6.0200000000008899E-2</v>
      </c>
      <c r="AD8425">
        <v>-1.1104848875860001</v>
      </c>
      <c r="AE8425">
        <v>22.01811</v>
      </c>
      <c r="AF8425">
        <v>8.2513176188725196E-2</v>
      </c>
      <c r="AG8425">
        <v>-1.1104848875860001</v>
      </c>
      <c r="AH8425">
        <v>21.962172224345998</v>
      </c>
      <c r="AI8425">
        <v>92.894591122079902</v>
      </c>
      <c r="AJ8425">
        <v>89.784737390394298</v>
      </c>
      <c r="AK8425">
        <v>21.990384124012898</v>
      </c>
      <c r="AL8425">
        <v>86.927217146324793</v>
      </c>
      <c r="AM8425">
        <v>91.439383960871297</v>
      </c>
      <c r="AN8425">
        <v>0.99999994014480997</v>
      </c>
    </row>
    <row r="8426" spans="1:40" x14ac:dyDescent="0.25">
      <c r="A8426" t="str">
        <f>"20190312160532595"</f>
        <v>20190312160532595</v>
      </c>
      <c r="B8426" t="str">
        <f>"1552377932583703"</f>
        <v>1552377932583703</v>
      </c>
      <c r="C8426" t="s">
        <v>40</v>
      </c>
      <c r="D8426">
        <v>5.3638849999999998</v>
      </c>
      <c r="E8426">
        <v>0.50884779999999996</v>
      </c>
      <c r="F8426" t="s">
        <v>41</v>
      </c>
      <c r="G8426">
        <v>-187.5599</v>
      </c>
      <c r="H8426" s="1">
        <v>-4.3603170000000003E-6</v>
      </c>
      <c r="I8426">
        <v>58.787849999999999</v>
      </c>
      <c r="J8426">
        <v>-187.46690000000001</v>
      </c>
      <c r="K8426">
        <v>1.1104860000000001</v>
      </c>
      <c r="L8426">
        <v>35.86392</v>
      </c>
      <c r="M8426">
        <v>-6.6391389999999996E-3</v>
      </c>
      <c r="N8426">
        <v>0</v>
      </c>
      <c r="O8426">
        <v>0.99988670000000002</v>
      </c>
      <c r="P8426">
        <v>-3.1644510000000001E-2</v>
      </c>
      <c r="Q8426">
        <v>4.0106030000000001E-2</v>
      </c>
      <c r="R8426">
        <v>0.99869419999999998</v>
      </c>
      <c r="S8426">
        <v>-1.229858E-2</v>
      </c>
      <c r="T8426">
        <v>-0.14445359999999999</v>
      </c>
      <c r="U8426">
        <v>3.0093380000000001</v>
      </c>
      <c r="V8426">
        <v>-2.5021370000000001E-2</v>
      </c>
      <c r="W8426">
        <v>5.3595429999999999E-2</v>
      </c>
      <c r="X8426">
        <v>0.99824919999999995</v>
      </c>
      <c r="Y8426">
        <v>2.5577070000000002E-3</v>
      </c>
      <c r="Z8426">
        <v>-4.7944710000000001E-2</v>
      </c>
      <c r="AA8426">
        <v>0.99884669999999998</v>
      </c>
      <c r="AB8426">
        <v>20</v>
      </c>
      <c r="AC8426">
        <v>-9.29999999999893E-2</v>
      </c>
      <c r="AD8426">
        <v>-1.110490360317</v>
      </c>
      <c r="AE8426">
        <v>22.923929999999999</v>
      </c>
      <c r="AF8426">
        <v>5.9072476979788097E-2</v>
      </c>
      <c r="AG8426">
        <v>-1.110490360317</v>
      </c>
      <c r="AH8426">
        <v>22.870373911029802</v>
      </c>
      <c r="AI8426">
        <v>92.779852511081401</v>
      </c>
      <c r="AJ8426">
        <v>89.852009586606499</v>
      </c>
      <c r="AK8426">
        <v>22.897394638434399</v>
      </c>
      <c r="AL8426">
        <v>86.927736036631899</v>
      </c>
      <c r="AM8426">
        <v>91.435832635737796</v>
      </c>
      <c r="AN8426">
        <v>1.0000000021871001</v>
      </c>
    </row>
    <row r="8427" spans="1:40" x14ac:dyDescent="0.25">
      <c r="A8427" t="str">
        <f>"20190312160532620"</f>
        <v>20190312160532620</v>
      </c>
      <c r="B8427" t="str">
        <f>"1552377932613959"</f>
        <v>1552377932613959</v>
      </c>
      <c r="C8427" t="s">
        <v>40</v>
      </c>
      <c r="D8427">
        <v>5.5746449999999896</v>
      </c>
      <c r="E8427">
        <v>0.50852379999999997</v>
      </c>
      <c r="F8427" t="s">
        <v>41</v>
      </c>
      <c r="G8427">
        <v>-187.58170000000001</v>
      </c>
      <c r="H8427" s="1">
        <v>-6.8790400000000002E-7</v>
      </c>
      <c r="I8427">
        <v>59.778680000000001</v>
      </c>
      <c r="J8427">
        <v>-187.46870000000001</v>
      </c>
      <c r="K8427">
        <v>1.1104909999999999</v>
      </c>
      <c r="L8427">
        <v>36.091459999999998</v>
      </c>
      <c r="M8427">
        <v>-6.8000400000000003E-3</v>
      </c>
      <c r="N8427">
        <v>0</v>
      </c>
      <c r="O8427">
        <v>0.99988560000000004</v>
      </c>
      <c r="P8427">
        <v>-3.1724870000000002E-2</v>
      </c>
      <c r="Q8427">
        <v>4.0698430000000001E-2</v>
      </c>
      <c r="R8427">
        <v>0.99866770000000005</v>
      </c>
      <c r="S8427">
        <v>-1.4434809999999999E-2</v>
      </c>
      <c r="T8427">
        <v>-0.1397265</v>
      </c>
      <c r="U8427">
        <v>3.009064</v>
      </c>
      <c r="V8427">
        <v>-2.4941080000000001E-2</v>
      </c>
      <c r="W8427">
        <v>5.4185379999999998E-2</v>
      </c>
      <c r="X8427">
        <v>0.99821939999999998</v>
      </c>
      <c r="Y8427">
        <v>2.0088010000000002E-3</v>
      </c>
      <c r="Z8427">
        <v>-4.6383319999999999E-2</v>
      </c>
      <c r="AA8427">
        <v>0.99892170000000002</v>
      </c>
      <c r="AB8427">
        <v>20</v>
      </c>
      <c r="AC8427">
        <v>-0.112999999999999</v>
      </c>
      <c r="AD8427">
        <v>-1.1104916879040001</v>
      </c>
      <c r="AE8427">
        <v>23.68722</v>
      </c>
      <c r="AF8427">
        <v>4.7985895874045302E-2</v>
      </c>
      <c r="AG8427">
        <v>-1.1104916879040001</v>
      </c>
      <c r="AH8427">
        <v>23.6354941000004</v>
      </c>
      <c r="AI8427">
        <v>92.690005089623199</v>
      </c>
      <c r="AJ8427">
        <v>89.883675563517201</v>
      </c>
      <c r="AK8427">
        <v>23.6616160856832</v>
      </c>
      <c r="AL8427">
        <v>86.893885323831398</v>
      </c>
      <c r="AM8427">
        <v>91.431269882369307</v>
      </c>
      <c r="AN8427">
        <v>1.00000004170683</v>
      </c>
    </row>
    <row r="8428" spans="1:40" x14ac:dyDescent="0.25">
      <c r="A8428" t="str">
        <f>"20190312160532640"</f>
        <v>20190312160532640</v>
      </c>
      <c r="B8428" t="str">
        <f>"1552377932633480"</f>
        <v>1552377932633480</v>
      </c>
      <c r="C8428" t="s">
        <v>40</v>
      </c>
      <c r="D8428">
        <v>5.6022930000000004</v>
      </c>
      <c r="E8428">
        <v>0.50834069999999998</v>
      </c>
      <c r="F8428" t="s">
        <v>41</v>
      </c>
      <c r="G8428">
        <v>-187.61420000000001</v>
      </c>
      <c r="H8428" s="1">
        <v>-1.117099E-6</v>
      </c>
      <c r="I8428">
        <v>61.065300000000001</v>
      </c>
      <c r="J8428">
        <v>-187.47</v>
      </c>
      <c r="K8428">
        <v>1.1104959999999999</v>
      </c>
      <c r="L8428">
        <v>36.260829999999999</v>
      </c>
      <c r="M8428">
        <v>-6.9197119999999997E-3</v>
      </c>
      <c r="N8428">
        <v>0</v>
      </c>
      <c r="O8428">
        <v>0.99988480000000002</v>
      </c>
      <c r="P8428">
        <v>-3.194255E-2</v>
      </c>
      <c r="Q8428">
        <v>4.0611380000000002E-2</v>
      </c>
      <c r="R8428">
        <v>0.99866429999999995</v>
      </c>
      <c r="S8428">
        <v>-1.7532349999999999E-2</v>
      </c>
      <c r="T8428">
        <v>-0.13379489999999999</v>
      </c>
      <c r="U8428">
        <v>3.0089109999999999</v>
      </c>
      <c r="V8428">
        <v>-2.5039249999999999E-2</v>
      </c>
      <c r="W8428">
        <v>5.409634E-2</v>
      </c>
      <c r="X8428">
        <v>0.99822180000000005</v>
      </c>
      <c r="Y8428">
        <v>1.0994080000000001E-3</v>
      </c>
      <c r="Z8428">
        <v>-4.4420340000000003E-2</v>
      </c>
      <c r="AA8428">
        <v>0.99901240000000002</v>
      </c>
      <c r="AB8428">
        <v>20</v>
      </c>
      <c r="AC8428">
        <v>-0.14420000000001201</v>
      </c>
      <c r="AD8428">
        <v>-1.1104971170989999</v>
      </c>
      <c r="AE8428">
        <v>24.804469999999998</v>
      </c>
      <c r="AF8428">
        <v>2.7403980860733201E-2</v>
      </c>
      <c r="AG8428">
        <v>-1.1104971170989999</v>
      </c>
      <c r="AH8428">
        <v>24.7552572653148</v>
      </c>
      <c r="AI8428">
        <v>92.568510211453102</v>
      </c>
      <c r="AJ8428">
        <v>89.9365738038194</v>
      </c>
      <c r="AK8428">
        <v>24.7801678181802</v>
      </c>
      <c r="AL8428">
        <v>86.898994521198105</v>
      </c>
      <c r="AM8428">
        <v>91.436897659727705</v>
      </c>
      <c r="AN8428">
        <v>1.00000007001859</v>
      </c>
    </row>
    <row r="8429" spans="1:40" x14ac:dyDescent="0.25">
      <c r="A8429" t="str">
        <f>"20190312160532661"</f>
        <v>20190312160532661</v>
      </c>
      <c r="B8429" t="str">
        <f>"1552377932653976"</f>
        <v>1552377932653976</v>
      </c>
      <c r="C8429" t="s">
        <v>40</v>
      </c>
      <c r="D8429">
        <v>5.2278849999999997</v>
      </c>
      <c r="E8429">
        <v>0.5080692</v>
      </c>
      <c r="F8429" t="s">
        <v>41</v>
      </c>
      <c r="G8429">
        <v>-187.63550000000001</v>
      </c>
      <c r="H8429" s="1">
        <v>-1.315174E-6</v>
      </c>
      <c r="I8429">
        <v>61.664029999999997</v>
      </c>
      <c r="J8429">
        <v>-187.47149999999999</v>
      </c>
      <c r="K8429">
        <v>1.110506</v>
      </c>
      <c r="L8429">
        <v>36.458530000000003</v>
      </c>
      <c r="M8429">
        <v>-7.0596819999999899E-3</v>
      </c>
      <c r="N8429">
        <v>0</v>
      </c>
      <c r="O8429">
        <v>0.99988390000000005</v>
      </c>
      <c r="P8429">
        <v>-3.29541E-2</v>
      </c>
      <c r="Q8429">
        <v>4.1259749999999998E-2</v>
      </c>
      <c r="R8429">
        <v>0.99860479999999996</v>
      </c>
      <c r="S8429">
        <v>-1.960754E-2</v>
      </c>
      <c r="T8429">
        <v>-0.13152620000000001</v>
      </c>
      <c r="U8429">
        <v>3.0087280000000001</v>
      </c>
      <c r="V8429">
        <v>-2.5911300000000002E-2</v>
      </c>
      <c r="W8429">
        <v>5.4741489999999997E-2</v>
      </c>
      <c r="X8429">
        <v>0.9981643</v>
      </c>
      <c r="Y8429">
        <v>5.4980600000000001E-4</v>
      </c>
      <c r="Z8429">
        <v>-4.3671080000000001E-2</v>
      </c>
      <c r="AA8429">
        <v>0.99904579999999998</v>
      </c>
      <c r="AB8429">
        <v>20</v>
      </c>
      <c r="AC8429">
        <v>-0.16400000000001499</v>
      </c>
      <c r="AD8429">
        <v>-1.1105073151739999</v>
      </c>
      <c r="AE8429">
        <v>25.205500000000001</v>
      </c>
      <c r="AF8429">
        <v>1.39360777357569E-2</v>
      </c>
      <c r="AG8429">
        <v>-1.1105073151739999</v>
      </c>
      <c r="AH8429">
        <v>25.157198606289398</v>
      </c>
      <c r="AI8429">
        <v>92.527550626523805</v>
      </c>
      <c r="AJ8429">
        <v>89.968260442347102</v>
      </c>
      <c r="AK8429">
        <v>25.181700943891901</v>
      </c>
      <c r="AL8429">
        <v>86.861975069405005</v>
      </c>
      <c r="AM8429">
        <v>91.487004484337604</v>
      </c>
      <c r="AN8429">
        <v>0.99999999799479999</v>
      </c>
    </row>
    <row r="8430" spans="1:40" x14ac:dyDescent="0.25">
      <c r="A8430" t="str">
        <f>"20190312160532683"</f>
        <v>20190312160532683</v>
      </c>
      <c r="B8430" t="str">
        <f>"1552377932673496"</f>
        <v>1552377932673496</v>
      </c>
      <c r="C8430" t="s">
        <v>40</v>
      </c>
      <c r="D8430">
        <v>5.3721430000000003</v>
      </c>
      <c r="E8430">
        <v>0.50754309999999903</v>
      </c>
      <c r="F8430" t="s">
        <v>41</v>
      </c>
      <c r="G8430">
        <v>-187.68799999999999</v>
      </c>
      <c r="H8430" s="1">
        <v>-1.8175960000000001E-6</v>
      </c>
      <c r="I8430">
        <v>62.913679999999999</v>
      </c>
      <c r="J8430">
        <v>-187.47300000000001</v>
      </c>
      <c r="K8430">
        <v>1.110509</v>
      </c>
      <c r="L8430">
        <v>36.65448</v>
      </c>
      <c r="M8430">
        <v>-7.1984739999999998E-3</v>
      </c>
      <c r="N8430">
        <v>0</v>
      </c>
      <c r="O8430">
        <v>0.99988290000000002</v>
      </c>
      <c r="P8430">
        <v>-3.3659799999999997E-2</v>
      </c>
      <c r="Q8430">
        <v>4.1822159999999997E-2</v>
      </c>
      <c r="R8430">
        <v>0.9985579</v>
      </c>
      <c r="S8430">
        <v>-2.4627690000000001E-2</v>
      </c>
      <c r="T8430">
        <v>-0.12629219999999999</v>
      </c>
      <c r="U8430">
        <v>3.0086059999999999</v>
      </c>
      <c r="V8430">
        <v>-2.6478769999999999E-2</v>
      </c>
      <c r="W8430">
        <v>5.5301879999999998E-2</v>
      </c>
      <c r="X8430">
        <v>0.99811850000000002</v>
      </c>
      <c r="Y8430">
        <v>-9.7916949999999996E-4</v>
      </c>
      <c r="Z8430">
        <v>-4.1937719999999998E-2</v>
      </c>
      <c r="AA8430">
        <v>0.9991198</v>
      </c>
      <c r="AB8430">
        <v>20</v>
      </c>
      <c r="AC8430">
        <v>-0.21500000000000299</v>
      </c>
      <c r="AD8430">
        <v>-1.1105108175959999</v>
      </c>
      <c r="AE8430">
        <v>26.2592</v>
      </c>
      <c r="AF8430">
        <v>-2.5904694703834399E-2</v>
      </c>
      <c r="AG8430">
        <v>-1.1105108175959999</v>
      </c>
      <c r="AH8430">
        <v>26.213188868807901</v>
      </c>
      <c r="AI8430">
        <v>92.425860044185399</v>
      </c>
      <c r="AJ8430">
        <v>90.056621466406298</v>
      </c>
      <c r="AK8430">
        <v>26.2367142760103</v>
      </c>
      <c r="AL8430">
        <v>86.829818322804599</v>
      </c>
      <c r="AM8430">
        <v>91.519625190570807</v>
      </c>
      <c r="AN8430">
        <v>0.99999998161724801</v>
      </c>
    </row>
    <row r="8431" spans="1:40" x14ac:dyDescent="0.25">
      <c r="A8431" t="str">
        <f>"20190312160532705"</f>
        <v>20190312160532705</v>
      </c>
      <c r="B8431" t="str">
        <f>"1552377932693015"</f>
        <v>1552377932693015</v>
      </c>
      <c r="C8431" t="s">
        <v>40</v>
      </c>
      <c r="D8431">
        <v>5.3241139999999998</v>
      </c>
      <c r="E8431">
        <v>0.50712979999999996</v>
      </c>
      <c r="F8431" t="s">
        <v>41</v>
      </c>
      <c r="G8431">
        <v>-187.7603</v>
      </c>
      <c r="H8431" s="1">
        <v>-2.3899300000000002E-6</v>
      </c>
      <c r="I8431">
        <v>64.277659999999997</v>
      </c>
      <c r="J8431">
        <v>-187.47460000000001</v>
      </c>
      <c r="K8431">
        <v>1.1105100000000001</v>
      </c>
      <c r="L8431">
        <v>36.850679999999997</v>
      </c>
      <c r="M8431">
        <v>-7.3369619999999998E-3</v>
      </c>
      <c r="N8431">
        <v>0</v>
      </c>
      <c r="O8431">
        <v>0.99988189999999999</v>
      </c>
      <c r="P8431">
        <v>-3.3469390000000002E-2</v>
      </c>
      <c r="Q8431">
        <v>4.1776420000000002E-2</v>
      </c>
      <c r="R8431">
        <v>0.99856619999999996</v>
      </c>
      <c r="S8431">
        <v>-3.1280519999999999E-2</v>
      </c>
      <c r="T8431">
        <v>-0.1209414</v>
      </c>
      <c r="U8431">
        <v>3.0083310000000001</v>
      </c>
      <c r="V8431">
        <v>-2.614996E-2</v>
      </c>
      <c r="W8431">
        <v>5.5253789999999997E-2</v>
      </c>
      <c r="X8431">
        <v>0.99812979999999996</v>
      </c>
      <c r="Y8431">
        <v>-3.0514959999999999E-3</v>
      </c>
      <c r="Z8431">
        <v>-4.016691E-2</v>
      </c>
      <c r="AA8431">
        <v>0.99918830000000003</v>
      </c>
      <c r="AB8431">
        <v>20</v>
      </c>
      <c r="AC8431">
        <v>-0.28569999999999102</v>
      </c>
      <c r="AD8431">
        <v>-1.11051238992999</v>
      </c>
      <c r="AE8431">
        <v>27.42698</v>
      </c>
      <c r="AF8431">
        <v>-8.4305051886148494E-2</v>
      </c>
      <c r="AG8431">
        <v>-1.11051238992999</v>
      </c>
      <c r="AH8431">
        <v>27.383449838147001</v>
      </c>
      <c r="AI8431">
        <v>92.322297783569695</v>
      </c>
      <c r="AJ8431">
        <v>90.176395174174303</v>
      </c>
      <c r="AK8431">
        <v>27.4060881949299</v>
      </c>
      <c r="AL8431">
        <v>86.832577794995004</v>
      </c>
      <c r="AM8431">
        <v>91.500746379731794</v>
      </c>
      <c r="AN8431">
        <v>0.99999994968270101</v>
      </c>
    </row>
    <row r="8432" spans="1:40" x14ac:dyDescent="0.25">
      <c r="A8432" t="str">
        <f>"20190312160532727"</f>
        <v>20190312160532727</v>
      </c>
      <c r="B8432" t="str">
        <f>"1552377932713512"</f>
        <v>1552377932713512</v>
      </c>
      <c r="C8432" t="s">
        <v>40</v>
      </c>
      <c r="D8432">
        <v>5.3596629999999896</v>
      </c>
      <c r="E8432">
        <v>0.50681949999999998</v>
      </c>
      <c r="F8432" t="s">
        <v>41</v>
      </c>
      <c r="G8432">
        <v>-187.79730000000001</v>
      </c>
      <c r="H8432" s="1">
        <v>-2.747739E-6</v>
      </c>
      <c r="I8432">
        <v>65.127049999999997</v>
      </c>
      <c r="J8432">
        <v>-187.47620000000001</v>
      </c>
      <c r="K8432">
        <v>1.110511</v>
      </c>
      <c r="L8432">
        <v>37.044559999999997</v>
      </c>
      <c r="M8432">
        <v>-7.4734149999999997E-3</v>
      </c>
      <c r="N8432">
        <v>0</v>
      </c>
      <c r="O8432">
        <v>0.99988100000000002</v>
      </c>
      <c r="P8432">
        <v>-3.3595569999999998E-2</v>
      </c>
      <c r="Q8432">
        <v>4.1580989999999998E-2</v>
      </c>
      <c r="R8432">
        <v>0.99857010000000002</v>
      </c>
      <c r="S8432">
        <v>-3.433228E-2</v>
      </c>
      <c r="T8432">
        <v>-0.11813940000000001</v>
      </c>
      <c r="U8432">
        <v>3.0081180000000001</v>
      </c>
      <c r="V8432">
        <v>-2.6139780000000001E-2</v>
      </c>
      <c r="W8432">
        <v>5.5056679999999997E-2</v>
      </c>
      <c r="X8432">
        <v>0.99814099999999994</v>
      </c>
      <c r="Y8432">
        <v>-3.9297469999999999E-3</v>
      </c>
      <c r="Z8432">
        <v>-3.9240200000000003E-2</v>
      </c>
      <c r="AA8432">
        <v>0.9992221</v>
      </c>
      <c r="AB8432">
        <v>20</v>
      </c>
      <c r="AC8432">
        <v>-0.321100000000001</v>
      </c>
      <c r="AD8432">
        <v>-1.1105137477389999</v>
      </c>
      <c r="AE8432">
        <v>28.08249</v>
      </c>
      <c r="AF8432">
        <v>-0.111026215907346</v>
      </c>
      <c r="AG8432">
        <v>-1.1105137477389999</v>
      </c>
      <c r="AH8432">
        <v>28.040262377409601</v>
      </c>
      <c r="AI8432">
        <v>92.267953723745293</v>
      </c>
      <c r="AJ8432">
        <v>90.226863082001401</v>
      </c>
      <c r="AK8432">
        <v>28.062463929571699</v>
      </c>
      <c r="AL8432">
        <v>86.843888714584494</v>
      </c>
      <c r="AM8432">
        <v>91.500145591066897</v>
      </c>
      <c r="AN8432">
        <v>0.99999999099603498</v>
      </c>
    </row>
    <row r="8433" spans="1:40" x14ac:dyDescent="0.25">
      <c r="A8433" t="str">
        <f>"20190312160532749"</f>
        <v>20190312160532749</v>
      </c>
      <c r="B8433" t="str">
        <f>"1552377932743768"</f>
        <v>1552377932743768</v>
      </c>
      <c r="C8433" t="s">
        <v>40</v>
      </c>
      <c r="D8433">
        <v>5.1996609999999999</v>
      </c>
      <c r="E8433">
        <v>0.50651499999999905</v>
      </c>
      <c r="F8433" t="s">
        <v>41</v>
      </c>
      <c r="G8433">
        <v>-187.8331</v>
      </c>
      <c r="H8433" s="1">
        <v>-3.0477410000000001E-6</v>
      </c>
      <c r="I8433">
        <v>65.841160000000002</v>
      </c>
      <c r="J8433">
        <v>-187.47790000000001</v>
      </c>
      <c r="K8433">
        <v>1.110506</v>
      </c>
      <c r="L8433">
        <v>37.244289999999999</v>
      </c>
      <c r="M8433">
        <v>-7.6121819999999899E-3</v>
      </c>
      <c r="N8433">
        <v>0</v>
      </c>
      <c r="O8433">
        <v>0.99987999999999999</v>
      </c>
      <c r="P8433">
        <v>-3.3637100000000003E-2</v>
      </c>
      <c r="Q8433">
        <v>4.1699369999999999E-2</v>
      </c>
      <c r="R8433">
        <v>0.9985638</v>
      </c>
      <c r="S8433">
        <v>-3.727722E-2</v>
      </c>
      <c r="T8433">
        <v>-0.1159959</v>
      </c>
      <c r="U8433">
        <v>3.0078740000000002</v>
      </c>
      <c r="V8433">
        <v>-2.604252E-2</v>
      </c>
      <c r="W8433">
        <v>5.5172859999999997E-2</v>
      </c>
      <c r="X8433">
        <v>0.9981371</v>
      </c>
      <c r="Y8433">
        <v>-4.7704100000000001E-3</v>
      </c>
      <c r="Z8433">
        <v>-3.8532070000000002E-2</v>
      </c>
      <c r="AA8433">
        <v>0.99924599999999997</v>
      </c>
      <c r="AB8433">
        <v>20</v>
      </c>
      <c r="AC8433">
        <v>-0.35519999999999602</v>
      </c>
      <c r="AD8433">
        <v>-1.110509047741</v>
      </c>
      <c r="AE8433">
        <v>28.596869999999999</v>
      </c>
      <c r="AF8433">
        <v>-0.13727832485907901</v>
      </c>
      <c r="AG8433">
        <v>-1.110509047741</v>
      </c>
      <c r="AH8433">
        <v>28.555689484993898</v>
      </c>
      <c r="AI8433">
        <v>92.227041317650105</v>
      </c>
      <c r="AJ8433">
        <v>90.275441013080396</v>
      </c>
      <c r="AK8433">
        <v>28.577604477054798</v>
      </c>
      <c r="AL8433">
        <v>86.837221871653995</v>
      </c>
      <c r="AM8433">
        <v>91.494572274019902</v>
      </c>
      <c r="AN8433">
        <v>0.99999996386246903</v>
      </c>
    </row>
    <row r="8434" spans="1:40" x14ac:dyDescent="0.25">
      <c r="A8434" t="str">
        <f>"20190312160532772"</f>
        <v>20190312160532772</v>
      </c>
      <c r="B8434" t="str">
        <f>"1552377932763291"</f>
        <v>1552377932763291</v>
      </c>
      <c r="C8434" t="s">
        <v>40</v>
      </c>
      <c r="D8434">
        <v>5.266235</v>
      </c>
      <c r="E8434">
        <v>0.50637559999999904</v>
      </c>
      <c r="F8434" t="s">
        <v>41</v>
      </c>
      <c r="G8434">
        <v>-187.87299999999999</v>
      </c>
      <c r="H8434" s="1">
        <v>-3.5348220000000002E-6</v>
      </c>
      <c r="I8434">
        <v>66.993039999999993</v>
      </c>
      <c r="J8434">
        <v>-187.4796</v>
      </c>
      <c r="K8434">
        <v>1.1105039999999999</v>
      </c>
      <c r="L8434">
        <v>37.44849</v>
      </c>
      <c r="M8434">
        <v>-7.7519210000000002E-3</v>
      </c>
      <c r="N8434">
        <v>0</v>
      </c>
      <c r="O8434">
        <v>0.99987890000000001</v>
      </c>
      <c r="P8434">
        <v>-3.3611330000000002E-2</v>
      </c>
      <c r="Q8434">
        <v>4.1449029999999998E-2</v>
      </c>
      <c r="R8434">
        <v>0.99857510000000005</v>
      </c>
      <c r="S8434">
        <v>-3.9947509999999999E-2</v>
      </c>
      <c r="T8434">
        <v>-0.11227479999999999</v>
      </c>
      <c r="U8434">
        <v>3.00766</v>
      </c>
      <c r="V8434">
        <v>-2.587677E-2</v>
      </c>
      <c r="W8434">
        <v>5.4920980000000001E-2</v>
      </c>
      <c r="X8434">
        <v>0.99815540000000003</v>
      </c>
      <c r="Y8434">
        <v>-5.5191679999999996E-3</v>
      </c>
      <c r="Z8434">
        <v>-3.7300020000000003E-2</v>
      </c>
      <c r="AA8434">
        <v>0.99928890000000004</v>
      </c>
      <c r="AB8434">
        <v>20</v>
      </c>
      <c r="AC8434">
        <v>-0.39339999999998498</v>
      </c>
      <c r="AD8434">
        <v>-1.1105075348219999</v>
      </c>
      <c r="AE8434">
        <v>29.544550000000001</v>
      </c>
      <c r="AF8434">
        <v>-0.164108489558668</v>
      </c>
      <c r="AG8434">
        <v>-1.1105075348219999</v>
      </c>
      <c r="AH8434">
        <v>29.5050339593868</v>
      </c>
      <c r="AI8434">
        <v>92.155442104367395</v>
      </c>
      <c r="AJ8434">
        <v>90.3186787341631</v>
      </c>
      <c r="AK8434">
        <v>29.526381212837599</v>
      </c>
      <c r="AL8434">
        <v>86.851675757117604</v>
      </c>
      <c r="AM8434">
        <v>91.485036990777303</v>
      </c>
      <c r="AN8434">
        <v>1.00000006190947</v>
      </c>
    </row>
    <row r="8435" spans="1:40" x14ac:dyDescent="0.25">
      <c r="A8435" t="str">
        <f>"20190312160532796"</f>
        <v>20190312160532796</v>
      </c>
      <c r="B8435" t="str">
        <f>"1552377932783784"</f>
        <v>1552377932783784</v>
      </c>
      <c r="C8435" t="s">
        <v>40</v>
      </c>
      <c r="D8435">
        <v>5.1804169999999896</v>
      </c>
      <c r="E8435">
        <v>0.50627339999999998</v>
      </c>
      <c r="F8435" t="s">
        <v>41</v>
      </c>
      <c r="G8435">
        <v>-187.88800000000001</v>
      </c>
      <c r="H8435" s="1">
        <v>-3.754101E-6</v>
      </c>
      <c r="I8435">
        <v>67.510409999999993</v>
      </c>
      <c r="J8435">
        <v>-187.48140000000001</v>
      </c>
      <c r="K8435">
        <v>1.110498</v>
      </c>
      <c r="L8435">
        <v>37.661250000000003</v>
      </c>
      <c r="M8435">
        <v>-7.8952139999999994E-3</v>
      </c>
      <c r="N8435">
        <v>0</v>
      </c>
      <c r="O8435">
        <v>0.99987780000000004</v>
      </c>
      <c r="P8435">
        <v>-3.3432799999999999E-2</v>
      </c>
      <c r="Q8435">
        <v>4.1709639999999999E-2</v>
      </c>
      <c r="R8435">
        <v>0.99857030000000002</v>
      </c>
      <c r="S8435">
        <v>-4.0863040000000003E-2</v>
      </c>
      <c r="T8435">
        <v>-0.1110994</v>
      </c>
      <c r="U8435">
        <v>3.0075069999999999</v>
      </c>
      <c r="V8435">
        <v>-2.5555129999999999E-2</v>
      </c>
      <c r="W8435">
        <v>5.5179520000000003E-2</v>
      </c>
      <c r="X8435">
        <v>0.99814939999999996</v>
      </c>
      <c r="Y8435">
        <v>-5.6808709999999997E-3</v>
      </c>
      <c r="Z8435">
        <v>-3.6911770000000003E-2</v>
      </c>
      <c r="AA8435">
        <v>0.99930240000000004</v>
      </c>
      <c r="AB8435">
        <v>20</v>
      </c>
      <c r="AC8435">
        <v>-0.40659999999999702</v>
      </c>
      <c r="AD8435">
        <v>-1.110501754101</v>
      </c>
      <c r="AE8435">
        <v>29.849159999999902</v>
      </c>
      <c r="AF8435">
        <v>-0.17066418835125399</v>
      </c>
      <c r="AG8435">
        <v>-1.110501754101</v>
      </c>
      <c r="AH8435">
        <v>29.810186716682399</v>
      </c>
      <c r="AI8435">
        <v>92.133385302675407</v>
      </c>
      <c r="AJ8435">
        <v>90.328016425060298</v>
      </c>
      <c r="AK8435">
        <v>29.831352173418399</v>
      </c>
      <c r="AL8435">
        <v>86.836839922936093</v>
      </c>
      <c r="AM8435">
        <v>91.466595378745097</v>
      </c>
      <c r="AN8435">
        <v>1.00000003440855</v>
      </c>
    </row>
    <row r="8436" spans="1:40" x14ac:dyDescent="0.25">
      <c r="A8436" t="str">
        <f>"20190312160532818"</f>
        <v>20190312160532818</v>
      </c>
      <c r="B8436" t="str">
        <f>"1552377932813064"</f>
        <v>1552377932813064</v>
      </c>
      <c r="C8436" t="s">
        <v>40</v>
      </c>
      <c r="D8436">
        <v>5.0998029999999996</v>
      </c>
      <c r="E8436">
        <v>0.50626680000000002</v>
      </c>
      <c r="F8436" t="s">
        <v>41</v>
      </c>
      <c r="G8436">
        <v>-187.904</v>
      </c>
      <c r="H8436" s="1">
        <v>-4.1707289999999999E-6</v>
      </c>
      <c r="I8436">
        <v>68.48818</v>
      </c>
      <c r="J8436">
        <v>-187.483</v>
      </c>
      <c r="K8436">
        <v>1.110493</v>
      </c>
      <c r="L8436">
        <v>37.851869999999998</v>
      </c>
      <c r="M8436">
        <v>-8.0196099999999999E-3</v>
      </c>
      <c r="N8436">
        <v>0</v>
      </c>
      <c r="O8436">
        <v>0.99987689999999996</v>
      </c>
      <c r="P8436">
        <v>-3.3057999999999997E-2</v>
      </c>
      <c r="Q8436">
        <v>4.1568149999999998E-2</v>
      </c>
      <c r="R8436">
        <v>0.99858860000000005</v>
      </c>
      <c r="S8436">
        <v>-4.1229250000000002E-2</v>
      </c>
      <c r="T8436">
        <v>-0.10833950000000001</v>
      </c>
      <c r="U8436">
        <v>3.0074459999999998</v>
      </c>
      <c r="V8436">
        <v>-2.5055580000000001E-2</v>
      </c>
      <c r="W8436">
        <v>5.5035250000000001E-2</v>
      </c>
      <c r="X8436">
        <v>0.99817</v>
      </c>
      <c r="Y8436">
        <v>-5.6788560000000004E-3</v>
      </c>
      <c r="Z8436">
        <v>-3.59967E-2</v>
      </c>
      <c r="AA8436">
        <v>0.9993358</v>
      </c>
      <c r="AB8436">
        <v>20</v>
      </c>
      <c r="AC8436">
        <v>-0.42100000000002002</v>
      </c>
      <c r="AD8436">
        <v>-1.1104971707289999</v>
      </c>
      <c r="AE8436">
        <v>30.636309999999899</v>
      </c>
      <c r="AF8436">
        <v>-0.17504291079092199</v>
      </c>
      <c r="AG8436">
        <v>-1.1104971707289999</v>
      </c>
      <c r="AH8436">
        <v>30.598505436759901</v>
      </c>
      <c r="AI8436">
        <v>92.078462564550705</v>
      </c>
      <c r="AJ8436">
        <v>90.327764721729494</v>
      </c>
      <c r="AK8436">
        <v>30.619150526267699</v>
      </c>
      <c r="AL8436">
        <v>86.845118471416896</v>
      </c>
      <c r="AM8436">
        <v>91.437908961802904</v>
      </c>
      <c r="AN8436">
        <v>1.00000000486584</v>
      </c>
    </row>
    <row r="8437" spans="1:40" x14ac:dyDescent="0.25">
      <c r="A8437" t="str">
        <f>"20190312160532839"</f>
        <v>20190312160532839</v>
      </c>
      <c r="B8437" t="str">
        <f>"1552377932833560"</f>
        <v>1552377932833560</v>
      </c>
      <c r="C8437" t="s">
        <v>40</v>
      </c>
      <c r="D8437">
        <v>5.3575920000000004</v>
      </c>
      <c r="E8437">
        <v>0.50632579999999905</v>
      </c>
      <c r="F8437" t="s">
        <v>41</v>
      </c>
      <c r="G8437">
        <v>-187.89750000000001</v>
      </c>
      <c r="H8437" s="1">
        <v>-4.2779570000000002E-6</v>
      </c>
      <c r="I8437">
        <v>68.735439999999997</v>
      </c>
      <c r="J8437">
        <v>-187.4847</v>
      </c>
      <c r="K8437">
        <v>1.1104889999999901</v>
      </c>
      <c r="L8437">
        <v>38.040309999999998</v>
      </c>
      <c r="M8437">
        <v>-8.1365980000000001E-3</v>
      </c>
      <c r="N8437">
        <v>0</v>
      </c>
      <c r="O8437">
        <v>0.99987599999999999</v>
      </c>
      <c r="P8437">
        <v>-3.3133749999999997E-2</v>
      </c>
      <c r="Q8437">
        <v>4.1341370000000002E-2</v>
      </c>
      <c r="R8437">
        <v>0.99859549999999997</v>
      </c>
      <c r="S8437">
        <v>-4.03595E-2</v>
      </c>
      <c r="T8437">
        <v>-0.10813929999999999</v>
      </c>
      <c r="U8437">
        <v>3.0074160000000001</v>
      </c>
      <c r="V8437">
        <v>-2.5013529999999999E-2</v>
      </c>
      <c r="W8437">
        <v>5.4803860000000003E-2</v>
      </c>
      <c r="X8437">
        <v>0.99818379999999995</v>
      </c>
      <c r="Y8437">
        <v>-5.2730700000000004E-3</v>
      </c>
      <c r="Z8437">
        <v>-3.593068E-2</v>
      </c>
      <c r="AA8437">
        <v>0.99934040000000002</v>
      </c>
      <c r="AB8437">
        <v>20</v>
      </c>
      <c r="AC8437">
        <v>-0.412800000000004</v>
      </c>
      <c r="AD8437">
        <v>-1.11049327795699</v>
      </c>
      <c r="AE8437">
        <v>30.695129999999999</v>
      </c>
      <c r="AF8437">
        <v>-0.16279665672538099</v>
      </c>
      <c r="AG8437">
        <v>-1.11049327795699</v>
      </c>
      <c r="AH8437">
        <v>30.657353915373399</v>
      </c>
      <c r="AI8437">
        <v>92.0744737566515</v>
      </c>
      <c r="AJ8437">
        <v>90.304249143709697</v>
      </c>
      <c r="AK8437">
        <v>30.677891830507001</v>
      </c>
      <c r="AL8437">
        <v>86.858396225734097</v>
      </c>
      <c r="AM8437">
        <v>91.435476936935501</v>
      </c>
      <c r="AN8437">
        <v>1.0000000191681999</v>
      </c>
    </row>
    <row r="8438" spans="1:40" x14ac:dyDescent="0.25">
      <c r="A8438" t="str">
        <f>"20190312160532861"</f>
        <v>20190312160532861</v>
      </c>
      <c r="B8438" t="str">
        <f>"1552377932853080"</f>
        <v>1552377932853080</v>
      </c>
      <c r="C8438" t="s">
        <v>40</v>
      </c>
      <c r="D8438">
        <v>5.0590950000000001</v>
      </c>
      <c r="E8438">
        <v>0.5063725</v>
      </c>
      <c r="F8438" t="s">
        <v>41</v>
      </c>
      <c r="G8438">
        <v>-187.89279999999999</v>
      </c>
      <c r="H8438" s="1">
        <v>-4.2414849999999998E-6</v>
      </c>
      <c r="I8438">
        <v>68.648499999999999</v>
      </c>
      <c r="J8438">
        <v>-187.48650000000001</v>
      </c>
      <c r="K8438">
        <v>1.110479</v>
      </c>
      <c r="L8438">
        <v>38.240360000000003</v>
      </c>
      <c r="M8438">
        <v>-8.251698E-3</v>
      </c>
      <c r="N8438">
        <v>0</v>
      </c>
      <c r="O8438">
        <v>0.99987510000000002</v>
      </c>
      <c r="P8438">
        <v>-3.3206039999999999E-2</v>
      </c>
      <c r="Q8438">
        <v>4.1697079999999997E-2</v>
      </c>
      <c r="R8438">
        <v>0.99857839999999998</v>
      </c>
      <c r="S8438">
        <v>-4.01001E-2</v>
      </c>
      <c r="T8438">
        <v>-0.10911179999999999</v>
      </c>
      <c r="U8438">
        <v>3.0074160000000001</v>
      </c>
      <c r="V8438">
        <v>-2.4970220000000001E-2</v>
      </c>
      <c r="W8438">
        <v>5.5149999999999998E-2</v>
      </c>
      <c r="X8438">
        <v>0.99816579999999999</v>
      </c>
      <c r="Y8438">
        <v>-5.0716229999999999E-3</v>
      </c>
      <c r="Z8438">
        <v>-3.625337E-2</v>
      </c>
      <c r="AA8438">
        <v>0.99932969999999999</v>
      </c>
      <c r="AB8438">
        <v>20</v>
      </c>
      <c r="AC8438">
        <v>-0.406299999999987</v>
      </c>
      <c r="AD8438">
        <v>-1.1104832414850001</v>
      </c>
      <c r="AE8438">
        <v>30.40814</v>
      </c>
      <c r="AF8438">
        <v>-0.15513771468669599</v>
      </c>
      <c r="AG8438">
        <v>-1.1104832414850001</v>
      </c>
      <c r="AH8438">
        <v>30.369961613981101</v>
      </c>
      <c r="AI8438">
        <v>92.094070490400995</v>
      </c>
      <c r="AJ8438">
        <v>90.292679295871693</v>
      </c>
      <c r="AK8438">
        <v>30.3906533193156</v>
      </c>
      <c r="AL8438">
        <v>86.838533762740497</v>
      </c>
      <c r="AM8438">
        <v>91.433018329564902</v>
      </c>
      <c r="AN8438">
        <v>0.99999999933824402</v>
      </c>
    </row>
    <row r="8439" spans="1:40" x14ac:dyDescent="0.25">
      <c r="A8439" t="str">
        <f>"20190312160532883"</f>
        <v>20190312160532883</v>
      </c>
      <c r="B8439" t="str">
        <f>"1552377932873581"</f>
        <v>1552377932873581</v>
      </c>
      <c r="C8439" t="s">
        <v>40</v>
      </c>
      <c r="D8439">
        <v>5.0621669999999996</v>
      </c>
      <c r="E8439">
        <v>0.50641510000000001</v>
      </c>
      <c r="F8439" t="s">
        <v>41</v>
      </c>
      <c r="G8439">
        <v>-187.8972</v>
      </c>
      <c r="H8439" s="1">
        <v>-4.4914870000000004E-6</v>
      </c>
      <c r="I8439">
        <v>69.233059999999995</v>
      </c>
      <c r="J8439">
        <v>-187.48820000000001</v>
      </c>
      <c r="K8439">
        <v>1.110468</v>
      </c>
      <c r="L8439">
        <v>38.431980000000003</v>
      </c>
      <c r="M8439">
        <v>-8.3515099999999995E-3</v>
      </c>
      <c r="N8439">
        <v>0</v>
      </c>
      <c r="O8439">
        <v>0.9998745</v>
      </c>
      <c r="P8439">
        <v>-3.3237599999999999E-2</v>
      </c>
      <c r="Q8439">
        <v>4.1623800000000002E-2</v>
      </c>
      <c r="R8439">
        <v>0.99858029999999998</v>
      </c>
      <c r="S8439">
        <v>-3.9855960000000003E-2</v>
      </c>
      <c r="T8439">
        <v>-0.1077583</v>
      </c>
      <c r="U8439">
        <v>3.0074459999999998</v>
      </c>
      <c r="V8439">
        <v>-2.4901320000000001E-2</v>
      </c>
      <c r="W8439">
        <v>5.5062859999999998E-2</v>
      </c>
      <c r="X8439">
        <v>0.99817230000000001</v>
      </c>
      <c r="Y8439">
        <v>-4.8907680000000002E-3</v>
      </c>
      <c r="Z8439">
        <v>-3.5803870000000002E-2</v>
      </c>
      <c r="AA8439">
        <v>0.99934690000000004</v>
      </c>
      <c r="AB8439">
        <v>20</v>
      </c>
      <c r="AC8439">
        <v>-0.40899999999999098</v>
      </c>
      <c r="AD8439">
        <v>-1.1104724914869999</v>
      </c>
      <c r="AE8439">
        <v>30.801079999999999</v>
      </c>
      <c r="AF8439">
        <v>-0.15152996553449299</v>
      </c>
      <c r="AG8439">
        <v>-1.1104724914869999</v>
      </c>
      <c r="AH8439">
        <v>30.763441777271201</v>
      </c>
      <c r="AI8439">
        <v>92.067291544889599</v>
      </c>
      <c r="AJ8439">
        <v>90.282216708527599</v>
      </c>
      <c r="AK8439">
        <v>30.7838506439392</v>
      </c>
      <c r="AL8439">
        <v>86.843534014124998</v>
      </c>
      <c r="AM8439">
        <v>91.429056560796695</v>
      </c>
      <c r="AN8439">
        <v>0.99999996738820496</v>
      </c>
    </row>
    <row r="8440" spans="1:40" x14ac:dyDescent="0.25">
      <c r="A8440" t="str">
        <f>"20190312160532905"</f>
        <v>20190312160532905</v>
      </c>
      <c r="B8440" t="str">
        <f>"1552377932893678"</f>
        <v>1552377932893678</v>
      </c>
      <c r="C8440" t="s">
        <v>40</v>
      </c>
      <c r="D8440">
        <v>5.0295350000000001</v>
      </c>
      <c r="E8440">
        <v>0.50646899999999995</v>
      </c>
      <c r="F8440" t="s">
        <v>41</v>
      </c>
      <c r="G8440">
        <v>-187.89519999999999</v>
      </c>
      <c r="H8440" s="1">
        <v>-4.5311410000000002E-6</v>
      </c>
      <c r="I8440">
        <v>69.324680000000001</v>
      </c>
      <c r="J8440">
        <v>-187.48990000000001</v>
      </c>
      <c r="K8440">
        <v>1.1104540000000001</v>
      </c>
      <c r="L8440">
        <v>38.6203</v>
      </c>
      <c r="M8440">
        <v>-8.4389759999999904E-3</v>
      </c>
      <c r="N8440">
        <v>0</v>
      </c>
      <c r="O8440">
        <v>0.99987400000000004</v>
      </c>
      <c r="P8440">
        <v>-3.2253360000000002E-2</v>
      </c>
      <c r="Q8440">
        <v>4.1405539999999998E-2</v>
      </c>
      <c r="R8440">
        <v>0.99862169999999895</v>
      </c>
      <c r="S8440">
        <v>-3.9627080000000002E-2</v>
      </c>
      <c r="T8440">
        <v>-0.10810599999999999</v>
      </c>
      <c r="U8440">
        <v>3.0074459999999998</v>
      </c>
      <c r="V8440">
        <v>-2.3827839999999999E-2</v>
      </c>
      <c r="W8440">
        <v>5.4830530000000002E-2</v>
      </c>
      <c r="X8440">
        <v>0.99821130000000002</v>
      </c>
      <c r="Y8440">
        <v>-4.7272E-3</v>
      </c>
      <c r="Z8440">
        <v>-3.591925E-2</v>
      </c>
      <c r="AA8440">
        <v>0.99934350000000005</v>
      </c>
      <c r="AB8440">
        <v>20</v>
      </c>
      <c r="AC8440">
        <v>-0.40529999999998201</v>
      </c>
      <c r="AD8440">
        <v>-1.110458531141</v>
      </c>
      <c r="AE8440">
        <v>30.70438</v>
      </c>
      <c r="AF8440">
        <v>-0.14595773853624699</v>
      </c>
      <c r="AG8440">
        <v>-1.110458531141</v>
      </c>
      <c r="AH8440">
        <v>30.666602497888199</v>
      </c>
      <c r="AI8440">
        <v>92.0737895848618</v>
      </c>
      <c r="AJ8440">
        <v>90.272697285590198</v>
      </c>
      <c r="AK8440">
        <v>30.687048254504699</v>
      </c>
      <c r="AL8440">
        <v>86.856865711108</v>
      </c>
      <c r="AM8440">
        <v>91.367421357379897</v>
      </c>
      <c r="AN8440">
        <v>0.99999997621341796</v>
      </c>
    </row>
    <row r="8441" spans="1:40" x14ac:dyDescent="0.25">
      <c r="A8441" t="str">
        <f>"20190312160532928"</f>
        <v>20190312160532928</v>
      </c>
      <c r="B8441" t="str">
        <f>"1552377932923934"</f>
        <v>1552377932923934</v>
      </c>
      <c r="C8441" t="s">
        <v>40</v>
      </c>
      <c r="D8441">
        <v>5.0523239999999996</v>
      </c>
      <c r="E8441">
        <v>0.50648029999999999</v>
      </c>
      <c r="F8441" t="s">
        <v>41</v>
      </c>
      <c r="G8441">
        <v>-187.86490000000001</v>
      </c>
      <c r="H8441" s="1">
        <v>-4.6260729999999999E-6</v>
      </c>
      <c r="I8441">
        <v>69.533419999999893</v>
      </c>
      <c r="J8441">
        <v>-187.49160000000001</v>
      </c>
      <c r="K8441">
        <v>1.1104419999999999</v>
      </c>
      <c r="L8441">
        <v>38.819459999999999</v>
      </c>
      <c r="M8441">
        <v>-8.5213069999999901E-3</v>
      </c>
      <c r="N8441">
        <v>0</v>
      </c>
      <c r="O8441">
        <v>0.99987360000000003</v>
      </c>
      <c r="P8441">
        <v>-3.1592490000000001E-2</v>
      </c>
      <c r="Q8441">
        <v>4.1318349999999997E-2</v>
      </c>
      <c r="R8441">
        <v>0.99864640000000005</v>
      </c>
      <c r="S8441">
        <v>-3.6483759999999997E-2</v>
      </c>
      <c r="T8441">
        <v>-0.1080333</v>
      </c>
      <c r="U8441">
        <v>3.0074459999999998</v>
      </c>
      <c r="V8441">
        <v>-2.3084E-2</v>
      </c>
      <c r="W8441">
        <v>5.4723870000000001E-2</v>
      </c>
      <c r="X8441">
        <v>0.99823459999999997</v>
      </c>
      <c r="Y8441">
        <v>-3.6005450000000001E-3</v>
      </c>
      <c r="Z8441">
        <v>-3.5895400000000001E-2</v>
      </c>
      <c r="AA8441">
        <v>0.99934909999999999</v>
      </c>
      <c r="AB8441">
        <v>20</v>
      </c>
      <c r="AC8441">
        <v>-0.37330000000000002</v>
      </c>
      <c r="AD8441">
        <v>-1.1104466260729999</v>
      </c>
      <c r="AE8441">
        <v>30.713959999999901</v>
      </c>
      <c r="AF8441">
        <v>-0.11139419427132</v>
      </c>
      <c r="AG8441">
        <v>-1.1104466260729999</v>
      </c>
      <c r="AH8441">
        <v>30.6759339882198</v>
      </c>
      <c r="AI8441">
        <v>92.073146894487806</v>
      </c>
      <c r="AJ8441">
        <v>90.208058510712803</v>
      </c>
      <c r="AK8441">
        <v>30.696228211711801</v>
      </c>
      <c r="AL8441">
        <v>86.862985969612296</v>
      </c>
      <c r="AM8441">
        <v>91.324718748801502</v>
      </c>
      <c r="AN8441">
        <v>0.99999994482046595</v>
      </c>
    </row>
    <row r="8442" spans="1:40" x14ac:dyDescent="0.25">
      <c r="A8442" t="str">
        <f>"20190312160532941"</f>
        <v>20190312160532941</v>
      </c>
      <c r="B8442" t="str">
        <f>"1552377932933695"</f>
        <v>1552377932933695</v>
      </c>
      <c r="C8442" t="s">
        <v>40</v>
      </c>
      <c r="D8442">
        <v>5.04345</v>
      </c>
      <c r="E8442">
        <v>0.50650289999999998</v>
      </c>
      <c r="F8442" t="s">
        <v>41</v>
      </c>
      <c r="G8442">
        <v>-187.8561</v>
      </c>
      <c r="H8442" s="1">
        <v>-8.707099E-7</v>
      </c>
      <c r="I8442">
        <v>70.5304</v>
      </c>
      <c r="J8442">
        <v>-187.49279999999999</v>
      </c>
      <c r="K8442">
        <v>1.11043799999999</v>
      </c>
      <c r="L8442">
        <v>38.943939999999998</v>
      </c>
      <c r="M8442">
        <v>-8.5677549999999998E-3</v>
      </c>
      <c r="N8442">
        <v>0</v>
      </c>
      <c r="O8442">
        <v>0.99987340000000002</v>
      </c>
      <c r="P8442">
        <v>-3.13622E-2</v>
      </c>
      <c r="Q8442">
        <v>4.1083160000000001E-2</v>
      </c>
      <c r="R8442">
        <v>0.99866339999999998</v>
      </c>
      <c r="S8442">
        <v>-3.456116E-2</v>
      </c>
      <c r="T8442">
        <v>-0.1053095</v>
      </c>
      <c r="U8442">
        <v>3.0073240000000001</v>
      </c>
      <c r="V8442">
        <v>-2.280681E-2</v>
      </c>
      <c r="W8442">
        <v>5.4471520000000002E-2</v>
      </c>
      <c r="X8442">
        <v>0.9982548</v>
      </c>
      <c r="Y8442">
        <v>-2.9161510000000001E-3</v>
      </c>
      <c r="Z8442">
        <v>-3.4993070000000001E-2</v>
      </c>
      <c r="AA8442">
        <v>0.99938329999999997</v>
      </c>
      <c r="AB8442">
        <v>20</v>
      </c>
      <c r="AC8442">
        <v>-0.363300000000009</v>
      </c>
      <c r="AD8442">
        <v>-1.11043887070989</v>
      </c>
      <c r="AE8442">
        <v>31.586459999999899</v>
      </c>
      <c r="AF8442">
        <v>-9.2522947991735605E-2</v>
      </c>
      <c r="AG8442">
        <v>-1.11043887070989</v>
      </c>
      <c r="AH8442">
        <v>31.549426247437701</v>
      </c>
      <c r="AI8442">
        <v>92.015787352139597</v>
      </c>
      <c r="AJ8442">
        <v>90.168027120025002</v>
      </c>
      <c r="AK8442">
        <v>31.569097730597299</v>
      </c>
      <c r="AL8442">
        <v>86.877466241649103</v>
      </c>
      <c r="AM8442">
        <v>91.308790770964194</v>
      </c>
      <c r="AN8442">
        <v>0.99999997139826202</v>
      </c>
    </row>
    <row r="8443" spans="1:40" x14ac:dyDescent="0.25">
      <c r="A8443" t="str">
        <f>"20190312160532961"</f>
        <v>20190312160532961</v>
      </c>
      <c r="B8443" t="str">
        <f>"1552377932953217"</f>
        <v>1552377932953217</v>
      </c>
      <c r="C8443" t="s">
        <v>40</v>
      </c>
      <c r="D8443">
        <v>4.9948899999999998</v>
      </c>
      <c r="E8443">
        <v>0.50653619999999999</v>
      </c>
      <c r="F8443" t="s">
        <v>41</v>
      </c>
      <c r="G8443">
        <v>-187.84790000000001</v>
      </c>
      <c r="H8443" s="1">
        <v>-9.3605640000000005E-7</v>
      </c>
      <c r="I8443">
        <v>70.716030000000003</v>
      </c>
      <c r="J8443">
        <v>-187.49440000000001</v>
      </c>
      <c r="K8443">
        <v>1.1104290000000001</v>
      </c>
      <c r="L8443">
        <v>39.121699999999997</v>
      </c>
      <c r="M8443">
        <v>-8.6309349999999993E-3</v>
      </c>
      <c r="N8443">
        <v>0</v>
      </c>
      <c r="O8443">
        <v>0.99987329999999996</v>
      </c>
      <c r="P8443">
        <v>-3.1271630000000002E-2</v>
      </c>
      <c r="Q8443">
        <v>4.1674009999999997E-2</v>
      </c>
      <c r="R8443">
        <v>0.99864169999999997</v>
      </c>
      <c r="S8443">
        <v>-3.3615109999999997E-2</v>
      </c>
      <c r="T8443">
        <v>-0.1051053</v>
      </c>
      <c r="U8443">
        <v>3.0072939999999999</v>
      </c>
      <c r="V8443">
        <v>-2.265284E-2</v>
      </c>
      <c r="W8443">
        <v>5.503239E-2</v>
      </c>
      <c r="X8443">
        <v>0.99822759999999999</v>
      </c>
      <c r="Y8443">
        <v>-2.5387600000000001E-3</v>
      </c>
      <c r="Z8443">
        <v>-3.4925709999999999E-2</v>
      </c>
      <c r="AA8443">
        <v>0.99938669999999996</v>
      </c>
      <c r="AB8443">
        <v>20</v>
      </c>
      <c r="AC8443">
        <v>-0.35349999999999598</v>
      </c>
      <c r="AD8443">
        <v>-1.1104299360563901</v>
      </c>
      <c r="AE8443">
        <v>31.594329999999999</v>
      </c>
      <c r="AF8443">
        <v>-8.0674185710475799E-2</v>
      </c>
      <c r="AG8443">
        <v>-1.1104299360563901</v>
      </c>
      <c r="AH8443">
        <v>31.557227289369202</v>
      </c>
      <c r="AI8443">
        <v>92.015275331594793</v>
      </c>
      <c r="AJ8443">
        <v>90.146472953565507</v>
      </c>
      <c r="AK8443">
        <v>31.576861103663202</v>
      </c>
      <c r="AL8443">
        <v>86.845282659925104</v>
      </c>
      <c r="AM8443">
        <v>91.299993505847098</v>
      </c>
      <c r="AN8443">
        <v>1.00000002825546</v>
      </c>
    </row>
    <row r="8444" spans="1:40" x14ac:dyDescent="0.25">
      <c r="A8444" t="str">
        <f>"20190312160532985"</f>
        <v>20190312160532985</v>
      </c>
      <c r="B8444" t="str">
        <f>"1552377932973710"</f>
        <v>1552377932973710</v>
      </c>
      <c r="C8444" t="s">
        <v>40</v>
      </c>
      <c r="D8444">
        <v>4.9646460000000001</v>
      </c>
      <c r="E8444">
        <v>0.50654529999999998</v>
      </c>
      <c r="F8444" t="s">
        <v>41</v>
      </c>
      <c r="G8444">
        <v>-187.8526</v>
      </c>
      <c r="H8444" s="1">
        <v>-1.264305E-6</v>
      </c>
      <c r="I8444">
        <v>71.684269999999998</v>
      </c>
      <c r="J8444">
        <v>-187.49619999999999</v>
      </c>
      <c r="K8444">
        <v>1.1104149999999999</v>
      </c>
      <c r="L8444">
        <v>39.318539999999999</v>
      </c>
      <c r="M8444">
        <v>-8.69727E-3</v>
      </c>
      <c r="N8444">
        <v>0</v>
      </c>
      <c r="O8444">
        <v>0.99987329999999996</v>
      </c>
      <c r="P8444">
        <v>-3.1644029999999997E-2</v>
      </c>
      <c r="Q8444">
        <v>4.1902290000000002E-2</v>
      </c>
      <c r="R8444">
        <v>0.99862050000000002</v>
      </c>
      <c r="S8444">
        <v>-3.3081050000000001E-2</v>
      </c>
      <c r="T8444">
        <v>-0.1025541</v>
      </c>
      <c r="U8444">
        <v>3.0073240000000001</v>
      </c>
      <c r="V8444">
        <v>-2.295867E-2</v>
      </c>
      <c r="W8444">
        <v>5.5214279999999998E-2</v>
      </c>
      <c r="X8444">
        <v>0.9982105</v>
      </c>
      <c r="Y8444">
        <v>-2.2951740000000001E-3</v>
      </c>
      <c r="Z8444">
        <v>-3.4078629999999999E-2</v>
      </c>
      <c r="AA8444">
        <v>0.99941650000000004</v>
      </c>
      <c r="AB8444">
        <v>20</v>
      </c>
      <c r="AC8444">
        <v>-0.35640000000000699</v>
      </c>
      <c r="AD8444">
        <v>-1.110416264305</v>
      </c>
      <c r="AE8444">
        <v>32.3657299999999</v>
      </c>
      <c r="AF8444">
        <v>-7.4779995114334405E-2</v>
      </c>
      <c r="AG8444">
        <v>-1.110416264305</v>
      </c>
      <c r="AH8444">
        <v>32.329556221644701</v>
      </c>
      <c r="AI8444">
        <v>91.967147161606803</v>
      </c>
      <c r="AJ8444">
        <v>90.132527970429507</v>
      </c>
      <c r="AK8444">
        <v>32.348706648275602</v>
      </c>
      <c r="AL8444">
        <v>86.834845044394697</v>
      </c>
      <c r="AM8444">
        <v>91.317560791307798</v>
      </c>
      <c r="AN8444">
        <v>0.99999995977716705</v>
      </c>
    </row>
    <row r="8445" spans="1:40" x14ac:dyDescent="0.25">
      <c r="A8445" t="str">
        <f>"20190312160533009"</f>
        <v>20190312160533009</v>
      </c>
      <c r="B8445" t="str">
        <f>"1552377933003278"</f>
        <v>1552377933003278</v>
      </c>
      <c r="C8445" t="s">
        <v>40</v>
      </c>
      <c r="D8445">
        <v>4.9578449999999998</v>
      </c>
      <c r="E8445">
        <v>0.50651820000000003</v>
      </c>
      <c r="F8445" t="s">
        <v>41</v>
      </c>
      <c r="G8445">
        <v>-187.87549999999999</v>
      </c>
      <c r="H8445" s="1">
        <v>-1.722513E-6</v>
      </c>
      <c r="I8445">
        <v>72.769540000000006</v>
      </c>
      <c r="J8445">
        <v>-187.49799999999999</v>
      </c>
      <c r="K8445">
        <v>1.110403</v>
      </c>
      <c r="L8445">
        <v>39.522550000000003</v>
      </c>
      <c r="M8445">
        <v>-8.7648459999999997E-3</v>
      </c>
      <c r="N8445">
        <v>0</v>
      </c>
      <c r="O8445">
        <v>0.99987360000000003</v>
      </c>
      <c r="P8445">
        <v>-3.20072E-2</v>
      </c>
      <c r="Q8445">
        <v>4.1648480000000002E-2</v>
      </c>
      <c r="R8445">
        <v>0.99861949999999999</v>
      </c>
      <c r="S8445">
        <v>-3.4103389999999997E-2</v>
      </c>
      <c r="T8445">
        <v>-9.9827050000000001E-2</v>
      </c>
      <c r="U8445">
        <v>3.007263</v>
      </c>
      <c r="V8445">
        <v>-2.325468E-2</v>
      </c>
      <c r="W8445">
        <v>5.4889569999999999E-2</v>
      </c>
      <c r="X8445">
        <v>0.99822160000000004</v>
      </c>
      <c r="Y8445">
        <v>-2.5678839999999999E-3</v>
      </c>
      <c r="Z8445">
        <v>-3.3174019999999999E-2</v>
      </c>
      <c r="AA8445">
        <v>0.99944630000000001</v>
      </c>
      <c r="AB8445">
        <v>20</v>
      </c>
      <c r="AC8445">
        <v>-0.377499999999997</v>
      </c>
      <c r="AD8445">
        <v>-1.110404722513</v>
      </c>
      <c r="AE8445">
        <v>33.246989999999997</v>
      </c>
      <c r="AF8445">
        <v>-8.5959235615151397E-2</v>
      </c>
      <c r="AG8445">
        <v>-1.110404722513</v>
      </c>
      <c r="AH8445">
        <v>33.2119795177166</v>
      </c>
      <c r="AI8445">
        <v>91.914899450296701</v>
      </c>
      <c r="AJ8445">
        <v>90.148292588550703</v>
      </c>
      <c r="AK8445">
        <v>33.230648069563699</v>
      </c>
      <c r="AL8445">
        <v>86.853477953406099</v>
      </c>
      <c r="AM8445">
        <v>91.334527385749595</v>
      </c>
      <c r="AN8445">
        <v>1.0000000038716199</v>
      </c>
    </row>
    <row r="8446" spans="1:40" x14ac:dyDescent="0.25">
      <c r="A8446" t="str">
        <f>"20190312160533030"</f>
        <v>20190312160533030</v>
      </c>
      <c r="B8446" t="str">
        <f>"1552377933023774"</f>
        <v>1552377933023774</v>
      </c>
      <c r="C8446" t="s">
        <v>40</v>
      </c>
      <c r="D8446">
        <v>4.9958910000000003</v>
      </c>
      <c r="E8446">
        <v>0.50647540000000002</v>
      </c>
      <c r="F8446" t="s">
        <v>41</v>
      </c>
      <c r="G8446">
        <v>-187.90270000000001</v>
      </c>
      <c r="H8446" s="1">
        <v>-2.1337999999999998E-6</v>
      </c>
      <c r="I8446">
        <v>73.739519999999999</v>
      </c>
      <c r="J8446">
        <v>-187.49979999999999</v>
      </c>
      <c r="K8446">
        <v>1.1103909999999999</v>
      </c>
      <c r="L8446">
        <v>39.718600000000002</v>
      </c>
      <c r="M8446">
        <v>-8.8343959999999996E-3</v>
      </c>
      <c r="N8446">
        <v>0</v>
      </c>
      <c r="O8446">
        <v>0.99987420000000005</v>
      </c>
      <c r="P8446">
        <v>-3.2356410000000002E-2</v>
      </c>
      <c r="Q8446">
        <v>4.1655060000000001E-2</v>
      </c>
      <c r="R8446">
        <v>0.99860800000000005</v>
      </c>
      <c r="S8446">
        <v>-3.5568240000000001E-2</v>
      </c>
      <c r="T8446">
        <v>-9.7585439999999996E-2</v>
      </c>
      <c r="U8446">
        <v>3.0070800000000002</v>
      </c>
      <c r="V8446">
        <v>-2.353514E-2</v>
      </c>
      <c r="W8446">
        <v>5.4803860000000003E-2</v>
      </c>
      <c r="X8446">
        <v>0.99821970000000004</v>
      </c>
      <c r="Y8446">
        <v>-2.9861100000000002E-3</v>
      </c>
      <c r="Z8446">
        <v>-3.2431719999999997E-2</v>
      </c>
      <c r="AA8446">
        <v>0.99946950000000001</v>
      </c>
      <c r="AB8446">
        <v>20</v>
      </c>
      <c r="AC8446">
        <v>-0.40290000000001602</v>
      </c>
      <c r="AD8446">
        <v>-1.1103931337999999</v>
      </c>
      <c r="AE8446">
        <v>34.020919999999997</v>
      </c>
      <c r="AF8446">
        <v>-0.102195062288003</v>
      </c>
      <c r="AG8446">
        <v>-1.1103931337999999</v>
      </c>
      <c r="AH8446">
        <v>33.986951475897698</v>
      </c>
      <c r="AI8446">
        <v>91.871245527913899</v>
      </c>
      <c r="AJ8446">
        <v>90.1722816509035</v>
      </c>
      <c r="AK8446">
        <v>34.005239116456302</v>
      </c>
      <c r="AL8446">
        <v>86.858396063806595</v>
      </c>
      <c r="AM8446">
        <v>91.350618920848007</v>
      </c>
      <c r="AN8446">
        <v>0.99999996767690402</v>
      </c>
    </row>
    <row r="8447" spans="1:40" x14ac:dyDescent="0.25">
      <c r="A8447" t="str">
        <f>"20190312160533052"</f>
        <v>20190312160533052</v>
      </c>
      <c r="B8447" t="str">
        <f>"1552377933043294"</f>
        <v>1552377933043294</v>
      </c>
      <c r="C8447" t="s">
        <v>40</v>
      </c>
      <c r="D8447">
        <v>5.0296149999999997</v>
      </c>
      <c r="E8447">
        <v>0.50647219999999904</v>
      </c>
      <c r="F8447" t="s">
        <v>41</v>
      </c>
      <c r="G8447">
        <v>-187.93350000000001</v>
      </c>
      <c r="H8447" s="1">
        <v>-2.5287379999999998E-6</v>
      </c>
      <c r="I8447">
        <v>74.67286</v>
      </c>
      <c r="J8447">
        <v>-187.5016</v>
      </c>
      <c r="K8447">
        <v>1.110385</v>
      </c>
      <c r="L8447">
        <v>39.906309999999998</v>
      </c>
      <c r="M8447">
        <v>-8.9096069999999999E-3</v>
      </c>
      <c r="N8447">
        <v>0</v>
      </c>
      <c r="O8447">
        <v>0.99987479999999995</v>
      </c>
      <c r="P8447">
        <v>-3.2552770000000002E-2</v>
      </c>
      <c r="Q8447">
        <v>4.1965259999999997E-2</v>
      </c>
      <c r="R8447">
        <v>0.99858860000000005</v>
      </c>
      <c r="S8447">
        <v>-3.7307739999999999E-2</v>
      </c>
      <c r="T8447">
        <v>-9.5522170000000003E-2</v>
      </c>
      <c r="U8447">
        <v>3.006958</v>
      </c>
      <c r="V8447">
        <v>-2.3657190000000002E-2</v>
      </c>
      <c r="W8447">
        <v>5.5021920000000002E-2</v>
      </c>
      <c r="X8447">
        <v>0.9982048</v>
      </c>
      <c r="Y8447">
        <v>-3.4897510000000001E-3</v>
      </c>
      <c r="Z8447">
        <v>-3.1747820000000003E-2</v>
      </c>
      <c r="AA8447">
        <v>0.99948979999999998</v>
      </c>
      <c r="AB8447">
        <v>20</v>
      </c>
      <c r="AC8447">
        <v>-0.431900000000013</v>
      </c>
      <c r="AD8447">
        <v>-1.1103875287379901</v>
      </c>
      <c r="AE8447">
        <v>34.766550000000002</v>
      </c>
      <c r="AF8447">
        <v>-0.12197566570592901</v>
      </c>
      <c r="AG8447">
        <v>-1.1103875287379901</v>
      </c>
      <c r="AH8447">
        <v>34.733593319706699</v>
      </c>
      <c r="AI8447">
        <v>91.831036210160505</v>
      </c>
      <c r="AJ8447">
        <v>90.201207576050805</v>
      </c>
      <c r="AK8447">
        <v>34.751551669325202</v>
      </c>
      <c r="AL8447">
        <v>86.845883205298094</v>
      </c>
      <c r="AM8447">
        <v>91.357640687609702</v>
      </c>
      <c r="AN8447">
        <v>0.99999994853110996</v>
      </c>
    </row>
    <row r="8448" spans="1:40" x14ac:dyDescent="0.25">
      <c r="A8448" t="str">
        <f>"20190312160533074"</f>
        <v>20190312160533074</v>
      </c>
      <c r="B8448" t="str">
        <f>"1552377933063790"</f>
        <v>1552377933063790</v>
      </c>
      <c r="C8448" t="s">
        <v>40</v>
      </c>
      <c r="D8448">
        <v>4.9949199999999996</v>
      </c>
      <c r="E8448">
        <v>0.50647500000000001</v>
      </c>
      <c r="F8448" t="s">
        <v>41</v>
      </c>
      <c r="G8448">
        <v>-187.95660000000001</v>
      </c>
      <c r="H8448" s="1">
        <v>-3.0951900000000002E-6</v>
      </c>
      <c r="I8448">
        <v>76.002809999999997</v>
      </c>
      <c r="J8448">
        <v>-187.5034</v>
      </c>
      <c r="K8448">
        <v>1.1103730000000001</v>
      </c>
      <c r="L8448">
        <v>40.102049999999998</v>
      </c>
      <c r="M8448">
        <v>-8.9956009999999902E-3</v>
      </c>
      <c r="N8448">
        <v>0</v>
      </c>
      <c r="O8448">
        <v>0.99987530000000002</v>
      </c>
      <c r="P8448">
        <v>-3.3098959999999997E-2</v>
      </c>
      <c r="Q8448">
        <v>4.2582950000000001E-2</v>
      </c>
      <c r="R8448">
        <v>0.99854449999999995</v>
      </c>
      <c r="S8448">
        <v>-3.7902829999999998E-2</v>
      </c>
      <c r="T8448">
        <v>-9.2497109999999994E-2</v>
      </c>
      <c r="U8448">
        <v>3.0068969999999999</v>
      </c>
      <c r="V8448">
        <v>-2.4117719999999999E-2</v>
      </c>
      <c r="W8448">
        <v>5.5539449999999997E-2</v>
      </c>
      <c r="X8448">
        <v>0.99816519999999997</v>
      </c>
      <c r="Y8448">
        <v>-3.602184E-3</v>
      </c>
      <c r="Z8448">
        <v>-3.0743920000000001E-2</v>
      </c>
      <c r="AA8448">
        <v>0.99952079999999999</v>
      </c>
      <c r="AB8448">
        <v>20</v>
      </c>
      <c r="AC8448">
        <v>-0.45320000000000898</v>
      </c>
      <c r="AD8448">
        <v>-1.1103760951899999</v>
      </c>
      <c r="AE8448">
        <v>35.900759999999998</v>
      </c>
      <c r="AF8448">
        <v>-0.130081124806493</v>
      </c>
      <c r="AG8448">
        <v>-1.1103760951899999</v>
      </c>
      <c r="AH8448">
        <v>35.869077222600701</v>
      </c>
      <c r="AI8448">
        <v>91.773090928058394</v>
      </c>
      <c r="AJ8448">
        <v>90.207785294436704</v>
      </c>
      <c r="AK8448">
        <v>35.886495467970803</v>
      </c>
      <c r="AL8448">
        <v>86.816185768441798</v>
      </c>
      <c r="AM8448">
        <v>91.384114325636602</v>
      </c>
      <c r="AN8448">
        <v>1.00000003070767</v>
      </c>
    </row>
    <row r="8449" spans="1:40" x14ac:dyDescent="0.25">
      <c r="A8449" t="str">
        <f>"20190312160533095"</f>
        <v>20190312160533095</v>
      </c>
      <c r="B8449" t="str">
        <f>"1552377933083310"</f>
        <v>1552377933083310</v>
      </c>
      <c r="C8449" t="s">
        <v>40</v>
      </c>
      <c r="D8449">
        <v>5.0294600000000003</v>
      </c>
      <c r="E8449">
        <v>0.50651629999999903</v>
      </c>
      <c r="F8449" t="s">
        <v>41</v>
      </c>
      <c r="G8449">
        <v>-187.99780000000001</v>
      </c>
      <c r="H8449" s="1">
        <v>-3.8486410000000004E-6</v>
      </c>
      <c r="I8449">
        <v>77.776179999999997</v>
      </c>
      <c r="J8449">
        <v>-187.5052</v>
      </c>
      <c r="K8449">
        <v>1.1103590000000001</v>
      </c>
      <c r="L8449">
        <v>40.287570000000002</v>
      </c>
      <c r="M8449">
        <v>-9.0747840000000007E-3</v>
      </c>
      <c r="N8449">
        <v>0</v>
      </c>
      <c r="O8449">
        <v>0.99987590000000004</v>
      </c>
      <c r="P8449">
        <v>-3.3201550000000003E-2</v>
      </c>
      <c r="Q8449">
        <v>4.2614430000000002E-2</v>
      </c>
      <c r="R8449">
        <v>0.99853970000000003</v>
      </c>
      <c r="S8449">
        <v>-3.9459229999999998E-2</v>
      </c>
      <c r="T8449">
        <v>-8.8621019999999995E-2</v>
      </c>
      <c r="U8449">
        <v>3.0068359999999998</v>
      </c>
      <c r="V8449">
        <v>-2.4141610000000001E-2</v>
      </c>
      <c r="W8449">
        <v>5.5471369999999999E-2</v>
      </c>
      <c r="X8449">
        <v>0.99816830000000001</v>
      </c>
      <c r="Y8449">
        <v>-4.0410539999999997E-3</v>
      </c>
      <c r="Z8449">
        <v>-2.9457190000000001E-2</v>
      </c>
      <c r="AA8449">
        <v>0.9995579</v>
      </c>
      <c r="AB8449">
        <v>20</v>
      </c>
      <c r="AC8449">
        <v>-0.49260000000000997</v>
      </c>
      <c r="AD8449">
        <v>-1.110362848641</v>
      </c>
      <c r="AE8449">
        <v>37.488610000000001</v>
      </c>
      <c r="AF8449">
        <v>-0.15221695134832</v>
      </c>
      <c r="AG8449">
        <v>-1.110362848641</v>
      </c>
      <c r="AH8449">
        <v>37.458681151212197</v>
      </c>
      <c r="AI8449">
        <v>91.6978696168742</v>
      </c>
      <c r="AJ8449">
        <v>90.232825625733796</v>
      </c>
      <c r="AK8449">
        <v>37.475443549664703</v>
      </c>
      <c r="AL8449">
        <v>86.820092143752603</v>
      </c>
      <c r="AM8449">
        <v>91.385480535781596</v>
      </c>
      <c r="AN8449">
        <v>0.99999992267397597</v>
      </c>
    </row>
    <row r="8450" spans="1:40" x14ac:dyDescent="0.25">
      <c r="A8450" t="str">
        <f>"20190312160533109"</f>
        <v>20190312160533109</v>
      </c>
      <c r="B8450" t="str">
        <f>"1552377933103806"</f>
        <v>1552377933103806</v>
      </c>
      <c r="C8450" t="s">
        <v>40</v>
      </c>
      <c r="D8450">
        <v>4.9953200000000004</v>
      </c>
      <c r="E8450">
        <v>0.5065442</v>
      </c>
      <c r="F8450" t="s">
        <v>41</v>
      </c>
      <c r="G8450">
        <v>-188.01140000000001</v>
      </c>
      <c r="H8450" s="1">
        <v>-4.2915840000000001E-6</v>
      </c>
      <c r="I8450">
        <v>78.81429</v>
      </c>
      <c r="J8450">
        <v>-187.50630000000001</v>
      </c>
      <c r="K8450">
        <v>1.1103499999999999</v>
      </c>
      <c r="L8450">
        <v>40.405639999999998</v>
      </c>
      <c r="M8450">
        <v>-9.1239749999999994E-3</v>
      </c>
      <c r="N8450">
        <v>0</v>
      </c>
      <c r="O8450">
        <v>0.99987630000000005</v>
      </c>
      <c r="P8450">
        <v>-3.3293879999999998E-2</v>
      </c>
      <c r="Q8450">
        <v>4.2399140000000002E-2</v>
      </c>
      <c r="R8450">
        <v>0.99854589999999999</v>
      </c>
      <c r="S8450">
        <v>-3.9504999999999998E-2</v>
      </c>
      <c r="T8450">
        <v>-8.6657049999999999E-2</v>
      </c>
      <c r="U8450">
        <v>3.0067750000000002</v>
      </c>
      <c r="V8450">
        <v>-2.4184339999999999E-2</v>
      </c>
      <c r="W8450">
        <v>5.5191900000000002E-2</v>
      </c>
      <c r="X8450">
        <v>0.99818280000000004</v>
      </c>
      <c r="Y8450">
        <v>-4.0075939999999997E-3</v>
      </c>
      <c r="Z8450">
        <v>-2.8805480000000001E-2</v>
      </c>
      <c r="AA8450">
        <v>0.99957700000000005</v>
      </c>
      <c r="AB8450">
        <v>20</v>
      </c>
      <c r="AC8450">
        <v>-0.505099999999998</v>
      </c>
      <c r="AD8450">
        <v>-1.1103542915839999</v>
      </c>
      <c r="AE8450">
        <v>38.408650000000002</v>
      </c>
      <c r="AF8450">
        <v>-0.154481563712732</v>
      </c>
      <c r="AG8450">
        <v>-1.1103542915839999</v>
      </c>
      <c r="AH8450">
        <v>38.379590540724799</v>
      </c>
      <c r="AI8450">
        <v>91.657140117820603</v>
      </c>
      <c r="AJ8450">
        <v>90.230619808309001</v>
      </c>
      <c r="AK8450">
        <v>38.3959596999483</v>
      </c>
      <c r="AL8450">
        <v>86.836129299350006</v>
      </c>
      <c r="AM8450">
        <v>91.387911686912602</v>
      </c>
      <c r="AN8450">
        <v>0.99999996517134204</v>
      </c>
    </row>
    <row r="8451" spans="1:40" x14ac:dyDescent="0.25">
      <c r="A8451" t="str">
        <f>"20190312160533129"</f>
        <v>20190312160533129</v>
      </c>
      <c r="B8451" t="str">
        <f>"1552377933123326"</f>
        <v>1552377933123326</v>
      </c>
      <c r="C8451" t="s">
        <v>40</v>
      </c>
      <c r="D8451">
        <v>4.9767760000000001</v>
      </c>
      <c r="E8451">
        <v>0.50656880000000004</v>
      </c>
      <c r="F8451" t="s">
        <v>41</v>
      </c>
      <c r="G8451">
        <v>-188.0197</v>
      </c>
      <c r="H8451" s="1">
        <v>-4.511748E-6</v>
      </c>
      <c r="I8451">
        <v>79.330960000000005</v>
      </c>
      <c r="J8451">
        <v>-187.50800000000001</v>
      </c>
      <c r="K8451">
        <v>1.1103430000000001</v>
      </c>
      <c r="L8451">
        <v>40.582459999999998</v>
      </c>
      <c r="M8451">
        <v>-9.1968589999999999E-3</v>
      </c>
      <c r="N8451">
        <v>0</v>
      </c>
      <c r="O8451">
        <v>0.99987689999999996</v>
      </c>
      <c r="P8451">
        <v>-3.2508910000000002E-2</v>
      </c>
      <c r="Q8451">
        <v>4.266495E-2</v>
      </c>
      <c r="R8451">
        <v>0.99856040000000001</v>
      </c>
      <c r="S8451">
        <v>-3.965759E-2</v>
      </c>
      <c r="T8451">
        <v>-8.5766430000000005E-2</v>
      </c>
      <c r="U8451">
        <v>3.0066830000000002</v>
      </c>
      <c r="V8451">
        <v>-2.332642E-2</v>
      </c>
      <c r="W8451">
        <v>5.5358060000000001E-2</v>
      </c>
      <c r="X8451">
        <v>0.99819400000000003</v>
      </c>
      <c r="Y8451">
        <v>-3.9859470000000001E-3</v>
      </c>
      <c r="Z8451">
        <v>-2.8510509999999999E-2</v>
      </c>
      <c r="AA8451">
        <v>0.99958559999999996</v>
      </c>
      <c r="AB8451">
        <v>20</v>
      </c>
      <c r="AC8451">
        <v>-0.51170000000001803</v>
      </c>
      <c r="AD8451">
        <v>-1.1103475117479999</v>
      </c>
      <c r="AE8451">
        <v>38.7485</v>
      </c>
      <c r="AF8451">
        <v>-0.155157685230078</v>
      </c>
      <c r="AG8451">
        <v>-1.1103475117479999</v>
      </c>
      <c r="AH8451">
        <v>38.719779250476002</v>
      </c>
      <c r="AI8451">
        <v>91.642578730105996</v>
      </c>
      <c r="AJ8451">
        <v>90.229594101821903</v>
      </c>
      <c r="AK8451">
        <v>38.736007160131003</v>
      </c>
      <c r="AL8451">
        <v>86.826594404249306</v>
      </c>
      <c r="AM8451">
        <v>91.338679867444398</v>
      </c>
      <c r="AN8451">
        <v>0.99999994915648804</v>
      </c>
    </row>
    <row r="8452" spans="1:40" x14ac:dyDescent="0.25">
      <c r="A8452" t="str">
        <f>"20190312160533152"</f>
        <v>20190312160533152</v>
      </c>
      <c r="B8452" t="str">
        <f>"1552377933143822"</f>
        <v>1552377933143822</v>
      </c>
      <c r="C8452" t="s">
        <v>40</v>
      </c>
      <c r="D8452">
        <v>5.0025820000000003</v>
      </c>
      <c r="E8452">
        <v>0.50658729999999996</v>
      </c>
      <c r="F8452" t="s">
        <v>41</v>
      </c>
      <c r="G8452">
        <v>-187.9984</v>
      </c>
      <c r="H8452" s="1">
        <v>-7.1071550000000004E-7</v>
      </c>
      <c r="I8452">
        <v>80.171569999999903</v>
      </c>
      <c r="J8452">
        <v>-187.51</v>
      </c>
      <c r="K8452">
        <v>1.11032999999999</v>
      </c>
      <c r="L8452">
        <v>40.785519999999998</v>
      </c>
      <c r="M8452">
        <v>-9.2791569999999997E-3</v>
      </c>
      <c r="N8452">
        <v>0</v>
      </c>
      <c r="O8452">
        <v>0.99987769999999998</v>
      </c>
      <c r="P8452">
        <v>-3.23074E-2</v>
      </c>
      <c r="Q8452">
        <v>4.3080479999999997E-2</v>
      </c>
      <c r="R8452">
        <v>0.99854909999999997</v>
      </c>
      <c r="S8452">
        <v>-3.7246700000000001E-2</v>
      </c>
      <c r="T8452">
        <v>-8.4328410000000006E-2</v>
      </c>
      <c r="U8452">
        <v>3.0067140000000001</v>
      </c>
      <c r="V8452">
        <v>-2.3042839999999998E-2</v>
      </c>
      <c r="W8452">
        <v>5.565229E-2</v>
      </c>
      <c r="X8452">
        <v>0.99818430000000002</v>
      </c>
      <c r="Y8452">
        <v>-3.1023130000000002E-3</v>
      </c>
      <c r="Z8452">
        <v>-2.8032729999999999E-2</v>
      </c>
      <c r="AA8452">
        <v>0.9996022</v>
      </c>
      <c r="AB8452">
        <v>20</v>
      </c>
      <c r="AC8452">
        <v>-0.48840000000001199</v>
      </c>
      <c r="AD8452">
        <v>-1.1103307107154901</v>
      </c>
      <c r="AE8452">
        <v>39.386049999999898</v>
      </c>
      <c r="AF8452">
        <v>-0.12278310024530401</v>
      </c>
      <c r="AG8452">
        <v>-1.1103307107154901</v>
      </c>
      <c r="AH8452">
        <v>39.357612486643703</v>
      </c>
      <c r="AI8452">
        <v>91.615953841640106</v>
      </c>
      <c r="AJ8452">
        <v>90.178743835637704</v>
      </c>
      <c r="AK8452">
        <v>39.373462771588699</v>
      </c>
      <c r="AL8452">
        <v>86.809710474304396</v>
      </c>
      <c r="AM8452">
        <v>91.322424156155407</v>
      </c>
      <c r="AN8452">
        <v>1.0000000233119899</v>
      </c>
    </row>
    <row r="8453" spans="1:40" x14ac:dyDescent="0.25">
      <c r="A8453" t="str">
        <f>"20190312160533175"</f>
        <v>20190312160533175</v>
      </c>
      <c r="B8453" t="str">
        <f>"1552377933163346"</f>
        <v>1552377933163346</v>
      </c>
      <c r="C8453" t="s">
        <v>40</v>
      </c>
      <c r="D8453">
        <v>4.9796399999999998</v>
      </c>
      <c r="E8453">
        <v>0.50656909999999999</v>
      </c>
      <c r="F8453" t="s">
        <v>41</v>
      </c>
      <c r="G8453">
        <v>-188.00380000000001</v>
      </c>
      <c r="H8453" s="1">
        <v>-1.200615E-6</v>
      </c>
      <c r="I8453">
        <v>81.606049999999996</v>
      </c>
      <c r="J8453">
        <v>-187.51179999999999</v>
      </c>
      <c r="K8453">
        <v>1.110314</v>
      </c>
      <c r="L8453">
        <v>40.978490000000001</v>
      </c>
      <c r="M8453">
        <v>-9.3558779999999998E-3</v>
      </c>
      <c r="N8453">
        <v>0</v>
      </c>
      <c r="O8453">
        <v>0.9998785</v>
      </c>
      <c r="P8453">
        <v>-3.221363E-2</v>
      </c>
      <c r="Q8453">
        <v>4.3655880000000001E-2</v>
      </c>
      <c r="R8453">
        <v>0.9985271</v>
      </c>
      <c r="S8453">
        <v>-3.6376949999999998E-2</v>
      </c>
      <c r="T8453">
        <v>-8.1783529999999993E-2</v>
      </c>
      <c r="U8453">
        <v>3.0067140000000001</v>
      </c>
      <c r="V8453">
        <v>-2.2872799999999999E-2</v>
      </c>
      <c r="W8453">
        <v>5.6109340000000001E-2</v>
      </c>
      <c r="X8453">
        <v>0.99816260000000001</v>
      </c>
      <c r="Y8453">
        <v>-2.7367680000000001E-3</v>
      </c>
      <c r="Z8453">
        <v>-2.718742E-2</v>
      </c>
      <c r="AA8453">
        <v>0.99962660000000003</v>
      </c>
      <c r="AB8453">
        <v>20</v>
      </c>
      <c r="AC8453">
        <v>-0.49200000000001798</v>
      </c>
      <c r="AD8453">
        <v>-1.1103152006149899</v>
      </c>
      <c r="AE8453">
        <v>40.627560000000003</v>
      </c>
      <c r="AF8453">
        <v>-0.11175896230363599</v>
      </c>
      <c r="AG8453">
        <v>-1.1103152006149899</v>
      </c>
      <c r="AH8453">
        <v>40.600066070246399</v>
      </c>
      <c r="AI8453">
        <v>91.566506854702496</v>
      </c>
      <c r="AJ8453">
        <v>90.157716509096005</v>
      </c>
      <c r="AK8453">
        <v>40.615399232541698</v>
      </c>
      <c r="AL8453">
        <v>86.783482379391302</v>
      </c>
      <c r="AM8453">
        <v>91.312697547706506</v>
      </c>
      <c r="AN8453">
        <v>0.99999999952691698</v>
      </c>
    </row>
    <row r="8454" spans="1:40" x14ac:dyDescent="0.25">
      <c r="A8454" t="str">
        <f>"20190312160533197"</f>
        <v>20190312160533197</v>
      </c>
      <c r="B8454" t="str">
        <f>"1552377933193598"</f>
        <v>1552377933193598</v>
      </c>
      <c r="C8454" t="s">
        <v>40</v>
      </c>
      <c r="D8454">
        <v>5.0264049999999996</v>
      </c>
      <c r="E8454">
        <v>0.50648800000000005</v>
      </c>
      <c r="F8454" t="s">
        <v>41</v>
      </c>
      <c r="G8454">
        <v>-188.02619999999999</v>
      </c>
      <c r="H8454" s="1">
        <v>-1.9508870000000001E-6</v>
      </c>
      <c r="I8454">
        <v>83.364180000000005</v>
      </c>
      <c r="J8454">
        <v>-187.5138</v>
      </c>
      <c r="K8454">
        <v>1.1102909999999999</v>
      </c>
      <c r="L8454">
        <v>41.178989999999999</v>
      </c>
      <c r="M8454">
        <v>-9.4333330000000003E-3</v>
      </c>
      <c r="N8454">
        <v>0</v>
      </c>
      <c r="O8454">
        <v>0.99987919999999997</v>
      </c>
      <c r="P8454">
        <v>-3.1771130000000002E-2</v>
      </c>
      <c r="Q8454">
        <v>4.3975800000000002E-2</v>
      </c>
      <c r="R8454">
        <v>0.99852730000000001</v>
      </c>
      <c r="S8454">
        <v>-3.6483759999999997E-2</v>
      </c>
      <c r="T8454">
        <v>-7.8761699999999907E-2</v>
      </c>
      <c r="U8454">
        <v>3.0066830000000002</v>
      </c>
      <c r="V8454">
        <v>-2.2352810000000001E-2</v>
      </c>
      <c r="W8454">
        <v>5.6306439999999999E-2</v>
      </c>
      <c r="X8454">
        <v>0.99816329999999998</v>
      </c>
      <c r="Y8454">
        <v>-2.6952719999999999E-3</v>
      </c>
      <c r="Z8454">
        <v>-2.61838E-2</v>
      </c>
      <c r="AA8454">
        <v>0.99965349999999997</v>
      </c>
      <c r="AB8454">
        <v>20</v>
      </c>
      <c r="AC8454">
        <v>-0.51239999999998498</v>
      </c>
      <c r="AD8454">
        <v>-1.1102929508870001</v>
      </c>
      <c r="AE8454">
        <v>42.185189999999999</v>
      </c>
      <c r="AF8454">
        <v>-0.114320705963842</v>
      </c>
      <c r="AG8454">
        <v>-1.1102929508870001</v>
      </c>
      <c r="AH8454">
        <v>42.158946833321203</v>
      </c>
      <c r="AI8454">
        <v>91.508580501327998</v>
      </c>
      <c r="AJ8454">
        <v>90.155366260313798</v>
      </c>
      <c r="AK8454">
        <v>42.173719515302402</v>
      </c>
      <c r="AL8454">
        <v>86.772171560638398</v>
      </c>
      <c r="AM8454">
        <v>91.282863884647</v>
      </c>
      <c r="AN8454">
        <v>1.00000001838362</v>
      </c>
    </row>
    <row r="8455" spans="1:40" x14ac:dyDescent="0.25">
      <c r="A8455" t="str">
        <f>"20190312160533219"</f>
        <v>20190312160533219</v>
      </c>
      <c r="B8455" t="str">
        <f>"1552377933213118"</f>
        <v>1552377933213118</v>
      </c>
      <c r="C8455" t="s">
        <v>40</v>
      </c>
      <c r="D8455">
        <v>5.0344819999999997</v>
      </c>
      <c r="E8455">
        <v>0.50648359999999903</v>
      </c>
      <c r="F8455" t="s">
        <v>41</v>
      </c>
      <c r="G8455">
        <v>-188.02619999999999</v>
      </c>
      <c r="H8455" s="1">
        <v>-2.4432059999999999E-6</v>
      </c>
      <c r="I8455">
        <v>84.511809999999997</v>
      </c>
      <c r="J8455">
        <v>-187.51570000000001</v>
      </c>
      <c r="K8455">
        <v>1.1102860000000001</v>
      </c>
      <c r="L8455">
        <v>41.372990000000001</v>
      </c>
      <c r="M8455">
        <v>-9.5069600000000001E-3</v>
      </c>
      <c r="N8455">
        <v>0</v>
      </c>
      <c r="O8455">
        <v>0.99987999999999999</v>
      </c>
      <c r="P8455">
        <v>-3.1763479999999997E-2</v>
      </c>
      <c r="Q8455">
        <v>4.4712549999999997E-2</v>
      </c>
      <c r="R8455">
        <v>0.99849480000000002</v>
      </c>
      <c r="S8455">
        <v>-3.5552979999999998E-2</v>
      </c>
      <c r="T8455">
        <v>-7.703865E-2</v>
      </c>
      <c r="U8455">
        <v>3.0066830000000002</v>
      </c>
      <c r="V8455">
        <v>-2.227254E-2</v>
      </c>
      <c r="W8455">
        <v>5.6923429999999997E-2</v>
      </c>
      <c r="X8455">
        <v>0.99813010000000002</v>
      </c>
      <c r="Y8455">
        <v>-2.3124040000000001E-3</v>
      </c>
      <c r="Z8455">
        <v>-2.5611399999999999E-2</v>
      </c>
      <c r="AA8455">
        <v>0.99966929999999998</v>
      </c>
      <c r="AB8455">
        <v>20</v>
      </c>
      <c r="AC8455">
        <v>-0.51049999999997897</v>
      </c>
      <c r="AD8455">
        <v>-1.1102884432060001</v>
      </c>
      <c r="AE8455">
        <v>43.138820000000003</v>
      </c>
      <c r="AF8455">
        <v>-0.10026080301635901</v>
      </c>
      <c r="AG8455">
        <v>-1.1102884432060001</v>
      </c>
      <c r="AH8455">
        <v>43.1131687009944</v>
      </c>
      <c r="AI8455">
        <v>91.475201524041793</v>
      </c>
      <c r="AJ8455">
        <v>90.133242595729996</v>
      </c>
      <c r="AK8455">
        <v>43.127579437016202</v>
      </c>
      <c r="AL8455">
        <v>86.736763851251396</v>
      </c>
      <c r="AM8455">
        <v>91.278301094455998</v>
      </c>
      <c r="AN8455">
        <v>1.0000000197235099</v>
      </c>
    </row>
    <row r="8456" spans="1:40" x14ac:dyDescent="0.25">
      <c r="A8456" t="str">
        <f>"20190312160533242"</f>
        <v>20190312160533242</v>
      </c>
      <c r="B8456" t="str">
        <f>"1552377933233614"</f>
        <v>1552377933233614</v>
      </c>
      <c r="C8456" t="s">
        <v>40</v>
      </c>
      <c r="D8456">
        <v>5.0244169999999997</v>
      </c>
      <c r="E8456">
        <v>0.50645560000000001</v>
      </c>
      <c r="F8456" t="s">
        <v>41</v>
      </c>
      <c r="G8456">
        <v>-188.04679999999999</v>
      </c>
      <c r="H8456" s="1">
        <v>-3.1898509999999999E-6</v>
      </c>
      <c r="I8456">
        <v>86.260760000000005</v>
      </c>
      <c r="J8456">
        <v>-187.51769999999999</v>
      </c>
      <c r="K8456">
        <v>1.110269</v>
      </c>
      <c r="L8456">
        <v>41.571840000000002</v>
      </c>
      <c r="M8456">
        <v>-9.5824029999999998E-3</v>
      </c>
      <c r="N8456">
        <v>0</v>
      </c>
      <c r="O8456">
        <v>0.99988080000000001</v>
      </c>
      <c r="P8456">
        <v>-3.187541E-2</v>
      </c>
      <c r="Q8456">
        <v>4.4987989999999999E-2</v>
      </c>
      <c r="R8456">
        <v>0.99847889999999995</v>
      </c>
      <c r="S8456">
        <v>-3.5568240000000001E-2</v>
      </c>
      <c r="T8456">
        <v>-7.437038E-2</v>
      </c>
      <c r="U8456">
        <v>3.0067140000000001</v>
      </c>
      <c r="V8456">
        <v>-2.2308979999999999E-2</v>
      </c>
      <c r="W8456">
        <v>5.707624E-2</v>
      </c>
      <c r="X8456">
        <v>0.99812049999999997</v>
      </c>
      <c r="Y8456">
        <v>-2.242183E-3</v>
      </c>
      <c r="Z8456">
        <v>-2.4724619999999999E-2</v>
      </c>
      <c r="AA8456">
        <v>0.99969180000000002</v>
      </c>
      <c r="AB8456">
        <v>20</v>
      </c>
      <c r="AC8456">
        <v>-0.52909999999999902</v>
      </c>
      <c r="AD8456">
        <v>-1.110272189851</v>
      </c>
      <c r="AE8456">
        <v>44.688920000000003</v>
      </c>
      <c r="AF8456">
        <v>-0.100754896547764</v>
      </c>
      <c r="AG8456">
        <v>-1.110272189851</v>
      </c>
      <c r="AH8456">
        <v>44.664373249938699</v>
      </c>
      <c r="AI8456">
        <v>91.423968280873893</v>
      </c>
      <c r="AJ8456">
        <v>90.129248887319093</v>
      </c>
      <c r="AK8456">
        <v>44.6782843638223</v>
      </c>
      <c r="AL8456">
        <v>86.727994030416497</v>
      </c>
      <c r="AM8456">
        <v>91.280404132136795</v>
      </c>
      <c r="AN8456">
        <v>0.99999996014071302</v>
      </c>
    </row>
    <row r="8457" spans="1:40" x14ac:dyDescent="0.25">
      <c r="A8457" t="str">
        <f>"20190312160533263"</f>
        <v>20190312160533263</v>
      </c>
      <c r="B8457" t="str">
        <f>"1552377933253137"</f>
        <v>1552377933253137</v>
      </c>
      <c r="C8457" t="s">
        <v>40</v>
      </c>
      <c r="D8457">
        <v>5.0381140000000002</v>
      </c>
      <c r="E8457">
        <v>0.50642019999999999</v>
      </c>
      <c r="F8457" t="s">
        <v>41</v>
      </c>
      <c r="G8457">
        <v>-188.0686</v>
      </c>
      <c r="H8457" s="1">
        <v>-3.588201E-6</v>
      </c>
      <c r="I8457">
        <v>87.198350000000005</v>
      </c>
      <c r="J8457">
        <v>-187.5197</v>
      </c>
      <c r="K8457">
        <v>1.1102529999999999</v>
      </c>
      <c r="L8457">
        <v>41.765009999999997</v>
      </c>
      <c r="M8457">
        <v>-9.6566840000000004E-3</v>
      </c>
      <c r="N8457">
        <v>0</v>
      </c>
      <c r="O8457">
        <v>0.99988149999999998</v>
      </c>
      <c r="P8457">
        <v>-3.1658119999999998E-2</v>
      </c>
      <c r="Q8457">
        <v>4.5230279999999998E-2</v>
      </c>
      <c r="R8457">
        <v>0.9984748</v>
      </c>
      <c r="S8457">
        <v>-3.6300659999999998E-2</v>
      </c>
      <c r="T8457">
        <v>-7.3165179999999996E-2</v>
      </c>
      <c r="U8457">
        <v>3.0067140000000001</v>
      </c>
      <c r="V8457">
        <v>-2.2018030000000001E-2</v>
      </c>
      <c r="W8457">
        <v>5.7198579999999999E-2</v>
      </c>
      <c r="X8457">
        <v>0.99812000000000001</v>
      </c>
      <c r="Y8457">
        <v>-2.4115130000000001E-3</v>
      </c>
      <c r="Z8457">
        <v>-2.4324109999999999E-2</v>
      </c>
      <c r="AA8457">
        <v>0.99970119999999896</v>
      </c>
      <c r="AB8457">
        <v>20</v>
      </c>
      <c r="AC8457">
        <v>-0.54890000000000305</v>
      </c>
      <c r="AD8457">
        <v>-1.110256588201</v>
      </c>
      <c r="AE8457">
        <v>45.433340000000001</v>
      </c>
      <c r="AF8457">
        <v>-0.110041757349239</v>
      </c>
      <c r="AG8457">
        <v>-1.110256588201</v>
      </c>
      <c r="AH8457">
        <v>45.409409074025703</v>
      </c>
      <c r="AI8457">
        <v>91.400594280412903</v>
      </c>
      <c r="AJ8457">
        <v>90.138846024491798</v>
      </c>
      <c r="AK8457">
        <v>45.423113184063197</v>
      </c>
      <c r="AL8457">
        <v>86.720973134398605</v>
      </c>
      <c r="AM8457">
        <v>91.263711398435703</v>
      </c>
      <c r="AN8457">
        <v>1.0000000027995399</v>
      </c>
    </row>
    <row r="8458" spans="1:40" x14ac:dyDescent="0.25">
      <c r="A8458" t="str">
        <f>"20190312160533285"</f>
        <v>20190312160533285</v>
      </c>
      <c r="B8458" t="str">
        <f>"1552377933273631"</f>
        <v>1552377933273631</v>
      </c>
      <c r="C8458" t="s">
        <v>40</v>
      </c>
      <c r="D8458">
        <v>5.0431379999999999</v>
      </c>
      <c r="E8458">
        <v>0.50638890000000003</v>
      </c>
      <c r="F8458" t="s">
        <v>41</v>
      </c>
      <c r="G8458">
        <v>-188.0788</v>
      </c>
      <c r="H8458" s="1">
        <v>-4.157406E-6</v>
      </c>
      <c r="I8458">
        <v>88.529399999999995</v>
      </c>
      <c r="J8458">
        <v>-187.5215</v>
      </c>
      <c r="K8458">
        <v>1.1102430000000001</v>
      </c>
      <c r="L8458">
        <v>41.947690000000001</v>
      </c>
      <c r="M8458">
        <v>-9.7280700000000001E-3</v>
      </c>
      <c r="N8458">
        <v>0</v>
      </c>
      <c r="O8458">
        <v>0.99988220000000005</v>
      </c>
      <c r="P8458">
        <v>-3.118189E-2</v>
      </c>
      <c r="Q8458">
        <v>4.5461309999999998E-2</v>
      </c>
      <c r="R8458">
        <v>0.99847929999999996</v>
      </c>
      <c r="S8458">
        <v>-3.5949710000000003E-2</v>
      </c>
      <c r="T8458">
        <v>-7.1383240000000001E-2</v>
      </c>
      <c r="U8458">
        <v>3.0066830000000002</v>
      </c>
      <c r="V8458">
        <v>-2.1470079999999999E-2</v>
      </c>
      <c r="W8458">
        <v>5.7316180000000001E-2</v>
      </c>
      <c r="X8458">
        <v>0.99812520000000005</v>
      </c>
      <c r="Y8458">
        <v>-2.22375E-3</v>
      </c>
      <c r="Z8458">
        <v>-2.373227E-2</v>
      </c>
      <c r="AA8458">
        <v>0.99971589999999999</v>
      </c>
      <c r="AB8458">
        <v>20</v>
      </c>
      <c r="AC8458">
        <v>-0.55729999999999702</v>
      </c>
      <c r="AD8458">
        <v>-1.110247157406</v>
      </c>
      <c r="AE8458">
        <v>46.581710000000001</v>
      </c>
      <c r="AF8458">
        <v>-0.104032460447107</v>
      </c>
      <c r="AG8458">
        <v>-1.110247157406</v>
      </c>
      <c r="AH8458">
        <v>46.558482238947398</v>
      </c>
      <c r="AI8458">
        <v>91.366029583167403</v>
      </c>
      <c r="AJ8458">
        <v>90.128024168946197</v>
      </c>
      <c r="AK8458">
        <v>46.571834190825399</v>
      </c>
      <c r="AL8458">
        <v>86.714224108353207</v>
      </c>
      <c r="AM8458">
        <v>91.232265545516199</v>
      </c>
      <c r="AN8458">
        <v>1.0000000118500101</v>
      </c>
    </row>
    <row r="8459" spans="1:40" x14ac:dyDescent="0.25">
      <c r="A8459" t="str">
        <f>"20190312160533308"</f>
        <v>20190312160533308</v>
      </c>
      <c r="B8459" t="str">
        <f>"1552377933303886"</f>
        <v>1552377933303886</v>
      </c>
      <c r="C8459" t="s">
        <v>40</v>
      </c>
      <c r="D8459">
        <v>5.0049010000000003</v>
      </c>
      <c r="E8459">
        <v>0.50632299999999997</v>
      </c>
      <c r="F8459" t="s">
        <v>41</v>
      </c>
      <c r="G8459">
        <v>-188.07320000000001</v>
      </c>
      <c r="H8459" s="1">
        <v>-5.4659160000000001E-7</v>
      </c>
      <c r="I8459">
        <v>89.747699999999995</v>
      </c>
      <c r="J8459">
        <v>-187.52359999999999</v>
      </c>
      <c r="K8459">
        <v>1.1102289999999999</v>
      </c>
      <c r="L8459">
        <v>42.152949999999997</v>
      </c>
      <c r="M8459">
        <v>-9.8087859999999999E-3</v>
      </c>
      <c r="N8459">
        <v>0</v>
      </c>
      <c r="O8459">
        <v>0.99988279999999996</v>
      </c>
      <c r="P8459">
        <v>-3.1197079999999999E-2</v>
      </c>
      <c r="Q8459">
        <v>4.5771159999999998E-2</v>
      </c>
      <c r="R8459">
        <v>0.99846469999999998</v>
      </c>
      <c r="S8459">
        <v>-3.4698489999999999E-2</v>
      </c>
      <c r="T8459">
        <v>-6.9835069999999999E-2</v>
      </c>
      <c r="U8459">
        <v>3.006653</v>
      </c>
      <c r="V8459">
        <v>-2.140512E-2</v>
      </c>
      <c r="W8459">
        <v>5.750326E-2</v>
      </c>
      <c r="X8459">
        <v>0.9981158</v>
      </c>
      <c r="Y8459">
        <v>-1.7273239999999999E-3</v>
      </c>
      <c r="Z8459">
        <v>-2.3218119999999998E-2</v>
      </c>
      <c r="AA8459">
        <v>0.99972890000000003</v>
      </c>
      <c r="AB8459">
        <v>20</v>
      </c>
      <c r="AC8459">
        <v>-0.54960000000002596</v>
      </c>
      <c r="AD8459">
        <v>-1.1102295465915999</v>
      </c>
      <c r="AE8459">
        <v>47.594749999999998</v>
      </c>
      <c r="AF8459">
        <v>-8.2649616088061498E-2</v>
      </c>
      <c r="AG8459">
        <v>-1.1102295465915999</v>
      </c>
      <c r="AH8459">
        <v>47.571969140097103</v>
      </c>
      <c r="AI8459">
        <v>91.336918094123106</v>
      </c>
      <c r="AJ8459">
        <v>90.099543270990907</v>
      </c>
      <c r="AK8459">
        <v>47.5849943624197</v>
      </c>
      <c r="AL8459">
        <v>86.703487391631995</v>
      </c>
      <c r="AM8459">
        <v>91.228549906561994</v>
      </c>
      <c r="AN8459">
        <v>0.99999997714124</v>
      </c>
    </row>
    <row r="8460" spans="1:40" x14ac:dyDescent="0.25">
      <c r="A8460" t="str">
        <f>"20190312160533330"</f>
        <v>20190312160533330</v>
      </c>
      <c r="B8460" t="str">
        <f>"1552377933323406"</f>
        <v>1552377933323406</v>
      </c>
      <c r="C8460" t="s">
        <v>40</v>
      </c>
      <c r="D8460">
        <v>4.9734449999999999</v>
      </c>
      <c r="E8460">
        <v>0.50628409999999902</v>
      </c>
      <c r="F8460" t="s">
        <v>41</v>
      </c>
      <c r="G8460">
        <v>-188.09569999999999</v>
      </c>
      <c r="H8460" s="1">
        <v>-8.5914430000000004E-7</v>
      </c>
      <c r="I8460">
        <v>90.683809999999994</v>
      </c>
      <c r="J8460">
        <v>-187.5256</v>
      </c>
      <c r="K8460">
        <v>1.1102209999999999</v>
      </c>
      <c r="L8460">
        <v>42.348480000000002</v>
      </c>
      <c r="M8460">
        <v>-9.8860379999999998E-3</v>
      </c>
      <c r="N8460">
        <v>0</v>
      </c>
      <c r="O8460">
        <v>0.99988330000000003</v>
      </c>
      <c r="P8460">
        <v>-3.138585E-2</v>
      </c>
      <c r="Q8460">
        <v>4.5720990000000003E-2</v>
      </c>
      <c r="R8460">
        <v>0.99846109999999999</v>
      </c>
      <c r="S8460">
        <v>-3.5446169999999999E-2</v>
      </c>
      <c r="T8460">
        <v>-6.8782570000000001E-2</v>
      </c>
      <c r="U8460">
        <v>3.006653</v>
      </c>
      <c r="V8460">
        <v>-2.1516210000000001E-2</v>
      </c>
      <c r="W8460">
        <v>5.7348540000000003E-2</v>
      </c>
      <c r="X8460">
        <v>0.99812230000000002</v>
      </c>
      <c r="Y8460">
        <v>-1.898746E-3</v>
      </c>
      <c r="Z8460">
        <v>-2.2868320000000001E-2</v>
      </c>
      <c r="AA8460">
        <v>0.99973670000000003</v>
      </c>
      <c r="AB8460">
        <v>20</v>
      </c>
      <c r="AC8460">
        <v>-0.57009999999999605</v>
      </c>
      <c r="AD8460">
        <v>-1.1102218591442901</v>
      </c>
      <c r="AE8460">
        <v>48.3353299999999</v>
      </c>
      <c r="AF8460">
        <v>-9.2146205714155105E-2</v>
      </c>
      <c r="AG8460">
        <v>-1.1102218591442901</v>
      </c>
      <c r="AH8460">
        <v>48.313118439840899</v>
      </c>
      <c r="AI8460">
        <v>91.316406803041403</v>
      </c>
      <c r="AJ8460">
        <v>90.109278441430504</v>
      </c>
      <c r="AK8460">
        <v>48.325960899725999</v>
      </c>
      <c r="AL8460">
        <v>86.712366804880901</v>
      </c>
      <c r="AM8460">
        <v>91.234915923905305</v>
      </c>
      <c r="AN8460">
        <v>0.99999996404509195</v>
      </c>
    </row>
    <row r="8461" spans="1:40" x14ac:dyDescent="0.25">
      <c r="A8461" t="str">
        <f>"20190312160533353"</f>
        <v>20190312160533353</v>
      </c>
      <c r="B8461" t="str">
        <f>"1552377933343902"</f>
        <v>1552377933343902</v>
      </c>
      <c r="C8461" t="s">
        <v>40</v>
      </c>
      <c r="D8461">
        <v>5.0326979999999999</v>
      </c>
      <c r="E8461">
        <v>0.50623109999999905</v>
      </c>
      <c r="F8461" t="s">
        <v>41</v>
      </c>
      <c r="G8461">
        <v>-188.10599999999999</v>
      </c>
      <c r="H8461" s="1">
        <v>-9.0411199999999996E-7</v>
      </c>
      <c r="I8461">
        <v>90.823949999999996</v>
      </c>
      <c r="J8461">
        <v>-187.52780000000001</v>
      </c>
      <c r="K8461">
        <v>1.1102129999999999</v>
      </c>
      <c r="L8461">
        <v>42.55359</v>
      </c>
      <c r="M8461">
        <v>-9.9669330000000007E-3</v>
      </c>
      <c r="N8461">
        <v>0</v>
      </c>
      <c r="O8461">
        <v>0.99988370000000004</v>
      </c>
      <c r="P8461">
        <v>-3.1686730000000003E-2</v>
      </c>
      <c r="Q8461">
        <v>4.5797890000000001E-2</v>
      </c>
      <c r="R8461">
        <v>0.99844809999999995</v>
      </c>
      <c r="S8461">
        <v>-3.5995480000000003E-2</v>
      </c>
      <c r="T8461">
        <v>-6.8860649999999995E-2</v>
      </c>
      <c r="U8461">
        <v>3.006653</v>
      </c>
      <c r="V8461">
        <v>-2.173659E-2</v>
      </c>
      <c r="W8461">
        <v>5.7327599999999902E-2</v>
      </c>
      <c r="X8461">
        <v>0.99811879999999997</v>
      </c>
      <c r="Y8461">
        <v>-2.0004710000000002E-3</v>
      </c>
      <c r="Z8461">
        <v>-2.2894210000000002E-2</v>
      </c>
      <c r="AA8461">
        <v>0.99973590000000001</v>
      </c>
      <c r="AB8461">
        <v>20</v>
      </c>
      <c r="AC8461">
        <v>-0.57819999999998095</v>
      </c>
      <c r="AD8461">
        <v>-1.1102139041119901</v>
      </c>
      <c r="AE8461">
        <v>48.270359999999997</v>
      </c>
      <c r="AF8461">
        <v>-9.6980481222162407E-2</v>
      </c>
      <c r="AG8461">
        <v>-1.1102139041119901</v>
      </c>
      <c r="AH8461">
        <v>48.248205864592201</v>
      </c>
      <c r="AI8461">
        <v>91.318167550005896</v>
      </c>
      <c r="AJ8461">
        <v>90.115166246834306</v>
      </c>
      <c r="AK8461">
        <v>48.261074887311501</v>
      </c>
      <c r="AL8461">
        <v>86.713568792345797</v>
      </c>
      <c r="AM8461">
        <v>91.247564958884993</v>
      </c>
      <c r="AN8461">
        <v>1.0000000359900101</v>
      </c>
    </row>
    <row r="8462" spans="1:40" x14ac:dyDescent="0.25">
      <c r="A8462" t="str">
        <f>"20190312160533374"</f>
        <v>20190312160533374</v>
      </c>
      <c r="B8462" t="str">
        <f>"1552377933363426"</f>
        <v>1552377933363426</v>
      </c>
      <c r="C8462" t="s">
        <v>40</v>
      </c>
      <c r="D8462">
        <v>5.0232530000000004</v>
      </c>
      <c r="E8462">
        <v>0.506185</v>
      </c>
      <c r="F8462" t="s">
        <v>41</v>
      </c>
      <c r="G8462">
        <v>-188.13069999999999</v>
      </c>
      <c r="H8462" s="1">
        <v>-9.5269129999999999E-7</v>
      </c>
      <c r="I8462">
        <v>90.986050000000006</v>
      </c>
      <c r="J8462">
        <v>-187.52969999999999</v>
      </c>
      <c r="K8462">
        <v>1.110209</v>
      </c>
      <c r="L8462">
        <v>42.735349999999997</v>
      </c>
      <c r="M8462">
        <v>-1.003857E-2</v>
      </c>
      <c r="N8462">
        <v>0</v>
      </c>
      <c r="O8462">
        <v>0.99988379999999999</v>
      </c>
      <c r="P8462">
        <v>-3.1704959999999997E-2</v>
      </c>
      <c r="Q8462">
        <v>4.5522159999999999E-2</v>
      </c>
      <c r="R8462">
        <v>0.99846009999999996</v>
      </c>
      <c r="S8462">
        <v>-3.7429810000000001E-2</v>
      </c>
      <c r="T8462">
        <v>-6.8921330000000003E-2</v>
      </c>
      <c r="U8462">
        <v>3.006653</v>
      </c>
      <c r="V8462">
        <v>-2.1683250000000001E-2</v>
      </c>
      <c r="W8462">
        <v>5.6973419999999997E-2</v>
      </c>
      <c r="X8462">
        <v>0.99814020000000003</v>
      </c>
      <c r="Y8462">
        <v>-2.405688E-3</v>
      </c>
      <c r="Z8462">
        <v>-2.291427E-2</v>
      </c>
      <c r="AA8462">
        <v>0.99973449999999997</v>
      </c>
      <c r="AB8462">
        <v>20</v>
      </c>
      <c r="AC8462">
        <v>-0.60099999999999898</v>
      </c>
      <c r="AD8462">
        <v>-1.1102099526913001</v>
      </c>
      <c r="AE8462">
        <v>48.250700000000002</v>
      </c>
      <c r="AF8462">
        <v>-0.116508133095619</v>
      </c>
      <c r="AG8462">
        <v>-1.1102099526913001</v>
      </c>
      <c r="AH8462">
        <v>48.2287725432654</v>
      </c>
      <c r="AI8462">
        <v>91.318692630197305</v>
      </c>
      <c r="AJ8462">
        <v>90.1384113873915</v>
      </c>
      <c r="AK8462">
        <v>48.241689867936401</v>
      </c>
      <c r="AL8462">
        <v>86.733894903156099</v>
      </c>
      <c r="AM8462">
        <v>91.244477816204807</v>
      </c>
      <c r="AN8462">
        <v>0.99999999638654902</v>
      </c>
    </row>
    <row r="8463" spans="1:40" x14ac:dyDescent="0.25">
      <c r="A8463" t="str">
        <f>"20190312160533398"</f>
        <v>20190312160533398</v>
      </c>
      <c r="B8463" t="str">
        <f>"1552377933393678"</f>
        <v>1552377933393678</v>
      </c>
      <c r="C8463" t="s">
        <v>40</v>
      </c>
      <c r="D8463">
        <v>4.9914880000000004</v>
      </c>
      <c r="E8463">
        <v>0.50610630000000001</v>
      </c>
      <c r="F8463" t="s">
        <v>41</v>
      </c>
      <c r="G8463">
        <v>-188.1412</v>
      </c>
      <c r="H8463" s="1">
        <v>-9.845177000000001E-7</v>
      </c>
      <c r="I8463">
        <v>91.087779999999995</v>
      </c>
      <c r="J8463">
        <v>-187.53190000000001</v>
      </c>
      <c r="K8463">
        <v>1.110204</v>
      </c>
      <c r="L8463">
        <v>42.94415</v>
      </c>
      <c r="M8463">
        <v>-1.012046E-2</v>
      </c>
      <c r="N8463">
        <v>0</v>
      </c>
      <c r="O8463">
        <v>0.999884</v>
      </c>
      <c r="P8463">
        <v>-3.1547930000000002E-2</v>
      </c>
      <c r="Q8463">
        <v>4.638515E-2</v>
      </c>
      <c r="R8463">
        <v>0.99842529999999996</v>
      </c>
      <c r="S8463">
        <v>-3.80249E-2</v>
      </c>
      <c r="T8463">
        <v>-6.9033029999999995E-2</v>
      </c>
      <c r="U8463">
        <v>3.006561</v>
      </c>
      <c r="V8463">
        <v>-2.14448E-2</v>
      </c>
      <c r="W8463">
        <v>5.7745560000000001E-2</v>
      </c>
      <c r="X8463">
        <v>0.99810100000000002</v>
      </c>
      <c r="Y8463">
        <v>-2.5220070000000002E-3</v>
      </c>
      <c r="Z8463">
        <v>-2.2952029999999998E-2</v>
      </c>
      <c r="AA8463">
        <v>0.99973339999999999</v>
      </c>
      <c r="AB8463">
        <v>20</v>
      </c>
      <c r="AC8463">
        <v>-0.60929999999998996</v>
      </c>
      <c r="AD8463">
        <v>-1.1102049845177</v>
      </c>
      <c r="AE8463">
        <v>48.143630000000002</v>
      </c>
      <c r="AF8463">
        <v>-0.121936710594985</v>
      </c>
      <c r="AG8463">
        <v>-1.1102049845177</v>
      </c>
      <c r="AH8463">
        <v>48.1217450006951</v>
      </c>
      <c r="AI8463">
        <v>91.321618195998695</v>
      </c>
      <c r="AJ8463">
        <v>90.145182680552693</v>
      </c>
      <c r="AK8463">
        <v>48.134704378244201</v>
      </c>
      <c r="AL8463">
        <v>86.689581651301296</v>
      </c>
      <c r="AM8463">
        <v>91.230844891141302</v>
      </c>
      <c r="AN8463">
        <v>1.0000000176738699</v>
      </c>
    </row>
    <row r="8464" spans="1:40" x14ac:dyDescent="0.25">
      <c r="A8464" t="str">
        <f>"20190312160533421"</f>
        <v>20190312160533421</v>
      </c>
      <c r="B8464" t="str">
        <f>"1552377933413199"</f>
        <v>1552377933413199</v>
      </c>
      <c r="C8464" t="s">
        <v>40</v>
      </c>
      <c r="D8464">
        <v>5.0605510000000002</v>
      </c>
      <c r="E8464">
        <v>0.50602239999999998</v>
      </c>
      <c r="F8464" t="s">
        <v>41</v>
      </c>
      <c r="G8464">
        <v>-188.17920000000001</v>
      </c>
      <c r="H8464" s="1">
        <v>-2.1622720000000001E-6</v>
      </c>
      <c r="I8464">
        <v>93.920190000000005</v>
      </c>
      <c r="J8464">
        <v>-187.53399999999999</v>
      </c>
      <c r="K8464">
        <v>1.1101970000000001</v>
      </c>
      <c r="L8464">
        <v>43.146610000000003</v>
      </c>
      <c r="M8464">
        <v>-1.0198509999999999E-2</v>
      </c>
      <c r="N8464">
        <v>0</v>
      </c>
      <c r="O8464">
        <v>0.9998842</v>
      </c>
      <c r="P8464">
        <v>-3.1032980000000002E-2</v>
      </c>
      <c r="Q8464">
        <v>4.610558E-2</v>
      </c>
      <c r="R8464">
        <v>0.99845439999999996</v>
      </c>
      <c r="S8464">
        <v>-3.8177490000000001E-2</v>
      </c>
      <c r="T8464">
        <v>-6.5479869999999996E-2</v>
      </c>
      <c r="U8464">
        <v>3.006561</v>
      </c>
      <c r="V8464">
        <v>-2.0851749999999999E-2</v>
      </c>
      <c r="W8464">
        <v>5.7379010000000001E-2</v>
      </c>
      <c r="X8464">
        <v>0.99813470000000004</v>
      </c>
      <c r="Y8464">
        <v>-2.495031E-3</v>
      </c>
      <c r="Z8464">
        <v>-2.1771220000000001E-2</v>
      </c>
      <c r="AA8464">
        <v>0.99975990000000003</v>
      </c>
      <c r="AB8464">
        <v>20</v>
      </c>
      <c r="AC8464">
        <v>-0.64519999999998801</v>
      </c>
      <c r="AD8464">
        <v>-1.11019916227199</v>
      </c>
      <c r="AE8464">
        <v>50.773580000000003</v>
      </c>
      <c r="AF8464">
        <v>-0.127257711055595</v>
      </c>
      <c r="AG8464">
        <v>-1.11019916227199</v>
      </c>
      <c r="AH8464">
        <v>50.753257990259797</v>
      </c>
      <c r="AI8464">
        <v>91.253109384968496</v>
      </c>
      <c r="AJ8464">
        <v>90.143661998513494</v>
      </c>
      <c r="AK8464">
        <v>50.7655585346089</v>
      </c>
      <c r="AL8464">
        <v>86.710618283504203</v>
      </c>
      <c r="AM8464">
        <v>91.196775861642195</v>
      </c>
      <c r="AN8464">
        <v>1.0000000128053601</v>
      </c>
    </row>
    <row r="8465" spans="1:40" x14ac:dyDescent="0.25">
      <c r="A8465" t="str">
        <f>"20190312160533443"</f>
        <v>20190312160533443</v>
      </c>
      <c r="B8465" t="str">
        <f>"1552377933433695"</f>
        <v>1552377933433695</v>
      </c>
      <c r="C8465" t="s">
        <v>40</v>
      </c>
      <c r="D8465">
        <v>5.0111540000000003</v>
      </c>
      <c r="E8465">
        <v>0.50595679999999998</v>
      </c>
      <c r="F8465" t="s">
        <v>41</v>
      </c>
      <c r="G8465">
        <v>-188.1507</v>
      </c>
      <c r="H8465" s="1">
        <v>-1.7670869999999901E-6</v>
      </c>
      <c r="I8465">
        <v>92.987229999999997</v>
      </c>
      <c r="J8465">
        <v>-187.5361</v>
      </c>
      <c r="K8465">
        <v>1.110182</v>
      </c>
      <c r="L8465">
        <v>43.346339999999998</v>
      </c>
      <c r="M8465">
        <v>-1.0274129999999999E-2</v>
      </c>
      <c r="N8465">
        <v>0</v>
      </c>
      <c r="O8465">
        <v>0.99988440000000001</v>
      </c>
      <c r="P8465">
        <v>-3.0431360000000001E-2</v>
      </c>
      <c r="Q8465">
        <v>4.56902E-2</v>
      </c>
      <c r="R8465">
        <v>0.99849200000000005</v>
      </c>
      <c r="S8465">
        <v>-3.720093E-2</v>
      </c>
      <c r="T8465">
        <v>-6.6971779999999995E-2</v>
      </c>
      <c r="U8465">
        <v>3.0065919999999999</v>
      </c>
      <c r="V8465">
        <v>-2.01741E-2</v>
      </c>
      <c r="W8465">
        <v>5.6880590000000002E-2</v>
      </c>
      <c r="X8465">
        <v>0.99817719999999999</v>
      </c>
      <c r="Y8465">
        <v>-2.0944639999999999E-3</v>
      </c>
      <c r="Z8465">
        <v>-2.226682E-2</v>
      </c>
      <c r="AA8465">
        <v>0.99974989999999997</v>
      </c>
      <c r="AB8465">
        <v>20</v>
      </c>
      <c r="AC8465">
        <v>-0.61459999999999504</v>
      </c>
      <c r="AD8465">
        <v>-1.1101837670870001</v>
      </c>
      <c r="AE8465">
        <v>49.640889999999999</v>
      </c>
      <c r="AF8465">
        <v>-0.104466318479016</v>
      </c>
      <c r="AG8465">
        <v>-1.1101837670870001</v>
      </c>
      <c r="AH8465">
        <v>49.619770372222703</v>
      </c>
      <c r="AI8465">
        <v>91.281708726394598</v>
      </c>
      <c r="AJ8465">
        <v>90.120626723215494</v>
      </c>
      <c r="AK8465">
        <v>49.632298284489202</v>
      </c>
      <c r="AL8465">
        <v>86.739222514704693</v>
      </c>
      <c r="AM8465">
        <v>91.157843955094194</v>
      </c>
      <c r="AN8465">
        <v>1.00000005921469</v>
      </c>
    </row>
    <row r="8466" spans="1:40" x14ac:dyDescent="0.25">
      <c r="A8466" t="str">
        <f>"20190312160533465"</f>
        <v>20190312160533465</v>
      </c>
      <c r="B8466" t="str">
        <f>"1552377933453214"</f>
        <v>1552377933453214</v>
      </c>
      <c r="C8466" t="s">
        <v>40</v>
      </c>
      <c r="D8466">
        <v>4.9763070000000003</v>
      </c>
      <c r="E8466">
        <v>0.50590009999999996</v>
      </c>
      <c r="F8466" t="s">
        <v>41</v>
      </c>
      <c r="G8466">
        <v>-188.1242</v>
      </c>
      <c r="H8466" s="1">
        <v>-1.6736820000000001E-6</v>
      </c>
      <c r="I8466">
        <v>92.758539999999996</v>
      </c>
      <c r="J8466">
        <v>-187.53819999999999</v>
      </c>
      <c r="K8466">
        <v>1.1101669999999999</v>
      </c>
      <c r="L8466">
        <v>43.540799999999997</v>
      </c>
      <c r="M8466">
        <v>-1.034584E-2</v>
      </c>
      <c r="N8466">
        <v>0</v>
      </c>
      <c r="O8466">
        <v>0.99988449999999995</v>
      </c>
      <c r="P8466">
        <v>-2.968434E-2</v>
      </c>
      <c r="Q8466">
        <v>4.5758649999999998E-2</v>
      </c>
      <c r="R8466">
        <v>0.99851140000000005</v>
      </c>
      <c r="S8466">
        <v>-3.5781859999999999E-2</v>
      </c>
      <c r="T8466">
        <v>-6.7550180000000001E-2</v>
      </c>
      <c r="U8466">
        <v>3.0065309999999998</v>
      </c>
      <c r="V8466">
        <v>-1.935543E-2</v>
      </c>
      <c r="W8466">
        <v>5.6873439999999997E-2</v>
      </c>
      <c r="X8466">
        <v>0.99819369999999996</v>
      </c>
      <c r="Y8466">
        <v>-1.55115299999999E-3</v>
      </c>
      <c r="Z8466">
        <v>-2.245954E-2</v>
      </c>
      <c r="AA8466">
        <v>0.99974660000000004</v>
      </c>
      <c r="AB8466">
        <v>20</v>
      </c>
      <c r="AC8466">
        <v>-0.58600000000001196</v>
      </c>
      <c r="AD8466">
        <v>-1.110168673682</v>
      </c>
      <c r="AE8466">
        <v>49.217739999999999</v>
      </c>
      <c r="AF8466">
        <v>-7.6699191911731496E-2</v>
      </c>
      <c r="AG8466">
        <v>-1.110168673682</v>
      </c>
      <c r="AH8466">
        <v>49.196141867292503</v>
      </c>
      <c r="AI8466">
        <v>91.292725528715096</v>
      </c>
      <c r="AJ8466">
        <v>90.089326850872993</v>
      </c>
      <c r="AK8466">
        <v>49.208726176124898</v>
      </c>
      <c r="AL8466">
        <v>86.739632460465998</v>
      </c>
      <c r="AM8466">
        <v>91.110852024092097</v>
      </c>
      <c r="AN8466">
        <v>0.99999994178380203</v>
      </c>
    </row>
    <row r="8467" spans="1:40" x14ac:dyDescent="0.25">
      <c r="A8467" t="str">
        <f>"20190312160533487"</f>
        <v>20190312160533487</v>
      </c>
      <c r="B8467" t="str">
        <f>"1552377933483471"</f>
        <v>1552377933483471</v>
      </c>
      <c r="C8467" t="s">
        <v>40</v>
      </c>
      <c r="D8467">
        <v>4.9745980000000003</v>
      </c>
      <c r="E8467">
        <v>0.50582309999999997</v>
      </c>
      <c r="F8467" t="s">
        <v>41</v>
      </c>
      <c r="G8467">
        <v>-188.0975</v>
      </c>
      <c r="H8467" s="1">
        <v>-1.7352279999999901E-6</v>
      </c>
      <c r="I8467">
        <v>92.890960000000007</v>
      </c>
      <c r="J8467">
        <v>-187.5403</v>
      </c>
      <c r="K8467">
        <v>1.110152</v>
      </c>
      <c r="L8467">
        <v>43.735720000000001</v>
      </c>
      <c r="M8467">
        <v>-1.0414649999999999E-2</v>
      </c>
      <c r="N8467">
        <v>0</v>
      </c>
      <c r="O8467">
        <v>0.99988460000000001</v>
      </c>
      <c r="P8467">
        <v>-2.939377E-2</v>
      </c>
      <c r="Q8467">
        <v>4.6070409999999999E-2</v>
      </c>
      <c r="R8467">
        <v>0.99850570000000005</v>
      </c>
      <c r="S8467">
        <v>-3.407288E-2</v>
      </c>
      <c r="T8467">
        <v>-6.7634819999999998E-2</v>
      </c>
      <c r="U8467">
        <v>3.006561</v>
      </c>
      <c r="V8467">
        <v>-1.8995809999999998E-2</v>
      </c>
      <c r="W8467">
        <v>5.7111469999999998E-2</v>
      </c>
      <c r="X8467">
        <v>0.99818709999999999</v>
      </c>
      <c r="Y8467">
        <v>-9.1401589999999999E-4</v>
      </c>
      <c r="Z8467">
        <v>-2.2487500000000001E-2</v>
      </c>
      <c r="AA8467">
        <v>0.99974669999999999</v>
      </c>
      <c r="AB8467">
        <v>20</v>
      </c>
      <c r="AC8467">
        <v>-0.55719999999999403</v>
      </c>
      <c r="AD8467">
        <v>-1.110153735228</v>
      </c>
      <c r="AE8467">
        <v>49.1552399999999</v>
      </c>
      <c r="AF8467">
        <v>-4.5180801402967499E-2</v>
      </c>
      <c r="AG8467">
        <v>-1.110153735228</v>
      </c>
      <c r="AH8467">
        <v>49.133319160398997</v>
      </c>
      <c r="AI8467">
        <v>91.294361482054001</v>
      </c>
      <c r="AJ8467">
        <v>90.052686619792794</v>
      </c>
      <c r="AK8467">
        <v>49.145880135961399</v>
      </c>
      <c r="AL8467">
        <v>86.725972410385495</v>
      </c>
      <c r="AM8467">
        <v>91.090224852054206</v>
      </c>
      <c r="AN8467">
        <v>1.0000000237047599</v>
      </c>
    </row>
    <row r="8468" spans="1:40" x14ac:dyDescent="0.25">
      <c r="A8468" t="str">
        <f>"20190312160533509"</f>
        <v>20190312160533509</v>
      </c>
      <c r="B8468" t="str">
        <f>"1552377933503966"</f>
        <v>1552377933503966</v>
      </c>
      <c r="C8468" t="s">
        <v>40</v>
      </c>
      <c r="D8468">
        <v>4.9783799999999996</v>
      </c>
      <c r="E8468">
        <v>0.50573950000000001</v>
      </c>
      <c r="F8468" t="s">
        <v>41</v>
      </c>
      <c r="G8468">
        <v>-188.10599999999999</v>
      </c>
      <c r="H8468" s="1">
        <v>-2.2331109999999999E-6</v>
      </c>
      <c r="I8468">
        <v>94.055049999999994</v>
      </c>
      <c r="J8468">
        <v>-187.54249999999999</v>
      </c>
      <c r="K8468">
        <v>1.1101319999999999</v>
      </c>
      <c r="L8468">
        <v>43.937289999999997</v>
      </c>
      <c r="M8468">
        <v>-1.0479179999999999E-2</v>
      </c>
      <c r="N8468">
        <v>0</v>
      </c>
      <c r="O8468">
        <v>0.99988480000000002</v>
      </c>
      <c r="P8468">
        <v>-2.945147E-2</v>
      </c>
      <c r="Q8468">
        <v>4.5378090000000003E-2</v>
      </c>
      <c r="R8468">
        <v>0.99853559999999997</v>
      </c>
      <c r="S8468">
        <v>-3.3798219999999997E-2</v>
      </c>
      <c r="T8468">
        <v>-6.6331269999999998E-2</v>
      </c>
      <c r="U8468">
        <v>3.006561</v>
      </c>
      <c r="V8468">
        <v>-1.8988069999999999E-2</v>
      </c>
      <c r="W8468">
        <v>5.6344999999999999E-2</v>
      </c>
      <c r="X8468">
        <v>0.99823079999999997</v>
      </c>
      <c r="Y8468">
        <v>-7.5827640000000003E-4</v>
      </c>
      <c r="Z8468">
        <v>-2.2054290000000001E-2</v>
      </c>
      <c r="AA8468">
        <v>0.99975650000000005</v>
      </c>
      <c r="AB8468">
        <v>20</v>
      </c>
      <c r="AC8468">
        <v>-0.563500000000004</v>
      </c>
      <c r="AD8468">
        <v>-1.11013423311099</v>
      </c>
      <c r="AE8468">
        <v>50.117759999999898</v>
      </c>
      <c r="AF8468">
        <v>-3.8225609414521897E-2</v>
      </c>
      <c r="AG8468">
        <v>-1.11013423311099</v>
      </c>
      <c r="AH8468">
        <v>50.096336742674197</v>
      </c>
      <c r="AI8468">
        <v>91.269465661192001</v>
      </c>
      <c r="AJ8468">
        <v>90.043719078202301</v>
      </c>
      <c r="AK8468">
        <v>50.108650094052102</v>
      </c>
      <c r="AL8468">
        <v>86.769958721013197</v>
      </c>
      <c r="AM8468">
        <v>91.089733041748403</v>
      </c>
      <c r="AN8468">
        <v>1.00000001794798</v>
      </c>
    </row>
    <row r="8469" spans="1:40" x14ac:dyDescent="0.25">
      <c r="A8469" t="str">
        <f>"20190312160533531"</f>
        <v>20190312160533531</v>
      </c>
      <c r="B8469" t="str">
        <f>"1552377933523487"</f>
        <v>1552377933523487</v>
      </c>
      <c r="C8469" t="s">
        <v>40</v>
      </c>
      <c r="D8469">
        <v>4.9792519999999998</v>
      </c>
      <c r="E8469">
        <v>0.50564750000000003</v>
      </c>
      <c r="F8469" t="s">
        <v>41</v>
      </c>
      <c r="G8469">
        <v>-188.11070000000001</v>
      </c>
      <c r="H8469" s="1">
        <v>-1.8820660000000001E-6</v>
      </c>
      <c r="I8469">
        <v>93.238730000000004</v>
      </c>
      <c r="J8469">
        <v>-187.5446</v>
      </c>
      <c r="K8469">
        <v>1.1101160000000001</v>
      </c>
      <c r="L8469">
        <v>44.131680000000003</v>
      </c>
      <c r="M8469">
        <v>-1.053405E-2</v>
      </c>
      <c r="N8469">
        <v>0</v>
      </c>
      <c r="O8469">
        <v>0.99988500000000002</v>
      </c>
      <c r="P8469">
        <v>-2.9655890000000001E-2</v>
      </c>
      <c r="Q8469">
        <v>4.4922810000000001E-2</v>
      </c>
      <c r="R8469">
        <v>0.99855020000000005</v>
      </c>
      <c r="S8469">
        <v>-3.4652710000000003E-2</v>
      </c>
      <c r="T8469">
        <v>-6.7697530000000006E-2</v>
      </c>
      <c r="U8469">
        <v>3.0064700000000002</v>
      </c>
      <c r="V8469">
        <v>-1.9136670000000001E-2</v>
      </c>
      <c r="W8469">
        <v>5.5818930000000003E-2</v>
      </c>
      <c r="X8469">
        <v>0.99825750000000002</v>
      </c>
      <c r="Y8469">
        <v>-9.8774699999999997E-4</v>
      </c>
      <c r="Z8469">
        <v>-2.250895E-2</v>
      </c>
      <c r="AA8469">
        <v>0.99974609999999997</v>
      </c>
      <c r="AB8469">
        <v>20</v>
      </c>
      <c r="AC8469">
        <v>-0.56610000000000504</v>
      </c>
      <c r="AD8469">
        <v>-1.11011788206599</v>
      </c>
      <c r="AE8469">
        <v>49.107050000000001</v>
      </c>
      <c r="AF8469">
        <v>-4.8716786497983701E-2</v>
      </c>
      <c r="AG8469">
        <v>-1.11011788206599</v>
      </c>
      <c r="AH8469">
        <v>49.085207751063898</v>
      </c>
      <c r="AI8469">
        <v>91.295587813257399</v>
      </c>
      <c r="AJ8469">
        <v>90.056865713096698</v>
      </c>
      <c r="AK8469">
        <v>49.097783605805198</v>
      </c>
      <c r="AL8469">
        <v>86.800147768861194</v>
      </c>
      <c r="AM8469">
        <v>91.098229807826996</v>
      </c>
      <c r="AN8469">
        <v>1.00000000069564</v>
      </c>
    </row>
    <row r="8470" spans="1:40" x14ac:dyDescent="0.25">
      <c r="A8470" t="str">
        <f>"20190312160533553"</f>
        <v>20190312160533553</v>
      </c>
      <c r="B8470" t="str">
        <f>"1552377933543982"</f>
        <v>1552377933543982</v>
      </c>
      <c r="C8470" t="s">
        <v>40</v>
      </c>
      <c r="D8470">
        <v>4.9824330000000003</v>
      </c>
      <c r="E8470">
        <v>0.50557059999999998</v>
      </c>
      <c r="F8470" t="s">
        <v>41</v>
      </c>
      <c r="G8470">
        <v>-188.12899999999999</v>
      </c>
      <c r="H8470" s="1">
        <v>-1.7424780000000001E-6</v>
      </c>
      <c r="I8470">
        <v>92.920910000000006</v>
      </c>
      <c r="J8470">
        <v>-187.54679999999999</v>
      </c>
      <c r="K8470">
        <v>1.1101000000000001</v>
      </c>
      <c r="L8470">
        <v>44.331049999999998</v>
      </c>
      <c r="M8470">
        <v>-1.058367E-2</v>
      </c>
      <c r="N8470">
        <v>0</v>
      </c>
      <c r="O8470">
        <v>0.99988520000000003</v>
      </c>
      <c r="P8470">
        <v>-2.9944510000000001E-2</v>
      </c>
      <c r="Q8470">
        <v>4.4978320000000002E-2</v>
      </c>
      <c r="R8470">
        <v>0.99853910000000001</v>
      </c>
      <c r="S8470">
        <v>-3.6010739999999999E-2</v>
      </c>
      <c r="T8470">
        <v>-6.8404439999999997E-2</v>
      </c>
      <c r="U8470">
        <v>3.006348</v>
      </c>
      <c r="V8470">
        <v>-1.9375170000000001E-2</v>
      </c>
      <c r="W8470">
        <v>5.580512E-2</v>
      </c>
      <c r="X8470">
        <v>0.99825359999999996</v>
      </c>
      <c r="Y8470">
        <v>-1.390072E-3</v>
      </c>
      <c r="Z8470">
        <v>-2.2744710000000001E-2</v>
      </c>
      <c r="AA8470">
        <v>0.99974039999999997</v>
      </c>
      <c r="AB8470">
        <v>20</v>
      </c>
      <c r="AC8470">
        <v>-0.58220000000002803</v>
      </c>
      <c r="AD8470">
        <v>-1.110101742478</v>
      </c>
      <c r="AE8470">
        <v>48.589860000000002</v>
      </c>
      <c r="AF8470">
        <v>-6.7842704424745395E-2</v>
      </c>
      <c r="AG8470">
        <v>-1.110101742478</v>
      </c>
      <c r="AH8470">
        <v>48.567953686689599</v>
      </c>
      <c r="AI8470">
        <v>91.309361525742204</v>
      </c>
      <c r="AJ8470">
        <v>90.080034216206997</v>
      </c>
      <c r="AK8470">
        <v>48.580686016395603</v>
      </c>
      <c r="AL8470">
        <v>86.800940030107697</v>
      </c>
      <c r="AM8470">
        <v>91.111917955483904</v>
      </c>
      <c r="AN8470">
        <v>0.999999929271849</v>
      </c>
    </row>
    <row r="8471" spans="1:40" x14ac:dyDescent="0.25">
      <c r="A8471" t="str">
        <f>"20190312160533575"</f>
        <v>20190312160533575</v>
      </c>
      <c r="B8471" t="str">
        <f>"1552377933563506"</f>
        <v>1552377933563506</v>
      </c>
      <c r="C8471" t="s">
        <v>40</v>
      </c>
      <c r="D8471">
        <v>4.9886220000000003</v>
      </c>
      <c r="E8471">
        <v>0.5055075</v>
      </c>
      <c r="F8471" t="s">
        <v>41</v>
      </c>
      <c r="G8471">
        <v>-188.1644</v>
      </c>
      <c r="H8471" s="1">
        <v>-2.137129E-6</v>
      </c>
      <c r="I8471">
        <v>93.855459999999994</v>
      </c>
      <c r="J8471">
        <v>-187.5488</v>
      </c>
      <c r="K8471">
        <v>1.110087</v>
      </c>
      <c r="L8471">
        <v>44.51782</v>
      </c>
      <c r="M8471">
        <v>-1.0623260000000001E-2</v>
      </c>
      <c r="N8471">
        <v>0</v>
      </c>
      <c r="O8471">
        <v>0.99988540000000004</v>
      </c>
      <c r="P8471">
        <v>-3.0370049999999999E-2</v>
      </c>
      <c r="Q8471">
        <v>4.5270629999999999E-2</v>
      </c>
      <c r="R8471">
        <v>0.99851299999999998</v>
      </c>
      <c r="S8471">
        <v>-3.7490839999999998E-2</v>
      </c>
      <c r="T8471">
        <v>-6.7387340000000004E-2</v>
      </c>
      <c r="U8471">
        <v>3.0063170000000001</v>
      </c>
      <c r="V8471">
        <v>-1.9760949999999999E-2</v>
      </c>
      <c r="W8471">
        <v>5.6037450000000003E-2</v>
      </c>
      <c r="X8471">
        <v>0.99823309999999998</v>
      </c>
      <c r="Y8471">
        <v>-1.8428330000000001E-3</v>
      </c>
      <c r="Z8471">
        <v>-2.2406840000000001E-2</v>
      </c>
      <c r="AA8471">
        <v>0.99974719999999995</v>
      </c>
      <c r="AB8471">
        <v>20</v>
      </c>
      <c r="AC8471">
        <v>-0.61560000000000004</v>
      </c>
      <c r="AD8471">
        <v>-1.110089137129</v>
      </c>
      <c r="AE8471">
        <v>49.337639999999901</v>
      </c>
      <c r="AF8471">
        <v>-9.1361947652892905E-2</v>
      </c>
      <c r="AG8471">
        <v>-1.110089137129</v>
      </c>
      <c r="AH8471">
        <v>49.316433481266998</v>
      </c>
      <c r="AI8471">
        <v>91.289480401732803</v>
      </c>
      <c r="AJ8471">
        <v>90.106144091343495</v>
      </c>
      <c r="AK8471">
        <v>49.329010290194198</v>
      </c>
      <c r="AL8471">
        <v>86.7876078860522</v>
      </c>
      <c r="AM8471">
        <v>91.134074968472007</v>
      </c>
      <c r="AN8471">
        <v>1.0000000064415</v>
      </c>
    </row>
    <row r="8472" spans="1:40" x14ac:dyDescent="0.25">
      <c r="A8472" t="str">
        <f>"20190312160533599"</f>
        <v>20190312160533599</v>
      </c>
      <c r="B8472" t="str">
        <f>"1552377933593758"</f>
        <v>1552377933593758</v>
      </c>
      <c r="C8472" t="s">
        <v>40</v>
      </c>
      <c r="D8472">
        <v>5.0369149999999996</v>
      </c>
      <c r="E8472">
        <v>0.50541270000000005</v>
      </c>
      <c r="F8472" t="s">
        <v>41</v>
      </c>
      <c r="G8472">
        <v>-188.19659999999999</v>
      </c>
      <c r="H8472" s="1">
        <v>-2.2541940000000002E-6</v>
      </c>
      <c r="I8472">
        <v>94.141670000000005</v>
      </c>
      <c r="J8472">
        <v>-187.55109999999999</v>
      </c>
      <c r="K8472">
        <v>1.110074</v>
      </c>
      <c r="L8472">
        <v>44.73489</v>
      </c>
      <c r="M8472">
        <v>-1.065997E-2</v>
      </c>
      <c r="N8472">
        <v>0</v>
      </c>
      <c r="O8472">
        <v>0.99988580000000005</v>
      </c>
      <c r="P8472">
        <v>-3.0720480000000001E-2</v>
      </c>
      <c r="Q8472">
        <v>4.5737430000000003E-2</v>
      </c>
      <c r="R8472">
        <v>0.99848099999999995</v>
      </c>
      <c r="S8472">
        <v>-3.924561E-2</v>
      </c>
      <c r="T8472">
        <v>-6.7251560000000002E-2</v>
      </c>
      <c r="U8472">
        <v>3.0063170000000001</v>
      </c>
      <c r="V8472">
        <v>-2.0074169999999999E-2</v>
      </c>
      <c r="W8472">
        <v>5.6435920000000001E-2</v>
      </c>
      <c r="X8472">
        <v>0.99820439999999999</v>
      </c>
      <c r="Y8472">
        <v>-2.38959E-3</v>
      </c>
      <c r="Z8472">
        <v>-2.2361599999999999E-2</v>
      </c>
      <c r="AA8472">
        <v>0.9997471</v>
      </c>
      <c r="AB8472">
        <v>20</v>
      </c>
      <c r="AC8472">
        <v>-0.64549999999999796</v>
      </c>
      <c r="AD8472">
        <v>-1.1100762541939999</v>
      </c>
      <c r="AE8472">
        <v>49.406779999999898</v>
      </c>
      <c r="AF8472">
        <v>-0.118698394833763</v>
      </c>
      <c r="AG8472">
        <v>-1.1100762541939999</v>
      </c>
      <c r="AH8472">
        <v>49.385927317010598</v>
      </c>
      <c r="AI8472">
        <v>91.287650061720697</v>
      </c>
      <c r="AJ8472">
        <v>90.137709350269304</v>
      </c>
      <c r="AK8472">
        <v>49.398544265596698</v>
      </c>
      <c r="AL8472">
        <v>86.764741043821701</v>
      </c>
      <c r="AM8472">
        <v>91.152078877445106</v>
      </c>
      <c r="AN8472">
        <v>1.0000000047733899</v>
      </c>
    </row>
    <row r="8473" spans="1:40" x14ac:dyDescent="0.25">
      <c r="A8473" t="str">
        <f>"20190312160533622"</f>
        <v>20190312160533622</v>
      </c>
      <c r="B8473" t="str">
        <f>"1552377933613278"</f>
        <v>1552377933613278</v>
      </c>
      <c r="C8473" t="s">
        <v>40</v>
      </c>
      <c r="D8473">
        <v>5.0054800000000004</v>
      </c>
      <c r="E8473">
        <v>0.5053723</v>
      </c>
      <c r="F8473" t="s">
        <v>41</v>
      </c>
      <c r="G8473">
        <v>-188.2319</v>
      </c>
      <c r="H8473" s="1">
        <v>-2.5235749999999998E-6</v>
      </c>
      <c r="I8473">
        <v>94.784220000000005</v>
      </c>
      <c r="J8473">
        <v>-187.55330000000001</v>
      </c>
      <c r="K8473">
        <v>1.1100669999999999</v>
      </c>
      <c r="L8473">
        <v>44.939480000000003</v>
      </c>
      <c r="M8473">
        <v>-1.068556E-2</v>
      </c>
      <c r="N8473">
        <v>0</v>
      </c>
      <c r="O8473">
        <v>0.99988619999999995</v>
      </c>
      <c r="P8473">
        <v>-3.1027160000000002E-2</v>
      </c>
      <c r="Q8473">
        <v>4.6351379999999998E-2</v>
      </c>
      <c r="R8473">
        <v>0.99844319999999998</v>
      </c>
      <c r="S8473">
        <v>-4.0893550000000001E-2</v>
      </c>
      <c r="T8473">
        <v>-6.6679719999999998E-2</v>
      </c>
      <c r="U8473">
        <v>3.006348</v>
      </c>
      <c r="V8473">
        <v>-2.0354839999999999E-2</v>
      </c>
      <c r="W8473">
        <v>5.6989119999999997E-2</v>
      </c>
      <c r="X8473">
        <v>0.99816729999999998</v>
      </c>
      <c r="Y8473">
        <v>-2.9118439999999998E-3</v>
      </c>
      <c r="Z8473">
        <v>-2.2171219999999998E-2</v>
      </c>
      <c r="AA8473">
        <v>0.99975000000000003</v>
      </c>
      <c r="AB8473">
        <v>20</v>
      </c>
      <c r="AC8473">
        <v>-0.67859999999998799</v>
      </c>
      <c r="AD8473">
        <v>-1.110069523575</v>
      </c>
      <c r="AE8473">
        <v>49.844740000000002</v>
      </c>
      <c r="AF8473">
        <v>-0.145839769450716</v>
      </c>
      <c r="AG8473">
        <v>-1.110069523575</v>
      </c>
      <c r="AH8473">
        <v>49.824438357636303</v>
      </c>
      <c r="AI8473">
        <v>91.276311543126099</v>
      </c>
      <c r="AJ8473">
        <v>90.167708451639001</v>
      </c>
      <c r="AK8473">
        <v>49.837016175122599</v>
      </c>
      <c r="AL8473">
        <v>86.732993969620594</v>
      </c>
      <c r="AM8473">
        <v>91.168225814221003</v>
      </c>
      <c r="AN8473">
        <v>1.0000000190495399</v>
      </c>
    </row>
    <row r="8474" spans="1:40" x14ac:dyDescent="0.25">
      <c r="A8474" t="str">
        <f>"20190312160533644"</f>
        <v>20190312160533644</v>
      </c>
      <c r="B8474" t="str">
        <f>"1552377933633774"</f>
        <v>1552377933633774</v>
      </c>
      <c r="C8474" t="s">
        <v>40</v>
      </c>
      <c r="D8474">
        <v>5.024813</v>
      </c>
      <c r="E8474">
        <v>0.50532719999999998</v>
      </c>
      <c r="F8474" t="s">
        <v>41</v>
      </c>
      <c r="G8474">
        <v>-188.2731</v>
      </c>
      <c r="H8474" s="1">
        <v>-3.1104030000000002E-6</v>
      </c>
      <c r="I8474">
        <v>96.169139999999999</v>
      </c>
      <c r="J8474">
        <v>-187.55549999999999</v>
      </c>
      <c r="K8474">
        <v>1.110061</v>
      </c>
      <c r="L8474">
        <v>45.13617</v>
      </c>
      <c r="M8474">
        <v>-1.070315E-2</v>
      </c>
      <c r="N8474">
        <v>0</v>
      </c>
      <c r="O8474">
        <v>0.99988650000000001</v>
      </c>
      <c r="P8474">
        <v>-3.1076349999999999E-2</v>
      </c>
      <c r="Q8474">
        <v>4.6753740000000002E-2</v>
      </c>
      <c r="R8474">
        <v>0.9984229</v>
      </c>
      <c r="S8474">
        <v>-4.2236330000000002E-2</v>
      </c>
      <c r="T8474">
        <v>-6.5143699999999999E-2</v>
      </c>
      <c r="U8474">
        <v>3.0063780000000002</v>
      </c>
      <c r="V8474">
        <v>-2.0386319999999999E-2</v>
      </c>
      <c r="W8474">
        <v>5.7339029999999999E-2</v>
      </c>
      <c r="X8474">
        <v>0.99814659999999999</v>
      </c>
      <c r="Y8474">
        <v>-3.3407290000000002E-3</v>
      </c>
      <c r="Z8474">
        <v>-2.1660430000000001E-2</v>
      </c>
      <c r="AA8474">
        <v>0.99975979999999998</v>
      </c>
      <c r="AB8474">
        <v>20</v>
      </c>
      <c r="AC8474">
        <v>-0.71760000000000401</v>
      </c>
      <c r="AD8474">
        <v>-1.110064110403</v>
      </c>
      <c r="AE8474">
        <v>51.032969999999999</v>
      </c>
      <c r="AF8474">
        <v>-0.17123364788067</v>
      </c>
      <c r="AG8474">
        <v>-1.110064110403</v>
      </c>
      <c r="AH8474">
        <v>51.013595431030197</v>
      </c>
      <c r="AI8474">
        <v>91.246561707492802</v>
      </c>
      <c r="AJ8474">
        <v>90.192319878749799</v>
      </c>
      <c r="AK8474">
        <v>51.025958904191</v>
      </c>
      <c r="AL8474">
        <v>86.712912706629297</v>
      </c>
      <c r="AM8474">
        <v>91.170056302638102</v>
      </c>
      <c r="AN8474">
        <v>1.0000000007480201</v>
      </c>
    </row>
    <row r="8475" spans="1:40" x14ac:dyDescent="0.25">
      <c r="A8475" t="str">
        <f>"20190312160533665"</f>
        <v>20190312160533665</v>
      </c>
      <c r="B8475" t="str">
        <f>"1552377933653298"</f>
        <v>1552377933653298</v>
      </c>
      <c r="C8475" t="s">
        <v>40</v>
      </c>
      <c r="D8475">
        <v>4.988931</v>
      </c>
      <c r="E8475">
        <v>0.50526519999999997</v>
      </c>
      <c r="F8475" t="s">
        <v>41</v>
      </c>
      <c r="G8475">
        <v>-188.29310000000001</v>
      </c>
      <c r="H8475" s="1">
        <v>-3.416869E-6</v>
      </c>
      <c r="I8475">
        <v>96.89179</v>
      </c>
      <c r="J8475">
        <v>-187.5575</v>
      </c>
      <c r="K8475">
        <v>1.110055</v>
      </c>
      <c r="L8475">
        <v>45.326450000000001</v>
      </c>
      <c r="M8475">
        <v>-1.071605E-2</v>
      </c>
      <c r="N8475">
        <v>0</v>
      </c>
      <c r="O8475">
        <v>0.99988690000000002</v>
      </c>
      <c r="P8475">
        <v>-3.0935009999999999E-2</v>
      </c>
      <c r="Q8475">
        <v>4.758217E-2</v>
      </c>
      <c r="R8475">
        <v>0.99838819999999995</v>
      </c>
      <c r="S8475">
        <v>-4.2846679999999998E-2</v>
      </c>
      <c r="T8475">
        <v>-6.4482689999999995E-2</v>
      </c>
      <c r="U8475">
        <v>3.0064389999999999</v>
      </c>
      <c r="V8475">
        <v>-2.0232139999999999E-2</v>
      </c>
      <c r="W8475">
        <v>5.8122590000000002E-2</v>
      </c>
      <c r="X8475">
        <v>0.9981044</v>
      </c>
      <c r="Y8475">
        <v>-3.5305409999999999E-3</v>
      </c>
      <c r="Z8475">
        <v>-2.1440259999999999E-2</v>
      </c>
      <c r="AA8475">
        <v>0.99976390000000004</v>
      </c>
      <c r="AB8475">
        <v>20</v>
      </c>
      <c r="AC8475">
        <v>-0.73560000000000503</v>
      </c>
      <c r="AD8475">
        <v>-1.110058416869</v>
      </c>
      <c r="AE8475">
        <v>51.565339999999999</v>
      </c>
      <c r="AF8475">
        <v>-0.18286550178073699</v>
      </c>
      <c r="AG8475">
        <v>-1.110058416869</v>
      </c>
      <c r="AH8475">
        <v>51.546379205761603</v>
      </c>
      <c r="AI8475">
        <v>91.233674100136895</v>
      </c>
      <c r="AJ8475">
        <v>90.203261173299595</v>
      </c>
      <c r="AK8475">
        <v>51.558654741030402</v>
      </c>
      <c r="AL8475">
        <v>86.667942967995799</v>
      </c>
      <c r="AM8475">
        <v>91.161258781434995</v>
      </c>
      <c r="AN8475">
        <v>0.99999998412832303</v>
      </c>
    </row>
    <row r="8476" spans="1:40" x14ac:dyDescent="0.25">
      <c r="A8476" t="str">
        <f>"20190312160533688"</f>
        <v>20190312160533688</v>
      </c>
      <c r="B8476" t="str">
        <f>"1552377933683551"</f>
        <v>1552377933683551</v>
      </c>
      <c r="C8476" t="s">
        <v>40</v>
      </c>
      <c r="D8476">
        <v>4.9928030000000003</v>
      </c>
      <c r="E8476">
        <v>0.50524460000000004</v>
      </c>
      <c r="F8476" t="s">
        <v>41</v>
      </c>
      <c r="G8476">
        <v>-188.31970000000001</v>
      </c>
      <c r="H8476" s="1">
        <v>-4.1765690000000002E-6</v>
      </c>
      <c r="I8476">
        <v>98.673670000000001</v>
      </c>
      <c r="J8476">
        <v>-187.55969999999999</v>
      </c>
      <c r="K8476">
        <v>1.110052</v>
      </c>
      <c r="L8476">
        <v>45.530729999999998</v>
      </c>
      <c r="M8476">
        <v>-1.072701E-2</v>
      </c>
      <c r="N8476">
        <v>0</v>
      </c>
      <c r="O8476">
        <v>0.99988719999999998</v>
      </c>
      <c r="P8476">
        <v>-3.0928560000000001E-2</v>
      </c>
      <c r="Q8476">
        <v>4.7941820000000003E-2</v>
      </c>
      <c r="R8476">
        <v>0.99837120000000001</v>
      </c>
      <c r="S8476">
        <v>-4.2953489999999997E-2</v>
      </c>
      <c r="T8476">
        <v>-6.2559840000000005E-2</v>
      </c>
      <c r="U8476">
        <v>3.0065</v>
      </c>
      <c r="V8476">
        <v>-2.0214630000000001E-2</v>
      </c>
      <c r="W8476">
        <v>5.8440100000000002E-2</v>
      </c>
      <c r="X8476">
        <v>0.99808620000000003</v>
      </c>
      <c r="Y8476">
        <v>-3.5549959999999999E-3</v>
      </c>
      <c r="Z8476">
        <v>-2.080077E-2</v>
      </c>
      <c r="AA8476">
        <v>0.99977729999999998</v>
      </c>
      <c r="AB8476">
        <v>20</v>
      </c>
      <c r="AC8476">
        <v>-0.76000000000001899</v>
      </c>
      <c r="AD8476">
        <v>-1.110056176569</v>
      </c>
      <c r="AE8476">
        <v>53.142940000000003</v>
      </c>
      <c r="AF8476">
        <v>-0.189777129586677</v>
      </c>
      <c r="AG8476">
        <v>-1.110056176569</v>
      </c>
      <c r="AH8476">
        <v>53.1248606463718</v>
      </c>
      <c r="AI8476">
        <v>91.197026657312804</v>
      </c>
      <c r="AJ8476">
        <v>90.204675968816602</v>
      </c>
      <c r="AK8476">
        <v>53.136795714179797</v>
      </c>
      <c r="AL8476">
        <v>86.649719960493499</v>
      </c>
      <c r="AM8476">
        <v>91.1602751907824</v>
      </c>
      <c r="AN8476">
        <v>0.99999996959224202</v>
      </c>
    </row>
    <row r="8477" spans="1:40" x14ac:dyDescent="0.25">
      <c r="A8477" t="str">
        <f>"20190312160533701"</f>
        <v>20190312160533701</v>
      </c>
      <c r="B8477" t="str">
        <f>"1552377933693310"</f>
        <v>1552377933693310</v>
      </c>
      <c r="C8477" t="s">
        <v>40</v>
      </c>
      <c r="D8477">
        <v>5.0124469999999999</v>
      </c>
      <c r="E8477">
        <v>0.5052278</v>
      </c>
      <c r="F8477" t="s">
        <v>41</v>
      </c>
      <c r="G8477">
        <v>-188.32650000000001</v>
      </c>
      <c r="H8477" s="1">
        <v>-4.3939670000000003E-6</v>
      </c>
      <c r="I8477">
        <v>99.183260000000004</v>
      </c>
      <c r="J8477">
        <v>-187.56100000000001</v>
      </c>
      <c r="K8477">
        <v>1.110047</v>
      </c>
      <c r="L8477">
        <v>45.652070000000002</v>
      </c>
      <c r="M8477">
        <v>-1.0733049999999999E-2</v>
      </c>
      <c r="N8477">
        <v>0</v>
      </c>
      <c r="O8477">
        <v>0.99988730000000003</v>
      </c>
      <c r="P8477">
        <v>-3.0625590000000001E-2</v>
      </c>
      <c r="Q8477">
        <v>4.7802169999999998E-2</v>
      </c>
      <c r="R8477">
        <v>0.99838720000000003</v>
      </c>
      <c r="S8477">
        <v>-4.296875E-2</v>
      </c>
      <c r="T8477">
        <v>-6.2204959999999997E-2</v>
      </c>
      <c r="U8477">
        <v>3.006561</v>
      </c>
      <c r="V8477">
        <v>-1.9905470000000001E-2</v>
      </c>
      <c r="W8477">
        <v>5.827777E-2</v>
      </c>
      <c r="X8477">
        <v>0.99810189999999999</v>
      </c>
      <c r="Y8477">
        <v>-3.5537749999999999E-3</v>
      </c>
      <c r="Z8477">
        <v>-2.0682409999999998E-2</v>
      </c>
      <c r="AA8477">
        <v>0.9997798</v>
      </c>
      <c r="AB8477">
        <v>20</v>
      </c>
      <c r="AC8477">
        <v>-0.76550000000003104</v>
      </c>
      <c r="AD8477">
        <v>-1.110051393967</v>
      </c>
      <c r="AE8477">
        <v>53.531190000000002</v>
      </c>
      <c r="AF8477">
        <v>-0.190789282204259</v>
      </c>
      <c r="AG8477">
        <v>-1.110051393967</v>
      </c>
      <c r="AH8477">
        <v>53.513316591820796</v>
      </c>
      <c r="AI8477">
        <v>91.188334790731702</v>
      </c>
      <c r="AJ8477">
        <v>90.204273908370496</v>
      </c>
      <c r="AK8477">
        <v>53.525168540639797</v>
      </c>
      <c r="AL8477">
        <v>86.659036646419693</v>
      </c>
      <c r="AM8477">
        <v>91.142516861588703</v>
      </c>
      <c r="AN8477">
        <v>0.999999964497851</v>
      </c>
    </row>
    <row r="8478" spans="1:40" x14ac:dyDescent="0.25">
      <c r="A8478" t="str">
        <f>"20190312160533721"</f>
        <v>20190312160533721</v>
      </c>
      <c r="B8478" t="str">
        <f>"1552377933713807"</f>
        <v>1552377933713807</v>
      </c>
      <c r="C8478" t="s">
        <v>40</v>
      </c>
      <c r="D8478">
        <v>5.0074329999999998</v>
      </c>
      <c r="E8478">
        <v>0.50521090000000002</v>
      </c>
      <c r="F8478" t="s">
        <v>41</v>
      </c>
      <c r="G8478">
        <v>-188.30760000000001</v>
      </c>
      <c r="H8478" s="1">
        <v>-4.1893129999999996E-6</v>
      </c>
      <c r="I8478">
        <v>98.698369999999997</v>
      </c>
      <c r="J8478">
        <v>-187.56299999999999</v>
      </c>
      <c r="K8478">
        <v>1.110044</v>
      </c>
      <c r="L8478">
        <v>45.836460000000002</v>
      </c>
      <c r="M8478">
        <v>-1.074222E-2</v>
      </c>
      <c r="N8478">
        <v>0</v>
      </c>
      <c r="O8478">
        <v>0.99988759999999999</v>
      </c>
      <c r="P8478">
        <v>-3.0142800000000001E-2</v>
      </c>
      <c r="Q8478">
        <v>4.7353109999999997E-2</v>
      </c>
      <c r="R8478">
        <v>0.99842330000000001</v>
      </c>
      <c r="S8478">
        <v>-4.2312620000000002E-2</v>
      </c>
      <c r="T8478">
        <v>-6.2915559999999995E-2</v>
      </c>
      <c r="U8478">
        <v>3.006561</v>
      </c>
      <c r="V8478">
        <v>-1.9413420000000001E-2</v>
      </c>
      <c r="W8478">
        <v>5.7797929999999997E-2</v>
      </c>
      <c r="X8478">
        <v>0.99813949999999996</v>
      </c>
      <c r="Y8478">
        <v>-3.3263949999999998E-3</v>
      </c>
      <c r="Z8478">
        <v>-2.0918610000000001E-2</v>
      </c>
      <c r="AA8478">
        <v>0.99977559999999999</v>
      </c>
      <c r="AB8478">
        <v>20</v>
      </c>
      <c r="AC8478">
        <v>-0.74460000000001902</v>
      </c>
      <c r="AD8478">
        <v>-1.1100481893130001</v>
      </c>
      <c r="AE8478">
        <v>52.861909999999902</v>
      </c>
      <c r="AF8478">
        <v>-0.17659384847095599</v>
      </c>
      <c r="AG8478">
        <v>-1.1100481893130001</v>
      </c>
      <c r="AH8478">
        <v>52.843561456738499</v>
      </c>
      <c r="AI8478">
        <v>91.203389155992497</v>
      </c>
      <c r="AJ8478">
        <v>90.191471662037301</v>
      </c>
      <c r="AK8478">
        <v>52.855514185390497</v>
      </c>
      <c r="AL8478">
        <v>86.686575898398502</v>
      </c>
      <c r="AM8478">
        <v>91.114239849820294</v>
      </c>
      <c r="AN8478">
        <v>0.99999997152431497</v>
      </c>
    </row>
    <row r="8479" spans="1:40" x14ac:dyDescent="0.25">
      <c r="A8479" t="str">
        <f>"20190312160533743"</f>
        <v>20190312160533743</v>
      </c>
      <c r="B8479" t="str">
        <f>"1552377933733326"</f>
        <v>1552377933733326</v>
      </c>
      <c r="C8479" t="s">
        <v>40</v>
      </c>
      <c r="D8479">
        <v>5.0158639999999997</v>
      </c>
      <c r="E8479">
        <v>0.50518399999999997</v>
      </c>
      <c r="F8479" t="s">
        <v>41</v>
      </c>
      <c r="G8479">
        <v>-188.26259999999999</v>
      </c>
      <c r="H8479" s="1">
        <v>-3.6251440000000002E-6</v>
      </c>
      <c r="I8479">
        <v>97.364689999999996</v>
      </c>
      <c r="J8479">
        <v>-187.5651</v>
      </c>
      <c r="K8479">
        <v>1.1100449999999999</v>
      </c>
      <c r="L8479">
        <v>46.032139999999998</v>
      </c>
      <c r="M8479">
        <v>-1.075219E-2</v>
      </c>
      <c r="N8479">
        <v>0</v>
      </c>
      <c r="O8479">
        <v>0.99988779999999999</v>
      </c>
      <c r="P8479">
        <v>-3.018235E-2</v>
      </c>
      <c r="Q8479">
        <v>4.7844230000000001E-2</v>
      </c>
      <c r="R8479">
        <v>0.99839869999999997</v>
      </c>
      <c r="S8479">
        <v>-4.0817260000000001E-2</v>
      </c>
      <c r="T8479">
        <v>-6.4768909999999999E-2</v>
      </c>
      <c r="U8479">
        <v>3.006561</v>
      </c>
      <c r="V8479">
        <v>-1.9442879999999999E-2</v>
      </c>
      <c r="W8479">
        <v>5.8258730000000002E-2</v>
      </c>
      <c r="X8479">
        <v>0.99811209999999995</v>
      </c>
      <c r="Y8479">
        <v>-2.8190899999999998E-3</v>
      </c>
      <c r="Z8479">
        <v>-2.1534620000000001E-2</v>
      </c>
      <c r="AA8479">
        <v>0.99976410000000004</v>
      </c>
      <c r="AB8479">
        <v>20</v>
      </c>
      <c r="AC8479">
        <v>-0.69749999999999002</v>
      </c>
      <c r="AD8479">
        <v>-1.110048625144</v>
      </c>
      <c r="AE8479">
        <v>51.332549999999898</v>
      </c>
      <c r="AF8479">
        <v>-0.145424331504799</v>
      </c>
      <c r="AG8479">
        <v>-1.110048625144</v>
      </c>
      <c r="AH8479">
        <v>51.313091495798602</v>
      </c>
      <c r="AI8479">
        <v>91.239272972117803</v>
      </c>
      <c r="AJ8479">
        <v>90.162379187906694</v>
      </c>
      <c r="AK8479">
        <v>51.325302873364301</v>
      </c>
      <c r="AL8479">
        <v>86.660129315071799</v>
      </c>
      <c r="AM8479">
        <v>91.115960915873998</v>
      </c>
      <c r="AN8479">
        <v>0.99999993468515602</v>
      </c>
    </row>
    <row r="8480" spans="1:40" x14ac:dyDescent="0.25">
      <c r="A8480" t="str">
        <f>"20190312160533756"</f>
        <v>20190312160533756</v>
      </c>
      <c r="B8480" t="str">
        <f>"1552377933753823"</f>
        <v>1552377933753823</v>
      </c>
      <c r="C8480" t="s">
        <v>40</v>
      </c>
      <c r="D8480">
        <v>5.0505409999999999</v>
      </c>
      <c r="E8480">
        <v>0.50518390000000002</v>
      </c>
      <c r="F8480" t="s">
        <v>41</v>
      </c>
      <c r="G8480">
        <v>-188.27979999999999</v>
      </c>
      <c r="H8480" s="1">
        <v>-3.9669549999999997E-6</v>
      </c>
      <c r="I8480">
        <v>98.168570000000003</v>
      </c>
      <c r="J8480">
        <v>-187.56639999999999</v>
      </c>
      <c r="K8480">
        <v>1.1100429999999999</v>
      </c>
      <c r="L8480">
        <v>46.147950000000002</v>
      </c>
      <c r="M8480">
        <v>-1.0758780000000001E-2</v>
      </c>
      <c r="N8480">
        <v>0</v>
      </c>
      <c r="O8480">
        <v>0.99988790000000005</v>
      </c>
      <c r="P8480">
        <v>-3.0051040000000001E-2</v>
      </c>
      <c r="Q8480">
        <v>4.8049219999999997E-2</v>
      </c>
      <c r="R8480">
        <v>0.99839279999999997</v>
      </c>
      <c r="S8480">
        <v>-4.1213989999999999E-2</v>
      </c>
      <c r="T8480">
        <v>-6.4014669999999996E-2</v>
      </c>
      <c r="U8480">
        <v>3.0066220000000001</v>
      </c>
      <c r="V8480">
        <v>-1.9305590000000001E-2</v>
      </c>
      <c r="W8480">
        <v>5.8448189999999997E-2</v>
      </c>
      <c r="X8480">
        <v>0.99810370000000004</v>
      </c>
      <c r="Y8480">
        <v>-2.9442019999999999E-3</v>
      </c>
      <c r="Z8480">
        <v>-2.1283509999999999E-2</v>
      </c>
      <c r="AA8480">
        <v>0.99976920000000002</v>
      </c>
      <c r="AB8480">
        <v>20</v>
      </c>
      <c r="AC8480">
        <v>-0.71340000000000703</v>
      </c>
      <c r="AD8480">
        <v>-1.1100469669549999</v>
      </c>
      <c r="AE8480">
        <v>52.020620000000001</v>
      </c>
      <c r="AF8480">
        <v>-0.153580035324933</v>
      </c>
      <c r="AG8480">
        <v>-1.1100469669549999</v>
      </c>
      <c r="AH8480">
        <v>52.001610852373098</v>
      </c>
      <c r="AI8480">
        <v>91.222867336026795</v>
      </c>
      <c r="AJ8480">
        <v>90.169215186092799</v>
      </c>
      <c r="AK8480">
        <v>52.013683991212801</v>
      </c>
      <c r="AL8480">
        <v>86.649255565944998</v>
      </c>
      <c r="AM8480">
        <v>91.108092191310703</v>
      </c>
      <c r="AN8480">
        <v>0.99999994633660505</v>
      </c>
    </row>
    <row r="8481" spans="1:40" x14ac:dyDescent="0.25">
      <c r="A8481" t="str">
        <f>"20190312160533770"</f>
        <v>20190312160533770</v>
      </c>
      <c r="B8481" t="str">
        <f>"1552377933763582"</f>
        <v>1552377933763582</v>
      </c>
      <c r="C8481" t="s">
        <v>40</v>
      </c>
      <c r="D8481">
        <v>5.0148590000000004</v>
      </c>
      <c r="E8481">
        <v>0.50519590000000003</v>
      </c>
      <c r="F8481" t="s">
        <v>41</v>
      </c>
      <c r="G8481">
        <v>-188.28399999999999</v>
      </c>
      <c r="H8481" s="1">
        <v>-4.2756469999999996E-6</v>
      </c>
      <c r="I8481">
        <v>98.889880000000005</v>
      </c>
      <c r="J8481">
        <v>-187.5677</v>
      </c>
      <c r="K8481">
        <v>1.110044</v>
      </c>
      <c r="L8481">
        <v>46.273800000000001</v>
      </c>
      <c r="M8481">
        <v>-1.076646E-2</v>
      </c>
      <c r="N8481">
        <v>0</v>
      </c>
      <c r="O8481">
        <v>0.99988790000000005</v>
      </c>
      <c r="P8481">
        <v>-2.9992700000000001E-2</v>
      </c>
      <c r="Q8481">
        <v>4.775683E-2</v>
      </c>
      <c r="R8481">
        <v>0.99840859999999998</v>
      </c>
      <c r="S8481">
        <v>-4.0908809999999997E-2</v>
      </c>
      <c r="T8481">
        <v>-6.3280340000000004E-2</v>
      </c>
      <c r="U8481">
        <v>3.006653</v>
      </c>
      <c r="V8481">
        <v>-1.923979E-2</v>
      </c>
      <c r="W8481">
        <v>5.8140200000000003E-2</v>
      </c>
      <c r="X8481">
        <v>0.99812299999999998</v>
      </c>
      <c r="Y8481">
        <v>-2.8349930000000001E-3</v>
      </c>
      <c r="Z8481">
        <v>-2.103928E-2</v>
      </c>
      <c r="AA8481">
        <v>0.99977459999999996</v>
      </c>
      <c r="AB8481">
        <v>20</v>
      </c>
      <c r="AC8481">
        <v>-0.71630000000001803</v>
      </c>
      <c r="AD8481">
        <v>-1.110048275647</v>
      </c>
      <c r="AE8481">
        <v>52.616079999999997</v>
      </c>
      <c r="AF8481">
        <v>-0.14967228335876101</v>
      </c>
      <c r="AG8481">
        <v>-1.110048275647</v>
      </c>
      <c r="AH8481">
        <v>52.5973363219112</v>
      </c>
      <c r="AI8481">
        <v>91.209022890840899</v>
      </c>
      <c r="AJ8481">
        <v>90.163041849628897</v>
      </c>
      <c r="AK8481">
        <v>52.609261514745697</v>
      </c>
      <c r="AL8481">
        <v>86.666932292261393</v>
      </c>
      <c r="AM8481">
        <v>91.104295025980505</v>
      </c>
      <c r="AN8481">
        <v>0.99999998775214105</v>
      </c>
    </row>
    <row r="8482" spans="1:40" x14ac:dyDescent="0.25">
      <c r="A8482" t="str">
        <f>"20190312160533788"</f>
        <v>20190312160533788</v>
      </c>
      <c r="B8482" t="str">
        <f>"1552377933784078"</f>
        <v>1552377933784078</v>
      </c>
      <c r="C8482" t="s">
        <v>40</v>
      </c>
      <c r="D8482">
        <v>5.0770809999999997</v>
      </c>
      <c r="E8482">
        <v>0.50520909999999997</v>
      </c>
      <c r="F8482" t="s">
        <v>41</v>
      </c>
      <c r="G8482">
        <v>-188.2697</v>
      </c>
      <c r="H8482" s="1">
        <v>-4.0043069999999999E-6</v>
      </c>
      <c r="I8482">
        <v>98.251459999999994</v>
      </c>
      <c r="J8482">
        <v>-187.56960000000001</v>
      </c>
      <c r="K8482">
        <v>1.110039</v>
      </c>
      <c r="L8482">
        <v>46.439819999999997</v>
      </c>
      <c r="M8482">
        <v>-1.077783E-2</v>
      </c>
      <c r="N8482">
        <v>0</v>
      </c>
      <c r="O8482">
        <v>0.99988809999999995</v>
      </c>
      <c r="P8482">
        <v>-2.9513000000000001E-2</v>
      </c>
      <c r="Q8482">
        <v>4.7875939999999999E-2</v>
      </c>
      <c r="R8482">
        <v>0.9984172</v>
      </c>
      <c r="S8482">
        <v>-4.0603640000000003E-2</v>
      </c>
      <c r="T8482">
        <v>-6.4210180000000006E-2</v>
      </c>
      <c r="U8482">
        <v>3.0066220000000001</v>
      </c>
      <c r="V8482">
        <v>-1.8748979999999998E-2</v>
      </c>
      <c r="W8482">
        <v>5.8240640000000003E-2</v>
      </c>
      <c r="X8482">
        <v>0.99812650000000003</v>
      </c>
      <c r="Y8482">
        <v>-2.7222169999999999E-3</v>
      </c>
      <c r="Z8482">
        <v>-2.1348510000000001E-2</v>
      </c>
      <c r="AA8482">
        <v>0.9997684</v>
      </c>
      <c r="AB8482">
        <v>20</v>
      </c>
      <c r="AC8482">
        <v>-0.70009999999999195</v>
      </c>
      <c r="AD8482">
        <v>-1.110043004307</v>
      </c>
      <c r="AE8482">
        <v>51.811639999999898</v>
      </c>
      <c r="AF8482">
        <v>-0.14154727147427401</v>
      </c>
      <c r="AG8482">
        <v>-1.110043004307</v>
      </c>
      <c r="AH8482">
        <v>51.792407246240998</v>
      </c>
      <c r="AI8482">
        <v>91.227801707926005</v>
      </c>
      <c r="AJ8482">
        <v>90.156587451648306</v>
      </c>
      <c r="AK8482">
        <v>51.804494780491297</v>
      </c>
      <c r="AL8482">
        <v>86.661167787701899</v>
      </c>
      <c r="AM8482">
        <v>91.076127228801198</v>
      </c>
      <c r="AN8482">
        <v>1.0000000032004499</v>
      </c>
    </row>
    <row r="8483" spans="1:40" x14ac:dyDescent="0.25">
      <c r="A8483" t="str">
        <f>"20190312160533812"</f>
        <v>20190312160533812</v>
      </c>
      <c r="B8483" t="str">
        <f>"1552377933803599"</f>
        <v>1552377933803599</v>
      </c>
      <c r="C8483" t="s">
        <v>40</v>
      </c>
      <c r="D8483">
        <v>5.0294140000000001</v>
      </c>
      <c r="E8483">
        <v>0.50520419999999999</v>
      </c>
      <c r="F8483" t="s">
        <v>41</v>
      </c>
      <c r="G8483">
        <v>-188.2518</v>
      </c>
      <c r="H8483" s="1">
        <v>-4.3266290000000004E-6</v>
      </c>
      <c r="I8483">
        <v>98.995410000000007</v>
      </c>
      <c r="J8483">
        <v>-187.5719</v>
      </c>
      <c r="K8483">
        <v>1.1100350000000001</v>
      </c>
      <c r="L8483">
        <v>46.654049999999998</v>
      </c>
      <c r="M8483">
        <v>-1.0793789999999999E-2</v>
      </c>
      <c r="N8483">
        <v>0</v>
      </c>
      <c r="O8483">
        <v>0.99988809999999995</v>
      </c>
      <c r="P8483">
        <v>-2.9108439999999999E-2</v>
      </c>
      <c r="Q8483">
        <v>4.750882E-2</v>
      </c>
      <c r="R8483">
        <v>0.99844659999999996</v>
      </c>
      <c r="S8483">
        <v>-3.9031980000000001E-2</v>
      </c>
      <c r="T8483">
        <v>-6.3504459999999999E-2</v>
      </c>
      <c r="U8483">
        <v>3.006653</v>
      </c>
      <c r="V8483">
        <v>-1.8328190000000001E-2</v>
      </c>
      <c r="W8483">
        <v>5.7853149999999999E-2</v>
      </c>
      <c r="X8483">
        <v>0.99815679999999996</v>
      </c>
      <c r="Y8483">
        <v>-2.183674E-3</v>
      </c>
      <c r="Z8483">
        <v>-2.111385E-2</v>
      </c>
      <c r="AA8483">
        <v>0.99977470000000002</v>
      </c>
      <c r="AB8483">
        <v>20</v>
      </c>
      <c r="AC8483">
        <v>-0.67990000000000295</v>
      </c>
      <c r="AD8483">
        <v>-1.1100393266290001</v>
      </c>
      <c r="AE8483">
        <v>52.341360000000002</v>
      </c>
      <c r="AF8483">
        <v>-0.114816800840639</v>
      </c>
      <c r="AG8483">
        <v>-1.1100393266290001</v>
      </c>
      <c r="AH8483">
        <v>52.322120890309399</v>
      </c>
      <c r="AI8483">
        <v>91.215372672185595</v>
      </c>
      <c r="AJ8483">
        <v>90.125730903752796</v>
      </c>
      <c r="AK8483">
        <v>52.334020528376897</v>
      </c>
      <c r="AL8483">
        <v>86.683406662379397</v>
      </c>
      <c r="AM8483">
        <v>91.051948887280602</v>
      </c>
      <c r="AN8483">
        <v>0.99999995344991799</v>
      </c>
    </row>
    <row r="8484" spans="1:40" x14ac:dyDescent="0.25">
      <c r="A8484" t="str">
        <f>"20190312160533834"</f>
        <v>20190312160533834</v>
      </c>
      <c r="B8484" t="str">
        <f>"1552377933824094"</f>
        <v>1552377933824094</v>
      </c>
      <c r="C8484" t="s">
        <v>40</v>
      </c>
      <c r="D8484">
        <v>5.0329439999999996</v>
      </c>
      <c r="E8484">
        <v>0.50519069999999999</v>
      </c>
      <c r="F8484" t="s">
        <v>41</v>
      </c>
      <c r="G8484">
        <v>-188.22909999999999</v>
      </c>
      <c r="H8484" s="1">
        <v>-4.1532350000000002E-6</v>
      </c>
      <c r="I8484">
        <v>98.581829999999997</v>
      </c>
      <c r="J8484">
        <v>-187.57409999999999</v>
      </c>
      <c r="K8484">
        <v>1.110028</v>
      </c>
      <c r="L8484">
        <v>46.857390000000002</v>
      </c>
      <c r="M8484">
        <v>-1.0810439999999999E-2</v>
      </c>
      <c r="N8484">
        <v>0</v>
      </c>
      <c r="O8484">
        <v>0.99988809999999995</v>
      </c>
      <c r="P8484">
        <v>-2.883111E-2</v>
      </c>
      <c r="Q8484">
        <v>4.7784350000000003E-2</v>
      </c>
      <c r="R8484">
        <v>0.99844149999999998</v>
      </c>
      <c r="S8484">
        <v>-3.805542E-2</v>
      </c>
      <c r="T8484">
        <v>-6.4271330000000002E-2</v>
      </c>
      <c r="U8484">
        <v>3.0066220000000001</v>
      </c>
      <c r="V8484">
        <v>-1.8033770000000001E-2</v>
      </c>
      <c r="W8484">
        <v>5.8111650000000001E-2</v>
      </c>
      <c r="X8484">
        <v>0.99814720000000001</v>
      </c>
      <c r="Y8484">
        <v>-1.8424069999999999E-3</v>
      </c>
      <c r="Z8484">
        <v>-2.1368959999999999E-2</v>
      </c>
      <c r="AA8484">
        <v>0.99977000000000005</v>
      </c>
      <c r="AB8484">
        <v>20</v>
      </c>
      <c r="AC8484">
        <v>-0.65500000000000103</v>
      </c>
      <c r="AD8484">
        <v>-1.1100321532349999</v>
      </c>
      <c r="AE8484">
        <v>51.724440000000001</v>
      </c>
      <c r="AF8484">
        <v>-9.5723791521406698E-2</v>
      </c>
      <c r="AG8484">
        <v>-1.1100321532349999</v>
      </c>
      <c r="AH8484">
        <v>51.704689474261201</v>
      </c>
      <c r="AI8484">
        <v>91.229874518168202</v>
      </c>
      <c r="AJ8484">
        <v>90.106074768899902</v>
      </c>
      <c r="AK8484">
        <v>51.7166921608029</v>
      </c>
      <c r="AL8484">
        <v>86.668570920693497</v>
      </c>
      <c r="AM8484">
        <v>91.035064271508702</v>
      </c>
      <c r="AN8484">
        <v>1.0000000067969801</v>
      </c>
    </row>
    <row r="8485" spans="1:40" x14ac:dyDescent="0.25">
      <c r="A8485" t="str">
        <f>"20190312160533856"</f>
        <v>20190312160533856</v>
      </c>
      <c r="B8485" t="str">
        <f>"1552377933843615"</f>
        <v>1552377933843615</v>
      </c>
      <c r="C8485" t="s">
        <v>40</v>
      </c>
      <c r="D8485">
        <v>5.055059</v>
      </c>
      <c r="E8485">
        <v>0.50507309999999905</v>
      </c>
      <c r="F8485" t="s">
        <v>41</v>
      </c>
      <c r="G8485">
        <v>-188.23259999999999</v>
      </c>
      <c r="H8485" s="1">
        <v>-5.8046079999999999E-7</v>
      </c>
      <c r="I8485">
        <v>99.971919999999997</v>
      </c>
      <c r="J8485">
        <v>-187.5762</v>
      </c>
      <c r="K8485">
        <v>1.1100239999999999</v>
      </c>
      <c r="L8485">
        <v>47.050080000000001</v>
      </c>
      <c r="M8485">
        <v>-1.0826529999999999E-2</v>
      </c>
      <c r="N8485">
        <v>0</v>
      </c>
      <c r="O8485">
        <v>0.99988809999999995</v>
      </c>
      <c r="P8485">
        <v>-2.8579219999999999E-2</v>
      </c>
      <c r="Q8485">
        <v>4.7581180000000001E-2</v>
      </c>
      <c r="R8485">
        <v>0.99845839999999997</v>
      </c>
      <c r="S8485">
        <v>-3.727722E-2</v>
      </c>
      <c r="T8485">
        <v>-6.283474E-2</v>
      </c>
      <c r="U8485">
        <v>3.0066220000000001</v>
      </c>
      <c r="V8485">
        <v>-1.7766029999999999E-2</v>
      </c>
      <c r="W8485">
        <v>5.7895040000000002E-2</v>
      </c>
      <c r="X8485">
        <v>0.99816459999999996</v>
      </c>
      <c r="Y8485">
        <v>-1.5677079999999999E-3</v>
      </c>
      <c r="Z8485">
        <v>-2.0891570000000002E-2</v>
      </c>
      <c r="AA8485">
        <v>0.99978049999999996</v>
      </c>
      <c r="AB8485">
        <v>20</v>
      </c>
      <c r="AC8485">
        <v>-0.65639999999998999</v>
      </c>
      <c r="AD8485">
        <v>-1.1100245804608</v>
      </c>
      <c r="AE8485">
        <v>52.921840000000003</v>
      </c>
      <c r="AF8485">
        <v>-8.3334446452694499E-2</v>
      </c>
      <c r="AG8485">
        <v>-1.1100245804608</v>
      </c>
      <c r="AH8485">
        <v>52.902574428879902</v>
      </c>
      <c r="AI8485">
        <v>91.202026827095494</v>
      </c>
      <c r="AJ8485">
        <v>90.090254740379606</v>
      </c>
      <c r="AK8485">
        <v>52.914284275631701</v>
      </c>
      <c r="AL8485">
        <v>86.6810027272101</v>
      </c>
      <c r="AM8485">
        <v>91.019682593521694</v>
      </c>
      <c r="AN8485">
        <v>1.0000000180858599</v>
      </c>
    </row>
    <row r="8486" spans="1:40" x14ac:dyDescent="0.25">
      <c r="A8486" t="str">
        <f>"20190312160534391"</f>
        <v>20190312160534391</v>
      </c>
      <c r="B8486" t="str">
        <f>"1552377934383343"</f>
        <v>1552377934383343</v>
      </c>
      <c r="C8486" t="s">
        <v>40</v>
      </c>
      <c r="D8486">
        <v>4.5576910000000002</v>
      </c>
      <c r="E8486">
        <v>0.50507309999999905</v>
      </c>
      <c r="F8486" t="s">
        <v>41</v>
      </c>
      <c r="G8486">
        <v>-188.23349999999999</v>
      </c>
      <c r="H8486" s="1">
        <v>-5.4370500000000001E-7</v>
      </c>
      <c r="I8486">
        <v>99.864559999999997</v>
      </c>
      <c r="J8486">
        <v>-187.6311</v>
      </c>
      <c r="K8486">
        <v>1.109999</v>
      </c>
      <c r="L8486">
        <v>52.009740000000001</v>
      </c>
      <c r="M8486">
        <v>-1.111155E-2</v>
      </c>
      <c r="N8486">
        <v>0</v>
      </c>
      <c r="O8486">
        <v>0.99988259999999995</v>
      </c>
      <c r="P8486">
        <v>-2.832003E-2</v>
      </c>
      <c r="Q8486">
        <v>4.4767599999999998E-2</v>
      </c>
      <c r="R8486">
        <v>0.99859600000000004</v>
      </c>
      <c r="S8486">
        <v>-3.7414549999999998E-2</v>
      </c>
      <c r="T8486">
        <v>-6.3190220000000005E-2</v>
      </c>
      <c r="U8486">
        <v>3.006561</v>
      </c>
      <c r="V8486">
        <v>-1.7219310000000002E-2</v>
      </c>
      <c r="W8486">
        <v>5.5301879999999998E-2</v>
      </c>
      <c r="X8486">
        <v>0.99832120000000002</v>
      </c>
      <c r="Y8486">
        <v>-1.328512E-3</v>
      </c>
      <c r="Z8486">
        <v>-2.1010029999999999E-2</v>
      </c>
      <c r="AA8486">
        <v>0.99977839999999996</v>
      </c>
      <c r="AB8486">
        <v>21</v>
      </c>
      <c r="AC8486">
        <v>-0.60239999999998795</v>
      </c>
      <c r="AD8486">
        <v>-1.1099995437050001</v>
      </c>
      <c r="AE8486">
        <v>47.854819999999997</v>
      </c>
      <c r="AF8486">
        <v>-7.0554029218344499E-2</v>
      </c>
      <c r="AG8486">
        <v>-1.1099995437050001</v>
      </c>
      <c r="AH8486">
        <v>47.832828622919202</v>
      </c>
      <c r="AI8486">
        <v>91.329354951185096</v>
      </c>
      <c r="AJ8486">
        <v>90.084511940576505</v>
      </c>
      <c r="AK8486">
        <v>47.845758128883503</v>
      </c>
      <c r="AL8486">
        <v>86.829818414363103</v>
      </c>
      <c r="AM8486">
        <v>90.988154882902094</v>
      </c>
      <c r="AN8486">
        <v>1.00000001046892</v>
      </c>
    </row>
    <row r="8487" spans="1:40" x14ac:dyDescent="0.25">
      <c r="A8487" t="str">
        <f>"20190312160534413"</f>
        <v>20190312160534413</v>
      </c>
      <c r="B8487" t="str">
        <f>"1552377934403839"</f>
        <v>1552377934403839</v>
      </c>
      <c r="C8487" t="s">
        <v>40</v>
      </c>
      <c r="D8487">
        <v>5.236351</v>
      </c>
      <c r="E8487">
        <v>0.5047005</v>
      </c>
      <c r="F8487" t="s">
        <v>41</v>
      </c>
      <c r="G8487">
        <v>-188.20189999999999</v>
      </c>
      <c r="H8487" s="1">
        <v>-4.1480519999999997E-6</v>
      </c>
      <c r="I8487">
        <v>98.558490000000006</v>
      </c>
      <c r="J8487">
        <v>-187.63339999999999</v>
      </c>
      <c r="K8487">
        <v>1.109998</v>
      </c>
      <c r="L8487">
        <v>52.214939999999999</v>
      </c>
      <c r="M8487">
        <v>-1.1108929999999999E-2</v>
      </c>
      <c r="N8487">
        <v>0</v>
      </c>
      <c r="O8487">
        <v>0.99988259999999995</v>
      </c>
      <c r="P8487">
        <v>-2.756364E-2</v>
      </c>
      <c r="Q8487">
        <v>4.4701390000000001E-2</v>
      </c>
      <c r="R8487">
        <v>0.99862010000000001</v>
      </c>
      <c r="S8487">
        <v>-3.6865229999999999E-2</v>
      </c>
      <c r="T8487">
        <v>-7.1690199999999996E-2</v>
      </c>
      <c r="U8487">
        <v>3.0063780000000002</v>
      </c>
      <c r="V8487">
        <v>-1.646531E-2</v>
      </c>
      <c r="W8487">
        <v>5.5241419999999999E-2</v>
      </c>
      <c r="X8487">
        <v>0.99833729999999998</v>
      </c>
      <c r="Y8487">
        <v>-1.148467E-3</v>
      </c>
      <c r="Z8487">
        <v>-2.383615E-2</v>
      </c>
      <c r="AA8487">
        <v>0.99971520000000003</v>
      </c>
      <c r="AB8487">
        <v>21</v>
      </c>
      <c r="AC8487">
        <v>-0.56850000000000001</v>
      </c>
      <c r="AD8487">
        <v>-1.1100021480519999</v>
      </c>
      <c r="AE8487">
        <v>46.34355</v>
      </c>
      <c r="AF8487">
        <v>-5.3578258606291701E-2</v>
      </c>
      <c r="AG8487">
        <v>-1.1100021480519999</v>
      </c>
      <c r="AH8487">
        <v>46.320436712581802</v>
      </c>
      <c r="AI8487">
        <v>91.372746689801502</v>
      </c>
      <c r="AJ8487">
        <v>90.066273268142794</v>
      </c>
      <c r="AK8487">
        <v>46.333765578061602</v>
      </c>
      <c r="AL8487">
        <v>86.833287922961304</v>
      </c>
      <c r="AM8487">
        <v>90.944878296983404</v>
      </c>
      <c r="AN8487">
        <v>1.00000004274415</v>
      </c>
    </row>
    <row r="8488" spans="1:40" x14ac:dyDescent="0.25">
      <c r="A8488" t="str">
        <f>"20190312160534437"</f>
        <v>20190312160534437</v>
      </c>
      <c r="B8488" t="str">
        <f>"1552377934423359"</f>
        <v>1552377934423359</v>
      </c>
      <c r="C8488" t="s">
        <v>40</v>
      </c>
      <c r="D8488">
        <v>5.2924189999999998</v>
      </c>
      <c r="E8488">
        <v>0.50434429999999997</v>
      </c>
      <c r="F8488" t="s">
        <v>41</v>
      </c>
      <c r="G8488">
        <v>-188.2182</v>
      </c>
      <c r="H8488" s="1">
        <v>-4.3882480000000002E-6</v>
      </c>
      <c r="I8488">
        <v>99.125119999999995</v>
      </c>
      <c r="J8488">
        <v>-187.63579999999999</v>
      </c>
      <c r="K8488">
        <v>1.109998</v>
      </c>
      <c r="L8488">
        <v>52.432340000000003</v>
      </c>
      <c r="M8488">
        <v>-1.1107280000000001E-2</v>
      </c>
      <c r="N8488">
        <v>0</v>
      </c>
      <c r="O8488">
        <v>0.99988259999999995</v>
      </c>
      <c r="P8488">
        <v>-2.7947119999999999E-2</v>
      </c>
      <c r="Q8488">
        <v>4.46948E-2</v>
      </c>
      <c r="R8488">
        <v>0.99860970000000004</v>
      </c>
      <c r="S8488">
        <v>-3.7475590000000003E-2</v>
      </c>
      <c r="T8488">
        <v>-7.113564E-2</v>
      </c>
      <c r="U8488">
        <v>3.0062869999999999</v>
      </c>
      <c r="V8488">
        <v>-1.685043E-2</v>
      </c>
      <c r="W8488">
        <v>5.5240459999999998E-2</v>
      </c>
      <c r="X8488">
        <v>0.99833090000000002</v>
      </c>
      <c r="Y8488">
        <v>-1.3534739999999999E-3</v>
      </c>
      <c r="Z8488">
        <v>-2.365256E-2</v>
      </c>
      <c r="AA8488">
        <v>0.99971929999999998</v>
      </c>
      <c r="AB8488">
        <v>21</v>
      </c>
      <c r="AC8488">
        <v>-0.58240000000000602</v>
      </c>
      <c r="AD8488">
        <v>-1.1100023882479999</v>
      </c>
      <c r="AE8488">
        <v>46.6927799999999</v>
      </c>
      <c r="AF8488">
        <v>-6.3669417853147295E-2</v>
      </c>
      <c r="AG8488">
        <v>-1.1100023882479999</v>
      </c>
      <c r="AH8488">
        <v>46.669998033977599</v>
      </c>
      <c r="AI8488">
        <v>91.362468556444199</v>
      </c>
      <c r="AJ8488">
        <v>90.078165562835693</v>
      </c>
      <c r="AK8488">
        <v>46.683239771765599</v>
      </c>
      <c r="AL8488">
        <v>86.833342925149594</v>
      </c>
      <c r="AM8488">
        <v>90.966980843113205</v>
      </c>
      <c r="AN8488">
        <v>1.0000000156535001</v>
      </c>
    </row>
    <row r="8489" spans="1:40" x14ac:dyDescent="0.25">
      <c r="A8489" t="str">
        <f>"20190312160534460"</f>
        <v>20190312160534460</v>
      </c>
      <c r="B8489" t="str">
        <f>"1552377934453616"</f>
        <v>1552377934453616</v>
      </c>
      <c r="C8489" t="s">
        <v>40</v>
      </c>
      <c r="D8489">
        <v>5.3008050000000004</v>
      </c>
      <c r="E8489">
        <v>0.50393180000000004</v>
      </c>
      <c r="F8489" t="s">
        <v>41</v>
      </c>
      <c r="G8489">
        <v>-188.2842</v>
      </c>
      <c r="H8489" s="1">
        <v>-4.4846119999999997E-6</v>
      </c>
      <c r="I8489">
        <v>99.377039999999994</v>
      </c>
      <c r="J8489">
        <v>-187.63820000000001</v>
      </c>
      <c r="K8489">
        <v>1.109999</v>
      </c>
      <c r="L8489">
        <v>52.650790000000001</v>
      </c>
      <c r="M8489">
        <v>-1.110676E-2</v>
      </c>
      <c r="N8489">
        <v>0</v>
      </c>
      <c r="O8489">
        <v>0.99988250000000001</v>
      </c>
      <c r="P8489">
        <v>-2.8452660000000001E-2</v>
      </c>
      <c r="Q8489">
        <v>4.4770160000000003E-2</v>
      </c>
      <c r="R8489">
        <v>0.99859200000000004</v>
      </c>
      <c r="S8489">
        <v>-4.1519170000000001E-2</v>
      </c>
      <c r="T8489">
        <v>-7.1081160000000004E-2</v>
      </c>
      <c r="U8489">
        <v>3.006195</v>
      </c>
      <c r="V8489">
        <v>-1.7357339999999999E-2</v>
      </c>
      <c r="W8489">
        <v>5.5320929999999997E-2</v>
      </c>
      <c r="X8489">
        <v>0.99831769999999997</v>
      </c>
      <c r="Y8489">
        <v>-2.6988479999999998E-3</v>
      </c>
      <c r="Z8489">
        <v>-2.3634929999999998E-2</v>
      </c>
      <c r="AA8489">
        <v>0.99971699999999997</v>
      </c>
      <c r="AB8489">
        <v>21</v>
      </c>
      <c r="AC8489">
        <v>-0.64599999999998603</v>
      </c>
      <c r="AD8489">
        <v>-1.1100034846119999</v>
      </c>
      <c r="AE8489">
        <v>46.72625</v>
      </c>
      <c r="AF8489">
        <v>-0.12688234764098699</v>
      </c>
      <c r="AG8489">
        <v>-1.1100034846119999</v>
      </c>
      <c r="AH8489">
        <v>46.704191722049998</v>
      </c>
      <c r="AI8489">
        <v>91.361469012009707</v>
      </c>
      <c r="AJ8489">
        <v>90.155656373901195</v>
      </c>
      <c r="AK8489">
        <v>46.717552710688899</v>
      </c>
      <c r="AL8489">
        <v>86.828725084485299</v>
      </c>
      <c r="AM8489">
        <v>90.996077834959905</v>
      </c>
      <c r="AN8489">
        <v>0.999999956340614</v>
      </c>
    </row>
    <row r="8490" spans="1:40" x14ac:dyDescent="0.25">
      <c r="A8490" t="str">
        <f>"20190312160534482"</f>
        <v>20190312160534482</v>
      </c>
      <c r="B8490" t="str">
        <f>"1552377934474112"</f>
        <v>1552377934474112</v>
      </c>
      <c r="C8490" t="s">
        <v>40</v>
      </c>
      <c r="D8490">
        <v>5.2878629999999998</v>
      </c>
      <c r="E8490">
        <v>0.50365689999999996</v>
      </c>
      <c r="F8490" t="s">
        <v>41</v>
      </c>
      <c r="G8490">
        <v>-188.36969999999999</v>
      </c>
      <c r="H8490" s="1">
        <v>-5.715609E-7</v>
      </c>
      <c r="I8490">
        <v>100.05289999999999</v>
      </c>
      <c r="J8490">
        <v>-187.64060000000001</v>
      </c>
      <c r="K8490">
        <v>1.1099950000000001</v>
      </c>
      <c r="L8490">
        <v>52.866579999999999</v>
      </c>
      <c r="M8490">
        <v>-1.110702E-2</v>
      </c>
      <c r="N8490">
        <v>0</v>
      </c>
      <c r="O8490">
        <v>0.99988250000000001</v>
      </c>
      <c r="P8490">
        <v>-2.942123E-2</v>
      </c>
      <c r="Q8490">
        <v>4.4747639999999998E-2</v>
      </c>
      <c r="R8490">
        <v>0.99856500000000004</v>
      </c>
      <c r="S8490">
        <v>-4.6386719999999999E-2</v>
      </c>
      <c r="T8490">
        <v>-7.0392129999999997E-2</v>
      </c>
      <c r="U8490">
        <v>3.0060730000000002</v>
      </c>
      <c r="V8490">
        <v>-1.8325600000000001E-2</v>
      </c>
      <c r="W8490">
        <v>5.5302829999999997E-2</v>
      </c>
      <c r="X8490">
        <v>0.99830140000000001</v>
      </c>
      <c r="Y8490">
        <v>-4.317665E-3</v>
      </c>
      <c r="Z8490">
        <v>-2.340656E-2</v>
      </c>
      <c r="AA8490">
        <v>0.99971670000000001</v>
      </c>
      <c r="AB8490">
        <v>21</v>
      </c>
      <c r="AC8490">
        <v>-0.72909999999998798</v>
      </c>
      <c r="AD8490">
        <v>-1.1099955715609</v>
      </c>
      <c r="AE8490">
        <v>47.186319999999903</v>
      </c>
      <c r="AF8490">
        <v>-0.204813059116533</v>
      </c>
      <c r="AG8490">
        <v>-1.1099955715609</v>
      </c>
      <c r="AH8490">
        <v>47.165414199495302</v>
      </c>
      <c r="AI8490">
        <v>91.348143038211006</v>
      </c>
      <c r="AJ8490">
        <v>90.248802015534196</v>
      </c>
      <c r="AK8490">
        <v>47.178918334018803</v>
      </c>
      <c r="AL8490">
        <v>86.829763733221498</v>
      </c>
      <c r="AM8490">
        <v>91.051647952403798</v>
      </c>
      <c r="AN8490">
        <v>0.99999995793166296</v>
      </c>
    </row>
    <row r="8491" spans="1:40" x14ac:dyDescent="0.25">
      <c r="A8491" t="str">
        <f>"20190312160534504"</f>
        <v>20190312160534504</v>
      </c>
      <c r="B8491" t="str">
        <f>"1552377934493631"</f>
        <v>1552377934493631</v>
      </c>
      <c r="C8491" t="s">
        <v>40</v>
      </c>
      <c r="D8491">
        <v>5.2841420000000001</v>
      </c>
      <c r="E8491">
        <v>0.50337429999999905</v>
      </c>
      <c r="F8491" t="s">
        <v>41</v>
      </c>
      <c r="G8491">
        <v>-188.45650000000001</v>
      </c>
      <c r="H8491" s="1">
        <v>-7.3579980000000003E-7</v>
      </c>
      <c r="I8491">
        <v>100.60339999999999</v>
      </c>
      <c r="J8491">
        <v>-187.6429</v>
      </c>
      <c r="K8491">
        <v>1.109998</v>
      </c>
      <c r="L8491">
        <v>53.071080000000002</v>
      </c>
      <c r="M8491">
        <v>-1.110761E-2</v>
      </c>
      <c r="N8491">
        <v>0</v>
      </c>
      <c r="O8491">
        <v>0.99988239999999995</v>
      </c>
      <c r="P8491">
        <v>-2.9757499999999999E-2</v>
      </c>
      <c r="Q8491">
        <v>4.4942969999999999E-2</v>
      </c>
      <c r="R8491">
        <v>0.99854620000000005</v>
      </c>
      <c r="S8491">
        <v>-5.137634E-2</v>
      </c>
      <c r="T8491">
        <v>-6.9894789999999998E-2</v>
      </c>
      <c r="U8491">
        <v>3.0059200000000001</v>
      </c>
      <c r="V8491">
        <v>-1.8661469999999999E-2</v>
      </c>
      <c r="W8491">
        <v>5.5501839999999997E-2</v>
      </c>
      <c r="X8491">
        <v>0.99828419999999896</v>
      </c>
      <c r="Y8491">
        <v>-5.9769439999999997E-3</v>
      </c>
      <c r="Z8491">
        <v>-2.3242039999999999E-2</v>
      </c>
      <c r="AA8491">
        <v>0.99971200000000005</v>
      </c>
      <c r="AB8491">
        <v>21</v>
      </c>
      <c r="AC8491">
        <v>-0.81360000000000798</v>
      </c>
      <c r="AD8491">
        <v>-1.1099987357998</v>
      </c>
      <c r="AE8491">
        <v>47.532319999999899</v>
      </c>
      <c r="AF8491">
        <v>-0.28539422023780497</v>
      </c>
      <c r="AG8491">
        <v>-1.1099987357998</v>
      </c>
      <c r="AH8491">
        <v>47.512522128108699</v>
      </c>
      <c r="AI8491">
        <v>91.338289919707705</v>
      </c>
      <c r="AJ8491">
        <v>90.344155328464694</v>
      </c>
      <c r="AK8491">
        <v>47.526343284839797</v>
      </c>
      <c r="AL8491">
        <v>86.818343971329696</v>
      </c>
      <c r="AM8491">
        <v>91.070936463184907</v>
      </c>
      <c r="AN8491">
        <v>1.00000002433779</v>
      </c>
    </row>
    <row r="8492" spans="1:40" x14ac:dyDescent="0.25">
      <c r="A8492" t="str">
        <f>"20190312160534524"</f>
        <v>20190312160534524</v>
      </c>
      <c r="B8492" t="str">
        <f>"1552377934514126"</f>
        <v>1552377934514126</v>
      </c>
      <c r="C8492" t="s">
        <v>40</v>
      </c>
      <c r="D8492">
        <v>5.3009890000000004</v>
      </c>
      <c r="E8492">
        <v>0.50310699999999997</v>
      </c>
      <c r="F8492" t="s">
        <v>41</v>
      </c>
      <c r="G8492">
        <v>-188.53319999999999</v>
      </c>
      <c r="H8492" s="1">
        <v>-1.2483219999999999E-6</v>
      </c>
      <c r="I8492">
        <v>101.9361</v>
      </c>
      <c r="J8492">
        <v>-187.64500000000001</v>
      </c>
      <c r="K8492">
        <v>1.1100019999999999</v>
      </c>
      <c r="L8492">
        <v>53.26379</v>
      </c>
      <c r="M8492">
        <v>-1.110823E-2</v>
      </c>
      <c r="N8492">
        <v>0</v>
      </c>
      <c r="O8492">
        <v>0.9998823</v>
      </c>
      <c r="P8492">
        <v>-3.0021579999999999E-2</v>
      </c>
      <c r="Q8492">
        <v>4.5079010000000003E-2</v>
      </c>
      <c r="R8492">
        <v>0.99853219999999998</v>
      </c>
      <c r="S8492">
        <v>-5.476379E-2</v>
      </c>
      <c r="T8492">
        <v>-6.8278549999999993E-2</v>
      </c>
      <c r="U8492">
        <v>3.005798</v>
      </c>
      <c r="V8492">
        <v>-1.8925040000000001E-2</v>
      </c>
      <c r="W8492">
        <v>5.564086E-2</v>
      </c>
      <c r="X8492">
        <v>0.99827149999999998</v>
      </c>
      <c r="Y8492">
        <v>-7.1035319999999897E-3</v>
      </c>
      <c r="Z8492">
        <v>-2.2705489999999998E-2</v>
      </c>
      <c r="AA8492">
        <v>0.99971690000000002</v>
      </c>
      <c r="AB8492">
        <v>21</v>
      </c>
      <c r="AC8492">
        <v>-0.888199999999983</v>
      </c>
      <c r="AD8492">
        <v>-1.1100032483219999</v>
      </c>
      <c r="AE8492">
        <v>48.672310000000003</v>
      </c>
      <c r="AF8492">
        <v>-0.34727114678513699</v>
      </c>
      <c r="AG8492">
        <v>-1.1100032483219999</v>
      </c>
      <c r="AH8492">
        <v>48.653877222474101</v>
      </c>
      <c r="AI8492">
        <v>91.306902043148398</v>
      </c>
      <c r="AJ8492">
        <v>90.408946507776903</v>
      </c>
      <c r="AK8492">
        <v>48.667776538899602</v>
      </c>
      <c r="AL8492">
        <v>86.810366386991504</v>
      </c>
      <c r="AM8492">
        <v>91.086072321543398</v>
      </c>
      <c r="AN8492">
        <v>1.0000000250763901</v>
      </c>
    </row>
    <row r="8493" spans="1:40" x14ac:dyDescent="0.25">
      <c r="A8493" t="str">
        <f>"20190312160534547"</f>
        <v>20190312160534547</v>
      </c>
      <c r="B8493" t="str">
        <f>"1552377934533648"</f>
        <v>1552377934533648</v>
      </c>
      <c r="C8493" t="s">
        <v>40</v>
      </c>
      <c r="D8493">
        <v>5.2149530000000004</v>
      </c>
      <c r="E8493">
        <v>0.50288299999999997</v>
      </c>
      <c r="F8493" t="s">
        <v>41</v>
      </c>
      <c r="G8493">
        <v>-188.60919999999999</v>
      </c>
      <c r="H8493" s="1">
        <v>-1.8406889999999999E-6</v>
      </c>
      <c r="I8493">
        <v>103.3484</v>
      </c>
      <c r="J8493">
        <v>-187.6474</v>
      </c>
      <c r="K8493">
        <v>1.109998</v>
      </c>
      <c r="L8493">
        <v>53.474490000000003</v>
      </c>
      <c r="M8493">
        <v>-1.110887E-2</v>
      </c>
      <c r="N8493">
        <v>0</v>
      </c>
      <c r="O8493">
        <v>0.9998823</v>
      </c>
      <c r="P8493">
        <v>-2.9915859999999999E-2</v>
      </c>
      <c r="Q8493">
        <v>4.5107439999999999E-2</v>
      </c>
      <c r="R8493">
        <v>0.99853409999999998</v>
      </c>
      <c r="S8493">
        <v>-5.7861330000000002E-2</v>
      </c>
      <c r="T8493">
        <v>-6.6613549999999994E-2</v>
      </c>
      <c r="U8493">
        <v>3.0056759999999998</v>
      </c>
      <c r="V8493">
        <v>-1.8818370000000001E-2</v>
      </c>
      <c r="W8493">
        <v>5.5672760000000002E-2</v>
      </c>
      <c r="X8493">
        <v>0.99827169999999998</v>
      </c>
      <c r="Y8493">
        <v>-8.1337790000000007E-3</v>
      </c>
      <c r="Z8493">
        <v>-2.2152680000000001E-2</v>
      </c>
      <c r="AA8493">
        <v>0.99972150000000004</v>
      </c>
      <c r="AB8493">
        <v>21</v>
      </c>
      <c r="AC8493">
        <v>-0.961799999999982</v>
      </c>
      <c r="AD8493">
        <v>-1.1099998406889999</v>
      </c>
      <c r="AE8493">
        <v>49.873910000000002</v>
      </c>
      <c r="AF8493">
        <v>-0.40746508261537101</v>
      </c>
      <c r="AG8493">
        <v>-1.1099998406889999</v>
      </c>
      <c r="AH8493">
        <v>49.856830623895704</v>
      </c>
      <c r="AI8493">
        <v>91.275365434136503</v>
      </c>
      <c r="AJ8493">
        <v>90.468250979396501</v>
      </c>
      <c r="AK8493">
        <v>49.8708500759682</v>
      </c>
      <c r="AL8493">
        <v>86.808535693003293</v>
      </c>
      <c r="AM8493">
        <v>91.079951969187206</v>
      </c>
      <c r="AN8493">
        <v>0.99999998713818194</v>
      </c>
    </row>
    <row r="8494" spans="1:40" x14ac:dyDescent="0.25">
      <c r="A8494" t="str">
        <f>"20190312160534570"</f>
        <v>20190312160534570</v>
      </c>
      <c r="B8494" t="str">
        <f>"1552377934563903"</f>
        <v>1552377934563903</v>
      </c>
      <c r="C8494" t="s">
        <v>40</v>
      </c>
      <c r="D8494">
        <v>5.2393409999999996</v>
      </c>
      <c r="E8494">
        <v>0.50253369999999997</v>
      </c>
      <c r="F8494" t="s">
        <v>41</v>
      </c>
      <c r="G8494">
        <v>-188.64060000000001</v>
      </c>
      <c r="H8494" s="1">
        <v>-2.0933380000000001E-6</v>
      </c>
      <c r="I8494">
        <v>103.9503</v>
      </c>
      <c r="J8494">
        <v>-187.6498</v>
      </c>
      <c r="K8494">
        <v>1.1099939999999999</v>
      </c>
      <c r="L8494">
        <v>53.693820000000002</v>
      </c>
      <c r="M8494">
        <v>-1.110943E-2</v>
      </c>
      <c r="N8494">
        <v>0</v>
      </c>
      <c r="O8494">
        <v>0.9998823</v>
      </c>
      <c r="P8494">
        <v>-2.9715249999999999E-2</v>
      </c>
      <c r="Q8494">
        <v>4.5541329999999998E-2</v>
      </c>
      <c r="R8494">
        <v>0.99852039999999997</v>
      </c>
      <c r="S8494">
        <v>-5.9143069999999999E-2</v>
      </c>
      <c r="T8494">
        <v>-6.6095710000000002E-2</v>
      </c>
      <c r="U8494">
        <v>3.0056150000000001</v>
      </c>
      <c r="V8494">
        <v>-1.8617519999999999E-2</v>
      </c>
      <c r="W8494">
        <v>5.6109340000000001E-2</v>
      </c>
      <c r="X8494">
        <v>0.998251</v>
      </c>
      <c r="Y8494">
        <v>-8.5598510000000003E-3</v>
      </c>
      <c r="Z8494">
        <v>-2.1980860000000001E-2</v>
      </c>
      <c r="AA8494">
        <v>0.99972179999999999</v>
      </c>
      <c r="AB8494">
        <v>21</v>
      </c>
      <c r="AC8494">
        <v>-0.99080000000000701</v>
      </c>
      <c r="AD8494">
        <v>-1.109996093338</v>
      </c>
      <c r="AE8494">
        <v>50.256479999999897</v>
      </c>
      <c r="AF8494">
        <v>-0.43217600159087999</v>
      </c>
      <c r="AG8494">
        <v>-1.109996093338</v>
      </c>
      <c r="AH8494">
        <v>50.2398876304553</v>
      </c>
      <c r="AI8494">
        <v>91.265635680303106</v>
      </c>
      <c r="AJ8494">
        <v>90.492860380691297</v>
      </c>
      <c r="AK8494">
        <v>50.254006572057101</v>
      </c>
      <c r="AL8494">
        <v>86.783482266748507</v>
      </c>
      <c r="AM8494">
        <v>91.0684503899883</v>
      </c>
      <c r="AN8494">
        <v>0.99999996454359197</v>
      </c>
    </row>
    <row r="8495" spans="1:40" x14ac:dyDescent="0.25">
      <c r="A8495" t="str">
        <f>"20190312160534592"</f>
        <v>20190312160534592</v>
      </c>
      <c r="B8495" t="str">
        <f>"1552377934583423"</f>
        <v>1552377934583423</v>
      </c>
      <c r="C8495" t="s">
        <v>40</v>
      </c>
      <c r="D8495">
        <v>5.3055110000000001</v>
      </c>
      <c r="E8495">
        <v>0.50230589999999997</v>
      </c>
      <c r="F8495" t="s">
        <v>41</v>
      </c>
      <c r="G8495">
        <v>-188.6918</v>
      </c>
      <c r="H8495" s="1">
        <v>-2.4594959999999998E-6</v>
      </c>
      <c r="I8495">
        <v>104.825</v>
      </c>
      <c r="J8495">
        <v>-187.65219999999999</v>
      </c>
      <c r="K8495">
        <v>1.110001</v>
      </c>
      <c r="L8495">
        <v>53.906619999999997</v>
      </c>
      <c r="M8495">
        <v>-1.1109859999999999E-2</v>
      </c>
      <c r="N8495">
        <v>0</v>
      </c>
      <c r="O8495">
        <v>0.9998823</v>
      </c>
      <c r="P8495">
        <v>-2.9661739999999999E-2</v>
      </c>
      <c r="Q8495">
        <v>4.5779350000000003E-2</v>
      </c>
      <c r="R8495">
        <v>0.99851109999999998</v>
      </c>
      <c r="S8495">
        <v>-6.1248780000000003E-2</v>
      </c>
      <c r="T8495">
        <v>-6.5247650000000004E-2</v>
      </c>
      <c r="U8495">
        <v>3.005585</v>
      </c>
      <c r="V8495">
        <v>-1.856348E-2</v>
      </c>
      <c r="W8495">
        <v>5.6349759999999999E-2</v>
      </c>
      <c r="X8495">
        <v>0.99823850000000003</v>
      </c>
      <c r="Y8495">
        <v>-9.2598609999999994E-3</v>
      </c>
      <c r="Z8495">
        <v>-2.1698970000000001E-2</v>
      </c>
      <c r="AA8495">
        <v>0.99972159999999999</v>
      </c>
      <c r="AB8495">
        <v>21</v>
      </c>
      <c r="AC8495">
        <v>-1.0396000000000001</v>
      </c>
      <c r="AD8495">
        <v>-1.110003459496</v>
      </c>
      <c r="AE8495">
        <v>50.918379999999999</v>
      </c>
      <c r="AF8495">
        <v>-0.47358312481697601</v>
      </c>
      <c r="AG8495">
        <v>-1.110003459496</v>
      </c>
      <c r="AH8495">
        <v>50.902607481255501</v>
      </c>
      <c r="AI8495">
        <v>91.249163602522501</v>
      </c>
      <c r="AJ8495">
        <v>90.533047967034705</v>
      </c>
      <c r="AK8495">
        <v>50.916911110621903</v>
      </c>
      <c r="AL8495">
        <v>86.769685502892898</v>
      </c>
      <c r="AM8495">
        <v>91.065363113858197</v>
      </c>
      <c r="AN8495">
        <v>1.000000000562</v>
      </c>
    </row>
    <row r="8496" spans="1:40" x14ac:dyDescent="0.25">
      <c r="A8496" t="str">
        <f>"20190312160534614"</f>
        <v>20190312160534614</v>
      </c>
      <c r="B8496" t="str">
        <f>"1552377934603919"</f>
        <v>1552377934603919</v>
      </c>
      <c r="C8496" t="s">
        <v>40</v>
      </c>
      <c r="D8496">
        <v>5.2498699999999996</v>
      </c>
      <c r="E8496">
        <v>0.50206809999999902</v>
      </c>
      <c r="F8496" t="s">
        <v>41</v>
      </c>
      <c r="G8496">
        <v>-188.75280000000001</v>
      </c>
      <c r="H8496" s="1">
        <v>-3.0250740000000002E-6</v>
      </c>
      <c r="I8496">
        <v>106.1686</v>
      </c>
      <c r="J8496">
        <v>-187.65440000000001</v>
      </c>
      <c r="K8496">
        <v>1.1100049999999999</v>
      </c>
      <c r="L8496">
        <v>54.112789999999997</v>
      </c>
      <c r="M8496">
        <v>-1.1110180000000001E-2</v>
      </c>
      <c r="N8496">
        <v>0</v>
      </c>
      <c r="O8496">
        <v>0.99988220000000005</v>
      </c>
      <c r="P8496">
        <v>-2.9368249999999999E-2</v>
      </c>
      <c r="Q8496">
        <v>4.6453370000000001E-2</v>
      </c>
      <c r="R8496">
        <v>0.99848870000000001</v>
      </c>
      <c r="S8496">
        <v>-6.3293459999999996E-2</v>
      </c>
      <c r="T8496">
        <v>-6.3835020000000006E-2</v>
      </c>
      <c r="U8496">
        <v>3.0055239999999999</v>
      </c>
      <c r="V8496">
        <v>-1.827051E-2</v>
      </c>
      <c r="W8496">
        <v>5.7026260000000002E-2</v>
      </c>
      <c r="X8496">
        <v>0.99820549999999997</v>
      </c>
      <c r="Y8496">
        <v>-9.9399899999999992E-3</v>
      </c>
      <c r="Z8496">
        <v>-2.1229609999999999E-2</v>
      </c>
      <c r="AA8496">
        <v>0.99972519999999998</v>
      </c>
      <c r="AB8496">
        <v>21</v>
      </c>
      <c r="AC8496">
        <v>-1.0983999999999901</v>
      </c>
      <c r="AD8496">
        <v>-1.1100080250740001</v>
      </c>
      <c r="AE8496">
        <v>52.055810000000001</v>
      </c>
      <c r="AF8496">
        <v>-0.51971414357491197</v>
      </c>
      <c r="AG8496">
        <v>-1.1100080250740001</v>
      </c>
      <c r="AH8496">
        <v>52.041148890248699</v>
      </c>
      <c r="AI8496">
        <v>91.221840114369101</v>
      </c>
      <c r="AJ8496">
        <v>90.5721710175834</v>
      </c>
      <c r="AK8496">
        <v>52.055579897104202</v>
      </c>
      <c r="AL8496">
        <v>86.730862518504694</v>
      </c>
      <c r="AM8496">
        <v>91.048587927359094</v>
      </c>
      <c r="AN8496">
        <v>1.00000001304774</v>
      </c>
    </row>
    <row r="8497" spans="1:40" x14ac:dyDescent="0.25">
      <c r="A8497" t="str">
        <f>"20190312160534703"</f>
        <v>20190312160534703</v>
      </c>
      <c r="B8497" t="str">
        <f>"1552377934693712"</f>
        <v>1552377934693712</v>
      </c>
      <c r="C8497" t="s">
        <v>40</v>
      </c>
      <c r="D8497">
        <v>5.0305530000000003</v>
      </c>
      <c r="E8497">
        <v>0.53014069999999902</v>
      </c>
      <c r="F8497" t="s">
        <v>41</v>
      </c>
      <c r="G8497">
        <v>-188.81620000000001</v>
      </c>
      <c r="H8497" s="1">
        <v>-3.9712019999999998E-6</v>
      </c>
      <c r="I8497">
        <v>108.4002</v>
      </c>
      <c r="J8497">
        <v>-187.66390000000001</v>
      </c>
      <c r="K8497">
        <v>1.109998</v>
      </c>
      <c r="L8497">
        <v>54.964480000000002</v>
      </c>
      <c r="M8497">
        <v>-1.111083E-2</v>
      </c>
      <c r="N8497">
        <v>0</v>
      </c>
      <c r="O8497">
        <v>0.99988220000000005</v>
      </c>
      <c r="P8497">
        <v>-2.845019E-2</v>
      </c>
      <c r="Q8497">
        <v>4.6383460000000001E-2</v>
      </c>
      <c r="R8497">
        <v>0.99851849999999998</v>
      </c>
      <c r="S8497">
        <v>-6.4315800000000006E-2</v>
      </c>
      <c r="T8497">
        <v>-6.1452979999999997E-2</v>
      </c>
      <c r="U8497">
        <v>3.005493</v>
      </c>
      <c r="V8497">
        <v>-1.7351450000000001E-2</v>
      </c>
      <c r="W8497">
        <v>5.6963890000000003E-2</v>
      </c>
      <c r="X8497">
        <v>0.99822549999999999</v>
      </c>
      <c r="Y8497">
        <v>-1.027982E-2</v>
      </c>
      <c r="Z8497">
        <v>-2.043785E-2</v>
      </c>
      <c r="AA8497">
        <v>0.99973829999999997</v>
      </c>
      <c r="AB8497">
        <v>21</v>
      </c>
      <c r="AC8497">
        <v>-1.1522999999999901</v>
      </c>
      <c r="AD8497">
        <v>-1.1100019712019999</v>
      </c>
      <c r="AE8497">
        <v>53.435720000000003</v>
      </c>
      <c r="AF8497">
        <v>-0.55823960155576402</v>
      </c>
      <c r="AG8497">
        <v>-1.1100019712019999</v>
      </c>
      <c r="AH8497">
        <v>53.4221837846166</v>
      </c>
      <c r="AI8497">
        <v>91.190251002309495</v>
      </c>
      <c r="AJ8497">
        <v>90.598695275200697</v>
      </c>
      <c r="AK8497">
        <v>53.436630284348603</v>
      </c>
      <c r="AL8497">
        <v>86.734442005927804</v>
      </c>
      <c r="AM8497">
        <v>90.995831848154594</v>
      </c>
      <c r="AN8497">
        <v>1.0000000532156399</v>
      </c>
    </row>
    <row r="8498" spans="1:40" x14ac:dyDescent="0.25">
      <c r="A8498" t="str">
        <f>"20190312160534717"</f>
        <v>20190312160534717</v>
      </c>
      <c r="B8498" t="str">
        <f>"1552377934713232"</f>
        <v>1552377934713232</v>
      </c>
      <c r="C8498" t="s">
        <v>40</v>
      </c>
      <c r="D8498">
        <v>5.1023290000000001</v>
      </c>
      <c r="E8498">
        <v>0.51879449999999905</v>
      </c>
      <c r="F8498" t="s">
        <v>49</v>
      </c>
      <c r="G8498">
        <v>-187.62010000000001</v>
      </c>
      <c r="H8498">
        <v>0.94271499999999997</v>
      </c>
      <c r="I8498">
        <v>55.679290000000002</v>
      </c>
      <c r="J8498">
        <v>-187.6653</v>
      </c>
      <c r="K8498">
        <v>1.109998</v>
      </c>
      <c r="L8498">
        <v>55.088810000000002</v>
      </c>
      <c r="M8498">
        <v>-1.11109E-2</v>
      </c>
      <c r="N8498">
        <v>0</v>
      </c>
      <c r="O8498">
        <v>0.9998821</v>
      </c>
      <c r="P8498">
        <v>-2.8217240000000001E-2</v>
      </c>
      <c r="Q8498">
        <v>4.6472720000000002E-2</v>
      </c>
      <c r="R8498">
        <v>0.99852099999999999</v>
      </c>
      <c r="S8498">
        <v>0.18579100000000001</v>
      </c>
      <c r="T8498">
        <v>-0.71208539999999998</v>
      </c>
      <c r="U8498">
        <v>3.0428160000000002</v>
      </c>
      <c r="V8498">
        <v>-1.7118120000000001E-2</v>
      </c>
      <c r="W8498">
        <v>5.7054349999999997E-2</v>
      </c>
      <c r="X8498">
        <v>0.99822429999999995</v>
      </c>
      <c r="Y8498">
        <v>7.0435919999999999E-2</v>
      </c>
      <c r="Z8498">
        <v>-0.2273597</v>
      </c>
      <c r="AA8498">
        <v>0.97126020000000002</v>
      </c>
      <c r="AB8498">
        <v>21</v>
      </c>
      <c r="AC8498">
        <v>4.5199999999994099E-2</v>
      </c>
      <c r="AD8498">
        <v>-0.16728299999999999</v>
      </c>
      <c r="AE8498">
        <v>0.590480000000006</v>
      </c>
      <c r="AF8498">
        <v>4.7933651064816798E-2</v>
      </c>
      <c r="AG8498">
        <v>-0.16728299999999999</v>
      </c>
      <c r="AH8498">
        <v>0.54634749538836502</v>
      </c>
      <c r="AI8498">
        <v>106.962366596862</v>
      </c>
      <c r="AJ8498">
        <v>84.986008711798803</v>
      </c>
      <c r="AK8498">
        <v>0.57339063709703497</v>
      </c>
      <c r="AL8498">
        <v>86.729250383244803</v>
      </c>
      <c r="AM8498">
        <v>90.982444430701094</v>
      </c>
      <c r="AN8498">
        <v>0.999999990998373</v>
      </c>
    </row>
    <row r="8499" spans="1:40" x14ac:dyDescent="0.25">
      <c r="A8499" t="str">
        <f>"20190312160534730"</f>
        <v>20190312160534730</v>
      </c>
      <c r="B8499" t="str">
        <f>"1552377934723968"</f>
        <v>1552377934723968</v>
      </c>
      <c r="C8499" t="s">
        <v>40</v>
      </c>
      <c r="D8499">
        <v>5.0734620000000001</v>
      </c>
      <c r="E8499">
        <v>0.50740299999999905</v>
      </c>
      <c r="F8499" t="s">
        <v>49</v>
      </c>
      <c r="G8499">
        <v>-187.64109999999999</v>
      </c>
      <c r="H8499">
        <v>0.94040820000000003</v>
      </c>
      <c r="I8499">
        <v>55.869349999999997</v>
      </c>
      <c r="J8499">
        <v>-187.66679999999999</v>
      </c>
      <c r="K8499">
        <v>1.110001</v>
      </c>
      <c r="L8499">
        <v>55.220399999999998</v>
      </c>
      <c r="M8499">
        <v>-1.111096E-2</v>
      </c>
      <c r="N8499">
        <v>0</v>
      </c>
      <c r="O8499">
        <v>0.9998821</v>
      </c>
      <c r="P8499">
        <v>-2.8034940000000001E-2</v>
      </c>
      <c r="Q8499">
        <v>4.6190500000000002E-2</v>
      </c>
      <c r="R8499">
        <v>0.99853910000000001</v>
      </c>
      <c r="S8499">
        <v>9.3948359999999995E-2</v>
      </c>
      <c r="T8499">
        <v>-0.66003339999999999</v>
      </c>
      <c r="U8499">
        <v>3.037811</v>
      </c>
      <c r="V8499">
        <v>-1.693561E-2</v>
      </c>
      <c r="W8499">
        <v>5.6774419999999999E-2</v>
      </c>
      <c r="X8499">
        <v>0.9982434</v>
      </c>
      <c r="Y8499">
        <v>4.1312069999999999E-2</v>
      </c>
      <c r="Z8499">
        <v>-0.21215999999999999</v>
      </c>
      <c r="AA8499">
        <v>0.97636129999999999</v>
      </c>
      <c r="AB8499">
        <v>21</v>
      </c>
      <c r="AC8499">
        <v>2.57000000000005E-2</v>
      </c>
      <c r="AD8499">
        <v>-0.16959279999999999</v>
      </c>
      <c r="AE8499">
        <v>0.64894999999999903</v>
      </c>
      <c r="AF8499">
        <v>3.0808488316924201E-2</v>
      </c>
      <c r="AG8499">
        <v>-0.16959279999999999</v>
      </c>
      <c r="AH8499">
        <v>0.60721896010941401</v>
      </c>
      <c r="AI8499">
        <v>105.5856743998</v>
      </c>
      <c r="AJ8499">
        <v>87.095472767985001</v>
      </c>
      <c r="AK8499">
        <v>0.63120974824583598</v>
      </c>
      <c r="AL8499">
        <v>86.745315317942897</v>
      </c>
      <c r="AM8499">
        <v>90.971953229597901</v>
      </c>
      <c r="AN8499">
        <v>1.00000001764798</v>
      </c>
    </row>
    <row r="8500" spans="1:40" x14ac:dyDescent="0.25">
      <c r="A8500" t="str">
        <f>"20190312160534748"</f>
        <v>20190312160534748</v>
      </c>
      <c r="B8500" t="str">
        <f>"1552377934743488"</f>
        <v>1552377934743488</v>
      </c>
      <c r="C8500" t="s">
        <v>40</v>
      </c>
      <c r="D8500">
        <v>5.0527660000000001</v>
      </c>
      <c r="E8500">
        <v>0.50697570000000003</v>
      </c>
      <c r="F8500" t="s">
        <v>52</v>
      </c>
      <c r="G8500">
        <v>-189.93459999999999</v>
      </c>
      <c r="H8500">
        <v>1.70644</v>
      </c>
      <c r="I8500">
        <v>391.87</v>
      </c>
      <c r="J8500">
        <v>-187.6686</v>
      </c>
      <c r="K8500">
        <v>1.1100019999999999</v>
      </c>
      <c r="L8500">
        <v>55.386569999999899</v>
      </c>
      <c r="M8500">
        <v>-1.1111050000000001E-2</v>
      </c>
      <c r="N8500">
        <v>0</v>
      </c>
      <c r="O8500">
        <v>0.99988200000000005</v>
      </c>
      <c r="P8500">
        <v>-2.799188E-2</v>
      </c>
      <c r="Q8500">
        <v>4.6260200000000001E-2</v>
      </c>
      <c r="R8500">
        <v>0.99853720000000001</v>
      </c>
      <c r="S8500">
        <v>-2.0233149999999998E-2</v>
      </c>
      <c r="T8500">
        <v>5.3213829999999998E-3</v>
      </c>
      <c r="U8500">
        <v>3.003571</v>
      </c>
      <c r="V8500">
        <v>-1.68927E-2</v>
      </c>
      <c r="W8500">
        <v>5.6849160000000003E-2</v>
      </c>
      <c r="X8500">
        <v>0.99823989999999996</v>
      </c>
      <c r="Y8500">
        <v>4.3756309999999996E-3</v>
      </c>
      <c r="Z8500">
        <v>1.771491E-3</v>
      </c>
      <c r="AA8500">
        <v>0.99998889999999996</v>
      </c>
      <c r="AB8500">
        <v>21</v>
      </c>
      <c r="AC8500">
        <v>-2.2659999999999898</v>
      </c>
      <c r="AD8500">
        <v>0.59643800000000002</v>
      </c>
      <c r="AE8500">
        <v>336.48343</v>
      </c>
      <c r="AF8500">
        <v>1.47302985797424</v>
      </c>
      <c r="AG8500">
        <v>0.59643800000000002</v>
      </c>
      <c r="AH8500">
        <v>336.486778537254</v>
      </c>
      <c r="AI8500">
        <v>89.898441724647896</v>
      </c>
      <c r="AJ8500">
        <v>89.749179283674493</v>
      </c>
      <c r="AK8500">
        <v>336.49053134617299</v>
      </c>
      <c r="AL8500">
        <v>86.741026190367293</v>
      </c>
      <c r="AM8500">
        <v>90.969494446826204</v>
      </c>
      <c r="AN8500">
        <v>1.000000044129</v>
      </c>
    </row>
    <row r="8501" spans="1:40" x14ac:dyDescent="0.25">
      <c r="A8501" t="str">
        <f>"20190312160534761"</f>
        <v>20190312160534761</v>
      </c>
      <c r="B8501" t="str">
        <f>"1552377934753248"</f>
        <v>1552377934753248</v>
      </c>
      <c r="C8501" t="s">
        <v>40</v>
      </c>
      <c r="D8501">
        <v>5.0558449999999997</v>
      </c>
      <c r="E8501">
        <v>0.50596370000000002</v>
      </c>
      <c r="F8501" t="s">
        <v>52</v>
      </c>
      <c r="G8501">
        <v>-190.25970000000001</v>
      </c>
      <c r="H8501">
        <v>0.35862539999999998</v>
      </c>
      <c r="I8501">
        <v>391.87</v>
      </c>
      <c r="J8501">
        <v>-187.67</v>
      </c>
      <c r="K8501">
        <v>1.110004</v>
      </c>
      <c r="L8501">
        <v>55.515050000000002</v>
      </c>
      <c r="M8501">
        <v>-1.111112E-2</v>
      </c>
      <c r="N8501">
        <v>0</v>
      </c>
      <c r="O8501">
        <v>0.99988200000000005</v>
      </c>
      <c r="P8501">
        <v>-2.7687880000000002E-2</v>
      </c>
      <c r="Q8501">
        <v>4.5997429999999999E-2</v>
      </c>
      <c r="R8501">
        <v>0.99855769999999999</v>
      </c>
      <c r="S8501">
        <v>-2.3132320000000001E-2</v>
      </c>
      <c r="T8501">
        <v>-6.7081450000000004E-3</v>
      </c>
      <c r="U8501">
        <v>3.0040589999999998</v>
      </c>
      <c r="V8501">
        <v>-1.65882999999999E-2</v>
      </c>
      <c r="W8501">
        <v>5.6593989999999997E-2</v>
      </c>
      <c r="X8501">
        <v>0.99825949999999997</v>
      </c>
      <c r="Y8501">
        <v>3.4117829999999998E-3</v>
      </c>
      <c r="Z8501">
        <v>-2.2327760000000001E-3</v>
      </c>
      <c r="AA8501">
        <v>0.99999170000000004</v>
      </c>
      <c r="AB8501">
        <v>21</v>
      </c>
      <c r="AC8501">
        <v>-2.5897000000000201</v>
      </c>
      <c r="AD8501">
        <v>-0.75137860000000001</v>
      </c>
      <c r="AE8501">
        <v>336.35494999999997</v>
      </c>
      <c r="AF8501">
        <v>1.14794465917916</v>
      </c>
      <c r="AG8501">
        <v>-0.75137860000000001</v>
      </c>
      <c r="AH8501">
        <v>336.36128199824401</v>
      </c>
      <c r="AI8501">
        <v>90.127988869646401</v>
      </c>
      <c r="AJ8501">
        <v>89.804459870241303</v>
      </c>
      <c r="AK8501">
        <v>336.36408008918397</v>
      </c>
      <c r="AL8501">
        <v>86.755669917513003</v>
      </c>
      <c r="AM8501">
        <v>90.952009083312703</v>
      </c>
      <c r="AN8501">
        <v>1.00000004037062</v>
      </c>
    </row>
    <row r="8502" spans="1:40" x14ac:dyDescent="0.25">
      <c r="A8502" t="str">
        <f>"20190312160534774"</f>
        <v>20190312160534774</v>
      </c>
      <c r="B8502" t="str">
        <f>"1552377934763984"</f>
        <v>1552377934763984</v>
      </c>
      <c r="C8502" t="s">
        <v>40</v>
      </c>
      <c r="D8502">
        <v>5.0714379999999997</v>
      </c>
      <c r="E8502">
        <v>0.50481239999999905</v>
      </c>
      <c r="F8502" t="s">
        <v>41</v>
      </c>
      <c r="G8502">
        <v>-189.7336</v>
      </c>
      <c r="H8502" s="1">
        <v>-1.1824159999999999E-6</v>
      </c>
      <c r="I8502">
        <v>262.27890000000002</v>
      </c>
      <c r="J8502">
        <v>-187.67140000000001</v>
      </c>
      <c r="K8502">
        <v>1.110004</v>
      </c>
      <c r="L8502">
        <v>55.63861</v>
      </c>
      <c r="M8502">
        <v>-1.111119E-2</v>
      </c>
      <c r="N8502">
        <v>0</v>
      </c>
      <c r="O8502">
        <v>0.99988189999999999</v>
      </c>
      <c r="P8502">
        <v>-2.7565180000000002E-2</v>
      </c>
      <c r="Q8502">
        <v>4.589559E-2</v>
      </c>
      <c r="R8502">
        <v>0.99856590000000001</v>
      </c>
      <c r="S8502">
        <v>-2.998352E-2</v>
      </c>
      <c r="T8502">
        <v>-1.6128179999999999E-2</v>
      </c>
      <c r="U8502">
        <v>3.0042420000000001</v>
      </c>
      <c r="V8502">
        <v>-1.646558E-2</v>
      </c>
      <c r="W8502">
        <v>5.6499250000000001E-2</v>
      </c>
      <c r="X8502">
        <v>0.99826689999999996</v>
      </c>
      <c r="Y8502">
        <v>1.1321289999999999E-3</v>
      </c>
      <c r="Z8502">
        <v>-5.3677610000000004E-3</v>
      </c>
      <c r="AA8502">
        <v>0.99998500000000001</v>
      </c>
      <c r="AB8502">
        <v>21</v>
      </c>
      <c r="AC8502">
        <v>-2.06219999999999</v>
      </c>
      <c r="AD8502">
        <v>-1.110005182416</v>
      </c>
      <c r="AE8502">
        <v>206.64028999999999</v>
      </c>
      <c r="AF8502">
        <v>0.234069510067552</v>
      </c>
      <c r="AG8502">
        <v>-1.110005182416</v>
      </c>
      <c r="AH8502">
        <v>206.644485083007</v>
      </c>
      <c r="AI8502">
        <v>90.307765095642793</v>
      </c>
      <c r="AJ8502">
        <v>89.935100182816598</v>
      </c>
      <c r="AK8502">
        <v>206.647598861593</v>
      </c>
      <c r="AL8502">
        <v>86.761106824331605</v>
      </c>
      <c r="AM8502">
        <v>90.944960412321507</v>
      </c>
      <c r="AN8502">
        <v>1.00000004210545</v>
      </c>
    </row>
    <row r="8503" spans="1:40" x14ac:dyDescent="0.25">
      <c r="A8503" t="str">
        <f>"20190312160534793"</f>
        <v>20190312160534793</v>
      </c>
      <c r="B8503" t="str">
        <f>"1552377934783503"</f>
        <v>1552377934783503</v>
      </c>
      <c r="C8503" t="s">
        <v>40</v>
      </c>
      <c r="D8503">
        <v>5.0457320000000001</v>
      </c>
      <c r="E8503">
        <v>0.50491799999999998</v>
      </c>
      <c r="F8503" t="s">
        <v>41</v>
      </c>
      <c r="G8503">
        <v>-189.41839999999999</v>
      </c>
      <c r="H8503" s="1">
        <v>-9.6742470000000007E-7</v>
      </c>
      <c r="I8503">
        <v>191.6474</v>
      </c>
      <c r="J8503">
        <v>-187.67339999999999</v>
      </c>
      <c r="K8503">
        <v>1.1100049999999999</v>
      </c>
      <c r="L8503">
        <v>55.821930000000002</v>
      </c>
      <c r="M8503">
        <v>-1.1111309999999999E-2</v>
      </c>
      <c r="N8503">
        <v>0</v>
      </c>
      <c r="O8503">
        <v>0.99988180000000004</v>
      </c>
      <c r="P8503">
        <v>-2.716112E-2</v>
      </c>
      <c r="Q8503">
        <v>4.5545769999999999E-2</v>
      </c>
      <c r="R8503">
        <v>0.99859290000000001</v>
      </c>
      <c r="S8503">
        <v>-3.8589480000000002E-2</v>
      </c>
      <c r="T8503">
        <v>-2.451944E-2</v>
      </c>
      <c r="U8503">
        <v>3.0043639999999998</v>
      </c>
      <c r="V8503">
        <v>-1.6061280000000001E-2</v>
      </c>
      <c r="W8503">
        <v>5.6159809999999998E-2</v>
      </c>
      <c r="X8503">
        <v>0.99829259999999997</v>
      </c>
      <c r="Y8503">
        <v>-1.7311729999999999E-3</v>
      </c>
      <c r="Z8503">
        <v>-8.1599059999999998E-3</v>
      </c>
      <c r="AA8503">
        <v>0.9999652</v>
      </c>
      <c r="AB8503">
        <v>21</v>
      </c>
      <c r="AC8503">
        <v>-1.7450000000000001</v>
      </c>
      <c r="AD8503">
        <v>-1.11000596742469</v>
      </c>
      <c r="AE8503">
        <v>135.82547</v>
      </c>
      <c r="AF8503">
        <v>-0.23559240953513699</v>
      </c>
      <c r="AG8503">
        <v>-1.11000596742469</v>
      </c>
      <c r="AH8503">
        <v>135.827404606893</v>
      </c>
      <c r="AI8503">
        <v>90.468220282537203</v>
      </c>
      <c r="AJ8503">
        <v>90.099379335518805</v>
      </c>
      <c r="AK8503">
        <v>135.83214442566799</v>
      </c>
      <c r="AL8503">
        <v>86.780586102844595</v>
      </c>
      <c r="AM8503">
        <v>90.921737944243603</v>
      </c>
      <c r="AN8503">
        <v>1.00000000209461</v>
      </c>
    </row>
    <row r="8504" spans="1:40" x14ac:dyDescent="0.25">
      <c r="A8504" t="str">
        <f>"20190312160534806"</f>
        <v>20190312160534806</v>
      </c>
      <c r="B8504" t="str">
        <f>"1552377934803990"</f>
        <v>1552377934803990</v>
      </c>
      <c r="C8504" t="s">
        <v>40</v>
      </c>
      <c r="D8504">
        <v>4.9272830000000001</v>
      </c>
      <c r="E8504">
        <v>0.50373020000000002</v>
      </c>
      <c r="F8504" t="s">
        <v>41</v>
      </c>
      <c r="G8504">
        <v>-189.0669</v>
      </c>
      <c r="H8504" s="1">
        <v>-7.7733569999999996E-7</v>
      </c>
      <c r="I8504">
        <v>171.05889999999999</v>
      </c>
      <c r="J8504">
        <v>-187.67490000000001</v>
      </c>
      <c r="K8504">
        <v>1.110006</v>
      </c>
      <c r="L8504">
        <v>55.953740000000003</v>
      </c>
      <c r="M8504">
        <v>-1.11114E-2</v>
      </c>
      <c r="N8504">
        <v>0</v>
      </c>
      <c r="O8504">
        <v>0.99988169999999998</v>
      </c>
      <c r="P8504">
        <v>-2.6819539999999999E-2</v>
      </c>
      <c r="Q8504">
        <v>4.529847E-2</v>
      </c>
      <c r="R8504">
        <v>0.99861339999999998</v>
      </c>
      <c r="S8504">
        <v>-3.6331179999999998E-2</v>
      </c>
      <c r="T8504">
        <v>-2.8940919999999998E-2</v>
      </c>
      <c r="U8504">
        <v>3.0045470000000001</v>
      </c>
      <c r="V8504">
        <v>-1.5719230000000001E-2</v>
      </c>
      <c r="W8504">
        <v>5.5919860000000002E-2</v>
      </c>
      <c r="X8504">
        <v>0.99831150000000002</v>
      </c>
      <c r="Y8504">
        <v>-9.7865789999999897E-4</v>
      </c>
      <c r="Z8504">
        <v>-9.6306810000000003E-3</v>
      </c>
      <c r="AA8504">
        <v>0.99995319999999999</v>
      </c>
      <c r="AB8504">
        <v>21</v>
      </c>
      <c r="AC8504">
        <v>-1.3919999999999899</v>
      </c>
      <c r="AD8504">
        <v>-1.1100067773356901</v>
      </c>
      <c r="AE8504">
        <v>115.105159999999</v>
      </c>
      <c r="AF8504">
        <v>-0.11285174223896299</v>
      </c>
      <c r="AG8504">
        <v>-1.1100067773356901</v>
      </c>
      <c r="AH8504">
        <v>115.102818821559</v>
      </c>
      <c r="AI8504">
        <v>90.552520800316501</v>
      </c>
      <c r="AJ8504">
        <v>90.056175222599705</v>
      </c>
      <c r="AK8504">
        <v>115.108226253514</v>
      </c>
      <c r="AL8504">
        <v>86.794355818575397</v>
      </c>
      <c r="AM8504">
        <v>90.902094300919501</v>
      </c>
      <c r="AN8504">
        <v>0.99999998798323098</v>
      </c>
    </row>
    <row r="8505" spans="1:40" x14ac:dyDescent="0.25">
      <c r="A8505" t="str">
        <f>"20190312160534820"</f>
        <v>20190312160534820</v>
      </c>
      <c r="B8505" t="str">
        <f>"1552377934813750"</f>
        <v>1552377934813750</v>
      </c>
      <c r="C8505" t="s">
        <v>40</v>
      </c>
      <c r="D8505">
        <v>5.016114</v>
      </c>
      <c r="E8505">
        <v>0.50341119999999995</v>
      </c>
      <c r="F8505" t="s">
        <v>59</v>
      </c>
      <c r="G8505">
        <v>-189.91990000000001</v>
      </c>
      <c r="H8505" s="1">
        <v>5.921369E-6</v>
      </c>
      <c r="I8505">
        <v>205.31960000000001</v>
      </c>
      <c r="J8505">
        <v>-187.6763</v>
      </c>
      <c r="K8505">
        <v>1.110006</v>
      </c>
      <c r="L8505">
        <v>56.081420000000001</v>
      </c>
      <c r="M8505">
        <v>-1.111149E-2</v>
      </c>
      <c r="N8505">
        <v>0</v>
      </c>
      <c r="O8505">
        <v>0.99988160000000004</v>
      </c>
      <c r="P8505">
        <v>-2.677177E-2</v>
      </c>
      <c r="Q8505">
        <v>4.4957869999999997E-2</v>
      </c>
      <c r="R8505">
        <v>0.99863009999999997</v>
      </c>
      <c r="S8505">
        <v>-4.5150759999999998E-2</v>
      </c>
      <c r="T8505">
        <v>-2.232373E-2</v>
      </c>
      <c r="U8505">
        <v>3.0039669999999998</v>
      </c>
      <c r="V8505">
        <v>-1.5671439999999998E-2</v>
      </c>
      <c r="W8505">
        <v>5.5584679999999997E-2</v>
      </c>
      <c r="X8505">
        <v>0.99833099999999997</v>
      </c>
      <c r="Y8505">
        <v>-3.9164689999999997E-3</v>
      </c>
      <c r="Z8505">
        <v>-7.4300740000000001E-3</v>
      </c>
      <c r="AA8505">
        <v>0.99996470000000004</v>
      </c>
      <c r="AB8505">
        <v>21</v>
      </c>
      <c r="AC8505">
        <v>-2.24360000000001</v>
      </c>
      <c r="AD8505">
        <v>-1.110000078631</v>
      </c>
      <c r="AE8505">
        <v>149.23818</v>
      </c>
      <c r="AF8505">
        <v>-0.58507660709142195</v>
      </c>
      <c r="AG8505">
        <v>-1.110000078631</v>
      </c>
      <c r="AH8505">
        <v>149.24564248281101</v>
      </c>
      <c r="AI8505">
        <v>90.4261207056838</v>
      </c>
      <c r="AJ8505">
        <v>90.224611238197696</v>
      </c>
      <c r="AK8505">
        <v>149.25091696508099</v>
      </c>
      <c r="AL8505">
        <v>86.8135902308358</v>
      </c>
      <c r="AM8505">
        <v>90.899334618394207</v>
      </c>
      <c r="AN8505">
        <v>1.0000000181216799</v>
      </c>
    </row>
    <row r="8506" spans="1:40" x14ac:dyDescent="0.25">
      <c r="A8506" t="str">
        <f>"20190312160534838"</f>
        <v>20190312160534838</v>
      </c>
      <c r="B8506" t="str">
        <f>"1552377934833271"</f>
        <v>1552377934833271</v>
      </c>
      <c r="C8506" t="s">
        <v>40</v>
      </c>
      <c r="D8506">
        <v>5.0287600000000001</v>
      </c>
      <c r="E8506">
        <v>0.50316289999999997</v>
      </c>
      <c r="F8506" t="s">
        <v>59</v>
      </c>
      <c r="G8506">
        <v>-190.32060000000001</v>
      </c>
      <c r="H8506" s="1">
        <v>2.4341589999999998E-6</v>
      </c>
      <c r="I8506">
        <v>222.54830000000001</v>
      </c>
      <c r="J8506">
        <v>-187.6782</v>
      </c>
      <c r="K8506">
        <v>1.110006</v>
      </c>
      <c r="L8506">
        <v>56.251190000000001</v>
      </c>
      <c r="M8506">
        <v>-1.1111619999999999E-2</v>
      </c>
      <c r="N8506">
        <v>0</v>
      </c>
      <c r="O8506">
        <v>0.99988160000000004</v>
      </c>
      <c r="P8506">
        <v>-2.6964470000000001E-2</v>
      </c>
      <c r="Q8506">
        <v>4.5155000000000001E-2</v>
      </c>
      <c r="R8506">
        <v>0.99861599999999995</v>
      </c>
      <c r="S8506">
        <v>-4.7714230000000003E-2</v>
      </c>
      <c r="T8506">
        <v>-2.002907E-2</v>
      </c>
      <c r="U8506">
        <v>3.0037539999999998</v>
      </c>
      <c r="V8506">
        <v>-1.5864050000000001E-2</v>
      </c>
      <c r="W8506">
        <v>5.578893E-2</v>
      </c>
      <c r="X8506">
        <v>0.99831650000000005</v>
      </c>
      <c r="Y8506">
        <v>-4.7706850000000002E-3</v>
      </c>
      <c r="Z8506">
        <v>-6.6667899999999997E-3</v>
      </c>
      <c r="AA8506">
        <v>0.99996640000000003</v>
      </c>
      <c r="AB8506">
        <v>21</v>
      </c>
      <c r="AC8506">
        <v>-2.6423999999999999</v>
      </c>
      <c r="AD8506">
        <v>-1.1100035658409999</v>
      </c>
      <c r="AE8506">
        <v>166.29711</v>
      </c>
      <c r="AF8506">
        <v>-0.79426647378201598</v>
      </c>
      <c r="AG8506">
        <v>-1.1100035658409999</v>
      </c>
      <c r="AH8506">
        <v>166.30879760758299</v>
      </c>
      <c r="AI8506">
        <v>90.382402199256205</v>
      </c>
      <c r="AJ8506">
        <v>90.273634175828207</v>
      </c>
      <c r="AK8506">
        <v>166.31439844110801</v>
      </c>
      <c r="AL8506">
        <v>86.801869173715403</v>
      </c>
      <c r="AM8506">
        <v>90.910399271705799</v>
      </c>
      <c r="AN8506">
        <v>0.99999995348259696</v>
      </c>
    </row>
    <row r="8507" spans="1:40" x14ac:dyDescent="0.25">
      <c r="A8507" t="str">
        <f>"20190312160534861"</f>
        <v>20190312160534861</v>
      </c>
      <c r="B8507" t="str">
        <f>"1552377934853766"</f>
        <v>1552377934853766</v>
      </c>
      <c r="C8507" t="s">
        <v>40</v>
      </c>
      <c r="D8507">
        <v>4.9284829999999999</v>
      </c>
      <c r="E8507">
        <v>0.50297029999999998</v>
      </c>
      <c r="F8507" t="s">
        <v>59</v>
      </c>
      <c r="G8507">
        <v>-191.67160000000001</v>
      </c>
      <c r="H8507" s="1">
        <v>1.70932E-6</v>
      </c>
      <c r="I8507">
        <v>294.08359999999999</v>
      </c>
      <c r="J8507">
        <v>-187.6807</v>
      </c>
      <c r="K8507">
        <v>1.1100000000000001</v>
      </c>
      <c r="L8507">
        <v>56.475189999999998</v>
      </c>
      <c r="M8507">
        <v>-1.111179E-2</v>
      </c>
      <c r="N8507">
        <v>0</v>
      </c>
      <c r="O8507">
        <v>0.99988140000000003</v>
      </c>
      <c r="P8507">
        <v>-2.726839E-2</v>
      </c>
      <c r="Q8507">
        <v>4.5295879999999997E-2</v>
      </c>
      <c r="R8507">
        <v>0.99860139999999997</v>
      </c>
      <c r="S8507">
        <v>-5.0430299999999997E-2</v>
      </c>
      <c r="T8507">
        <v>-1.4017460000000001E-2</v>
      </c>
      <c r="U8507">
        <v>3.0034179999999999</v>
      </c>
      <c r="V8507">
        <v>-1.6167629999999999E-2</v>
      </c>
      <c r="W8507">
        <v>5.5939379999999997E-2</v>
      </c>
      <c r="X8507">
        <v>0.99830319999999995</v>
      </c>
      <c r="Y8507">
        <v>-5.6765280000000001E-3</v>
      </c>
      <c r="Z8507">
        <v>-4.6663210000000002E-3</v>
      </c>
      <c r="AA8507">
        <v>0.999973</v>
      </c>
      <c r="AB8507">
        <v>21</v>
      </c>
      <c r="AC8507">
        <v>-3.9909000000000101</v>
      </c>
      <c r="AD8507">
        <v>-1.1099982906799899</v>
      </c>
      <c r="AE8507">
        <v>237.60840999999999</v>
      </c>
      <c r="AF8507">
        <v>-1.35021924044889</v>
      </c>
      <c r="AG8507">
        <v>-1.1099982906799899</v>
      </c>
      <c r="AH8507">
        <v>237.632902986456</v>
      </c>
      <c r="AI8507">
        <v>90.267625936513596</v>
      </c>
      <c r="AJ8507">
        <v>90.325548484265596</v>
      </c>
      <c r="AK8507">
        <v>237.639331277406</v>
      </c>
      <c r="AL8507">
        <v>86.793235506560194</v>
      </c>
      <c r="AM8507">
        <v>90.927830331936804</v>
      </c>
      <c r="AN8507">
        <v>0.999999942812419</v>
      </c>
    </row>
    <row r="8508" spans="1:40" x14ac:dyDescent="0.25">
      <c r="A8508" t="str">
        <f>"20190312160534884"</f>
        <v>20190312160534884</v>
      </c>
      <c r="B8508" t="str">
        <f>"1552377934873287"</f>
        <v>1552377934873287</v>
      </c>
      <c r="C8508" t="s">
        <v>40</v>
      </c>
      <c r="D8508">
        <v>4.9756330000000002</v>
      </c>
      <c r="E8508">
        <v>0.50279669999999999</v>
      </c>
      <c r="F8508" t="s">
        <v>41</v>
      </c>
      <c r="G8508">
        <v>-192.27789999999999</v>
      </c>
      <c r="H8508" s="1">
        <v>-4.6614720000000003E-6</v>
      </c>
      <c r="I8508">
        <v>318.37270000000001</v>
      </c>
      <c r="J8508">
        <v>-187.6832</v>
      </c>
      <c r="K8508">
        <v>1.110006</v>
      </c>
      <c r="L8508">
        <v>56.69455</v>
      </c>
      <c r="M8508">
        <v>-1.1111970000000001E-2</v>
      </c>
      <c r="N8508">
        <v>0</v>
      </c>
      <c r="O8508">
        <v>0.99988140000000003</v>
      </c>
      <c r="P8508">
        <v>-2.7791860000000002E-2</v>
      </c>
      <c r="Q8508">
        <v>4.5678410000000003E-2</v>
      </c>
      <c r="R8508">
        <v>0.9985695</v>
      </c>
      <c r="S8508">
        <v>-5.2719120000000001E-2</v>
      </c>
      <c r="T8508">
        <v>-1.272905E-2</v>
      </c>
      <c r="U8508">
        <v>3.0033259999999999</v>
      </c>
      <c r="V8508">
        <v>-1.6691370000000001E-2</v>
      </c>
      <c r="W8508">
        <v>5.6330720000000001E-2</v>
      </c>
      <c r="X8508">
        <v>0.99827270000000001</v>
      </c>
      <c r="Y8508">
        <v>-6.4387460000000004E-3</v>
      </c>
      <c r="Z8508">
        <v>-4.2375169999999997E-3</v>
      </c>
      <c r="AA8508">
        <v>0.99997029999999998</v>
      </c>
      <c r="AB8508">
        <v>21</v>
      </c>
      <c r="AC8508">
        <v>-4.59469999999998</v>
      </c>
      <c r="AD8508">
        <v>-1.110010661472</v>
      </c>
      <c r="AE8508">
        <v>261.67815000000002</v>
      </c>
      <c r="AF8508">
        <v>-1.6864608681142099</v>
      </c>
      <c r="AG8508">
        <v>-1.110010661472</v>
      </c>
      <c r="AH8508">
        <v>261.70834362779601</v>
      </c>
      <c r="AI8508">
        <v>90.243008012037194</v>
      </c>
      <c r="AJ8508">
        <v>90.369211585870502</v>
      </c>
      <c r="AK8508">
        <v>261.716131329983</v>
      </c>
      <c r="AL8508">
        <v>86.7707783671203</v>
      </c>
      <c r="AM8508">
        <v>90.957910548355201</v>
      </c>
      <c r="AN8508">
        <v>1.00000006770674</v>
      </c>
    </row>
    <row r="8509" spans="1:40" x14ac:dyDescent="0.25">
      <c r="A8509" t="str">
        <f>"20190312160534905"</f>
        <v>20190312160534905</v>
      </c>
      <c r="B8509" t="str">
        <f>"1552377934894004"</f>
        <v>1552377934894004</v>
      </c>
      <c r="C8509" t="s">
        <v>40</v>
      </c>
      <c r="D8509">
        <v>5.071307</v>
      </c>
      <c r="E8509">
        <v>0.50256160000000005</v>
      </c>
      <c r="F8509" t="s">
        <v>52</v>
      </c>
      <c r="G8509">
        <v>-193.9264</v>
      </c>
      <c r="H8509">
        <v>0.1223059</v>
      </c>
      <c r="I8509">
        <v>391.87</v>
      </c>
      <c r="J8509">
        <v>-187.68539999999999</v>
      </c>
      <c r="K8509">
        <v>1.1100080000000001</v>
      </c>
      <c r="L8509">
        <v>56.89508</v>
      </c>
      <c r="M8509">
        <v>-1.111214E-2</v>
      </c>
      <c r="N8509">
        <v>0</v>
      </c>
      <c r="O8509">
        <v>0.99988129999999997</v>
      </c>
      <c r="P8509">
        <v>-2.834455E-2</v>
      </c>
      <c r="Q8509">
        <v>4.5711880000000003E-2</v>
      </c>
      <c r="R8509">
        <v>0.99855240000000001</v>
      </c>
      <c r="S8509">
        <v>-5.5938719999999997E-2</v>
      </c>
      <c r="T8509">
        <v>-8.84974E-3</v>
      </c>
      <c r="U8509">
        <v>3.0031430000000001</v>
      </c>
      <c r="V8509">
        <v>-1.7243979999999999E-2</v>
      </c>
      <c r="W8509">
        <v>5.6371659999999997E-2</v>
      </c>
      <c r="X8509">
        <v>0.99826090000000001</v>
      </c>
      <c r="Y8509">
        <v>-7.5114229999999997E-3</v>
      </c>
      <c r="Z8509">
        <v>-2.9462440000000002E-3</v>
      </c>
      <c r="AA8509">
        <v>0.99996750000000001</v>
      </c>
      <c r="AB8509">
        <v>21</v>
      </c>
      <c r="AC8509">
        <v>-6.2410000000000103</v>
      </c>
      <c r="AD8509">
        <v>-0.98770210000000003</v>
      </c>
      <c r="AE8509">
        <v>334.97492</v>
      </c>
      <c r="AF8509">
        <v>-2.5180925192566201</v>
      </c>
      <c r="AG8509">
        <v>-0.98770210000000003</v>
      </c>
      <c r="AH8509">
        <v>335.020678816442</v>
      </c>
      <c r="AI8509">
        <v>90.168913153500796</v>
      </c>
      <c r="AJ8509">
        <v>90.430640154755494</v>
      </c>
      <c r="AK8509">
        <v>335.03159788295102</v>
      </c>
      <c r="AL8509">
        <v>86.768428634219305</v>
      </c>
      <c r="AM8509">
        <v>90.989630088191404</v>
      </c>
      <c r="AN8509">
        <v>0.99999997168310195</v>
      </c>
    </row>
    <row r="8510" spans="1:40" x14ac:dyDescent="0.25">
      <c r="A8510" t="str">
        <f>"20190312160534919"</f>
        <v>20190312160534919</v>
      </c>
      <c r="B8510" t="str">
        <f>"1552377934913525"</f>
        <v>1552377934913525</v>
      </c>
      <c r="C8510" t="s">
        <v>40</v>
      </c>
      <c r="D8510">
        <v>5.0038910000000003</v>
      </c>
      <c r="E8510">
        <v>0.50260179999999999</v>
      </c>
      <c r="F8510" t="s">
        <v>52</v>
      </c>
      <c r="G8510">
        <v>-194.32339999999999</v>
      </c>
      <c r="H8510">
        <v>0.26121430000000001</v>
      </c>
      <c r="I8510">
        <v>391.87</v>
      </c>
      <c r="J8510">
        <v>-187.68690000000001</v>
      </c>
      <c r="K8510">
        <v>1.1100030000000001</v>
      </c>
      <c r="L8510">
        <v>57.033999999999999</v>
      </c>
      <c r="M8510">
        <v>-1.1112250000000001E-2</v>
      </c>
      <c r="N8510">
        <v>0</v>
      </c>
      <c r="O8510">
        <v>0.99988120000000003</v>
      </c>
      <c r="P8510">
        <v>-2.839991E-2</v>
      </c>
      <c r="Q8510">
        <v>4.5741009999999999E-2</v>
      </c>
      <c r="R8510">
        <v>0.99854949999999998</v>
      </c>
      <c r="S8510">
        <v>-5.9509279999999998E-2</v>
      </c>
      <c r="T8510">
        <v>-7.6093669999999997E-3</v>
      </c>
      <c r="U8510">
        <v>3.0030209999999999</v>
      </c>
      <c r="V8510">
        <v>-1.7299160000000001E-2</v>
      </c>
      <c r="W8510">
        <v>5.6405459999999998E-2</v>
      </c>
      <c r="X8510">
        <v>0.99825810000000004</v>
      </c>
      <c r="Y8510">
        <v>-8.7005910000000006E-3</v>
      </c>
      <c r="Z8510">
        <v>-2.5333650000000001E-3</v>
      </c>
      <c r="AA8510">
        <v>0.99995889999999998</v>
      </c>
      <c r="AB8510">
        <v>21</v>
      </c>
      <c r="AC8510">
        <v>-6.6364999999999803</v>
      </c>
      <c r="AD8510">
        <v>-0.84878869999999995</v>
      </c>
      <c r="AE8510">
        <v>334.83600000000001</v>
      </c>
      <c r="AF8510">
        <v>-2.9150778346393702</v>
      </c>
      <c r="AG8510">
        <v>-0.84878869999999995</v>
      </c>
      <c r="AH8510">
        <v>334.88692342167701</v>
      </c>
      <c r="AI8510">
        <v>90.145213384983407</v>
      </c>
      <c r="AJ8510">
        <v>90.498727859802401</v>
      </c>
      <c r="AK8510">
        <v>334.900686174089</v>
      </c>
      <c r="AL8510">
        <v>86.7664891572702</v>
      </c>
      <c r="AM8510">
        <v>90.992799013535105</v>
      </c>
      <c r="AN8510">
        <v>1.00000003553506</v>
      </c>
    </row>
    <row r="8511" spans="1:40" x14ac:dyDescent="0.25">
      <c r="A8511" t="str">
        <f>"20190312160534938"</f>
        <v>20190312160534938</v>
      </c>
      <c r="B8511" t="str">
        <f>"1552377934934020"</f>
        <v>1552377934934020</v>
      </c>
      <c r="C8511" t="s">
        <v>40</v>
      </c>
      <c r="D8511">
        <v>4.9991940000000001</v>
      </c>
      <c r="E8511">
        <v>0.50278979999999995</v>
      </c>
      <c r="F8511" t="s">
        <v>52</v>
      </c>
      <c r="G8511">
        <v>-194.29839999999999</v>
      </c>
      <c r="H8511">
        <v>0.283255599999999</v>
      </c>
      <c r="I8511">
        <v>391.87</v>
      </c>
      <c r="J8511">
        <v>-187.68889999999999</v>
      </c>
      <c r="K8511">
        <v>1.110001</v>
      </c>
      <c r="L8511">
        <v>57.213470000000001</v>
      </c>
      <c r="M8511">
        <v>-1.111239E-2</v>
      </c>
      <c r="N8511">
        <v>0</v>
      </c>
      <c r="O8511">
        <v>0.99988109999999997</v>
      </c>
      <c r="P8511">
        <v>-2.892225E-2</v>
      </c>
      <c r="Q8511">
        <v>4.6061579999999998E-2</v>
      </c>
      <c r="R8511">
        <v>0.99851979999999996</v>
      </c>
      <c r="S8511">
        <v>-5.9295649999999998E-2</v>
      </c>
      <c r="T8511">
        <v>-7.4148180000000001E-3</v>
      </c>
      <c r="U8511">
        <v>3.0030209999999999</v>
      </c>
      <c r="V8511">
        <v>-1.7821480000000001E-2</v>
      </c>
      <c r="W8511">
        <v>5.67311E-2</v>
      </c>
      <c r="X8511">
        <v>0.99823039999999996</v>
      </c>
      <c r="Y8511">
        <v>-8.6293450000000001E-3</v>
      </c>
      <c r="Z8511">
        <v>-2.468596E-3</v>
      </c>
      <c r="AA8511">
        <v>0.99995970000000001</v>
      </c>
      <c r="AB8511">
        <v>22</v>
      </c>
      <c r="AC8511">
        <v>-6.6094999999999899</v>
      </c>
      <c r="AD8511">
        <v>-0.82674539999999996</v>
      </c>
      <c r="AE8511">
        <v>334.65652999999998</v>
      </c>
      <c r="AF8511">
        <v>-2.89002779377316</v>
      </c>
      <c r="AG8511">
        <v>-0.82674539999999996</v>
      </c>
      <c r="AH8511">
        <v>334.70727404381</v>
      </c>
      <c r="AI8511">
        <v>90.141518167703794</v>
      </c>
      <c r="AJ8511">
        <v>90.494707743793995</v>
      </c>
      <c r="AK8511">
        <v>334.72077178813299</v>
      </c>
      <c r="AL8511">
        <v>86.747801246159099</v>
      </c>
      <c r="AM8511">
        <v>91.022797065755597</v>
      </c>
      <c r="AN8511">
        <v>0.99999997717037903</v>
      </c>
    </row>
    <row r="8512" spans="1:40" x14ac:dyDescent="0.25">
      <c r="A8512" t="str">
        <f>"20190312160534952"</f>
        <v>20190312160534952</v>
      </c>
      <c r="B8512" t="str">
        <f>"1552377934943780"</f>
        <v>1552377934943780</v>
      </c>
      <c r="C8512" t="s">
        <v>40</v>
      </c>
      <c r="D8512">
        <v>4.9873799999999999</v>
      </c>
      <c r="E8512">
        <v>0.50278979999999995</v>
      </c>
      <c r="F8512" t="s">
        <v>52</v>
      </c>
      <c r="G8512">
        <v>-194.29339999999999</v>
      </c>
      <c r="H8512">
        <v>0.32331850000000001</v>
      </c>
      <c r="I8512">
        <v>391.87</v>
      </c>
      <c r="J8512">
        <v>-187.69040000000001</v>
      </c>
      <c r="K8512">
        <v>1.110001</v>
      </c>
      <c r="L8512">
        <v>57.348820000000003</v>
      </c>
      <c r="M8512">
        <v>-1.1112500000000001E-2</v>
      </c>
      <c r="N8512">
        <v>0</v>
      </c>
      <c r="O8512">
        <v>0.99988109999999997</v>
      </c>
      <c r="P8512">
        <v>-2.897953E-2</v>
      </c>
      <c r="Q8512">
        <v>4.6047890000000001E-2</v>
      </c>
      <c r="R8512">
        <v>0.99851880000000004</v>
      </c>
      <c r="S8512">
        <v>-5.9265140000000001E-2</v>
      </c>
      <c r="T8512">
        <v>-7.0593359999999898E-3</v>
      </c>
      <c r="U8512">
        <v>3.0030519999999998</v>
      </c>
      <c r="V8512">
        <v>-1.787909E-2</v>
      </c>
      <c r="W8512">
        <v>5.6721580000000001E-2</v>
      </c>
      <c r="X8512">
        <v>0.9982299</v>
      </c>
      <c r="Y8512">
        <v>-8.6188859999999992E-3</v>
      </c>
      <c r="Z8512">
        <v>-2.3502240000000001E-3</v>
      </c>
      <c r="AA8512">
        <v>0.99996010000000002</v>
      </c>
      <c r="AB8512">
        <v>22</v>
      </c>
      <c r="AC8512">
        <v>-6.6029999999999802</v>
      </c>
      <c r="AD8512">
        <v>-0.78668249999999995</v>
      </c>
      <c r="AE8512">
        <v>334.52117999999899</v>
      </c>
      <c r="AF8512">
        <v>-2.8849972223789502</v>
      </c>
      <c r="AG8512">
        <v>-0.78668249999999995</v>
      </c>
      <c r="AH8512">
        <v>334.57205283790699</v>
      </c>
      <c r="AI8512">
        <v>90.134714863341699</v>
      </c>
      <c r="AJ8512">
        <v>90.494046249836799</v>
      </c>
      <c r="AK8512">
        <v>334.58541602780599</v>
      </c>
      <c r="AL8512">
        <v>86.748347546582295</v>
      </c>
      <c r="AM8512">
        <v>91.026103183920398</v>
      </c>
      <c r="AN8512">
        <v>0.99999996637546595</v>
      </c>
    </row>
    <row r="8513" spans="1:40" x14ac:dyDescent="0.25">
      <c r="A8513" t="str">
        <f>"20190312160534973"</f>
        <v>20190312160534973</v>
      </c>
      <c r="B8513" t="str">
        <f>"1552377934963304"</f>
        <v>1552377934963304</v>
      </c>
      <c r="C8513" t="s">
        <v>40</v>
      </c>
      <c r="D8513">
        <v>5.0104319999999998</v>
      </c>
      <c r="E8513">
        <v>0.50302519999999995</v>
      </c>
      <c r="F8513" t="s">
        <v>52</v>
      </c>
      <c r="G8513">
        <v>-194.3194</v>
      </c>
      <c r="H8513">
        <v>0.31918809999999997</v>
      </c>
      <c r="I8513">
        <v>391.87</v>
      </c>
      <c r="J8513">
        <v>-187.6926</v>
      </c>
      <c r="K8513">
        <v>1.1100000000000001</v>
      </c>
      <c r="L8513">
        <v>57.546480000000003</v>
      </c>
      <c r="M8513">
        <v>-1.111265E-2</v>
      </c>
      <c r="N8513">
        <v>0</v>
      </c>
      <c r="O8513">
        <v>0.99988109999999997</v>
      </c>
      <c r="P8513">
        <v>-2.9273520000000001E-2</v>
      </c>
      <c r="Q8513">
        <v>4.6389189999999997E-2</v>
      </c>
      <c r="R8513">
        <v>0.9984944</v>
      </c>
      <c r="S8513">
        <v>-5.9509279999999998E-2</v>
      </c>
      <c r="T8513">
        <v>-7.0992709999999999E-3</v>
      </c>
      <c r="U8513">
        <v>3.0030519999999998</v>
      </c>
      <c r="V8513">
        <v>-1.8173370000000001E-2</v>
      </c>
      <c r="W8513">
        <v>5.7067680000000003E-2</v>
      </c>
      <c r="X8513">
        <v>0.99820489999999995</v>
      </c>
      <c r="Y8513">
        <v>-8.6999969999999992E-3</v>
      </c>
      <c r="Z8513">
        <v>-2.3635169999999999E-3</v>
      </c>
      <c r="AA8513">
        <v>0.9999593</v>
      </c>
      <c r="AB8513">
        <v>22</v>
      </c>
      <c r="AC8513">
        <v>-6.6268000000000002</v>
      </c>
      <c r="AD8513">
        <v>-0.79081190000000001</v>
      </c>
      <c r="AE8513">
        <v>334.32351999999997</v>
      </c>
      <c r="AF8513">
        <v>-2.9109418867125498</v>
      </c>
      <c r="AG8513">
        <v>-0.79081190000000001</v>
      </c>
      <c r="AH8513">
        <v>334.37464940442698</v>
      </c>
      <c r="AI8513">
        <v>90.135501847950906</v>
      </c>
      <c r="AJ8513">
        <v>90.4987832408343</v>
      </c>
      <c r="AK8513">
        <v>334.38825507254597</v>
      </c>
      <c r="AL8513">
        <v>86.728485436258595</v>
      </c>
      <c r="AM8513">
        <v>91.043014693911303</v>
      </c>
      <c r="AN8513">
        <v>1.0000000069308701</v>
      </c>
    </row>
    <row r="8514" spans="1:40" x14ac:dyDescent="0.25">
      <c r="A8514" t="str">
        <f>"20190312160534995"</f>
        <v>20190312160534995</v>
      </c>
      <c r="B8514" t="str">
        <f>"1552377934983797"</f>
        <v>1552377934983797</v>
      </c>
      <c r="C8514" t="s">
        <v>40</v>
      </c>
      <c r="D8514">
        <v>4.9961159999999998</v>
      </c>
      <c r="E8514">
        <v>0.50317590000000001</v>
      </c>
      <c r="F8514" t="s">
        <v>52</v>
      </c>
      <c r="G8514">
        <v>-194.2055</v>
      </c>
      <c r="H8514">
        <v>0.34935759999999899</v>
      </c>
      <c r="I8514">
        <v>391.87</v>
      </c>
      <c r="J8514">
        <v>-187.6951</v>
      </c>
      <c r="K8514">
        <v>1.1100080000000001</v>
      </c>
      <c r="L8514">
        <v>57.765169999999998</v>
      </c>
      <c r="M8514">
        <v>-1.1112820000000001E-2</v>
      </c>
      <c r="N8514">
        <v>0</v>
      </c>
      <c r="O8514">
        <v>0.99988100000000002</v>
      </c>
      <c r="P8514">
        <v>-2.9703400000000001E-2</v>
      </c>
      <c r="Q8514">
        <v>4.64836E-2</v>
      </c>
      <c r="R8514">
        <v>0.99847730000000001</v>
      </c>
      <c r="S8514">
        <v>-5.85021999999999E-2</v>
      </c>
      <c r="T8514">
        <v>-6.8326000000000003E-3</v>
      </c>
      <c r="U8514">
        <v>3.0031129999999999</v>
      </c>
      <c r="V8514">
        <v>-1.86026E-2</v>
      </c>
      <c r="W8514">
        <v>5.7167170000000003E-2</v>
      </c>
      <c r="X8514">
        <v>0.9981913</v>
      </c>
      <c r="Y8514">
        <v>-8.3642200000000003E-3</v>
      </c>
      <c r="Z8514">
        <v>-2.2747010000000001E-3</v>
      </c>
      <c r="AA8514">
        <v>0.99996240000000003</v>
      </c>
      <c r="AB8514">
        <v>22</v>
      </c>
      <c r="AC8514">
        <v>-6.5103999999999997</v>
      </c>
      <c r="AD8514">
        <v>-0.76065039999999995</v>
      </c>
      <c r="AE8514">
        <v>334.10482999999999</v>
      </c>
      <c r="AF8514">
        <v>-2.7969240505681801</v>
      </c>
      <c r="AG8514">
        <v>-0.76065039999999995</v>
      </c>
      <c r="AH8514">
        <v>334.15481858604898</v>
      </c>
      <c r="AI8514">
        <v>90.130419953051401</v>
      </c>
      <c r="AJ8514">
        <v>90.479562743314801</v>
      </c>
      <c r="AK8514">
        <v>334.16738942848798</v>
      </c>
      <c r="AL8514">
        <v>86.722775757277304</v>
      </c>
      <c r="AM8514">
        <v>91.067658172810695</v>
      </c>
      <c r="AN8514">
        <v>1.0000000067241199</v>
      </c>
    </row>
    <row r="8515" spans="1:40" x14ac:dyDescent="0.25">
      <c r="A8515" t="str">
        <f>"20190312160535009"</f>
        <v>20190312160535009</v>
      </c>
      <c r="B8515" t="str">
        <f>"1552377935003316"</f>
        <v>1552377935003316</v>
      </c>
      <c r="C8515" t="s">
        <v>40</v>
      </c>
      <c r="D8515">
        <v>5.0015999999999998</v>
      </c>
      <c r="E8515">
        <v>0.50346990000000003</v>
      </c>
      <c r="F8515" t="s">
        <v>52</v>
      </c>
      <c r="G8515">
        <v>-194.20689999999999</v>
      </c>
      <c r="H8515">
        <v>0.32237149999999998</v>
      </c>
      <c r="I8515">
        <v>391.87</v>
      </c>
      <c r="J8515">
        <v>-187.69659999999999</v>
      </c>
      <c r="K8515">
        <v>1.110007</v>
      </c>
      <c r="L8515">
        <v>57.900759999999998</v>
      </c>
      <c r="M8515">
        <v>-1.111293E-2</v>
      </c>
      <c r="N8515">
        <v>0</v>
      </c>
      <c r="O8515">
        <v>0.99988100000000002</v>
      </c>
      <c r="P8515">
        <v>-2.9847350000000002E-2</v>
      </c>
      <c r="Q8515">
        <v>4.6688210000000001E-2</v>
      </c>
      <c r="R8515">
        <v>0.99846349999999995</v>
      </c>
      <c r="S8515">
        <v>-5.8532710000000002E-2</v>
      </c>
      <c r="T8515">
        <v>-7.0798399999999996E-3</v>
      </c>
      <c r="U8515">
        <v>3.003174</v>
      </c>
      <c r="V8515">
        <v>-1.8747070000000001E-2</v>
      </c>
      <c r="W8515">
        <v>5.7374729999999999E-2</v>
      </c>
      <c r="X8515">
        <v>0.99817670000000003</v>
      </c>
      <c r="Y8515">
        <v>-8.3738700000000003E-3</v>
      </c>
      <c r="Z8515">
        <v>-2.3569630000000001E-3</v>
      </c>
      <c r="AA8515">
        <v>0.99996220000000002</v>
      </c>
      <c r="AB8515">
        <v>22</v>
      </c>
      <c r="AC8515">
        <v>-6.5103</v>
      </c>
      <c r="AD8515">
        <v>-0.78763549999999904</v>
      </c>
      <c r="AE8515">
        <v>333.96924000000001</v>
      </c>
      <c r="AF8515">
        <v>-2.7982931214375002</v>
      </c>
      <c r="AG8515">
        <v>-0.78763549999999904</v>
      </c>
      <c r="AH8515">
        <v>334.01911037972002</v>
      </c>
      <c r="AI8515">
        <v>90.135101619433499</v>
      </c>
      <c r="AJ8515">
        <v>90.479992401481695</v>
      </c>
      <c r="AK8515">
        <v>334.03176033565097</v>
      </c>
      <c r="AL8515">
        <v>86.710863932347095</v>
      </c>
      <c r="AM8515">
        <v>91.075963525089307</v>
      </c>
      <c r="AN8515">
        <v>1.0000000183495199</v>
      </c>
    </row>
    <row r="8516" spans="1:40" x14ac:dyDescent="0.25">
      <c r="A8516" t="str">
        <f>"20190312160535027"</f>
        <v>20190312160535027</v>
      </c>
      <c r="B8516" t="str">
        <f>"1552377935023812"</f>
        <v>1552377935023812</v>
      </c>
      <c r="C8516" t="s">
        <v>40</v>
      </c>
      <c r="D8516">
        <v>4.9380620000000004</v>
      </c>
      <c r="E8516">
        <v>0.50368539999999995</v>
      </c>
      <c r="F8516" t="s">
        <v>52</v>
      </c>
      <c r="G8516">
        <v>-193.99180000000001</v>
      </c>
      <c r="H8516">
        <v>0.32599070000000002</v>
      </c>
      <c r="I8516">
        <v>391.87</v>
      </c>
      <c r="J8516">
        <v>-187.6985</v>
      </c>
      <c r="K8516">
        <v>1.1100080000000001</v>
      </c>
      <c r="L8516">
        <v>58.074370000000002</v>
      </c>
      <c r="M8516">
        <v>-1.1113059999999999E-2</v>
      </c>
      <c r="N8516">
        <v>0</v>
      </c>
      <c r="O8516">
        <v>0.99988089999999996</v>
      </c>
      <c r="P8516">
        <v>-3.0057420000000001E-2</v>
      </c>
      <c r="Q8516">
        <v>4.6435339999999999E-2</v>
      </c>
      <c r="R8516">
        <v>0.99846900000000005</v>
      </c>
      <c r="S8516">
        <v>-5.6610109999999998E-2</v>
      </c>
      <c r="T8516">
        <v>-7.0503950000000001E-3</v>
      </c>
      <c r="U8516">
        <v>3.0032649999999999</v>
      </c>
      <c r="V8516">
        <v>-1.8956770000000001E-2</v>
      </c>
      <c r="W8516">
        <v>5.7125750000000003E-2</v>
      </c>
      <c r="X8516">
        <v>0.99818700000000005</v>
      </c>
      <c r="Y8516">
        <v>-7.7332310000000001E-3</v>
      </c>
      <c r="Z8516">
        <v>-2.347109E-3</v>
      </c>
      <c r="AA8516">
        <v>0.9999673</v>
      </c>
      <c r="AB8516">
        <v>22</v>
      </c>
      <c r="AC8516">
        <v>-6.2933000000000101</v>
      </c>
      <c r="AD8516">
        <v>-0.78401729999999903</v>
      </c>
      <c r="AE8516">
        <v>333.79562999999899</v>
      </c>
      <c r="AF8516">
        <v>-2.5831934908111598</v>
      </c>
      <c r="AG8516">
        <v>-0.78401729999999903</v>
      </c>
      <c r="AH8516">
        <v>333.84311583031302</v>
      </c>
      <c r="AI8516">
        <v>90.134552587553699</v>
      </c>
      <c r="AJ8516">
        <v>90.443331385116593</v>
      </c>
      <c r="AK8516">
        <v>333.85403031718698</v>
      </c>
      <c r="AL8516">
        <v>86.725152806763901</v>
      </c>
      <c r="AM8516">
        <v>91.087984880867893</v>
      </c>
      <c r="AN8516">
        <v>0.99999999870544698</v>
      </c>
    </row>
    <row r="8517" spans="1:40" x14ac:dyDescent="0.25">
      <c r="A8517" t="str">
        <f>"20190312160535051"</f>
        <v>20190312160535051</v>
      </c>
      <c r="B8517" t="str">
        <f>"1552377935043333"</f>
        <v>1552377935043333</v>
      </c>
      <c r="C8517" t="s">
        <v>40</v>
      </c>
      <c r="D8517">
        <v>5.0046790000000003</v>
      </c>
      <c r="E8517">
        <v>0.50373389999999996</v>
      </c>
      <c r="F8517" t="s">
        <v>52</v>
      </c>
      <c r="G8517">
        <v>-193.84620000000001</v>
      </c>
      <c r="H8517">
        <v>0.20477580000000001</v>
      </c>
      <c r="I8517">
        <v>391.87</v>
      </c>
      <c r="J8517">
        <v>-187.7011</v>
      </c>
      <c r="K8517">
        <v>1.1100110000000001</v>
      </c>
      <c r="L8517">
        <v>58.304569999999998</v>
      </c>
      <c r="M8517">
        <v>-1.1111340000000001E-2</v>
      </c>
      <c r="N8517">
        <v>0</v>
      </c>
      <c r="O8517">
        <v>0.99988089999999996</v>
      </c>
      <c r="P8517">
        <v>-3.0583849999999999E-2</v>
      </c>
      <c r="Q8517">
        <v>4.6703809999999998E-2</v>
      </c>
      <c r="R8517">
        <v>0.99844049999999995</v>
      </c>
      <c r="S8517">
        <v>-5.5313109999999999E-2</v>
      </c>
      <c r="T8517">
        <v>-8.1448549999999995E-3</v>
      </c>
      <c r="U8517">
        <v>3.0033259999999999</v>
      </c>
      <c r="V8517">
        <v>-1.9484789999999998E-2</v>
      </c>
      <c r="W8517">
        <v>5.7398060000000001E-2</v>
      </c>
      <c r="X8517">
        <v>0.99816119999999997</v>
      </c>
      <c r="Y8517">
        <v>-7.3028659999999999E-3</v>
      </c>
      <c r="Z8517">
        <v>-2.7114180000000002E-3</v>
      </c>
      <c r="AA8517">
        <v>0.99996969999999996</v>
      </c>
      <c r="AB8517">
        <v>22</v>
      </c>
      <c r="AC8517">
        <v>-6.14510000000001</v>
      </c>
      <c r="AD8517">
        <v>-0.90523520000000002</v>
      </c>
      <c r="AE8517">
        <v>333.56542999999999</v>
      </c>
      <c r="AF8517">
        <v>-2.4381311244082902</v>
      </c>
      <c r="AG8517">
        <v>-0.90523520000000002</v>
      </c>
      <c r="AH8517">
        <v>333.61066376583199</v>
      </c>
      <c r="AI8517">
        <v>90.155464587046097</v>
      </c>
      <c r="AJ8517">
        <v>90.418728030854894</v>
      </c>
      <c r="AK8517">
        <v>333.62080107874903</v>
      </c>
      <c r="AL8517">
        <v>86.709524914590702</v>
      </c>
      <c r="AM8517">
        <v>91.118310810448406</v>
      </c>
      <c r="AN8517">
        <v>0.99999998775927301</v>
      </c>
    </row>
    <row r="8518" spans="1:40" x14ac:dyDescent="0.25">
      <c r="A8518" t="str">
        <f>"20190312160535075"</f>
        <v>20190312160535075</v>
      </c>
      <c r="B8518" t="str">
        <f>"1552377935063828"</f>
        <v>1552377935063828</v>
      </c>
      <c r="C8518" t="s">
        <v>40</v>
      </c>
      <c r="D8518">
        <v>5.0079929999999999</v>
      </c>
      <c r="E8518">
        <v>0.50389099999999998</v>
      </c>
      <c r="F8518" t="s">
        <v>52</v>
      </c>
      <c r="G8518">
        <v>-193.96299999999999</v>
      </c>
      <c r="H8518">
        <v>0.1187811</v>
      </c>
      <c r="I8518">
        <v>391.87</v>
      </c>
      <c r="J8518">
        <v>-187.70359999999999</v>
      </c>
      <c r="K8518">
        <v>1.110007</v>
      </c>
      <c r="L8518">
        <v>58.534179999999999</v>
      </c>
      <c r="M8518">
        <v>-1.110359E-2</v>
      </c>
      <c r="N8518">
        <v>0</v>
      </c>
      <c r="O8518">
        <v>0.99988100000000002</v>
      </c>
      <c r="P8518">
        <v>-3.0773350000000001E-2</v>
      </c>
      <c r="Q8518">
        <v>4.6824409999999997E-2</v>
      </c>
      <c r="R8518">
        <v>0.99842900000000001</v>
      </c>
      <c r="S8518">
        <v>-5.6381229999999997E-2</v>
      </c>
      <c r="T8518">
        <v>-8.9248419999999901E-3</v>
      </c>
      <c r="U8518">
        <v>3.0033569999999998</v>
      </c>
      <c r="V8518">
        <v>-1.9682169999999999E-2</v>
      </c>
      <c r="W8518">
        <v>5.7522780000000003E-2</v>
      </c>
      <c r="X8518">
        <v>0.99815019999999999</v>
      </c>
      <c r="Y8518">
        <v>-7.665916E-3</v>
      </c>
      <c r="Z8518">
        <v>-2.971029E-3</v>
      </c>
      <c r="AA8518">
        <v>0.99996620000000003</v>
      </c>
      <c r="AB8518">
        <v>22</v>
      </c>
      <c r="AC8518">
        <v>-6.2593999999999896</v>
      </c>
      <c r="AD8518">
        <v>-0.99122589999999999</v>
      </c>
      <c r="AE8518">
        <v>333.33582000000001</v>
      </c>
      <c r="AF8518">
        <v>-2.5575549225993601</v>
      </c>
      <c r="AG8518">
        <v>-0.99122589999999999</v>
      </c>
      <c r="AH8518">
        <v>333.38182743625299</v>
      </c>
      <c r="AI8518">
        <v>90.170348883666307</v>
      </c>
      <c r="AJ8518">
        <v>90.439538739909196</v>
      </c>
      <c r="AK8518">
        <v>333.39311102766101</v>
      </c>
      <c r="AL8518">
        <v>86.702367330849498</v>
      </c>
      <c r="AM8518">
        <v>91.129648771050299</v>
      </c>
      <c r="AN8518">
        <v>1.00000003989743</v>
      </c>
    </row>
    <row r="8519" spans="1:40" x14ac:dyDescent="0.25">
      <c r="A8519" t="str">
        <f>"20190312160535097"</f>
        <v>20190312160535097</v>
      </c>
      <c r="B8519" t="str">
        <f>"1552377935094084"</f>
        <v>1552377935094084</v>
      </c>
      <c r="C8519" t="s">
        <v>40</v>
      </c>
      <c r="D8519">
        <v>5.011895</v>
      </c>
      <c r="E8519">
        <v>0.50411479999999997</v>
      </c>
      <c r="F8519" t="s">
        <v>50</v>
      </c>
      <c r="G8519">
        <v>-193.60169999999999</v>
      </c>
      <c r="H8519" s="1">
        <v>-1.23282999999999E-5</v>
      </c>
      <c r="I8519">
        <v>378.09390000000002</v>
      </c>
      <c r="J8519">
        <v>-187.70599999999999</v>
      </c>
      <c r="K8519">
        <v>1.1100019999999999</v>
      </c>
      <c r="L8519">
        <v>58.748539999999998</v>
      </c>
      <c r="M8519">
        <v>-1.108722E-2</v>
      </c>
      <c r="N8519">
        <v>0</v>
      </c>
      <c r="O8519">
        <v>0.99988109999999997</v>
      </c>
      <c r="P8519">
        <v>-3.0134439999999998E-2</v>
      </c>
      <c r="Q8519">
        <v>4.6762379999999999E-2</v>
      </c>
      <c r="R8519">
        <v>0.99845139999999999</v>
      </c>
      <c r="S8519">
        <v>-5.5435180000000001E-2</v>
      </c>
      <c r="T8519">
        <v>-1.043296E-2</v>
      </c>
      <c r="U8519">
        <v>3.0035099999999999</v>
      </c>
      <c r="V8519">
        <v>-1.905826E-2</v>
      </c>
      <c r="W8519">
        <v>5.7459940000000001E-2</v>
      </c>
      <c r="X8519">
        <v>0.99816590000000005</v>
      </c>
      <c r="Y8519">
        <v>-7.3664459999999996E-3</v>
      </c>
      <c r="Z8519">
        <v>-3.4729050000000001E-3</v>
      </c>
      <c r="AA8519">
        <v>0.99996689999999999</v>
      </c>
      <c r="AB8519">
        <v>22</v>
      </c>
      <c r="AC8519">
        <v>-5.8956999999999997</v>
      </c>
      <c r="AD8519">
        <v>-1.1100143282999999</v>
      </c>
      <c r="AE8519">
        <v>319.34536000000003</v>
      </c>
      <c r="AF8519">
        <v>-2.3544535234382402</v>
      </c>
      <c r="AG8519">
        <v>-1.1100143282999999</v>
      </c>
      <c r="AH8519">
        <v>319.387242327634</v>
      </c>
      <c r="AI8519">
        <v>90.199122393506798</v>
      </c>
      <c r="AJ8519">
        <v>90.4223644169777</v>
      </c>
      <c r="AK8519">
        <v>319.39784931156601</v>
      </c>
      <c r="AL8519">
        <v>86.705973673654</v>
      </c>
      <c r="AM8519">
        <v>91.093831395760802</v>
      </c>
      <c r="AN8519">
        <v>1.0000000129509199</v>
      </c>
    </row>
    <row r="8520" spans="1:40" x14ac:dyDescent="0.25">
      <c r="A8520" t="str">
        <f>"20190312160535118"</f>
        <v>20190312160535118</v>
      </c>
      <c r="B8520" t="str">
        <f>"1552377935113604"</f>
        <v>1552377935113604</v>
      </c>
      <c r="C8520" t="s">
        <v>40</v>
      </c>
      <c r="D8520">
        <v>5.0198859999999996</v>
      </c>
      <c r="E8520">
        <v>0.50417409999999996</v>
      </c>
      <c r="F8520" t="s">
        <v>41</v>
      </c>
      <c r="G8520">
        <v>-192.33879999999999</v>
      </c>
      <c r="H8520" s="1">
        <v>-3.6543709999999999E-6</v>
      </c>
      <c r="I8520">
        <v>326.65699999999998</v>
      </c>
      <c r="J8520">
        <v>-187.70820000000001</v>
      </c>
      <c r="K8520">
        <v>1.10999</v>
      </c>
      <c r="L8520">
        <v>58.946869999999997</v>
      </c>
      <c r="M8520">
        <v>-1.106185E-2</v>
      </c>
      <c r="N8520">
        <v>0</v>
      </c>
      <c r="O8520">
        <v>0.99988160000000004</v>
      </c>
      <c r="P8520">
        <v>-2.9052959999999999E-2</v>
      </c>
      <c r="Q8520">
        <v>4.6880640000000001E-2</v>
      </c>
      <c r="R8520">
        <v>0.99847790000000003</v>
      </c>
      <c r="S8520">
        <v>-5.1940920000000002E-2</v>
      </c>
      <c r="T8520">
        <v>-1.244485E-2</v>
      </c>
      <c r="U8520">
        <v>3.0036619999999998</v>
      </c>
      <c r="V8520">
        <v>-1.800102E-2</v>
      </c>
      <c r="W8520">
        <v>5.7567060000000003E-2</v>
      </c>
      <c r="X8520">
        <v>0.99817929999999999</v>
      </c>
      <c r="Y8520">
        <v>-6.2279079999999999E-3</v>
      </c>
      <c r="Z8520">
        <v>-4.1424620000000004E-3</v>
      </c>
      <c r="AA8520">
        <v>0.99997199999999997</v>
      </c>
      <c r="AB8520">
        <v>22</v>
      </c>
      <c r="AC8520">
        <v>-4.6305999999999798</v>
      </c>
      <c r="AD8520">
        <v>-1.1099936543709901</v>
      </c>
      <c r="AE8520">
        <v>267.71012999999999</v>
      </c>
      <c r="AF8520">
        <v>-1.66874923058582</v>
      </c>
      <c r="AG8520">
        <v>-1.1099936543709901</v>
      </c>
      <c r="AH8520">
        <v>267.74037298973099</v>
      </c>
      <c r="AI8520">
        <v>90.237529930143594</v>
      </c>
      <c r="AJ8520">
        <v>90.357103595788203</v>
      </c>
      <c r="AK8520">
        <v>267.74787419994101</v>
      </c>
      <c r="AL8520">
        <v>86.699825795583394</v>
      </c>
      <c r="AM8520">
        <v>91.033151745424703</v>
      </c>
      <c r="AN8520">
        <v>0.99999995903328598</v>
      </c>
    </row>
    <row r="8521" spans="1:40" x14ac:dyDescent="0.25">
      <c r="A8521" t="str">
        <f>"20190312160535140"</f>
        <v>20190312160535140</v>
      </c>
      <c r="B8521" t="str">
        <f>"1552377935133239"</f>
        <v>1552377935133239</v>
      </c>
      <c r="C8521" t="s">
        <v>40</v>
      </c>
      <c r="D8521">
        <v>4.9500199999999897</v>
      </c>
      <c r="E8521">
        <v>0.50434670000000004</v>
      </c>
      <c r="F8521" t="s">
        <v>41</v>
      </c>
      <c r="G8521">
        <v>-191.71369999999999</v>
      </c>
      <c r="H8521" s="1">
        <v>-4.4559699999999998E-6</v>
      </c>
      <c r="I8521">
        <v>309.18759999999997</v>
      </c>
      <c r="J8521">
        <v>-187.7105</v>
      </c>
      <c r="K8521">
        <v>1.109982</v>
      </c>
      <c r="L8521">
        <v>59.165680000000002</v>
      </c>
      <c r="M8521">
        <v>-1.102275E-2</v>
      </c>
      <c r="N8521">
        <v>0</v>
      </c>
      <c r="O8521">
        <v>0.99988220000000005</v>
      </c>
      <c r="P8521">
        <v>-2.799074E-2</v>
      </c>
      <c r="Q8521">
        <v>4.7448190000000001E-2</v>
      </c>
      <c r="R8521">
        <v>0.99848150000000002</v>
      </c>
      <c r="S8521">
        <v>-4.8080440000000002E-2</v>
      </c>
      <c r="T8521">
        <v>-1.33239E-2</v>
      </c>
      <c r="U8521">
        <v>3.003784</v>
      </c>
      <c r="V8521">
        <v>-1.6976189999999999E-2</v>
      </c>
      <c r="W8521">
        <v>5.8116399999999999E-2</v>
      </c>
      <c r="X8521">
        <v>0.99816550000000004</v>
      </c>
      <c r="Y8521">
        <v>-4.9814809999999899E-3</v>
      </c>
      <c r="Z8521">
        <v>-4.4349469999999998E-3</v>
      </c>
      <c r="AA8521">
        <v>0.99997780000000003</v>
      </c>
      <c r="AB8521">
        <v>22</v>
      </c>
      <c r="AC8521">
        <v>-4.0031999999999899</v>
      </c>
      <c r="AD8521">
        <v>-1.1099864559699999</v>
      </c>
      <c r="AE8521">
        <v>250.02191999999999</v>
      </c>
      <c r="AF8521">
        <v>-1.2468458624484799</v>
      </c>
      <c r="AG8521">
        <v>-1.1099864559699999</v>
      </c>
      <c r="AH8521">
        <v>250.045930578938</v>
      </c>
      <c r="AI8521">
        <v>90.254338595759194</v>
      </c>
      <c r="AJ8521">
        <v>90.285701164414903</v>
      </c>
      <c r="AK8521">
        <v>250.05150288215501</v>
      </c>
      <c r="AL8521">
        <v>86.668298403025204</v>
      </c>
      <c r="AM8521">
        <v>90.974357733295093</v>
      </c>
      <c r="AN8521">
        <v>1.0000000361830601</v>
      </c>
    </row>
    <row r="8522" spans="1:40" x14ac:dyDescent="0.25">
      <c r="A8522" t="str">
        <f>"20190312160535162"</f>
        <v>20190312160535162</v>
      </c>
      <c r="B8522" t="str">
        <f>"1552377935153735"</f>
        <v>1552377935153735</v>
      </c>
      <c r="C8522" t="s">
        <v>40</v>
      </c>
      <c r="D8522">
        <v>5.0140339999999997</v>
      </c>
      <c r="E8522">
        <v>0.50440759999999996</v>
      </c>
      <c r="F8522" t="s">
        <v>50</v>
      </c>
      <c r="G8522">
        <v>-192.05670000000001</v>
      </c>
      <c r="H8522" s="1">
        <v>-5.4272450000000001E-6</v>
      </c>
      <c r="I8522">
        <v>359.05900000000003</v>
      </c>
      <c r="J8522">
        <v>-187.71299999999999</v>
      </c>
      <c r="K8522">
        <v>1.109977</v>
      </c>
      <c r="L8522">
        <v>59.3870199999999</v>
      </c>
      <c r="M8522">
        <v>-1.097333E-2</v>
      </c>
      <c r="N8522">
        <v>0</v>
      </c>
      <c r="O8522">
        <v>0.99988290000000002</v>
      </c>
      <c r="P8522">
        <v>-2.77757E-2</v>
      </c>
      <c r="Q8522">
        <v>4.8980889999999999E-2</v>
      </c>
      <c r="R8522">
        <v>0.99841340000000001</v>
      </c>
      <c r="S8522">
        <v>-4.3533330000000002E-2</v>
      </c>
      <c r="T8522">
        <v>-1.111817E-2</v>
      </c>
      <c r="U8522">
        <v>3.003876</v>
      </c>
      <c r="V8522">
        <v>-1.6809999999999999E-2</v>
      </c>
      <c r="W8522">
        <v>5.9630589999999997E-2</v>
      </c>
      <c r="X8522">
        <v>0.99807889999999999</v>
      </c>
      <c r="Y8522">
        <v>-3.5170919999999999E-3</v>
      </c>
      <c r="Z8522">
        <v>-3.7007110000000002E-3</v>
      </c>
      <c r="AA8522">
        <v>0.99998690000000001</v>
      </c>
      <c r="AB8522">
        <v>22</v>
      </c>
      <c r="AC8522">
        <v>-4.3437000000000099</v>
      </c>
      <c r="AD8522">
        <v>-1.1099824272450001</v>
      </c>
      <c r="AE8522">
        <v>299.671979999999</v>
      </c>
      <c r="AF8522">
        <v>-1.05483736375544</v>
      </c>
      <c r="AG8522">
        <v>-1.1099824272450001</v>
      </c>
      <c r="AH8522">
        <v>299.69749177072998</v>
      </c>
      <c r="AI8522">
        <v>90.212202722594895</v>
      </c>
      <c r="AJ8522">
        <v>90.201661612484799</v>
      </c>
      <c r="AK8522">
        <v>299.70140359451102</v>
      </c>
      <c r="AL8522">
        <v>86.581390616716007</v>
      </c>
      <c r="AM8522">
        <v>90.964904677606896</v>
      </c>
      <c r="AN8522">
        <v>0.99999993699447698</v>
      </c>
    </row>
    <row r="8523" spans="1:40" x14ac:dyDescent="0.25">
      <c r="A8523" t="str">
        <f>"20190312160535175"</f>
        <v>20190312160535175</v>
      </c>
      <c r="B8523" t="str">
        <f>"1552377935163495"</f>
        <v>1552377935163495</v>
      </c>
      <c r="C8523" t="s">
        <v>40</v>
      </c>
      <c r="D8523">
        <v>5.0465549999999997</v>
      </c>
      <c r="E8523">
        <v>0.50438760000000005</v>
      </c>
      <c r="F8523" t="s">
        <v>52</v>
      </c>
      <c r="G8523">
        <v>-192.42330000000001</v>
      </c>
      <c r="H8523">
        <v>0.33569339999999998</v>
      </c>
      <c r="I8523">
        <v>391.87</v>
      </c>
      <c r="J8523">
        <v>-187.71420000000001</v>
      </c>
      <c r="K8523">
        <v>1.1099749999999999</v>
      </c>
      <c r="L8523">
        <v>59.5045199999999</v>
      </c>
      <c r="M8523">
        <v>-1.094346E-2</v>
      </c>
      <c r="N8523">
        <v>0</v>
      </c>
      <c r="O8523">
        <v>0.99988339999999998</v>
      </c>
      <c r="P8523">
        <v>-2.7592459999999999E-2</v>
      </c>
      <c r="Q8523">
        <v>4.9281129999999999E-2</v>
      </c>
      <c r="R8523">
        <v>0.99840370000000001</v>
      </c>
      <c r="S8523">
        <v>-4.2556759999999999E-2</v>
      </c>
      <c r="T8523">
        <v>-6.9955590000000002E-3</v>
      </c>
      <c r="U8523">
        <v>3.0039370000000001</v>
      </c>
      <c r="V8523">
        <v>-1.6656460000000001E-2</v>
      </c>
      <c r="W8523">
        <v>5.9921410000000001E-2</v>
      </c>
      <c r="X8523">
        <v>0.99806410000000001</v>
      </c>
      <c r="Y8523">
        <v>-3.2217029999999998E-3</v>
      </c>
      <c r="Z8523">
        <v>-2.3284590000000002E-3</v>
      </c>
      <c r="AA8523">
        <v>0.99999210000000005</v>
      </c>
      <c r="AB8523">
        <v>22</v>
      </c>
      <c r="AC8523">
        <v>-4.7091000000000003</v>
      </c>
      <c r="AD8523">
        <v>-0.77428159999999902</v>
      </c>
      <c r="AE8523">
        <v>332.36547999999999</v>
      </c>
      <c r="AF8523">
        <v>-1.07137753356636</v>
      </c>
      <c r="AG8523">
        <v>-0.77428159999999902</v>
      </c>
      <c r="AH8523">
        <v>332.39530841211803</v>
      </c>
      <c r="AI8523">
        <v>90.133463848709397</v>
      </c>
      <c r="AJ8523">
        <v>90.184675285143499</v>
      </c>
      <c r="AK8523">
        <v>332.397936841074</v>
      </c>
      <c r="AL8523">
        <v>86.564698156745393</v>
      </c>
      <c r="AM8523">
        <v>90.9561072025881</v>
      </c>
      <c r="AN8523">
        <v>0.99999998037246396</v>
      </c>
    </row>
    <row r="8524" spans="1:40" x14ac:dyDescent="0.25">
      <c r="A8524" t="str">
        <f>"20190312160535194"</f>
        <v>20190312160535194</v>
      </c>
      <c r="B8524" t="str">
        <f>"1552377935183991"</f>
        <v>1552377935183991</v>
      </c>
      <c r="C8524" t="s">
        <v>40</v>
      </c>
      <c r="D8524">
        <v>4.9685069999999998</v>
      </c>
      <c r="E8524">
        <v>0.50460399999999905</v>
      </c>
      <c r="F8524" t="s">
        <v>52</v>
      </c>
      <c r="G8524">
        <v>-192.38229999999999</v>
      </c>
      <c r="H8524">
        <v>0.4516907</v>
      </c>
      <c r="I8524">
        <v>391.87</v>
      </c>
      <c r="J8524">
        <v>-187.71629999999999</v>
      </c>
      <c r="K8524">
        <v>1.109974</v>
      </c>
      <c r="L8524">
        <v>59.699739999999998</v>
      </c>
      <c r="M8524">
        <v>-1.089002E-2</v>
      </c>
      <c r="N8524">
        <v>0</v>
      </c>
      <c r="O8524">
        <v>0.99988410000000005</v>
      </c>
      <c r="P8524">
        <v>-2.8688129999999999E-2</v>
      </c>
      <c r="Q8524">
        <v>4.915841E-2</v>
      </c>
      <c r="R8524">
        <v>0.99837889999999996</v>
      </c>
      <c r="S8524">
        <v>-4.219055E-2</v>
      </c>
      <c r="T8524">
        <v>-5.9496159999999996E-3</v>
      </c>
      <c r="U8524">
        <v>3.0039370000000001</v>
      </c>
      <c r="V8524">
        <v>-1.7804980000000001E-2</v>
      </c>
      <c r="W8524">
        <v>5.9779569999999997E-2</v>
      </c>
      <c r="X8524">
        <v>0.99805279999999996</v>
      </c>
      <c r="Y8524">
        <v>-3.1532830000000002E-3</v>
      </c>
      <c r="Z8524">
        <v>-1.9803239999999999E-3</v>
      </c>
      <c r="AA8524">
        <v>0.99999309999999997</v>
      </c>
      <c r="AB8524">
        <v>22</v>
      </c>
      <c r="AC8524">
        <v>-4.6659999999999897</v>
      </c>
      <c r="AD8524">
        <v>-0.65828330000000002</v>
      </c>
      <c r="AE8524">
        <v>332.17025999999998</v>
      </c>
      <c r="AF8524">
        <v>-1.04817364543095</v>
      </c>
      <c r="AG8524">
        <v>-0.65828330000000002</v>
      </c>
      <c r="AH8524">
        <v>332.200072016511</v>
      </c>
      <c r="AI8524">
        <v>90.113535850468196</v>
      </c>
      <c r="AJ8524">
        <v>90.180781799411605</v>
      </c>
      <c r="AK8524">
        <v>332.20237785523</v>
      </c>
      <c r="AL8524">
        <v>86.572839662440501</v>
      </c>
      <c r="AM8524">
        <v>91.022032107082694</v>
      </c>
      <c r="AN8524">
        <v>1.00000000294501</v>
      </c>
    </row>
    <row r="8525" spans="1:40" x14ac:dyDescent="0.25">
      <c r="A8525" t="str">
        <f>"20190312160535208"</f>
        <v>20190312160535208</v>
      </c>
      <c r="B8525" t="str">
        <f>"1552377935203512"</f>
        <v>1552377935203512</v>
      </c>
      <c r="C8525" t="s">
        <v>40</v>
      </c>
      <c r="D8525">
        <v>5.0296219999999998</v>
      </c>
      <c r="E8525">
        <v>0.50469600000000003</v>
      </c>
      <c r="F8525" t="s">
        <v>52</v>
      </c>
      <c r="G8525">
        <v>-192.52170000000001</v>
      </c>
      <c r="H8525">
        <v>0.43086619999999998</v>
      </c>
      <c r="I8525">
        <v>391.87</v>
      </c>
      <c r="J8525">
        <v>-187.71770000000001</v>
      </c>
      <c r="K8525">
        <v>1.10997099999999</v>
      </c>
      <c r="L8525">
        <v>59.831049999999998</v>
      </c>
      <c r="M8525">
        <v>-1.0852240000000001E-2</v>
      </c>
      <c r="N8525">
        <v>0</v>
      </c>
      <c r="O8525">
        <v>0.99988469999999996</v>
      </c>
      <c r="P8525">
        <v>-2.915442E-2</v>
      </c>
      <c r="Q8525">
        <v>4.9108100000000002E-2</v>
      </c>
      <c r="R8525">
        <v>0.99836780000000003</v>
      </c>
      <c r="S8525">
        <v>-4.3457030000000001E-2</v>
      </c>
      <c r="T8525">
        <v>-6.1414240000000004E-3</v>
      </c>
      <c r="U8525">
        <v>3.0039370000000001</v>
      </c>
      <c r="V8525">
        <v>-1.8309039999999999E-2</v>
      </c>
      <c r="W8525">
        <v>5.9714839999999998E-2</v>
      </c>
      <c r="X8525">
        <v>0.99804749999999998</v>
      </c>
      <c r="Y8525">
        <v>-3.6125770000000001E-3</v>
      </c>
      <c r="Z8525">
        <v>-2.0441600000000002E-3</v>
      </c>
      <c r="AA8525">
        <v>0.99999139999999997</v>
      </c>
      <c r="AB8525">
        <v>22</v>
      </c>
      <c r="AC8525">
        <v>-4.8040000000000003</v>
      </c>
      <c r="AD8525">
        <v>-0.67910479999999895</v>
      </c>
      <c r="AE8525">
        <v>332.03895</v>
      </c>
      <c r="AF8525">
        <v>-1.2001424043993301</v>
      </c>
      <c r="AG8525">
        <v>-0.67910479999999895</v>
      </c>
      <c r="AH8525">
        <v>332.07014323850098</v>
      </c>
      <c r="AI8525">
        <v>90.117172625485907</v>
      </c>
      <c r="AJ8525">
        <v>90.207073103672002</v>
      </c>
      <c r="AK8525">
        <v>332.07300636389999</v>
      </c>
      <c r="AL8525">
        <v>86.5765548661455</v>
      </c>
      <c r="AM8525">
        <v>91.050965073891206</v>
      </c>
      <c r="AN8525">
        <v>0.99999994765909705</v>
      </c>
    </row>
    <row r="8526" spans="1:40" x14ac:dyDescent="0.25">
      <c r="A8526" t="str">
        <f>"20190312160535239"</f>
        <v>20190312160535239</v>
      </c>
      <c r="B8526" t="str">
        <f>"1552377935233767"</f>
        <v>1552377935233767</v>
      </c>
      <c r="C8526" t="s">
        <v>40</v>
      </c>
      <c r="D8526">
        <v>4.8358629999999998</v>
      </c>
      <c r="E8526">
        <v>0.54237619999999997</v>
      </c>
      <c r="F8526" t="s">
        <v>52</v>
      </c>
      <c r="G8526">
        <v>-192.59379999999999</v>
      </c>
      <c r="H8526">
        <v>0.49676039999999999</v>
      </c>
      <c r="I8526">
        <v>391.87</v>
      </c>
      <c r="J8526">
        <v>-187.7209</v>
      </c>
      <c r="K8526">
        <v>1.109969</v>
      </c>
      <c r="L8526">
        <v>60.141390000000001</v>
      </c>
      <c r="M8526">
        <v>-1.076035E-2</v>
      </c>
      <c r="N8526">
        <v>0</v>
      </c>
      <c r="O8526">
        <v>0.9998861</v>
      </c>
      <c r="P8526">
        <v>-2.8878310000000001E-2</v>
      </c>
      <c r="Q8526">
        <v>4.8775289999999999E-2</v>
      </c>
      <c r="R8526">
        <v>0.99839219999999895</v>
      </c>
      <c r="S8526">
        <v>-4.4113159999999998E-2</v>
      </c>
      <c r="T8526">
        <v>-5.5476429999999997E-3</v>
      </c>
      <c r="U8526">
        <v>3.0039060000000002</v>
      </c>
      <c r="V8526">
        <v>-1.8124790000000002E-2</v>
      </c>
      <c r="W8526">
        <v>5.9345000000000002E-2</v>
      </c>
      <c r="X8526">
        <v>0.99807299999999999</v>
      </c>
      <c r="Y8526">
        <v>-3.9230089999999999E-3</v>
      </c>
      <c r="Z8526">
        <v>-1.84654E-3</v>
      </c>
      <c r="AA8526">
        <v>0.99999059999999995</v>
      </c>
      <c r="AB8526">
        <v>22</v>
      </c>
      <c r="AC8526">
        <v>-4.87289999999998</v>
      </c>
      <c r="AD8526">
        <v>-0.61320859999999899</v>
      </c>
      <c r="AE8526">
        <v>331.72861</v>
      </c>
      <c r="AF8526">
        <v>-1.3028975427673199</v>
      </c>
      <c r="AG8526">
        <v>-0.61320859999999899</v>
      </c>
      <c r="AH8526">
        <v>331.76070632191301</v>
      </c>
      <c r="AI8526">
        <v>90.1059014920274</v>
      </c>
      <c r="AJ8526">
        <v>90.225012019626206</v>
      </c>
      <c r="AK8526">
        <v>331.76383140120703</v>
      </c>
      <c r="AL8526">
        <v>86.597783049795396</v>
      </c>
      <c r="AM8526">
        <v>91.040364621565104</v>
      </c>
      <c r="AN8526">
        <v>1.0000000251832699</v>
      </c>
    </row>
    <row r="8527" spans="1:40" x14ac:dyDescent="0.25">
      <c r="A8527" t="str">
        <f>"20190312160535264"</f>
        <v>20190312160535264</v>
      </c>
      <c r="B8527" t="str">
        <f>"1552377935253287"</f>
        <v>1552377935253287</v>
      </c>
      <c r="C8527" t="s">
        <v>40</v>
      </c>
      <c r="D8527">
        <v>4.8497669999999999</v>
      </c>
      <c r="E8527">
        <v>0.5453249</v>
      </c>
      <c r="F8527" t="s">
        <v>53</v>
      </c>
      <c r="G8527">
        <v>-167.6283</v>
      </c>
      <c r="H8527">
        <v>5.1584500000000002</v>
      </c>
      <c r="I8527">
        <v>297.38529999999997</v>
      </c>
      <c r="J8527">
        <v>-187.7234</v>
      </c>
      <c r="K8527">
        <v>1.1099619999999999</v>
      </c>
      <c r="L8527">
        <v>60.374540000000003</v>
      </c>
      <c r="M8527">
        <v>-1.0693019999999999E-2</v>
      </c>
      <c r="N8527">
        <v>0</v>
      </c>
      <c r="O8527">
        <v>0.99988710000000003</v>
      </c>
      <c r="P8527">
        <v>-2.8589409999999999E-2</v>
      </c>
      <c r="Q8527">
        <v>5.0155579999999998E-2</v>
      </c>
      <c r="R8527">
        <v>0.99833209999999994</v>
      </c>
      <c r="S8527">
        <v>0.25489810000000002</v>
      </c>
      <c r="T8527">
        <v>5.1360490000000002E-2</v>
      </c>
      <c r="U8527">
        <v>3.0097049999999999</v>
      </c>
      <c r="V8527">
        <v>-1.790394E-2</v>
      </c>
      <c r="W8527">
        <v>6.0693440000000001E-2</v>
      </c>
      <c r="X8527">
        <v>0.99799590000000005</v>
      </c>
      <c r="Y8527">
        <v>9.5028409999999994E-2</v>
      </c>
      <c r="Z8527">
        <v>1.6992E-2</v>
      </c>
      <c r="AA8527">
        <v>0.99532960000000004</v>
      </c>
      <c r="AB8527">
        <v>22</v>
      </c>
      <c r="AC8527">
        <v>20.095099999999999</v>
      </c>
      <c r="AD8527">
        <v>4.0484879999999999</v>
      </c>
      <c r="AE8527">
        <v>237.01076</v>
      </c>
      <c r="AF8527">
        <v>22.621899609247102</v>
      </c>
      <c r="AG8527">
        <v>4.0484879999999999</v>
      </c>
      <c r="AH8527">
        <v>236.71374439739799</v>
      </c>
      <c r="AI8527">
        <v>89.0246154703473</v>
      </c>
      <c r="AJ8527">
        <v>84.541022541314604</v>
      </c>
      <c r="AK8527">
        <v>237.826696112218</v>
      </c>
      <c r="AL8527">
        <v>86.520383609583902</v>
      </c>
      <c r="AM8527">
        <v>91.027769923692404</v>
      </c>
      <c r="AN8527">
        <v>1.0000000305716801</v>
      </c>
    </row>
    <row r="8528" spans="1:40" x14ac:dyDescent="0.25">
      <c r="A8528" t="str">
        <f>"20190312160535286"</f>
        <v>20190312160535286</v>
      </c>
      <c r="B8528" t="str">
        <f>"1552377935273783"</f>
        <v>1552377935273783</v>
      </c>
      <c r="C8528" t="s">
        <v>40</v>
      </c>
      <c r="D8528">
        <v>4.8135519999999996</v>
      </c>
      <c r="E8528">
        <v>0.54683060000000006</v>
      </c>
      <c r="F8528" t="s">
        <v>53</v>
      </c>
      <c r="G8528">
        <v>-168.31290000000001</v>
      </c>
      <c r="H8528">
        <v>5.4826069999999998</v>
      </c>
      <c r="I8528">
        <v>269.69009999999997</v>
      </c>
      <c r="J8528">
        <v>-187.72569999999999</v>
      </c>
      <c r="K8528">
        <v>1.1099600000000001</v>
      </c>
      <c r="L8528">
        <v>60.596679999999999</v>
      </c>
      <c r="M8528">
        <v>-1.063187E-2</v>
      </c>
      <c r="N8528">
        <v>0</v>
      </c>
      <c r="O8528">
        <v>0.99988809999999995</v>
      </c>
      <c r="P8528">
        <v>-2.8584600000000002E-2</v>
      </c>
      <c r="Q8528">
        <v>5.0763910000000002E-2</v>
      </c>
      <c r="R8528">
        <v>0.99830149999999995</v>
      </c>
      <c r="S8528">
        <v>0.27911380000000002</v>
      </c>
      <c r="T8528">
        <v>6.2877660000000002E-2</v>
      </c>
      <c r="U8528">
        <v>3.0098569999999998</v>
      </c>
      <c r="V8528">
        <v>-1.7960879999999999E-2</v>
      </c>
      <c r="W8528">
        <v>6.1271720000000002E-2</v>
      </c>
      <c r="X8528">
        <v>0.9979595</v>
      </c>
      <c r="Y8528">
        <v>0.1028989</v>
      </c>
      <c r="Z8528">
        <v>2.0784250000000001E-2</v>
      </c>
      <c r="AA8528">
        <v>0.99447459999999999</v>
      </c>
      <c r="AB8528">
        <v>22</v>
      </c>
      <c r="AC8528">
        <v>19.412799999999901</v>
      </c>
      <c r="AD8528">
        <v>4.3726469999999997</v>
      </c>
      <c r="AE8528">
        <v>209.09342000000001</v>
      </c>
      <c r="AF8528">
        <v>21.625503208932098</v>
      </c>
      <c r="AG8528">
        <v>4.3726469999999997</v>
      </c>
      <c r="AH8528">
        <v>208.78466772013701</v>
      </c>
      <c r="AI8528">
        <v>88.806593494685202</v>
      </c>
      <c r="AJ8528">
        <v>84.086503707633398</v>
      </c>
      <c r="AK8528">
        <v>209.947183610151</v>
      </c>
      <c r="AL8528">
        <v>86.487188683854697</v>
      </c>
      <c r="AM8528">
        <v>91.031075440027394</v>
      </c>
      <c r="AN8528">
        <v>0.99999999026119102</v>
      </c>
    </row>
    <row r="8529" spans="1:40" x14ac:dyDescent="0.25">
      <c r="A8529" t="str">
        <f>"20190312160535306"</f>
        <v>20190312160535306</v>
      </c>
      <c r="B8529" t="str">
        <f>"1552377935293302"</f>
        <v>1552377935293302</v>
      </c>
      <c r="C8529" t="s">
        <v>40</v>
      </c>
      <c r="D8529">
        <v>4.8131370000000002</v>
      </c>
      <c r="E8529">
        <v>0.54833529999999997</v>
      </c>
      <c r="F8529" t="s">
        <v>53</v>
      </c>
      <c r="G8529">
        <v>-167.50749999999999</v>
      </c>
      <c r="H8529">
        <v>5.8717920000000001</v>
      </c>
      <c r="I8529">
        <v>269.69009999999997</v>
      </c>
      <c r="J8529">
        <v>-187.7277</v>
      </c>
      <c r="K8529">
        <v>1.109955</v>
      </c>
      <c r="L8529">
        <v>60.79419</v>
      </c>
      <c r="M8529">
        <v>-1.058016E-2</v>
      </c>
      <c r="N8529">
        <v>0</v>
      </c>
      <c r="O8529">
        <v>0.99988889999999997</v>
      </c>
      <c r="P8529">
        <v>-2.8757970000000001E-2</v>
      </c>
      <c r="Q8529">
        <v>5.0498979999999999E-2</v>
      </c>
      <c r="R8529">
        <v>0.99831000000000003</v>
      </c>
      <c r="S8529">
        <v>0.29104609999999997</v>
      </c>
      <c r="T8529">
        <v>6.8548799999999993E-2</v>
      </c>
      <c r="U8529">
        <v>3.0099490000000002</v>
      </c>
      <c r="V8529">
        <v>-1.818581E-2</v>
      </c>
      <c r="W8529">
        <v>6.098377E-2</v>
      </c>
      <c r="X8529">
        <v>0.99797309999999995</v>
      </c>
      <c r="Y8529">
        <v>0.10674740000000001</v>
      </c>
      <c r="Z8529">
        <v>2.2648419999999999E-2</v>
      </c>
      <c r="AA8529">
        <v>0.99402820000000003</v>
      </c>
      <c r="AB8529">
        <v>22</v>
      </c>
      <c r="AC8529">
        <v>20.220199999999998</v>
      </c>
      <c r="AD8529">
        <v>4.7618369999999999</v>
      </c>
      <c r="AE8529">
        <v>208.89590999999999</v>
      </c>
      <c r="AF8529">
        <v>22.4178014168718</v>
      </c>
      <c r="AG8529">
        <v>4.7618369999999999</v>
      </c>
      <c r="AH8529">
        <v>208.56290344786399</v>
      </c>
      <c r="AI8529">
        <v>88.699557694561094</v>
      </c>
      <c r="AJ8529">
        <v>83.865002829941005</v>
      </c>
      <c r="AK8529">
        <v>209.818296643987</v>
      </c>
      <c r="AL8529">
        <v>86.503718039737805</v>
      </c>
      <c r="AM8529">
        <v>91.043970872419905</v>
      </c>
      <c r="AN8529">
        <v>1.0000000261061801</v>
      </c>
    </row>
    <row r="8530" spans="1:40" x14ac:dyDescent="0.25">
      <c r="A8530" t="str">
        <f>"20190312160535330"</f>
        <v>20190312160535330</v>
      </c>
      <c r="B8530" t="str">
        <f>"1552377935323560"</f>
        <v>1552377935323560</v>
      </c>
      <c r="C8530" t="s">
        <v>40</v>
      </c>
      <c r="D8530">
        <v>4.8167179999999998</v>
      </c>
      <c r="E8530">
        <v>0.54861210000000005</v>
      </c>
      <c r="F8530" t="s">
        <v>53</v>
      </c>
      <c r="G8530">
        <v>-166.7397</v>
      </c>
      <c r="H8530">
        <v>5.9700620000000004</v>
      </c>
      <c r="I8530">
        <v>269.69009999999997</v>
      </c>
      <c r="J8530">
        <v>-187.73009999999999</v>
      </c>
      <c r="K8530">
        <v>1.10995</v>
      </c>
      <c r="L8530">
        <v>61.022060000000003</v>
      </c>
      <c r="M8530">
        <v>-1.0522709999999999E-2</v>
      </c>
      <c r="N8530">
        <v>0</v>
      </c>
      <c r="O8530">
        <v>0.99988980000000005</v>
      </c>
      <c r="P8530">
        <v>-2.9467050000000002E-2</v>
      </c>
      <c r="Q8530">
        <v>5.0006969999999998E-2</v>
      </c>
      <c r="R8530">
        <v>0.99831409999999998</v>
      </c>
      <c r="S8530">
        <v>0.30244450000000001</v>
      </c>
      <c r="T8530">
        <v>7.0036769999999998E-2</v>
      </c>
      <c r="U8530">
        <v>3.0102540000000002</v>
      </c>
      <c r="V8530">
        <v>-1.8952549999999999E-2</v>
      </c>
      <c r="W8530">
        <v>6.0466880000000001E-2</v>
      </c>
      <c r="X8530">
        <v>0.9979903</v>
      </c>
      <c r="Y8530">
        <v>0.1104064</v>
      </c>
      <c r="Z8530">
        <v>2.3128550000000001E-2</v>
      </c>
      <c r="AA8530">
        <v>0.99361739999999998</v>
      </c>
      <c r="AB8530">
        <v>22</v>
      </c>
      <c r="AC8530">
        <v>20.990399999999902</v>
      </c>
      <c r="AD8530">
        <v>4.860112</v>
      </c>
      <c r="AE8530">
        <v>208.66803999999999</v>
      </c>
      <c r="AF8530">
        <v>23.172666714175499</v>
      </c>
      <c r="AG8530">
        <v>4.860112</v>
      </c>
      <c r="AH8530">
        <v>208.323719192802</v>
      </c>
      <c r="AI8530">
        <v>88.671743025561995</v>
      </c>
      <c r="AJ8530">
        <v>83.652856966414006</v>
      </c>
      <c r="AK8530">
        <v>209.664887736645</v>
      </c>
      <c r="AL8530">
        <v>86.533388462046602</v>
      </c>
      <c r="AM8530">
        <v>91.0879570791639</v>
      </c>
      <c r="AN8530">
        <v>1.0000000408112599</v>
      </c>
    </row>
    <row r="8531" spans="1:40" x14ac:dyDescent="0.25">
      <c r="A8531" t="str">
        <f>"20190312160535351"</f>
        <v>20190312160535351</v>
      </c>
      <c r="B8531" t="str">
        <f>"1552377935344056"</f>
        <v>1552377935344056</v>
      </c>
      <c r="C8531" t="s">
        <v>40</v>
      </c>
      <c r="D8531">
        <v>4.8240270000000001</v>
      </c>
      <c r="E8531">
        <v>0.54886380000000001</v>
      </c>
      <c r="F8531" t="s">
        <v>53</v>
      </c>
      <c r="G8531">
        <v>-166.74760000000001</v>
      </c>
      <c r="H8531">
        <v>5.317075</v>
      </c>
      <c r="I8531">
        <v>269.69009999999997</v>
      </c>
      <c r="J8531">
        <v>-187.73230000000001</v>
      </c>
      <c r="K8531">
        <v>1.109947</v>
      </c>
      <c r="L8531">
        <v>61.239170000000001</v>
      </c>
      <c r="M8531">
        <v>-1.0469269999999999E-2</v>
      </c>
      <c r="N8531">
        <v>0</v>
      </c>
      <c r="O8531">
        <v>0.99989059999999996</v>
      </c>
      <c r="P8531">
        <v>-3.0141850000000001E-2</v>
      </c>
      <c r="Q8531">
        <v>4.9432490000000003E-2</v>
      </c>
      <c r="R8531">
        <v>0.9983225</v>
      </c>
      <c r="S8531">
        <v>0.3027649</v>
      </c>
      <c r="T8531">
        <v>6.0707450000000003E-2</v>
      </c>
      <c r="U8531">
        <v>3.0109560000000002</v>
      </c>
      <c r="V8531">
        <v>-1.9680409999999999E-2</v>
      </c>
      <c r="W8531">
        <v>5.9865719999999997E-2</v>
      </c>
      <c r="X8531">
        <v>0.99801240000000002</v>
      </c>
      <c r="Y8531">
        <v>0.1104416</v>
      </c>
      <c r="Z8531">
        <v>2.004425E-2</v>
      </c>
      <c r="AA8531">
        <v>0.99368049999999997</v>
      </c>
      <c r="AB8531">
        <v>22</v>
      </c>
      <c r="AC8531">
        <v>20.9847</v>
      </c>
      <c r="AD8531">
        <v>4.207128</v>
      </c>
      <c r="AE8531">
        <v>208.45093</v>
      </c>
      <c r="AF8531">
        <v>23.1566598927878</v>
      </c>
      <c r="AG8531">
        <v>4.207128</v>
      </c>
      <c r="AH8531">
        <v>208.13586549182401</v>
      </c>
      <c r="AI8531">
        <v>88.849115808854094</v>
      </c>
      <c r="AJ8531">
        <v>83.651527602661503</v>
      </c>
      <c r="AK8531">
        <v>209.462333910967</v>
      </c>
      <c r="AL8531">
        <v>86.567894719251896</v>
      </c>
      <c r="AM8531">
        <v>91.129703704119507</v>
      </c>
      <c r="AN8531">
        <v>0.99999998676132296</v>
      </c>
    </row>
    <row r="8532" spans="1:40" x14ac:dyDescent="0.25">
      <c r="A8532" t="str">
        <f>"20190312160535373"</f>
        <v>20190312160535373</v>
      </c>
      <c r="B8532" t="str">
        <f>"1552377935363580"</f>
        <v>1552377935363580</v>
      </c>
      <c r="C8532" t="s">
        <v>40</v>
      </c>
      <c r="D8532">
        <v>4.8010590000000004</v>
      </c>
      <c r="E8532">
        <v>0.54928589999999999</v>
      </c>
      <c r="F8532" t="s">
        <v>53</v>
      </c>
      <c r="G8532">
        <v>-166.7679</v>
      </c>
      <c r="H8532">
        <v>4.9034050000000002</v>
      </c>
      <c r="I8532">
        <v>269.69009999999997</v>
      </c>
      <c r="J8532">
        <v>-187.7345</v>
      </c>
      <c r="K8532">
        <v>1.1099460000000001</v>
      </c>
      <c r="L8532">
        <v>61.455410000000001</v>
      </c>
      <c r="M8532">
        <v>-1.0416170000000001E-2</v>
      </c>
      <c r="N8532">
        <v>0</v>
      </c>
      <c r="O8532">
        <v>0.99989150000000004</v>
      </c>
      <c r="P8532">
        <v>-3.0468700000000001E-2</v>
      </c>
      <c r="Q8532">
        <v>4.978751E-2</v>
      </c>
      <c r="R8532">
        <v>0.99829489999999999</v>
      </c>
      <c r="S8532">
        <v>0.30287170000000002</v>
      </c>
      <c r="T8532">
        <v>5.480492E-2</v>
      </c>
      <c r="U8532">
        <v>3.0114749999999999</v>
      </c>
      <c r="V8532">
        <v>-2.0060720000000001E-2</v>
      </c>
      <c r="W8532">
        <v>6.019178E-2</v>
      </c>
      <c r="X8532">
        <v>0.99798520000000002</v>
      </c>
      <c r="Y8532">
        <v>0.11041040000000001</v>
      </c>
      <c r="Z8532">
        <v>1.8092960000000002E-2</v>
      </c>
      <c r="AA8532">
        <v>0.99372139999999998</v>
      </c>
      <c r="AB8532">
        <v>22</v>
      </c>
      <c r="AC8532">
        <v>20.9666</v>
      </c>
      <c r="AD8532">
        <v>3.7934589999999999</v>
      </c>
      <c r="AE8532">
        <v>208.23469</v>
      </c>
      <c r="AF8532">
        <v>23.126989977576201</v>
      </c>
      <c r="AG8532">
        <v>3.7934589999999999</v>
      </c>
      <c r="AH8532">
        <v>207.93667373556499</v>
      </c>
      <c r="AI8532">
        <v>88.961253251969396</v>
      </c>
      <c r="AJ8532">
        <v>83.653571199416803</v>
      </c>
      <c r="AK8532">
        <v>209.25321570006599</v>
      </c>
      <c r="AL8532">
        <v>86.549179052261593</v>
      </c>
      <c r="AM8532">
        <v>91.151559982807697</v>
      </c>
      <c r="AN8532">
        <v>0.99999997114276296</v>
      </c>
    </row>
    <row r="8533" spans="1:40" x14ac:dyDescent="0.25">
      <c r="A8533" t="str">
        <f>"20190312160535395"</f>
        <v>20190312160535395</v>
      </c>
      <c r="B8533" t="str">
        <f>"1552377935384071"</f>
        <v>1552377935384071</v>
      </c>
      <c r="C8533" t="s">
        <v>40</v>
      </c>
      <c r="D8533">
        <v>4.8205210000000003</v>
      </c>
      <c r="E8533">
        <v>0.54955710000000002</v>
      </c>
      <c r="F8533" t="s">
        <v>53</v>
      </c>
      <c r="G8533">
        <v>-166.61590000000001</v>
      </c>
      <c r="H8533">
        <v>4.7382530000000003</v>
      </c>
      <c r="I8533">
        <v>269.69009999999997</v>
      </c>
      <c r="J8533">
        <v>-187.73670000000001</v>
      </c>
      <c r="K8533">
        <v>1.109945</v>
      </c>
      <c r="L8533">
        <v>61.67004</v>
      </c>
      <c r="M8533">
        <v>-1.0363560000000001E-2</v>
      </c>
      <c r="N8533">
        <v>0</v>
      </c>
      <c r="O8533">
        <v>0.99989229999999996</v>
      </c>
      <c r="P8533">
        <v>-3.1505379999999999E-2</v>
      </c>
      <c r="Q8533">
        <v>5.1732460000000001E-2</v>
      </c>
      <c r="R8533">
        <v>0.99816389999999999</v>
      </c>
      <c r="S8533">
        <v>0.30545040000000001</v>
      </c>
      <c r="T8533">
        <v>5.2479270000000001E-2</v>
      </c>
      <c r="U8533">
        <v>3.0118100000000001</v>
      </c>
      <c r="V8533">
        <v>-2.1150829999999999E-2</v>
      </c>
      <c r="W8533">
        <v>6.2108869999999997E-2</v>
      </c>
      <c r="X8533">
        <v>0.99784519999999999</v>
      </c>
      <c r="Y8533">
        <v>0.1111907</v>
      </c>
      <c r="Z8533">
        <v>1.732202E-2</v>
      </c>
      <c r="AA8533">
        <v>0.99364810000000003</v>
      </c>
      <c r="AB8533">
        <v>22</v>
      </c>
      <c r="AC8533">
        <v>21.120799999999999</v>
      </c>
      <c r="AD8533">
        <v>3.6283080000000001</v>
      </c>
      <c r="AE8533">
        <v>208.02006</v>
      </c>
      <c r="AF8533">
        <v>23.2686036974</v>
      </c>
      <c r="AG8533">
        <v>3.6283080000000001</v>
      </c>
      <c r="AH8533">
        <v>207.727437491681</v>
      </c>
      <c r="AI8533">
        <v>89.005553036056398</v>
      </c>
      <c r="AJ8533">
        <v>83.608651869309298</v>
      </c>
      <c r="AK8533">
        <v>209.05808002521701</v>
      </c>
      <c r="AL8533">
        <v>86.439131867217498</v>
      </c>
      <c r="AM8533">
        <v>91.2142883978361</v>
      </c>
      <c r="AN8533">
        <v>0.99999995625270199</v>
      </c>
    </row>
    <row r="8534" spans="1:40" x14ac:dyDescent="0.25">
      <c r="A8534" t="str">
        <f>"20190312160535418"</f>
        <v>20190312160535418</v>
      </c>
      <c r="B8534" t="str">
        <f>"1552377935413351"</f>
        <v>1552377935413351</v>
      </c>
      <c r="C8534" t="s">
        <v>40</v>
      </c>
      <c r="D8534">
        <v>4.8694269999999999</v>
      </c>
      <c r="E8534">
        <v>0.55056190000000005</v>
      </c>
      <c r="F8534" t="s">
        <v>53</v>
      </c>
      <c r="G8534">
        <v>-166.70140000000001</v>
      </c>
      <c r="H8534">
        <v>5.0627309999999897</v>
      </c>
      <c r="I8534">
        <v>269.69009999999997</v>
      </c>
      <c r="J8534">
        <v>-187.739</v>
      </c>
      <c r="K8534">
        <v>1.1099410000000001</v>
      </c>
      <c r="L8534">
        <v>61.894469999999998</v>
      </c>
      <c r="M8534">
        <v>-1.0308039999999999E-2</v>
      </c>
      <c r="N8534">
        <v>0</v>
      </c>
      <c r="O8534">
        <v>0.99989309999999998</v>
      </c>
      <c r="P8534">
        <v>-3.2486639999999997E-2</v>
      </c>
      <c r="Q8534">
        <v>5.1329279999999998E-2</v>
      </c>
      <c r="R8534">
        <v>0.99815330000000002</v>
      </c>
      <c r="S8534">
        <v>0.30459589999999998</v>
      </c>
      <c r="T8534">
        <v>5.7238339999999999E-2</v>
      </c>
      <c r="U8534">
        <v>3.0121769999999999</v>
      </c>
      <c r="V8534">
        <v>-2.2187720000000001E-2</v>
      </c>
      <c r="W8534">
        <v>6.1681970000000003E-2</v>
      </c>
      <c r="X8534">
        <v>0.99784919999999999</v>
      </c>
      <c r="Y8534">
        <v>0.1108415</v>
      </c>
      <c r="Z8534">
        <v>1.8890690000000002E-2</v>
      </c>
      <c r="AA8534">
        <v>0.9936585</v>
      </c>
      <c r="AB8534">
        <v>22</v>
      </c>
      <c r="AC8534">
        <v>21.037600000000001</v>
      </c>
      <c r="AD8534">
        <v>3.9527899999999998</v>
      </c>
      <c r="AE8534">
        <v>207.79562999999999</v>
      </c>
      <c r="AF8534">
        <v>23.17026379739</v>
      </c>
      <c r="AG8534">
        <v>3.9527899999999998</v>
      </c>
      <c r="AH8534">
        <v>207.493399943734</v>
      </c>
      <c r="AI8534">
        <v>88.915376013315196</v>
      </c>
      <c r="AJ8534">
        <v>83.628321693992405</v>
      </c>
      <c r="AK8534">
        <v>208.82048916099001</v>
      </c>
      <c r="AL8534">
        <v>86.463638555255798</v>
      </c>
      <c r="AM8534">
        <v>91.273792936669295</v>
      </c>
      <c r="AN8534">
        <v>0.99999999314125898</v>
      </c>
    </row>
    <row r="8535" spans="1:40" x14ac:dyDescent="0.25">
      <c r="A8535" t="str">
        <f>"20190312160535442"</f>
        <v>20190312160535442</v>
      </c>
      <c r="B8535" t="str">
        <f>"1552377935433848"</f>
        <v>1552377935433848</v>
      </c>
      <c r="C8535" t="s">
        <v>40</v>
      </c>
      <c r="D8535">
        <v>4.7741559999999996</v>
      </c>
      <c r="E8535">
        <v>0.55092769999999902</v>
      </c>
      <c r="F8535" t="s">
        <v>54</v>
      </c>
      <c r="G8535">
        <v>-168.35059999999999</v>
      </c>
      <c r="H8535">
        <v>4.2317099999999996</v>
      </c>
      <c r="I8535">
        <v>250.48230000000001</v>
      </c>
      <c r="J8535">
        <v>-187.7414</v>
      </c>
      <c r="K8535">
        <v>1.109936</v>
      </c>
      <c r="L8535">
        <v>62.134860000000003</v>
      </c>
      <c r="M8535">
        <v>-1.024835E-2</v>
      </c>
      <c r="N8535">
        <v>0</v>
      </c>
      <c r="O8535">
        <v>0.99989399999999995</v>
      </c>
      <c r="P8535">
        <v>-3.3264439999999999E-2</v>
      </c>
      <c r="Q8535">
        <v>5.098784E-2</v>
      </c>
      <c r="R8535">
        <v>0.99814519999999995</v>
      </c>
      <c r="S8535">
        <v>0.30976870000000001</v>
      </c>
      <c r="T8535">
        <v>4.9877289999999998E-2</v>
      </c>
      <c r="U8535">
        <v>3.0130620000000001</v>
      </c>
      <c r="V8535">
        <v>-2.302566E-2</v>
      </c>
      <c r="W8535">
        <v>6.1318350000000001E-2</v>
      </c>
      <c r="X8535">
        <v>0.99785259999999998</v>
      </c>
      <c r="Y8535">
        <v>0.1124455</v>
      </c>
      <c r="Z8535">
        <v>1.6454280000000002E-2</v>
      </c>
      <c r="AA8535">
        <v>0.9935216</v>
      </c>
      <c r="AB8535">
        <v>22</v>
      </c>
      <c r="AC8535">
        <v>19.390799999999999</v>
      </c>
      <c r="AD8535">
        <v>3.1217739999999901</v>
      </c>
      <c r="AE8535">
        <v>188.34743999999901</v>
      </c>
      <c r="AF8535">
        <v>21.314341321365202</v>
      </c>
      <c r="AG8535">
        <v>3.1217739999999901</v>
      </c>
      <c r="AH8535">
        <v>188.08768468988799</v>
      </c>
      <c r="AI8535">
        <v>89.0551702231067</v>
      </c>
      <c r="AJ8535">
        <v>83.534748503991395</v>
      </c>
      <c r="AK8535">
        <v>189.31725687552401</v>
      </c>
      <c r="AL8535">
        <v>86.4845118638343</v>
      </c>
      <c r="AM8535">
        <v>91.321877657600098</v>
      </c>
      <c r="AN8535">
        <v>0.99999996619595799</v>
      </c>
    </row>
    <row r="8536" spans="1:40" x14ac:dyDescent="0.25">
      <c r="A8536" t="str">
        <f>"20190312160535465"</f>
        <v>20190312160535465</v>
      </c>
      <c r="B8536" t="str">
        <f>"1552377935453367"</f>
        <v>1552377935453367</v>
      </c>
      <c r="C8536" t="s">
        <v>40</v>
      </c>
      <c r="D8536">
        <v>4.7537469999999997</v>
      </c>
      <c r="E8536">
        <v>0.55163099999999998</v>
      </c>
      <c r="F8536" t="s">
        <v>54</v>
      </c>
      <c r="G8536">
        <v>-168.35059999999999</v>
      </c>
      <c r="H8536">
        <v>4.1494260000000001</v>
      </c>
      <c r="I8536">
        <v>250.45359999999999</v>
      </c>
      <c r="J8536">
        <v>-187.74359999999999</v>
      </c>
      <c r="K8536">
        <v>1.109936</v>
      </c>
      <c r="L8536">
        <v>62.359650000000002</v>
      </c>
      <c r="M8536">
        <v>-1.0192100000000001E-2</v>
      </c>
      <c r="N8536">
        <v>0</v>
      </c>
      <c r="O8536">
        <v>0.99989479999999997</v>
      </c>
      <c r="P8536">
        <v>-3.3177350000000001E-2</v>
      </c>
      <c r="Q8536">
        <v>5.0845599999999998E-2</v>
      </c>
      <c r="R8536">
        <v>0.99815529999999997</v>
      </c>
      <c r="S8536">
        <v>0.31028749999999999</v>
      </c>
      <c r="T8536">
        <v>4.8637989999999999E-2</v>
      </c>
      <c r="U8536">
        <v>3.0134280000000002</v>
      </c>
      <c r="V8536">
        <v>-2.2994489999999999E-2</v>
      </c>
      <c r="W8536">
        <v>6.1152739999999997E-2</v>
      </c>
      <c r="X8536">
        <v>0.99786350000000001</v>
      </c>
      <c r="Y8536">
        <v>0.1125472</v>
      </c>
      <c r="Z8536">
        <v>1.6043390000000001E-2</v>
      </c>
      <c r="AA8536">
        <v>0.99351690000000004</v>
      </c>
      <c r="AB8536">
        <v>22</v>
      </c>
      <c r="AC8536">
        <v>19.393000000000001</v>
      </c>
      <c r="AD8536">
        <v>3.0394899999999998</v>
      </c>
      <c r="AE8536">
        <v>188.09395000000001</v>
      </c>
      <c r="AF8536">
        <v>21.303662606102399</v>
      </c>
      <c r="AG8536">
        <v>3.0394899999999998</v>
      </c>
      <c r="AH8536">
        <v>187.837979639162</v>
      </c>
      <c r="AI8536">
        <v>89.078856751098499</v>
      </c>
      <c r="AJ8536">
        <v>83.529442662397898</v>
      </c>
      <c r="AK8536">
        <v>189.06663146842399</v>
      </c>
      <c r="AL8536">
        <v>86.494018522753606</v>
      </c>
      <c r="AM8536">
        <v>91.320074441349803</v>
      </c>
      <c r="AN8536">
        <v>0.99999998440605797</v>
      </c>
    </row>
    <row r="8537" spans="1:40" x14ac:dyDescent="0.25">
      <c r="A8537" t="str">
        <f>"20190312160535488"</f>
        <v>20190312160535488</v>
      </c>
      <c r="B8537" t="str">
        <f>"1552377935483623"</f>
        <v>1552377935483623</v>
      </c>
      <c r="C8537" t="s">
        <v>40</v>
      </c>
      <c r="D8537">
        <v>4.8036070000000004</v>
      </c>
      <c r="E8537">
        <v>0.5522186</v>
      </c>
      <c r="F8537" t="s">
        <v>54</v>
      </c>
      <c r="G8537">
        <v>-168.10059999999999</v>
      </c>
      <c r="H8537">
        <v>3.9629639999999999</v>
      </c>
      <c r="I8537">
        <v>249.3853</v>
      </c>
      <c r="J8537">
        <v>-187.7458</v>
      </c>
      <c r="K8537">
        <v>1.1099330000000001</v>
      </c>
      <c r="L8537">
        <v>62.586179999999999</v>
      </c>
      <c r="M8537">
        <v>-1.013565E-2</v>
      </c>
      <c r="N8537">
        <v>0</v>
      </c>
      <c r="O8537">
        <v>0.9998956</v>
      </c>
      <c r="P8537">
        <v>-3.2267799999999999E-2</v>
      </c>
      <c r="Q8537">
        <v>5.0847469999999999E-2</v>
      </c>
      <c r="R8537">
        <v>0.99818499999999999</v>
      </c>
      <c r="S8537">
        <v>0.31652829999999998</v>
      </c>
      <c r="T8537">
        <v>4.5974609999999999E-2</v>
      </c>
      <c r="U8537">
        <v>3.0137330000000002</v>
      </c>
      <c r="V8537">
        <v>-2.2140900000000002E-2</v>
      </c>
      <c r="W8537">
        <v>6.1128460000000003E-2</v>
      </c>
      <c r="X8537">
        <v>0.99788429999999995</v>
      </c>
      <c r="Y8537">
        <v>0.11451749999999999</v>
      </c>
      <c r="Z8537">
        <v>1.516023E-2</v>
      </c>
      <c r="AA8537">
        <v>0.99330560000000001</v>
      </c>
      <c r="AB8537">
        <v>22</v>
      </c>
      <c r="AC8537">
        <v>19.645199999999999</v>
      </c>
      <c r="AD8537">
        <v>2.8530310000000001</v>
      </c>
      <c r="AE8537">
        <v>186.79911999999999</v>
      </c>
      <c r="AF8537">
        <v>21.532653661266</v>
      </c>
      <c r="AG8537">
        <v>2.8530310000000001</v>
      </c>
      <c r="AH8537">
        <v>186.547355925137</v>
      </c>
      <c r="AI8537">
        <v>89.129572577470796</v>
      </c>
      <c r="AJ8537">
        <v>83.415643039701493</v>
      </c>
      <c r="AK8537">
        <v>187.80764351389601</v>
      </c>
      <c r="AL8537">
        <v>86.495412298883807</v>
      </c>
      <c r="AM8537">
        <v>91.271061196108207</v>
      </c>
      <c r="AN8537">
        <v>0.99999999213063495</v>
      </c>
    </row>
    <row r="8538" spans="1:40" x14ac:dyDescent="0.25">
      <c r="A8538" t="str">
        <f>"20190312160535510"</f>
        <v>20190312160535510</v>
      </c>
      <c r="B8538" t="str">
        <f>"1552377935504120"</f>
        <v>1552377935504120</v>
      </c>
      <c r="C8538" t="s">
        <v>40</v>
      </c>
      <c r="D8538">
        <v>4.9558269999999904</v>
      </c>
      <c r="E8538">
        <v>0.56680819999999998</v>
      </c>
      <c r="F8538" t="s">
        <v>54</v>
      </c>
      <c r="G8538">
        <v>-167.65039999999999</v>
      </c>
      <c r="H8538">
        <v>3.7246640000000002</v>
      </c>
      <c r="I8538">
        <v>249.3853</v>
      </c>
      <c r="J8538">
        <v>-187.74799999999999</v>
      </c>
      <c r="K8538">
        <v>1.1099250000000001</v>
      </c>
      <c r="L8538">
        <v>62.810180000000003</v>
      </c>
      <c r="M8538">
        <v>-1.007954E-2</v>
      </c>
      <c r="N8538">
        <v>0</v>
      </c>
      <c r="O8538">
        <v>0.99989649999999997</v>
      </c>
      <c r="P8538">
        <v>-3.0265480000000001E-2</v>
      </c>
      <c r="Q8538">
        <v>5.0657460000000001E-2</v>
      </c>
      <c r="R8538">
        <v>0.99825739999999996</v>
      </c>
      <c r="S8538">
        <v>0.32421879999999997</v>
      </c>
      <c r="T8538">
        <v>4.2186620000000001E-2</v>
      </c>
      <c r="U8538">
        <v>3.0137939999999999</v>
      </c>
      <c r="V8538">
        <v>-2.0194030000000002E-2</v>
      </c>
      <c r="W8538">
        <v>6.0913330000000002E-2</v>
      </c>
      <c r="X8538">
        <v>0.99793880000000001</v>
      </c>
      <c r="Y8538">
        <v>0.1169676</v>
      </c>
      <c r="Z8538">
        <v>1.3907249999999999E-2</v>
      </c>
      <c r="AA8538">
        <v>0.99303839999999999</v>
      </c>
      <c r="AB8538">
        <v>22</v>
      </c>
      <c r="AC8538">
        <v>20.0976</v>
      </c>
      <c r="AD8538">
        <v>2.6147390000000001</v>
      </c>
      <c r="AE8538">
        <v>186.57512</v>
      </c>
      <c r="AF8538">
        <v>21.9730033555593</v>
      </c>
      <c r="AG8538">
        <v>2.6147390000000001</v>
      </c>
      <c r="AH8538">
        <v>186.32688027589501</v>
      </c>
      <c r="AI8538">
        <v>89.201548892315202</v>
      </c>
      <c r="AJ8538">
        <v>83.274333114124303</v>
      </c>
      <c r="AK8538">
        <v>187.63623330756101</v>
      </c>
      <c r="AL8538">
        <v>86.507761522066303</v>
      </c>
      <c r="AM8538">
        <v>91.159264275433003</v>
      </c>
      <c r="AN8538">
        <v>1.0000000405823799</v>
      </c>
    </row>
    <row r="8539" spans="1:40" x14ac:dyDescent="0.25">
      <c r="A8539" t="str">
        <f>"20190312160535530"</f>
        <v>20190312160535530</v>
      </c>
      <c r="B8539" t="str">
        <f>"1552377935523640"</f>
        <v>1552377935523640</v>
      </c>
      <c r="C8539" t="s">
        <v>40</v>
      </c>
      <c r="D8539">
        <v>4.8732620000000004</v>
      </c>
      <c r="E8539">
        <v>0.56855419999999901</v>
      </c>
      <c r="F8539" t="s">
        <v>49</v>
      </c>
      <c r="G8539">
        <v>-187.614</v>
      </c>
      <c r="H8539">
        <v>0.99698209999999998</v>
      </c>
      <c r="I8539">
        <v>63.688830000000003</v>
      </c>
      <c r="J8539">
        <v>-187.7501</v>
      </c>
      <c r="K8539">
        <v>1.1099250000000001</v>
      </c>
      <c r="L8539">
        <v>63.015749999999997</v>
      </c>
      <c r="M8539">
        <v>-1.0027960000000001E-2</v>
      </c>
      <c r="N8539">
        <v>0</v>
      </c>
      <c r="O8539">
        <v>0.99989720000000004</v>
      </c>
      <c r="P8539">
        <v>-2.763314E-2</v>
      </c>
      <c r="Q8539">
        <v>5.1054530000000001E-2</v>
      </c>
      <c r="R8539">
        <v>0.99831349999999996</v>
      </c>
      <c r="S8539">
        <v>0.46347050000000001</v>
      </c>
      <c r="T8539">
        <v>-0.3906597</v>
      </c>
      <c r="U8539">
        <v>3.0391240000000002</v>
      </c>
      <c r="V8539">
        <v>-1.761252E-2</v>
      </c>
      <c r="W8539">
        <v>6.1289799999999998E-2</v>
      </c>
      <c r="X8539">
        <v>0.99796459999999998</v>
      </c>
      <c r="Y8539">
        <v>0.15946350000000001</v>
      </c>
      <c r="Z8539">
        <v>-0.1259525</v>
      </c>
      <c r="AA8539">
        <v>0.97913600000000001</v>
      </c>
      <c r="AB8539">
        <v>22</v>
      </c>
      <c r="AC8539">
        <v>0.136099999999999</v>
      </c>
      <c r="AD8539">
        <v>-0.1129429</v>
      </c>
      <c r="AE8539">
        <v>0.67308000000000501</v>
      </c>
      <c r="AF8539">
        <v>0.139080873185362</v>
      </c>
      <c r="AG8539">
        <v>-0.1129429</v>
      </c>
      <c r="AH8539">
        <v>0.65399027949480204</v>
      </c>
      <c r="AI8539">
        <v>99.587923125588901</v>
      </c>
      <c r="AJ8539">
        <v>77.994053098233593</v>
      </c>
      <c r="AK8539">
        <v>0.67808765924480796</v>
      </c>
      <c r="AL8539">
        <v>86.486150830449503</v>
      </c>
      <c r="AM8539">
        <v>91.011076257101905</v>
      </c>
      <c r="AN8539">
        <v>0.99999999164897502</v>
      </c>
    </row>
    <row r="8540" spans="1:40" x14ac:dyDescent="0.25">
      <c r="A8540" t="str">
        <f>"20190312160535552"</f>
        <v>20190312160535552</v>
      </c>
      <c r="B8540" t="str">
        <f>"1552377935544135"</f>
        <v>1552377935544135</v>
      </c>
      <c r="C8540" t="s">
        <v>40</v>
      </c>
      <c r="D8540">
        <v>4.800586</v>
      </c>
      <c r="E8540">
        <v>0.56787119999999902</v>
      </c>
      <c r="F8540" t="s">
        <v>49</v>
      </c>
      <c r="G8540">
        <v>-187.6113</v>
      </c>
      <c r="H8540">
        <v>0.9793212</v>
      </c>
      <c r="I8540">
        <v>63.880159999999997</v>
      </c>
      <c r="J8540">
        <v>-187.75219999999999</v>
      </c>
      <c r="K8540">
        <v>1.1099250000000001</v>
      </c>
      <c r="L8540">
        <v>63.231810000000003</v>
      </c>
      <c r="M8540">
        <v>-9.9736879999999997E-3</v>
      </c>
      <c r="N8540">
        <v>0</v>
      </c>
      <c r="O8540">
        <v>0.99989799999999995</v>
      </c>
      <c r="P8540">
        <v>-2.5845839999999998E-2</v>
      </c>
      <c r="Q8540">
        <v>5.175155E-2</v>
      </c>
      <c r="R8540">
        <v>0.99832549999999998</v>
      </c>
      <c r="S8540">
        <v>0.4877319</v>
      </c>
      <c r="T8540">
        <v>-0.45965230000000001</v>
      </c>
      <c r="U8540">
        <v>3.042084</v>
      </c>
      <c r="V8540">
        <v>-1.5879689999999998E-2</v>
      </c>
      <c r="W8540">
        <v>6.1962290000000003E-2</v>
      </c>
      <c r="X8540">
        <v>0.99795219999999996</v>
      </c>
      <c r="Y8540">
        <v>0.16641639999999999</v>
      </c>
      <c r="Z8540">
        <v>-0.14742810000000001</v>
      </c>
      <c r="AA8540">
        <v>0.97497210000000001</v>
      </c>
      <c r="AB8540">
        <v>22</v>
      </c>
      <c r="AC8540">
        <v>0.14089999999998701</v>
      </c>
      <c r="AD8540">
        <v>-0.13060379999999999</v>
      </c>
      <c r="AE8540">
        <v>0.64834999999999998</v>
      </c>
      <c r="AF8540">
        <v>0.141862844072776</v>
      </c>
      <c r="AG8540">
        <v>-0.13060379999999999</v>
      </c>
      <c r="AH8540">
        <v>0.62278076752579703</v>
      </c>
      <c r="AI8540">
        <v>101.55614355464699</v>
      </c>
      <c r="AJ8540">
        <v>77.167589062293402</v>
      </c>
      <c r="AK8540">
        <v>0.651949617304035</v>
      </c>
      <c r="AL8540">
        <v>86.447546794010805</v>
      </c>
      <c r="AM8540">
        <v>90.911629272482401</v>
      </c>
      <c r="AN8540">
        <v>1.00000004171068</v>
      </c>
    </row>
    <row r="8541" spans="1:40" x14ac:dyDescent="0.25">
      <c r="A8541" t="str">
        <f>"20190312160535574"</f>
        <v>20190312160535574</v>
      </c>
      <c r="B8541" t="str">
        <f>"1552377935563659"</f>
        <v>1552377935563659</v>
      </c>
      <c r="C8541" t="s">
        <v>40</v>
      </c>
      <c r="D8541">
        <v>4.8114460000000001</v>
      </c>
      <c r="E8541">
        <v>0.56793119999999997</v>
      </c>
      <c r="F8541" t="s">
        <v>49</v>
      </c>
      <c r="G8541">
        <v>-187.61609999999999</v>
      </c>
      <c r="H8541">
        <v>0.97526619999999997</v>
      </c>
      <c r="I8541">
        <v>64.07799</v>
      </c>
      <c r="J8541">
        <v>-187.7542</v>
      </c>
      <c r="K8541">
        <v>1.1099250000000001</v>
      </c>
      <c r="L8541">
        <v>63.447240000000001</v>
      </c>
      <c r="M8541">
        <v>-9.9195689999999996E-3</v>
      </c>
      <c r="N8541">
        <v>0</v>
      </c>
      <c r="O8541">
        <v>0.99989879999999998</v>
      </c>
      <c r="P8541">
        <v>-2.4254789999999998E-2</v>
      </c>
      <c r="Q8541">
        <v>5.2654079999999999E-2</v>
      </c>
      <c r="R8541">
        <v>0.99831820000000004</v>
      </c>
      <c r="S8541">
        <v>0.48889159999999998</v>
      </c>
      <c r="T8541">
        <v>-0.48422189999999998</v>
      </c>
      <c r="U8541">
        <v>3.042786</v>
      </c>
      <c r="V8541">
        <v>-1.4342799999999999E-2</v>
      </c>
      <c r="W8541">
        <v>6.2837950000000004E-2</v>
      </c>
      <c r="X8541">
        <v>0.99792069999999999</v>
      </c>
      <c r="Y8541">
        <v>0.16650419999999999</v>
      </c>
      <c r="Z8541">
        <v>-0.15508079999999999</v>
      </c>
      <c r="AA8541">
        <v>0.97376910000000005</v>
      </c>
      <c r="AB8541">
        <v>22</v>
      </c>
      <c r="AC8541">
        <v>0.13810000000000799</v>
      </c>
      <c r="AD8541">
        <v>-0.1346588</v>
      </c>
      <c r="AE8541">
        <v>0.63074999999999903</v>
      </c>
      <c r="AF8541">
        <v>0.138333744129919</v>
      </c>
      <c r="AG8541">
        <v>-0.1346588</v>
      </c>
      <c r="AH8541">
        <v>0.60311758685655203</v>
      </c>
      <c r="AI8541">
        <v>102.277301463101</v>
      </c>
      <c r="AJ8541">
        <v>77.081824130667698</v>
      </c>
      <c r="AK8541">
        <v>0.633261431604762</v>
      </c>
      <c r="AL8541">
        <v>86.397277142465697</v>
      </c>
      <c r="AM8541">
        <v>90.823437500728204</v>
      </c>
      <c r="AN8541">
        <v>1.00000002368026</v>
      </c>
    </row>
    <row r="8542" spans="1:40" x14ac:dyDescent="0.25">
      <c r="A8542" t="str">
        <f>"20190312160535596"</f>
        <v>20190312160535596</v>
      </c>
      <c r="B8542" t="str">
        <f>"1552377935593911"</f>
        <v>1552377935593911</v>
      </c>
      <c r="C8542" t="s">
        <v>40</v>
      </c>
      <c r="D8542">
        <v>4.7841959999999997</v>
      </c>
      <c r="E8542">
        <v>0.58772749999999996</v>
      </c>
      <c r="F8542" t="s">
        <v>49</v>
      </c>
      <c r="G8542">
        <v>-187.61879999999999</v>
      </c>
      <c r="H8542">
        <v>0.97572060000000005</v>
      </c>
      <c r="I8542">
        <v>64.278329999999997</v>
      </c>
      <c r="J8542">
        <v>-187.75640000000001</v>
      </c>
      <c r="K8542">
        <v>1.1099330000000001</v>
      </c>
      <c r="L8542">
        <v>63.672609999999999</v>
      </c>
      <c r="M8542">
        <v>-9.8628190000000001E-3</v>
      </c>
      <c r="N8542">
        <v>0</v>
      </c>
      <c r="O8542">
        <v>0.9998996</v>
      </c>
      <c r="P8542">
        <v>-2.240642E-2</v>
      </c>
      <c r="Q8542">
        <v>5.3240099999999999E-2</v>
      </c>
      <c r="R8542">
        <v>0.99833039999999995</v>
      </c>
      <c r="S8542">
        <v>0.49493409999999899</v>
      </c>
      <c r="T8542">
        <v>-0.49139660000000002</v>
      </c>
      <c r="U8542">
        <v>3.042999</v>
      </c>
      <c r="V8542">
        <v>-1.25503E-2</v>
      </c>
      <c r="W8542">
        <v>6.3395709999999994E-2</v>
      </c>
      <c r="X8542">
        <v>0.9979095</v>
      </c>
      <c r="Y8542">
        <v>0.1682662</v>
      </c>
      <c r="Z8542">
        <v>-0.15726299999999999</v>
      </c>
      <c r="AA8542">
        <v>0.97311599999999998</v>
      </c>
      <c r="AB8542">
        <v>22</v>
      </c>
      <c r="AC8542">
        <v>0.13760000000002001</v>
      </c>
      <c r="AD8542">
        <v>-0.13421240000000001</v>
      </c>
      <c r="AE8542">
        <v>0.60572000000001203</v>
      </c>
      <c r="AF8542">
        <v>0.13716405089691799</v>
      </c>
      <c r="AG8542">
        <v>-0.13421240000000001</v>
      </c>
      <c r="AH8542">
        <v>0.57737775391478596</v>
      </c>
      <c r="AI8542">
        <v>102.74348891654699</v>
      </c>
      <c r="AJ8542">
        <v>76.636321537599997</v>
      </c>
      <c r="AK8542">
        <v>0.60843406864498895</v>
      </c>
      <c r="AL8542">
        <v>86.365255728357397</v>
      </c>
      <c r="AM8542">
        <v>90.720547617605803</v>
      </c>
      <c r="AN8542">
        <v>0.99999994813337001</v>
      </c>
    </row>
    <row r="8543" spans="1:40" x14ac:dyDescent="0.25">
      <c r="A8543" t="str">
        <f>"20190312160535619"</f>
        <v>20190312160535619</v>
      </c>
      <c r="B8543" t="str">
        <f>"1552377935613432"</f>
        <v>1552377935613432</v>
      </c>
      <c r="C8543" t="s">
        <v>40</v>
      </c>
      <c r="D8543">
        <v>4.8302360000000002</v>
      </c>
      <c r="E8543">
        <v>0.58473699999999995</v>
      </c>
      <c r="F8543" t="s">
        <v>49</v>
      </c>
      <c r="G8543">
        <v>-187.58439999999999</v>
      </c>
      <c r="H8543">
        <v>0.93685469999999904</v>
      </c>
      <c r="I8543">
        <v>64.462739999999997</v>
      </c>
      <c r="J8543">
        <v>-187.7585</v>
      </c>
      <c r="K8543">
        <v>1.109934</v>
      </c>
      <c r="L8543">
        <v>63.899410000000003</v>
      </c>
      <c r="M8543">
        <v>-9.8057709999999996E-3</v>
      </c>
      <c r="N8543">
        <v>0</v>
      </c>
      <c r="O8543">
        <v>0.99990049999999997</v>
      </c>
      <c r="P8543">
        <v>-2.094534E-2</v>
      </c>
      <c r="Q8543">
        <v>5.3139690000000003E-2</v>
      </c>
      <c r="R8543">
        <v>0.99836740000000002</v>
      </c>
      <c r="S8543">
        <v>0.66461179999999997</v>
      </c>
      <c r="T8543">
        <v>-0.66934199999999999</v>
      </c>
      <c r="U8543">
        <v>3.055634</v>
      </c>
      <c r="V8543">
        <v>-1.114618E-2</v>
      </c>
      <c r="W8543">
        <v>6.3264849999999997E-2</v>
      </c>
      <c r="X8543">
        <v>0.99793449999999995</v>
      </c>
      <c r="Y8543">
        <v>0.21740689999999999</v>
      </c>
      <c r="Z8543">
        <v>-0.2090679</v>
      </c>
      <c r="AA8543">
        <v>0.95342800000000005</v>
      </c>
      <c r="AB8543">
        <v>22</v>
      </c>
      <c r="AC8543">
        <v>0.174100000000009</v>
      </c>
      <c r="AD8543">
        <v>-0.17307929999999999</v>
      </c>
      <c r="AE8543">
        <v>0.56333</v>
      </c>
      <c r="AF8543">
        <v>0.16536649321917701</v>
      </c>
      <c r="AG8543">
        <v>-0.17307929999999999</v>
      </c>
      <c r="AH8543">
        <v>0.51704306018620205</v>
      </c>
      <c r="AI8543">
        <v>107.68425845773</v>
      </c>
      <c r="AJ8543">
        <v>72.264102883190503</v>
      </c>
      <c r="AK8543">
        <v>0.56976841545913304</v>
      </c>
      <c r="AL8543">
        <v>86.372768623751696</v>
      </c>
      <c r="AM8543">
        <v>90.6399242804994</v>
      </c>
      <c r="AN8543">
        <v>0.99999997243218197</v>
      </c>
    </row>
    <row r="8544" spans="1:40" x14ac:dyDescent="0.25">
      <c r="A8544" t="str">
        <f>"20190312160535641"</f>
        <v>20190312160535641</v>
      </c>
      <c r="B8544" t="str">
        <f>"1552377935633927"</f>
        <v>1552377935633927</v>
      </c>
      <c r="C8544" t="s">
        <v>40</v>
      </c>
      <c r="D8544">
        <v>4.799601</v>
      </c>
      <c r="E8544">
        <v>0.58251390000000003</v>
      </c>
      <c r="F8544" t="s">
        <v>49</v>
      </c>
      <c r="G8544">
        <v>-187.5966</v>
      </c>
      <c r="H8544">
        <v>0.94617779999999996</v>
      </c>
      <c r="I8544">
        <v>64.666849999999997</v>
      </c>
      <c r="J8544">
        <v>-187.76070000000001</v>
      </c>
      <c r="K8544">
        <v>1.109928</v>
      </c>
      <c r="L8544">
        <v>64.127719999999997</v>
      </c>
      <c r="M8544">
        <v>-9.7484909999999998E-3</v>
      </c>
      <c r="N8544">
        <v>0</v>
      </c>
      <c r="O8544">
        <v>0.99990140000000005</v>
      </c>
      <c r="P8544">
        <v>-1.984033E-2</v>
      </c>
      <c r="Q8544">
        <v>5.3143219999999998E-2</v>
      </c>
      <c r="R8544">
        <v>0.99838979999999999</v>
      </c>
      <c r="S8544">
        <v>0.64318850000000005</v>
      </c>
      <c r="T8544">
        <v>-0.651478</v>
      </c>
      <c r="U8544">
        <v>3.05307</v>
      </c>
      <c r="V8544">
        <v>-1.009789E-2</v>
      </c>
      <c r="W8544">
        <v>6.3237699999999994E-2</v>
      </c>
      <c r="X8544">
        <v>0.99794740000000004</v>
      </c>
      <c r="Y8544">
        <v>0.2113294</v>
      </c>
      <c r="Z8544">
        <v>-0.2041685</v>
      </c>
      <c r="AA8544">
        <v>0.95585299999999995</v>
      </c>
      <c r="AB8544">
        <v>22</v>
      </c>
      <c r="AC8544">
        <v>0.16410000000001901</v>
      </c>
      <c r="AD8544">
        <v>-0.16375019999999901</v>
      </c>
      <c r="AE8544">
        <v>0.53913</v>
      </c>
      <c r="AF8544">
        <v>0.15616330283464699</v>
      </c>
      <c r="AG8544">
        <v>-0.16375019999999901</v>
      </c>
      <c r="AH8544">
        <v>0.49565629779596299</v>
      </c>
      <c r="AI8544">
        <v>107.48969935539201</v>
      </c>
      <c r="AJ8544">
        <v>72.512252901378602</v>
      </c>
      <c r="AK8544">
        <v>0.54486353401293597</v>
      </c>
      <c r="AL8544">
        <v>86.3743274022424</v>
      </c>
      <c r="AM8544">
        <v>90.579736701806695</v>
      </c>
      <c r="AN8544">
        <v>0.99999999362525105</v>
      </c>
    </row>
    <row r="8545" spans="1:40" x14ac:dyDescent="0.25">
      <c r="A8545" t="str">
        <f>"20190312160535665"</f>
        <v>20190312160535665</v>
      </c>
      <c r="B8545" t="str">
        <f>"1552377935653451"</f>
        <v>1552377935653451</v>
      </c>
      <c r="C8545" t="s">
        <v>40</v>
      </c>
      <c r="D8545">
        <v>4.9402269999999904</v>
      </c>
      <c r="E8545">
        <v>0.58266450000000003</v>
      </c>
      <c r="F8545" t="s">
        <v>49</v>
      </c>
      <c r="G8545">
        <v>-187.60749999999999</v>
      </c>
      <c r="H8545">
        <v>0.95462469999999999</v>
      </c>
      <c r="I8545">
        <v>64.871430000000004</v>
      </c>
      <c r="J8545">
        <v>-187.7629</v>
      </c>
      <c r="K8545">
        <v>1.109923</v>
      </c>
      <c r="L8545">
        <v>64.357060000000004</v>
      </c>
      <c r="M8545">
        <v>-9.6909979999999993E-3</v>
      </c>
      <c r="N8545">
        <v>0</v>
      </c>
      <c r="O8545">
        <v>0.99990219999999996</v>
      </c>
      <c r="P8545">
        <v>-1.9332309999999998E-2</v>
      </c>
      <c r="Q8545">
        <v>5.2813489999999998E-2</v>
      </c>
      <c r="R8545">
        <v>0.99841729999999995</v>
      </c>
      <c r="S8545">
        <v>0.62838749999999999</v>
      </c>
      <c r="T8545">
        <v>-0.63716980000000001</v>
      </c>
      <c r="U8545">
        <v>3.0512389999999998</v>
      </c>
      <c r="V8545">
        <v>-9.6474669999999998E-3</v>
      </c>
      <c r="W8545">
        <v>6.2876039999999994E-2</v>
      </c>
      <c r="X8545">
        <v>0.99797469999999999</v>
      </c>
      <c r="Y8545">
        <v>0.20710990000000001</v>
      </c>
      <c r="Z8545">
        <v>-0.20016790000000001</v>
      </c>
      <c r="AA8545">
        <v>0.95762119999999995</v>
      </c>
      <c r="AB8545">
        <v>22</v>
      </c>
      <c r="AC8545">
        <v>0.155400000000014</v>
      </c>
      <c r="AD8545">
        <v>-0.1552983</v>
      </c>
      <c r="AE8545">
        <v>0.51436999999999899</v>
      </c>
      <c r="AF8545">
        <v>0.148013950795883</v>
      </c>
      <c r="AG8545">
        <v>-0.1552983</v>
      </c>
      <c r="AH8545">
        <v>0.47330418262912399</v>
      </c>
      <c r="AI8545">
        <v>107.388435013446</v>
      </c>
      <c r="AJ8545">
        <v>72.634242496723601</v>
      </c>
      <c r="AK8545">
        <v>0.51965617566552502</v>
      </c>
      <c r="AL8545">
        <v>86.395090285876407</v>
      </c>
      <c r="AM8545">
        <v>90.553863664362794</v>
      </c>
      <c r="AN8545">
        <v>0.99999998593284301</v>
      </c>
    </row>
    <row r="8546" spans="1:40" x14ac:dyDescent="0.25">
      <c r="A8546" t="str">
        <f>"20190312160535688"</f>
        <v>20190312160535688</v>
      </c>
      <c r="B8546" t="str">
        <f>"1552377935683703"</f>
        <v>1552377935683703</v>
      </c>
      <c r="C8546" t="s">
        <v>40</v>
      </c>
      <c r="D8546">
        <v>4.8550529999999998</v>
      </c>
      <c r="E8546">
        <v>0.5804108</v>
      </c>
      <c r="F8546" t="s">
        <v>49</v>
      </c>
      <c r="G8546">
        <v>-187.61429999999999</v>
      </c>
      <c r="H8546">
        <v>0.95853290000000002</v>
      </c>
      <c r="I8546">
        <v>65.074430000000007</v>
      </c>
      <c r="J8546">
        <v>-187.76499999999999</v>
      </c>
      <c r="K8546">
        <v>1.1099049999999999</v>
      </c>
      <c r="L8546">
        <v>64.587100000000007</v>
      </c>
      <c r="M8546">
        <v>-9.6333070000000007E-3</v>
      </c>
      <c r="N8546">
        <v>0</v>
      </c>
      <c r="O8546">
        <v>0.99990310000000004</v>
      </c>
      <c r="P8546">
        <v>-1.8701410000000002E-2</v>
      </c>
      <c r="Q8546">
        <v>5.2152270000000001E-2</v>
      </c>
      <c r="R8546">
        <v>0.99846400000000002</v>
      </c>
      <c r="S8546">
        <v>0.63117979999999996</v>
      </c>
      <c r="T8546">
        <v>-0.64386929999999998</v>
      </c>
      <c r="U8546">
        <v>3.0510250000000001</v>
      </c>
      <c r="V8546">
        <v>-9.0739619999999997E-3</v>
      </c>
      <c r="W8546">
        <v>6.2180739999999998E-2</v>
      </c>
      <c r="X8546">
        <v>0.99802360000000001</v>
      </c>
      <c r="Y8546">
        <v>0.20782410000000001</v>
      </c>
      <c r="Z8546">
        <v>-0.20216519999999999</v>
      </c>
      <c r="AA8546">
        <v>0.95704670000000003</v>
      </c>
      <c r="AB8546">
        <v>22</v>
      </c>
      <c r="AC8546">
        <v>0.1507</v>
      </c>
      <c r="AD8546">
        <v>-0.15137209999999901</v>
      </c>
      <c r="AE8546">
        <v>0.48732999999999999</v>
      </c>
      <c r="AF8546">
        <v>0.14281172674906401</v>
      </c>
      <c r="AG8546">
        <v>-0.15137209999999901</v>
      </c>
      <c r="AH8546">
        <v>0.44653347266719601</v>
      </c>
      <c r="AI8546">
        <v>107.89436018197399</v>
      </c>
      <c r="AJ8546">
        <v>72.264522144238697</v>
      </c>
      <c r="AK8546">
        <v>0.49264677423858699</v>
      </c>
      <c r="AL8546">
        <v>86.435005999878797</v>
      </c>
      <c r="AM8546">
        <v>90.520914937527493</v>
      </c>
      <c r="AN8546">
        <v>0.999999943685141</v>
      </c>
    </row>
    <row r="8547" spans="1:40" x14ac:dyDescent="0.25">
      <c r="A8547" t="str">
        <f>"20190312160535709"</f>
        <v>20190312160535709</v>
      </c>
      <c r="B8547" t="str">
        <f>"1552377935703224"</f>
        <v>1552377935703224</v>
      </c>
      <c r="C8547" t="s">
        <v>40</v>
      </c>
      <c r="D8547">
        <v>4.8902900000000002</v>
      </c>
      <c r="E8547">
        <v>0.57943279999999997</v>
      </c>
      <c r="F8547" t="s">
        <v>49</v>
      </c>
      <c r="G8547">
        <v>-187.58799999999999</v>
      </c>
      <c r="H8547">
        <v>0.92209039999999998</v>
      </c>
      <c r="I8547">
        <v>65.463769999999997</v>
      </c>
      <c r="J8547">
        <v>-187.767</v>
      </c>
      <c r="K8547">
        <v>1.109891</v>
      </c>
      <c r="L8547">
        <v>64.80283</v>
      </c>
      <c r="M8547">
        <v>-9.5792350000000002E-3</v>
      </c>
      <c r="N8547">
        <v>0</v>
      </c>
      <c r="O8547">
        <v>0.99990400000000002</v>
      </c>
      <c r="P8547">
        <v>-1.7423109999999999E-2</v>
      </c>
      <c r="Q8547">
        <v>5.0552590000000001E-2</v>
      </c>
      <c r="R8547">
        <v>0.99856940000000005</v>
      </c>
      <c r="S8547">
        <v>0.61520390000000003</v>
      </c>
      <c r="T8547">
        <v>-0.65349499999999905</v>
      </c>
      <c r="U8547">
        <v>3.0502929999999999</v>
      </c>
      <c r="V8547">
        <v>-7.8488389999999998E-3</v>
      </c>
      <c r="W8547">
        <v>6.0551130000000002E-2</v>
      </c>
      <c r="X8547">
        <v>0.99813430000000003</v>
      </c>
      <c r="Y8547">
        <v>0.202873</v>
      </c>
      <c r="Z8547">
        <v>-0.20531450000000001</v>
      </c>
      <c r="AA8547">
        <v>0.95743849999999997</v>
      </c>
      <c r="AB8547">
        <v>23</v>
      </c>
      <c r="AC8547">
        <v>0.17900000000000199</v>
      </c>
      <c r="AD8547">
        <v>-0.18780059999999901</v>
      </c>
      <c r="AE8547">
        <v>0.66093999999999598</v>
      </c>
      <c r="AF8547">
        <v>0.172358689241526</v>
      </c>
      <c r="AG8547">
        <v>-0.18780059999999901</v>
      </c>
      <c r="AH8547">
        <v>0.61307944613613796</v>
      </c>
      <c r="AI8547">
        <v>106.430329700881</v>
      </c>
      <c r="AJ8547">
        <v>74.297416480251798</v>
      </c>
      <c r="AK8547">
        <v>0.66396008192662503</v>
      </c>
      <c r="AL8547">
        <v>86.528552505960604</v>
      </c>
      <c r="AM8547">
        <v>90.450536646197193</v>
      </c>
      <c r="AN8547">
        <v>1.0000000622272001</v>
      </c>
    </row>
    <row r="8548" spans="1:40" x14ac:dyDescent="0.25">
      <c r="A8548" t="str">
        <f>"20190312160535731"</f>
        <v>20190312160535731</v>
      </c>
      <c r="B8548" t="str">
        <f>"1552377935723720"</f>
        <v>1552377935723720</v>
      </c>
      <c r="C8548" t="s">
        <v>40</v>
      </c>
      <c r="D8548">
        <v>4.9764589999999904</v>
      </c>
      <c r="E8548">
        <v>0.57861989999999996</v>
      </c>
      <c r="F8548" t="s">
        <v>49</v>
      </c>
      <c r="G8548">
        <v>-187.59379999999999</v>
      </c>
      <c r="H8548">
        <v>0.9218326</v>
      </c>
      <c r="I8548">
        <v>65.665759999999906</v>
      </c>
      <c r="J8548">
        <v>-187.76920000000001</v>
      </c>
      <c r="K8548">
        <v>1.1098859999999999</v>
      </c>
      <c r="L8548">
        <v>65.030789999999996</v>
      </c>
      <c r="M8548">
        <v>-9.5222550000000003E-3</v>
      </c>
      <c r="N8548">
        <v>0</v>
      </c>
      <c r="O8548">
        <v>0.99990480000000004</v>
      </c>
      <c r="P8548">
        <v>-1.7163169999999998E-2</v>
      </c>
      <c r="Q8548">
        <v>5.0450689999999999E-2</v>
      </c>
      <c r="R8548">
        <v>0.99857910000000005</v>
      </c>
      <c r="S8548">
        <v>0.61193850000000005</v>
      </c>
      <c r="T8548">
        <v>-0.6643831</v>
      </c>
      <c r="U8548">
        <v>3.0486149999999999</v>
      </c>
      <c r="V8548">
        <v>-7.6456700000000002E-3</v>
      </c>
      <c r="W8548">
        <v>6.0419279999999999E-2</v>
      </c>
      <c r="X8548">
        <v>0.99814380000000003</v>
      </c>
      <c r="Y8548">
        <v>0.2017912</v>
      </c>
      <c r="Z8548">
        <v>-0.2087367</v>
      </c>
      <c r="AA8548">
        <v>0.95692699999999997</v>
      </c>
      <c r="AB8548">
        <v>23</v>
      </c>
      <c r="AC8548">
        <v>0.17540000000002401</v>
      </c>
      <c r="AD8548">
        <v>-0.18805340000000001</v>
      </c>
      <c r="AE8548">
        <v>0.63496999999999504</v>
      </c>
      <c r="AF8548">
        <v>0.16776685996566501</v>
      </c>
      <c r="AG8548">
        <v>-0.18805340000000001</v>
      </c>
      <c r="AH8548">
        <v>0.58555246055611898</v>
      </c>
      <c r="AI8548">
        <v>107.157220385252</v>
      </c>
      <c r="AJ8548">
        <v>74.012442429608299</v>
      </c>
      <c r="AK8548">
        <v>0.63748057587476703</v>
      </c>
      <c r="AL8548">
        <v>86.536120579711493</v>
      </c>
      <c r="AM8548">
        <v>90.438870686968897</v>
      </c>
      <c r="AN8548">
        <v>0.99999999557195296</v>
      </c>
    </row>
    <row r="8549" spans="1:40" x14ac:dyDescent="0.25">
      <c r="A8549" t="str">
        <f>"20190312160535753"</f>
        <v>20190312160535753</v>
      </c>
      <c r="B8549" t="str">
        <f>"1552377935743243"</f>
        <v>1552377935743243</v>
      </c>
      <c r="C8549" t="s">
        <v>40</v>
      </c>
      <c r="D8549">
        <v>4.9500950000000001</v>
      </c>
      <c r="E8549">
        <v>0.57935230000000004</v>
      </c>
      <c r="F8549" t="s">
        <v>49</v>
      </c>
      <c r="G8549">
        <v>-187.60210000000001</v>
      </c>
      <c r="H8549">
        <v>0.92664360000000001</v>
      </c>
      <c r="I8549">
        <v>65.870099999999994</v>
      </c>
      <c r="J8549">
        <v>-187.7713</v>
      </c>
      <c r="K8549">
        <v>1.109874</v>
      </c>
      <c r="L8549">
        <v>65.256500000000003</v>
      </c>
      <c r="M8549">
        <v>-9.4655E-3</v>
      </c>
      <c r="N8549">
        <v>0</v>
      </c>
      <c r="O8549">
        <v>0.99990570000000001</v>
      </c>
      <c r="P8549">
        <v>-1.6795790000000001E-2</v>
      </c>
      <c r="Q8549">
        <v>5.0150769999999997E-2</v>
      </c>
      <c r="R8549">
        <v>0.99860040000000005</v>
      </c>
      <c r="S8549">
        <v>0.60623169999999904</v>
      </c>
      <c r="T8549">
        <v>-0.6655295</v>
      </c>
      <c r="U8549">
        <v>3.0483090000000002</v>
      </c>
      <c r="V8549">
        <v>-7.3350189999999999E-3</v>
      </c>
      <c r="W8549">
        <v>6.0088009999999997E-2</v>
      </c>
      <c r="X8549">
        <v>0.99816609999999995</v>
      </c>
      <c r="Y8549">
        <v>0.20001279999999999</v>
      </c>
      <c r="Z8549">
        <v>-0.20917540000000001</v>
      </c>
      <c r="AA8549">
        <v>0.95720450000000001</v>
      </c>
      <c r="AB8549">
        <v>23</v>
      </c>
      <c r="AC8549">
        <v>0.169199999999989</v>
      </c>
      <c r="AD8549">
        <v>-0.18323039999999999</v>
      </c>
      <c r="AE8549">
        <v>0.61359999999999004</v>
      </c>
      <c r="AF8549">
        <v>0.16160827645325801</v>
      </c>
      <c r="AG8549">
        <v>-0.18323039999999999</v>
      </c>
      <c r="AH8549">
        <v>0.56513794392693895</v>
      </c>
      <c r="AI8549">
        <v>107.31367618005601</v>
      </c>
      <c r="AJ8549">
        <v>74.041455052469601</v>
      </c>
      <c r="AK8549">
        <v>0.61568783500108304</v>
      </c>
      <c r="AL8549">
        <v>86.555135403557102</v>
      </c>
      <c r="AM8549">
        <v>90.421030194030905</v>
      </c>
      <c r="AN8549">
        <v>0.99999996731934904</v>
      </c>
    </row>
    <row r="8550" spans="1:40" x14ac:dyDescent="0.25">
      <c r="A8550" t="str">
        <f>"20190312160535765"</f>
        <v>20190312160535765</v>
      </c>
      <c r="B8550" t="str">
        <f>"1552377935753977"</f>
        <v>1552377935753977</v>
      </c>
      <c r="C8550" t="s">
        <v>40</v>
      </c>
      <c r="D8550">
        <v>4.9930379999999897</v>
      </c>
      <c r="E8550">
        <v>0.57936599999999905</v>
      </c>
      <c r="F8550" t="s">
        <v>49</v>
      </c>
      <c r="G8550">
        <v>-187.6063</v>
      </c>
      <c r="H8550">
        <v>0.92963759999999995</v>
      </c>
      <c r="I8550">
        <v>66.074269999999999</v>
      </c>
      <c r="J8550">
        <v>-187.7724</v>
      </c>
      <c r="K8550">
        <v>1.1098669999999999</v>
      </c>
      <c r="L8550">
        <v>65.381590000000003</v>
      </c>
      <c r="M8550">
        <v>-9.4341330000000008E-3</v>
      </c>
      <c r="N8550">
        <v>0</v>
      </c>
      <c r="O8550">
        <v>0.99990619999999997</v>
      </c>
      <c r="P8550">
        <v>-1.6545270000000001E-2</v>
      </c>
      <c r="Q8550">
        <v>4.97236E-2</v>
      </c>
      <c r="R8550">
        <v>0.99862600000000001</v>
      </c>
      <c r="S8550">
        <v>0.61444089999999996</v>
      </c>
      <c r="T8550">
        <v>-0.67184069999999996</v>
      </c>
      <c r="U8550">
        <v>3.048279</v>
      </c>
      <c r="V8550">
        <v>-7.1153149999999997E-3</v>
      </c>
      <c r="W8550">
        <v>5.9642489999999999E-2</v>
      </c>
      <c r="X8550">
        <v>0.99819449999999998</v>
      </c>
      <c r="Y8550">
        <v>0.2023856</v>
      </c>
      <c r="Z8550">
        <v>-0.2109665</v>
      </c>
      <c r="AA8550">
        <v>0.9563123</v>
      </c>
      <c r="AB8550">
        <v>23</v>
      </c>
      <c r="AC8550">
        <v>0.1661</v>
      </c>
      <c r="AD8550">
        <v>-0.18022939999999901</v>
      </c>
      <c r="AE8550">
        <v>0.69267999999999497</v>
      </c>
      <c r="AF8550">
        <v>0.16224132401814401</v>
      </c>
      <c r="AG8550">
        <v>-0.18022939999999901</v>
      </c>
      <c r="AH8550">
        <v>0.64950196439714203</v>
      </c>
      <c r="AI8550">
        <v>105.067730011349</v>
      </c>
      <c r="AJ8550">
        <v>75.974896406622904</v>
      </c>
      <c r="AK8550">
        <v>0.69329480424943801</v>
      </c>
      <c r="AL8550">
        <v>86.580707992281702</v>
      </c>
      <c r="AM8550">
        <v>90.408407995415402</v>
      </c>
      <c r="AN8550">
        <v>1.00000005707559</v>
      </c>
    </row>
    <row r="8551" spans="1:40" x14ac:dyDescent="0.25">
      <c r="A8551" t="str">
        <f>"20190312160535779"</f>
        <v>20190312160535779</v>
      </c>
      <c r="B8551" t="str">
        <f>"1552377935773496"</f>
        <v>1552377935773496</v>
      </c>
      <c r="C8551" t="s">
        <v>40</v>
      </c>
      <c r="D8551">
        <v>5.0317959999999999</v>
      </c>
      <c r="E8551">
        <v>0.57939240000000003</v>
      </c>
      <c r="F8551" t="s">
        <v>49</v>
      </c>
      <c r="G8551">
        <v>-187.63040000000001</v>
      </c>
      <c r="H8551">
        <v>0.95445849999999999</v>
      </c>
      <c r="I8551">
        <v>66.084059999999994</v>
      </c>
      <c r="J8551">
        <v>-187.77359999999999</v>
      </c>
      <c r="K8551">
        <v>1.1098619999999999</v>
      </c>
      <c r="L8551">
        <v>65.510959999999997</v>
      </c>
      <c r="M8551">
        <v>-9.4017019999999996E-3</v>
      </c>
      <c r="N8551">
        <v>0</v>
      </c>
      <c r="O8551">
        <v>0.99990670000000004</v>
      </c>
      <c r="P8551">
        <v>-1.6602929999999998E-2</v>
      </c>
      <c r="Q8551">
        <v>4.9254010000000001E-2</v>
      </c>
      <c r="R8551">
        <v>0.99864830000000004</v>
      </c>
      <c r="S8551">
        <v>0.61555479999999996</v>
      </c>
      <c r="T8551">
        <v>-0.67428399999999999</v>
      </c>
      <c r="U8551">
        <v>3.047882</v>
      </c>
      <c r="V8551">
        <v>-7.2050079999999997E-3</v>
      </c>
      <c r="W8551">
        <v>5.915459E-2</v>
      </c>
      <c r="X8551">
        <v>0.99822279999999997</v>
      </c>
      <c r="Y8551">
        <v>0.202682</v>
      </c>
      <c r="Z8551">
        <v>-0.2117108</v>
      </c>
      <c r="AA8551">
        <v>0.95608499999999996</v>
      </c>
      <c r="AB8551">
        <v>23</v>
      </c>
      <c r="AC8551">
        <v>0.14319999999997801</v>
      </c>
      <c r="AD8551">
        <v>-0.1554035</v>
      </c>
      <c r="AE8551">
        <v>0.57309999999999595</v>
      </c>
      <c r="AF8551">
        <v>0.13896454192957</v>
      </c>
      <c r="AG8551">
        <v>-0.1554035</v>
      </c>
      <c r="AH8551">
        <v>0.53472110609096002</v>
      </c>
      <c r="AI8551">
        <v>105.710326334966</v>
      </c>
      <c r="AJ8551">
        <v>75.432101588387098</v>
      </c>
      <c r="AK8551">
        <v>0.57392338602385295</v>
      </c>
      <c r="AL8551">
        <v>86.608711744935306</v>
      </c>
      <c r="AM8551">
        <v>90.413544332113801</v>
      </c>
      <c r="AN8551">
        <v>0.99999996804909297</v>
      </c>
    </row>
    <row r="8552" spans="1:40" x14ac:dyDescent="0.25">
      <c r="A8552" t="str">
        <f>"20190312160535797"</f>
        <v>20190312160535797</v>
      </c>
      <c r="B8552" t="str">
        <f>"1552377935793992"</f>
        <v>1552377935793992</v>
      </c>
      <c r="C8552" t="s">
        <v>40</v>
      </c>
      <c r="D8552">
        <v>5.086246</v>
      </c>
      <c r="E8552">
        <v>0.57920389999999999</v>
      </c>
      <c r="F8552" t="s">
        <v>49</v>
      </c>
      <c r="G8552">
        <v>-187.61789999999999</v>
      </c>
      <c r="H8552">
        <v>0.93827450000000001</v>
      </c>
      <c r="I8552">
        <v>66.280730000000005</v>
      </c>
      <c r="J8552">
        <v>-187.77539999999999</v>
      </c>
      <c r="K8552">
        <v>1.109847</v>
      </c>
      <c r="L8552">
        <v>65.707949999999997</v>
      </c>
      <c r="M8552">
        <v>-9.3521880000000009E-3</v>
      </c>
      <c r="N8552">
        <v>0</v>
      </c>
      <c r="O8552">
        <v>0.9999074</v>
      </c>
      <c r="P8552">
        <v>-1.7369780000000001E-2</v>
      </c>
      <c r="Q8552">
        <v>4.8177850000000001E-2</v>
      </c>
      <c r="R8552">
        <v>0.99868769999999996</v>
      </c>
      <c r="S8552">
        <v>0.61564640000000004</v>
      </c>
      <c r="T8552">
        <v>-0.67938180000000004</v>
      </c>
      <c r="U8552">
        <v>3.0477910000000001</v>
      </c>
      <c r="V8552">
        <v>-8.0213719999999902E-3</v>
      </c>
      <c r="W8552">
        <v>5.8053090000000002E-2</v>
      </c>
      <c r="X8552">
        <v>0.99828130000000004</v>
      </c>
      <c r="Y8552">
        <v>0.20260059999999999</v>
      </c>
      <c r="Z8552">
        <v>-0.21324460000000001</v>
      </c>
      <c r="AA8552">
        <v>0.95576130000000004</v>
      </c>
      <c r="AB8552">
        <v>23</v>
      </c>
      <c r="AC8552">
        <v>0.157499999999998</v>
      </c>
      <c r="AD8552">
        <v>-0.17157249999999899</v>
      </c>
      <c r="AE8552">
        <v>0.57278000000000795</v>
      </c>
      <c r="AF8552">
        <v>0.150311316398894</v>
      </c>
      <c r="AG8552">
        <v>-0.17157249999999899</v>
      </c>
      <c r="AH8552">
        <v>0.52729550173453799</v>
      </c>
      <c r="AI8552">
        <v>107.375767925018</v>
      </c>
      <c r="AJ8552">
        <v>74.089222332408795</v>
      </c>
      <c r="AK8552">
        <v>0.57451819879208099</v>
      </c>
      <c r="AL8552">
        <v>86.671931908740405</v>
      </c>
      <c r="AM8552">
        <v>90.460372112407995</v>
      </c>
      <c r="AN8552">
        <v>1.0000000287985</v>
      </c>
    </row>
    <row r="8553" spans="1:40" x14ac:dyDescent="0.25">
      <c r="A8553" t="str">
        <f>"20190312160535810"</f>
        <v>20190312160535810</v>
      </c>
      <c r="B8553" t="str">
        <f>"1552377935804022"</f>
        <v>1552377935804022</v>
      </c>
      <c r="C8553" t="s">
        <v>40</v>
      </c>
      <c r="D8553">
        <v>5.1182299999999996</v>
      </c>
      <c r="E8553">
        <v>0.57922419999999997</v>
      </c>
      <c r="F8553" t="s">
        <v>49</v>
      </c>
      <c r="G8553">
        <v>-187.6198</v>
      </c>
      <c r="H8553">
        <v>0.93560100000000002</v>
      </c>
      <c r="I8553">
        <v>66.483279999999993</v>
      </c>
      <c r="J8553">
        <v>-187.7766</v>
      </c>
      <c r="K8553">
        <v>1.1098380000000001</v>
      </c>
      <c r="L8553">
        <v>65.839749999999995</v>
      </c>
      <c r="M8553">
        <v>-9.3190400000000007E-3</v>
      </c>
      <c r="N8553">
        <v>0</v>
      </c>
      <c r="O8553">
        <v>0.99990789999999996</v>
      </c>
      <c r="P8553">
        <v>-1.7937950000000001E-2</v>
      </c>
      <c r="Q8553">
        <v>4.736506E-2</v>
      </c>
      <c r="R8553">
        <v>0.99871659999999995</v>
      </c>
      <c r="S8553">
        <v>0.6114655</v>
      </c>
      <c r="T8553">
        <v>-0.68490769999999901</v>
      </c>
      <c r="U8553">
        <v>3.0476070000000002</v>
      </c>
      <c r="V8553">
        <v>-8.6225169999999997E-3</v>
      </c>
      <c r="W8553">
        <v>5.7224780000000003E-2</v>
      </c>
      <c r="X8553">
        <v>0.99832410000000005</v>
      </c>
      <c r="Y8553">
        <v>0.2012447</v>
      </c>
      <c r="Z8553">
        <v>-0.21496750000000001</v>
      </c>
      <c r="AA8553">
        <v>0.95566180000000001</v>
      </c>
      <c r="AB8553">
        <v>23</v>
      </c>
      <c r="AC8553">
        <v>0.15680000000000399</v>
      </c>
      <c r="AD8553">
        <v>-0.174236999999999</v>
      </c>
      <c r="AE8553">
        <v>0.64353000000001204</v>
      </c>
      <c r="AF8553">
        <v>0.15225477384390601</v>
      </c>
      <c r="AG8553">
        <v>-0.174236999999999</v>
      </c>
      <c r="AH8553">
        <v>0.60048793737231099</v>
      </c>
      <c r="AI8553">
        <v>105.70911517469099</v>
      </c>
      <c r="AJ8553">
        <v>75.772386912650205</v>
      </c>
      <c r="AK8553">
        <v>0.64352607659434602</v>
      </c>
      <c r="AL8553">
        <v>86.719469565333696</v>
      </c>
      <c r="AM8553">
        <v>90.494850869417903</v>
      </c>
      <c r="AN8553">
        <v>1.0000000159431299</v>
      </c>
    </row>
    <row r="8554" spans="1:40" x14ac:dyDescent="0.25">
      <c r="A8554" t="str">
        <f>"20190312160535832"</f>
        <v>20190312160535832</v>
      </c>
      <c r="B8554" t="str">
        <f>"1552377935823546"</f>
        <v>1552377935823546</v>
      </c>
      <c r="C8554" t="s">
        <v>40</v>
      </c>
      <c r="D8554">
        <v>5.1181650000000003</v>
      </c>
      <c r="E8554">
        <v>0.57884460000000004</v>
      </c>
      <c r="F8554" t="s">
        <v>49</v>
      </c>
      <c r="G8554">
        <v>-187.608</v>
      </c>
      <c r="H8554">
        <v>0.91981380000000001</v>
      </c>
      <c r="I8554">
        <v>66.68141</v>
      </c>
      <c r="J8554">
        <v>-187.77850000000001</v>
      </c>
      <c r="K8554">
        <v>1.1098319999999999</v>
      </c>
      <c r="L8554">
        <v>66.057500000000005</v>
      </c>
      <c r="M8554">
        <v>-9.2644370000000004E-3</v>
      </c>
      <c r="N8554">
        <v>0</v>
      </c>
      <c r="O8554">
        <v>0.99990860000000004</v>
      </c>
      <c r="P8554">
        <v>-1.9333889999999999E-2</v>
      </c>
      <c r="Q8554">
        <v>4.7423899999999998E-2</v>
      </c>
      <c r="R8554">
        <v>0.99868769999999996</v>
      </c>
      <c r="S8554">
        <v>0.60983279999999995</v>
      </c>
      <c r="T8554">
        <v>-0.68804299999999996</v>
      </c>
      <c r="U8554">
        <v>3.0474549999999998</v>
      </c>
      <c r="V8554">
        <v>-1.0072970000000001E-2</v>
      </c>
      <c r="W8554">
        <v>5.7259049999999999E-2</v>
      </c>
      <c r="X8554">
        <v>0.99830850000000004</v>
      </c>
      <c r="Y8554">
        <v>0.20066619999999999</v>
      </c>
      <c r="Z8554">
        <v>-0.21593879999999999</v>
      </c>
      <c r="AA8554">
        <v>0.95556450000000004</v>
      </c>
      <c r="AB8554">
        <v>23</v>
      </c>
      <c r="AC8554">
        <v>0.17050000000000401</v>
      </c>
      <c r="AD8554">
        <v>-0.190018199999999</v>
      </c>
      <c r="AE8554">
        <v>0.62390999999999497</v>
      </c>
      <c r="AF8554">
        <v>0.162267619605276</v>
      </c>
      <c r="AG8554">
        <v>-0.190018199999999</v>
      </c>
      <c r="AH8554">
        <v>0.57285936303254703</v>
      </c>
      <c r="AI8554">
        <v>107.700218307949</v>
      </c>
      <c r="AJ8554">
        <v>74.184744057288697</v>
      </c>
      <c r="AK8554">
        <v>0.62498443702036099</v>
      </c>
      <c r="AL8554">
        <v>86.717502638086799</v>
      </c>
      <c r="AM8554">
        <v>90.578096934380795</v>
      </c>
      <c r="AN8554">
        <v>0.99999996235188604</v>
      </c>
    </row>
    <row r="8555" spans="1:40" x14ac:dyDescent="0.25">
      <c r="A8555" t="str">
        <f>"20190312160535853"</f>
        <v>20190312160535853</v>
      </c>
      <c r="B8555" t="str">
        <f>"1552377935844042"</f>
        <v>1552377935844042</v>
      </c>
      <c r="C8555" t="s">
        <v>40</v>
      </c>
      <c r="D8555">
        <v>5.1614829999999996</v>
      </c>
      <c r="E8555">
        <v>0.57839469999999904</v>
      </c>
      <c r="F8555" t="s">
        <v>49</v>
      </c>
      <c r="G8555">
        <v>-187.6146</v>
      </c>
      <c r="H8555">
        <v>0.92265090000000005</v>
      </c>
      <c r="I8555">
        <v>66.886719999999997</v>
      </c>
      <c r="J8555">
        <v>-187.78049999999999</v>
      </c>
      <c r="K8555">
        <v>1.1098319999999999</v>
      </c>
      <c r="L8555">
        <v>66.277979999999999</v>
      </c>
      <c r="M8555">
        <v>-9.2091840000000005E-3</v>
      </c>
      <c r="N8555">
        <v>0</v>
      </c>
      <c r="O8555">
        <v>0.99990939999999995</v>
      </c>
      <c r="P8555">
        <v>-2.1071079999999999E-2</v>
      </c>
      <c r="Q8555">
        <v>4.749366E-2</v>
      </c>
      <c r="R8555">
        <v>0.99864920000000001</v>
      </c>
      <c r="S8555">
        <v>0.60260009999999997</v>
      </c>
      <c r="T8555">
        <v>-0.68809119999999901</v>
      </c>
      <c r="U8555">
        <v>3.048279</v>
      </c>
      <c r="V8555">
        <v>-1.1866140000000001E-2</v>
      </c>
      <c r="W8555">
        <v>5.7301419999999999E-2</v>
      </c>
      <c r="X8555">
        <v>0.99828640000000002</v>
      </c>
      <c r="Y8555">
        <v>0.19837850000000001</v>
      </c>
      <c r="Z8555">
        <v>-0.21599689999999999</v>
      </c>
      <c r="AA8555">
        <v>0.95602889999999996</v>
      </c>
      <c r="AB8555">
        <v>23</v>
      </c>
      <c r="AC8555">
        <v>0.165899999999993</v>
      </c>
      <c r="AD8555">
        <v>-0.18718109999999899</v>
      </c>
      <c r="AE8555">
        <v>0.60873999999999695</v>
      </c>
      <c r="AF8555">
        <v>0.157626118895659</v>
      </c>
      <c r="AG8555">
        <v>-0.18718109999999899</v>
      </c>
      <c r="AH8555">
        <v>0.55806908978417302</v>
      </c>
      <c r="AI8555">
        <v>107.889052138148</v>
      </c>
      <c r="AJ8555">
        <v>74.227714252293595</v>
      </c>
      <c r="AK8555">
        <v>0.60936349293984904</v>
      </c>
      <c r="AL8555">
        <v>86.715071138105699</v>
      </c>
      <c r="AM8555">
        <v>90.681014710770597</v>
      </c>
      <c r="AN8555">
        <v>0.999999997218738</v>
      </c>
    </row>
    <row r="8556" spans="1:40" x14ac:dyDescent="0.25">
      <c r="A8556" t="str">
        <f>"20190312160535867"</f>
        <v>20190312160535867</v>
      </c>
      <c r="B8556" t="str">
        <f>"1552377935853798"</f>
        <v>1552377935853798</v>
      </c>
      <c r="C8556" t="s">
        <v>40</v>
      </c>
      <c r="D8556">
        <v>5.1694139999999997</v>
      </c>
      <c r="E8556">
        <v>0.57818819999999904</v>
      </c>
      <c r="F8556" t="s">
        <v>49</v>
      </c>
      <c r="G8556">
        <v>-187.6217</v>
      </c>
      <c r="H8556">
        <v>0.92608979999999996</v>
      </c>
      <c r="I8556">
        <v>67.092579999999998</v>
      </c>
      <c r="J8556">
        <v>-187.7817</v>
      </c>
      <c r="K8556">
        <v>1.1098269999999999</v>
      </c>
      <c r="L8556">
        <v>66.416319999999999</v>
      </c>
      <c r="M8556">
        <v>-9.1745339999999998E-3</v>
      </c>
      <c r="N8556">
        <v>0</v>
      </c>
      <c r="O8556">
        <v>0.99990990000000002</v>
      </c>
      <c r="P8556">
        <v>-2.156257E-2</v>
      </c>
      <c r="Q8556">
        <v>4.7175799999999997E-2</v>
      </c>
      <c r="R8556">
        <v>0.99865380000000004</v>
      </c>
      <c r="S8556">
        <v>0.59393309999999999</v>
      </c>
      <c r="T8556">
        <v>-0.68779250000000003</v>
      </c>
      <c r="U8556">
        <v>3.0492859999999999</v>
      </c>
      <c r="V8556">
        <v>-1.2391900000000001E-2</v>
      </c>
      <c r="W8556">
        <v>5.6965309999999998E-2</v>
      </c>
      <c r="X8556">
        <v>0.99829920000000005</v>
      </c>
      <c r="Y8556">
        <v>0.1956688</v>
      </c>
      <c r="Z8556">
        <v>-0.21595619999999999</v>
      </c>
      <c r="AA8556">
        <v>0.95659640000000001</v>
      </c>
      <c r="AB8556">
        <v>23</v>
      </c>
      <c r="AC8556">
        <v>0.15999999999999601</v>
      </c>
      <c r="AD8556">
        <v>-0.18373719999999999</v>
      </c>
      <c r="AE8556">
        <v>0.67625999999999897</v>
      </c>
      <c r="AF8556">
        <v>0.155338871567791</v>
      </c>
      <c r="AG8556">
        <v>-0.18373719999999999</v>
      </c>
      <c r="AH8556">
        <v>0.63067575203363202</v>
      </c>
      <c r="AI8556">
        <v>105.79512358411699</v>
      </c>
      <c r="AJ8556">
        <v>76.163159588530107</v>
      </c>
      <c r="AK8556">
        <v>0.67501216869548497</v>
      </c>
      <c r="AL8556">
        <v>86.734360173633107</v>
      </c>
      <c r="AM8556">
        <v>90.711176676348003</v>
      </c>
      <c r="AN8556">
        <v>0.99999994922482105</v>
      </c>
    </row>
    <row r="8557" spans="1:40" x14ac:dyDescent="0.25">
      <c r="A8557" t="str">
        <f>"20190312160535888"</f>
        <v>20190312160535888</v>
      </c>
      <c r="B8557" t="str">
        <f>"1552377935884055"</f>
        <v>1552377935884055</v>
      </c>
      <c r="C8557" t="s">
        <v>40</v>
      </c>
      <c r="D8557">
        <v>5.2691400000000002</v>
      </c>
      <c r="E8557">
        <v>0.57756790000000002</v>
      </c>
      <c r="F8557" t="s">
        <v>49</v>
      </c>
      <c r="G8557">
        <v>-187.6121</v>
      </c>
      <c r="H8557">
        <v>0.91149539999999996</v>
      </c>
      <c r="I8557">
        <v>67.292169999999999</v>
      </c>
      <c r="J8557">
        <v>-187.78370000000001</v>
      </c>
      <c r="K8557">
        <v>1.1098170000000001</v>
      </c>
      <c r="L8557">
        <v>66.637419999999906</v>
      </c>
      <c r="M8557">
        <v>-9.1189879999999997E-3</v>
      </c>
      <c r="N8557">
        <v>0</v>
      </c>
      <c r="O8557">
        <v>0.99991070000000004</v>
      </c>
      <c r="P8557">
        <v>-2.10657E-2</v>
      </c>
      <c r="Q8557">
        <v>4.57889E-2</v>
      </c>
      <c r="R8557">
        <v>0.99872899999999998</v>
      </c>
      <c r="S8557">
        <v>0.59072880000000005</v>
      </c>
      <c r="T8557">
        <v>-0.69051969999999996</v>
      </c>
      <c r="U8557">
        <v>3.0494080000000001</v>
      </c>
      <c r="V8557">
        <v>-1.195015E-2</v>
      </c>
      <c r="W8557">
        <v>5.5550879999999997E-2</v>
      </c>
      <c r="X8557">
        <v>0.99838439999999995</v>
      </c>
      <c r="Y8557">
        <v>0.19460259999999999</v>
      </c>
      <c r="Z8557">
        <v>-0.21680740000000001</v>
      </c>
      <c r="AA8557">
        <v>0.95662130000000001</v>
      </c>
      <c r="AB8557">
        <v>23</v>
      </c>
      <c r="AC8557">
        <v>0.17160000000001199</v>
      </c>
      <c r="AD8557">
        <v>-0.19832159999999999</v>
      </c>
      <c r="AE8557">
        <v>0.65475000000000705</v>
      </c>
      <c r="AF8557">
        <v>0.16352524176441</v>
      </c>
      <c r="AG8557">
        <v>-0.19832159999999999</v>
      </c>
      <c r="AH8557">
        <v>0.60151785614453102</v>
      </c>
      <c r="AI8557">
        <v>107.64872326816599</v>
      </c>
      <c r="AJ8557">
        <v>74.791444187806803</v>
      </c>
      <c r="AK8557">
        <v>0.65413736552912305</v>
      </c>
      <c r="AL8557">
        <v>86.815529952928102</v>
      </c>
      <c r="AM8557">
        <v>90.685768391419103</v>
      </c>
      <c r="AN8557">
        <v>1.00000005825857</v>
      </c>
    </row>
    <row r="8558" spans="1:40" x14ac:dyDescent="0.25">
      <c r="A8558" t="str">
        <f>"20190312160535911"</f>
        <v>20190312160535911</v>
      </c>
      <c r="B8558" t="str">
        <f>"1552377935903575"</f>
        <v>1552377935903575</v>
      </c>
      <c r="C8558" t="s">
        <v>40</v>
      </c>
      <c r="D8558">
        <v>5.2095289999999999</v>
      </c>
      <c r="E8558">
        <v>0.57721979999999995</v>
      </c>
      <c r="F8558" t="s">
        <v>49</v>
      </c>
      <c r="G8558">
        <v>-187.6181</v>
      </c>
      <c r="H8558">
        <v>0.91421330000000001</v>
      </c>
      <c r="I8558">
        <v>67.498509999999996</v>
      </c>
      <c r="J8558">
        <v>-187.78569999999999</v>
      </c>
      <c r="K8558">
        <v>1.1098140000000001</v>
      </c>
      <c r="L8558">
        <v>66.869050000000001</v>
      </c>
      <c r="M8558">
        <v>-9.0612260000000003E-3</v>
      </c>
      <c r="N8558">
        <v>0</v>
      </c>
      <c r="O8558">
        <v>0.99991140000000001</v>
      </c>
      <c r="P8558">
        <v>-1.925197E-2</v>
      </c>
      <c r="Q8558">
        <v>4.541473E-2</v>
      </c>
      <c r="R8558">
        <v>0.99878270000000002</v>
      </c>
      <c r="S8558">
        <v>0.58567809999999998</v>
      </c>
      <c r="T8558">
        <v>-0.69235849999999999</v>
      </c>
      <c r="U8558">
        <v>3.0479129999999999</v>
      </c>
      <c r="V8558">
        <v>-1.019319E-2</v>
      </c>
      <c r="W8558">
        <v>5.5151909999999998E-2</v>
      </c>
      <c r="X8558">
        <v>0.99842600000000004</v>
      </c>
      <c r="Y8558">
        <v>0.1930751</v>
      </c>
      <c r="Z8558">
        <v>-0.2175221</v>
      </c>
      <c r="AA8558">
        <v>0.95676859999999997</v>
      </c>
      <c r="AB8558">
        <v>23</v>
      </c>
      <c r="AC8558">
        <v>0.167599999999993</v>
      </c>
      <c r="AD8558">
        <v>-0.19560069999999899</v>
      </c>
      <c r="AE8558">
        <v>0.62945999999999402</v>
      </c>
      <c r="AF8558">
        <v>0.158963470747393</v>
      </c>
      <c r="AG8558">
        <v>-0.19560069999999899</v>
      </c>
      <c r="AH8558">
        <v>0.57597982053396202</v>
      </c>
      <c r="AI8558">
        <v>108.126268249294</v>
      </c>
      <c r="AJ8558">
        <v>74.5711382687671</v>
      </c>
      <c r="AK8558">
        <v>0.62871438072854902</v>
      </c>
      <c r="AL8558">
        <v>86.8384243399572</v>
      </c>
      <c r="AM8558">
        <v>90.584927152544395</v>
      </c>
      <c r="AN8558">
        <v>1.00000005588751</v>
      </c>
    </row>
    <row r="8559" spans="1:40" x14ac:dyDescent="0.25">
      <c r="A8559" t="str">
        <f>"20190312160535932"</f>
        <v>20190312160535932</v>
      </c>
      <c r="B8559" t="str">
        <f>"1552377935924071"</f>
        <v>1552377935924071</v>
      </c>
      <c r="C8559" t="s">
        <v>40</v>
      </c>
      <c r="D8559">
        <v>5.2333179999999997</v>
      </c>
      <c r="E8559">
        <v>0.54271819999999904</v>
      </c>
      <c r="F8559" t="s">
        <v>49</v>
      </c>
      <c r="G8559">
        <v>-187.62450000000001</v>
      </c>
      <c r="H8559">
        <v>0.91960379999999997</v>
      </c>
      <c r="I8559">
        <v>67.706339999999997</v>
      </c>
      <c r="J8559">
        <v>-187.7877</v>
      </c>
      <c r="K8559">
        <v>1.1098190000000001</v>
      </c>
      <c r="L8559">
        <v>67.090389999999999</v>
      </c>
      <c r="M8559">
        <v>-9.0058540000000006E-3</v>
      </c>
      <c r="N8559">
        <v>0</v>
      </c>
      <c r="O8559">
        <v>0.99991209999999997</v>
      </c>
      <c r="P8559">
        <v>-1.6703530000000001E-2</v>
      </c>
      <c r="Q8559">
        <v>4.7489110000000001E-2</v>
      </c>
      <c r="R8559">
        <v>0.99873210000000001</v>
      </c>
      <c r="S8559">
        <v>0.58685299999999996</v>
      </c>
      <c r="T8559">
        <v>-0.69207350000000001</v>
      </c>
      <c r="U8559">
        <v>3.0464479999999998</v>
      </c>
      <c r="V8559">
        <v>-7.7009119999999999E-3</v>
      </c>
      <c r="W8559">
        <v>5.72043E-2</v>
      </c>
      <c r="X8559">
        <v>0.99833280000000002</v>
      </c>
      <c r="Y8559">
        <v>0.193462</v>
      </c>
      <c r="Z8559">
        <v>-0.21751889999999999</v>
      </c>
      <c r="AA8559">
        <v>0.95669110000000002</v>
      </c>
      <c r="AB8559">
        <v>23</v>
      </c>
      <c r="AC8559">
        <v>0.16319999999998899</v>
      </c>
      <c r="AD8559">
        <v>-0.1902152</v>
      </c>
      <c r="AE8559">
        <v>0.615949999999997</v>
      </c>
      <c r="AF8559">
        <v>0.154934365390968</v>
      </c>
      <c r="AG8559">
        <v>-0.1902152</v>
      </c>
      <c r="AH8559">
        <v>0.56418024456678495</v>
      </c>
      <c r="AI8559">
        <v>108.010207067484</v>
      </c>
      <c r="AJ8559">
        <v>74.6440691504597</v>
      </c>
      <c r="AK8559">
        <v>0.61521201894109601</v>
      </c>
      <c r="AL8559">
        <v>86.720644881368898</v>
      </c>
      <c r="AM8559">
        <v>90.441957837027104</v>
      </c>
      <c r="AN8559">
        <v>1.00000000776998</v>
      </c>
    </row>
    <row r="8560" spans="1:40" x14ac:dyDescent="0.25">
      <c r="A8560" t="str">
        <f>"20190312160535954"</f>
        <v>20190312160535954</v>
      </c>
      <c r="B8560" t="str">
        <f>"1552377935943594"</f>
        <v>1552377935943594</v>
      </c>
      <c r="C8560" t="s">
        <v>40</v>
      </c>
      <c r="D8560">
        <v>5.2628219999999999</v>
      </c>
      <c r="E8560">
        <v>0.51904830000000002</v>
      </c>
      <c r="F8560" t="s">
        <v>49</v>
      </c>
      <c r="G8560">
        <v>-187.70009999999999</v>
      </c>
      <c r="H8560">
        <v>0.99533510000000003</v>
      </c>
      <c r="I8560">
        <v>67.94453</v>
      </c>
      <c r="J8560">
        <v>-187.78960000000001</v>
      </c>
      <c r="K8560">
        <v>1.109831</v>
      </c>
      <c r="L8560">
        <v>67.311800000000005</v>
      </c>
      <c r="M8560">
        <v>-8.9504760000000006E-3</v>
      </c>
      <c r="N8560">
        <v>0</v>
      </c>
      <c r="O8560">
        <v>0.99991280000000005</v>
      </c>
      <c r="P8560">
        <v>-1.485742E-2</v>
      </c>
      <c r="Q8560">
        <v>4.9168379999999998E-2</v>
      </c>
      <c r="R8560">
        <v>0.99868000000000001</v>
      </c>
      <c r="S8560">
        <v>0.30992130000000001</v>
      </c>
      <c r="T8560">
        <v>-0.40590789999999999</v>
      </c>
      <c r="U8560">
        <v>3.0282900000000001</v>
      </c>
      <c r="V8560">
        <v>-5.9099349999999998E-3</v>
      </c>
      <c r="W8560">
        <v>5.8863760000000001E-2</v>
      </c>
      <c r="X8560">
        <v>0.99824849999999998</v>
      </c>
      <c r="Y8560">
        <v>0.109818</v>
      </c>
      <c r="Z8560">
        <v>-0.13210160000000001</v>
      </c>
      <c r="AA8560">
        <v>0.98513410000000001</v>
      </c>
      <c r="AB8560">
        <v>23</v>
      </c>
      <c r="AC8560">
        <v>8.9500000000015206E-2</v>
      </c>
      <c r="AD8560">
        <v>-0.114495899999999</v>
      </c>
      <c r="AE8560">
        <v>0.63272999999999502</v>
      </c>
      <c r="AF8560">
        <v>9.2200060597071698E-2</v>
      </c>
      <c r="AG8560">
        <v>-0.114495899999999</v>
      </c>
      <c r="AH8560">
        <v>0.61224880847799001</v>
      </c>
      <c r="AI8560">
        <v>100.476989578378</v>
      </c>
      <c r="AJ8560">
        <v>81.436038202130206</v>
      </c>
      <c r="AK8560">
        <v>0.62964971672639702</v>
      </c>
      <c r="AL8560">
        <v>86.625404166694395</v>
      </c>
      <c r="AM8560">
        <v>90.339204493305203</v>
      </c>
      <c r="AN8560">
        <v>0.99999996866264496</v>
      </c>
    </row>
    <row r="8561" spans="1:40" x14ac:dyDescent="0.25">
      <c r="A8561" t="str">
        <f>"20190312160535967"</f>
        <v>20190312160535967</v>
      </c>
      <c r="B8561" t="str">
        <f>"1552377935964086"</f>
        <v>1552377935964086</v>
      </c>
      <c r="C8561" t="s">
        <v>40</v>
      </c>
      <c r="D8561">
        <v>5.2788139999999997</v>
      </c>
      <c r="E8561">
        <v>0.51951579999999997</v>
      </c>
      <c r="F8561" t="s">
        <v>41</v>
      </c>
      <c r="G8561">
        <v>-186.5831</v>
      </c>
      <c r="H8561" s="1">
        <v>-4.402515E-6</v>
      </c>
      <c r="I8561">
        <v>98.482280000000003</v>
      </c>
      <c r="J8561">
        <v>-187.79079999999999</v>
      </c>
      <c r="K8561">
        <v>1.109829</v>
      </c>
      <c r="L8561">
        <v>67.448239999999998</v>
      </c>
      <c r="M8561">
        <v>-8.9163439999999997E-3</v>
      </c>
      <c r="N8561">
        <v>0</v>
      </c>
      <c r="O8561">
        <v>0.99991319999999995</v>
      </c>
      <c r="P8561">
        <v>-1.4346879999999999E-2</v>
      </c>
      <c r="Q8561">
        <v>4.9393769999999997E-2</v>
      </c>
      <c r="R8561">
        <v>0.99867640000000002</v>
      </c>
      <c r="S8561">
        <v>0.1165466</v>
      </c>
      <c r="T8561">
        <v>-0.1072061</v>
      </c>
      <c r="U8561">
        <v>3.0109560000000002</v>
      </c>
      <c r="V8561">
        <v>-5.4333890000000003E-3</v>
      </c>
      <c r="W8561">
        <v>5.9078440000000003E-2</v>
      </c>
      <c r="X8561">
        <v>0.99823859999999998</v>
      </c>
      <c r="Y8561">
        <v>4.756266E-2</v>
      </c>
      <c r="Z8561">
        <v>-3.5547250000000002E-2</v>
      </c>
      <c r="AA8561">
        <v>0.99823550000000005</v>
      </c>
      <c r="AB8561">
        <v>23</v>
      </c>
      <c r="AC8561">
        <v>1.20769999999998</v>
      </c>
      <c r="AD8561">
        <v>-1.1098334025149901</v>
      </c>
      <c r="AE8561">
        <v>31.034040000000001</v>
      </c>
      <c r="AF8561">
        <v>1.4824820932384599</v>
      </c>
      <c r="AG8561">
        <v>-1.1098334025149901</v>
      </c>
      <c r="AH8561">
        <v>30.982473676738401</v>
      </c>
      <c r="AI8561">
        <v>92.049191316245597</v>
      </c>
      <c r="AJ8561">
        <v>87.260540501807</v>
      </c>
      <c r="AK8561">
        <v>31.037769869433198</v>
      </c>
      <c r="AL8561">
        <v>86.613082717369593</v>
      </c>
      <c r="AM8561">
        <v>90.311856487933696</v>
      </c>
      <c r="AN8561">
        <v>1.0000000431594001</v>
      </c>
    </row>
    <row r="8562" spans="1:40" x14ac:dyDescent="0.25">
      <c r="A8562" t="str">
        <f>"20190312160535989"</f>
        <v>20190312160535989</v>
      </c>
      <c r="B8562" t="str">
        <f>"1552377935983607"</f>
        <v>1552377935983607</v>
      </c>
      <c r="C8562" t="s">
        <v>40</v>
      </c>
      <c r="D8562">
        <v>5.2377010000000004</v>
      </c>
      <c r="E8562">
        <v>0.52069529999999997</v>
      </c>
      <c r="F8562" t="s">
        <v>41</v>
      </c>
      <c r="G8562">
        <v>-186.3073</v>
      </c>
      <c r="H8562" s="1">
        <v>-2.5962849999999998E-6</v>
      </c>
      <c r="I8562">
        <v>104.1579</v>
      </c>
      <c r="J8562">
        <v>-187.7927</v>
      </c>
      <c r="K8562">
        <v>1.10982</v>
      </c>
      <c r="L8562">
        <v>67.670590000000004</v>
      </c>
      <c r="M8562">
        <v>-8.8609150000000005E-3</v>
      </c>
      <c r="N8562">
        <v>0</v>
      </c>
      <c r="O8562">
        <v>0.99991390000000002</v>
      </c>
      <c r="P8562">
        <v>-1.400146E-2</v>
      </c>
      <c r="Q8562">
        <v>4.93363E-2</v>
      </c>
      <c r="R8562">
        <v>0.99868409999999996</v>
      </c>
      <c r="S8562">
        <v>0.1216431</v>
      </c>
      <c r="T8562">
        <v>-9.1007110000000002E-2</v>
      </c>
      <c r="U8562">
        <v>3.0102229999999999</v>
      </c>
      <c r="V8562">
        <v>-5.1435279999999996E-3</v>
      </c>
      <c r="W8562">
        <v>5.9004649999999999E-2</v>
      </c>
      <c r="X8562">
        <v>0.99824449999999998</v>
      </c>
      <c r="Y8562">
        <v>4.921114E-2</v>
      </c>
      <c r="Z8562">
        <v>-3.0186480000000002E-2</v>
      </c>
      <c r="AA8562">
        <v>0.99833209999999994</v>
      </c>
      <c r="AB8562">
        <v>23</v>
      </c>
      <c r="AC8562">
        <v>1.4853999999999901</v>
      </c>
      <c r="AD8562">
        <v>-1.1098225962849999</v>
      </c>
      <c r="AE8562">
        <v>36.487310000000001</v>
      </c>
      <c r="AF8562">
        <v>1.8069987543782899</v>
      </c>
      <c r="AG8562">
        <v>-1.1098225962849999</v>
      </c>
      <c r="AH8562">
        <v>36.439058111872498</v>
      </c>
      <c r="AI8562">
        <v>91.742375719610905</v>
      </c>
      <c r="AJ8562">
        <v>87.161050114358304</v>
      </c>
      <c r="AK8562">
        <v>36.500711044772402</v>
      </c>
      <c r="AL8562">
        <v>86.617317961135797</v>
      </c>
      <c r="AM8562">
        <v>90.295218093592595</v>
      </c>
      <c r="AN8562">
        <v>1.0000000431910701</v>
      </c>
    </row>
    <row r="8563" spans="1:40" x14ac:dyDescent="0.25">
      <c r="A8563" t="str">
        <f>"20190312160536010"</f>
        <v>20190312160536010</v>
      </c>
      <c r="B8563" t="str">
        <f>"1552377936004103"</f>
        <v>1552377936004103</v>
      </c>
      <c r="C8563" t="s">
        <v>40</v>
      </c>
      <c r="D8563">
        <v>5.2755580000000002</v>
      </c>
      <c r="E8563">
        <v>0.52078409999999997</v>
      </c>
      <c r="F8563" t="s">
        <v>41</v>
      </c>
      <c r="G8563">
        <v>-185.8467</v>
      </c>
      <c r="H8563" s="1">
        <v>-1.945874E-6</v>
      </c>
      <c r="I8563">
        <v>112.11879999999999</v>
      </c>
      <c r="J8563">
        <v>-187.7946</v>
      </c>
      <c r="K8563">
        <v>1.109812</v>
      </c>
      <c r="L8563">
        <v>67.896850000000001</v>
      </c>
      <c r="M8563">
        <v>-8.8041549999999993E-3</v>
      </c>
      <c r="N8563">
        <v>0</v>
      </c>
      <c r="O8563">
        <v>0.99991459999999999</v>
      </c>
      <c r="P8563">
        <v>-1.4933719999999999E-2</v>
      </c>
      <c r="Q8563">
        <v>4.9230169999999997E-2</v>
      </c>
      <c r="R8563">
        <v>0.9986758</v>
      </c>
      <c r="S8563">
        <v>0.1317596</v>
      </c>
      <c r="T8563">
        <v>-7.5144409999999995E-2</v>
      </c>
      <c r="U8563">
        <v>3.0095209999999999</v>
      </c>
      <c r="V8563">
        <v>-6.1326990000000001E-3</v>
      </c>
      <c r="W8563">
        <v>5.8879460000000002E-2</v>
      </c>
      <c r="X8563">
        <v>0.99824630000000003</v>
      </c>
      <c r="Y8563">
        <v>5.251989E-2</v>
      </c>
      <c r="Z8563">
        <v>-2.4930509999999999E-2</v>
      </c>
      <c r="AA8563">
        <v>0.99830870000000005</v>
      </c>
      <c r="AB8563">
        <v>23</v>
      </c>
      <c r="AC8563">
        <v>1.9479</v>
      </c>
      <c r="AD8563">
        <v>-1.109813945874</v>
      </c>
      <c r="AE8563">
        <v>44.2219499999999</v>
      </c>
      <c r="AF8563">
        <v>2.3357113031795</v>
      </c>
      <c r="AG8563">
        <v>-1.109813945874</v>
      </c>
      <c r="AH8563">
        <v>44.175316362722597</v>
      </c>
      <c r="AI8563">
        <v>91.437129273951101</v>
      </c>
      <c r="AJ8563">
        <v>86.973379929958696</v>
      </c>
      <c r="AK8563">
        <v>44.250941346291</v>
      </c>
      <c r="AL8563">
        <v>86.624503294790998</v>
      </c>
      <c r="AM8563">
        <v>90.351990635204302</v>
      </c>
      <c r="AN8563">
        <v>1.0000000381353</v>
      </c>
    </row>
    <row r="8564" spans="1:40" x14ac:dyDescent="0.25">
      <c r="A8564" t="str">
        <f>"20190312160536033"</f>
        <v>20190312160536033</v>
      </c>
      <c r="B8564" t="str">
        <f>"1552377936023624"</f>
        <v>1552377936023624</v>
      </c>
      <c r="C8564" t="s">
        <v>40</v>
      </c>
      <c r="D8564">
        <v>5.4138320000000002</v>
      </c>
      <c r="E8564">
        <v>0.51995159999999996</v>
      </c>
      <c r="F8564" t="s">
        <v>41</v>
      </c>
      <c r="G8564">
        <v>-185.84139999999999</v>
      </c>
      <c r="H8564" s="1">
        <v>-2.3095940000000001E-6</v>
      </c>
      <c r="I8564">
        <v>113.18340000000001</v>
      </c>
      <c r="J8564">
        <v>-187.79660000000001</v>
      </c>
      <c r="K8564">
        <v>1.109804</v>
      </c>
      <c r="L8564">
        <v>68.127899999999997</v>
      </c>
      <c r="M8564">
        <v>-8.7465100000000007E-3</v>
      </c>
      <c r="N8564">
        <v>0</v>
      </c>
      <c r="O8564">
        <v>0.99991529999999995</v>
      </c>
      <c r="P8564">
        <v>-1.5825309999999999E-2</v>
      </c>
      <c r="Q8564">
        <v>4.9008950000000003E-2</v>
      </c>
      <c r="R8564">
        <v>0.99867300000000003</v>
      </c>
      <c r="S8564">
        <v>0.12980649999999999</v>
      </c>
      <c r="T8564">
        <v>-7.3753600000000002E-2</v>
      </c>
      <c r="U8564">
        <v>3.0095519999999998</v>
      </c>
      <c r="V8564">
        <v>-7.0819439999999997E-3</v>
      </c>
      <c r="W8564">
        <v>5.8634800000000001E-2</v>
      </c>
      <c r="X8564">
        <v>0.99825439999999999</v>
      </c>
      <c r="Y8564">
        <v>5.1815680000000003E-2</v>
      </c>
      <c r="Z8564">
        <v>-2.4469919999999999E-2</v>
      </c>
      <c r="AA8564">
        <v>0.99835680000000004</v>
      </c>
      <c r="AB8564">
        <v>23</v>
      </c>
      <c r="AC8564">
        <v>1.95520000000001</v>
      </c>
      <c r="AD8564">
        <v>-1.1098063095940001</v>
      </c>
      <c r="AE8564">
        <v>45.055500000000002</v>
      </c>
      <c r="AF8564">
        <v>2.3478000756343298</v>
      </c>
      <c r="AG8564">
        <v>-1.1098063095940001</v>
      </c>
      <c r="AH8564">
        <v>45.009416991073103</v>
      </c>
      <c r="AI8564">
        <v>91.410550519058802</v>
      </c>
      <c r="AJ8564">
        <v>87.014019772638306</v>
      </c>
      <c r="AK8564">
        <v>45.084270573186203</v>
      </c>
      <c r="AL8564">
        <v>86.638545480740603</v>
      </c>
      <c r="AM8564">
        <v>90.406468225765096</v>
      </c>
      <c r="AN8564">
        <v>1.0000000204106001</v>
      </c>
    </row>
    <row r="8565" spans="1:40" x14ac:dyDescent="0.25">
      <c r="A8565" t="str">
        <f>"20190312160536054"</f>
        <v>20190312160536054</v>
      </c>
      <c r="B8565" t="str">
        <f>"1552377936044122"</f>
        <v>1552377936044122</v>
      </c>
      <c r="C8565" t="s">
        <v>40</v>
      </c>
      <c r="D8565">
        <v>5.3339480000000004</v>
      </c>
      <c r="E8565">
        <v>0.52000630000000003</v>
      </c>
      <c r="F8565" t="s">
        <v>41</v>
      </c>
      <c r="G8565">
        <v>-186.18530000000001</v>
      </c>
      <c r="H8565" s="1">
        <v>-4.3927240000000001E-6</v>
      </c>
      <c r="I8565">
        <v>108.295</v>
      </c>
      <c r="J8565">
        <v>-187.79849999999999</v>
      </c>
      <c r="K8565">
        <v>1.109802</v>
      </c>
      <c r="L8565">
        <v>68.350769999999997</v>
      </c>
      <c r="M8565">
        <v>-8.6907600000000005E-3</v>
      </c>
      <c r="N8565">
        <v>0</v>
      </c>
      <c r="O8565">
        <v>0.99991600000000003</v>
      </c>
      <c r="P8565">
        <v>-1.7562990000000001E-2</v>
      </c>
      <c r="Q8565">
        <v>4.9206989999999999E-2</v>
      </c>
      <c r="R8565">
        <v>0.99863420000000003</v>
      </c>
      <c r="S8565">
        <v>0.1207428</v>
      </c>
      <c r="T8565">
        <v>-8.3165050000000004E-2</v>
      </c>
      <c r="U8565">
        <v>3.009979</v>
      </c>
      <c r="V8565">
        <v>-8.875427E-3</v>
      </c>
      <c r="W8565">
        <v>5.8807110000000003E-2</v>
      </c>
      <c r="X8565">
        <v>0.9982299</v>
      </c>
      <c r="Y8565">
        <v>4.874933E-2</v>
      </c>
      <c r="Z8565">
        <v>-2.7590170000000001E-2</v>
      </c>
      <c r="AA8565">
        <v>0.99842989999999998</v>
      </c>
      <c r="AB8565">
        <v>23</v>
      </c>
      <c r="AC8565">
        <v>1.61319999999997</v>
      </c>
      <c r="AD8565">
        <v>-1.1098063927240001</v>
      </c>
      <c r="AE8565">
        <v>39.944229999999997</v>
      </c>
      <c r="AF8565">
        <v>1.95879122113307</v>
      </c>
      <c r="AG8565">
        <v>-1.1098063927240001</v>
      </c>
      <c r="AH8565">
        <v>39.897951899852501</v>
      </c>
      <c r="AI8565">
        <v>91.591419898027794</v>
      </c>
      <c r="AJ8565">
        <v>87.189318643468994</v>
      </c>
      <c r="AK8565">
        <v>39.961420133426998</v>
      </c>
      <c r="AL8565">
        <v>86.628655681670693</v>
      </c>
      <c r="AM8565">
        <v>90.5094128206471</v>
      </c>
      <c r="AN8565">
        <v>0.99999999132249695</v>
      </c>
    </row>
    <row r="8566" spans="1:40" x14ac:dyDescent="0.25">
      <c r="A8566" t="str">
        <f>"20190312160536078"</f>
        <v>20190312160536078</v>
      </c>
      <c r="B8566" t="str">
        <f>"1552377936073399"</f>
        <v>1552377936073399</v>
      </c>
      <c r="C8566" t="s">
        <v>40</v>
      </c>
      <c r="D8566">
        <v>5.3479950000000001</v>
      </c>
      <c r="E8566">
        <v>0.52042169999999999</v>
      </c>
      <c r="F8566" t="s">
        <v>41</v>
      </c>
      <c r="G8566">
        <v>-186.30529999999999</v>
      </c>
      <c r="H8566" s="1">
        <v>-3.8605770000000004E-6</v>
      </c>
      <c r="I8566">
        <v>107.10420000000001</v>
      </c>
      <c r="J8566">
        <v>-187.8006</v>
      </c>
      <c r="K8566">
        <v>1.109799</v>
      </c>
      <c r="L8566">
        <v>68.5946</v>
      </c>
      <c r="M8566">
        <v>-8.6297790000000006E-3</v>
      </c>
      <c r="N8566">
        <v>0</v>
      </c>
      <c r="O8566">
        <v>0.9999169</v>
      </c>
      <c r="P8566">
        <v>-1.86552E-2</v>
      </c>
      <c r="Q8566">
        <v>4.9186920000000002E-2</v>
      </c>
      <c r="R8566">
        <v>0.99861540000000004</v>
      </c>
      <c r="S8566">
        <v>0.1159973</v>
      </c>
      <c r="T8566">
        <v>-8.6210969999999998E-2</v>
      </c>
      <c r="U8566">
        <v>3.0104060000000001</v>
      </c>
      <c r="V8566">
        <v>-1.002831E-2</v>
      </c>
      <c r="W8566">
        <v>5.875855E-2</v>
      </c>
      <c r="X8566">
        <v>0.9982219</v>
      </c>
      <c r="Y8566">
        <v>4.711013E-2</v>
      </c>
      <c r="Z8566">
        <v>-2.8597819999999999E-2</v>
      </c>
      <c r="AA8566">
        <v>0.99848029999999999</v>
      </c>
      <c r="AB8566">
        <v>23</v>
      </c>
      <c r="AC8566">
        <v>1.4953000000000101</v>
      </c>
      <c r="AD8566">
        <v>-1.1098028605769901</v>
      </c>
      <c r="AE8566">
        <v>38.509599999999999</v>
      </c>
      <c r="AF8566">
        <v>1.8260745723479199</v>
      </c>
      <c r="AG8566">
        <v>-1.1098028605769901</v>
      </c>
      <c r="AH8566">
        <v>38.463364412243799</v>
      </c>
      <c r="AI8566">
        <v>91.650867092081199</v>
      </c>
      <c r="AJ8566">
        <v>87.281884551781005</v>
      </c>
      <c r="AK8566">
        <v>38.522676602777601</v>
      </c>
      <c r="AL8566">
        <v>86.631442975092298</v>
      </c>
      <c r="AM8566">
        <v>90.575583955713697</v>
      </c>
      <c r="AN8566">
        <v>1.0000000479195801</v>
      </c>
    </row>
    <row r="8567" spans="1:40" x14ac:dyDescent="0.25">
      <c r="A8567" t="str">
        <f>"20190312160536101"</f>
        <v>20190312160536101</v>
      </c>
      <c r="B8567" t="str">
        <f>"1552377936093894"</f>
        <v>1552377936093894</v>
      </c>
      <c r="C8567" t="s">
        <v>40</v>
      </c>
      <c r="D8567">
        <v>5.3522619999999996</v>
      </c>
      <c r="E8567">
        <v>0.52052299999999996</v>
      </c>
      <c r="F8567" t="s">
        <v>41</v>
      </c>
      <c r="G8567">
        <v>-186.33019999999999</v>
      </c>
      <c r="H8567" s="1">
        <v>-3.7119029999999999E-6</v>
      </c>
      <c r="I8567">
        <v>106.7679</v>
      </c>
      <c r="J8567">
        <v>-187.80260000000001</v>
      </c>
      <c r="K8567">
        <v>1.1097969999999999</v>
      </c>
      <c r="L8567">
        <v>68.83417</v>
      </c>
      <c r="M8567">
        <v>-8.5700389999999998E-3</v>
      </c>
      <c r="N8567">
        <v>0</v>
      </c>
      <c r="O8567">
        <v>0.99991759999999996</v>
      </c>
      <c r="P8567">
        <v>-1.8955900000000001E-2</v>
      </c>
      <c r="Q8567">
        <v>4.9400619999999999E-2</v>
      </c>
      <c r="R8567">
        <v>0.99859920000000002</v>
      </c>
      <c r="S8567">
        <v>0.11596679999999999</v>
      </c>
      <c r="T8567">
        <v>-8.752704E-2</v>
      </c>
      <c r="U8567">
        <v>3.0106199999999999</v>
      </c>
      <c r="V8567">
        <v>-1.0388990000000001E-2</v>
      </c>
      <c r="W8567">
        <v>5.8946579999999998E-2</v>
      </c>
      <c r="X8567">
        <v>0.99820710000000001</v>
      </c>
      <c r="Y8567">
        <v>4.7037139999999998E-2</v>
      </c>
      <c r="Z8567">
        <v>-2.9032039999999999E-2</v>
      </c>
      <c r="AA8567">
        <v>0.99847109999999994</v>
      </c>
      <c r="AB8567">
        <v>23</v>
      </c>
      <c r="AC8567">
        <v>1.4724000000000199</v>
      </c>
      <c r="AD8567">
        <v>-1.109800711903</v>
      </c>
      <c r="AE8567">
        <v>37.933729999999997</v>
      </c>
      <c r="AF8567">
        <v>1.7959194470466899</v>
      </c>
      <c r="AG8567">
        <v>-1.109800711903</v>
      </c>
      <c r="AH8567">
        <v>37.8873375399072</v>
      </c>
      <c r="AI8567">
        <v>91.675954768751694</v>
      </c>
      <c r="AJ8567">
        <v>87.286121244516806</v>
      </c>
      <c r="AK8567">
        <v>37.9461108698017</v>
      </c>
      <c r="AL8567">
        <v>86.620650858014798</v>
      </c>
      <c r="AM8567">
        <v>90.596292883151094</v>
      </c>
      <c r="AN8567">
        <v>1.00000002244866</v>
      </c>
    </row>
    <row r="8568" spans="1:40" x14ac:dyDescent="0.25">
      <c r="A8568" t="str">
        <f>"20190312160536123"</f>
        <v>20190312160536123</v>
      </c>
      <c r="B8568" t="str">
        <f>"1552377936113416"</f>
        <v>1552377936113416</v>
      </c>
      <c r="C8568" t="s">
        <v>40</v>
      </c>
      <c r="D8568">
        <v>5.3965690000000004</v>
      </c>
      <c r="E8568">
        <v>0.5206712</v>
      </c>
      <c r="F8568" t="s">
        <v>41</v>
      </c>
      <c r="G8568">
        <v>-186.28620000000001</v>
      </c>
      <c r="H8568" s="1">
        <v>-4.4126010000000001E-6</v>
      </c>
      <c r="I8568">
        <v>108.383</v>
      </c>
      <c r="J8568">
        <v>-187.80449999999999</v>
      </c>
      <c r="K8568">
        <v>1.1097889999999999</v>
      </c>
      <c r="L8568">
        <v>69.065669999999997</v>
      </c>
      <c r="M8568">
        <v>-8.5122789999999993E-3</v>
      </c>
      <c r="N8568">
        <v>0</v>
      </c>
      <c r="O8568">
        <v>0.99991830000000004</v>
      </c>
      <c r="P8568">
        <v>-1.866054E-2</v>
      </c>
      <c r="Q8568">
        <v>5.0078089999999999E-2</v>
      </c>
      <c r="R8568">
        <v>0.99857099999999999</v>
      </c>
      <c r="S8568">
        <v>0.1154327</v>
      </c>
      <c r="T8568">
        <v>-8.4481719999999996E-2</v>
      </c>
      <c r="U8568">
        <v>3.0105900000000001</v>
      </c>
      <c r="V8568">
        <v>-1.0151550000000001E-2</v>
      </c>
      <c r="W8568">
        <v>5.9601550000000003E-2</v>
      </c>
      <c r="X8568">
        <v>0.99817060000000002</v>
      </c>
      <c r="Y8568">
        <v>4.6804060000000001E-2</v>
      </c>
      <c r="Z8568">
        <v>-2.8023300000000001E-2</v>
      </c>
      <c r="AA8568">
        <v>0.99851100000000004</v>
      </c>
      <c r="AB8568">
        <v>23</v>
      </c>
      <c r="AC8568">
        <v>1.51829999999998</v>
      </c>
      <c r="AD8568">
        <v>-1.1097934126009901</v>
      </c>
      <c r="AE8568">
        <v>39.317329999999998</v>
      </c>
      <c r="AF8568">
        <v>1.8514673470087899</v>
      </c>
      <c r="AG8568">
        <v>-1.1097934126009901</v>
      </c>
      <c r="AH8568">
        <v>39.271737871369197</v>
      </c>
      <c r="AI8568">
        <v>91.616915169664196</v>
      </c>
      <c r="AJ8568">
        <v>87.300787250655006</v>
      </c>
      <c r="AK8568">
        <v>39.331017889106597</v>
      </c>
      <c r="AL8568">
        <v>86.583057573129395</v>
      </c>
      <c r="AM8568">
        <v>90.582686885708199</v>
      </c>
      <c r="AN8568">
        <v>0.99999997271708196</v>
      </c>
    </row>
    <row r="8569" spans="1:40" x14ac:dyDescent="0.25">
      <c r="A8569" t="str">
        <f>"20190312160536144"</f>
        <v>20190312160536144</v>
      </c>
      <c r="B8569" t="str">
        <f>"1552377936133910"</f>
        <v>1552377936133910</v>
      </c>
      <c r="C8569" t="s">
        <v>40</v>
      </c>
      <c r="D8569">
        <v>5.3759100000000002</v>
      </c>
      <c r="E8569">
        <v>0.52118359999999997</v>
      </c>
      <c r="F8569" t="s">
        <v>41</v>
      </c>
      <c r="G8569">
        <v>-186.29679999999999</v>
      </c>
      <c r="H8569" s="1">
        <v>-4.1006890000000003E-6</v>
      </c>
      <c r="I8569">
        <v>107.6604</v>
      </c>
      <c r="J8569">
        <v>-187.80629999999999</v>
      </c>
      <c r="K8569">
        <v>1.1097870000000001</v>
      </c>
      <c r="L8569">
        <v>69.287019999999998</v>
      </c>
      <c r="M8569">
        <v>-8.4569899999999993E-3</v>
      </c>
      <c r="N8569">
        <v>0</v>
      </c>
      <c r="O8569">
        <v>0.999919</v>
      </c>
      <c r="P8569">
        <v>-1.8503019999999998E-2</v>
      </c>
      <c r="Q8569">
        <v>4.9823920000000001E-2</v>
      </c>
      <c r="R8569">
        <v>0.99858659999999999</v>
      </c>
      <c r="S8569">
        <v>0.1176147</v>
      </c>
      <c r="T8569">
        <v>-8.6576699999999895E-2</v>
      </c>
      <c r="U8569">
        <v>3.010834</v>
      </c>
      <c r="V8569">
        <v>-1.0048909999999999E-2</v>
      </c>
      <c r="W8569">
        <v>5.9324059999999998E-2</v>
      </c>
      <c r="X8569">
        <v>0.99818819999999997</v>
      </c>
      <c r="Y8569">
        <v>4.7467509999999997E-2</v>
      </c>
      <c r="Z8569">
        <v>-2.87145E-2</v>
      </c>
      <c r="AA8569">
        <v>0.99846000000000001</v>
      </c>
      <c r="AB8569">
        <v>23</v>
      </c>
      <c r="AC8569">
        <v>1.5095000000000001</v>
      </c>
      <c r="AD8569">
        <v>-1.109791100689</v>
      </c>
      <c r="AE8569">
        <v>38.373379999999997</v>
      </c>
      <c r="AF8569">
        <v>1.8324536604586299</v>
      </c>
      <c r="AG8569">
        <v>-1.109791100689</v>
      </c>
      <c r="AH8569">
        <v>38.3272332181214</v>
      </c>
      <c r="AI8569">
        <v>91.656683484997998</v>
      </c>
      <c r="AJ8569">
        <v>87.262730375567202</v>
      </c>
      <c r="AK8569">
        <v>38.387059393253402</v>
      </c>
      <c r="AL8569">
        <v>86.598984867623997</v>
      </c>
      <c r="AM8569">
        <v>90.576785702608305</v>
      </c>
      <c r="AN8569">
        <v>1.00000000365315</v>
      </c>
    </row>
    <row r="8570" spans="1:40" x14ac:dyDescent="0.25">
      <c r="A8570" t="str">
        <f>"20190312160536504"</f>
        <v>20190312160536504</v>
      </c>
      <c r="B8570" t="str">
        <f>"1552377936494075"</f>
        <v>1552377936494075</v>
      </c>
      <c r="C8570" t="s">
        <v>40</v>
      </c>
      <c r="D8570">
        <v>5.306673</v>
      </c>
      <c r="E8570">
        <v>0.52159679999999997</v>
      </c>
      <c r="F8570" t="s">
        <v>41</v>
      </c>
      <c r="G8570">
        <v>-186.26650000000001</v>
      </c>
      <c r="H8570" s="1">
        <v>-3.8744620000000001E-6</v>
      </c>
      <c r="I8570">
        <v>107.12050000000001</v>
      </c>
      <c r="J8570">
        <v>-187.83609999999999</v>
      </c>
      <c r="K8570">
        <v>1.1097349999999999</v>
      </c>
      <c r="L8570">
        <v>73.130679999999998</v>
      </c>
      <c r="M8570">
        <v>-7.4982759999999999E-3</v>
      </c>
      <c r="N8570">
        <v>0</v>
      </c>
      <c r="O8570">
        <v>0.9999285</v>
      </c>
      <c r="P8570">
        <v>-2.0129290000000001E-2</v>
      </c>
      <c r="Q8570">
        <v>4.9676390000000001E-2</v>
      </c>
      <c r="R8570">
        <v>0.99856250000000002</v>
      </c>
      <c r="S8570">
        <v>0.12254329999999999</v>
      </c>
      <c r="T8570">
        <v>-8.8321209999999997E-2</v>
      </c>
      <c r="U8570">
        <v>3.0109249999999999</v>
      </c>
      <c r="V8570">
        <v>-1.2633190000000001E-2</v>
      </c>
      <c r="W8570">
        <v>5.8983710000000002E-2</v>
      </c>
      <c r="X8570">
        <v>0.99817900000000004</v>
      </c>
      <c r="Y8570">
        <v>4.8139700000000001E-2</v>
      </c>
      <c r="Z8570">
        <v>-2.9290610000000002E-2</v>
      </c>
      <c r="AA8570">
        <v>0.9984111</v>
      </c>
      <c r="AB8570">
        <v>24</v>
      </c>
      <c r="AC8570">
        <v>1.5695999999999799</v>
      </c>
      <c r="AD8570">
        <v>-1.109738874462</v>
      </c>
      <c r="AE8570">
        <v>33.989820000000002</v>
      </c>
      <c r="AF8570">
        <v>1.8224933961655501</v>
      </c>
      <c r="AG8570">
        <v>-1.109738874462</v>
      </c>
      <c r="AH8570">
        <v>33.9409915766906</v>
      </c>
      <c r="AI8570">
        <v>91.869990816493399</v>
      </c>
      <c r="AJ8570">
        <v>86.926401068043802</v>
      </c>
      <c r="AK8570">
        <v>34.0079977616669</v>
      </c>
      <c r="AL8570">
        <v>86.618519667487206</v>
      </c>
      <c r="AM8570">
        <v>90.725110250571504</v>
      </c>
      <c r="AN8570">
        <v>0.99999999578797005</v>
      </c>
    </row>
    <row r="8571" spans="1:40" x14ac:dyDescent="0.25">
      <c r="A8571" t="str">
        <f>"20190312160536526"</f>
        <v>20190312160536526</v>
      </c>
      <c r="B8571" t="str">
        <f>"1552377936513319"</f>
        <v>1552377936513319</v>
      </c>
      <c r="C8571" t="s">
        <v>40</v>
      </c>
      <c r="D8571">
        <v>5.5517620000000001</v>
      </c>
      <c r="E8571">
        <v>0.52164520000000003</v>
      </c>
      <c r="F8571" t="s">
        <v>41</v>
      </c>
      <c r="G8571">
        <v>-186.3665</v>
      </c>
      <c r="H8571" s="1">
        <v>-4.8296189999999998E-6</v>
      </c>
      <c r="I8571">
        <v>109.3883</v>
      </c>
      <c r="J8571">
        <v>-187.83770000000001</v>
      </c>
      <c r="K8571">
        <v>1.1097349999999999</v>
      </c>
      <c r="L8571">
        <v>73.363590000000002</v>
      </c>
      <c r="M8571">
        <v>-7.44027199999999E-3</v>
      </c>
      <c r="N8571">
        <v>0</v>
      </c>
      <c r="O8571">
        <v>0.99992890000000001</v>
      </c>
      <c r="P8571">
        <v>-2.0217329999999999E-2</v>
      </c>
      <c r="Q8571">
        <v>4.9297380000000002E-2</v>
      </c>
      <c r="R8571">
        <v>0.99857949999999995</v>
      </c>
      <c r="S8571">
        <v>0.1220551</v>
      </c>
      <c r="T8571">
        <v>-9.2168689999999998E-2</v>
      </c>
      <c r="U8571">
        <v>3.0113530000000002</v>
      </c>
      <c r="V8571">
        <v>-1.2778650000000001E-2</v>
      </c>
      <c r="W8571">
        <v>5.8603849999999999E-2</v>
      </c>
      <c r="X8571">
        <v>0.99819950000000002</v>
      </c>
      <c r="Y8571">
        <v>4.7912839999999998E-2</v>
      </c>
      <c r="Z8571">
        <v>-3.0561379999999999E-2</v>
      </c>
      <c r="AA8571">
        <v>0.99838389999999999</v>
      </c>
      <c r="AB8571">
        <v>24</v>
      </c>
      <c r="AC8571">
        <v>1.4712000000000101</v>
      </c>
      <c r="AD8571">
        <v>-1.109739829619</v>
      </c>
      <c r="AE8571">
        <v>36.024709999999999</v>
      </c>
      <c r="AF8571">
        <v>1.7375584511000599</v>
      </c>
      <c r="AG8571">
        <v>-1.109739829619</v>
      </c>
      <c r="AH8571">
        <v>35.978681206580099</v>
      </c>
      <c r="AI8571">
        <v>91.764636871876604</v>
      </c>
      <c r="AJ8571">
        <v>87.235099431075398</v>
      </c>
      <c r="AK8571">
        <v>36.037704327900101</v>
      </c>
      <c r="AL8571">
        <v>86.6403216817898</v>
      </c>
      <c r="AM8571">
        <v>90.7334432849769</v>
      </c>
      <c r="AN8571">
        <v>0.999999973465447</v>
      </c>
    </row>
    <row r="8572" spans="1:40" x14ac:dyDescent="0.25">
      <c r="A8572" t="str">
        <f>"20190312160536545"</f>
        <v>20190312160536545</v>
      </c>
      <c r="B8572" t="str">
        <f>"1552377936533815"</f>
        <v>1552377936533815</v>
      </c>
      <c r="C8572" t="s">
        <v>40</v>
      </c>
      <c r="D8572">
        <v>5.3016459999999999</v>
      </c>
      <c r="E8572">
        <v>0.52366400000000002</v>
      </c>
      <c r="F8572" t="s">
        <v>41</v>
      </c>
      <c r="G8572">
        <v>-186.29750000000001</v>
      </c>
      <c r="H8572" s="1">
        <v>-1.5941670000000001E-6</v>
      </c>
      <c r="I8572">
        <v>111.43770000000001</v>
      </c>
      <c r="J8572">
        <v>-187.83930000000001</v>
      </c>
      <c r="K8572">
        <v>1.1097349999999999</v>
      </c>
      <c r="L8572">
        <v>73.584530000000001</v>
      </c>
      <c r="M8572">
        <v>-7.3852650000000002E-3</v>
      </c>
      <c r="N8572">
        <v>0</v>
      </c>
      <c r="O8572">
        <v>0.99992930000000002</v>
      </c>
      <c r="P8572">
        <v>-2.0192870000000002E-2</v>
      </c>
      <c r="Q8572">
        <v>4.9074769999999997E-2</v>
      </c>
      <c r="R8572">
        <v>0.99859089999999995</v>
      </c>
      <c r="S8572">
        <v>0.1218109</v>
      </c>
      <c r="T8572">
        <v>-8.7763190000000005E-2</v>
      </c>
      <c r="U8572">
        <v>3.0110779999999999</v>
      </c>
      <c r="V8572">
        <v>-1.28088E-2</v>
      </c>
      <c r="W8572">
        <v>5.8381549999999997E-2</v>
      </c>
      <c r="X8572">
        <v>0.99821219999999999</v>
      </c>
      <c r="Y8572">
        <v>4.7782520000000002E-2</v>
      </c>
      <c r="Z8572">
        <v>-2.9104669999999999E-2</v>
      </c>
      <c r="AA8572">
        <v>0.99843360000000003</v>
      </c>
      <c r="AB8572">
        <v>24</v>
      </c>
      <c r="AC8572">
        <v>1.5417999999999901</v>
      </c>
      <c r="AD8572">
        <v>-1.1097365941670001</v>
      </c>
      <c r="AE8572">
        <v>37.853169999999999</v>
      </c>
      <c r="AF8572">
        <v>1.81976432282278</v>
      </c>
      <c r="AG8572">
        <v>-1.1097365941670001</v>
      </c>
      <c r="AH8572">
        <v>37.808308874955301</v>
      </c>
      <c r="AI8572">
        <v>91.679300577409904</v>
      </c>
      <c r="AJ8572">
        <v>87.244404310433893</v>
      </c>
      <c r="AK8572">
        <v>37.868341361658302</v>
      </c>
      <c r="AL8572">
        <v>86.653080580023499</v>
      </c>
      <c r="AM8572">
        <v>90.735164232008003</v>
      </c>
      <c r="AN8572">
        <v>1.0000000334833401</v>
      </c>
    </row>
    <row r="8573" spans="1:40" x14ac:dyDescent="0.25">
      <c r="A8573" t="str">
        <f>"20190312160536559"</f>
        <v>20190312160536559</v>
      </c>
      <c r="B8573" t="str">
        <f>"1552377936553336"</f>
        <v>1552377936553336</v>
      </c>
      <c r="C8573" t="s">
        <v>40</v>
      </c>
      <c r="D8573">
        <v>5.3584559999999897</v>
      </c>
      <c r="E8573">
        <v>0.52207519999999996</v>
      </c>
      <c r="F8573" t="s">
        <v>52</v>
      </c>
      <c r="G8573">
        <v>-174.57210000000001</v>
      </c>
      <c r="H8573">
        <v>24.878160000000001</v>
      </c>
      <c r="I8573">
        <v>391.00349999999997</v>
      </c>
      <c r="J8573">
        <v>-187.84039999999999</v>
      </c>
      <c r="K8573">
        <v>1.1097330000000001</v>
      </c>
      <c r="L8573">
        <v>73.728790000000004</v>
      </c>
      <c r="M8573">
        <v>-7.3493769999999998E-3</v>
      </c>
      <c r="N8573">
        <v>0</v>
      </c>
      <c r="O8573">
        <v>0.99992950000000003</v>
      </c>
      <c r="P8573">
        <v>-2.0399670000000002E-2</v>
      </c>
      <c r="Q8573">
        <v>4.903685E-2</v>
      </c>
      <c r="R8573">
        <v>0.99858860000000005</v>
      </c>
      <c r="S8573">
        <v>0.12521360000000001</v>
      </c>
      <c r="T8573">
        <v>0.22432099999999999</v>
      </c>
      <c r="U8573">
        <v>2.9957280000000002</v>
      </c>
      <c r="V8573">
        <v>-1.3052060000000001E-2</v>
      </c>
      <c r="W8573">
        <v>5.8343939999999997E-2</v>
      </c>
      <c r="X8573">
        <v>0.99821119999999997</v>
      </c>
      <c r="Y8573">
        <v>4.8986740000000001E-2</v>
      </c>
      <c r="Z8573">
        <v>7.4591030000000003E-2</v>
      </c>
      <c r="AA8573">
        <v>0.99601030000000002</v>
      </c>
      <c r="AB8573">
        <v>24</v>
      </c>
      <c r="AC8573">
        <v>13.268299999999901</v>
      </c>
      <c r="AD8573">
        <v>23.768426999999999</v>
      </c>
      <c r="AE8573">
        <v>317.27471000000003</v>
      </c>
      <c r="AF8573">
        <v>15.512905604636</v>
      </c>
      <c r="AG8573">
        <v>23.768426999999999</v>
      </c>
      <c r="AH8573">
        <v>315.40162877840203</v>
      </c>
      <c r="AI8573">
        <v>85.695563173336097</v>
      </c>
      <c r="AJ8573">
        <v>87.184198650436599</v>
      </c>
      <c r="AK8573">
        <v>316.67613708396402</v>
      </c>
      <c r="AL8573">
        <v>86.655238993643906</v>
      </c>
      <c r="AM8573">
        <v>90.749125373730394</v>
      </c>
      <c r="AN8573">
        <v>0.99999998570520299</v>
      </c>
    </row>
    <row r="8574" spans="1:40" x14ac:dyDescent="0.25">
      <c r="A8574" t="str">
        <f>"20190312160536579"</f>
        <v>20190312160536579</v>
      </c>
      <c r="B8574" t="str">
        <f>"1552377936573833"</f>
        <v>1552377936573833</v>
      </c>
      <c r="C8574" t="s">
        <v>40</v>
      </c>
      <c r="D8574">
        <v>4.7730959999999998</v>
      </c>
      <c r="E8574">
        <v>0.52376709999999904</v>
      </c>
      <c r="F8574" t="s">
        <v>44</v>
      </c>
      <c r="G8574">
        <v>-182.8415</v>
      </c>
      <c r="H8574">
        <v>9.0556140000000003</v>
      </c>
      <c r="I8574">
        <v>205.5838</v>
      </c>
      <c r="J8574">
        <v>-187.84200000000001</v>
      </c>
      <c r="K8574">
        <v>1.109723</v>
      </c>
      <c r="L8574">
        <v>73.956269999999904</v>
      </c>
      <c r="M8574">
        <v>-7.2929319999999898E-3</v>
      </c>
      <c r="N8574">
        <v>0</v>
      </c>
      <c r="O8574">
        <v>0.99992999999999999</v>
      </c>
      <c r="P8574">
        <v>-2.0451199999999999E-2</v>
      </c>
      <c r="Q8574">
        <v>4.885871E-2</v>
      </c>
      <c r="R8574">
        <v>0.99859629999999999</v>
      </c>
      <c r="S8574">
        <v>0.113647499999999</v>
      </c>
      <c r="T8574">
        <v>0.1806469</v>
      </c>
      <c r="U8574">
        <v>2.997681</v>
      </c>
      <c r="V8574">
        <v>-1.3159290000000001E-2</v>
      </c>
      <c r="W8574">
        <v>5.8166860000000001E-2</v>
      </c>
      <c r="X8574">
        <v>0.99822010000000005</v>
      </c>
      <c r="Y8574">
        <v>4.51031E-2</v>
      </c>
      <c r="Z8574">
        <v>6.0098569999999997E-2</v>
      </c>
      <c r="AA8574">
        <v>0.99717299999999998</v>
      </c>
      <c r="AB8574">
        <v>24</v>
      </c>
      <c r="AC8574">
        <v>5.0005000000000104</v>
      </c>
      <c r="AD8574">
        <v>7.9458909999999996</v>
      </c>
      <c r="AE8574">
        <v>131.62753000000001</v>
      </c>
      <c r="AF8574">
        <v>5.93874902094998</v>
      </c>
      <c r="AG8574">
        <v>7.9458909999999996</v>
      </c>
      <c r="AH8574">
        <v>131.11046663000599</v>
      </c>
      <c r="AI8574">
        <v>86.535400584830697</v>
      </c>
      <c r="AJ8574">
        <v>87.406516496033802</v>
      </c>
      <c r="AK8574">
        <v>131.48520975248701</v>
      </c>
      <c r="AL8574">
        <v>86.665402102255598</v>
      </c>
      <c r="AM8574">
        <v>90.755272415986298</v>
      </c>
      <c r="AN8574">
        <v>0.99999995927978602</v>
      </c>
    </row>
    <row r="8575" spans="1:40" x14ac:dyDescent="0.25">
      <c r="A8575" t="str">
        <f>"20190312160536646"</f>
        <v>20190312160536646</v>
      </c>
      <c r="B8575" t="str">
        <f>"1552377936643637"</f>
        <v>1552377936643637</v>
      </c>
      <c r="C8575" t="s">
        <v>40</v>
      </c>
      <c r="D8575">
        <v>5.0495720000000004</v>
      </c>
      <c r="E8575">
        <v>0.52934209999999904</v>
      </c>
      <c r="F8575" t="s">
        <v>52</v>
      </c>
      <c r="G8575">
        <v>-174.3646</v>
      </c>
      <c r="H8575">
        <v>18.686610000000002</v>
      </c>
      <c r="I8575">
        <v>391.00349999999997</v>
      </c>
      <c r="J8575">
        <v>-187.84710000000001</v>
      </c>
      <c r="K8575">
        <v>1.1097250000000001</v>
      </c>
      <c r="L8575">
        <v>74.694090000000003</v>
      </c>
      <c r="M8575">
        <v>-7.1060339999999998E-3</v>
      </c>
      <c r="N8575">
        <v>0</v>
      </c>
      <c r="O8575">
        <v>0.99993129999999997</v>
      </c>
      <c r="P8575">
        <v>-2.0020019999999999E-2</v>
      </c>
      <c r="Q8575">
        <v>4.8594980000000003E-2</v>
      </c>
      <c r="R8575">
        <v>0.99861789999999995</v>
      </c>
      <c r="S8575">
        <v>0.1274719</v>
      </c>
      <c r="T8575">
        <v>0.16624520000000001</v>
      </c>
      <c r="U8575">
        <v>2.998688</v>
      </c>
      <c r="V8575">
        <v>-1.291435E-2</v>
      </c>
      <c r="W8575">
        <v>5.7907420000000001E-2</v>
      </c>
      <c r="X8575">
        <v>0.99823839999999997</v>
      </c>
      <c r="Y8575">
        <v>4.9504760000000002E-2</v>
      </c>
      <c r="Z8575">
        <v>5.5293399999999999E-2</v>
      </c>
      <c r="AA8575">
        <v>0.99724219999999997</v>
      </c>
      <c r="AB8575">
        <v>25</v>
      </c>
      <c r="AC8575">
        <v>13.4825</v>
      </c>
      <c r="AD8575">
        <v>17.576885000000001</v>
      </c>
      <c r="AE8575">
        <v>316.30941000000001</v>
      </c>
      <c r="AF8575">
        <v>15.681627576438901</v>
      </c>
      <c r="AG8575">
        <v>17.576885000000001</v>
      </c>
      <c r="AH8575">
        <v>315.23397425780098</v>
      </c>
      <c r="AI8575">
        <v>86.812527356217501</v>
      </c>
      <c r="AJ8575">
        <v>87.152112102880807</v>
      </c>
      <c r="AK8575">
        <v>316.112826149331</v>
      </c>
      <c r="AL8575">
        <v>86.6802920751839</v>
      </c>
      <c r="AM8575">
        <v>90.741202175024597</v>
      </c>
      <c r="AN8575">
        <v>0.99999997648076899</v>
      </c>
    </row>
    <row r="8576" spans="1:40" x14ac:dyDescent="0.25">
      <c r="A8576" t="str">
        <f>"20190312160536659"</f>
        <v>20190312160536659</v>
      </c>
      <c r="B8576" t="str">
        <f>"1552377936653396"</f>
        <v>1552377936653396</v>
      </c>
      <c r="C8576" t="s">
        <v>40</v>
      </c>
      <c r="D8576">
        <v>5.5528339999999998</v>
      </c>
      <c r="E8576">
        <v>0.52934209999999904</v>
      </c>
      <c r="F8576" t="s">
        <v>49</v>
      </c>
      <c r="G8576">
        <v>-187.79849999999999</v>
      </c>
      <c r="H8576">
        <v>0.8488694</v>
      </c>
      <c r="I8576">
        <v>75.33569</v>
      </c>
      <c r="J8576">
        <v>-187.84800000000001</v>
      </c>
      <c r="K8576">
        <v>1.1097220000000001</v>
      </c>
      <c r="L8576">
        <v>74.823790000000002</v>
      </c>
      <c r="M8576">
        <v>-7.0708940000000003E-3</v>
      </c>
      <c r="N8576">
        <v>0</v>
      </c>
      <c r="O8576">
        <v>0.99993149999999997</v>
      </c>
      <c r="P8576">
        <v>-2.00935E-2</v>
      </c>
      <c r="Q8576">
        <v>4.8498399999999997E-2</v>
      </c>
      <c r="R8576">
        <v>0.99862110000000004</v>
      </c>
      <c r="S8576">
        <v>0.2321472</v>
      </c>
      <c r="T8576">
        <v>-1.2479659999999999</v>
      </c>
      <c r="U8576">
        <v>3.0695190000000001</v>
      </c>
      <c r="V8576">
        <v>-1.302295E-2</v>
      </c>
      <c r="W8576">
        <v>5.7812219999999997E-2</v>
      </c>
      <c r="X8576">
        <v>0.99824259999999998</v>
      </c>
      <c r="Y8576">
        <v>7.6941090000000004E-2</v>
      </c>
      <c r="Z8576">
        <v>-0.37559350000000002</v>
      </c>
      <c r="AA8576">
        <v>0.9235852</v>
      </c>
      <c r="AB8576">
        <v>25</v>
      </c>
      <c r="AC8576">
        <v>4.9499999999994701E-2</v>
      </c>
      <c r="AD8576">
        <v>-0.26085259999999899</v>
      </c>
      <c r="AE8576">
        <v>0.51189999999999702</v>
      </c>
      <c r="AF8576">
        <v>4.2249309043411697E-2</v>
      </c>
      <c r="AG8576">
        <v>-0.26085259999999899</v>
      </c>
      <c r="AH8576">
        <v>0.406865555465041</v>
      </c>
      <c r="AI8576">
        <v>122.525590445202</v>
      </c>
      <c r="AJ8576">
        <v>84.071598979695096</v>
      </c>
      <c r="AK8576">
        <v>0.48514808385201502</v>
      </c>
      <c r="AL8576">
        <v>86.685756094527207</v>
      </c>
      <c r="AM8576">
        <v>90.747431280985097</v>
      </c>
      <c r="AN8576">
        <v>1.00000006923139</v>
      </c>
    </row>
    <row r="8577" spans="1:40" x14ac:dyDescent="0.25">
      <c r="A8577" t="str">
        <f>"20190312160536672"</f>
        <v>20190312160536672</v>
      </c>
      <c r="B8577" t="str">
        <f>"1552377936664132"</f>
        <v>1552377936664132</v>
      </c>
      <c r="C8577" t="s">
        <v>40</v>
      </c>
      <c r="D8577">
        <v>5.9448480000000004</v>
      </c>
      <c r="E8577">
        <v>0.53911379999999998</v>
      </c>
      <c r="F8577" t="s">
        <v>49</v>
      </c>
      <c r="G8577">
        <v>-187.79349999999999</v>
      </c>
      <c r="H8577">
        <v>0.81707779999999997</v>
      </c>
      <c r="I8577">
        <v>75.543369999999996</v>
      </c>
      <c r="J8577">
        <v>-187.84899999999999</v>
      </c>
      <c r="K8577">
        <v>1.10972</v>
      </c>
      <c r="L8577">
        <v>74.975800000000007</v>
      </c>
      <c r="M8577">
        <v>-7.0283619999999998E-3</v>
      </c>
      <c r="N8577">
        <v>0</v>
      </c>
      <c r="O8577">
        <v>0.99993180000000004</v>
      </c>
      <c r="P8577">
        <v>-2.0136190000000002E-2</v>
      </c>
      <c r="Q8577">
        <v>4.8484550000000001E-2</v>
      </c>
      <c r="R8577">
        <v>0.99862090000000003</v>
      </c>
      <c r="S8577">
        <v>0.2320557</v>
      </c>
      <c r="T8577">
        <v>-1.248262</v>
      </c>
      <c r="U8577">
        <v>3.0694270000000001</v>
      </c>
      <c r="V8577">
        <v>-1.3108160000000001E-2</v>
      </c>
      <c r="W8577">
        <v>5.7799839999999998E-2</v>
      </c>
      <c r="X8577">
        <v>0.99824210000000002</v>
      </c>
      <c r="Y8577">
        <v>7.68707E-2</v>
      </c>
      <c r="Z8577">
        <v>-0.37568099999999999</v>
      </c>
      <c r="AA8577">
        <v>0.92355540000000003</v>
      </c>
      <c r="AB8577">
        <v>25</v>
      </c>
      <c r="AC8577">
        <v>5.5500000000023399E-2</v>
      </c>
      <c r="AD8577">
        <v>-0.29264220000000002</v>
      </c>
      <c r="AE8577">
        <v>0.56756999999998903</v>
      </c>
      <c r="AF8577">
        <v>4.7088124894192097E-2</v>
      </c>
      <c r="AG8577">
        <v>-0.29264220000000002</v>
      </c>
      <c r="AH8577">
        <v>0.44894478882893002</v>
      </c>
      <c r="AI8577">
        <v>122.95487034470101</v>
      </c>
      <c r="AJ8577">
        <v>84.012354772020501</v>
      </c>
      <c r="AK8577">
        <v>0.53796670170517402</v>
      </c>
      <c r="AL8577">
        <v>86.686466267806097</v>
      </c>
      <c r="AM8577">
        <v>90.752321588474999</v>
      </c>
      <c r="AN8577">
        <v>0.99999996778750999</v>
      </c>
    </row>
    <row r="8578" spans="1:40" x14ac:dyDescent="0.25">
      <c r="A8578" t="str">
        <f>"20190312160536693"</f>
        <v>20190312160536693</v>
      </c>
      <c r="B8578" t="str">
        <f>"1552377936683651"</f>
        <v>1552377936683651</v>
      </c>
      <c r="C8578" t="s">
        <v>40</v>
      </c>
      <c r="D8578">
        <v>5.5636970000000003</v>
      </c>
      <c r="E8578">
        <v>0.53331019999999996</v>
      </c>
      <c r="F8578" t="s">
        <v>49</v>
      </c>
      <c r="G8578">
        <v>-187.77080000000001</v>
      </c>
      <c r="H8578">
        <v>0.92250960000000004</v>
      </c>
      <c r="I8578">
        <v>75.807130000000001</v>
      </c>
      <c r="J8578">
        <v>-187.85059999999999</v>
      </c>
      <c r="K8578">
        <v>1.109715</v>
      </c>
      <c r="L8578">
        <v>75.201809999999995</v>
      </c>
      <c r="M8578">
        <v>-6.9606329999999999E-3</v>
      </c>
      <c r="N8578">
        <v>0</v>
      </c>
      <c r="O8578">
        <v>0.99993220000000005</v>
      </c>
      <c r="P8578">
        <v>-2.0179720000000002E-2</v>
      </c>
      <c r="Q8578">
        <v>4.8556469999999997E-2</v>
      </c>
      <c r="R8578">
        <v>0.99861659999999997</v>
      </c>
      <c r="S8578">
        <v>0.28645320000000002</v>
      </c>
      <c r="T8578">
        <v>-0.68530749999999996</v>
      </c>
      <c r="U8578">
        <v>3.0431819999999998</v>
      </c>
      <c r="V8578">
        <v>-1.3218540000000001E-2</v>
      </c>
      <c r="W8578">
        <v>5.7874090000000003E-2</v>
      </c>
      <c r="X8578">
        <v>0.99823640000000002</v>
      </c>
      <c r="Y8578">
        <v>9.8374320000000001E-2</v>
      </c>
      <c r="Z8578">
        <v>-0.218691</v>
      </c>
      <c r="AA8578">
        <v>0.97082270000000004</v>
      </c>
      <c r="AB8578">
        <v>25</v>
      </c>
      <c r="AC8578">
        <v>7.9799999999977403E-2</v>
      </c>
      <c r="AD8578">
        <v>-0.18720539999999999</v>
      </c>
      <c r="AE8578">
        <v>0.60532000000000596</v>
      </c>
      <c r="AF8578">
        <v>7.6792259261994303E-2</v>
      </c>
      <c r="AG8578">
        <v>-0.18720539999999999</v>
      </c>
      <c r="AH8578">
        <v>0.55278168620356405</v>
      </c>
      <c r="AI8578">
        <v>108.543478884232</v>
      </c>
      <c r="AJ8578">
        <v>82.091106053451597</v>
      </c>
      <c r="AK8578">
        <v>0.58865142951816296</v>
      </c>
      <c r="AL8578">
        <v>86.6822051133842</v>
      </c>
      <c r="AM8578">
        <v>90.7586602637179</v>
      </c>
      <c r="AN8578">
        <v>1.000000025189</v>
      </c>
    </row>
    <row r="8579" spans="1:40" x14ac:dyDescent="0.25">
      <c r="A8579" t="str">
        <f>"20190312160536716"</f>
        <v>20190312160536716</v>
      </c>
      <c r="B8579" t="str">
        <f>"1552377936713910"</f>
        <v>1552377936713910</v>
      </c>
      <c r="C8579" t="s">
        <v>40</v>
      </c>
      <c r="D8579">
        <v>5.5440930000000002</v>
      </c>
      <c r="E8579">
        <v>0.53648059999999997</v>
      </c>
      <c r="F8579" t="s">
        <v>49</v>
      </c>
      <c r="G8579">
        <v>-187.7852</v>
      </c>
      <c r="H8579">
        <v>0.93416690000000002</v>
      </c>
      <c r="I8579">
        <v>76.033209999999997</v>
      </c>
      <c r="J8579">
        <v>-187.85230000000001</v>
      </c>
      <c r="K8579">
        <v>1.109702</v>
      </c>
      <c r="L8579">
        <v>75.454130000000006</v>
      </c>
      <c r="M8579">
        <v>-6.8778809999999998E-3</v>
      </c>
      <c r="N8579">
        <v>0</v>
      </c>
      <c r="O8579">
        <v>0.99993279999999995</v>
      </c>
      <c r="P8579">
        <v>-1.9910549999999999E-2</v>
      </c>
      <c r="Q8579">
        <v>4.8756099999999997E-2</v>
      </c>
      <c r="R8579">
        <v>0.99861219999999995</v>
      </c>
      <c r="S8579">
        <v>0.238205</v>
      </c>
      <c r="T8579">
        <v>-0.64192510000000003</v>
      </c>
      <c r="U8579">
        <v>3.0401919999999998</v>
      </c>
      <c r="V8579">
        <v>-1.3031320000000001E-2</v>
      </c>
      <c r="W8579">
        <v>5.8076419999999997E-2</v>
      </c>
      <c r="X8579">
        <v>0.99822710000000003</v>
      </c>
      <c r="Y8579">
        <v>8.3293480000000003E-2</v>
      </c>
      <c r="Z8579">
        <v>-0.20592240000000001</v>
      </c>
      <c r="AA8579">
        <v>0.97501700000000002</v>
      </c>
      <c r="AB8579">
        <v>25</v>
      </c>
      <c r="AC8579">
        <v>6.7100000000010596E-2</v>
      </c>
      <c r="AD8579">
        <v>-0.175535099999999</v>
      </c>
      <c r="AE8579">
        <v>0.57907999999999005</v>
      </c>
      <c r="AF8579">
        <v>6.5172324638715404E-2</v>
      </c>
      <c r="AG8579">
        <v>-0.175535099999999</v>
      </c>
      <c r="AH8579">
        <v>0.530504500943077</v>
      </c>
      <c r="AI8579">
        <v>108.18092465066501</v>
      </c>
      <c r="AJ8579">
        <v>82.996322642369805</v>
      </c>
      <c r="AK8579">
        <v>0.56257890891117401</v>
      </c>
      <c r="AL8579">
        <v>86.6705928915584</v>
      </c>
      <c r="AM8579">
        <v>90.747923221029893</v>
      </c>
      <c r="AN8579">
        <v>1.0000000145176799</v>
      </c>
    </row>
    <row r="8580" spans="1:40" x14ac:dyDescent="0.25">
      <c r="A8580" t="str">
        <f>"20190312160536736"</f>
        <v>20190312160536736</v>
      </c>
      <c r="B8580" t="str">
        <f>"1552377936723668"</f>
        <v>1552377936723668</v>
      </c>
      <c r="C8580" t="s">
        <v>40</v>
      </c>
      <c r="D8580">
        <v>5.4920099999999996</v>
      </c>
      <c r="E8580">
        <v>0.53603610000000002</v>
      </c>
      <c r="F8580" t="s">
        <v>41</v>
      </c>
      <c r="G8580">
        <v>-178.8006</v>
      </c>
      <c r="H8580">
        <v>7.9986860000000007E-2</v>
      </c>
      <c r="I8580">
        <v>189.5795</v>
      </c>
      <c r="J8580">
        <v>-187.8537</v>
      </c>
      <c r="K8580">
        <v>1.109694</v>
      </c>
      <c r="L8580">
        <v>75.678129999999996</v>
      </c>
      <c r="M8580">
        <v>-6.7961269999999999E-3</v>
      </c>
      <c r="N8580">
        <v>0</v>
      </c>
      <c r="O8580">
        <v>0.99993339999999997</v>
      </c>
      <c r="P8580">
        <v>-1.9411640000000001E-2</v>
      </c>
      <c r="Q8580">
        <v>4.850985E-2</v>
      </c>
      <c r="R8580">
        <v>0.99863400000000002</v>
      </c>
      <c r="S8580">
        <v>0.2387543</v>
      </c>
      <c r="T8580">
        <v>-2.7160529999999999E-2</v>
      </c>
      <c r="U8580">
        <v>3.0102540000000002</v>
      </c>
      <c r="V8580">
        <v>-1.26131E-2</v>
      </c>
      <c r="W8580">
        <v>5.783315E-2</v>
      </c>
      <c r="X8580">
        <v>0.99824659999999998</v>
      </c>
      <c r="Y8580">
        <v>8.5835510000000004E-2</v>
      </c>
      <c r="Z8580">
        <v>-8.9912240000000008E-3</v>
      </c>
      <c r="AA8580">
        <v>0.99626870000000001</v>
      </c>
      <c r="AB8580">
        <v>25</v>
      </c>
      <c r="AC8580">
        <v>9.0531000000000006</v>
      </c>
      <c r="AD8580">
        <v>-1.02970714</v>
      </c>
      <c r="AE8580">
        <v>113.90137</v>
      </c>
      <c r="AF8580">
        <v>9.8262147313240096</v>
      </c>
      <c r="AG8580">
        <v>-1.02970714</v>
      </c>
      <c r="AH8580">
        <v>113.827966143033</v>
      </c>
      <c r="AI8580">
        <v>90.516372890777205</v>
      </c>
      <c r="AJ8580">
        <v>85.066165437453904</v>
      </c>
      <c r="AK8580">
        <v>114.25594369222</v>
      </c>
      <c r="AL8580">
        <v>86.684554717341101</v>
      </c>
      <c r="AM8580">
        <v>90.723908242572193</v>
      </c>
      <c r="AN8580">
        <v>1.0000000189710401</v>
      </c>
    </row>
    <row r="8581" spans="1:40" x14ac:dyDescent="0.25">
      <c r="A8581" t="str">
        <f>"20190312160536758"</f>
        <v>20190312160536758</v>
      </c>
      <c r="B8581" t="str">
        <f>"1552377936753924"</f>
        <v>1552377936753924</v>
      </c>
      <c r="C8581" t="s">
        <v>40</v>
      </c>
      <c r="D8581">
        <v>5.5797470000000002</v>
      </c>
      <c r="E8581">
        <v>0.53639329999999996</v>
      </c>
      <c r="F8581" t="s">
        <v>60</v>
      </c>
      <c r="G8581">
        <v>-182.2687</v>
      </c>
      <c r="H8581" s="1">
        <v>-1.0572690000000001E-5</v>
      </c>
      <c r="I8581">
        <v>146.44710000000001</v>
      </c>
      <c r="J8581">
        <v>-187.8553</v>
      </c>
      <c r="K8581">
        <v>1.109688</v>
      </c>
      <c r="L8581">
        <v>75.923029999999997</v>
      </c>
      <c r="M8581">
        <v>-6.6944919999999998E-3</v>
      </c>
      <c r="N8581">
        <v>0</v>
      </c>
      <c r="O8581">
        <v>0.99993399999999999</v>
      </c>
      <c r="P8581">
        <v>-1.8519020000000001E-2</v>
      </c>
      <c r="Q8581">
        <v>4.8342749999999997E-2</v>
      </c>
      <c r="R8581">
        <v>0.99865910000000002</v>
      </c>
      <c r="S8581">
        <v>0.23762510000000001</v>
      </c>
      <c r="T8581">
        <v>-4.721475E-2</v>
      </c>
      <c r="U8581">
        <v>3.0110169999999998</v>
      </c>
      <c r="V8581">
        <v>-1.1821140000000001E-2</v>
      </c>
      <c r="W8581">
        <v>5.7668450000000003E-2</v>
      </c>
      <c r="X8581">
        <v>0.99826579999999998</v>
      </c>
      <c r="Y8581">
        <v>8.5336609999999993E-2</v>
      </c>
      <c r="Z8581">
        <v>-1.562533E-2</v>
      </c>
      <c r="AA8581">
        <v>0.99622960000000005</v>
      </c>
      <c r="AB8581">
        <v>25</v>
      </c>
      <c r="AC8581">
        <v>5.5865999999999998</v>
      </c>
      <c r="AD8581">
        <v>-1.1096985726899999</v>
      </c>
      <c r="AE8581">
        <v>70.524069999999995</v>
      </c>
      <c r="AF8581">
        <v>6.0571278660665602</v>
      </c>
      <c r="AG8581">
        <v>-1.1096985726899999</v>
      </c>
      <c r="AH8581">
        <v>70.467750054668201</v>
      </c>
      <c r="AI8581">
        <v>90.898882945620201</v>
      </c>
      <c r="AJ8581">
        <v>85.087158060292893</v>
      </c>
      <c r="AK8581">
        <v>70.736299215291794</v>
      </c>
      <c r="AL8581">
        <v>86.694007039941098</v>
      </c>
      <c r="AM8581">
        <v>90.678446337071904</v>
      </c>
      <c r="AN8581">
        <v>0.99999999846297105</v>
      </c>
    </row>
    <row r="8582" spans="1:40" x14ac:dyDescent="0.25">
      <c r="A8582" t="str">
        <f>"20190312160536772"</f>
        <v>20190312160536772</v>
      </c>
      <c r="B8582" t="str">
        <f>"1552377936763684"</f>
        <v>1552377936763684</v>
      </c>
      <c r="C8582" t="s">
        <v>40</v>
      </c>
      <c r="D8582">
        <v>5.4890119999999998</v>
      </c>
      <c r="E8582">
        <v>0.53574449999999996</v>
      </c>
      <c r="F8582" t="s">
        <v>41</v>
      </c>
      <c r="G8582">
        <v>-185.0676</v>
      </c>
      <c r="H8582" s="1">
        <v>-1.5012609999999999E-6</v>
      </c>
      <c r="I8582">
        <v>110.20310000000001</v>
      </c>
      <c r="J8582">
        <v>-187.8562</v>
      </c>
      <c r="K8582">
        <v>1.1096820000000001</v>
      </c>
      <c r="L8582">
        <v>76.075469999999996</v>
      </c>
      <c r="M8582">
        <v>-6.6239209999999996E-3</v>
      </c>
      <c r="N8582">
        <v>0</v>
      </c>
      <c r="O8582">
        <v>0.9999344</v>
      </c>
      <c r="P8582">
        <v>-1.8161009999999998E-2</v>
      </c>
      <c r="Q8582">
        <v>4.8154200000000001E-2</v>
      </c>
      <c r="R8582">
        <v>0.99867479999999997</v>
      </c>
      <c r="S8582">
        <v>0.24504090000000001</v>
      </c>
      <c r="T8582">
        <v>-9.7544549999999994E-2</v>
      </c>
      <c r="U8582">
        <v>3.013306</v>
      </c>
      <c r="V8582">
        <v>-1.153233E-2</v>
      </c>
      <c r="W8582">
        <v>5.7481839999999999E-2</v>
      </c>
      <c r="X8582">
        <v>0.9982799</v>
      </c>
      <c r="Y8582">
        <v>8.7610590000000002E-2</v>
      </c>
      <c r="Z8582">
        <v>-3.2237910000000002E-2</v>
      </c>
      <c r="AA8582">
        <v>0.99563299999999999</v>
      </c>
      <c r="AB8582">
        <v>25</v>
      </c>
      <c r="AC8582">
        <v>2.7886000000000002</v>
      </c>
      <c r="AD8582">
        <v>-1.109683501261</v>
      </c>
      <c r="AE8582">
        <v>34.127630000000003</v>
      </c>
      <c r="AF8582">
        <v>3.0114446187924599</v>
      </c>
      <c r="AG8582">
        <v>-1.109683501261</v>
      </c>
      <c r="AH8582">
        <v>34.0726239108171</v>
      </c>
      <c r="AI8582">
        <v>91.858121978373703</v>
      </c>
      <c r="AJ8582">
        <v>84.949144987834799</v>
      </c>
      <c r="AK8582">
        <v>34.223440743633802</v>
      </c>
      <c r="AL8582">
        <v>86.704716636328598</v>
      </c>
      <c r="AM8582">
        <v>90.661862916437698</v>
      </c>
      <c r="AN8582">
        <v>0.999999957654511</v>
      </c>
    </row>
    <row r="8583" spans="1:40" x14ac:dyDescent="0.25">
      <c r="A8583" t="str">
        <f>"20190312160536785"</f>
        <v>20190312160536785</v>
      </c>
      <c r="B8583" t="str">
        <f>"1552377936773444"</f>
        <v>1552377936773444</v>
      </c>
      <c r="C8583" t="s">
        <v>40</v>
      </c>
      <c r="D8583">
        <v>5.5407789999999997</v>
      </c>
      <c r="E8583">
        <v>0.53439530000000002</v>
      </c>
      <c r="F8583" t="s">
        <v>41</v>
      </c>
      <c r="G8583">
        <v>-185.04990000000001</v>
      </c>
      <c r="H8583" s="1">
        <v>-1.8375969999999999E-6</v>
      </c>
      <c r="I8583">
        <v>111.1776</v>
      </c>
      <c r="J8583">
        <v>-187.8571</v>
      </c>
      <c r="K8583">
        <v>1.1096790000000001</v>
      </c>
      <c r="L8583">
        <v>76.221500000000006</v>
      </c>
      <c r="M8583">
        <v>-6.5508509999999999E-3</v>
      </c>
      <c r="N8583">
        <v>0</v>
      </c>
      <c r="O8583">
        <v>0.99993489999999996</v>
      </c>
      <c r="P8583">
        <v>-1.7751349999999999E-2</v>
      </c>
      <c r="Q8583">
        <v>4.8444760000000003E-2</v>
      </c>
      <c r="R8583">
        <v>0.99866809999999995</v>
      </c>
      <c r="S8583">
        <v>0.24087520000000001</v>
      </c>
      <c r="T8583">
        <v>-9.5249059999999997E-2</v>
      </c>
      <c r="U8583">
        <v>3.0129700000000001</v>
      </c>
      <c r="V8583">
        <v>-1.119464E-2</v>
      </c>
      <c r="W8583">
        <v>5.7774600000000002E-2</v>
      </c>
      <c r="X8583">
        <v>0.99826689999999996</v>
      </c>
      <c r="Y8583">
        <v>8.6180930000000003E-2</v>
      </c>
      <c r="Z8583">
        <v>-3.1487250000000001E-2</v>
      </c>
      <c r="AA8583">
        <v>0.99578180000000005</v>
      </c>
      <c r="AB8583">
        <v>25</v>
      </c>
      <c r="AC8583">
        <v>2.8071999999999901</v>
      </c>
      <c r="AD8583">
        <v>-1.109680837597</v>
      </c>
      <c r="AE8583">
        <v>34.9560999999999</v>
      </c>
      <c r="AF8583">
        <v>3.0331049499381901</v>
      </c>
      <c r="AG8583">
        <v>-1.109680837597</v>
      </c>
      <c r="AH8583">
        <v>34.902012610815099</v>
      </c>
      <c r="AI8583">
        <v>91.814225596172903</v>
      </c>
      <c r="AJ8583">
        <v>85.033277835318202</v>
      </c>
      <c r="AK8583">
        <v>35.051128391025699</v>
      </c>
      <c r="AL8583">
        <v>86.687914987233896</v>
      </c>
      <c r="AM8583">
        <v>90.642492243746901</v>
      </c>
      <c r="AN8583">
        <v>1.0000000140027401</v>
      </c>
    </row>
    <row r="8584" spans="1:40" x14ac:dyDescent="0.25">
      <c r="A8584" t="str">
        <f>"20190312160536803"</f>
        <v>20190312160536803</v>
      </c>
      <c r="B8584" t="str">
        <f>"1552377936793939"</f>
        <v>1552377936793939</v>
      </c>
      <c r="C8584" t="s">
        <v>40</v>
      </c>
      <c r="D8584">
        <v>5.5402139999999997</v>
      </c>
      <c r="E8584">
        <v>0.53315880000000004</v>
      </c>
      <c r="F8584" t="s">
        <v>41</v>
      </c>
      <c r="G8584">
        <v>-185.1155</v>
      </c>
      <c r="H8584" s="1">
        <v>-2.0702550000000001E-6</v>
      </c>
      <c r="I8584">
        <v>111.9126</v>
      </c>
      <c r="J8584">
        <v>-187.85830000000001</v>
      </c>
      <c r="K8584">
        <v>1.1096680000000001</v>
      </c>
      <c r="L8584">
        <v>76.431430000000006</v>
      </c>
      <c r="M8584">
        <v>-6.4342210000000004E-3</v>
      </c>
      <c r="N8584">
        <v>0</v>
      </c>
      <c r="O8584">
        <v>0.99993560000000004</v>
      </c>
      <c r="P8584">
        <v>-1.719161E-2</v>
      </c>
      <c r="Q8584">
        <v>4.8410429999999997E-2</v>
      </c>
      <c r="R8584">
        <v>0.9986796</v>
      </c>
      <c r="S8584">
        <v>0.2314148</v>
      </c>
      <c r="T8584">
        <v>-9.3667630000000002E-2</v>
      </c>
      <c r="U8584">
        <v>3.0126650000000001</v>
      </c>
      <c r="V8584">
        <v>-1.0750060000000001E-2</v>
      </c>
      <c r="W8584">
        <v>5.774319E-2</v>
      </c>
      <c r="X8584">
        <v>0.99827359999999998</v>
      </c>
      <c r="Y8584">
        <v>8.2965620000000004E-2</v>
      </c>
      <c r="Z8584">
        <v>-3.0976150000000001E-2</v>
      </c>
      <c r="AA8584">
        <v>0.99607089999999998</v>
      </c>
      <c r="AB8584">
        <v>25</v>
      </c>
      <c r="AC8584">
        <v>2.7428000000000101</v>
      </c>
      <c r="AD8584">
        <v>-1.109670070255</v>
      </c>
      <c r="AE8584">
        <v>35.481169999999899</v>
      </c>
      <c r="AF8584">
        <v>2.9681609154229198</v>
      </c>
      <c r="AG8584">
        <v>-1.109670070255</v>
      </c>
      <c r="AH8584">
        <v>35.4283396311301</v>
      </c>
      <c r="AI8584">
        <v>91.787746389055897</v>
      </c>
      <c r="AJ8584">
        <v>85.210984390303807</v>
      </c>
      <c r="AK8584">
        <v>35.5697708160085</v>
      </c>
      <c r="AL8584">
        <v>86.689717644219598</v>
      </c>
      <c r="AM8584">
        <v>90.616974405126399</v>
      </c>
      <c r="AN8584">
        <v>1.00000001011916</v>
      </c>
    </row>
    <row r="8585" spans="1:40" x14ac:dyDescent="0.25">
      <c r="A8585" t="str">
        <f>"20190312160536825"</f>
        <v>20190312160536825</v>
      </c>
      <c r="B8585" t="str">
        <f>"1552377936813460"</f>
        <v>1552377936813460</v>
      </c>
      <c r="C8585" t="s">
        <v>40</v>
      </c>
      <c r="D8585">
        <v>5.5138959999999999</v>
      </c>
      <c r="E8585">
        <v>0.53228160000000002</v>
      </c>
      <c r="F8585" t="s">
        <v>41</v>
      </c>
      <c r="G8585">
        <v>-185.18119999999999</v>
      </c>
      <c r="H8585" s="1">
        <v>-2.2842800000000002E-6</v>
      </c>
      <c r="I8585">
        <v>112.5929</v>
      </c>
      <c r="J8585">
        <v>-187.8597</v>
      </c>
      <c r="K8585">
        <v>1.1096490000000001</v>
      </c>
      <c r="L8585">
        <v>76.665949999999995</v>
      </c>
      <c r="M8585">
        <v>-6.2891850000000001E-3</v>
      </c>
      <c r="N8585">
        <v>0</v>
      </c>
      <c r="O8585">
        <v>0.99993650000000001</v>
      </c>
      <c r="P8585">
        <v>-1.6520179999999999E-2</v>
      </c>
      <c r="Q8585">
        <v>4.8257639999999997E-2</v>
      </c>
      <c r="R8585">
        <v>0.99869830000000004</v>
      </c>
      <c r="S8585">
        <v>0.22300719999999999</v>
      </c>
      <c r="T8585">
        <v>-9.2437149999999996E-2</v>
      </c>
      <c r="U8585">
        <v>3.0122990000000001</v>
      </c>
      <c r="V8585">
        <v>-1.022178E-2</v>
      </c>
      <c r="W8585">
        <v>5.7593709999999999E-2</v>
      </c>
      <c r="X8585">
        <v>0.99828779999999995</v>
      </c>
      <c r="Y8585">
        <v>8.0066499999999999E-2</v>
      </c>
      <c r="Z8585">
        <v>-3.0580199999999998E-2</v>
      </c>
      <c r="AA8585">
        <v>0.99632030000000005</v>
      </c>
      <c r="AB8585">
        <v>25</v>
      </c>
      <c r="AC8585">
        <v>2.6785000000000099</v>
      </c>
      <c r="AD8585">
        <v>-1.1096512842799999</v>
      </c>
      <c r="AE8585">
        <v>35.926949999999998</v>
      </c>
      <c r="AF8585">
        <v>2.9016553606234101</v>
      </c>
      <c r="AG8585">
        <v>-1.1096512842799999</v>
      </c>
      <c r="AH8585">
        <v>35.875358434358503</v>
      </c>
      <c r="AI8585">
        <v>91.765872928545605</v>
      </c>
      <c r="AJ8585">
        <v>85.375893166029101</v>
      </c>
      <c r="AK8585">
        <v>36.009613613564802</v>
      </c>
      <c r="AL8585">
        <v>86.698296546507805</v>
      </c>
      <c r="AM8585">
        <v>90.586648846835502</v>
      </c>
      <c r="AN8585">
        <v>1.0000000259233801</v>
      </c>
    </row>
    <row r="8586" spans="1:40" x14ac:dyDescent="0.25">
      <c r="A8586" t="str">
        <f>"20190312160536838"</f>
        <v>20190312160536838</v>
      </c>
      <c r="B8586" t="str">
        <f>"1552377936833956"</f>
        <v>1552377936833956</v>
      </c>
      <c r="C8586" t="s">
        <v>40</v>
      </c>
      <c r="D8586">
        <v>5.5535329999999998</v>
      </c>
      <c r="E8586">
        <v>0.53125840000000002</v>
      </c>
      <c r="F8586" t="s">
        <v>41</v>
      </c>
      <c r="G8586">
        <v>-185.29660000000001</v>
      </c>
      <c r="H8586" s="1">
        <v>-2.0738750000000001E-6</v>
      </c>
      <c r="I8586">
        <v>112.06480000000001</v>
      </c>
      <c r="J8586">
        <v>-187.8605</v>
      </c>
      <c r="K8586">
        <v>1.10964</v>
      </c>
      <c r="L8586">
        <v>76.814970000000002</v>
      </c>
      <c r="M8586">
        <v>-6.1877769999999898E-3</v>
      </c>
      <c r="N8586">
        <v>0</v>
      </c>
      <c r="O8586">
        <v>0.99993719999999997</v>
      </c>
      <c r="P8586">
        <v>-1.633196E-2</v>
      </c>
      <c r="Q8586">
        <v>4.8431179999999997E-2</v>
      </c>
      <c r="R8586">
        <v>0.99869300000000005</v>
      </c>
      <c r="S8586">
        <v>0.21809390000000001</v>
      </c>
      <c r="T8586">
        <v>-9.4420190000000001E-2</v>
      </c>
      <c r="U8586">
        <v>3.0120849999999999</v>
      </c>
      <c r="V8586">
        <v>-1.0133609999999999E-2</v>
      </c>
      <c r="W8586">
        <v>5.7768890000000003E-2</v>
      </c>
      <c r="X8586">
        <v>0.99827860000000002</v>
      </c>
      <c r="Y8586">
        <v>7.8352499999999894E-2</v>
      </c>
      <c r="Z8586">
        <v>-3.124182E-2</v>
      </c>
      <c r="AA8586">
        <v>0.99643610000000005</v>
      </c>
      <c r="AB8586">
        <v>25</v>
      </c>
      <c r="AC8586">
        <v>2.5638999999999799</v>
      </c>
      <c r="AD8586">
        <v>-1.1096420738749999</v>
      </c>
      <c r="AE8586">
        <v>35.249829999999903</v>
      </c>
      <c r="AF8586">
        <v>2.77923892730976</v>
      </c>
      <c r="AG8586">
        <v>-1.1096420738749999</v>
      </c>
      <c r="AH8586">
        <v>35.198593077042297</v>
      </c>
      <c r="AI8586">
        <v>91.800063072799801</v>
      </c>
      <c r="AJ8586">
        <v>85.485360203813599</v>
      </c>
      <c r="AK8586">
        <v>35.325577548716701</v>
      </c>
      <c r="AL8586">
        <v>86.688242809360801</v>
      </c>
      <c r="AM8586">
        <v>90.581594298894004</v>
      </c>
      <c r="AN8586">
        <v>1.0000000489607099</v>
      </c>
    </row>
    <row r="8587" spans="1:40" x14ac:dyDescent="0.25">
      <c r="A8587" t="str">
        <f>"20190312160536860"</f>
        <v>20190312160536860</v>
      </c>
      <c r="B8587" t="str">
        <f>"1552377936853476"</f>
        <v>1552377936853476</v>
      </c>
      <c r="C8587" t="s">
        <v>40</v>
      </c>
      <c r="D8587">
        <v>5.7126279999999996</v>
      </c>
      <c r="E8587">
        <v>0.53115800000000002</v>
      </c>
      <c r="F8587" t="s">
        <v>41</v>
      </c>
      <c r="G8587">
        <v>-185.2971</v>
      </c>
      <c r="H8587" s="1">
        <v>-2.5752419999999998E-6</v>
      </c>
      <c r="I8587">
        <v>113.5384</v>
      </c>
      <c r="J8587">
        <v>-187.86179999999999</v>
      </c>
      <c r="K8587">
        <v>1.1096330000000001</v>
      </c>
      <c r="L8587">
        <v>77.055390000000003</v>
      </c>
      <c r="M8587">
        <v>-6.0139269999999996E-3</v>
      </c>
      <c r="N8587">
        <v>0</v>
      </c>
      <c r="O8587">
        <v>0.9999382</v>
      </c>
      <c r="P8587">
        <v>-1.591207E-2</v>
      </c>
      <c r="Q8587">
        <v>4.8176379999999998E-2</v>
      </c>
      <c r="R8587">
        <v>0.99871209999999999</v>
      </c>
      <c r="S8587">
        <v>0.21023559999999999</v>
      </c>
      <c r="T8587">
        <v>-9.1004489999999993E-2</v>
      </c>
      <c r="U8587">
        <v>3.0117799999999999</v>
      </c>
      <c r="V8587">
        <v>-9.8857479999999998E-3</v>
      </c>
      <c r="W8587">
        <v>5.7517539999999999E-2</v>
      </c>
      <c r="X8587">
        <v>0.9982955</v>
      </c>
      <c r="Y8587">
        <v>7.5601730000000006E-2</v>
      </c>
      <c r="Z8587">
        <v>-3.0121749999999999E-2</v>
      </c>
      <c r="AA8587">
        <v>0.99668299999999999</v>
      </c>
      <c r="AB8587">
        <v>25</v>
      </c>
      <c r="AC8587">
        <v>2.5646999999999802</v>
      </c>
      <c r="AD8587">
        <v>-1.109635575242</v>
      </c>
      <c r="AE8587">
        <v>36.483009999999901</v>
      </c>
      <c r="AF8587">
        <v>2.7815089015814398</v>
      </c>
      <c r="AG8587">
        <v>-1.109635575242</v>
      </c>
      <c r="AH8587">
        <v>36.433387530087202</v>
      </c>
      <c r="AI8587">
        <v>91.7394342424233</v>
      </c>
      <c r="AJ8587">
        <v>85.634219614843502</v>
      </c>
      <c r="AK8587">
        <v>36.5562554126778</v>
      </c>
      <c r="AL8587">
        <v>86.702667763097907</v>
      </c>
      <c r="AM8587">
        <v>90.567360189772401</v>
      </c>
      <c r="AN8587">
        <v>0.99999995037070899</v>
      </c>
    </row>
    <row r="8588" spans="1:40" x14ac:dyDescent="0.25">
      <c r="A8588" t="str">
        <f>"20190312160536883"</f>
        <v>20190312160536883</v>
      </c>
      <c r="B8588" t="str">
        <f>"1552377936873972"</f>
        <v>1552377936873972</v>
      </c>
      <c r="C8588" t="s">
        <v>40</v>
      </c>
      <c r="D8588">
        <v>5.7165179999999998</v>
      </c>
      <c r="E8588">
        <v>0.53152379999999999</v>
      </c>
      <c r="F8588" t="s">
        <v>41</v>
      </c>
      <c r="G8588">
        <v>-185.36879999999999</v>
      </c>
      <c r="H8588" s="1">
        <v>-2.2611229999999998E-6</v>
      </c>
      <c r="I8588">
        <v>112.67149999999999</v>
      </c>
      <c r="J8588">
        <v>-187.86320000000001</v>
      </c>
      <c r="K8588">
        <v>1.1096239999999999</v>
      </c>
      <c r="L8588">
        <v>77.318759999999997</v>
      </c>
      <c r="M8588">
        <v>-5.8097259999999899E-3</v>
      </c>
      <c r="N8588">
        <v>0</v>
      </c>
      <c r="O8588">
        <v>0.99993940000000003</v>
      </c>
      <c r="P8588">
        <v>-1.5253279999999999E-2</v>
      </c>
      <c r="Q8588">
        <v>4.7918929999999998E-2</v>
      </c>
      <c r="R8588">
        <v>0.99873480000000003</v>
      </c>
      <c r="S8588">
        <v>0.21081539999999999</v>
      </c>
      <c r="T8588">
        <v>-9.3832490000000005E-2</v>
      </c>
      <c r="U8588">
        <v>3.011749</v>
      </c>
      <c r="V8588">
        <v>-9.4293780000000004E-3</v>
      </c>
      <c r="W8588">
        <v>5.7263809999999998E-2</v>
      </c>
      <c r="X8588">
        <v>0.99831460000000005</v>
      </c>
      <c r="Y8588">
        <v>7.5587760000000004E-2</v>
      </c>
      <c r="Z8588">
        <v>-3.1057080000000001E-2</v>
      </c>
      <c r="AA8588">
        <v>0.99665539999999997</v>
      </c>
      <c r="AB8588">
        <v>25</v>
      </c>
      <c r="AC8588">
        <v>2.4944000000000099</v>
      </c>
      <c r="AD8588">
        <v>-1.1096262611229999</v>
      </c>
      <c r="AE8588">
        <v>35.352739999999997</v>
      </c>
      <c r="AF8588">
        <v>2.69711268433268</v>
      </c>
      <c r="AG8588">
        <v>-1.1096262611229999</v>
      </c>
      <c r="AH8588">
        <v>35.303043996275299</v>
      </c>
      <c r="AI8588">
        <v>91.795069711853401</v>
      </c>
      <c r="AJ8588">
        <v>85.631153983044697</v>
      </c>
      <c r="AK8588">
        <v>35.4233059252565</v>
      </c>
      <c r="AL8588">
        <v>86.717229746172606</v>
      </c>
      <c r="AM8588">
        <v>90.541159567736401</v>
      </c>
      <c r="AN8588">
        <v>1.00000004883917</v>
      </c>
    </row>
    <row r="8589" spans="1:40" x14ac:dyDescent="0.25">
      <c r="A8589" t="str">
        <f>"20190312160536906"</f>
        <v>20190312160536906</v>
      </c>
      <c r="B8589" t="str">
        <f>"1552377936893491"</f>
        <v>1552377936893491</v>
      </c>
      <c r="C8589" t="s">
        <v>40</v>
      </c>
      <c r="D8589">
        <v>5.5423019999999896</v>
      </c>
      <c r="E8589">
        <v>0.53156110000000001</v>
      </c>
      <c r="F8589" t="s">
        <v>41</v>
      </c>
      <c r="G8589">
        <v>-185.31460000000001</v>
      </c>
      <c r="H8589" s="1">
        <v>-2.3574979999999998E-6</v>
      </c>
      <c r="I8589">
        <v>112.9123</v>
      </c>
      <c r="J8589">
        <v>-187.86439999999999</v>
      </c>
      <c r="K8589">
        <v>1.1096140000000001</v>
      </c>
      <c r="L8589">
        <v>77.568330000000003</v>
      </c>
      <c r="M8589">
        <v>-5.6058050000000002E-3</v>
      </c>
      <c r="N8589">
        <v>0</v>
      </c>
      <c r="O8589">
        <v>0.99994050000000001</v>
      </c>
      <c r="P8589">
        <v>-1.4530009999999999E-2</v>
      </c>
      <c r="Q8589">
        <v>4.8149530000000003E-2</v>
      </c>
      <c r="R8589">
        <v>0.99873449999999997</v>
      </c>
      <c r="S8589">
        <v>0.2156372</v>
      </c>
      <c r="T8589">
        <v>-9.3886380000000005E-2</v>
      </c>
      <c r="U8589">
        <v>3.0115970000000001</v>
      </c>
      <c r="V8589">
        <v>-8.9089519999999995E-3</v>
      </c>
      <c r="W8589">
        <v>5.7498029999999999E-2</v>
      </c>
      <c r="X8589">
        <v>0.99830589999999997</v>
      </c>
      <c r="Y8589">
        <v>7.6975559999999998E-2</v>
      </c>
      <c r="Z8589">
        <v>-3.1073110000000001E-2</v>
      </c>
      <c r="AA8589">
        <v>0.99654869999999995</v>
      </c>
      <c r="AB8589">
        <v>25</v>
      </c>
      <c r="AC8589">
        <v>2.5497999999999701</v>
      </c>
      <c r="AD8589">
        <v>-1.10961635749799</v>
      </c>
      <c r="AE8589">
        <v>35.343969999999999</v>
      </c>
      <c r="AF8589">
        <v>2.7452082547193601</v>
      </c>
      <c r="AG8589">
        <v>-1.10961635749799</v>
      </c>
      <c r="AH8589">
        <v>35.294512990180102</v>
      </c>
      <c r="AI8589">
        <v>91.795297391272001</v>
      </c>
      <c r="AJ8589">
        <v>85.552486922560206</v>
      </c>
      <c r="AK8589">
        <v>35.418498895867899</v>
      </c>
      <c r="AL8589">
        <v>86.703787724314793</v>
      </c>
      <c r="AM8589">
        <v>90.511297989598702</v>
      </c>
      <c r="AN8589">
        <v>1.0000000314272099</v>
      </c>
    </row>
    <row r="8590" spans="1:40" x14ac:dyDescent="0.25">
      <c r="A8590" t="str">
        <f>"20190312160536927"</f>
        <v>20190312160536927</v>
      </c>
      <c r="B8590" t="str">
        <f>"1552377936923748"</f>
        <v>1552377936923748</v>
      </c>
      <c r="C8590" t="s">
        <v>40</v>
      </c>
      <c r="D8590">
        <v>5.5255229999999997</v>
      </c>
      <c r="E8590">
        <v>0.53146569999999904</v>
      </c>
      <c r="F8590" t="s">
        <v>41</v>
      </c>
      <c r="G8590">
        <v>-185.26429999999999</v>
      </c>
      <c r="H8590" s="1">
        <v>-2.5641600000000001E-6</v>
      </c>
      <c r="I8590">
        <v>113.4803</v>
      </c>
      <c r="J8590">
        <v>-187.8656</v>
      </c>
      <c r="K8590">
        <v>1.1096090000000001</v>
      </c>
      <c r="L8590">
        <v>77.813779999999994</v>
      </c>
      <c r="M8590">
        <v>-5.3984899999999997E-3</v>
      </c>
      <c r="N8590">
        <v>0</v>
      </c>
      <c r="O8590">
        <v>0.99994159999999999</v>
      </c>
      <c r="P8590">
        <v>-1.393731E-2</v>
      </c>
      <c r="Q8590">
        <v>4.8182410000000002E-2</v>
      </c>
      <c r="R8590">
        <v>0.99874130000000005</v>
      </c>
      <c r="S8590">
        <v>0.2180328</v>
      </c>
      <c r="T8590">
        <v>-9.3048329999999999E-2</v>
      </c>
      <c r="U8590">
        <v>3.011444</v>
      </c>
      <c r="V8590">
        <v>-8.5228719999999904E-3</v>
      </c>
      <c r="W8590">
        <v>5.7534200000000001E-2</v>
      </c>
      <c r="X8590">
        <v>0.99830719999999995</v>
      </c>
      <c r="Y8590">
        <v>7.7561729999999995E-2</v>
      </c>
      <c r="Z8590">
        <v>-3.0796049999999998E-2</v>
      </c>
      <c r="AA8590">
        <v>0.99651179999999995</v>
      </c>
      <c r="AB8590">
        <v>25</v>
      </c>
      <c r="AC8590">
        <v>2.6013000000000002</v>
      </c>
      <c r="AD8590">
        <v>-1.10961156416</v>
      </c>
      <c r="AE8590">
        <v>35.666519999999899</v>
      </c>
      <c r="AF8590">
        <v>2.79112870423495</v>
      </c>
      <c r="AG8590">
        <v>-1.10961156416</v>
      </c>
      <c r="AH8590">
        <v>35.617665379655399</v>
      </c>
      <c r="AI8590">
        <v>91.778931321117895</v>
      </c>
      <c r="AJ8590">
        <v>85.519252997086895</v>
      </c>
      <c r="AK8590">
        <v>35.7440865649694</v>
      </c>
      <c r="AL8590">
        <v>86.701711942981106</v>
      </c>
      <c r="AM8590">
        <v>90.4891407489161</v>
      </c>
      <c r="AN8590">
        <v>1.0000000445443</v>
      </c>
    </row>
    <row r="8591" spans="1:40" x14ac:dyDescent="0.25">
      <c r="A8591" t="str">
        <f>"20190312160536949"</f>
        <v>20190312160536949</v>
      </c>
      <c r="B8591" t="str">
        <f>"1552377936944244"</f>
        <v>1552377936944244</v>
      </c>
      <c r="C8591" t="s">
        <v>40</v>
      </c>
      <c r="D8591">
        <v>5.5372849999999998</v>
      </c>
      <c r="E8591">
        <v>0.53151380000000004</v>
      </c>
      <c r="F8591" t="s">
        <v>41</v>
      </c>
      <c r="G8591">
        <v>-185.17959999999999</v>
      </c>
      <c r="H8591" s="1">
        <v>-3.055053E-6</v>
      </c>
      <c r="I8591">
        <v>114.761</v>
      </c>
      <c r="J8591">
        <v>-187.86660000000001</v>
      </c>
      <c r="K8591">
        <v>1.109602</v>
      </c>
      <c r="L8591">
        <v>78.052980000000005</v>
      </c>
      <c r="M8591">
        <v>-5.1932410000000003E-3</v>
      </c>
      <c r="N8591">
        <v>0</v>
      </c>
      <c r="O8591">
        <v>0.99994269999999996</v>
      </c>
      <c r="P8591">
        <v>-1.2989779999999999E-2</v>
      </c>
      <c r="Q8591">
        <v>4.8100080000000003E-2</v>
      </c>
      <c r="R8591">
        <v>0.99875809999999998</v>
      </c>
      <c r="S8591">
        <v>0.2189026</v>
      </c>
      <c r="T8591">
        <v>-9.0433360000000004E-2</v>
      </c>
      <c r="U8591">
        <v>3.0112000000000001</v>
      </c>
      <c r="V8591">
        <v>-7.7793480000000002E-3</v>
      </c>
      <c r="W8591">
        <v>5.7454709999999999E-2</v>
      </c>
      <c r="X8591">
        <v>0.99831780000000003</v>
      </c>
      <c r="Y8591">
        <v>7.7651129999999999E-2</v>
      </c>
      <c r="Z8591">
        <v>-2.9933410000000001E-2</v>
      </c>
      <c r="AA8591">
        <v>0.9965311</v>
      </c>
      <c r="AB8591">
        <v>25</v>
      </c>
      <c r="AC8591">
        <v>2.68700000000001</v>
      </c>
      <c r="AD8591">
        <v>-1.1096050550529999</v>
      </c>
      <c r="AE8591">
        <v>36.708019999999998</v>
      </c>
      <c r="AF8591">
        <v>2.8749927613158102</v>
      </c>
      <c r="AG8591">
        <v>-1.1096050550529999</v>
      </c>
      <c r="AH8591">
        <v>36.660251282962598</v>
      </c>
      <c r="AI8591">
        <v>91.728353109890406</v>
      </c>
      <c r="AJ8591">
        <v>85.515892710488401</v>
      </c>
      <c r="AK8591">
        <v>36.789547848346501</v>
      </c>
      <c r="AL8591">
        <v>86.706273770140399</v>
      </c>
      <c r="AM8591">
        <v>90.446465831110103</v>
      </c>
      <c r="AN8591">
        <v>0.99999999587666399</v>
      </c>
    </row>
    <row r="8592" spans="1:40" x14ac:dyDescent="0.25">
      <c r="A8592" t="str">
        <f>"20190312160536971"</f>
        <v>20190312160536971</v>
      </c>
      <c r="B8592" t="str">
        <f>"1552377936963764"</f>
        <v>1552377936963764</v>
      </c>
      <c r="C8592" t="s">
        <v>40</v>
      </c>
      <c r="D8592">
        <v>5.760942</v>
      </c>
      <c r="E8592">
        <v>0.53179809999999905</v>
      </c>
      <c r="F8592" t="s">
        <v>41</v>
      </c>
      <c r="G8592">
        <v>-185.15860000000001</v>
      </c>
      <c r="H8592" s="1">
        <v>-3.063479E-6</v>
      </c>
      <c r="I8592">
        <v>114.77200000000001</v>
      </c>
      <c r="J8592">
        <v>-187.86770000000001</v>
      </c>
      <c r="K8592">
        <v>1.1095999999999999</v>
      </c>
      <c r="L8592">
        <v>78.311800000000005</v>
      </c>
      <c r="M8592">
        <v>-4.9704559999999998E-3</v>
      </c>
      <c r="N8592">
        <v>0</v>
      </c>
      <c r="O8592">
        <v>0.99994369999999999</v>
      </c>
      <c r="P8592">
        <v>-1.1823480000000001E-2</v>
      </c>
      <c r="Q8592">
        <v>4.7704370000000003E-2</v>
      </c>
      <c r="R8592">
        <v>0.99879150000000005</v>
      </c>
      <c r="S8592">
        <v>0.22206119999999999</v>
      </c>
      <c r="T8592">
        <v>-9.0988520000000003E-2</v>
      </c>
      <c r="U8592">
        <v>3.0109859999999999</v>
      </c>
      <c r="V8592">
        <v>-6.8359969999999999E-3</v>
      </c>
      <c r="W8592">
        <v>5.7062910000000001E-2</v>
      </c>
      <c r="X8592">
        <v>0.99834719999999999</v>
      </c>
      <c r="Y8592">
        <v>7.8473490000000007E-2</v>
      </c>
      <c r="Z8592">
        <v>-3.0117060000000001E-2</v>
      </c>
      <c r="AA8592">
        <v>0.99646120000000005</v>
      </c>
      <c r="AB8592">
        <v>25</v>
      </c>
      <c r="AC8592">
        <v>2.7090999999999998</v>
      </c>
      <c r="AD8592">
        <v>-1.109603063479</v>
      </c>
      <c r="AE8592">
        <v>36.4602</v>
      </c>
      <c r="AF8592">
        <v>2.88763851690865</v>
      </c>
      <c r="AG8592">
        <v>-1.109603063479</v>
      </c>
      <c r="AH8592">
        <v>36.412743796328101</v>
      </c>
      <c r="AI8592">
        <v>91.7399708999518</v>
      </c>
      <c r="AJ8592">
        <v>85.465764170691003</v>
      </c>
      <c r="AK8592">
        <v>36.5439131175063</v>
      </c>
      <c r="AL8592">
        <v>86.728759223225794</v>
      </c>
      <c r="AM8592">
        <v>90.392316075744901</v>
      </c>
      <c r="AN8592">
        <v>1.0000000191502401</v>
      </c>
    </row>
    <row r="8593" spans="1:40" x14ac:dyDescent="0.25">
      <c r="A8593" t="str">
        <f>"20190312160536986"</f>
        <v>20190312160536986</v>
      </c>
      <c r="B8593" t="str">
        <f>"1552377936973524"</f>
        <v>1552377936973524</v>
      </c>
      <c r="C8593" t="s">
        <v>40</v>
      </c>
      <c r="D8593">
        <v>5.6522509999999997</v>
      </c>
      <c r="E8593">
        <v>0.53179809999999905</v>
      </c>
      <c r="F8593" t="s">
        <v>41</v>
      </c>
      <c r="G8593">
        <v>-184.96080000000001</v>
      </c>
      <c r="H8593" s="1">
        <v>-3.9447370000000001E-6</v>
      </c>
      <c r="I8593">
        <v>116.7444</v>
      </c>
      <c r="J8593">
        <v>-187.86840000000001</v>
      </c>
      <c r="K8593">
        <v>1.1095999999999999</v>
      </c>
      <c r="L8593">
        <v>78.473849999999999</v>
      </c>
      <c r="M8593">
        <v>-4.8314889999999996E-3</v>
      </c>
      <c r="N8593">
        <v>0</v>
      </c>
      <c r="O8593">
        <v>0.99994439999999996</v>
      </c>
      <c r="P8593">
        <v>-1.1505939999999999E-2</v>
      </c>
      <c r="Q8593">
        <v>4.750683E-2</v>
      </c>
      <c r="R8593">
        <v>0.99880460000000004</v>
      </c>
      <c r="S8593">
        <v>0.22770689999999999</v>
      </c>
      <c r="T8593">
        <v>-8.6917399999999895E-2</v>
      </c>
      <c r="U8593">
        <v>3.0104980000000001</v>
      </c>
      <c r="V8593">
        <v>-6.657077E-3</v>
      </c>
      <c r="W8593">
        <v>5.6867729999999998E-2</v>
      </c>
      <c r="X8593">
        <v>0.99835949999999996</v>
      </c>
      <c r="Y8593">
        <v>8.0208020000000005E-2</v>
      </c>
      <c r="Z8593">
        <v>-2.8771359999999999E-2</v>
      </c>
      <c r="AA8593">
        <v>0.99636279999999999</v>
      </c>
      <c r="AB8593">
        <v>25</v>
      </c>
      <c r="AC8593">
        <v>2.9076</v>
      </c>
      <c r="AD8593">
        <v>-1.1096039447370001</v>
      </c>
      <c r="AE8593">
        <v>38.27055</v>
      </c>
      <c r="AF8593">
        <v>3.0898953626229799</v>
      </c>
      <c r="AG8593">
        <v>-1.1096039447370001</v>
      </c>
      <c r="AH8593">
        <v>38.224106577411597</v>
      </c>
      <c r="AI8593">
        <v>91.657363585958194</v>
      </c>
      <c r="AJ8593">
        <v>85.378470146792196</v>
      </c>
      <c r="AK8593">
        <v>38.364840647492102</v>
      </c>
      <c r="AL8593">
        <v>86.739960252635697</v>
      </c>
      <c r="AM8593">
        <v>90.382043505525303</v>
      </c>
      <c r="AN8593">
        <v>0.99999997331489299</v>
      </c>
    </row>
    <row r="8594" spans="1:40" x14ac:dyDescent="0.25">
      <c r="A8594" t="str">
        <f>"20190312160537004"</f>
        <v>20190312160537004</v>
      </c>
      <c r="B8594" t="str">
        <f>"1552377936994020"</f>
        <v>1552377936994020</v>
      </c>
      <c r="C8594" t="s">
        <v>40</v>
      </c>
      <c r="D8594">
        <v>5.6044919999999996</v>
      </c>
      <c r="E8594">
        <v>0.5639151</v>
      </c>
      <c r="F8594" t="s">
        <v>41</v>
      </c>
      <c r="G8594">
        <v>-184.96520000000001</v>
      </c>
      <c r="H8594" s="1">
        <v>-3.9275400000000003E-6</v>
      </c>
      <c r="I8594">
        <v>116.7062</v>
      </c>
      <c r="J8594">
        <v>-187.86920000000001</v>
      </c>
      <c r="K8594">
        <v>1.1095969999999999</v>
      </c>
      <c r="L8594">
        <v>78.689329999999998</v>
      </c>
      <c r="M8594">
        <v>-4.6479709999999999E-3</v>
      </c>
      <c r="N8594">
        <v>0</v>
      </c>
      <c r="O8594">
        <v>0.99994530000000004</v>
      </c>
      <c r="P8594">
        <v>-1.0826290000000001E-2</v>
      </c>
      <c r="Q8594">
        <v>4.742673E-2</v>
      </c>
      <c r="R8594">
        <v>0.99881609999999998</v>
      </c>
      <c r="S8594">
        <v>0.22859189999999999</v>
      </c>
      <c r="T8594">
        <v>-8.7369199999999994E-2</v>
      </c>
      <c r="U8594">
        <v>3.0103759999999999</v>
      </c>
      <c r="V8594">
        <v>-6.1605779999999999E-3</v>
      </c>
      <c r="W8594">
        <v>5.6790609999999998E-2</v>
      </c>
      <c r="X8594">
        <v>0.99836709999999995</v>
      </c>
      <c r="Y8594">
        <v>8.0319020000000005E-2</v>
      </c>
      <c r="Z8594">
        <v>-2.8921539999999999E-2</v>
      </c>
      <c r="AA8594">
        <v>0.9963495</v>
      </c>
      <c r="AB8594">
        <v>25</v>
      </c>
      <c r="AC8594">
        <v>2.9039999999999901</v>
      </c>
      <c r="AD8594">
        <v>-1.1096009275399901</v>
      </c>
      <c r="AE8594">
        <v>38.016869999999997</v>
      </c>
      <c r="AF8594">
        <v>3.0780707446189202</v>
      </c>
      <c r="AG8594">
        <v>-1.1096009275399901</v>
      </c>
      <c r="AH8594">
        <v>37.970801906556602</v>
      </c>
      <c r="AI8594">
        <v>91.668378604473801</v>
      </c>
      <c r="AJ8594">
        <v>85.365500373210807</v>
      </c>
      <c r="AK8594">
        <v>38.111514416961199</v>
      </c>
      <c r="AL8594">
        <v>86.744386130433</v>
      </c>
      <c r="AM8594">
        <v>90.353547947232002</v>
      </c>
      <c r="AN8594">
        <v>0.99999999623393698</v>
      </c>
    </row>
    <row r="8595" spans="1:40" x14ac:dyDescent="0.25">
      <c r="A8595" t="str">
        <f>"20190312160537027"</f>
        <v>20190312160537027</v>
      </c>
      <c r="B8595" t="str">
        <f>"1552377937023300"</f>
        <v>1552377937023300</v>
      </c>
      <c r="C8595" t="s">
        <v>40</v>
      </c>
      <c r="D8595">
        <v>5.4740820000000001</v>
      </c>
      <c r="E8595">
        <v>0.58268869999999995</v>
      </c>
      <c r="F8595" t="s">
        <v>95</v>
      </c>
      <c r="G8595">
        <v>-173.7398</v>
      </c>
      <c r="H8595">
        <v>6.056597</v>
      </c>
      <c r="I8595">
        <v>167.6386</v>
      </c>
      <c r="J8595">
        <v>-187.87010000000001</v>
      </c>
      <c r="K8595">
        <v>1.1095950000000001</v>
      </c>
      <c r="L8595">
        <v>78.936340000000001</v>
      </c>
      <c r="M8595">
        <v>-4.4388309999999999E-3</v>
      </c>
      <c r="N8595">
        <v>0</v>
      </c>
      <c r="O8595">
        <v>0.99994620000000001</v>
      </c>
      <c r="P8595">
        <v>-1.0329619999999999E-2</v>
      </c>
      <c r="Q8595">
        <v>4.6359419999999998E-2</v>
      </c>
      <c r="R8595">
        <v>0.99887139999999996</v>
      </c>
      <c r="S8595">
        <v>0.47666930000000002</v>
      </c>
      <c r="T8595">
        <v>0.16689189999999901</v>
      </c>
      <c r="U8595">
        <v>3.0007929999999998</v>
      </c>
      <c r="V8595">
        <v>-5.8733910000000004E-3</v>
      </c>
      <c r="W8595">
        <v>5.5722279999999999E-2</v>
      </c>
      <c r="X8595">
        <v>0.99842909999999996</v>
      </c>
      <c r="Y8595">
        <v>0.16102739999999999</v>
      </c>
      <c r="Z8595">
        <v>5.4824320000000003E-2</v>
      </c>
      <c r="AA8595">
        <v>0.98542609999999997</v>
      </c>
      <c r="AB8595">
        <v>25</v>
      </c>
      <c r="AC8595">
        <v>14.1303</v>
      </c>
      <c r="AD8595">
        <v>4.9470020000000003</v>
      </c>
      <c r="AE8595">
        <v>88.702259999999995</v>
      </c>
      <c r="AF8595">
        <v>14.4799886555531</v>
      </c>
      <c r="AG8595">
        <v>4.9470020000000003</v>
      </c>
      <c r="AH8595">
        <v>88.370596859598095</v>
      </c>
      <c r="AI8595">
        <v>86.837995262778804</v>
      </c>
      <c r="AJ8595">
        <v>80.694476095605097</v>
      </c>
      <c r="AK8595">
        <v>89.685591315297501</v>
      </c>
      <c r="AL8595">
        <v>86.805694254826903</v>
      </c>
      <c r="AM8595">
        <v>90.337046099724205</v>
      </c>
      <c r="AN8595">
        <v>1.00000006846852</v>
      </c>
    </row>
    <row r="8596" spans="1:40" x14ac:dyDescent="0.25">
      <c r="A8596" t="str">
        <f>"20190312160537049"</f>
        <v>20190312160537049</v>
      </c>
      <c r="B8596" t="str">
        <f>"1552377937043797"</f>
        <v>1552377937043797</v>
      </c>
      <c r="C8596" t="s">
        <v>40</v>
      </c>
      <c r="D8596">
        <v>5.318149</v>
      </c>
      <c r="E8596">
        <v>0.58211590000000002</v>
      </c>
      <c r="F8596" t="s">
        <v>55</v>
      </c>
      <c r="G8596">
        <v>-168.19630000000001</v>
      </c>
      <c r="H8596">
        <v>4.1039560000000002</v>
      </c>
      <c r="I8596">
        <v>172.6901</v>
      </c>
      <c r="J8596">
        <v>-187.87100000000001</v>
      </c>
      <c r="K8596">
        <v>1.1095889999999999</v>
      </c>
      <c r="L8596">
        <v>79.195009999999996</v>
      </c>
      <c r="M8596">
        <v>-4.2204859999999999E-3</v>
      </c>
      <c r="N8596">
        <v>0</v>
      </c>
      <c r="O8596">
        <v>0.99994729999999998</v>
      </c>
      <c r="P8596">
        <v>-9.6043369999999992E-3</v>
      </c>
      <c r="Q8596">
        <v>4.682074E-2</v>
      </c>
      <c r="R8596">
        <v>0.99885710000000005</v>
      </c>
      <c r="S8596">
        <v>0.63067629999999997</v>
      </c>
      <c r="T8596">
        <v>9.5990300000000001E-2</v>
      </c>
      <c r="U8596">
        <v>3.0054319999999999</v>
      </c>
      <c r="V8596">
        <v>-5.3657459999999898E-3</v>
      </c>
      <c r="W8596">
        <v>5.6171230000000003E-2</v>
      </c>
      <c r="X8596">
        <v>0.99840669999999998</v>
      </c>
      <c r="Y8596">
        <v>0.20940110000000001</v>
      </c>
      <c r="Z8596">
        <v>3.1228619999999999E-2</v>
      </c>
      <c r="AA8596">
        <v>0.97733099999999995</v>
      </c>
      <c r="AB8596">
        <v>25</v>
      </c>
      <c r="AC8596">
        <v>19.674699999999898</v>
      </c>
      <c r="AD8596">
        <v>2.994367</v>
      </c>
      <c r="AE8596">
        <v>93.495090000000005</v>
      </c>
      <c r="AF8596">
        <v>20.0494435465774</v>
      </c>
      <c r="AG8596">
        <v>2.994367</v>
      </c>
      <c r="AH8596">
        <v>93.319555326955495</v>
      </c>
      <c r="AI8596">
        <v>88.203142338761495</v>
      </c>
      <c r="AJ8596">
        <v>77.874489028218704</v>
      </c>
      <c r="AK8596">
        <v>95.495999008748001</v>
      </c>
      <c r="AL8596">
        <v>86.779930642123006</v>
      </c>
      <c r="AM8596">
        <v>90.307922252417299</v>
      </c>
      <c r="AN8596">
        <v>0.99999996845736905</v>
      </c>
    </row>
    <row r="8597" spans="1:40" x14ac:dyDescent="0.25">
      <c r="A8597" t="str">
        <f>"20190312160537072"</f>
        <v>20190312160537072</v>
      </c>
      <c r="B8597" t="str">
        <f>"1552377937063319"</f>
        <v>1552377937063319</v>
      </c>
      <c r="C8597" t="s">
        <v>40</v>
      </c>
      <c r="D8597">
        <v>5.3826599999999996</v>
      </c>
      <c r="E8597">
        <v>0.58077630000000002</v>
      </c>
      <c r="F8597" t="s">
        <v>55</v>
      </c>
      <c r="G8597">
        <v>-168.32429999999999</v>
      </c>
      <c r="H8597">
        <v>4.1104770000000004</v>
      </c>
      <c r="I8597">
        <v>172.6901</v>
      </c>
      <c r="J8597">
        <v>-187.87190000000001</v>
      </c>
      <c r="K8597">
        <v>1.1095809999999999</v>
      </c>
      <c r="L8597">
        <v>79.454470000000001</v>
      </c>
      <c r="M8597">
        <v>-4.0009670000000002E-3</v>
      </c>
      <c r="N8597">
        <v>0</v>
      </c>
      <c r="O8597">
        <v>0.99994839999999996</v>
      </c>
      <c r="P8597">
        <v>-9.0551120000000006E-3</v>
      </c>
      <c r="Q8597">
        <v>4.6826899999999998E-2</v>
      </c>
      <c r="R8597">
        <v>0.99886200000000003</v>
      </c>
      <c r="S8597">
        <v>0.62823490000000004</v>
      </c>
      <c r="T8597">
        <v>9.6449969999999996E-2</v>
      </c>
      <c r="U8597">
        <v>3.0049440000000001</v>
      </c>
      <c r="V8597">
        <v>-5.0363059999999999E-3</v>
      </c>
      <c r="W8597">
        <v>5.6154559999999999E-2</v>
      </c>
      <c r="X8597">
        <v>0.9984094</v>
      </c>
      <c r="Y8597">
        <v>0.20845649999999999</v>
      </c>
      <c r="Z8597">
        <v>3.138883E-2</v>
      </c>
      <c r="AA8597">
        <v>0.97752779999999995</v>
      </c>
      <c r="AB8597">
        <v>25</v>
      </c>
      <c r="AC8597">
        <v>19.547599999999999</v>
      </c>
      <c r="AD8597">
        <v>3.000896</v>
      </c>
      <c r="AE8597">
        <v>93.23563</v>
      </c>
      <c r="AF8597">
        <v>19.9007443864088</v>
      </c>
      <c r="AG8597">
        <v>3.000896</v>
      </c>
      <c r="AH8597">
        <v>93.064320552936906</v>
      </c>
      <c r="AI8597">
        <v>88.1939185234001</v>
      </c>
      <c r="AJ8597">
        <v>77.929738027190794</v>
      </c>
      <c r="AK8597">
        <v>95.215611975745901</v>
      </c>
      <c r="AL8597">
        <v>86.780887421090299</v>
      </c>
      <c r="AM8597">
        <v>90.289016340077296</v>
      </c>
      <c r="AN8597">
        <v>1.00000001449763</v>
      </c>
    </row>
    <row r="8598" spans="1:40" x14ac:dyDescent="0.25">
      <c r="A8598" t="str">
        <f>"20190312160537095"</f>
        <v>20190312160537095</v>
      </c>
      <c r="B8598" t="str">
        <f>"1552377937083811"</f>
        <v>1552377937083811</v>
      </c>
      <c r="C8598" t="s">
        <v>40</v>
      </c>
      <c r="D8598">
        <v>5.3929400000000003</v>
      </c>
      <c r="E8598">
        <v>0.58020709999999998</v>
      </c>
      <c r="F8598" t="s">
        <v>55</v>
      </c>
      <c r="G8598">
        <v>-168.65129999999999</v>
      </c>
      <c r="H8598">
        <v>3.9439649999999999</v>
      </c>
      <c r="I8598">
        <v>172.69030000000001</v>
      </c>
      <c r="J8598">
        <v>-187.87270000000001</v>
      </c>
      <c r="K8598">
        <v>1.1095680000000001</v>
      </c>
      <c r="L8598">
        <v>79.715669999999903</v>
      </c>
      <c r="M8598">
        <v>-3.7784390000000002E-3</v>
      </c>
      <c r="N8598">
        <v>0</v>
      </c>
      <c r="O8598">
        <v>0.99994950000000005</v>
      </c>
      <c r="P8598">
        <v>-8.5229889999999999E-3</v>
      </c>
      <c r="Q8598">
        <v>4.6325520000000002E-2</v>
      </c>
      <c r="R8598">
        <v>0.99888999999999994</v>
      </c>
      <c r="S8598">
        <v>0.61943049999999999</v>
      </c>
      <c r="T8598">
        <v>9.1346259999999999E-2</v>
      </c>
      <c r="U8598">
        <v>3.0047609999999998</v>
      </c>
      <c r="V8598">
        <v>-4.7260409999999899E-3</v>
      </c>
      <c r="W8598">
        <v>5.5627530000000001E-2</v>
      </c>
      <c r="X8598">
        <v>0.99844040000000001</v>
      </c>
      <c r="Y8598">
        <v>0.20551410000000001</v>
      </c>
      <c r="Z8598">
        <v>2.9749339999999999E-2</v>
      </c>
      <c r="AA8598">
        <v>0.97820189999999996</v>
      </c>
      <c r="AB8598">
        <v>25</v>
      </c>
      <c r="AC8598">
        <v>19.221399999999999</v>
      </c>
      <c r="AD8598">
        <v>2.8343970000000001</v>
      </c>
      <c r="AE8598">
        <v>92.974630000000005</v>
      </c>
      <c r="AF8598">
        <v>19.5551477894969</v>
      </c>
      <c r="AG8598">
        <v>2.8343970000000001</v>
      </c>
      <c r="AH8598">
        <v>92.818608476596694</v>
      </c>
      <c r="AI8598">
        <v>88.288454685254706</v>
      </c>
      <c r="AJ8598">
        <v>78.102837561673795</v>
      </c>
      <c r="AK8598">
        <v>94.898533660718002</v>
      </c>
      <c r="AL8598">
        <v>86.8111312282808</v>
      </c>
      <c r="AM8598">
        <v>90.271203149246105</v>
      </c>
      <c r="AN8598">
        <v>0.99999999495479697</v>
      </c>
    </row>
    <row r="8599" spans="1:40" x14ac:dyDescent="0.25">
      <c r="A8599" t="str">
        <f>"20190312160537116"</f>
        <v>20190312160537116</v>
      </c>
      <c r="B8599" t="str">
        <f>"1552377937104308"</f>
        <v>1552377937104308</v>
      </c>
      <c r="C8599" t="s">
        <v>40</v>
      </c>
      <c r="D8599">
        <v>5.2892859999999997</v>
      </c>
      <c r="E8599">
        <v>0.57942869999999902</v>
      </c>
      <c r="F8599" t="s">
        <v>55</v>
      </c>
      <c r="G8599">
        <v>-168.7884</v>
      </c>
      <c r="H8599">
        <v>3.8825240000000001</v>
      </c>
      <c r="I8599">
        <v>172.69030000000001</v>
      </c>
      <c r="J8599">
        <v>-187.8734</v>
      </c>
      <c r="K8599">
        <v>1.1095569999999999</v>
      </c>
      <c r="L8599">
        <v>79.963099999999997</v>
      </c>
      <c r="M8599">
        <v>-3.565028E-3</v>
      </c>
      <c r="N8599">
        <v>0</v>
      </c>
      <c r="O8599">
        <v>0.99995049999999996</v>
      </c>
      <c r="P8599">
        <v>-8.0109589999999998E-3</v>
      </c>
      <c r="Q8599">
        <v>4.6010969999999998E-2</v>
      </c>
      <c r="R8599">
        <v>0.99890880000000004</v>
      </c>
      <c r="S8599">
        <v>0.616699199999999</v>
      </c>
      <c r="T8599">
        <v>8.9607599999999996E-2</v>
      </c>
      <c r="U8599">
        <v>3.0044249999999999</v>
      </c>
      <c r="V8599">
        <v>-4.4266619999999996E-3</v>
      </c>
      <c r="W8599">
        <v>5.5287599999999999E-2</v>
      </c>
      <c r="X8599">
        <v>0.99846069999999998</v>
      </c>
      <c r="Y8599">
        <v>0.20447679999999999</v>
      </c>
      <c r="Z8599">
        <v>2.919267E-2</v>
      </c>
      <c r="AA8599">
        <v>0.97843599999999997</v>
      </c>
      <c r="AB8599">
        <v>26</v>
      </c>
      <c r="AC8599">
        <v>19.085000000000001</v>
      </c>
      <c r="AD8599">
        <v>2.7729669999999902</v>
      </c>
      <c r="AE8599">
        <v>92.727199999999996</v>
      </c>
      <c r="AF8599">
        <v>19.398825013599499</v>
      </c>
      <c r="AG8599">
        <v>2.7729669999999902</v>
      </c>
      <c r="AH8599">
        <v>92.579141869741505</v>
      </c>
      <c r="AI8599">
        <v>88.320812838074502</v>
      </c>
      <c r="AJ8599">
        <v>78.165589597300894</v>
      </c>
      <c r="AK8599">
        <v>94.630340098876701</v>
      </c>
      <c r="AL8599">
        <v>86.8306379509972</v>
      </c>
      <c r="AM8599">
        <v>90.254018398710798</v>
      </c>
      <c r="AN8599">
        <v>1.00000004174735</v>
      </c>
    </row>
    <row r="8600" spans="1:40" x14ac:dyDescent="0.25">
      <c r="A8600" t="str">
        <f>"20190312160537138"</f>
        <v>20190312160537138</v>
      </c>
      <c r="B8600" t="str">
        <f>"1552377937133588"</f>
        <v>1552377937133588</v>
      </c>
      <c r="C8600" t="s">
        <v>40</v>
      </c>
      <c r="D8600">
        <v>5.2733319999999999</v>
      </c>
      <c r="E8600">
        <v>0.57910620000000002</v>
      </c>
      <c r="F8600" t="s">
        <v>55</v>
      </c>
      <c r="G8600">
        <v>-168.98070000000001</v>
      </c>
      <c r="H8600">
        <v>3.7702879999999999</v>
      </c>
      <c r="I8600">
        <v>172.69040000000001</v>
      </c>
      <c r="J8600">
        <v>-187.874</v>
      </c>
      <c r="K8600">
        <v>1.109548</v>
      </c>
      <c r="L8600">
        <v>80.211429999999993</v>
      </c>
      <c r="M8600">
        <v>-3.3466049999999999E-3</v>
      </c>
      <c r="N8600">
        <v>0</v>
      </c>
      <c r="O8600">
        <v>0.99995149999999999</v>
      </c>
      <c r="P8600">
        <v>-8.1231389999999997E-3</v>
      </c>
      <c r="Q8600">
        <v>4.5874400000000003E-2</v>
      </c>
      <c r="R8600">
        <v>0.99891419999999997</v>
      </c>
      <c r="S8600">
        <v>0.6120911</v>
      </c>
      <c r="T8600">
        <v>8.6204290000000003E-2</v>
      </c>
      <c r="U8600">
        <v>3.0042110000000002</v>
      </c>
      <c r="V8600">
        <v>-4.7571200000000001E-3</v>
      </c>
      <c r="W8600">
        <v>5.512334E-2</v>
      </c>
      <c r="X8600">
        <v>0.99846820000000003</v>
      </c>
      <c r="Y8600">
        <v>0.2028421</v>
      </c>
      <c r="Z8600">
        <v>2.809592E-2</v>
      </c>
      <c r="AA8600">
        <v>0.97880829999999996</v>
      </c>
      <c r="AB8600">
        <v>26</v>
      </c>
      <c r="AC8600">
        <v>18.8933</v>
      </c>
      <c r="AD8600">
        <v>2.6607400000000001</v>
      </c>
      <c r="AE8600">
        <v>92.478969999999904</v>
      </c>
      <c r="AF8600">
        <v>19.187451284158101</v>
      </c>
      <c r="AG8600">
        <v>2.6607400000000001</v>
      </c>
      <c r="AH8600">
        <v>92.341844114545907</v>
      </c>
      <c r="AI8600">
        <v>88.384032361246497</v>
      </c>
      <c r="AJ8600">
        <v>78.261705001144307</v>
      </c>
      <c r="AK8600">
        <v>94.351756733007505</v>
      </c>
      <c r="AL8600">
        <v>86.840063532967307</v>
      </c>
      <c r="AM8600">
        <v>90.272978985511799</v>
      </c>
      <c r="AN8600">
        <v>0.99999997960734399</v>
      </c>
    </row>
    <row r="8601" spans="1:40" x14ac:dyDescent="0.25">
      <c r="A8601" t="str">
        <f>"20190312160537151"</f>
        <v>20190312160537151</v>
      </c>
      <c r="B8601" t="str">
        <f>"1552377937143349"</f>
        <v>1552377937143349</v>
      </c>
      <c r="C8601" t="s">
        <v>40</v>
      </c>
      <c r="D8601">
        <v>5.2754379999999896</v>
      </c>
      <c r="E8601">
        <v>0.57906400000000002</v>
      </c>
      <c r="F8601" t="s">
        <v>55</v>
      </c>
      <c r="G8601">
        <v>-169.12139999999999</v>
      </c>
      <c r="H8601">
        <v>3.6820400000000002</v>
      </c>
      <c r="I8601">
        <v>172.69049999999999</v>
      </c>
      <c r="J8601">
        <v>-187.87440000000001</v>
      </c>
      <c r="K8601">
        <v>1.1095410000000001</v>
      </c>
      <c r="L8601">
        <v>80.354889999999997</v>
      </c>
      <c r="M8601">
        <v>-3.2183720000000002E-3</v>
      </c>
      <c r="N8601">
        <v>0</v>
      </c>
      <c r="O8601">
        <v>0.99995210000000001</v>
      </c>
      <c r="P8601">
        <v>-8.2747949999999997E-3</v>
      </c>
      <c r="Q8601">
        <v>4.5757829999999999E-2</v>
      </c>
      <c r="R8601">
        <v>0.99891830000000004</v>
      </c>
      <c r="S8601">
        <v>0.60922240000000005</v>
      </c>
      <c r="T8601">
        <v>8.3574300000000004E-2</v>
      </c>
      <c r="U8601">
        <v>3.0043950000000001</v>
      </c>
      <c r="V8601">
        <v>-5.0366320000000001E-3</v>
      </c>
      <c r="W8601">
        <v>5.4990020000000001E-2</v>
      </c>
      <c r="X8601">
        <v>0.99847419999999998</v>
      </c>
      <c r="Y8601">
        <v>0.20181199999999999</v>
      </c>
      <c r="Z8601">
        <v>2.724329E-2</v>
      </c>
      <c r="AA8601">
        <v>0.97904530000000001</v>
      </c>
      <c r="AB8601">
        <v>26</v>
      </c>
      <c r="AC8601">
        <v>18.753</v>
      </c>
      <c r="AD8601">
        <v>2.5724990000000001</v>
      </c>
      <c r="AE8601">
        <v>92.335610000000003</v>
      </c>
      <c r="AF8601">
        <v>19.0358956233508</v>
      </c>
      <c r="AG8601">
        <v>2.5724990000000001</v>
      </c>
      <c r="AH8601">
        <v>92.206040168559397</v>
      </c>
      <c r="AI8601">
        <v>88.434881900105793</v>
      </c>
      <c r="AJ8601">
        <v>78.335192920612698</v>
      </c>
      <c r="AK8601">
        <v>94.185651332111604</v>
      </c>
      <c r="AL8601">
        <v>86.847713871395399</v>
      </c>
      <c r="AM8601">
        <v>90.289016290008604</v>
      </c>
      <c r="AN8601">
        <v>0.99999999901357095</v>
      </c>
    </row>
    <row r="8602" spans="1:40" x14ac:dyDescent="0.25">
      <c r="A8602" t="str">
        <f>"20190312160537163"</f>
        <v>20190312160537163</v>
      </c>
      <c r="B8602" t="str">
        <f>"1552377937154084"</f>
        <v>1552377937154084</v>
      </c>
      <c r="C8602" t="s">
        <v>40</v>
      </c>
      <c r="D8602">
        <v>5.1033970000000002</v>
      </c>
      <c r="E8602">
        <v>0.57893130000000004</v>
      </c>
      <c r="F8602" t="s">
        <v>55</v>
      </c>
      <c r="G8602">
        <v>-169.17619999999999</v>
      </c>
      <c r="H8602">
        <v>3.6696620000000002</v>
      </c>
      <c r="I8602">
        <v>172.69049999999999</v>
      </c>
      <c r="J8602">
        <v>-187.87469999999999</v>
      </c>
      <c r="K8602">
        <v>1.109534</v>
      </c>
      <c r="L8602">
        <v>80.508330000000001</v>
      </c>
      <c r="M8602">
        <v>-3.0793079999999998E-3</v>
      </c>
      <c r="N8602">
        <v>0</v>
      </c>
      <c r="O8602">
        <v>0.99995270000000003</v>
      </c>
      <c r="P8602">
        <v>-8.3642600000000001E-3</v>
      </c>
      <c r="Q8602">
        <v>4.584179E-2</v>
      </c>
      <c r="R8602">
        <v>0.99891370000000002</v>
      </c>
      <c r="S8602">
        <v>0.60841369999999995</v>
      </c>
      <c r="T8602">
        <v>8.3304290000000003E-2</v>
      </c>
      <c r="U8602">
        <v>3.004486</v>
      </c>
      <c r="V8602">
        <v>-5.2646699999999999E-3</v>
      </c>
      <c r="W8602">
        <v>5.5055729999999997E-2</v>
      </c>
      <c r="X8602">
        <v>0.99846939999999995</v>
      </c>
      <c r="Y8602">
        <v>0.20141729999999999</v>
      </c>
      <c r="Z8602">
        <v>2.7156380000000001E-2</v>
      </c>
      <c r="AA8602">
        <v>0.97912900000000003</v>
      </c>
      <c r="AB8602">
        <v>26</v>
      </c>
      <c r="AC8602">
        <v>18.698499999999999</v>
      </c>
      <c r="AD8602">
        <v>2.56012799999999</v>
      </c>
      <c r="AE8602">
        <v>92.182169999999999</v>
      </c>
      <c r="AF8602">
        <v>18.968228495528098</v>
      </c>
      <c r="AG8602">
        <v>2.56012799999999</v>
      </c>
      <c r="AH8602">
        <v>92.055954275248197</v>
      </c>
      <c r="AI8602">
        <v>88.439743600798806</v>
      </c>
      <c r="AJ8602">
        <v>78.357092255024497</v>
      </c>
      <c r="AK8602">
        <v>94.024713055459699</v>
      </c>
      <c r="AL8602">
        <v>86.843943245477206</v>
      </c>
      <c r="AM8602">
        <v>90.3021029749805</v>
      </c>
      <c r="AN8602">
        <v>0.99999999644619997</v>
      </c>
    </row>
    <row r="8603" spans="1:40" x14ac:dyDescent="0.25">
      <c r="A8603" t="str">
        <f>"20190312160537176"</f>
        <v>20190312160537176</v>
      </c>
      <c r="B8603" t="str">
        <f>"1552377937173605"</f>
        <v>1552377937173605</v>
      </c>
      <c r="C8603" t="s">
        <v>40</v>
      </c>
      <c r="D8603">
        <v>5.297059</v>
      </c>
      <c r="E8603">
        <v>0.57873180000000002</v>
      </c>
      <c r="F8603" t="s">
        <v>55</v>
      </c>
      <c r="G8603">
        <v>-169.24719999999999</v>
      </c>
      <c r="H8603">
        <v>3.5833629999999999</v>
      </c>
      <c r="I8603">
        <v>172.69059999999999</v>
      </c>
      <c r="J8603">
        <v>-187.875</v>
      </c>
      <c r="K8603">
        <v>1.1095280000000001</v>
      </c>
      <c r="L8603">
        <v>80.650180000000006</v>
      </c>
      <c r="M8603">
        <v>-2.9494059999999999E-3</v>
      </c>
      <c r="N8603">
        <v>0</v>
      </c>
      <c r="O8603">
        <v>0.99995330000000004</v>
      </c>
      <c r="P8603">
        <v>-8.5224299999999992E-3</v>
      </c>
      <c r="Q8603">
        <v>4.5987889999999997E-2</v>
      </c>
      <c r="R8603">
        <v>0.99890570000000001</v>
      </c>
      <c r="S8603">
        <v>0.60716250000000005</v>
      </c>
      <c r="T8603">
        <v>8.0635070000000003E-2</v>
      </c>
      <c r="U8603">
        <v>3.0046689999999998</v>
      </c>
      <c r="V8603">
        <v>-5.5521980000000004E-3</v>
      </c>
      <c r="W8603">
        <v>5.5186659999999998E-2</v>
      </c>
      <c r="X8603">
        <v>0.99846060000000003</v>
      </c>
      <c r="Y8603">
        <v>0.20089129999999999</v>
      </c>
      <c r="Z8603">
        <v>2.628782E-2</v>
      </c>
      <c r="AA8603">
        <v>0.97926069999999998</v>
      </c>
      <c r="AB8603">
        <v>26</v>
      </c>
      <c r="AC8603">
        <v>18.627800000000001</v>
      </c>
      <c r="AD8603">
        <v>2.4738349999999998</v>
      </c>
      <c r="AE8603">
        <v>92.040419999999898</v>
      </c>
      <c r="AF8603">
        <v>18.886088376010601</v>
      </c>
      <c r="AG8603">
        <v>2.4738349999999998</v>
      </c>
      <c r="AH8603">
        <v>91.921284383682405</v>
      </c>
      <c r="AI8603">
        <v>88.489925593888302</v>
      </c>
      <c r="AJ8603">
        <v>78.389618064705203</v>
      </c>
      <c r="AK8603">
        <v>93.873993824165794</v>
      </c>
      <c r="AL8603">
        <v>86.836430040967201</v>
      </c>
      <c r="AM8603">
        <v>90.318604693600406</v>
      </c>
      <c r="AN8603">
        <v>0.99999998204847296</v>
      </c>
    </row>
    <row r="8604" spans="1:40" x14ac:dyDescent="0.25">
      <c r="A8604" t="str">
        <f>"20190312160537195"</f>
        <v>20190312160537195</v>
      </c>
      <c r="B8604" t="str">
        <f>"1552377937183364"</f>
        <v>1552377937183364</v>
      </c>
      <c r="C8604" t="s">
        <v>40</v>
      </c>
      <c r="D8604">
        <v>5.2133320000000003</v>
      </c>
      <c r="E8604">
        <v>0.57843710000000004</v>
      </c>
      <c r="F8604" t="s">
        <v>55</v>
      </c>
      <c r="G8604">
        <v>-169.32910000000001</v>
      </c>
      <c r="H8604">
        <v>3.4535949999999902</v>
      </c>
      <c r="I8604">
        <v>172.69069999999999</v>
      </c>
      <c r="J8604">
        <v>-187.87549999999999</v>
      </c>
      <c r="K8604">
        <v>1.109529</v>
      </c>
      <c r="L8604">
        <v>80.862519999999904</v>
      </c>
      <c r="M8604">
        <v>-2.7533829999999999E-3</v>
      </c>
      <c r="N8604">
        <v>0</v>
      </c>
      <c r="O8604">
        <v>0.99995400000000001</v>
      </c>
      <c r="P8604">
        <v>-9.0545360000000002E-3</v>
      </c>
      <c r="Q8604">
        <v>4.5872009999999998E-2</v>
      </c>
      <c r="R8604">
        <v>0.99890630000000002</v>
      </c>
      <c r="S8604">
        <v>0.60548400000000002</v>
      </c>
      <c r="T8604">
        <v>7.65295E-2</v>
      </c>
      <c r="U8604">
        <v>3.0049130000000002</v>
      </c>
      <c r="V8604">
        <v>-6.2797290000000004E-3</v>
      </c>
      <c r="W8604">
        <v>5.5049529999999999E-2</v>
      </c>
      <c r="X8604">
        <v>0.99846389999999996</v>
      </c>
      <c r="Y8604">
        <v>0.20016490000000001</v>
      </c>
      <c r="Z8604">
        <v>2.495151E-2</v>
      </c>
      <c r="AA8604">
        <v>0.97944439999999999</v>
      </c>
      <c r="AB8604">
        <v>26</v>
      </c>
      <c r="AC8604">
        <v>18.546399999999899</v>
      </c>
      <c r="AD8604">
        <v>2.3440660000000002</v>
      </c>
      <c r="AE8604">
        <v>91.828180000000003</v>
      </c>
      <c r="AF8604">
        <v>18.787416245347</v>
      </c>
      <c r="AG8604">
        <v>2.3440660000000002</v>
      </c>
      <c r="AH8604">
        <v>91.719341507610295</v>
      </c>
      <c r="AI8604">
        <v>88.565780041262201</v>
      </c>
      <c r="AJ8604">
        <v>78.423895683351404</v>
      </c>
      <c r="AK8604">
        <v>93.653079293624501</v>
      </c>
      <c r="AL8604">
        <v>86.844299101716501</v>
      </c>
      <c r="AM8604">
        <v>90.360350758939006</v>
      </c>
      <c r="AN8604">
        <v>1.0000000226763699</v>
      </c>
    </row>
    <row r="8605" spans="1:40" x14ac:dyDescent="0.25">
      <c r="A8605" t="str">
        <f>"20190312160537216"</f>
        <v>20190312160537216</v>
      </c>
      <c r="B8605" t="str">
        <f>"1552377937203860"</f>
        <v>1552377937203860</v>
      </c>
      <c r="C8605" t="s">
        <v>40</v>
      </c>
      <c r="D8605">
        <v>5.2064719999999998</v>
      </c>
      <c r="E8605">
        <v>0.57816969999999901</v>
      </c>
      <c r="F8605" t="s">
        <v>55</v>
      </c>
      <c r="G8605">
        <v>-169.40530000000001</v>
      </c>
      <c r="H8605">
        <v>3.4204340000000002</v>
      </c>
      <c r="I8605">
        <v>173.1823</v>
      </c>
      <c r="J8605">
        <v>-187.8759</v>
      </c>
      <c r="K8605">
        <v>1.109529</v>
      </c>
      <c r="L8605">
        <v>81.109470000000002</v>
      </c>
      <c r="M8605">
        <v>-2.5232950000000001E-3</v>
      </c>
      <c r="N8605">
        <v>0</v>
      </c>
      <c r="O8605">
        <v>0.99995480000000003</v>
      </c>
      <c r="P8605">
        <v>-9.2677390000000005E-3</v>
      </c>
      <c r="Q8605">
        <v>4.6449230000000001E-2</v>
      </c>
      <c r="R8605">
        <v>0.99887760000000003</v>
      </c>
      <c r="S8605">
        <v>0.60125729999999999</v>
      </c>
      <c r="T8605">
        <v>7.5227740000000001E-2</v>
      </c>
      <c r="U8605">
        <v>3.00528</v>
      </c>
      <c r="V8605">
        <v>-6.7227750000000003E-3</v>
      </c>
      <c r="W8605">
        <v>5.5604199999999902E-2</v>
      </c>
      <c r="X8605">
        <v>0.99843029999999999</v>
      </c>
      <c r="Y8605">
        <v>0.19859399999999999</v>
      </c>
      <c r="Z8605">
        <v>2.453176E-2</v>
      </c>
      <c r="AA8605">
        <v>0.97977479999999995</v>
      </c>
      <c r="AB8605">
        <v>26</v>
      </c>
      <c r="AC8605">
        <v>18.470599999999902</v>
      </c>
      <c r="AD8605">
        <v>2.310905</v>
      </c>
      <c r="AE8605">
        <v>92.072829999999996</v>
      </c>
      <c r="AF8605">
        <v>18.691558775326101</v>
      </c>
      <c r="AG8605">
        <v>2.310905</v>
      </c>
      <c r="AH8605">
        <v>91.970233495591202</v>
      </c>
      <c r="AI8605">
        <v>88.5894748562648</v>
      </c>
      <c r="AJ8605">
        <v>78.511962933842</v>
      </c>
      <c r="AK8605">
        <v>93.878850123997907</v>
      </c>
      <c r="AL8605">
        <v>86.812470165389399</v>
      </c>
      <c r="AM8605">
        <v>90.385786381970505</v>
      </c>
      <c r="AN8605">
        <v>1.00000004335971</v>
      </c>
    </row>
    <row r="8606" spans="1:40" x14ac:dyDescent="0.25">
      <c r="A8606" t="str">
        <f>"20190312160537238"</f>
        <v>20190312160537238</v>
      </c>
      <c r="B8606" t="str">
        <f>"1552377937234116"</f>
        <v>1552377937234116</v>
      </c>
      <c r="C8606" t="s">
        <v>40</v>
      </c>
      <c r="D8606">
        <v>5.415991</v>
      </c>
      <c r="E8606">
        <v>0.53810570000000002</v>
      </c>
      <c r="F8606" t="s">
        <v>55</v>
      </c>
      <c r="G8606">
        <v>-169.4051</v>
      </c>
      <c r="H8606">
        <v>3.347486</v>
      </c>
      <c r="I8606">
        <v>173.8245</v>
      </c>
      <c r="J8606">
        <v>-187.87629999999999</v>
      </c>
      <c r="K8606">
        <v>1.109529</v>
      </c>
      <c r="L8606">
        <v>81.369630000000001</v>
      </c>
      <c r="M8606">
        <v>-2.2789580000000002E-3</v>
      </c>
      <c r="N8606">
        <v>0</v>
      </c>
      <c r="O8606">
        <v>0.99995560000000006</v>
      </c>
      <c r="P8606">
        <v>-8.9280739999999994E-3</v>
      </c>
      <c r="Q8606">
        <v>4.7004669999999998E-2</v>
      </c>
      <c r="R8606">
        <v>0.99885480000000004</v>
      </c>
      <c r="S8606">
        <v>0.59877009999999997</v>
      </c>
      <c r="T8606">
        <v>7.2549100000000005E-2</v>
      </c>
      <c r="U8606">
        <v>3.0055540000000001</v>
      </c>
      <c r="V8606">
        <v>-6.6268830000000001E-3</v>
      </c>
      <c r="W8606">
        <v>5.6138380000000002E-2</v>
      </c>
      <c r="X8606">
        <v>0.99840099999999998</v>
      </c>
      <c r="Y8606">
        <v>0.1975616</v>
      </c>
      <c r="Z8606">
        <v>2.3661060000000001E-2</v>
      </c>
      <c r="AA8606">
        <v>0.98000489999999996</v>
      </c>
      <c r="AB8606">
        <v>26</v>
      </c>
      <c r="AC8606">
        <v>18.4711999999999</v>
      </c>
      <c r="AD8606">
        <v>2.2379570000000002</v>
      </c>
      <c r="AE8606">
        <v>92.45487</v>
      </c>
      <c r="AF8606">
        <v>18.671341457059899</v>
      </c>
      <c r="AG8606">
        <v>2.2379570000000002</v>
      </c>
      <c r="AH8606">
        <v>92.360493614887901</v>
      </c>
      <c r="AI8606">
        <v>88.639468024145998</v>
      </c>
      <c r="AJ8606">
        <v>78.571270713578897</v>
      </c>
      <c r="AK8606">
        <v>94.255441350225098</v>
      </c>
      <c r="AL8606">
        <v>86.781815868804003</v>
      </c>
      <c r="AM8606">
        <v>90.380294943033107</v>
      </c>
      <c r="AN8606">
        <v>0.99999999504415904</v>
      </c>
    </row>
    <row r="8607" spans="1:40" x14ac:dyDescent="0.25">
      <c r="A8607" t="str">
        <f>"20190312160537261"</f>
        <v>20190312160537261</v>
      </c>
      <c r="B8607" t="str">
        <f>"1552377937253637"</f>
        <v>1552377937253637</v>
      </c>
      <c r="C8607" t="s">
        <v>40</v>
      </c>
      <c r="D8607">
        <v>5.0072570000000001</v>
      </c>
      <c r="E8607">
        <v>0.51910690000000004</v>
      </c>
      <c r="F8607" t="s">
        <v>53</v>
      </c>
      <c r="G8607">
        <v>-169.1438</v>
      </c>
      <c r="H8607">
        <v>7.0251179999999902</v>
      </c>
      <c r="I8607">
        <v>282.50319999999999</v>
      </c>
      <c r="J8607">
        <v>-187.8766</v>
      </c>
      <c r="K8607">
        <v>1.1095299999999999</v>
      </c>
      <c r="L8607">
        <v>81.634769999999904</v>
      </c>
      <c r="M8607">
        <v>-2.029196E-3</v>
      </c>
      <c r="N8607">
        <v>0</v>
      </c>
      <c r="O8607">
        <v>0.99995630000000002</v>
      </c>
      <c r="P8607">
        <v>-9.3941470000000003E-3</v>
      </c>
      <c r="Q8607">
        <v>4.7764099999999997E-2</v>
      </c>
      <c r="R8607">
        <v>0.99881450000000005</v>
      </c>
      <c r="S8607">
        <v>0.27957149999999997</v>
      </c>
      <c r="T8607">
        <v>8.8287829999999998E-2</v>
      </c>
      <c r="U8607">
        <v>3.0018009999999999</v>
      </c>
      <c r="V8607">
        <v>-7.3416369999999998E-3</v>
      </c>
      <c r="W8607">
        <v>5.68781999999999E-2</v>
      </c>
      <c r="X8607">
        <v>0.99835410000000002</v>
      </c>
      <c r="Y8607">
        <v>9.4713919999999993E-2</v>
      </c>
      <c r="Z8607">
        <v>2.9269460000000001E-2</v>
      </c>
      <c r="AA8607">
        <v>0.99507420000000002</v>
      </c>
      <c r="AB8607">
        <v>26</v>
      </c>
      <c r="AC8607">
        <v>18.732800000000001</v>
      </c>
      <c r="AD8607">
        <v>5.9155879999999996</v>
      </c>
      <c r="AE8607">
        <v>200.86842999999999</v>
      </c>
      <c r="AF8607">
        <v>19.123936519796001</v>
      </c>
      <c r="AG8607">
        <v>5.9155879999999996</v>
      </c>
      <c r="AH8607">
        <v>200.65747137668799</v>
      </c>
      <c r="AI8607">
        <v>88.318963800955004</v>
      </c>
      <c r="AJ8607">
        <v>84.555790930474302</v>
      </c>
      <c r="AK8607">
        <v>201.65351459542001</v>
      </c>
      <c r="AL8607">
        <v>86.739359379604196</v>
      </c>
      <c r="AM8607">
        <v>90.421330700790193</v>
      </c>
      <c r="AN8607">
        <v>0.99999996912794398</v>
      </c>
    </row>
    <row r="8608" spans="1:40" x14ac:dyDescent="0.25">
      <c r="A8608" t="str">
        <f>"20190312160537283"</f>
        <v>20190312160537283</v>
      </c>
      <c r="B8608" t="str">
        <f>"1552377937274136"</f>
        <v>1552377937274136</v>
      </c>
      <c r="C8608" t="s">
        <v>40</v>
      </c>
      <c r="D8608">
        <v>5.0396729999999996</v>
      </c>
      <c r="E8608">
        <v>0.513121099999999</v>
      </c>
      <c r="F8608" t="s">
        <v>52</v>
      </c>
      <c r="G8608">
        <v>-174.5102</v>
      </c>
      <c r="H8608">
        <v>1.9245950000000001</v>
      </c>
      <c r="I8608">
        <v>391.00349999999997</v>
      </c>
      <c r="J8608">
        <v>-187.87690000000001</v>
      </c>
      <c r="K8608">
        <v>1.109521</v>
      </c>
      <c r="L8608">
        <v>81.899479999999997</v>
      </c>
      <c r="M8608">
        <v>-1.7795739999999999E-3</v>
      </c>
      <c r="N8608">
        <v>0</v>
      </c>
      <c r="O8608">
        <v>0.99995699999999998</v>
      </c>
      <c r="P8608">
        <v>-9.8196570000000007E-3</v>
      </c>
      <c r="Q8608">
        <v>4.8137859999999998E-2</v>
      </c>
      <c r="R8608">
        <v>0.99879240000000002</v>
      </c>
      <c r="S8608">
        <v>0.12980649999999999</v>
      </c>
      <c r="T8608">
        <v>7.9153780000000007E-3</v>
      </c>
      <c r="U8608">
        <v>3.0043950000000001</v>
      </c>
      <c r="V8608">
        <v>-8.0160370000000002E-3</v>
      </c>
      <c r="W8608">
        <v>5.7236189999999999E-2</v>
      </c>
      <c r="X8608">
        <v>0.99832849999999995</v>
      </c>
      <c r="Y8608">
        <v>4.494306E-2</v>
      </c>
      <c r="Z8608">
        <v>2.632026E-3</v>
      </c>
      <c r="AA8608">
        <v>0.99898609999999999</v>
      </c>
      <c r="AB8608">
        <v>26</v>
      </c>
      <c r="AC8608">
        <v>13.3667</v>
      </c>
      <c r="AD8608">
        <v>0.81507399999999997</v>
      </c>
      <c r="AE8608">
        <v>309.10401999999999</v>
      </c>
      <c r="AF8608">
        <v>13.916678508334799</v>
      </c>
      <c r="AG8608">
        <v>0.81507399999999997</v>
      </c>
      <c r="AH8608">
        <v>309.07759742648301</v>
      </c>
      <c r="AI8608">
        <v>89.849057567492494</v>
      </c>
      <c r="AJ8608">
        <v>87.421913629260104</v>
      </c>
      <c r="AK8608">
        <v>309.39182199479097</v>
      </c>
      <c r="AL8608">
        <v>86.718814747775198</v>
      </c>
      <c r="AM8608">
        <v>90.460044182380003</v>
      </c>
      <c r="AN8608">
        <v>1.00000001610357</v>
      </c>
    </row>
    <row r="8609" spans="1:40" x14ac:dyDescent="0.25">
      <c r="A8609" t="str">
        <f>"20190312160537307"</f>
        <v>20190312160537307</v>
      </c>
      <c r="B8609" t="str">
        <f>"1552377937303412"</f>
        <v>1552377937303412</v>
      </c>
      <c r="C8609" t="s">
        <v>40</v>
      </c>
      <c r="D8609">
        <v>4.9412500000000001</v>
      </c>
      <c r="E8609">
        <v>0.50924919999999996</v>
      </c>
      <c r="F8609" t="s">
        <v>41</v>
      </c>
      <c r="G8609">
        <v>-181.61490000000001</v>
      </c>
      <c r="H8609" s="1">
        <v>-2.9157299999999999E-6</v>
      </c>
      <c r="I8609">
        <v>311.42739999999998</v>
      </c>
      <c r="J8609">
        <v>-187.87710000000001</v>
      </c>
      <c r="K8609">
        <v>1.109521</v>
      </c>
      <c r="L8609">
        <v>82.162509999999997</v>
      </c>
      <c r="M8609">
        <v>-1.53228E-3</v>
      </c>
      <c r="N8609">
        <v>0</v>
      </c>
      <c r="O8609">
        <v>0.99995750000000005</v>
      </c>
      <c r="P8609">
        <v>-9.5858160000000005E-3</v>
      </c>
      <c r="Q8609">
        <v>4.8285469999999997E-2</v>
      </c>
      <c r="R8609">
        <v>0.9987876</v>
      </c>
      <c r="S8609">
        <v>8.1985470000000005E-2</v>
      </c>
      <c r="T8609">
        <v>-1.4526610000000001E-2</v>
      </c>
      <c r="U8609">
        <v>3.0051269999999999</v>
      </c>
      <c r="V8609">
        <v>-8.0293050000000005E-3</v>
      </c>
      <c r="W8609">
        <v>5.7370450000000003E-2</v>
      </c>
      <c r="X8609">
        <v>0.99832069999999995</v>
      </c>
      <c r="Y8609">
        <v>2.880315E-2</v>
      </c>
      <c r="Z8609">
        <v>-4.8319740000000002E-3</v>
      </c>
      <c r="AA8609">
        <v>0.99957339999999995</v>
      </c>
      <c r="AB8609">
        <v>26</v>
      </c>
      <c r="AC8609">
        <v>6.2622</v>
      </c>
      <c r="AD8609">
        <v>-1.1095239157300001</v>
      </c>
      <c r="AE8609">
        <v>229.26489000000001</v>
      </c>
      <c r="AF8609">
        <v>6.6133503986886604</v>
      </c>
      <c r="AG8609">
        <v>-1.1095239157300001</v>
      </c>
      <c r="AH8609">
        <v>229.24965982929001</v>
      </c>
      <c r="AI8609">
        <v>90.277182991986393</v>
      </c>
      <c r="AJ8609">
        <v>88.347600568213693</v>
      </c>
      <c r="AK8609">
        <v>229.347714134369</v>
      </c>
      <c r="AL8609">
        <v>86.711109598466905</v>
      </c>
      <c r="AM8609">
        <v>90.460809206587598</v>
      </c>
      <c r="AN8609">
        <v>1.00000002916023</v>
      </c>
    </row>
    <row r="8610" spans="1:40" x14ac:dyDescent="0.25">
      <c r="A8610" t="str">
        <f>"20190312160537328"</f>
        <v>20190312160537328</v>
      </c>
      <c r="B8610" t="str">
        <f>"1552377937323909"</f>
        <v>1552377937323909</v>
      </c>
      <c r="C8610" t="s">
        <v>40</v>
      </c>
      <c r="D8610">
        <v>4.9121739999999896</v>
      </c>
      <c r="E8610">
        <v>0.5078937</v>
      </c>
      <c r="F8610" t="s">
        <v>41</v>
      </c>
      <c r="G8610">
        <v>-186.4342</v>
      </c>
      <c r="H8610" s="1">
        <v>-3.153102E-6</v>
      </c>
      <c r="I8610">
        <v>164.96350000000001</v>
      </c>
      <c r="J8610">
        <v>-187.87719999999999</v>
      </c>
      <c r="K8610">
        <v>1.109521</v>
      </c>
      <c r="L8610">
        <v>82.408969999999997</v>
      </c>
      <c r="M8610">
        <v>-1.301443E-3</v>
      </c>
      <c r="N8610">
        <v>0</v>
      </c>
      <c r="O8610">
        <v>0.99995789999999996</v>
      </c>
      <c r="P8610">
        <v>-9.0784019999999993E-3</v>
      </c>
      <c r="Q8610">
        <v>4.889756E-2</v>
      </c>
      <c r="R8610">
        <v>0.9987625</v>
      </c>
      <c r="S8610">
        <v>5.238342E-2</v>
      </c>
      <c r="T8610">
        <v>-4.028106E-2</v>
      </c>
      <c r="U8610">
        <v>3.0060730000000002</v>
      </c>
      <c r="V8610">
        <v>-7.7519829999999996E-3</v>
      </c>
      <c r="W8610">
        <v>5.7971210000000002E-2</v>
      </c>
      <c r="X8610">
        <v>0.99828819999999996</v>
      </c>
      <c r="Y8610">
        <v>1.872294E-2</v>
      </c>
      <c r="Z8610">
        <v>-1.3396480000000001E-2</v>
      </c>
      <c r="AA8610">
        <v>0.99973489999999998</v>
      </c>
      <c r="AB8610">
        <v>26</v>
      </c>
      <c r="AC8610">
        <v>1.4429999999999801</v>
      </c>
      <c r="AD8610">
        <v>-1.1095241531019999</v>
      </c>
      <c r="AE8610">
        <v>82.55453</v>
      </c>
      <c r="AF8610">
        <v>1.5501633038093201</v>
      </c>
      <c r="AG8610">
        <v>-1.1095241531019999</v>
      </c>
      <c r="AH8610">
        <v>82.537677731377002</v>
      </c>
      <c r="AI8610">
        <v>90.770024276003994</v>
      </c>
      <c r="AJ8610">
        <v>88.924038373508907</v>
      </c>
      <c r="AK8610">
        <v>82.559689288438094</v>
      </c>
      <c r="AL8610">
        <v>86.676631246286902</v>
      </c>
      <c r="AM8610">
        <v>90.444908576120199</v>
      </c>
      <c r="AN8610">
        <v>1.0000000423442601</v>
      </c>
    </row>
    <row r="8611" spans="1:40" x14ac:dyDescent="0.25">
      <c r="A8611" t="str">
        <f>"20190312160537351"</f>
        <v>20190312160537351</v>
      </c>
      <c r="B8611" t="str">
        <f>"1552377937343429"</f>
        <v>1552377937343429</v>
      </c>
      <c r="C8611" t="s">
        <v>40</v>
      </c>
      <c r="D8611">
        <v>4.8682239999999997</v>
      </c>
      <c r="E8611">
        <v>0.50714159999999997</v>
      </c>
      <c r="F8611" t="s">
        <v>60</v>
      </c>
      <c r="G8611">
        <v>-186.91579999999999</v>
      </c>
      <c r="H8611" s="1">
        <v>-1.073846E-5</v>
      </c>
      <c r="I8611">
        <v>148.71449999999999</v>
      </c>
      <c r="J8611">
        <v>-187.87729999999999</v>
      </c>
      <c r="K8611">
        <v>1.1095189999999999</v>
      </c>
      <c r="L8611">
        <v>82.677459999999996</v>
      </c>
      <c r="M8611">
        <v>-1.0509569999999999E-3</v>
      </c>
      <c r="N8611">
        <v>0</v>
      </c>
      <c r="O8611">
        <v>0.99995829999999997</v>
      </c>
      <c r="P8611">
        <v>-8.6345280000000007E-3</v>
      </c>
      <c r="Q8611">
        <v>4.879961E-2</v>
      </c>
      <c r="R8611">
        <v>0.99877130000000003</v>
      </c>
      <c r="S8611">
        <v>4.3594359999999999E-2</v>
      </c>
      <c r="T8611">
        <v>-5.0311210000000002E-2</v>
      </c>
      <c r="U8611">
        <v>3.0065919999999999</v>
      </c>
      <c r="V8611">
        <v>-7.5587669999999897E-3</v>
      </c>
      <c r="W8611">
        <v>5.785792E-2</v>
      </c>
      <c r="X8611">
        <v>0.99829619999999997</v>
      </c>
      <c r="Y8611">
        <v>1.5546920000000001E-2</v>
      </c>
      <c r="Z8611">
        <v>-1.672939E-2</v>
      </c>
      <c r="AA8611">
        <v>0.99973920000000005</v>
      </c>
      <c r="AB8611">
        <v>26</v>
      </c>
      <c r="AC8611">
        <v>0.96150000000000002</v>
      </c>
      <c r="AD8611">
        <v>-1.10952973846</v>
      </c>
      <c r="AE8611">
        <v>66.037039999999905</v>
      </c>
      <c r="AF8611">
        <v>1.0306135392075899</v>
      </c>
      <c r="AG8611">
        <v>-1.10952973846</v>
      </c>
      <c r="AH8611">
        <v>66.017360591075999</v>
      </c>
      <c r="AI8611">
        <v>90.962741364693301</v>
      </c>
      <c r="AJ8611">
        <v>89.105613898426796</v>
      </c>
      <c r="AK8611">
        <v>66.034726621073204</v>
      </c>
      <c r="AL8611">
        <v>86.683133018995903</v>
      </c>
      <c r="AM8611">
        <v>90.433816307647803</v>
      </c>
      <c r="AN8611">
        <v>0.99999998839986304</v>
      </c>
    </row>
    <row r="8612" spans="1:40" x14ac:dyDescent="0.25">
      <c r="A8612" t="str">
        <f>"20190312160537372"</f>
        <v>20190312160537372</v>
      </c>
      <c r="B8612" t="str">
        <f>"1552377937363925"</f>
        <v>1552377937363925</v>
      </c>
      <c r="C8612" t="s">
        <v>40</v>
      </c>
      <c r="D8612">
        <v>4.8397430000000004</v>
      </c>
      <c r="E8612">
        <v>0.50656950000000001</v>
      </c>
      <c r="F8612" t="s">
        <v>60</v>
      </c>
      <c r="G8612">
        <v>-187.0292</v>
      </c>
      <c r="H8612" s="1">
        <v>-1.05397699999999E-5</v>
      </c>
      <c r="I8612">
        <v>148.02930000000001</v>
      </c>
      <c r="J8612">
        <v>-187.87729999999999</v>
      </c>
      <c r="K8612">
        <v>1.109515</v>
      </c>
      <c r="L8612">
        <v>82.938630000000003</v>
      </c>
      <c r="M8612">
        <v>-8.0758049999999997E-4</v>
      </c>
      <c r="N8612">
        <v>0</v>
      </c>
      <c r="O8612">
        <v>0.99995869999999998</v>
      </c>
      <c r="P8612">
        <v>-8.0512120000000003E-3</v>
      </c>
      <c r="Q8612">
        <v>4.8583910000000001E-2</v>
      </c>
      <c r="R8612">
        <v>0.99878659999999997</v>
      </c>
      <c r="S8612">
        <v>3.9016719999999998E-2</v>
      </c>
      <c r="T8612">
        <v>-5.1043749999999999E-2</v>
      </c>
      <c r="U8612">
        <v>3.0065</v>
      </c>
      <c r="V8612">
        <v>-7.21850599999999E-3</v>
      </c>
      <c r="W8612">
        <v>5.7625599999999999E-2</v>
      </c>
      <c r="X8612">
        <v>0.99831219999999998</v>
      </c>
      <c r="Y8612">
        <v>1.3782040000000001E-2</v>
      </c>
      <c r="Z8612">
        <v>-1.6973820000000001E-2</v>
      </c>
      <c r="AA8612">
        <v>0.99976089999999995</v>
      </c>
      <c r="AB8612">
        <v>26</v>
      </c>
      <c r="AC8612">
        <v>0.84809999999998797</v>
      </c>
      <c r="AD8612">
        <v>-1.1095255397699999</v>
      </c>
      <c r="AE8612">
        <v>65.090669999999903</v>
      </c>
      <c r="AF8612">
        <v>0.900406254747107</v>
      </c>
      <c r="AG8612">
        <v>-1.1095255397699999</v>
      </c>
      <c r="AH8612">
        <v>65.071059941214301</v>
      </c>
      <c r="AI8612">
        <v>90.976761215658499</v>
      </c>
      <c r="AJ8612">
        <v>89.207233045647399</v>
      </c>
      <c r="AK8612">
        <v>65.086746886137206</v>
      </c>
      <c r="AL8612">
        <v>86.696466366720799</v>
      </c>
      <c r="AM8612">
        <v>90.414281945553199</v>
      </c>
      <c r="AN8612">
        <v>1.0000000326365299</v>
      </c>
    </row>
    <row r="8613" spans="1:40" x14ac:dyDescent="0.25">
      <c r="A8613" t="str">
        <f>"20190312160537394"</f>
        <v>20190312160537394</v>
      </c>
      <c r="B8613" t="str">
        <f>"1552377937383444"</f>
        <v>1552377937383444</v>
      </c>
      <c r="C8613" t="s">
        <v>40</v>
      </c>
      <c r="D8613">
        <v>4.8858030000000001</v>
      </c>
      <c r="E8613">
        <v>0.50595230000000002</v>
      </c>
      <c r="F8613" t="s">
        <v>60</v>
      </c>
      <c r="G8613">
        <v>-187.12530000000001</v>
      </c>
      <c r="H8613" s="1">
        <v>-9.74361E-6</v>
      </c>
      <c r="I8613">
        <v>145.09350000000001</v>
      </c>
      <c r="J8613">
        <v>-187.87719999999999</v>
      </c>
      <c r="K8613">
        <v>1.10951</v>
      </c>
      <c r="L8613">
        <v>83.190119999999993</v>
      </c>
      <c r="M8613">
        <v>-5.7338840000000001E-4</v>
      </c>
      <c r="N8613">
        <v>0</v>
      </c>
      <c r="O8613">
        <v>0.99995909999999999</v>
      </c>
      <c r="P8613">
        <v>-7.63855099999999E-3</v>
      </c>
      <c r="Q8613">
        <v>4.9115840000000001E-2</v>
      </c>
      <c r="R8613">
        <v>0.99876390000000004</v>
      </c>
      <c r="S8613">
        <v>3.6376949999999998E-2</v>
      </c>
      <c r="T8613">
        <v>-5.3670049999999997E-2</v>
      </c>
      <c r="U8613">
        <v>3.006561</v>
      </c>
      <c r="V8613">
        <v>-7.0388309999999997E-3</v>
      </c>
      <c r="W8613">
        <v>5.8140200000000003E-2</v>
      </c>
      <c r="X8613">
        <v>0.99828360000000005</v>
      </c>
      <c r="Y8613">
        <v>1.266975E-2</v>
      </c>
      <c r="Z8613">
        <v>-1.784676E-2</v>
      </c>
      <c r="AA8613">
        <v>0.99976039999999999</v>
      </c>
      <c r="AB8613">
        <v>26</v>
      </c>
      <c r="AC8613">
        <v>0.75189999999997703</v>
      </c>
      <c r="AD8613">
        <v>-1.1095197436099999</v>
      </c>
      <c r="AE8613">
        <v>61.903379999999999</v>
      </c>
      <c r="AF8613">
        <v>0.78714317095717301</v>
      </c>
      <c r="AG8613">
        <v>-1.1095197436099999</v>
      </c>
      <c r="AH8613">
        <v>61.8830617557118</v>
      </c>
      <c r="AI8613">
        <v>91.027079880370593</v>
      </c>
      <c r="AJ8613">
        <v>89.271245665378302</v>
      </c>
      <c r="AK8613">
        <v>61.8980125746723</v>
      </c>
      <c r="AL8613">
        <v>86.666932289796407</v>
      </c>
      <c r="AM8613">
        <v>90.403982020581196</v>
      </c>
      <c r="AN8613">
        <v>0.99999998701342296</v>
      </c>
    </row>
    <row r="8614" spans="1:40" x14ac:dyDescent="0.25">
      <c r="A8614" t="str">
        <f>"20190312160537416"</f>
        <v>20190312160537416</v>
      </c>
      <c r="B8614" t="str">
        <f>"1552377937413700"</f>
        <v>1552377937413700</v>
      </c>
      <c r="C8614" t="s">
        <v>40</v>
      </c>
      <c r="D8614">
        <v>4.8441929999999997</v>
      </c>
      <c r="E8614">
        <v>0.50522319999999998</v>
      </c>
      <c r="F8614" t="s">
        <v>60</v>
      </c>
      <c r="G8614">
        <v>-187.1909</v>
      </c>
      <c r="H8614" s="1">
        <v>-9.9397889999999992E-6</v>
      </c>
      <c r="I8614">
        <v>145.85929999999999</v>
      </c>
      <c r="J8614">
        <v>-187.87710000000001</v>
      </c>
      <c r="K8614">
        <v>1.1095109999999999</v>
      </c>
      <c r="L8614">
        <v>83.450409999999906</v>
      </c>
      <c r="M8614">
        <v>-3.3101199999999999E-4</v>
      </c>
      <c r="N8614">
        <v>0</v>
      </c>
      <c r="O8614">
        <v>0.9999593</v>
      </c>
      <c r="P8614">
        <v>-7.5549559999999998E-3</v>
      </c>
      <c r="Q8614">
        <v>4.944747E-2</v>
      </c>
      <c r="R8614">
        <v>0.99874810000000003</v>
      </c>
      <c r="S8614">
        <v>3.2928470000000001E-2</v>
      </c>
      <c r="T8614">
        <v>-5.3229930000000002E-2</v>
      </c>
      <c r="U8614">
        <v>3.0065919999999999</v>
      </c>
      <c r="V8614">
        <v>-7.1972140000000004E-3</v>
      </c>
      <c r="W8614">
        <v>5.8451999999999997E-2</v>
      </c>
      <c r="X8614">
        <v>0.99826429999999999</v>
      </c>
      <c r="Y8614">
        <v>1.1280719999999999E-2</v>
      </c>
      <c r="Z8614">
        <v>-1.7700540000000001E-2</v>
      </c>
      <c r="AA8614">
        <v>0.99977969999999905</v>
      </c>
      <c r="AB8614">
        <v>26</v>
      </c>
      <c r="AC8614">
        <v>0.68620000000001302</v>
      </c>
      <c r="AD8614">
        <v>-1.109520939789</v>
      </c>
      <c r="AE8614">
        <v>62.40889</v>
      </c>
      <c r="AF8614">
        <v>0.70663557694582202</v>
      </c>
      <c r="AG8614">
        <v>-1.109520939789</v>
      </c>
      <c r="AH8614">
        <v>62.388942777037897</v>
      </c>
      <c r="AI8614">
        <v>91.018771722098407</v>
      </c>
      <c r="AJ8614">
        <v>89.351078841173006</v>
      </c>
      <c r="AK8614">
        <v>62.402808842158301</v>
      </c>
      <c r="AL8614">
        <v>86.649037157125207</v>
      </c>
      <c r="AM8614">
        <v>90.413079824304702</v>
      </c>
      <c r="AN8614">
        <v>1.00000002442392</v>
      </c>
    </row>
    <row r="8615" spans="1:40" x14ac:dyDescent="0.25">
      <c r="A8615" t="str">
        <f>"20190312160537440"</f>
        <v>20190312160537440</v>
      </c>
      <c r="B8615" t="str">
        <f>"1552377937434196"</f>
        <v>1552377937434196</v>
      </c>
      <c r="C8615" t="s">
        <v>40</v>
      </c>
      <c r="D8615">
        <v>4.8514400000000002</v>
      </c>
      <c r="E8615">
        <v>0.5049304</v>
      </c>
      <c r="F8615" t="s">
        <v>60</v>
      </c>
      <c r="G8615">
        <v>-187.31630000000001</v>
      </c>
      <c r="H8615" s="1">
        <v>-9.777847E-6</v>
      </c>
      <c r="I8615">
        <v>145.28700000000001</v>
      </c>
      <c r="J8615">
        <v>-187.87690000000001</v>
      </c>
      <c r="K8615">
        <v>1.109504</v>
      </c>
      <c r="L8615">
        <v>83.728759999999994</v>
      </c>
      <c r="M8615" s="1">
        <v>-7.1941149999999896E-5</v>
      </c>
      <c r="N8615">
        <v>0</v>
      </c>
      <c r="O8615">
        <v>0.99995959999999995</v>
      </c>
      <c r="P8615">
        <v>-7.3485619999999899E-3</v>
      </c>
      <c r="Q8615">
        <v>4.9384619999999997E-2</v>
      </c>
      <c r="R8615">
        <v>0.9987528</v>
      </c>
      <c r="S8615">
        <v>2.726746E-2</v>
      </c>
      <c r="T8615">
        <v>-5.3947210000000002E-2</v>
      </c>
      <c r="U8615">
        <v>3.0066220000000001</v>
      </c>
      <c r="V8615">
        <v>-7.250088E-3</v>
      </c>
      <c r="W8615">
        <v>5.8366790000000002E-2</v>
      </c>
      <c r="X8615">
        <v>0.99826890000000001</v>
      </c>
      <c r="Y8615">
        <v>9.1392420000000005E-3</v>
      </c>
      <c r="Z8615">
        <v>-1.7939170000000001E-2</v>
      </c>
      <c r="AA8615">
        <v>0.9997973</v>
      </c>
      <c r="AB8615">
        <v>26</v>
      </c>
      <c r="AC8615">
        <v>0.56059999999999299</v>
      </c>
      <c r="AD8615">
        <v>-1.1095137778469999</v>
      </c>
      <c r="AE8615">
        <v>61.558239999999998</v>
      </c>
      <c r="AF8615">
        <v>0.56484526898397802</v>
      </c>
      <c r="AG8615">
        <v>-1.1095137778469999</v>
      </c>
      <c r="AH8615">
        <v>61.538210012428401</v>
      </c>
      <c r="AI8615">
        <v>91.032868732886001</v>
      </c>
      <c r="AJ8615">
        <v>89.474109806516694</v>
      </c>
      <c r="AK8615">
        <v>61.550803102273697</v>
      </c>
      <c r="AL8615">
        <v>86.653927669533601</v>
      </c>
      <c r="AM8615">
        <v>90.416112472444894</v>
      </c>
      <c r="AN8615">
        <v>1.0000000213290601</v>
      </c>
    </row>
    <row r="8616" spans="1:40" x14ac:dyDescent="0.25">
      <c r="A8616" t="str">
        <f>"20190312160537462"</f>
        <v>20190312160537462</v>
      </c>
      <c r="B8616" t="str">
        <f>"1552377937453716"</f>
        <v>1552377937453716</v>
      </c>
      <c r="C8616" t="s">
        <v>40</v>
      </c>
      <c r="D8616">
        <v>4.9991289999999999</v>
      </c>
      <c r="E8616">
        <v>0.50485630000000004</v>
      </c>
      <c r="F8616" t="s">
        <v>60</v>
      </c>
      <c r="G8616">
        <v>-187.32419999999999</v>
      </c>
      <c r="H8616" s="1">
        <v>-1.0911509999999999E-5</v>
      </c>
      <c r="I8616">
        <v>149.49260000000001</v>
      </c>
      <c r="J8616">
        <v>-187.8767</v>
      </c>
      <c r="K8616">
        <v>1.1094919999999999</v>
      </c>
      <c r="L8616">
        <v>83.998080000000002</v>
      </c>
      <c r="M8616">
        <v>1.7882339999999999E-4</v>
      </c>
      <c r="N8616">
        <v>0</v>
      </c>
      <c r="O8616">
        <v>0.99995979999999995</v>
      </c>
      <c r="P8616">
        <v>-6.6339729999999996E-3</v>
      </c>
      <c r="Q8616">
        <v>4.8751540000000003E-2</v>
      </c>
      <c r="R8616">
        <v>0.99878889999999998</v>
      </c>
      <c r="S8616">
        <v>2.5268550000000001E-2</v>
      </c>
      <c r="T8616">
        <v>-5.0722240000000002E-2</v>
      </c>
      <c r="U8616">
        <v>3.0064389999999999</v>
      </c>
      <c r="V8616">
        <v>-6.7862340000000004E-3</v>
      </c>
      <c r="W8616">
        <v>5.7713199999999902E-2</v>
      </c>
      <c r="X8616">
        <v>0.99831009999999998</v>
      </c>
      <c r="Y8616">
        <v>8.2244950000000001E-3</v>
      </c>
      <c r="Z8616">
        <v>-1.686822E-2</v>
      </c>
      <c r="AA8616">
        <v>0.99982389999999999</v>
      </c>
      <c r="AB8616">
        <v>26</v>
      </c>
      <c r="AC8616">
        <v>0.55250000000000898</v>
      </c>
      <c r="AD8616">
        <v>-1.1095029115099999</v>
      </c>
      <c r="AE8616">
        <v>65.494519999999994</v>
      </c>
      <c r="AF8616">
        <v>0.54063242977782699</v>
      </c>
      <c r="AG8616">
        <v>-1.1095029115099999</v>
      </c>
      <c r="AH8616">
        <v>65.475829042152398</v>
      </c>
      <c r="AI8616">
        <v>90.970764103008605</v>
      </c>
      <c r="AJ8616">
        <v>89.526920803907402</v>
      </c>
      <c r="AK8616">
        <v>65.487460394276596</v>
      </c>
      <c r="AL8616">
        <v>86.691438652579194</v>
      </c>
      <c r="AM8616">
        <v>90.389474751500501</v>
      </c>
      <c r="AN8616">
        <v>0.99999996109407496</v>
      </c>
    </row>
    <row r="8617" spans="1:40" x14ac:dyDescent="0.25">
      <c r="A8617" t="str">
        <f>"20190312160537485"</f>
        <v>20190312160537485</v>
      </c>
      <c r="B8617" t="str">
        <f>"1552377937474212"</f>
        <v>1552377937474212</v>
      </c>
      <c r="C8617" t="s">
        <v>40</v>
      </c>
      <c r="D8617">
        <v>4.8167429999999998</v>
      </c>
      <c r="E8617">
        <v>0.54360739999999996</v>
      </c>
      <c r="F8617" t="s">
        <v>60</v>
      </c>
      <c r="G8617">
        <v>-187.32329999999999</v>
      </c>
      <c r="H8617" s="1">
        <v>-1.012083E-5</v>
      </c>
      <c r="I8617">
        <v>146.5899</v>
      </c>
      <c r="J8617">
        <v>-187.87639999999999</v>
      </c>
      <c r="K8617">
        <v>1.1094809999999999</v>
      </c>
      <c r="L8617">
        <v>84.273769999999999</v>
      </c>
      <c r="M8617">
        <v>4.3550400000000002E-4</v>
      </c>
      <c r="N8617">
        <v>0</v>
      </c>
      <c r="O8617">
        <v>0.99995990000000001</v>
      </c>
      <c r="P8617">
        <v>-5.5178600000000003E-3</v>
      </c>
      <c r="Q8617">
        <v>4.8331390000000002E-2</v>
      </c>
      <c r="R8617">
        <v>0.99881609999999998</v>
      </c>
      <c r="S8617">
        <v>2.658081E-2</v>
      </c>
      <c r="T8617">
        <v>-5.3292159999999998E-2</v>
      </c>
      <c r="U8617">
        <v>3.0064389999999999</v>
      </c>
      <c r="V8617">
        <v>-5.9266700000000002E-3</v>
      </c>
      <c r="W8617">
        <v>5.7270950000000001E-2</v>
      </c>
      <c r="X8617">
        <v>0.99834109999999998</v>
      </c>
      <c r="Y8617">
        <v>8.404056E-3</v>
      </c>
      <c r="Z8617">
        <v>-1.7722559999999998E-2</v>
      </c>
      <c r="AA8617">
        <v>0.99980760000000002</v>
      </c>
      <c r="AB8617">
        <v>26</v>
      </c>
      <c r="AC8617">
        <v>0.55310000000000004</v>
      </c>
      <c r="AD8617">
        <v>-1.10949112082999</v>
      </c>
      <c r="AE8617">
        <v>62.316130000000001</v>
      </c>
      <c r="AF8617">
        <v>0.52579327940002396</v>
      </c>
      <c r="AG8617">
        <v>-1.10949112082999</v>
      </c>
      <c r="AH8617">
        <v>62.296619074812497</v>
      </c>
      <c r="AI8617">
        <v>91.020282903355593</v>
      </c>
      <c r="AJ8617">
        <v>89.516426076796904</v>
      </c>
      <c r="AK8617">
        <v>62.308716703781897</v>
      </c>
      <c r="AL8617">
        <v>86.716819885554003</v>
      </c>
      <c r="AM8617">
        <v>90.340133435900697</v>
      </c>
      <c r="AN8617">
        <v>1.0000000195401999</v>
      </c>
    </row>
    <row r="8618" spans="1:40" x14ac:dyDescent="0.25">
      <c r="A8618" t="str">
        <f>"20190312160537508"</f>
        <v>20190312160537508</v>
      </c>
      <c r="B8618" t="str">
        <f>"1552377937503492"</f>
        <v>1552377937503492</v>
      </c>
      <c r="C8618" t="s">
        <v>40</v>
      </c>
      <c r="D8618">
        <v>4.7359910000000003</v>
      </c>
      <c r="E8618">
        <v>0.55618789999999996</v>
      </c>
      <c r="F8618" t="s">
        <v>43</v>
      </c>
      <c r="G8618">
        <v>-171.56309999999999</v>
      </c>
      <c r="H8618">
        <v>-0.05</v>
      </c>
      <c r="I8618">
        <v>229.33260000000001</v>
      </c>
      <c r="J8618">
        <v>-187.876</v>
      </c>
      <c r="K8618">
        <v>1.109475</v>
      </c>
      <c r="L8618">
        <v>84.535609999999906</v>
      </c>
      <c r="M8618">
        <v>6.7917550000000002E-4</v>
      </c>
      <c r="N8618">
        <v>0</v>
      </c>
      <c r="O8618">
        <v>0.99995990000000001</v>
      </c>
      <c r="P8618">
        <v>-4.7583490000000003E-3</v>
      </c>
      <c r="Q8618">
        <v>4.8224509999999998E-2</v>
      </c>
      <c r="R8618">
        <v>0.99882519999999997</v>
      </c>
      <c r="S8618">
        <v>0.33811950000000002</v>
      </c>
      <c r="T8618">
        <v>-2.403224E-2</v>
      </c>
      <c r="U8618">
        <v>3.0065919999999999</v>
      </c>
      <c r="V8618">
        <v>-5.4102000000000004E-3</v>
      </c>
      <c r="W8618">
        <v>5.7140030000000001E-2</v>
      </c>
      <c r="X8618">
        <v>0.99835149999999995</v>
      </c>
      <c r="Y8618">
        <v>0.11107640000000001</v>
      </c>
      <c r="Z8618">
        <v>-7.9431599999999995E-3</v>
      </c>
      <c r="AA8618">
        <v>0.99378010000000006</v>
      </c>
      <c r="AB8618">
        <v>26</v>
      </c>
      <c r="AC8618">
        <v>16.3128999999999</v>
      </c>
      <c r="AD8618">
        <v>-1.159475</v>
      </c>
      <c r="AE8618">
        <v>144.79698999999999</v>
      </c>
      <c r="AF8618">
        <v>16.2135231427653</v>
      </c>
      <c r="AG8618">
        <v>-1.159475</v>
      </c>
      <c r="AH8618">
        <v>144.79886801203401</v>
      </c>
      <c r="AI8618">
        <v>90.455936168937498</v>
      </c>
      <c r="AJ8618">
        <v>83.611048340080401</v>
      </c>
      <c r="AK8618">
        <v>145.708389918161</v>
      </c>
      <c r="AL8618">
        <v>86.724333240850598</v>
      </c>
      <c r="AM8618">
        <v>90.310490435447093</v>
      </c>
      <c r="AN8618">
        <v>0.99999998542234503</v>
      </c>
    </row>
    <row r="8619" spans="1:40" x14ac:dyDescent="0.25">
      <c r="A8619" t="str">
        <f>"20190312160537532"</f>
        <v>20190312160537532</v>
      </c>
      <c r="B8619" t="str">
        <f>"1552377937524229"</f>
        <v>1552377937524229</v>
      </c>
      <c r="C8619" t="s">
        <v>40</v>
      </c>
      <c r="D8619">
        <v>4.743913</v>
      </c>
      <c r="E8619">
        <v>0.55830959999999996</v>
      </c>
      <c r="F8619" t="s">
        <v>54</v>
      </c>
      <c r="G8619">
        <v>-167.8252</v>
      </c>
      <c r="H8619">
        <v>2.1265749999999999</v>
      </c>
      <c r="I8619">
        <v>221.6901</v>
      </c>
      <c r="J8619">
        <v>-187.87549999999999</v>
      </c>
      <c r="K8619">
        <v>1.1094740000000001</v>
      </c>
      <c r="L8619">
        <v>84.812809999999999</v>
      </c>
      <c r="M8619">
        <v>9.3699400000000002E-4</v>
      </c>
      <c r="N8619">
        <v>0</v>
      </c>
      <c r="O8619">
        <v>0.99995990000000001</v>
      </c>
      <c r="P8619">
        <v>-3.6418800000000001E-3</v>
      </c>
      <c r="Q8619">
        <v>4.7962699999999997E-2</v>
      </c>
      <c r="R8619">
        <v>0.99884249999999997</v>
      </c>
      <c r="S8619">
        <v>0.4392395</v>
      </c>
      <c r="T8619">
        <v>2.2282119999999999E-2</v>
      </c>
      <c r="U8619">
        <v>3.0045470000000001</v>
      </c>
      <c r="V8619">
        <v>-4.5514759999999996E-3</v>
      </c>
      <c r="W8619">
        <v>5.6853920000000002E-2</v>
      </c>
      <c r="X8619">
        <v>0.99837209999999998</v>
      </c>
      <c r="Y8619">
        <v>0.14372279999999901</v>
      </c>
      <c r="Z8619">
        <v>7.3384289999999996E-3</v>
      </c>
      <c r="AA8619">
        <v>0.98959079999999999</v>
      </c>
      <c r="AB8619">
        <v>27</v>
      </c>
      <c r="AC8619">
        <v>20.0503</v>
      </c>
      <c r="AD8619">
        <v>1.01710099999999</v>
      </c>
      <c r="AE8619">
        <v>136.87728999999999</v>
      </c>
      <c r="AF8619">
        <v>19.920956061239998</v>
      </c>
      <c r="AG8619">
        <v>1.01710099999999</v>
      </c>
      <c r="AH8619">
        <v>136.888617993981</v>
      </c>
      <c r="AI8619">
        <v>89.578729725089403</v>
      </c>
      <c r="AJ8619">
        <v>81.720055759669506</v>
      </c>
      <c r="AK8619">
        <v>138.334278908519</v>
      </c>
      <c r="AL8619">
        <v>86.740752769347196</v>
      </c>
      <c r="AM8619">
        <v>90.261203772351706</v>
      </c>
      <c r="AN8619">
        <v>0.99999996710577699</v>
      </c>
    </row>
    <row r="8620" spans="1:40" x14ac:dyDescent="0.25">
      <c r="A8620" t="str">
        <f>"20190312160537552"</f>
        <v>20190312160537552</v>
      </c>
      <c r="B8620" t="str">
        <f>"1552377937543751"</f>
        <v>1552377937543751</v>
      </c>
      <c r="C8620" t="s">
        <v>40</v>
      </c>
      <c r="D8620">
        <v>4.7438630000000002</v>
      </c>
      <c r="E8620">
        <v>0.55888660000000001</v>
      </c>
      <c r="F8620" t="s">
        <v>55</v>
      </c>
      <c r="G8620">
        <v>-169.011</v>
      </c>
      <c r="H8620">
        <v>2.2147790000000001</v>
      </c>
      <c r="I8620">
        <v>208.2148</v>
      </c>
      <c r="J8620">
        <v>-187.875</v>
      </c>
      <c r="K8620">
        <v>1.109461</v>
      </c>
      <c r="L8620">
        <v>85.061459999999997</v>
      </c>
      <c r="M8620">
        <v>1.1680289999999999E-3</v>
      </c>
      <c r="N8620">
        <v>0</v>
      </c>
      <c r="O8620">
        <v>0.99995990000000001</v>
      </c>
      <c r="P8620">
        <v>-2.4232210000000001E-3</v>
      </c>
      <c r="Q8620">
        <v>4.7676160000000002E-2</v>
      </c>
      <c r="R8620">
        <v>0.99885990000000002</v>
      </c>
      <c r="S8620">
        <v>0.459198</v>
      </c>
      <c r="T8620">
        <v>2.690613E-2</v>
      </c>
      <c r="U8620">
        <v>3.0038450000000001</v>
      </c>
      <c r="V8620">
        <v>-3.5637099999999999E-3</v>
      </c>
      <c r="W8620">
        <v>5.6547340000000001E-2</v>
      </c>
      <c r="X8620">
        <v>0.99839350000000004</v>
      </c>
      <c r="Y8620">
        <v>0.149953799999999</v>
      </c>
      <c r="Z8620">
        <v>8.8547939999999992E-3</v>
      </c>
      <c r="AA8620">
        <v>0.98865340000000002</v>
      </c>
      <c r="AB8620">
        <v>27</v>
      </c>
      <c r="AC8620">
        <v>18.864000000000001</v>
      </c>
      <c r="AD8620">
        <v>1.105318</v>
      </c>
      <c r="AE8620">
        <v>123.15333999999901</v>
      </c>
      <c r="AF8620">
        <v>18.718661509295199</v>
      </c>
      <c r="AG8620">
        <v>1.105318</v>
      </c>
      <c r="AH8620">
        <v>123.165596629647</v>
      </c>
      <c r="AI8620">
        <v>89.491664444207501</v>
      </c>
      <c r="AJ8620">
        <v>81.358338316610102</v>
      </c>
      <c r="AK8620">
        <v>124.584807298954</v>
      </c>
      <c r="AL8620">
        <v>86.758346731084202</v>
      </c>
      <c r="AM8620">
        <v>90.204513225740897</v>
      </c>
      <c r="AN8620">
        <v>0.999999941266143</v>
      </c>
    </row>
    <row r="8621" spans="1:40" x14ac:dyDescent="0.25">
      <c r="A8621" t="str">
        <f>"20190312160537574"</f>
        <v>20190312160537574</v>
      </c>
      <c r="B8621" t="str">
        <f>"1552377937564247"</f>
        <v>1552377937564247</v>
      </c>
      <c r="C8621" t="s">
        <v>40</v>
      </c>
      <c r="D8621">
        <v>4.7398400000000001</v>
      </c>
      <c r="E8621">
        <v>0.55932469999999901</v>
      </c>
      <c r="F8621" t="s">
        <v>55</v>
      </c>
      <c r="G8621">
        <v>-168.72210000000001</v>
      </c>
      <c r="H8621">
        <v>2.5776210000000002</v>
      </c>
      <c r="I8621">
        <v>208.21459999999999</v>
      </c>
      <c r="J8621">
        <v>-187.87450000000001</v>
      </c>
      <c r="K8621">
        <v>1.109453</v>
      </c>
      <c r="L8621">
        <v>85.319760000000002</v>
      </c>
      <c r="M8621">
        <v>1.408297E-3</v>
      </c>
      <c r="N8621">
        <v>0</v>
      </c>
      <c r="O8621">
        <v>0.99995979999999995</v>
      </c>
      <c r="P8621">
        <v>-1.3629359999999999E-3</v>
      </c>
      <c r="Q8621">
        <v>4.7041769999999997E-2</v>
      </c>
      <c r="R8621">
        <v>0.998892</v>
      </c>
      <c r="S8621">
        <v>0.4670105</v>
      </c>
      <c r="T8621">
        <v>3.5799379999999999E-2</v>
      </c>
      <c r="U8621">
        <v>3.002869</v>
      </c>
      <c r="V8621">
        <v>-2.7435390000000001E-3</v>
      </c>
      <c r="W8621">
        <v>5.588891E-2</v>
      </c>
      <c r="X8621">
        <v>0.99843320000000002</v>
      </c>
      <c r="Y8621">
        <v>0.15227170000000001</v>
      </c>
      <c r="Z8621">
        <v>1.1780560000000001E-2</v>
      </c>
      <c r="AA8621">
        <v>0.98826840000000005</v>
      </c>
      <c r="AB8621">
        <v>27</v>
      </c>
      <c r="AC8621">
        <v>19.1524</v>
      </c>
      <c r="AD8621">
        <v>1.4681679999999899</v>
      </c>
      <c r="AE8621">
        <v>122.89484</v>
      </c>
      <c r="AF8621">
        <v>18.976657659373799</v>
      </c>
      <c r="AG8621">
        <v>1.4681679999999899</v>
      </c>
      <c r="AH8621">
        <v>122.904566452049</v>
      </c>
      <c r="AI8621">
        <v>89.323614671638495</v>
      </c>
      <c r="AJ8621">
        <v>81.222753290041197</v>
      </c>
      <c r="AK8621">
        <v>124.369616498418</v>
      </c>
      <c r="AL8621">
        <v>86.796131862314198</v>
      </c>
      <c r="AM8621">
        <v>90.157439486181403</v>
      </c>
      <c r="AN8621">
        <v>0.99999997606473601</v>
      </c>
    </row>
    <row r="8622" spans="1:40" x14ac:dyDescent="0.25">
      <c r="A8622" t="str">
        <f>"20190312160537595"</f>
        <v>20190312160537595</v>
      </c>
      <c r="B8622" t="str">
        <f>"1552377937583766"</f>
        <v>1552377937583766</v>
      </c>
      <c r="C8622" t="s">
        <v>40</v>
      </c>
      <c r="D8622">
        <v>4.7449469999999998</v>
      </c>
      <c r="E8622">
        <v>0.55964709999999995</v>
      </c>
      <c r="F8622" t="s">
        <v>55</v>
      </c>
      <c r="G8622">
        <v>-168.4974</v>
      </c>
      <c r="H8622">
        <v>2.7595079999999998</v>
      </c>
      <c r="I8622">
        <v>208.21440000000001</v>
      </c>
      <c r="J8622">
        <v>-187.87379999999999</v>
      </c>
      <c r="K8622">
        <v>1.1094489999999999</v>
      </c>
      <c r="L8622">
        <v>85.581599999999995</v>
      </c>
      <c r="M8622">
        <v>1.652124E-3</v>
      </c>
      <c r="N8622">
        <v>0</v>
      </c>
      <c r="O8622">
        <v>0.99995959999999995</v>
      </c>
      <c r="P8622">
        <v>-3.4464880000000003E-4</v>
      </c>
      <c r="Q8622">
        <v>4.6404510000000003E-2</v>
      </c>
      <c r="R8622">
        <v>0.99892259999999999</v>
      </c>
      <c r="S8622">
        <v>0.47334290000000001</v>
      </c>
      <c r="T8622">
        <v>4.0308480000000001E-2</v>
      </c>
      <c r="U8622">
        <v>3.002075</v>
      </c>
      <c r="V8622">
        <v>-1.9690129999999999E-3</v>
      </c>
      <c r="W8622">
        <v>5.5226650000000002E-2</v>
      </c>
      <c r="X8622">
        <v>0.99847189999999997</v>
      </c>
      <c r="Y8622">
        <v>0.15410190000000001</v>
      </c>
      <c r="Z8622">
        <v>1.3263540000000001E-2</v>
      </c>
      <c r="AA8622">
        <v>0.98796589999999995</v>
      </c>
      <c r="AB8622">
        <v>27</v>
      </c>
      <c r="AC8622">
        <v>19.376399999999901</v>
      </c>
      <c r="AD8622">
        <v>1.6500589999999999</v>
      </c>
      <c r="AE8622">
        <v>122.6328</v>
      </c>
      <c r="AF8622">
        <v>19.170374894934898</v>
      </c>
      <c r="AG8622">
        <v>1.6500589999999999</v>
      </c>
      <c r="AH8622">
        <v>122.642983053291</v>
      </c>
      <c r="AI8622">
        <v>89.2384260952049</v>
      </c>
      <c r="AJ8622">
        <v>81.115962163372998</v>
      </c>
      <c r="AK8622">
        <v>124.143172428151</v>
      </c>
      <c r="AL8622">
        <v>86.834135332004905</v>
      </c>
      <c r="AM8622">
        <v>90.112988646414195</v>
      </c>
      <c r="AN8622">
        <v>0.99999999748601298</v>
      </c>
    </row>
    <row r="8623" spans="1:40" x14ac:dyDescent="0.25">
      <c r="A8623" t="str">
        <f>"20190312160537617"</f>
        <v>20190312160537617</v>
      </c>
      <c r="B8623" t="str">
        <f>"1552377937614022"</f>
        <v>1552377937614022</v>
      </c>
      <c r="C8623" t="s">
        <v>40</v>
      </c>
      <c r="D8623">
        <v>4.7810829999999997</v>
      </c>
      <c r="E8623">
        <v>0.56001040000000002</v>
      </c>
      <c r="F8623" t="s">
        <v>55</v>
      </c>
      <c r="G8623">
        <v>-168.41099999999901</v>
      </c>
      <c r="H8623">
        <v>2.6589239999999998</v>
      </c>
      <c r="I8623">
        <v>207.56229999999999</v>
      </c>
      <c r="J8623">
        <v>-187.87309999999999</v>
      </c>
      <c r="K8623">
        <v>1.1094440000000001</v>
      </c>
      <c r="L8623">
        <v>85.851290000000006</v>
      </c>
      <c r="M8623">
        <v>1.9036459999999999E-3</v>
      </c>
      <c r="N8623">
        <v>0</v>
      </c>
      <c r="O8623">
        <v>0.99995940000000005</v>
      </c>
      <c r="P8623">
        <v>1.3441250000000001E-3</v>
      </c>
      <c r="Q8623">
        <v>4.590603E-2</v>
      </c>
      <c r="R8623">
        <v>0.99894490000000002</v>
      </c>
      <c r="S8623">
        <v>0.47892760000000001</v>
      </c>
      <c r="T8623">
        <v>3.8129209999999997E-2</v>
      </c>
      <c r="U8623">
        <v>3.001617</v>
      </c>
      <c r="V8623">
        <v>-5.3117889999999997E-4</v>
      </c>
      <c r="W8623">
        <v>5.4704349999999999E-2</v>
      </c>
      <c r="X8623">
        <v>0.99850240000000001</v>
      </c>
      <c r="Y8623">
        <v>0.1556708</v>
      </c>
      <c r="Z8623">
        <v>1.254507E-2</v>
      </c>
      <c r="AA8623">
        <v>0.98772930000000003</v>
      </c>
      <c r="AB8623">
        <v>27</v>
      </c>
      <c r="AC8623">
        <v>19.4621</v>
      </c>
      <c r="AD8623">
        <v>1.54948</v>
      </c>
      <c r="AE8623">
        <v>121.71101</v>
      </c>
      <c r="AF8623">
        <v>19.227322521265801</v>
      </c>
      <c r="AG8623">
        <v>1.54948</v>
      </c>
      <c r="AH8623">
        <v>121.728602726597</v>
      </c>
      <c r="AI8623">
        <v>89.279652640152804</v>
      </c>
      <c r="AJ8623">
        <v>81.024151037241197</v>
      </c>
      <c r="AK8623">
        <v>123.24748898609199</v>
      </c>
      <c r="AL8623">
        <v>86.864106063041206</v>
      </c>
      <c r="AM8623">
        <v>90.030479953043098</v>
      </c>
      <c r="AN8623">
        <v>0.99999994543285098</v>
      </c>
    </row>
    <row r="8624" spans="1:40" x14ac:dyDescent="0.25">
      <c r="A8624" t="str">
        <f>"20190312160537640"</f>
        <v>20190312160537640</v>
      </c>
      <c r="B8624" t="str">
        <f>"1552377937633542"</f>
        <v>1552377937633542</v>
      </c>
      <c r="C8624" t="s">
        <v>40</v>
      </c>
      <c r="D8624">
        <v>4.7562350000000002</v>
      </c>
      <c r="E8624">
        <v>0.56001809999999996</v>
      </c>
      <c r="F8624" t="s">
        <v>55</v>
      </c>
      <c r="G8624">
        <v>-168.41149999999999</v>
      </c>
      <c r="H8624">
        <v>2.3842660000000002</v>
      </c>
      <c r="I8624">
        <v>205.8184</v>
      </c>
      <c r="J8624">
        <v>-187.8723</v>
      </c>
      <c r="K8624">
        <v>1.1094329999999999</v>
      </c>
      <c r="L8624">
        <v>86.126499999999993</v>
      </c>
      <c r="M8624">
        <v>2.160684E-3</v>
      </c>
      <c r="N8624">
        <v>0</v>
      </c>
      <c r="O8624">
        <v>0.99995909999999999</v>
      </c>
      <c r="P8624">
        <v>4.9191440000000003E-3</v>
      </c>
      <c r="Q8624">
        <v>4.6381390000000002E-2</v>
      </c>
      <c r="R8624">
        <v>0.99891169999999996</v>
      </c>
      <c r="S8624">
        <v>0.48684690000000003</v>
      </c>
      <c r="T8624">
        <v>3.1891469999999998E-2</v>
      </c>
      <c r="U8624">
        <v>3.0010680000000001</v>
      </c>
      <c r="V8624">
        <v>2.7871520000000002E-3</v>
      </c>
      <c r="W8624">
        <v>5.515714E-2</v>
      </c>
      <c r="X8624">
        <v>0.99847379999999997</v>
      </c>
      <c r="Y8624">
        <v>0.15798909999999999</v>
      </c>
      <c r="Z8624">
        <v>1.049078E-2</v>
      </c>
      <c r="AA8624">
        <v>0.98738519999999996</v>
      </c>
      <c r="AB8624">
        <v>27</v>
      </c>
      <c r="AC8624">
        <v>19.460799999999999</v>
      </c>
      <c r="AD8624">
        <v>1.2748330000000001</v>
      </c>
      <c r="AE8624">
        <v>119.6919</v>
      </c>
      <c r="AF8624">
        <v>19.200006215900402</v>
      </c>
      <c r="AG8624">
        <v>1.2748330000000001</v>
      </c>
      <c r="AH8624">
        <v>119.720439207266</v>
      </c>
      <c r="AI8624">
        <v>89.397610664971893</v>
      </c>
      <c r="AJ8624">
        <v>80.888848987956706</v>
      </c>
      <c r="AK8624">
        <v>121.25695444736</v>
      </c>
      <c r="AL8624">
        <v>86.838124061354804</v>
      </c>
      <c r="AM8624">
        <v>89.840064274404696</v>
      </c>
      <c r="AN8624">
        <v>1.00000000379784</v>
      </c>
    </row>
    <row r="8625" spans="1:40" x14ac:dyDescent="0.25">
      <c r="A8625" t="str">
        <f>"20190312160537662"</f>
        <v>20190312160537662</v>
      </c>
      <c r="B8625" t="str">
        <f>"1552377937654057"</f>
        <v>1552377937654057</v>
      </c>
      <c r="C8625" t="s">
        <v>40</v>
      </c>
      <c r="D8625">
        <v>4.8416499999999996</v>
      </c>
      <c r="E8625">
        <v>0.56021430000000005</v>
      </c>
      <c r="F8625" t="s">
        <v>55</v>
      </c>
      <c r="G8625">
        <v>-168.41229999999999</v>
      </c>
      <c r="H8625">
        <v>2.4121169999999998</v>
      </c>
      <c r="I8625">
        <v>203.34790000000001</v>
      </c>
      <c r="J8625">
        <v>-187.87139999999999</v>
      </c>
      <c r="K8625">
        <v>1.1094299999999999</v>
      </c>
      <c r="L8625">
        <v>86.396699999999996</v>
      </c>
      <c r="M8625">
        <v>2.4130010000000001E-3</v>
      </c>
      <c r="N8625">
        <v>0</v>
      </c>
      <c r="O8625">
        <v>0.99995860000000003</v>
      </c>
      <c r="P8625">
        <v>9.8748829999999992E-3</v>
      </c>
      <c r="Q8625">
        <v>4.541738E-2</v>
      </c>
      <c r="R8625">
        <v>0.99891929999999995</v>
      </c>
      <c r="S8625">
        <v>0.4979095</v>
      </c>
      <c r="T8625">
        <v>3.333175E-2</v>
      </c>
      <c r="U8625">
        <v>2.9992679999999998</v>
      </c>
      <c r="V8625">
        <v>7.4904780000000001E-3</v>
      </c>
      <c r="W8625">
        <v>5.417251E-2</v>
      </c>
      <c r="X8625">
        <v>0.99850349999999999</v>
      </c>
      <c r="Y8625">
        <v>0.1613782</v>
      </c>
      <c r="Z8625">
        <v>1.0964710000000001E-2</v>
      </c>
      <c r="AA8625">
        <v>0.98683169999999998</v>
      </c>
      <c r="AB8625">
        <v>27</v>
      </c>
      <c r="AC8625">
        <v>19.459099999999999</v>
      </c>
      <c r="AD8625">
        <v>1.3026869999999999</v>
      </c>
      <c r="AE8625">
        <v>116.9512</v>
      </c>
      <c r="AF8625">
        <v>19.1745142032321</v>
      </c>
      <c r="AG8625">
        <v>1.3026869999999999</v>
      </c>
      <c r="AH8625">
        <v>116.983692825151</v>
      </c>
      <c r="AI8625">
        <v>89.370402374274207</v>
      </c>
      <c r="AJ8625">
        <v>80.691557649743501</v>
      </c>
      <c r="AK8625">
        <v>118.55185943442299</v>
      </c>
      <c r="AL8625">
        <v>86.894623687322195</v>
      </c>
      <c r="AM8625">
        <v>89.570192066867804</v>
      </c>
      <c r="AN8625">
        <v>1.0000000038062999</v>
      </c>
    </row>
    <row r="8626" spans="1:40" x14ac:dyDescent="0.25">
      <c r="A8626" t="str">
        <f>"20190312160537685"</f>
        <v>20190312160537685</v>
      </c>
      <c r="B8626" t="str">
        <f>"1552377937673558"</f>
        <v>1552377937673558</v>
      </c>
      <c r="C8626" t="s">
        <v>40</v>
      </c>
      <c r="D8626">
        <v>4.8852859999999998</v>
      </c>
      <c r="E8626">
        <v>0.56035299999999999</v>
      </c>
      <c r="F8626" t="s">
        <v>55</v>
      </c>
      <c r="G8626">
        <v>-168.4135</v>
      </c>
      <c r="H8626">
        <v>2.260799</v>
      </c>
      <c r="I8626">
        <v>199.7259</v>
      </c>
      <c r="J8626">
        <v>-187.87049999999999</v>
      </c>
      <c r="K8626">
        <v>1.109421</v>
      </c>
      <c r="L8626">
        <v>86.658909999999906</v>
      </c>
      <c r="M8626">
        <v>2.6582929999999999E-3</v>
      </c>
      <c r="N8626">
        <v>0</v>
      </c>
      <c r="O8626">
        <v>0.99995820000000002</v>
      </c>
      <c r="P8626">
        <v>1.4926729999999999E-2</v>
      </c>
      <c r="Q8626">
        <v>4.4740450000000001E-2</v>
      </c>
      <c r="R8626">
        <v>0.99888710000000003</v>
      </c>
      <c r="S8626">
        <v>0.51452640000000005</v>
      </c>
      <c r="T8626">
        <v>3.0446529999999999E-2</v>
      </c>
      <c r="U8626">
        <v>2.9967649999999999</v>
      </c>
      <c r="V8626">
        <v>1.229713E-2</v>
      </c>
      <c r="W8626">
        <v>5.3477820000000002E-2</v>
      </c>
      <c r="X8626">
        <v>0.99849330000000003</v>
      </c>
      <c r="Y8626">
        <v>0.16658870000000001</v>
      </c>
      <c r="Z8626">
        <v>1.001498E-2</v>
      </c>
      <c r="AA8626">
        <v>0.98597559999999995</v>
      </c>
      <c r="AB8626">
        <v>27</v>
      </c>
      <c r="AC8626">
        <v>19.456999999999901</v>
      </c>
      <c r="AD8626">
        <v>1.151378</v>
      </c>
      <c r="AE8626">
        <v>113.066989999999</v>
      </c>
      <c r="AF8626">
        <v>19.154425437301299</v>
      </c>
      <c r="AG8626">
        <v>1.151378</v>
      </c>
      <c r="AH8626">
        <v>113.106923398688</v>
      </c>
      <c r="AI8626">
        <v>89.424961518944002</v>
      </c>
      <c r="AJ8626">
        <v>80.388269019685097</v>
      </c>
      <c r="AK8626">
        <v>114.72311800961801</v>
      </c>
      <c r="AL8626">
        <v>86.9344842133101</v>
      </c>
      <c r="AM8626">
        <v>89.294398840701106</v>
      </c>
      <c r="AN8626">
        <v>0.99999998339153895</v>
      </c>
    </row>
    <row r="8627" spans="1:40" x14ac:dyDescent="0.25">
      <c r="A8627" t="str">
        <f>"20190312160537709"</f>
        <v>20190312160537709</v>
      </c>
      <c r="B8627" t="str">
        <f>"1552377937703814"</f>
        <v>1552377937703814</v>
      </c>
      <c r="C8627" t="s">
        <v>40</v>
      </c>
      <c r="D8627">
        <v>4.8942189999999997</v>
      </c>
      <c r="E8627">
        <v>0.56022430000000001</v>
      </c>
      <c r="F8627" t="s">
        <v>55</v>
      </c>
      <c r="G8627">
        <v>-168.4145</v>
      </c>
      <c r="H8627">
        <v>2.0467430000000002</v>
      </c>
      <c r="I8627">
        <v>196.38730000000001</v>
      </c>
      <c r="J8627">
        <v>-187.86940000000001</v>
      </c>
      <c r="K8627">
        <v>1.1094170000000001</v>
      </c>
      <c r="L8627">
        <v>86.958830000000006</v>
      </c>
      <c r="M8627">
        <v>2.9385240000000001E-3</v>
      </c>
      <c r="N8627">
        <v>0</v>
      </c>
      <c r="O8627">
        <v>0.99995750000000005</v>
      </c>
      <c r="P8627">
        <v>1.8206969999999999E-2</v>
      </c>
      <c r="Q8627">
        <v>4.4313190000000002E-2</v>
      </c>
      <c r="R8627">
        <v>0.99885179999999996</v>
      </c>
      <c r="S8627">
        <v>0.53091429999999995</v>
      </c>
      <c r="T8627">
        <v>2.5578500000000001E-2</v>
      </c>
      <c r="U8627">
        <v>2.9942630000000001</v>
      </c>
      <c r="V8627">
        <v>1.5297430000000001E-2</v>
      </c>
      <c r="W8627">
        <v>5.303451E-2</v>
      </c>
      <c r="X8627">
        <v>0.99847549999999996</v>
      </c>
      <c r="Y8627">
        <v>0.1716869</v>
      </c>
      <c r="Z8627">
        <v>8.4131099999999997E-3</v>
      </c>
      <c r="AA8627">
        <v>0.98511559999999998</v>
      </c>
      <c r="AB8627">
        <v>27</v>
      </c>
      <c r="AC8627">
        <v>19.454899999999999</v>
      </c>
      <c r="AD8627">
        <v>0.93732599999999999</v>
      </c>
      <c r="AE8627">
        <v>109.428469999999</v>
      </c>
      <c r="AF8627">
        <v>19.1318848297378</v>
      </c>
      <c r="AG8627">
        <v>0.93732599999999999</v>
      </c>
      <c r="AH8627">
        <v>109.477382096916</v>
      </c>
      <c r="AI8627">
        <v>89.516778551154999</v>
      </c>
      <c r="AJ8627">
        <v>80.087291647749893</v>
      </c>
      <c r="AK8627">
        <v>111.140473221787</v>
      </c>
      <c r="AL8627">
        <v>86.9599201449482</v>
      </c>
      <c r="AM8627">
        <v>89.122252265076298</v>
      </c>
      <c r="AN8627">
        <v>0.99999999735789702</v>
      </c>
    </row>
    <row r="8628" spans="1:40" x14ac:dyDescent="0.25">
      <c r="A8628" t="str">
        <f>"20190312160537732"</f>
        <v>20190312160537732</v>
      </c>
      <c r="B8628" t="str">
        <f>"1552377937723334"</f>
        <v>1552377937723334</v>
      </c>
      <c r="C8628" t="s">
        <v>40</v>
      </c>
      <c r="D8628">
        <v>4.9559579999999999</v>
      </c>
      <c r="E8628">
        <v>0.56045699999999998</v>
      </c>
      <c r="F8628" t="s">
        <v>55</v>
      </c>
      <c r="G8628">
        <v>-168.41489999999999</v>
      </c>
      <c r="H8628">
        <v>1.7457800000000001</v>
      </c>
      <c r="I8628">
        <v>194.84630000000001</v>
      </c>
      <c r="J8628">
        <v>-187.8683</v>
      </c>
      <c r="K8628">
        <v>1.109413</v>
      </c>
      <c r="L8628">
        <v>87.233369999999994</v>
      </c>
      <c r="M8628">
        <v>3.195196E-3</v>
      </c>
      <c r="N8628">
        <v>0</v>
      </c>
      <c r="O8628">
        <v>0.99995679999999998</v>
      </c>
      <c r="P8628">
        <v>2.3397129999999999E-2</v>
      </c>
      <c r="Q8628">
        <v>4.322964E-2</v>
      </c>
      <c r="R8628">
        <v>0.99879119999999999</v>
      </c>
      <c r="S8628">
        <v>0.53967290000000001</v>
      </c>
      <c r="T8628">
        <v>1.7653820000000001E-2</v>
      </c>
      <c r="U8628">
        <v>2.9928279999999998</v>
      </c>
      <c r="V8628">
        <v>2.0230919999999999E-2</v>
      </c>
      <c r="W8628">
        <v>5.1936919999999998E-2</v>
      </c>
      <c r="X8628">
        <v>0.99844549999999999</v>
      </c>
      <c r="Y8628">
        <v>0.17431150000000001</v>
      </c>
      <c r="Z8628">
        <v>5.8065879999999997E-3</v>
      </c>
      <c r="AA8628">
        <v>0.98467340000000003</v>
      </c>
      <c r="AB8628">
        <v>27</v>
      </c>
      <c r="AC8628">
        <v>19.453399999999998</v>
      </c>
      <c r="AD8628">
        <v>0.63636699999999902</v>
      </c>
      <c r="AE8628">
        <v>107.61293000000001</v>
      </c>
      <c r="AF8628">
        <v>19.108796111874</v>
      </c>
      <c r="AG8628">
        <v>0.63636699999999902</v>
      </c>
      <c r="AH8628">
        <v>107.67089440103901</v>
      </c>
      <c r="AI8628">
        <v>89.666578913318801</v>
      </c>
      <c r="AJ8628">
        <v>79.936268756033897</v>
      </c>
      <c r="AK8628">
        <v>109.355258460321</v>
      </c>
      <c r="AL8628">
        <v>87.022894453422893</v>
      </c>
      <c r="AM8628">
        <v>88.839207813007306</v>
      </c>
      <c r="AN8628">
        <v>1.00000007512668</v>
      </c>
    </row>
    <row r="8629" spans="1:40" x14ac:dyDescent="0.25">
      <c r="A8629" t="str">
        <f>"20190312160537752"</f>
        <v>20190312160537752</v>
      </c>
      <c r="B8629" t="str">
        <f>"1552377937743830"</f>
        <v>1552377937743830</v>
      </c>
      <c r="C8629" t="s">
        <v>40</v>
      </c>
      <c r="D8629">
        <v>4.828201</v>
      </c>
      <c r="E8629">
        <v>0.56004949999999998</v>
      </c>
      <c r="F8629" t="s">
        <v>55</v>
      </c>
      <c r="G8629">
        <v>-169.40029999999999</v>
      </c>
      <c r="H8629">
        <v>1.4425479999999999</v>
      </c>
      <c r="I8629">
        <v>186.3004</v>
      </c>
      <c r="J8629">
        <v>-187.8672</v>
      </c>
      <c r="K8629">
        <v>1.109405</v>
      </c>
      <c r="L8629">
        <v>87.49109</v>
      </c>
      <c r="M8629">
        <v>3.4362110000000002E-3</v>
      </c>
      <c r="N8629">
        <v>0</v>
      </c>
      <c r="O8629">
        <v>0.99995610000000001</v>
      </c>
      <c r="P8629">
        <v>2.8880490000000002E-2</v>
      </c>
      <c r="Q8629">
        <v>4.2469640000000003E-2</v>
      </c>
      <c r="R8629">
        <v>0.99868020000000002</v>
      </c>
      <c r="S8629">
        <v>0.55741879999999999</v>
      </c>
      <c r="T8629">
        <v>1.0056020000000001E-2</v>
      </c>
      <c r="U8629">
        <v>2.9901430000000002</v>
      </c>
      <c r="V8629">
        <v>2.5473579999999999E-2</v>
      </c>
      <c r="W8629">
        <v>5.1165469999999998E-2</v>
      </c>
      <c r="X8629">
        <v>0.99836530000000001</v>
      </c>
      <c r="Y8629">
        <v>0.1798814</v>
      </c>
      <c r="Z8629">
        <v>3.3070930000000001E-3</v>
      </c>
      <c r="AA8629">
        <v>0.98368279999999997</v>
      </c>
      <c r="AB8629">
        <v>27</v>
      </c>
      <c r="AC8629">
        <v>18.466899999999999</v>
      </c>
      <c r="AD8629">
        <v>0.33314300000000002</v>
      </c>
      <c r="AE8629">
        <v>98.809309999999996</v>
      </c>
      <c r="AF8629">
        <v>18.127049322902899</v>
      </c>
      <c r="AG8629">
        <v>0.33314300000000002</v>
      </c>
      <c r="AH8629">
        <v>98.871099196232706</v>
      </c>
      <c r="AI8629">
        <v>89.810109491770703</v>
      </c>
      <c r="AJ8629">
        <v>79.610760301820505</v>
      </c>
      <c r="AK8629">
        <v>100.519625733906</v>
      </c>
      <c r="AL8629">
        <v>87.067154028170506</v>
      </c>
      <c r="AM8629">
        <v>88.538398705925999</v>
      </c>
      <c r="AN8629">
        <v>1.0000000404212099</v>
      </c>
    </row>
    <row r="8630" spans="1:40" x14ac:dyDescent="0.25">
      <c r="A8630" t="str">
        <f>"20190312160537765"</f>
        <v>20190312160537765</v>
      </c>
      <c r="B8630" t="str">
        <f>"1552377937753590"</f>
        <v>1552377937753590</v>
      </c>
      <c r="C8630" t="s">
        <v>40</v>
      </c>
      <c r="D8630">
        <v>4.9077529999999996</v>
      </c>
      <c r="E8630">
        <v>0.56002600000000002</v>
      </c>
      <c r="F8630" t="s">
        <v>55</v>
      </c>
      <c r="G8630">
        <v>-169.36250000000001</v>
      </c>
      <c r="H8630">
        <v>1.400104</v>
      </c>
      <c r="I8630">
        <v>184.38319999999999</v>
      </c>
      <c r="J8630">
        <v>-187.8665</v>
      </c>
      <c r="K8630">
        <v>1.1094040000000001</v>
      </c>
      <c r="L8630">
        <v>87.648960000000002</v>
      </c>
      <c r="M8630">
        <v>3.5837289999999999E-3</v>
      </c>
      <c r="N8630">
        <v>0</v>
      </c>
      <c r="O8630">
        <v>0.99995560000000006</v>
      </c>
      <c r="P8630">
        <v>3.1608310000000001E-2</v>
      </c>
      <c r="Q8630">
        <v>4.1822030000000003E-2</v>
      </c>
      <c r="R8630">
        <v>0.99862499999999998</v>
      </c>
      <c r="S8630">
        <v>0.57048030000000005</v>
      </c>
      <c r="T8630">
        <v>8.9629889999999993E-3</v>
      </c>
      <c r="U8630">
        <v>2.9870909999999999</v>
      </c>
      <c r="V8630">
        <v>2.8053979999999999E-2</v>
      </c>
      <c r="W8630">
        <v>5.051162E-2</v>
      </c>
      <c r="X8630">
        <v>0.99832940000000003</v>
      </c>
      <c r="Y8630">
        <v>0.18406919999999999</v>
      </c>
      <c r="Z8630">
        <v>2.948254E-3</v>
      </c>
      <c r="AA8630">
        <v>0.98290880000000003</v>
      </c>
      <c r="AB8630">
        <v>27</v>
      </c>
      <c r="AC8630">
        <v>18.503999999999898</v>
      </c>
      <c r="AD8630">
        <v>0.29070000000000001</v>
      </c>
      <c r="AE8630">
        <v>96.73424</v>
      </c>
      <c r="AF8630">
        <v>18.157040512802698</v>
      </c>
      <c r="AG8630">
        <v>0.29070000000000001</v>
      </c>
      <c r="AH8630">
        <v>96.799091284075004</v>
      </c>
      <c r="AI8630">
        <v>89.830883373346396</v>
      </c>
      <c r="AJ8630">
        <v>79.376221576289097</v>
      </c>
      <c r="AK8630">
        <v>98.487698217068001</v>
      </c>
      <c r="AL8630">
        <v>87.104665320728301</v>
      </c>
      <c r="AM8630">
        <v>88.390359175378293</v>
      </c>
      <c r="AN8630">
        <v>1.0000000202266099</v>
      </c>
    </row>
    <row r="8631" spans="1:40" x14ac:dyDescent="0.25">
      <c r="A8631" t="str">
        <f>"20190312160537778"</f>
        <v>20190312160537778</v>
      </c>
      <c r="B8631" t="str">
        <f>"1552377937774086"</f>
        <v>1552377937774086</v>
      </c>
      <c r="C8631" t="s">
        <v>40</v>
      </c>
      <c r="D8631">
        <v>4.9085080000000003</v>
      </c>
      <c r="E8631">
        <v>0.55960949999999998</v>
      </c>
      <c r="F8631" t="s">
        <v>55</v>
      </c>
      <c r="G8631">
        <v>-169.12960000000001</v>
      </c>
      <c r="H8631">
        <v>1.2914369999999999</v>
      </c>
      <c r="I8631">
        <v>184.38319999999999</v>
      </c>
      <c r="J8631">
        <v>-187.86580000000001</v>
      </c>
      <c r="K8631">
        <v>1.1093980000000001</v>
      </c>
      <c r="L8631">
        <v>87.801819999999907</v>
      </c>
      <c r="M8631">
        <v>3.72653E-3</v>
      </c>
      <c r="N8631">
        <v>0</v>
      </c>
      <c r="O8631">
        <v>0.99995509999999999</v>
      </c>
      <c r="P8631">
        <v>3.3887819999999999E-2</v>
      </c>
      <c r="Q8631">
        <v>4.1539729999999997E-2</v>
      </c>
      <c r="R8631">
        <v>0.99856199999999995</v>
      </c>
      <c r="S8631">
        <v>0.57829280000000005</v>
      </c>
      <c r="T8631">
        <v>5.6192869999999997E-3</v>
      </c>
      <c r="U8631">
        <v>2.9855960000000001</v>
      </c>
      <c r="V8631">
        <v>3.0190990000000001E-2</v>
      </c>
      <c r="W8631">
        <v>5.0224449999999997E-2</v>
      </c>
      <c r="X8631">
        <v>0.99828150000000004</v>
      </c>
      <c r="Y8631">
        <v>0.18649969999999999</v>
      </c>
      <c r="Z8631">
        <v>1.848422E-3</v>
      </c>
      <c r="AA8631">
        <v>0.98245329999999997</v>
      </c>
      <c r="AB8631">
        <v>27</v>
      </c>
      <c r="AC8631">
        <v>18.7362</v>
      </c>
      <c r="AD8631">
        <v>0.18203900000000001</v>
      </c>
      <c r="AE8631">
        <v>96.581379999999996</v>
      </c>
      <c r="AF8631">
        <v>18.376079908628501</v>
      </c>
      <c r="AG8631">
        <v>0.18203900000000001</v>
      </c>
      <c r="AH8631">
        <v>96.650202091260098</v>
      </c>
      <c r="AI8631">
        <v>89.893983701514301</v>
      </c>
      <c r="AJ8631">
        <v>79.234857319739504</v>
      </c>
      <c r="AK8631">
        <v>98.381781927790001</v>
      </c>
      <c r="AL8631">
        <v>87.121139721937396</v>
      </c>
      <c r="AM8631">
        <v>88.2677338896778</v>
      </c>
      <c r="AN8631">
        <v>0.99999997224861603</v>
      </c>
    </row>
    <row r="8632" spans="1:40" x14ac:dyDescent="0.25">
      <c r="A8632" t="str">
        <f>"20190312160537796"</f>
        <v>20190312160537796</v>
      </c>
      <c r="B8632" t="str">
        <f>"1552377937793605"</f>
        <v>1552377937793605</v>
      </c>
      <c r="C8632" t="s">
        <v>40</v>
      </c>
      <c r="D8632">
        <v>4.8518980000000003</v>
      </c>
      <c r="E8632">
        <v>0.55928800000000001</v>
      </c>
      <c r="F8632" t="s">
        <v>55</v>
      </c>
      <c r="G8632">
        <v>-169.03309999999999</v>
      </c>
      <c r="H8632">
        <v>1.183233</v>
      </c>
      <c r="I8632">
        <v>184.38319999999999</v>
      </c>
      <c r="J8632">
        <v>-187.8647</v>
      </c>
      <c r="K8632">
        <v>1.1093930000000001</v>
      </c>
      <c r="L8632">
        <v>88.024990000000003</v>
      </c>
      <c r="M8632">
        <v>3.9348120000000002E-3</v>
      </c>
      <c r="N8632">
        <v>0</v>
      </c>
      <c r="O8632">
        <v>0.99995429999999996</v>
      </c>
      <c r="P8632">
        <v>3.7774919999999997E-2</v>
      </c>
      <c r="Q8632">
        <v>4.129099E-2</v>
      </c>
      <c r="R8632">
        <v>0.99843280000000001</v>
      </c>
      <c r="S8632">
        <v>0.581955</v>
      </c>
      <c r="T8632">
        <v>2.2826190000000001E-3</v>
      </c>
      <c r="U8632">
        <v>2.9844970000000002</v>
      </c>
      <c r="V8632">
        <v>3.3870520000000001E-2</v>
      </c>
      <c r="W8632">
        <v>4.9968230000000002E-2</v>
      </c>
      <c r="X8632">
        <v>0.99817630000000002</v>
      </c>
      <c r="Y8632">
        <v>0.1875243</v>
      </c>
      <c r="Z8632">
        <v>7.5096069999999997E-4</v>
      </c>
      <c r="AA8632">
        <v>0.98225969999999996</v>
      </c>
      <c r="AB8632">
        <v>27</v>
      </c>
      <c r="AC8632">
        <v>18.831600000000002</v>
      </c>
      <c r="AD8632">
        <v>7.3839999999999906E-2</v>
      </c>
      <c r="AE8632">
        <v>96.35821</v>
      </c>
      <c r="AF8632">
        <v>18.4522779353949</v>
      </c>
      <c r="AG8632">
        <v>7.3839999999999906E-2</v>
      </c>
      <c r="AH8632">
        <v>96.431511070173997</v>
      </c>
      <c r="AI8632">
        <v>89.956909010282999</v>
      </c>
      <c r="AJ8632">
        <v>79.167335077972695</v>
      </c>
      <c r="AK8632">
        <v>98.181099711847494</v>
      </c>
      <c r="AL8632">
        <v>87.135838528057803</v>
      </c>
      <c r="AM8632">
        <v>88.056562214405503</v>
      </c>
      <c r="AN8632">
        <v>0.99999998100804599</v>
      </c>
    </row>
    <row r="8633" spans="1:40" x14ac:dyDescent="0.25">
      <c r="A8633" t="str">
        <f>"20190312160537808"</f>
        <v>20190312160537808</v>
      </c>
      <c r="B8633" t="str">
        <f>"1552377937803367"</f>
        <v>1552377937803367</v>
      </c>
      <c r="C8633" t="s">
        <v>40</v>
      </c>
      <c r="D8633">
        <v>4.8923579999999998</v>
      </c>
      <c r="E8633">
        <v>0.55918140000000005</v>
      </c>
      <c r="F8633" t="s">
        <v>55</v>
      </c>
      <c r="G8633">
        <v>-168.76990000000001</v>
      </c>
      <c r="H8633">
        <v>1.147996</v>
      </c>
      <c r="I8633">
        <v>184.38310000000001</v>
      </c>
      <c r="J8633">
        <v>-187.864</v>
      </c>
      <c r="K8633">
        <v>1.1093919999999999</v>
      </c>
      <c r="L8633">
        <v>88.169219999999996</v>
      </c>
      <c r="M8633">
        <v>4.0693190000000001E-3</v>
      </c>
      <c r="N8633">
        <v>0</v>
      </c>
      <c r="O8633">
        <v>0.9999538</v>
      </c>
      <c r="P8633">
        <v>3.94604E-2</v>
      </c>
      <c r="Q8633">
        <v>4.1093860000000003E-2</v>
      </c>
      <c r="R8633">
        <v>0.99837580000000004</v>
      </c>
      <c r="S8633">
        <v>0.59098819999999996</v>
      </c>
      <c r="T8633">
        <v>1.1957879999999999E-3</v>
      </c>
      <c r="U8633">
        <v>2.9823</v>
      </c>
      <c r="V8633">
        <v>3.5421840000000003E-2</v>
      </c>
      <c r="W8633">
        <v>4.9767260000000001E-2</v>
      </c>
      <c r="X8633">
        <v>0.99813249999999998</v>
      </c>
      <c r="Y8633">
        <v>0.1903918</v>
      </c>
      <c r="Z8633">
        <v>3.93464E-4</v>
      </c>
      <c r="AA8633">
        <v>0.98170809999999997</v>
      </c>
      <c r="AB8633">
        <v>27</v>
      </c>
      <c r="AC8633">
        <v>19.094100000000001</v>
      </c>
      <c r="AD8633">
        <v>3.8603999999999999E-2</v>
      </c>
      <c r="AE8633">
        <v>96.213880000000003</v>
      </c>
      <c r="AF8633">
        <v>18.702399180472</v>
      </c>
      <c r="AG8633">
        <v>3.8603999999999999E-2</v>
      </c>
      <c r="AH8633">
        <v>96.290771332572405</v>
      </c>
      <c r="AI8633">
        <v>89.977450901532507</v>
      </c>
      <c r="AJ8633">
        <v>79.008388979323001</v>
      </c>
      <c r="AK8633">
        <v>98.090233301773097</v>
      </c>
      <c r="AL8633">
        <v>87.147367623019406</v>
      </c>
      <c r="AM8633">
        <v>87.967533789064206</v>
      </c>
      <c r="AN8633">
        <v>0.99999998723657102</v>
      </c>
    </row>
    <row r="8634" spans="1:40" x14ac:dyDescent="0.25">
      <c r="A8634" t="str">
        <f>"20190312160537830"</f>
        <v>20190312160537830</v>
      </c>
      <c r="B8634" t="str">
        <f>"1552377937823863"</f>
        <v>1552377937823863</v>
      </c>
      <c r="C8634" t="s">
        <v>40</v>
      </c>
      <c r="D8634">
        <v>4.8646760000000002</v>
      </c>
      <c r="E8634">
        <v>0.55883289999999997</v>
      </c>
      <c r="F8634" t="s">
        <v>55</v>
      </c>
      <c r="G8634">
        <v>-168.65729999999999</v>
      </c>
      <c r="H8634">
        <v>1.124101</v>
      </c>
      <c r="I8634">
        <v>184.38310000000001</v>
      </c>
      <c r="J8634">
        <v>-187.86259999999999</v>
      </c>
      <c r="K8634">
        <v>1.1093900000000001</v>
      </c>
      <c r="L8634">
        <v>88.448880000000003</v>
      </c>
      <c r="M8634">
        <v>4.3301390000000002E-3</v>
      </c>
      <c r="N8634">
        <v>0</v>
      </c>
      <c r="O8634">
        <v>0.99995270000000003</v>
      </c>
      <c r="P8634">
        <v>4.1233680000000002E-2</v>
      </c>
      <c r="Q8634">
        <v>4.1064759999999999E-2</v>
      </c>
      <c r="R8634">
        <v>0.99830529999999995</v>
      </c>
      <c r="S8634">
        <v>0.59515379999999996</v>
      </c>
      <c r="T8634">
        <v>4.5680999999999999E-4</v>
      </c>
      <c r="U8634">
        <v>2.9813540000000001</v>
      </c>
      <c r="V8634">
        <v>3.6935049999999997E-2</v>
      </c>
      <c r="W8634">
        <v>4.9733920000000001E-2</v>
      </c>
      <c r="X8634">
        <v>0.9980793</v>
      </c>
      <c r="Y8634">
        <v>0.1915145</v>
      </c>
      <c r="Z8634">
        <v>1.5031920000000001E-4</v>
      </c>
      <c r="AA8634">
        <v>0.98148979999999997</v>
      </c>
      <c r="AB8634">
        <v>27</v>
      </c>
      <c r="AC8634">
        <v>19.205299999999902</v>
      </c>
      <c r="AD8634">
        <v>1.4711000000000101E-2</v>
      </c>
      <c r="AE8634">
        <v>95.934219999999996</v>
      </c>
      <c r="AF8634">
        <v>18.789695247773398</v>
      </c>
      <c r="AG8634">
        <v>1.4711000000000101E-2</v>
      </c>
      <c r="AH8634">
        <v>96.016483141006404</v>
      </c>
      <c r="AI8634">
        <v>89.9913849353388</v>
      </c>
      <c r="AJ8634">
        <v>78.927578074676504</v>
      </c>
      <c r="AK8634">
        <v>97.837712047476302</v>
      </c>
      <c r="AL8634">
        <v>87.149280197580595</v>
      </c>
      <c r="AM8634">
        <v>87.880672155677004</v>
      </c>
      <c r="AN8634">
        <v>0.99999997490277903</v>
      </c>
    </row>
    <row r="8635" spans="1:40" x14ac:dyDescent="0.25">
      <c r="A8635" t="str">
        <f>"20190312160537843"</f>
        <v>20190312160537843</v>
      </c>
      <c r="B8635" t="str">
        <f>"1552377937833622"</f>
        <v>1552377937833622</v>
      </c>
      <c r="C8635" t="s">
        <v>40</v>
      </c>
      <c r="D8635">
        <v>5.0015650000000003</v>
      </c>
      <c r="E8635">
        <v>0.558473</v>
      </c>
      <c r="F8635" t="s">
        <v>55</v>
      </c>
      <c r="G8635">
        <v>-168.62989999999999</v>
      </c>
      <c r="H8635">
        <v>1.0801719999999999</v>
      </c>
      <c r="I8635">
        <v>184.38310000000001</v>
      </c>
      <c r="J8635">
        <v>-187.86179999999999</v>
      </c>
      <c r="K8635">
        <v>1.1093900000000001</v>
      </c>
      <c r="L8635">
        <v>88.600679999999997</v>
      </c>
      <c r="M8635">
        <v>4.4716820000000003E-3</v>
      </c>
      <c r="N8635">
        <v>0</v>
      </c>
      <c r="O8635">
        <v>0.99995210000000001</v>
      </c>
      <c r="P8635">
        <v>4.1653860000000001E-2</v>
      </c>
      <c r="Q8635">
        <v>4.0952710000000003E-2</v>
      </c>
      <c r="R8635">
        <v>0.99829239999999997</v>
      </c>
      <c r="S8635">
        <v>0.59751889999999996</v>
      </c>
      <c r="T8635">
        <v>-9.0670590000000004E-4</v>
      </c>
      <c r="U8635">
        <v>2.9804689999999998</v>
      </c>
      <c r="V8635">
        <v>3.7213940000000001E-2</v>
      </c>
      <c r="W8635">
        <v>4.9620099999999903E-2</v>
      </c>
      <c r="X8635">
        <v>0.99807469999999998</v>
      </c>
      <c r="Y8635">
        <v>0.1921804</v>
      </c>
      <c r="Z8635">
        <v>-2.9840710000000002E-4</v>
      </c>
      <c r="AA8635">
        <v>0.9813596</v>
      </c>
      <c r="AB8635">
        <v>27</v>
      </c>
      <c r="AC8635">
        <v>19.2319</v>
      </c>
      <c r="AD8635">
        <v>-2.92179999999999E-2</v>
      </c>
      <c r="AE8635">
        <v>95.782420000000002</v>
      </c>
      <c r="AF8635">
        <v>18.803381264979201</v>
      </c>
      <c r="AG8635">
        <v>-2.92179999999999E-2</v>
      </c>
      <c r="AH8635">
        <v>95.867455918509705</v>
      </c>
      <c r="AI8635">
        <v>90.017135815948905</v>
      </c>
      <c r="AJ8635">
        <v>78.902915426335099</v>
      </c>
      <c r="AK8635">
        <v>97.694099642583893</v>
      </c>
      <c r="AL8635">
        <v>87.1558099335452</v>
      </c>
      <c r="AM8635">
        <v>87.864674413526103</v>
      </c>
      <c r="AN8635">
        <v>1.0000000692172</v>
      </c>
    </row>
    <row r="8636" spans="1:40" x14ac:dyDescent="0.25">
      <c r="A8636" t="str">
        <f>"20190312160537855"</f>
        <v>20190312160537855</v>
      </c>
      <c r="B8636" t="str">
        <f>"1552377937843382"</f>
        <v>1552377937843382</v>
      </c>
      <c r="C8636" t="s">
        <v>40</v>
      </c>
      <c r="D8636">
        <v>5.0284339999999998</v>
      </c>
      <c r="E8636">
        <v>0.55857730000000005</v>
      </c>
      <c r="F8636" t="s">
        <v>55</v>
      </c>
      <c r="G8636">
        <v>-168.71029999999999</v>
      </c>
      <c r="H8636">
        <v>1.109429</v>
      </c>
      <c r="I8636">
        <v>184.38310000000001</v>
      </c>
      <c r="J8636">
        <v>-187.86099999999999</v>
      </c>
      <c r="K8636">
        <v>1.109383</v>
      </c>
      <c r="L8636">
        <v>88.743840000000006</v>
      </c>
      <c r="M8636">
        <v>4.6052200000000001E-3</v>
      </c>
      <c r="N8636">
        <v>0</v>
      </c>
      <c r="O8636">
        <v>0.99995149999999999</v>
      </c>
      <c r="P8636">
        <v>4.1664710000000001E-2</v>
      </c>
      <c r="Q8636">
        <v>4.1331229999999997E-2</v>
      </c>
      <c r="R8636">
        <v>0.99827639999999995</v>
      </c>
      <c r="S8636">
        <v>0.59590149999999997</v>
      </c>
      <c r="T8636" s="1">
        <v>2.2649769999999999E-6</v>
      </c>
      <c r="U8636">
        <v>2.980286</v>
      </c>
      <c r="V8636">
        <v>3.7091760000000001E-2</v>
      </c>
      <c r="W8636">
        <v>4.9997760000000002E-2</v>
      </c>
      <c r="X8636">
        <v>0.99806030000000001</v>
      </c>
      <c r="Y8636">
        <v>0.19154879999999999</v>
      </c>
      <c r="Z8636" s="1">
        <v>7.4555940000000001E-7</v>
      </c>
      <c r="AA8636">
        <v>0.98148310000000005</v>
      </c>
      <c r="AB8636">
        <v>27</v>
      </c>
      <c r="AC8636">
        <v>19.150700000000001</v>
      </c>
      <c r="AD8636" s="1">
        <v>4.5999999999990398E-5</v>
      </c>
      <c r="AE8636">
        <v>95.639259999999993</v>
      </c>
      <c r="AF8636">
        <v>18.710040384748702</v>
      </c>
      <c r="AG8636" s="1">
        <v>4.5999999999990398E-5</v>
      </c>
      <c r="AH8636">
        <v>95.726442285475301</v>
      </c>
      <c r="AI8636">
        <v>89.999972978613798</v>
      </c>
      <c r="AJ8636">
        <v>78.940777357438193</v>
      </c>
      <c r="AK8636">
        <v>97.537774035680499</v>
      </c>
      <c r="AL8636">
        <v>87.134144430464602</v>
      </c>
      <c r="AM8636">
        <v>87.871647931104803</v>
      </c>
      <c r="AN8636">
        <v>0.99999996855050199</v>
      </c>
    </row>
    <row r="8637" spans="1:40" x14ac:dyDescent="0.25">
      <c r="A8637" t="str">
        <f>"20190312160537867"</f>
        <v>20190312160537867</v>
      </c>
      <c r="B8637" t="str">
        <f>"1552377937863878"</f>
        <v>1552377937863878</v>
      </c>
      <c r="C8637" t="s">
        <v>40</v>
      </c>
      <c r="D8637">
        <v>4.8851290000000001</v>
      </c>
      <c r="E8637">
        <v>0.5583089</v>
      </c>
      <c r="F8637" t="s">
        <v>55</v>
      </c>
      <c r="G8637">
        <v>-168.70820000000001</v>
      </c>
      <c r="H8637">
        <v>1.035102</v>
      </c>
      <c r="I8637">
        <v>184.38310000000001</v>
      </c>
      <c r="J8637">
        <v>-187.86009999999999</v>
      </c>
      <c r="K8637">
        <v>1.1093850000000001</v>
      </c>
      <c r="L8637">
        <v>88.900019999999998</v>
      </c>
      <c r="M8637">
        <v>4.7510180000000001E-3</v>
      </c>
      <c r="N8637">
        <v>0</v>
      </c>
      <c r="O8637">
        <v>0.99995089999999998</v>
      </c>
      <c r="P8637">
        <v>4.1119889999999999E-2</v>
      </c>
      <c r="Q8637">
        <v>4.1339519999999998E-2</v>
      </c>
      <c r="R8637">
        <v>0.99829860000000004</v>
      </c>
      <c r="S8637">
        <v>0.59684749999999998</v>
      </c>
      <c r="T8637">
        <v>-2.3137330000000001E-3</v>
      </c>
      <c r="U8637">
        <v>2.9803470000000001</v>
      </c>
      <c r="V8637">
        <v>3.6401309999999999E-2</v>
      </c>
      <c r="W8637">
        <v>5.0005380000000002E-2</v>
      </c>
      <c r="X8637">
        <v>0.99808540000000001</v>
      </c>
      <c r="Y8637">
        <v>0.19170139999999999</v>
      </c>
      <c r="Z8637">
        <v>-7.6155739999999997E-4</v>
      </c>
      <c r="AA8637">
        <v>0.98145300000000002</v>
      </c>
      <c r="AB8637">
        <v>28</v>
      </c>
      <c r="AC8637">
        <v>19.151899999999898</v>
      </c>
      <c r="AD8637">
        <v>-7.4283000000000099E-2</v>
      </c>
      <c r="AE8637">
        <v>95.483080000000001</v>
      </c>
      <c r="AF8637">
        <v>18.6980139672078</v>
      </c>
      <c r="AG8637">
        <v>-7.4283000000000099E-2</v>
      </c>
      <c r="AH8637">
        <v>95.5729411374367</v>
      </c>
      <c r="AI8637">
        <v>90.043703953505798</v>
      </c>
      <c r="AJ8637">
        <v>78.930397760642293</v>
      </c>
      <c r="AK8637">
        <v>97.384846469776505</v>
      </c>
      <c r="AL8637">
        <v>87.133707464785502</v>
      </c>
      <c r="AM8637">
        <v>87.911283508737</v>
      </c>
      <c r="AN8637">
        <v>1.0000000295459099</v>
      </c>
    </row>
    <row r="8638" spans="1:40" x14ac:dyDescent="0.25">
      <c r="A8638" t="str">
        <f>"20190312160537885"</f>
        <v>20190312160537885</v>
      </c>
      <c r="B8638" t="str">
        <f>"1552377937873639"</f>
        <v>1552377937873639</v>
      </c>
      <c r="C8638" t="s">
        <v>40</v>
      </c>
      <c r="D8638">
        <v>4.9066460000000003</v>
      </c>
      <c r="E8638">
        <v>0.5581779</v>
      </c>
      <c r="F8638" t="s">
        <v>55</v>
      </c>
      <c r="G8638">
        <v>-168.8629</v>
      </c>
      <c r="H8638">
        <v>0.98049430000000004</v>
      </c>
      <c r="I8638">
        <v>184.38319999999999</v>
      </c>
      <c r="J8638">
        <v>-187.8588</v>
      </c>
      <c r="K8638">
        <v>1.109383</v>
      </c>
      <c r="L8638">
        <v>89.123170000000002</v>
      </c>
      <c r="M8638">
        <v>4.9604200000000001E-3</v>
      </c>
      <c r="N8638">
        <v>0</v>
      </c>
      <c r="O8638">
        <v>0.99994989999999995</v>
      </c>
      <c r="P8638">
        <v>3.9676500000000003E-2</v>
      </c>
      <c r="Q8638">
        <v>4.1952669999999997E-2</v>
      </c>
      <c r="R8638">
        <v>0.99833150000000004</v>
      </c>
      <c r="S8638">
        <v>0.59306340000000002</v>
      </c>
      <c r="T8638">
        <v>-4.0227170000000003E-3</v>
      </c>
      <c r="U8638">
        <v>2.9808349999999999</v>
      </c>
      <c r="V8638">
        <v>3.4749160000000001E-2</v>
      </c>
      <c r="W8638">
        <v>5.061877E-2</v>
      </c>
      <c r="X8638">
        <v>0.99811329999999998</v>
      </c>
      <c r="Y8638">
        <v>0.1902663</v>
      </c>
      <c r="Z8638">
        <v>-1.324198E-3</v>
      </c>
      <c r="AA8638">
        <v>0.98173160000000004</v>
      </c>
      <c r="AB8638">
        <v>28</v>
      </c>
      <c r="AC8638">
        <v>18.995899999999999</v>
      </c>
      <c r="AD8638">
        <v>-0.128888699999999</v>
      </c>
      <c r="AE8638">
        <v>95.26003</v>
      </c>
      <c r="AF8638">
        <v>18.523086045177799</v>
      </c>
      <c r="AG8638">
        <v>-0.128888699999999</v>
      </c>
      <c r="AH8638">
        <v>95.352921251881895</v>
      </c>
      <c r="AI8638">
        <v>90.076025577070098</v>
      </c>
      <c r="AJ8638">
        <v>79.006742233559393</v>
      </c>
      <c r="AK8638">
        <v>97.135477145076294</v>
      </c>
      <c r="AL8638">
        <v>87.098518044845406</v>
      </c>
      <c r="AM8638">
        <v>88.006061647138793</v>
      </c>
      <c r="AN8638">
        <v>0.99999996181695305</v>
      </c>
    </row>
    <row r="8639" spans="1:40" x14ac:dyDescent="0.25">
      <c r="A8639" t="str">
        <f>"20190312160537899"</f>
        <v>20190312160537899</v>
      </c>
      <c r="B8639" t="str">
        <f>"1552377937894134"</f>
        <v>1552377937894134</v>
      </c>
      <c r="C8639" t="s">
        <v>40</v>
      </c>
      <c r="D8639">
        <v>4.8988649999999998</v>
      </c>
      <c r="E8639">
        <v>0.5578436</v>
      </c>
      <c r="F8639" t="s">
        <v>55</v>
      </c>
      <c r="G8639">
        <v>-169.08279999999999</v>
      </c>
      <c r="H8639">
        <v>0.99649160000000003</v>
      </c>
      <c r="I8639">
        <v>184.38329999999999</v>
      </c>
      <c r="J8639">
        <v>-187.8579</v>
      </c>
      <c r="K8639">
        <v>1.10938</v>
      </c>
      <c r="L8639">
        <v>89.287570000000002</v>
      </c>
      <c r="M8639">
        <v>5.1159990000000004E-3</v>
      </c>
      <c r="N8639">
        <v>0</v>
      </c>
      <c r="O8639">
        <v>0.99994910000000004</v>
      </c>
      <c r="P8639">
        <v>3.8481090000000003E-2</v>
      </c>
      <c r="Q8639">
        <v>4.2070589999999998E-2</v>
      </c>
      <c r="R8639">
        <v>0.99837330000000002</v>
      </c>
      <c r="S8639">
        <v>0.58772279999999999</v>
      </c>
      <c r="T8639">
        <v>-3.5326480000000002E-3</v>
      </c>
      <c r="U8639">
        <v>2.9818120000000001</v>
      </c>
      <c r="V8639">
        <v>3.3398410000000003E-2</v>
      </c>
      <c r="W8639">
        <v>5.0737350000000001E-2</v>
      </c>
      <c r="X8639">
        <v>0.99815339999999997</v>
      </c>
      <c r="Y8639">
        <v>0.18835969999999999</v>
      </c>
      <c r="Z8639">
        <v>-1.162918E-3</v>
      </c>
      <c r="AA8639">
        <v>0.98209939999999996</v>
      </c>
      <c r="AB8639">
        <v>28</v>
      </c>
      <c r="AC8639">
        <v>18.775099999999998</v>
      </c>
      <c r="AD8639">
        <v>-0.1128884</v>
      </c>
      <c r="AE8639">
        <v>95.095730000000003</v>
      </c>
      <c r="AF8639">
        <v>18.288301413554901</v>
      </c>
      <c r="AG8639">
        <v>-0.1128884</v>
      </c>
      <c r="AH8639">
        <v>95.190413320459996</v>
      </c>
      <c r="AI8639">
        <v>90.066727940384396</v>
      </c>
      <c r="AJ8639">
        <v>79.124658467283695</v>
      </c>
      <c r="AK8639">
        <v>96.9313648954965</v>
      </c>
      <c r="AL8639">
        <v>87.091715196957097</v>
      </c>
      <c r="AM8639">
        <v>88.083586878076702</v>
      </c>
      <c r="AN8639">
        <v>0.99999997120355399</v>
      </c>
    </row>
    <row r="8640" spans="1:40" x14ac:dyDescent="0.25">
      <c r="A8640" t="str">
        <f>"20190312160537921"</f>
        <v>20190312160537921</v>
      </c>
      <c r="B8640" t="str">
        <f>"1552377937913654"</f>
        <v>1552377937913654</v>
      </c>
      <c r="C8640" t="s">
        <v>40</v>
      </c>
      <c r="D8640">
        <v>4.9210629999999904</v>
      </c>
      <c r="E8640">
        <v>0.55767049999999996</v>
      </c>
      <c r="F8640" t="s">
        <v>55</v>
      </c>
      <c r="G8640">
        <v>-169.31530000000001</v>
      </c>
      <c r="H8640">
        <v>0.87265649999999995</v>
      </c>
      <c r="I8640">
        <v>184.38339999999999</v>
      </c>
      <c r="J8640">
        <v>-187.8562</v>
      </c>
      <c r="K8640">
        <v>1.1093770000000001</v>
      </c>
      <c r="L8640">
        <v>89.560760000000002</v>
      </c>
      <c r="M8640">
        <v>5.3772819999999997E-3</v>
      </c>
      <c r="N8640">
        <v>0</v>
      </c>
      <c r="O8640">
        <v>0.99994769999999999</v>
      </c>
      <c r="P8640">
        <v>3.6490799999999997E-2</v>
      </c>
      <c r="Q8640">
        <v>4.2207920000000003E-2</v>
      </c>
      <c r="R8640">
        <v>0.99844219999999895</v>
      </c>
      <c r="S8640">
        <v>0.58160400000000001</v>
      </c>
      <c r="T8640">
        <v>-7.4239969999999999E-3</v>
      </c>
      <c r="U8640">
        <v>2.982758</v>
      </c>
      <c r="V8640">
        <v>3.1147310000000001E-2</v>
      </c>
      <c r="W8640">
        <v>5.0876879999999999E-2</v>
      </c>
      <c r="X8640">
        <v>0.99821910000000003</v>
      </c>
      <c r="Y8640">
        <v>0.18610299999999999</v>
      </c>
      <c r="Z8640">
        <v>-2.4441530000000001E-3</v>
      </c>
      <c r="AA8640">
        <v>0.98252720000000004</v>
      </c>
      <c r="AB8640">
        <v>28</v>
      </c>
      <c r="AC8640">
        <v>18.540899999999901</v>
      </c>
      <c r="AD8640">
        <v>-0.2367205</v>
      </c>
      <c r="AE8640">
        <v>94.822640000000007</v>
      </c>
      <c r="AF8640">
        <v>18.030616316221799</v>
      </c>
      <c r="AG8640">
        <v>-0.2367205</v>
      </c>
      <c r="AH8640">
        <v>94.920402614272902</v>
      </c>
      <c r="AI8640">
        <v>90.140378564937905</v>
      </c>
      <c r="AJ8640">
        <v>79.2445148612222</v>
      </c>
      <c r="AK8640">
        <v>96.618021061257494</v>
      </c>
      <c r="AL8640">
        <v>87.0837104381459</v>
      </c>
      <c r="AM8640">
        <v>88.212786584279399</v>
      </c>
      <c r="AN8640">
        <v>0.99999999172178999</v>
      </c>
    </row>
    <row r="8641" spans="1:40" x14ac:dyDescent="0.25">
      <c r="A8641" t="str">
        <f>"20190312160537943"</f>
        <v>20190312160537943</v>
      </c>
      <c r="B8641" t="str">
        <f>"1552377937934150"</f>
        <v>1552377937934150</v>
      </c>
      <c r="C8641" t="s">
        <v>40</v>
      </c>
      <c r="D8641">
        <v>5.0590299999999999</v>
      </c>
      <c r="E8641">
        <v>0.55772290000000002</v>
      </c>
      <c r="F8641" t="s">
        <v>55</v>
      </c>
      <c r="G8641">
        <v>-169.40039999999999</v>
      </c>
      <c r="H8641">
        <v>0.77928390000000003</v>
      </c>
      <c r="I8641">
        <v>185.45679999999999</v>
      </c>
      <c r="J8641">
        <v>-187.8544</v>
      </c>
      <c r="K8641">
        <v>1.1093710000000001</v>
      </c>
      <c r="L8641">
        <v>89.840760000000003</v>
      </c>
      <c r="M8641">
        <v>5.6500229999999997E-3</v>
      </c>
      <c r="N8641">
        <v>0</v>
      </c>
      <c r="O8641">
        <v>0.99994620000000001</v>
      </c>
      <c r="P8641">
        <v>3.4558180000000001E-2</v>
      </c>
      <c r="Q8641">
        <v>4.2954300000000001E-2</v>
      </c>
      <c r="R8641">
        <v>0.99847920000000001</v>
      </c>
      <c r="S8641">
        <v>0.57431030000000005</v>
      </c>
      <c r="T8641">
        <v>-1.027083E-2</v>
      </c>
      <c r="U8641">
        <v>2.9841000000000002</v>
      </c>
      <c r="V8641">
        <v>2.894308E-2</v>
      </c>
      <c r="W8641">
        <v>5.1625490000000003E-2</v>
      </c>
      <c r="X8641">
        <v>0.998247</v>
      </c>
      <c r="Y8641">
        <v>0.18343609999999999</v>
      </c>
      <c r="Z8641">
        <v>-3.3815220000000001E-3</v>
      </c>
      <c r="AA8641">
        <v>0.98302579999999995</v>
      </c>
      <c r="AB8641">
        <v>28</v>
      </c>
      <c r="AC8641">
        <v>18.454000000000001</v>
      </c>
      <c r="AD8641">
        <v>-0.33008709999999902</v>
      </c>
      <c r="AE8641">
        <v>95.616039999999899</v>
      </c>
      <c r="AF8641">
        <v>17.913246337256101</v>
      </c>
      <c r="AG8641">
        <v>-0.33008709999999902</v>
      </c>
      <c r="AH8641">
        <v>95.717683401296497</v>
      </c>
      <c r="AI8641">
        <v>90.194214726459094</v>
      </c>
      <c r="AJ8641">
        <v>79.399902386158999</v>
      </c>
      <c r="AK8641">
        <v>97.380019857995705</v>
      </c>
      <c r="AL8641">
        <v>87.040761774262805</v>
      </c>
      <c r="AM8641">
        <v>88.339236803762901</v>
      </c>
      <c r="AN8641">
        <v>0.99999998305331295</v>
      </c>
    </row>
    <row r="8642" spans="1:40" x14ac:dyDescent="0.25">
      <c r="A8642" t="str">
        <f>"20190312160537964"</f>
        <v>20190312160537964</v>
      </c>
      <c r="B8642" t="str">
        <f>"1552377937953674"</f>
        <v>1552377937953674</v>
      </c>
      <c r="C8642" t="s">
        <v>40</v>
      </c>
      <c r="D8642">
        <v>4.9538289999999998</v>
      </c>
      <c r="E8642">
        <v>0.55748989999999998</v>
      </c>
      <c r="F8642" t="s">
        <v>55</v>
      </c>
      <c r="G8642">
        <v>-168.41560000000001</v>
      </c>
      <c r="H8642">
        <v>0.74138689999999996</v>
      </c>
      <c r="I8642">
        <v>191.8022</v>
      </c>
      <c r="J8642">
        <v>-187.8526</v>
      </c>
      <c r="K8642">
        <v>1.1093649999999999</v>
      </c>
      <c r="L8642">
        <v>90.101010000000002</v>
      </c>
      <c r="M8642">
        <v>5.9088179999999997E-3</v>
      </c>
      <c r="N8642">
        <v>0</v>
      </c>
      <c r="O8642">
        <v>0.99994470000000002</v>
      </c>
      <c r="P8642">
        <v>3.2733850000000002E-2</v>
      </c>
      <c r="Q8642">
        <v>4.3796059999999998E-2</v>
      </c>
      <c r="R8642">
        <v>0.99850410000000001</v>
      </c>
      <c r="S8642">
        <v>0.56915280000000001</v>
      </c>
      <c r="T8642">
        <v>-1.07733E-2</v>
      </c>
      <c r="U8642">
        <v>2.9853519999999998</v>
      </c>
      <c r="V8642">
        <v>2.686125E-2</v>
      </c>
      <c r="W8642">
        <v>5.2469290000000002E-2</v>
      </c>
      <c r="X8642">
        <v>0.99826119999999996</v>
      </c>
      <c r="Y8642">
        <v>0.1814665</v>
      </c>
      <c r="Z8642">
        <v>-3.5467060000000002E-3</v>
      </c>
      <c r="AA8642">
        <v>0.98339069999999995</v>
      </c>
      <c r="AB8642">
        <v>28</v>
      </c>
      <c r="AC8642">
        <v>19.436999999999902</v>
      </c>
      <c r="AD8642">
        <v>-0.36797809999999898</v>
      </c>
      <c r="AE8642">
        <v>101.70119</v>
      </c>
      <c r="AF8642">
        <v>18.8354661984011</v>
      </c>
      <c r="AG8642">
        <v>-0.36797809999999898</v>
      </c>
      <c r="AH8642">
        <v>101.812982565444</v>
      </c>
      <c r="AI8642">
        <v>90.203625447408996</v>
      </c>
      <c r="AJ8642">
        <v>79.518746800811201</v>
      </c>
      <c r="AK8642">
        <v>103.541265269768</v>
      </c>
      <c r="AL8642">
        <v>86.9923499924152</v>
      </c>
      <c r="AM8642">
        <v>88.458654933020398</v>
      </c>
      <c r="AN8642">
        <v>0.99999998828505299</v>
      </c>
    </row>
    <row r="8643" spans="1:40" x14ac:dyDescent="0.25">
      <c r="A8643" t="str">
        <f>"20190312160537988"</f>
        <v>20190312160537988</v>
      </c>
      <c r="B8643" t="str">
        <f>"1552377937983927"</f>
        <v>1552377937983927</v>
      </c>
      <c r="C8643" t="s">
        <v>40</v>
      </c>
      <c r="D8643">
        <v>4.9986639999999998</v>
      </c>
      <c r="E8643">
        <v>0.55741359999999995</v>
      </c>
      <c r="F8643" t="s">
        <v>55</v>
      </c>
      <c r="G8643">
        <v>-168.4151</v>
      </c>
      <c r="H8643">
        <v>0.84170909999999999</v>
      </c>
      <c r="I8643">
        <v>193.3536</v>
      </c>
      <c r="J8643">
        <v>-187.85059999999999</v>
      </c>
      <c r="K8643">
        <v>1.109356</v>
      </c>
      <c r="L8643">
        <v>90.392579999999995</v>
      </c>
      <c r="M8643">
        <v>6.2056129999999996E-3</v>
      </c>
      <c r="N8643">
        <v>0</v>
      </c>
      <c r="O8643">
        <v>0.99994280000000002</v>
      </c>
      <c r="P8643">
        <v>3.0931070000000001E-2</v>
      </c>
      <c r="Q8643">
        <v>4.3659730000000001E-2</v>
      </c>
      <c r="R8643">
        <v>0.99856750000000005</v>
      </c>
      <c r="S8643">
        <v>0.56219479999999999</v>
      </c>
      <c r="T8643">
        <v>-7.7404980000000002E-3</v>
      </c>
      <c r="U8643">
        <v>2.986389</v>
      </c>
      <c r="V8643">
        <v>2.4762409999999999E-2</v>
      </c>
      <c r="W8643">
        <v>5.2336920000000002E-2</v>
      </c>
      <c r="X8643">
        <v>0.99832240000000005</v>
      </c>
      <c r="Y8643">
        <v>0.1788999</v>
      </c>
      <c r="Z8643">
        <v>-2.548551E-3</v>
      </c>
      <c r="AA8643">
        <v>0.98386399999999996</v>
      </c>
      <c r="AB8643">
        <v>28</v>
      </c>
      <c r="AC8643">
        <v>19.435499999999902</v>
      </c>
      <c r="AD8643">
        <v>-0.26764690000000002</v>
      </c>
      <c r="AE8643">
        <v>102.96102</v>
      </c>
      <c r="AF8643">
        <v>18.796042609832501</v>
      </c>
      <c r="AG8643">
        <v>-0.26764690000000002</v>
      </c>
      <c r="AH8643">
        <v>103.07897852411899</v>
      </c>
      <c r="AI8643">
        <v>90.146356183667905</v>
      </c>
      <c r="AJ8643">
        <v>79.665880517843206</v>
      </c>
      <c r="AK8643">
        <v>104.778999166004</v>
      </c>
      <c r="AL8643">
        <v>86.999944621658003</v>
      </c>
      <c r="AM8643">
        <v>88.579125613672801</v>
      </c>
      <c r="AN8643">
        <v>0.99999997224292603</v>
      </c>
    </row>
    <row r="8644" spans="1:40" x14ac:dyDescent="0.25">
      <c r="A8644" t="str">
        <f>"20190312160538010"</f>
        <v>20190312160538010</v>
      </c>
      <c r="B8644" t="str">
        <f>"1552377938003447"</f>
        <v>1552377938003447</v>
      </c>
      <c r="C8644" t="s">
        <v>40</v>
      </c>
      <c r="D8644">
        <v>5.1722199999999896</v>
      </c>
      <c r="E8644">
        <v>0.55754729999999997</v>
      </c>
      <c r="F8644" t="s">
        <v>55</v>
      </c>
      <c r="G8644">
        <v>-168.41460000000001</v>
      </c>
      <c r="H8644">
        <v>0.70713519999999996</v>
      </c>
      <c r="I8644">
        <v>194.77080000000001</v>
      </c>
      <c r="J8644">
        <v>-187.8486</v>
      </c>
      <c r="K8644">
        <v>1.109359</v>
      </c>
      <c r="L8644">
        <v>90.669489999999996</v>
      </c>
      <c r="M8644">
        <v>6.4957440000000003E-3</v>
      </c>
      <c r="N8644">
        <v>0</v>
      </c>
      <c r="O8644">
        <v>0.99994099999999997</v>
      </c>
      <c r="P8644">
        <v>3.0225640000000002E-2</v>
      </c>
      <c r="Q8644">
        <v>4.3335199999999997E-2</v>
      </c>
      <c r="R8644">
        <v>0.99860329999999997</v>
      </c>
      <c r="S8644">
        <v>0.55630489999999999</v>
      </c>
      <c r="T8644">
        <v>-1.1511560000000001E-2</v>
      </c>
      <c r="U8644">
        <v>2.987549</v>
      </c>
      <c r="V8644">
        <v>2.3767590000000002E-2</v>
      </c>
      <c r="W8644">
        <v>5.2015970000000002E-2</v>
      </c>
      <c r="X8644">
        <v>0.99836340000000001</v>
      </c>
      <c r="Y8644">
        <v>0.17666979999999999</v>
      </c>
      <c r="Z8644">
        <v>-3.7901509999999999E-3</v>
      </c>
      <c r="AA8644">
        <v>0.98426290000000005</v>
      </c>
      <c r="AB8644">
        <v>28</v>
      </c>
      <c r="AC8644">
        <v>19.434000000000001</v>
      </c>
      <c r="AD8644">
        <v>-0.40222379999999902</v>
      </c>
      <c r="AE8644">
        <v>104.10131</v>
      </c>
      <c r="AF8644">
        <v>18.757078279024601</v>
      </c>
      <c r="AG8644">
        <v>-0.40222379999999902</v>
      </c>
      <c r="AH8644">
        <v>104.223853091226</v>
      </c>
      <c r="AI8644">
        <v>90.217620358670601</v>
      </c>
      <c r="AJ8644">
        <v>79.797738374987304</v>
      </c>
      <c r="AK8644">
        <v>105.899014739195</v>
      </c>
      <c r="AL8644">
        <v>87.018358924387599</v>
      </c>
      <c r="AM8644">
        <v>88.636242655380002</v>
      </c>
      <c r="AN8644">
        <v>1.0000000189645</v>
      </c>
    </row>
    <row r="8645" spans="1:40" x14ac:dyDescent="0.25">
      <c r="A8645" t="str">
        <f>"20190312160538022"</f>
        <v>20190312160538022</v>
      </c>
      <c r="B8645" t="str">
        <f>"1552377938013764"</f>
        <v>1552377938013764</v>
      </c>
      <c r="C8645" t="s">
        <v>40</v>
      </c>
      <c r="D8645">
        <v>5.0511350000000004</v>
      </c>
      <c r="E8645">
        <v>0.55742910000000001</v>
      </c>
      <c r="F8645" t="s">
        <v>55</v>
      </c>
      <c r="G8645">
        <v>-168.4144</v>
      </c>
      <c r="H8645">
        <v>0.58436390000000005</v>
      </c>
      <c r="I8645">
        <v>195.27889999999999</v>
      </c>
      <c r="J8645">
        <v>-187.84739999999999</v>
      </c>
      <c r="K8645">
        <v>1.1093569999999999</v>
      </c>
      <c r="L8645">
        <v>90.83014</v>
      </c>
      <c r="M8645">
        <v>6.666946E-3</v>
      </c>
      <c r="N8645">
        <v>0</v>
      </c>
      <c r="O8645">
        <v>0.99993989999999999</v>
      </c>
      <c r="P8645">
        <v>2.995884E-2</v>
      </c>
      <c r="Q8645">
        <v>4.3779600000000002E-2</v>
      </c>
      <c r="R8645">
        <v>0.99859189999999998</v>
      </c>
      <c r="S8645">
        <v>0.55511469999999996</v>
      </c>
      <c r="T8645">
        <v>-1.499486E-2</v>
      </c>
      <c r="U8645">
        <v>2.9880369999999998</v>
      </c>
      <c r="V8645">
        <v>2.333058E-2</v>
      </c>
      <c r="W8645">
        <v>5.2461679999999997E-2</v>
      </c>
      <c r="X8645">
        <v>0.99835039999999997</v>
      </c>
      <c r="Y8645">
        <v>0.17609250000000001</v>
      </c>
      <c r="Z8645">
        <v>-4.9366269999999999E-3</v>
      </c>
      <c r="AA8645">
        <v>0.98436120000000005</v>
      </c>
      <c r="AB8645">
        <v>28</v>
      </c>
      <c r="AC8645">
        <v>19.433</v>
      </c>
      <c r="AD8645">
        <v>-0.52499309999999899</v>
      </c>
      <c r="AE8645">
        <v>104.44875999999999</v>
      </c>
      <c r="AF8645">
        <v>18.735729962740901</v>
      </c>
      <c r="AG8645">
        <v>-0.52499309999999899</v>
      </c>
      <c r="AH8645">
        <v>104.573448647258</v>
      </c>
      <c r="AI8645">
        <v>90.283132990968397</v>
      </c>
      <c r="AJ8645">
        <v>79.842464846645797</v>
      </c>
      <c r="AK8645">
        <v>106.239867079042</v>
      </c>
      <c r="AL8645">
        <v>86.992786747749307</v>
      </c>
      <c r="AM8645">
        <v>88.661291157750497</v>
      </c>
      <c r="AN8645">
        <v>1.00000003250585</v>
      </c>
    </row>
    <row r="8646" spans="1:40" x14ac:dyDescent="0.25">
      <c r="A8646" t="str">
        <f>"20190312160538043"</f>
        <v>20190312160538043</v>
      </c>
      <c r="B8646" t="str">
        <f>"1552377938033284"</f>
        <v>1552377938033284</v>
      </c>
      <c r="C8646" t="s">
        <v>40</v>
      </c>
      <c r="D8646">
        <v>5.0188179999999996</v>
      </c>
      <c r="E8646">
        <v>0.55722090000000002</v>
      </c>
      <c r="F8646" t="s">
        <v>55</v>
      </c>
      <c r="G8646">
        <v>-168.41419999999999</v>
      </c>
      <c r="H8646">
        <v>0.60634140000000003</v>
      </c>
      <c r="I8646">
        <v>195.75569999999999</v>
      </c>
      <c r="J8646">
        <v>-187.84540000000001</v>
      </c>
      <c r="K8646">
        <v>1.109356</v>
      </c>
      <c r="L8646">
        <v>91.090270000000004</v>
      </c>
      <c r="M8646">
        <v>6.9486900000000004E-3</v>
      </c>
      <c r="N8646">
        <v>0</v>
      </c>
      <c r="O8646">
        <v>0.99993790000000005</v>
      </c>
      <c r="P8646">
        <v>2.9606159999999999E-2</v>
      </c>
      <c r="Q8646">
        <v>4.4986560000000002E-2</v>
      </c>
      <c r="R8646">
        <v>0.99854880000000001</v>
      </c>
      <c r="S8646">
        <v>0.55345149999999999</v>
      </c>
      <c r="T8646">
        <v>-1.432478E-2</v>
      </c>
      <c r="U8646">
        <v>2.988251</v>
      </c>
      <c r="V8646">
        <v>2.2698159999999998E-2</v>
      </c>
      <c r="W8646">
        <v>5.3671610000000002E-2</v>
      </c>
      <c r="X8646">
        <v>0.99830059999999998</v>
      </c>
      <c r="Y8646">
        <v>0.17527290000000001</v>
      </c>
      <c r="Z8646">
        <v>-4.716268E-3</v>
      </c>
      <c r="AA8646">
        <v>0.98450859999999996</v>
      </c>
      <c r="AB8646">
        <v>28</v>
      </c>
      <c r="AC8646">
        <v>19.4312</v>
      </c>
      <c r="AD8646">
        <v>-0.50301459999999998</v>
      </c>
      <c r="AE8646">
        <v>104.66543</v>
      </c>
      <c r="AF8646">
        <v>18.7029980250833</v>
      </c>
      <c r="AG8646">
        <v>-0.50301459999999998</v>
      </c>
      <c r="AH8646">
        <v>104.795589625568</v>
      </c>
      <c r="AI8646">
        <v>90.270737418818797</v>
      </c>
      <c r="AJ8646">
        <v>79.880891856948693</v>
      </c>
      <c r="AK8646">
        <v>106.452669124755</v>
      </c>
      <c r="AL8646">
        <v>86.923364847744097</v>
      </c>
      <c r="AM8646">
        <v>88.697501798907098</v>
      </c>
      <c r="AN8646">
        <v>0.99999996807386804</v>
      </c>
    </row>
    <row r="8647" spans="1:40" x14ac:dyDescent="0.25">
      <c r="A8647" t="str">
        <f>"20190312160538056"</f>
        <v>20190312160538056</v>
      </c>
      <c r="B8647" t="str">
        <f>"1552377938053780"</f>
        <v>1552377938053780</v>
      </c>
      <c r="C8647" t="s">
        <v>40</v>
      </c>
      <c r="D8647">
        <v>5.1349260000000001</v>
      </c>
      <c r="E8647">
        <v>0.55715099999999995</v>
      </c>
      <c r="F8647" t="s">
        <v>55</v>
      </c>
      <c r="G8647">
        <v>-168.41399999999999</v>
      </c>
      <c r="H8647">
        <v>0.68170359999999997</v>
      </c>
      <c r="I8647">
        <v>196.5179</v>
      </c>
      <c r="J8647">
        <v>-187.84399999999999</v>
      </c>
      <c r="K8647">
        <v>1.1093550000000001</v>
      </c>
      <c r="L8647">
        <v>91.255369999999999</v>
      </c>
      <c r="M8647">
        <v>7.1310399999999999E-3</v>
      </c>
      <c r="N8647">
        <v>0</v>
      </c>
      <c r="O8647">
        <v>0.99993659999999995</v>
      </c>
      <c r="P8647">
        <v>2.957827E-2</v>
      </c>
      <c r="Q8647">
        <v>4.5550609999999998E-2</v>
      </c>
      <c r="R8647">
        <v>0.99852410000000003</v>
      </c>
      <c r="S8647">
        <v>0.55082699999999996</v>
      </c>
      <c r="T8647">
        <v>-1.21218E-2</v>
      </c>
      <c r="U8647">
        <v>2.9885860000000002</v>
      </c>
      <c r="V8647">
        <v>2.2489100000000001E-2</v>
      </c>
      <c r="W8647">
        <v>5.423965E-2</v>
      </c>
      <c r="X8647">
        <v>0.99827469999999996</v>
      </c>
      <c r="Y8647">
        <v>0.174238</v>
      </c>
      <c r="Z8647">
        <v>-3.9912089999999999E-3</v>
      </c>
      <c r="AA8647">
        <v>0.98469549999999995</v>
      </c>
      <c r="AB8647">
        <v>28</v>
      </c>
      <c r="AC8647">
        <v>19.43</v>
      </c>
      <c r="AD8647">
        <v>-0.42765139999999902</v>
      </c>
      <c r="AE8647">
        <v>105.26253</v>
      </c>
      <c r="AF8647">
        <v>18.6785479720794</v>
      </c>
      <c r="AG8647">
        <v>-0.42765139999999902</v>
      </c>
      <c r="AH8647">
        <v>105.39673242075899</v>
      </c>
      <c r="AI8647">
        <v>90.228911679788098</v>
      </c>
      <c r="AJ8647">
        <v>79.950310913989597</v>
      </c>
      <c r="AK8647">
        <v>107.039909590013</v>
      </c>
      <c r="AL8647">
        <v>86.890771290915296</v>
      </c>
      <c r="AM8647">
        <v>88.709460831788206</v>
      </c>
      <c r="AN8647">
        <v>1.0000000379555101</v>
      </c>
    </row>
    <row r="8648" spans="1:40" x14ac:dyDescent="0.25">
      <c r="A8648" t="str">
        <f>"20190312160538076"</f>
        <v>20190312160538076</v>
      </c>
      <c r="B8648" t="str">
        <f>"1552377938063541"</f>
        <v>1552377938063541</v>
      </c>
      <c r="C8648" t="s">
        <v>40</v>
      </c>
      <c r="D8648">
        <v>5.0389540000000004</v>
      </c>
      <c r="E8648">
        <v>0.55706359999999999</v>
      </c>
      <c r="F8648" t="s">
        <v>55</v>
      </c>
      <c r="G8648">
        <v>-168.41390000000001</v>
      </c>
      <c r="H8648">
        <v>0.68141649999999998</v>
      </c>
      <c r="I8648">
        <v>196.7963</v>
      </c>
      <c r="J8648">
        <v>-187.84209999999999</v>
      </c>
      <c r="K8648">
        <v>1.109362</v>
      </c>
      <c r="L8648">
        <v>91.49973</v>
      </c>
      <c r="M8648">
        <v>7.4049669999999897E-3</v>
      </c>
      <c r="N8648">
        <v>0</v>
      </c>
      <c r="O8648">
        <v>0.99993449999999995</v>
      </c>
      <c r="P8648">
        <v>2.9341289999999999E-2</v>
      </c>
      <c r="Q8648">
        <v>4.6372150000000001E-2</v>
      </c>
      <c r="R8648">
        <v>0.99849319999999997</v>
      </c>
      <c r="S8648">
        <v>0.550216699999999</v>
      </c>
      <c r="T8648">
        <v>-1.2117269999999999E-2</v>
      </c>
      <c r="U8648">
        <v>2.9886780000000002</v>
      </c>
      <c r="V8648">
        <v>2.197994E-2</v>
      </c>
      <c r="W8648">
        <v>5.5072389999999999E-2</v>
      </c>
      <c r="X8648">
        <v>0.99824040000000003</v>
      </c>
      <c r="Y8648">
        <v>0.17376839999999999</v>
      </c>
      <c r="Z8648">
        <v>-3.9898249999999998E-3</v>
      </c>
      <c r="AA8648">
        <v>0.9847785</v>
      </c>
      <c r="AB8648">
        <v>28</v>
      </c>
      <c r="AC8648">
        <v>19.428199999999901</v>
      </c>
      <c r="AD8648">
        <v>-0.42794549999999998</v>
      </c>
      <c r="AE8648">
        <v>105.29656999999899</v>
      </c>
      <c r="AF8648">
        <v>18.647622099107501</v>
      </c>
      <c r="AG8648">
        <v>-0.42794549999999998</v>
      </c>
      <c r="AH8648">
        <v>105.4358692909</v>
      </c>
      <c r="AI8648">
        <v>90.228998190928806</v>
      </c>
      <c r="AJ8648">
        <v>79.970260394670206</v>
      </c>
      <c r="AK8648">
        <v>107.073056743655</v>
      </c>
      <c r="AL8648">
        <v>86.842987230308196</v>
      </c>
      <c r="AM8648">
        <v>88.738626153088902</v>
      </c>
      <c r="AN8648">
        <v>0.99999999104743698</v>
      </c>
    </row>
    <row r="8649" spans="1:40" x14ac:dyDescent="0.25">
      <c r="A8649" t="str">
        <f>"20190312160538100"</f>
        <v>20190312160538100</v>
      </c>
      <c r="B8649" t="str">
        <f>"1552377938093797"</f>
        <v>1552377938093797</v>
      </c>
      <c r="C8649" t="s">
        <v>40</v>
      </c>
      <c r="D8649">
        <v>5.1325940000000001</v>
      </c>
      <c r="E8649">
        <v>0.55710079999999995</v>
      </c>
      <c r="F8649" t="s">
        <v>55</v>
      </c>
      <c r="G8649">
        <v>-168.41380000000001</v>
      </c>
      <c r="H8649">
        <v>0.73791600000000002</v>
      </c>
      <c r="I8649">
        <v>197.2818</v>
      </c>
      <c r="J8649">
        <v>-187.83940000000001</v>
      </c>
      <c r="K8649">
        <v>1.1093599999999999</v>
      </c>
      <c r="L8649">
        <v>91.806209999999993</v>
      </c>
      <c r="M8649">
        <v>7.7546830000000001E-3</v>
      </c>
      <c r="N8649">
        <v>0</v>
      </c>
      <c r="O8649">
        <v>0.99993160000000003</v>
      </c>
      <c r="P8649">
        <v>2.896723E-2</v>
      </c>
      <c r="Q8649">
        <v>4.6763010000000001E-2</v>
      </c>
      <c r="R8649">
        <v>0.99848590000000004</v>
      </c>
      <c r="S8649">
        <v>0.54895019999999894</v>
      </c>
      <c r="T8649">
        <v>-1.049435E-2</v>
      </c>
      <c r="U8649">
        <v>2.9888919999999999</v>
      </c>
      <c r="V8649">
        <v>2.1257740000000001E-2</v>
      </c>
      <c r="W8649">
        <v>5.5485659999999999E-2</v>
      </c>
      <c r="X8649">
        <v>0.99823309999999998</v>
      </c>
      <c r="Y8649">
        <v>0.1730081</v>
      </c>
      <c r="Z8649">
        <v>-3.4555660000000002E-3</v>
      </c>
      <c r="AA8649">
        <v>0.98491439999999997</v>
      </c>
      <c r="AB8649">
        <v>28</v>
      </c>
      <c r="AC8649">
        <v>19.425599999999999</v>
      </c>
      <c r="AD8649">
        <v>-0.371444</v>
      </c>
      <c r="AE8649">
        <v>105.47559</v>
      </c>
      <c r="AF8649">
        <v>18.606831561475001</v>
      </c>
      <c r="AG8649">
        <v>-0.371444</v>
      </c>
      <c r="AH8649">
        <v>105.621796538997</v>
      </c>
      <c r="AI8649">
        <v>90.198437706887901</v>
      </c>
      <c r="AJ8649">
        <v>80.009018164613806</v>
      </c>
      <c r="AK8649">
        <v>107.24885106856701</v>
      </c>
      <c r="AL8649">
        <v>86.819272166360705</v>
      </c>
      <c r="AM8649">
        <v>88.780049750644693</v>
      </c>
      <c r="AN8649">
        <v>0.99999993595557402</v>
      </c>
    </row>
    <row r="8650" spans="1:40" x14ac:dyDescent="0.25">
      <c r="A8650" t="str">
        <f>"20190312160538122"</f>
        <v>20190312160538122</v>
      </c>
      <c r="B8650" t="str">
        <f>"1552377938113872"</f>
        <v>1552377938113872</v>
      </c>
      <c r="C8650" t="s">
        <v>40</v>
      </c>
      <c r="D8650">
        <v>5.0642160000000001</v>
      </c>
      <c r="E8650">
        <v>0.55685560000000001</v>
      </c>
      <c r="F8650" t="s">
        <v>55</v>
      </c>
      <c r="G8650">
        <v>-168.4136</v>
      </c>
      <c r="H8650">
        <v>0.68275169999999996</v>
      </c>
      <c r="I8650">
        <v>197.67080000000001</v>
      </c>
      <c r="J8650">
        <v>-187.83690000000001</v>
      </c>
      <c r="K8650">
        <v>1.109362</v>
      </c>
      <c r="L8650">
        <v>92.085999999999999</v>
      </c>
      <c r="M8650">
        <v>8.0778039999999992E-3</v>
      </c>
      <c r="N8650">
        <v>0</v>
      </c>
      <c r="O8650">
        <v>0.99992890000000001</v>
      </c>
      <c r="P8650">
        <v>2.8472959999999999E-2</v>
      </c>
      <c r="Q8650">
        <v>4.7418910000000002E-2</v>
      </c>
      <c r="R8650">
        <v>0.99846919999999995</v>
      </c>
      <c r="S8650">
        <v>0.54850769999999904</v>
      </c>
      <c r="T8650">
        <v>-1.204479E-2</v>
      </c>
      <c r="U8650">
        <v>2.9891969999999999</v>
      </c>
      <c r="V8650">
        <v>2.044195E-2</v>
      </c>
      <c r="W8650">
        <v>5.6164569999999997E-2</v>
      </c>
      <c r="X8650">
        <v>0.99821219999999999</v>
      </c>
      <c r="Y8650">
        <v>0.17253060000000001</v>
      </c>
      <c r="Z8650">
        <v>-3.965891E-3</v>
      </c>
      <c r="AA8650">
        <v>0.98499619999999999</v>
      </c>
      <c r="AB8650">
        <v>28</v>
      </c>
      <c r="AC8650">
        <v>19.423300000000001</v>
      </c>
      <c r="AD8650">
        <v>-0.4266103</v>
      </c>
      <c r="AE8650">
        <v>105.5848</v>
      </c>
      <c r="AF8650">
        <v>18.5694468848674</v>
      </c>
      <c r="AG8650">
        <v>-0.4266103</v>
      </c>
      <c r="AH8650">
        <v>105.73658890017801</v>
      </c>
      <c r="AI8650">
        <v>90.227682820602197</v>
      </c>
      <c r="AJ8650">
        <v>80.0392970778597</v>
      </c>
      <c r="AK8650">
        <v>107.355636024399</v>
      </c>
      <c r="AL8650">
        <v>86.780312821774999</v>
      </c>
      <c r="AM8650">
        <v>88.826828831245606</v>
      </c>
      <c r="AN8650">
        <v>0.99999996423596305</v>
      </c>
    </row>
    <row r="8651" spans="1:40" x14ac:dyDescent="0.25">
      <c r="A8651" t="str">
        <f>"20190312160538145"</f>
        <v>20190312160538145</v>
      </c>
      <c r="B8651" t="str">
        <f>"1552377938134368"</f>
        <v>1552377938134368</v>
      </c>
      <c r="C8651" t="s">
        <v>40</v>
      </c>
      <c r="D8651">
        <v>5.0537020000000004</v>
      </c>
      <c r="E8651">
        <v>0.55686499999999906</v>
      </c>
      <c r="F8651" t="s">
        <v>55</v>
      </c>
      <c r="G8651">
        <v>-168.41329999999999</v>
      </c>
      <c r="H8651">
        <v>0.68211269999999902</v>
      </c>
      <c r="I8651">
        <v>198.58779999999999</v>
      </c>
      <c r="J8651">
        <v>-187.83430000000001</v>
      </c>
      <c r="K8651">
        <v>1.109361</v>
      </c>
      <c r="L8651">
        <v>92.371549999999999</v>
      </c>
      <c r="M8651">
        <v>8.4099480000000004E-3</v>
      </c>
      <c r="N8651">
        <v>0</v>
      </c>
      <c r="O8651">
        <v>0.99992590000000003</v>
      </c>
      <c r="P8651">
        <v>2.8163150000000001E-2</v>
      </c>
      <c r="Q8651">
        <v>4.8317029999999997E-2</v>
      </c>
      <c r="R8651">
        <v>0.99843490000000001</v>
      </c>
      <c r="S8651">
        <v>0.54524229999999996</v>
      </c>
      <c r="T8651">
        <v>-1.199245E-2</v>
      </c>
      <c r="U8651">
        <v>2.9896240000000001</v>
      </c>
      <c r="V8651">
        <v>1.9801800000000001E-2</v>
      </c>
      <c r="W8651">
        <v>5.7090050000000003E-2</v>
      </c>
      <c r="X8651">
        <v>0.99817259999999997</v>
      </c>
      <c r="Y8651">
        <v>0.17113719999999999</v>
      </c>
      <c r="Z8651">
        <v>-3.9489570000000003E-3</v>
      </c>
      <c r="AA8651">
        <v>0.98523930000000004</v>
      </c>
      <c r="AB8651">
        <v>28</v>
      </c>
      <c r="AC8651">
        <v>19.420999999999999</v>
      </c>
      <c r="AD8651">
        <v>-0.42724830000000003</v>
      </c>
      <c r="AE8651">
        <v>106.21625</v>
      </c>
      <c r="AF8651">
        <v>18.5267153319442</v>
      </c>
      <c r="AG8651">
        <v>-0.42724830000000003</v>
      </c>
      <c r="AH8651">
        <v>106.374163923509</v>
      </c>
      <c r="AI8651">
        <v>90.226712574957205</v>
      </c>
      <c r="AJ8651">
        <v>80.120150537294293</v>
      </c>
      <c r="AK8651">
        <v>107.97631440518001</v>
      </c>
      <c r="AL8651">
        <v>86.727201490247595</v>
      </c>
      <c r="AM8651">
        <v>88.863512415357803</v>
      </c>
      <c r="AN8651">
        <v>0.99999996224150001</v>
      </c>
    </row>
    <row r="8652" spans="1:40" x14ac:dyDescent="0.25">
      <c r="A8652" t="str">
        <f>"20190312160538165"</f>
        <v>20190312160538165</v>
      </c>
      <c r="B8652" t="str">
        <f>"1552377938153889"</f>
        <v>1552377938153889</v>
      </c>
      <c r="C8652" t="s">
        <v>40</v>
      </c>
      <c r="D8652">
        <v>5.1446449999999997</v>
      </c>
      <c r="E8652">
        <v>0.55691329999999994</v>
      </c>
      <c r="F8652" t="s">
        <v>55</v>
      </c>
      <c r="G8652">
        <v>-168.41319999999999</v>
      </c>
      <c r="H8652">
        <v>0.75855830000000002</v>
      </c>
      <c r="I8652">
        <v>199.01929999999999</v>
      </c>
      <c r="J8652">
        <v>-187.83179999999999</v>
      </c>
      <c r="K8652">
        <v>1.1093679999999999</v>
      </c>
      <c r="L8652">
        <v>92.629490000000004</v>
      </c>
      <c r="M8652">
        <v>8.711969E-3</v>
      </c>
      <c r="N8652">
        <v>0</v>
      </c>
      <c r="O8652">
        <v>0.99992309999999995</v>
      </c>
      <c r="P8652">
        <v>2.771943E-2</v>
      </c>
      <c r="Q8652">
        <v>4.9205499999999999E-2</v>
      </c>
      <c r="R8652">
        <v>0.99840399999999996</v>
      </c>
      <c r="S8652">
        <v>0.54446410000000001</v>
      </c>
      <c r="T8652">
        <v>-9.8336940000000005E-3</v>
      </c>
      <c r="U8652">
        <v>2.9898380000000002</v>
      </c>
      <c r="V8652">
        <v>1.9057629999999999E-2</v>
      </c>
      <c r="W8652">
        <v>5.8010730000000003E-2</v>
      </c>
      <c r="X8652">
        <v>0.99813399999999997</v>
      </c>
      <c r="Y8652">
        <v>0.17057939999999999</v>
      </c>
      <c r="Z8652">
        <v>-3.2381060000000001E-3</v>
      </c>
      <c r="AA8652">
        <v>0.98533859999999995</v>
      </c>
      <c r="AB8652">
        <v>28</v>
      </c>
      <c r="AC8652">
        <v>19.418600000000001</v>
      </c>
      <c r="AD8652">
        <v>-0.3508097</v>
      </c>
      <c r="AE8652">
        <v>106.389809999999</v>
      </c>
      <c r="AF8652">
        <v>18.4907676147782</v>
      </c>
      <c r="AG8652">
        <v>-0.3508097</v>
      </c>
      <c r="AH8652">
        <v>106.55383184008799</v>
      </c>
      <c r="AI8652">
        <v>90.185857862115199</v>
      </c>
      <c r="AJ8652">
        <v>80.155245726654499</v>
      </c>
      <c r="AK8652">
        <v>108.146893779873</v>
      </c>
      <c r="AL8652">
        <v>86.674362825996198</v>
      </c>
      <c r="AM8652">
        <v>88.906169804922598</v>
      </c>
      <c r="AN8652">
        <v>0.99999996000617397</v>
      </c>
    </row>
    <row r="8653" spans="1:40" x14ac:dyDescent="0.25">
      <c r="A8653" t="str">
        <f>"20190312160538178"</f>
        <v>20190312160538178</v>
      </c>
      <c r="B8653" t="str">
        <f>"1552377938173409"</f>
        <v>1552377938173409</v>
      </c>
      <c r="C8653" t="s">
        <v>40</v>
      </c>
      <c r="D8653">
        <v>5.2988860000000004</v>
      </c>
      <c r="E8653">
        <v>0.55566780000000005</v>
      </c>
      <c r="F8653" t="s">
        <v>55</v>
      </c>
      <c r="G8653">
        <v>-168.41309999999999</v>
      </c>
      <c r="H8653">
        <v>0.83279040000000004</v>
      </c>
      <c r="I8653">
        <v>199.45269999999999</v>
      </c>
      <c r="J8653">
        <v>-187.83019999999999</v>
      </c>
      <c r="K8653">
        <v>1.109372</v>
      </c>
      <c r="L8653">
        <v>92.79016</v>
      </c>
      <c r="M8653">
        <v>8.9004859999999904E-3</v>
      </c>
      <c r="N8653">
        <v>0</v>
      </c>
      <c r="O8653">
        <v>0.99992119999999995</v>
      </c>
      <c r="P8653">
        <v>2.7527909999999999E-2</v>
      </c>
      <c r="Q8653">
        <v>4.970517E-2</v>
      </c>
      <c r="R8653">
        <v>0.99838450000000001</v>
      </c>
      <c r="S8653">
        <v>0.54354859999999905</v>
      </c>
      <c r="T8653">
        <v>-7.7407359999999998E-3</v>
      </c>
      <c r="U8653">
        <v>2.9900820000000001</v>
      </c>
      <c r="V8653">
        <v>1.8678509999999999E-2</v>
      </c>
      <c r="W8653">
        <v>5.8531979999999997E-2</v>
      </c>
      <c r="X8653">
        <v>0.99811079999999996</v>
      </c>
      <c r="Y8653">
        <v>0.17008779999999901</v>
      </c>
      <c r="Z8653">
        <v>-2.5488949999999998E-3</v>
      </c>
      <c r="AA8653">
        <v>0.98542560000000001</v>
      </c>
      <c r="AB8653">
        <v>28</v>
      </c>
      <c r="AC8653">
        <v>19.417100000000001</v>
      </c>
      <c r="AD8653">
        <v>-0.27658159999999998</v>
      </c>
      <c r="AE8653">
        <v>106.66254000000001</v>
      </c>
      <c r="AF8653">
        <v>18.4668249908141</v>
      </c>
      <c r="AG8653">
        <v>-0.27658159999999998</v>
      </c>
      <c r="AH8653">
        <v>106.830447874896</v>
      </c>
      <c r="AI8653">
        <v>90.146169382998593</v>
      </c>
      <c r="AJ8653">
        <v>80.192707846592995</v>
      </c>
      <c r="AK8653">
        <v>108.415149844353</v>
      </c>
      <c r="AL8653">
        <v>86.644446780914805</v>
      </c>
      <c r="AM8653">
        <v>88.9278997023778</v>
      </c>
      <c r="AN8653">
        <v>1.0000000242475899</v>
      </c>
    </row>
    <row r="8654" spans="1:40" x14ac:dyDescent="0.25">
      <c r="A8654" t="str">
        <f>"20190312160538190"</f>
        <v>20190312160538190</v>
      </c>
      <c r="B8654" t="str">
        <f>"1552377938184145"</f>
        <v>1552377938184145</v>
      </c>
      <c r="C8654" t="s">
        <v>40</v>
      </c>
      <c r="D8654">
        <v>5.1649459999999996</v>
      </c>
      <c r="E8654">
        <v>0.55482719999999996</v>
      </c>
      <c r="F8654" t="s">
        <v>55</v>
      </c>
      <c r="G8654">
        <v>-168.41229999999999</v>
      </c>
      <c r="H8654">
        <v>0.58786389999999999</v>
      </c>
      <c r="I8654">
        <v>201.6857</v>
      </c>
      <c r="J8654">
        <v>-187.82859999999999</v>
      </c>
      <c r="K8654">
        <v>1.1093770000000001</v>
      </c>
      <c r="L8654">
        <v>92.955839999999995</v>
      </c>
      <c r="M8654">
        <v>9.0952120000000001E-3</v>
      </c>
      <c r="N8654">
        <v>0</v>
      </c>
      <c r="O8654">
        <v>0.99991920000000001</v>
      </c>
      <c r="P8654">
        <v>2.740476E-2</v>
      </c>
      <c r="Q8654">
        <v>5.0381059999999998E-2</v>
      </c>
      <c r="R8654">
        <v>0.99835399999999996</v>
      </c>
      <c r="S8654">
        <v>0.53332519999999894</v>
      </c>
      <c r="T8654">
        <v>-1.4322639999999999E-2</v>
      </c>
      <c r="U8654">
        <v>2.990875</v>
      </c>
      <c r="V8654">
        <v>1.8361780000000001E-2</v>
      </c>
      <c r="W8654">
        <v>5.9231699999999998E-2</v>
      </c>
      <c r="X8654">
        <v>0.99807539999999995</v>
      </c>
      <c r="Y8654">
        <v>0.16658480000000001</v>
      </c>
      <c r="Z8654">
        <v>-4.7177620000000003E-3</v>
      </c>
      <c r="AA8654">
        <v>0.98601589999999995</v>
      </c>
      <c r="AB8654">
        <v>28</v>
      </c>
      <c r="AC8654">
        <v>19.4163</v>
      </c>
      <c r="AD8654">
        <v>-0.52151309999999995</v>
      </c>
      <c r="AE8654">
        <v>108.72986</v>
      </c>
      <c r="AF8654">
        <v>18.426125902386499</v>
      </c>
      <c r="AG8654">
        <v>-0.52151309999999995</v>
      </c>
      <c r="AH8654">
        <v>108.899536784608</v>
      </c>
      <c r="AI8654">
        <v>90.2705384986605</v>
      </c>
      <c r="AJ8654">
        <v>80.396343851878299</v>
      </c>
      <c r="AK8654">
        <v>110.4486450962</v>
      </c>
      <c r="AL8654">
        <v>86.604286106026095</v>
      </c>
      <c r="AM8654">
        <v>88.946037713072201</v>
      </c>
      <c r="AN8654">
        <v>1.0000000266674001</v>
      </c>
    </row>
    <row r="8655" spans="1:40" x14ac:dyDescent="0.25">
      <c r="A8655" t="str">
        <f>"20190312160538203"</f>
        <v>20190312160538203</v>
      </c>
      <c r="B8655" t="str">
        <f>"1552377938193905"</f>
        <v>1552377938193905</v>
      </c>
      <c r="C8655" t="s">
        <v>40</v>
      </c>
      <c r="D8655">
        <v>5.1871130000000001</v>
      </c>
      <c r="E8655">
        <v>0.55399390000000004</v>
      </c>
      <c r="F8655" t="s">
        <v>55</v>
      </c>
      <c r="G8655">
        <v>-168.4117</v>
      </c>
      <c r="H8655">
        <v>0.59011080000000005</v>
      </c>
      <c r="I8655">
        <v>203.28399999999999</v>
      </c>
      <c r="J8655">
        <v>-187.82679999999999</v>
      </c>
      <c r="K8655">
        <v>1.10938</v>
      </c>
      <c r="L8655">
        <v>93.123810000000006</v>
      </c>
      <c r="M8655">
        <v>9.2930819999999994E-3</v>
      </c>
      <c r="N8655">
        <v>0</v>
      </c>
      <c r="O8655">
        <v>0.9999171</v>
      </c>
      <c r="P8655">
        <v>2.7279669999999999E-2</v>
      </c>
      <c r="Q8655">
        <v>5.075172E-2</v>
      </c>
      <c r="R8655">
        <v>0.99833859999999996</v>
      </c>
      <c r="S8655">
        <v>0.52642819999999901</v>
      </c>
      <c r="T8655">
        <v>-1.407743E-2</v>
      </c>
      <c r="U8655">
        <v>2.9912109999999998</v>
      </c>
      <c r="V8655">
        <v>1.8039650000000001E-2</v>
      </c>
      <c r="W8655">
        <v>5.9628689999999998E-2</v>
      </c>
      <c r="X8655">
        <v>0.99805759999999999</v>
      </c>
      <c r="Y8655">
        <v>0.1641658</v>
      </c>
      <c r="Z8655">
        <v>-4.6383400000000003E-3</v>
      </c>
      <c r="AA8655">
        <v>0.98642189999999996</v>
      </c>
      <c r="AB8655">
        <v>28</v>
      </c>
      <c r="AC8655">
        <v>19.415099999999899</v>
      </c>
      <c r="AD8655">
        <v>-0.51926919999999999</v>
      </c>
      <c r="AE8655">
        <v>110.16019</v>
      </c>
      <c r="AF8655">
        <v>18.390096908512199</v>
      </c>
      <c r="AG8655">
        <v>-0.51926919999999999</v>
      </c>
      <c r="AH8655">
        <v>110.33348830237</v>
      </c>
      <c r="AI8655">
        <v>90.2659832944409</v>
      </c>
      <c r="AJ8655">
        <v>80.537080477388798</v>
      </c>
      <c r="AK8655">
        <v>111.856801070725</v>
      </c>
      <c r="AL8655">
        <v>86.5814998585589</v>
      </c>
      <c r="AM8655">
        <v>88.964505381814902</v>
      </c>
      <c r="AN8655">
        <v>0.99999999128049899</v>
      </c>
    </row>
    <row r="8656" spans="1:40" x14ac:dyDescent="0.25">
      <c r="A8656" t="str">
        <f>"20190312160538221"</f>
        <v>20190312160538221</v>
      </c>
      <c r="B8656" t="str">
        <f>"1552377938214036"</f>
        <v>1552377938214036</v>
      </c>
      <c r="C8656" t="s">
        <v>40</v>
      </c>
      <c r="D8656">
        <v>5.2617830000000003</v>
      </c>
      <c r="E8656">
        <v>0.55315959999999997</v>
      </c>
      <c r="F8656" t="s">
        <v>55</v>
      </c>
      <c r="G8656">
        <v>-168.41120000000001</v>
      </c>
      <c r="H8656">
        <v>0.54903979999999997</v>
      </c>
      <c r="I8656">
        <v>204.9059</v>
      </c>
      <c r="J8656">
        <v>-187.8244</v>
      </c>
      <c r="K8656">
        <v>1.1093900000000001</v>
      </c>
      <c r="L8656">
        <v>93.356930000000006</v>
      </c>
      <c r="M8656">
        <v>9.5684020000000002E-3</v>
      </c>
      <c r="N8656">
        <v>0</v>
      </c>
      <c r="O8656">
        <v>0.99991419999999998</v>
      </c>
      <c r="P8656">
        <v>2.5800859999999998E-2</v>
      </c>
      <c r="Q8656">
        <v>5.2651999999999997E-2</v>
      </c>
      <c r="R8656">
        <v>0.99827960000000004</v>
      </c>
      <c r="S8656">
        <v>0.5196075</v>
      </c>
      <c r="T8656">
        <v>-1.4995100000000001E-2</v>
      </c>
      <c r="U8656">
        <v>2.9915470000000002</v>
      </c>
      <c r="V8656">
        <v>1.6288049999999998E-2</v>
      </c>
      <c r="W8656">
        <v>6.1566799999999998E-2</v>
      </c>
      <c r="X8656">
        <v>0.99797000000000002</v>
      </c>
      <c r="Y8656">
        <v>0.16169220000000001</v>
      </c>
      <c r="Z8656">
        <v>-4.9421079999999997E-3</v>
      </c>
      <c r="AA8656">
        <v>0.98682890000000001</v>
      </c>
      <c r="AB8656">
        <v>28</v>
      </c>
      <c r="AC8656">
        <v>19.4131999999999</v>
      </c>
      <c r="AD8656">
        <v>-0.56035019999999902</v>
      </c>
      <c r="AE8656">
        <v>111.54897</v>
      </c>
      <c r="AF8656">
        <v>18.344473824616902</v>
      </c>
      <c r="AG8656">
        <v>-0.56035019999999902</v>
      </c>
      <c r="AH8656">
        <v>111.726887367258</v>
      </c>
      <c r="AI8656">
        <v>90.283559681024101</v>
      </c>
      <c r="AJ8656">
        <v>80.675782270136693</v>
      </c>
      <c r="AK8656">
        <v>113.224251258397</v>
      </c>
      <c r="AL8656">
        <v>86.470249709615501</v>
      </c>
      <c r="AM8656">
        <v>89.064948175543506</v>
      </c>
      <c r="AN8656">
        <v>0.99999994616751897</v>
      </c>
    </row>
    <row r="8657" spans="1:40" x14ac:dyDescent="0.25">
      <c r="A8657" t="str">
        <f>"20190312160538243"</f>
        <v>20190312160538243</v>
      </c>
      <c r="B8657" t="str">
        <f>"1552377938233553"</f>
        <v>1552377938233553</v>
      </c>
      <c r="C8657" t="s">
        <v>40</v>
      </c>
      <c r="D8657">
        <v>5.1754949999999997</v>
      </c>
      <c r="E8657">
        <v>0.49525249999999998</v>
      </c>
      <c r="F8657" t="s">
        <v>55</v>
      </c>
      <c r="G8657">
        <v>-168.41040000000001</v>
      </c>
      <c r="H8657">
        <v>0.70297049999999905</v>
      </c>
      <c r="I8657">
        <v>207.53919999999999</v>
      </c>
      <c r="J8657">
        <v>-187.82149999999999</v>
      </c>
      <c r="K8657">
        <v>1.1093999999999999</v>
      </c>
      <c r="L8657">
        <v>93.626980000000003</v>
      </c>
      <c r="M8657">
        <v>9.8878979999999991E-3</v>
      </c>
      <c r="N8657">
        <v>0</v>
      </c>
      <c r="O8657">
        <v>0.99991070000000004</v>
      </c>
      <c r="P8657">
        <v>2.489003E-2</v>
      </c>
      <c r="Q8657">
        <v>5.4158310000000001E-2</v>
      </c>
      <c r="R8657">
        <v>0.9982221</v>
      </c>
      <c r="S8657">
        <v>0.50881960000000004</v>
      </c>
      <c r="T8657">
        <v>-1.065087E-2</v>
      </c>
      <c r="U8657">
        <v>2.9925839999999999</v>
      </c>
      <c r="V8657">
        <v>1.506012E-2</v>
      </c>
      <c r="W8657">
        <v>6.3123020000000002E-2</v>
      </c>
      <c r="X8657">
        <v>0.99789209999999995</v>
      </c>
      <c r="Y8657">
        <v>0.15786359999999999</v>
      </c>
      <c r="Z8657">
        <v>-3.5112960000000001E-3</v>
      </c>
      <c r="AA8657">
        <v>0.98745470000000002</v>
      </c>
      <c r="AB8657">
        <v>28</v>
      </c>
      <c r="AC8657">
        <v>19.411099999999902</v>
      </c>
      <c r="AD8657">
        <v>-0.4064295</v>
      </c>
      <c r="AE8657">
        <v>113.91222</v>
      </c>
      <c r="AF8657">
        <v>18.283526869268702</v>
      </c>
      <c r="AG8657">
        <v>-0.4064295</v>
      </c>
      <c r="AH8657">
        <v>114.097182042382</v>
      </c>
      <c r="AI8657">
        <v>90.201523415093206</v>
      </c>
      <c r="AJ8657">
        <v>80.896024808336506</v>
      </c>
      <c r="AK8657">
        <v>115.55353516760201</v>
      </c>
      <c r="AL8657">
        <v>86.380911197653205</v>
      </c>
      <c r="AM8657">
        <v>89.135361616635706</v>
      </c>
      <c r="AN8657">
        <v>0.99999998305537197</v>
      </c>
    </row>
    <row r="8658" spans="1:40" x14ac:dyDescent="0.25">
      <c r="A8658" t="str">
        <f>"20190312160538265"</f>
        <v>20190312160538265</v>
      </c>
      <c r="B8658" t="str">
        <f>"1552377938254053"</f>
        <v>1552377938254053</v>
      </c>
      <c r="C8658" t="s">
        <v>40</v>
      </c>
      <c r="D8658">
        <v>5.1698909999999998</v>
      </c>
      <c r="E8658">
        <v>0.49540830000000002</v>
      </c>
      <c r="F8658" t="s">
        <v>41</v>
      </c>
      <c r="G8658">
        <v>-187.5067</v>
      </c>
      <c r="H8658" s="1">
        <v>-1.42284E-6</v>
      </c>
      <c r="I8658">
        <v>111.8797</v>
      </c>
      <c r="J8658">
        <v>-187.81829999999999</v>
      </c>
      <c r="K8658">
        <v>1.109413</v>
      </c>
      <c r="L8658">
        <v>93.914519999999996</v>
      </c>
      <c r="M8658">
        <v>1.022879E-2</v>
      </c>
      <c r="N8658">
        <v>0</v>
      </c>
      <c r="O8658">
        <v>0.99990670000000004</v>
      </c>
      <c r="P8658">
        <v>2.457382E-2</v>
      </c>
      <c r="Q8658">
        <v>5.457642E-2</v>
      </c>
      <c r="R8658">
        <v>0.99820719999999996</v>
      </c>
      <c r="S8658">
        <v>5.1971440000000001E-2</v>
      </c>
      <c r="T8658">
        <v>-0.18318950000000001</v>
      </c>
      <c r="U8658">
        <v>3.0139770000000001</v>
      </c>
      <c r="V8658">
        <v>1.440434E-2</v>
      </c>
      <c r="W8658">
        <v>6.3605090000000003E-2</v>
      </c>
      <c r="X8658">
        <v>0.99787119999999996</v>
      </c>
      <c r="Y8658">
        <v>6.9805669999999896E-3</v>
      </c>
      <c r="Z8658">
        <v>-6.0658049999999998E-2</v>
      </c>
      <c r="AA8658">
        <v>0.99813419999999997</v>
      </c>
      <c r="AB8658">
        <v>29</v>
      </c>
      <c r="AC8658">
        <v>0.31159999999999799</v>
      </c>
      <c r="AD8658">
        <v>-1.10941442284</v>
      </c>
      <c r="AE8658">
        <v>17.96518</v>
      </c>
      <c r="AF8658">
        <v>0.12732868959087601</v>
      </c>
      <c r="AG8658">
        <v>-1.10941442284</v>
      </c>
      <c r="AH8658">
        <v>17.8991893453091</v>
      </c>
      <c r="AI8658">
        <v>93.546638314342999</v>
      </c>
      <c r="AJ8658">
        <v>89.592424364675793</v>
      </c>
      <c r="AK8658">
        <v>17.933989856583</v>
      </c>
      <c r="AL8658">
        <v>86.353235110793094</v>
      </c>
      <c r="AM8658">
        <v>89.172988886376899</v>
      </c>
      <c r="AN8658">
        <v>1.00000001213709</v>
      </c>
    </row>
    <row r="8659" spans="1:40" x14ac:dyDescent="0.25">
      <c r="A8659" t="str">
        <f>"20190312160538288"</f>
        <v>20190312160538288</v>
      </c>
      <c r="B8659" t="str">
        <f>"1552377938284305"</f>
        <v>1552377938284305</v>
      </c>
      <c r="C8659" t="s">
        <v>40</v>
      </c>
      <c r="D8659">
        <v>5.1677070000000001</v>
      </c>
      <c r="E8659">
        <v>0.4953939</v>
      </c>
      <c r="F8659" t="s">
        <v>41</v>
      </c>
      <c r="G8659">
        <v>-187.5204</v>
      </c>
      <c r="H8659" s="1">
        <v>-1.131573E-6</v>
      </c>
      <c r="I8659">
        <v>111.03449999999999</v>
      </c>
      <c r="J8659">
        <v>-187.8151</v>
      </c>
      <c r="K8659">
        <v>1.109423</v>
      </c>
      <c r="L8659">
        <v>94.195530000000005</v>
      </c>
      <c r="M8659">
        <v>1.0562490000000001E-2</v>
      </c>
      <c r="N8659">
        <v>0</v>
      </c>
      <c r="O8659">
        <v>0.99990250000000003</v>
      </c>
      <c r="P8659">
        <v>2.4199040000000002E-2</v>
      </c>
      <c r="Q8659">
        <v>5.5083460000000001E-2</v>
      </c>
      <c r="R8659">
        <v>0.99818850000000003</v>
      </c>
      <c r="S8659">
        <v>5.2459720000000001E-2</v>
      </c>
      <c r="T8659">
        <v>-0.19536390000000001</v>
      </c>
      <c r="U8659">
        <v>3.0147710000000001</v>
      </c>
      <c r="V8659">
        <v>1.3697259999999999E-2</v>
      </c>
      <c r="W8659">
        <v>6.4183729999999994E-2</v>
      </c>
      <c r="X8659">
        <v>0.99784410000000001</v>
      </c>
      <c r="Y8659">
        <v>6.7995540000000002E-3</v>
      </c>
      <c r="Z8659">
        <v>-6.4655599999999994E-2</v>
      </c>
      <c r="AA8659">
        <v>0.99788449999999995</v>
      </c>
      <c r="AB8659">
        <v>29</v>
      </c>
      <c r="AC8659">
        <v>0.29470000000000601</v>
      </c>
      <c r="AD8659">
        <v>-1.109424131573</v>
      </c>
      <c r="AE8659">
        <v>16.8389699999999</v>
      </c>
      <c r="AF8659">
        <v>0.11630996999644699</v>
      </c>
      <c r="AG8659">
        <v>-1.109424131573</v>
      </c>
      <c r="AH8659">
        <v>16.7683785103718</v>
      </c>
      <c r="AI8659">
        <v>93.785177632036493</v>
      </c>
      <c r="AJ8659">
        <v>89.602587482054801</v>
      </c>
      <c r="AK8659">
        <v>16.805441612166401</v>
      </c>
      <c r="AL8659">
        <v>86.320013579306305</v>
      </c>
      <c r="AM8659">
        <v>89.213558608612601</v>
      </c>
      <c r="AN8659">
        <v>1.00000000701651</v>
      </c>
    </row>
    <row r="8660" spans="1:40" x14ac:dyDescent="0.25">
      <c r="A8660" t="str">
        <f>"20190312160538311"</f>
        <v>20190312160538311</v>
      </c>
      <c r="B8660" t="str">
        <f>"1552377938303826"</f>
        <v>1552377938303826</v>
      </c>
      <c r="C8660" t="s">
        <v>40</v>
      </c>
      <c r="D8660">
        <v>5.1661580000000002</v>
      </c>
      <c r="E8660">
        <v>0.49550709999999998</v>
      </c>
      <c r="F8660" t="s">
        <v>49</v>
      </c>
      <c r="G8660">
        <v>-187.798</v>
      </c>
      <c r="H8660">
        <v>1.043412</v>
      </c>
      <c r="I8660">
        <v>95.177869999999999</v>
      </c>
      <c r="J8660">
        <v>-187.8115</v>
      </c>
      <c r="K8660">
        <v>1.1094409999999999</v>
      </c>
      <c r="L8660">
        <v>94.501159999999999</v>
      </c>
      <c r="M8660">
        <v>1.0926089999999999E-2</v>
      </c>
      <c r="N8660">
        <v>0</v>
      </c>
      <c r="O8660">
        <v>0.99989790000000001</v>
      </c>
      <c r="P8660">
        <v>2.394367E-2</v>
      </c>
      <c r="Q8660">
        <v>5.5006340000000001E-2</v>
      </c>
      <c r="R8660">
        <v>0.9981989</v>
      </c>
      <c r="S8660">
        <v>5.1895139999999999E-2</v>
      </c>
      <c r="T8660">
        <v>-0.20264979999999999</v>
      </c>
      <c r="U8660">
        <v>3.0153500000000002</v>
      </c>
      <c r="V8660">
        <v>1.307899E-2</v>
      </c>
      <c r="W8660">
        <v>6.4191349999999994E-2</v>
      </c>
      <c r="X8660">
        <v>0.99785190000000001</v>
      </c>
      <c r="Y8660">
        <v>6.2430910000000001E-3</v>
      </c>
      <c r="Z8660">
        <v>-6.7043220000000001E-2</v>
      </c>
      <c r="AA8660">
        <v>0.99773060000000002</v>
      </c>
      <c r="AB8660">
        <v>29</v>
      </c>
      <c r="AC8660">
        <v>1.3499999999993399E-2</v>
      </c>
      <c r="AD8660">
        <v>-6.6028999999999893E-2</v>
      </c>
      <c r="AE8660">
        <v>0.67670999999999903</v>
      </c>
      <c r="AF8660">
        <v>6.0475329500131502E-3</v>
      </c>
      <c r="AG8660">
        <v>-6.6028999999999893E-2</v>
      </c>
      <c r="AH8660">
        <v>0.670436691916804</v>
      </c>
      <c r="AI8660">
        <v>95.624497518633007</v>
      </c>
      <c r="AJ8660">
        <v>89.483189506987998</v>
      </c>
      <c r="AK8660">
        <v>0.67370747313958801</v>
      </c>
      <c r="AL8660">
        <v>86.3195760642989</v>
      </c>
      <c r="AM8660">
        <v>89.249058884965294</v>
      </c>
      <c r="AN8660">
        <v>1.0000000018639199</v>
      </c>
    </row>
    <row r="8661" spans="1:40" x14ac:dyDescent="0.25">
      <c r="A8661" t="str">
        <f>"20190312160538335"</f>
        <v>20190312160538335</v>
      </c>
      <c r="B8661" t="str">
        <f>"1552377938324320"</f>
        <v>1552377938324320</v>
      </c>
      <c r="C8661" t="s">
        <v>40</v>
      </c>
      <c r="D8661">
        <v>5.2062720000000002</v>
      </c>
      <c r="E8661">
        <v>0.49572240000000001</v>
      </c>
      <c r="F8661" t="s">
        <v>41</v>
      </c>
      <c r="G8661">
        <v>-187.52109999999999</v>
      </c>
      <c r="H8661" s="1">
        <v>-1.2367970000000001E-6</v>
      </c>
      <c r="I8661">
        <v>111.3443</v>
      </c>
      <c r="J8661">
        <v>-187.80779999999999</v>
      </c>
      <c r="K8661">
        <v>1.10945</v>
      </c>
      <c r="L8661">
        <v>94.796750000000003</v>
      </c>
      <c r="M8661">
        <v>1.1278160000000001E-2</v>
      </c>
      <c r="N8661">
        <v>0</v>
      </c>
      <c r="O8661">
        <v>0.99989320000000004</v>
      </c>
      <c r="P8661">
        <v>2.3805880000000001E-2</v>
      </c>
      <c r="Q8661">
        <v>5.5378879999999998E-2</v>
      </c>
      <c r="R8661">
        <v>0.9981816</v>
      </c>
      <c r="S8661">
        <v>5.1971440000000001E-2</v>
      </c>
      <c r="T8661">
        <v>-0.19860230000000001</v>
      </c>
      <c r="U8661">
        <v>3.0151059999999998</v>
      </c>
      <c r="V8661">
        <v>1.259032E-2</v>
      </c>
      <c r="W8661">
        <v>6.4645800000000003E-2</v>
      </c>
      <c r="X8661">
        <v>0.99782879999999996</v>
      </c>
      <c r="Y8661">
        <v>5.919138E-3</v>
      </c>
      <c r="Z8661">
        <v>-6.5714969999999998E-2</v>
      </c>
      <c r="AA8661">
        <v>0.99782090000000001</v>
      </c>
      <c r="AB8661">
        <v>29</v>
      </c>
      <c r="AC8661">
        <v>0.28669999999999601</v>
      </c>
      <c r="AD8661">
        <v>-1.109451236797</v>
      </c>
      <c r="AE8661">
        <v>16.547550000000001</v>
      </c>
      <c r="AF8661">
        <v>9.9600197212459302E-2</v>
      </c>
      <c r="AG8661">
        <v>-1.109451236797</v>
      </c>
      <c r="AH8661">
        <v>16.475691758711299</v>
      </c>
      <c r="AI8661">
        <v>93.8523357566622</v>
      </c>
      <c r="AJ8661">
        <v>89.653635094267202</v>
      </c>
      <c r="AK8661">
        <v>16.513304368725901</v>
      </c>
      <c r="AL8661">
        <v>86.293483628164694</v>
      </c>
      <c r="AM8661">
        <v>89.277096512011497</v>
      </c>
      <c r="AN8661">
        <v>0.99999995486239002</v>
      </c>
    </row>
    <row r="8662" spans="1:40" x14ac:dyDescent="0.25">
      <c r="A8662" t="str">
        <f>"20190312160538356"</f>
        <v>20190312160538356</v>
      </c>
      <c r="B8662" t="str">
        <f>"1552377938353601"</f>
        <v>1552377938353601</v>
      </c>
      <c r="C8662" t="s">
        <v>40</v>
      </c>
      <c r="D8662">
        <v>5.202547</v>
      </c>
      <c r="E8662">
        <v>0.4956816</v>
      </c>
      <c r="F8662" t="s">
        <v>41</v>
      </c>
      <c r="G8662">
        <v>-187.51519999999999</v>
      </c>
      <c r="H8662" s="1">
        <v>-1.172172E-6</v>
      </c>
      <c r="I8662">
        <v>111.1497</v>
      </c>
      <c r="J8662">
        <v>-187.80430000000001</v>
      </c>
      <c r="K8662">
        <v>1.109453</v>
      </c>
      <c r="L8662">
        <v>95.075869999999995</v>
      </c>
      <c r="M8662">
        <v>1.1610769999999999E-2</v>
      </c>
      <c r="N8662">
        <v>0</v>
      </c>
      <c r="O8662">
        <v>0.99988869999999996</v>
      </c>
      <c r="P8662">
        <v>2.3740009999999999E-2</v>
      </c>
      <c r="Q8662">
        <v>5.5880270000000003E-2</v>
      </c>
      <c r="R8662">
        <v>0.99815520000000002</v>
      </c>
      <c r="S8662">
        <v>5.3970339999999999E-2</v>
      </c>
      <c r="T8662">
        <v>-0.20458589999999999</v>
      </c>
      <c r="U8662">
        <v>3.015533</v>
      </c>
      <c r="V8662">
        <v>1.219315E-2</v>
      </c>
      <c r="W8662">
        <v>6.5226770000000003E-2</v>
      </c>
      <c r="X8662">
        <v>0.99779589999999996</v>
      </c>
      <c r="Y8662">
        <v>6.242923E-3</v>
      </c>
      <c r="Z8662">
        <v>-6.7675540000000006E-2</v>
      </c>
      <c r="AA8662">
        <v>0.99768789999999996</v>
      </c>
      <c r="AB8662">
        <v>29</v>
      </c>
      <c r="AC8662">
        <v>0.28910000000001901</v>
      </c>
      <c r="AD8662">
        <v>-1.1094541721719999</v>
      </c>
      <c r="AE8662">
        <v>16.073829999999901</v>
      </c>
      <c r="AF8662">
        <v>0.101957199972021</v>
      </c>
      <c r="AG8662">
        <v>-1.1094541721719999</v>
      </c>
      <c r="AH8662">
        <v>15.9999028990071</v>
      </c>
      <c r="AI8662">
        <v>93.966534619155695</v>
      </c>
      <c r="AJ8662">
        <v>89.634895398016198</v>
      </c>
      <c r="AK8662">
        <v>16.0386463458869</v>
      </c>
      <c r="AL8662">
        <v>86.260126004693305</v>
      </c>
      <c r="AM8662">
        <v>89.299875593595004</v>
      </c>
      <c r="AN8662">
        <v>0.99999993124417996</v>
      </c>
    </row>
    <row r="8663" spans="1:40" x14ac:dyDescent="0.25">
      <c r="A8663" t="str">
        <f>"20190312160538378"</f>
        <v>20190312160538378</v>
      </c>
      <c r="B8663" t="str">
        <f>"1552377938374097"</f>
        <v>1552377938374097</v>
      </c>
      <c r="C8663" t="s">
        <v>40</v>
      </c>
      <c r="D8663">
        <v>5.1906549999999996</v>
      </c>
      <c r="E8663">
        <v>0.49547780000000002</v>
      </c>
      <c r="F8663" t="s">
        <v>41</v>
      </c>
      <c r="G8663">
        <v>-187.5153</v>
      </c>
      <c r="H8663" s="1">
        <v>-1.2130399999999999E-6</v>
      </c>
      <c r="I8663">
        <v>111.26990000000001</v>
      </c>
      <c r="J8663">
        <v>-187.80090000000001</v>
      </c>
      <c r="K8663">
        <v>1.109469</v>
      </c>
      <c r="L8663">
        <v>95.346410000000006</v>
      </c>
      <c r="M8663">
        <v>1.1933310000000001E-2</v>
      </c>
      <c r="N8663">
        <v>0</v>
      </c>
      <c r="O8663">
        <v>0.99988410000000005</v>
      </c>
      <c r="P8663">
        <v>2.3320830000000001E-2</v>
      </c>
      <c r="Q8663">
        <v>5.6057000000000003E-2</v>
      </c>
      <c r="R8663">
        <v>0.99815520000000002</v>
      </c>
      <c r="S8663">
        <v>5.3833010000000001E-2</v>
      </c>
      <c r="T8663">
        <v>-0.2066153</v>
      </c>
      <c r="U8663">
        <v>3.0158390000000002</v>
      </c>
      <c r="V8663">
        <v>1.1452220000000001E-2</v>
      </c>
      <c r="W8663">
        <v>6.5488000000000005E-2</v>
      </c>
      <c r="X8663">
        <v>0.99778770000000006</v>
      </c>
      <c r="Y8663">
        <v>5.8723119999999898E-3</v>
      </c>
      <c r="Z8663">
        <v>-6.8336549999999996E-2</v>
      </c>
      <c r="AA8663">
        <v>0.997645</v>
      </c>
      <c r="AB8663">
        <v>29</v>
      </c>
      <c r="AC8663">
        <v>0.28560000000001601</v>
      </c>
      <c r="AD8663">
        <v>-1.10947021303999</v>
      </c>
      <c r="AE8663">
        <v>15.923489999999999</v>
      </c>
      <c r="AF8663">
        <v>9.50897512559645E-2</v>
      </c>
      <c r="AG8663">
        <v>-1.10947021303999</v>
      </c>
      <c r="AH8663">
        <v>15.8488490664342</v>
      </c>
      <c r="AI8663">
        <v>94.004283779518204</v>
      </c>
      <c r="AJ8663">
        <v>89.656241533616097</v>
      </c>
      <c r="AK8663">
        <v>15.8879194026477</v>
      </c>
      <c r="AL8663">
        <v>86.245127052103001</v>
      </c>
      <c r="AM8663">
        <v>89.342410153024005</v>
      </c>
      <c r="AN8663">
        <v>1.0000000628790999</v>
      </c>
    </row>
    <row r="8664" spans="1:40" x14ac:dyDescent="0.25">
      <c r="A8664" t="str">
        <f>"20190312160538400"</f>
        <v>20190312160538400</v>
      </c>
      <c r="B8664" t="str">
        <f>"1552377938393616"</f>
        <v>1552377938393616</v>
      </c>
      <c r="C8664" t="s">
        <v>40</v>
      </c>
      <c r="D8664">
        <v>5.2188480000000004</v>
      </c>
      <c r="E8664">
        <v>0.49540070000000003</v>
      </c>
      <c r="F8664" t="s">
        <v>41</v>
      </c>
      <c r="G8664">
        <v>-187.52590000000001</v>
      </c>
      <c r="H8664" s="1">
        <v>-1.3365850000000001E-6</v>
      </c>
      <c r="I8664">
        <v>111.6413</v>
      </c>
      <c r="J8664">
        <v>-187.797</v>
      </c>
      <c r="K8664">
        <v>1.1094809999999999</v>
      </c>
      <c r="L8664">
        <v>95.639979999999994</v>
      </c>
      <c r="M8664">
        <v>1.2284349999999999E-2</v>
      </c>
      <c r="N8664">
        <v>0</v>
      </c>
      <c r="O8664">
        <v>0.99987890000000001</v>
      </c>
      <c r="P8664">
        <v>2.3103479999999999E-2</v>
      </c>
      <c r="Q8664">
        <v>5.639313E-2</v>
      </c>
      <c r="R8664">
        <v>0.99814130000000001</v>
      </c>
      <c r="S8664">
        <v>5.0888059999999999E-2</v>
      </c>
      <c r="T8664">
        <v>-0.2053441</v>
      </c>
      <c r="U8664">
        <v>3.0158999999999998</v>
      </c>
      <c r="V8664">
        <v>1.088505E-2</v>
      </c>
      <c r="W8664">
        <v>6.5925259999999999E-2</v>
      </c>
      <c r="X8664">
        <v>0.99776520000000002</v>
      </c>
      <c r="Y8664">
        <v>4.5474649999999997E-3</v>
      </c>
      <c r="Z8664">
        <v>-6.7917060000000001E-2</v>
      </c>
      <c r="AA8664">
        <v>0.99768060000000003</v>
      </c>
      <c r="AB8664">
        <v>29</v>
      </c>
      <c r="AC8664">
        <v>0.27109999999998902</v>
      </c>
      <c r="AD8664">
        <v>-1.109482336585</v>
      </c>
      <c r="AE8664">
        <v>16.0013199999999</v>
      </c>
      <c r="AF8664">
        <v>7.4148380777529097E-2</v>
      </c>
      <c r="AG8664">
        <v>-1.109482336585</v>
      </c>
      <c r="AH8664">
        <v>15.926894628282099</v>
      </c>
      <c r="AI8664">
        <v>93.984797050518694</v>
      </c>
      <c r="AJ8664">
        <v>89.7332588252455</v>
      </c>
      <c r="AK8664">
        <v>15.965663830168999</v>
      </c>
      <c r="AL8664">
        <v>86.220019440514506</v>
      </c>
      <c r="AM8664">
        <v>89.374960477184601</v>
      </c>
      <c r="AN8664">
        <v>1.0000000092753001</v>
      </c>
    </row>
    <row r="8665" spans="1:40" x14ac:dyDescent="0.25">
      <c r="A8665" t="str">
        <f>"20190312160538422"</f>
        <v>20190312160538422</v>
      </c>
      <c r="B8665" t="str">
        <f>"1552377938414113"</f>
        <v>1552377938414113</v>
      </c>
      <c r="C8665" t="s">
        <v>40</v>
      </c>
      <c r="D8665">
        <v>5.1947419999999997</v>
      </c>
      <c r="E8665">
        <v>0.4956023</v>
      </c>
      <c r="F8665" t="s">
        <v>41</v>
      </c>
      <c r="G8665">
        <v>-187.52719999999999</v>
      </c>
      <c r="H8665" s="1">
        <v>-1.4724760000000001E-6</v>
      </c>
      <c r="I8665">
        <v>112.0416</v>
      </c>
      <c r="J8665">
        <v>-187.79300000000001</v>
      </c>
      <c r="K8665">
        <v>1.109497</v>
      </c>
      <c r="L8665">
        <v>95.930329999999998</v>
      </c>
      <c r="M8665">
        <v>1.2633139999999999E-2</v>
      </c>
      <c r="N8665">
        <v>0</v>
      </c>
      <c r="O8665">
        <v>0.99987349999999997</v>
      </c>
      <c r="P8665">
        <v>2.3446379999999999E-2</v>
      </c>
      <c r="Q8665">
        <v>5.6429779999999999E-2</v>
      </c>
      <c r="R8665">
        <v>0.9981312</v>
      </c>
      <c r="S8665">
        <v>4.9606320000000002E-2</v>
      </c>
      <c r="T8665">
        <v>-0.2040139</v>
      </c>
      <c r="U8665">
        <v>3.0159609999999999</v>
      </c>
      <c r="V8665">
        <v>1.0880239999999999E-2</v>
      </c>
      <c r="W8665">
        <v>6.6067989999999993E-2</v>
      </c>
      <c r="X8665">
        <v>0.99775579999999997</v>
      </c>
      <c r="Y8665">
        <v>3.774894E-3</v>
      </c>
      <c r="Z8665">
        <v>-6.7477670000000003E-2</v>
      </c>
      <c r="AA8665">
        <v>0.99771359999999998</v>
      </c>
      <c r="AB8665">
        <v>29</v>
      </c>
      <c r="AC8665">
        <v>0.26580000000001203</v>
      </c>
      <c r="AD8665">
        <v>-1.109498472476</v>
      </c>
      <c r="AE8665">
        <v>16.111270000000001</v>
      </c>
      <c r="AF8665">
        <v>6.1939692844473003E-2</v>
      </c>
      <c r="AG8665">
        <v>-1.109498472476</v>
      </c>
      <c r="AH8665">
        <v>16.037308344501199</v>
      </c>
      <c r="AI8665">
        <v>93.957520679829301</v>
      </c>
      <c r="AJ8665">
        <v>89.778711909612397</v>
      </c>
      <c r="AK8665">
        <v>16.075760707431101</v>
      </c>
      <c r="AL8665">
        <v>86.211823702107793</v>
      </c>
      <c r="AM8665">
        <v>89.375230768785002</v>
      </c>
      <c r="AN8665">
        <v>0.99999999767936798</v>
      </c>
    </row>
    <row r="8666" spans="1:40" x14ac:dyDescent="0.25">
      <c r="A8666" t="str">
        <f>"20190312160538444"</f>
        <v>20190312160538444</v>
      </c>
      <c r="B8666" t="str">
        <f>"1552377938433633"</f>
        <v>1552377938433633</v>
      </c>
      <c r="C8666" t="s">
        <v>40</v>
      </c>
      <c r="D8666">
        <v>5.2144789999999999</v>
      </c>
      <c r="E8666">
        <v>0.49591010000000002</v>
      </c>
      <c r="F8666" t="s">
        <v>41</v>
      </c>
      <c r="G8666">
        <v>-187.5154</v>
      </c>
      <c r="H8666" s="1">
        <v>-1.4371669999999999E-6</v>
      </c>
      <c r="I8666">
        <v>111.9286</v>
      </c>
      <c r="J8666">
        <v>-187.78919999999999</v>
      </c>
      <c r="K8666">
        <v>1.109513</v>
      </c>
      <c r="L8666">
        <v>96.205600000000004</v>
      </c>
      <c r="M8666">
        <v>1.2966490000000001E-2</v>
      </c>
      <c r="N8666">
        <v>0</v>
      </c>
      <c r="O8666">
        <v>0.99986819999999998</v>
      </c>
      <c r="P8666">
        <v>2.3922499999999999E-2</v>
      </c>
      <c r="Q8666">
        <v>5.61457E-2</v>
      </c>
      <c r="R8666">
        <v>0.99813589999999996</v>
      </c>
      <c r="S8666">
        <v>5.2337649999999999E-2</v>
      </c>
      <c r="T8666">
        <v>-0.2091768</v>
      </c>
      <c r="U8666">
        <v>3.0162049999999998</v>
      </c>
      <c r="V8666">
        <v>1.1023760000000001E-2</v>
      </c>
      <c r="W8666">
        <v>6.5891489999999997E-2</v>
      </c>
      <c r="X8666">
        <v>0.99776589999999998</v>
      </c>
      <c r="Y8666">
        <v>4.3413710000000001E-3</v>
      </c>
      <c r="Z8666">
        <v>-6.9170599999999999E-2</v>
      </c>
      <c r="AA8666">
        <v>0.99759540000000002</v>
      </c>
      <c r="AB8666">
        <v>29</v>
      </c>
      <c r="AC8666">
        <v>0.27379999999999399</v>
      </c>
      <c r="AD8666">
        <v>-1.109514437167</v>
      </c>
      <c r="AE8666">
        <v>15.723000000000001</v>
      </c>
      <c r="AF8666">
        <v>6.9548905570413003E-2</v>
      </c>
      <c r="AG8666">
        <v>-1.109514437167</v>
      </c>
      <c r="AH8666">
        <v>15.647334501224</v>
      </c>
      <c r="AI8666">
        <v>94.0558759919831</v>
      </c>
      <c r="AJ8666">
        <v>89.745334739455899</v>
      </c>
      <c r="AK8666">
        <v>15.6867758424013</v>
      </c>
      <c r="AL8666">
        <v>86.221958505656303</v>
      </c>
      <c r="AM8666">
        <v>89.3669965828296</v>
      </c>
      <c r="AN8666">
        <v>1.0000000014708801</v>
      </c>
    </row>
    <row r="8667" spans="1:40" x14ac:dyDescent="0.25">
      <c r="A8667" t="str">
        <f>"20190312160538467"</f>
        <v>20190312160538467</v>
      </c>
      <c r="B8667" t="str">
        <f>"1552377938454129"</f>
        <v>1552377938454129</v>
      </c>
      <c r="C8667" t="s">
        <v>40</v>
      </c>
      <c r="D8667">
        <v>5.1725589999999997</v>
      </c>
      <c r="E8667">
        <v>0.49613429999999997</v>
      </c>
      <c r="F8667" t="s">
        <v>41</v>
      </c>
      <c r="G8667">
        <v>-187.49719999999999</v>
      </c>
      <c r="H8667" s="1">
        <v>-1.402241E-6</v>
      </c>
      <c r="I8667">
        <v>111.8117</v>
      </c>
      <c r="J8667">
        <v>-187.785</v>
      </c>
      <c r="K8667">
        <v>1.109531</v>
      </c>
      <c r="L8667">
        <v>96.502719999999997</v>
      </c>
      <c r="M8667">
        <v>1.3330450000000001E-2</v>
      </c>
      <c r="N8667">
        <v>0</v>
      </c>
      <c r="O8667">
        <v>0.99986209999999998</v>
      </c>
      <c r="P8667">
        <v>2.4278999999999998E-2</v>
      </c>
      <c r="Q8667">
        <v>5.6349209999999997E-2</v>
      </c>
      <c r="R8667">
        <v>0.99811589999999994</v>
      </c>
      <c r="S8667">
        <v>5.6442260000000001E-2</v>
      </c>
      <c r="T8667">
        <v>-0.2144431</v>
      </c>
      <c r="U8667">
        <v>3.0162960000000001</v>
      </c>
      <c r="V8667">
        <v>1.101797E-2</v>
      </c>
      <c r="W8667">
        <v>6.6223110000000002E-2</v>
      </c>
      <c r="X8667">
        <v>0.99774399999999996</v>
      </c>
      <c r="Y8667">
        <v>5.3316489999999999E-3</v>
      </c>
      <c r="Z8667">
        <v>-7.0899729999999994E-2</v>
      </c>
      <c r="AA8667">
        <v>0.99746919999999994</v>
      </c>
      <c r="AB8667">
        <v>29</v>
      </c>
      <c r="AC8667">
        <v>0.287800000000004</v>
      </c>
      <c r="AD8667">
        <v>-1.109532402241</v>
      </c>
      <c r="AE8667">
        <v>15.30898</v>
      </c>
      <c r="AF8667">
        <v>8.3251677647354999E-2</v>
      </c>
      <c r="AG8667">
        <v>-1.109532402241</v>
      </c>
      <c r="AH8667">
        <v>15.231477276152701</v>
      </c>
      <c r="AI8667">
        <v>94.166272946932807</v>
      </c>
      <c r="AJ8667">
        <v>89.686837843719701</v>
      </c>
      <c r="AK8667">
        <v>15.2720625001147</v>
      </c>
      <c r="AL8667">
        <v>86.202916455046207</v>
      </c>
      <c r="AM8667">
        <v>89.3673151419448</v>
      </c>
      <c r="AN8667">
        <v>0.99999999274849605</v>
      </c>
    </row>
    <row r="8668" spans="1:40" x14ac:dyDescent="0.25">
      <c r="A8668" t="str">
        <f>"20190312160538491"</f>
        <v>20190312160538491</v>
      </c>
      <c r="B8668" t="str">
        <f>"1552377938484386"</f>
        <v>1552377938484386</v>
      </c>
      <c r="C8668" t="s">
        <v>40</v>
      </c>
      <c r="D8668">
        <v>5.2437870000000002</v>
      </c>
      <c r="E8668">
        <v>0.49646010000000002</v>
      </c>
      <c r="F8668" t="s">
        <v>41</v>
      </c>
      <c r="G8668">
        <v>-187.4769</v>
      </c>
      <c r="H8668" s="1">
        <v>-1.5045989999999999E-6</v>
      </c>
      <c r="I8668">
        <v>112.0966</v>
      </c>
      <c r="J8668">
        <v>-187.78049999999999</v>
      </c>
      <c r="K8668">
        <v>1.10954</v>
      </c>
      <c r="L8668">
        <v>96.805449999999993</v>
      </c>
      <c r="M8668">
        <v>1.3709320000000001E-2</v>
      </c>
      <c r="N8668">
        <v>0</v>
      </c>
      <c r="O8668">
        <v>0.99985550000000001</v>
      </c>
      <c r="P8668">
        <v>2.4587649999999999E-2</v>
      </c>
      <c r="Q8668">
        <v>5.6713399999999997E-2</v>
      </c>
      <c r="R8668">
        <v>0.99808770000000002</v>
      </c>
      <c r="S8668">
        <v>5.960083E-2</v>
      </c>
      <c r="T8668">
        <v>-0.2146168</v>
      </c>
      <c r="U8668">
        <v>3.016327</v>
      </c>
      <c r="V8668">
        <v>1.094998E-2</v>
      </c>
      <c r="W8668">
        <v>6.6734109999999999E-2</v>
      </c>
      <c r="X8668">
        <v>0.99771069999999995</v>
      </c>
      <c r="Y8668">
        <v>5.9965560000000001E-3</v>
      </c>
      <c r="Z8668">
        <v>-7.0954749999999997E-2</v>
      </c>
      <c r="AA8668">
        <v>0.9974615</v>
      </c>
      <c r="AB8668">
        <v>29</v>
      </c>
      <c r="AC8668">
        <v>0.30359999999998799</v>
      </c>
      <c r="AD8668">
        <v>-1.109541504599</v>
      </c>
      <c r="AE8668">
        <v>15.29115</v>
      </c>
      <c r="AF8668">
        <v>9.34378405029722E-2</v>
      </c>
      <c r="AG8668">
        <v>-1.109541504599</v>
      </c>
      <c r="AH8668">
        <v>15.2138045242767</v>
      </c>
      <c r="AI8668">
        <v>94.171113321375501</v>
      </c>
      <c r="AJ8668">
        <v>89.648113883126996</v>
      </c>
      <c r="AK8668">
        <v>15.254496421821599</v>
      </c>
      <c r="AL8668">
        <v>86.173573397836606</v>
      </c>
      <c r="AM8668">
        <v>89.371198032310105</v>
      </c>
      <c r="AN8668">
        <v>0.99999999219699098</v>
      </c>
    </row>
    <row r="8669" spans="1:40" x14ac:dyDescent="0.25">
      <c r="A8669" t="str">
        <f>"20190312160538513"</f>
        <v>20190312160538513</v>
      </c>
      <c r="B8669" t="str">
        <f>"1552377938503905"</f>
        <v>1552377938503905</v>
      </c>
      <c r="C8669" t="s">
        <v>40</v>
      </c>
      <c r="D8669">
        <v>5.4641970000000004</v>
      </c>
      <c r="E8669">
        <v>0.49666890000000002</v>
      </c>
      <c r="F8669" t="s">
        <v>49</v>
      </c>
      <c r="G8669">
        <v>-187.7604</v>
      </c>
      <c r="H8669">
        <v>1.041534</v>
      </c>
      <c r="I8669">
        <v>97.755300000000005</v>
      </c>
      <c r="J8669">
        <v>-187.77600000000001</v>
      </c>
      <c r="K8669">
        <v>1.109558</v>
      </c>
      <c r="L8669">
        <v>97.103939999999994</v>
      </c>
      <c r="M8669">
        <v>1.409386E-2</v>
      </c>
      <c r="N8669">
        <v>0</v>
      </c>
      <c r="O8669">
        <v>0.99984859999999998</v>
      </c>
      <c r="P8669">
        <v>2.4912199999999999E-2</v>
      </c>
      <c r="Q8669">
        <v>5.6759579999999997E-2</v>
      </c>
      <c r="R8669">
        <v>0.99807699999999999</v>
      </c>
      <c r="S8669">
        <v>6.3415529999999998E-2</v>
      </c>
      <c r="T8669">
        <v>-0.21600159999999999</v>
      </c>
      <c r="U8669">
        <v>3.0164490000000002</v>
      </c>
      <c r="V8669">
        <v>1.0892209999999999E-2</v>
      </c>
      <c r="W8669">
        <v>6.6934880000000002E-2</v>
      </c>
      <c r="X8669">
        <v>0.99769790000000003</v>
      </c>
      <c r="Y8669">
        <v>6.8713639999999996E-3</v>
      </c>
      <c r="Z8669">
        <v>-7.1405689999999994E-2</v>
      </c>
      <c r="AA8669">
        <v>0.99742370000000002</v>
      </c>
      <c r="AB8669">
        <v>29</v>
      </c>
      <c r="AC8669">
        <v>1.55999999999778E-2</v>
      </c>
      <c r="AD8669">
        <v>-6.8024000000000001E-2</v>
      </c>
      <c r="AE8669">
        <v>0.65135999999999605</v>
      </c>
      <c r="AF8669">
        <v>6.3485949536165901E-3</v>
      </c>
      <c r="AG8669">
        <v>-6.8024000000000001E-2</v>
      </c>
      <c r="AH8669">
        <v>0.64449012412788498</v>
      </c>
      <c r="AI8669">
        <v>96.024800141384105</v>
      </c>
      <c r="AJ8669">
        <v>89.435622178706396</v>
      </c>
      <c r="AK8669">
        <v>0.64810114128294904</v>
      </c>
      <c r="AL8669">
        <v>86.162044410692303</v>
      </c>
      <c r="AM8669">
        <v>89.374507182909895</v>
      </c>
      <c r="AN8669">
        <v>1.0000000090318499</v>
      </c>
    </row>
    <row r="8670" spans="1:40" x14ac:dyDescent="0.25">
      <c r="A8670" t="str">
        <f>"20190312160538536"</f>
        <v>20190312160538536</v>
      </c>
      <c r="B8670" t="str">
        <f>"1552377938523425"</f>
        <v>1552377938523425</v>
      </c>
      <c r="C8670" t="s">
        <v>40</v>
      </c>
      <c r="D8670">
        <v>5.297587</v>
      </c>
      <c r="E8670">
        <v>0.49685000000000001</v>
      </c>
      <c r="F8670" t="s">
        <v>49</v>
      </c>
      <c r="G8670">
        <v>-187.7559</v>
      </c>
      <c r="H8670">
        <v>1.044341</v>
      </c>
      <c r="I8670">
        <v>98.016459999999995</v>
      </c>
      <c r="J8670">
        <v>-187.77160000000001</v>
      </c>
      <c r="K8670">
        <v>1.1095680000000001</v>
      </c>
      <c r="L8670">
        <v>97.385379999999998</v>
      </c>
      <c r="M8670">
        <v>1.4466049999999999E-2</v>
      </c>
      <c r="N8670">
        <v>0</v>
      </c>
      <c r="O8670">
        <v>0.9998418</v>
      </c>
      <c r="P8670">
        <v>2.5427729999999999E-2</v>
      </c>
      <c r="Q8670">
        <v>5.6474379999999998E-2</v>
      </c>
      <c r="R8670">
        <v>0.99808019999999997</v>
      </c>
      <c r="S8670">
        <v>6.6055299999999997E-2</v>
      </c>
      <c r="T8670">
        <v>-0.2156053</v>
      </c>
      <c r="U8670">
        <v>3.0164179999999998</v>
      </c>
      <c r="V8670">
        <v>1.1037409999999999E-2</v>
      </c>
      <c r="W8670">
        <v>6.6795480000000004E-2</v>
      </c>
      <c r="X8670">
        <v>0.99770559999999997</v>
      </c>
      <c r="Y8670">
        <v>7.3719989999999997E-3</v>
      </c>
      <c r="Z8670">
        <v>-7.1274710000000005E-2</v>
      </c>
      <c r="AA8670">
        <v>0.99742949999999997</v>
      </c>
      <c r="AB8670">
        <v>29</v>
      </c>
      <c r="AC8670">
        <v>1.5700000000009501E-2</v>
      </c>
      <c r="AD8670">
        <v>-6.5227000000000104E-2</v>
      </c>
      <c r="AE8670">
        <v>0.63107999999999698</v>
      </c>
      <c r="AF8670">
        <v>6.4992458739668198E-3</v>
      </c>
      <c r="AG8670">
        <v>-6.5227000000000104E-2</v>
      </c>
      <c r="AH8670">
        <v>0.62457301155691702</v>
      </c>
      <c r="AI8670">
        <v>95.9617258937364</v>
      </c>
      <c r="AJ8670">
        <v>89.403807222184795</v>
      </c>
      <c r="AK8670">
        <v>0.62800338254758403</v>
      </c>
      <c r="AL8670">
        <v>86.170049178415297</v>
      </c>
      <c r="AM8670">
        <v>89.366174537925602</v>
      </c>
      <c r="AN8670">
        <v>0.99999996241964795</v>
      </c>
    </row>
    <row r="8671" spans="1:40" x14ac:dyDescent="0.25">
      <c r="A8671" t="str">
        <f>"20190312160538557"</f>
        <v>20190312160538557</v>
      </c>
      <c r="B8671" t="str">
        <f>"1552377938553681"</f>
        <v>1552377938553681</v>
      </c>
      <c r="C8671" t="s">
        <v>40</v>
      </c>
      <c r="D8671">
        <v>5.404128</v>
      </c>
      <c r="E8671">
        <v>0.497085</v>
      </c>
      <c r="F8671" t="s">
        <v>49</v>
      </c>
      <c r="G8671">
        <v>-187.75110000000001</v>
      </c>
      <c r="H8671">
        <v>1.0449409999999999</v>
      </c>
      <c r="I8671">
        <v>98.275679999999994</v>
      </c>
      <c r="J8671">
        <v>-187.767</v>
      </c>
      <c r="K8671">
        <v>1.1095759999999999</v>
      </c>
      <c r="L8671">
        <v>97.672880000000006</v>
      </c>
      <c r="M8671">
        <v>1.486148E-2</v>
      </c>
      <c r="N8671">
        <v>0</v>
      </c>
      <c r="O8671">
        <v>0.99983440000000001</v>
      </c>
      <c r="P8671">
        <v>2.58169E-2</v>
      </c>
      <c r="Q8671">
        <v>5.6189120000000002E-2</v>
      </c>
      <c r="R8671">
        <v>0.99808629999999998</v>
      </c>
      <c r="S8671">
        <v>6.8984989999999996E-2</v>
      </c>
      <c r="T8671">
        <v>-0.2189933</v>
      </c>
      <c r="U8671">
        <v>3.0163880000000001</v>
      </c>
      <c r="V8671">
        <v>1.1033350000000001E-2</v>
      </c>
      <c r="W8671">
        <v>6.6667019999999994E-2</v>
      </c>
      <c r="X8671">
        <v>0.99771430000000005</v>
      </c>
      <c r="Y8671">
        <v>7.943159E-3</v>
      </c>
      <c r="Z8671">
        <v>-7.2388069999999999E-2</v>
      </c>
      <c r="AA8671">
        <v>0.99734489999999998</v>
      </c>
      <c r="AB8671">
        <v>29</v>
      </c>
      <c r="AC8671">
        <v>1.5899999999987799E-2</v>
      </c>
      <c r="AD8671">
        <v>-6.4635000000000206E-2</v>
      </c>
      <c r="AE8671">
        <v>0.602800000000002</v>
      </c>
      <c r="AF8671">
        <v>6.8604292260619204E-3</v>
      </c>
      <c r="AG8671">
        <v>-6.4635000000000206E-2</v>
      </c>
      <c r="AH8671">
        <v>0.59612082438912695</v>
      </c>
      <c r="AI8671">
        <v>96.187771690071301</v>
      </c>
      <c r="AJ8671">
        <v>89.340643251977994</v>
      </c>
      <c r="AK8671">
        <v>0.59965388849280299</v>
      </c>
      <c r="AL8671">
        <v>86.177426078301394</v>
      </c>
      <c r="AM8671">
        <v>89.3664131896534</v>
      </c>
      <c r="AN8671">
        <v>1.00000002539619</v>
      </c>
    </row>
    <row r="8672" spans="1:40" x14ac:dyDescent="0.25">
      <c r="A8672" t="str">
        <f>"20190312160538579"</f>
        <v>20190312160538579</v>
      </c>
      <c r="B8672" t="str">
        <f>"1552377938574178"</f>
        <v>1552377938574178</v>
      </c>
      <c r="C8672" t="s">
        <v>40</v>
      </c>
      <c r="D8672">
        <v>5.3143229999999999</v>
      </c>
      <c r="E8672">
        <v>0.49886140000000001</v>
      </c>
      <c r="F8672" t="s">
        <v>49</v>
      </c>
      <c r="G8672">
        <v>-187.74610000000001</v>
      </c>
      <c r="H8672">
        <v>1.0458620000000001</v>
      </c>
      <c r="I8672">
        <v>98.543530000000004</v>
      </c>
      <c r="J8672">
        <v>-187.76259999999999</v>
      </c>
      <c r="K8672">
        <v>1.1095839999999999</v>
      </c>
      <c r="L8672">
        <v>97.943269999999998</v>
      </c>
      <c r="M8672">
        <v>1.525059E-2</v>
      </c>
      <c r="N8672">
        <v>0</v>
      </c>
      <c r="O8672">
        <v>0.99982669999999996</v>
      </c>
      <c r="P8672">
        <v>2.6277749999999999E-2</v>
      </c>
      <c r="Q8672">
        <v>5.6367529999999999E-2</v>
      </c>
      <c r="R8672">
        <v>0.99806419999999996</v>
      </c>
      <c r="S8672">
        <v>7.2143550000000001E-2</v>
      </c>
      <c r="T8672">
        <v>-0.22073960000000001</v>
      </c>
      <c r="U8672">
        <v>3.016327</v>
      </c>
      <c r="V8672">
        <v>1.1108430000000001E-2</v>
      </c>
      <c r="W8672">
        <v>6.7011479999999998E-2</v>
      </c>
      <c r="X8672">
        <v>0.99769039999999998</v>
      </c>
      <c r="Y8672">
        <v>8.5972329999999993E-3</v>
      </c>
      <c r="Z8672">
        <v>-7.2961970000000001E-2</v>
      </c>
      <c r="AA8672">
        <v>0.99729760000000001</v>
      </c>
      <c r="AB8672">
        <v>29</v>
      </c>
      <c r="AC8672">
        <v>1.6499999999979299E-2</v>
      </c>
      <c r="AD8672">
        <v>-6.3721999999999807E-2</v>
      </c>
      <c r="AE8672">
        <v>0.60026000000000501</v>
      </c>
      <c r="AF8672">
        <v>7.2614694676320299E-3</v>
      </c>
      <c r="AG8672">
        <v>-6.3721999999999807E-2</v>
      </c>
      <c r="AH8672">
        <v>0.59375562748055</v>
      </c>
      <c r="AI8672">
        <v>96.125097104963501</v>
      </c>
      <c r="AJ8672">
        <v>89.299323166394402</v>
      </c>
      <c r="AK8672">
        <v>0.59720931622643902</v>
      </c>
      <c r="AL8672">
        <v>86.157645777656796</v>
      </c>
      <c r="AM8672">
        <v>89.362086818475504</v>
      </c>
      <c r="AN8672">
        <v>1.0000000349605001</v>
      </c>
    </row>
    <row r="8673" spans="1:40" x14ac:dyDescent="0.25">
      <c r="A8673" t="str">
        <f>"20190312160538601"</f>
        <v>20190312160538601</v>
      </c>
      <c r="B8673" t="str">
        <f>"1552377938593696"</f>
        <v>1552377938593696</v>
      </c>
      <c r="C8673" t="s">
        <v>40</v>
      </c>
      <c r="D8673">
        <v>5.2992140000000001</v>
      </c>
      <c r="E8673">
        <v>0.57327059999999996</v>
      </c>
      <c r="F8673" t="s">
        <v>41</v>
      </c>
      <c r="G8673">
        <v>-187.29660000000001</v>
      </c>
      <c r="H8673" s="1">
        <v>-2.372625E-6</v>
      </c>
      <c r="I8673">
        <v>114.04559999999999</v>
      </c>
      <c r="J8673">
        <v>-187.75749999999999</v>
      </c>
      <c r="K8673">
        <v>1.10959599999999</v>
      </c>
      <c r="L8673">
        <v>98.242220000000003</v>
      </c>
      <c r="M8673">
        <v>1.5695460000000001E-2</v>
      </c>
      <c r="N8673">
        <v>0</v>
      </c>
      <c r="O8673">
        <v>0.99981759999999997</v>
      </c>
      <c r="P8673">
        <v>2.6509410000000001E-2</v>
      </c>
      <c r="Q8673">
        <v>5.6104250000000001E-2</v>
      </c>
      <c r="R8673">
        <v>0.99807290000000004</v>
      </c>
      <c r="S8673">
        <v>8.7249759999999996E-2</v>
      </c>
      <c r="T8673">
        <v>-0.20777660000000001</v>
      </c>
      <c r="U8673">
        <v>3.0152589999999999</v>
      </c>
      <c r="V8673">
        <v>1.0898619999999999E-2</v>
      </c>
      <c r="W8673">
        <v>6.6957710000000004E-2</v>
      </c>
      <c r="X8673">
        <v>0.99769629999999998</v>
      </c>
      <c r="Y8673">
        <v>1.3162210000000001E-2</v>
      </c>
      <c r="Z8673">
        <v>-6.8715410000000005E-2</v>
      </c>
      <c r="AA8673">
        <v>0.99754949999999998</v>
      </c>
      <c r="AB8673">
        <v>29</v>
      </c>
      <c r="AC8673">
        <v>0.46089999999998099</v>
      </c>
      <c r="AD8673">
        <v>-1.1095983726249901</v>
      </c>
      <c r="AE8673">
        <v>15.803380000000001</v>
      </c>
      <c r="AF8673">
        <v>0.21174423733813399</v>
      </c>
      <c r="AG8673">
        <v>-1.1095983726249901</v>
      </c>
      <c r="AH8673">
        <v>15.7311814629527</v>
      </c>
      <c r="AI8673">
        <v>94.034309483041596</v>
      </c>
      <c r="AJ8673">
        <v>89.228836145249701</v>
      </c>
      <c r="AK8673">
        <v>15.771687113017601</v>
      </c>
      <c r="AL8673">
        <v>86.160733414263106</v>
      </c>
      <c r="AM8673">
        <v>89.374138109814993</v>
      </c>
      <c r="AN8673">
        <v>1.00000001094001</v>
      </c>
    </row>
    <row r="8674" spans="1:40" x14ac:dyDescent="0.25">
      <c r="A8674" t="str">
        <f>"20190312160538623"</f>
        <v>20190312160538623</v>
      </c>
      <c r="B8674" t="str">
        <f>"1552377938614197"</f>
        <v>1552377938614197</v>
      </c>
      <c r="C8674" t="s">
        <v>40</v>
      </c>
      <c r="D8674">
        <v>5.2281370000000003</v>
      </c>
      <c r="E8674">
        <v>0.57564859999999995</v>
      </c>
      <c r="F8674" t="s">
        <v>95</v>
      </c>
      <c r="G8674">
        <v>-172.59889999999999</v>
      </c>
      <c r="H8674">
        <v>5.1948800000000004</v>
      </c>
      <c r="I8674">
        <v>166.24879999999999</v>
      </c>
      <c r="J8674">
        <v>-187.75239999999999</v>
      </c>
      <c r="K8674">
        <v>1.109612</v>
      </c>
      <c r="L8674">
        <v>98.532200000000003</v>
      </c>
      <c r="M8674">
        <v>1.6147350000000001E-2</v>
      </c>
      <c r="N8674">
        <v>0</v>
      </c>
      <c r="O8674">
        <v>0.99980780000000002</v>
      </c>
      <c r="P8674">
        <v>2.6768050000000002E-2</v>
      </c>
      <c r="Q8674">
        <v>5.5916220000000003E-2</v>
      </c>
      <c r="R8674">
        <v>0.99807659999999998</v>
      </c>
      <c r="S8674">
        <v>0.66381840000000003</v>
      </c>
      <c r="T8674">
        <v>0.17890130000000001</v>
      </c>
      <c r="U8674">
        <v>2.978119</v>
      </c>
      <c r="V8674">
        <v>1.070864E-2</v>
      </c>
      <c r="W8674">
        <v>6.6999110000000001E-2</v>
      </c>
      <c r="X8674">
        <v>0.99769560000000002</v>
      </c>
      <c r="Y8674">
        <v>0.20139560000000001</v>
      </c>
      <c r="Z8674">
        <v>5.862113E-2</v>
      </c>
      <c r="AA8674">
        <v>0.97775420000000002</v>
      </c>
      <c r="AB8674">
        <v>29</v>
      </c>
      <c r="AC8674">
        <v>15.153499999999999</v>
      </c>
      <c r="AD8674">
        <v>4.0852680000000001</v>
      </c>
      <c r="AE8674">
        <v>67.7165999999999</v>
      </c>
      <c r="AF8674">
        <v>14.009455939298499</v>
      </c>
      <c r="AG8674">
        <v>4.0852680000000001</v>
      </c>
      <c r="AH8674">
        <v>67.7177637798615</v>
      </c>
      <c r="AI8674">
        <v>86.619073577926102</v>
      </c>
      <c r="AJ8674">
        <v>78.311536211572701</v>
      </c>
      <c r="AK8674">
        <v>69.272287400461195</v>
      </c>
      <c r="AL8674">
        <v>86.158356115241105</v>
      </c>
      <c r="AM8674">
        <v>89.385046585184099</v>
      </c>
      <c r="AN8674">
        <v>1.0000000329854</v>
      </c>
    </row>
    <row r="8675" spans="1:40" x14ac:dyDescent="0.25">
      <c r="A8675" t="str">
        <f>"20190312160538645"</f>
        <v>20190312160538645</v>
      </c>
      <c r="B8675" t="str">
        <f>"1552377938633713"</f>
        <v>1552377938633713</v>
      </c>
      <c r="C8675" t="s">
        <v>40</v>
      </c>
      <c r="D8675">
        <v>5.2512420000000004</v>
      </c>
      <c r="E8675">
        <v>0.57733219999999996</v>
      </c>
      <c r="F8675" t="s">
        <v>95</v>
      </c>
      <c r="G8675">
        <v>-172.2773</v>
      </c>
      <c r="H8675">
        <v>5.4096929999999999</v>
      </c>
      <c r="I8675">
        <v>165.97730000000001</v>
      </c>
      <c r="J8675">
        <v>-187.7474</v>
      </c>
      <c r="K8675">
        <v>1.1096429999999999</v>
      </c>
      <c r="L8675">
        <v>98.809139999999999</v>
      </c>
      <c r="M8675">
        <v>1.6609479999999999E-2</v>
      </c>
      <c r="N8675">
        <v>0</v>
      </c>
      <c r="O8675">
        <v>0.99979759999999995</v>
      </c>
      <c r="P8675">
        <v>2.731273E-2</v>
      </c>
      <c r="Q8675">
        <v>5.5839560000000003E-2</v>
      </c>
      <c r="R8675">
        <v>0.99806609999999996</v>
      </c>
      <c r="S8675">
        <v>0.683029199999999</v>
      </c>
      <c r="T8675">
        <v>0.18979360000000001</v>
      </c>
      <c r="U8675">
        <v>2.9768370000000002</v>
      </c>
      <c r="V8675">
        <v>1.0794120000000001E-2</v>
      </c>
      <c r="W8675">
        <v>6.7158480000000007E-2</v>
      </c>
      <c r="X8675">
        <v>0.99768389999999996</v>
      </c>
      <c r="Y8675">
        <v>0.20698430000000001</v>
      </c>
      <c r="Z8675">
        <v>6.2121709999999997E-2</v>
      </c>
      <c r="AA8675">
        <v>0.97636999999999996</v>
      </c>
      <c r="AB8675">
        <v>29</v>
      </c>
      <c r="AC8675">
        <v>15.4701</v>
      </c>
      <c r="AD8675">
        <v>4.3000499999999997</v>
      </c>
      <c r="AE8675">
        <v>67.16816</v>
      </c>
      <c r="AF8675">
        <v>14.296623155998001</v>
      </c>
      <c r="AG8675">
        <v>4.3000499999999997</v>
      </c>
      <c r="AH8675">
        <v>67.154494989285197</v>
      </c>
      <c r="AI8675">
        <v>86.416321983904595</v>
      </c>
      <c r="AJ8675">
        <v>77.981638632774803</v>
      </c>
      <c r="AK8675">
        <v>68.7939682016749</v>
      </c>
      <c r="AL8675">
        <v>86.149204029030003</v>
      </c>
      <c r="AM8675">
        <v>89.380130931100197</v>
      </c>
      <c r="AN8675">
        <v>0.99999996939084601</v>
      </c>
    </row>
    <row r="8676" spans="1:40" x14ac:dyDescent="0.25">
      <c r="A8676" t="str">
        <f>"20190312160538667"</f>
        <v>20190312160538667</v>
      </c>
      <c r="B8676" t="str">
        <f>"1552377938663969"</f>
        <v>1552377938663969</v>
      </c>
      <c r="C8676" t="s">
        <v>40</v>
      </c>
      <c r="D8676">
        <v>5.1903439999999996</v>
      </c>
      <c r="E8676">
        <v>0.59128840000000005</v>
      </c>
      <c r="F8676" t="s">
        <v>95</v>
      </c>
      <c r="G8676">
        <v>-172.04249999999999</v>
      </c>
      <c r="H8676">
        <v>5.4510360000000002</v>
      </c>
      <c r="I8676">
        <v>165.7791</v>
      </c>
      <c r="J8676">
        <v>-187.74209999999999</v>
      </c>
      <c r="K8676">
        <v>1.1096680000000001</v>
      </c>
      <c r="L8676">
        <v>99.096710000000002</v>
      </c>
      <c r="M8676">
        <v>1.712319E-2</v>
      </c>
      <c r="N8676">
        <v>0</v>
      </c>
      <c r="O8676">
        <v>0.99978599999999995</v>
      </c>
      <c r="P8676">
        <v>2.7834020000000001E-2</v>
      </c>
      <c r="Q8676">
        <v>5.6956899999999998E-2</v>
      </c>
      <c r="R8676">
        <v>0.9979886</v>
      </c>
      <c r="S8676">
        <v>0.69787600000000005</v>
      </c>
      <c r="T8676">
        <v>0.19291710000000001</v>
      </c>
      <c r="U8676">
        <v>2.9759220000000002</v>
      </c>
      <c r="V8676">
        <v>1.0807199999999999E-2</v>
      </c>
      <c r="W8676">
        <v>6.8528140000000001E-2</v>
      </c>
      <c r="X8676">
        <v>0.99759070000000005</v>
      </c>
      <c r="Y8676">
        <v>0.21115349999999999</v>
      </c>
      <c r="Z8676">
        <v>6.3094540000000005E-2</v>
      </c>
      <c r="AA8676">
        <v>0.97541440000000001</v>
      </c>
      <c r="AB8676">
        <v>29</v>
      </c>
      <c r="AC8676">
        <v>15.6996</v>
      </c>
      <c r="AD8676">
        <v>4.3413680000000001</v>
      </c>
      <c r="AE8676">
        <v>66.682389999999998</v>
      </c>
      <c r="AF8676">
        <v>14.497184099808599</v>
      </c>
      <c r="AG8676">
        <v>4.3413680000000001</v>
      </c>
      <c r="AH8676">
        <v>66.673691554627894</v>
      </c>
      <c r="AI8676">
        <v>86.359351750893694</v>
      </c>
      <c r="AJ8676">
        <v>77.732843919315599</v>
      </c>
      <c r="AK8676">
        <v>68.369561710287599</v>
      </c>
      <c r="AL8676">
        <v>86.070547386010304</v>
      </c>
      <c r="AM8676">
        <v>89.379321873589703</v>
      </c>
      <c r="AN8676">
        <v>1.0000000531350901</v>
      </c>
    </row>
    <row r="8677" spans="1:40" x14ac:dyDescent="0.25">
      <c r="A8677" t="str">
        <f>"20190312160538690"</f>
        <v>20190312160538690</v>
      </c>
      <c r="B8677" t="str">
        <f>"1552377938683489"</f>
        <v>1552377938683489</v>
      </c>
      <c r="C8677" t="s">
        <v>40</v>
      </c>
      <c r="D8677">
        <v>5.2151399999999999</v>
      </c>
      <c r="E8677">
        <v>0.59281689999999998</v>
      </c>
      <c r="F8677" t="s">
        <v>55</v>
      </c>
      <c r="G8677">
        <v>-167.65029999999999</v>
      </c>
      <c r="H8677">
        <v>0.85489850000000001</v>
      </c>
      <c r="I8677">
        <v>172.18700000000001</v>
      </c>
      <c r="J8677">
        <v>-187.7364</v>
      </c>
      <c r="K8677">
        <v>1.109694</v>
      </c>
      <c r="L8677">
        <v>99.39255</v>
      </c>
      <c r="M8677">
        <v>1.7683870000000001E-2</v>
      </c>
      <c r="N8677">
        <v>0</v>
      </c>
      <c r="O8677">
        <v>0.99977320000000003</v>
      </c>
      <c r="P8677">
        <v>2.829767E-2</v>
      </c>
      <c r="Q8677">
        <v>5.7361990000000002E-2</v>
      </c>
      <c r="R8677">
        <v>0.99795230000000001</v>
      </c>
      <c r="S8677">
        <v>0.82020569999999904</v>
      </c>
      <c r="T8677">
        <v>-1.03991E-2</v>
      </c>
      <c r="U8677">
        <v>2.983765</v>
      </c>
      <c r="V8677">
        <v>1.071516E-2</v>
      </c>
      <c r="W8677">
        <v>6.9195549999999995E-2</v>
      </c>
      <c r="X8677">
        <v>0.99754549999999997</v>
      </c>
      <c r="Y8677">
        <v>0.24796199999999999</v>
      </c>
      <c r="Z8677">
        <v>-3.3675129999999999E-3</v>
      </c>
      <c r="AA8677">
        <v>0.96876390000000001</v>
      </c>
      <c r="AB8677">
        <v>29</v>
      </c>
      <c r="AC8677">
        <v>20.086099999999998</v>
      </c>
      <c r="AD8677">
        <v>-0.25479549999999901</v>
      </c>
      <c r="AE8677">
        <v>72.794449999999998</v>
      </c>
      <c r="AF8677">
        <v>18.795366434279799</v>
      </c>
      <c r="AG8677">
        <v>-0.25479549999999901</v>
      </c>
      <c r="AH8677">
        <v>73.137457744559796</v>
      </c>
      <c r="AI8677">
        <v>90.193323953802903</v>
      </c>
      <c r="AJ8677">
        <v>75.587610216846002</v>
      </c>
      <c r="AK8677">
        <v>75.514359200637699</v>
      </c>
      <c r="AL8677">
        <v>86.032216139102502</v>
      </c>
      <c r="AM8677">
        <v>89.384579616180105</v>
      </c>
      <c r="AN8677">
        <v>0.99999993168193602</v>
      </c>
    </row>
    <row r="8678" spans="1:40" x14ac:dyDescent="0.25">
      <c r="A8678" t="str">
        <f>"20190312160538712"</f>
        <v>20190312160538712</v>
      </c>
      <c r="B8678" t="str">
        <f>"1552377938703989"</f>
        <v>1552377938703989</v>
      </c>
      <c r="C8678" t="s">
        <v>40</v>
      </c>
      <c r="D8678">
        <v>5.3321379999999996</v>
      </c>
      <c r="E8678">
        <v>0.59290949999999998</v>
      </c>
      <c r="F8678" t="s">
        <v>55</v>
      </c>
      <c r="G8678">
        <v>-167.4419</v>
      </c>
      <c r="H8678">
        <v>0.60573580000000005</v>
      </c>
      <c r="I8678">
        <v>171.97900000000001</v>
      </c>
      <c r="J8678">
        <v>-187.73079999999999</v>
      </c>
      <c r="K8678">
        <v>1.1097079999999999</v>
      </c>
      <c r="L8678">
        <v>99.67474</v>
      </c>
      <c r="M8678">
        <v>1.8238009999999999E-2</v>
      </c>
      <c r="N8678">
        <v>0</v>
      </c>
      <c r="O8678">
        <v>0.99976030000000005</v>
      </c>
      <c r="P8678">
        <v>2.8505929999999999E-2</v>
      </c>
      <c r="Q8678">
        <v>5.7513830000000002E-2</v>
      </c>
      <c r="R8678">
        <v>0.99793770000000004</v>
      </c>
      <c r="S8678">
        <v>0.83421329999999905</v>
      </c>
      <c r="T8678">
        <v>-2.071404E-2</v>
      </c>
      <c r="U8678">
        <v>2.9837039999999999</v>
      </c>
      <c r="V8678">
        <v>1.0373820000000001E-2</v>
      </c>
      <c r="W8678">
        <v>6.9587999999999997E-2</v>
      </c>
      <c r="X8678">
        <v>0.99752189999999996</v>
      </c>
      <c r="Y8678">
        <v>0.25164710000000001</v>
      </c>
      <c r="Z8678">
        <v>-6.7003210000000004E-3</v>
      </c>
      <c r="AA8678">
        <v>0.96779579999999998</v>
      </c>
      <c r="AB8678">
        <v>29</v>
      </c>
      <c r="AC8678">
        <v>20.288899999999899</v>
      </c>
      <c r="AD8678">
        <v>-0.50397219999999898</v>
      </c>
      <c r="AE8678">
        <v>72.304259999999999</v>
      </c>
      <c r="AF8678">
        <v>18.965888195701599</v>
      </c>
      <c r="AG8678">
        <v>-0.50397219999999898</v>
      </c>
      <c r="AH8678">
        <v>72.6590161002987</v>
      </c>
      <c r="AI8678">
        <v>90.384521121326202</v>
      </c>
      <c r="AJ8678">
        <v>75.370737433462494</v>
      </c>
      <c r="AK8678">
        <v>75.09521638356</v>
      </c>
      <c r="AL8678">
        <v>86.009676442299295</v>
      </c>
      <c r="AM8678">
        <v>89.404168793423494</v>
      </c>
      <c r="AN8678">
        <v>1.0000000234324999</v>
      </c>
    </row>
    <row r="8679" spans="1:40" x14ac:dyDescent="0.25">
      <c r="A8679" t="str">
        <f>"20190312160538736"</f>
        <v>20190312160538736</v>
      </c>
      <c r="B8679" t="str">
        <f>"1552377938734242"</f>
        <v>1552377938734242</v>
      </c>
      <c r="C8679" t="s">
        <v>40</v>
      </c>
      <c r="D8679">
        <v>5.2889530000000002</v>
      </c>
      <c r="E8679">
        <v>0.59316469999999999</v>
      </c>
      <c r="F8679" t="s">
        <v>55</v>
      </c>
      <c r="G8679">
        <v>-167.47839999999999</v>
      </c>
      <c r="H8679">
        <v>0.91474719999999998</v>
      </c>
      <c r="I8679">
        <v>172.01519999999999</v>
      </c>
      <c r="J8679">
        <v>-187.72470000000001</v>
      </c>
      <c r="K8679">
        <v>1.1097090000000001</v>
      </c>
      <c r="L8679">
        <v>99.972840000000005</v>
      </c>
      <c r="M8679">
        <v>1.88475E-2</v>
      </c>
      <c r="N8679">
        <v>0</v>
      </c>
      <c r="O8679">
        <v>0.99974609999999997</v>
      </c>
      <c r="P8679">
        <v>2.8777790000000001E-2</v>
      </c>
      <c r="Q8679">
        <v>5.7385499999999999E-2</v>
      </c>
      <c r="R8679">
        <v>0.99793730000000003</v>
      </c>
      <c r="S8679">
        <v>0.83506769999999997</v>
      </c>
      <c r="T8679">
        <v>-8.0374480000000009E-3</v>
      </c>
      <c r="U8679">
        <v>2.9828190000000001</v>
      </c>
      <c r="V8679">
        <v>1.004069E-2</v>
      </c>
      <c r="W8679">
        <v>6.970026E-2</v>
      </c>
      <c r="X8679">
        <v>0.99751749999999995</v>
      </c>
      <c r="Y8679">
        <v>0.2513937</v>
      </c>
      <c r="Z8679">
        <v>-2.6005910000000002E-3</v>
      </c>
      <c r="AA8679">
        <v>0.9678814</v>
      </c>
      <c r="AB8679">
        <v>29</v>
      </c>
      <c r="AC8679">
        <v>20.246300000000002</v>
      </c>
      <c r="AD8679">
        <v>-0.19496179999999999</v>
      </c>
      <c r="AE8679">
        <v>72.042359999999903</v>
      </c>
      <c r="AF8679">
        <v>18.884652992925499</v>
      </c>
      <c r="AG8679">
        <v>-0.19496179999999999</v>
      </c>
      <c r="AH8679">
        <v>72.410690923118807</v>
      </c>
      <c r="AI8679">
        <v>90.149272413762304</v>
      </c>
      <c r="AJ8679">
        <v>75.382898801967897</v>
      </c>
      <c r="AK8679">
        <v>74.8329893077252</v>
      </c>
      <c r="AL8679">
        <v>86.003228878002602</v>
      </c>
      <c r="AM8679">
        <v>89.423298606234695</v>
      </c>
      <c r="AN8679">
        <v>1.0000000522529899</v>
      </c>
    </row>
    <row r="8680" spans="1:40" x14ac:dyDescent="0.25">
      <c r="A8680" t="str">
        <f>"20190312160538758"</f>
        <v>20190312160538758</v>
      </c>
      <c r="B8680" t="str">
        <f>"1552377938753761"</f>
        <v>1552377938753761</v>
      </c>
      <c r="C8680" t="s">
        <v>40</v>
      </c>
      <c r="D8680">
        <v>5.3308350000000004</v>
      </c>
      <c r="E8680">
        <v>0.59336709999999904</v>
      </c>
      <c r="F8680" t="s">
        <v>55</v>
      </c>
      <c r="G8680">
        <v>-167.47989999999999</v>
      </c>
      <c r="H8680">
        <v>0.85252669999999997</v>
      </c>
      <c r="I8680">
        <v>172.01669999999999</v>
      </c>
      <c r="J8680">
        <v>-187.71850000000001</v>
      </c>
      <c r="K8680">
        <v>1.109707</v>
      </c>
      <c r="L8680">
        <v>100.2633</v>
      </c>
      <c r="M8680">
        <v>1.9474089999999999E-2</v>
      </c>
      <c r="N8680">
        <v>0</v>
      </c>
      <c r="O8680">
        <v>0.99973140000000005</v>
      </c>
      <c r="P8680">
        <v>2.9058919999999999E-2</v>
      </c>
      <c r="Q8680">
        <v>5.6808499999999998E-2</v>
      </c>
      <c r="R8680">
        <v>0.99796209999999996</v>
      </c>
      <c r="S8680">
        <v>0.83814999999999995</v>
      </c>
      <c r="T8680">
        <v>-1.064622E-2</v>
      </c>
      <c r="U8680">
        <v>2.982666</v>
      </c>
      <c r="V8680">
        <v>9.6991930000000001E-3</v>
      </c>
      <c r="W8680">
        <v>6.9341120000000006E-2</v>
      </c>
      <c r="X8680">
        <v>0.99754580000000004</v>
      </c>
      <c r="Y8680">
        <v>0.25172640000000002</v>
      </c>
      <c r="Z8680">
        <v>-3.444159E-3</v>
      </c>
      <c r="AA8680">
        <v>0.96779230000000005</v>
      </c>
      <c r="AB8680">
        <v>29</v>
      </c>
      <c r="AC8680">
        <v>20.238600000000002</v>
      </c>
      <c r="AD8680">
        <v>-0.25718029999999997</v>
      </c>
      <c r="AE8680">
        <v>71.7533999999999</v>
      </c>
      <c r="AF8680">
        <v>18.8370947311268</v>
      </c>
      <c r="AG8680">
        <v>-0.25718029999999997</v>
      </c>
      <c r="AH8680">
        <v>72.133091730206203</v>
      </c>
      <c r="AI8680">
        <v>90.197650807219802</v>
      </c>
      <c r="AJ8680">
        <v>75.364426767589293</v>
      </c>
      <c r="AK8680">
        <v>74.552566704135003</v>
      </c>
      <c r="AL8680">
        <v>86.023855559989798</v>
      </c>
      <c r="AM8680">
        <v>89.442927520416404</v>
      </c>
      <c r="AN8680">
        <v>0.99999994418267102</v>
      </c>
    </row>
    <row r="8681" spans="1:40" x14ac:dyDescent="0.25">
      <c r="A8681" t="str">
        <f>"20190312160538780"</f>
        <v>20190312160538780</v>
      </c>
      <c r="B8681" t="str">
        <f>"1552377938774257"</f>
        <v>1552377938774257</v>
      </c>
      <c r="C8681" t="s">
        <v>40</v>
      </c>
      <c r="D8681">
        <v>5.3212979999999996</v>
      </c>
      <c r="E8681">
        <v>0.59371779999999996</v>
      </c>
      <c r="F8681" t="s">
        <v>55</v>
      </c>
      <c r="G8681">
        <v>-167.4941</v>
      </c>
      <c r="H8681">
        <v>0.8637686</v>
      </c>
      <c r="I8681">
        <v>172.0309</v>
      </c>
      <c r="J8681">
        <v>-187.71250000000001</v>
      </c>
      <c r="K8681">
        <v>1.109688</v>
      </c>
      <c r="L8681">
        <v>100.53870000000001</v>
      </c>
      <c r="M8681">
        <v>2.0107010000000002E-2</v>
      </c>
      <c r="N8681">
        <v>0</v>
      </c>
      <c r="O8681">
        <v>0.99971650000000001</v>
      </c>
      <c r="P8681">
        <v>3.019463E-2</v>
      </c>
      <c r="Q8681">
        <v>5.6779570000000001E-2</v>
      </c>
      <c r="R8681">
        <v>0.99792999999999998</v>
      </c>
      <c r="S8681">
        <v>0.8404083</v>
      </c>
      <c r="T8681">
        <v>-1.0218380000000001E-2</v>
      </c>
      <c r="U8681">
        <v>2.9822389999999999</v>
      </c>
      <c r="V8681">
        <v>1.0208129999999999E-2</v>
      </c>
      <c r="W8681">
        <v>6.9498089999999998E-2</v>
      </c>
      <c r="X8681">
        <v>0.99752989999999997</v>
      </c>
      <c r="Y8681">
        <v>0.25182909999999997</v>
      </c>
      <c r="Z8681">
        <v>-3.3057659999999999E-3</v>
      </c>
      <c r="AA8681">
        <v>0.96776609999999996</v>
      </c>
      <c r="AB8681">
        <v>29</v>
      </c>
      <c r="AC8681">
        <v>20.218399999999999</v>
      </c>
      <c r="AD8681">
        <v>-0.24591939999999901</v>
      </c>
      <c r="AE8681">
        <v>71.492199999999997</v>
      </c>
      <c r="AF8681">
        <v>18.776494856185899</v>
      </c>
      <c r="AG8681">
        <v>-0.24591939999999901</v>
      </c>
      <c r="AH8681">
        <v>71.883521405122707</v>
      </c>
      <c r="AI8681">
        <v>90.189649747038999</v>
      </c>
      <c r="AJ8681">
        <v>75.361013940213198</v>
      </c>
      <c r="AK8681">
        <v>74.295746076315893</v>
      </c>
      <c r="AL8681">
        <v>86.014840497658597</v>
      </c>
      <c r="AM8681">
        <v>89.413689404013596</v>
      </c>
      <c r="AN8681">
        <v>1.00000004591287</v>
      </c>
    </row>
    <row r="8682" spans="1:40" x14ac:dyDescent="0.25">
      <c r="A8682" t="str">
        <f>"20190312160538792"</f>
        <v>20190312160538792</v>
      </c>
      <c r="B8682" t="str">
        <f>"1552377938784018"</f>
        <v>1552377938784018</v>
      </c>
      <c r="C8682" t="s">
        <v>40</v>
      </c>
      <c r="D8682">
        <v>5.2837300000000003</v>
      </c>
      <c r="E8682">
        <v>0.59412319999999996</v>
      </c>
      <c r="F8682" t="s">
        <v>55</v>
      </c>
      <c r="G8682">
        <v>-167.4332</v>
      </c>
      <c r="H8682">
        <v>0.90211110000000005</v>
      </c>
      <c r="I8682">
        <v>171.9701</v>
      </c>
      <c r="J8682">
        <v>-187.7089</v>
      </c>
      <c r="K8682">
        <v>1.1096790000000001</v>
      </c>
      <c r="L8682">
        <v>100.6985</v>
      </c>
      <c r="M8682">
        <v>2.049405E-2</v>
      </c>
      <c r="N8682">
        <v>0</v>
      </c>
      <c r="O8682">
        <v>0.99970729999999997</v>
      </c>
      <c r="P8682">
        <v>3.069626E-2</v>
      </c>
      <c r="Q8682">
        <v>5.654315E-2</v>
      </c>
      <c r="R8682">
        <v>0.99792809999999998</v>
      </c>
      <c r="S8682">
        <v>0.84634399999999999</v>
      </c>
      <c r="T8682">
        <v>-8.6617469999999992E-3</v>
      </c>
      <c r="U8682">
        <v>2.9811399999999999</v>
      </c>
      <c r="V8682">
        <v>1.0326159999999999E-2</v>
      </c>
      <c r="W8682">
        <v>6.9361569999999997E-2</v>
      </c>
      <c r="X8682">
        <v>0.99753809999999998</v>
      </c>
      <c r="Y8682">
        <v>0.25333159999999999</v>
      </c>
      <c r="Z8682">
        <v>-2.8018370000000002E-3</v>
      </c>
      <c r="AA8682">
        <v>0.96737550000000005</v>
      </c>
      <c r="AB8682">
        <v>29</v>
      </c>
      <c r="AC8682">
        <v>20.275700000000001</v>
      </c>
      <c r="AD8682">
        <v>-0.2075679</v>
      </c>
      <c r="AE8682">
        <v>71.271600000000007</v>
      </c>
      <c r="AF8682">
        <v>18.810528811530499</v>
      </c>
      <c r="AG8682">
        <v>-0.2075679</v>
      </c>
      <c r="AH8682">
        <v>71.671631870835498</v>
      </c>
      <c r="AI8682">
        <v>90.160497938780495</v>
      </c>
      <c r="AJ8682">
        <v>75.294145123109999</v>
      </c>
      <c r="AK8682">
        <v>74.0992705337313</v>
      </c>
      <c r="AL8682">
        <v>86.022681092200003</v>
      </c>
      <c r="AM8682">
        <v>89.4069156305479</v>
      </c>
      <c r="AN8682">
        <v>0.99999995896240901</v>
      </c>
    </row>
    <row r="8683" spans="1:40" x14ac:dyDescent="0.25">
      <c r="A8683" t="str">
        <f>"20190312160538806"</f>
        <v>20190312160538806</v>
      </c>
      <c r="B8683" t="str">
        <f>"1552377938803537"</f>
        <v>1552377938803537</v>
      </c>
      <c r="C8683" t="s">
        <v>40</v>
      </c>
      <c r="D8683">
        <v>5.3283779999999998</v>
      </c>
      <c r="E8683">
        <v>0.5945203</v>
      </c>
      <c r="F8683" t="s">
        <v>55</v>
      </c>
      <c r="G8683">
        <v>-167.3775</v>
      </c>
      <c r="H8683">
        <v>0.8692493</v>
      </c>
      <c r="I8683">
        <v>171.9144</v>
      </c>
      <c r="J8683">
        <v>-187.70480000000001</v>
      </c>
      <c r="K8683">
        <v>1.1096649999999999</v>
      </c>
      <c r="L8683">
        <v>100.8755</v>
      </c>
      <c r="M8683">
        <v>2.0939559999999999E-2</v>
      </c>
      <c r="N8683">
        <v>0</v>
      </c>
      <c r="O8683">
        <v>0.99969669999999999</v>
      </c>
      <c r="P8683">
        <v>3.1601909999999997E-2</v>
      </c>
      <c r="Q8683">
        <v>5.6440730000000001E-2</v>
      </c>
      <c r="R8683">
        <v>0.99790570000000001</v>
      </c>
      <c r="S8683">
        <v>0.8509369</v>
      </c>
      <c r="T8683">
        <v>-1.006138E-2</v>
      </c>
      <c r="U8683">
        <v>2.9806210000000002</v>
      </c>
      <c r="V8683">
        <v>1.079103E-2</v>
      </c>
      <c r="W8683">
        <v>6.9362999999999994E-2</v>
      </c>
      <c r="X8683">
        <v>0.99753309999999995</v>
      </c>
      <c r="Y8683">
        <v>0.25432310000000002</v>
      </c>
      <c r="Z8683">
        <v>-3.253971E-3</v>
      </c>
      <c r="AA8683">
        <v>0.96711389999999997</v>
      </c>
      <c r="AB8683">
        <v>29</v>
      </c>
      <c r="AC8683">
        <v>20.327300000000001</v>
      </c>
      <c r="AD8683">
        <v>-0.24041569999999901</v>
      </c>
      <c r="AE8683">
        <v>71.038899999999998</v>
      </c>
      <c r="AF8683">
        <v>18.8349946493991</v>
      </c>
      <c r="AG8683">
        <v>-0.24041569999999901</v>
      </c>
      <c r="AH8683">
        <v>71.448245727065697</v>
      </c>
      <c r="AI8683">
        <v>90.186424574651298</v>
      </c>
      <c r="AJ8683">
        <v>75.231821991427296</v>
      </c>
      <c r="AK8683">
        <v>73.889557047169205</v>
      </c>
      <c r="AL8683">
        <v>86.022599040637303</v>
      </c>
      <c r="AM8683">
        <v>89.380214692006803</v>
      </c>
      <c r="AN8683">
        <v>0.99999997884653502</v>
      </c>
    </row>
    <row r="8684" spans="1:40" x14ac:dyDescent="0.25">
      <c r="A8684" t="str">
        <f>"20190312160538819"</f>
        <v>20190312160538819</v>
      </c>
      <c r="B8684" t="str">
        <f>"1552377938814275"</f>
        <v>1552377938814275</v>
      </c>
      <c r="C8684" t="s">
        <v>40</v>
      </c>
      <c r="D8684">
        <v>5.3871710000000004</v>
      </c>
      <c r="E8684">
        <v>0.59512909999999997</v>
      </c>
      <c r="F8684" t="s">
        <v>55</v>
      </c>
      <c r="G8684">
        <v>-167.30260000000001</v>
      </c>
      <c r="H8684">
        <v>0.93253710000000001</v>
      </c>
      <c r="I8684">
        <v>171.83959999999999</v>
      </c>
      <c r="J8684">
        <v>-187.7012</v>
      </c>
      <c r="K8684">
        <v>1.1096539999999999</v>
      </c>
      <c r="L8684">
        <v>101.0278</v>
      </c>
      <c r="M8684">
        <v>2.134869E-2</v>
      </c>
      <c r="N8684">
        <v>0</v>
      </c>
      <c r="O8684">
        <v>0.99968699999999999</v>
      </c>
      <c r="P8684">
        <v>3.2145390000000003E-2</v>
      </c>
      <c r="Q8684">
        <v>5.7188410000000002E-2</v>
      </c>
      <c r="R8684">
        <v>0.9978458</v>
      </c>
      <c r="S8684">
        <v>0.85664370000000001</v>
      </c>
      <c r="T8684">
        <v>-7.4357989999999999E-3</v>
      </c>
      <c r="U8684">
        <v>2.9796140000000002</v>
      </c>
      <c r="V8684">
        <v>1.093208E-2</v>
      </c>
      <c r="W8684">
        <v>7.019019E-2</v>
      </c>
      <c r="X8684">
        <v>0.99747370000000002</v>
      </c>
      <c r="Y8684">
        <v>0.2557257</v>
      </c>
      <c r="Z8684">
        <v>-2.4045070000000002E-3</v>
      </c>
      <c r="AA8684">
        <v>0.96674640000000001</v>
      </c>
      <c r="AB8684">
        <v>29</v>
      </c>
      <c r="AC8684">
        <v>20.398599999999899</v>
      </c>
      <c r="AD8684">
        <v>-0.17711689999999999</v>
      </c>
      <c r="AE8684">
        <v>70.811799999999906</v>
      </c>
      <c r="AF8684">
        <v>18.8819733186122</v>
      </c>
      <c r="AG8684">
        <v>-0.17711689999999999</v>
      </c>
      <c r="AH8684">
        <v>71.230767541465696</v>
      </c>
      <c r="AI8684">
        <v>90.137710749220602</v>
      </c>
      <c r="AJ8684">
        <v>75.153398847666594</v>
      </c>
      <c r="AK8684">
        <v>73.691129258190799</v>
      </c>
      <c r="AL8684">
        <v>85.975088738092495</v>
      </c>
      <c r="AM8684">
        <v>89.372076709090507</v>
      </c>
      <c r="AN8684">
        <v>0.999999977668526</v>
      </c>
    </row>
    <row r="8685" spans="1:40" x14ac:dyDescent="0.25">
      <c r="A8685" t="str">
        <f>"20190312160538835"</f>
        <v>20190312160538835</v>
      </c>
      <c r="B8685" t="str">
        <f>"1552377938824033"</f>
        <v>1552377938824033</v>
      </c>
      <c r="C8685" t="s">
        <v>40</v>
      </c>
      <c r="D8685">
        <v>5.3084379999999998</v>
      </c>
      <c r="E8685">
        <v>0.59548869999999998</v>
      </c>
      <c r="F8685" t="s">
        <v>55</v>
      </c>
      <c r="G8685">
        <v>-167.2003</v>
      </c>
      <c r="H8685">
        <v>0.90972900000000001</v>
      </c>
      <c r="I8685">
        <v>171.73740000000001</v>
      </c>
      <c r="J8685">
        <v>-187.69589999999999</v>
      </c>
      <c r="K8685">
        <v>1.109629</v>
      </c>
      <c r="L8685">
        <v>101.2433</v>
      </c>
      <c r="M8685">
        <v>2.1953899999999998E-2</v>
      </c>
      <c r="N8685">
        <v>0</v>
      </c>
      <c r="O8685">
        <v>0.99967249999999996</v>
      </c>
      <c r="P8685">
        <v>3.2823680000000001E-2</v>
      </c>
      <c r="Q8685">
        <v>5.7550280000000002E-2</v>
      </c>
      <c r="R8685">
        <v>0.99780290000000005</v>
      </c>
      <c r="S8685">
        <v>0.86373899999999904</v>
      </c>
      <c r="T8685">
        <v>-8.4217790000000008E-3</v>
      </c>
      <c r="U8685">
        <v>2.9791259999999999</v>
      </c>
      <c r="V8685">
        <v>1.1013449999999999E-2</v>
      </c>
      <c r="W8685">
        <v>7.0659650000000004E-2</v>
      </c>
      <c r="X8685">
        <v>0.99743970000000004</v>
      </c>
      <c r="Y8685">
        <v>0.25730720000000001</v>
      </c>
      <c r="Z8685">
        <v>-2.722253E-3</v>
      </c>
      <c r="AA8685">
        <v>0.96632580000000001</v>
      </c>
      <c r="AB8685">
        <v>29</v>
      </c>
      <c r="AC8685">
        <v>20.4956</v>
      </c>
      <c r="AD8685">
        <v>-0.199899999999999</v>
      </c>
      <c r="AE8685">
        <v>70.494100000000003</v>
      </c>
      <c r="AF8685">
        <v>18.942764684190301</v>
      </c>
      <c r="AG8685">
        <v>-0.199899999999999</v>
      </c>
      <c r="AH8685">
        <v>70.926578242279703</v>
      </c>
      <c r="AI8685">
        <v>90.156014092221099</v>
      </c>
      <c r="AJ8685">
        <v>75.046705716210198</v>
      </c>
      <c r="AK8685">
        <v>73.412858512993694</v>
      </c>
      <c r="AL8685">
        <v>85.948123875094595</v>
      </c>
      <c r="AM8685">
        <v>89.367381747469807</v>
      </c>
      <c r="AN8685">
        <v>1.00000001867755</v>
      </c>
    </row>
    <row r="8686" spans="1:40" x14ac:dyDescent="0.25">
      <c r="A8686" t="str">
        <f>"20190312160538847"</f>
        <v>20190312160538847</v>
      </c>
      <c r="B8686" t="str">
        <f>"1552377938843553"</f>
        <v>1552377938843553</v>
      </c>
      <c r="C8686" t="s">
        <v>40</v>
      </c>
      <c r="D8686">
        <v>5.3353279999999996</v>
      </c>
      <c r="E8686">
        <v>0.59507519999999903</v>
      </c>
      <c r="F8686" t="s">
        <v>55</v>
      </c>
      <c r="G8686">
        <v>-167.1491</v>
      </c>
      <c r="H8686">
        <v>0.9374247</v>
      </c>
      <c r="I8686">
        <v>171.68620000000001</v>
      </c>
      <c r="J8686">
        <v>-187.69210000000001</v>
      </c>
      <c r="K8686">
        <v>1.1096029999999999</v>
      </c>
      <c r="L8686">
        <v>101.39919999999999</v>
      </c>
      <c r="M8686">
        <v>2.2411159999999999E-2</v>
      </c>
      <c r="N8686">
        <v>0</v>
      </c>
      <c r="O8686">
        <v>0.99966129999999997</v>
      </c>
      <c r="P8686">
        <v>3.332309E-2</v>
      </c>
      <c r="Q8686">
        <v>5.7901460000000002E-2</v>
      </c>
      <c r="R8686">
        <v>0.99776600000000004</v>
      </c>
      <c r="S8686">
        <v>0.86875919999999895</v>
      </c>
      <c r="T8686">
        <v>-7.2797540000000003E-3</v>
      </c>
      <c r="U8686">
        <v>2.9784549999999999</v>
      </c>
      <c r="V8686">
        <v>1.106236E-2</v>
      </c>
      <c r="W8686">
        <v>7.1083939999999998E-2</v>
      </c>
      <c r="X8686">
        <v>0.99740899999999999</v>
      </c>
      <c r="Y8686">
        <v>0.25842520000000002</v>
      </c>
      <c r="Z8686">
        <v>-2.3526799999999998E-3</v>
      </c>
      <c r="AA8686">
        <v>0.96602840000000001</v>
      </c>
      <c r="AB8686">
        <v>29</v>
      </c>
      <c r="AC8686">
        <v>20.542999999999999</v>
      </c>
      <c r="AD8686">
        <v>-0.17217830000000001</v>
      </c>
      <c r="AE8686">
        <v>70.287000000000006</v>
      </c>
      <c r="AF8686">
        <v>18.962383578565198</v>
      </c>
      <c r="AG8686">
        <v>-0.17217830000000001</v>
      </c>
      <c r="AH8686">
        <v>70.729385242465199</v>
      </c>
      <c r="AI8686">
        <v>90.134718741586994</v>
      </c>
      <c r="AJ8686">
        <v>74.992062879795398</v>
      </c>
      <c r="AK8686">
        <v>73.227369016814293</v>
      </c>
      <c r="AL8686">
        <v>85.923752521398001</v>
      </c>
      <c r="AM8686">
        <v>89.364553004978504</v>
      </c>
      <c r="AN8686">
        <v>1.0000000078078399</v>
      </c>
    </row>
    <row r="8687" spans="1:40" x14ac:dyDescent="0.25">
      <c r="A8687" t="str">
        <f>"20190312160538861"</f>
        <v>20190312160538861</v>
      </c>
      <c r="B8687" t="str">
        <f>"1552377938854289"</f>
        <v>1552377938854289</v>
      </c>
      <c r="C8687" t="s">
        <v>40</v>
      </c>
      <c r="D8687">
        <v>5.4670300000000003</v>
      </c>
      <c r="E8687">
        <v>0.59487209999999902</v>
      </c>
      <c r="F8687" t="s">
        <v>55</v>
      </c>
      <c r="G8687">
        <v>-167.226</v>
      </c>
      <c r="H8687">
        <v>1.361729</v>
      </c>
      <c r="I8687">
        <v>171.7628</v>
      </c>
      <c r="J8687">
        <v>-187.6875</v>
      </c>
      <c r="K8687">
        <v>1.109572</v>
      </c>
      <c r="L8687">
        <v>101.5775</v>
      </c>
      <c r="M8687">
        <v>2.297563E-2</v>
      </c>
      <c r="N8687">
        <v>0</v>
      </c>
      <c r="O8687">
        <v>0.99964750000000002</v>
      </c>
      <c r="P8687">
        <v>3.4343480000000003E-2</v>
      </c>
      <c r="Q8687">
        <v>5.7456229999999997E-2</v>
      </c>
      <c r="R8687">
        <v>0.99775709999999995</v>
      </c>
      <c r="S8687">
        <v>0.86595149999999999</v>
      </c>
      <c r="T8687">
        <v>1.066923E-2</v>
      </c>
      <c r="U8687">
        <v>2.9772029999999998</v>
      </c>
      <c r="V8687">
        <v>1.1524339999999999E-2</v>
      </c>
      <c r="W8687">
        <v>7.0712469999999999E-2</v>
      </c>
      <c r="X8687">
        <v>0.99743009999999999</v>
      </c>
      <c r="Y8687">
        <v>0.25714809999999999</v>
      </c>
      <c r="Z8687">
        <v>3.4504520000000001E-3</v>
      </c>
      <c r="AA8687">
        <v>0.9663659</v>
      </c>
      <c r="AB8687">
        <v>28</v>
      </c>
      <c r="AC8687">
        <v>20.461500000000001</v>
      </c>
      <c r="AD8687">
        <v>0.25215700000000002</v>
      </c>
      <c r="AE8687">
        <v>70.185299999999998</v>
      </c>
      <c r="AF8687">
        <v>18.843179346173201</v>
      </c>
      <c r="AG8687">
        <v>0.25215700000000002</v>
      </c>
      <c r="AH8687">
        <v>70.636086715161994</v>
      </c>
      <c r="AI8687">
        <v>89.802376995248295</v>
      </c>
      <c r="AJ8687">
        <v>75.063365566060895</v>
      </c>
      <c r="AK8687">
        <v>73.106673686172996</v>
      </c>
      <c r="AL8687">
        <v>85.945089579481902</v>
      </c>
      <c r="AM8687">
        <v>89.338032145003694</v>
      </c>
      <c r="AN8687">
        <v>0.99999993410597099</v>
      </c>
    </row>
    <row r="8688" spans="1:40" x14ac:dyDescent="0.25">
      <c r="A8688" t="str">
        <f>"20190312160538873"</f>
        <v>20190312160538873</v>
      </c>
      <c r="B8688" t="str">
        <f>"1552377938864050"</f>
        <v>1552377938864050</v>
      </c>
      <c r="C8688" t="s">
        <v>40</v>
      </c>
      <c r="D8688">
        <v>5.3297910000000002</v>
      </c>
      <c r="E8688">
        <v>0.59531990000000001</v>
      </c>
      <c r="F8688" t="s">
        <v>55</v>
      </c>
      <c r="G8688">
        <v>-167.2389</v>
      </c>
      <c r="H8688">
        <v>1.5437299999999901</v>
      </c>
      <c r="I8688">
        <v>171.7756</v>
      </c>
      <c r="J8688">
        <v>-187.68340000000001</v>
      </c>
      <c r="K8688">
        <v>1.109545</v>
      </c>
      <c r="L8688">
        <v>101.73050000000001</v>
      </c>
      <c r="M8688">
        <v>2.3479030000000001E-2</v>
      </c>
      <c r="N8688">
        <v>0</v>
      </c>
      <c r="O8688">
        <v>0.99963500000000005</v>
      </c>
      <c r="P8688">
        <v>3.5780069999999997E-2</v>
      </c>
      <c r="Q8688">
        <v>5.7161009999999998E-2</v>
      </c>
      <c r="R8688">
        <v>0.99772360000000004</v>
      </c>
      <c r="S8688">
        <v>0.86685179999999995</v>
      </c>
      <c r="T8688">
        <v>1.840615E-2</v>
      </c>
      <c r="U8688">
        <v>2.9758300000000002</v>
      </c>
      <c r="V8688">
        <v>1.246339E-2</v>
      </c>
      <c r="W8688">
        <v>7.0476059999999993E-2</v>
      </c>
      <c r="X8688">
        <v>0.99743559999999998</v>
      </c>
      <c r="Y8688">
        <v>0.25704719999999998</v>
      </c>
      <c r="Z8688">
        <v>5.9548830000000002E-3</v>
      </c>
      <c r="AA8688">
        <v>0.96638049999999998</v>
      </c>
      <c r="AB8688">
        <v>28</v>
      </c>
      <c r="AC8688">
        <v>20.444500000000001</v>
      </c>
      <c r="AD8688">
        <v>0.43418499999999899</v>
      </c>
      <c r="AE8688">
        <v>70.045099999999906</v>
      </c>
      <c r="AF8688">
        <v>18.793459743925201</v>
      </c>
      <c r="AG8688">
        <v>0.43418499999999899</v>
      </c>
      <c r="AH8688">
        <v>70.5033507849692</v>
      </c>
      <c r="AI8688">
        <v>89.659060986478494</v>
      </c>
      <c r="AJ8688">
        <v>75.074223100349101</v>
      </c>
      <c r="AK8688">
        <v>72.966465706303595</v>
      </c>
      <c r="AL8688">
        <v>85.958668995134801</v>
      </c>
      <c r="AM8688">
        <v>89.284101666926801</v>
      </c>
      <c r="AN8688">
        <v>0.99999999363538705</v>
      </c>
    </row>
    <row r="8689" spans="1:40" x14ac:dyDescent="0.25">
      <c r="A8689" t="str">
        <f>"20190312160538892"</f>
        <v>20190312160538892</v>
      </c>
      <c r="B8689" t="str">
        <f>"1552377938883569"</f>
        <v>1552377938883569</v>
      </c>
      <c r="C8689" t="s">
        <v>40</v>
      </c>
      <c r="D8689">
        <v>5.5811960000000003</v>
      </c>
      <c r="E8689">
        <v>0.59600030000000004</v>
      </c>
      <c r="F8689" t="s">
        <v>55</v>
      </c>
      <c r="G8689">
        <v>-167.12110000000001</v>
      </c>
      <c r="H8689">
        <v>1.448987</v>
      </c>
      <c r="I8689">
        <v>171.65790000000001</v>
      </c>
      <c r="J8689">
        <v>-187.67699999999999</v>
      </c>
      <c r="K8689">
        <v>1.109502</v>
      </c>
      <c r="L8689">
        <v>101.9652</v>
      </c>
      <c r="M8689">
        <v>2.4296539999999998E-2</v>
      </c>
      <c r="N8689">
        <v>0</v>
      </c>
      <c r="O8689">
        <v>0.99961429999999996</v>
      </c>
      <c r="P8689">
        <v>3.8364509999999998E-2</v>
      </c>
      <c r="Q8689">
        <v>5.6552379999999999E-2</v>
      </c>
      <c r="R8689">
        <v>0.99766220000000005</v>
      </c>
      <c r="S8689">
        <v>0.87471010000000005</v>
      </c>
      <c r="T8689">
        <v>1.4441010000000001E-2</v>
      </c>
      <c r="U8689">
        <v>2.9746700000000001</v>
      </c>
      <c r="V8689">
        <v>1.4239419999999999E-2</v>
      </c>
      <c r="W8689">
        <v>6.9948549999999998E-2</v>
      </c>
      <c r="X8689">
        <v>0.99744900000000003</v>
      </c>
      <c r="Y8689">
        <v>0.25871090000000002</v>
      </c>
      <c r="Z8689">
        <v>4.6709430000000003E-3</v>
      </c>
      <c r="AA8689">
        <v>0.96594349999999995</v>
      </c>
      <c r="AB8689">
        <v>28</v>
      </c>
      <c r="AC8689">
        <v>20.555900000000001</v>
      </c>
      <c r="AD8689">
        <v>0.33948499999999998</v>
      </c>
      <c r="AE8689">
        <v>69.692700000000002</v>
      </c>
      <c r="AF8689">
        <v>18.855974418697102</v>
      </c>
      <c r="AG8689">
        <v>0.33948499999999998</v>
      </c>
      <c r="AH8689">
        <v>70.170073352093794</v>
      </c>
      <c r="AI8689">
        <v>89.732300035127594</v>
      </c>
      <c r="AJ8689">
        <v>74.958899596374906</v>
      </c>
      <c r="AK8689">
        <v>72.660183151310704</v>
      </c>
      <c r="AL8689">
        <v>85.988968030641502</v>
      </c>
      <c r="AM8689">
        <v>89.182110311789003</v>
      </c>
      <c r="AN8689">
        <v>1.0000000341650099</v>
      </c>
    </row>
    <row r="8690" spans="1:40" x14ac:dyDescent="0.25">
      <c r="A8690" t="str">
        <f>"20190312160538904"</f>
        <v>20190312160538904</v>
      </c>
      <c r="B8690" t="str">
        <f>"1552377938894305"</f>
        <v>1552377938894305</v>
      </c>
      <c r="C8690" t="s">
        <v>40</v>
      </c>
      <c r="D8690">
        <v>5.3822400000000004</v>
      </c>
      <c r="E8690">
        <v>0.59622030000000004</v>
      </c>
      <c r="F8690" t="s">
        <v>55</v>
      </c>
      <c r="G8690">
        <v>-166.92699999999999</v>
      </c>
      <c r="H8690">
        <v>1.5675410000000001</v>
      </c>
      <c r="I8690">
        <v>171.464</v>
      </c>
      <c r="J8690">
        <v>-187.67250000000001</v>
      </c>
      <c r="K8690">
        <v>1.1094710000000001</v>
      </c>
      <c r="L8690">
        <v>102.12520000000001</v>
      </c>
      <c r="M8690">
        <v>2.488858E-2</v>
      </c>
      <c r="N8690">
        <v>0</v>
      </c>
      <c r="O8690">
        <v>0.99959900000000002</v>
      </c>
      <c r="P8690">
        <v>3.9830629999999999E-2</v>
      </c>
      <c r="Q8690">
        <v>5.7023959999999999E-2</v>
      </c>
      <c r="R8690">
        <v>0.99757799999999996</v>
      </c>
      <c r="S8690">
        <v>0.8872833</v>
      </c>
      <c r="T8690">
        <v>1.9587400000000001E-2</v>
      </c>
      <c r="U8690">
        <v>2.9718019999999998</v>
      </c>
      <c r="V8690">
        <v>1.512281E-2</v>
      </c>
      <c r="W8690">
        <v>7.0469409999999996E-2</v>
      </c>
      <c r="X8690">
        <v>0.99739929999999999</v>
      </c>
      <c r="Y8690">
        <v>0.26214349999999997</v>
      </c>
      <c r="Z8690">
        <v>6.3344880000000001E-3</v>
      </c>
      <c r="AA8690">
        <v>0.96500810000000004</v>
      </c>
      <c r="AB8690">
        <v>28</v>
      </c>
      <c r="AC8690">
        <v>20.7455</v>
      </c>
      <c r="AD8690">
        <v>0.45806999999999998</v>
      </c>
      <c r="AE8690">
        <v>69.338800000000006</v>
      </c>
      <c r="AF8690">
        <v>19.012409263633</v>
      </c>
      <c r="AG8690">
        <v>0.45806999999999998</v>
      </c>
      <c r="AH8690">
        <v>69.830893010516405</v>
      </c>
      <c r="AI8690">
        <v>89.637362111385499</v>
      </c>
      <c r="AJ8690">
        <v>74.769612286623996</v>
      </c>
      <c r="AK8690">
        <v>72.374271345409596</v>
      </c>
      <c r="AL8690">
        <v>85.959050989069496</v>
      </c>
      <c r="AM8690">
        <v>89.131334062840594</v>
      </c>
      <c r="AN8690">
        <v>1.00000000038426</v>
      </c>
    </row>
    <row r="8691" spans="1:40" x14ac:dyDescent="0.25">
      <c r="A8691" t="str">
        <f>"20190312160538916"</f>
        <v>20190312160538916</v>
      </c>
      <c r="B8691" t="str">
        <f>"1552377938913826"</f>
        <v>1552377938913826</v>
      </c>
      <c r="C8691" t="s">
        <v>40</v>
      </c>
      <c r="D8691">
        <v>4.2620610000000001</v>
      </c>
      <c r="E8691">
        <v>0.52749639999999998</v>
      </c>
      <c r="F8691" t="s">
        <v>55</v>
      </c>
      <c r="G8691">
        <v>-166.8407</v>
      </c>
      <c r="H8691">
        <v>1.540883</v>
      </c>
      <c r="I8691">
        <v>171.37780000000001</v>
      </c>
      <c r="J8691">
        <v>-187.66800000000001</v>
      </c>
      <c r="K8691">
        <v>1.10944</v>
      </c>
      <c r="L8691">
        <v>102.2805</v>
      </c>
      <c r="M8691">
        <v>2.549732E-2</v>
      </c>
      <c r="N8691">
        <v>0</v>
      </c>
      <c r="O8691">
        <v>0.99958309999999995</v>
      </c>
      <c r="P8691">
        <v>4.161132E-2</v>
      </c>
      <c r="Q8691">
        <v>5.736811E-2</v>
      </c>
      <c r="R8691">
        <v>0.99748550000000002</v>
      </c>
      <c r="S8691">
        <v>0.89356990000000003</v>
      </c>
      <c r="T8691">
        <v>1.850653E-2</v>
      </c>
      <c r="U8691">
        <v>2.9705509999999999</v>
      </c>
      <c r="V8691">
        <v>1.630411E-2</v>
      </c>
      <c r="W8691">
        <v>7.0856580000000002E-2</v>
      </c>
      <c r="X8691">
        <v>0.9973533</v>
      </c>
      <c r="Y8691">
        <v>0.26354149999999998</v>
      </c>
      <c r="Z8691">
        <v>5.9842869999999996E-3</v>
      </c>
      <c r="AA8691">
        <v>0.96462950000000003</v>
      </c>
      <c r="AB8691">
        <v>28</v>
      </c>
      <c r="AC8691">
        <v>20.827300000000001</v>
      </c>
      <c r="AD8691">
        <v>0.43144300000000002</v>
      </c>
      <c r="AE8691">
        <v>69.097300000000004</v>
      </c>
      <c r="AF8691">
        <v>19.057888821534</v>
      </c>
      <c r="AG8691">
        <v>0.43144300000000002</v>
      </c>
      <c r="AH8691">
        <v>69.603433105551701</v>
      </c>
      <c r="AI8691">
        <v>89.657459422157899</v>
      </c>
      <c r="AJ8691">
        <v>74.687330237802598</v>
      </c>
      <c r="AK8691">
        <v>72.166662452099104</v>
      </c>
      <c r="AL8691">
        <v>85.936812359742007</v>
      </c>
      <c r="AM8691">
        <v>89.063447735722207</v>
      </c>
      <c r="AN8691">
        <v>1.00000004197653</v>
      </c>
    </row>
    <row r="8692" spans="1:40" x14ac:dyDescent="0.25">
      <c r="A8692" t="str">
        <f>"20190312160538938"</f>
        <v>20190312160538938</v>
      </c>
      <c r="B8692" t="str">
        <f>"1552377938934322"</f>
        <v>1552377938934322</v>
      </c>
      <c r="C8692" t="s">
        <v>40</v>
      </c>
      <c r="D8692">
        <v>5.4309979999999998</v>
      </c>
      <c r="E8692">
        <v>0.50696339999999995</v>
      </c>
      <c r="F8692" t="s">
        <v>53</v>
      </c>
      <c r="G8692">
        <v>-168.1181</v>
      </c>
      <c r="H8692">
        <v>4.5714079999999999</v>
      </c>
      <c r="I8692">
        <v>269.69009999999997</v>
      </c>
      <c r="J8692">
        <v>-187.6602</v>
      </c>
      <c r="K8692">
        <v>1.1093789999999999</v>
      </c>
      <c r="L8692">
        <v>102.5431</v>
      </c>
      <c r="M8692">
        <v>2.658775E-2</v>
      </c>
      <c r="N8692">
        <v>0</v>
      </c>
      <c r="O8692">
        <v>0.99955369999999999</v>
      </c>
      <c r="P8692">
        <v>4.4227280000000001E-2</v>
      </c>
      <c r="Q8692">
        <v>5.7429210000000001E-2</v>
      </c>
      <c r="R8692">
        <v>0.99736950000000002</v>
      </c>
      <c r="S8692">
        <v>0.34910580000000002</v>
      </c>
      <c r="T8692">
        <v>6.1821939999999999E-2</v>
      </c>
      <c r="U8692">
        <v>2.9894409999999998</v>
      </c>
      <c r="V8692">
        <v>1.7844459999999999E-2</v>
      </c>
      <c r="W8692">
        <v>7.0984050000000007E-2</v>
      </c>
      <c r="X8692">
        <v>0.99731789999999998</v>
      </c>
      <c r="Y8692">
        <v>8.9515159999999996E-2</v>
      </c>
      <c r="Z8692">
        <v>2.0553419999999999E-2</v>
      </c>
      <c r="AA8692">
        <v>0.99577340000000003</v>
      </c>
      <c r="AB8692">
        <v>28</v>
      </c>
      <c r="AC8692">
        <v>19.542100000000001</v>
      </c>
      <c r="AD8692">
        <v>3.4620289999999998</v>
      </c>
      <c r="AE8692">
        <v>167.14699999999999</v>
      </c>
      <c r="AF8692">
        <v>15.0843313659818</v>
      </c>
      <c r="AG8692">
        <v>3.4620289999999998</v>
      </c>
      <c r="AH8692">
        <v>167.53662330437001</v>
      </c>
      <c r="AI8692">
        <v>88.820958577195995</v>
      </c>
      <c r="AJ8692">
        <v>84.855188033789602</v>
      </c>
      <c r="AK8692">
        <v>168.24994159222101</v>
      </c>
      <c r="AL8692">
        <v>85.929490572626605</v>
      </c>
      <c r="AM8692">
        <v>88.974947545099496</v>
      </c>
      <c r="AN8692">
        <v>1.00000007688374</v>
      </c>
    </row>
    <row r="8693" spans="1:40" x14ac:dyDescent="0.25">
      <c r="A8693" t="str">
        <f>"20190312160538960"</f>
        <v>20190312160538960</v>
      </c>
      <c r="B8693" t="str">
        <f>"1552377938953842"</f>
        <v>1552377938953842</v>
      </c>
      <c r="C8693" t="s">
        <v>40</v>
      </c>
      <c r="D8693">
        <v>5.3967010000000002</v>
      </c>
      <c r="E8693">
        <v>0.49851519999999999</v>
      </c>
      <c r="F8693" t="s">
        <v>59</v>
      </c>
      <c r="G8693">
        <v>-175.66139999999999</v>
      </c>
      <c r="H8693">
        <v>7.9980700000000002E-2</v>
      </c>
      <c r="I8693">
        <v>285.21289999999999</v>
      </c>
      <c r="J8693">
        <v>-187.65119999999999</v>
      </c>
      <c r="K8693">
        <v>1.1093010000000001</v>
      </c>
      <c r="L8693">
        <v>102.83</v>
      </c>
      <c r="M8693">
        <v>2.788378E-2</v>
      </c>
      <c r="N8693">
        <v>0</v>
      </c>
      <c r="O8693">
        <v>0.9995174</v>
      </c>
      <c r="P8693">
        <v>4.6860609999999997E-2</v>
      </c>
      <c r="Q8693">
        <v>5.6820830000000003E-2</v>
      </c>
      <c r="R8693">
        <v>0.99728410000000001</v>
      </c>
      <c r="S8693">
        <v>0.1970673</v>
      </c>
      <c r="T8693">
        <v>-1.690674E-2</v>
      </c>
      <c r="U8693">
        <v>3.0001530000000001</v>
      </c>
      <c r="V8693">
        <v>1.9196870000000001E-2</v>
      </c>
      <c r="W8693">
        <v>7.0438020000000004E-2</v>
      </c>
      <c r="X8693">
        <v>0.99733139999999998</v>
      </c>
      <c r="Y8693">
        <v>3.7691540000000003E-2</v>
      </c>
      <c r="Z8693">
        <v>-5.623856E-3</v>
      </c>
      <c r="AA8693">
        <v>0.99927359999999998</v>
      </c>
      <c r="AB8693">
        <v>28</v>
      </c>
      <c r="AC8693">
        <v>11.989800000000001</v>
      </c>
      <c r="AD8693">
        <v>-1.0293203</v>
      </c>
      <c r="AE8693">
        <v>182.38290000000001</v>
      </c>
      <c r="AF8693">
        <v>6.8989169592795596</v>
      </c>
      <c r="AG8693">
        <v>-1.0293203</v>
      </c>
      <c r="AH8693">
        <v>182.64053099320401</v>
      </c>
      <c r="AI8693">
        <v>90.322672392926194</v>
      </c>
      <c r="AJ8693">
        <v>87.8367836148512</v>
      </c>
      <c r="AK8693">
        <v>182.77368004439401</v>
      </c>
      <c r="AL8693">
        <v>85.9608538931857</v>
      </c>
      <c r="AM8693">
        <v>88.897293491981898</v>
      </c>
      <c r="AN8693">
        <v>0.99999997795263795</v>
      </c>
    </row>
    <row r="8694" spans="1:40" x14ac:dyDescent="0.25">
      <c r="A8694" t="str">
        <f>"20190312160538982"</f>
        <v>20190312160538982</v>
      </c>
      <c r="B8694" t="str">
        <f>"1552377938974337"</f>
        <v>1552377938974337</v>
      </c>
      <c r="C8694" t="s">
        <v>40</v>
      </c>
      <c r="D8694">
        <v>5.35534</v>
      </c>
      <c r="E8694">
        <v>0.49414960000000002</v>
      </c>
      <c r="F8694" t="s">
        <v>60</v>
      </c>
      <c r="G8694">
        <v>-185.41929999999999</v>
      </c>
      <c r="H8694" s="1">
        <v>-1.1385660000000001E-5</v>
      </c>
      <c r="I8694">
        <v>150.7808</v>
      </c>
      <c r="J8694">
        <v>-187.64189999999999</v>
      </c>
      <c r="K8694">
        <v>1.109224</v>
      </c>
      <c r="L8694">
        <v>103.11020000000001</v>
      </c>
      <c r="M8694">
        <v>2.925761E-2</v>
      </c>
      <c r="N8694">
        <v>0</v>
      </c>
      <c r="O8694">
        <v>0.99947730000000001</v>
      </c>
      <c r="P8694">
        <v>4.9018310000000002E-2</v>
      </c>
      <c r="Q8694">
        <v>5.6101110000000003E-2</v>
      </c>
      <c r="R8694">
        <v>0.99722109999999997</v>
      </c>
      <c r="S8694">
        <v>0.13989260000000001</v>
      </c>
      <c r="T8694">
        <v>-6.9531560000000006E-2</v>
      </c>
      <c r="U8694">
        <v>3.0055540000000001</v>
      </c>
      <c r="V8694">
        <v>1.9995539999999999E-2</v>
      </c>
      <c r="W8694">
        <v>6.9772070000000005E-2</v>
      </c>
      <c r="X8694">
        <v>0.99736259999999999</v>
      </c>
      <c r="Y8694">
        <v>1.72333E-2</v>
      </c>
      <c r="Z8694">
        <v>-2.3099109999999999E-2</v>
      </c>
      <c r="AA8694">
        <v>0.99958460000000005</v>
      </c>
      <c r="AB8694">
        <v>28</v>
      </c>
      <c r="AC8694">
        <v>2.2225999999999999</v>
      </c>
      <c r="AD8694">
        <v>-1.1092353856599999</v>
      </c>
      <c r="AE8694">
        <v>47.670599999999901</v>
      </c>
      <c r="AF8694">
        <v>0.82634216818443895</v>
      </c>
      <c r="AG8694">
        <v>-1.1092353856599999</v>
      </c>
      <c r="AH8694">
        <v>47.689457957060498</v>
      </c>
      <c r="AI8694">
        <v>91.332233951625795</v>
      </c>
      <c r="AJ8694">
        <v>89.007303016188899</v>
      </c>
      <c r="AK8694">
        <v>47.7095131473584</v>
      </c>
      <c r="AL8694">
        <v>85.999104456736603</v>
      </c>
      <c r="AM8694">
        <v>88.8514642588855</v>
      </c>
      <c r="AN8694">
        <v>1.00000005962536</v>
      </c>
    </row>
    <row r="8695" spans="1:40" x14ac:dyDescent="0.25">
      <c r="A8695" t="str">
        <f>"20190312160539003"</f>
        <v>20190312160539003</v>
      </c>
      <c r="B8695" t="str">
        <f>"1552377938993858"</f>
        <v>1552377938993858</v>
      </c>
      <c r="C8695" t="s">
        <v>40</v>
      </c>
      <c r="D8695">
        <v>5.367572</v>
      </c>
      <c r="E8695">
        <v>0.49176880000000001</v>
      </c>
      <c r="F8695" t="s">
        <v>60</v>
      </c>
      <c r="G8695">
        <v>-186.3715</v>
      </c>
      <c r="H8695" s="1">
        <v>-7.46736599999999E-6</v>
      </c>
      <c r="I8695">
        <v>137.04820000000001</v>
      </c>
      <c r="J8695">
        <v>-187.63229999999999</v>
      </c>
      <c r="K8695">
        <v>1.109146</v>
      </c>
      <c r="L8695">
        <v>103.3828</v>
      </c>
      <c r="M8695">
        <v>3.0701989999999998E-2</v>
      </c>
      <c r="N8695">
        <v>0</v>
      </c>
      <c r="O8695">
        <v>0.99943329999999997</v>
      </c>
      <c r="P8695">
        <v>5.0339019999999998E-2</v>
      </c>
      <c r="Q8695">
        <v>5.5449169999999999E-2</v>
      </c>
      <c r="R8695">
        <v>0.99719170000000001</v>
      </c>
      <c r="S8695">
        <v>0.1126099</v>
      </c>
      <c r="T8695">
        <v>-9.8325490000000002E-2</v>
      </c>
      <c r="U8695">
        <v>3.008362</v>
      </c>
      <c r="V8695">
        <v>1.988616E-2</v>
      </c>
      <c r="W8695">
        <v>6.9166539999999999E-2</v>
      </c>
      <c r="X8695">
        <v>0.99740689999999999</v>
      </c>
      <c r="Y8695">
        <v>6.6850909999999998E-3</v>
      </c>
      <c r="Z8695">
        <v>-3.2631760000000003E-2</v>
      </c>
      <c r="AA8695">
        <v>0.99944509999999998</v>
      </c>
      <c r="AB8695">
        <v>28</v>
      </c>
      <c r="AC8695">
        <v>1.2607999999999799</v>
      </c>
      <c r="AD8695">
        <v>-1.109153467366</v>
      </c>
      <c r="AE8695">
        <v>33.665399999999998</v>
      </c>
      <c r="AF8695">
        <v>0.226267042139778</v>
      </c>
      <c r="AG8695">
        <v>-1.109153467366</v>
      </c>
      <c r="AH8695">
        <v>33.651762641775399</v>
      </c>
      <c r="AI8695">
        <v>91.887728168404095</v>
      </c>
      <c r="AJ8695">
        <v>89.614761600023002</v>
      </c>
      <c r="AK8695">
        <v>33.6707966506128</v>
      </c>
      <c r="AL8695">
        <v>86.033882540697803</v>
      </c>
      <c r="AM8695">
        <v>88.857796052749507</v>
      </c>
      <c r="AN8695">
        <v>0.99999999689136299</v>
      </c>
    </row>
    <row r="8696" spans="1:40" x14ac:dyDescent="0.25">
      <c r="A8696" t="str">
        <f>"20190312160539017"</f>
        <v>20190312160539017</v>
      </c>
      <c r="B8696" t="str">
        <f>"1552377939014354"</f>
        <v>1552377939014354</v>
      </c>
      <c r="C8696" t="s">
        <v>40</v>
      </c>
      <c r="D8696">
        <v>5.347194</v>
      </c>
      <c r="E8696">
        <v>0.49000700000000003</v>
      </c>
      <c r="F8696" t="s">
        <v>60</v>
      </c>
      <c r="G8696">
        <v>-186.70679999999999</v>
      </c>
      <c r="H8696" s="1">
        <v>-5.7144200000000004E-6</v>
      </c>
      <c r="I8696">
        <v>131.72380000000001</v>
      </c>
      <c r="J8696">
        <v>-187.62649999999999</v>
      </c>
      <c r="K8696">
        <v>1.1091009999999999</v>
      </c>
      <c r="L8696">
        <v>103.54340000000001</v>
      </c>
      <c r="M8696">
        <v>3.161187E-2</v>
      </c>
      <c r="N8696">
        <v>0</v>
      </c>
      <c r="O8696">
        <v>0.99940450000000003</v>
      </c>
      <c r="P8696">
        <v>5.1391449999999998E-2</v>
      </c>
      <c r="Q8696">
        <v>5.5448450000000003E-2</v>
      </c>
      <c r="R8696">
        <v>0.99713810000000003</v>
      </c>
      <c r="S8696">
        <v>9.8297120000000002E-2</v>
      </c>
      <c r="T8696">
        <v>-0.11780069999999999</v>
      </c>
      <c r="U8696">
        <v>3.01004</v>
      </c>
      <c r="V8696">
        <v>2.0039350000000001E-2</v>
      </c>
      <c r="W8696">
        <v>6.9188890000000003E-2</v>
      </c>
      <c r="X8696">
        <v>0.99740229999999996</v>
      </c>
      <c r="Y8696">
        <v>9.9972470000000003E-4</v>
      </c>
      <c r="Z8696">
        <v>-3.9066259999999998E-2</v>
      </c>
      <c r="AA8696">
        <v>0.99923609999999896</v>
      </c>
      <c r="AB8696">
        <v>28</v>
      </c>
      <c r="AC8696">
        <v>0.91970000000000596</v>
      </c>
      <c r="AD8696">
        <v>-1.10910671442</v>
      </c>
      <c r="AE8696">
        <v>28.180399999999999</v>
      </c>
      <c r="AF8696">
        <v>2.8276133501479499E-2</v>
      </c>
      <c r="AG8696">
        <v>-1.10910671442</v>
      </c>
      <c r="AH8696">
        <v>28.151828640982099</v>
      </c>
      <c r="AI8696">
        <v>92.256132450448206</v>
      </c>
      <c r="AJ8696">
        <v>89.942451249386593</v>
      </c>
      <c r="AK8696">
        <v>28.173682277524801</v>
      </c>
      <c r="AL8696">
        <v>86.032598969079302</v>
      </c>
      <c r="AM8696">
        <v>88.848994309897293</v>
      </c>
      <c r="AN8696">
        <v>1.00000001304657</v>
      </c>
    </row>
    <row r="8697" spans="1:40" x14ac:dyDescent="0.25">
      <c r="A8697" t="str">
        <f>"20190312160539036"</f>
        <v>20190312160539036</v>
      </c>
      <c r="B8697" t="str">
        <f>"1552377939033874"</f>
        <v>1552377939033874</v>
      </c>
      <c r="C8697" t="s">
        <v>40</v>
      </c>
      <c r="D8697">
        <v>5.5068380000000001</v>
      </c>
      <c r="E8697">
        <v>0.48934739999999999</v>
      </c>
      <c r="F8697" t="s">
        <v>60</v>
      </c>
      <c r="G8697">
        <v>-186.86660000000001</v>
      </c>
      <c r="H8697" s="1">
        <v>-5.0158770000000001E-6</v>
      </c>
      <c r="I8697">
        <v>129.5805</v>
      </c>
      <c r="J8697">
        <v>-187.61699999999999</v>
      </c>
      <c r="K8697">
        <v>1.1090249999999999</v>
      </c>
      <c r="L8697">
        <v>103.7942</v>
      </c>
      <c r="M8697">
        <v>3.3105160000000002E-2</v>
      </c>
      <c r="N8697">
        <v>0</v>
      </c>
      <c r="O8697">
        <v>0.99935569999999896</v>
      </c>
      <c r="P8697">
        <v>5.3300750000000001E-2</v>
      </c>
      <c r="Q8697">
        <v>5.5801070000000001E-2</v>
      </c>
      <c r="R8697">
        <v>0.99701819999999997</v>
      </c>
      <c r="S8697">
        <v>8.7875369999999994E-2</v>
      </c>
      <c r="T8697">
        <v>-0.1282691</v>
      </c>
      <c r="U8697">
        <v>3.011215</v>
      </c>
      <c r="V8697">
        <v>2.0474349999999999E-2</v>
      </c>
      <c r="W8697">
        <v>6.9573250000000003E-2</v>
      </c>
      <c r="X8697">
        <v>0.99736670000000005</v>
      </c>
      <c r="Y8697">
        <v>-3.966359E-3</v>
      </c>
      <c r="Z8697">
        <v>-4.2514370000000003E-2</v>
      </c>
      <c r="AA8697">
        <v>0.99908799999999998</v>
      </c>
      <c r="AB8697">
        <v>28</v>
      </c>
      <c r="AC8697">
        <v>0.75040000000001295</v>
      </c>
      <c r="AD8697">
        <v>-1.1090300158769999</v>
      </c>
      <c r="AE8697">
        <v>25.786300000000001</v>
      </c>
      <c r="AF8697">
        <v>-0.103561643819699</v>
      </c>
      <c r="AG8697">
        <v>-1.1090300158769999</v>
      </c>
      <c r="AH8697">
        <v>25.749418446999499</v>
      </c>
      <c r="AI8697">
        <v>92.4661907917977</v>
      </c>
      <c r="AJ8697">
        <v>90.230436781677696</v>
      </c>
      <c r="AK8697">
        <v>25.7734984615761</v>
      </c>
      <c r="AL8697">
        <v>86.010523455487103</v>
      </c>
      <c r="AM8697">
        <v>88.823974072645896</v>
      </c>
      <c r="AN8697">
        <v>0.99999998519618705</v>
      </c>
    </row>
    <row r="8698" spans="1:40" x14ac:dyDescent="0.25">
      <c r="A8698" t="str">
        <f>"20190312160539048"</f>
        <v>20190312160539048</v>
      </c>
      <c r="B8698" t="str">
        <f>"1552377939043634"</f>
        <v>1552377939043634</v>
      </c>
      <c r="C8698" t="s">
        <v>40</v>
      </c>
      <c r="D8698">
        <v>5.4134650000000004</v>
      </c>
      <c r="E8698">
        <v>0.48872640000000001</v>
      </c>
      <c r="F8698" t="s">
        <v>60</v>
      </c>
      <c r="G8698">
        <v>-186.9204</v>
      </c>
      <c r="H8698" s="1">
        <v>-4.0889400000000002E-6</v>
      </c>
      <c r="I8698">
        <v>127.39190000000001</v>
      </c>
      <c r="J8698">
        <v>-187.61109999999999</v>
      </c>
      <c r="K8698">
        <v>1.1089830000000001</v>
      </c>
      <c r="L8698">
        <v>103.94410000000001</v>
      </c>
      <c r="M8698">
        <v>3.4034580000000002E-2</v>
      </c>
      <c r="N8698">
        <v>0</v>
      </c>
      <c r="O8698">
        <v>0.9993242</v>
      </c>
      <c r="P8698">
        <v>5.4512249999999998E-2</v>
      </c>
      <c r="Q8698">
        <v>5.6045600000000001E-2</v>
      </c>
      <c r="R8698">
        <v>0.99693889999999996</v>
      </c>
      <c r="S8698">
        <v>8.8912959999999999E-2</v>
      </c>
      <c r="T8698">
        <v>-0.14156189999999999</v>
      </c>
      <c r="U8698">
        <v>3.0121310000000001</v>
      </c>
      <c r="V8698">
        <v>2.07683E-2</v>
      </c>
      <c r="W8698">
        <v>6.9834399999999894E-2</v>
      </c>
      <c r="X8698">
        <v>0.99734239999999996</v>
      </c>
      <c r="Y8698">
        <v>-4.5671779999999999E-3</v>
      </c>
      <c r="Z8698">
        <v>-4.6894230000000002E-2</v>
      </c>
      <c r="AA8698">
        <v>0.99888940000000004</v>
      </c>
      <c r="AB8698">
        <v>28</v>
      </c>
      <c r="AC8698">
        <v>0.69069999999999199</v>
      </c>
      <c r="AD8698">
        <v>-1.10898708894</v>
      </c>
      <c r="AE8698">
        <v>23.447800000000001</v>
      </c>
      <c r="AF8698">
        <v>-0.107572771034846</v>
      </c>
      <c r="AG8698">
        <v>-1.10898708894</v>
      </c>
      <c r="AH8698">
        <v>23.4054125418591</v>
      </c>
      <c r="AI8698">
        <v>92.712711182572505</v>
      </c>
      <c r="AJ8698">
        <v>90.263333208151593</v>
      </c>
      <c r="AK8698">
        <v>23.4319175595835</v>
      </c>
      <c r="AL8698">
        <v>85.995524296747504</v>
      </c>
      <c r="AM8698">
        <v>88.807065670264095</v>
      </c>
      <c r="AN8698">
        <v>1.0000000142729999</v>
      </c>
    </row>
    <row r="8699" spans="1:40" x14ac:dyDescent="0.25">
      <c r="A8699" t="str">
        <f>"20190312160539061"</f>
        <v>20190312160539061</v>
      </c>
      <c r="B8699" t="str">
        <f>"1552377939054369"</f>
        <v>1552377939054369</v>
      </c>
      <c r="C8699" t="s">
        <v>40</v>
      </c>
      <c r="D8699">
        <v>5.4258259999999998</v>
      </c>
      <c r="E8699">
        <v>0.4881201</v>
      </c>
      <c r="F8699" t="s">
        <v>60</v>
      </c>
      <c r="G8699">
        <v>-186.93700000000001</v>
      </c>
      <c r="H8699" s="1">
        <v>-3.9786140000000003E-6</v>
      </c>
      <c r="I8699">
        <v>127.13290000000001</v>
      </c>
      <c r="J8699">
        <v>-187.60409999999999</v>
      </c>
      <c r="K8699">
        <v>1.108935</v>
      </c>
      <c r="L8699">
        <v>104.1152</v>
      </c>
      <c r="M8699">
        <v>3.5152780000000002E-2</v>
      </c>
      <c r="N8699">
        <v>0</v>
      </c>
      <c r="O8699">
        <v>0.99928519999999998</v>
      </c>
      <c r="P8699">
        <v>5.5942899999999997E-2</v>
      </c>
      <c r="Q8699">
        <v>5.582575E-2</v>
      </c>
      <c r="R8699">
        <v>0.99687210000000004</v>
      </c>
      <c r="S8699">
        <v>8.7570190000000006E-2</v>
      </c>
      <c r="T8699">
        <v>-0.144071799999999</v>
      </c>
      <c r="U8699">
        <v>3.012527</v>
      </c>
      <c r="V8699">
        <v>2.1091639999999998E-2</v>
      </c>
      <c r="W8699">
        <v>6.9631760000000001E-2</v>
      </c>
      <c r="X8699">
        <v>0.99734970000000001</v>
      </c>
      <c r="Y8699">
        <v>-6.1360069999999997E-3</v>
      </c>
      <c r="Z8699">
        <v>-4.7714880000000001E-2</v>
      </c>
      <c r="AA8699">
        <v>0.99884209999999995</v>
      </c>
      <c r="AB8699">
        <v>28</v>
      </c>
      <c r="AC8699">
        <v>0.66709999999997605</v>
      </c>
      <c r="AD8699">
        <v>-1.108938978614</v>
      </c>
      <c r="AE8699">
        <v>23.017700000000001</v>
      </c>
      <c r="AF8699">
        <v>-0.142196993615189</v>
      </c>
      <c r="AG8699">
        <v>-1.108938978614</v>
      </c>
      <c r="AH8699">
        <v>22.973644766831999</v>
      </c>
      <c r="AI8699">
        <v>92.763472277885299</v>
      </c>
      <c r="AJ8699">
        <v>90.354631737179304</v>
      </c>
      <c r="AK8699">
        <v>23.000833017868501</v>
      </c>
      <c r="AL8699">
        <v>86.0071627154353</v>
      </c>
      <c r="AM8699">
        <v>88.788507328982604</v>
      </c>
      <c r="AN8699">
        <v>0.99999993168433599</v>
      </c>
    </row>
    <row r="8700" spans="1:40" x14ac:dyDescent="0.25">
      <c r="A8700" t="str">
        <f>"20190312160539073"</f>
        <v>20190312160539073</v>
      </c>
      <c r="B8700" t="str">
        <f>"1552377939064131"</f>
        <v>1552377939064131</v>
      </c>
      <c r="C8700" t="s">
        <v>40</v>
      </c>
      <c r="D8700">
        <v>5.4182629999999996</v>
      </c>
      <c r="E8700">
        <v>0.4875332</v>
      </c>
      <c r="F8700" t="s">
        <v>60</v>
      </c>
      <c r="G8700">
        <v>-186.9478</v>
      </c>
      <c r="H8700" s="1">
        <v>-3.8419009999999998E-6</v>
      </c>
      <c r="I8700">
        <v>126.8105</v>
      </c>
      <c r="J8700">
        <v>-187.5977</v>
      </c>
      <c r="K8700">
        <v>1.1088899999999999</v>
      </c>
      <c r="L8700">
        <v>104.2668</v>
      </c>
      <c r="M8700">
        <v>3.6172639999999999E-2</v>
      </c>
      <c r="N8700">
        <v>0</v>
      </c>
      <c r="O8700">
        <v>0.99924860000000004</v>
      </c>
      <c r="P8700">
        <v>5.7460850000000001E-2</v>
      </c>
      <c r="Q8700">
        <v>5.6175839999999998E-2</v>
      </c>
      <c r="R8700">
        <v>0.99676600000000004</v>
      </c>
      <c r="S8700">
        <v>8.7127689999999994E-2</v>
      </c>
      <c r="T8700">
        <v>-0.1472098</v>
      </c>
      <c r="U8700">
        <v>3.012756</v>
      </c>
      <c r="V8700">
        <v>2.1602489999999998E-2</v>
      </c>
      <c r="W8700">
        <v>6.9994700000000007E-2</v>
      </c>
      <c r="X8700">
        <v>0.99731340000000002</v>
      </c>
      <c r="Y8700">
        <v>-7.3068330000000004E-3</v>
      </c>
      <c r="Z8700">
        <v>-4.8745230000000001E-2</v>
      </c>
      <c r="AA8700">
        <v>0.99878449999999996</v>
      </c>
      <c r="AB8700">
        <v>28</v>
      </c>
      <c r="AC8700">
        <v>0.64990000000000203</v>
      </c>
      <c r="AD8700">
        <v>-1.1088938419009999</v>
      </c>
      <c r="AE8700">
        <v>22.543700000000001</v>
      </c>
      <c r="AF8700">
        <v>-0.165669063049145</v>
      </c>
      <c r="AG8700">
        <v>-1.1088938419009999</v>
      </c>
      <c r="AH8700">
        <v>22.498065066761299</v>
      </c>
      <c r="AI8700">
        <v>92.821657949218604</v>
      </c>
      <c r="AJ8700">
        <v>90.421901462121795</v>
      </c>
      <c r="AK8700">
        <v>22.525985517603502</v>
      </c>
      <c r="AL8700">
        <v>85.986317082519903</v>
      </c>
      <c r="AM8700">
        <v>88.759128290723694</v>
      </c>
      <c r="AN8700">
        <v>0.99999997171092403</v>
      </c>
    </row>
    <row r="8701" spans="1:40" x14ac:dyDescent="0.25">
      <c r="A8701" t="str">
        <f>"20190312160539086"</f>
        <v>20190312160539086</v>
      </c>
      <c r="B8701" t="str">
        <f>"1552377939083650"</f>
        <v>1552377939083650</v>
      </c>
      <c r="C8701" t="s">
        <v>40</v>
      </c>
      <c r="D8701">
        <v>5.4971269999999999</v>
      </c>
      <c r="E8701">
        <v>0.48647420000000002</v>
      </c>
      <c r="F8701" t="s">
        <v>60</v>
      </c>
      <c r="G8701">
        <v>-186.95179999999999</v>
      </c>
      <c r="H8701" s="1">
        <v>-3.7420669999999999E-6</v>
      </c>
      <c r="I8701">
        <v>126.5745</v>
      </c>
      <c r="J8701">
        <v>-187.5907</v>
      </c>
      <c r="K8701">
        <v>1.1088480000000001</v>
      </c>
      <c r="L8701">
        <v>104.4286</v>
      </c>
      <c r="M8701">
        <v>3.7286779999999999E-2</v>
      </c>
      <c r="N8701">
        <v>0</v>
      </c>
      <c r="O8701">
        <v>0.99920739999999997</v>
      </c>
      <c r="P8701">
        <v>5.9157899999999999E-2</v>
      </c>
      <c r="Q8701">
        <v>5.6045709999999999E-2</v>
      </c>
      <c r="R8701">
        <v>0.99667410000000001</v>
      </c>
      <c r="S8701">
        <v>8.7249759999999996E-2</v>
      </c>
      <c r="T8701">
        <v>-0.14978039999999901</v>
      </c>
      <c r="U8701">
        <v>3.0131380000000001</v>
      </c>
      <c r="V8701">
        <v>2.2196400000000002E-2</v>
      </c>
      <c r="W8701">
        <v>6.9877199999999903E-2</v>
      </c>
      <c r="X8701">
        <v>0.99730859999999999</v>
      </c>
      <c r="Y8701">
        <v>-8.3862329999999999E-3</v>
      </c>
      <c r="Z8701">
        <v>-4.958481E-2</v>
      </c>
      <c r="AA8701">
        <v>0.99873469999999998</v>
      </c>
      <c r="AB8701">
        <v>28</v>
      </c>
      <c r="AC8701">
        <v>0.63890000000000602</v>
      </c>
      <c r="AD8701">
        <v>-1.1088517420669901</v>
      </c>
      <c r="AE8701">
        <v>22.145900000000001</v>
      </c>
      <c r="AF8701">
        <v>-0.18690570522163599</v>
      </c>
      <c r="AG8701">
        <v>-1.1088517420669901</v>
      </c>
      <c r="AH8701">
        <v>22.098964931414699</v>
      </c>
      <c r="AI8701">
        <v>92.872397894507898</v>
      </c>
      <c r="AJ8701">
        <v>90.484577118276107</v>
      </c>
      <c r="AK8701">
        <v>22.127556055028499</v>
      </c>
      <c r="AL8701">
        <v>85.993065868255101</v>
      </c>
      <c r="AM8701">
        <v>88.725018397519904</v>
      </c>
      <c r="AN8701">
        <v>0.99999997344337899</v>
      </c>
    </row>
    <row r="8702" spans="1:40" x14ac:dyDescent="0.25">
      <c r="A8702" t="str">
        <f>"20190312160539104"</f>
        <v>20190312160539104</v>
      </c>
      <c r="B8702" t="str">
        <f>"1552377939094385"</f>
        <v>1552377939094385</v>
      </c>
      <c r="C8702" t="s">
        <v>40</v>
      </c>
      <c r="D8702">
        <v>5.4528530000000002</v>
      </c>
      <c r="E8702">
        <v>0.48598950000000002</v>
      </c>
      <c r="F8702" t="s">
        <v>60</v>
      </c>
      <c r="G8702">
        <v>-186.98179999999999</v>
      </c>
      <c r="H8702" s="1">
        <v>-3.6123760000000001E-6</v>
      </c>
      <c r="I8702">
        <v>126.2714</v>
      </c>
      <c r="J8702">
        <v>-187.58090000000001</v>
      </c>
      <c r="K8702">
        <v>1.108795</v>
      </c>
      <c r="L8702">
        <v>104.64660000000001</v>
      </c>
      <c r="M8702">
        <v>3.8864900000000001E-2</v>
      </c>
      <c r="N8702">
        <v>0</v>
      </c>
      <c r="O8702">
        <v>0.99914689999999995</v>
      </c>
      <c r="P8702">
        <v>6.1256320000000003E-2</v>
      </c>
      <c r="Q8702">
        <v>5.654058E-2</v>
      </c>
      <c r="R8702">
        <v>0.9965193</v>
      </c>
      <c r="S8702">
        <v>8.4014889999999995E-2</v>
      </c>
      <c r="T8702">
        <v>-0.15298800000000001</v>
      </c>
      <c r="U8702">
        <v>3.0136409999999998</v>
      </c>
      <c r="V8702">
        <v>2.2735089999999999E-2</v>
      </c>
      <c r="W8702">
        <v>7.038664E-2</v>
      </c>
      <c r="X8702">
        <v>0.9972607</v>
      </c>
      <c r="Y8702">
        <v>-1.104305E-2</v>
      </c>
      <c r="Z8702">
        <v>-5.0631089999999997E-2</v>
      </c>
      <c r="AA8702">
        <v>0.9986564</v>
      </c>
      <c r="AB8702">
        <v>28</v>
      </c>
      <c r="AC8702">
        <v>0.59910000000002095</v>
      </c>
      <c r="AD8702">
        <v>-1.1087986123760001</v>
      </c>
      <c r="AE8702">
        <v>21.6248</v>
      </c>
      <c r="AF8702">
        <v>-0.24124659891948799</v>
      </c>
      <c r="AG8702">
        <v>-1.1087986123760001</v>
      </c>
      <c r="AH8702">
        <v>21.575066227537398</v>
      </c>
      <c r="AI8702">
        <v>92.941806831228007</v>
      </c>
      <c r="AJ8702">
        <v>90.640639326906197</v>
      </c>
      <c r="AK8702">
        <v>21.6048864150433</v>
      </c>
      <c r="AL8702">
        <v>85.963805300240196</v>
      </c>
      <c r="AM8702">
        <v>88.694023434287004</v>
      </c>
      <c r="AN8702">
        <v>1.0000000335861401</v>
      </c>
    </row>
    <row r="8703" spans="1:40" x14ac:dyDescent="0.25">
      <c r="A8703" t="str">
        <f>"20190312160539117"</f>
        <v>20190312160539117</v>
      </c>
      <c r="B8703" t="str">
        <f>"1552377939113907"</f>
        <v>1552377939113907</v>
      </c>
      <c r="C8703" t="s">
        <v>40</v>
      </c>
      <c r="D8703">
        <v>5.7203650000000001</v>
      </c>
      <c r="E8703">
        <v>0.48559380000000002</v>
      </c>
      <c r="F8703" t="s">
        <v>60</v>
      </c>
      <c r="G8703">
        <v>-186.95050000000001</v>
      </c>
      <c r="H8703" s="1">
        <v>-3.7529500000000002E-6</v>
      </c>
      <c r="I8703">
        <v>126.6001</v>
      </c>
      <c r="J8703">
        <v>-187.57329999999999</v>
      </c>
      <c r="K8703">
        <v>1.108757</v>
      </c>
      <c r="L8703">
        <v>104.81010000000001</v>
      </c>
      <c r="M8703">
        <v>4.0095400000000003E-2</v>
      </c>
      <c r="N8703">
        <v>0</v>
      </c>
      <c r="O8703">
        <v>0.99909809999999999</v>
      </c>
      <c r="P8703">
        <v>6.2815709999999997E-2</v>
      </c>
      <c r="Q8703">
        <v>5.7074270000000003E-2</v>
      </c>
      <c r="R8703">
        <v>0.99639180000000005</v>
      </c>
      <c r="S8703">
        <v>8.6547849999999996E-2</v>
      </c>
      <c r="T8703">
        <v>-0.15221680000000001</v>
      </c>
      <c r="U8703">
        <v>3.0137939999999999</v>
      </c>
      <c r="V8703">
        <v>2.3079140000000001E-2</v>
      </c>
      <c r="W8703">
        <v>7.0929820000000005E-2</v>
      </c>
      <c r="X8703">
        <v>0.9972143</v>
      </c>
      <c r="Y8703">
        <v>-1.143694E-2</v>
      </c>
      <c r="Z8703">
        <v>-5.03696E-2</v>
      </c>
      <c r="AA8703">
        <v>0.99866520000000003</v>
      </c>
      <c r="AB8703">
        <v>28</v>
      </c>
      <c r="AC8703">
        <v>0.62279999999998303</v>
      </c>
      <c r="AD8703">
        <v>-1.1087607529500001</v>
      </c>
      <c r="AE8703">
        <v>21.7899999999999</v>
      </c>
      <c r="AF8703">
        <v>-0.25081615522640199</v>
      </c>
      <c r="AG8703">
        <v>-1.1087607529500001</v>
      </c>
      <c r="AH8703">
        <v>21.741202328480099</v>
      </c>
      <c r="AI8703">
        <v>92.919254707489799</v>
      </c>
      <c r="AJ8703">
        <v>90.660960209639498</v>
      </c>
      <c r="AK8703">
        <v>21.7709011719523</v>
      </c>
      <c r="AL8703">
        <v>85.932605355103107</v>
      </c>
      <c r="AM8703">
        <v>88.674205434515997</v>
      </c>
      <c r="AN8703">
        <v>1.0000000230964301</v>
      </c>
    </row>
    <row r="8704" spans="1:40" x14ac:dyDescent="0.25">
      <c r="A8704" t="str">
        <f>"20190312160539133"</f>
        <v>20190312160539133</v>
      </c>
      <c r="B8704" t="str">
        <f>"1552377939123666"</f>
        <v>1552377939123666</v>
      </c>
      <c r="C8704" t="s">
        <v>40</v>
      </c>
      <c r="D8704">
        <v>5.7101660000000001</v>
      </c>
      <c r="E8704">
        <v>0.48559380000000002</v>
      </c>
      <c r="F8704" t="s">
        <v>60</v>
      </c>
      <c r="G8704">
        <v>-186.9194</v>
      </c>
      <c r="H8704" s="1">
        <v>-4.0079829999999997E-6</v>
      </c>
      <c r="I8704">
        <v>127.2</v>
      </c>
      <c r="J8704">
        <v>-187.56379999999999</v>
      </c>
      <c r="K8704">
        <v>1.1087089999999999</v>
      </c>
      <c r="L8704">
        <v>105.00660000000001</v>
      </c>
      <c r="M8704">
        <v>4.1615550000000001E-2</v>
      </c>
      <c r="N8704">
        <v>0</v>
      </c>
      <c r="O8704">
        <v>0.99903580000000003</v>
      </c>
      <c r="P8704">
        <v>6.4764939999999993E-2</v>
      </c>
      <c r="Q8704">
        <v>5.7680950000000002E-2</v>
      </c>
      <c r="R8704">
        <v>0.99623209999999995</v>
      </c>
      <c r="S8704">
        <v>8.8012699999999999E-2</v>
      </c>
      <c r="T8704">
        <v>-0.1492474</v>
      </c>
      <c r="U8704">
        <v>3.013855</v>
      </c>
      <c r="V8704">
        <v>2.3526729999999999E-2</v>
      </c>
      <c r="W8704">
        <v>7.1546709999999999E-2</v>
      </c>
      <c r="X8704">
        <v>0.99715969999999998</v>
      </c>
      <c r="Y8704">
        <v>-1.2472570000000001E-2</v>
      </c>
      <c r="Z8704">
        <v>-4.9383179999999999E-2</v>
      </c>
      <c r="AA8704">
        <v>0.99870199999999998</v>
      </c>
      <c r="AB8704">
        <v>28</v>
      </c>
      <c r="AC8704">
        <v>0.64439999999998998</v>
      </c>
      <c r="AD8704">
        <v>-1.1087130079830001</v>
      </c>
      <c r="AE8704">
        <v>22.1934</v>
      </c>
      <c r="AF8704">
        <v>-0.27914318179172198</v>
      </c>
      <c r="AG8704">
        <v>-1.1087130079830001</v>
      </c>
      <c r="AH8704">
        <v>22.145767318921401</v>
      </c>
      <c r="AI8704">
        <v>92.865854596004596</v>
      </c>
      <c r="AJ8704">
        <v>90.722164150497207</v>
      </c>
      <c r="AK8704">
        <v>22.1752604402703</v>
      </c>
      <c r="AL8704">
        <v>85.8971698446218</v>
      </c>
      <c r="AM8704">
        <v>88.648428838916999</v>
      </c>
      <c r="AN8704">
        <v>0.99999995302020195</v>
      </c>
    </row>
    <row r="8705" spans="1:40" x14ac:dyDescent="0.25">
      <c r="A8705" t="str">
        <f>"20190312160539149"</f>
        <v>20190312160539149</v>
      </c>
      <c r="B8705" t="str">
        <f>"1552377939144162"</f>
        <v>1552377939144162</v>
      </c>
      <c r="C8705" t="s">
        <v>40</v>
      </c>
      <c r="D8705">
        <v>4.9496659999999997</v>
      </c>
      <c r="E8705">
        <v>0.4886954</v>
      </c>
      <c r="F8705" t="s">
        <v>60</v>
      </c>
      <c r="G8705">
        <v>-186.85820000000001</v>
      </c>
      <c r="H8705" s="1">
        <v>-4.2157939999999998E-6</v>
      </c>
      <c r="I8705">
        <v>127.68389999999999</v>
      </c>
      <c r="J8705">
        <v>-187.55350000000001</v>
      </c>
      <c r="K8705">
        <v>1.1086659999999999</v>
      </c>
      <c r="L8705">
        <v>105.21259999999999</v>
      </c>
      <c r="M8705">
        <v>4.3261670000000002E-2</v>
      </c>
      <c r="N8705">
        <v>0</v>
      </c>
      <c r="O8705">
        <v>0.99896560000000001</v>
      </c>
      <c r="P8705">
        <v>6.7099149999999996E-2</v>
      </c>
      <c r="Q8705">
        <v>5.9180389999999999E-2</v>
      </c>
      <c r="R8705">
        <v>0.99598969999999998</v>
      </c>
      <c r="S8705">
        <v>9.3780520000000006E-2</v>
      </c>
      <c r="T8705">
        <v>-0.1473467</v>
      </c>
      <c r="U8705">
        <v>3.0137939999999999</v>
      </c>
      <c r="V8705">
        <v>2.4240790000000002E-2</v>
      </c>
      <c r="W8705">
        <v>7.3052900000000004E-2</v>
      </c>
      <c r="X8705">
        <v>0.99703339999999996</v>
      </c>
      <c r="Y8705">
        <v>-1.2209080000000001E-2</v>
      </c>
      <c r="Z8705">
        <v>-4.8750340000000003E-2</v>
      </c>
      <c r="AA8705">
        <v>0.99873639999999997</v>
      </c>
      <c r="AB8705">
        <v>28</v>
      </c>
      <c r="AC8705">
        <v>0.69530000000000303</v>
      </c>
      <c r="AD8705">
        <v>-1.1086702157939901</v>
      </c>
      <c r="AE8705">
        <v>22.471299999999999</v>
      </c>
      <c r="AF8705">
        <v>-0.27691899146687998</v>
      </c>
      <c r="AG8705">
        <v>-1.1086702157939901</v>
      </c>
      <c r="AH8705">
        <v>22.4258047929113</v>
      </c>
      <c r="AI8705">
        <v>92.830026382571702</v>
      </c>
      <c r="AJ8705">
        <v>90.707465496743396</v>
      </c>
      <c r="AK8705">
        <v>22.4549004536869</v>
      </c>
      <c r="AL8705">
        <v>85.810645139088905</v>
      </c>
      <c r="AM8705">
        <v>88.607246869378102</v>
      </c>
      <c r="AN8705">
        <v>0.999999971406896</v>
      </c>
    </row>
    <row r="8706" spans="1:40" x14ac:dyDescent="0.25">
      <c r="A8706" t="str">
        <f>"20190312160539172"</f>
        <v>20190312160539172</v>
      </c>
      <c r="B8706" t="str">
        <f>"1552377939163682"</f>
        <v>1552377939163682</v>
      </c>
      <c r="C8706" t="s">
        <v>40</v>
      </c>
      <c r="D8706">
        <v>5.7584929999999996</v>
      </c>
      <c r="E8706">
        <v>0.5768934</v>
      </c>
      <c r="F8706" t="s">
        <v>60</v>
      </c>
      <c r="G8706">
        <v>-186.53270000000001</v>
      </c>
      <c r="H8706" s="1">
        <v>-5.1115629999999999E-6</v>
      </c>
      <c r="I8706">
        <v>129.80760000000001</v>
      </c>
      <c r="J8706">
        <v>-187.5384</v>
      </c>
      <c r="K8706">
        <v>1.108598</v>
      </c>
      <c r="L8706">
        <v>105.501</v>
      </c>
      <c r="M8706">
        <v>4.5655019999999998E-2</v>
      </c>
      <c r="N8706">
        <v>0</v>
      </c>
      <c r="O8706">
        <v>0.99885880000000005</v>
      </c>
      <c r="P8706">
        <v>6.9867239999999997E-2</v>
      </c>
      <c r="Q8706">
        <v>5.9788050000000002E-2</v>
      </c>
      <c r="R8706">
        <v>0.99576299999999995</v>
      </c>
      <c r="S8706">
        <v>0.125</v>
      </c>
      <c r="T8706">
        <v>-0.13575970000000001</v>
      </c>
      <c r="U8706">
        <v>3.0117189999999998</v>
      </c>
      <c r="V8706">
        <v>2.4640820000000001E-2</v>
      </c>
      <c r="W8706">
        <v>7.3672550000000003E-2</v>
      </c>
      <c r="X8706">
        <v>0.99697800000000003</v>
      </c>
      <c r="Y8706">
        <v>-4.2365850000000002E-3</v>
      </c>
      <c r="Z8706">
        <v>-4.494153E-2</v>
      </c>
      <c r="AA8706">
        <v>0.9989806</v>
      </c>
      <c r="AB8706">
        <v>28</v>
      </c>
      <c r="AC8706">
        <v>1.00569999999999</v>
      </c>
      <c r="AD8706">
        <v>-1.108603111563</v>
      </c>
      <c r="AE8706">
        <v>24.3066</v>
      </c>
      <c r="AF8706">
        <v>-0.104958398804724</v>
      </c>
      <c r="AG8706">
        <v>-1.108603111563</v>
      </c>
      <c r="AH8706">
        <v>24.276755415277101</v>
      </c>
      <c r="AI8706">
        <v>92.614582934645995</v>
      </c>
      <c r="AJ8706">
        <v>90.2477116774688</v>
      </c>
      <c r="AK8706">
        <v>24.3022811813548</v>
      </c>
      <c r="AL8706">
        <v>85.775045888373398</v>
      </c>
      <c r="AM8706">
        <v>88.584193810734504</v>
      </c>
      <c r="AN8706">
        <v>0.99999997355888703</v>
      </c>
    </row>
    <row r="8707" spans="1:40" x14ac:dyDescent="0.25">
      <c r="A8707" t="str">
        <f>"20190312160539193"</f>
        <v>20190312160539193</v>
      </c>
      <c r="B8707" t="str">
        <f>"1552377939184181"</f>
        <v>1552377939184181</v>
      </c>
      <c r="C8707" t="s">
        <v>40</v>
      </c>
      <c r="D8707">
        <v>5.470046</v>
      </c>
      <c r="E8707">
        <v>0.58835019999999905</v>
      </c>
      <c r="F8707" t="s">
        <v>95</v>
      </c>
      <c r="G8707">
        <v>-170.9871</v>
      </c>
      <c r="H8707">
        <v>5.5110099999999997</v>
      </c>
      <c r="I8707">
        <v>164.88820000000001</v>
      </c>
      <c r="J8707">
        <v>-187.52379999999999</v>
      </c>
      <c r="K8707">
        <v>1.108538</v>
      </c>
      <c r="L8707">
        <v>105.76690000000001</v>
      </c>
      <c r="M8707">
        <v>4.7936479999999997E-2</v>
      </c>
      <c r="N8707">
        <v>0</v>
      </c>
      <c r="O8707">
        <v>0.99875179999999997</v>
      </c>
      <c r="P8707">
        <v>7.2167759999999997E-2</v>
      </c>
      <c r="Q8707">
        <v>5.9495109999999997E-2</v>
      </c>
      <c r="R8707">
        <v>0.99561650000000002</v>
      </c>
      <c r="S8707">
        <v>0.81997679999999995</v>
      </c>
      <c r="T8707">
        <v>0.21810260000000001</v>
      </c>
      <c r="U8707">
        <v>2.9421390000000001</v>
      </c>
      <c r="V8707">
        <v>2.4675519999999999E-2</v>
      </c>
      <c r="W8707">
        <v>7.3390549999999999E-2</v>
      </c>
      <c r="X8707">
        <v>0.99699800000000005</v>
      </c>
      <c r="Y8707">
        <v>0.2212925</v>
      </c>
      <c r="Z8707">
        <v>7.1529190000000006E-2</v>
      </c>
      <c r="AA8707">
        <v>0.97258069999999996</v>
      </c>
      <c r="AB8707">
        <v>28</v>
      </c>
      <c r="AC8707">
        <v>16.5366999999999</v>
      </c>
      <c r="AD8707">
        <v>4.4024720000000004</v>
      </c>
      <c r="AE8707">
        <v>59.121299999999998</v>
      </c>
      <c r="AF8707">
        <v>13.6133300384504</v>
      </c>
      <c r="AG8707">
        <v>4.4024720000000004</v>
      </c>
      <c r="AH8707">
        <v>59.539913275643997</v>
      </c>
      <c r="AI8707">
        <v>85.877169453479993</v>
      </c>
      <c r="AJ8707">
        <v>77.121151071165997</v>
      </c>
      <c r="AK8707">
        <v>61.234841285968599</v>
      </c>
      <c r="AL8707">
        <v>85.791247408153396</v>
      </c>
      <c r="AM8707">
        <v>88.582229269633203</v>
      </c>
      <c r="AN8707">
        <v>1.0000000330602801</v>
      </c>
    </row>
    <row r="8708" spans="1:40" x14ac:dyDescent="0.25">
      <c r="A8708" t="str">
        <f>"20190312160539205"</f>
        <v>20190312160539205</v>
      </c>
      <c r="B8708" t="str">
        <f>"1552377939193939"</f>
        <v>1552377939193939</v>
      </c>
      <c r="C8708" t="s">
        <v>40</v>
      </c>
      <c r="D8708">
        <v>5.713552</v>
      </c>
      <c r="E8708">
        <v>0.58986850000000002</v>
      </c>
      <c r="F8708" t="s">
        <v>55</v>
      </c>
      <c r="G8708">
        <v>-166.92679999999999</v>
      </c>
      <c r="H8708">
        <v>4.6385630000000004</v>
      </c>
      <c r="I8708">
        <v>171.46170000000001</v>
      </c>
      <c r="J8708">
        <v>-187.51480000000001</v>
      </c>
      <c r="K8708">
        <v>1.108508</v>
      </c>
      <c r="L8708">
        <v>105.925</v>
      </c>
      <c r="M8708">
        <v>4.9320120000000002E-2</v>
      </c>
      <c r="N8708">
        <v>0</v>
      </c>
      <c r="O8708">
        <v>0.99868429999999997</v>
      </c>
      <c r="P8708">
        <v>7.3975180000000001E-2</v>
      </c>
      <c r="Q8708">
        <v>5.9305450000000003E-2</v>
      </c>
      <c r="R8708">
        <v>0.99549509999999997</v>
      </c>
      <c r="S8708">
        <v>0.92083740000000003</v>
      </c>
      <c r="T8708">
        <v>0.1578195</v>
      </c>
      <c r="U8708">
        <v>2.9370419999999999</v>
      </c>
      <c r="V8708">
        <v>2.510894E-2</v>
      </c>
      <c r="W8708">
        <v>7.3204619999999998E-2</v>
      </c>
      <c r="X8708">
        <v>0.99700080000000002</v>
      </c>
      <c r="Y8708">
        <v>0.25134020000000001</v>
      </c>
      <c r="Z8708">
        <v>5.1466499999999998E-2</v>
      </c>
      <c r="AA8708">
        <v>0.96652950000000004</v>
      </c>
      <c r="AB8708">
        <v>28</v>
      </c>
      <c r="AC8708">
        <v>20.588000000000001</v>
      </c>
      <c r="AD8708">
        <v>3.5300549999999902</v>
      </c>
      <c r="AE8708">
        <v>65.536699999999996</v>
      </c>
      <c r="AF8708">
        <v>17.284699477752199</v>
      </c>
      <c r="AG8708">
        <v>3.5300549999999902</v>
      </c>
      <c r="AH8708">
        <v>66.297358556462797</v>
      </c>
      <c r="AI8708">
        <v>87.050529566146906</v>
      </c>
      <c r="AJ8708">
        <v>75.387431224481901</v>
      </c>
      <c r="AK8708">
        <v>68.604386710351307</v>
      </c>
      <c r="AL8708">
        <v>85.801928943591193</v>
      </c>
      <c r="AM8708">
        <v>88.557340926542906</v>
      </c>
      <c r="AN8708">
        <v>0.99999998522895295</v>
      </c>
    </row>
    <row r="8709" spans="1:40" x14ac:dyDescent="0.25">
      <c r="A8709" t="str">
        <f>"20190312160539219"</f>
        <v>20190312160539219</v>
      </c>
      <c r="B8709" t="str">
        <f>"1552377939213458"</f>
        <v>1552377939213458</v>
      </c>
      <c r="C8709" t="s">
        <v>40</v>
      </c>
      <c r="D8709">
        <v>5.5502919999999998</v>
      </c>
      <c r="E8709">
        <v>0.58923800000000004</v>
      </c>
      <c r="F8709" t="s">
        <v>55</v>
      </c>
      <c r="G8709">
        <v>-166.64940000000001</v>
      </c>
      <c r="H8709">
        <v>4.5772300000000001</v>
      </c>
      <c r="I8709">
        <v>171.18469999999999</v>
      </c>
      <c r="J8709">
        <v>-187.50540000000001</v>
      </c>
      <c r="K8709">
        <v>1.1084799999999999</v>
      </c>
      <c r="L8709">
        <v>106.0847</v>
      </c>
      <c r="M8709">
        <v>5.0753619999999999E-2</v>
      </c>
      <c r="N8709">
        <v>0</v>
      </c>
      <c r="O8709">
        <v>0.99861230000000001</v>
      </c>
      <c r="P8709">
        <v>7.5547569999999994E-2</v>
      </c>
      <c r="Q8709">
        <v>5.9266020000000003E-2</v>
      </c>
      <c r="R8709">
        <v>0.99537940000000003</v>
      </c>
      <c r="S8709">
        <v>0.93826290000000001</v>
      </c>
      <c r="T8709">
        <v>0.15598129999999999</v>
      </c>
      <c r="U8709">
        <v>2.9345699999999999</v>
      </c>
      <c r="V8709">
        <v>2.5257729999999999E-2</v>
      </c>
      <c r="W8709">
        <v>7.3169410000000004E-2</v>
      </c>
      <c r="X8709">
        <v>0.99699959999999999</v>
      </c>
      <c r="Y8709">
        <v>0.255407</v>
      </c>
      <c r="Z8709">
        <v>5.0831889999999998E-2</v>
      </c>
      <c r="AA8709">
        <v>0.96549640000000003</v>
      </c>
      <c r="AB8709">
        <v>28</v>
      </c>
      <c r="AC8709">
        <v>20.855999999999899</v>
      </c>
      <c r="AD8709">
        <v>3.46875</v>
      </c>
      <c r="AE8709">
        <v>65.099999999999994</v>
      </c>
      <c r="AF8709">
        <v>17.479720859903701</v>
      </c>
      <c r="AG8709">
        <v>3.46875</v>
      </c>
      <c r="AH8709">
        <v>65.905009422528195</v>
      </c>
      <c r="AI8709">
        <v>87.087666538003006</v>
      </c>
      <c r="AJ8709">
        <v>75.145675387790305</v>
      </c>
      <c r="AK8709">
        <v>68.271832660960499</v>
      </c>
      <c r="AL8709">
        <v>85.803951642220198</v>
      </c>
      <c r="AM8709">
        <v>88.548793948417597</v>
      </c>
      <c r="AN8709">
        <v>0.99999995894232896</v>
      </c>
    </row>
    <row r="8710" spans="1:40" x14ac:dyDescent="0.25">
      <c r="A8710" t="str">
        <f>"20190312160539237"</f>
        <v>20190312160539237</v>
      </c>
      <c r="B8710" t="str">
        <f>"1552377939233954"</f>
        <v>1552377939233954</v>
      </c>
      <c r="C8710" t="s">
        <v>40</v>
      </c>
      <c r="D8710">
        <v>5.0030530000000004</v>
      </c>
      <c r="E8710">
        <v>0.59085319999999997</v>
      </c>
      <c r="F8710" t="s">
        <v>95</v>
      </c>
      <c r="G8710">
        <v>-168.2252</v>
      </c>
      <c r="H8710">
        <v>5.0081439999999997</v>
      </c>
      <c r="I8710">
        <v>166.4443</v>
      </c>
      <c r="J8710">
        <v>-187.4914</v>
      </c>
      <c r="K8710">
        <v>1.108439</v>
      </c>
      <c r="L8710">
        <v>106.315</v>
      </c>
      <c r="M8710">
        <v>5.2857990000000001E-2</v>
      </c>
      <c r="N8710">
        <v>0</v>
      </c>
      <c r="O8710">
        <v>0.99850300000000003</v>
      </c>
      <c r="P8710">
        <v>7.8079540000000003E-2</v>
      </c>
      <c r="Q8710">
        <v>5.9888160000000003E-2</v>
      </c>
      <c r="R8710">
        <v>0.99514669999999905</v>
      </c>
      <c r="S8710">
        <v>0.93641660000000004</v>
      </c>
      <c r="T8710">
        <v>0.18940219999999999</v>
      </c>
      <c r="U8710">
        <v>2.9315950000000002</v>
      </c>
      <c r="V8710">
        <v>2.5705829999999999E-2</v>
      </c>
      <c r="W8710">
        <v>7.3795230000000003E-2</v>
      </c>
      <c r="X8710">
        <v>0.99694199999999999</v>
      </c>
      <c r="Y8710">
        <v>0.25291429999999998</v>
      </c>
      <c r="Z8710">
        <v>6.1759710000000002E-2</v>
      </c>
      <c r="AA8710">
        <v>0.96551540000000002</v>
      </c>
      <c r="AB8710">
        <v>28</v>
      </c>
      <c r="AC8710">
        <v>19.266200000000001</v>
      </c>
      <c r="AD8710">
        <v>3.899705</v>
      </c>
      <c r="AE8710">
        <v>60.129300000000001</v>
      </c>
      <c r="AF8710">
        <v>15.999601052423801</v>
      </c>
      <c r="AG8710">
        <v>3.899705</v>
      </c>
      <c r="AH8710">
        <v>60.831650490316399</v>
      </c>
      <c r="AI8710">
        <v>86.452319068085899</v>
      </c>
      <c r="AJ8710">
        <v>75.2641257091163</v>
      </c>
      <c r="AK8710">
        <v>63.021303019691302</v>
      </c>
      <c r="AL8710">
        <v>85.767997507750593</v>
      </c>
      <c r="AM8710">
        <v>88.522973961109599</v>
      </c>
      <c r="AN8710">
        <v>0.99999993851536895</v>
      </c>
    </row>
    <row r="8711" spans="1:40" x14ac:dyDescent="0.25">
      <c r="A8711" t="str">
        <f>"20190312160539250"</f>
        <v>20190312160539250</v>
      </c>
      <c r="B8711" t="str">
        <f>"1552377939243713"</f>
        <v>1552377939243713</v>
      </c>
      <c r="C8711" t="s">
        <v>40</v>
      </c>
      <c r="D8711">
        <v>5.4592650000000003</v>
      </c>
      <c r="E8711">
        <v>0.59227319999999894</v>
      </c>
      <c r="F8711" t="s">
        <v>55</v>
      </c>
      <c r="G8711">
        <v>-166.37549999999999</v>
      </c>
      <c r="H8711">
        <v>4.8079710000000002</v>
      </c>
      <c r="I8711">
        <v>170.91099999999901</v>
      </c>
      <c r="J8711">
        <v>-187.48159999999999</v>
      </c>
      <c r="K8711">
        <v>1.108414</v>
      </c>
      <c r="L8711">
        <v>106.4729</v>
      </c>
      <c r="M8711">
        <v>5.4326930000000002E-2</v>
      </c>
      <c r="N8711">
        <v>0</v>
      </c>
      <c r="O8711">
        <v>0.99842410000000004</v>
      </c>
      <c r="P8711">
        <v>7.9381149999999998E-2</v>
      </c>
      <c r="Q8711">
        <v>6.0189489999999998E-2</v>
      </c>
      <c r="R8711">
        <v>0.99502559999999995</v>
      </c>
      <c r="S8711">
        <v>0.9575958</v>
      </c>
      <c r="T8711">
        <v>0.1677737</v>
      </c>
      <c r="U8711">
        <v>2.9293979999999999</v>
      </c>
      <c r="V8711">
        <v>2.5550759999999999E-2</v>
      </c>
      <c r="W8711">
        <v>7.4100520000000003E-2</v>
      </c>
      <c r="X8711">
        <v>0.99692340000000002</v>
      </c>
      <c r="Y8711">
        <v>0.25814589999999998</v>
      </c>
      <c r="Z8711">
        <v>5.4665100000000001E-2</v>
      </c>
      <c r="AA8711">
        <v>0.96455809999999997</v>
      </c>
      <c r="AB8711">
        <v>28</v>
      </c>
      <c r="AC8711">
        <v>21.106100000000001</v>
      </c>
      <c r="AD8711">
        <v>3.699557</v>
      </c>
      <c r="AE8711">
        <v>64.438099999999906</v>
      </c>
      <c r="AF8711">
        <v>17.521694508887499</v>
      </c>
      <c r="AG8711">
        <v>3.699557</v>
      </c>
      <c r="AH8711">
        <v>65.295288593724294</v>
      </c>
      <c r="AI8711">
        <v>86.867736526916005</v>
      </c>
      <c r="AJ8711">
        <v>74.9788183414381</v>
      </c>
      <c r="AK8711">
        <v>67.706507907266698</v>
      </c>
      <c r="AL8711">
        <v>85.750457904559099</v>
      </c>
      <c r="AM8711">
        <v>88.5318528059058</v>
      </c>
      <c r="AN8711">
        <v>0.99999999693420305</v>
      </c>
    </row>
    <row r="8712" spans="1:40" x14ac:dyDescent="0.25">
      <c r="A8712" t="str">
        <f>"20190312160539262"</f>
        <v>20190312160539262</v>
      </c>
      <c r="B8712" t="str">
        <f>"1552377939253474"</f>
        <v>1552377939253474</v>
      </c>
      <c r="C8712" t="s">
        <v>40</v>
      </c>
      <c r="D8712">
        <v>5.815804</v>
      </c>
      <c r="E8712">
        <v>0.5929354</v>
      </c>
      <c r="F8712" t="s">
        <v>55</v>
      </c>
      <c r="G8712">
        <v>-166.1371</v>
      </c>
      <c r="H8712">
        <v>4.292395</v>
      </c>
      <c r="I8712">
        <v>170.67310000000001</v>
      </c>
      <c r="J8712">
        <v>-187.47120000000001</v>
      </c>
      <c r="K8712">
        <v>1.1083829999999999</v>
      </c>
      <c r="L8712">
        <v>106.6337</v>
      </c>
      <c r="M8712">
        <v>5.5852190000000003E-2</v>
      </c>
      <c r="N8712">
        <v>0</v>
      </c>
      <c r="O8712">
        <v>0.99833989999999995</v>
      </c>
      <c r="P8712">
        <v>8.0752859999999996E-2</v>
      </c>
      <c r="Q8712">
        <v>6.0264110000000003E-2</v>
      </c>
      <c r="R8712">
        <v>0.99491070000000004</v>
      </c>
      <c r="S8712">
        <v>0.97364810000000002</v>
      </c>
      <c r="T8712">
        <v>0.14524139999999999</v>
      </c>
      <c r="U8712">
        <v>2.9285429999999999</v>
      </c>
      <c r="V8712">
        <v>2.5408170000000001E-2</v>
      </c>
      <c r="W8712">
        <v>7.4179949999999995E-2</v>
      </c>
      <c r="X8712">
        <v>0.9969211</v>
      </c>
      <c r="Y8712">
        <v>0.26163900000000001</v>
      </c>
      <c r="Z8712">
        <v>4.7286710000000003E-2</v>
      </c>
      <c r="AA8712">
        <v>0.96400669999999999</v>
      </c>
      <c r="AB8712">
        <v>28</v>
      </c>
      <c r="AC8712">
        <v>21.334099999999999</v>
      </c>
      <c r="AD8712">
        <v>3.1840120000000001</v>
      </c>
      <c r="AE8712">
        <v>64.039400000000001</v>
      </c>
      <c r="AF8712">
        <v>17.684347776620701</v>
      </c>
      <c r="AG8712">
        <v>3.1840120000000001</v>
      </c>
      <c r="AH8712">
        <v>64.986491113862101</v>
      </c>
      <c r="AI8712">
        <v>87.293310009004003</v>
      </c>
      <c r="AJ8712">
        <v>74.777087901087299</v>
      </c>
      <c r="AK8712">
        <v>67.424907237553498</v>
      </c>
      <c r="AL8712">
        <v>85.745894183024802</v>
      </c>
      <c r="AM8712">
        <v>88.540039107444898</v>
      </c>
      <c r="AN8712">
        <v>0.99999995985497903</v>
      </c>
    </row>
    <row r="8713" spans="1:40" x14ac:dyDescent="0.25">
      <c r="A8713" t="str">
        <f>"20190312160539274"</f>
        <v>20190312160539274</v>
      </c>
      <c r="B8713" t="str">
        <f>"1552377939264209"</f>
        <v>1552377939264209</v>
      </c>
      <c r="C8713" t="s">
        <v>40</v>
      </c>
      <c r="D8713">
        <v>6.2053370000000001</v>
      </c>
      <c r="E8713">
        <v>0.59347030000000001</v>
      </c>
      <c r="F8713" t="s">
        <v>55</v>
      </c>
      <c r="G8713">
        <v>-166.00399999999999</v>
      </c>
      <c r="H8713">
        <v>4.251506</v>
      </c>
      <c r="I8713">
        <v>170.5402</v>
      </c>
      <c r="J8713">
        <v>-187.4614</v>
      </c>
      <c r="K8713">
        <v>1.1083540000000001</v>
      </c>
      <c r="L8713">
        <v>106.7831</v>
      </c>
      <c r="M8713">
        <v>5.7289430000000002E-2</v>
      </c>
      <c r="N8713">
        <v>0</v>
      </c>
      <c r="O8713">
        <v>0.99825839999999999</v>
      </c>
      <c r="P8713">
        <v>8.2125439999999994E-2</v>
      </c>
      <c r="Q8713">
        <v>6.0215249999999998E-2</v>
      </c>
      <c r="R8713">
        <v>0.9948013</v>
      </c>
      <c r="S8713">
        <v>0.98316959999999998</v>
      </c>
      <c r="T8713">
        <v>0.14395250000000001</v>
      </c>
      <c r="U8713">
        <v>2.9268339999999999</v>
      </c>
      <c r="V8713">
        <v>2.5353069999999998E-2</v>
      </c>
      <c r="W8713">
        <v>7.4133809999999994E-2</v>
      </c>
      <c r="X8713">
        <v>0.99692599999999998</v>
      </c>
      <c r="Y8713">
        <v>0.26324509999999901</v>
      </c>
      <c r="Z8713">
        <v>4.6854220000000002E-2</v>
      </c>
      <c r="AA8713">
        <v>0.96359050000000002</v>
      </c>
      <c r="AB8713">
        <v>28</v>
      </c>
      <c r="AC8713">
        <v>21.4573999999999</v>
      </c>
      <c r="AD8713">
        <v>3.1431520000000002</v>
      </c>
      <c r="AE8713">
        <v>63.757100000000001</v>
      </c>
      <c r="AF8713">
        <v>17.730474375531902</v>
      </c>
      <c r="AG8713">
        <v>3.1431520000000002</v>
      </c>
      <c r="AH8713">
        <v>64.740434043605902</v>
      </c>
      <c r="AI8713">
        <v>87.319041601193803</v>
      </c>
      <c r="AJ8713">
        <v>74.683948684261296</v>
      </c>
      <c r="AK8713">
        <v>67.198012814598798</v>
      </c>
      <c r="AL8713">
        <v>85.748545385725805</v>
      </c>
      <c r="AM8713">
        <v>88.543210960988205</v>
      </c>
      <c r="AN8713">
        <v>1.00000002470977</v>
      </c>
    </row>
    <row r="8714" spans="1:40" x14ac:dyDescent="0.25">
      <c r="A8714" t="str">
        <f>"20190312160539287"</f>
        <v>20190312160539287</v>
      </c>
      <c r="B8714" t="str">
        <f>"1552377939283730"</f>
        <v>1552377939283730</v>
      </c>
      <c r="C8714" t="s">
        <v>40</v>
      </c>
      <c r="D8714">
        <v>5.9710799999999997</v>
      </c>
      <c r="E8714">
        <v>0.594145699999999</v>
      </c>
      <c r="F8714" t="s">
        <v>55</v>
      </c>
      <c r="G8714">
        <v>-165.88749999999999</v>
      </c>
      <c r="H8714">
        <v>4.2524810000000004</v>
      </c>
      <c r="I8714">
        <v>170.4238</v>
      </c>
      <c r="J8714">
        <v>-187.4511</v>
      </c>
      <c r="K8714">
        <v>1.108325</v>
      </c>
      <c r="L8714">
        <v>106.93600000000001</v>
      </c>
      <c r="M8714">
        <v>5.8773390000000002E-2</v>
      </c>
      <c r="N8714">
        <v>0</v>
      </c>
      <c r="O8714">
        <v>0.99817199999999995</v>
      </c>
      <c r="P8714">
        <v>8.369973E-2</v>
      </c>
      <c r="Q8714">
        <v>5.9917739999999997E-2</v>
      </c>
      <c r="R8714">
        <v>0.99468800000000002</v>
      </c>
      <c r="S8714">
        <v>0.99157709999999999</v>
      </c>
      <c r="T8714">
        <v>0.14451149999999999</v>
      </c>
      <c r="U8714">
        <v>2.925049</v>
      </c>
      <c r="V8714">
        <v>2.5451600000000001E-2</v>
      </c>
      <c r="W8714">
        <v>7.3839479999999999E-2</v>
      </c>
      <c r="X8714">
        <v>0.99694530000000003</v>
      </c>
      <c r="Y8714">
        <v>0.26447209999999899</v>
      </c>
      <c r="Z8714">
        <v>4.7027670000000001E-2</v>
      </c>
      <c r="AA8714">
        <v>0.96324600000000005</v>
      </c>
      <c r="AB8714">
        <v>28</v>
      </c>
      <c r="AC8714">
        <v>21.563600000000001</v>
      </c>
      <c r="AD8714">
        <v>3.1441560000000002</v>
      </c>
      <c r="AE8714">
        <v>63.487799999999901</v>
      </c>
      <c r="AF8714">
        <v>17.755510181180899</v>
      </c>
      <c r="AG8714">
        <v>3.1441560000000002</v>
      </c>
      <c r="AH8714">
        <v>64.503682387054198</v>
      </c>
      <c r="AI8714">
        <v>87.309313677178693</v>
      </c>
      <c r="AJ8714">
        <v>74.609713064914899</v>
      </c>
      <c r="AK8714">
        <v>66.9766295078837</v>
      </c>
      <c r="AL8714">
        <v>85.765455460232005</v>
      </c>
      <c r="AM8714">
        <v>88.537580174191504</v>
      </c>
      <c r="AN8714">
        <v>0.99999999197066003</v>
      </c>
    </row>
    <row r="8715" spans="1:40" x14ac:dyDescent="0.25">
      <c r="A8715" t="str">
        <f>"20190312160539304"</f>
        <v>20190312160539304</v>
      </c>
      <c r="B8715" t="str">
        <f>"1552377939293494"</f>
        <v>1552377939293494</v>
      </c>
      <c r="C8715" t="s">
        <v>40</v>
      </c>
      <c r="D8715">
        <v>5.943886</v>
      </c>
      <c r="E8715">
        <v>0.59435539999999998</v>
      </c>
      <c r="F8715" t="s">
        <v>55</v>
      </c>
      <c r="G8715">
        <v>-165.73990000000001</v>
      </c>
      <c r="H8715">
        <v>3.76763</v>
      </c>
      <c r="I8715">
        <v>170.27670000000001</v>
      </c>
      <c r="J8715">
        <v>-187.4359</v>
      </c>
      <c r="K8715">
        <v>1.108282</v>
      </c>
      <c r="L8715">
        <v>107.1546</v>
      </c>
      <c r="M8715">
        <v>6.094654E-2</v>
      </c>
      <c r="N8715">
        <v>0</v>
      </c>
      <c r="O8715">
        <v>0.99804159999999997</v>
      </c>
      <c r="P8715">
        <v>8.6131330000000006E-2</v>
      </c>
      <c r="Q8715">
        <v>5.8859399999999999E-2</v>
      </c>
      <c r="R8715">
        <v>0.99454359999999997</v>
      </c>
      <c r="S8715">
        <v>1.0023500000000001</v>
      </c>
      <c r="T8715">
        <v>0.12277440000000001</v>
      </c>
      <c r="U8715">
        <v>2.9242710000000001</v>
      </c>
      <c r="V8715">
        <v>2.571698E-2</v>
      </c>
      <c r="W8715">
        <v>7.2783730000000005E-2</v>
      </c>
      <c r="X8715">
        <v>0.99701609999999996</v>
      </c>
      <c r="Y8715">
        <v>0.265729299999999</v>
      </c>
      <c r="Z8715">
        <v>3.9938639999999997E-2</v>
      </c>
      <c r="AA8715">
        <v>0.96322010000000002</v>
      </c>
      <c r="AB8715">
        <v>28</v>
      </c>
      <c r="AC8715">
        <v>21.696000000000002</v>
      </c>
      <c r="AD8715">
        <v>2.659348</v>
      </c>
      <c r="AE8715">
        <v>63.122100000000003</v>
      </c>
      <c r="AF8715">
        <v>17.7799801072237</v>
      </c>
      <c r="AG8715">
        <v>2.659348</v>
      </c>
      <c r="AH8715">
        <v>64.225209819619593</v>
      </c>
      <c r="AI8715">
        <v>87.7147864679728</v>
      </c>
      <c r="AJ8715">
        <v>74.525888076221804</v>
      </c>
      <c r="AK8715">
        <v>66.693908273338806</v>
      </c>
      <c r="AL8715">
        <v>85.826108599690798</v>
      </c>
      <c r="AM8715">
        <v>88.522443353616893</v>
      </c>
      <c r="AN8715">
        <v>0.99999996903612098</v>
      </c>
    </row>
    <row r="8716" spans="1:40" x14ac:dyDescent="0.25">
      <c r="A8716" t="str">
        <f>"20190312160539316"</f>
        <v>20190312160539316</v>
      </c>
      <c r="B8716" t="str">
        <f>"1552377939313986"</f>
        <v>1552377939313986</v>
      </c>
      <c r="C8716" t="s">
        <v>40</v>
      </c>
      <c r="D8716">
        <v>5.7921680000000002</v>
      </c>
      <c r="E8716">
        <v>0.59395359999999997</v>
      </c>
      <c r="F8716" t="s">
        <v>55</v>
      </c>
      <c r="G8716">
        <v>-165.62819999999999</v>
      </c>
      <c r="H8716">
        <v>3.6772930000000001</v>
      </c>
      <c r="I8716">
        <v>170.1652</v>
      </c>
      <c r="J8716">
        <v>-187.4256</v>
      </c>
      <c r="K8716">
        <v>1.10826</v>
      </c>
      <c r="L8716">
        <v>107.298</v>
      </c>
      <c r="M8716">
        <v>6.2396710000000001E-2</v>
      </c>
      <c r="N8716">
        <v>0</v>
      </c>
      <c r="O8716">
        <v>0.99795199999999995</v>
      </c>
      <c r="P8716">
        <v>8.7881849999999997E-2</v>
      </c>
      <c r="Q8716">
        <v>5.8499589999999997E-2</v>
      </c>
      <c r="R8716">
        <v>0.99441159999999995</v>
      </c>
      <c r="S8716">
        <v>1.0112300000000001</v>
      </c>
      <c r="T8716">
        <v>0.11912780000000001</v>
      </c>
      <c r="U8716">
        <v>2.9218289999999998</v>
      </c>
      <c r="V8716">
        <v>2.6024990000000001E-2</v>
      </c>
      <c r="W8716">
        <v>7.2424199999999994E-2</v>
      </c>
      <c r="X8716">
        <v>0.99703430000000004</v>
      </c>
      <c r="Y8716">
        <v>0.26720719999999998</v>
      </c>
      <c r="Z8716">
        <v>3.8752849999999998E-2</v>
      </c>
      <c r="AA8716">
        <v>0.96285960000000004</v>
      </c>
      <c r="AB8716">
        <v>28</v>
      </c>
      <c r="AC8716">
        <v>21.7974</v>
      </c>
      <c r="AD8716">
        <v>2.5690330000000001</v>
      </c>
      <c r="AE8716">
        <v>62.867199999999997</v>
      </c>
      <c r="AF8716">
        <v>17.805279700959399</v>
      </c>
      <c r="AG8716">
        <v>2.5690330000000001</v>
      </c>
      <c r="AH8716">
        <v>64.009476589029902</v>
      </c>
      <c r="AI8716">
        <v>87.785641227331098</v>
      </c>
      <c r="AJ8716">
        <v>74.455224635812201</v>
      </c>
      <c r="AK8716">
        <v>66.489405238624698</v>
      </c>
      <c r="AL8716">
        <v>85.846762707315904</v>
      </c>
      <c r="AM8716">
        <v>88.504782056314397</v>
      </c>
      <c r="AN8716">
        <v>0.99999998011331404</v>
      </c>
    </row>
    <row r="8717" spans="1:40" x14ac:dyDescent="0.25">
      <c r="A8717" t="str">
        <f>"20190312160539330"</f>
        <v>20190312160539330</v>
      </c>
      <c r="B8717" t="str">
        <f>"1552377939323746"</f>
        <v>1552377939323746</v>
      </c>
      <c r="C8717" t="s">
        <v>40</v>
      </c>
      <c r="D8717">
        <v>5.5261659999999999</v>
      </c>
      <c r="E8717">
        <v>0.59330499999999997</v>
      </c>
      <c r="F8717" t="s">
        <v>55</v>
      </c>
      <c r="G8717">
        <v>-165.6206</v>
      </c>
      <c r="H8717">
        <v>3.617715</v>
      </c>
      <c r="I8717">
        <v>170.1576</v>
      </c>
      <c r="J8717">
        <v>-187.4128</v>
      </c>
      <c r="K8717">
        <v>1.1082289999999999</v>
      </c>
      <c r="L8717">
        <v>107.4726</v>
      </c>
      <c r="M8717">
        <v>6.4181650000000007E-2</v>
      </c>
      <c r="N8717">
        <v>0</v>
      </c>
      <c r="O8717">
        <v>0.99783869999999997</v>
      </c>
      <c r="P8717">
        <v>8.9976299999999995E-2</v>
      </c>
      <c r="Q8717">
        <v>5.8378480000000003E-2</v>
      </c>
      <c r="R8717">
        <v>0.99423150000000005</v>
      </c>
      <c r="S8717">
        <v>1.0130619999999999</v>
      </c>
      <c r="T8717">
        <v>0.11659120000000001</v>
      </c>
      <c r="U8717">
        <v>2.920471</v>
      </c>
      <c r="V8717">
        <v>2.634653E-2</v>
      </c>
      <c r="W8717">
        <v>7.2302920000000007E-2</v>
      </c>
      <c r="X8717">
        <v>0.99703470000000005</v>
      </c>
      <c r="Y8717">
        <v>0.26617099999999999</v>
      </c>
      <c r="Z8717">
        <v>3.794082E-2</v>
      </c>
      <c r="AA8717">
        <v>0.96317889999999995</v>
      </c>
      <c r="AB8717">
        <v>28</v>
      </c>
      <c r="AC8717">
        <v>21.792200000000001</v>
      </c>
      <c r="AD8717">
        <v>2.5094859999999999</v>
      </c>
      <c r="AE8717">
        <v>62.685000000000002</v>
      </c>
      <c r="AF8717">
        <v>17.698328198528301</v>
      </c>
      <c r="AG8717">
        <v>2.5094859999999999</v>
      </c>
      <c r="AH8717">
        <v>63.863215602144898</v>
      </c>
      <c r="AI8717">
        <v>87.831389345376493</v>
      </c>
      <c r="AJ8717">
        <v>74.510421630230198</v>
      </c>
      <c r="AK8717">
        <v>66.3177099126098</v>
      </c>
      <c r="AL8717">
        <v>85.8537299809133</v>
      </c>
      <c r="AM8717">
        <v>88.486317715991404</v>
      </c>
      <c r="AN8717">
        <v>1.0000000224438199</v>
      </c>
    </row>
    <row r="8718" spans="1:40" x14ac:dyDescent="0.25">
      <c r="A8718" t="str">
        <f>"20190312160539351"</f>
        <v>20190312160539351</v>
      </c>
      <c r="B8718" t="str">
        <f>"1552377939344242"</f>
        <v>1552377939344242</v>
      </c>
      <c r="C8718" t="s">
        <v>40</v>
      </c>
      <c r="D8718">
        <v>5.5511499999999998</v>
      </c>
      <c r="E8718">
        <v>0.59220709999999999</v>
      </c>
      <c r="F8718" t="s">
        <v>55</v>
      </c>
      <c r="G8718">
        <v>-165.63069999999999</v>
      </c>
      <c r="H8718">
        <v>3.641432</v>
      </c>
      <c r="I8718">
        <v>170.1677</v>
      </c>
      <c r="J8718">
        <v>-187.39429999999999</v>
      </c>
      <c r="K8718">
        <v>1.10819</v>
      </c>
      <c r="L8718">
        <v>107.71720000000001</v>
      </c>
      <c r="M8718">
        <v>6.6735719999999998E-2</v>
      </c>
      <c r="N8718">
        <v>0</v>
      </c>
      <c r="O8718">
        <v>0.99767110000000003</v>
      </c>
      <c r="P8718">
        <v>9.3543280000000006E-2</v>
      </c>
      <c r="Q8718">
        <v>5.8642850000000003E-2</v>
      </c>
      <c r="R8718">
        <v>0.99388659999999995</v>
      </c>
      <c r="S8718">
        <v>1.0140530000000001</v>
      </c>
      <c r="T8718">
        <v>0.1179333</v>
      </c>
      <c r="U8718">
        <v>2.9187319999999999</v>
      </c>
      <c r="V8718">
        <v>2.7382900000000002E-2</v>
      </c>
      <c r="W8718">
        <v>7.2564020000000007E-2</v>
      </c>
      <c r="X8718">
        <v>0.99698779999999998</v>
      </c>
      <c r="Y8718">
        <v>0.26416719999999999</v>
      </c>
      <c r="Z8718">
        <v>3.8397399999999998E-2</v>
      </c>
      <c r="AA8718">
        <v>0.96371229999999997</v>
      </c>
      <c r="AB8718">
        <v>28</v>
      </c>
      <c r="AC8718">
        <v>21.7636</v>
      </c>
      <c r="AD8718">
        <v>2.533242</v>
      </c>
      <c r="AE8718">
        <v>62.450499999999899</v>
      </c>
      <c r="AF8718">
        <v>17.521271236705001</v>
      </c>
      <c r="AG8718">
        <v>2.533242</v>
      </c>
      <c r="AH8718">
        <v>63.670384414949403</v>
      </c>
      <c r="AI8718">
        <v>87.803163591398999</v>
      </c>
      <c r="AJ8718">
        <v>74.6137805548221</v>
      </c>
      <c r="AK8718">
        <v>66.085778442325903</v>
      </c>
      <c r="AL8718">
        <v>85.838730630027499</v>
      </c>
      <c r="AM8718">
        <v>88.426730730824303</v>
      </c>
      <c r="AN8718">
        <v>1.0000000167798999</v>
      </c>
    </row>
    <row r="8719" spans="1:40" x14ac:dyDescent="0.25">
      <c r="A8719" t="str">
        <f>"20190312160539373"</f>
        <v>20190312160539373</v>
      </c>
      <c r="B8719" t="str">
        <f>"1552377939363762"</f>
        <v>1552377939363762</v>
      </c>
      <c r="C8719" t="s">
        <v>40</v>
      </c>
      <c r="D8719">
        <v>5.5763109999999996</v>
      </c>
      <c r="E8719">
        <v>0.59115620000000002</v>
      </c>
      <c r="F8719" t="s">
        <v>55</v>
      </c>
      <c r="G8719">
        <v>-165.6386</v>
      </c>
      <c r="H8719">
        <v>3.8053680000000001</v>
      </c>
      <c r="I8719">
        <v>170.1754</v>
      </c>
      <c r="J8719">
        <v>-187.37219999999999</v>
      </c>
      <c r="K8719">
        <v>1.108144</v>
      </c>
      <c r="L8719">
        <v>107.9975</v>
      </c>
      <c r="M8719">
        <v>6.9730739999999999E-2</v>
      </c>
      <c r="N8719">
        <v>0</v>
      </c>
      <c r="O8719">
        <v>0.99746610000000002</v>
      </c>
      <c r="P8719">
        <v>9.6956269999999997E-2</v>
      </c>
      <c r="Q8719">
        <v>5.9708650000000002E-2</v>
      </c>
      <c r="R8719">
        <v>0.99349609999999999</v>
      </c>
      <c r="S8719">
        <v>1.0155179999999999</v>
      </c>
      <c r="T8719">
        <v>0.12590090000000001</v>
      </c>
      <c r="U8719">
        <v>2.9154360000000001</v>
      </c>
      <c r="V8719">
        <v>2.783265E-2</v>
      </c>
      <c r="W8719">
        <v>7.362784E-2</v>
      </c>
      <c r="X8719">
        <v>0.99689729999999999</v>
      </c>
      <c r="Y8719">
        <v>0.26200630000000003</v>
      </c>
      <c r="Z8719">
        <v>4.102712E-2</v>
      </c>
      <c r="AA8719">
        <v>0.96419370000000004</v>
      </c>
      <c r="AB8719">
        <v>28</v>
      </c>
      <c r="AC8719">
        <v>21.733599999999999</v>
      </c>
      <c r="AD8719">
        <v>2.6972239999999998</v>
      </c>
      <c r="AE8719">
        <v>62.177900000000001</v>
      </c>
      <c r="AF8719">
        <v>17.315508226820899</v>
      </c>
      <c r="AG8719">
        <v>2.6972239999999998</v>
      </c>
      <c r="AH8719">
        <v>63.4357964701817</v>
      </c>
      <c r="AI8719">
        <v>87.651140301113003</v>
      </c>
      <c r="AJ8719">
        <v>74.732409333808107</v>
      </c>
      <c r="AK8719">
        <v>65.811869113903697</v>
      </c>
      <c r="AL8719">
        <v>85.777614548028296</v>
      </c>
      <c r="AM8719">
        <v>88.400758810029998</v>
      </c>
      <c r="AN8719">
        <v>0.99999997098818805</v>
      </c>
    </row>
    <row r="8720" spans="1:40" x14ac:dyDescent="0.25">
      <c r="A8720" t="str">
        <f>"20190312160539386"</f>
        <v>20190312160539386</v>
      </c>
      <c r="B8720" t="str">
        <f>"1552377939384258"</f>
        <v>1552377939384258</v>
      </c>
      <c r="C8720" t="s">
        <v>40</v>
      </c>
      <c r="D8720">
        <v>5.7181499999999996</v>
      </c>
      <c r="E8720">
        <v>0.59087709999999904</v>
      </c>
      <c r="F8720" t="s">
        <v>55</v>
      </c>
      <c r="G8720">
        <v>-165.65559999999999</v>
      </c>
      <c r="H8720">
        <v>4.1048900000000001</v>
      </c>
      <c r="I8720">
        <v>170.19220000000001</v>
      </c>
      <c r="J8720">
        <v>-187.3587</v>
      </c>
      <c r="K8720">
        <v>1.108114</v>
      </c>
      <c r="L8720">
        <v>108.1648</v>
      </c>
      <c r="M8720">
        <v>7.1543919999999997E-2</v>
      </c>
      <c r="N8720">
        <v>0</v>
      </c>
      <c r="O8720">
        <v>0.99733769999999999</v>
      </c>
      <c r="P8720">
        <v>9.8837610000000006E-2</v>
      </c>
      <c r="Q8720">
        <v>6.0116950000000002E-2</v>
      </c>
      <c r="R8720">
        <v>0.993286</v>
      </c>
      <c r="S8720">
        <v>1.016785</v>
      </c>
      <c r="T8720">
        <v>0.1403105</v>
      </c>
      <c r="U8720">
        <v>2.9119869999999999</v>
      </c>
      <c r="V8720">
        <v>2.791716E-2</v>
      </c>
      <c r="W8720">
        <v>7.4036340000000006E-2</v>
      </c>
      <c r="X8720">
        <v>0.99686470000000005</v>
      </c>
      <c r="Y8720">
        <v>0.2609127</v>
      </c>
      <c r="Z8720">
        <v>4.5758930000000003E-2</v>
      </c>
      <c r="AA8720">
        <v>0.9642773</v>
      </c>
      <c r="AB8720">
        <v>28</v>
      </c>
      <c r="AC8720">
        <v>21.703099999999999</v>
      </c>
      <c r="AD8720">
        <v>2.9967759999999899</v>
      </c>
      <c r="AE8720">
        <v>62.0274</v>
      </c>
      <c r="AF8720">
        <v>17.173634149523199</v>
      </c>
      <c r="AG8720">
        <v>2.9967759999999899</v>
      </c>
      <c r="AH8720">
        <v>63.289681084424799</v>
      </c>
      <c r="AI8720">
        <v>87.383537455808906</v>
      </c>
      <c r="AJ8720">
        <v>74.818373275907604</v>
      </c>
      <c r="AK8720">
        <v>65.646767689384703</v>
      </c>
      <c r="AL8720">
        <v>85.754145241650207</v>
      </c>
      <c r="AM8720">
        <v>88.395853037531495</v>
      </c>
      <c r="AN8720">
        <v>0.99999998878457497</v>
      </c>
    </row>
    <row r="8721" spans="1:40" x14ac:dyDescent="0.25">
      <c r="A8721" t="str">
        <f>"20190312160539398"</f>
        <v>20190312160539398</v>
      </c>
      <c r="B8721" t="str">
        <f>"1552377939394018"</f>
        <v>1552377939394018</v>
      </c>
      <c r="C8721" t="s">
        <v>40</v>
      </c>
      <c r="D8721">
        <v>5.5053869999999998</v>
      </c>
      <c r="E8721">
        <v>0.59180949999999999</v>
      </c>
      <c r="F8721" t="s">
        <v>55</v>
      </c>
      <c r="G8721">
        <v>-165.63220000000001</v>
      </c>
      <c r="H8721">
        <v>4.2549140000000003</v>
      </c>
      <c r="I8721">
        <v>170.1687</v>
      </c>
      <c r="J8721">
        <v>-187.3466</v>
      </c>
      <c r="K8721">
        <v>1.1080859999999999</v>
      </c>
      <c r="L8721">
        <v>108.3094</v>
      </c>
      <c r="M8721">
        <v>7.3137820000000006E-2</v>
      </c>
      <c r="N8721">
        <v>0</v>
      </c>
      <c r="O8721">
        <v>0.9972221</v>
      </c>
      <c r="P8721">
        <v>0.1009724</v>
      </c>
      <c r="Q8721">
        <v>6.0321930000000003E-2</v>
      </c>
      <c r="R8721">
        <v>0.99305880000000002</v>
      </c>
      <c r="S8721">
        <v>1.0196379999999901</v>
      </c>
      <c r="T8721">
        <v>0.1476827</v>
      </c>
      <c r="U8721">
        <v>2.9098820000000001</v>
      </c>
      <c r="V8721">
        <v>2.8472999999999998E-2</v>
      </c>
      <c r="W8721">
        <v>7.4237949999999997E-2</v>
      </c>
      <c r="X8721">
        <v>0.996834</v>
      </c>
      <c r="Y8721">
        <v>0.26039200000000001</v>
      </c>
      <c r="Z8721">
        <v>4.8177810000000001E-2</v>
      </c>
      <c r="AA8721">
        <v>0.96430020000000005</v>
      </c>
      <c r="AB8721">
        <v>28</v>
      </c>
      <c r="AC8721">
        <v>21.714399999999898</v>
      </c>
      <c r="AD8721">
        <v>3.14682799999999</v>
      </c>
      <c r="AE8721">
        <v>61.859299999999998</v>
      </c>
      <c r="AF8721">
        <v>17.092150153864399</v>
      </c>
      <c r="AG8721">
        <v>3.14682799999999</v>
      </c>
      <c r="AH8721">
        <v>63.136437568165299</v>
      </c>
      <c r="AI8721">
        <v>87.245627442744507</v>
      </c>
      <c r="AJ8721">
        <v>74.852105526155398</v>
      </c>
      <c r="AK8721">
        <v>65.484760609951607</v>
      </c>
      <c r="AL8721">
        <v>85.742562028824807</v>
      </c>
      <c r="AM8721">
        <v>88.363880764579605</v>
      </c>
      <c r="AN8721">
        <v>1.0000000042526</v>
      </c>
    </row>
    <row r="8722" spans="1:40" x14ac:dyDescent="0.25">
      <c r="A8722" t="str">
        <f>"20190312160539415"</f>
        <v>20190312160539415</v>
      </c>
      <c r="B8722" t="str">
        <f>"1552377939403778"</f>
        <v>1552377939403778</v>
      </c>
      <c r="C8722" t="s">
        <v>40</v>
      </c>
      <c r="D8722">
        <v>5.8731689999999999</v>
      </c>
      <c r="E8722">
        <v>0.59180949999999999</v>
      </c>
      <c r="F8722" t="s">
        <v>55</v>
      </c>
      <c r="G8722">
        <v>-165.4273</v>
      </c>
      <c r="H8722">
        <v>4.2283309999999998</v>
      </c>
      <c r="I8722">
        <v>169.9641</v>
      </c>
      <c r="J8722">
        <v>-187.32849999999999</v>
      </c>
      <c r="K8722">
        <v>1.1080589999999999</v>
      </c>
      <c r="L8722">
        <v>108.52119999999999</v>
      </c>
      <c r="M8722">
        <v>7.5498659999999995E-2</v>
      </c>
      <c r="N8722">
        <v>0</v>
      </c>
      <c r="O8722">
        <v>0.99704610000000005</v>
      </c>
      <c r="P8722">
        <v>0.1034605</v>
      </c>
      <c r="Q8722">
        <v>6.0245659999999999E-2</v>
      </c>
      <c r="R8722">
        <v>0.99280729999999995</v>
      </c>
      <c r="S8722">
        <v>1.033463</v>
      </c>
      <c r="T8722">
        <v>0.14711669999999999</v>
      </c>
      <c r="U8722">
        <v>2.9069370000000001</v>
      </c>
      <c r="V8722">
        <v>2.8615809999999998E-2</v>
      </c>
      <c r="W8722">
        <v>7.4161859999999996E-2</v>
      </c>
      <c r="X8722">
        <v>0.99683560000000004</v>
      </c>
      <c r="Y8722">
        <v>0.26249099999999997</v>
      </c>
      <c r="Z8722">
        <v>4.7975770000000001E-2</v>
      </c>
      <c r="AA8722">
        <v>0.96374099999999996</v>
      </c>
      <c r="AB8722">
        <v>28</v>
      </c>
      <c r="AC8722">
        <v>21.9011999999999</v>
      </c>
      <c r="AD8722">
        <v>3.1202719999999999</v>
      </c>
      <c r="AE8722">
        <v>61.442900000000002</v>
      </c>
      <c r="AF8722">
        <v>17.160095140418001</v>
      </c>
      <c r="AG8722">
        <v>3.1202719999999999</v>
      </c>
      <c r="AH8722">
        <v>62.777528570012599</v>
      </c>
      <c r="AI8722">
        <v>87.255071903430306</v>
      </c>
      <c r="AJ8722">
        <v>74.711797874128706</v>
      </c>
      <c r="AK8722">
        <v>65.155376262753194</v>
      </c>
      <c r="AL8722">
        <v>85.7469338243328</v>
      </c>
      <c r="AM8722">
        <v>88.355681729449401</v>
      </c>
      <c r="AN8722">
        <v>1.0000000297439799</v>
      </c>
    </row>
    <row r="8723" spans="1:40" x14ac:dyDescent="0.25">
      <c r="A8723" t="str">
        <f>"20190312160539506"</f>
        <v>20190312160539506</v>
      </c>
      <c r="B8723" t="str">
        <f>"1552377939504307"</f>
        <v>1552377939504307</v>
      </c>
      <c r="C8723" t="s">
        <v>40</v>
      </c>
      <c r="D8723">
        <v>4.8685199999999904</v>
      </c>
      <c r="E8723">
        <v>0.67439159999999998</v>
      </c>
      <c r="F8723" t="s">
        <v>55</v>
      </c>
      <c r="G8723">
        <v>-165.3442</v>
      </c>
      <c r="H8723">
        <v>4.203576</v>
      </c>
      <c r="I8723">
        <v>169.8811</v>
      </c>
      <c r="J8723">
        <v>-187.22489999999999</v>
      </c>
      <c r="K8723">
        <v>1.1078920000000001</v>
      </c>
      <c r="L8723">
        <v>109.62909999999999</v>
      </c>
      <c r="M8723">
        <v>8.8482190000000002E-2</v>
      </c>
      <c r="N8723">
        <v>0</v>
      </c>
      <c r="O8723">
        <v>0.99597760000000002</v>
      </c>
      <c r="P8723">
        <v>0.1159284</v>
      </c>
      <c r="Q8723">
        <v>5.979168E-2</v>
      </c>
      <c r="R8723">
        <v>0.99145629999999996</v>
      </c>
      <c r="S8723">
        <v>1.0406040000000001</v>
      </c>
      <c r="T8723">
        <v>0.1465243</v>
      </c>
      <c r="U8723">
        <v>2.904404</v>
      </c>
      <c r="V8723">
        <v>2.8181299999999999E-2</v>
      </c>
      <c r="W8723">
        <v>7.3710120000000004E-2</v>
      </c>
      <c r="X8723">
        <v>0.99688140000000003</v>
      </c>
      <c r="Y8723">
        <v>0.25227559999999999</v>
      </c>
      <c r="Z8723">
        <v>4.7791939999999998E-2</v>
      </c>
      <c r="AA8723">
        <v>0.96647450000000001</v>
      </c>
      <c r="AB8723">
        <v>27</v>
      </c>
      <c r="AC8723">
        <v>21.880699999999901</v>
      </c>
      <c r="AD8723">
        <v>3.0956839999999999</v>
      </c>
      <c r="AE8723">
        <v>60.252000000000002</v>
      </c>
      <c r="AF8723">
        <v>16.4247943563463</v>
      </c>
      <c r="AG8723">
        <v>3.0956839999999999</v>
      </c>
      <c r="AH8723">
        <v>61.807725981061402</v>
      </c>
      <c r="AI8723">
        <v>87.228720062300994</v>
      </c>
      <c r="AJ8723">
        <v>75.118155405496196</v>
      </c>
      <c r="AK8723">
        <v>64.027744923791403</v>
      </c>
      <c r="AL8723">
        <v>85.772887302884698</v>
      </c>
      <c r="AM8723">
        <v>88.380710454051595</v>
      </c>
      <c r="AN8723">
        <v>0.99999994656303004</v>
      </c>
    </row>
    <row r="8724" spans="1:40" x14ac:dyDescent="0.25">
      <c r="A8724" t="str">
        <f>"20190312160539519"</f>
        <v>20190312160539519</v>
      </c>
      <c r="B8724" t="str">
        <f>"1552377939514067"</f>
        <v>1552377939514067</v>
      </c>
      <c r="C8724" t="s">
        <v>40</v>
      </c>
      <c r="D8724">
        <v>5.9121269999999999</v>
      </c>
      <c r="E8724">
        <v>0.62941179999999997</v>
      </c>
      <c r="F8724" t="s">
        <v>41</v>
      </c>
      <c r="G8724">
        <v>-185.1771</v>
      </c>
      <c r="H8724" s="1">
        <v>-2.4001629999999999E-6</v>
      </c>
      <c r="I8724">
        <v>112.9301</v>
      </c>
      <c r="J8724">
        <v>-187.2079</v>
      </c>
      <c r="K8724">
        <v>1.1078699999999999</v>
      </c>
      <c r="L8724">
        <v>109.79640000000001</v>
      </c>
      <c r="M8724">
        <v>9.0535660000000004E-2</v>
      </c>
      <c r="N8724">
        <v>0</v>
      </c>
      <c r="O8724">
        <v>0.99579300000000004</v>
      </c>
      <c r="P8724">
        <v>0.11792320000000001</v>
      </c>
      <c r="Q8724">
        <v>5.9588780000000001E-2</v>
      </c>
      <c r="R8724">
        <v>0.99123320000000004</v>
      </c>
      <c r="S8724">
        <v>1.7838750000000001</v>
      </c>
      <c r="T8724">
        <v>-0.96507699999999996</v>
      </c>
      <c r="U8724">
        <v>2.8754729999999999</v>
      </c>
      <c r="V8724">
        <v>2.813361E-2</v>
      </c>
      <c r="W8724">
        <v>7.3507050000000004E-2</v>
      </c>
      <c r="X8724">
        <v>0.99689779999999995</v>
      </c>
      <c r="Y8724">
        <v>0.42723549999999899</v>
      </c>
      <c r="Z8724">
        <v>-0.27889059999999999</v>
      </c>
      <c r="AA8724">
        <v>0.86005229999999999</v>
      </c>
      <c r="AB8724">
        <v>27</v>
      </c>
      <c r="AC8724">
        <v>2.0308000000000002</v>
      </c>
      <c r="AD8724">
        <v>-1.107872400163</v>
      </c>
      <c r="AE8724">
        <v>3.1336999999999899</v>
      </c>
      <c r="AF8724">
        <v>1.59805622805437</v>
      </c>
      <c r="AG8724">
        <v>-1.107872400163</v>
      </c>
      <c r="AH8724">
        <v>3.0373557890959999</v>
      </c>
      <c r="AI8724">
        <v>107.88993361701201</v>
      </c>
      <c r="AJ8724">
        <v>62.249615251371701</v>
      </c>
      <c r="AK8724">
        <v>3.60647960657221</v>
      </c>
      <c r="AL8724">
        <v>85.784554253713296</v>
      </c>
      <c r="AM8724">
        <v>88.383475832586598</v>
      </c>
      <c r="AN8724">
        <v>1.00000000502808</v>
      </c>
    </row>
    <row r="8725" spans="1:40" x14ac:dyDescent="0.25">
      <c r="A8725" t="str">
        <f>"20190312160539533"</f>
        <v>20190312160539533</v>
      </c>
      <c r="B8725" t="str">
        <f>"1552377939523826"</f>
        <v>1552377939523826</v>
      </c>
      <c r="C8725" t="s">
        <v>40</v>
      </c>
      <c r="D8725">
        <v>5.7451759999999998</v>
      </c>
      <c r="E8725">
        <v>0.62708439999999999</v>
      </c>
      <c r="F8725" t="s">
        <v>41</v>
      </c>
      <c r="G8725">
        <v>-183.37389999999999</v>
      </c>
      <c r="H8725" s="1">
        <v>-4.6166869999999996E-6</v>
      </c>
      <c r="I8725">
        <v>117.6546</v>
      </c>
      <c r="J8725">
        <v>-187.19030000000001</v>
      </c>
      <c r="K8725">
        <v>1.107847</v>
      </c>
      <c r="L8725">
        <v>109.96550000000001</v>
      </c>
      <c r="M8725">
        <v>9.2627890000000004E-2</v>
      </c>
      <c r="N8725">
        <v>0</v>
      </c>
      <c r="O8725">
        <v>0.99560059999999995</v>
      </c>
      <c r="P8725">
        <v>0.1200401</v>
      </c>
      <c r="Q8725">
        <v>5.9716569999999997E-2</v>
      </c>
      <c r="R8725">
        <v>0.99097139999999995</v>
      </c>
      <c r="S8725">
        <v>1.4068909999999999</v>
      </c>
      <c r="T8725">
        <v>-0.40654249999999997</v>
      </c>
      <c r="U8725">
        <v>2.8836059999999999</v>
      </c>
      <c r="V8725">
        <v>2.817366E-2</v>
      </c>
      <c r="W8725">
        <v>7.3634019999999994E-2</v>
      </c>
      <c r="X8725">
        <v>0.99688730000000003</v>
      </c>
      <c r="Y8725">
        <v>0.34978680000000001</v>
      </c>
      <c r="Z8725">
        <v>-0.12727919999999901</v>
      </c>
      <c r="AA8725">
        <v>0.92814280000000005</v>
      </c>
      <c r="AB8725">
        <v>27</v>
      </c>
      <c r="AC8725">
        <v>3.81640000000001</v>
      </c>
      <c r="AD8725">
        <v>-1.1078516166870001</v>
      </c>
      <c r="AE8725">
        <v>7.6890999999999901</v>
      </c>
      <c r="AF8725">
        <v>3.0371069385346701</v>
      </c>
      <c r="AG8725">
        <v>-1.1078516166870001</v>
      </c>
      <c r="AH8725">
        <v>7.8783546640530497</v>
      </c>
      <c r="AI8725">
        <v>97.474954177763394</v>
      </c>
      <c r="AJ8725">
        <v>68.918341178817599</v>
      </c>
      <c r="AK8725">
        <v>8.5158573246208107</v>
      </c>
      <c r="AL8725">
        <v>85.777259646394597</v>
      </c>
      <c r="AM8725">
        <v>88.381158788612893</v>
      </c>
      <c r="AN8725">
        <v>1.0000000064602199</v>
      </c>
    </row>
    <row r="8726" spans="1:40" x14ac:dyDescent="0.25">
      <c r="A8726" t="str">
        <f>"20190312160539551"</f>
        <v>20190312160539551</v>
      </c>
      <c r="B8726" t="str">
        <f>"1552377939544322"</f>
        <v>1552377939544322</v>
      </c>
      <c r="C8726" t="s">
        <v>40</v>
      </c>
      <c r="D8726">
        <v>6.3601390000000002</v>
      </c>
      <c r="E8726">
        <v>0.62237589999999998</v>
      </c>
      <c r="F8726" t="s">
        <v>60</v>
      </c>
      <c r="G8726">
        <v>-182.131</v>
      </c>
      <c r="H8726" s="1">
        <v>-2.324785E-6</v>
      </c>
      <c r="I8726">
        <v>120.4389</v>
      </c>
      <c r="J8726">
        <v>-187.16739999999999</v>
      </c>
      <c r="K8726">
        <v>1.1078209999999999</v>
      </c>
      <c r="L8726">
        <v>110.18</v>
      </c>
      <c r="M8726">
        <v>9.5311750000000001E-2</v>
      </c>
      <c r="N8726">
        <v>0</v>
      </c>
      <c r="O8726">
        <v>0.99534730000000005</v>
      </c>
      <c r="P8726">
        <v>0.1224841</v>
      </c>
      <c r="Q8726">
        <v>5.9744659999999998E-2</v>
      </c>
      <c r="R8726">
        <v>0.99067059999999996</v>
      </c>
      <c r="S8726">
        <v>1.3899079999999999</v>
      </c>
      <c r="T8726">
        <v>-0.3043537</v>
      </c>
      <c r="U8726">
        <v>2.8773040000000001</v>
      </c>
      <c r="V8726">
        <v>2.7950039999999999E-2</v>
      </c>
      <c r="W8726">
        <v>7.3663039999999999E-2</v>
      </c>
      <c r="X8726">
        <v>0.99689139999999998</v>
      </c>
      <c r="Y8726">
        <v>0.34515099999999999</v>
      </c>
      <c r="Z8726">
        <v>-9.6001340000000004E-2</v>
      </c>
      <c r="AA8726">
        <v>0.93362440000000002</v>
      </c>
      <c r="AB8726">
        <v>27</v>
      </c>
      <c r="AC8726">
        <v>5.0364000000000102</v>
      </c>
      <c r="AD8726">
        <v>-1.107823324785</v>
      </c>
      <c r="AE8726">
        <v>10.258899999999899</v>
      </c>
      <c r="AF8726">
        <v>3.9980087877423198</v>
      </c>
      <c r="AG8726">
        <v>-1.107823324785</v>
      </c>
      <c r="AH8726">
        <v>10.5927287533941</v>
      </c>
      <c r="AI8726">
        <v>95.588379122319495</v>
      </c>
      <c r="AJ8726">
        <v>69.322011694463797</v>
      </c>
      <c r="AK8726">
        <v>11.376170235575101</v>
      </c>
      <c r="AL8726">
        <v>85.775592180646797</v>
      </c>
      <c r="AM8726">
        <v>88.394007702228507</v>
      </c>
      <c r="AN8726">
        <v>0.99999995579599998</v>
      </c>
    </row>
    <row r="8727" spans="1:40" x14ac:dyDescent="0.25">
      <c r="A8727" t="str">
        <f>"20190312160539574"</f>
        <v>20190312160539574</v>
      </c>
      <c r="B8727" t="str">
        <f>"1552377939563842"</f>
        <v>1552377939563842</v>
      </c>
      <c r="C8727" t="s">
        <v>40</v>
      </c>
      <c r="D8727">
        <v>4.7428210000000002</v>
      </c>
      <c r="E8727">
        <v>0.62370550000000002</v>
      </c>
      <c r="F8727" t="s">
        <v>60</v>
      </c>
      <c r="G8727">
        <v>-174.76329999999999</v>
      </c>
      <c r="H8727" s="1">
        <v>-4.5531090000000001E-6</v>
      </c>
      <c r="I8727">
        <v>136.5154</v>
      </c>
      <c r="J8727">
        <v>-187.1369</v>
      </c>
      <c r="K8727">
        <v>1.107796</v>
      </c>
      <c r="L8727">
        <v>110.4579</v>
      </c>
      <c r="M8727">
        <v>9.8833900000000002E-2</v>
      </c>
      <c r="N8727">
        <v>0</v>
      </c>
      <c r="O8727">
        <v>0.99500359999999999</v>
      </c>
      <c r="P8727">
        <v>0.12615560000000001</v>
      </c>
      <c r="Q8727">
        <v>5.9463879999999997E-2</v>
      </c>
      <c r="R8727">
        <v>0.99022659999999996</v>
      </c>
      <c r="S8727">
        <v>1.3510740000000001</v>
      </c>
      <c r="T8727">
        <v>-0.1206658</v>
      </c>
      <c r="U8727">
        <v>2.868484</v>
      </c>
      <c r="V8727">
        <v>2.8119390000000001E-2</v>
      </c>
      <c r="W8727">
        <v>7.3381039999999995E-2</v>
      </c>
      <c r="X8727">
        <v>0.99690749999999995</v>
      </c>
      <c r="Y8727">
        <v>0.33428340000000001</v>
      </c>
      <c r="Z8727">
        <v>-3.8489530000000001E-2</v>
      </c>
      <c r="AA8727">
        <v>0.94168629999999998</v>
      </c>
      <c r="AB8727">
        <v>27</v>
      </c>
      <c r="AC8727">
        <v>12.3736</v>
      </c>
      <c r="AD8727">
        <v>-1.1078005531090001</v>
      </c>
      <c r="AE8727">
        <v>26.057500000000001</v>
      </c>
      <c r="AF8727">
        <v>9.7230444663402409</v>
      </c>
      <c r="AG8727">
        <v>-1.1078005531090001</v>
      </c>
      <c r="AH8727">
        <v>27.112961192644999</v>
      </c>
      <c r="AI8727">
        <v>92.202534318755497</v>
      </c>
      <c r="AJ8727">
        <v>70.271536136377094</v>
      </c>
      <c r="AK8727">
        <v>28.8249454534396</v>
      </c>
      <c r="AL8727">
        <v>85.791793710555496</v>
      </c>
      <c r="AM8727">
        <v>88.384308176524897</v>
      </c>
      <c r="AN8727">
        <v>1.0000000203408499</v>
      </c>
    </row>
    <row r="8728" spans="1:40" x14ac:dyDescent="0.25">
      <c r="A8728" t="str">
        <f>"20190312160539594"</f>
        <v>20190312160539594</v>
      </c>
      <c r="B8728" t="str">
        <f>"1552377939584341"</f>
        <v>1552377939584341</v>
      </c>
      <c r="C8728" t="s">
        <v>40</v>
      </c>
      <c r="D8728">
        <v>5.4079030000000001</v>
      </c>
      <c r="E8728">
        <v>0.60391090000000003</v>
      </c>
      <c r="F8728" t="s">
        <v>60</v>
      </c>
      <c r="G8728">
        <v>-173.4864</v>
      </c>
      <c r="H8728" s="1">
        <v>-4.9071300000000004E-6</v>
      </c>
      <c r="I8728">
        <v>138.94040000000001</v>
      </c>
      <c r="J8728">
        <v>-187.1087</v>
      </c>
      <c r="K8728">
        <v>1.1077790000000001</v>
      </c>
      <c r="L8728">
        <v>110.7059</v>
      </c>
      <c r="M8728">
        <v>0.1020085</v>
      </c>
      <c r="N8728">
        <v>0</v>
      </c>
      <c r="O8728">
        <v>0.99468319999999999</v>
      </c>
      <c r="P8728">
        <v>0.12962089999999901</v>
      </c>
      <c r="Q8728">
        <v>5.9198550000000003E-2</v>
      </c>
      <c r="R8728">
        <v>0.98979490000000003</v>
      </c>
      <c r="S8728">
        <v>1.371429</v>
      </c>
      <c r="T8728">
        <v>-0.11129799999999999</v>
      </c>
      <c r="U8728">
        <v>2.8615719999999998</v>
      </c>
      <c r="V8728">
        <v>2.8428330000000002E-2</v>
      </c>
      <c r="W8728">
        <v>7.3112350000000007E-2</v>
      </c>
      <c r="X8728">
        <v>0.99691839999999998</v>
      </c>
      <c r="Y8728">
        <v>0.33766099999999999</v>
      </c>
      <c r="Z8728">
        <v>-3.5491910000000002E-2</v>
      </c>
      <c r="AA8728">
        <v>0.94059839999999995</v>
      </c>
      <c r="AB8728">
        <v>27</v>
      </c>
      <c r="AC8728">
        <v>13.6222999999999</v>
      </c>
      <c r="AD8728">
        <v>-1.10778390713</v>
      </c>
      <c r="AE8728">
        <v>28.234500000000001</v>
      </c>
      <c r="AF8728">
        <v>10.6574707431666</v>
      </c>
      <c r="AG8728">
        <v>-1.10778390713</v>
      </c>
      <c r="AH8728">
        <v>29.440152583174299</v>
      </c>
      <c r="AI8728">
        <v>92.026357711310197</v>
      </c>
      <c r="AJ8728">
        <v>70.099510834017096</v>
      </c>
      <c r="AK8728">
        <v>31.329402355406199</v>
      </c>
      <c r="AL8728">
        <v>85.8072296439599</v>
      </c>
      <c r="AM8728">
        <v>88.366584429266297</v>
      </c>
      <c r="AN8728">
        <v>0.99999994096383304</v>
      </c>
    </row>
    <row r="8729" spans="1:40" x14ac:dyDescent="0.25">
      <c r="A8729" t="str">
        <f>"20190312160539605"</f>
        <v>20190312160539605</v>
      </c>
      <c r="B8729" t="str">
        <f>"1552377939594100"</f>
        <v>1552377939594100</v>
      </c>
      <c r="C8729" t="s">
        <v>40</v>
      </c>
      <c r="D8729">
        <v>5.3390959999999996</v>
      </c>
      <c r="E8729">
        <v>0.60407739999999999</v>
      </c>
      <c r="F8729" t="s">
        <v>55</v>
      </c>
      <c r="G8729">
        <v>-163.1052</v>
      </c>
      <c r="H8729">
        <v>8.4816289999999999</v>
      </c>
      <c r="I8729">
        <v>167.64160000000001</v>
      </c>
      <c r="J8729">
        <v>-187.09200000000001</v>
      </c>
      <c r="K8729">
        <v>1.107769</v>
      </c>
      <c r="L8729">
        <v>110.85080000000001</v>
      </c>
      <c r="M8729">
        <v>0.1038737</v>
      </c>
      <c r="N8729">
        <v>0</v>
      </c>
      <c r="O8729">
        <v>0.99449010000000004</v>
      </c>
      <c r="P8729">
        <v>0.13137160000000001</v>
      </c>
      <c r="Q8729">
        <v>5.8999599999999999E-2</v>
      </c>
      <c r="R8729">
        <v>0.98957589999999995</v>
      </c>
      <c r="S8729">
        <v>1.2021329999999999</v>
      </c>
      <c r="T8729">
        <v>0.36929459999999997</v>
      </c>
      <c r="U8729">
        <v>2.8514249999999999</v>
      </c>
      <c r="V8729">
        <v>2.832146E-2</v>
      </c>
      <c r="W8729">
        <v>7.2914499999999993E-2</v>
      </c>
      <c r="X8729">
        <v>0.99693600000000004</v>
      </c>
      <c r="Y8729">
        <v>0.28785919999999998</v>
      </c>
      <c r="Z8729">
        <v>0.11967999999999999</v>
      </c>
      <c r="AA8729">
        <v>0.95016520000000004</v>
      </c>
      <c r="AB8729">
        <v>27</v>
      </c>
      <c r="AC8729">
        <v>23.986799999999999</v>
      </c>
      <c r="AD8729">
        <v>7.3738599999999996</v>
      </c>
      <c r="AE8729">
        <v>56.790799999999997</v>
      </c>
      <c r="AF8729">
        <v>17.7040694105734</v>
      </c>
      <c r="AG8729">
        <v>7.3738599999999996</v>
      </c>
      <c r="AH8729">
        <v>58.143528019153798</v>
      </c>
      <c r="AI8729">
        <v>83.082556348298198</v>
      </c>
      <c r="AJ8729">
        <v>73.065080029932105</v>
      </c>
      <c r="AK8729">
        <v>61.224813070422101</v>
      </c>
      <c r="AL8729">
        <v>85.818596235732798</v>
      </c>
      <c r="AM8729">
        <v>88.372750297642497</v>
      </c>
      <c r="AN8729">
        <v>1.0000000087513901</v>
      </c>
    </row>
    <row r="8730" spans="1:40" x14ac:dyDescent="0.25">
      <c r="A8730" t="str">
        <f>"20190312160539618"</f>
        <v>20190312160539618</v>
      </c>
      <c r="B8730" t="str">
        <f>"1552377939613619"</f>
        <v>1552377939613619</v>
      </c>
      <c r="C8730" t="s">
        <v>40</v>
      </c>
      <c r="D8730">
        <v>5.3692039999999999</v>
      </c>
      <c r="E8730">
        <v>0.6028888</v>
      </c>
      <c r="F8730" t="s">
        <v>55</v>
      </c>
      <c r="G8730">
        <v>-163.04179999999999</v>
      </c>
      <c r="H8730">
        <v>8.8532789999999899</v>
      </c>
      <c r="I8730">
        <v>167.57810000000001</v>
      </c>
      <c r="J8730">
        <v>-187.07509999999999</v>
      </c>
      <c r="K8730">
        <v>1.107764</v>
      </c>
      <c r="L8730">
        <v>110.9932</v>
      </c>
      <c r="M8730">
        <v>0.10571469999999999</v>
      </c>
      <c r="N8730">
        <v>0</v>
      </c>
      <c r="O8730">
        <v>0.99429610000000002</v>
      </c>
      <c r="P8730">
        <v>0.13332949999999999</v>
      </c>
      <c r="Q8730">
        <v>5.934449E-2</v>
      </c>
      <c r="R8730">
        <v>0.98929339999999999</v>
      </c>
      <c r="S8730">
        <v>1.207489</v>
      </c>
      <c r="T8730">
        <v>0.38888129999999999</v>
      </c>
      <c r="U8730">
        <v>2.8481139999999998</v>
      </c>
      <c r="V8730">
        <v>2.8453989999999998E-2</v>
      </c>
      <c r="W8730">
        <v>7.32574E-2</v>
      </c>
      <c r="X8730">
        <v>0.99690710000000005</v>
      </c>
      <c r="Y8730">
        <v>0.28769409999999901</v>
      </c>
      <c r="Z8730">
        <v>0.12598010000000001</v>
      </c>
      <c r="AA8730">
        <v>0.94940040000000003</v>
      </c>
      <c r="AB8730">
        <v>27</v>
      </c>
      <c r="AC8730">
        <v>24.033300000000001</v>
      </c>
      <c r="AD8730">
        <v>7.7455149999999904</v>
      </c>
      <c r="AE8730">
        <v>56.584899999999998</v>
      </c>
      <c r="AF8730">
        <v>17.6362016955405</v>
      </c>
      <c r="AG8730">
        <v>7.7455149999999904</v>
      </c>
      <c r="AH8730">
        <v>57.889778074493002</v>
      </c>
      <c r="AI8730">
        <v>82.706374823885497</v>
      </c>
      <c r="AJ8730">
        <v>73.056569531921596</v>
      </c>
      <c r="AK8730">
        <v>61.0102861686049</v>
      </c>
      <c r="AL8730">
        <v>85.7988968818633</v>
      </c>
      <c r="AM8730">
        <v>88.365092352793695</v>
      </c>
      <c r="AN8730">
        <v>1.00000002111604</v>
      </c>
    </row>
    <row r="8731" spans="1:40" x14ac:dyDescent="0.25">
      <c r="A8731" t="str">
        <f>"20190312160539630"</f>
        <v>20190312160539630</v>
      </c>
      <c r="B8731" t="str">
        <f>"1552377939624056"</f>
        <v>1552377939624056</v>
      </c>
      <c r="C8731" t="s">
        <v>40</v>
      </c>
      <c r="D8731">
        <v>5.6155249999999999</v>
      </c>
      <c r="E8731">
        <v>0.6028888</v>
      </c>
      <c r="F8731" t="s">
        <v>55</v>
      </c>
      <c r="G8731">
        <v>-163.12049999999999</v>
      </c>
      <c r="H8731">
        <v>8.9991810000000001</v>
      </c>
      <c r="I8731">
        <v>167.6566</v>
      </c>
      <c r="J8731">
        <v>-187.05670000000001</v>
      </c>
      <c r="K8731">
        <v>1.1077619999999999</v>
      </c>
      <c r="L8731">
        <v>111.1467</v>
      </c>
      <c r="M8731">
        <v>0.1077019</v>
      </c>
      <c r="N8731">
        <v>0</v>
      </c>
      <c r="O8731">
        <v>0.99408289999999999</v>
      </c>
      <c r="P8731">
        <v>0.1354262</v>
      </c>
      <c r="Q8731">
        <v>5.8648659999999998E-2</v>
      </c>
      <c r="R8731">
        <v>0.98905010000000004</v>
      </c>
      <c r="S8731">
        <v>1.2033689999999999</v>
      </c>
      <c r="T8731">
        <v>0.39643050000000002</v>
      </c>
      <c r="U8731">
        <v>2.8465120000000002</v>
      </c>
      <c r="V8731">
        <v>2.8566669999999999E-2</v>
      </c>
      <c r="W8731">
        <v>7.256116E-2</v>
      </c>
      <c r="X8731">
        <v>0.99695480000000003</v>
      </c>
      <c r="Y8731">
        <v>0.2846805</v>
      </c>
      <c r="Z8731">
        <v>0.12850139999999999</v>
      </c>
      <c r="AA8731">
        <v>0.94997069999999995</v>
      </c>
      <c r="AB8731">
        <v>27</v>
      </c>
      <c r="AC8731">
        <v>23.936199999999999</v>
      </c>
      <c r="AD8731">
        <v>7.891419</v>
      </c>
      <c r="AE8731">
        <v>56.509900000000002</v>
      </c>
      <c r="AF8731">
        <v>17.422043303602099</v>
      </c>
      <c r="AG8731">
        <v>7.891419</v>
      </c>
      <c r="AH8731">
        <v>57.803600412460398</v>
      </c>
      <c r="AI8731">
        <v>82.552911213224704</v>
      </c>
      <c r="AJ8731">
        <v>73.227158586172294</v>
      </c>
      <c r="AK8731">
        <v>60.885616588399103</v>
      </c>
      <c r="AL8731">
        <v>85.838894962955905</v>
      </c>
      <c r="AM8731">
        <v>88.358700016749793</v>
      </c>
      <c r="AN8731">
        <v>1.00000002490923</v>
      </c>
    </row>
    <row r="8732" spans="1:40" x14ac:dyDescent="0.25">
      <c r="A8732" t="str">
        <f>"20190312160539641"</f>
        <v>20190312160539641</v>
      </c>
      <c r="B8732" t="str">
        <f>"1552377939633816"</f>
        <v>1552377939633816</v>
      </c>
      <c r="C8732" t="s">
        <v>40</v>
      </c>
      <c r="D8732">
        <v>5.6970140000000002</v>
      </c>
      <c r="E8732">
        <v>0.6028888</v>
      </c>
      <c r="F8732" t="s">
        <v>55</v>
      </c>
      <c r="G8732">
        <v>-163.05369999999999</v>
      </c>
      <c r="H8732">
        <v>8.93011499999999</v>
      </c>
      <c r="I8732">
        <v>167.5899</v>
      </c>
      <c r="J8732">
        <v>-187.0393</v>
      </c>
      <c r="K8732">
        <v>1.1077589999999999</v>
      </c>
      <c r="L8732">
        <v>111.2889</v>
      </c>
      <c r="M8732">
        <v>0.10954659999999999</v>
      </c>
      <c r="N8732">
        <v>0</v>
      </c>
      <c r="O8732">
        <v>0.99388120000000002</v>
      </c>
      <c r="P8732">
        <v>0.1375257</v>
      </c>
      <c r="Q8732">
        <v>5.8678880000000003E-2</v>
      </c>
      <c r="R8732">
        <v>0.98875860000000004</v>
      </c>
      <c r="S8732">
        <v>1.2095340000000001</v>
      </c>
      <c r="T8732">
        <v>0.39417720000000001</v>
      </c>
      <c r="U8732">
        <v>2.8442229999999999</v>
      </c>
      <c r="V8732">
        <v>2.883407E-2</v>
      </c>
      <c r="W8732">
        <v>7.2589230000000005E-2</v>
      </c>
      <c r="X8732">
        <v>0.99694499999999997</v>
      </c>
      <c r="Y8732">
        <v>0.2849584</v>
      </c>
      <c r="Z8732">
        <v>0.12778119999999901</v>
      </c>
      <c r="AA8732">
        <v>0.94998459999999996</v>
      </c>
      <c r="AB8732">
        <v>27</v>
      </c>
      <c r="AC8732">
        <v>23.985600000000002</v>
      </c>
      <c r="AD8732">
        <v>7.8223559999999903</v>
      </c>
      <c r="AE8732">
        <v>56.301000000000002</v>
      </c>
      <c r="AF8732">
        <v>17.388910997738002</v>
      </c>
      <c r="AG8732">
        <v>7.8223559999999903</v>
      </c>
      <c r="AH8732">
        <v>57.648018678421302</v>
      </c>
      <c r="AI8732">
        <v>82.598142661682203</v>
      </c>
      <c r="AJ8732">
        <v>73.2146222627604</v>
      </c>
      <c r="AK8732">
        <v>60.719498817312399</v>
      </c>
      <c r="AL8732">
        <v>85.837282174376895</v>
      </c>
      <c r="AM8732">
        <v>88.343328777259799</v>
      </c>
      <c r="AN8732">
        <v>0.99999996646487799</v>
      </c>
    </row>
    <row r="8733" spans="1:40" x14ac:dyDescent="0.25">
      <c r="A8733" t="str">
        <f>"20190312160539686"</f>
        <v>20190312160539686</v>
      </c>
      <c r="B8733" t="str">
        <f>"1552377939683592"</f>
        <v>1552377939683592</v>
      </c>
      <c r="C8733" t="s">
        <v>40</v>
      </c>
      <c r="D8733">
        <v>5.3440899999999996</v>
      </c>
      <c r="E8733">
        <v>0.66305829999999999</v>
      </c>
      <c r="F8733" t="s">
        <v>55</v>
      </c>
      <c r="G8733">
        <v>-162.98410000000001</v>
      </c>
      <c r="H8733">
        <v>8.9062970000000004</v>
      </c>
      <c r="I8733">
        <v>167.5204</v>
      </c>
      <c r="J8733">
        <v>-186.97069999999999</v>
      </c>
      <c r="K8733">
        <v>1.1077669999999999</v>
      </c>
      <c r="L8733">
        <v>111.83150000000001</v>
      </c>
      <c r="M8733">
        <v>0.1165984</v>
      </c>
      <c r="N8733">
        <v>0</v>
      </c>
      <c r="O8733">
        <v>0.99307869999999998</v>
      </c>
      <c r="P8733">
        <v>0.1442966</v>
      </c>
      <c r="Q8733">
        <v>5.9061339999999997E-2</v>
      </c>
      <c r="R8733">
        <v>0.98777029999999999</v>
      </c>
      <c r="S8733">
        <v>1.215622</v>
      </c>
      <c r="T8733">
        <v>0.39409840000000002</v>
      </c>
      <c r="U8733">
        <v>2.8416440000000001</v>
      </c>
      <c r="V8733">
        <v>2.8592159999999998E-2</v>
      </c>
      <c r="W8733">
        <v>7.2971110000000006E-2</v>
      </c>
      <c r="X8733">
        <v>0.99692409999999998</v>
      </c>
      <c r="Y8733">
        <v>0.28018999999999999</v>
      </c>
      <c r="Z8733">
        <v>0.12774750000000001</v>
      </c>
      <c r="AA8733">
        <v>0.95140639999999999</v>
      </c>
      <c r="AB8733">
        <v>27</v>
      </c>
      <c r="AC8733">
        <v>23.9865999999999</v>
      </c>
      <c r="AD8733">
        <v>7.7985300000000004</v>
      </c>
      <c r="AE8733">
        <v>55.688899999999897</v>
      </c>
      <c r="AF8733">
        <v>17.047087318367598</v>
      </c>
      <c r="AG8733">
        <v>7.7985300000000004</v>
      </c>
      <c r="AH8733">
        <v>57.160528855570099</v>
      </c>
      <c r="AI8733">
        <v>82.551302391483901</v>
      </c>
      <c r="AJ8733">
        <v>73.393746341788997</v>
      </c>
      <c r="AK8733">
        <v>60.156016450970398</v>
      </c>
      <c r="AL8733">
        <v>85.815343928682793</v>
      </c>
      <c r="AM8733">
        <v>88.357185728456798</v>
      </c>
      <c r="AN8733">
        <v>0.99999997783445305</v>
      </c>
    </row>
    <row r="8734" spans="1:40" x14ac:dyDescent="0.25">
      <c r="A8734" t="str">
        <f>"20190312160539706"</f>
        <v>20190312160539706</v>
      </c>
      <c r="B8734" t="str">
        <f>"1552377939704088"</f>
        <v>1552377939704088</v>
      </c>
      <c r="C8734" t="s">
        <v>40</v>
      </c>
      <c r="D8734">
        <v>8.6506889999999999</v>
      </c>
      <c r="E8734">
        <v>0.6560686</v>
      </c>
      <c r="F8734" t="s">
        <v>41</v>
      </c>
      <c r="G8734">
        <v>-184.5335</v>
      </c>
      <c r="H8734" s="1">
        <v>-3.582907E-6</v>
      </c>
      <c r="I8734">
        <v>115.7243</v>
      </c>
      <c r="J8734">
        <v>-186.94120000000001</v>
      </c>
      <c r="K8734">
        <v>1.1077709999999901</v>
      </c>
      <c r="L8734">
        <v>112.0549</v>
      </c>
      <c r="M8734">
        <v>0.1195022</v>
      </c>
      <c r="N8734">
        <v>0</v>
      </c>
      <c r="O8734">
        <v>0.99273350000000005</v>
      </c>
      <c r="P8734">
        <v>0.1463255</v>
      </c>
      <c r="Q8734">
        <v>5.8166839999999997E-2</v>
      </c>
      <c r="R8734">
        <v>0.98752490000000004</v>
      </c>
      <c r="S8734">
        <v>1.7697449999999999</v>
      </c>
      <c r="T8734">
        <v>-0.80439530000000004</v>
      </c>
      <c r="U8734">
        <v>2.8267060000000002</v>
      </c>
      <c r="V8734">
        <v>2.771088E-2</v>
      </c>
      <c r="W8734">
        <v>7.2082740000000006E-2</v>
      </c>
      <c r="X8734">
        <v>0.99701360000000006</v>
      </c>
      <c r="Y8734">
        <v>0.41022130000000001</v>
      </c>
      <c r="Z8734">
        <v>-0.23896039999999999</v>
      </c>
      <c r="AA8734">
        <v>0.88012299999999999</v>
      </c>
      <c r="AB8734">
        <v>27</v>
      </c>
      <c r="AC8734">
        <v>2.4077000000000002</v>
      </c>
      <c r="AD8734">
        <v>-1.10777458290699</v>
      </c>
      <c r="AE8734">
        <v>3.6693999999999898</v>
      </c>
      <c r="AF8734">
        <v>1.83498927115526</v>
      </c>
      <c r="AG8734">
        <v>-1.10777458290699</v>
      </c>
      <c r="AH8734">
        <v>3.6954161914791799</v>
      </c>
      <c r="AI8734">
        <v>105.02895854560499</v>
      </c>
      <c r="AJ8734">
        <v>63.592925673049102</v>
      </c>
      <c r="AK8734">
        <v>4.2720546555534797</v>
      </c>
      <c r="AL8734">
        <v>85.866378136970098</v>
      </c>
      <c r="AM8734">
        <v>88.4079376419635</v>
      </c>
      <c r="AN8734">
        <v>0.99999996643061995</v>
      </c>
    </row>
    <row r="8735" spans="1:40" x14ac:dyDescent="0.25">
      <c r="A8735" t="str">
        <f>"20190312160539717"</f>
        <v>20190312160539717</v>
      </c>
      <c r="B8735" t="str">
        <f>"1552377939713848"</f>
        <v>1552377939713848</v>
      </c>
      <c r="C8735" t="s">
        <v>40</v>
      </c>
      <c r="D8735">
        <v>5.743684</v>
      </c>
      <c r="E8735">
        <v>0.62341550000000001</v>
      </c>
      <c r="F8735" t="s">
        <v>41</v>
      </c>
      <c r="G8735">
        <v>-184.37370000000001</v>
      </c>
      <c r="H8735" s="1">
        <v>-3.8502869999999996E-6</v>
      </c>
      <c r="I8735">
        <v>116.28149999999999</v>
      </c>
      <c r="J8735">
        <v>-186.92189999999999</v>
      </c>
      <c r="K8735">
        <v>1.107775</v>
      </c>
      <c r="L8735">
        <v>112.1985</v>
      </c>
      <c r="M8735">
        <v>0.12136660000000001</v>
      </c>
      <c r="N8735">
        <v>0</v>
      </c>
      <c r="O8735">
        <v>0.99250729999999998</v>
      </c>
      <c r="P8735">
        <v>0.14801259999999999</v>
      </c>
      <c r="Q8735">
        <v>5.7678300000000002E-2</v>
      </c>
      <c r="R8735">
        <v>0.98730209999999996</v>
      </c>
      <c r="S8735">
        <v>1.7173309999999999</v>
      </c>
      <c r="T8735">
        <v>-0.7409694</v>
      </c>
      <c r="U8735">
        <v>2.8270719999999998</v>
      </c>
      <c r="V8735">
        <v>2.7534280000000001E-2</v>
      </c>
      <c r="W8735">
        <v>7.1594749999999999E-2</v>
      </c>
      <c r="X8735">
        <v>0.99705370000000004</v>
      </c>
      <c r="Y8735">
        <v>0.3985979</v>
      </c>
      <c r="Z8735">
        <v>-0.22261349999999999</v>
      </c>
      <c r="AA8735">
        <v>0.88969819999999999</v>
      </c>
      <c r="AB8735">
        <v>27</v>
      </c>
      <c r="AC8735">
        <v>2.54819999999998</v>
      </c>
      <c r="AD8735">
        <v>-1.1077788502869901</v>
      </c>
      <c r="AE8735">
        <v>4.0829999999999904</v>
      </c>
      <c r="AF8735">
        <v>1.9314474736106699</v>
      </c>
      <c r="AG8735">
        <v>-1.1077788502869901</v>
      </c>
      <c r="AH8735">
        <v>4.1426431816263198</v>
      </c>
      <c r="AI8735">
        <v>103.623587923491</v>
      </c>
      <c r="AJ8735">
        <v>65.003394228914701</v>
      </c>
      <c r="AK8735">
        <v>4.7031006638955999</v>
      </c>
      <c r="AL8735">
        <v>85.894410524029496</v>
      </c>
      <c r="AM8735">
        <v>88.418142190932997</v>
      </c>
      <c r="AN8735">
        <v>1.0000000127431801</v>
      </c>
    </row>
    <row r="8736" spans="1:40" x14ac:dyDescent="0.25">
      <c r="A8736" t="str">
        <f>"20190312160539731"</f>
        <v>20190312160539731</v>
      </c>
      <c r="B8736" t="str">
        <f>"1552377939724291"</f>
        <v>1552377939724291</v>
      </c>
      <c r="C8736" t="s">
        <v>40</v>
      </c>
      <c r="D8736">
        <v>5.463044</v>
      </c>
      <c r="E8736">
        <v>0.62395639999999997</v>
      </c>
      <c r="F8736" t="s">
        <v>60</v>
      </c>
      <c r="G8736">
        <v>-179.58260000000001</v>
      </c>
      <c r="H8736">
        <v>7.9988110000000001E-2</v>
      </c>
      <c r="I8736">
        <v>126.68210000000001</v>
      </c>
      <c r="J8736">
        <v>-186.9006</v>
      </c>
      <c r="K8736">
        <v>1.107782</v>
      </c>
      <c r="L8736">
        <v>112.3548</v>
      </c>
      <c r="M8736">
        <v>0.1233948</v>
      </c>
      <c r="N8736">
        <v>0</v>
      </c>
      <c r="O8736">
        <v>0.99225719999999995</v>
      </c>
      <c r="P8736">
        <v>0.15004229999999999</v>
      </c>
      <c r="Q8736">
        <v>5.6959570000000001E-2</v>
      </c>
      <c r="R8736">
        <v>0.98703739999999995</v>
      </c>
      <c r="S8736">
        <v>1.436569</v>
      </c>
      <c r="T8736">
        <v>-0.20117570000000001</v>
      </c>
      <c r="U8736">
        <v>2.8349760000000002</v>
      </c>
      <c r="V8736">
        <v>2.7536250000000002E-2</v>
      </c>
      <c r="W8736">
        <v>7.0876079999999994E-2</v>
      </c>
      <c r="X8736">
        <v>0.99710500000000002</v>
      </c>
      <c r="Y8736">
        <v>0.33754630000000002</v>
      </c>
      <c r="Z8736">
        <v>-6.4047809999999997E-2</v>
      </c>
      <c r="AA8736">
        <v>0.93912739999999995</v>
      </c>
      <c r="AB8736">
        <v>27</v>
      </c>
      <c r="AC8736">
        <v>7.3179999999999801</v>
      </c>
      <c r="AD8736">
        <v>-1.0277938900000001</v>
      </c>
      <c r="AE8736">
        <v>14.327299999999999</v>
      </c>
      <c r="AF8736">
        <v>5.4716397618747497</v>
      </c>
      <c r="AG8736">
        <v>-1.0277938900000001</v>
      </c>
      <c r="AH8736">
        <v>15.0594140398088</v>
      </c>
      <c r="AI8736">
        <v>93.670288011664297</v>
      </c>
      <c r="AJ8736">
        <v>70.032052616483497</v>
      </c>
      <c r="AK8736">
        <v>16.055564555207699</v>
      </c>
      <c r="AL8736">
        <v>85.935692196309603</v>
      </c>
      <c r="AM8736">
        <v>88.418110420361103</v>
      </c>
      <c r="AN8736">
        <v>1.00000002240261</v>
      </c>
    </row>
    <row r="8737" spans="1:40" x14ac:dyDescent="0.25">
      <c r="A8737" t="str">
        <f>"20190312160539744"</f>
        <v>20190312160539744</v>
      </c>
      <c r="B8737" t="str">
        <f>"1552377939734050"</f>
        <v>1552377939734050</v>
      </c>
      <c r="C8737" t="s">
        <v>40</v>
      </c>
      <c r="D8737">
        <v>9.7041120000000003</v>
      </c>
      <c r="E8737">
        <v>0.62448599999999999</v>
      </c>
      <c r="F8737" t="s">
        <v>41</v>
      </c>
      <c r="G8737">
        <v>-169.85720000000001</v>
      </c>
      <c r="H8737" s="1">
        <v>-1.685837E-6</v>
      </c>
      <c r="I8737">
        <v>145.77199999999999</v>
      </c>
      <c r="J8737">
        <v>-186.87690000000001</v>
      </c>
      <c r="K8737">
        <v>1.107785</v>
      </c>
      <c r="L8737">
        <v>112.5261</v>
      </c>
      <c r="M8737">
        <v>0.12561710000000001</v>
      </c>
      <c r="N8737">
        <v>0</v>
      </c>
      <c r="O8737">
        <v>0.99197829999999998</v>
      </c>
      <c r="P8737">
        <v>0.1522676</v>
      </c>
      <c r="Q8737">
        <v>5.723752E-2</v>
      </c>
      <c r="R8737">
        <v>0.98668049999999996</v>
      </c>
      <c r="S8737">
        <v>1.4411769999999999</v>
      </c>
      <c r="T8737">
        <v>-9.3673350000000002E-2</v>
      </c>
      <c r="U8737">
        <v>2.8257289999999999</v>
      </c>
      <c r="V8737">
        <v>2.755401E-2</v>
      </c>
      <c r="W8737">
        <v>7.1152900000000005E-2</v>
      </c>
      <c r="X8737">
        <v>0.99708479999999999</v>
      </c>
      <c r="Y8737">
        <v>0.33862219999999998</v>
      </c>
      <c r="Z8737">
        <v>-2.9931610000000001E-2</v>
      </c>
      <c r="AA8737">
        <v>0.94044620000000001</v>
      </c>
      <c r="AB8737">
        <v>27</v>
      </c>
      <c r="AC8737">
        <v>17.0197</v>
      </c>
      <c r="AD8737">
        <v>-1.107786685837</v>
      </c>
      <c r="AE8737">
        <v>33.245899999999999</v>
      </c>
      <c r="AF8737">
        <v>12.697016599929499</v>
      </c>
      <c r="AG8737">
        <v>-1.107786685837</v>
      </c>
      <c r="AH8737">
        <v>35.089808729643998</v>
      </c>
      <c r="AI8737">
        <v>91.7004045285247</v>
      </c>
      <c r="AJ8737">
        <v>70.1076760470377</v>
      </c>
      <c r="AK8737">
        <v>37.332775125393503</v>
      </c>
      <c r="AL8737">
        <v>85.919791459016807</v>
      </c>
      <c r="AM8737">
        <v>88.417058619169495</v>
      </c>
      <c r="AN8737">
        <v>1.00000002851826</v>
      </c>
    </row>
    <row r="8738" spans="1:40" x14ac:dyDescent="0.25">
      <c r="A8738" t="str">
        <f>"20190312160539763"</f>
        <v>20190312160539763</v>
      </c>
      <c r="B8738" t="str">
        <f>"1552377939753570"</f>
        <v>1552377939753570</v>
      </c>
      <c r="C8738" t="s">
        <v>40</v>
      </c>
      <c r="D8738">
        <v>5.7852629999999996</v>
      </c>
      <c r="E8738">
        <v>0.6199403</v>
      </c>
      <c r="F8738" t="s">
        <v>55</v>
      </c>
      <c r="G8738">
        <v>-160.0992</v>
      </c>
      <c r="H8738">
        <v>0.87064169999999996</v>
      </c>
      <c r="I8738">
        <v>164.6439</v>
      </c>
      <c r="J8738">
        <v>-186.8466</v>
      </c>
      <c r="K8738">
        <v>1.1077920000000001</v>
      </c>
      <c r="L8738">
        <v>112.7409</v>
      </c>
      <c r="M8738">
        <v>0.1284006</v>
      </c>
      <c r="N8738">
        <v>0</v>
      </c>
      <c r="O8738">
        <v>0.99162189999999995</v>
      </c>
      <c r="P8738">
        <v>0.15540399999999999</v>
      </c>
      <c r="Q8738">
        <v>5.7104759999999997E-2</v>
      </c>
      <c r="R8738">
        <v>0.9861991</v>
      </c>
      <c r="S8738">
        <v>1.4477690000000001</v>
      </c>
      <c r="T8738">
        <v>-1.2819769999999999E-2</v>
      </c>
      <c r="U8738">
        <v>2.8178100000000001</v>
      </c>
      <c r="V8738">
        <v>2.7923400000000001E-2</v>
      </c>
      <c r="W8738">
        <v>7.1016869999999996E-2</v>
      </c>
      <c r="X8738">
        <v>0.99708419999999998</v>
      </c>
      <c r="Y8738">
        <v>0.33899410000000002</v>
      </c>
      <c r="Z8738">
        <v>-4.1039010000000001E-3</v>
      </c>
      <c r="AA8738">
        <v>0.94077949999999999</v>
      </c>
      <c r="AB8738">
        <v>27</v>
      </c>
      <c r="AC8738">
        <v>26.747399999999999</v>
      </c>
      <c r="AD8738">
        <v>-0.23715030000000001</v>
      </c>
      <c r="AE8738">
        <v>51.902999999999999</v>
      </c>
      <c r="AF8738">
        <v>19.860582820160499</v>
      </c>
      <c r="AG8738">
        <v>-0.23715030000000001</v>
      </c>
      <c r="AH8738">
        <v>54.907099614322199</v>
      </c>
      <c r="AI8738">
        <v>90.232710309126503</v>
      </c>
      <c r="AJ8738">
        <v>70.114310688815294</v>
      </c>
      <c r="AK8738">
        <v>58.389113525368302</v>
      </c>
      <c r="AL8738">
        <v>85.927605082452203</v>
      </c>
      <c r="AM8738">
        <v>88.395847702773693</v>
      </c>
      <c r="AN8738">
        <v>1.0000000069908901</v>
      </c>
    </row>
    <row r="8739" spans="1:40" x14ac:dyDescent="0.25">
      <c r="A8739" t="str">
        <f>"20190312160539784"</f>
        <v>20190312160539784</v>
      </c>
      <c r="B8739" t="str">
        <f>"1552377939774066"</f>
        <v>1552377939774066</v>
      </c>
      <c r="C8739" t="s">
        <v>40</v>
      </c>
      <c r="D8739">
        <v>5.9445290000000002</v>
      </c>
      <c r="E8739">
        <v>0.62316319999999903</v>
      </c>
      <c r="F8739" t="s">
        <v>55</v>
      </c>
      <c r="G8739">
        <v>-160.52010000000001</v>
      </c>
      <c r="H8739">
        <v>2.8200419999999999</v>
      </c>
      <c r="I8739">
        <v>165.06299999999999</v>
      </c>
      <c r="J8739">
        <v>-186.80959999999999</v>
      </c>
      <c r="K8739">
        <v>1.107799</v>
      </c>
      <c r="L8739">
        <v>112.99760000000001</v>
      </c>
      <c r="M8739">
        <v>0.13172729999999999</v>
      </c>
      <c r="N8739">
        <v>0</v>
      </c>
      <c r="O8739">
        <v>0.99118539999999999</v>
      </c>
      <c r="P8739">
        <v>0.15949829999999901</v>
      </c>
      <c r="Q8739">
        <v>5.6692680000000002E-2</v>
      </c>
      <c r="R8739">
        <v>0.98556900000000003</v>
      </c>
      <c r="S8739">
        <v>1.4156799999999901</v>
      </c>
      <c r="T8739">
        <v>9.2075939999999995E-2</v>
      </c>
      <c r="U8739">
        <v>2.8135680000000001</v>
      </c>
      <c r="V8739">
        <v>2.871224E-2</v>
      </c>
      <c r="W8739">
        <v>7.0598300000000003E-2</v>
      </c>
      <c r="X8739">
        <v>0.99709150000000002</v>
      </c>
      <c r="Y8739">
        <v>0.32767380000000002</v>
      </c>
      <c r="Z8739">
        <v>2.9615389999999998E-2</v>
      </c>
      <c r="AA8739">
        <v>0.94432660000000002</v>
      </c>
      <c r="AB8739">
        <v>27</v>
      </c>
      <c r="AC8739">
        <v>26.289499999999901</v>
      </c>
      <c r="AD8739">
        <v>1.712243</v>
      </c>
      <c r="AE8739">
        <v>52.065399999999897</v>
      </c>
      <c r="AF8739">
        <v>19.184715391261101</v>
      </c>
      <c r="AG8739">
        <v>1.712243</v>
      </c>
      <c r="AH8739">
        <v>55.027578555201003</v>
      </c>
      <c r="AI8739">
        <v>88.317040530442796</v>
      </c>
      <c r="AJ8739">
        <v>70.779494153737801</v>
      </c>
      <c r="AK8739">
        <v>58.301110472988</v>
      </c>
      <c r="AL8739">
        <v>85.951647639097999</v>
      </c>
      <c r="AM8739">
        <v>88.350566933444497</v>
      </c>
      <c r="AN8739">
        <v>0.99999998603047802</v>
      </c>
    </row>
    <row r="8740" spans="1:40" x14ac:dyDescent="0.25">
      <c r="A8740" t="str">
        <f>"20190312160539796"</f>
        <v>20190312160539796</v>
      </c>
      <c r="B8740" t="str">
        <f>"1552377939793586"</f>
        <v>1552377939793586</v>
      </c>
      <c r="C8740" t="s">
        <v>40</v>
      </c>
      <c r="D8740">
        <v>5.5746880000000001</v>
      </c>
      <c r="E8740">
        <v>0.62304440000000005</v>
      </c>
      <c r="F8740" t="s">
        <v>55</v>
      </c>
      <c r="G8740">
        <v>-160.054</v>
      </c>
      <c r="H8740">
        <v>2.005474</v>
      </c>
      <c r="I8740">
        <v>164.59799999999899</v>
      </c>
      <c r="J8740">
        <v>-186.78880000000001</v>
      </c>
      <c r="K8740">
        <v>1.1077980000000001</v>
      </c>
      <c r="L8740">
        <v>113.1391</v>
      </c>
      <c r="M8740">
        <v>0.1335604</v>
      </c>
      <c r="N8740">
        <v>0</v>
      </c>
      <c r="O8740">
        <v>0.99094020000000005</v>
      </c>
      <c r="P8740">
        <v>0.1619023</v>
      </c>
      <c r="Q8740">
        <v>5.6494129999999997E-2</v>
      </c>
      <c r="R8740">
        <v>0.98518830000000002</v>
      </c>
      <c r="S8740">
        <v>1.454788</v>
      </c>
      <c r="T8740">
        <v>4.8811199999999999E-2</v>
      </c>
      <c r="U8740">
        <v>2.805679</v>
      </c>
      <c r="V8740">
        <v>2.929768E-2</v>
      </c>
      <c r="W8740">
        <v>7.0395189999999996E-2</v>
      </c>
      <c r="X8740">
        <v>0.9970888</v>
      </c>
      <c r="Y8740">
        <v>0.33755279999999999</v>
      </c>
      <c r="Z8740">
        <v>1.566302E-2</v>
      </c>
      <c r="AA8740">
        <v>0.94117629999999997</v>
      </c>
      <c r="AB8740">
        <v>27</v>
      </c>
      <c r="AC8740">
        <v>26.7348</v>
      </c>
      <c r="AD8740">
        <v>0.89767599999999903</v>
      </c>
      <c r="AE8740">
        <v>51.4588999999999</v>
      </c>
      <c r="AF8740">
        <v>19.6169697873949</v>
      </c>
      <c r="AG8740">
        <v>0.89767599999999903</v>
      </c>
      <c r="AH8740">
        <v>54.555763685631703</v>
      </c>
      <c r="AI8740">
        <v>89.112919253247895</v>
      </c>
      <c r="AJ8740">
        <v>70.222608108539802</v>
      </c>
      <c r="AK8740">
        <v>57.982434212121802</v>
      </c>
      <c r="AL8740">
        <v>85.963313889283199</v>
      </c>
      <c r="AM8740">
        <v>88.316949736395003</v>
      </c>
      <c r="AN8740">
        <v>0.99999995595697799</v>
      </c>
    </row>
    <row r="8741" spans="1:40" x14ac:dyDescent="0.25">
      <c r="A8741" t="str">
        <f>"20190312160539809"</f>
        <v>20190312160539809</v>
      </c>
      <c r="B8741" t="str">
        <f>"1552377939804322"</f>
        <v>1552377939804322</v>
      </c>
      <c r="C8741" t="s">
        <v>40</v>
      </c>
      <c r="D8741">
        <v>5.4093390000000001</v>
      </c>
      <c r="E8741">
        <v>0.62293149999999997</v>
      </c>
      <c r="F8741" t="s">
        <v>55</v>
      </c>
      <c r="G8741">
        <v>-160.0018</v>
      </c>
      <c r="H8741">
        <v>2.4997919999999998</v>
      </c>
      <c r="I8741">
        <v>164.5455</v>
      </c>
      <c r="J8741">
        <v>-186.76650000000001</v>
      </c>
      <c r="K8741">
        <v>1.107801</v>
      </c>
      <c r="L8741">
        <v>113.2889</v>
      </c>
      <c r="M8741">
        <v>0.13550110000000001</v>
      </c>
      <c r="N8741">
        <v>0</v>
      </c>
      <c r="O8741">
        <v>0.99067660000000002</v>
      </c>
      <c r="P8741">
        <v>0.164357</v>
      </c>
      <c r="Q8741">
        <v>5.5997909999999998E-2</v>
      </c>
      <c r="R8741">
        <v>0.98481010000000002</v>
      </c>
      <c r="S8741">
        <v>1.459503</v>
      </c>
      <c r="T8741">
        <v>7.5845239999999994E-2</v>
      </c>
      <c r="U8741">
        <v>2.8009029999999999</v>
      </c>
      <c r="V8741">
        <v>2.9822290000000001E-2</v>
      </c>
      <c r="W8741">
        <v>6.9894810000000002E-2</v>
      </c>
      <c r="X8741">
        <v>0.99710849999999995</v>
      </c>
      <c r="Y8741">
        <v>0.33753109999999997</v>
      </c>
      <c r="Z8741">
        <v>2.4351589999999999E-2</v>
      </c>
      <c r="AA8741">
        <v>0.94099929999999998</v>
      </c>
      <c r="AB8741">
        <v>27</v>
      </c>
      <c r="AC8741">
        <v>26.764700000000001</v>
      </c>
      <c r="AD8741">
        <v>1.39199099999999</v>
      </c>
      <c r="AE8741">
        <v>51.256599999999999</v>
      </c>
      <c r="AF8741">
        <v>19.560451540371201</v>
      </c>
      <c r="AG8741">
        <v>1.39199099999999</v>
      </c>
      <c r="AH8741">
        <v>54.379270253786601</v>
      </c>
      <c r="AI8741">
        <v>88.620186775202001</v>
      </c>
      <c r="AJ8741">
        <v>70.216129020326605</v>
      </c>
      <c r="AK8741">
        <v>57.807040546473701</v>
      </c>
      <c r="AL8741">
        <v>85.992054551685996</v>
      </c>
      <c r="AM8741">
        <v>88.2868643370428</v>
      </c>
      <c r="AN8741">
        <v>1.00000000710901</v>
      </c>
    </row>
    <row r="8742" spans="1:40" x14ac:dyDescent="0.25">
      <c r="A8742" t="str">
        <f>"20190312160539820"</f>
        <v>20190312160539820</v>
      </c>
      <c r="B8742" t="str">
        <f>"1552377939814082"</f>
        <v>1552377939814082</v>
      </c>
      <c r="C8742" t="s">
        <v>40</v>
      </c>
      <c r="D8742">
        <v>5.5445669999999998</v>
      </c>
      <c r="E8742">
        <v>0.62149670000000001</v>
      </c>
      <c r="F8742" t="s">
        <v>55</v>
      </c>
      <c r="G8742">
        <v>-159.9376</v>
      </c>
      <c r="H8742">
        <v>2.022532</v>
      </c>
      <c r="I8742">
        <v>164.48169999999999</v>
      </c>
      <c r="J8742">
        <v>-186.74420000000001</v>
      </c>
      <c r="K8742">
        <v>1.107804</v>
      </c>
      <c r="L8742">
        <v>113.4367</v>
      </c>
      <c r="M8742">
        <v>0.13741519999999999</v>
      </c>
      <c r="N8742">
        <v>0</v>
      </c>
      <c r="O8742">
        <v>0.99041299999999999</v>
      </c>
      <c r="P8742">
        <v>0.16664779999999901</v>
      </c>
      <c r="Q8742">
        <v>5.568617E-2</v>
      </c>
      <c r="R8742">
        <v>0.98444279999999995</v>
      </c>
      <c r="S8742">
        <v>1.4667049999999999</v>
      </c>
      <c r="T8742">
        <v>5.000901E-2</v>
      </c>
      <c r="U8742">
        <v>2.798645</v>
      </c>
      <c r="V8742">
        <v>3.0210480000000001E-2</v>
      </c>
      <c r="W8742">
        <v>6.9579429999999998E-2</v>
      </c>
      <c r="X8742">
        <v>0.99711890000000003</v>
      </c>
      <c r="Y8742">
        <v>0.338003</v>
      </c>
      <c r="Z8742">
        <v>1.6053799999999899E-2</v>
      </c>
      <c r="AA8742">
        <v>0.94100810000000001</v>
      </c>
      <c r="AB8742">
        <v>27</v>
      </c>
      <c r="AC8742">
        <v>26.8066</v>
      </c>
      <c r="AD8742">
        <v>0.91472799999999999</v>
      </c>
      <c r="AE8742">
        <v>51.044999999999902</v>
      </c>
      <c r="AF8742">
        <v>19.532275327969501</v>
      </c>
      <c r="AG8742">
        <v>0.91472799999999999</v>
      </c>
      <c r="AH8742">
        <v>54.231017195583597</v>
      </c>
      <c r="AI8742">
        <v>89.090830605125205</v>
      </c>
      <c r="AJ8742">
        <v>70.192604339667795</v>
      </c>
      <c r="AK8742">
        <v>57.648501566556597</v>
      </c>
      <c r="AL8742">
        <v>86.010168708259201</v>
      </c>
      <c r="AM8742">
        <v>88.264596475811402</v>
      </c>
      <c r="AN8742">
        <v>1.0000000354590799</v>
      </c>
    </row>
    <row r="8743" spans="1:40" x14ac:dyDescent="0.25">
      <c r="A8743" t="str">
        <f>"20190312160539832"</f>
        <v>20190312160539832</v>
      </c>
      <c r="B8743" t="str">
        <f>"1552377939823477"</f>
        <v>1552377939823477</v>
      </c>
      <c r="C8743" t="s">
        <v>40</v>
      </c>
      <c r="D8743">
        <v>5.3051320000000004</v>
      </c>
      <c r="E8743">
        <v>0.61989839999999996</v>
      </c>
      <c r="F8743" t="s">
        <v>55</v>
      </c>
      <c r="G8743">
        <v>-160.02369999999999</v>
      </c>
      <c r="H8743">
        <v>2.1386150000000002</v>
      </c>
      <c r="I8743">
        <v>164.5676</v>
      </c>
      <c r="J8743">
        <v>-186.72380000000001</v>
      </c>
      <c r="K8743">
        <v>1.1078049999999999</v>
      </c>
      <c r="L8743">
        <v>113.57040000000001</v>
      </c>
      <c r="M8743">
        <v>0.13914670000000001</v>
      </c>
      <c r="N8743">
        <v>0</v>
      </c>
      <c r="O8743">
        <v>0.99017120000000003</v>
      </c>
      <c r="P8743">
        <v>0.16883770000000001</v>
      </c>
      <c r="Q8743">
        <v>5.5570910000000001E-2</v>
      </c>
      <c r="R8743">
        <v>0.98407610000000001</v>
      </c>
      <c r="S8743">
        <v>1.461578</v>
      </c>
      <c r="T8743">
        <v>5.638576E-2</v>
      </c>
      <c r="U8743">
        <v>2.796799</v>
      </c>
      <c r="V8743">
        <v>3.0683809999999999E-2</v>
      </c>
      <c r="W8743">
        <v>6.9460510000000003E-2</v>
      </c>
      <c r="X8743">
        <v>0.99711269999999996</v>
      </c>
      <c r="Y8743">
        <v>0.33524120000000002</v>
      </c>
      <c r="Z8743">
        <v>1.8120569999999999E-2</v>
      </c>
      <c r="AA8743">
        <v>0.94195810000000002</v>
      </c>
      <c r="AB8743">
        <v>27</v>
      </c>
      <c r="AC8743">
        <v>26.700099999999999</v>
      </c>
      <c r="AD8743">
        <v>1.03081</v>
      </c>
      <c r="AE8743">
        <v>50.9971999999999</v>
      </c>
      <c r="AF8743">
        <v>19.337303727396201</v>
      </c>
      <c r="AG8743">
        <v>1.03081</v>
      </c>
      <c r="AH8743">
        <v>54.199209548219798</v>
      </c>
      <c r="AI8743">
        <v>88.973773150189999</v>
      </c>
      <c r="AJ8743">
        <v>70.364513498353602</v>
      </c>
      <c r="AK8743">
        <v>57.554740902496597</v>
      </c>
      <c r="AL8743">
        <v>86.016998696089203</v>
      </c>
      <c r="AM8743">
        <v>88.237412687421994</v>
      </c>
      <c r="AN8743">
        <v>0.99999999757343205</v>
      </c>
    </row>
    <row r="8744" spans="1:40" x14ac:dyDescent="0.25">
      <c r="A8744" t="str">
        <f>"20190312160539843"</f>
        <v>20190312160539843</v>
      </c>
      <c r="B8744" t="str">
        <f>"1552377939834213"</f>
        <v>1552377939834213</v>
      </c>
      <c r="C8744" t="s">
        <v>40</v>
      </c>
      <c r="D8744">
        <v>5.4368670000000003</v>
      </c>
      <c r="E8744">
        <v>0.62005080000000001</v>
      </c>
      <c r="F8744" t="s">
        <v>55</v>
      </c>
      <c r="G8744">
        <v>-160.13149999999999</v>
      </c>
      <c r="H8744">
        <v>2.4112610000000001</v>
      </c>
      <c r="I8744">
        <v>164.67509999999999</v>
      </c>
      <c r="J8744">
        <v>-186.70160000000001</v>
      </c>
      <c r="K8744">
        <v>1.1078079999999999</v>
      </c>
      <c r="L8744">
        <v>113.71420000000001</v>
      </c>
      <c r="M8744">
        <v>0.14101050000000001</v>
      </c>
      <c r="N8744">
        <v>0</v>
      </c>
      <c r="O8744">
        <v>0.98990750000000005</v>
      </c>
      <c r="P8744">
        <v>0.1707592</v>
      </c>
      <c r="Q8744">
        <v>5.5545110000000002E-2</v>
      </c>
      <c r="R8744">
        <v>0.98374589999999995</v>
      </c>
      <c r="S8744">
        <v>1.4543759999999999</v>
      </c>
      <c r="T8744">
        <v>7.1289660000000005E-2</v>
      </c>
      <c r="U8744">
        <v>2.7949980000000001</v>
      </c>
      <c r="V8744">
        <v>3.0753050000000001E-2</v>
      </c>
      <c r="W8744">
        <v>6.9433410000000001E-2</v>
      </c>
      <c r="X8744">
        <v>0.99711249999999996</v>
      </c>
      <c r="Y8744">
        <v>0.33176060000000002</v>
      </c>
      <c r="Z8744">
        <v>2.293912E-2</v>
      </c>
      <c r="AA8744">
        <v>0.9430847</v>
      </c>
      <c r="AB8744">
        <v>27</v>
      </c>
      <c r="AC8744">
        <v>26.5701</v>
      </c>
      <c r="AD8744">
        <v>1.303453</v>
      </c>
      <c r="AE8744">
        <v>50.960899999999903</v>
      </c>
      <c r="AF8744">
        <v>19.107994542030902</v>
      </c>
      <c r="AG8744">
        <v>1.303453</v>
      </c>
      <c r="AH8744">
        <v>54.170773743218199</v>
      </c>
      <c r="AI8744">
        <v>88.700089013264204</v>
      </c>
      <c r="AJ8744">
        <v>70.570407662429602</v>
      </c>
      <c r="AK8744">
        <v>57.456828776747102</v>
      </c>
      <c r="AL8744">
        <v>86.018555351080494</v>
      </c>
      <c r="AM8744">
        <v>88.233437458523099</v>
      </c>
      <c r="AN8744">
        <v>1.0000000430823801</v>
      </c>
    </row>
    <row r="8745" spans="1:40" x14ac:dyDescent="0.25">
      <c r="A8745" t="str">
        <f>"20190312160539856"</f>
        <v>20190312160539856</v>
      </c>
      <c r="B8745" t="str">
        <f>"1552377939843972"</f>
        <v>1552377939843972</v>
      </c>
      <c r="C8745" t="s">
        <v>40</v>
      </c>
      <c r="D8745">
        <v>5.6675589999999998</v>
      </c>
      <c r="E8745">
        <v>0.61864609999999998</v>
      </c>
      <c r="F8745" t="s">
        <v>55</v>
      </c>
      <c r="G8745">
        <v>-160.06020000000001</v>
      </c>
      <c r="H8745">
        <v>2.115774</v>
      </c>
      <c r="I8745">
        <v>164.60409999999999</v>
      </c>
      <c r="J8745">
        <v>-186.67939999999999</v>
      </c>
      <c r="K8745">
        <v>1.107812</v>
      </c>
      <c r="L8745">
        <v>113.8557</v>
      </c>
      <c r="M8745">
        <v>0.14284469999999999</v>
      </c>
      <c r="N8745">
        <v>0</v>
      </c>
      <c r="O8745">
        <v>0.98964450000000004</v>
      </c>
      <c r="P8745">
        <v>0.17247499999999999</v>
      </c>
      <c r="Q8745">
        <v>5.5053320000000003E-2</v>
      </c>
      <c r="R8745">
        <v>0.98347419999999997</v>
      </c>
      <c r="S8745">
        <v>1.4619899999999999</v>
      </c>
      <c r="T8745">
        <v>5.5315610000000001E-2</v>
      </c>
      <c r="U8745">
        <v>2.7926639999999998</v>
      </c>
      <c r="V8745">
        <v>3.0636819999999999E-2</v>
      </c>
      <c r="W8745">
        <v>6.8942009999999998E-2</v>
      </c>
      <c r="X8745">
        <v>0.99715010000000004</v>
      </c>
      <c r="Y8745">
        <v>0.33240439999999999</v>
      </c>
      <c r="Z8745">
        <v>1.779443E-2</v>
      </c>
      <c r="AA8745">
        <v>0.9429691</v>
      </c>
      <c r="AB8745">
        <v>27</v>
      </c>
      <c r="AC8745">
        <v>26.6191999999999</v>
      </c>
      <c r="AD8745">
        <v>1.007962</v>
      </c>
      <c r="AE8745">
        <v>50.748399999999897</v>
      </c>
      <c r="AF8745">
        <v>19.090400436405499</v>
      </c>
      <c r="AG8745">
        <v>1.007962</v>
      </c>
      <c r="AH8745">
        <v>54.013956438779402</v>
      </c>
      <c r="AI8745">
        <v>88.992010646432306</v>
      </c>
      <c r="AJ8745">
        <v>70.534830161358997</v>
      </c>
      <c r="AK8745">
        <v>57.297180265577801</v>
      </c>
      <c r="AL8745">
        <v>86.046777833102198</v>
      </c>
      <c r="AM8745">
        <v>88.240176228080898</v>
      </c>
      <c r="AN8745">
        <v>0.99999996870628005</v>
      </c>
    </row>
    <row r="8746" spans="1:40" x14ac:dyDescent="0.25">
      <c r="A8746" t="str">
        <f>"20190312160539873"</f>
        <v>20190312160539873</v>
      </c>
      <c r="B8746" t="str">
        <f>"1552377939863496"</f>
        <v>1552377939863496</v>
      </c>
      <c r="C8746" t="s">
        <v>40</v>
      </c>
      <c r="D8746">
        <v>5.5103939999999998</v>
      </c>
      <c r="E8746">
        <v>0.61634919999999904</v>
      </c>
      <c r="F8746" t="s">
        <v>55</v>
      </c>
      <c r="G8746">
        <v>-160.16990000000001</v>
      </c>
      <c r="H8746">
        <v>2.3377110000000001</v>
      </c>
      <c r="I8746">
        <v>164.71360000000001</v>
      </c>
      <c r="J8746">
        <v>-186.6481</v>
      </c>
      <c r="K8746">
        <v>1.107818</v>
      </c>
      <c r="L8746">
        <v>114.05329999999999</v>
      </c>
      <c r="M8746">
        <v>0.145404799999999</v>
      </c>
      <c r="N8746">
        <v>0</v>
      </c>
      <c r="O8746">
        <v>0.98927160000000003</v>
      </c>
      <c r="P8746">
        <v>0.174889299999999</v>
      </c>
      <c r="Q8746">
        <v>5.4489210000000003E-2</v>
      </c>
      <c r="R8746">
        <v>0.98307920000000004</v>
      </c>
      <c r="S8746">
        <v>1.4550479999999999</v>
      </c>
      <c r="T8746">
        <v>6.7508219999999994E-2</v>
      </c>
      <c r="U8746">
        <v>2.7914729999999999</v>
      </c>
      <c r="V8746">
        <v>3.0496220000000001E-2</v>
      </c>
      <c r="W8746">
        <v>6.8377820000000006E-2</v>
      </c>
      <c r="X8746">
        <v>0.99719329999999995</v>
      </c>
      <c r="Y8746">
        <v>0.32824769999999998</v>
      </c>
      <c r="Z8746">
        <v>2.1738830000000001E-2</v>
      </c>
      <c r="AA8746">
        <v>0.94434149999999994</v>
      </c>
      <c r="AB8746">
        <v>27</v>
      </c>
      <c r="AC8746">
        <v>26.478199999999902</v>
      </c>
      <c r="AD8746">
        <v>1.2298929999999999</v>
      </c>
      <c r="AE8746">
        <v>50.660299999999999</v>
      </c>
      <c r="AF8746">
        <v>18.821042776773901</v>
      </c>
      <c r="AG8746">
        <v>1.2298929999999999</v>
      </c>
      <c r="AH8746">
        <v>53.947254294910401</v>
      </c>
      <c r="AI8746">
        <v>88.766860978154497</v>
      </c>
      <c r="AJ8746">
        <v>70.767213202606698</v>
      </c>
      <c r="AK8746">
        <v>57.1493703723526</v>
      </c>
      <c r="AL8746">
        <v>86.079180174096706</v>
      </c>
      <c r="AM8746">
        <v>88.248323295684202</v>
      </c>
      <c r="AN8746">
        <v>1.0000000116335599</v>
      </c>
    </row>
    <row r="8747" spans="1:40" x14ac:dyDescent="0.25">
      <c r="A8747" t="str">
        <f>"20190312160539885"</f>
        <v>20190312160539885</v>
      </c>
      <c r="B8747" t="str">
        <f>"1552377939874229"</f>
        <v>1552377939874229</v>
      </c>
      <c r="C8747" t="s">
        <v>40</v>
      </c>
      <c r="D8747">
        <v>5.9625510000000004</v>
      </c>
      <c r="E8747">
        <v>0.61542330000000001</v>
      </c>
      <c r="F8747" t="s">
        <v>55</v>
      </c>
      <c r="G8747">
        <v>-160.3569</v>
      </c>
      <c r="H8747">
        <v>2.7345009999999998</v>
      </c>
      <c r="I8747">
        <v>164.90010000000001</v>
      </c>
      <c r="J8747">
        <v>-186.62379999999999</v>
      </c>
      <c r="K8747">
        <v>1.1078209999999999</v>
      </c>
      <c r="L8747">
        <v>114.2047</v>
      </c>
      <c r="M8747">
        <v>0.1473679</v>
      </c>
      <c r="N8747">
        <v>0</v>
      </c>
      <c r="O8747">
        <v>0.98898109999999995</v>
      </c>
      <c r="P8747">
        <v>0.1767551</v>
      </c>
      <c r="Q8747">
        <v>5.4366770000000002E-2</v>
      </c>
      <c r="R8747">
        <v>0.98275219999999996</v>
      </c>
      <c r="S8747">
        <v>1.442642</v>
      </c>
      <c r="T8747">
        <v>8.9260580000000006E-2</v>
      </c>
      <c r="U8747">
        <v>2.790054</v>
      </c>
      <c r="V8747">
        <v>3.0407500000000001E-2</v>
      </c>
      <c r="W8747">
        <v>6.8255070000000001E-2</v>
      </c>
      <c r="X8747">
        <v>0.99720439999999999</v>
      </c>
      <c r="Y8747">
        <v>0.32317610000000002</v>
      </c>
      <c r="Z8747">
        <v>2.8792040000000001E-2</v>
      </c>
      <c r="AA8747">
        <v>0.94590070000000004</v>
      </c>
      <c r="AB8747">
        <v>27</v>
      </c>
      <c r="AC8747">
        <v>26.2669</v>
      </c>
      <c r="AD8747">
        <v>1.6266799999999999</v>
      </c>
      <c r="AE8747">
        <v>50.695399999999999</v>
      </c>
      <c r="AF8747">
        <v>18.493424566971299</v>
      </c>
      <c r="AG8747">
        <v>1.6266799999999999</v>
      </c>
      <c r="AH8747">
        <v>53.969260930211803</v>
      </c>
      <c r="AI8747">
        <v>88.366750880412894</v>
      </c>
      <c r="AJ8747">
        <v>71.085161760802094</v>
      </c>
      <c r="AK8747">
        <v>57.073058139457899</v>
      </c>
      <c r="AL8747">
        <v>86.086229627736301</v>
      </c>
      <c r="AM8747">
        <v>88.253435564739206</v>
      </c>
      <c r="AN8747">
        <v>0.99999999300815701</v>
      </c>
    </row>
    <row r="8748" spans="1:40" x14ac:dyDescent="0.25">
      <c r="A8748" t="str">
        <f>"20190312160539897"</f>
        <v>20190312160539897</v>
      </c>
      <c r="B8748" t="str">
        <f>"1552377939893749"</f>
        <v>1552377939893749</v>
      </c>
      <c r="C8748" t="s">
        <v>40</v>
      </c>
      <c r="D8748">
        <v>5.7029990000000002</v>
      </c>
      <c r="E8748">
        <v>0.6150272</v>
      </c>
      <c r="F8748" t="s">
        <v>55</v>
      </c>
      <c r="G8748">
        <v>-160.4085</v>
      </c>
      <c r="H8748">
        <v>2.898161</v>
      </c>
      <c r="I8748">
        <v>164.95150000000001</v>
      </c>
      <c r="J8748">
        <v>-186.60140000000001</v>
      </c>
      <c r="K8748">
        <v>1.107826</v>
      </c>
      <c r="L8748">
        <v>114.3412</v>
      </c>
      <c r="M8748">
        <v>0.14913760000000001</v>
      </c>
      <c r="N8748">
        <v>0</v>
      </c>
      <c r="O8748">
        <v>0.98871580000000003</v>
      </c>
      <c r="P8748">
        <v>0.17841770000000001</v>
      </c>
      <c r="Q8748">
        <v>5.4100339999999997E-2</v>
      </c>
      <c r="R8748">
        <v>0.98246650000000002</v>
      </c>
      <c r="S8748">
        <v>1.4403379999999999</v>
      </c>
      <c r="T8748">
        <v>9.836781E-2</v>
      </c>
      <c r="U8748">
        <v>2.7881619999999998</v>
      </c>
      <c r="V8748">
        <v>3.030565E-2</v>
      </c>
      <c r="W8748">
        <v>6.7988190000000004E-2</v>
      </c>
      <c r="X8748">
        <v>0.99722580000000005</v>
      </c>
      <c r="Y8748">
        <v>0.32108569999999997</v>
      </c>
      <c r="Z8748">
        <v>3.1750269999999997E-2</v>
      </c>
      <c r="AA8748">
        <v>0.94651779999999996</v>
      </c>
      <c r="AB8748">
        <v>27</v>
      </c>
      <c r="AC8748">
        <v>26.192900000000002</v>
      </c>
      <c r="AD8748">
        <v>1.79033499999999</v>
      </c>
      <c r="AE8748">
        <v>50.610300000000002</v>
      </c>
      <c r="AF8748">
        <v>18.3331667418664</v>
      </c>
      <c r="AG8748">
        <v>1.79033499999999</v>
      </c>
      <c r="AH8748">
        <v>53.897721226814497</v>
      </c>
      <c r="AI8748">
        <v>88.198767948844804</v>
      </c>
      <c r="AJ8748">
        <v>71.214399701268505</v>
      </c>
      <c r="AK8748">
        <v>56.9585345285561</v>
      </c>
      <c r="AL8748">
        <v>86.101556595709297</v>
      </c>
      <c r="AM8748">
        <v>88.259319413616595</v>
      </c>
      <c r="AN8748">
        <v>1.00000006129351</v>
      </c>
    </row>
    <row r="8749" spans="1:40" x14ac:dyDescent="0.25">
      <c r="A8749" t="str">
        <f>"20190312160539910"</f>
        <v>20190312160539910</v>
      </c>
      <c r="B8749" t="str">
        <f>"1552377939903509"</f>
        <v>1552377939903509</v>
      </c>
      <c r="C8749" t="s">
        <v>40</v>
      </c>
      <c r="D8749">
        <v>5.5293330000000003</v>
      </c>
      <c r="E8749">
        <v>0.61437269999999999</v>
      </c>
      <c r="F8749" t="s">
        <v>55</v>
      </c>
      <c r="G8749">
        <v>-160.4109</v>
      </c>
      <c r="H8749">
        <v>2.8720020000000002</v>
      </c>
      <c r="I8749">
        <v>164.9539</v>
      </c>
      <c r="J8749">
        <v>-186.57570000000001</v>
      </c>
      <c r="K8749">
        <v>1.1078250000000001</v>
      </c>
      <c r="L8749">
        <v>114.49720000000001</v>
      </c>
      <c r="M8749">
        <v>0.15116070000000001</v>
      </c>
      <c r="N8749">
        <v>0</v>
      </c>
      <c r="O8749">
        <v>0.98840859999999997</v>
      </c>
      <c r="P8749">
        <v>0.18018999999999999</v>
      </c>
      <c r="Q8749">
        <v>5.3825209999999998E-2</v>
      </c>
      <c r="R8749">
        <v>0.98215810000000003</v>
      </c>
      <c r="S8749">
        <v>1.4418489999999999</v>
      </c>
      <c r="T8749">
        <v>9.7123619999999994E-2</v>
      </c>
      <c r="U8749">
        <v>2.786346</v>
      </c>
      <c r="V8749">
        <v>3.005913E-2</v>
      </c>
      <c r="W8749">
        <v>6.7714150000000001E-2</v>
      </c>
      <c r="X8749">
        <v>0.99725189999999997</v>
      </c>
      <c r="Y8749">
        <v>0.31980940000000002</v>
      </c>
      <c r="Z8749">
        <v>3.135582E-2</v>
      </c>
      <c r="AA8749">
        <v>0.94696290000000005</v>
      </c>
      <c r="AB8749">
        <v>27</v>
      </c>
      <c r="AC8749">
        <v>26.1648</v>
      </c>
      <c r="AD8749">
        <v>1.7641770000000001</v>
      </c>
      <c r="AE8749">
        <v>50.456699999999998</v>
      </c>
      <c r="AF8749">
        <v>18.218704415283501</v>
      </c>
      <c r="AG8749">
        <v>1.7641770000000001</v>
      </c>
      <c r="AH8749">
        <v>53.780465657188003</v>
      </c>
      <c r="AI8749">
        <v>88.220450381732903</v>
      </c>
      <c r="AJ8749">
        <v>71.285643262533597</v>
      </c>
      <c r="AK8749">
        <v>56.809963891581397</v>
      </c>
      <c r="AL8749">
        <v>86.117294172717905</v>
      </c>
      <c r="AM8749">
        <v>88.273515458763796</v>
      </c>
      <c r="AN8749">
        <v>1.00000005473009</v>
      </c>
    </row>
    <row r="8750" spans="1:40" x14ac:dyDescent="0.25">
      <c r="A8750" t="str">
        <f>"20190312160539922"</f>
        <v>20190312160539922</v>
      </c>
      <c r="B8750" t="str">
        <f>"1552377939914245"</f>
        <v>1552377939914245</v>
      </c>
      <c r="C8750" t="s">
        <v>40</v>
      </c>
      <c r="D8750">
        <v>5.8948879999999999</v>
      </c>
      <c r="E8750">
        <v>0.61379600000000001</v>
      </c>
      <c r="F8750" t="s">
        <v>55</v>
      </c>
      <c r="G8750">
        <v>-160.44030000000001</v>
      </c>
      <c r="H8750">
        <v>2.8705829999999999</v>
      </c>
      <c r="I8750">
        <v>164.98330000000001</v>
      </c>
      <c r="J8750">
        <v>-186.55269999999999</v>
      </c>
      <c r="K8750">
        <v>1.1078300000000001</v>
      </c>
      <c r="L8750">
        <v>114.6352</v>
      </c>
      <c r="M8750">
        <v>0.15295039999999999</v>
      </c>
      <c r="N8750">
        <v>0</v>
      </c>
      <c r="O8750">
        <v>0.98813329999999999</v>
      </c>
      <c r="P8750">
        <v>0.18197640000000001</v>
      </c>
      <c r="Q8750">
        <v>5.3731969999999997E-2</v>
      </c>
      <c r="R8750">
        <v>0.98183379999999998</v>
      </c>
      <c r="S8750">
        <v>1.4415739999999999</v>
      </c>
      <c r="T8750">
        <v>9.7231509999999993E-2</v>
      </c>
      <c r="U8750">
        <v>2.7846980000000001</v>
      </c>
      <c r="V8750">
        <v>3.0065399999999999E-2</v>
      </c>
      <c r="W8750">
        <v>6.7619499999999999E-2</v>
      </c>
      <c r="X8750">
        <v>0.99725810000000004</v>
      </c>
      <c r="Y8750">
        <v>0.31824750000000002</v>
      </c>
      <c r="Z8750">
        <v>3.140308E-2</v>
      </c>
      <c r="AA8750">
        <v>0.94748739999999998</v>
      </c>
      <c r="AB8750">
        <v>27</v>
      </c>
      <c r="AC8750">
        <v>26.112399999999901</v>
      </c>
      <c r="AD8750">
        <v>1.762753</v>
      </c>
      <c r="AE8750">
        <v>50.348100000000002</v>
      </c>
      <c r="AF8750">
        <v>18.086098641212601</v>
      </c>
      <c r="AG8750">
        <v>1.762753</v>
      </c>
      <c r="AH8750">
        <v>53.698007784759298</v>
      </c>
      <c r="AI8750">
        <v>88.218105059469195</v>
      </c>
      <c r="AJ8750">
        <v>71.385890449413907</v>
      </c>
      <c r="AK8750">
        <v>56.689419667613002</v>
      </c>
      <c r="AL8750">
        <v>86.122729547372501</v>
      </c>
      <c r="AM8750">
        <v>88.273166280695705</v>
      </c>
      <c r="AN8750">
        <v>1.0000000215364999</v>
      </c>
    </row>
    <row r="8751" spans="1:40" x14ac:dyDescent="0.25">
      <c r="A8751" t="str">
        <f>"20190312160539934"</f>
        <v>20190312160539934</v>
      </c>
      <c r="B8751" t="str">
        <f>"1552377939924005"</f>
        <v>1552377939924005</v>
      </c>
      <c r="C8751" t="s">
        <v>40</v>
      </c>
      <c r="D8751">
        <v>5.7460719999999998</v>
      </c>
      <c r="E8751">
        <v>0.61380869999999998</v>
      </c>
      <c r="F8751" t="s">
        <v>55</v>
      </c>
      <c r="G8751">
        <v>-160.45429999999999</v>
      </c>
      <c r="H8751">
        <v>2.981665</v>
      </c>
      <c r="I8751">
        <v>164.99719999999999</v>
      </c>
      <c r="J8751">
        <v>-186.52869999999999</v>
      </c>
      <c r="K8751">
        <v>1.1078330000000001</v>
      </c>
      <c r="L8751">
        <v>114.7771</v>
      </c>
      <c r="M8751">
        <v>0.15479089999999901</v>
      </c>
      <c r="N8751">
        <v>0</v>
      </c>
      <c r="O8751">
        <v>0.98784660000000002</v>
      </c>
      <c r="P8751">
        <v>0.18344450000000001</v>
      </c>
      <c r="Q8751">
        <v>5.4164469999999999E-2</v>
      </c>
      <c r="R8751">
        <v>0.98153670000000004</v>
      </c>
      <c r="S8751">
        <v>1.441986</v>
      </c>
      <c r="T8751">
        <v>0.1035346</v>
      </c>
      <c r="U8751">
        <v>2.7825929999999999</v>
      </c>
      <c r="V8751">
        <v>2.9704499999999998E-2</v>
      </c>
      <c r="W8751">
        <v>6.8052890000000005E-2</v>
      </c>
      <c r="X8751">
        <v>0.9972394</v>
      </c>
      <c r="Y8751">
        <v>0.31685390000000002</v>
      </c>
      <c r="Z8751">
        <v>3.3451229999999998E-2</v>
      </c>
      <c r="AA8751">
        <v>0.94788430000000001</v>
      </c>
      <c r="AB8751">
        <v>27</v>
      </c>
      <c r="AC8751">
        <v>26.074400000000001</v>
      </c>
      <c r="AD8751">
        <v>1.8738319999999999</v>
      </c>
      <c r="AE8751">
        <v>50.220099999999903</v>
      </c>
      <c r="AF8751">
        <v>17.965979892259298</v>
      </c>
      <c r="AG8751">
        <v>1.8738319999999999</v>
      </c>
      <c r="AH8751">
        <v>53.592400465055803</v>
      </c>
      <c r="AI8751">
        <v>88.101265927449106</v>
      </c>
      <c r="AJ8751">
        <v>71.4671112717309</v>
      </c>
      <c r="AK8751">
        <v>56.554690941249099</v>
      </c>
      <c r="AL8751">
        <v>86.097840663063394</v>
      </c>
      <c r="AM8751">
        <v>88.293850602697006</v>
      </c>
      <c r="AN8751">
        <v>0.99999998703498005</v>
      </c>
    </row>
    <row r="8752" spans="1:40" x14ac:dyDescent="0.25">
      <c r="A8752" t="str">
        <f>"20190312160539949"</f>
        <v>20190312160539949</v>
      </c>
      <c r="B8752" t="str">
        <f>"1552377939943525"</f>
        <v>1552377939943525</v>
      </c>
      <c r="C8752" t="s">
        <v>40</v>
      </c>
      <c r="D8752">
        <v>5.656542</v>
      </c>
      <c r="E8752">
        <v>0.61277269999999995</v>
      </c>
      <c r="F8752" t="s">
        <v>55</v>
      </c>
      <c r="G8752">
        <v>-160.42519999999999</v>
      </c>
      <c r="H8752">
        <v>3.0071539999999999</v>
      </c>
      <c r="I8752">
        <v>164.96809999999999</v>
      </c>
      <c r="J8752">
        <v>-186.49959999999999</v>
      </c>
      <c r="K8752">
        <v>1.1078460000000001</v>
      </c>
      <c r="L8752">
        <v>114.9477</v>
      </c>
      <c r="M8752">
        <v>0.1570049</v>
      </c>
      <c r="N8752">
        <v>0</v>
      </c>
      <c r="O8752">
        <v>0.98749719999999996</v>
      </c>
      <c r="P8752">
        <v>0.18543399999999999</v>
      </c>
      <c r="Q8752">
        <v>5.438867E-2</v>
      </c>
      <c r="R8752">
        <v>0.98115039999999998</v>
      </c>
      <c r="S8752">
        <v>1.4460299999999999</v>
      </c>
      <c r="T8752">
        <v>0.1052164</v>
      </c>
      <c r="U8752">
        <v>2.7803800000000001</v>
      </c>
      <c r="V8752">
        <v>2.9493140000000001E-2</v>
      </c>
      <c r="W8752">
        <v>6.8276480000000001E-2</v>
      </c>
      <c r="X8752">
        <v>0.99723039999999996</v>
      </c>
      <c r="Y8752">
        <v>0.31611309999999998</v>
      </c>
      <c r="Z8752">
        <v>3.3993349999999999E-2</v>
      </c>
      <c r="AA8752">
        <v>0.94811230000000002</v>
      </c>
      <c r="AB8752">
        <v>27</v>
      </c>
      <c r="AC8752">
        <v>26.074400000000001</v>
      </c>
      <c r="AD8752">
        <v>1.899308</v>
      </c>
      <c r="AE8752">
        <v>50.020400000000002</v>
      </c>
      <c r="AF8752">
        <v>17.8764608547623</v>
      </c>
      <c r="AG8752">
        <v>1.899308</v>
      </c>
      <c r="AH8752">
        <v>53.4335513296244</v>
      </c>
      <c r="AI8752">
        <v>88.069359410505101</v>
      </c>
      <c r="AJ8752">
        <v>71.502078450558699</v>
      </c>
      <c r="AK8752">
        <v>56.376587616370699</v>
      </c>
      <c r="AL8752">
        <v>86.085000071797893</v>
      </c>
      <c r="AM8752">
        <v>88.305968194116303</v>
      </c>
      <c r="AN8752">
        <v>0.999999996856204</v>
      </c>
    </row>
    <row r="8753" spans="1:40" x14ac:dyDescent="0.25">
      <c r="A8753" t="str">
        <f>"20190312160539964"</f>
        <v>20190312160539964</v>
      </c>
      <c r="B8753" t="str">
        <f>"1552377939954261"</f>
        <v>1552377939954261</v>
      </c>
      <c r="C8753" t="s">
        <v>40</v>
      </c>
      <c r="D8753">
        <v>6.0230880000000004</v>
      </c>
      <c r="E8753">
        <v>0.61241219999999996</v>
      </c>
      <c r="F8753" t="s">
        <v>55</v>
      </c>
      <c r="G8753">
        <v>-160.48580000000001</v>
      </c>
      <c r="H8753">
        <v>3.2210519999999998</v>
      </c>
      <c r="I8753">
        <v>165.02850000000001</v>
      </c>
      <c r="J8753">
        <v>-186.46680000000001</v>
      </c>
      <c r="K8753">
        <v>1.1078539999999999</v>
      </c>
      <c r="L8753">
        <v>115.1367</v>
      </c>
      <c r="M8753">
        <v>0.15945780000000001</v>
      </c>
      <c r="N8753">
        <v>0</v>
      </c>
      <c r="O8753">
        <v>0.98710410000000004</v>
      </c>
      <c r="P8753">
        <v>0.1872635</v>
      </c>
      <c r="Q8753">
        <v>5.4482999999999997E-2</v>
      </c>
      <c r="R8753">
        <v>0.98079760000000005</v>
      </c>
      <c r="S8753">
        <v>1.443192</v>
      </c>
      <c r="T8753">
        <v>0.1172382</v>
      </c>
      <c r="U8753">
        <v>2.778381</v>
      </c>
      <c r="V8753">
        <v>2.8875499999999998E-2</v>
      </c>
      <c r="W8753">
        <v>6.8373530000000002E-2</v>
      </c>
      <c r="X8753">
        <v>0.99724190000000001</v>
      </c>
      <c r="Y8753">
        <v>0.3132065</v>
      </c>
      <c r="Z8753">
        <v>3.7900400000000001E-2</v>
      </c>
      <c r="AA8753">
        <v>0.94892849999999995</v>
      </c>
      <c r="AB8753">
        <v>27</v>
      </c>
      <c r="AC8753">
        <v>25.980999999999899</v>
      </c>
      <c r="AD8753">
        <v>2.1131980000000001</v>
      </c>
      <c r="AE8753">
        <v>49.891800000000003</v>
      </c>
      <c r="AF8753">
        <v>17.667139365918</v>
      </c>
      <c r="AG8753">
        <v>2.1131980000000001</v>
      </c>
      <c r="AH8753">
        <v>53.321327014194303</v>
      </c>
      <c r="AI8753">
        <v>87.845540634423301</v>
      </c>
      <c r="AJ8753">
        <v>71.668239238276399</v>
      </c>
      <c r="AK8753">
        <v>56.211718829054</v>
      </c>
      <c r="AL8753">
        <v>86.0794267811781</v>
      </c>
      <c r="AM8753">
        <v>88.341443390414994</v>
      </c>
      <c r="AN8753">
        <v>1.0000000706102501</v>
      </c>
    </row>
    <row r="8754" spans="1:40" x14ac:dyDescent="0.25">
      <c r="A8754" t="str">
        <f>"20190312160539987"</f>
        <v>20190312160539987</v>
      </c>
      <c r="B8754" t="str">
        <f>"1552377939983540"</f>
        <v>1552377939983540</v>
      </c>
      <c r="C8754" t="s">
        <v>40</v>
      </c>
      <c r="D8754">
        <v>5.7405549999999996</v>
      </c>
      <c r="E8754">
        <v>0.61080859999999904</v>
      </c>
      <c r="F8754" t="s">
        <v>55</v>
      </c>
      <c r="G8754">
        <v>-160.4896</v>
      </c>
      <c r="H8754">
        <v>3.3295119999999998</v>
      </c>
      <c r="I8754">
        <v>165.03219999999999</v>
      </c>
      <c r="J8754">
        <v>-186.4203</v>
      </c>
      <c r="K8754">
        <v>1.1078570000000001</v>
      </c>
      <c r="L8754">
        <v>115.4003</v>
      </c>
      <c r="M8754">
        <v>0.162879</v>
      </c>
      <c r="N8754">
        <v>0</v>
      </c>
      <c r="O8754">
        <v>0.98654540000000002</v>
      </c>
      <c r="P8754">
        <v>0.19051509999999999</v>
      </c>
      <c r="Q8754">
        <v>5.4790020000000002E-2</v>
      </c>
      <c r="R8754">
        <v>0.98015410000000003</v>
      </c>
      <c r="S8754">
        <v>1.445236</v>
      </c>
      <c r="T8754">
        <v>0.1236032</v>
      </c>
      <c r="U8754">
        <v>2.775925</v>
      </c>
      <c r="V8754">
        <v>2.872883E-2</v>
      </c>
      <c r="W8754">
        <v>6.8678939999999994E-2</v>
      </c>
      <c r="X8754">
        <v>0.99722509999999998</v>
      </c>
      <c r="Y8754">
        <v>0.31076939999999997</v>
      </c>
      <c r="Z8754">
        <v>3.9961999999999998E-2</v>
      </c>
      <c r="AA8754">
        <v>0.94964490000000001</v>
      </c>
      <c r="AB8754">
        <v>27</v>
      </c>
      <c r="AC8754">
        <v>25.930700000000002</v>
      </c>
      <c r="AD8754">
        <v>2.2216549999999899</v>
      </c>
      <c r="AE8754">
        <v>49.631899999999902</v>
      </c>
      <c r="AF8754">
        <v>17.4720547338285</v>
      </c>
      <c r="AG8754">
        <v>2.2216549999999899</v>
      </c>
      <c r="AH8754">
        <v>53.109375443041301</v>
      </c>
      <c r="AI8754">
        <v>87.724458395613297</v>
      </c>
      <c r="AJ8754">
        <v>71.789699560825198</v>
      </c>
      <c r="AK8754">
        <v>55.953679123993702</v>
      </c>
      <c r="AL8754">
        <v>86.061886652856003</v>
      </c>
      <c r="AM8754">
        <v>88.349835396857202</v>
      </c>
      <c r="AN8754">
        <v>1.00000002127135</v>
      </c>
    </row>
    <row r="8755" spans="1:40" x14ac:dyDescent="0.25">
      <c r="A8755" t="str">
        <f>"20190312160540007"</f>
        <v>20190312160540007</v>
      </c>
      <c r="B8755" t="str">
        <f>"1552377940004037"</f>
        <v>1552377940004037</v>
      </c>
      <c r="C8755" t="s">
        <v>40</v>
      </c>
      <c r="D8755">
        <v>5.9870000000000001</v>
      </c>
      <c r="E8755">
        <v>0.60967969999999905</v>
      </c>
      <c r="F8755" t="s">
        <v>55</v>
      </c>
      <c r="G8755">
        <v>-160.5772</v>
      </c>
      <c r="H8755">
        <v>3.5035720000000001</v>
      </c>
      <c r="I8755">
        <v>165.11959999999999</v>
      </c>
      <c r="J8755">
        <v>-186.3768</v>
      </c>
      <c r="K8755">
        <v>1.107872</v>
      </c>
      <c r="L8755">
        <v>115.642</v>
      </c>
      <c r="M8755">
        <v>0.16601779999999999</v>
      </c>
      <c r="N8755">
        <v>0</v>
      </c>
      <c r="O8755">
        <v>0.98602210000000001</v>
      </c>
      <c r="P8755">
        <v>0.19388030000000001</v>
      </c>
      <c r="Q8755">
        <v>5.4832159999999998E-2</v>
      </c>
      <c r="R8755">
        <v>0.97949169999999997</v>
      </c>
      <c r="S8755">
        <v>1.441406</v>
      </c>
      <c r="T8755">
        <v>0.13362309999999999</v>
      </c>
      <c r="U8755">
        <v>2.7731020000000002</v>
      </c>
      <c r="V8755">
        <v>2.8980079999999998E-2</v>
      </c>
      <c r="W8755">
        <v>6.8717E-2</v>
      </c>
      <c r="X8755">
        <v>0.99721519999999997</v>
      </c>
      <c r="Y8755">
        <v>0.30704320000000002</v>
      </c>
      <c r="Z8755">
        <v>4.3239739999999999E-2</v>
      </c>
      <c r="AA8755">
        <v>0.95071280000000002</v>
      </c>
      <c r="AB8755">
        <v>27</v>
      </c>
      <c r="AC8755">
        <v>25.799600000000002</v>
      </c>
      <c r="AD8755">
        <v>2.3957000000000002</v>
      </c>
      <c r="AE8755">
        <v>49.477599999999903</v>
      </c>
      <c r="AF8755">
        <v>17.194828224982299</v>
      </c>
      <c r="AG8755">
        <v>2.3957000000000002</v>
      </c>
      <c r="AH8755">
        <v>52.9768161323966</v>
      </c>
      <c r="AI8755">
        <v>87.5370692977517</v>
      </c>
      <c r="AJ8755">
        <v>72.017984770483906</v>
      </c>
      <c r="AK8755">
        <v>55.748942085948201</v>
      </c>
      <c r="AL8755">
        <v>86.059700779316501</v>
      </c>
      <c r="AM8755">
        <v>88.3353953344524</v>
      </c>
      <c r="AN8755">
        <v>1.0000000131184199</v>
      </c>
    </row>
    <row r="8756" spans="1:40" x14ac:dyDescent="0.25">
      <c r="A8756" t="str">
        <f>"20190312160540020"</f>
        <v>20190312160540020</v>
      </c>
      <c r="B8756" t="str">
        <f>"1552377940013798"</f>
        <v>1552377940013798</v>
      </c>
      <c r="C8756" t="s">
        <v>40</v>
      </c>
      <c r="D8756">
        <v>6.0820210000000001</v>
      </c>
      <c r="E8756">
        <v>0.60920299999999905</v>
      </c>
      <c r="F8756" t="s">
        <v>55</v>
      </c>
      <c r="G8756">
        <v>-160.607</v>
      </c>
      <c r="H8756">
        <v>3.6324649999999998</v>
      </c>
      <c r="I8756">
        <v>165.14930000000001</v>
      </c>
      <c r="J8756">
        <v>-186.34809999999999</v>
      </c>
      <c r="K8756">
        <v>1.107877</v>
      </c>
      <c r="L8756">
        <v>115.7991</v>
      </c>
      <c r="M8756">
        <v>0.1680576</v>
      </c>
      <c r="N8756">
        <v>0</v>
      </c>
      <c r="O8756">
        <v>0.98567649999999996</v>
      </c>
      <c r="P8756">
        <v>0.19584009999999999</v>
      </c>
      <c r="Q8756">
        <v>5.4891099999999901E-2</v>
      </c>
      <c r="R8756">
        <v>0.97909840000000004</v>
      </c>
      <c r="S8756">
        <v>1.4416199999999999</v>
      </c>
      <c r="T8756">
        <v>0.1412331</v>
      </c>
      <c r="U8756">
        <v>2.7695470000000002</v>
      </c>
      <c r="V8756">
        <v>2.89126E-2</v>
      </c>
      <c r="W8756">
        <v>6.8775030000000001E-2</v>
      </c>
      <c r="X8756">
        <v>0.99721309999999996</v>
      </c>
      <c r="Y8756">
        <v>0.30557909999999999</v>
      </c>
      <c r="Z8756">
        <v>4.5735089999999999E-2</v>
      </c>
      <c r="AA8756">
        <v>0.95106769999999996</v>
      </c>
      <c r="AB8756">
        <v>27</v>
      </c>
      <c r="AC8756">
        <v>25.7410999999999</v>
      </c>
      <c r="AD8756">
        <v>2.5245880000000001</v>
      </c>
      <c r="AE8756">
        <v>49.350200000000001</v>
      </c>
      <c r="AF8756">
        <v>17.045349299326499</v>
      </c>
      <c r="AG8756">
        <v>2.5245880000000001</v>
      </c>
      <c r="AH8756">
        <v>52.865817653939096</v>
      </c>
      <c r="AI8756">
        <v>87.397666525596605</v>
      </c>
      <c r="AJ8756">
        <v>72.129294638011999</v>
      </c>
      <c r="AK8756">
        <v>55.603166758066401</v>
      </c>
      <c r="AL8756">
        <v>86.056367791058193</v>
      </c>
      <c r="AM8756">
        <v>88.339265691304504</v>
      </c>
      <c r="AN8756">
        <v>0.99999995500093397</v>
      </c>
    </row>
    <row r="8757" spans="1:40" x14ac:dyDescent="0.25">
      <c r="A8757" t="str">
        <f>"20190312160540032"</f>
        <v>20190312160540032</v>
      </c>
      <c r="B8757" t="str">
        <f>"1552377940023557"</f>
        <v>1552377940023557</v>
      </c>
      <c r="C8757" t="s">
        <v>40</v>
      </c>
      <c r="D8757">
        <v>5.6492120000000003</v>
      </c>
      <c r="E8757">
        <v>0.6087804</v>
      </c>
      <c r="F8757" t="s">
        <v>55</v>
      </c>
      <c r="G8757">
        <v>-160.6071</v>
      </c>
      <c r="H8757">
        <v>3.699411</v>
      </c>
      <c r="I8757">
        <v>165.14940000000001</v>
      </c>
      <c r="J8757">
        <v>-186.32259999999999</v>
      </c>
      <c r="K8757">
        <v>1.1078790000000001</v>
      </c>
      <c r="L8757">
        <v>115.9367</v>
      </c>
      <c r="M8757">
        <v>0.1698441</v>
      </c>
      <c r="N8757">
        <v>0</v>
      </c>
      <c r="O8757">
        <v>0.98537019999999997</v>
      </c>
      <c r="P8757">
        <v>0.1980528</v>
      </c>
      <c r="Q8757">
        <v>5.5022330000000001E-2</v>
      </c>
      <c r="R8757">
        <v>0.97864580000000001</v>
      </c>
      <c r="S8757">
        <v>1.4433590000000001</v>
      </c>
      <c r="T8757">
        <v>0.14531559999999999</v>
      </c>
      <c r="U8757">
        <v>2.7671969999999999</v>
      </c>
      <c r="V8757">
        <v>2.9360839999999999E-2</v>
      </c>
      <c r="W8757">
        <v>6.8902050000000006E-2</v>
      </c>
      <c r="X8757">
        <v>0.9971913</v>
      </c>
      <c r="Y8757">
        <v>0.30462509999999998</v>
      </c>
      <c r="Z8757">
        <v>4.7068390000000002E-2</v>
      </c>
      <c r="AA8757">
        <v>0.95130859999999995</v>
      </c>
      <c r="AB8757">
        <v>27</v>
      </c>
      <c r="AC8757">
        <v>25.715499999999899</v>
      </c>
      <c r="AD8757">
        <v>2.5915319999999999</v>
      </c>
      <c r="AE8757">
        <v>49.212699999999998</v>
      </c>
      <c r="AF8757">
        <v>16.945574371072698</v>
      </c>
      <c r="AG8757">
        <v>2.5915319999999999</v>
      </c>
      <c r="AH8757">
        <v>52.7506964482534</v>
      </c>
      <c r="AI8757">
        <v>87.322012357124905</v>
      </c>
      <c r="AJ8757">
        <v>72.190962673351805</v>
      </c>
      <c r="AK8757">
        <v>55.466246534702101</v>
      </c>
      <c r="AL8757">
        <v>86.049073033318095</v>
      </c>
      <c r="AM8757">
        <v>88.313496777851398</v>
      </c>
      <c r="AN8757">
        <v>1.00000002010769</v>
      </c>
    </row>
    <row r="8758" spans="1:40" x14ac:dyDescent="0.25">
      <c r="A8758" t="str">
        <f>"20190312160540044"</f>
        <v>20190312160540044</v>
      </c>
      <c r="B8758" t="str">
        <f>"1552377940034293"</f>
        <v>1552377940034293</v>
      </c>
      <c r="C8758" t="s">
        <v>40</v>
      </c>
      <c r="D8758">
        <v>5.691649</v>
      </c>
      <c r="E8758">
        <v>0.60838959999999997</v>
      </c>
      <c r="F8758" t="s">
        <v>55</v>
      </c>
      <c r="G8758">
        <v>-160.58969999999999</v>
      </c>
      <c r="H8758">
        <v>3.751268</v>
      </c>
      <c r="I8758">
        <v>165.13200000000001</v>
      </c>
      <c r="J8758">
        <v>-186.29640000000001</v>
      </c>
      <c r="K8758">
        <v>1.1078779999999999</v>
      </c>
      <c r="L8758">
        <v>116.0776</v>
      </c>
      <c r="M8758">
        <v>0.1716742</v>
      </c>
      <c r="N8758">
        <v>0</v>
      </c>
      <c r="O8758">
        <v>0.98505310000000001</v>
      </c>
      <c r="P8758">
        <v>0.2001686</v>
      </c>
      <c r="Q8758">
        <v>5.500944E-2</v>
      </c>
      <c r="R8758">
        <v>0.97821599999999997</v>
      </c>
      <c r="S8758">
        <v>1.4460299999999999</v>
      </c>
      <c r="T8758">
        <v>0.1485436</v>
      </c>
      <c r="U8758">
        <v>2.764465</v>
      </c>
      <c r="V8758">
        <v>2.9664380000000001E-2</v>
      </c>
      <c r="W8758">
        <v>6.8886349999999999E-2</v>
      </c>
      <c r="X8758">
        <v>0.99718340000000005</v>
      </c>
      <c r="Y8758">
        <v>0.30393959999999998</v>
      </c>
      <c r="Z8758">
        <v>4.812541E-2</v>
      </c>
      <c r="AA8758">
        <v>0.95147499999999996</v>
      </c>
      <c r="AB8758">
        <v>27</v>
      </c>
      <c r="AC8758">
        <v>25.706700000000001</v>
      </c>
      <c r="AD8758">
        <v>2.6433900000000001</v>
      </c>
      <c r="AE8758">
        <v>49.054400000000001</v>
      </c>
      <c r="AF8758">
        <v>16.864346408406099</v>
      </c>
      <c r="AG8758">
        <v>2.6433900000000001</v>
      </c>
      <c r="AH8758">
        <v>52.619720585568899</v>
      </c>
      <c r="AI8758">
        <v>87.261124155713702</v>
      </c>
      <c r="AJ8758">
        <v>72.229615906780694</v>
      </c>
      <c r="AK8758">
        <v>55.319333735848403</v>
      </c>
      <c r="AL8758">
        <v>86.049974714875304</v>
      </c>
      <c r="AM8758">
        <v>88.296058003648497</v>
      </c>
      <c r="AN8758">
        <v>1.0000000189463301</v>
      </c>
    </row>
    <row r="8759" spans="1:40" x14ac:dyDescent="0.25">
      <c r="A8759" t="str">
        <f>"20190312160540057"</f>
        <v>20190312160540057</v>
      </c>
      <c r="B8759" t="str">
        <f>"1552377940053813"</f>
        <v>1552377940053813</v>
      </c>
      <c r="C8759" t="s">
        <v>40</v>
      </c>
      <c r="D8759">
        <v>5.5612029999999999</v>
      </c>
      <c r="E8759">
        <v>0.60766209999999998</v>
      </c>
      <c r="F8759" t="s">
        <v>55</v>
      </c>
      <c r="G8759">
        <v>-160.572</v>
      </c>
      <c r="H8759">
        <v>3.802702</v>
      </c>
      <c r="I8759">
        <v>165.11420000000001</v>
      </c>
      <c r="J8759">
        <v>-186.26949999999999</v>
      </c>
      <c r="K8759">
        <v>1.107883</v>
      </c>
      <c r="L8759">
        <v>116.2199</v>
      </c>
      <c r="M8759">
        <v>0.1735236</v>
      </c>
      <c r="N8759">
        <v>0</v>
      </c>
      <c r="O8759">
        <v>0.98472890000000002</v>
      </c>
      <c r="P8759">
        <v>0.20214979999999999</v>
      </c>
      <c r="Q8759">
        <v>5.4735270000000003E-2</v>
      </c>
      <c r="R8759">
        <v>0.97782389999999997</v>
      </c>
      <c r="S8759">
        <v>1.4488369999999999</v>
      </c>
      <c r="T8759">
        <v>0.15177789999999999</v>
      </c>
      <c r="U8759">
        <v>2.7618100000000001</v>
      </c>
      <c r="V8759">
        <v>2.9807190000000001E-2</v>
      </c>
      <c r="W8759">
        <v>6.8609959999999998E-2</v>
      </c>
      <c r="X8759">
        <v>0.99719820000000003</v>
      </c>
      <c r="Y8759">
        <v>0.303261</v>
      </c>
      <c r="Z8759">
        <v>4.918256E-2</v>
      </c>
      <c r="AA8759">
        <v>0.95163739999999997</v>
      </c>
      <c r="AB8759">
        <v>27</v>
      </c>
      <c r="AC8759">
        <v>25.697499999999899</v>
      </c>
      <c r="AD8759">
        <v>2.6948189999999999</v>
      </c>
      <c r="AE8759">
        <v>48.894300000000001</v>
      </c>
      <c r="AF8759">
        <v>16.782480311871002</v>
      </c>
      <c r="AG8759">
        <v>2.6948189999999999</v>
      </c>
      <c r="AH8759">
        <v>52.4870462679025</v>
      </c>
      <c r="AI8759">
        <v>87.200266099624997</v>
      </c>
      <c r="AJ8759">
        <v>72.268573033502904</v>
      </c>
      <c r="AK8759">
        <v>55.170678088909199</v>
      </c>
      <c r="AL8759">
        <v>86.065848265704901</v>
      </c>
      <c r="AM8759">
        <v>88.287885167488</v>
      </c>
      <c r="AN8759">
        <v>1.00000002263506</v>
      </c>
    </row>
    <row r="8760" spans="1:40" x14ac:dyDescent="0.25">
      <c r="A8760" t="str">
        <f>"20190312160540069"</f>
        <v>20190312160540069</v>
      </c>
      <c r="B8760" t="str">
        <f>"1552377940063573"</f>
        <v>1552377940063573</v>
      </c>
      <c r="C8760" t="s">
        <v>40</v>
      </c>
      <c r="D8760">
        <v>5.4671949999999896</v>
      </c>
      <c r="E8760">
        <v>0.60730740000000005</v>
      </c>
      <c r="F8760" t="s">
        <v>55</v>
      </c>
      <c r="G8760">
        <v>-160.59610000000001</v>
      </c>
      <c r="H8760">
        <v>3.8714689999999998</v>
      </c>
      <c r="I8760">
        <v>165.13829999999999</v>
      </c>
      <c r="J8760">
        <v>-186.24119999999999</v>
      </c>
      <c r="K8760">
        <v>1.107885</v>
      </c>
      <c r="L8760">
        <v>116.3686</v>
      </c>
      <c r="M8760">
        <v>0.17545549999999999</v>
      </c>
      <c r="N8760">
        <v>0</v>
      </c>
      <c r="O8760">
        <v>0.9843866</v>
      </c>
      <c r="P8760">
        <v>0.20456340000000001</v>
      </c>
      <c r="Q8760">
        <v>5.4652350000000002E-2</v>
      </c>
      <c r="R8760">
        <v>0.97732640000000004</v>
      </c>
      <c r="S8760">
        <v>1.4484410000000001</v>
      </c>
      <c r="T8760">
        <v>0.15591749999999999</v>
      </c>
      <c r="U8760">
        <v>2.7598720000000001</v>
      </c>
      <c r="V8760">
        <v>3.0311089999999999E-2</v>
      </c>
      <c r="W8760">
        <v>6.8521949999999998E-2</v>
      </c>
      <c r="X8760">
        <v>0.99718899999999999</v>
      </c>
      <c r="Y8760">
        <v>0.30152679999999998</v>
      </c>
      <c r="Z8760">
        <v>5.0541259999999998E-2</v>
      </c>
      <c r="AA8760">
        <v>0.9521172</v>
      </c>
      <c r="AB8760">
        <v>26</v>
      </c>
      <c r="AC8760">
        <v>25.6450999999999</v>
      </c>
      <c r="AD8760">
        <v>2.7635839999999998</v>
      </c>
      <c r="AE8760">
        <v>48.769699999999901</v>
      </c>
      <c r="AF8760">
        <v>16.6475596244901</v>
      </c>
      <c r="AG8760">
        <v>2.7635839999999998</v>
      </c>
      <c r="AH8760">
        <v>52.381258099884903</v>
      </c>
      <c r="AI8760">
        <v>87.121548948616706</v>
      </c>
      <c r="AJ8760">
        <v>72.368952763521094</v>
      </c>
      <c r="AK8760">
        <v>55.0324889324731</v>
      </c>
      <c r="AL8760">
        <v>86.070902518996405</v>
      </c>
      <c r="AM8760">
        <v>88.258942936330797</v>
      </c>
      <c r="AN8760">
        <v>0.99999996076489395</v>
      </c>
    </row>
    <row r="8761" spans="1:40" x14ac:dyDescent="0.25">
      <c r="A8761" t="str">
        <f>"20190312160540085"</f>
        <v>20190312160540085</v>
      </c>
      <c r="B8761" t="str">
        <f>"1552377940074309"</f>
        <v>1552377940074309</v>
      </c>
      <c r="C8761" t="s">
        <v>40</v>
      </c>
      <c r="D8761">
        <v>5.6194930000000003</v>
      </c>
      <c r="E8761">
        <v>0.6069793</v>
      </c>
      <c r="F8761" t="s">
        <v>55</v>
      </c>
      <c r="G8761">
        <v>-160.56479999999999</v>
      </c>
      <c r="H8761">
        <v>3.9181319999999999</v>
      </c>
      <c r="I8761">
        <v>165.107</v>
      </c>
      <c r="J8761">
        <v>-186.2062</v>
      </c>
      <c r="K8761">
        <v>1.107893</v>
      </c>
      <c r="L8761">
        <v>116.5502</v>
      </c>
      <c r="M8761">
        <v>0.17781469999999999</v>
      </c>
      <c r="N8761">
        <v>0</v>
      </c>
      <c r="O8761">
        <v>0.98396320000000004</v>
      </c>
      <c r="P8761">
        <v>0.20730100000000001</v>
      </c>
      <c r="Q8761">
        <v>5.4565200000000001E-2</v>
      </c>
      <c r="R8761">
        <v>0.97675429999999996</v>
      </c>
      <c r="S8761">
        <v>1.4523010000000001</v>
      </c>
      <c r="T8761">
        <v>0.15895429999999999</v>
      </c>
      <c r="U8761">
        <v>2.756729</v>
      </c>
      <c r="V8761">
        <v>3.0712900000000001E-2</v>
      </c>
      <c r="W8761">
        <v>6.8430610000000003E-2</v>
      </c>
      <c r="X8761">
        <v>0.99718300000000004</v>
      </c>
      <c r="Y8761">
        <v>0.30070839999999999</v>
      </c>
      <c r="Z8761">
        <v>5.1532469999999997E-2</v>
      </c>
      <c r="AA8761">
        <v>0.95232280000000002</v>
      </c>
      <c r="AB8761">
        <v>26</v>
      </c>
      <c r="AC8761">
        <v>25.641400000000001</v>
      </c>
      <c r="AD8761">
        <v>2.8102390000000002</v>
      </c>
      <c r="AE8761">
        <v>48.556800000000003</v>
      </c>
      <c r="AF8761">
        <v>16.5543686231047</v>
      </c>
      <c r="AG8761">
        <v>2.8102390000000002</v>
      </c>
      <c r="AH8761">
        <v>52.2059771626028</v>
      </c>
      <c r="AI8761">
        <v>87.062621387228603</v>
      </c>
      <c r="AJ8761">
        <v>72.406324998008003</v>
      </c>
      <c r="AK8761">
        <v>54.839845142459701</v>
      </c>
      <c r="AL8761">
        <v>86.076148316306302</v>
      </c>
      <c r="AM8761">
        <v>88.235867008858506</v>
      </c>
      <c r="AN8761">
        <v>0.999999983050191</v>
      </c>
    </row>
    <row r="8762" spans="1:40" x14ac:dyDescent="0.25">
      <c r="A8762" t="str">
        <f>"20190312160540098"</f>
        <v>20190312160540098</v>
      </c>
      <c r="B8762" t="str">
        <f>"1552377940093829"</f>
        <v>1552377940093829</v>
      </c>
      <c r="C8762" t="s">
        <v>40</v>
      </c>
      <c r="D8762">
        <v>5.6316129999999998</v>
      </c>
      <c r="E8762">
        <v>0.60644580000000003</v>
      </c>
      <c r="F8762" t="s">
        <v>55</v>
      </c>
      <c r="G8762">
        <v>-160.5241</v>
      </c>
      <c r="H8762">
        <v>3.9450120000000002</v>
      </c>
      <c r="I8762">
        <v>165.06630000000001</v>
      </c>
      <c r="J8762">
        <v>-186.17580000000001</v>
      </c>
      <c r="K8762">
        <v>1.107898</v>
      </c>
      <c r="L8762">
        <v>116.70610000000001</v>
      </c>
      <c r="M8762">
        <v>0.17984169999999999</v>
      </c>
      <c r="N8762">
        <v>0</v>
      </c>
      <c r="O8762">
        <v>0.98359479999999999</v>
      </c>
      <c r="P8762">
        <v>0.20989859999999999</v>
      </c>
      <c r="Q8762">
        <v>5.4434719999999999E-2</v>
      </c>
      <c r="R8762">
        <v>0.97620669999999998</v>
      </c>
      <c r="S8762">
        <v>1.4573670000000001</v>
      </c>
      <c r="T8762">
        <v>0.1609979</v>
      </c>
      <c r="U8762">
        <v>2.7531129999999999</v>
      </c>
      <c r="V8762">
        <v>3.1308759999999998E-2</v>
      </c>
      <c r="W8762">
        <v>6.8295510000000004E-2</v>
      </c>
      <c r="X8762">
        <v>0.99717370000000005</v>
      </c>
      <c r="Y8762">
        <v>0.30061270000000001</v>
      </c>
      <c r="Z8762">
        <v>5.2203859999999998E-2</v>
      </c>
      <c r="AA8762">
        <v>0.95231650000000001</v>
      </c>
      <c r="AB8762">
        <v>26</v>
      </c>
      <c r="AC8762">
        <v>25.651700000000002</v>
      </c>
      <c r="AD8762">
        <v>2.8371140000000001</v>
      </c>
      <c r="AE8762">
        <v>48.360199999999999</v>
      </c>
      <c r="AF8762">
        <v>16.4910420499677</v>
      </c>
      <c r="AG8762">
        <v>2.8371140000000001</v>
      </c>
      <c r="AH8762">
        <v>52.0454646116821</v>
      </c>
      <c r="AI8762">
        <v>87.025246979898697</v>
      </c>
      <c r="AJ8762">
        <v>72.418758060404997</v>
      </c>
      <c r="AK8762">
        <v>54.6693156202696</v>
      </c>
      <c r="AL8762">
        <v>86.083907004393694</v>
      </c>
      <c r="AM8762">
        <v>88.201646619725494</v>
      </c>
      <c r="AN8762">
        <v>0.99999995155529198</v>
      </c>
    </row>
    <row r="8763" spans="1:40" x14ac:dyDescent="0.25">
      <c r="A8763" t="str">
        <f>"20190312160540111"</f>
        <v>20190312160540111</v>
      </c>
      <c r="B8763" t="str">
        <f>"1552377940103588"</f>
        <v>1552377940103588</v>
      </c>
      <c r="C8763" t="s">
        <v>40</v>
      </c>
      <c r="D8763">
        <v>5.4529139999999998</v>
      </c>
      <c r="E8763">
        <v>0.60611569999999904</v>
      </c>
      <c r="F8763" t="s">
        <v>55</v>
      </c>
      <c r="G8763">
        <v>-160.50659999999999</v>
      </c>
      <c r="H8763">
        <v>4.0047499999999996</v>
      </c>
      <c r="I8763">
        <v>165.0488</v>
      </c>
      <c r="J8763">
        <v>-186.14840000000001</v>
      </c>
      <c r="K8763">
        <v>1.1079060000000001</v>
      </c>
      <c r="L8763">
        <v>116.84520000000001</v>
      </c>
      <c r="M8763">
        <v>0.18164849999999999</v>
      </c>
      <c r="N8763">
        <v>0</v>
      </c>
      <c r="O8763">
        <v>0.98326270000000005</v>
      </c>
      <c r="P8763">
        <v>0.2118275</v>
      </c>
      <c r="Q8763">
        <v>5.4424E-2</v>
      </c>
      <c r="R8763">
        <v>0.97579050000000001</v>
      </c>
      <c r="S8763">
        <v>1.4601900000000001</v>
      </c>
      <c r="T8763">
        <v>0.16478909999999999</v>
      </c>
      <c r="U8763">
        <v>2.7499690000000001</v>
      </c>
      <c r="V8763">
        <v>3.1446780000000001E-2</v>
      </c>
      <c r="W8763">
        <v>6.8282670000000004E-2</v>
      </c>
      <c r="X8763">
        <v>0.99717029999999995</v>
      </c>
      <c r="Y8763">
        <v>0.30004229999999998</v>
      </c>
      <c r="Z8763">
        <v>5.3449009999999998E-2</v>
      </c>
      <c r="AA8763">
        <v>0.95242729999999998</v>
      </c>
      <c r="AB8763">
        <v>26</v>
      </c>
      <c r="AC8763">
        <v>25.6418</v>
      </c>
      <c r="AD8763">
        <v>2.8968440000000002</v>
      </c>
      <c r="AE8763">
        <v>48.203600000000002</v>
      </c>
      <c r="AF8763">
        <v>16.411946353586401</v>
      </c>
      <c r="AG8763">
        <v>2.8968440000000002</v>
      </c>
      <c r="AH8763">
        <v>51.913622192571601</v>
      </c>
      <c r="AI8763">
        <v>86.954407603101203</v>
      </c>
      <c r="AJ8763">
        <v>72.456197231533594</v>
      </c>
      <c r="AK8763">
        <v>54.523094716151199</v>
      </c>
      <c r="AL8763">
        <v>86.0846446528233</v>
      </c>
      <c r="AM8763">
        <v>88.193717932462405</v>
      </c>
      <c r="AN8763">
        <v>1.0000000150983901</v>
      </c>
    </row>
    <row r="8764" spans="1:40" x14ac:dyDescent="0.25">
      <c r="A8764" t="str">
        <f>"20190312160540123"</f>
        <v>20190312160540123</v>
      </c>
      <c r="B8764" t="str">
        <f>"1552377940114325"</f>
        <v>1552377940114325</v>
      </c>
      <c r="C8764" t="s">
        <v>40</v>
      </c>
      <c r="D8764">
        <v>5.6513080000000002</v>
      </c>
      <c r="E8764">
        <v>0.60611569999999904</v>
      </c>
      <c r="F8764" t="s">
        <v>55</v>
      </c>
      <c r="G8764">
        <v>-160.48849999999999</v>
      </c>
      <c r="H8764">
        <v>4.0454420000000004</v>
      </c>
      <c r="I8764">
        <v>165.0307</v>
      </c>
      <c r="J8764">
        <v>-186.11920000000001</v>
      </c>
      <c r="K8764">
        <v>1.10791</v>
      </c>
      <c r="L8764">
        <v>116.9919</v>
      </c>
      <c r="M8764">
        <v>0.18355569999999999</v>
      </c>
      <c r="N8764">
        <v>0</v>
      </c>
      <c r="O8764">
        <v>0.98290849999999996</v>
      </c>
      <c r="P8764">
        <v>0.21402350000000001</v>
      </c>
      <c r="Q8764">
        <v>5.4500710000000001E-2</v>
      </c>
      <c r="R8764">
        <v>0.97530689999999998</v>
      </c>
      <c r="S8764">
        <v>1.4630890000000001</v>
      </c>
      <c r="T8764">
        <v>0.1674957</v>
      </c>
      <c r="U8764">
        <v>2.7474669999999999</v>
      </c>
      <c r="V8764">
        <v>3.1757870000000001E-2</v>
      </c>
      <c r="W8764">
        <v>6.8355449999999998E-2</v>
      </c>
      <c r="X8764">
        <v>0.99715540000000003</v>
      </c>
      <c r="Y8764">
        <v>0.29931180000000002</v>
      </c>
      <c r="Z8764">
        <v>5.4332129999999999E-2</v>
      </c>
      <c r="AA8764">
        <v>0.95260719999999999</v>
      </c>
      <c r="AB8764">
        <v>26</v>
      </c>
      <c r="AC8764">
        <v>25.630700000000001</v>
      </c>
      <c r="AD8764">
        <v>2.937532</v>
      </c>
      <c r="AE8764">
        <v>48.038800000000002</v>
      </c>
      <c r="AF8764">
        <v>16.328932341688098</v>
      </c>
      <c r="AG8764">
        <v>2.937532</v>
      </c>
      <c r="AH8764">
        <v>51.776847389059199</v>
      </c>
      <c r="AI8764">
        <v>86.9028886255945</v>
      </c>
      <c r="AJ8764">
        <v>72.496220496094594</v>
      </c>
      <c r="AK8764">
        <v>54.3700749605919</v>
      </c>
      <c r="AL8764">
        <v>86.080464687003101</v>
      </c>
      <c r="AM8764">
        <v>88.1758339047188</v>
      </c>
      <c r="AN8764">
        <v>0.99999996080039899</v>
      </c>
    </row>
    <row r="8765" spans="1:40" x14ac:dyDescent="0.25">
      <c r="A8765" t="str">
        <f>"20190312160540134"</f>
        <v>20190312160540134</v>
      </c>
      <c r="B8765" t="str">
        <f>"1552377940124086"</f>
        <v>1552377940124086</v>
      </c>
      <c r="C8765" t="s">
        <v>40</v>
      </c>
      <c r="D8765">
        <v>5.5051649999999999</v>
      </c>
      <c r="E8765">
        <v>0.58461090000000004</v>
      </c>
      <c r="F8765" t="s">
        <v>55</v>
      </c>
      <c r="G8765">
        <v>-160.4323</v>
      </c>
      <c r="H8765">
        <v>4.0346159999999998</v>
      </c>
      <c r="I8765">
        <v>164.97450000000001</v>
      </c>
      <c r="J8765">
        <v>-186.09229999999999</v>
      </c>
      <c r="K8765">
        <v>1.1079129999999999</v>
      </c>
      <c r="L8765">
        <v>117.1254</v>
      </c>
      <c r="M8765">
        <v>0.1852906</v>
      </c>
      <c r="N8765">
        <v>0</v>
      </c>
      <c r="O8765">
        <v>0.98258290000000004</v>
      </c>
      <c r="P8765">
        <v>0.2159093</v>
      </c>
      <c r="Q8765">
        <v>5.4386629999999998E-2</v>
      </c>
      <c r="R8765">
        <v>0.97489760000000003</v>
      </c>
      <c r="S8765">
        <v>1.4690859999999999</v>
      </c>
      <c r="T8765">
        <v>0.1673857</v>
      </c>
      <c r="U8765">
        <v>2.7442169999999999</v>
      </c>
      <c r="V8765">
        <v>3.192366E-2</v>
      </c>
      <c r="W8765">
        <v>6.8238899999999894E-2</v>
      </c>
      <c r="X8765">
        <v>0.99715810000000005</v>
      </c>
      <c r="Y8765">
        <v>0.29971589999999998</v>
      </c>
      <c r="Z8765">
        <v>5.4296249999999997E-2</v>
      </c>
      <c r="AA8765">
        <v>0.95248219999999995</v>
      </c>
      <c r="AB8765">
        <v>26</v>
      </c>
      <c r="AC8765">
        <v>25.66</v>
      </c>
      <c r="AD8765">
        <v>2.9267029999999998</v>
      </c>
      <c r="AE8765">
        <v>47.8491</v>
      </c>
      <c r="AF8765">
        <v>16.301344333037701</v>
      </c>
      <c r="AG8765">
        <v>2.9267029999999998</v>
      </c>
      <c r="AH8765">
        <v>51.625394321510797</v>
      </c>
      <c r="AI8765">
        <v>86.905595235149207</v>
      </c>
      <c r="AJ8765">
        <v>72.475856389974794</v>
      </c>
      <c r="AK8765">
        <v>54.2169784879787</v>
      </c>
      <c r="AL8765">
        <v>86.087158183203499</v>
      </c>
      <c r="AM8765">
        <v>88.166322404229604</v>
      </c>
      <c r="AN8765">
        <v>0.99999997196830703</v>
      </c>
    </row>
    <row r="8766" spans="1:40" x14ac:dyDescent="0.25">
      <c r="A8766" t="str">
        <f>"20190312160540153"</f>
        <v>20190312160540153</v>
      </c>
      <c r="B8766" t="str">
        <f>"1552377940143606"</f>
        <v>1552377940143606</v>
      </c>
      <c r="C8766" t="s">
        <v>40</v>
      </c>
      <c r="D8766">
        <v>5.8244899999999999</v>
      </c>
      <c r="E8766">
        <v>0.58595640000000004</v>
      </c>
      <c r="F8766" t="s">
        <v>95</v>
      </c>
      <c r="G8766">
        <v>-165.2002</v>
      </c>
      <c r="H8766">
        <v>6.299391</v>
      </c>
      <c r="I8766">
        <v>161.69829999999999</v>
      </c>
      <c r="J8766">
        <v>-186.04830000000001</v>
      </c>
      <c r="K8766">
        <v>1.107915</v>
      </c>
      <c r="L8766">
        <v>117.34180000000001</v>
      </c>
      <c r="M8766">
        <v>0.18810540000000001</v>
      </c>
      <c r="N8766">
        <v>0</v>
      </c>
      <c r="O8766">
        <v>0.98204800000000003</v>
      </c>
      <c r="P8766">
        <v>0.21907409999999999</v>
      </c>
      <c r="Q8766">
        <v>5.4606700000000001E-2</v>
      </c>
      <c r="R8766">
        <v>0.97417900000000002</v>
      </c>
      <c r="S8766">
        <v>1.299072</v>
      </c>
      <c r="T8766">
        <v>0.32280579999999998</v>
      </c>
      <c r="U8766">
        <v>2.7715450000000001</v>
      </c>
      <c r="V8766">
        <v>3.2307740000000001E-2</v>
      </c>
      <c r="W8766">
        <v>6.8454879999999996E-2</v>
      </c>
      <c r="X8766">
        <v>0.99713090000000004</v>
      </c>
      <c r="Y8766">
        <v>0.24409710000000001</v>
      </c>
      <c r="Z8766">
        <v>0.10546999999999999</v>
      </c>
      <c r="AA8766">
        <v>0.96399829999999997</v>
      </c>
      <c r="AB8766">
        <v>26</v>
      </c>
      <c r="AC8766">
        <v>20.848099999999999</v>
      </c>
      <c r="AD8766">
        <v>5.1914759999999998</v>
      </c>
      <c r="AE8766">
        <v>44.356499999999897</v>
      </c>
      <c r="AF8766">
        <v>11.996738963139199</v>
      </c>
      <c r="AG8766">
        <v>5.1914759999999998</v>
      </c>
      <c r="AH8766">
        <v>46.959680100561798</v>
      </c>
      <c r="AI8766">
        <v>83.886259846427393</v>
      </c>
      <c r="AJ8766">
        <v>75.669223986558094</v>
      </c>
      <c r="AK8766">
        <v>48.745099486567703</v>
      </c>
      <c r="AL8766">
        <v>86.074754334346295</v>
      </c>
      <c r="AM8766">
        <v>88.144225806883398</v>
      </c>
      <c r="AN8766">
        <v>0.99999994619726396</v>
      </c>
    </row>
    <row r="8767" spans="1:40" x14ac:dyDescent="0.25">
      <c r="A8767" t="str">
        <f>"20190312160540168"</f>
        <v>20190312160540168</v>
      </c>
      <c r="B8767" t="str">
        <f>"1552377940164102"</f>
        <v>1552377940164102</v>
      </c>
      <c r="C8767" t="s">
        <v>40</v>
      </c>
      <c r="D8767">
        <v>5.8560179999999997</v>
      </c>
      <c r="E8767">
        <v>0.58566079999999998</v>
      </c>
      <c r="F8767" t="s">
        <v>95</v>
      </c>
      <c r="G8767">
        <v>-163.03450000000001</v>
      </c>
      <c r="H8767">
        <v>7.378285</v>
      </c>
      <c r="I8767">
        <v>165.63390000000001</v>
      </c>
      <c r="J8767">
        <v>-186.01439999999999</v>
      </c>
      <c r="K8767">
        <v>1.107923</v>
      </c>
      <c r="L8767">
        <v>117.5065</v>
      </c>
      <c r="M8767">
        <v>0.19024969999999999</v>
      </c>
      <c r="N8767">
        <v>0</v>
      </c>
      <c r="O8767">
        <v>0.98163489999999998</v>
      </c>
      <c r="P8767">
        <v>0.2212114</v>
      </c>
      <c r="Q8767">
        <v>5.4800559999999998E-2</v>
      </c>
      <c r="R8767">
        <v>0.97368500000000002</v>
      </c>
      <c r="S8767">
        <v>1.3168489999999999</v>
      </c>
      <c r="T8767">
        <v>0.3587902</v>
      </c>
      <c r="U8767">
        <v>2.7632750000000001</v>
      </c>
      <c r="V8767">
        <v>3.2321040000000002E-2</v>
      </c>
      <c r="W8767">
        <v>6.8646589999999993E-2</v>
      </c>
      <c r="X8767">
        <v>0.99711729999999998</v>
      </c>
      <c r="Y8767">
        <v>0.24758579999999999</v>
      </c>
      <c r="Z8767">
        <v>0.1170998</v>
      </c>
      <c r="AA8767">
        <v>0.96176340000000005</v>
      </c>
      <c r="AB8767">
        <v>26</v>
      </c>
      <c r="AC8767">
        <v>22.979899999999901</v>
      </c>
      <c r="AD8767">
        <v>6.2703620000000004</v>
      </c>
      <c r="AE8767">
        <v>48.127400000000002</v>
      </c>
      <c r="AF8767">
        <v>13.2202302524648</v>
      </c>
      <c r="AG8767">
        <v>6.2703620000000004</v>
      </c>
      <c r="AH8767">
        <v>50.916735929604599</v>
      </c>
      <c r="AI8767">
        <v>83.202585176849993</v>
      </c>
      <c r="AJ8767">
        <v>75.444885652331905</v>
      </c>
      <c r="AK8767">
        <v>52.977409574877498</v>
      </c>
      <c r="AL8767">
        <v>86.063744302494896</v>
      </c>
      <c r="AM8767">
        <v>88.143437077964705</v>
      </c>
      <c r="AN8767">
        <v>0.99999995695229904</v>
      </c>
    </row>
    <row r="8768" spans="1:40" x14ac:dyDescent="0.25">
      <c r="A8768" t="str">
        <f>"20190312160540182"</f>
        <v>20190312160540182</v>
      </c>
      <c r="B8768" t="str">
        <f>"1552377940173861"</f>
        <v>1552377940173861</v>
      </c>
      <c r="C8768" t="s">
        <v>40</v>
      </c>
      <c r="D8768">
        <v>5.7581800000000003</v>
      </c>
      <c r="E8768">
        <v>0.58888879999999999</v>
      </c>
      <c r="F8768" t="s">
        <v>55</v>
      </c>
      <c r="G8768">
        <v>-162.9837</v>
      </c>
      <c r="H8768">
        <v>7.4920619999999998</v>
      </c>
      <c r="I8768">
        <v>165.6636</v>
      </c>
      <c r="J8768">
        <v>-185.9794</v>
      </c>
      <c r="K8768">
        <v>1.107931</v>
      </c>
      <c r="L8768">
        <v>117.67440000000001</v>
      </c>
      <c r="M8768">
        <v>0.19244</v>
      </c>
      <c r="N8768">
        <v>0</v>
      </c>
      <c r="O8768">
        <v>0.98120779999999996</v>
      </c>
      <c r="P8768">
        <v>0.22341159999999999</v>
      </c>
      <c r="Q8768">
        <v>5.5435640000000001E-2</v>
      </c>
      <c r="R8768">
        <v>0.97314650000000003</v>
      </c>
      <c r="S8768">
        <v>1.320206</v>
      </c>
      <c r="T8768">
        <v>0.36596380000000001</v>
      </c>
      <c r="U8768">
        <v>2.7605439999999999</v>
      </c>
      <c r="V8768">
        <v>3.2359770000000003E-2</v>
      </c>
      <c r="W8768">
        <v>6.9279270000000004E-2</v>
      </c>
      <c r="X8768">
        <v>0.99707230000000002</v>
      </c>
      <c r="Y8768">
        <v>0.24662500000000001</v>
      </c>
      <c r="Z8768">
        <v>0.1194195</v>
      </c>
      <c r="AA8768">
        <v>0.9617251</v>
      </c>
      <c r="AB8768">
        <v>26</v>
      </c>
      <c r="AC8768">
        <v>22.995699999999999</v>
      </c>
      <c r="AD8768">
        <v>6.384131</v>
      </c>
      <c r="AE8768">
        <v>47.989199999999997</v>
      </c>
      <c r="AF8768">
        <v>13.1407069405185</v>
      </c>
      <c r="AG8768">
        <v>6.384131</v>
      </c>
      <c r="AH8768">
        <v>50.786806908386303</v>
      </c>
      <c r="AI8768">
        <v>83.061404025292802</v>
      </c>
      <c r="AJ8768">
        <v>75.493290102873601</v>
      </c>
      <c r="AK8768">
        <v>52.8463344374183</v>
      </c>
      <c r="AL8768">
        <v>86.027407956322605</v>
      </c>
      <c r="AM8768">
        <v>88.141130103556407</v>
      </c>
      <c r="AN8768">
        <v>0.99999997169673704</v>
      </c>
    </row>
    <row r="8769" spans="1:40" x14ac:dyDescent="0.25">
      <c r="A8769" t="str">
        <f>"20190312160540197"</f>
        <v>20190312160540197</v>
      </c>
      <c r="B8769" t="str">
        <f>"1552377940194356"</f>
        <v>1552377940194356</v>
      </c>
      <c r="C8769" t="s">
        <v>40</v>
      </c>
      <c r="D8769">
        <v>5.6774120000000003</v>
      </c>
      <c r="E8769">
        <v>0.59084269999999905</v>
      </c>
      <c r="F8769" t="s">
        <v>55</v>
      </c>
      <c r="G8769">
        <v>-161.88319999999999</v>
      </c>
      <c r="H8769">
        <v>2.1405159999999999</v>
      </c>
      <c r="I8769">
        <v>166.42519999999999</v>
      </c>
      <c r="J8769">
        <v>-185.94409999999999</v>
      </c>
      <c r="K8769">
        <v>1.1079319999999999</v>
      </c>
      <c r="L8769">
        <v>117.8417</v>
      </c>
      <c r="M8769">
        <v>0.19462789999999999</v>
      </c>
      <c r="N8769">
        <v>0</v>
      </c>
      <c r="O8769">
        <v>0.98077630000000005</v>
      </c>
      <c r="P8769">
        <v>0.2253242</v>
      </c>
      <c r="Q8769">
        <v>5.5680090000000002E-2</v>
      </c>
      <c r="R8769">
        <v>0.97269150000000004</v>
      </c>
      <c r="S8769">
        <v>1.3669739999999999</v>
      </c>
      <c r="T8769">
        <v>5.8580279999999998E-2</v>
      </c>
      <c r="U8769">
        <v>2.765625</v>
      </c>
      <c r="V8769">
        <v>3.2100190000000001E-2</v>
      </c>
      <c r="W8769">
        <v>6.9523299999999996E-2</v>
      </c>
      <c r="X8769">
        <v>0.99706379999999994</v>
      </c>
      <c r="Y8769">
        <v>0.26004909999999998</v>
      </c>
      <c r="Z8769">
        <v>1.911115E-2</v>
      </c>
      <c r="AA8769">
        <v>0.96540619999999999</v>
      </c>
      <c r="AB8769">
        <v>26</v>
      </c>
      <c r="AC8769">
        <v>24.0609</v>
      </c>
      <c r="AD8769">
        <v>1.0325839999999999</v>
      </c>
      <c r="AE8769">
        <v>48.583500000000001</v>
      </c>
      <c r="AF8769">
        <v>14.1389261068033</v>
      </c>
      <c r="AG8769">
        <v>1.0325839999999999</v>
      </c>
      <c r="AH8769">
        <v>52.318666362406901</v>
      </c>
      <c r="AI8769">
        <v>88.908478579025001</v>
      </c>
      <c r="AJ8769">
        <v>74.877272499366697</v>
      </c>
      <c r="AK8769">
        <v>54.205334710815599</v>
      </c>
      <c r="AL8769">
        <v>86.013392650511904</v>
      </c>
      <c r="AM8769">
        <v>88.156015334236599</v>
      </c>
      <c r="AN8769">
        <v>1.0000000663556801</v>
      </c>
    </row>
    <row r="8770" spans="1:40" x14ac:dyDescent="0.25">
      <c r="A8770" t="str">
        <f>"20190312160540209"</f>
        <v>20190312160540209</v>
      </c>
      <c r="B8770" t="str">
        <f>"1552377940204117"</f>
        <v>1552377940204117</v>
      </c>
      <c r="C8770" t="s">
        <v>40</v>
      </c>
      <c r="D8770">
        <v>5.4866510000000002</v>
      </c>
      <c r="E8770">
        <v>0.59202489999999997</v>
      </c>
      <c r="F8770" t="s">
        <v>55</v>
      </c>
      <c r="G8770">
        <v>-161.59970000000001</v>
      </c>
      <c r="H8770">
        <v>0.37657740000000001</v>
      </c>
      <c r="I8770">
        <v>166.1431</v>
      </c>
      <c r="J8770">
        <v>-185.91249999999999</v>
      </c>
      <c r="K8770">
        <v>1.1079270000000001</v>
      </c>
      <c r="L8770">
        <v>117.9903</v>
      </c>
      <c r="M8770">
        <v>0.19657649999999999</v>
      </c>
      <c r="N8770">
        <v>0</v>
      </c>
      <c r="O8770">
        <v>0.98038760000000003</v>
      </c>
      <c r="P8770">
        <v>0.2270615</v>
      </c>
      <c r="Q8770">
        <v>5.5621139999999999E-2</v>
      </c>
      <c r="R8770">
        <v>0.97229080000000001</v>
      </c>
      <c r="S8770">
        <v>1.393051</v>
      </c>
      <c r="T8770">
        <v>-4.1848179999999999E-2</v>
      </c>
      <c r="U8770">
        <v>2.7639309999999999</v>
      </c>
      <c r="V8770">
        <v>3.1899049999999998E-2</v>
      </c>
      <c r="W8770">
        <v>6.9464310000000001E-2</v>
      </c>
      <c r="X8770">
        <v>0.99707429999999997</v>
      </c>
      <c r="Y8770">
        <v>0.2656927</v>
      </c>
      <c r="Z8770">
        <v>-1.361512E-2</v>
      </c>
      <c r="AA8770">
        <v>0.96396159999999997</v>
      </c>
      <c r="AB8770">
        <v>26</v>
      </c>
      <c r="AC8770">
        <v>24.3127999999999</v>
      </c>
      <c r="AD8770">
        <v>-0.73134960000000004</v>
      </c>
      <c r="AE8770">
        <v>48.152799999999999</v>
      </c>
      <c r="AF8770">
        <v>14.3690391444567</v>
      </c>
      <c r="AG8770">
        <v>-0.73134960000000004</v>
      </c>
      <c r="AH8770">
        <v>51.983320941953899</v>
      </c>
      <c r="AI8770">
        <v>90.7769068822017</v>
      </c>
      <c r="AJ8770">
        <v>74.548331487585401</v>
      </c>
      <c r="AK8770">
        <v>53.937647467483501</v>
      </c>
      <c r="AL8770">
        <v>86.0167804535903</v>
      </c>
      <c r="AM8770">
        <v>88.167581135905294</v>
      </c>
      <c r="AN8770">
        <v>0.99999999973758402</v>
      </c>
    </row>
    <row r="8771" spans="1:40" x14ac:dyDescent="0.25">
      <c r="A8771" t="str">
        <f>"20190312160540221"</f>
        <v>20190312160540221</v>
      </c>
      <c r="B8771" t="str">
        <f>"1552377940213877"</f>
        <v>1552377940213877</v>
      </c>
      <c r="C8771" t="s">
        <v>40</v>
      </c>
      <c r="D8771">
        <v>5.7714619999999996</v>
      </c>
      <c r="E8771">
        <v>0.5890917</v>
      </c>
      <c r="F8771" t="s">
        <v>55</v>
      </c>
      <c r="G8771">
        <v>-161.44159999999999</v>
      </c>
      <c r="H8771">
        <v>0.60847469999999904</v>
      </c>
      <c r="I8771">
        <v>165.98500000000001</v>
      </c>
      <c r="J8771">
        <v>-185.8819</v>
      </c>
      <c r="K8771">
        <v>1.10792</v>
      </c>
      <c r="L8771">
        <v>118.1326</v>
      </c>
      <c r="M8771">
        <v>0.19845499999999999</v>
      </c>
      <c r="N8771">
        <v>0</v>
      </c>
      <c r="O8771">
        <v>0.98000909999999997</v>
      </c>
      <c r="P8771">
        <v>0.22866310000000001</v>
      </c>
      <c r="Q8771">
        <v>5.5314790000000003E-2</v>
      </c>
      <c r="R8771">
        <v>0.97193280000000004</v>
      </c>
      <c r="S8771">
        <v>1.406555</v>
      </c>
      <c r="T8771">
        <v>-2.870584E-2</v>
      </c>
      <c r="U8771">
        <v>2.758667</v>
      </c>
      <c r="V8771">
        <v>3.1626540000000002E-2</v>
      </c>
      <c r="W8771">
        <v>6.9158449999999996E-2</v>
      </c>
      <c r="X8771">
        <v>0.9971042</v>
      </c>
      <c r="Y8771">
        <v>0.26835829999999999</v>
      </c>
      <c r="Z8771">
        <v>-9.3369360000000005E-3</v>
      </c>
      <c r="AA8771">
        <v>0.96327390000000002</v>
      </c>
      <c r="AB8771">
        <v>26</v>
      </c>
      <c r="AC8771">
        <v>24.440300000000001</v>
      </c>
      <c r="AD8771">
        <v>-0.49944529999999998</v>
      </c>
      <c r="AE8771">
        <v>47.852400000000003</v>
      </c>
      <c r="AF8771">
        <v>14.455349117734301</v>
      </c>
      <c r="AG8771">
        <v>-0.49944529999999998</v>
      </c>
      <c r="AH8771">
        <v>51.746734246386303</v>
      </c>
      <c r="AI8771">
        <v>90.532596870480006</v>
      </c>
      <c r="AJ8771">
        <v>74.392397933683796</v>
      </c>
      <c r="AK8771">
        <v>53.730169075570601</v>
      </c>
      <c r="AL8771">
        <v>86.034347019499904</v>
      </c>
      <c r="AM8771">
        <v>88.183279191271893</v>
      </c>
      <c r="AN8771">
        <v>0.99999995744820602</v>
      </c>
    </row>
    <row r="8772" spans="1:40" x14ac:dyDescent="0.25">
      <c r="A8772" t="str">
        <f>"20190312160540233"</f>
        <v>20190312160540233</v>
      </c>
      <c r="B8772" t="str">
        <f>"1552377940223637"</f>
        <v>1552377940223637</v>
      </c>
      <c r="C8772" t="s">
        <v>40</v>
      </c>
      <c r="D8772">
        <v>5.7240500000000001</v>
      </c>
      <c r="E8772">
        <v>0.58708760000000004</v>
      </c>
      <c r="F8772" t="s">
        <v>55</v>
      </c>
      <c r="G8772">
        <v>-161.70650000000001</v>
      </c>
      <c r="H8772">
        <v>1.135813</v>
      </c>
      <c r="I8772">
        <v>166.24930000000001</v>
      </c>
      <c r="J8772">
        <v>-185.85380000000001</v>
      </c>
      <c r="K8772">
        <v>1.1079110000000001</v>
      </c>
      <c r="L8772">
        <v>118.2617</v>
      </c>
      <c r="M8772">
        <v>0.2001684</v>
      </c>
      <c r="N8772">
        <v>0</v>
      </c>
      <c r="O8772">
        <v>0.97966059999999999</v>
      </c>
      <c r="P8772">
        <v>0.22992899999999999</v>
      </c>
      <c r="Q8772">
        <v>5.5123249999999999E-2</v>
      </c>
      <c r="R8772">
        <v>0.97164510000000004</v>
      </c>
      <c r="S8772">
        <v>1.386841</v>
      </c>
      <c r="T8772">
        <v>1.601934E-3</v>
      </c>
      <c r="U8772">
        <v>2.7602540000000002</v>
      </c>
      <c r="V8772">
        <v>3.1179410000000001E-2</v>
      </c>
      <c r="W8772">
        <v>6.8968180000000004E-2</v>
      </c>
      <c r="X8772">
        <v>0.99713149999999995</v>
      </c>
      <c r="Y8772">
        <v>0.2609842</v>
      </c>
      <c r="Z8772">
        <v>5.2187049999999997E-4</v>
      </c>
      <c r="AA8772">
        <v>0.9653429</v>
      </c>
      <c r="AB8772">
        <v>26</v>
      </c>
      <c r="AC8772">
        <v>24.147300000000001</v>
      </c>
      <c r="AD8772">
        <v>2.7901999999999798E-2</v>
      </c>
      <c r="AE8772">
        <v>47.9876</v>
      </c>
      <c r="AF8772">
        <v>14.051942751051399</v>
      </c>
      <c r="AG8772">
        <v>2.7901999999999798E-2</v>
      </c>
      <c r="AH8772">
        <v>51.8501996035559</v>
      </c>
      <c r="AI8772">
        <v>89.970241073105001</v>
      </c>
      <c r="AJ8772">
        <v>74.836481101440398</v>
      </c>
      <c r="AK8772">
        <v>53.720583322680199</v>
      </c>
      <c r="AL8772">
        <v>86.045274936574302</v>
      </c>
      <c r="AM8772">
        <v>88.208995799924693</v>
      </c>
      <c r="AN8772">
        <v>0.99999999687635499</v>
      </c>
    </row>
    <row r="8773" spans="1:40" x14ac:dyDescent="0.25">
      <c r="A8773" t="str">
        <f>"20190312160540245"</f>
        <v>20190312160540245</v>
      </c>
      <c r="B8773" t="str">
        <f>"1552377940234373"</f>
        <v>1552377940234373</v>
      </c>
      <c r="C8773" t="s">
        <v>40</v>
      </c>
      <c r="D8773">
        <v>5.8036250000000003</v>
      </c>
      <c r="E8773">
        <v>0.58576819999999996</v>
      </c>
      <c r="F8773" t="s">
        <v>55</v>
      </c>
      <c r="G8773">
        <v>-161.8869</v>
      </c>
      <c r="H8773">
        <v>1.5193080000000001</v>
      </c>
      <c r="I8773">
        <v>166.42920000000001</v>
      </c>
      <c r="J8773">
        <v>-185.82239999999999</v>
      </c>
      <c r="K8773">
        <v>1.107904</v>
      </c>
      <c r="L8773">
        <v>118.4053</v>
      </c>
      <c r="M8773">
        <v>0.20208480000000001</v>
      </c>
      <c r="N8773">
        <v>0</v>
      </c>
      <c r="O8773">
        <v>0.97926709999999995</v>
      </c>
      <c r="P8773">
        <v>0.23148769999999999</v>
      </c>
      <c r="Q8773">
        <v>5.480786E-2</v>
      </c>
      <c r="R8773">
        <v>0.97129270000000001</v>
      </c>
      <c r="S8773">
        <v>1.373856</v>
      </c>
      <c r="T8773">
        <v>2.3584250000000001E-2</v>
      </c>
      <c r="U8773">
        <v>2.7611080000000001</v>
      </c>
      <c r="V8773">
        <v>3.0824500000000001E-2</v>
      </c>
      <c r="W8773">
        <v>6.8653240000000004E-2</v>
      </c>
      <c r="X8773">
        <v>0.99716419999999995</v>
      </c>
      <c r="Y8773">
        <v>0.25532559999999999</v>
      </c>
      <c r="Z8773">
        <v>7.6898409999999898E-3</v>
      </c>
      <c r="AA8773">
        <v>0.96682449999999998</v>
      </c>
      <c r="AB8773">
        <v>26</v>
      </c>
      <c r="AC8773">
        <v>23.935499999999902</v>
      </c>
      <c r="AD8773">
        <v>0.41140399999999999</v>
      </c>
      <c r="AE8773">
        <v>48.023899999999998</v>
      </c>
      <c r="AF8773">
        <v>13.734897750130999</v>
      </c>
      <c r="AG8773">
        <v>0.41140399999999999</v>
      </c>
      <c r="AH8773">
        <v>51.867304138514903</v>
      </c>
      <c r="AI8773">
        <v>89.560689070851794</v>
      </c>
      <c r="AJ8773">
        <v>75.168031037937695</v>
      </c>
      <c r="AK8773">
        <v>53.656629674765902</v>
      </c>
      <c r="AL8773">
        <v>86.063362276139003</v>
      </c>
      <c r="AM8773">
        <v>88.229427476070697</v>
      </c>
      <c r="AN8773">
        <v>0.99999992946219096</v>
      </c>
    </row>
    <row r="8774" spans="1:40" x14ac:dyDescent="0.25">
      <c r="A8774" t="str">
        <f>"20190312160540257"</f>
        <v>20190312160540257</v>
      </c>
      <c r="B8774" t="str">
        <f>"1552377940253893"</f>
        <v>1552377940253893</v>
      </c>
      <c r="C8774" t="s">
        <v>40</v>
      </c>
      <c r="D8774">
        <v>5.3854040000000003</v>
      </c>
      <c r="E8774">
        <v>0.58340539999999996</v>
      </c>
      <c r="F8774" t="s">
        <v>55</v>
      </c>
      <c r="G8774">
        <v>-161.98920000000001</v>
      </c>
      <c r="H8774">
        <v>1.7942910000000001</v>
      </c>
      <c r="I8774">
        <v>166.53129999999999</v>
      </c>
      <c r="J8774">
        <v>-185.79259999999999</v>
      </c>
      <c r="K8774">
        <v>1.1078859999999999</v>
      </c>
      <c r="L8774">
        <v>118.5401</v>
      </c>
      <c r="M8774">
        <v>0.20390620000000001</v>
      </c>
      <c r="N8774">
        <v>0</v>
      </c>
      <c r="O8774">
        <v>0.97888940000000002</v>
      </c>
      <c r="P8774">
        <v>0.23300760000000001</v>
      </c>
      <c r="Q8774">
        <v>5.456486E-2</v>
      </c>
      <c r="R8774">
        <v>0.97094290000000005</v>
      </c>
      <c r="S8774">
        <v>1.3671260000000001</v>
      </c>
      <c r="T8774">
        <v>3.9374470000000002E-2</v>
      </c>
      <c r="U8774">
        <v>2.760605</v>
      </c>
      <c r="V8774">
        <v>3.0528349999999999E-2</v>
      </c>
      <c r="W8774">
        <v>6.841063E-2</v>
      </c>
      <c r="X8774">
        <v>0.99719009999999997</v>
      </c>
      <c r="Y8774">
        <v>0.25168099999999999</v>
      </c>
      <c r="Z8774">
        <v>1.2845280000000001E-2</v>
      </c>
      <c r="AA8774">
        <v>0.96772499999999995</v>
      </c>
      <c r="AB8774">
        <v>26</v>
      </c>
      <c r="AC8774">
        <v>23.8033999999999</v>
      </c>
      <c r="AD8774">
        <v>0.68640499999999904</v>
      </c>
      <c r="AE8774">
        <v>47.9911999999999</v>
      </c>
      <c r="AF8774">
        <v>13.514310841115</v>
      </c>
      <c r="AG8774">
        <v>0.68640499999999904</v>
      </c>
      <c r="AH8774">
        <v>51.828355750974602</v>
      </c>
      <c r="AI8774">
        <v>89.265776937985905</v>
      </c>
      <c r="AJ8774">
        <v>75.385470849335903</v>
      </c>
      <c r="AK8774">
        <v>53.565718600461999</v>
      </c>
      <c r="AL8774">
        <v>86.077296018365999</v>
      </c>
      <c r="AM8774">
        <v>88.246473304073703</v>
      </c>
      <c r="AN8774">
        <v>1.00000004499436</v>
      </c>
    </row>
    <row r="8775" spans="1:40" x14ac:dyDescent="0.25">
      <c r="A8775" t="str">
        <f>"20190312160540269"</f>
        <v>20190312160540269</v>
      </c>
      <c r="B8775" t="str">
        <f>"1552377940263653"</f>
        <v>1552377940263653</v>
      </c>
      <c r="C8775" t="s">
        <v>40</v>
      </c>
      <c r="D8775">
        <v>5.2626049999999998</v>
      </c>
      <c r="E8775">
        <v>0.58323789999999998</v>
      </c>
      <c r="F8775" t="s">
        <v>55</v>
      </c>
      <c r="G8775">
        <v>-162.20140000000001</v>
      </c>
      <c r="H8775">
        <v>2.2107540000000001</v>
      </c>
      <c r="I8775">
        <v>166.74299999999999</v>
      </c>
      <c r="J8775">
        <v>-185.76310000000001</v>
      </c>
      <c r="K8775">
        <v>1.107864</v>
      </c>
      <c r="L8775">
        <v>118.67230000000001</v>
      </c>
      <c r="M8775">
        <v>0.2057013</v>
      </c>
      <c r="N8775">
        <v>0</v>
      </c>
      <c r="O8775">
        <v>0.97851379999999999</v>
      </c>
      <c r="P8775">
        <v>0.2344754</v>
      </c>
      <c r="Q8775">
        <v>5.448451E-2</v>
      </c>
      <c r="R8775">
        <v>0.97059399999999996</v>
      </c>
      <c r="S8775">
        <v>1.351685</v>
      </c>
      <c r="T8775">
        <v>6.3192010000000007E-2</v>
      </c>
      <c r="U8775">
        <v>2.761841</v>
      </c>
      <c r="V8775">
        <v>3.0208410000000002E-2</v>
      </c>
      <c r="W8775">
        <v>6.8330710000000003E-2</v>
      </c>
      <c r="X8775">
        <v>0.99720529999999996</v>
      </c>
      <c r="Y8775">
        <v>0.2453147</v>
      </c>
      <c r="Z8775">
        <v>2.0633970000000001E-2</v>
      </c>
      <c r="AA8775">
        <v>0.96922390000000003</v>
      </c>
      <c r="AB8775">
        <v>26</v>
      </c>
      <c r="AC8775">
        <v>23.561699999999998</v>
      </c>
      <c r="AD8775">
        <v>1.1028899999999999</v>
      </c>
      <c r="AE8775">
        <v>48.070699999999903</v>
      </c>
      <c r="AF8775">
        <v>13.162958385545901</v>
      </c>
      <c r="AG8775">
        <v>1.1028899999999999</v>
      </c>
      <c r="AH8775">
        <v>51.867631978844599</v>
      </c>
      <c r="AI8775">
        <v>88.819288918452898</v>
      </c>
      <c r="AJ8775">
        <v>75.760109971378199</v>
      </c>
      <c r="AK8775">
        <v>53.523182705296698</v>
      </c>
      <c r="AL8775">
        <v>86.081885747466998</v>
      </c>
      <c r="AM8775">
        <v>88.264865568554299</v>
      </c>
      <c r="AN8775">
        <v>1.00000002215596</v>
      </c>
    </row>
    <row r="8776" spans="1:40" x14ac:dyDescent="0.25">
      <c r="A8776" t="str">
        <f>"20190312160540286"</f>
        <v>20190312160540286</v>
      </c>
      <c r="B8776" t="str">
        <f>"1552377940274389"</f>
        <v>1552377940274389</v>
      </c>
      <c r="C8776" t="s">
        <v>40</v>
      </c>
      <c r="D8776">
        <v>5.3835660000000001</v>
      </c>
      <c r="E8776">
        <v>0.58455789999999996</v>
      </c>
      <c r="F8776" t="s">
        <v>55</v>
      </c>
      <c r="G8776">
        <v>-162.19110000000001</v>
      </c>
      <c r="H8776">
        <v>2.65069</v>
      </c>
      <c r="I8776">
        <v>166.73240000000001</v>
      </c>
      <c r="J8776">
        <v>-185.71860000000001</v>
      </c>
      <c r="K8776">
        <v>1.107828</v>
      </c>
      <c r="L8776">
        <v>118.8694</v>
      </c>
      <c r="M8776">
        <v>0.2084221</v>
      </c>
      <c r="N8776">
        <v>0</v>
      </c>
      <c r="O8776">
        <v>0.97793790000000003</v>
      </c>
      <c r="P8776">
        <v>0.2364685</v>
      </c>
      <c r="Q8776">
        <v>5.408346E-2</v>
      </c>
      <c r="R8776">
        <v>0.97013280000000002</v>
      </c>
      <c r="S8776">
        <v>1.35321</v>
      </c>
      <c r="T8776">
        <v>8.8571789999999997E-2</v>
      </c>
      <c r="U8776">
        <v>2.7590180000000002</v>
      </c>
      <c r="V8776">
        <v>2.948102E-2</v>
      </c>
      <c r="W8776">
        <v>6.7931580000000005E-2</v>
      </c>
      <c r="X8776">
        <v>0.99725430000000004</v>
      </c>
      <c r="Y8776">
        <v>0.2433497</v>
      </c>
      <c r="Z8776">
        <v>2.8920020000000001E-2</v>
      </c>
      <c r="AA8776">
        <v>0.96950740000000002</v>
      </c>
      <c r="AB8776">
        <v>26</v>
      </c>
      <c r="AC8776">
        <v>23.5275</v>
      </c>
      <c r="AD8776">
        <v>1.542862</v>
      </c>
      <c r="AE8776">
        <v>47.863</v>
      </c>
      <c r="AF8776">
        <v>13.023116638627901</v>
      </c>
      <c r="AG8776">
        <v>1.542862</v>
      </c>
      <c r="AH8776">
        <v>51.672561206811203</v>
      </c>
      <c r="AI8776">
        <v>88.341575882334595</v>
      </c>
      <c r="AJ8776">
        <v>75.854255795449106</v>
      </c>
      <c r="AK8776">
        <v>53.310745369071697</v>
      </c>
      <c r="AL8776">
        <v>86.104807326147096</v>
      </c>
      <c r="AM8776">
        <v>88.306704497809804</v>
      </c>
      <c r="AN8776">
        <v>0.99999998448501304</v>
      </c>
    </row>
    <row r="8777" spans="1:40" x14ac:dyDescent="0.25">
      <c r="A8777" t="str">
        <f>"20190312160540298"</f>
        <v>20190312160540298</v>
      </c>
      <c r="B8777" t="str">
        <f>"1552377940293909"</f>
        <v>1552377940293909</v>
      </c>
      <c r="C8777" t="s">
        <v>40</v>
      </c>
      <c r="D8777">
        <v>5.3985059999999896</v>
      </c>
      <c r="E8777">
        <v>0.58664569999999905</v>
      </c>
      <c r="F8777" t="s">
        <v>55</v>
      </c>
      <c r="G8777">
        <v>-162.0085</v>
      </c>
      <c r="H8777">
        <v>2.5643349999999998</v>
      </c>
      <c r="I8777">
        <v>166.55</v>
      </c>
      <c r="J8777">
        <v>-185.68639999999999</v>
      </c>
      <c r="K8777">
        <v>1.107801</v>
      </c>
      <c r="L8777">
        <v>119.01</v>
      </c>
      <c r="M8777">
        <v>0.21040020000000001</v>
      </c>
      <c r="N8777">
        <v>0</v>
      </c>
      <c r="O8777">
        <v>0.9775142</v>
      </c>
      <c r="P8777">
        <v>0.2380989</v>
      </c>
      <c r="Q8777">
        <v>5.3751010000000002E-2</v>
      </c>
      <c r="R8777">
        <v>0.96975239999999996</v>
      </c>
      <c r="S8777">
        <v>1.369415</v>
      </c>
      <c r="T8777">
        <v>8.4124679999999993E-2</v>
      </c>
      <c r="U8777">
        <v>2.753876</v>
      </c>
      <c r="V8777">
        <v>2.9138239999999999E-2</v>
      </c>
      <c r="W8777">
        <v>6.7599989999999999E-2</v>
      </c>
      <c r="X8777">
        <v>0.99728689999999998</v>
      </c>
      <c r="Y8777">
        <v>0.2467048</v>
      </c>
      <c r="Z8777">
        <v>2.7451369999999999E-2</v>
      </c>
      <c r="AA8777">
        <v>0.96870179999999995</v>
      </c>
      <c r="AB8777">
        <v>26</v>
      </c>
      <c r="AC8777">
        <v>23.677899999999902</v>
      </c>
      <c r="AD8777">
        <v>1.45653399999999</v>
      </c>
      <c r="AE8777">
        <v>47.54</v>
      </c>
      <c r="AF8777">
        <v>13.1344789854166</v>
      </c>
      <c r="AG8777">
        <v>1.45653399999999</v>
      </c>
      <c r="AH8777">
        <v>51.419274689907702</v>
      </c>
      <c r="AI8777">
        <v>88.427890693193703</v>
      </c>
      <c r="AJ8777">
        <v>75.670843036362299</v>
      </c>
      <c r="AK8777">
        <v>53.090280081646704</v>
      </c>
      <c r="AL8777">
        <v>86.123849783800196</v>
      </c>
      <c r="AM8777">
        <v>88.326436099043093</v>
      </c>
      <c r="AN8777">
        <v>0.99999997829495302</v>
      </c>
    </row>
    <row r="8778" spans="1:40" x14ac:dyDescent="0.25">
      <c r="A8778" t="str">
        <f>"20190312160540310"</f>
        <v>20190312160540310</v>
      </c>
      <c r="B8778" t="str">
        <f>"1552377940303669"</f>
        <v>1552377940303669</v>
      </c>
      <c r="C8778" t="s">
        <v>40</v>
      </c>
      <c r="D8778">
        <v>5.3800439999999998</v>
      </c>
      <c r="E8778">
        <v>0.58745209999999903</v>
      </c>
      <c r="F8778" t="s">
        <v>55</v>
      </c>
      <c r="G8778">
        <v>-161.7567</v>
      </c>
      <c r="H8778">
        <v>2.5623740000000002</v>
      </c>
      <c r="I8778">
        <v>166.29849999999999</v>
      </c>
      <c r="J8778">
        <v>-185.6568</v>
      </c>
      <c r="K8778">
        <v>1.1077729999999999</v>
      </c>
      <c r="L8778">
        <v>119.1383</v>
      </c>
      <c r="M8778">
        <v>0.2122185</v>
      </c>
      <c r="N8778">
        <v>0</v>
      </c>
      <c r="O8778">
        <v>0.97712109999999996</v>
      </c>
      <c r="P8778">
        <v>0.2396846</v>
      </c>
      <c r="Q8778">
        <v>5.3837429999999999E-2</v>
      </c>
      <c r="R8778">
        <v>0.96935689999999997</v>
      </c>
      <c r="S8778">
        <v>1.39035</v>
      </c>
      <c r="T8778">
        <v>8.4514499999999895E-2</v>
      </c>
      <c r="U8778">
        <v>2.747528</v>
      </c>
      <c r="V8778">
        <v>2.8919750000000001E-2</v>
      </c>
      <c r="W8778">
        <v>6.7686090000000004E-2</v>
      </c>
      <c r="X8778">
        <v>0.99728749999999999</v>
      </c>
      <c r="Y8778">
        <v>0.2516834</v>
      </c>
      <c r="Z8778">
        <v>2.7555929999999999E-2</v>
      </c>
      <c r="AA8778">
        <v>0.96741719999999998</v>
      </c>
      <c r="AB8778">
        <v>26</v>
      </c>
      <c r="AC8778">
        <v>23.900099999999998</v>
      </c>
      <c r="AD8778">
        <v>1.454601</v>
      </c>
      <c r="AE8778">
        <v>47.160199999999897</v>
      </c>
      <c r="AF8778">
        <v>13.336249516537301</v>
      </c>
      <c r="AG8778">
        <v>1.454601</v>
      </c>
      <c r="AH8778">
        <v>51.119631890536901</v>
      </c>
      <c r="AI8778">
        <v>88.422856312695302</v>
      </c>
      <c r="AJ8778">
        <v>75.378398388255107</v>
      </c>
      <c r="AK8778">
        <v>52.8506213762955</v>
      </c>
      <c r="AL8778">
        <v>86.118905602692095</v>
      </c>
      <c r="AM8778">
        <v>88.338979082617797</v>
      </c>
      <c r="AN8778">
        <v>1.0000000581878901</v>
      </c>
    </row>
    <row r="8779" spans="1:40" x14ac:dyDescent="0.25">
      <c r="A8779" t="str">
        <f>"20190312160540321"</f>
        <v>20190312160540321</v>
      </c>
      <c r="B8779" t="str">
        <f>"1552377940314407"</f>
        <v>1552377940314407</v>
      </c>
      <c r="C8779" t="s">
        <v>40</v>
      </c>
      <c r="D8779">
        <v>5.3491229999999996</v>
      </c>
      <c r="E8779">
        <v>0.58817140000000001</v>
      </c>
      <c r="F8779" t="s">
        <v>55</v>
      </c>
      <c r="G8779">
        <v>-161.63560000000001</v>
      </c>
      <c r="H8779">
        <v>2.4924140000000001</v>
      </c>
      <c r="I8779">
        <v>166.17760000000001</v>
      </c>
      <c r="J8779">
        <v>-185.62530000000001</v>
      </c>
      <c r="K8779">
        <v>1.1077399999999999</v>
      </c>
      <c r="L8779">
        <v>119.2732</v>
      </c>
      <c r="M8779">
        <v>0.2141661</v>
      </c>
      <c r="N8779">
        <v>0</v>
      </c>
      <c r="O8779">
        <v>0.97669600000000001</v>
      </c>
      <c r="P8779">
        <v>0.24145040000000001</v>
      </c>
      <c r="Q8779">
        <v>5.3993039999999999E-2</v>
      </c>
      <c r="R8779">
        <v>0.96890989999999999</v>
      </c>
      <c r="S8779">
        <v>1.4011990000000001</v>
      </c>
      <c r="T8779">
        <v>8.0770250000000002E-2</v>
      </c>
      <c r="U8779">
        <v>2.743881</v>
      </c>
      <c r="V8779">
        <v>2.8756739999999999E-2</v>
      </c>
      <c r="W8779">
        <v>6.7840719999999993E-2</v>
      </c>
      <c r="X8779">
        <v>0.99728170000000005</v>
      </c>
      <c r="Y8779">
        <v>0.25332559999999998</v>
      </c>
      <c r="Z8779">
        <v>2.6321959999999998E-2</v>
      </c>
      <c r="AA8779">
        <v>0.96702290000000002</v>
      </c>
      <c r="AB8779">
        <v>26</v>
      </c>
      <c r="AC8779">
        <v>23.989699999999999</v>
      </c>
      <c r="AD8779">
        <v>1.384674</v>
      </c>
      <c r="AE8779">
        <v>46.904400000000003</v>
      </c>
      <c r="AF8779">
        <v>13.377394607162699</v>
      </c>
      <c r="AG8779">
        <v>1.384674</v>
      </c>
      <c r="AH8779">
        <v>50.918985502231997</v>
      </c>
      <c r="AI8779">
        <v>88.493402915780905</v>
      </c>
      <c r="AJ8779">
        <v>75.279947676446994</v>
      </c>
      <c r="AK8779">
        <v>52.6651221695966</v>
      </c>
      <c r="AL8779">
        <v>86.110025518330303</v>
      </c>
      <c r="AM8779">
        <v>88.348326845860299</v>
      </c>
      <c r="AN8779">
        <v>1.0000000512702101</v>
      </c>
    </row>
    <row r="8780" spans="1:40" x14ac:dyDescent="0.25">
      <c r="A8780" t="str">
        <f>"20190312160540332"</f>
        <v>20190312160540332</v>
      </c>
      <c r="B8780" t="str">
        <f>"1552377940324166"</f>
        <v>1552377940324166</v>
      </c>
      <c r="C8780" t="s">
        <v>40</v>
      </c>
      <c r="D8780">
        <v>5.344214</v>
      </c>
      <c r="E8780">
        <v>0.5888255</v>
      </c>
      <c r="F8780" t="s">
        <v>55</v>
      </c>
      <c r="G8780">
        <v>-161.5163</v>
      </c>
      <c r="H8780">
        <v>2.4203359999999998</v>
      </c>
      <c r="I8780">
        <v>166.05840000000001</v>
      </c>
      <c r="J8780">
        <v>-185.59559999999999</v>
      </c>
      <c r="K8780">
        <v>1.10771</v>
      </c>
      <c r="L8780">
        <v>119.3994</v>
      </c>
      <c r="M8780">
        <v>0.2160116</v>
      </c>
      <c r="N8780">
        <v>0</v>
      </c>
      <c r="O8780">
        <v>0.97628950000000003</v>
      </c>
      <c r="P8780">
        <v>0.2430853</v>
      </c>
      <c r="Q8780">
        <v>5.39696E-2</v>
      </c>
      <c r="R8780">
        <v>0.96850230000000004</v>
      </c>
      <c r="S8780">
        <v>1.412018</v>
      </c>
      <c r="T8780">
        <v>7.6877829999999994E-2</v>
      </c>
      <c r="U8780">
        <v>2.7401119999999999</v>
      </c>
      <c r="V8780">
        <v>2.8559749999999998E-2</v>
      </c>
      <c r="W8780">
        <v>6.7816929999999997E-2</v>
      </c>
      <c r="X8780">
        <v>0.99728890000000003</v>
      </c>
      <c r="Y8780">
        <v>0.25507269999999999</v>
      </c>
      <c r="Z8780">
        <v>2.5042109999999999E-2</v>
      </c>
      <c r="AA8780">
        <v>0.96659759999999995</v>
      </c>
      <c r="AB8780">
        <v>26</v>
      </c>
      <c r="AC8780">
        <v>24.0792999999999</v>
      </c>
      <c r="AD8780">
        <v>1.3126260000000001</v>
      </c>
      <c r="AE8780">
        <v>46.658999999999999</v>
      </c>
      <c r="AF8780">
        <v>13.422422169070099</v>
      </c>
      <c r="AG8780">
        <v>1.3126260000000001</v>
      </c>
      <c r="AH8780">
        <v>50.7274167129776</v>
      </c>
      <c r="AI8780">
        <v>88.567034033041494</v>
      </c>
      <c r="AJ8780">
        <v>75.179244741844599</v>
      </c>
      <c r="AK8780">
        <v>52.489572395597797</v>
      </c>
      <c r="AL8780">
        <v>86.111391425237798</v>
      </c>
      <c r="AM8780">
        <v>88.359646803944003</v>
      </c>
      <c r="AN8780">
        <v>0.99999997268894802</v>
      </c>
    </row>
    <row r="8781" spans="1:40" x14ac:dyDescent="0.25">
      <c r="A8781" t="str">
        <f>"20190312160540345"</f>
        <v>20190312160540345</v>
      </c>
      <c r="B8781" t="str">
        <f>"1552377940333925"</f>
        <v>1552377940333925</v>
      </c>
      <c r="C8781" t="s">
        <v>40</v>
      </c>
      <c r="D8781">
        <v>5.3908750000000003</v>
      </c>
      <c r="E8781">
        <v>0.58941219999999905</v>
      </c>
      <c r="F8781" t="s">
        <v>55</v>
      </c>
      <c r="G8781">
        <v>-161.4074</v>
      </c>
      <c r="H8781">
        <v>2.370533</v>
      </c>
      <c r="I8781">
        <v>165.94970000000001</v>
      </c>
      <c r="J8781">
        <v>-185.56059999999999</v>
      </c>
      <c r="K8781">
        <v>1.1076710000000001</v>
      </c>
      <c r="L8781">
        <v>119.54689999999999</v>
      </c>
      <c r="M8781">
        <v>0.21819479999999999</v>
      </c>
      <c r="N8781">
        <v>0</v>
      </c>
      <c r="O8781">
        <v>0.97580389999999995</v>
      </c>
      <c r="P8781">
        <v>0.24498300000000001</v>
      </c>
      <c r="Q8781">
        <v>5.4101749999999997E-2</v>
      </c>
      <c r="R8781">
        <v>0.96801669999999995</v>
      </c>
      <c r="S8781">
        <v>1.4219360000000001</v>
      </c>
      <c r="T8781">
        <v>7.4238540000000006E-2</v>
      </c>
      <c r="U8781">
        <v>2.736526</v>
      </c>
      <c r="V8781">
        <v>2.8292069999999999E-2</v>
      </c>
      <c r="W8781">
        <v>6.7949170000000003E-2</v>
      </c>
      <c r="X8781">
        <v>0.99728760000000005</v>
      </c>
      <c r="Y8781">
        <v>0.25619799999999998</v>
      </c>
      <c r="Z8781">
        <v>2.417035E-2</v>
      </c>
      <c r="AA8781">
        <v>0.96632209999999996</v>
      </c>
      <c r="AB8781">
        <v>26</v>
      </c>
      <c r="AC8781">
        <v>24.153199999999998</v>
      </c>
      <c r="AD8781">
        <v>1.2628619999999999</v>
      </c>
      <c r="AE8781">
        <v>46.402799999999999</v>
      </c>
      <c r="AF8781">
        <v>13.437435744343601</v>
      </c>
      <c r="AG8781">
        <v>1.2628619999999999</v>
      </c>
      <c r="AH8781">
        <v>50.525690336048498</v>
      </c>
      <c r="AI8781">
        <v>88.616300796543698</v>
      </c>
      <c r="AJ8781">
        <v>75.106789540626195</v>
      </c>
      <c r="AK8781">
        <v>52.297274152183803</v>
      </c>
      <c r="AL8781">
        <v>86.103797391584294</v>
      </c>
      <c r="AM8781">
        <v>88.375010830075894</v>
      </c>
      <c r="AN8781">
        <v>1.0000000440211601</v>
      </c>
    </row>
    <row r="8782" spans="1:40" x14ac:dyDescent="0.25">
      <c r="A8782" t="str">
        <f>"20190312160540359"</f>
        <v>20190312160540359</v>
      </c>
      <c r="B8782" t="str">
        <f>"1552377940354421"</f>
        <v>1552377940354421</v>
      </c>
      <c r="C8782" t="s">
        <v>40</v>
      </c>
      <c r="D8782">
        <v>5.4847140000000003</v>
      </c>
      <c r="E8782">
        <v>0.58997230000000001</v>
      </c>
      <c r="F8782" t="s">
        <v>55</v>
      </c>
      <c r="G8782">
        <v>-161.2997</v>
      </c>
      <c r="H8782">
        <v>2.3202229999999999</v>
      </c>
      <c r="I8782">
        <v>165.84219999999999</v>
      </c>
      <c r="J8782">
        <v>-185.52500000000001</v>
      </c>
      <c r="K8782">
        <v>1.107631</v>
      </c>
      <c r="L8782">
        <v>119.69450000000001</v>
      </c>
      <c r="M8782">
        <v>0.22042890000000001</v>
      </c>
      <c r="N8782">
        <v>0</v>
      </c>
      <c r="O8782">
        <v>0.97530159999999999</v>
      </c>
      <c r="P8782">
        <v>0.24697089999999999</v>
      </c>
      <c r="Q8782">
        <v>5.4175220000000003E-2</v>
      </c>
      <c r="R8782">
        <v>0.96750729999999996</v>
      </c>
      <c r="S8782">
        <v>1.4320679999999999</v>
      </c>
      <c r="T8782">
        <v>7.1576119999999993E-2</v>
      </c>
      <c r="U8782">
        <v>2.7327119999999998</v>
      </c>
      <c r="V8782">
        <v>2.8064530000000001E-2</v>
      </c>
      <c r="W8782">
        <v>6.8022440000000003E-2</v>
      </c>
      <c r="X8782">
        <v>0.99728899999999998</v>
      </c>
      <c r="Y8782">
        <v>0.2573609</v>
      </c>
      <c r="Z8782">
        <v>2.329237E-2</v>
      </c>
      <c r="AA8782">
        <v>0.96603459999999997</v>
      </c>
      <c r="AB8782">
        <v>26</v>
      </c>
      <c r="AC8782">
        <v>24.225300000000001</v>
      </c>
      <c r="AD8782">
        <v>1.2125919999999999</v>
      </c>
      <c r="AE8782">
        <v>46.147699999999901</v>
      </c>
      <c r="AF8782">
        <v>13.4487390063943</v>
      </c>
      <c r="AG8782">
        <v>1.2125919999999999</v>
      </c>
      <c r="AH8782">
        <v>50.325623908191901</v>
      </c>
      <c r="AI8782">
        <v>88.666506104266006</v>
      </c>
      <c r="AJ8782">
        <v>75.038216810715397</v>
      </c>
      <c r="AK8782">
        <v>52.105732716941503</v>
      </c>
      <c r="AL8782">
        <v>86.099589460904497</v>
      </c>
      <c r="AM8782">
        <v>88.388075203258396</v>
      </c>
      <c r="AN8782">
        <v>1.00000000985433</v>
      </c>
    </row>
    <row r="8783" spans="1:40" x14ac:dyDescent="0.25">
      <c r="A8783" t="str">
        <f>"20190312160540376"</f>
        <v>20190312160540376</v>
      </c>
      <c r="B8783" t="str">
        <f>"1552377940364182"</f>
        <v>1552377940364182</v>
      </c>
      <c r="C8783" t="s">
        <v>40</v>
      </c>
      <c r="D8783">
        <v>5.4595989999999999</v>
      </c>
      <c r="E8783">
        <v>0.58707540000000003</v>
      </c>
      <c r="F8783" t="s">
        <v>55</v>
      </c>
      <c r="G8783">
        <v>-161.19210000000001</v>
      </c>
      <c r="H8783">
        <v>2.2635779999999999</v>
      </c>
      <c r="I8783">
        <v>165.7347</v>
      </c>
      <c r="J8783">
        <v>-185.47620000000001</v>
      </c>
      <c r="K8783">
        <v>1.107578</v>
      </c>
      <c r="L8783">
        <v>119.8951</v>
      </c>
      <c r="M8783">
        <v>0.22351180000000001</v>
      </c>
      <c r="N8783">
        <v>0</v>
      </c>
      <c r="O8783">
        <v>0.97459969999999996</v>
      </c>
      <c r="P8783">
        <v>0.2501874</v>
      </c>
      <c r="Q8783">
        <v>5.4090590000000001E-2</v>
      </c>
      <c r="R8783">
        <v>0.96668529999999997</v>
      </c>
      <c r="S8783">
        <v>1.4421999999999999</v>
      </c>
      <c r="T8783">
        <v>6.8514110000000003E-2</v>
      </c>
      <c r="U8783">
        <v>2.7287750000000002</v>
      </c>
      <c r="V8783">
        <v>2.8235400000000001E-2</v>
      </c>
      <c r="W8783">
        <v>6.7934430000000004E-2</v>
      </c>
      <c r="X8783">
        <v>0.99729020000000002</v>
      </c>
      <c r="Y8783">
        <v>0.25769699999999901</v>
      </c>
      <c r="Z8783">
        <v>2.2281749999999999E-2</v>
      </c>
      <c r="AA8783">
        <v>0.96596879999999996</v>
      </c>
      <c r="AB8783">
        <v>26</v>
      </c>
      <c r="AC8783">
        <v>24.284099999999899</v>
      </c>
      <c r="AD8783">
        <v>1.1559999999999899</v>
      </c>
      <c r="AE8783">
        <v>45.839599999999997</v>
      </c>
      <c r="AF8783">
        <v>13.4162508596648</v>
      </c>
      <c r="AG8783">
        <v>1.1559999999999899</v>
      </c>
      <c r="AH8783">
        <v>50.0831306068701</v>
      </c>
      <c r="AI8783">
        <v>88.722772143844693</v>
      </c>
      <c r="AJ8783">
        <v>75.003718323589993</v>
      </c>
      <c r="AK8783">
        <v>51.8618558722522</v>
      </c>
      <c r="AL8783">
        <v>86.104643847486699</v>
      </c>
      <c r="AM8783">
        <v>88.378268225684707</v>
      </c>
      <c r="AN8783">
        <v>1.00000003380431</v>
      </c>
    </row>
    <row r="8784" spans="1:40" x14ac:dyDescent="0.25">
      <c r="A8784" t="str">
        <f>"20190312160540399"</f>
        <v>20190312160540399</v>
      </c>
      <c r="B8784" t="str">
        <f>"1552377940394437"</f>
        <v>1552377940394437</v>
      </c>
      <c r="C8784" t="s">
        <v>40</v>
      </c>
      <c r="D8784">
        <v>5.394101</v>
      </c>
      <c r="E8784">
        <v>0.59314919999999904</v>
      </c>
      <c r="F8784" t="s">
        <v>95</v>
      </c>
      <c r="G8784">
        <v>-164.77940000000001</v>
      </c>
      <c r="H8784">
        <v>5.2194880000000001</v>
      </c>
      <c r="I8784">
        <v>159.6482</v>
      </c>
      <c r="J8784">
        <v>-185.4127</v>
      </c>
      <c r="K8784">
        <v>1.1075140000000001</v>
      </c>
      <c r="L8784">
        <v>120.15130000000001</v>
      </c>
      <c r="M8784">
        <v>0.22754540000000001</v>
      </c>
      <c r="N8784">
        <v>0</v>
      </c>
      <c r="O8784">
        <v>0.97366580000000003</v>
      </c>
      <c r="P8784">
        <v>0.25428630000000002</v>
      </c>
      <c r="Q8784">
        <v>5.4046520000000001E-2</v>
      </c>
      <c r="R8784">
        <v>0.96561770000000002</v>
      </c>
      <c r="S8784">
        <v>1.416641</v>
      </c>
      <c r="T8784">
        <v>0.2814488</v>
      </c>
      <c r="U8784">
        <v>2.720993</v>
      </c>
      <c r="V8784">
        <v>2.8347279999999999E-2</v>
      </c>
      <c r="W8784">
        <v>6.7887810000000007E-2</v>
      </c>
      <c r="X8784">
        <v>0.99729020000000002</v>
      </c>
      <c r="Y8784">
        <v>0.24585109999999999</v>
      </c>
      <c r="Z8784">
        <v>9.1577119999999998E-2</v>
      </c>
      <c r="AA8784">
        <v>0.96497200000000005</v>
      </c>
      <c r="AB8784">
        <v>26</v>
      </c>
      <c r="AC8784">
        <v>20.633299999999899</v>
      </c>
      <c r="AD8784">
        <v>4.111974</v>
      </c>
      <c r="AE8784">
        <v>39.496899999999997</v>
      </c>
      <c r="AF8784">
        <v>11.009951507751699</v>
      </c>
      <c r="AG8784">
        <v>4.111974</v>
      </c>
      <c r="AH8784">
        <v>42.791699561725302</v>
      </c>
      <c r="AI8784">
        <v>84.6832620566759</v>
      </c>
      <c r="AJ8784">
        <v>75.571225024323695</v>
      </c>
      <c r="AK8784">
        <v>44.376310276550498</v>
      </c>
      <c r="AL8784">
        <v>86.107321154496006</v>
      </c>
      <c r="AM8784">
        <v>88.3718457247234</v>
      </c>
      <c r="AN8784">
        <v>1.0000000330230101</v>
      </c>
    </row>
    <row r="8785" spans="1:40" x14ac:dyDescent="0.25">
      <c r="A8785" t="str">
        <f>"20190312160540420"</f>
        <v>20190312160540420</v>
      </c>
      <c r="B8785" t="str">
        <f>"1552377940413957"</f>
        <v>1552377940413957</v>
      </c>
      <c r="C8785" t="s">
        <v>40</v>
      </c>
      <c r="D8785">
        <v>5.332986</v>
      </c>
      <c r="E8785">
        <v>0.59532559999999901</v>
      </c>
      <c r="F8785" t="s">
        <v>95</v>
      </c>
      <c r="G8785">
        <v>-162.05199999999999</v>
      </c>
      <c r="H8785">
        <v>5.0116189999999996</v>
      </c>
      <c r="I8785">
        <v>162.9134</v>
      </c>
      <c r="J8785">
        <v>-185.35079999999999</v>
      </c>
      <c r="K8785">
        <v>1.1074569999999999</v>
      </c>
      <c r="L8785">
        <v>120.3965</v>
      </c>
      <c r="M8785">
        <v>0.2314959</v>
      </c>
      <c r="N8785">
        <v>0</v>
      </c>
      <c r="O8785">
        <v>0.97273410000000005</v>
      </c>
      <c r="P8785">
        <v>0.25849509999999998</v>
      </c>
      <c r="Q8785">
        <v>5.3907860000000002E-2</v>
      </c>
      <c r="R8785">
        <v>0.96450720000000001</v>
      </c>
      <c r="S8785">
        <v>1.4771879999999999</v>
      </c>
      <c r="T8785">
        <v>0.24687149999999999</v>
      </c>
      <c r="U8785">
        <v>2.7040099999999998</v>
      </c>
      <c r="V8785">
        <v>2.8655659999999999E-2</v>
      </c>
      <c r="W8785">
        <v>6.7744609999999997E-2</v>
      </c>
      <c r="X8785">
        <v>0.99729109999999999</v>
      </c>
      <c r="Y8785">
        <v>0.2616444</v>
      </c>
      <c r="Z8785">
        <v>8.0169299999999999E-2</v>
      </c>
      <c r="AA8785">
        <v>0.96182900000000005</v>
      </c>
      <c r="AB8785">
        <v>26</v>
      </c>
      <c r="AC8785">
        <v>23.2987999999999</v>
      </c>
      <c r="AD8785">
        <v>3.9041619999999999</v>
      </c>
      <c r="AE8785">
        <v>42.5168999999999</v>
      </c>
      <c r="AF8785">
        <v>12.739705329578999</v>
      </c>
      <c r="AG8785">
        <v>3.9041619999999999</v>
      </c>
      <c r="AH8785">
        <v>46.454599341058902</v>
      </c>
      <c r="AI8785">
        <v>85.366306362383</v>
      </c>
      <c r="AJ8785">
        <v>74.664244440160601</v>
      </c>
      <c r="AK8785">
        <v>48.327759856474401</v>
      </c>
      <c r="AL8785">
        <v>86.115544747109695</v>
      </c>
      <c r="AM8785">
        <v>88.354144786179006</v>
      </c>
      <c r="AN8785">
        <v>1.0000000085866401</v>
      </c>
    </row>
    <row r="8786" spans="1:40" x14ac:dyDescent="0.25">
      <c r="A8786" t="str">
        <f>"20190312160540433"</f>
        <v>20190312160540433</v>
      </c>
      <c r="B8786" t="str">
        <f>"1552377940423717"</f>
        <v>1552377940423717</v>
      </c>
      <c r="C8786" t="s">
        <v>40</v>
      </c>
      <c r="D8786">
        <v>6.5099159999999996</v>
      </c>
      <c r="E8786">
        <v>0.63903180000000004</v>
      </c>
      <c r="F8786" t="s">
        <v>95</v>
      </c>
      <c r="G8786">
        <v>-160.92189999999999</v>
      </c>
      <c r="H8786">
        <v>5.0115210000000001</v>
      </c>
      <c r="I8786">
        <v>164.08170000000001</v>
      </c>
      <c r="J8786">
        <v>-185.31469999999999</v>
      </c>
      <c r="K8786">
        <v>1.107426</v>
      </c>
      <c r="L8786">
        <v>120.5376</v>
      </c>
      <c r="M8786">
        <v>0.23380490000000001</v>
      </c>
      <c r="N8786">
        <v>0</v>
      </c>
      <c r="O8786">
        <v>0.97218170000000004</v>
      </c>
      <c r="P8786">
        <v>0.26080500000000001</v>
      </c>
      <c r="Q8786">
        <v>5.4030660000000001E-2</v>
      </c>
      <c r="R8786">
        <v>0.96387829999999997</v>
      </c>
      <c r="S8786">
        <v>1.5061040000000001</v>
      </c>
      <c r="T8786">
        <v>0.2406954</v>
      </c>
      <c r="U8786">
        <v>2.693298</v>
      </c>
      <c r="V8786">
        <v>2.8684500000000002E-2</v>
      </c>
      <c r="W8786">
        <v>6.7866410000000002E-2</v>
      </c>
      <c r="X8786">
        <v>0.997282</v>
      </c>
      <c r="Y8786">
        <v>0.26893790000000001</v>
      </c>
      <c r="Z8786">
        <v>7.8110559999999996E-2</v>
      </c>
      <c r="AA8786">
        <v>0.95998499999999998</v>
      </c>
      <c r="AB8786">
        <v>26</v>
      </c>
      <c r="AC8786">
        <v>24.392799999999902</v>
      </c>
      <c r="AD8786">
        <v>3.9040949999999999</v>
      </c>
      <c r="AE8786">
        <v>43.5441</v>
      </c>
      <c r="AF8786">
        <v>13.4524401857856</v>
      </c>
      <c r="AG8786">
        <v>3.9040949999999999</v>
      </c>
      <c r="AH8786">
        <v>47.7485370045789</v>
      </c>
      <c r="AI8786">
        <v>85.500102747915506</v>
      </c>
      <c r="AJ8786">
        <v>74.265607160398602</v>
      </c>
      <c r="AK8786">
        <v>49.760756533626001</v>
      </c>
      <c r="AL8786">
        <v>86.108550063213698</v>
      </c>
      <c r="AM8786">
        <v>88.352474230807204</v>
      </c>
      <c r="AN8786">
        <v>1.00000001883526</v>
      </c>
    </row>
    <row r="8787" spans="1:40" x14ac:dyDescent="0.25">
      <c r="A8787" t="str">
        <f>"20190312160540444"</f>
        <v>20190312160540444</v>
      </c>
      <c r="B8787" t="str">
        <f>"1552377940434453"</f>
        <v>1552377940434453</v>
      </c>
      <c r="C8787" t="s">
        <v>40</v>
      </c>
      <c r="D8787">
        <v>5.1571550000000004</v>
      </c>
      <c r="E8787">
        <v>0.62797840000000005</v>
      </c>
      <c r="F8787" t="s">
        <v>55</v>
      </c>
      <c r="G8787">
        <v>-156.82769999999999</v>
      </c>
      <c r="H8787">
        <v>2.4596580000000001</v>
      </c>
      <c r="I8787">
        <v>160.4725</v>
      </c>
      <c r="J8787">
        <v>-185.28190000000001</v>
      </c>
      <c r="K8787">
        <v>1.107399</v>
      </c>
      <c r="L8787">
        <v>120.6643</v>
      </c>
      <c r="M8787">
        <v>0.23589889999999999</v>
      </c>
      <c r="N8787">
        <v>0</v>
      </c>
      <c r="O8787">
        <v>0.97167570000000003</v>
      </c>
      <c r="P8787">
        <v>0.26290439999999998</v>
      </c>
      <c r="Q8787">
        <v>5.413623E-2</v>
      </c>
      <c r="R8787">
        <v>0.96330190000000004</v>
      </c>
      <c r="S8787">
        <v>1.858047</v>
      </c>
      <c r="T8787">
        <v>8.8200689999999998E-2</v>
      </c>
      <c r="U8787">
        <v>2.6047359999999999</v>
      </c>
      <c r="V8787">
        <v>2.87152E-2</v>
      </c>
      <c r="W8787">
        <v>6.7970580000000003E-2</v>
      </c>
      <c r="X8787">
        <v>0.99727399999999999</v>
      </c>
      <c r="Y8787">
        <v>0.37203649999999999</v>
      </c>
      <c r="Z8787">
        <v>2.803338E-2</v>
      </c>
      <c r="AA8787">
        <v>0.92779469999999997</v>
      </c>
      <c r="AB8787">
        <v>26</v>
      </c>
      <c r="AC8787">
        <v>28.4542</v>
      </c>
      <c r="AD8787">
        <v>1.3522590000000001</v>
      </c>
      <c r="AE8787">
        <v>39.808199999999999</v>
      </c>
      <c r="AF8787">
        <v>18.245417853406899</v>
      </c>
      <c r="AG8787">
        <v>1.3522590000000001</v>
      </c>
      <c r="AH8787">
        <v>45.3628260671588</v>
      </c>
      <c r="AI8787">
        <v>88.415796450582505</v>
      </c>
      <c r="AJ8787">
        <v>68.089476746842095</v>
      </c>
      <c r="AK8787">
        <v>48.913289256068303</v>
      </c>
      <c r="AL8787">
        <v>86.102567661901105</v>
      </c>
      <c r="AM8787">
        <v>88.350698692883299</v>
      </c>
      <c r="AN8787">
        <v>0.99999999676628804</v>
      </c>
    </row>
    <row r="8788" spans="1:40" x14ac:dyDescent="0.25">
      <c r="A8788" t="str">
        <f>"20190312160540456"</f>
        <v>20190312160540456</v>
      </c>
      <c r="B8788" t="str">
        <f>"1552377940453973"</f>
        <v>1552377940453973</v>
      </c>
      <c r="C8788" t="s">
        <v>40</v>
      </c>
      <c r="D8788">
        <v>5.0624039999999999</v>
      </c>
      <c r="E8788">
        <v>0.61943099999999995</v>
      </c>
      <c r="F8788" t="s">
        <v>55</v>
      </c>
      <c r="G8788">
        <v>-157.35040000000001</v>
      </c>
      <c r="H8788">
        <v>3.0999620000000001</v>
      </c>
      <c r="I8788">
        <v>161.8965</v>
      </c>
      <c r="J8788">
        <v>-185.24600000000001</v>
      </c>
      <c r="K8788">
        <v>1.1073729999999999</v>
      </c>
      <c r="L8788">
        <v>120.8015</v>
      </c>
      <c r="M8788">
        <v>0.2381943</v>
      </c>
      <c r="N8788">
        <v>0</v>
      </c>
      <c r="O8788">
        <v>0.97111550000000002</v>
      </c>
      <c r="P8788">
        <v>0.26532729999999999</v>
      </c>
      <c r="Q8788">
        <v>5.3890699999999903E-2</v>
      </c>
      <c r="R8788">
        <v>0.96265109999999998</v>
      </c>
      <c r="S8788">
        <v>1.7764279999999999</v>
      </c>
      <c r="T8788">
        <v>0.1267279</v>
      </c>
      <c r="U8788">
        <v>2.6223450000000001</v>
      </c>
      <c r="V8788">
        <v>2.8867360000000002E-2</v>
      </c>
      <c r="W8788">
        <v>6.7723679999999994E-2</v>
      </c>
      <c r="X8788">
        <v>0.99728640000000002</v>
      </c>
      <c r="Y8788">
        <v>0.34700879999999901</v>
      </c>
      <c r="Z8788">
        <v>4.053437E-2</v>
      </c>
      <c r="AA8788">
        <v>0.93698550000000003</v>
      </c>
      <c r="AB8788">
        <v>26</v>
      </c>
      <c r="AC8788">
        <v>27.895599999999899</v>
      </c>
      <c r="AD8788">
        <v>1.9925889999999999</v>
      </c>
      <c r="AE8788">
        <v>41.094999999999999</v>
      </c>
      <c r="AF8788">
        <v>17.2751660447849</v>
      </c>
      <c r="AG8788">
        <v>1.9925889999999999</v>
      </c>
      <c r="AH8788">
        <v>46.482367301026301</v>
      </c>
      <c r="AI8788">
        <v>87.698961812772197</v>
      </c>
      <c r="AJ8788">
        <v>69.612422995179998</v>
      </c>
      <c r="AK8788">
        <v>49.628744117752298</v>
      </c>
      <c r="AL8788">
        <v>86.116746645483204</v>
      </c>
      <c r="AM8788">
        <v>88.341984620738501</v>
      </c>
      <c r="AN8788">
        <v>0.99999999246553595</v>
      </c>
    </row>
    <row r="8789" spans="1:40" x14ac:dyDescent="0.25">
      <c r="A8789" t="str">
        <f>"20190312160540475"</f>
        <v>20190312160540475</v>
      </c>
      <c r="B8789" t="str">
        <f>"1552377940463733"</f>
        <v>1552377940463733</v>
      </c>
      <c r="C8789" t="s">
        <v>40</v>
      </c>
      <c r="D8789">
        <v>5.53146</v>
      </c>
      <c r="E8789">
        <v>0.6175619</v>
      </c>
      <c r="F8789" t="s">
        <v>55</v>
      </c>
      <c r="G8789">
        <v>-158.03980000000001</v>
      </c>
      <c r="H8789">
        <v>3.570837</v>
      </c>
      <c r="I8789">
        <v>162.5849</v>
      </c>
      <c r="J8789">
        <v>-185.19040000000001</v>
      </c>
      <c r="K8789">
        <v>1.1073309999999901</v>
      </c>
      <c r="L8789">
        <v>121.01139999999999</v>
      </c>
      <c r="M8789">
        <v>0.24174329999999999</v>
      </c>
      <c r="N8789">
        <v>0</v>
      </c>
      <c r="O8789">
        <v>0.97023809999999999</v>
      </c>
      <c r="P8789">
        <v>0.26903440000000001</v>
      </c>
      <c r="Q8789">
        <v>5.333326E-2</v>
      </c>
      <c r="R8789">
        <v>0.96165279999999997</v>
      </c>
      <c r="S8789">
        <v>1.7156070000000001</v>
      </c>
      <c r="T8789">
        <v>0.15534690000000001</v>
      </c>
      <c r="U8789">
        <v>2.6348419999999999</v>
      </c>
      <c r="V8789">
        <v>2.9058210000000001E-2</v>
      </c>
      <c r="W8789">
        <v>6.7163719999999996E-2</v>
      </c>
      <c r="X8789">
        <v>0.9973187</v>
      </c>
      <c r="Y8789">
        <v>0.32616650000000003</v>
      </c>
      <c r="Z8789">
        <v>4.9887679999999997E-2</v>
      </c>
      <c r="AA8789">
        <v>0.94399500000000003</v>
      </c>
      <c r="AB8789">
        <v>26</v>
      </c>
      <c r="AC8789">
        <v>27.150600000000001</v>
      </c>
      <c r="AD8789">
        <v>2.4635060000000002</v>
      </c>
      <c r="AE8789">
        <v>41.573500000000003</v>
      </c>
      <c r="AF8789">
        <v>16.2540369908562</v>
      </c>
      <c r="AG8789">
        <v>2.4635060000000002</v>
      </c>
      <c r="AH8789">
        <v>46.789146277854599</v>
      </c>
      <c r="AI8789">
        <v>87.152702955157295</v>
      </c>
      <c r="AJ8789">
        <v>70.843332966199</v>
      </c>
      <c r="AK8789">
        <v>49.5932131417458</v>
      </c>
      <c r="AL8789">
        <v>86.148903110933801</v>
      </c>
      <c r="AM8789">
        <v>88.3310832296375</v>
      </c>
      <c r="AN8789">
        <v>0.99999996711116501</v>
      </c>
    </row>
    <row r="8790" spans="1:40" x14ac:dyDescent="0.25">
      <c r="A8790" t="str">
        <f>"20190312160540499"</f>
        <v>20190312160540499</v>
      </c>
      <c r="B8790" t="str">
        <f>"1552377940493990"</f>
        <v>1552377940493990</v>
      </c>
      <c r="C8790" t="s">
        <v>40</v>
      </c>
      <c r="D8790">
        <v>5.3921239999999999</v>
      </c>
      <c r="E8790">
        <v>0.61389150000000003</v>
      </c>
      <c r="F8790" t="s">
        <v>55</v>
      </c>
      <c r="G8790">
        <v>-158.11609999999999</v>
      </c>
      <c r="H8790">
        <v>3.6397550000000001</v>
      </c>
      <c r="I8790">
        <v>162.6611</v>
      </c>
      <c r="J8790">
        <v>-185.11869999999999</v>
      </c>
      <c r="K8790">
        <v>1.107286</v>
      </c>
      <c r="L8790">
        <v>121.277</v>
      </c>
      <c r="M8790">
        <v>0.2463052</v>
      </c>
      <c r="N8790">
        <v>0</v>
      </c>
      <c r="O8790">
        <v>0.96909000000000001</v>
      </c>
      <c r="P8790">
        <v>0.2745493</v>
      </c>
      <c r="Q8790">
        <v>5.2233630000000003E-2</v>
      </c>
      <c r="R8790">
        <v>0.96015329999999999</v>
      </c>
      <c r="S8790">
        <v>1.7109829999999999</v>
      </c>
      <c r="T8790">
        <v>0.16004090000000001</v>
      </c>
      <c r="U8790">
        <v>2.6320950000000001</v>
      </c>
      <c r="V8790">
        <v>3.0075270000000001E-2</v>
      </c>
      <c r="W8790">
        <v>6.6056569999999995E-2</v>
      </c>
      <c r="X8790">
        <v>0.99736259999999999</v>
      </c>
      <c r="Y8790">
        <v>0.32095699999999999</v>
      </c>
      <c r="Z8790">
        <v>5.1415309999999999E-2</v>
      </c>
      <c r="AA8790">
        <v>0.94569709999999996</v>
      </c>
      <c r="AB8790">
        <v>26</v>
      </c>
      <c r="AC8790">
        <v>27.002600000000001</v>
      </c>
      <c r="AD8790">
        <v>2.5324689999999999</v>
      </c>
      <c r="AE8790">
        <v>41.384099999999997</v>
      </c>
      <c r="AF8790">
        <v>15.934562433994101</v>
      </c>
      <c r="AG8790">
        <v>2.5324689999999999</v>
      </c>
      <c r="AH8790">
        <v>46.637939700832703</v>
      </c>
      <c r="AI8790">
        <v>87.058488617912701</v>
      </c>
      <c r="AJ8790">
        <v>71.136486111367503</v>
      </c>
      <c r="AK8790">
        <v>49.349985802807801</v>
      </c>
      <c r="AL8790">
        <v>86.212479742234507</v>
      </c>
      <c r="AM8790">
        <v>88.272780612662899</v>
      </c>
      <c r="AN8790">
        <v>1.0000000740922399</v>
      </c>
    </row>
    <row r="8791" spans="1:40" x14ac:dyDescent="0.25">
      <c r="A8791" t="str">
        <f>"20190312160540512"</f>
        <v>20190312160540512</v>
      </c>
      <c r="B8791" t="str">
        <f>"1552377940503749"</f>
        <v>1552377940503749</v>
      </c>
      <c r="C8791" t="s">
        <v>40</v>
      </c>
      <c r="D8791">
        <v>5.4007529999999999</v>
      </c>
      <c r="E8791">
        <v>0.6135022</v>
      </c>
      <c r="F8791" t="s">
        <v>55</v>
      </c>
      <c r="G8791">
        <v>-158.29329999999999</v>
      </c>
      <c r="H8791">
        <v>3.699827</v>
      </c>
      <c r="I8791">
        <v>162.83799999999999</v>
      </c>
      <c r="J8791">
        <v>-185.07820000000001</v>
      </c>
      <c r="K8791">
        <v>1.107259</v>
      </c>
      <c r="L8791">
        <v>121.4251</v>
      </c>
      <c r="M8791">
        <v>0.24887709999999999</v>
      </c>
      <c r="N8791">
        <v>0</v>
      </c>
      <c r="O8791">
        <v>0.96843270000000004</v>
      </c>
      <c r="P8791">
        <v>0.2777153</v>
      </c>
      <c r="Q8791">
        <v>5.1986070000000002E-2</v>
      </c>
      <c r="R8791">
        <v>0.95925579999999999</v>
      </c>
      <c r="S8791">
        <v>1.697632</v>
      </c>
      <c r="T8791">
        <v>0.1640692</v>
      </c>
      <c r="U8791">
        <v>2.6301570000000001</v>
      </c>
      <c r="V8791">
        <v>3.0716779999999999E-2</v>
      </c>
      <c r="W8791">
        <v>6.5803459999999994E-2</v>
      </c>
      <c r="X8791">
        <v>0.99735969999999996</v>
      </c>
      <c r="Y8791">
        <v>0.31533440000000001</v>
      </c>
      <c r="Z8791">
        <v>5.280352E-2</v>
      </c>
      <c r="AA8791">
        <v>0.94751039999999997</v>
      </c>
      <c r="AB8791">
        <v>26</v>
      </c>
      <c r="AC8791">
        <v>26.7849</v>
      </c>
      <c r="AD8791">
        <v>2.5925679999999902</v>
      </c>
      <c r="AE8791">
        <v>41.412899999999901</v>
      </c>
      <c r="AF8791">
        <v>15.5911191158226</v>
      </c>
      <c r="AG8791">
        <v>2.5925679999999902</v>
      </c>
      <c r="AH8791">
        <v>46.647495699076501</v>
      </c>
      <c r="AI8791">
        <v>86.982643270088204</v>
      </c>
      <c r="AJ8791">
        <v>71.5186860225826</v>
      </c>
      <c r="AK8791">
        <v>49.2523426764023</v>
      </c>
      <c r="AL8791">
        <v>86.227013193457296</v>
      </c>
      <c r="AM8791">
        <v>88.235956673990799</v>
      </c>
      <c r="AN8791">
        <v>0.99999999355281399</v>
      </c>
    </row>
    <row r="8792" spans="1:40" x14ac:dyDescent="0.25">
      <c r="A8792" t="str">
        <f>"20190312160540523"</f>
        <v>20190312160540523</v>
      </c>
      <c r="B8792" t="str">
        <f>"1552377940514486"</f>
        <v>1552377940514486</v>
      </c>
      <c r="C8792" t="s">
        <v>40</v>
      </c>
      <c r="D8792">
        <v>5.3778079999999999</v>
      </c>
      <c r="E8792">
        <v>0.61295239999999995</v>
      </c>
      <c r="F8792" t="s">
        <v>55</v>
      </c>
      <c r="G8792">
        <v>-158.24619999999999</v>
      </c>
      <c r="H8792">
        <v>3.7469709999999998</v>
      </c>
      <c r="I8792">
        <v>162.791</v>
      </c>
      <c r="J8792">
        <v>-185.0421</v>
      </c>
      <c r="K8792">
        <v>1.1072379999999999</v>
      </c>
      <c r="L8792">
        <v>121.5556</v>
      </c>
      <c r="M8792">
        <v>0.25115779999999999</v>
      </c>
      <c r="N8792">
        <v>0</v>
      </c>
      <c r="O8792">
        <v>0.96784380000000003</v>
      </c>
      <c r="P8792">
        <v>0.28102199999999999</v>
      </c>
      <c r="Q8792">
        <v>5.1633409999999998E-2</v>
      </c>
      <c r="R8792">
        <v>0.95831129999999998</v>
      </c>
      <c r="S8792">
        <v>1.7029270000000001</v>
      </c>
      <c r="T8792">
        <v>0.16753470000000001</v>
      </c>
      <c r="U8792">
        <v>2.6253359999999999</v>
      </c>
      <c r="V8792">
        <v>3.1803530000000003E-2</v>
      </c>
      <c r="W8792">
        <v>6.5441379999999993E-2</v>
      </c>
      <c r="X8792">
        <v>0.99734940000000005</v>
      </c>
      <c r="Y8792">
        <v>0.3152045</v>
      </c>
      <c r="Z8792">
        <v>5.3923359999999997E-2</v>
      </c>
      <c r="AA8792">
        <v>0.94749059999999896</v>
      </c>
      <c r="AB8792">
        <v>26</v>
      </c>
      <c r="AC8792">
        <v>26.7959</v>
      </c>
      <c r="AD8792">
        <v>2.6397330000000001</v>
      </c>
      <c r="AE8792">
        <v>41.235399999999998</v>
      </c>
      <c r="AF8792">
        <v>15.534436708205799</v>
      </c>
      <c r="AG8792">
        <v>2.6397330000000001</v>
      </c>
      <c r="AH8792">
        <v>46.5100351352161</v>
      </c>
      <c r="AI8792">
        <v>86.918578877072505</v>
      </c>
      <c r="AJ8792">
        <v>71.530586414796403</v>
      </c>
      <c r="AK8792">
        <v>49.106723393355999</v>
      </c>
      <c r="AL8792">
        <v>86.247803432364705</v>
      </c>
      <c r="AM8792">
        <v>88.173568076508801</v>
      </c>
      <c r="AN8792">
        <v>0.99999993220855998</v>
      </c>
    </row>
    <row r="8793" spans="1:40" x14ac:dyDescent="0.25">
      <c r="A8793" t="str">
        <f>"20190312160540535"</f>
        <v>20190312160540535</v>
      </c>
      <c r="B8793" t="str">
        <f>"1552377940524245"</f>
        <v>1552377940524245</v>
      </c>
      <c r="C8793" t="s">
        <v>40</v>
      </c>
      <c r="D8793">
        <v>6.2123929999999996</v>
      </c>
      <c r="E8793">
        <v>0.61224650000000003</v>
      </c>
      <c r="F8793" t="s">
        <v>55</v>
      </c>
      <c r="G8793">
        <v>-158.2038</v>
      </c>
      <c r="H8793">
        <v>3.7475010000000002</v>
      </c>
      <c r="I8793">
        <v>162.74850000000001</v>
      </c>
      <c r="J8793">
        <v>-185.00790000000001</v>
      </c>
      <c r="K8793">
        <v>1.1072200000000001</v>
      </c>
      <c r="L8793">
        <v>121.6781</v>
      </c>
      <c r="M8793">
        <v>0.25331920000000002</v>
      </c>
      <c r="N8793">
        <v>0</v>
      </c>
      <c r="O8793">
        <v>0.96728029999999998</v>
      </c>
      <c r="P8793">
        <v>0.28399540000000001</v>
      </c>
      <c r="Q8793">
        <v>5.1324660000000001E-2</v>
      </c>
      <c r="R8793">
        <v>0.95745100000000005</v>
      </c>
      <c r="S8793">
        <v>1.707489</v>
      </c>
      <c r="T8793">
        <v>0.1679785</v>
      </c>
      <c r="U8793">
        <v>2.620743</v>
      </c>
      <c r="V8793">
        <v>3.2668370000000002E-2</v>
      </c>
      <c r="W8793">
        <v>6.5125420000000003E-2</v>
      </c>
      <c r="X8793">
        <v>0.99734219999999896</v>
      </c>
      <c r="Y8793">
        <v>0.31499670000000002</v>
      </c>
      <c r="Z8793">
        <v>5.4076390000000002E-2</v>
      </c>
      <c r="AA8793">
        <v>0.94755100000000003</v>
      </c>
      <c r="AB8793">
        <v>26</v>
      </c>
      <c r="AC8793">
        <v>26.804099999999998</v>
      </c>
      <c r="AD8793">
        <v>2.6402809999999999</v>
      </c>
      <c r="AE8793">
        <v>41.070399999999999</v>
      </c>
      <c r="AF8793">
        <v>15.479830534603501</v>
      </c>
      <c r="AG8793">
        <v>2.6402809999999999</v>
      </c>
      <c r="AH8793">
        <v>46.386750170946797</v>
      </c>
      <c r="AI8793">
        <v>86.909496679288495</v>
      </c>
      <c r="AJ8793">
        <v>71.545509921208605</v>
      </c>
      <c r="AK8793">
        <v>48.972715143851701</v>
      </c>
      <c r="AL8793">
        <v>86.265945574973401</v>
      </c>
      <c r="AM8793">
        <v>88.123923022344599</v>
      </c>
      <c r="AN8793">
        <v>1.00000000331473</v>
      </c>
    </row>
    <row r="8794" spans="1:40" x14ac:dyDescent="0.25">
      <c r="A8794" t="str">
        <f>"20190312160540547"</f>
        <v>20190312160540547</v>
      </c>
      <c r="B8794" t="str">
        <f>"1552377940534005"</f>
        <v>1552377940534005</v>
      </c>
      <c r="C8794" t="s">
        <v>40</v>
      </c>
      <c r="D8794">
        <v>5.1877040000000001</v>
      </c>
      <c r="E8794">
        <v>0.61224650000000003</v>
      </c>
      <c r="F8794" t="s">
        <v>55</v>
      </c>
      <c r="G8794">
        <v>-158.18340000000001</v>
      </c>
      <c r="H8794">
        <v>3.7705350000000002</v>
      </c>
      <c r="I8794">
        <v>162.72819999999999</v>
      </c>
      <c r="J8794">
        <v>-184.9699</v>
      </c>
      <c r="K8794">
        <v>1.1072010000000001</v>
      </c>
      <c r="L8794">
        <v>121.813</v>
      </c>
      <c r="M8794">
        <v>0.25570710000000002</v>
      </c>
      <c r="N8794">
        <v>0</v>
      </c>
      <c r="O8794">
        <v>0.9666517</v>
      </c>
      <c r="P8794">
        <v>0.2874003</v>
      </c>
      <c r="Q8794">
        <v>5.125147E-2</v>
      </c>
      <c r="R8794">
        <v>0.95643840000000002</v>
      </c>
      <c r="S8794">
        <v>1.710083</v>
      </c>
      <c r="T8794">
        <v>0.16979089999999999</v>
      </c>
      <c r="U8794">
        <v>2.6169889999999998</v>
      </c>
      <c r="V8794">
        <v>3.3756460000000002E-2</v>
      </c>
      <c r="W8794">
        <v>6.5042639999999999E-2</v>
      </c>
      <c r="X8794">
        <v>0.99731139999999996</v>
      </c>
      <c r="Y8794">
        <v>0.31391459999999999</v>
      </c>
      <c r="Z8794">
        <v>5.4667109999999998E-2</v>
      </c>
      <c r="AA8794">
        <v>0.9478761</v>
      </c>
      <c r="AB8794">
        <v>26</v>
      </c>
      <c r="AC8794">
        <v>26.786499999999901</v>
      </c>
      <c r="AD8794">
        <v>2.6633339999999999</v>
      </c>
      <c r="AE8794">
        <v>40.915199999999999</v>
      </c>
      <c r="AF8794">
        <v>15.386802425898299</v>
      </c>
      <c r="AG8794">
        <v>2.6633339999999999</v>
      </c>
      <c r="AH8794">
        <v>46.267619950662002</v>
      </c>
      <c r="AI8794">
        <v>86.873477627981799</v>
      </c>
      <c r="AJ8794">
        <v>71.604890635771895</v>
      </c>
      <c r="AK8794">
        <v>48.8317488196776</v>
      </c>
      <c r="AL8794">
        <v>86.270698719408301</v>
      </c>
      <c r="AM8794">
        <v>88.061423348254394</v>
      </c>
      <c r="AN8794">
        <v>1.0000000360899299</v>
      </c>
    </row>
    <row r="8795" spans="1:40" x14ac:dyDescent="0.25">
      <c r="A8795" t="str">
        <f>"20190312160540560"</f>
        <v>20190312160540560</v>
      </c>
      <c r="B8795" t="str">
        <f>"1552377940554502"</f>
        <v>1552377940554502</v>
      </c>
      <c r="C8795" t="s">
        <v>40</v>
      </c>
      <c r="D8795">
        <v>5.2512400000000001</v>
      </c>
      <c r="E8795">
        <v>0.62852940000000002</v>
      </c>
      <c r="F8795" t="s">
        <v>55</v>
      </c>
      <c r="G8795">
        <v>-158.08799999999999</v>
      </c>
      <c r="H8795">
        <v>3.7725979999999999</v>
      </c>
      <c r="I8795">
        <v>162.63290000000001</v>
      </c>
      <c r="J8795">
        <v>-184.9289</v>
      </c>
      <c r="K8795">
        <v>1.1071789999999999</v>
      </c>
      <c r="L8795">
        <v>121.95650000000001</v>
      </c>
      <c r="M8795">
        <v>0.25828099999999998</v>
      </c>
      <c r="N8795">
        <v>0</v>
      </c>
      <c r="O8795">
        <v>0.96596720000000003</v>
      </c>
      <c r="P8795">
        <v>0.2908348</v>
      </c>
      <c r="Q8795">
        <v>5.1132839999999999E-2</v>
      </c>
      <c r="R8795">
        <v>0.95540599999999998</v>
      </c>
      <c r="S8795">
        <v>1.71937599999999</v>
      </c>
      <c r="T8795">
        <v>0.17048179999999999</v>
      </c>
      <c r="U8795">
        <v>2.6108549999999999</v>
      </c>
      <c r="V8795">
        <v>3.4684710000000001E-2</v>
      </c>
      <c r="W8795">
        <v>6.4915599999999907E-2</v>
      </c>
      <c r="X8795">
        <v>0.99728779999999995</v>
      </c>
      <c r="Y8795">
        <v>0.31475540000000002</v>
      </c>
      <c r="Z8795">
        <v>5.4881270000000003E-2</v>
      </c>
      <c r="AA8795">
        <v>0.94758489999999995</v>
      </c>
      <c r="AB8795">
        <v>26</v>
      </c>
      <c r="AC8795">
        <v>26.840900000000001</v>
      </c>
      <c r="AD8795">
        <v>2.665419</v>
      </c>
      <c r="AE8795">
        <v>40.676400000000001</v>
      </c>
      <c r="AF8795">
        <v>15.3770189748875</v>
      </c>
      <c r="AG8795">
        <v>2.665419</v>
      </c>
      <c r="AH8795">
        <v>46.0912714369871</v>
      </c>
      <c r="AI8795">
        <v>86.860083364233006</v>
      </c>
      <c r="AJ8795">
        <v>71.550215328615707</v>
      </c>
      <c r="AK8795">
        <v>48.661714660271002</v>
      </c>
      <c r="AL8795">
        <v>86.277992893758494</v>
      </c>
      <c r="AM8795">
        <v>88.008110782455603</v>
      </c>
      <c r="AN8795">
        <v>1.00000001012999</v>
      </c>
    </row>
    <row r="8796" spans="1:40" x14ac:dyDescent="0.25">
      <c r="A8796" t="str">
        <f>"20190312160540577"</f>
        <v>20190312160540577</v>
      </c>
      <c r="B8796" t="str">
        <f>"1552377940574021"</f>
        <v>1552377940574021</v>
      </c>
      <c r="C8796" t="s">
        <v>40</v>
      </c>
      <c r="D8796">
        <v>5.1834709999999999</v>
      </c>
      <c r="E8796">
        <v>0.62827279999999996</v>
      </c>
      <c r="F8796" t="s">
        <v>55</v>
      </c>
      <c r="G8796">
        <v>-156.82689999999999</v>
      </c>
      <c r="H8796">
        <v>0.38569829999999999</v>
      </c>
      <c r="I8796">
        <v>160.71639999999999</v>
      </c>
      <c r="J8796">
        <v>-184.87469999999999</v>
      </c>
      <c r="K8796">
        <v>1.107148</v>
      </c>
      <c r="L8796">
        <v>122.1446</v>
      </c>
      <c r="M8796">
        <v>0.26167950000000001</v>
      </c>
      <c r="N8796">
        <v>0</v>
      </c>
      <c r="O8796">
        <v>0.96505209999999997</v>
      </c>
      <c r="P8796">
        <v>0.29612060000000001</v>
      </c>
      <c r="Q8796">
        <v>5.0623389999999997E-2</v>
      </c>
      <c r="R8796">
        <v>0.95380810000000005</v>
      </c>
      <c r="S8796">
        <v>1.8665160000000001</v>
      </c>
      <c r="T8796">
        <v>-4.7918080000000002E-2</v>
      </c>
      <c r="U8796">
        <v>2.5744020000000001</v>
      </c>
      <c r="V8796">
        <v>3.6691399999999999E-2</v>
      </c>
      <c r="W8796">
        <v>6.4388829999999994E-2</v>
      </c>
      <c r="X8796">
        <v>0.99725010000000003</v>
      </c>
      <c r="Y8796">
        <v>0.35457889999999997</v>
      </c>
      <c r="Z8796">
        <v>-1.526514E-2</v>
      </c>
      <c r="AA8796">
        <v>0.93490150000000005</v>
      </c>
      <c r="AB8796">
        <v>26</v>
      </c>
      <c r="AC8796">
        <v>28.047799999999899</v>
      </c>
      <c r="AD8796">
        <v>-0.72144969999999997</v>
      </c>
      <c r="AE8796">
        <v>38.571800000000003</v>
      </c>
      <c r="AF8796">
        <v>16.9719381787549</v>
      </c>
      <c r="AG8796">
        <v>-0.72144969999999997</v>
      </c>
      <c r="AH8796">
        <v>44.557553034428601</v>
      </c>
      <c r="AI8796">
        <v>90.866873046238595</v>
      </c>
      <c r="AJ8796">
        <v>69.148200787164896</v>
      </c>
      <c r="AK8796">
        <v>47.685875347203499</v>
      </c>
      <c r="AL8796">
        <v>86.3082377241263</v>
      </c>
      <c r="AM8796">
        <v>87.892891133571197</v>
      </c>
      <c r="AN8796">
        <v>0.99999997110636896</v>
      </c>
    </row>
    <row r="8797" spans="1:40" x14ac:dyDescent="0.25">
      <c r="A8797" t="str">
        <f>"20190312160540593"</f>
        <v>20190312160540593</v>
      </c>
      <c r="B8797" t="str">
        <f>"1552377940583783"</f>
        <v>1552377940583783</v>
      </c>
      <c r="C8797" t="s">
        <v>40</v>
      </c>
      <c r="D8797">
        <v>5.1958599999999997</v>
      </c>
      <c r="E8797">
        <v>0.62829169999999901</v>
      </c>
      <c r="F8797" t="s">
        <v>55</v>
      </c>
      <c r="G8797">
        <v>-156.827</v>
      </c>
      <c r="H8797">
        <v>0.251268399999999</v>
      </c>
      <c r="I8797">
        <v>160.43539999999999</v>
      </c>
      <c r="J8797">
        <v>-184.82380000000001</v>
      </c>
      <c r="K8797">
        <v>1.1071219999999999</v>
      </c>
      <c r="L8797">
        <v>122.31870000000001</v>
      </c>
      <c r="M8797">
        <v>0.26485819999999999</v>
      </c>
      <c r="N8797">
        <v>0</v>
      </c>
      <c r="O8797">
        <v>0.9641845</v>
      </c>
      <c r="P8797">
        <v>0.29998709999999901</v>
      </c>
      <c r="Q8797">
        <v>5.0107619999999999E-2</v>
      </c>
      <c r="R8797">
        <v>0.95262630000000004</v>
      </c>
      <c r="S8797">
        <v>1.8788450000000001</v>
      </c>
      <c r="T8797">
        <v>-5.7331090000000001E-2</v>
      </c>
      <c r="U8797">
        <v>2.5650019999999998</v>
      </c>
      <c r="V8797">
        <v>3.7444140000000001E-2</v>
      </c>
      <c r="W8797">
        <v>6.3865870000000005E-2</v>
      </c>
      <c r="X8797">
        <v>0.99725580000000003</v>
      </c>
      <c r="Y8797">
        <v>0.35602430000000002</v>
      </c>
      <c r="Z8797">
        <v>-1.8263580000000001E-2</v>
      </c>
      <c r="AA8797">
        <v>0.93429819999999997</v>
      </c>
      <c r="AB8797">
        <v>26</v>
      </c>
      <c r="AC8797">
        <v>27.9968</v>
      </c>
      <c r="AD8797">
        <v>-0.85585359999999999</v>
      </c>
      <c r="AE8797">
        <v>38.116699999999902</v>
      </c>
      <c r="AF8797">
        <v>16.894703757118101</v>
      </c>
      <c r="AG8797">
        <v>-0.85585359999999999</v>
      </c>
      <c r="AH8797">
        <v>44.156634412490099</v>
      </c>
      <c r="AI8797">
        <v>91.037080961890894</v>
      </c>
      <c r="AJ8797">
        <v>69.062724391662897</v>
      </c>
      <c r="AK8797">
        <v>47.286064152810603</v>
      </c>
      <c r="AL8797">
        <v>86.3382631122616</v>
      </c>
      <c r="AM8797">
        <v>87.849715331414004</v>
      </c>
      <c r="AN8797">
        <v>1.0000000218024101</v>
      </c>
    </row>
    <row r="8798" spans="1:40" x14ac:dyDescent="0.25">
      <c r="A8798" t="str">
        <f>"20190312160540606"</f>
        <v>20190312160540606</v>
      </c>
      <c r="B8798" t="str">
        <f>"1552377940594518"</f>
        <v>1552377940594518</v>
      </c>
      <c r="C8798" t="s">
        <v>40</v>
      </c>
      <c r="D8798">
        <v>5.1614089999999999</v>
      </c>
      <c r="E8798">
        <v>0.62799490000000002</v>
      </c>
      <c r="F8798" t="s">
        <v>55</v>
      </c>
      <c r="G8798">
        <v>-156.827</v>
      </c>
      <c r="H8798">
        <v>0.23553470000000001</v>
      </c>
      <c r="I8798">
        <v>160.21350000000001</v>
      </c>
      <c r="J8798">
        <v>-184.7792</v>
      </c>
      <c r="K8798">
        <v>1.1070979999999999</v>
      </c>
      <c r="L8798">
        <v>122.4697</v>
      </c>
      <c r="M8798">
        <v>0.26763870000000001</v>
      </c>
      <c r="N8798">
        <v>0</v>
      </c>
      <c r="O8798">
        <v>0.9634163</v>
      </c>
      <c r="P8798">
        <v>0.30390070000000002</v>
      </c>
      <c r="Q8798">
        <v>5.0200540000000002E-2</v>
      </c>
      <c r="R8798">
        <v>0.95138020000000001</v>
      </c>
      <c r="S8798">
        <v>1.889359</v>
      </c>
      <c r="T8798">
        <v>-5.881691E-2</v>
      </c>
      <c r="U8798">
        <v>2.5573269999999999</v>
      </c>
      <c r="V8798">
        <v>3.8673649999999997E-2</v>
      </c>
      <c r="W8798">
        <v>6.3947699999999996E-2</v>
      </c>
      <c r="X8798">
        <v>0.99720359999999997</v>
      </c>
      <c r="Y8798">
        <v>0.35714780000000002</v>
      </c>
      <c r="Z8798">
        <v>-1.8734819999999999E-2</v>
      </c>
      <c r="AA8798">
        <v>0.93386000000000002</v>
      </c>
      <c r="AB8798">
        <v>26</v>
      </c>
      <c r="AC8798">
        <v>27.952200000000001</v>
      </c>
      <c r="AD8798">
        <v>-0.87156329999999904</v>
      </c>
      <c r="AE8798">
        <v>37.7438</v>
      </c>
      <c r="AF8798">
        <v>16.823781075556099</v>
      </c>
      <c r="AG8798">
        <v>-0.87156329999999904</v>
      </c>
      <c r="AH8798">
        <v>43.833341793803797</v>
      </c>
      <c r="AI8798">
        <v>91.063472696063201</v>
      </c>
      <c r="AJ8798">
        <v>69.002577469423997</v>
      </c>
      <c r="AK8798">
        <v>46.959142720843801</v>
      </c>
      <c r="AL8798">
        <v>86.333564877297604</v>
      </c>
      <c r="AM8798">
        <v>87.7790623559642</v>
      </c>
      <c r="AN8798">
        <v>0.99999998969628601</v>
      </c>
    </row>
    <row r="8799" spans="1:40" x14ac:dyDescent="0.25">
      <c r="A8799" t="str">
        <f>"20190312160540621"</f>
        <v>20190312160540621</v>
      </c>
      <c r="B8799" t="str">
        <f>"1552377940614041"</f>
        <v>1552377940614041</v>
      </c>
      <c r="C8799" t="s">
        <v>40</v>
      </c>
      <c r="D8799">
        <v>5.2135170000000004</v>
      </c>
      <c r="E8799">
        <v>0.62789430000000002</v>
      </c>
      <c r="F8799" t="s">
        <v>55</v>
      </c>
      <c r="G8799">
        <v>-156.8271</v>
      </c>
      <c r="H8799">
        <v>0.34972950000000003</v>
      </c>
      <c r="I8799">
        <v>160.0428</v>
      </c>
      <c r="J8799">
        <v>-184.72929999999999</v>
      </c>
      <c r="K8799">
        <v>1.107059</v>
      </c>
      <c r="L8799">
        <v>122.6362</v>
      </c>
      <c r="M8799">
        <v>0.27075149999999998</v>
      </c>
      <c r="N8799">
        <v>0</v>
      </c>
      <c r="O8799">
        <v>0.96254620000000002</v>
      </c>
      <c r="P8799">
        <v>0.30830410000000003</v>
      </c>
      <c r="Q8799">
        <v>4.9952919999999998E-2</v>
      </c>
      <c r="R8799">
        <v>0.94997540000000003</v>
      </c>
      <c r="S8799">
        <v>1.897079</v>
      </c>
      <c r="T8799">
        <v>-5.1399470000000003E-2</v>
      </c>
      <c r="U8799">
        <v>2.550049</v>
      </c>
      <c r="V8799">
        <v>4.0069470000000003E-2</v>
      </c>
      <c r="W8799">
        <v>6.368741E-2</v>
      </c>
      <c r="X8799">
        <v>0.99716510000000003</v>
      </c>
      <c r="Y8799">
        <v>0.35724919999999999</v>
      </c>
      <c r="Z8799">
        <v>-1.6374679999999999E-2</v>
      </c>
      <c r="AA8799">
        <v>0.93386550000000002</v>
      </c>
      <c r="AB8799">
        <v>26</v>
      </c>
      <c r="AC8799">
        <v>27.902200000000001</v>
      </c>
      <c r="AD8799">
        <v>-0.75732949999999999</v>
      </c>
      <c r="AE8799">
        <v>37.406599999999997</v>
      </c>
      <c r="AF8799">
        <v>16.726518487631999</v>
      </c>
      <c r="AG8799">
        <v>-0.75732949999999999</v>
      </c>
      <c r="AH8799">
        <v>43.552995588527601</v>
      </c>
      <c r="AI8799">
        <v>90.929985286515702</v>
      </c>
      <c r="AJ8799">
        <v>68.9907248218706</v>
      </c>
      <c r="AK8799">
        <v>46.6606192996082</v>
      </c>
      <c r="AL8799">
        <v>86.348508685954599</v>
      </c>
      <c r="AM8799">
        <v>87.698899582048199</v>
      </c>
      <c r="AN8799">
        <v>0.99999994263829795</v>
      </c>
    </row>
    <row r="8800" spans="1:40" x14ac:dyDescent="0.25">
      <c r="A8800" t="str">
        <f>"20190312160540633"</f>
        <v>20190312160540633</v>
      </c>
      <c r="B8800" t="str">
        <f>"1552377940623797"</f>
        <v>1552377940623797</v>
      </c>
      <c r="C8800" t="s">
        <v>40</v>
      </c>
      <c r="D8800">
        <v>5.2029860000000001</v>
      </c>
      <c r="E8800">
        <v>0.62789430000000002</v>
      </c>
      <c r="F8800" t="s">
        <v>55</v>
      </c>
      <c r="G8800">
        <v>-156.66149999999999</v>
      </c>
      <c r="H8800">
        <v>0.26360699999999998</v>
      </c>
      <c r="I8800">
        <v>160.0119</v>
      </c>
      <c r="J8800">
        <v>-184.69130000000001</v>
      </c>
      <c r="K8800">
        <v>1.10703</v>
      </c>
      <c r="L8800">
        <v>122.76139999999999</v>
      </c>
      <c r="M8800">
        <v>0.27311929999999901</v>
      </c>
      <c r="N8800">
        <v>0</v>
      </c>
      <c r="O8800">
        <v>0.96187699999999998</v>
      </c>
      <c r="P8800">
        <v>0.31128800000000001</v>
      </c>
      <c r="Q8800">
        <v>4.9619660000000003E-2</v>
      </c>
      <c r="R8800">
        <v>0.94901930000000001</v>
      </c>
      <c r="S8800">
        <v>1.90863</v>
      </c>
      <c r="T8800">
        <v>-5.7353139999999997E-2</v>
      </c>
      <c r="U8800">
        <v>2.5415800000000002</v>
      </c>
      <c r="V8800">
        <v>4.0746640000000001E-2</v>
      </c>
      <c r="W8800">
        <v>6.3347150000000005E-2</v>
      </c>
      <c r="X8800">
        <v>0.99715940000000003</v>
      </c>
      <c r="Y8800">
        <v>0.35913820000000002</v>
      </c>
      <c r="Z8800">
        <v>-1.8271059999999999E-2</v>
      </c>
      <c r="AA8800">
        <v>0.93310550000000003</v>
      </c>
      <c r="AB8800">
        <v>26</v>
      </c>
      <c r="AC8800">
        <v>28.029800000000002</v>
      </c>
      <c r="AD8800">
        <v>-0.84342299999999903</v>
      </c>
      <c r="AE8800">
        <v>37.250500000000002</v>
      </c>
      <c r="AF8800">
        <v>16.7835620633372</v>
      </c>
      <c r="AG8800">
        <v>-0.84342299999999903</v>
      </c>
      <c r="AH8800">
        <v>43.475964121276803</v>
      </c>
      <c r="AI8800">
        <v>91.036826308146203</v>
      </c>
      <c r="AJ8800">
        <v>68.891301403674504</v>
      </c>
      <c r="AK8800">
        <v>46.6107152290691</v>
      </c>
      <c r="AL8800">
        <v>86.368043838526404</v>
      </c>
      <c r="AM8800">
        <v>87.660040724268697</v>
      </c>
      <c r="AN8800">
        <v>1.0000000095463799</v>
      </c>
    </row>
    <row r="8801" spans="1:40" x14ac:dyDescent="0.25">
      <c r="A8801" t="str">
        <f>"20190312160540655"</f>
        <v>20190312160540655</v>
      </c>
      <c r="B8801" t="str">
        <f>"1552377940644297"</f>
        <v>1552377940644297</v>
      </c>
      <c r="C8801" t="s">
        <v>40</v>
      </c>
      <c r="D8801">
        <v>5.3845769999999904</v>
      </c>
      <c r="E8801">
        <v>0.6039641</v>
      </c>
      <c r="F8801" t="s">
        <v>55</v>
      </c>
      <c r="G8801">
        <v>-156.53</v>
      </c>
      <c r="H8801">
        <v>0.25470540000000003</v>
      </c>
      <c r="I8801">
        <v>160.0119</v>
      </c>
      <c r="J8801">
        <v>-184.62039999999999</v>
      </c>
      <c r="K8801">
        <v>1.1069659999999999</v>
      </c>
      <c r="L8801">
        <v>122.9926</v>
      </c>
      <c r="M8801">
        <v>0.27756009999999998</v>
      </c>
      <c r="N8801">
        <v>0</v>
      </c>
      <c r="O8801">
        <v>0.96060480000000004</v>
      </c>
      <c r="P8801">
        <v>0.31680160000000002</v>
      </c>
      <c r="Q8801">
        <v>4.9244549999999998E-2</v>
      </c>
      <c r="R8801">
        <v>0.94721259999999996</v>
      </c>
      <c r="S8801">
        <v>1.916809</v>
      </c>
      <c r="T8801">
        <v>-5.8011409999999999E-2</v>
      </c>
      <c r="U8801">
        <v>2.5354610000000002</v>
      </c>
      <c r="V8801">
        <v>4.1940070000000003E-2</v>
      </c>
      <c r="W8801">
        <v>6.2959780000000007E-2</v>
      </c>
      <c r="X8801">
        <v>0.99713439999999998</v>
      </c>
      <c r="Y8801">
        <v>0.35782239999999998</v>
      </c>
      <c r="Z8801">
        <v>-1.846865E-2</v>
      </c>
      <c r="AA8801">
        <v>0.93360699999999996</v>
      </c>
      <c r="AB8801">
        <v>26</v>
      </c>
      <c r="AC8801">
        <v>28.090399999999899</v>
      </c>
      <c r="AD8801">
        <v>-0.85226059999999904</v>
      </c>
      <c r="AE8801">
        <v>37.019300000000001</v>
      </c>
      <c r="AF8801">
        <v>16.7047349895814</v>
      </c>
      <c r="AG8801">
        <v>-0.85226059999999904</v>
      </c>
      <c r="AH8801">
        <v>43.347422182995501</v>
      </c>
      <c r="AI8801">
        <v>91.051031806371</v>
      </c>
      <c r="AJ8801">
        <v>68.924904223520898</v>
      </c>
      <c r="AK8801">
        <v>46.462603555045298</v>
      </c>
      <c r="AL8801">
        <v>86.390282709498294</v>
      </c>
      <c r="AM8801">
        <v>87.591524805563793</v>
      </c>
      <c r="AN8801">
        <v>0.99999995751630499</v>
      </c>
    </row>
    <row r="8802" spans="1:40" x14ac:dyDescent="0.25">
      <c r="A8802" t="str">
        <f>"20190312160540666"</f>
        <v>20190312160540666</v>
      </c>
      <c r="B8802" t="str">
        <f>"1552377940654055"</f>
        <v>1552377940654055</v>
      </c>
      <c r="C8802" t="s">
        <v>40</v>
      </c>
      <c r="D8802">
        <v>5.2036170000000004</v>
      </c>
      <c r="E8802">
        <v>0.6039641</v>
      </c>
      <c r="F8802" t="s">
        <v>55</v>
      </c>
      <c r="G8802">
        <v>-157.99709999999999</v>
      </c>
      <c r="H8802">
        <v>4.1394310000000001</v>
      </c>
      <c r="I8802">
        <v>162.5419</v>
      </c>
      <c r="J8802">
        <v>-184.57830000000001</v>
      </c>
      <c r="K8802">
        <v>1.1069260000000001</v>
      </c>
      <c r="L8802">
        <v>123.1279</v>
      </c>
      <c r="M8802">
        <v>0.28019539999999998</v>
      </c>
      <c r="N8802">
        <v>0</v>
      </c>
      <c r="O8802">
        <v>0.95983949999999996</v>
      </c>
      <c r="P8802">
        <v>0.31987529999999997</v>
      </c>
      <c r="Q8802">
        <v>4.8749859999999999E-2</v>
      </c>
      <c r="R8802">
        <v>0.94620470000000001</v>
      </c>
      <c r="S8802">
        <v>1.734604</v>
      </c>
      <c r="T8802">
        <v>0.19757839999999999</v>
      </c>
      <c r="U8802">
        <v>2.5767820000000001</v>
      </c>
      <c r="V8802">
        <v>4.2435800000000003E-2</v>
      </c>
      <c r="W8802">
        <v>6.2459609999999999E-2</v>
      </c>
      <c r="X8802">
        <v>0.9971449</v>
      </c>
      <c r="Y8802">
        <v>0.30242609999999998</v>
      </c>
      <c r="Z8802">
        <v>6.3698199999999996E-2</v>
      </c>
      <c r="AA8802">
        <v>0.9510421</v>
      </c>
      <c r="AB8802">
        <v>25</v>
      </c>
      <c r="AC8802">
        <v>26.581199999999999</v>
      </c>
      <c r="AD8802">
        <v>3.032505</v>
      </c>
      <c r="AE8802">
        <v>39.414000000000001</v>
      </c>
      <c r="AF8802">
        <v>14.412855602664701</v>
      </c>
      <c r="AG8802">
        <v>3.032505</v>
      </c>
      <c r="AH8802">
        <v>45.100029500648901</v>
      </c>
      <c r="AI8802">
        <v>86.335299912825803</v>
      </c>
      <c r="AJ8802">
        <v>72.277404148097801</v>
      </c>
      <c r="AK8802">
        <v>47.444063423759196</v>
      </c>
      <c r="AL8802">
        <v>86.418996921511095</v>
      </c>
      <c r="AM8802">
        <v>87.563116471702102</v>
      </c>
      <c r="AN8802">
        <v>0.99999997579949995</v>
      </c>
    </row>
    <row r="8803" spans="1:40" x14ac:dyDescent="0.25">
      <c r="A8803" t="str">
        <f>"20190312160540678"</f>
        <v>20190312160540678</v>
      </c>
      <c r="B8803" t="str">
        <f>"1552377940674550"</f>
        <v>1552377940674550</v>
      </c>
      <c r="C8803" t="s">
        <v>40</v>
      </c>
      <c r="D8803">
        <v>5.1887290000000004</v>
      </c>
      <c r="E8803">
        <v>0.62352750000000001</v>
      </c>
      <c r="F8803" t="s">
        <v>55</v>
      </c>
      <c r="G8803">
        <v>-157.91669999999999</v>
      </c>
      <c r="H8803">
        <v>4.1167109999999996</v>
      </c>
      <c r="I8803">
        <v>162.4615</v>
      </c>
      <c r="J8803">
        <v>-184.53829999999999</v>
      </c>
      <c r="K8803">
        <v>1.1068880000000001</v>
      </c>
      <c r="L8803">
        <v>123.2546</v>
      </c>
      <c r="M8803">
        <v>0.28270990000000001</v>
      </c>
      <c r="N8803">
        <v>0</v>
      </c>
      <c r="O8803">
        <v>0.95910189999999995</v>
      </c>
      <c r="P8803">
        <v>0.32282270000000002</v>
      </c>
      <c r="Q8803">
        <v>4.8673840000000003E-2</v>
      </c>
      <c r="R8803">
        <v>0.94520709999999997</v>
      </c>
      <c r="S8803">
        <v>1.742874</v>
      </c>
      <c r="T8803">
        <v>0.19675200000000001</v>
      </c>
      <c r="U8803">
        <v>2.5712429999999999</v>
      </c>
      <c r="V8803">
        <v>4.2934559999999997E-2</v>
      </c>
      <c r="W8803">
        <v>6.2378240000000001E-2</v>
      </c>
      <c r="X8803">
        <v>0.99712869999999998</v>
      </c>
      <c r="Y8803">
        <v>0.30298629999999999</v>
      </c>
      <c r="Z8803">
        <v>6.3415440000000003E-2</v>
      </c>
      <c r="AA8803">
        <v>0.95088260000000002</v>
      </c>
      <c r="AB8803">
        <v>25</v>
      </c>
      <c r="AC8803">
        <v>26.621600000000001</v>
      </c>
      <c r="AD8803">
        <v>3.0098229999999999</v>
      </c>
      <c r="AE8803">
        <v>39.206899999999997</v>
      </c>
      <c r="AF8803">
        <v>14.3920319798686</v>
      </c>
      <c r="AG8803">
        <v>3.0098229999999999</v>
      </c>
      <c r="AH8803">
        <v>44.952763827858199</v>
      </c>
      <c r="AI8803">
        <v>86.351369115633204</v>
      </c>
      <c r="AJ8803">
        <v>72.247064866307397</v>
      </c>
      <c r="AK8803">
        <v>47.296306354345298</v>
      </c>
      <c r="AL8803">
        <v>86.423668392172502</v>
      </c>
      <c r="AM8803">
        <v>87.534470219613794</v>
      </c>
      <c r="AN8803">
        <v>1.0000000328157901</v>
      </c>
    </row>
    <row r="8804" spans="1:40" x14ac:dyDescent="0.25">
      <c r="A8804" t="str">
        <f>"20190312160540690"</f>
        <v>20190312160540690</v>
      </c>
      <c r="B8804" t="str">
        <f>"1552377940684309"</f>
        <v>1552377940684309</v>
      </c>
      <c r="C8804" t="s">
        <v>40</v>
      </c>
      <c r="D8804">
        <v>5.1676690000000001</v>
      </c>
      <c r="E8804">
        <v>0.62335019999999997</v>
      </c>
      <c r="F8804" t="s">
        <v>43</v>
      </c>
      <c r="G8804">
        <v>-156.95859999999999</v>
      </c>
      <c r="H8804">
        <v>-0.05</v>
      </c>
      <c r="I8804">
        <v>159.57900000000001</v>
      </c>
      <c r="J8804">
        <v>-184.49809999999999</v>
      </c>
      <c r="K8804">
        <v>1.1068469999999999</v>
      </c>
      <c r="L8804">
        <v>123.3815</v>
      </c>
      <c r="M8804">
        <v>0.28524260000000001</v>
      </c>
      <c r="N8804">
        <v>0</v>
      </c>
      <c r="O8804">
        <v>0.95835159999999997</v>
      </c>
      <c r="P8804">
        <v>0.3258259</v>
      </c>
      <c r="Q8804">
        <v>4.8302350000000001E-2</v>
      </c>
      <c r="R8804">
        <v>0.94419509999999995</v>
      </c>
      <c r="S8804">
        <v>1.9160919999999999</v>
      </c>
      <c r="T8804">
        <v>-8.0374360000000006E-2</v>
      </c>
      <c r="U8804">
        <v>2.5236209999999999</v>
      </c>
      <c r="V8804">
        <v>4.3467789999999999E-2</v>
      </c>
      <c r="W8804">
        <v>6.2000840000000002E-2</v>
      </c>
      <c r="X8804">
        <v>0.99712909999999999</v>
      </c>
      <c r="Y8804">
        <v>0.35217680000000001</v>
      </c>
      <c r="Z8804">
        <v>-2.5620529999999999E-2</v>
      </c>
      <c r="AA8804">
        <v>0.93558280000000005</v>
      </c>
      <c r="AB8804">
        <v>25</v>
      </c>
      <c r="AC8804">
        <v>27.5395</v>
      </c>
      <c r="AD8804">
        <v>-1.156847</v>
      </c>
      <c r="AE8804">
        <v>36.197499999999998</v>
      </c>
      <c r="AF8804">
        <v>16.058663934007001</v>
      </c>
      <c r="AG8804">
        <v>-1.156847</v>
      </c>
      <c r="AH8804">
        <v>42.522092896590799</v>
      </c>
      <c r="AI8804">
        <v>91.457936796964006</v>
      </c>
      <c r="AJ8804">
        <v>69.310725709844206</v>
      </c>
      <c r="AK8804">
        <v>45.468091741715803</v>
      </c>
      <c r="AL8804">
        <v>86.445333629476494</v>
      </c>
      <c r="AM8804">
        <v>87.503888822196402</v>
      </c>
      <c r="AN8804">
        <v>0.99999999749749902</v>
      </c>
    </row>
    <row r="8805" spans="1:40" x14ac:dyDescent="0.25">
      <c r="A8805" t="str">
        <f>"20190312160540700"</f>
        <v>20190312160540700</v>
      </c>
      <c r="B8805" t="str">
        <f>"1552377940694069"</f>
        <v>1552377940694069</v>
      </c>
      <c r="C8805" t="s">
        <v>40</v>
      </c>
      <c r="D8805">
        <v>5.2912220000000003</v>
      </c>
      <c r="E8805">
        <v>0.62335019999999997</v>
      </c>
      <c r="F8805" t="s">
        <v>41</v>
      </c>
      <c r="G8805">
        <v>-161.89320000000001</v>
      </c>
      <c r="H8805">
        <v>7.9985719999999996E-2</v>
      </c>
      <c r="I8805">
        <v>152.9802</v>
      </c>
      <c r="J8805">
        <v>-184.4571</v>
      </c>
      <c r="K8805">
        <v>1.1068009999999999</v>
      </c>
      <c r="L8805">
        <v>123.5091</v>
      </c>
      <c r="M8805">
        <v>0.28783930000000002</v>
      </c>
      <c r="N8805">
        <v>0</v>
      </c>
      <c r="O8805">
        <v>0.95757479999999995</v>
      </c>
      <c r="P8805">
        <v>0.32849810000000002</v>
      </c>
      <c r="Q8805">
        <v>4.8046510000000001E-2</v>
      </c>
      <c r="R8805">
        <v>0.94328179999999995</v>
      </c>
      <c r="S8805">
        <v>1.9231259999999999</v>
      </c>
      <c r="T8805">
        <v>-8.7360859999999999E-2</v>
      </c>
      <c r="U8805">
        <v>2.5181269999999998</v>
      </c>
      <c r="V8805">
        <v>4.358882E-2</v>
      </c>
      <c r="W8805">
        <v>6.1742419999999999E-2</v>
      </c>
      <c r="X8805">
        <v>0.99713989999999997</v>
      </c>
      <c r="Y8805">
        <v>0.35223789999999999</v>
      </c>
      <c r="Z8805">
        <v>-2.783892E-2</v>
      </c>
      <c r="AA8805">
        <v>0.93549629999999995</v>
      </c>
      <c r="AB8805">
        <v>25</v>
      </c>
      <c r="AC8805">
        <v>22.563899999999901</v>
      </c>
      <c r="AD8805">
        <v>-1.0268152800000001</v>
      </c>
      <c r="AE8805">
        <v>29.4711</v>
      </c>
      <c r="AF8805">
        <v>13.1149504862807</v>
      </c>
      <c r="AG8805">
        <v>-1.0268152800000001</v>
      </c>
      <c r="AH8805">
        <v>34.692464760682299</v>
      </c>
      <c r="AI8805">
        <v>91.585852665252006</v>
      </c>
      <c r="AJ8805">
        <v>69.291675537335195</v>
      </c>
      <c r="AK8805">
        <v>37.102875724774002</v>
      </c>
      <c r="AL8805">
        <v>86.4601685982623</v>
      </c>
      <c r="AM8805">
        <v>87.496974651949003</v>
      </c>
      <c r="AN8805">
        <v>1.00000004591422</v>
      </c>
    </row>
    <row r="8806" spans="1:40" x14ac:dyDescent="0.25">
      <c r="A8806" t="str">
        <f>"20190312160540713"</f>
        <v>20190312160540713</v>
      </c>
      <c r="B8806" t="str">
        <f>"1552377940703830"</f>
        <v>1552377940703830</v>
      </c>
      <c r="C8806" t="s">
        <v>40</v>
      </c>
      <c r="D8806">
        <v>5.1460900000000001</v>
      </c>
      <c r="E8806">
        <v>0.61112619999999995</v>
      </c>
      <c r="F8806" t="s">
        <v>41</v>
      </c>
      <c r="G8806">
        <v>-161.95769999999999</v>
      </c>
      <c r="H8806">
        <v>7.998574E-2</v>
      </c>
      <c r="I8806">
        <v>152.7946</v>
      </c>
      <c r="J8806">
        <v>-184.41589999999999</v>
      </c>
      <c r="K8806">
        <v>1.1067610000000001</v>
      </c>
      <c r="L8806">
        <v>123.6362</v>
      </c>
      <c r="M8806">
        <v>0.29045799999999999</v>
      </c>
      <c r="N8806">
        <v>0</v>
      </c>
      <c r="O8806">
        <v>0.95678370000000001</v>
      </c>
      <c r="P8806">
        <v>0.33131640000000001</v>
      </c>
      <c r="Q8806">
        <v>4.779626E-2</v>
      </c>
      <c r="R8806">
        <v>0.94230829999999999</v>
      </c>
      <c r="S8806">
        <v>1.930374</v>
      </c>
      <c r="T8806">
        <v>-8.8097330000000001E-2</v>
      </c>
      <c r="U8806">
        <v>2.5126040000000001</v>
      </c>
      <c r="V8806">
        <v>4.3842409999999998E-2</v>
      </c>
      <c r="W8806">
        <v>6.148874E-2</v>
      </c>
      <c r="X8806">
        <v>0.99714440000000004</v>
      </c>
      <c r="Y8806">
        <v>0.35236400000000001</v>
      </c>
      <c r="Z8806">
        <v>-2.8065070000000001E-2</v>
      </c>
      <c r="AA8806">
        <v>0.93544210000000005</v>
      </c>
      <c r="AB8806">
        <v>25</v>
      </c>
      <c r="AC8806">
        <v>22.458200000000001</v>
      </c>
      <c r="AD8806">
        <v>-1.02677526</v>
      </c>
      <c r="AE8806">
        <v>29.1584</v>
      </c>
      <c r="AF8806">
        <v>13.009520059272999</v>
      </c>
      <c r="AG8806">
        <v>-1.02677526</v>
      </c>
      <c r="AH8806">
        <v>34.398100962185502</v>
      </c>
      <c r="AI8806">
        <v>91.599264448025096</v>
      </c>
      <c r="AJ8806">
        <v>69.283151356988995</v>
      </c>
      <c r="AK8806">
        <v>36.790368704484102</v>
      </c>
      <c r="AL8806">
        <v>86.474730856794807</v>
      </c>
      <c r="AM8806">
        <v>87.482442639601601</v>
      </c>
      <c r="AN8806">
        <v>0.99999998825637704</v>
      </c>
    </row>
    <row r="8807" spans="1:40" x14ac:dyDescent="0.25">
      <c r="A8807" t="str">
        <f>"20190312160540725"</f>
        <v>20190312160540725</v>
      </c>
      <c r="B8807" t="str">
        <f>"1552377940713589"</f>
        <v>1552377940713589</v>
      </c>
      <c r="C8807" t="s">
        <v>40</v>
      </c>
      <c r="D8807">
        <v>5.1958859999999998</v>
      </c>
      <c r="E8807">
        <v>0.60809799999999903</v>
      </c>
      <c r="F8807" t="s">
        <v>55</v>
      </c>
      <c r="G8807">
        <v>-157.00989999999999</v>
      </c>
      <c r="H8807">
        <v>3.4635959999999999</v>
      </c>
      <c r="I8807">
        <v>161.55619999999999</v>
      </c>
      <c r="J8807">
        <v>-184.37139999999999</v>
      </c>
      <c r="K8807">
        <v>1.1067119999999999</v>
      </c>
      <c r="L8807">
        <v>123.77209999999999</v>
      </c>
      <c r="M8807">
        <v>0.2932902</v>
      </c>
      <c r="N8807">
        <v>0</v>
      </c>
      <c r="O8807">
        <v>0.95591930000000003</v>
      </c>
      <c r="P8807">
        <v>0.33416580000000001</v>
      </c>
      <c r="Q8807">
        <v>4.7555609999999998E-2</v>
      </c>
      <c r="R8807">
        <v>0.94131379999999998</v>
      </c>
      <c r="S8807">
        <v>1.8301240000000001</v>
      </c>
      <c r="T8807">
        <v>0.15738740000000001</v>
      </c>
      <c r="U8807">
        <v>2.5322269999999998</v>
      </c>
      <c r="V8807">
        <v>4.3907729999999999E-2</v>
      </c>
      <c r="W8807">
        <v>6.1246019999999998E-2</v>
      </c>
      <c r="X8807">
        <v>0.9971565</v>
      </c>
      <c r="Y8807">
        <v>0.32149430000000001</v>
      </c>
      <c r="Z8807">
        <v>5.0539239999999999E-2</v>
      </c>
      <c r="AA8807">
        <v>0.94556180000000001</v>
      </c>
      <c r="AB8807">
        <v>25</v>
      </c>
      <c r="AC8807">
        <v>27.361499999999999</v>
      </c>
      <c r="AD8807">
        <v>2.356884</v>
      </c>
      <c r="AE8807">
        <v>37.784100000000002</v>
      </c>
      <c r="AF8807">
        <v>15.036799975950601</v>
      </c>
      <c r="AG8807">
        <v>2.356884</v>
      </c>
      <c r="AH8807">
        <v>44.035407673035401</v>
      </c>
      <c r="AI8807">
        <v>87.100396648349005</v>
      </c>
      <c r="AJ8807">
        <v>71.146469159564305</v>
      </c>
      <c r="AK8807">
        <v>46.591602082742703</v>
      </c>
      <c r="AL8807">
        <v>86.488664076841005</v>
      </c>
      <c r="AM8807">
        <v>87.478727169253006</v>
      </c>
      <c r="AN8807">
        <v>1.00000002460592</v>
      </c>
    </row>
    <row r="8808" spans="1:40" x14ac:dyDescent="0.25">
      <c r="A8808" t="str">
        <f>"20190312160540737"</f>
        <v>20190312160540737</v>
      </c>
      <c r="B8808" t="str">
        <f>"1552377940734085"</f>
        <v>1552377940734085</v>
      </c>
      <c r="C8808" t="s">
        <v>40</v>
      </c>
      <c r="D8808">
        <v>5.1918739999999897</v>
      </c>
      <c r="E8808">
        <v>0.60645150000000003</v>
      </c>
      <c r="F8808" t="s">
        <v>55</v>
      </c>
      <c r="G8808">
        <v>-157.1919</v>
      </c>
      <c r="H8808">
        <v>3.562405</v>
      </c>
      <c r="I8808">
        <v>161.7379</v>
      </c>
      <c r="J8808">
        <v>-184.32650000000001</v>
      </c>
      <c r="K8808">
        <v>1.106663</v>
      </c>
      <c r="L8808">
        <v>123.90730000000001</v>
      </c>
      <c r="M8808">
        <v>0.29617080000000001</v>
      </c>
      <c r="N8808">
        <v>0</v>
      </c>
      <c r="O8808">
        <v>0.95503070000000001</v>
      </c>
      <c r="P8808">
        <v>0.33716230000000003</v>
      </c>
      <c r="Q8808">
        <v>4.7405940000000001E-2</v>
      </c>
      <c r="R8808">
        <v>0.94025219999999998</v>
      </c>
      <c r="S8808">
        <v>1.8144990000000001</v>
      </c>
      <c r="T8808">
        <v>0.163943899999999</v>
      </c>
      <c r="U8808">
        <v>2.534592</v>
      </c>
      <c r="V8808">
        <v>4.4081530000000001E-2</v>
      </c>
      <c r="W8808">
        <v>6.1093710000000002E-2</v>
      </c>
      <c r="X8808">
        <v>0.99715819999999999</v>
      </c>
      <c r="Y8808">
        <v>0.31430200000000003</v>
      </c>
      <c r="Z8808">
        <v>5.2678469999999998E-2</v>
      </c>
      <c r="AA8808">
        <v>0.94786040000000005</v>
      </c>
      <c r="AB8808">
        <v>25</v>
      </c>
      <c r="AC8808">
        <v>27.134599999999999</v>
      </c>
      <c r="AD8808">
        <v>2.4557419999999999</v>
      </c>
      <c r="AE8808">
        <v>37.830599999999897</v>
      </c>
      <c r="AF8808">
        <v>14.670702810275101</v>
      </c>
      <c r="AG8808">
        <v>2.4557419999999999</v>
      </c>
      <c r="AH8808">
        <v>44.047702641247596</v>
      </c>
      <c r="AI8808">
        <v>86.972153186174907</v>
      </c>
      <c r="AJ8808">
        <v>71.578942227123804</v>
      </c>
      <c r="AK8808">
        <v>46.491507801852897</v>
      </c>
      <c r="AL8808">
        <v>86.497407255839093</v>
      </c>
      <c r="AM8808">
        <v>87.468764477805095</v>
      </c>
      <c r="AN8808">
        <v>1.0000000492579699</v>
      </c>
    </row>
    <row r="8809" spans="1:40" x14ac:dyDescent="0.25">
      <c r="A8809" t="str">
        <f>"20190312160540749"</f>
        <v>20190312160540749</v>
      </c>
      <c r="B8809" t="str">
        <f>"1552377940743845"</f>
        <v>1552377940743845</v>
      </c>
      <c r="C8809" t="s">
        <v>40</v>
      </c>
      <c r="D8809">
        <v>5.0244339999999896</v>
      </c>
      <c r="E8809">
        <v>0.61673849999999997</v>
      </c>
      <c r="F8809" t="s">
        <v>55</v>
      </c>
      <c r="G8809">
        <v>-157.25219999999999</v>
      </c>
      <c r="H8809">
        <v>3.6011679999999999</v>
      </c>
      <c r="I8809">
        <v>161.79810000000001</v>
      </c>
      <c r="J8809">
        <v>-184.285</v>
      </c>
      <c r="K8809">
        <v>1.1066199999999999</v>
      </c>
      <c r="L8809">
        <v>124.0313</v>
      </c>
      <c r="M8809">
        <v>0.29883510000000002</v>
      </c>
      <c r="N8809">
        <v>0</v>
      </c>
      <c r="O8809">
        <v>0.9542003</v>
      </c>
      <c r="P8809">
        <v>0.33985359999999998</v>
      </c>
      <c r="Q8809">
        <v>4.7464109999999997E-2</v>
      </c>
      <c r="R8809">
        <v>0.93927989999999995</v>
      </c>
      <c r="S8809">
        <v>1.810028</v>
      </c>
      <c r="T8809">
        <v>0.1667701</v>
      </c>
      <c r="U8809">
        <v>2.5331570000000001</v>
      </c>
      <c r="V8809">
        <v>4.4162649999999998E-2</v>
      </c>
      <c r="W8809">
        <v>6.11494E-2</v>
      </c>
      <c r="X8809">
        <v>0.99715109999999996</v>
      </c>
      <c r="Y8809">
        <v>0.31076819999999999</v>
      </c>
      <c r="Z8809">
        <v>5.3596980000000002E-2</v>
      </c>
      <c r="AA8809">
        <v>0.94897339999999997</v>
      </c>
      <c r="AB8809">
        <v>25</v>
      </c>
      <c r="AC8809">
        <v>27.032800000000002</v>
      </c>
      <c r="AD8809">
        <v>2.494548</v>
      </c>
      <c r="AE8809">
        <v>37.766800000000003</v>
      </c>
      <c r="AF8809">
        <v>14.468368864242301</v>
      </c>
      <c r="AG8809">
        <v>2.494548</v>
      </c>
      <c r="AH8809">
        <v>43.992929757103298</v>
      </c>
      <c r="AI8809">
        <v>86.916737151241406</v>
      </c>
      <c r="AJ8809">
        <v>71.795029047416193</v>
      </c>
      <c r="AK8809">
        <v>46.378166586547003</v>
      </c>
      <c r="AL8809">
        <v>86.494210137488295</v>
      </c>
      <c r="AM8809">
        <v>87.464094473606707</v>
      </c>
      <c r="AN8809">
        <v>0.99999995250329499</v>
      </c>
    </row>
    <row r="8810" spans="1:40" x14ac:dyDescent="0.25">
      <c r="A8810" t="str">
        <f>"20190312160540763"</f>
        <v>20190312160540763</v>
      </c>
      <c r="B8810" t="str">
        <f>"1552377940753605"</f>
        <v>1552377940753605</v>
      </c>
      <c r="C8810" t="s">
        <v>40</v>
      </c>
      <c r="D8810">
        <v>5.200456</v>
      </c>
      <c r="E8810">
        <v>0.6237857</v>
      </c>
      <c r="F8810" t="s">
        <v>55</v>
      </c>
      <c r="G8810">
        <v>-156.8272</v>
      </c>
      <c r="H8810">
        <v>0.57646940000000002</v>
      </c>
      <c r="I8810">
        <v>160.1036</v>
      </c>
      <c r="J8810">
        <v>-184.2329</v>
      </c>
      <c r="K8810">
        <v>1.1065609999999999</v>
      </c>
      <c r="L8810">
        <v>124.18510000000001</v>
      </c>
      <c r="M8810">
        <v>0.30221160000000002</v>
      </c>
      <c r="N8810">
        <v>0</v>
      </c>
      <c r="O8810">
        <v>0.95313619999999999</v>
      </c>
      <c r="P8810">
        <v>0.34321249999999998</v>
      </c>
      <c r="Q8810">
        <v>4.7441450000000003E-2</v>
      </c>
      <c r="R8810">
        <v>0.93805890000000003</v>
      </c>
      <c r="S8810">
        <v>1.907303</v>
      </c>
      <c r="T8810">
        <v>-3.6823509999999997E-2</v>
      </c>
      <c r="U8810">
        <v>2.5056919999999998</v>
      </c>
      <c r="V8810">
        <v>4.4209070000000003E-2</v>
      </c>
      <c r="W8810">
        <v>6.112513E-2</v>
      </c>
      <c r="X8810">
        <v>0.9971506</v>
      </c>
      <c r="Y8810">
        <v>0.33681640000000002</v>
      </c>
      <c r="Z8810">
        <v>-1.175914E-2</v>
      </c>
      <c r="AA8810">
        <v>0.94149689999999997</v>
      </c>
      <c r="AB8810">
        <v>25</v>
      </c>
      <c r="AC8810">
        <v>27.4057</v>
      </c>
      <c r="AD8810">
        <v>-0.5300916</v>
      </c>
      <c r="AE8810">
        <v>35.918499999999902</v>
      </c>
      <c r="AF8810">
        <v>15.265799183538</v>
      </c>
      <c r="AG8810">
        <v>-0.5300916</v>
      </c>
      <c r="AH8810">
        <v>42.515932682297297</v>
      </c>
      <c r="AI8810">
        <v>90.672309812319298</v>
      </c>
      <c r="AJ8810">
        <v>70.248782879960899</v>
      </c>
      <c r="AK8810">
        <v>45.176654963179203</v>
      </c>
      <c r="AL8810">
        <v>86.495603553401693</v>
      </c>
      <c r="AM8810">
        <v>87.461431160579096</v>
      </c>
      <c r="AN8810">
        <v>1.0000000212340701</v>
      </c>
    </row>
    <row r="8811" spans="1:40" x14ac:dyDescent="0.25">
      <c r="A8811" t="str">
        <f>"20190312160540778"</f>
        <v>20190312160540778</v>
      </c>
      <c r="B8811" t="str">
        <f>"1552377940774103"</f>
        <v>1552377940774103</v>
      </c>
      <c r="C8811" t="s">
        <v>40</v>
      </c>
      <c r="D8811">
        <v>4.9411839999999998</v>
      </c>
      <c r="E8811">
        <v>0.62907950000000001</v>
      </c>
      <c r="F8811" t="s">
        <v>55</v>
      </c>
      <c r="G8811">
        <v>-155.78229999999999</v>
      </c>
      <c r="H8811">
        <v>0.569685</v>
      </c>
      <c r="I8811">
        <v>160.01150000000001</v>
      </c>
      <c r="J8811">
        <v>-184.1806</v>
      </c>
      <c r="K8811">
        <v>1.1065020000000001</v>
      </c>
      <c r="L8811">
        <v>124.33710000000001</v>
      </c>
      <c r="M8811">
        <v>0.30561159999999998</v>
      </c>
      <c r="N8811">
        <v>0</v>
      </c>
      <c r="O8811">
        <v>0.95205139999999999</v>
      </c>
      <c r="P8811">
        <v>0.34692519999999999</v>
      </c>
      <c r="Q8811">
        <v>4.7564339999999997E-2</v>
      </c>
      <c r="R8811">
        <v>0.93668589999999996</v>
      </c>
      <c r="S8811">
        <v>1.9690700000000001</v>
      </c>
      <c r="T8811">
        <v>-3.7155029999999999E-2</v>
      </c>
      <c r="U8811">
        <v>2.4795530000000001</v>
      </c>
      <c r="V8811">
        <v>4.4612140000000002E-2</v>
      </c>
      <c r="W8811">
        <v>6.1243159999999998E-2</v>
      </c>
      <c r="X8811">
        <v>0.99712540000000005</v>
      </c>
      <c r="Y8811">
        <v>0.35272940000000003</v>
      </c>
      <c r="Z8811">
        <v>-1.1825810000000001E-2</v>
      </c>
      <c r="AA8811">
        <v>0.9356506</v>
      </c>
      <c r="AB8811">
        <v>25</v>
      </c>
      <c r="AC8811">
        <v>28.398299999999999</v>
      </c>
      <c r="AD8811">
        <v>-0.53681699999999999</v>
      </c>
      <c r="AE8811">
        <v>35.674399999999999</v>
      </c>
      <c r="AF8811">
        <v>16.1335057489344</v>
      </c>
      <c r="AG8811">
        <v>-0.53681699999999999</v>
      </c>
      <c r="AH8811">
        <v>42.641060321225901</v>
      </c>
      <c r="AI8811">
        <v>90.674603488183493</v>
      </c>
      <c r="AJ8811">
        <v>69.275557189075698</v>
      </c>
      <c r="AK8811">
        <v>45.594278210766902</v>
      </c>
      <c r="AL8811">
        <v>86.488828218956399</v>
      </c>
      <c r="AM8811">
        <v>87.438252153482097</v>
      </c>
      <c r="AN8811">
        <v>1.0000000155036599</v>
      </c>
    </row>
    <row r="8812" spans="1:40" x14ac:dyDescent="0.25">
      <c r="A8812" t="str">
        <f>"20190312160540801"</f>
        <v>20190312160540801</v>
      </c>
      <c r="B8812" t="str">
        <f>"1552377940793621"</f>
        <v>1552377940793621</v>
      </c>
      <c r="C8812" t="s">
        <v>40</v>
      </c>
      <c r="D8812">
        <v>5.7373940000000001</v>
      </c>
      <c r="E8812">
        <v>0.62933530000000004</v>
      </c>
      <c r="F8812" t="s">
        <v>41</v>
      </c>
      <c r="G8812">
        <v>-162.8716</v>
      </c>
      <c r="H8812">
        <v>7.998595E-2</v>
      </c>
      <c r="I8812">
        <v>150.2407</v>
      </c>
      <c r="J8812">
        <v>-184.09389999999999</v>
      </c>
      <c r="K8812">
        <v>1.1064000000000001</v>
      </c>
      <c r="L8812">
        <v>124.5856</v>
      </c>
      <c r="M8812">
        <v>0.3112933</v>
      </c>
      <c r="N8812">
        <v>0</v>
      </c>
      <c r="O8812">
        <v>0.95020870000000002</v>
      </c>
      <c r="P8812">
        <v>0.3526649</v>
      </c>
      <c r="Q8812">
        <v>4.7597130000000001E-2</v>
      </c>
      <c r="R8812">
        <v>0.93453839999999999</v>
      </c>
      <c r="S8812">
        <v>2.0225219999999999</v>
      </c>
      <c r="T8812">
        <v>-9.7430710000000004E-2</v>
      </c>
      <c r="U8812">
        <v>2.458618</v>
      </c>
      <c r="V8812">
        <v>4.4789429999999998E-2</v>
      </c>
      <c r="W8812">
        <v>6.1273139999999997E-2</v>
      </c>
      <c r="X8812">
        <v>0.99711559999999999</v>
      </c>
      <c r="Y8812">
        <v>0.36297889999999999</v>
      </c>
      <c r="Z8812">
        <v>-3.0859919999999999E-2</v>
      </c>
      <c r="AA8812">
        <v>0.93128619999999995</v>
      </c>
      <c r="AB8812">
        <v>25</v>
      </c>
      <c r="AC8812">
        <v>21.222299999999901</v>
      </c>
      <c r="AD8812">
        <v>-1.0264140500000001</v>
      </c>
      <c r="AE8812">
        <v>25.655100000000001</v>
      </c>
      <c r="AF8812">
        <v>12.169006137130999</v>
      </c>
      <c r="AG8812">
        <v>-1.0264140500000001</v>
      </c>
      <c r="AH8812">
        <v>30.957735885762499</v>
      </c>
      <c r="AI8812">
        <v>91.767414357401506</v>
      </c>
      <c r="AJ8812">
        <v>68.540979611512896</v>
      </c>
      <c r="AK8812">
        <v>33.279417773455698</v>
      </c>
      <c r="AL8812">
        <v>86.487107223390197</v>
      </c>
      <c r="AM8812">
        <v>87.428060088985703</v>
      </c>
      <c r="AN8812">
        <v>1.0000000052442699</v>
      </c>
    </row>
    <row r="8813" spans="1:40" x14ac:dyDescent="0.25">
      <c r="A8813" t="str">
        <f>"20190312160540814"</f>
        <v>20190312160540814</v>
      </c>
      <c r="B8813" t="str">
        <f>"1552377940804357"</f>
        <v>1552377940804357</v>
      </c>
      <c r="C8813" t="s">
        <v>40</v>
      </c>
      <c r="D8813">
        <v>5.663062</v>
      </c>
      <c r="E8813">
        <v>0.62955439999999996</v>
      </c>
      <c r="F8813" t="s">
        <v>128</v>
      </c>
      <c r="G8813">
        <v>-157.49539999999999</v>
      </c>
      <c r="H8813">
        <v>5.4671690000000002</v>
      </c>
      <c r="I8813">
        <v>156.7578</v>
      </c>
      <c r="J8813">
        <v>-184.04660000000001</v>
      </c>
      <c r="K8813">
        <v>1.1063449999999999</v>
      </c>
      <c r="L8813">
        <v>124.7187</v>
      </c>
      <c r="M8813">
        <v>0.31440669999999998</v>
      </c>
      <c r="N8813">
        <v>0</v>
      </c>
      <c r="O8813">
        <v>0.949183</v>
      </c>
      <c r="P8813">
        <v>0.3557689</v>
      </c>
      <c r="Q8813">
        <v>4.7893060000000001E-2</v>
      </c>
      <c r="R8813">
        <v>0.93334600000000001</v>
      </c>
      <c r="S8813">
        <v>2.012283</v>
      </c>
      <c r="T8813">
        <v>0.32991150000000002</v>
      </c>
      <c r="U8813">
        <v>2.4339599999999999</v>
      </c>
      <c r="V8813">
        <v>4.4850859999999999E-2</v>
      </c>
      <c r="W8813">
        <v>6.156727E-2</v>
      </c>
      <c r="X8813">
        <v>0.9970947</v>
      </c>
      <c r="Y8813">
        <v>0.35889219999999999</v>
      </c>
      <c r="Z8813">
        <v>0.1047437</v>
      </c>
      <c r="AA8813">
        <v>0.92748319999999995</v>
      </c>
      <c r="AB8813">
        <v>25</v>
      </c>
      <c r="AC8813">
        <v>26.551200000000001</v>
      </c>
      <c r="AD8813">
        <v>4.360824</v>
      </c>
      <c r="AE8813">
        <v>32.039099999999998</v>
      </c>
      <c r="AF8813">
        <v>14.965783878407001</v>
      </c>
      <c r="AG8813">
        <v>4.360824</v>
      </c>
      <c r="AH8813">
        <v>38.341614800755302</v>
      </c>
      <c r="AI8813">
        <v>83.952020224194399</v>
      </c>
      <c r="AJ8813">
        <v>68.677934683768697</v>
      </c>
      <c r="AK8813">
        <v>41.389260667275302</v>
      </c>
      <c r="AL8813">
        <v>86.470222865149594</v>
      </c>
      <c r="AM8813">
        <v>87.424483434049094</v>
      </c>
      <c r="AN8813">
        <v>0.99999998457304096</v>
      </c>
    </row>
    <row r="8814" spans="1:40" x14ac:dyDescent="0.25">
      <c r="A8814" t="str">
        <f>"20190312160540824"</f>
        <v>20190312160540824</v>
      </c>
      <c r="B8814" t="str">
        <f>"1552377940814118"</f>
        <v>1552377940814118</v>
      </c>
      <c r="C8814" t="s">
        <v>40</v>
      </c>
      <c r="D8814">
        <v>5.2506950000000003</v>
      </c>
      <c r="E8814">
        <v>0.62919250000000004</v>
      </c>
      <c r="F8814" t="s">
        <v>128</v>
      </c>
      <c r="G8814">
        <v>-157.49539999999999</v>
      </c>
      <c r="H8814">
        <v>5.3102070000000001</v>
      </c>
      <c r="I8814">
        <v>156.57660000000001</v>
      </c>
      <c r="J8814">
        <v>-184.00030000000001</v>
      </c>
      <c r="K8814">
        <v>1.10629</v>
      </c>
      <c r="L8814">
        <v>124.8481</v>
      </c>
      <c r="M8814">
        <v>0.31747140000000001</v>
      </c>
      <c r="N8814">
        <v>0</v>
      </c>
      <c r="O8814">
        <v>0.94816230000000001</v>
      </c>
      <c r="P8814">
        <v>0.35881239999999998</v>
      </c>
      <c r="Q8814">
        <v>4.8055819999999999E-2</v>
      </c>
      <c r="R8814">
        <v>0.93217179999999999</v>
      </c>
      <c r="S8814">
        <v>2.0225979999999999</v>
      </c>
      <c r="T8814">
        <v>0.32024010000000003</v>
      </c>
      <c r="U8814">
        <v>2.4268489999999998</v>
      </c>
      <c r="V8814">
        <v>4.48958E-2</v>
      </c>
      <c r="W8814">
        <v>6.1729079999999999E-2</v>
      </c>
      <c r="X8814">
        <v>0.99708269999999999</v>
      </c>
      <c r="Y8814">
        <v>0.35975659999999998</v>
      </c>
      <c r="Z8814">
        <v>0.10163709999999999</v>
      </c>
      <c r="AA8814">
        <v>0.92749400000000004</v>
      </c>
      <c r="AB8814">
        <v>25</v>
      </c>
      <c r="AC8814">
        <v>26.504899999999999</v>
      </c>
      <c r="AD8814">
        <v>4.2039169999999997</v>
      </c>
      <c r="AE8814">
        <v>31.7285</v>
      </c>
      <c r="AF8814">
        <v>14.905443108641499</v>
      </c>
      <c r="AG8814">
        <v>4.2039169999999997</v>
      </c>
      <c r="AH8814">
        <v>38.108137050022698</v>
      </c>
      <c r="AI8814">
        <v>84.134219073363496</v>
      </c>
      <c r="AJ8814">
        <v>68.637770641429896</v>
      </c>
      <c r="AK8814">
        <v>41.1348424310967</v>
      </c>
      <c r="AL8814">
        <v>86.460934262362997</v>
      </c>
      <c r="AM8814">
        <v>87.421875293052693</v>
      </c>
      <c r="AN8814">
        <v>1.00000001140728</v>
      </c>
    </row>
    <row r="8815" spans="1:40" x14ac:dyDescent="0.25">
      <c r="A8815" t="str">
        <f>"20190312160540837"</f>
        <v>20190312160540837</v>
      </c>
      <c r="B8815" t="str">
        <f>"1552377940833638"</f>
        <v>1552377940833638</v>
      </c>
      <c r="C8815" t="s">
        <v>40</v>
      </c>
      <c r="D8815">
        <v>5.7069510000000001</v>
      </c>
      <c r="E8815">
        <v>0.62922319999999998</v>
      </c>
      <c r="F8815" t="s">
        <v>128</v>
      </c>
      <c r="G8815">
        <v>-157.49539999999999</v>
      </c>
      <c r="H8815">
        <v>5.2438929999999999</v>
      </c>
      <c r="I8815">
        <v>156.4939</v>
      </c>
      <c r="J8815">
        <v>-183.95519999999999</v>
      </c>
      <c r="K8815">
        <v>1.1062339999999999</v>
      </c>
      <c r="L8815">
        <v>124.9718</v>
      </c>
      <c r="M8815">
        <v>0.3204669</v>
      </c>
      <c r="N8815">
        <v>0</v>
      </c>
      <c r="O8815">
        <v>0.94715389999999999</v>
      </c>
      <c r="P8815">
        <v>0.36197610000000002</v>
      </c>
      <c r="Q8815">
        <v>4.8040939999999997E-2</v>
      </c>
      <c r="R8815">
        <v>0.93094869999999996</v>
      </c>
      <c r="S8815">
        <v>2.0279850000000001</v>
      </c>
      <c r="T8815">
        <v>0.3165849</v>
      </c>
      <c r="U8815">
        <v>2.421341</v>
      </c>
      <c r="V8815">
        <v>4.513818E-2</v>
      </c>
      <c r="W8815">
        <v>6.1711479999999999E-2</v>
      </c>
      <c r="X8815">
        <v>0.99707279999999998</v>
      </c>
      <c r="Y8815">
        <v>0.35913879999999998</v>
      </c>
      <c r="Z8815">
        <v>0.1004567</v>
      </c>
      <c r="AA8815">
        <v>0.92786190000000002</v>
      </c>
      <c r="AB8815">
        <v>25</v>
      </c>
      <c r="AC8815">
        <v>26.459800000000001</v>
      </c>
      <c r="AD8815">
        <v>4.1376589999999904</v>
      </c>
      <c r="AE8815">
        <v>31.522099999999899</v>
      </c>
      <c r="AF8815">
        <v>14.8115010430433</v>
      </c>
      <c r="AG8815">
        <v>4.1376589999999904</v>
      </c>
      <c r="AH8815">
        <v>37.9559617364621</v>
      </c>
      <c r="AI8815">
        <v>84.201278180924007</v>
      </c>
      <c r="AJ8815">
        <v>68.682849622458093</v>
      </c>
      <c r="AK8815">
        <v>40.953092880613198</v>
      </c>
      <c r="AL8815">
        <v>86.461944430869295</v>
      </c>
      <c r="AM8815">
        <v>87.407949941821599</v>
      </c>
      <c r="AN8815">
        <v>0.99999996527866997</v>
      </c>
    </row>
    <row r="8816" spans="1:40" x14ac:dyDescent="0.25">
      <c r="A8816" t="str">
        <f>"20190312160540849"</f>
        <v>20190312160540849</v>
      </c>
      <c r="B8816" t="str">
        <f>"1552377940844374"</f>
        <v>1552377940844374</v>
      </c>
      <c r="C8816" t="s">
        <v>40</v>
      </c>
      <c r="D8816">
        <v>5.4664129999999904</v>
      </c>
      <c r="E8816">
        <v>0.62922319999999998</v>
      </c>
      <c r="F8816" t="s">
        <v>128</v>
      </c>
      <c r="G8816">
        <v>-157.49539999999999</v>
      </c>
      <c r="H8816">
        <v>5.0114470000000004</v>
      </c>
      <c r="I8816">
        <v>156.33260000000001</v>
      </c>
      <c r="J8816">
        <v>-183.90989999999999</v>
      </c>
      <c r="K8816">
        <v>1.1061810000000001</v>
      </c>
      <c r="L8816">
        <v>125.09569999999999</v>
      </c>
      <c r="M8816">
        <v>0.32348789999999999</v>
      </c>
      <c r="N8816">
        <v>0</v>
      </c>
      <c r="O8816">
        <v>0.94612629999999998</v>
      </c>
      <c r="P8816">
        <v>0.3649889</v>
      </c>
      <c r="Q8816">
        <v>4.7889769999999998E-2</v>
      </c>
      <c r="R8816">
        <v>0.92977940000000003</v>
      </c>
      <c r="S8816">
        <v>2.0374300000000001</v>
      </c>
      <c r="T8816">
        <v>0.30070629999999998</v>
      </c>
      <c r="U8816">
        <v>2.4148100000000001</v>
      </c>
      <c r="V8816">
        <v>4.5189300000000002E-2</v>
      </c>
      <c r="W8816">
        <v>6.1559660000000002E-2</v>
      </c>
      <c r="X8816">
        <v>0.99707990000000002</v>
      </c>
      <c r="Y8816">
        <v>0.359853599999999</v>
      </c>
      <c r="Z8816">
        <v>9.5396739999999994E-2</v>
      </c>
      <c r="AA8816">
        <v>0.92811900000000003</v>
      </c>
      <c r="AB8816">
        <v>25</v>
      </c>
      <c r="AC8816">
        <v>26.4145</v>
      </c>
      <c r="AD8816">
        <v>3.9052660000000001</v>
      </c>
      <c r="AE8816">
        <v>31.236899999999999</v>
      </c>
      <c r="AF8816">
        <v>14.7537297968706</v>
      </c>
      <c r="AG8816">
        <v>3.9052660000000001</v>
      </c>
      <c r="AH8816">
        <v>37.758534734070402</v>
      </c>
      <c r="AI8816">
        <v>84.497421730733507</v>
      </c>
      <c r="AJ8816">
        <v>68.657476960773906</v>
      </c>
      <c r="AK8816">
        <v>40.726288693101303</v>
      </c>
      <c r="AL8816">
        <v>86.470659754266705</v>
      </c>
      <c r="AM8816">
        <v>87.405036850638098</v>
      </c>
      <c r="AN8816">
        <v>0.99999999577890697</v>
      </c>
    </row>
    <row r="8817" spans="1:40" x14ac:dyDescent="0.25">
      <c r="A8817" t="str">
        <f>"20190312160540859"</f>
        <v>20190312160540859</v>
      </c>
      <c r="B8817" t="str">
        <f>"1552377940854133"</f>
        <v>1552377940854133</v>
      </c>
      <c r="C8817" t="s">
        <v>40</v>
      </c>
      <c r="D8817">
        <v>5.6996339999999996</v>
      </c>
      <c r="E8817">
        <v>0.66332500000000005</v>
      </c>
      <c r="F8817" t="s">
        <v>49</v>
      </c>
      <c r="G8817">
        <v>-183.40389999999999</v>
      </c>
      <c r="H8817">
        <v>1.1802269999999999</v>
      </c>
      <c r="I8817">
        <v>125.69110000000001</v>
      </c>
      <c r="J8817">
        <v>-183.8646</v>
      </c>
      <c r="K8817">
        <v>1.106125</v>
      </c>
      <c r="L8817">
        <v>125.2174</v>
      </c>
      <c r="M8817">
        <v>0.32652730000000002</v>
      </c>
      <c r="N8817">
        <v>0</v>
      </c>
      <c r="O8817">
        <v>0.94508159999999997</v>
      </c>
      <c r="P8817">
        <v>0.36860140000000002</v>
      </c>
      <c r="Q8817">
        <v>4.7864749999999998E-2</v>
      </c>
      <c r="R8817">
        <v>0.92835440000000002</v>
      </c>
      <c r="S8817">
        <v>2.0453489999999999</v>
      </c>
      <c r="T8817">
        <v>0.29938419999999999</v>
      </c>
      <c r="U8817">
        <v>2.4082490000000001</v>
      </c>
      <c r="V8817">
        <v>4.5869729999999997E-2</v>
      </c>
      <c r="W8817">
        <v>6.1527289999999998E-2</v>
      </c>
      <c r="X8817">
        <v>0.99705080000000001</v>
      </c>
      <c r="Y8817">
        <v>0.35990630000000001</v>
      </c>
      <c r="Z8817">
        <v>9.4933770000000001E-2</v>
      </c>
      <c r="AA8817">
        <v>0.92814600000000003</v>
      </c>
      <c r="AB8817">
        <v>25</v>
      </c>
      <c r="AC8817">
        <v>0.460700000000002</v>
      </c>
      <c r="AD8817">
        <v>7.4102000000000098E-2</v>
      </c>
      <c r="AE8817">
        <v>0.473700000000007</v>
      </c>
      <c r="AF8817">
        <v>0.27726442649606398</v>
      </c>
      <c r="AG8817">
        <v>7.4102000000000098E-2</v>
      </c>
      <c r="AH8817">
        <v>0.59074711370223498</v>
      </c>
      <c r="AI8817">
        <v>83.521655780962604</v>
      </c>
      <c r="AJ8817">
        <v>64.857204130216502</v>
      </c>
      <c r="AK8817">
        <v>0.65677151350504903</v>
      </c>
      <c r="AL8817">
        <v>86.472517845256903</v>
      </c>
      <c r="AM8817">
        <v>87.365941499329907</v>
      </c>
      <c r="AN8817">
        <v>0.99999996866282803</v>
      </c>
    </row>
    <row r="8818" spans="1:40" x14ac:dyDescent="0.25">
      <c r="A8818" t="str">
        <f>"20190312160540871"</f>
        <v>20190312160540871</v>
      </c>
      <c r="B8818" t="str">
        <f>"1552377940863893"</f>
        <v>1552377940863893</v>
      </c>
      <c r="C8818" t="s">
        <v>40</v>
      </c>
      <c r="D8818">
        <v>5.5317369999999997</v>
      </c>
      <c r="E8818">
        <v>0.66332500000000005</v>
      </c>
      <c r="F8818" t="s">
        <v>60</v>
      </c>
      <c r="G8818">
        <v>-172.98589999999999</v>
      </c>
      <c r="H8818" s="1">
        <v>-3.5557169999999999E-6</v>
      </c>
      <c r="I8818">
        <v>135.9641</v>
      </c>
      <c r="J8818">
        <v>-183.81899999999999</v>
      </c>
      <c r="K8818">
        <v>1.1060700000000001</v>
      </c>
      <c r="L8818">
        <v>125.3391</v>
      </c>
      <c r="M8818">
        <v>0.32959159999999998</v>
      </c>
      <c r="N8818">
        <v>0</v>
      </c>
      <c r="O8818">
        <v>0.9440172</v>
      </c>
      <c r="P8818">
        <v>0.37199460000000001</v>
      </c>
      <c r="Q8818">
        <v>4.7738959999999997E-2</v>
      </c>
      <c r="R8818">
        <v>0.92700649999999996</v>
      </c>
      <c r="S8818">
        <v>2.3422390000000002</v>
      </c>
      <c r="T8818">
        <v>-0.23815700000000001</v>
      </c>
      <c r="U8818">
        <v>2.313828</v>
      </c>
      <c r="V8818">
        <v>4.6287370000000001E-2</v>
      </c>
      <c r="W8818">
        <v>6.1396890000000003E-2</v>
      </c>
      <c r="X8818">
        <v>0.99703960000000003</v>
      </c>
      <c r="Y8818">
        <v>0.43799490000000002</v>
      </c>
      <c r="Z8818">
        <v>-7.3620240000000003E-2</v>
      </c>
      <c r="AA8818">
        <v>0.89595789999999997</v>
      </c>
      <c r="AB8818">
        <v>25</v>
      </c>
      <c r="AC8818">
        <v>10.8331</v>
      </c>
      <c r="AD8818">
        <v>-1.1060735557170001</v>
      </c>
      <c r="AE8818">
        <v>10.625</v>
      </c>
      <c r="AF8818">
        <v>6.6898515590416903</v>
      </c>
      <c r="AG8818">
        <v>-1.1060735557170001</v>
      </c>
      <c r="AH8818">
        <v>13.5301564431389</v>
      </c>
      <c r="AI8818">
        <v>94.191175486844102</v>
      </c>
      <c r="AJ8818">
        <v>63.690363383984703</v>
      </c>
      <c r="AK8818">
        <v>15.134154947286699</v>
      </c>
      <c r="AL8818">
        <v>86.480003588055695</v>
      </c>
      <c r="AM8818">
        <v>87.341963044684206</v>
      </c>
      <c r="AN8818">
        <v>1.0000000313456701</v>
      </c>
    </row>
    <row r="8819" spans="1:40" x14ac:dyDescent="0.25">
      <c r="A8819" t="str">
        <f>"20190312160540882"</f>
        <v>20190312160540882</v>
      </c>
      <c r="B8819" t="str">
        <f>"1552377940873653"</f>
        <v>1552377940873653</v>
      </c>
      <c r="C8819" t="s">
        <v>40</v>
      </c>
      <c r="D8819">
        <v>5.7146299999999997</v>
      </c>
      <c r="E8819">
        <v>0.62770590000000004</v>
      </c>
      <c r="F8819" t="s">
        <v>60</v>
      </c>
      <c r="G8819">
        <v>-172.94759999999999</v>
      </c>
      <c r="H8819" s="1">
        <v>-3.5524730000000002E-6</v>
      </c>
      <c r="I8819">
        <v>136.00040000000001</v>
      </c>
      <c r="J8819">
        <v>-183.77289999999999</v>
      </c>
      <c r="K8819">
        <v>1.1060129999999999</v>
      </c>
      <c r="L8819">
        <v>125.4605</v>
      </c>
      <c r="M8819">
        <v>0.33269769999999999</v>
      </c>
      <c r="N8819">
        <v>0</v>
      </c>
      <c r="O8819">
        <v>0.94292690000000001</v>
      </c>
      <c r="P8819">
        <v>0.37542340000000002</v>
      </c>
      <c r="Q8819">
        <v>4.7876679999999998E-2</v>
      </c>
      <c r="R8819">
        <v>0.92561610000000005</v>
      </c>
      <c r="S8819">
        <v>2.3506619999999998</v>
      </c>
      <c r="T8819">
        <v>-0.23916009999999999</v>
      </c>
      <c r="U8819">
        <v>2.305237</v>
      </c>
      <c r="V8819">
        <v>4.6708029999999998E-2</v>
      </c>
      <c r="W8819">
        <v>6.1529680000000003E-2</v>
      </c>
      <c r="X8819">
        <v>0.9970118</v>
      </c>
      <c r="Y8819">
        <v>0.43829499999999999</v>
      </c>
      <c r="Z8819">
        <v>-7.390687E-2</v>
      </c>
      <c r="AA8819">
        <v>0.89578749999999996</v>
      </c>
      <c r="AB8819">
        <v>25</v>
      </c>
      <c r="AC8819">
        <v>10.8253</v>
      </c>
      <c r="AD8819">
        <v>-1.1060165524729999</v>
      </c>
      <c r="AE8819">
        <v>10.539899999999999</v>
      </c>
      <c r="AF8819">
        <v>6.6658196373628797</v>
      </c>
      <c r="AG8819">
        <v>-1.1060165524729999</v>
      </c>
      <c r="AH8819">
        <v>13.4690920785277</v>
      </c>
      <c r="AI8819">
        <v>94.209130058617404</v>
      </c>
      <c r="AJ8819">
        <v>63.669308444677498</v>
      </c>
      <c r="AK8819">
        <v>15.0689371049206</v>
      </c>
      <c r="AL8819">
        <v>86.472380884341405</v>
      </c>
      <c r="AM8819">
        <v>87.317767221563898</v>
      </c>
      <c r="AN8819">
        <v>1.0000000354633101</v>
      </c>
    </row>
    <row r="8820" spans="1:40" x14ac:dyDescent="0.25">
      <c r="A8820" t="str">
        <f>"20190312160540894"</f>
        <v>20190312160540894</v>
      </c>
      <c r="B8820" t="str">
        <f>"1552377940884389"</f>
        <v>1552377940884389</v>
      </c>
      <c r="C8820" t="s">
        <v>40</v>
      </c>
      <c r="D8820">
        <v>5.7679669999999996</v>
      </c>
      <c r="E8820">
        <v>0.62839560000000005</v>
      </c>
      <c r="F8820" t="s">
        <v>55</v>
      </c>
      <c r="G8820">
        <v>-153.244</v>
      </c>
      <c r="H8820">
        <v>4.9431820000000002</v>
      </c>
      <c r="I8820">
        <v>160.82230000000001</v>
      </c>
      <c r="J8820">
        <v>-183.72800000000001</v>
      </c>
      <c r="K8820">
        <v>1.1059600000000001</v>
      </c>
      <c r="L8820">
        <v>125.5775</v>
      </c>
      <c r="M8820">
        <v>0.33573500000000001</v>
      </c>
      <c r="N8820">
        <v>0</v>
      </c>
      <c r="O8820">
        <v>0.94184959999999995</v>
      </c>
      <c r="P8820">
        <v>0.37913459999999899</v>
      </c>
      <c r="Q8820">
        <v>4.8061010000000001E-2</v>
      </c>
      <c r="R8820">
        <v>0.92409260000000004</v>
      </c>
      <c r="S8820">
        <v>2.0638580000000002</v>
      </c>
      <c r="T8820">
        <v>0.25940819999999998</v>
      </c>
      <c r="U8820">
        <v>2.3905789999999998</v>
      </c>
      <c r="V8820">
        <v>4.7509240000000001E-2</v>
      </c>
      <c r="W8820">
        <v>6.1705290000000003E-2</v>
      </c>
      <c r="X8820">
        <v>0.99696300000000004</v>
      </c>
      <c r="Y8820">
        <v>0.35908079999999998</v>
      </c>
      <c r="Z8820">
        <v>8.2240670000000002E-2</v>
      </c>
      <c r="AA8820">
        <v>0.92967599999999995</v>
      </c>
      <c r="AB8820">
        <v>25</v>
      </c>
      <c r="AC8820">
        <v>30.483999999999899</v>
      </c>
      <c r="AD8820">
        <v>3.8372220000000001</v>
      </c>
      <c r="AE8820">
        <v>35.244799999999998</v>
      </c>
      <c r="AF8820">
        <v>16.7664400658769</v>
      </c>
      <c r="AG8820">
        <v>3.8372220000000001</v>
      </c>
      <c r="AH8820">
        <v>43.141684787746399</v>
      </c>
      <c r="AI8820">
        <v>85.260794776124101</v>
      </c>
      <c r="AJ8820">
        <v>68.7620489890529</v>
      </c>
      <c r="AK8820">
        <v>46.443974329133297</v>
      </c>
      <c r="AL8820">
        <v>86.462299704326796</v>
      </c>
      <c r="AM8820">
        <v>87.2716929118737</v>
      </c>
      <c r="AN8820">
        <v>0.99999994703417905</v>
      </c>
    </row>
    <row r="8821" spans="1:40" x14ac:dyDescent="0.25">
      <c r="A8821" t="str">
        <f>"20190312160540911"</f>
        <v>20190312160540911</v>
      </c>
      <c r="B8821" t="str">
        <f>"1552377940903909"</f>
        <v>1552377940903909</v>
      </c>
      <c r="C8821" t="s">
        <v>40</v>
      </c>
      <c r="D8821">
        <v>5.5512189999999997</v>
      </c>
      <c r="E8821">
        <v>0.62853309999999996</v>
      </c>
      <c r="F8821" t="s">
        <v>128</v>
      </c>
      <c r="G8821">
        <v>-153.6174</v>
      </c>
      <c r="H8821">
        <v>4.9179409999999999</v>
      </c>
      <c r="I8821">
        <v>160.06129999999999</v>
      </c>
      <c r="J8821">
        <v>-183.6551</v>
      </c>
      <c r="K8821">
        <v>1.105874</v>
      </c>
      <c r="L8821">
        <v>125.7649</v>
      </c>
      <c r="M8821">
        <v>0.340676599999999</v>
      </c>
      <c r="N8821">
        <v>0</v>
      </c>
      <c r="O8821">
        <v>0.9400733</v>
      </c>
      <c r="P8821">
        <v>0.38468550000000001</v>
      </c>
      <c r="Q8821">
        <v>4.848007E-2</v>
      </c>
      <c r="R8821">
        <v>0.92177370000000003</v>
      </c>
      <c r="S8821">
        <v>2.0782470000000002</v>
      </c>
      <c r="T8821">
        <v>0.26310630000000002</v>
      </c>
      <c r="U8821">
        <v>2.380096</v>
      </c>
      <c r="V8821">
        <v>4.8295230000000001E-2</v>
      </c>
      <c r="W8821">
        <v>6.2115549999999999E-2</v>
      </c>
      <c r="X8821">
        <v>0.9968998</v>
      </c>
      <c r="Y8821">
        <v>0.3593401</v>
      </c>
      <c r="Z8821">
        <v>8.329947E-2</v>
      </c>
      <c r="AA8821">
        <v>0.92948149999999996</v>
      </c>
      <c r="AB8821">
        <v>25</v>
      </c>
      <c r="AC8821">
        <v>30.037700000000001</v>
      </c>
      <c r="AD8821">
        <v>3.8120669999999999</v>
      </c>
      <c r="AE8821">
        <v>34.296399999999899</v>
      </c>
      <c r="AF8821">
        <v>16.4403852813847</v>
      </c>
      <c r="AG8821">
        <v>3.8120669999999999</v>
      </c>
      <c r="AH8821">
        <v>42.183628075711297</v>
      </c>
      <c r="AI8821">
        <v>85.187064048062695</v>
      </c>
      <c r="AJ8821">
        <v>68.707456583204603</v>
      </c>
      <c r="AK8821">
        <v>45.434310830503399</v>
      </c>
      <c r="AL8821">
        <v>86.438748514928704</v>
      </c>
      <c r="AM8821">
        <v>87.226450314969995</v>
      </c>
      <c r="AN8821">
        <v>0.999999991016297</v>
      </c>
    </row>
    <row r="8822" spans="1:40" x14ac:dyDescent="0.25">
      <c r="A8822" t="str">
        <f>"20190312160540925"</f>
        <v>20190312160540925</v>
      </c>
      <c r="B8822" t="str">
        <f>"1552377940913670"</f>
        <v>1552377940913670</v>
      </c>
      <c r="C8822" t="s">
        <v>40</v>
      </c>
      <c r="D8822">
        <v>5.8076049999999997</v>
      </c>
      <c r="E8822">
        <v>0.62771960000000004</v>
      </c>
      <c r="F8822" t="s">
        <v>128</v>
      </c>
      <c r="G8822">
        <v>-153.31360000000001</v>
      </c>
      <c r="H8822">
        <v>4.9180390000000003</v>
      </c>
      <c r="I8822">
        <v>160.0675</v>
      </c>
      <c r="J8822">
        <v>-183.59639999999999</v>
      </c>
      <c r="K8822">
        <v>1.1058049999999999</v>
      </c>
      <c r="L8822">
        <v>125.91379999999999</v>
      </c>
      <c r="M8822">
        <v>0.34467799999999998</v>
      </c>
      <c r="N8822">
        <v>0</v>
      </c>
      <c r="O8822">
        <v>0.93861340000000004</v>
      </c>
      <c r="P8822">
        <v>0.38913560000000003</v>
      </c>
      <c r="Q8822">
        <v>4.8274379999999999E-2</v>
      </c>
      <c r="R8822">
        <v>0.91991469999999997</v>
      </c>
      <c r="S8822">
        <v>2.093674</v>
      </c>
      <c r="T8822">
        <v>0.26305440000000002</v>
      </c>
      <c r="U8822">
        <v>2.3670040000000001</v>
      </c>
      <c r="V8822">
        <v>4.887151E-2</v>
      </c>
      <c r="W8822">
        <v>6.190329E-2</v>
      </c>
      <c r="X8822">
        <v>0.99688489999999996</v>
      </c>
      <c r="Y8822">
        <v>0.3613189</v>
      </c>
      <c r="Z8822">
        <v>8.3246580000000001E-2</v>
      </c>
      <c r="AA8822">
        <v>0.92871879999999996</v>
      </c>
      <c r="AB8822">
        <v>25</v>
      </c>
      <c r="AC8822">
        <v>30.282799999999899</v>
      </c>
      <c r="AD8822">
        <v>3.8122339999999899</v>
      </c>
      <c r="AE8822">
        <v>34.153700000000001</v>
      </c>
      <c r="AF8822">
        <v>16.538136730355401</v>
      </c>
      <c r="AG8822">
        <v>3.8122339999999899</v>
      </c>
      <c r="AH8822">
        <v>42.204837284686597</v>
      </c>
      <c r="AI8822">
        <v>85.192702147486202</v>
      </c>
      <c r="AJ8822">
        <v>68.6020690510516</v>
      </c>
      <c r="AK8822">
        <v>45.489464547404303</v>
      </c>
      <c r="AL8822">
        <v>86.450933501926798</v>
      </c>
      <c r="AM8822">
        <v>87.193365817993097</v>
      </c>
      <c r="AN8822">
        <v>0.99999997282525599</v>
      </c>
    </row>
    <row r="8823" spans="1:40" x14ac:dyDescent="0.25">
      <c r="A8823" t="str">
        <f>"20190312160540937"</f>
        <v>20190312160540937</v>
      </c>
      <c r="B8823" t="str">
        <f>"1552377940934166"</f>
        <v>1552377940934166</v>
      </c>
      <c r="C8823" t="s">
        <v>40</v>
      </c>
      <c r="D8823">
        <v>5.65123</v>
      </c>
      <c r="E8823">
        <v>0.62723619999999902</v>
      </c>
      <c r="F8823" t="s">
        <v>55</v>
      </c>
      <c r="G8823">
        <v>-152.53790000000001</v>
      </c>
      <c r="H8823">
        <v>4.9550970000000003</v>
      </c>
      <c r="I8823">
        <v>160.82210000000001</v>
      </c>
      <c r="J8823">
        <v>-183.54900000000001</v>
      </c>
      <c r="K8823">
        <v>1.10575</v>
      </c>
      <c r="L8823">
        <v>126.0321</v>
      </c>
      <c r="M8823">
        <v>0.34792070000000003</v>
      </c>
      <c r="N8823">
        <v>0</v>
      </c>
      <c r="O8823">
        <v>0.93741620000000003</v>
      </c>
      <c r="P8823">
        <v>0.39284770000000002</v>
      </c>
      <c r="Q8823">
        <v>4.8442109999999997E-2</v>
      </c>
      <c r="R8823">
        <v>0.9183268</v>
      </c>
      <c r="S8823">
        <v>2.0992739999999999</v>
      </c>
      <c r="T8823">
        <v>0.26017980000000002</v>
      </c>
      <c r="U8823">
        <v>2.3594819999999999</v>
      </c>
      <c r="V8823">
        <v>4.9465059999999998E-2</v>
      </c>
      <c r="W8823">
        <v>6.2065090000000003E-2</v>
      </c>
      <c r="X8823">
        <v>0.9968456</v>
      </c>
      <c r="Y8823">
        <v>0.3608478</v>
      </c>
      <c r="Z8823">
        <v>8.2336329999999999E-2</v>
      </c>
      <c r="AA8823">
        <v>0.92898309999999995</v>
      </c>
      <c r="AB8823">
        <v>25</v>
      </c>
      <c r="AC8823">
        <v>31.011099999999999</v>
      </c>
      <c r="AD8823">
        <v>3.8493469999999999</v>
      </c>
      <c r="AE8823">
        <v>34.79</v>
      </c>
      <c r="AF8823">
        <v>16.8528912762456</v>
      </c>
      <c r="AG8823">
        <v>3.8493469999999999</v>
      </c>
      <c r="AH8823">
        <v>43.112388600445499</v>
      </c>
      <c r="AI8823">
        <v>85.2463073025596</v>
      </c>
      <c r="AJ8823">
        <v>68.649173491298299</v>
      </c>
      <c r="AK8823">
        <v>46.449063150199102</v>
      </c>
      <c r="AL8823">
        <v>86.441645312850497</v>
      </c>
      <c r="AM8823">
        <v>87.159222618551098</v>
      </c>
      <c r="AN8823">
        <v>1.00000000889843</v>
      </c>
    </row>
    <row r="8824" spans="1:40" x14ac:dyDescent="0.25">
      <c r="A8824" t="str">
        <f>"20190312160540947"</f>
        <v>20190312160540947</v>
      </c>
      <c r="B8824" t="str">
        <f>"1552377940943925"</f>
        <v>1552377940943925</v>
      </c>
      <c r="C8824" t="s">
        <v>40</v>
      </c>
      <c r="D8824">
        <v>5.708405</v>
      </c>
      <c r="E8824">
        <v>0.64780269999999995</v>
      </c>
      <c r="F8824" t="s">
        <v>55</v>
      </c>
      <c r="G8824">
        <v>-152.4101</v>
      </c>
      <c r="H8824">
        <v>4.9105319999999999</v>
      </c>
      <c r="I8824">
        <v>160.822</v>
      </c>
      <c r="J8824">
        <v>-183.50319999999999</v>
      </c>
      <c r="K8824">
        <v>1.1056969999999999</v>
      </c>
      <c r="L8824">
        <v>126.14570000000001</v>
      </c>
      <c r="M8824">
        <v>0.35104869999999999</v>
      </c>
      <c r="N8824">
        <v>0</v>
      </c>
      <c r="O8824">
        <v>0.9362492</v>
      </c>
      <c r="P8824">
        <v>0.39625329999999997</v>
      </c>
      <c r="Q8824">
        <v>4.8242689999999998E-2</v>
      </c>
      <c r="R8824">
        <v>0.91687289999999999</v>
      </c>
      <c r="S8824">
        <v>2.1056059999999999</v>
      </c>
      <c r="T8824">
        <v>0.25728109999999998</v>
      </c>
      <c r="U8824">
        <v>2.3524929999999999</v>
      </c>
      <c r="V8824">
        <v>4.9838769999999998E-2</v>
      </c>
      <c r="W8824">
        <v>6.1861869999999999E-2</v>
      </c>
      <c r="X8824">
        <v>0.99683960000000005</v>
      </c>
      <c r="Y8824">
        <v>0.36054710000000001</v>
      </c>
      <c r="Z8824">
        <v>8.1398330000000005E-2</v>
      </c>
      <c r="AA8824">
        <v>0.92918250000000002</v>
      </c>
      <c r="AB8824">
        <v>25</v>
      </c>
      <c r="AC8824">
        <v>31.0931</v>
      </c>
      <c r="AD8824">
        <v>3.8048350000000002</v>
      </c>
      <c r="AE8824">
        <v>34.676299999999998</v>
      </c>
      <c r="AF8824">
        <v>16.827233108284801</v>
      </c>
      <c r="AG8824">
        <v>3.8048350000000002</v>
      </c>
      <c r="AH8824">
        <v>43.097617330944502</v>
      </c>
      <c r="AI8824">
        <v>85.298693998388501</v>
      </c>
      <c r="AJ8824">
        <v>68.672107714955601</v>
      </c>
      <c r="AK8824">
        <v>46.422377826456803</v>
      </c>
      <c r="AL8824">
        <v>86.453311314975096</v>
      </c>
      <c r="AM8824">
        <v>87.137778816365795</v>
      </c>
      <c r="AN8824">
        <v>0.99999999104158399</v>
      </c>
    </row>
    <row r="8825" spans="1:40" x14ac:dyDescent="0.25">
      <c r="A8825" t="str">
        <f>"20190312160540960"</f>
        <v>20190312160540960</v>
      </c>
      <c r="B8825" t="str">
        <f>"1552377940953685"</f>
        <v>1552377940953685</v>
      </c>
      <c r="C8825" t="s">
        <v>40</v>
      </c>
      <c r="D8825">
        <v>5.4556239999999896</v>
      </c>
      <c r="E8825">
        <v>0.6524934</v>
      </c>
      <c r="F8825" t="s">
        <v>55</v>
      </c>
      <c r="G8825">
        <v>-148.8648</v>
      </c>
      <c r="H8825">
        <v>-5.3939819999999899E-3</v>
      </c>
      <c r="I8825">
        <v>160.82249999999999</v>
      </c>
      <c r="J8825">
        <v>-183.45070000000001</v>
      </c>
      <c r="K8825">
        <v>1.1056330000000001</v>
      </c>
      <c r="L8825">
        <v>126.27379999999999</v>
      </c>
      <c r="M8825">
        <v>0.35466059999999999</v>
      </c>
      <c r="N8825">
        <v>0</v>
      </c>
      <c r="O8825">
        <v>0.93488680000000002</v>
      </c>
      <c r="P8825">
        <v>0.40036149999999998</v>
      </c>
      <c r="Q8825">
        <v>4.8045190000000002E-2</v>
      </c>
      <c r="R8825">
        <v>0.91509689999999999</v>
      </c>
      <c r="S8825">
        <v>2.2855379999999998</v>
      </c>
      <c r="T8825">
        <v>-7.3310490000000006E-2</v>
      </c>
      <c r="U8825">
        <v>2.288071</v>
      </c>
      <c r="V8825">
        <v>5.0465110000000001E-2</v>
      </c>
      <c r="W8825">
        <v>6.1657690000000001E-2</v>
      </c>
      <c r="X8825">
        <v>0.9968207</v>
      </c>
      <c r="Y8825">
        <v>0.40962399999999999</v>
      </c>
      <c r="Z8825">
        <v>-2.2911709999999998E-2</v>
      </c>
      <c r="AA8825">
        <v>0.91196670000000002</v>
      </c>
      <c r="AB8825">
        <v>25</v>
      </c>
      <c r="AC8825">
        <v>34.585900000000002</v>
      </c>
      <c r="AD8825">
        <v>-1.1110269820000001</v>
      </c>
      <c r="AE8825">
        <v>34.548699999999997</v>
      </c>
      <c r="AF8825">
        <v>20.072504625195201</v>
      </c>
      <c r="AG8825">
        <v>-1.1110269820000001</v>
      </c>
      <c r="AH8825">
        <v>44.546883820279596</v>
      </c>
      <c r="AI8825">
        <v>91.302615222015405</v>
      </c>
      <c r="AJ8825">
        <v>65.744016198345307</v>
      </c>
      <c r="AK8825">
        <v>48.8729442634747</v>
      </c>
      <c r="AL8825">
        <v>86.4650322076767</v>
      </c>
      <c r="AM8825">
        <v>87.101814441446393</v>
      </c>
      <c r="AN8825">
        <v>0.999999953005968</v>
      </c>
    </row>
    <row r="8826" spans="1:40" x14ac:dyDescent="0.25">
      <c r="A8826" t="str">
        <f>"20190312160540973"</f>
        <v>20190312160540973</v>
      </c>
      <c r="B8826" t="str">
        <f>"1552377940964422"</f>
        <v>1552377940964422</v>
      </c>
      <c r="C8826" t="s">
        <v>40</v>
      </c>
      <c r="D8826">
        <v>5.5099929999999997</v>
      </c>
      <c r="E8826">
        <v>0.65738099999999999</v>
      </c>
      <c r="F8826" t="s">
        <v>41</v>
      </c>
      <c r="G8826">
        <v>-156.52440000000001</v>
      </c>
      <c r="H8826">
        <v>7.998595E-2</v>
      </c>
      <c r="I8826">
        <v>152.41460000000001</v>
      </c>
      <c r="J8826">
        <v>-183.3956</v>
      </c>
      <c r="K8826">
        <v>1.105566</v>
      </c>
      <c r="L8826">
        <v>126.4068</v>
      </c>
      <c r="M8826">
        <v>0.35845450000000001</v>
      </c>
      <c r="N8826">
        <v>0</v>
      </c>
      <c r="O8826">
        <v>0.93343860000000001</v>
      </c>
      <c r="P8826">
        <v>0.40434510000000001</v>
      </c>
      <c r="Q8826">
        <v>4.7734749999999999E-2</v>
      </c>
      <c r="R8826">
        <v>0.91335999999999995</v>
      </c>
      <c r="S8826">
        <v>2.3311160000000002</v>
      </c>
      <c r="T8826">
        <v>-8.879447E-2</v>
      </c>
      <c r="U8826">
        <v>2.2631230000000002</v>
      </c>
      <c r="V8826">
        <v>5.0760909999999999E-2</v>
      </c>
      <c r="W8826">
        <v>6.1344540000000003E-2</v>
      </c>
      <c r="X8826">
        <v>0.99682499999999996</v>
      </c>
      <c r="Y8826">
        <v>0.4198036</v>
      </c>
      <c r="Z8826">
        <v>-2.7660480000000001E-2</v>
      </c>
      <c r="AA8826">
        <v>0.90719340000000004</v>
      </c>
      <c r="AB8826">
        <v>25</v>
      </c>
      <c r="AC8826">
        <v>26.871199999999899</v>
      </c>
      <c r="AD8826">
        <v>-1.0255800500000001</v>
      </c>
      <c r="AE8826">
        <v>26.0078</v>
      </c>
      <c r="AF8826">
        <v>15.749754589276099</v>
      </c>
      <c r="AG8826">
        <v>-1.0255800500000001</v>
      </c>
      <c r="AH8826">
        <v>33.886738153333503</v>
      </c>
      <c r="AI8826">
        <v>91.572112378749395</v>
      </c>
      <c r="AJ8826">
        <v>65.072109127588703</v>
      </c>
      <c r="AK8826">
        <v>37.382049258086099</v>
      </c>
      <c r="AL8826">
        <v>86.483008405682895</v>
      </c>
      <c r="AM8826">
        <v>87.084868567981403</v>
      </c>
      <c r="AN8826">
        <v>0.99999995159841804</v>
      </c>
    </row>
    <row r="8827" spans="1:40" x14ac:dyDescent="0.25">
      <c r="A8827" t="str">
        <f>"20190312160540986"</f>
        <v>20190312160540986</v>
      </c>
      <c r="B8827" t="str">
        <f>"1552377940974183"</f>
        <v>1552377940974183</v>
      </c>
      <c r="C8827" t="s">
        <v>40</v>
      </c>
      <c r="D8827">
        <v>5.4193660000000001</v>
      </c>
      <c r="E8827">
        <v>0.65972710000000001</v>
      </c>
      <c r="F8827" t="s">
        <v>41</v>
      </c>
      <c r="G8827">
        <v>-158.8733</v>
      </c>
      <c r="H8827" s="1">
        <v>-3.0069220000000001E-6</v>
      </c>
      <c r="I8827">
        <v>149.4847</v>
      </c>
      <c r="J8827">
        <v>-183.33539999999999</v>
      </c>
      <c r="K8827">
        <v>1.105494</v>
      </c>
      <c r="L8827">
        <v>126.5508</v>
      </c>
      <c r="M8827">
        <v>0.36261120000000002</v>
      </c>
      <c r="N8827">
        <v>0</v>
      </c>
      <c r="O8827">
        <v>0.93183159999999998</v>
      </c>
      <c r="P8827">
        <v>0.40912939999999998</v>
      </c>
      <c r="Q8827">
        <v>4.7137449999999997E-2</v>
      </c>
      <c r="R8827">
        <v>0.91125800000000001</v>
      </c>
      <c r="S8827">
        <v>2.37764</v>
      </c>
      <c r="T8827">
        <v>-0.1071941</v>
      </c>
      <c r="U8827">
        <v>2.2375949999999998</v>
      </c>
      <c r="V8827">
        <v>5.1538809999999997E-2</v>
      </c>
      <c r="W8827">
        <v>6.0739130000000002E-2</v>
      </c>
      <c r="X8827">
        <v>0.99682219999999999</v>
      </c>
      <c r="Y8827">
        <v>0.42969669999999999</v>
      </c>
      <c r="Z8827">
        <v>-3.3269380000000001E-2</v>
      </c>
      <c r="AA8827">
        <v>0.9023601</v>
      </c>
      <c r="AB8827">
        <v>25</v>
      </c>
      <c r="AC8827">
        <v>24.4620999999999</v>
      </c>
      <c r="AD8827">
        <v>-1.105497006922</v>
      </c>
      <c r="AE8827">
        <v>22.933900000000001</v>
      </c>
      <c r="AF8827">
        <v>14.4642165624999</v>
      </c>
      <c r="AG8827">
        <v>-1.105497006922</v>
      </c>
      <c r="AH8827">
        <v>30.2109959615868</v>
      </c>
      <c r="AI8827">
        <v>91.8903492817916</v>
      </c>
      <c r="AJ8827">
        <v>64.416147566097294</v>
      </c>
      <c r="AK8827">
        <v>33.513280373461299</v>
      </c>
      <c r="AL8827">
        <v>86.517760801509496</v>
      </c>
      <c r="AM8827">
        <v>87.040265341257907</v>
      </c>
      <c r="AN8827">
        <v>0.999999994631106</v>
      </c>
    </row>
    <row r="8828" spans="1:40" x14ac:dyDescent="0.25">
      <c r="A8828" t="str">
        <f>"20190312160541002"</f>
        <v>20190312160541002</v>
      </c>
      <c r="B8828" t="str">
        <f>"1552377940993701"</f>
        <v>1552377940993701</v>
      </c>
      <c r="C8828" t="s">
        <v>40</v>
      </c>
      <c r="D8828">
        <v>5.397297</v>
      </c>
      <c r="E8828">
        <v>0.66116709999999901</v>
      </c>
      <c r="F8828" t="s">
        <v>41</v>
      </c>
      <c r="G8828">
        <v>-160.82769999999999</v>
      </c>
      <c r="H8828" s="1">
        <v>-5.7539040000000002E-6</v>
      </c>
      <c r="I8828">
        <v>147.286</v>
      </c>
      <c r="J8828">
        <v>-183.26759999999999</v>
      </c>
      <c r="K8828">
        <v>1.105402</v>
      </c>
      <c r="L8828">
        <v>126.70950000000001</v>
      </c>
      <c r="M8828">
        <v>0.3673091</v>
      </c>
      <c r="N8828">
        <v>0</v>
      </c>
      <c r="O8828">
        <v>0.92998959999999997</v>
      </c>
      <c r="P8828">
        <v>0.41566259999999999</v>
      </c>
      <c r="Q8828">
        <v>4.6308059999999998E-2</v>
      </c>
      <c r="R8828">
        <v>0.90833929999999996</v>
      </c>
      <c r="S8828">
        <v>2.4071039999999999</v>
      </c>
      <c r="T8828">
        <v>-0.1182288</v>
      </c>
      <c r="U8828">
        <v>2.2175449999999999</v>
      </c>
      <c r="V8828">
        <v>5.3654350000000003E-2</v>
      </c>
      <c r="W8828">
        <v>5.9885239999999999E-2</v>
      </c>
      <c r="X8828">
        <v>0.99676220000000004</v>
      </c>
      <c r="Y8828">
        <v>0.43463649999999998</v>
      </c>
      <c r="Z8828">
        <v>-3.661201E-2</v>
      </c>
      <c r="AA8828">
        <v>0.89986149999999998</v>
      </c>
      <c r="AB8828">
        <v>25</v>
      </c>
      <c r="AC8828">
        <v>22.439899999999898</v>
      </c>
      <c r="AD8828">
        <v>-1.1054077539039999</v>
      </c>
      <c r="AE8828">
        <v>20.576499999999999</v>
      </c>
      <c r="AF8828">
        <v>13.294766030634699</v>
      </c>
      <c r="AG8828">
        <v>-1.1054077539039999</v>
      </c>
      <c r="AH8828">
        <v>27.345047663568899</v>
      </c>
      <c r="AI8828">
        <v>92.082091835966807</v>
      </c>
      <c r="AJ8828">
        <v>64.071650474398496</v>
      </c>
      <c r="AK8828">
        <v>30.425718756252401</v>
      </c>
      <c r="AL8828">
        <v>86.566774194135604</v>
      </c>
      <c r="AM8828">
        <v>86.918819952846405</v>
      </c>
      <c r="AN8828">
        <v>0.99999995729630897</v>
      </c>
    </row>
    <row r="8829" spans="1:40" x14ac:dyDescent="0.25">
      <c r="A8829" t="str">
        <f>"20190312160541017"</f>
        <v>20190312160541017</v>
      </c>
      <c r="B8829" t="str">
        <f>"1552377941014198"</f>
        <v>1552377941014198</v>
      </c>
      <c r="C8829" t="s">
        <v>40</v>
      </c>
      <c r="D8829">
        <v>5.4360249999999999</v>
      </c>
      <c r="E8829">
        <v>0.62500299999999998</v>
      </c>
      <c r="F8829" t="s">
        <v>41</v>
      </c>
      <c r="G8829">
        <v>-161.42349999999999</v>
      </c>
      <c r="H8829" s="1">
        <v>-5.371931E-6</v>
      </c>
      <c r="I8829">
        <v>146.42240000000001</v>
      </c>
      <c r="J8829">
        <v>-183.20050000000001</v>
      </c>
      <c r="K8829">
        <v>1.105315</v>
      </c>
      <c r="L8829">
        <v>126.8646</v>
      </c>
      <c r="M8829">
        <v>0.37198009999999998</v>
      </c>
      <c r="N8829">
        <v>0</v>
      </c>
      <c r="O8829">
        <v>0.92813089999999998</v>
      </c>
      <c r="P8829">
        <v>0.42130659999999998</v>
      </c>
      <c r="Q8829">
        <v>4.6052500000000003E-2</v>
      </c>
      <c r="R8829">
        <v>0.9057482</v>
      </c>
      <c r="S8829">
        <v>2.4329990000000001</v>
      </c>
      <c r="T8829">
        <v>-0.1231204</v>
      </c>
      <c r="U8829">
        <v>2.1956180000000001</v>
      </c>
      <c r="V8829">
        <v>5.4850530000000002E-2</v>
      </c>
      <c r="W8829">
        <v>5.9615349999999998E-2</v>
      </c>
      <c r="X8829">
        <v>0.99671330000000002</v>
      </c>
      <c r="Y8829">
        <v>0.43930580000000002</v>
      </c>
      <c r="Z8829">
        <v>-3.8082890000000001E-2</v>
      </c>
      <c r="AA8829">
        <v>0.89752999999999905</v>
      </c>
      <c r="AB8829">
        <v>25</v>
      </c>
      <c r="AC8829">
        <v>21.777000000000001</v>
      </c>
      <c r="AD8829">
        <v>-1.1053203719310001</v>
      </c>
      <c r="AE8829">
        <v>19.5578</v>
      </c>
      <c r="AF8829">
        <v>12.9196892205889</v>
      </c>
      <c r="AG8829">
        <v>-1.1053203719310001</v>
      </c>
      <c r="AH8829">
        <v>26.218097771385999</v>
      </c>
      <c r="AI8829">
        <v>92.165693141709596</v>
      </c>
      <c r="AJ8829">
        <v>63.766958349661898</v>
      </c>
      <c r="AK8829">
        <v>29.2494231298869</v>
      </c>
      <c r="AL8829">
        <v>86.582265530035301</v>
      </c>
      <c r="AM8829">
        <v>86.850110144310506</v>
      </c>
      <c r="AN8829">
        <v>0.99999998649689603</v>
      </c>
    </row>
    <row r="8830" spans="1:40" x14ac:dyDescent="0.25">
      <c r="A8830" t="str">
        <f>"20190312160541029"</f>
        <v>20190312160541029</v>
      </c>
      <c r="B8830" t="str">
        <f>"1552377941023958"</f>
        <v>1552377941023958</v>
      </c>
      <c r="C8830" t="s">
        <v>40</v>
      </c>
      <c r="D8830">
        <v>5.4604540000000004</v>
      </c>
      <c r="E8830">
        <v>0.66598250000000003</v>
      </c>
      <c r="F8830" t="s">
        <v>55</v>
      </c>
      <c r="G8830">
        <v>-151.16749999999999</v>
      </c>
      <c r="H8830">
        <v>4.1080569999999996</v>
      </c>
      <c r="I8830">
        <v>160.8219</v>
      </c>
      <c r="J8830">
        <v>-183.1438</v>
      </c>
      <c r="K8830">
        <v>1.10524</v>
      </c>
      <c r="L8830">
        <v>126.9941</v>
      </c>
      <c r="M8830">
        <v>0.37593599999999999</v>
      </c>
      <c r="N8830">
        <v>0</v>
      </c>
      <c r="O8830">
        <v>0.92653549999999996</v>
      </c>
      <c r="P8830">
        <v>0.42655700000000002</v>
      </c>
      <c r="Q8830">
        <v>4.6140220000000003E-2</v>
      </c>
      <c r="R8830">
        <v>0.90328299999999995</v>
      </c>
      <c r="S8830">
        <v>2.164841</v>
      </c>
      <c r="T8830">
        <v>0.20293259999999999</v>
      </c>
      <c r="U8830">
        <v>2.2948909999999998</v>
      </c>
      <c r="V8830">
        <v>5.6398700000000003E-2</v>
      </c>
      <c r="W8830">
        <v>5.9683420000000001E-2</v>
      </c>
      <c r="X8830">
        <v>0.99662289999999998</v>
      </c>
      <c r="Y8830">
        <v>0.36086760000000001</v>
      </c>
      <c r="Z8830">
        <v>6.4003299999999999E-2</v>
      </c>
      <c r="AA8830">
        <v>0.93041830000000003</v>
      </c>
      <c r="AB8830">
        <v>25</v>
      </c>
      <c r="AC8830">
        <v>31.976299999999998</v>
      </c>
      <c r="AD8830">
        <v>3.0028169999999901</v>
      </c>
      <c r="AE8830">
        <v>33.827800000000003</v>
      </c>
      <c r="AF8830">
        <v>16.841730189174999</v>
      </c>
      <c r="AG8830">
        <v>3.0028169999999901</v>
      </c>
      <c r="AH8830">
        <v>43.188401985979297</v>
      </c>
      <c r="AI8830">
        <v>86.293714461352707</v>
      </c>
      <c r="AJ8830">
        <v>68.696227609125799</v>
      </c>
      <c r="AK8830">
        <v>46.453189899112402</v>
      </c>
      <c r="AL8830">
        <v>86.578358716138695</v>
      </c>
      <c r="AM8830">
        <v>86.761097235500898</v>
      </c>
      <c r="AN8830">
        <v>1.00000006439449</v>
      </c>
    </row>
    <row r="8831" spans="1:40" x14ac:dyDescent="0.25">
      <c r="A8831" t="str">
        <f>"20190312160541040"</f>
        <v>20190312160541040</v>
      </c>
      <c r="B8831" t="str">
        <f>"1552377941033718"</f>
        <v>1552377941033718</v>
      </c>
      <c r="C8831" t="s">
        <v>40</v>
      </c>
      <c r="D8831">
        <v>5.5288659999999998</v>
      </c>
      <c r="E8831">
        <v>0.66598250000000003</v>
      </c>
      <c r="F8831" t="s">
        <v>41</v>
      </c>
      <c r="G8831">
        <v>-156.9169</v>
      </c>
      <c r="H8831">
        <v>4.9009249999999997E-2</v>
      </c>
      <c r="I8831">
        <v>149.61619999999999</v>
      </c>
      <c r="J8831">
        <v>-183.0898</v>
      </c>
      <c r="K8831">
        <v>1.10517</v>
      </c>
      <c r="L8831">
        <v>127.1155</v>
      </c>
      <c r="M8831">
        <v>0.37972</v>
      </c>
      <c r="N8831">
        <v>0</v>
      </c>
      <c r="O8831">
        <v>0.92499100000000001</v>
      </c>
      <c r="P8831">
        <v>0.43154769999999998</v>
      </c>
      <c r="Q8831">
        <v>4.6209500000000001E-2</v>
      </c>
      <c r="R8831">
        <v>0.90090579999999998</v>
      </c>
      <c r="S8831">
        <v>2.4920650000000002</v>
      </c>
      <c r="T8831">
        <v>-0.1003623</v>
      </c>
      <c r="U8831">
        <v>2.1495359999999999</v>
      </c>
      <c r="V8831">
        <v>5.7852029999999999E-2</v>
      </c>
      <c r="W8831">
        <v>5.9734349999999999E-2</v>
      </c>
      <c r="X8831">
        <v>0.99653650000000005</v>
      </c>
      <c r="Y8831">
        <v>0.45207950000000002</v>
      </c>
      <c r="Z8831">
        <v>-3.0965900000000001E-2</v>
      </c>
      <c r="AA8831">
        <v>0.89144000000000001</v>
      </c>
      <c r="AB8831">
        <v>25</v>
      </c>
      <c r="AC8831">
        <v>26.172899999999998</v>
      </c>
      <c r="AD8831">
        <v>-1.0561607500000001</v>
      </c>
      <c r="AE8831">
        <v>22.500699999999899</v>
      </c>
      <c r="AF8831">
        <v>15.652675820626101</v>
      </c>
      <c r="AG8831">
        <v>-1.0561607500000001</v>
      </c>
      <c r="AH8831">
        <v>30.7256914163546</v>
      </c>
      <c r="AI8831">
        <v>91.754334472135795</v>
      </c>
      <c r="AJ8831">
        <v>63.004213277508299</v>
      </c>
      <c r="AK8831">
        <v>34.499128233746802</v>
      </c>
      <c r="AL8831">
        <v>86.575435284330496</v>
      </c>
      <c r="AM8831">
        <v>86.6775316303968</v>
      </c>
      <c r="AN8831">
        <v>1.0000000228886401</v>
      </c>
    </row>
    <row r="8832" spans="1:40" x14ac:dyDescent="0.25">
      <c r="A8832" t="str">
        <f>"20190312160541057"</f>
        <v>20190312160541057</v>
      </c>
      <c r="B8832" t="str">
        <f>"1552377941044453"</f>
        <v>1552377941044453</v>
      </c>
      <c r="C8832" t="s">
        <v>40</v>
      </c>
      <c r="D8832">
        <v>5.4595039999999999</v>
      </c>
      <c r="E8832">
        <v>0.66594790000000004</v>
      </c>
      <c r="F8832" t="s">
        <v>41</v>
      </c>
      <c r="G8832">
        <v>-156.71080000000001</v>
      </c>
      <c r="H8832">
        <v>4.0297609999999998E-2</v>
      </c>
      <c r="I8832">
        <v>149.61619999999999</v>
      </c>
      <c r="J8832">
        <v>-183.02199999999999</v>
      </c>
      <c r="K8832">
        <v>1.1050850000000001</v>
      </c>
      <c r="L8832">
        <v>127.26609999999999</v>
      </c>
      <c r="M8832">
        <v>0.38448579999999999</v>
      </c>
      <c r="N8832">
        <v>0</v>
      </c>
      <c r="O8832">
        <v>0.92301999999999995</v>
      </c>
      <c r="P8832">
        <v>0.43887979999999999</v>
      </c>
      <c r="Q8832">
        <v>4.6668950000000001E-2</v>
      </c>
      <c r="R8832">
        <v>0.89733300000000005</v>
      </c>
      <c r="S8832">
        <v>2.5039060000000002</v>
      </c>
      <c r="T8832">
        <v>-0.1010779</v>
      </c>
      <c r="U8832">
        <v>2.1357729999999999</v>
      </c>
      <c r="V8832">
        <v>6.0868169999999999E-2</v>
      </c>
      <c r="W8832">
        <v>6.0153690000000003E-2</v>
      </c>
      <c r="X8832">
        <v>0.99633159999999998</v>
      </c>
      <c r="Y8832">
        <v>0.45239210000000002</v>
      </c>
      <c r="Z8832">
        <v>-3.116294E-2</v>
      </c>
      <c r="AA8832">
        <v>0.89127449999999997</v>
      </c>
      <c r="AB8832">
        <v>25</v>
      </c>
      <c r="AC8832">
        <v>26.311199999999999</v>
      </c>
      <c r="AD8832">
        <v>-1.06478739</v>
      </c>
      <c r="AE8832">
        <v>22.350100000000001</v>
      </c>
      <c r="AF8832">
        <v>15.679158827253</v>
      </c>
      <c r="AG8832">
        <v>-1.06478739</v>
      </c>
      <c r="AH8832">
        <v>30.7197962418518</v>
      </c>
      <c r="AI8832">
        <v>91.768307294001701</v>
      </c>
      <c r="AJ8832">
        <v>62.960566840805001</v>
      </c>
      <c r="AK8832">
        <v>34.506168649344701</v>
      </c>
      <c r="AL8832">
        <v>86.551365609541705</v>
      </c>
      <c r="AM8832">
        <v>86.504015138022893</v>
      </c>
      <c r="AN8832">
        <v>1.0000000288491599</v>
      </c>
    </row>
    <row r="8833" spans="1:40" x14ac:dyDescent="0.25">
      <c r="A8833" t="str">
        <f>"20190312160541068"</f>
        <v>20190312160541068</v>
      </c>
      <c r="B8833" t="str">
        <f>"1552377941063973"</f>
        <v>1552377941063973</v>
      </c>
      <c r="C8833" t="s">
        <v>40</v>
      </c>
      <c r="D8833">
        <v>5.3076210000000001</v>
      </c>
      <c r="E8833">
        <v>0.63706560000000001</v>
      </c>
      <c r="F8833" t="s">
        <v>41</v>
      </c>
      <c r="G8833">
        <v>-158.08779999999999</v>
      </c>
      <c r="H8833" s="1">
        <v>-3.0444450000000002E-6</v>
      </c>
      <c r="I8833">
        <v>148.18940000000001</v>
      </c>
      <c r="J8833">
        <v>-182.96469999999999</v>
      </c>
      <c r="K8833">
        <v>1.1050120000000001</v>
      </c>
      <c r="L8833">
        <v>127.392</v>
      </c>
      <c r="M8833">
        <v>0.38851530000000001</v>
      </c>
      <c r="N8833">
        <v>0</v>
      </c>
      <c r="O8833">
        <v>0.92133100000000001</v>
      </c>
      <c r="P8833">
        <v>0.44397160000000002</v>
      </c>
      <c r="Q8833">
        <v>4.7260669999999998E-2</v>
      </c>
      <c r="R8833">
        <v>0.89479359999999997</v>
      </c>
      <c r="S8833">
        <v>2.521439</v>
      </c>
      <c r="T8833">
        <v>-0.11175069999999999</v>
      </c>
      <c r="U8833">
        <v>2.1158450000000002</v>
      </c>
      <c r="V8833">
        <v>6.2207360000000003E-2</v>
      </c>
      <c r="W8833">
        <v>6.0727709999999997E-2</v>
      </c>
      <c r="X8833">
        <v>0.99621400000000004</v>
      </c>
      <c r="Y8833">
        <v>0.45559159999999999</v>
      </c>
      <c r="Z8833">
        <v>-3.4445440000000001E-2</v>
      </c>
      <c r="AA8833">
        <v>0.88952219999999904</v>
      </c>
      <c r="AB8833">
        <v>25</v>
      </c>
      <c r="AC8833">
        <v>24.876899999999999</v>
      </c>
      <c r="AD8833">
        <v>-1.105015044445</v>
      </c>
      <c r="AE8833">
        <v>20.7974</v>
      </c>
      <c r="AF8833">
        <v>14.8240564754816</v>
      </c>
      <c r="AG8833">
        <v>-1.105015044445</v>
      </c>
      <c r="AH8833">
        <v>28.795858751194</v>
      </c>
      <c r="AI8833">
        <v>91.954088111615206</v>
      </c>
      <c r="AJ8833">
        <v>62.760671496801699</v>
      </c>
      <c r="AK8833">
        <v>32.406406617448901</v>
      </c>
      <c r="AL8833">
        <v>86.518416250857499</v>
      </c>
      <c r="AM8833">
        <v>86.426874720889302</v>
      </c>
      <c r="AN8833">
        <v>0.99999997209800595</v>
      </c>
    </row>
    <row r="8834" spans="1:40" x14ac:dyDescent="0.25">
      <c r="A8834" t="str">
        <f>"20190312160541080"</f>
        <v>20190312160541080</v>
      </c>
      <c r="B8834" t="str">
        <f>"1552377941073734"</f>
        <v>1552377941073734</v>
      </c>
      <c r="C8834" t="s">
        <v>40</v>
      </c>
      <c r="D8834">
        <v>5.5104439999999997</v>
      </c>
      <c r="E8834">
        <v>0.63820149999999998</v>
      </c>
      <c r="F8834" t="s">
        <v>49</v>
      </c>
      <c r="G8834">
        <v>-182.44059999999999</v>
      </c>
      <c r="H8834">
        <v>1.1889270000000001</v>
      </c>
      <c r="I8834">
        <v>127.8918</v>
      </c>
      <c r="J8834">
        <v>-182.90790000000001</v>
      </c>
      <c r="K8834">
        <v>1.10494</v>
      </c>
      <c r="L8834">
        <v>127.51439999999999</v>
      </c>
      <c r="M8834">
        <v>0.39252609999999999</v>
      </c>
      <c r="N8834">
        <v>0</v>
      </c>
      <c r="O8834">
        <v>0.91962920000000004</v>
      </c>
      <c r="P8834">
        <v>0.44912059999999998</v>
      </c>
      <c r="Q8834">
        <v>4.7425009999999997E-2</v>
      </c>
      <c r="R8834">
        <v>0.89221159999999999</v>
      </c>
      <c r="S8834">
        <v>2.298645</v>
      </c>
      <c r="T8834">
        <v>0.36809540000000002</v>
      </c>
      <c r="U8834">
        <v>2.1927639999999999</v>
      </c>
      <c r="V8834">
        <v>6.3624440000000004E-2</v>
      </c>
      <c r="W8834">
        <v>6.0873339999999998E-2</v>
      </c>
      <c r="X8834">
        <v>0.99611559999999999</v>
      </c>
      <c r="Y8834">
        <v>0.3893991</v>
      </c>
      <c r="Z8834">
        <v>0.115118</v>
      </c>
      <c r="AA8834">
        <v>0.91384690000000002</v>
      </c>
      <c r="AB8834">
        <v>25</v>
      </c>
      <c r="AC8834">
        <v>0.46730000000002198</v>
      </c>
      <c r="AD8834">
        <v>8.3987000000000006E-2</v>
      </c>
      <c r="AE8834">
        <v>0.37740000000000801</v>
      </c>
      <c r="AF8834">
        <v>0.27623183302056098</v>
      </c>
      <c r="AG8834">
        <v>8.3987000000000006E-2</v>
      </c>
      <c r="AH8834">
        <v>0.52037638465675196</v>
      </c>
      <c r="AI8834">
        <v>81.886770458046101</v>
      </c>
      <c r="AJ8834">
        <v>62.039258891783803</v>
      </c>
      <c r="AK8834">
        <v>0.59510454833695503</v>
      </c>
      <c r="AL8834">
        <v>86.510056760996207</v>
      </c>
      <c r="AM8834">
        <v>86.345337240815098</v>
      </c>
      <c r="AN8834">
        <v>0.99999996072571296</v>
      </c>
    </row>
    <row r="8835" spans="1:40" x14ac:dyDescent="0.25">
      <c r="A8835" t="str">
        <f>"20190312160541091"</f>
        <v>20190312160541091</v>
      </c>
      <c r="B8835" t="str">
        <f>"1552377941084469"</f>
        <v>1552377941084469</v>
      </c>
      <c r="C8835" t="s">
        <v>40</v>
      </c>
      <c r="D8835">
        <v>5.4494579999999999</v>
      </c>
      <c r="E8835">
        <v>0.63647889999999996</v>
      </c>
      <c r="F8835" t="s">
        <v>128</v>
      </c>
      <c r="G8835">
        <v>-154.67830000000001</v>
      </c>
      <c r="H8835">
        <v>5.7036959999999999</v>
      </c>
      <c r="I8835">
        <v>153.99430000000001</v>
      </c>
      <c r="J8835">
        <v>-182.85570000000001</v>
      </c>
      <c r="K8835">
        <v>1.1048789999999999</v>
      </c>
      <c r="L8835">
        <v>127.62609999999999</v>
      </c>
      <c r="M8835">
        <v>0.39621600000000001</v>
      </c>
      <c r="N8835">
        <v>0</v>
      </c>
      <c r="O8835">
        <v>0.91804529999999995</v>
      </c>
      <c r="P8835">
        <v>0.45420880000000002</v>
      </c>
      <c r="Q8835">
        <v>4.7145659999999999E-2</v>
      </c>
      <c r="R8835">
        <v>0.88964690000000002</v>
      </c>
      <c r="S8835">
        <v>2.318832</v>
      </c>
      <c r="T8835">
        <v>0.37775219999999998</v>
      </c>
      <c r="U8835">
        <v>2.1751100000000001</v>
      </c>
      <c r="V8835">
        <v>6.5314369999999997E-2</v>
      </c>
      <c r="W8835">
        <v>6.0570640000000002E-2</v>
      </c>
      <c r="X8835">
        <v>0.99602469999999999</v>
      </c>
      <c r="Y8835">
        <v>0.39311299999999999</v>
      </c>
      <c r="Z8835">
        <v>0.1180108</v>
      </c>
      <c r="AA8835">
        <v>0.91188570000000002</v>
      </c>
      <c r="AB8835">
        <v>25</v>
      </c>
      <c r="AC8835">
        <v>28.177399999999999</v>
      </c>
      <c r="AD8835">
        <v>4.5988170000000004</v>
      </c>
      <c r="AE8835">
        <v>26.368200000000002</v>
      </c>
      <c r="AF8835">
        <v>15.206265887744101</v>
      </c>
      <c r="AG8835">
        <v>4.5988170000000004</v>
      </c>
      <c r="AH8835">
        <v>34.879841599943099</v>
      </c>
      <c r="AI8835">
        <v>83.108591086944799</v>
      </c>
      <c r="AJ8835">
        <v>66.444654879920705</v>
      </c>
      <c r="AK8835">
        <v>38.327313890819198</v>
      </c>
      <c r="AL8835">
        <v>86.527432345420493</v>
      </c>
      <c r="AM8835">
        <v>86.248197904514697</v>
      </c>
      <c r="AN8835">
        <v>0.99999998618429797</v>
      </c>
    </row>
    <row r="8836" spans="1:40" x14ac:dyDescent="0.25">
      <c r="A8836" t="str">
        <f>"20190312160541104"</f>
        <v>20190312160541104</v>
      </c>
      <c r="B8836" t="str">
        <f>"1552377941094230"</f>
        <v>1552377941094230</v>
      </c>
      <c r="C8836" t="s">
        <v>40</v>
      </c>
      <c r="D8836">
        <v>5.5396070000000002</v>
      </c>
      <c r="E8836">
        <v>0.63630240000000005</v>
      </c>
      <c r="F8836" t="s">
        <v>49</v>
      </c>
      <c r="G8836">
        <v>-182.3339</v>
      </c>
      <c r="H8836">
        <v>1.1881809999999999</v>
      </c>
      <c r="I8836">
        <v>128.11359999999999</v>
      </c>
      <c r="J8836">
        <v>-182.79069999999999</v>
      </c>
      <c r="K8836">
        <v>1.1047990000000001</v>
      </c>
      <c r="L8836">
        <v>127.7632</v>
      </c>
      <c r="M8836">
        <v>0.40081420000000001</v>
      </c>
      <c r="N8836">
        <v>0</v>
      </c>
      <c r="O8836">
        <v>0.9160469</v>
      </c>
      <c r="P8836">
        <v>0.45961980000000002</v>
      </c>
      <c r="Q8836">
        <v>4.7099420000000003E-2</v>
      </c>
      <c r="R8836">
        <v>0.88686599999999904</v>
      </c>
      <c r="S8836">
        <v>2.3193510000000002</v>
      </c>
      <c r="T8836">
        <v>0.37035950000000001</v>
      </c>
      <c r="U8836">
        <v>2.1683810000000001</v>
      </c>
      <c r="V8836">
        <v>6.639834E-2</v>
      </c>
      <c r="W8836">
        <v>6.0509720000000003E-2</v>
      </c>
      <c r="X8836">
        <v>0.99595670000000003</v>
      </c>
      <c r="Y8836">
        <v>0.3902254</v>
      </c>
      <c r="Z8836">
        <v>0.11568339999999901</v>
      </c>
      <c r="AA8836">
        <v>0.91342290000000004</v>
      </c>
      <c r="AB8836">
        <v>25</v>
      </c>
      <c r="AC8836">
        <v>0.45679999999998699</v>
      </c>
      <c r="AD8836">
        <v>8.3381999999999803E-2</v>
      </c>
      <c r="AE8836">
        <v>0.35039999999999299</v>
      </c>
      <c r="AF8836">
        <v>0.272321250561954</v>
      </c>
      <c r="AG8836">
        <v>8.3381999999999803E-2</v>
      </c>
      <c r="AH8836">
        <v>0.49376919314378798</v>
      </c>
      <c r="AI8836">
        <v>81.588601380652307</v>
      </c>
      <c r="AJ8836">
        <v>61.122593511170997</v>
      </c>
      <c r="AK8836">
        <v>0.57001705020946003</v>
      </c>
      <c r="AL8836">
        <v>86.530929117168299</v>
      </c>
      <c r="AM8836">
        <v>86.185854909812704</v>
      </c>
      <c r="AN8836">
        <v>0.99999995702206101</v>
      </c>
    </row>
    <row r="8837" spans="1:40" x14ac:dyDescent="0.25">
      <c r="A8837" t="str">
        <f>"20190312160541117"</f>
        <v>20190312160541117</v>
      </c>
      <c r="B8837" t="str">
        <f>"1552377941113750"</f>
        <v>1552377941113750</v>
      </c>
      <c r="C8837" t="s">
        <v>40</v>
      </c>
      <c r="D8837">
        <v>5.486243</v>
      </c>
      <c r="E8837">
        <v>0.63596560000000002</v>
      </c>
      <c r="F8837" t="s">
        <v>128</v>
      </c>
      <c r="G8837">
        <v>-154.40899999999999</v>
      </c>
      <c r="H8837">
        <v>5.5181239999999896</v>
      </c>
      <c r="I8837">
        <v>153.99420000000001</v>
      </c>
      <c r="J8837">
        <v>-182.7337</v>
      </c>
      <c r="K8837">
        <v>1.104724</v>
      </c>
      <c r="L8837">
        <v>127.88160000000001</v>
      </c>
      <c r="M8837">
        <v>0.40486810000000001</v>
      </c>
      <c r="N8837">
        <v>0</v>
      </c>
      <c r="O8837">
        <v>0.91426220000000002</v>
      </c>
      <c r="P8837">
        <v>0.46451759999999997</v>
      </c>
      <c r="Q8837">
        <v>4.6915579999999998E-2</v>
      </c>
      <c r="R8837">
        <v>0.88432029999999995</v>
      </c>
      <c r="S8837">
        <v>2.3317260000000002</v>
      </c>
      <c r="T8837">
        <v>0.36258180000000001</v>
      </c>
      <c r="U8837">
        <v>2.1550289999999999</v>
      </c>
      <c r="V8837">
        <v>6.7499190000000001E-2</v>
      </c>
      <c r="W8837">
        <v>6.0311240000000002E-2</v>
      </c>
      <c r="X8837">
        <v>0.99589479999999997</v>
      </c>
      <c r="Y8837">
        <v>0.3916096</v>
      </c>
      <c r="Z8837">
        <v>0.1132111</v>
      </c>
      <c r="AA8837">
        <v>0.91314030000000002</v>
      </c>
      <c r="AB8837">
        <v>25</v>
      </c>
      <c r="AC8837">
        <v>28.3247</v>
      </c>
      <c r="AD8837">
        <v>4.4133999999999904</v>
      </c>
      <c r="AE8837">
        <v>26.1126</v>
      </c>
      <c r="AF8837">
        <v>15.127097538124</v>
      </c>
      <c r="AG8837">
        <v>4.4133999999999904</v>
      </c>
      <c r="AH8837">
        <v>34.887317463683402</v>
      </c>
      <c r="AI8837">
        <v>83.379666272049207</v>
      </c>
      <c r="AJ8837">
        <v>66.558504908818307</v>
      </c>
      <c r="AK8837">
        <v>38.280962622428298</v>
      </c>
      <c r="AL8837">
        <v>86.542322207994303</v>
      </c>
      <c r="AM8837">
        <v>86.122569418686297</v>
      </c>
      <c r="AN8837">
        <v>1.00000001949401</v>
      </c>
    </row>
    <row r="8838" spans="1:40" x14ac:dyDescent="0.25">
      <c r="A8838" t="str">
        <f>"20190312160541129"</f>
        <v>20190312160541129</v>
      </c>
      <c r="B8838" t="str">
        <f>"1552377941124485"</f>
        <v>1552377941124485</v>
      </c>
      <c r="C8838" t="s">
        <v>40</v>
      </c>
      <c r="D8838">
        <v>5.5734380000000003</v>
      </c>
      <c r="E8838">
        <v>0.63046440000000004</v>
      </c>
      <c r="F8838" t="s">
        <v>49</v>
      </c>
      <c r="G8838">
        <v>-182.21340000000001</v>
      </c>
      <c r="H8838">
        <v>1.183851</v>
      </c>
      <c r="I8838">
        <v>128.35769999999999</v>
      </c>
      <c r="J8838">
        <v>-182.67670000000001</v>
      </c>
      <c r="K8838">
        <v>1.104657</v>
      </c>
      <c r="L8838">
        <v>127.9991</v>
      </c>
      <c r="M8838">
        <v>0.40891840000000002</v>
      </c>
      <c r="N8838">
        <v>0</v>
      </c>
      <c r="O8838">
        <v>0.91245759999999998</v>
      </c>
      <c r="P8838">
        <v>0.46946680000000002</v>
      </c>
      <c r="Q8838">
        <v>4.6752879999999997E-2</v>
      </c>
      <c r="R8838">
        <v>0.88171149999999998</v>
      </c>
      <c r="S8838">
        <v>2.3415680000000001</v>
      </c>
      <c r="T8838">
        <v>0.35612490000000002</v>
      </c>
      <c r="U8838">
        <v>2.14357</v>
      </c>
      <c r="V8838">
        <v>6.8669980000000005E-2</v>
      </c>
      <c r="W8838">
        <v>6.0131799999999999E-2</v>
      </c>
      <c r="X8838">
        <v>0.99582559999999998</v>
      </c>
      <c r="Y8838">
        <v>0.39205780000000001</v>
      </c>
      <c r="Z8838">
        <v>0.1111386</v>
      </c>
      <c r="AA8838">
        <v>0.91320250000000003</v>
      </c>
      <c r="AB8838">
        <v>25</v>
      </c>
      <c r="AC8838">
        <v>0.46330000000000299</v>
      </c>
      <c r="AD8838">
        <v>7.9193999999999903E-2</v>
      </c>
      <c r="AE8838">
        <v>0.35859999999999498</v>
      </c>
      <c r="AF8838">
        <v>0.27117708898030002</v>
      </c>
      <c r="AG8838">
        <v>7.9193999999999903E-2</v>
      </c>
      <c r="AH8838">
        <v>0.50744069336355202</v>
      </c>
      <c r="AI8838">
        <v>82.162838571932895</v>
      </c>
      <c r="AJ8838">
        <v>61.879884148269703</v>
      </c>
      <c r="AK8838">
        <v>0.58077944221977396</v>
      </c>
      <c r="AL8838">
        <v>86.552622032425504</v>
      </c>
      <c r="AM8838">
        <v>86.055251699495898</v>
      </c>
      <c r="AN8838">
        <v>1.0000000125699</v>
      </c>
    </row>
    <row r="8839" spans="1:40" x14ac:dyDescent="0.25">
      <c r="A8839" t="str">
        <f>"20190312160541140"</f>
        <v>20190312160541140</v>
      </c>
      <c r="B8839" t="str">
        <f>"1552377941134246"</f>
        <v>1552377941134246</v>
      </c>
      <c r="C8839" t="s">
        <v>40</v>
      </c>
      <c r="D8839">
        <v>5.5533380000000001</v>
      </c>
      <c r="E8839">
        <v>0.63046440000000004</v>
      </c>
      <c r="F8839" t="s">
        <v>55</v>
      </c>
      <c r="G8839">
        <v>-147.25239999999999</v>
      </c>
      <c r="H8839">
        <v>3.6170019999999998</v>
      </c>
      <c r="I8839">
        <v>160.82079999999999</v>
      </c>
      <c r="J8839">
        <v>-182.6183</v>
      </c>
      <c r="K8839">
        <v>1.104584</v>
      </c>
      <c r="L8839">
        <v>128.11709999999999</v>
      </c>
      <c r="M8839">
        <v>0.41308460000000002</v>
      </c>
      <c r="N8839">
        <v>0</v>
      </c>
      <c r="O8839">
        <v>0.91057880000000002</v>
      </c>
      <c r="P8839">
        <v>0.47453390000000001</v>
      </c>
      <c r="Q8839">
        <v>4.699623E-2</v>
      </c>
      <c r="R8839">
        <v>0.87898180000000004</v>
      </c>
      <c r="S8839">
        <v>2.3260800000000001</v>
      </c>
      <c r="T8839">
        <v>0.16497120000000001</v>
      </c>
      <c r="U8839">
        <v>2.1551819999999999</v>
      </c>
      <c r="V8839">
        <v>6.9870429999999997E-2</v>
      </c>
      <c r="W8839">
        <v>6.035836E-2</v>
      </c>
      <c r="X8839">
        <v>0.99572839999999996</v>
      </c>
      <c r="Y8839">
        <v>0.386183</v>
      </c>
      <c r="Z8839">
        <v>5.1634659999999999E-2</v>
      </c>
      <c r="AA8839">
        <v>0.92097589999999996</v>
      </c>
      <c r="AB8839">
        <v>25</v>
      </c>
      <c r="AC8839">
        <v>35.365900000000003</v>
      </c>
      <c r="AD8839">
        <v>2.5124179999999998</v>
      </c>
      <c r="AE8839">
        <v>32.703699999999998</v>
      </c>
      <c r="AF8839">
        <v>18.6452586430804</v>
      </c>
      <c r="AG8839">
        <v>2.5124179999999998</v>
      </c>
      <c r="AH8839">
        <v>44.2725654187728</v>
      </c>
      <c r="AI8839">
        <v>87.006158458097104</v>
      </c>
      <c r="AJ8839">
        <v>67.161752694521894</v>
      </c>
      <c r="AK8839">
        <v>48.104240590966697</v>
      </c>
      <c r="AL8839">
        <v>86.539617531519795</v>
      </c>
      <c r="AM8839">
        <v>85.986124756839104</v>
      </c>
      <c r="AN8839">
        <v>1.00000002758841</v>
      </c>
    </row>
    <row r="8840" spans="1:40" x14ac:dyDescent="0.25">
      <c r="A8840" t="str">
        <f>"20190312160541151"</f>
        <v>20190312160541151</v>
      </c>
      <c r="B8840" t="str">
        <f>"1552377941144006"</f>
        <v>1552377941144006</v>
      </c>
      <c r="C8840" t="s">
        <v>40</v>
      </c>
      <c r="D8840">
        <v>5.7196619999999996</v>
      </c>
      <c r="E8840">
        <v>0.63255030000000001</v>
      </c>
      <c r="F8840" t="s">
        <v>55</v>
      </c>
      <c r="G8840">
        <v>-146.90790000000001</v>
      </c>
      <c r="H8840">
        <v>3.6334230000000001</v>
      </c>
      <c r="I8840">
        <v>160.82060000000001</v>
      </c>
      <c r="J8840">
        <v>-182.56209999999999</v>
      </c>
      <c r="K8840">
        <v>1.1045180000000001</v>
      </c>
      <c r="L8840">
        <v>128.22989999999999</v>
      </c>
      <c r="M8840">
        <v>0.41709810000000003</v>
      </c>
      <c r="N8840">
        <v>0</v>
      </c>
      <c r="O8840">
        <v>0.90874730000000004</v>
      </c>
      <c r="P8840">
        <v>0.47902070000000002</v>
      </c>
      <c r="Q8840">
        <v>4.7476310000000001E-2</v>
      </c>
      <c r="R8840">
        <v>0.87651880000000004</v>
      </c>
      <c r="S8840">
        <v>2.3385769999999999</v>
      </c>
      <c r="T8840">
        <v>0.1656089</v>
      </c>
      <c r="U8840">
        <v>2.1416629999999999</v>
      </c>
      <c r="V8840">
        <v>7.0595489999999997E-2</v>
      </c>
      <c r="W8840">
        <v>6.0828609999999998E-2</v>
      </c>
      <c r="X8840">
        <v>0.99564859999999999</v>
      </c>
      <c r="Y8840">
        <v>0.3874534</v>
      </c>
      <c r="Z8840">
        <v>5.1795550000000003E-2</v>
      </c>
      <c r="AA8840">
        <v>0.9204331</v>
      </c>
      <c r="AB8840">
        <v>25</v>
      </c>
      <c r="AC8840">
        <v>35.654199999999904</v>
      </c>
      <c r="AD8840">
        <v>2.528905</v>
      </c>
      <c r="AE8840">
        <v>32.590699999999998</v>
      </c>
      <c r="AF8840">
        <v>18.7576792618583</v>
      </c>
      <c r="AG8840">
        <v>2.528905</v>
      </c>
      <c r="AH8840">
        <v>44.371013577608799</v>
      </c>
      <c r="AI8840">
        <v>86.994940817575198</v>
      </c>
      <c r="AJ8840">
        <v>67.0839716147578</v>
      </c>
      <c r="AK8840">
        <v>48.239327707733601</v>
      </c>
      <c r="AL8840">
        <v>86.512624457603195</v>
      </c>
      <c r="AM8840">
        <v>85.9442862533393</v>
      </c>
      <c r="AN8840">
        <v>0.99999998884241603</v>
      </c>
    </row>
    <row r="8841" spans="1:40" x14ac:dyDescent="0.25">
      <c r="A8841" t="str">
        <f>"20190312160541164"</f>
        <v>20190312160541164</v>
      </c>
      <c r="B8841" t="str">
        <f>"1552377941153766"</f>
        <v>1552377941153766</v>
      </c>
      <c r="C8841" t="s">
        <v>40</v>
      </c>
      <c r="D8841">
        <v>5.551558</v>
      </c>
      <c r="E8841">
        <v>0.63289680000000004</v>
      </c>
      <c r="F8841" t="s">
        <v>49</v>
      </c>
      <c r="G8841">
        <v>-181.9973</v>
      </c>
      <c r="H8841">
        <v>1.1796599999999999</v>
      </c>
      <c r="I8841">
        <v>128.7379</v>
      </c>
      <c r="J8841">
        <v>-182.49700000000001</v>
      </c>
      <c r="K8841">
        <v>1.1044389999999999</v>
      </c>
      <c r="L8841">
        <v>128.35890000000001</v>
      </c>
      <c r="M8841">
        <v>0.42175400000000002</v>
      </c>
      <c r="N8841">
        <v>0</v>
      </c>
      <c r="O8841">
        <v>0.90659559999999995</v>
      </c>
      <c r="P8841">
        <v>0.48425059999999898</v>
      </c>
      <c r="Q8841">
        <v>4.7608129999999999E-2</v>
      </c>
      <c r="R8841">
        <v>0.87363310000000005</v>
      </c>
      <c r="S8841">
        <v>2.3554379999999999</v>
      </c>
      <c r="T8841">
        <v>0.31334810000000002</v>
      </c>
      <c r="U8841">
        <v>2.1184229999999999</v>
      </c>
      <c r="V8841">
        <v>7.1456140000000001E-2</v>
      </c>
      <c r="W8841">
        <v>6.0948549999999997E-2</v>
      </c>
      <c r="X8841">
        <v>0.99557989999999996</v>
      </c>
      <c r="Y8841">
        <v>0.38824839999999999</v>
      </c>
      <c r="Z8841">
        <v>9.7704769999999996E-2</v>
      </c>
      <c r="AA8841">
        <v>0.91636070000000003</v>
      </c>
      <c r="AB8841">
        <v>25</v>
      </c>
      <c r="AC8841">
        <v>0.49970000000001802</v>
      </c>
      <c r="AD8841">
        <v>7.5220999999999899E-2</v>
      </c>
      <c r="AE8841">
        <v>0.37899999999999001</v>
      </c>
      <c r="AF8841">
        <v>0.28905352263899797</v>
      </c>
      <c r="AG8841">
        <v>7.5220999999999899E-2</v>
      </c>
      <c r="AH8841">
        <v>0.54654581859956497</v>
      </c>
      <c r="AI8841">
        <v>83.063334984672807</v>
      </c>
      <c r="AJ8841">
        <v>62.1268294389508</v>
      </c>
      <c r="AK8841">
        <v>0.62283422322451298</v>
      </c>
      <c r="AL8841">
        <v>86.505739741612302</v>
      </c>
      <c r="AM8841">
        <v>85.894727595325904</v>
      </c>
      <c r="AN8841">
        <v>1.0000000214874001</v>
      </c>
    </row>
    <row r="8842" spans="1:40" x14ac:dyDescent="0.25">
      <c r="A8842" t="str">
        <f>"20190312160541180"</f>
        <v>20190312160541180</v>
      </c>
      <c r="B8842" t="str">
        <f>"1552377941174262"</f>
        <v>1552377941174262</v>
      </c>
      <c r="C8842" t="s">
        <v>40</v>
      </c>
      <c r="D8842">
        <v>5.5075580000000004</v>
      </c>
      <c r="E8842">
        <v>0.63306109999999904</v>
      </c>
      <c r="F8842" t="s">
        <v>128</v>
      </c>
      <c r="G8842">
        <v>-153.60079999999999</v>
      </c>
      <c r="H8842">
        <v>4.937462</v>
      </c>
      <c r="I8842">
        <v>153.99369999999999</v>
      </c>
      <c r="J8842">
        <v>-182.41929999999999</v>
      </c>
      <c r="K8842">
        <v>1.104347</v>
      </c>
      <c r="L8842">
        <v>128.51009999999999</v>
      </c>
      <c r="M8842">
        <v>0.42731920000000001</v>
      </c>
      <c r="N8842">
        <v>0</v>
      </c>
      <c r="O8842">
        <v>0.90398540000000005</v>
      </c>
      <c r="P8842">
        <v>0.49090850000000003</v>
      </c>
      <c r="Q8842">
        <v>4.79365E-2</v>
      </c>
      <c r="R8842">
        <v>0.86989130000000003</v>
      </c>
      <c r="S8842">
        <v>2.370422</v>
      </c>
      <c r="T8842">
        <v>0.31443389999999999</v>
      </c>
      <c r="U8842">
        <v>2.1028899999999999</v>
      </c>
      <c r="V8842">
        <v>7.296685E-2</v>
      </c>
      <c r="W8842">
        <v>6.125601E-2</v>
      </c>
      <c r="X8842">
        <v>0.99545150000000004</v>
      </c>
      <c r="Y8842">
        <v>0.38880720000000002</v>
      </c>
      <c r="Z8842">
        <v>9.7883230000000002E-2</v>
      </c>
      <c r="AA8842">
        <v>0.91610469999999999</v>
      </c>
      <c r="AB8842">
        <v>25</v>
      </c>
      <c r="AC8842">
        <v>28.8185</v>
      </c>
      <c r="AD8842">
        <v>3.8331149999999998</v>
      </c>
      <c r="AE8842">
        <v>25.483599999999999</v>
      </c>
      <c r="AF8842">
        <v>15.0143899092196</v>
      </c>
      <c r="AG8842">
        <v>3.8331149999999998</v>
      </c>
      <c r="AH8842">
        <v>35.007631411914303</v>
      </c>
      <c r="AI8842">
        <v>84.253726208731507</v>
      </c>
      <c r="AJ8842">
        <v>66.786036591838396</v>
      </c>
      <c r="AK8842">
        <v>38.283925243132401</v>
      </c>
      <c r="AL8842">
        <v>86.4880907903961</v>
      </c>
      <c r="AM8842">
        <v>85.807702258076205</v>
      </c>
      <c r="AN8842">
        <v>1.0000000744061399</v>
      </c>
    </row>
    <row r="8843" spans="1:40" x14ac:dyDescent="0.25">
      <c r="A8843" t="str">
        <f>"20190312160541193"</f>
        <v>20190312160541193</v>
      </c>
      <c r="B8843" t="str">
        <f>"1552377941184022"</f>
        <v>1552377941184022</v>
      </c>
      <c r="C8843" t="s">
        <v>40</v>
      </c>
      <c r="D8843">
        <v>5.491797</v>
      </c>
      <c r="E8843">
        <v>0.63244679999999998</v>
      </c>
      <c r="F8843" t="s">
        <v>128</v>
      </c>
      <c r="G8843">
        <v>-153.2234</v>
      </c>
      <c r="H8843">
        <v>4.9349499999999997</v>
      </c>
      <c r="I8843">
        <v>153.99359999999999</v>
      </c>
      <c r="J8843">
        <v>-182.3492</v>
      </c>
      <c r="K8843">
        <v>1.1042590000000001</v>
      </c>
      <c r="L8843">
        <v>128.64439999999999</v>
      </c>
      <c r="M8843">
        <v>0.4323379</v>
      </c>
      <c r="N8843">
        <v>0</v>
      </c>
      <c r="O8843">
        <v>0.9015957</v>
      </c>
      <c r="P8843">
        <v>0.49626399999999998</v>
      </c>
      <c r="Q8843">
        <v>4.831502E-2</v>
      </c>
      <c r="R8843">
        <v>0.86682619999999899</v>
      </c>
      <c r="S8843">
        <v>2.3876339999999998</v>
      </c>
      <c r="T8843">
        <v>0.31326850000000001</v>
      </c>
      <c r="U8843">
        <v>2.0840450000000001</v>
      </c>
      <c r="V8843">
        <v>7.3600090000000007E-2</v>
      </c>
      <c r="W8843">
        <v>6.1625819999999998E-2</v>
      </c>
      <c r="X8843">
        <v>0.99538199999999999</v>
      </c>
      <c r="Y8843">
        <v>0.39109870000000002</v>
      </c>
      <c r="Z8843">
        <v>9.7430530000000001E-2</v>
      </c>
      <c r="AA8843">
        <v>0.91517709999999997</v>
      </c>
      <c r="AB8843">
        <v>25</v>
      </c>
      <c r="AC8843">
        <v>29.125800000000002</v>
      </c>
      <c r="AD8843">
        <v>3.8306909999999998</v>
      </c>
      <c r="AE8843">
        <v>25.3492</v>
      </c>
      <c r="AF8843">
        <v>15.1527348184968</v>
      </c>
      <c r="AG8843">
        <v>3.8306909999999998</v>
      </c>
      <c r="AH8843">
        <v>35.105100538606699</v>
      </c>
      <c r="AI8843">
        <v>84.2788511062938</v>
      </c>
      <c r="AJ8843">
        <v>66.653082636706003</v>
      </c>
      <c r="AK8843">
        <v>38.427173326213499</v>
      </c>
      <c r="AL8843">
        <v>86.466861941862405</v>
      </c>
      <c r="AM8843">
        <v>85.771156790215898</v>
      </c>
      <c r="AN8843">
        <v>1.00000002043134</v>
      </c>
    </row>
    <row r="8844" spans="1:40" x14ac:dyDescent="0.25">
      <c r="A8844" t="str">
        <f>"20190312160541208"</f>
        <v>20190312160541208</v>
      </c>
      <c r="B8844" t="str">
        <f>"1552377941204519"</f>
        <v>1552377941204519</v>
      </c>
      <c r="C8844" t="s">
        <v>40</v>
      </c>
      <c r="D8844">
        <v>5.5986060000000002</v>
      </c>
      <c r="E8844">
        <v>0.63195140000000005</v>
      </c>
      <c r="F8844" t="s">
        <v>49</v>
      </c>
      <c r="G8844">
        <v>-181.77440000000001</v>
      </c>
      <c r="H8844">
        <v>1.1793260000000001</v>
      </c>
      <c r="I8844">
        <v>129.1413</v>
      </c>
      <c r="J8844">
        <v>-182.27719999999999</v>
      </c>
      <c r="K8844">
        <v>1.1041719999999999</v>
      </c>
      <c r="L8844">
        <v>128.7809</v>
      </c>
      <c r="M8844">
        <v>0.43749929999999898</v>
      </c>
      <c r="N8844">
        <v>0</v>
      </c>
      <c r="O8844">
        <v>0.89910219999999896</v>
      </c>
      <c r="P8844">
        <v>0.50196770000000002</v>
      </c>
      <c r="Q8844">
        <v>4.8012730000000003E-2</v>
      </c>
      <c r="R8844">
        <v>0.86355269999999995</v>
      </c>
      <c r="S8844">
        <v>2.396118</v>
      </c>
      <c r="T8844">
        <v>0.31295319999999999</v>
      </c>
      <c r="U8844">
        <v>2.0716549999999998</v>
      </c>
      <c r="V8844">
        <v>7.4457780000000001E-2</v>
      </c>
      <c r="W8844">
        <v>6.1311690000000002E-2</v>
      </c>
      <c r="X8844">
        <v>0.99533760000000004</v>
      </c>
      <c r="Y8844">
        <v>0.39014779999999999</v>
      </c>
      <c r="Z8844">
        <v>9.7221959999999996E-2</v>
      </c>
      <c r="AA8844">
        <v>0.915605</v>
      </c>
      <c r="AB8844">
        <v>25</v>
      </c>
      <c r="AC8844">
        <v>0.50279999999997904</v>
      </c>
      <c r="AD8844">
        <v>7.5154000000000096E-2</v>
      </c>
      <c r="AE8844">
        <v>0.360399999999998</v>
      </c>
      <c r="AF8844">
        <v>0.290142547008504</v>
      </c>
      <c r="AG8844">
        <v>7.5154000000000096E-2</v>
      </c>
      <c r="AH8844">
        <v>0.53615510927601895</v>
      </c>
      <c r="AI8844">
        <v>82.972111553414507</v>
      </c>
      <c r="AJ8844">
        <v>61.579781233419297</v>
      </c>
      <c r="AK8844">
        <v>0.61424190878135498</v>
      </c>
      <c r="AL8844">
        <v>86.484894331296303</v>
      </c>
      <c r="AM8844">
        <v>85.721868239279502</v>
      </c>
      <c r="AN8844">
        <v>1.0000000111534699</v>
      </c>
    </row>
    <row r="8845" spans="1:40" x14ac:dyDescent="0.25">
      <c r="A8845" t="str">
        <f>"20190312160541221"</f>
        <v>20190312160541221</v>
      </c>
      <c r="B8845" t="str">
        <f>"1552377941214278"</f>
        <v>1552377941214278</v>
      </c>
      <c r="C8845" t="s">
        <v>40</v>
      </c>
      <c r="D8845">
        <v>5.545134</v>
      </c>
      <c r="E8845">
        <v>0.63164010000000004</v>
      </c>
      <c r="F8845" t="s">
        <v>49</v>
      </c>
      <c r="G8845">
        <v>-181.6754</v>
      </c>
      <c r="H8845">
        <v>1.1799569999999999</v>
      </c>
      <c r="I8845">
        <v>129.29519999999999</v>
      </c>
      <c r="J8845">
        <v>-182.20509999999999</v>
      </c>
      <c r="K8845">
        <v>1.1040920000000001</v>
      </c>
      <c r="L8845">
        <v>128.9144</v>
      </c>
      <c r="M8845">
        <v>0.44267060000000003</v>
      </c>
      <c r="N8845">
        <v>0</v>
      </c>
      <c r="O8845">
        <v>0.89656719999999901</v>
      </c>
      <c r="P8845">
        <v>0.50740370000000001</v>
      </c>
      <c r="Q8845">
        <v>4.7831159999999998E-2</v>
      </c>
      <c r="R8845">
        <v>0.86037989999999998</v>
      </c>
      <c r="S8845">
        <v>2.4069980000000002</v>
      </c>
      <c r="T8845">
        <v>0.30315690000000001</v>
      </c>
      <c r="U8845">
        <v>2.0580289999999999</v>
      </c>
      <c r="V8845">
        <v>7.500801E-2</v>
      </c>
      <c r="W8845">
        <v>6.112418E-2</v>
      </c>
      <c r="X8845">
        <v>0.99530779999999996</v>
      </c>
      <c r="Y8845">
        <v>0.39013209999999998</v>
      </c>
      <c r="Z8845">
        <v>9.4080399999999995E-2</v>
      </c>
      <c r="AA8845">
        <v>0.91593990000000003</v>
      </c>
      <c r="AB8845">
        <v>25</v>
      </c>
      <c r="AC8845">
        <v>0.52969999999999096</v>
      </c>
      <c r="AD8845">
        <v>7.5864999999999794E-2</v>
      </c>
      <c r="AE8845">
        <v>0.38079999999999298</v>
      </c>
      <c r="AF8845">
        <v>0.30228685979605902</v>
      </c>
      <c r="AG8845">
        <v>7.5864999999999794E-2</v>
      </c>
      <c r="AH8845">
        <v>0.56827084379229997</v>
      </c>
      <c r="AI8845">
        <v>83.277933261718204</v>
      </c>
      <c r="AJ8845">
        <v>61.989633906012898</v>
      </c>
      <c r="AK8845">
        <v>0.64812390461606595</v>
      </c>
      <c r="AL8845">
        <v>86.495657983234494</v>
      </c>
      <c r="AM8845">
        <v>85.690243719439195</v>
      </c>
      <c r="AN8845">
        <v>0.99999999184283594</v>
      </c>
    </row>
    <row r="8846" spans="1:40" x14ac:dyDescent="0.25">
      <c r="A8846" t="str">
        <f>"20190312160541234"</f>
        <v>20190312160541234</v>
      </c>
      <c r="B8846" t="str">
        <f>"1552377941224038"</f>
        <v>1552377941224038</v>
      </c>
      <c r="C8846" t="s">
        <v>40</v>
      </c>
      <c r="D8846">
        <v>5.535749</v>
      </c>
      <c r="E8846">
        <v>0.63136199999999998</v>
      </c>
      <c r="F8846" t="s">
        <v>128</v>
      </c>
      <c r="G8846">
        <v>-151.39949999999999</v>
      </c>
      <c r="H8846">
        <v>4.920369</v>
      </c>
      <c r="I8846">
        <v>154.9571</v>
      </c>
      <c r="J8846">
        <v>-182.1319</v>
      </c>
      <c r="K8846">
        <v>1.1040080000000001</v>
      </c>
      <c r="L8846">
        <v>129.04849999999999</v>
      </c>
      <c r="M8846">
        <v>0.44792409999999999</v>
      </c>
      <c r="N8846">
        <v>0</v>
      </c>
      <c r="O8846">
        <v>0.89395380000000002</v>
      </c>
      <c r="P8846">
        <v>0.51368069999999999</v>
      </c>
      <c r="Q8846">
        <v>4.7606530000000001E-2</v>
      </c>
      <c r="R8846">
        <v>0.85665970000000002</v>
      </c>
      <c r="S8846">
        <v>2.418015</v>
      </c>
      <c r="T8846">
        <v>0.29955080000000001</v>
      </c>
      <c r="U8846">
        <v>2.0441590000000001</v>
      </c>
      <c r="V8846">
        <v>7.6448660000000002E-2</v>
      </c>
      <c r="W8846">
        <v>6.087907E-2</v>
      </c>
      <c r="X8846">
        <v>0.99521320000000002</v>
      </c>
      <c r="Y8846">
        <v>0.38994669999999998</v>
      </c>
      <c r="Z8846">
        <v>9.2838019999999993E-2</v>
      </c>
      <c r="AA8846">
        <v>0.9161456</v>
      </c>
      <c r="AB8846">
        <v>25</v>
      </c>
      <c r="AC8846">
        <v>30.732399999999998</v>
      </c>
      <c r="AD8846">
        <v>3.8163610000000001</v>
      </c>
      <c r="AE8846">
        <v>25.9086</v>
      </c>
      <c r="AF8846">
        <v>15.728153499002699</v>
      </c>
      <c r="AG8846">
        <v>3.8163610000000001</v>
      </c>
      <c r="AH8846">
        <v>36.600834877393297</v>
      </c>
      <c r="AI8846">
        <v>84.527813952903699</v>
      </c>
      <c r="AJ8846">
        <v>66.745779480262897</v>
      </c>
      <c r="AK8846">
        <v>40.0195019645763</v>
      </c>
      <c r="AL8846">
        <v>86.509727934868593</v>
      </c>
      <c r="AM8846">
        <v>85.607372896120097</v>
      </c>
      <c r="AN8846">
        <v>0.99999998611704999</v>
      </c>
    </row>
    <row r="8847" spans="1:40" x14ac:dyDescent="0.25">
      <c r="A8847" t="str">
        <f>"20190312160541246"</f>
        <v>20190312160541246</v>
      </c>
      <c r="B8847" t="str">
        <f>"1552377941233800"</f>
        <v>1552377941233800</v>
      </c>
      <c r="C8847" t="s">
        <v>40</v>
      </c>
      <c r="D8847">
        <v>5.6606930000000002</v>
      </c>
      <c r="E8847">
        <v>0.63124849999999999</v>
      </c>
      <c r="F8847" t="s">
        <v>128</v>
      </c>
      <c r="G8847">
        <v>-150.82839999999999</v>
      </c>
      <c r="H8847">
        <v>4.9204929999999996</v>
      </c>
      <c r="I8847">
        <v>155.15530000000001</v>
      </c>
      <c r="J8847">
        <v>-182.06989999999999</v>
      </c>
      <c r="K8847">
        <v>1.103942</v>
      </c>
      <c r="L8847">
        <v>129.1609</v>
      </c>
      <c r="M8847">
        <v>0.45236559999999998</v>
      </c>
      <c r="N8847">
        <v>0</v>
      </c>
      <c r="O8847">
        <v>0.89171429999999996</v>
      </c>
      <c r="P8847">
        <v>0.51850609999999997</v>
      </c>
      <c r="Q8847">
        <v>4.7759999999999997E-2</v>
      </c>
      <c r="R8847">
        <v>0.85373909999999997</v>
      </c>
      <c r="S8847">
        <v>2.4312589999999998</v>
      </c>
      <c r="T8847">
        <v>0.29641780000000001</v>
      </c>
      <c r="U8847">
        <v>2.0276489999999998</v>
      </c>
      <c r="V8847">
        <v>7.7130119999999996E-2</v>
      </c>
      <c r="W8847">
        <v>6.1023750000000002E-2</v>
      </c>
      <c r="X8847">
        <v>0.99515180000000003</v>
      </c>
      <c r="Y8847">
        <v>0.39156970000000002</v>
      </c>
      <c r="Z8847">
        <v>9.1802969999999998E-2</v>
      </c>
      <c r="AA8847">
        <v>0.91555739999999997</v>
      </c>
      <c r="AB8847">
        <v>24</v>
      </c>
      <c r="AC8847">
        <v>31.241499999999998</v>
      </c>
      <c r="AD8847">
        <v>3.816551</v>
      </c>
      <c r="AE8847">
        <v>25.994399999999999</v>
      </c>
      <c r="AF8847">
        <v>15.960469242855799</v>
      </c>
      <c r="AG8847">
        <v>3.816551</v>
      </c>
      <c r="AH8847">
        <v>36.989894943239399</v>
      </c>
      <c r="AI8847">
        <v>84.588200335444398</v>
      </c>
      <c r="AJ8847">
        <v>66.660677728724593</v>
      </c>
      <c r="AK8847">
        <v>40.4667143205331</v>
      </c>
      <c r="AL8847">
        <v>86.501423091298904</v>
      </c>
      <c r="AM8847">
        <v>85.568100166603003</v>
      </c>
      <c r="AN8847">
        <v>1.0000000292592499</v>
      </c>
    </row>
    <row r="8848" spans="1:40" x14ac:dyDescent="0.25">
      <c r="A8848" t="str">
        <f>"20190312160541258"</f>
        <v>20190312160541258</v>
      </c>
      <c r="B8848" t="str">
        <f>"1552377941254294"</f>
        <v>1552377941254294</v>
      </c>
      <c r="C8848" t="s">
        <v>40</v>
      </c>
      <c r="D8848">
        <v>5.6459530000000004</v>
      </c>
      <c r="E8848">
        <v>0.63098949999999998</v>
      </c>
      <c r="F8848" t="s">
        <v>128</v>
      </c>
      <c r="G8848">
        <v>-150.1216</v>
      </c>
      <c r="H8848">
        <v>4.9206089999999998</v>
      </c>
      <c r="I8848">
        <v>155.51159999999999</v>
      </c>
      <c r="J8848">
        <v>-182.00819999999999</v>
      </c>
      <c r="K8848">
        <v>1.1038779999999999</v>
      </c>
      <c r="L8848">
        <v>129.2706</v>
      </c>
      <c r="M8848">
        <v>0.45679009999999998</v>
      </c>
      <c r="N8848">
        <v>0</v>
      </c>
      <c r="O8848">
        <v>0.88945560000000001</v>
      </c>
      <c r="P8848">
        <v>0.5234413</v>
      </c>
      <c r="Q8848">
        <v>4.7807839999999997E-2</v>
      </c>
      <c r="R8848">
        <v>0.85071949999999996</v>
      </c>
      <c r="S8848">
        <v>2.4422609999999998</v>
      </c>
      <c r="T8848">
        <v>0.29176400000000002</v>
      </c>
      <c r="U8848">
        <v>2.0143589999999998</v>
      </c>
      <c r="V8848">
        <v>7.7961240000000001E-2</v>
      </c>
      <c r="W8848">
        <v>6.1060400000000001E-2</v>
      </c>
      <c r="X8848">
        <v>0.99508479999999999</v>
      </c>
      <c r="Y8848">
        <v>0.39210709999999999</v>
      </c>
      <c r="Z8848">
        <v>9.0261610000000006E-2</v>
      </c>
      <c r="AA8848">
        <v>0.91548070000000004</v>
      </c>
      <c r="AB8848">
        <v>24</v>
      </c>
      <c r="AC8848">
        <v>31.886599999999898</v>
      </c>
      <c r="AD8848">
        <v>3.8167309999999999</v>
      </c>
      <c r="AE8848">
        <v>26.2409999999999</v>
      </c>
      <c r="AF8848">
        <v>16.238108688831701</v>
      </c>
      <c r="AG8848">
        <v>3.8167309999999999</v>
      </c>
      <c r="AH8848">
        <v>37.588607362743701</v>
      </c>
      <c r="AI8848">
        <v>84.674639904873402</v>
      </c>
      <c r="AJ8848">
        <v>66.635873503126803</v>
      </c>
      <c r="AK8848">
        <v>41.123557880942002</v>
      </c>
      <c r="AL8848">
        <v>86.499319327017901</v>
      </c>
      <c r="AM8848">
        <v>85.520236932619</v>
      </c>
      <c r="AN8848">
        <v>1.0000000432907601</v>
      </c>
    </row>
    <row r="8849" spans="1:40" x14ac:dyDescent="0.25">
      <c r="A8849" t="str">
        <f>"20190312160541268"</f>
        <v>20190312160541268</v>
      </c>
      <c r="B8849" t="str">
        <f>"1552377941264054"</f>
        <v>1552377941264054</v>
      </c>
      <c r="C8849" t="s">
        <v>40</v>
      </c>
      <c r="D8849">
        <v>5.633032</v>
      </c>
      <c r="E8849">
        <v>0.63079680000000005</v>
      </c>
      <c r="F8849" t="s">
        <v>128</v>
      </c>
      <c r="G8849">
        <v>-149.31290000000001</v>
      </c>
      <c r="H8849">
        <v>4.9207299999999998</v>
      </c>
      <c r="I8849">
        <v>155.95410000000001</v>
      </c>
      <c r="J8849">
        <v>-181.9486</v>
      </c>
      <c r="K8849">
        <v>1.103815</v>
      </c>
      <c r="L8849">
        <v>129.3759</v>
      </c>
      <c r="M8849">
        <v>0.46105210000000002</v>
      </c>
      <c r="N8849">
        <v>0</v>
      </c>
      <c r="O8849">
        <v>0.88725359999999998</v>
      </c>
      <c r="P8849">
        <v>0.52801819999999999</v>
      </c>
      <c r="Q8849">
        <v>4.8246049999999999E-2</v>
      </c>
      <c r="R8849">
        <v>0.84786149999999905</v>
      </c>
      <c r="S8849">
        <v>2.4523320000000002</v>
      </c>
      <c r="T8849">
        <v>0.28628749999999997</v>
      </c>
      <c r="U8849">
        <v>2.0014189999999998</v>
      </c>
      <c r="V8849">
        <v>7.8578229999999999E-2</v>
      </c>
      <c r="W8849">
        <v>6.1490169999999997E-2</v>
      </c>
      <c r="X8849">
        <v>0.99500980000000006</v>
      </c>
      <c r="Y8849">
        <v>0.39256990000000003</v>
      </c>
      <c r="Z8849">
        <v>8.848251E-2</v>
      </c>
      <c r="AA8849">
        <v>0.91545600000000005</v>
      </c>
      <c r="AB8849">
        <v>24</v>
      </c>
      <c r="AC8849">
        <v>32.6356999999999</v>
      </c>
      <c r="AD8849">
        <v>3.8169149999999998</v>
      </c>
      <c r="AE8849">
        <v>26.578199999999999</v>
      </c>
      <c r="AF8849">
        <v>16.567724204448002</v>
      </c>
      <c r="AG8849">
        <v>3.8169149999999998</v>
      </c>
      <c r="AH8849">
        <v>38.317332996449203</v>
      </c>
      <c r="AI8849">
        <v>84.775833429770302</v>
      </c>
      <c r="AJ8849">
        <v>66.617214432878299</v>
      </c>
      <c r="AK8849">
        <v>41.919879930561002</v>
      </c>
      <c r="AL8849">
        <v>86.474648953493102</v>
      </c>
      <c r="AM8849">
        <v>85.484590913062704</v>
      </c>
      <c r="AN8849">
        <v>1.0000000406663001</v>
      </c>
    </row>
    <row r="8850" spans="1:40" x14ac:dyDescent="0.25">
      <c r="A8850" t="str">
        <f>"20190312160541280"</f>
        <v>20190312160541280</v>
      </c>
      <c r="B8850" t="str">
        <f>"1552377941273814"</f>
        <v>1552377941273814</v>
      </c>
      <c r="C8850" t="s">
        <v>40</v>
      </c>
      <c r="D8850">
        <v>5.6990910000000001</v>
      </c>
      <c r="E8850">
        <v>0.63064069999999905</v>
      </c>
      <c r="F8850" t="s">
        <v>128</v>
      </c>
      <c r="G8850">
        <v>-149.0352</v>
      </c>
      <c r="H8850">
        <v>4.9208179999999997</v>
      </c>
      <c r="I8850">
        <v>155.96530000000001</v>
      </c>
      <c r="J8850">
        <v>-181.8784</v>
      </c>
      <c r="K8850">
        <v>1.103734</v>
      </c>
      <c r="L8850">
        <v>129.49760000000001</v>
      </c>
      <c r="M8850">
        <v>0.46608440000000001</v>
      </c>
      <c r="N8850">
        <v>0</v>
      </c>
      <c r="O8850">
        <v>0.88462019999999997</v>
      </c>
      <c r="P8850">
        <v>0.53329349999999998</v>
      </c>
      <c r="Q8850">
        <v>4.8560369999999999E-2</v>
      </c>
      <c r="R8850">
        <v>0.84453529999999999</v>
      </c>
      <c r="S8850">
        <v>2.4619140000000002</v>
      </c>
      <c r="T8850">
        <v>0.28551209999999999</v>
      </c>
      <c r="U8850">
        <v>1.9888760000000001</v>
      </c>
      <c r="V8850">
        <v>7.9154699999999995E-2</v>
      </c>
      <c r="W8850">
        <v>6.1797629999999999E-2</v>
      </c>
      <c r="X8850">
        <v>0.99494499999999997</v>
      </c>
      <c r="Y8850">
        <v>0.39193719999999999</v>
      </c>
      <c r="Z8850">
        <v>8.8099159999999996E-2</v>
      </c>
      <c r="AA8850">
        <v>0.91576400000000002</v>
      </c>
      <c r="AB8850">
        <v>24</v>
      </c>
      <c r="AC8850">
        <v>32.843200000000003</v>
      </c>
      <c r="AD8850">
        <v>3.8170839999999999</v>
      </c>
      <c r="AE8850">
        <v>26.467700000000001</v>
      </c>
      <c r="AF8850">
        <v>16.583548078363499</v>
      </c>
      <c r="AG8850">
        <v>3.8170839999999999</v>
      </c>
      <c r="AH8850">
        <v>38.411127049517702</v>
      </c>
      <c r="AI8850">
        <v>84.787075089663205</v>
      </c>
      <c r="AJ8850">
        <v>66.648301149843505</v>
      </c>
      <c r="AK8850">
        <v>42.011889725941202</v>
      </c>
      <c r="AL8850">
        <v>86.456999024182906</v>
      </c>
      <c r="AM8850">
        <v>85.451308220121405</v>
      </c>
      <c r="AN8850">
        <v>0.999999983315353</v>
      </c>
    </row>
    <row r="8851" spans="1:40" x14ac:dyDescent="0.25">
      <c r="A8851" t="str">
        <f>"20190312160541291"</f>
        <v>20190312160541291</v>
      </c>
      <c r="B8851" t="str">
        <f>"1552377941283574"</f>
        <v>1552377941283574</v>
      </c>
      <c r="C8851" t="s">
        <v>40</v>
      </c>
      <c r="D8851">
        <v>5.7029880000000004</v>
      </c>
      <c r="E8851">
        <v>0.63064069999999905</v>
      </c>
      <c r="F8851" t="s">
        <v>128</v>
      </c>
      <c r="G8851">
        <v>-148.4485</v>
      </c>
      <c r="H8851">
        <v>4.9209420000000001</v>
      </c>
      <c r="I8851">
        <v>156.1799</v>
      </c>
      <c r="J8851">
        <v>-181.81950000000001</v>
      </c>
      <c r="K8851">
        <v>1.1036699999999999</v>
      </c>
      <c r="L8851">
        <v>129.5986</v>
      </c>
      <c r="M8851">
        <v>0.47029399999999899</v>
      </c>
      <c r="N8851">
        <v>0</v>
      </c>
      <c r="O8851">
        <v>0.88238919999999998</v>
      </c>
      <c r="P8851">
        <v>0.53759239999999997</v>
      </c>
      <c r="Q8851">
        <v>4.8963180000000002E-2</v>
      </c>
      <c r="R8851">
        <v>0.84178199999999903</v>
      </c>
      <c r="S8851">
        <v>2.4733890000000001</v>
      </c>
      <c r="T8851">
        <v>0.28242650000000002</v>
      </c>
      <c r="U8851">
        <v>1.9741519999999999</v>
      </c>
      <c r="V8851">
        <v>7.9514180000000004E-2</v>
      </c>
      <c r="W8851">
        <v>6.2196920000000003E-2</v>
      </c>
      <c r="X8851">
        <v>0.99489150000000004</v>
      </c>
      <c r="Y8851">
        <v>0.39303310000000002</v>
      </c>
      <c r="Z8851">
        <v>8.7065690000000001E-2</v>
      </c>
      <c r="AA8851">
        <v>0.91539309999999996</v>
      </c>
      <c r="AB8851">
        <v>24</v>
      </c>
      <c r="AC8851">
        <v>33.371000000000002</v>
      </c>
      <c r="AD8851">
        <v>3.817272</v>
      </c>
      <c r="AE8851">
        <v>26.581299999999999</v>
      </c>
      <c r="AF8851">
        <v>16.8123957823307</v>
      </c>
      <c r="AG8851">
        <v>3.817272</v>
      </c>
      <c r="AH8851">
        <v>38.842446218676997</v>
      </c>
      <c r="AI8851">
        <v>84.846444325070806</v>
      </c>
      <c r="AJ8851">
        <v>66.595318290980003</v>
      </c>
      <c r="AK8851">
        <v>42.496633345649101</v>
      </c>
      <c r="AL8851">
        <v>86.434077461669801</v>
      </c>
      <c r="AM8851">
        <v>85.430493007059397</v>
      </c>
      <c r="AN8851">
        <v>1.0000000292254001</v>
      </c>
    </row>
    <row r="8852" spans="1:40" x14ac:dyDescent="0.25">
      <c r="A8852" t="str">
        <f>"20190312160541303"</f>
        <v>20190312160541303</v>
      </c>
      <c r="B8852" t="str">
        <f>"1552377941294310"</f>
        <v>1552377941294310</v>
      </c>
      <c r="C8852" t="s">
        <v>40</v>
      </c>
      <c r="D8852">
        <v>5.6545489999999896</v>
      </c>
      <c r="E8852">
        <v>0.63028989999999996</v>
      </c>
      <c r="F8852" t="s">
        <v>128</v>
      </c>
      <c r="G8852">
        <v>-148.3586</v>
      </c>
      <c r="H8852">
        <v>4.9210229999999999</v>
      </c>
      <c r="I8852">
        <v>156.0241</v>
      </c>
      <c r="J8852">
        <v>-181.75530000000001</v>
      </c>
      <c r="K8852">
        <v>1.1036029999999999</v>
      </c>
      <c r="L8852">
        <v>129.70750000000001</v>
      </c>
      <c r="M8852">
        <v>0.47488580000000002</v>
      </c>
      <c r="N8852">
        <v>0</v>
      </c>
      <c r="O8852">
        <v>0.87992619999999899</v>
      </c>
      <c r="P8852">
        <v>0.54204929999999996</v>
      </c>
      <c r="Q8852">
        <v>4.91814E-2</v>
      </c>
      <c r="R8852">
        <v>0.83890619999999905</v>
      </c>
      <c r="S8852">
        <v>2.4834900000000002</v>
      </c>
      <c r="T8852">
        <v>0.28332770000000002</v>
      </c>
      <c r="U8852">
        <v>1.961319</v>
      </c>
      <c r="V8852">
        <v>7.9626249999999996E-2</v>
      </c>
      <c r="W8852">
        <v>6.2416310000000003E-2</v>
      </c>
      <c r="X8852">
        <v>0.9948688</v>
      </c>
      <c r="Y8852">
        <v>0.39295380000000002</v>
      </c>
      <c r="Z8852">
        <v>8.7206759999999994E-2</v>
      </c>
      <c r="AA8852">
        <v>0.9154137</v>
      </c>
      <c r="AB8852">
        <v>24</v>
      </c>
      <c r="AC8852">
        <v>33.396700000000003</v>
      </c>
      <c r="AD8852">
        <v>3.8174199999999998</v>
      </c>
      <c r="AE8852">
        <v>26.316599999999902</v>
      </c>
      <c r="AF8852">
        <v>16.755991177515099</v>
      </c>
      <c r="AG8852">
        <v>3.8174199999999998</v>
      </c>
      <c r="AH8852">
        <v>38.708436000224999</v>
      </c>
      <c r="AI8852">
        <v>84.828577156991798</v>
      </c>
      <c r="AJ8852">
        <v>66.593323958300402</v>
      </c>
      <c r="AK8852">
        <v>42.351847107072899</v>
      </c>
      <c r="AL8852">
        <v>86.421482881469899</v>
      </c>
      <c r="AM8852">
        <v>85.423975954527094</v>
      </c>
      <c r="AN8852">
        <v>1.0000000323282501</v>
      </c>
    </row>
    <row r="8853" spans="1:40" x14ac:dyDescent="0.25">
      <c r="A8853" t="str">
        <f>"20190312160541314"</f>
        <v>20190312160541314</v>
      </c>
      <c r="B8853" t="str">
        <f>"1552377941304070"</f>
        <v>1552377941304070</v>
      </c>
      <c r="C8853" t="s">
        <v>40</v>
      </c>
      <c r="D8853">
        <v>5.5266719999999996</v>
      </c>
      <c r="E8853">
        <v>0.63014579999999998</v>
      </c>
      <c r="F8853" t="s">
        <v>128</v>
      </c>
      <c r="G8853">
        <v>-147.7885</v>
      </c>
      <c r="H8853">
        <v>4.921125</v>
      </c>
      <c r="I8853">
        <v>156.28530000000001</v>
      </c>
      <c r="J8853">
        <v>-181.68770000000001</v>
      </c>
      <c r="K8853">
        <v>1.10354</v>
      </c>
      <c r="L8853">
        <v>129.82040000000001</v>
      </c>
      <c r="M8853">
        <v>0.47971429999999998</v>
      </c>
      <c r="N8853">
        <v>0</v>
      </c>
      <c r="O8853">
        <v>0.8773029</v>
      </c>
      <c r="P8853">
        <v>0.54687109999999906</v>
      </c>
      <c r="Q8853">
        <v>4.9382530000000001E-2</v>
      </c>
      <c r="R8853">
        <v>0.83575909999999998</v>
      </c>
      <c r="S8853">
        <v>2.4916990000000001</v>
      </c>
      <c r="T8853">
        <v>0.280043599999999</v>
      </c>
      <c r="U8853">
        <v>1.9496770000000001</v>
      </c>
      <c r="V8853">
        <v>7.9907699999999998E-2</v>
      </c>
      <c r="W8853">
        <v>6.2616679999999994E-2</v>
      </c>
      <c r="X8853">
        <v>0.99483359999999998</v>
      </c>
      <c r="Y8853">
        <v>0.39210210000000001</v>
      </c>
      <c r="Z8853">
        <v>8.6058750000000003E-2</v>
      </c>
      <c r="AA8853">
        <v>0.91588749999999997</v>
      </c>
      <c r="AB8853">
        <v>24</v>
      </c>
      <c r="AC8853">
        <v>33.8992</v>
      </c>
      <c r="AD8853">
        <v>3.8175849999999998</v>
      </c>
      <c r="AE8853">
        <v>26.4649</v>
      </c>
      <c r="AF8853">
        <v>16.912829146300599</v>
      </c>
      <c r="AG8853">
        <v>3.8175849999999998</v>
      </c>
      <c r="AH8853">
        <v>39.1751952808102</v>
      </c>
      <c r="AI8853">
        <v>84.887507813872205</v>
      </c>
      <c r="AJ8853">
        <v>66.649036277423605</v>
      </c>
      <c r="AK8853">
        <v>42.840561040371497</v>
      </c>
      <c r="AL8853">
        <v>86.409979875420902</v>
      </c>
      <c r="AM8853">
        <v>85.407708633674702</v>
      </c>
      <c r="AN8853">
        <v>0.99999999041123599</v>
      </c>
    </row>
    <row r="8854" spans="1:40" x14ac:dyDescent="0.25">
      <c r="A8854" t="str">
        <f>"20190312160541325"</f>
        <v>20190312160541325</v>
      </c>
      <c r="B8854" t="str">
        <f>"1552377941313830"</f>
        <v>1552377941313830</v>
      </c>
      <c r="C8854" t="s">
        <v>40</v>
      </c>
      <c r="D8854">
        <v>5.7422789999999999</v>
      </c>
      <c r="E8854">
        <v>0.62999859999999996</v>
      </c>
      <c r="F8854" t="s">
        <v>128</v>
      </c>
      <c r="G8854">
        <v>-147.13679999999999</v>
      </c>
      <c r="H8854">
        <v>4.921252</v>
      </c>
      <c r="I8854">
        <v>156.55410000000001</v>
      </c>
      <c r="J8854">
        <v>-181.6251</v>
      </c>
      <c r="K8854">
        <v>1.1034740000000001</v>
      </c>
      <c r="L8854">
        <v>129.92400000000001</v>
      </c>
      <c r="M8854">
        <v>0.48417100000000002</v>
      </c>
      <c r="N8854">
        <v>0</v>
      </c>
      <c r="O8854">
        <v>0.87485089999999999</v>
      </c>
      <c r="P8854">
        <v>0.55094580000000004</v>
      </c>
      <c r="Q8854">
        <v>4.9669169999999999E-2</v>
      </c>
      <c r="R8854">
        <v>0.83306159999999996</v>
      </c>
      <c r="S8854">
        <v>2.5021059999999999</v>
      </c>
      <c r="T8854">
        <v>0.27647260000000001</v>
      </c>
      <c r="U8854">
        <v>1.936005</v>
      </c>
      <c r="V8854">
        <v>7.9727690000000004E-2</v>
      </c>
      <c r="W8854">
        <v>6.2910300000000002E-2</v>
      </c>
      <c r="X8854">
        <v>0.99482950000000003</v>
      </c>
      <c r="Y8854">
        <v>0.39248690000000003</v>
      </c>
      <c r="Z8854">
        <v>8.484891E-2</v>
      </c>
      <c r="AA8854">
        <v>0.91583559999999997</v>
      </c>
      <c r="AB8854">
        <v>24</v>
      </c>
      <c r="AC8854">
        <v>34.488300000000002</v>
      </c>
      <c r="AD8854">
        <v>3.8177780000000001</v>
      </c>
      <c r="AE8854">
        <v>26.630099999999999</v>
      </c>
      <c r="AF8854">
        <v>17.148800364974701</v>
      </c>
      <c r="AG8854">
        <v>3.8177780000000001</v>
      </c>
      <c r="AH8854">
        <v>39.695152485570098</v>
      </c>
      <c r="AI8854">
        <v>84.954402382352498</v>
      </c>
      <c r="AJ8854">
        <v>66.635054033630595</v>
      </c>
      <c r="AK8854">
        <v>43.409237653611299</v>
      </c>
      <c r="AL8854">
        <v>86.393123389132498</v>
      </c>
      <c r="AM8854">
        <v>85.417990895447204</v>
      </c>
      <c r="AN8854">
        <v>0.99999997223453696</v>
      </c>
    </row>
    <row r="8855" spans="1:40" x14ac:dyDescent="0.25">
      <c r="A8855" t="str">
        <f>"20190312160541337"</f>
        <v>20190312160541337</v>
      </c>
      <c r="B8855" t="str">
        <f>"1552377941334040"</f>
        <v>1552377941334040</v>
      </c>
      <c r="C8855" t="s">
        <v>40</v>
      </c>
      <c r="D8855">
        <v>5.7011699999999896</v>
      </c>
      <c r="E8855">
        <v>0.62947730000000002</v>
      </c>
      <c r="F8855" t="s">
        <v>128</v>
      </c>
      <c r="G8855">
        <v>-146.6465</v>
      </c>
      <c r="H8855">
        <v>4.9213550000000001</v>
      </c>
      <c r="I8855">
        <v>156.73390000000001</v>
      </c>
      <c r="J8855">
        <v>-181.5592</v>
      </c>
      <c r="K8855">
        <v>1.1034079999999999</v>
      </c>
      <c r="L8855">
        <v>130.0309</v>
      </c>
      <c r="M8855">
        <v>0.48885770000000001</v>
      </c>
      <c r="N8855">
        <v>0</v>
      </c>
      <c r="O8855">
        <v>0.87224040000000003</v>
      </c>
      <c r="P8855">
        <v>0.55548350000000002</v>
      </c>
      <c r="Q8855">
        <v>4.9710959999999998E-2</v>
      </c>
      <c r="R8855">
        <v>0.83004029999999995</v>
      </c>
      <c r="S8855">
        <v>2.5107119999999998</v>
      </c>
      <c r="T8855">
        <v>0.27404390000000001</v>
      </c>
      <c r="U8855">
        <v>1.924377</v>
      </c>
      <c r="V8855">
        <v>7.9831070000000004E-2</v>
      </c>
      <c r="W8855">
        <v>6.2954549999999998E-2</v>
      </c>
      <c r="X8855">
        <v>0.99481839999999999</v>
      </c>
      <c r="Y8855">
        <v>0.39180470000000001</v>
      </c>
      <c r="Z8855">
        <v>8.3957249999999997E-2</v>
      </c>
      <c r="AA8855">
        <v>0.91620970000000002</v>
      </c>
      <c r="AB8855">
        <v>24</v>
      </c>
      <c r="AC8855">
        <v>34.912700000000001</v>
      </c>
      <c r="AD8855">
        <v>3.8179470000000002</v>
      </c>
      <c r="AE8855">
        <v>26.702999999999999</v>
      </c>
      <c r="AF8855">
        <v>17.269866665133002</v>
      </c>
      <c r="AG8855">
        <v>3.8179470000000002</v>
      </c>
      <c r="AH8855">
        <v>40.060850676195301</v>
      </c>
      <c r="AI8855">
        <v>84.998338580711803</v>
      </c>
      <c r="AJ8855">
        <v>66.679567483847606</v>
      </c>
      <c r="AK8855">
        <v>43.791514826809802</v>
      </c>
      <c r="AL8855">
        <v>86.390582978422401</v>
      </c>
      <c r="AM8855">
        <v>85.412023945943602</v>
      </c>
      <c r="AN8855">
        <v>0.99999996204080299</v>
      </c>
    </row>
    <row r="8856" spans="1:40" x14ac:dyDescent="0.25">
      <c r="A8856" t="str">
        <f>"20190312160541348"</f>
        <v>20190312160541348</v>
      </c>
      <c r="B8856" t="str">
        <f>"1552377941343799"</f>
        <v>1552377941343799</v>
      </c>
      <c r="C8856" t="s">
        <v>40</v>
      </c>
      <c r="D8856">
        <v>5.5639839999999996</v>
      </c>
      <c r="E8856">
        <v>0.62920889999999996</v>
      </c>
      <c r="F8856" t="s">
        <v>128</v>
      </c>
      <c r="G8856">
        <v>-145.5421</v>
      </c>
      <c r="H8856">
        <v>4.9215019999999896</v>
      </c>
      <c r="I8856">
        <v>157.39429999999999</v>
      </c>
      <c r="J8856">
        <v>-181.49529999999999</v>
      </c>
      <c r="K8856">
        <v>1.103348</v>
      </c>
      <c r="L8856">
        <v>130.13409999999999</v>
      </c>
      <c r="M8856">
        <v>0.49339529999999898</v>
      </c>
      <c r="N8856">
        <v>0</v>
      </c>
      <c r="O8856">
        <v>0.8696815</v>
      </c>
      <c r="P8856">
        <v>0.55984750000000005</v>
      </c>
      <c r="Q8856">
        <v>4.9623800000000003E-2</v>
      </c>
      <c r="R8856">
        <v>0.82710839999999997</v>
      </c>
      <c r="S8856">
        <v>2.5181119999999999</v>
      </c>
      <c r="T8856">
        <v>0.26694119999999999</v>
      </c>
      <c r="U8856">
        <v>1.9131009999999999</v>
      </c>
      <c r="V8856">
        <v>7.9893809999999996E-2</v>
      </c>
      <c r="W8856">
        <v>6.2869850000000005E-2</v>
      </c>
      <c r="X8856">
        <v>0.99481869999999994</v>
      </c>
      <c r="Y8856">
        <v>0.39107700000000001</v>
      </c>
      <c r="Z8856">
        <v>8.1664790000000001E-2</v>
      </c>
      <c r="AA8856">
        <v>0.91672770000000003</v>
      </c>
      <c r="AB8856">
        <v>24</v>
      </c>
      <c r="AC8856">
        <v>35.953199999999903</v>
      </c>
      <c r="AD8856">
        <v>3.8181539999999998</v>
      </c>
      <c r="AE8856">
        <v>27.260200000000001</v>
      </c>
      <c r="AF8856">
        <v>17.692993536898399</v>
      </c>
      <c r="AG8856">
        <v>3.8181539999999998</v>
      </c>
      <c r="AH8856">
        <v>41.156563291230597</v>
      </c>
      <c r="AI8856">
        <v>85.128480902380304</v>
      </c>
      <c r="AJ8856">
        <v>66.737381159073607</v>
      </c>
      <c r="AK8856">
        <v>44.960905486983997</v>
      </c>
      <c r="AL8856">
        <v>86.3954454926794</v>
      </c>
      <c r="AM8856">
        <v>85.408435002228899</v>
      </c>
      <c r="AN8856">
        <v>0.999999942392512</v>
      </c>
    </row>
    <row r="8857" spans="1:40" x14ac:dyDescent="0.25">
      <c r="A8857" t="str">
        <f>"20190312160541358"</f>
        <v>20190312160541358</v>
      </c>
      <c r="B8857" t="str">
        <f>"1552377941343799"</f>
        <v>1552377941343799</v>
      </c>
      <c r="C8857" t="s">
        <v>40</v>
      </c>
      <c r="D8857">
        <v>5.5639839999999996</v>
      </c>
      <c r="E8857">
        <v>0.62920889999999996</v>
      </c>
      <c r="F8857" t="s">
        <v>128</v>
      </c>
      <c r="G8857">
        <v>-144.49770000000001</v>
      </c>
      <c r="H8857">
        <v>4.9216579999999999</v>
      </c>
      <c r="I8857">
        <v>157.96799999999999</v>
      </c>
      <c r="J8857">
        <v>-181.43549999999999</v>
      </c>
      <c r="K8857">
        <v>1.1032879999999901</v>
      </c>
      <c r="L8857">
        <v>130.2287</v>
      </c>
      <c r="M8857">
        <v>0.49763760000000001</v>
      </c>
      <c r="N8857">
        <v>0</v>
      </c>
      <c r="O8857">
        <v>0.86726059999999905</v>
      </c>
      <c r="P8857">
        <v>0.56411959999999906</v>
      </c>
      <c r="Q8857">
        <v>4.9932400000000002E-2</v>
      </c>
      <c r="R8857">
        <v>0.82418189999999902</v>
      </c>
      <c r="S8857">
        <v>2.526932</v>
      </c>
      <c r="T8857">
        <v>0.2607913</v>
      </c>
      <c r="U8857">
        <v>1.9010469999999999</v>
      </c>
      <c r="V8857">
        <v>8.0205559999999995E-2</v>
      </c>
      <c r="W8857">
        <v>6.3177280000000002E-2</v>
      </c>
      <c r="X8857">
        <v>0.99477420000000005</v>
      </c>
      <c r="Y8857">
        <v>0.39105430000000002</v>
      </c>
      <c r="Z8857">
        <v>7.9671829999999999E-2</v>
      </c>
      <c r="AA8857">
        <v>0.91691270000000002</v>
      </c>
      <c r="AB8857">
        <v>24</v>
      </c>
      <c r="AC8857">
        <v>36.937799999999903</v>
      </c>
      <c r="AD8857">
        <v>3.8183699999999998</v>
      </c>
      <c r="AE8857">
        <v>27.739299999999901</v>
      </c>
      <c r="AF8857">
        <v>18.108817055015901</v>
      </c>
      <c r="AG8857">
        <v>3.8183699999999998</v>
      </c>
      <c r="AH8857">
        <v>42.155389193173498</v>
      </c>
      <c r="AI8857">
        <v>85.242549568822298</v>
      </c>
      <c r="AJ8857">
        <v>66.752945891466794</v>
      </c>
      <c r="AK8857">
        <v>46.0389622235</v>
      </c>
      <c r="AL8857">
        <v>86.377796189782501</v>
      </c>
      <c r="AM8857">
        <v>85.390390213875193</v>
      </c>
      <c r="AN8857">
        <v>1.00000000477437</v>
      </c>
    </row>
    <row r="8858" spans="1:40" x14ac:dyDescent="0.25">
      <c r="A8858" t="str">
        <f>"20190312160541372"</f>
        <v>20190312160541372</v>
      </c>
      <c r="B8858" t="str">
        <f>"1552377941364297"</f>
        <v>1552377941364297</v>
      </c>
      <c r="C8858" t="s">
        <v>40</v>
      </c>
      <c r="D8858">
        <v>5.6514319999999998</v>
      </c>
      <c r="E8858">
        <v>0.628834</v>
      </c>
      <c r="F8858" t="s">
        <v>128</v>
      </c>
      <c r="G8858">
        <v>-144.35079999999999</v>
      </c>
      <c r="H8858">
        <v>4.9217529999999998</v>
      </c>
      <c r="I8858">
        <v>157.82849999999999</v>
      </c>
      <c r="J8858">
        <v>-181.35919999999999</v>
      </c>
      <c r="K8858">
        <v>1.1032150000000001</v>
      </c>
      <c r="L8858">
        <v>130.3485</v>
      </c>
      <c r="M8858">
        <v>0.50303229999999999</v>
      </c>
      <c r="N8858">
        <v>0</v>
      </c>
      <c r="O8858">
        <v>0.86414239999999998</v>
      </c>
      <c r="P8858">
        <v>0.56919259999999905</v>
      </c>
      <c r="Q8858">
        <v>5.0039649999999998E-2</v>
      </c>
      <c r="R8858">
        <v>0.82068009999999902</v>
      </c>
      <c r="S8858">
        <v>2.5366819999999999</v>
      </c>
      <c r="T8858">
        <v>0.26119379999999998</v>
      </c>
      <c r="U8858">
        <v>1.887894</v>
      </c>
      <c r="V8858">
        <v>8.0159110000000006E-2</v>
      </c>
      <c r="W8858">
        <v>6.3290529999999998E-2</v>
      </c>
      <c r="X8858">
        <v>0.99477079999999996</v>
      </c>
      <c r="Y8858">
        <v>0.3900691</v>
      </c>
      <c r="Z8858">
        <v>7.9607349999999993E-2</v>
      </c>
      <c r="AA8858">
        <v>0.91733790000000004</v>
      </c>
      <c r="AB8858">
        <v>24</v>
      </c>
      <c r="AC8858">
        <v>37.008400000000002</v>
      </c>
      <c r="AD8858">
        <v>3.8185380000000002</v>
      </c>
      <c r="AE8858">
        <v>27.479999999999901</v>
      </c>
      <c r="AF8858">
        <v>18.035397301448299</v>
      </c>
      <c r="AG8858">
        <v>3.8185380000000002</v>
      </c>
      <c r="AH8858">
        <v>42.078872575759</v>
      </c>
      <c r="AI8858">
        <v>85.232072626070504</v>
      </c>
      <c r="AJ8858">
        <v>66.799574983278404</v>
      </c>
      <c r="AK8858">
        <v>45.940051213788301</v>
      </c>
      <c r="AL8858">
        <v>86.3712946292205</v>
      </c>
      <c r="AM8858">
        <v>85.3930326360869</v>
      </c>
      <c r="AN8858">
        <v>1.0000000593181499</v>
      </c>
    </row>
    <row r="8859" spans="1:40" x14ac:dyDescent="0.25">
      <c r="A8859" t="str">
        <f>"20190312160541383"</f>
        <v>20190312160541383</v>
      </c>
      <c r="B8859" t="str">
        <f>"1552377941374055"</f>
        <v>1552377941374055</v>
      </c>
      <c r="C8859" t="s">
        <v>40</v>
      </c>
      <c r="D8859">
        <v>5.7609159999999999</v>
      </c>
      <c r="E8859">
        <v>0.628834</v>
      </c>
      <c r="F8859" t="s">
        <v>55</v>
      </c>
      <c r="G8859">
        <v>-139.95830000000001</v>
      </c>
      <c r="H8859">
        <v>5.214245</v>
      </c>
      <c r="I8859">
        <v>160.81780000000001</v>
      </c>
      <c r="J8859">
        <v>-181.2859</v>
      </c>
      <c r="K8859">
        <v>1.1031519999999999</v>
      </c>
      <c r="L8859">
        <v>130.46170000000001</v>
      </c>
      <c r="M8859">
        <v>0.50819720000000002</v>
      </c>
      <c r="N8859">
        <v>0</v>
      </c>
      <c r="O8859">
        <v>0.86111489999999902</v>
      </c>
      <c r="P8859">
        <v>0.5741001</v>
      </c>
      <c r="Q8859">
        <v>5.0280230000000002E-2</v>
      </c>
      <c r="R8859">
        <v>0.81723990000000002</v>
      </c>
      <c r="S8859">
        <v>2.5463710000000002</v>
      </c>
      <c r="T8859">
        <v>0.25285160000000001</v>
      </c>
      <c r="U8859">
        <v>1.874023</v>
      </c>
      <c r="V8859">
        <v>8.0186049999999995E-2</v>
      </c>
      <c r="W8859">
        <v>6.3536549999999997E-2</v>
      </c>
      <c r="X8859">
        <v>0.99475290000000005</v>
      </c>
      <c r="Y8859">
        <v>0.38965309999999997</v>
      </c>
      <c r="Z8859">
        <v>7.6922679999999993E-2</v>
      </c>
      <c r="AA8859">
        <v>0.91774359999999999</v>
      </c>
      <c r="AB8859">
        <v>24</v>
      </c>
      <c r="AC8859">
        <v>41.327599999999897</v>
      </c>
      <c r="AD8859">
        <v>4.1110930000000003</v>
      </c>
      <c r="AE8859">
        <v>30.356100000000001</v>
      </c>
      <c r="AF8859">
        <v>20.034339941069401</v>
      </c>
      <c r="AG8859">
        <v>4.1110930000000003</v>
      </c>
      <c r="AH8859">
        <v>46.846659531915499</v>
      </c>
      <c r="AI8859">
        <v>85.386940406724406</v>
      </c>
      <c r="AJ8859">
        <v>66.845647744700599</v>
      </c>
      <c r="AK8859">
        <v>51.116390442090001</v>
      </c>
      <c r="AL8859">
        <v>86.357170129243102</v>
      </c>
      <c r="AM8859">
        <v>85.391408417230906</v>
      </c>
      <c r="AN8859">
        <v>1.00000001392945</v>
      </c>
    </row>
    <row r="8860" spans="1:40" x14ac:dyDescent="0.25">
      <c r="A8860" t="str">
        <f>"20190312160541396"</f>
        <v>20190312160541396</v>
      </c>
      <c r="B8860" t="str">
        <f>"1552377941383814"</f>
        <v>1552377941383814</v>
      </c>
      <c r="C8860" t="s">
        <v>40</v>
      </c>
      <c r="D8860">
        <v>5.8148289999999996</v>
      </c>
      <c r="E8860">
        <v>0.62200219999999995</v>
      </c>
      <c r="F8860" t="s">
        <v>55</v>
      </c>
      <c r="G8860">
        <v>-139.51929999999999</v>
      </c>
      <c r="H8860">
        <v>5.2513050000000003</v>
      </c>
      <c r="I8860">
        <v>160.8176</v>
      </c>
      <c r="J8860">
        <v>-181.21180000000001</v>
      </c>
      <c r="K8860">
        <v>1.1030879999999901</v>
      </c>
      <c r="L8860">
        <v>130.5744</v>
      </c>
      <c r="M8860">
        <v>0.51340629999999998</v>
      </c>
      <c r="N8860">
        <v>0</v>
      </c>
      <c r="O8860">
        <v>0.85801890000000003</v>
      </c>
      <c r="P8860">
        <v>0.5789261</v>
      </c>
      <c r="Q8860">
        <v>5.0602290000000001E-2</v>
      </c>
      <c r="R8860">
        <v>0.81380830000000004</v>
      </c>
      <c r="S8860">
        <v>2.557404</v>
      </c>
      <c r="T8860">
        <v>0.25399629999999901</v>
      </c>
      <c r="U8860">
        <v>1.858719</v>
      </c>
      <c r="V8860">
        <v>8.0070100000000005E-2</v>
      </c>
      <c r="W8860">
        <v>6.3866350000000002E-2</v>
      </c>
      <c r="X8860">
        <v>0.99474110000000004</v>
      </c>
      <c r="Y8860">
        <v>0.38953349999999998</v>
      </c>
      <c r="Z8860">
        <v>7.7106919999999995E-2</v>
      </c>
      <c r="AA8860">
        <v>0.91777900000000001</v>
      </c>
      <c r="AB8860">
        <v>24</v>
      </c>
      <c r="AC8860">
        <v>41.692500000000003</v>
      </c>
      <c r="AD8860">
        <v>4.1482169999999998</v>
      </c>
      <c r="AE8860">
        <v>30.243200000000002</v>
      </c>
      <c r="AF8860">
        <v>20.117616433559999</v>
      </c>
      <c r="AG8860">
        <v>4.1482169999999998</v>
      </c>
      <c r="AH8860">
        <v>47.054370416155301</v>
      </c>
      <c r="AI8860">
        <v>85.365725643013803</v>
      </c>
      <c r="AJ8860">
        <v>66.851363844610006</v>
      </c>
      <c r="AK8860">
        <v>51.3423798679773</v>
      </c>
      <c r="AL8860">
        <v>86.338235451359296</v>
      </c>
      <c r="AM8860">
        <v>85.397989496378202</v>
      </c>
      <c r="AN8860">
        <v>0.99999999380277105</v>
      </c>
    </row>
    <row r="8861" spans="1:40" x14ac:dyDescent="0.25">
      <c r="A8861" t="str">
        <f>"20190312160541414"</f>
        <v>20190312160541414</v>
      </c>
      <c r="B8861" t="str">
        <f>"1552377941404311"</f>
        <v>1552377941404311</v>
      </c>
      <c r="C8861" t="s">
        <v>40</v>
      </c>
      <c r="D8861">
        <v>5.8202369999999997</v>
      </c>
      <c r="E8861">
        <v>0.62033389999999999</v>
      </c>
      <c r="F8861" t="s">
        <v>55</v>
      </c>
      <c r="G8861">
        <v>-140.44710000000001</v>
      </c>
      <c r="H8861">
        <v>3.7339060000000002</v>
      </c>
      <c r="I8861">
        <v>160.8185</v>
      </c>
      <c r="J8861">
        <v>-181.0993</v>
      </c>
      <c r="K8861">
        <v>1.1029949999999999</v>
      </c>
      <c r="L8861">
        <v>130.74279999999999</v>
      </c>
      <c r="M8861">
        <v>0.52127299999999999</v>
      </c>
      <c r="N8861">
        <v>0</v>
      </c>
      <c r="O8861">
        <v>0.85326209999999902</v>
      </c>
      <c r="P8861">
        <v>0.58625439999999995</v>
      </c>
      <c r="Q8861">
        <v>5.0695450000000003E-2</v>
      </c>
      <c r="R8861">
        <v>0.80853929999999996</v>
      </c>
      <c r="S8861">
        <v>2.5295869999999998</v>
      </c>
      <c r="T8861">
        <v>0.163252799999999</v>
      </c>
      <c r="U8861">
        <v>1.8767400000000001</v>
      </c>
      <c r="V8861">
        <v>7.9930180000000003E-2</v>
      </c>
      <c r="W8861">
        <v>6.3972459999999995E-2</v>
      </c>
      <c r="X8861">
        <v>0.99474560000000001</v>
      </c>
      <c r="Y8861">
        <v>0.37358580000000002</v>
      </c>
      <c r="Z8861">
        <v>4.9413499999999999E-2</v>
      </c>
      <c r="AA8861">
        <v>0.9262785</v>
      </c>
      <c r="AB8861">
        <v>24</v>
      </c>
      <c r="AC8861">
        <v>40.652199999999901</v>
      </c>
      <c r="AD8861">
        <v>2.6309110000000002</v>
      </c>
      <c r="AE8861">
        <v>30.075700000000001</v>
      </c>
      <c r="AF8861">
        <v>18.9600847224558</v>
      </c>
      <c r="AG8861">
        <v>2.6309110000000002</v>
      </c>
      <c r="AH8861">
        <v>46.731968736857802</v>
      </c>
      <c r="AI8861">
        <v>87.013715263326802</v>
      </c>
      <c r="AJ8861">
        <v>67.916631631304</v>
      </c>
      <c r="AK8861">
        <v>50.500330765206698</v>
      </c>
      <c r="AL8861">
        <v>86.332143577693799</v>
      </c>
      <c r="AM8861">
        <v>85.406017606716503</v>
      </c>
      <c r="AN8861">
        <v>1.0000000590163201</v>
      </c>
    </row>
    <row r="8862" spans="1:40" x14ac:dyDescent="0.25">
      <c r="A8862" t="str">
        <f>"20190312160541427"</f>
        <v>20190312160541427</v>
      </c>
      <c r="B8862" t="str">
        <f>"1552377941414071"</f>
        <v>1552377941414071</v>
      </c>
      <c r="C8862" t="s">
        <v>40</v>
      </c>
      <c r="D8862">
        <v>5.8014830000000002</v>
      </c>
      <c r="E8862">
        <v>0.62033389999999999</v>
      </c>
      <c r="F8862" t="s">
        <v>55</v>
      </c>
      <c r="G8862">
        <v>-140.13319999999999</v>
      </c>
      <c r="H8862">
        <v>3.5790999999999999</v>
      </c>
      <c r="I8862">
        <v>160.8184</v>
      </c>
      <c r="J8862">
        <v>-181.01499999999999</v>
      </c>
      <c r="K8862">
        <v>1.1029279999999999</v>
      </c>
      <c r="L8862">
        <v>130.86709999999999</v>
      </c>
      <c r="M8862">
        <v>0.52714240000000001</v>
      </c>
      <c r="N8862">
        <v>0</v>
      </c>
      <c r="O8862">
        <v>0.84964819999999996</v>
      </c>
      <c r="P8862">
        <v>0.59195509999999996</v>
      </c>
      <c r="Q8862">
        <v>5.0363339999999999E-2</v>
      </c>
      <c r="R8862">
        <v>0.80439589999999905</v>
      </c>
      <c r="S8862">
        <v>2.5361180000000001</v>
      </c>
      <c r="T8862">
        <v>0.1532917</v>
      </c>
      <c r="U8862">
        <v>1.8619079999999999</v>
      </c>
      <c r="V8862">
        <v>8.0098219999999998E-2</v>
      </c>
      <c r="W8862">
        <v>6.3644590000000001E-2</v>
      </c>
      <c r="X8862">
        <v>0.99475309999999995</v>
      </c>
      <c r="Y8862">
        <v>0.37197940000000002</v>
      </c>
      <c r="Z8862">
        <v>4.6313229999999997E-2</v>
      </c>
      <c r="AA8862">
        <v>0.92708489999999999</v>
      </c>
      <c r="AB8862">
        <v>24</v>
      </c>
      <c r="AC8862">
        <v>40.881799999999998</v>
      </c>
      <c r="AD8862">
        <v>2.476172</v>
      </c>
      <c r="AE8862">
        <v>29.9513</v>
      </c>
      <c r="AF8862">
        <v>18.903493519700898</v>
      </c>
      <c r="AG8862">
        <v>2.476172</v>
      </c>
      <c r="AH8862">
        <v>46.891798777653399</v>
      </c>
      <c r="AI8862">
        <v>87.196112402662493</v>
      </c>
      <c r="AJ8862">
        <v>68.044154934827901</v>
      </c>
      <c r="AK8862">
        <v>50.619307458981403</v>
      </c>
      <c r="AL8862">
        <v>86.350967450356904</v>
      </c>
      <c r="AM8862">
        <v>85.396435547730604</v>
      </c>
      <c r="AN8862">
        <v>1.00000004432152</v>
      </c>
    </row>
    <row r="8863" spans="1:40" x14ac:dyDescent="0.25">
      <c r="A8863" t="str">
        <f>"20190312160541438"</f>
        <v>20190312160541438</v>
      </c>
      <c r="B8863" t="str">
        <f>"1552377941423831"</f>
        <v>1552377941423831</v>
      </c>
      <c r="C8863" t="s">
        <v>40</v>
      </c>
      <c r="D8863">
        <v>5.8526860000000003</v>
      </c>
      <c r="E8863">
        <v>0.62072320000000003</v>
      </c>
      <c r="F8863" t="s">
        <v>55</v>
      </c>
      <c r="G8863">
        <v>-139.60890000000001</v>
      </c>
      <c r="H8863">
        <v>3.5684619999999998</v>
      </c>
      <c r="I8863">
        <v>160.81819999999999</v>
      </c>
      <c r="J8863">
        <v>-180.9478</v>
      </c>
      <c r="K8863">
        <v>1.1028800000000001</v>
      </c>
      <c r="L8863">
        <v>130.9639</v>
      </c>
      <c r="M8863">
        <v>0.53179650000000001</v>
      </c>
      <c r="N8863">
        <v>0</v>
      </c>
      <c r="O8863">
        <v>0.84674269999999996</v>
      </c>
      <c r="P8863">
        <v>0.59648310000000004</v>
      </c>
      <c r="Q8863">
        <v>5.0304330000000001E-2</v>
      </c>
      <c r="R8863">
        <v>0.80104770000000003</v>
      </c>
      <c r="S8863">
        <v>2.549255</v>
      </c>
      <c r="T8863">
        <v>0.1517984</v>
      </c>
      <c r="U8863">
        <v>1.844009</v>
      </c>
      <c r="V8863">
        <v>8.0255939999999998E-2</v>
      </c>
      <c r="W8863">
        <v>6.3588430000000001E-2</v>
      </c>
      <c r="X8863">
        <v>0.99474390000000001</v>
      </c>
      <c r="Y8863">
        <v>0.3734499</v>
      </c>
      <c r="Z8863">
        <v>4.5786269999999997E-2</v>
      </c>
      <c r="AA8863">
        <v>0.9265198</v>
      </c>
      <c r="AB8863">
        <v>24</v>
      </c>
      <c r="AC8863">
        <v>41.338900000000002</v>
      </c>
      <c r="AD8863">
        <v>2.4655819999999999</v>
      </c>
      <c r="AE8863">
        <v>29.854299999999899</v>
      </c>
      <c r="AF8863">
        <v>19.084478487460299</v>
      </c>
      <c r="AG8863">
        <v>2.4655819999999999</v>
      </c>
      <c r="AH8863">
        <v>47.157723425316398</v>
      </c>
      <c r="AI8863">
        <v>87.225309586462501</v>
      </c>
      <c r="AJ8863">
        <v>67.967083991794794</v>
      </c>
      <c r="AK8863">
        <v>50.932772282644301</v>
      </c>
      <c r="AL8863">
        <v>86.354191424298904</v>
      </c>
      <c r="AM8863">
        <v>85.387367351033305</v>
      </c>
      <c r="AN8863">
        <v>0.99999996546117798</v>
      </c>
    </row>
    <row r="8864" spans="1:40" x14ac:dyDescent="0.25">
      <c r="A8864" t="str">
        <f>"20190312160541448"</f>
        <v>20190312160541448</v>
      </c>
      <c r="B8864" t="str">
        <f>"1552377941443990"</f>
        <v>1552377941443990</v>
      </c>
      <c r="C8864" t="s">
        <v>40</v>
      </c>
      <c r="D8864">
        <v>6.0278900000000002</v>
      </c>
      <c r="E8864">
        <v>0.62187179999999997</v>
      </c>
      <c r="F8864" t="s">
        <v>55</v>
      </c>
      <c r="G8864">
        <v>-139.09690000000001</v>
      </c>
      <c r="H8864">
        <v>3.584044</v>
      </c>
      <c r="I8864">
        <v>160.81809999999999</v>
      </c>
      <c r="J8864">
        <v>-180.88630000000001</v>
      </c>
      <c r="K8864">
        <v>1.1028389999999999</v>
      </c>
      <c r="L8864">
        <v>131.0523</v>
      </c>
      <c r="M8864">
        <v>0.53603789999999996</v>
      </c>
      <c r="N8864">
        <v>0</v>
      </c>
      <c r="O8864">
        <v>0.84406380000000003</v>
      </c>
      <c r="P8864">
        <v>0.60070119999999905</v>
      </c>
      <c r="Q8864">
        <v>5.0198779999999998E-2</v>
      </c>
      <c r="R8864">
        <v>0.797896099999999</v>
      </c>
      <c r="S8864">
        <v>2.5621489999999998</v>
      </c>
      <c r="T8864">
        <v>0.15190119999999999</v>
      </c>
      <c r="U8864">
        <v>1.827698</v>
      </c>
      <c r="V8864">
        <v>8.0515119999999996E-2</v>
      </c>
      <c r="W8864">
        <v>6.3483739999999997E-2</v>
      </c>
      <c r="X8864">
        <v>0.99472969999999905</v>
      </c>
      <c r="Y8864">
        <v>0.37491249999999998</v>
      </c>
      <c r="Z8864">
        <v>4.5735129999999999E-2</v>
      </c>
      <c r="AA8864">
        <v>0.92593139999999996</v>
      </c>
      <c r="AB8864">
        <v>24</v>
      </c>
      <c r="AC8864">
        <v>41.789400000000001</v>
      </c>
      <c r="AD8864">
        <v>2.4812050000000001</v>
      </c>
      <c r="AE8864">
        <v>29.765799999999899</v>
      </c>
      <c r="AF8864">
        <v>19.274367331990401</v>
      </c>
      <c r="AG8864">
        <v>2.4812050000000001</v>
      </c>
      <c r="AH8864">
        <v>47.419256315460302</v>
      </c>
      <c r="AI8864">
        <v>87.224842669817406</v>
      </c>
      <c r="AJ8864">
        <v>67.879875919971099</v>
      </c>
      <c r="AK8864">
        <v>51.246887552434302</v>
      </c>
      <c r="AL8864">
        <v>86.360202072955801</v>
      </c>
      <c r="AM8864">
        <v>85.372470049007902</v>
      </c>
      <c r="AN8864">
        <v>1.0000000229275401</v>
      </c>
    </row>
    <row r="8865" spans="1:40" x14ac:dyDescent="0.25">
      <c r="A8865" t="str">
        <f>"20190312160541459"</f>
        <v>20190312160541459</v>
      </c>
      <c r="B8865" t="str">
        <f>"1552377941453762"</f>
        <v>1552377941453762</v>
      </c>
      <c r="C8865" t="s">
        <v>40</v>
      </c>
      <c r="D8865">
        <v>5.8597199999999896</v>
      </c>
      <c r="E8865">
        <v>0.621479</v>
      </c>
      <c r="F8865" t="s">
        <v>55</v>
      </c>
      <c r="G8865">
        <v>-138.42259999999999</v>
      </c>
      <c r="H8865">
        <v>3.1209349999999998</v>
      </c>
      <c r="I8865">
        <v>160.81799999999899</v>
      </c>
      <c r="J8865">
        <v>-180.81299999999999</v>
      </c>
      <c r="K8865">
        <v>1.102792</v>
      </c>
      <c r="L8865">
        <v>131.15549999999999</v>
      </c>
      <c r="M8865">
        <v>0.54107340000000004</v>
      </c>
      <c r="N8865">
        <v>0</v>
      </c>
      <c r="O8865">
        <v>0.84084449999999999</v>
      </c>
      <c r="P8865">
        <v>0.60582769999999897</v>
      </c>
      <c r="Q8865">
        <v>5.0461989999999998E-2</v>
      </c>
      <c r="R8865">
        <v>0.79399390000000003</v>
      </c>
      <c r="S8865">
        <v>2.580902</v>
      </c>
      <c r="T8865">
        <v>0.1226599</v>
      </c>
      <c r="U8865">
        <v>1.8091280000000001</v>
      </c>
      <c r="V8865">
        <v>8.0997979999999997E-2</v>
      </c>
      <c r="W8865">
        <v>6.3744990000000001E-2</v>
      </c>
      <c r="X8865">
        <v>0.99467380000000005</v>
      </c>
      <c r="Y8865">
        <v>0.377359</v>
      </c>
      <c r="Z8865">
        <v>3.6830920000000003E-2</v>
      </c>
      <c r="AA8865">
        <v>0.92533430000000005</v>
      </c>
      <c r="AB8865">
        <v>24</v>
      </c>
      <c r="AC8865">
        <v>42.3904</v>
      </c>
      <c r="AD8865">
        <v>2.0181429999999998</v>
      </c>
      <c r="AE8865">
        <v>29.662499999999898</v>
      </c>
      <c r="AF8865">
        <v>19.566530221133299</v>
      </c>
      <c r="AG8865">
        <v>2.0181429999999998</v>
      </c>
      <c r="AH8865">
        <v>47.8103918087509</v>
      </c>
      <c r="AI8865">
        <v>87.762797433822499</v>
      </c>
      <c r="AJ8865">
        <v>67.743037581161303</v>
      </c>
      <c r="AK8865">
        <v>51.698699896315098</v>
      </c>
      <c r="AL8865">
        <v>86.345203206297796</v>
      </c>
      <c r="AM8865">
        <v>85.3445792715397</v>
      </c>
      <c r="AN8865">
        <v>1.00000003246031</v>
      </c>
    </row>
    <row r="8866" spans="1:40" x14ac:dyDescent="0.25">
      <c r="A8866" t="str">
        <f>"20190312160541471"</f>
        <v>20190312160541471</v>
      </c>
      <c r="B8866" t="str">
        <f>"1552377941464486"</f>
        <v>1552377941464486</v>
      </c>
      <c r="C8866" t="s">
        <v>40</v>
      </c>
      <c r="D8866">
        <v>5.9128669999999897</v>
      </c>
      <c r="E8866">
        <v>0.62089629999999996</v>
      </c>
      <c r="F8866" t="s">
        <v>55</v>
      </c>
      <c r="G8866">
        <v>-138.00239999999999</v>
      </c>
      <c r="H8866">
        <v>3.1861630000000001</v>
      </c>
      <c r="I8866">
        <v>160.81780000000001</v>
      </c>
      <c r="J8866">
        <v>-180.7422</v>
      </c>
      <c r="K8866">
        <v>1.1027469999999999</v>
      </c>
      <c r="L8866">
        <v>131.2544</v>
      </c>
      <c r="M8866">
        <v>0.54590859999999997</v>
      </c>
      <c r="N8866">
        <v>0</v>
      </c>
      <c r="O8866">
        <v>0.83771309999999999</v>
      </c>
      <c r="P8866">
        <v>0.61061219999999905</v>
      </c>
      <c r="Q8866">
        <v>5.0823689999999998E-2</v>
      </c>
      <c r="R8866">
        <v>0.79029729999999998</v>
      </c>
      <c r="S8866">
        <v>2.589737</v>
      </c>
      <c r="T8866">
        <v>0.12603119999999901</v>
      </c>
      <c r="U8866">
        <v>1.794357</v>
      </c>
      <c r="V8866">
        <v>8.1301849999999995E-2</v>
      </c>
      <c r="W8866">
        <v>6.4106650000000001E-2</v>
      </c>
      <c r="X8866">
        <v>0.99462569999999995</v>
      </c>
      <c r="Y8866">
        <v>0.37703140000000002</v>
      </c>
      <c r="Z8866">
        <v>3.7765079999999999E-2</v>
      </c>
      <c r="AA8866">
        <v>0.92543019999999998</v>
      </c>
      <c r="AB8866">
        <v>24</v>
      </c>
      <c r="AC8866">
        <v>42.739800000000002</v>
      </c>
      <c r="AD8866">
        <v>2.0834160000000002</v>
      </c>
      <c r="AE8866">
        <v>29.563400000000001</v>
      </c>
      <c r="AF8866">
        <v>19.635386478594999</v>
      </c>
      <c r="AG8866">
        <v>2.0834160000000002</v>
      </c>
      <c r="AH8866">
        <v>48.0257885031846</v>
      </c>
      <c r="AI8866">
        <v>87.700540068854593</v>
      </c>
      <c r="AJ8866">
        <v>67.762757768781</v>
      </c>
      <c r="AK8866">
        <v>51.9265383570431</v>
      </c>
      <c r="AL8866">
        <v>86.324438909176294</v>
      </c>
      <c r="AM8866">
        <v>85.326966333838101</v>
      </c>
      <c r="AN8866">
        <v>0.99999996824406701</v>
      </c>
    </row>
    <row r="8867" spans="1:40" x14ac:dyDescent="0.25">
      <c r="A8867" t="str">
        <f>"20190312160541483"</f>
        <v>20190312160541483</v>
      </c>
      <c r="B8867" t="str">
        <f>"1552377941474246"</f>
        <v>1552377941474246</v>
      </c>
      <c r="C8867" t="s">
        <v>40</v>
      </c>
      <c r="D8867">
        <v>5.6664529999999997</v>
      </c>
      <c r="E8867">
        <v>0.6214499</v>
      </c>
      <c r="F8867" t="s">
        <v>55</v>
      </c>
      <c r="G8867">
        <v>-137.65100000000001</v>
      </c>
      <c r="H8867">
        <v>3.279274</v>
      </c>
      <c r="I8867">
        <v>160.8177</v>
      </c>
      <c r="J8867">
        <v>-180.6636</v>
      </c>
      <c r="K8867">
        <v>1.102697</v>
      </c>
      <c r="L8867">
        <v>131.36259999999999</v>
      </c>
      <c r="M8867">
        <v>0.55125539999999995</v>
      </c>
      <c r="N8867">
        <v>0</v>
      </c>
      <c r="O8867">
        <v>0.83420399999999995</v>
      </c>
      <c r="P8867">
        <v>0.61589139999999998</v>
      </c>
      <c r="Q8867">
        <v>5.0997569999999999E-2</v>
      </c>
      <c r="R8867">
        <v>0.78617879999999996</v>
      </c>
      <c r="S8867">
        <v>2.5965579999999999</v>
      </c>
      <c r="T8867">
        <v>0.13115379999999999</v>
      </c>
      <c r="U8867">
        <v>1.7814029999999901</v>
      </c>
      <c r="V8867">
        <v>8.1619170000000005E-2</v>
      </c>
      <c r="W8867">
        <v>6.4282249999999999E-2</v>
      </c>
      <c r="X8867">
        <v>0.99458840000000004</v>
      </c>
      <c r="Y8867">
        <v>0.37532389999999999</v>
      </c>
      <c r="Z8867">
        <v>3.9195359999999999E-2</v>
      </c>
      <c r="AA8867">
        <v>0.92606460000000002</v>
      </c>
      <c r="AB8867">
        <v>24</v>
      </c>
      <c r="AC8867">
        <v>43.0125999999999</v>
      </c>
      <c r="AD8867">
        <v>2.1765769999999902</v>
      </c>
      <c r="AE8867">
        <v>29.455100000000002</v>
      </c>
      <c r="AF8867">
        <v>19.611985005589499</v>
      </c>
      <c r="AG8867">
        <v>2.1765769999999902</v>
      </c>
      <c r="AH8867">
        <v>48.203801321322302</v>
      </c>
      <c r="AI8867">
        <v>87.6050285675732</v>
      </c>
      <c r="AJ8867">
        <v>67.860776509479393</v>
      </c>
      <c r="AK8867">
        <v>52.086216076059003</v>
      </c>
      <c r="AL8867">
        <v>86.314357059024502</v>
      </c>
      <c r="AM8867">
        <v>85.308633646042296</v>
      </c>
      <c r="AN8867">
        <v>0.99999999099555503</v>
      </c>
    </row>
    <row r="8868" spans="1:40" x14ac:dyDescent="0.25">
      <c r="A8868" t="str">
        <f>"20190312160541494"</f>
        <v>20190312160541494</v>
      </c>
      <c r="B8868" t="str">
        <f>"1552377941484007"</f>
        <v>1552377941484007</v>
      </c>
      <c r="C8868" t="s">
        <v>40</v>
      </c>
      <c r="D8868">
        <v>5.7255919999999998</v>
      </c>
      <c r="E8868">
        <v>0.62199539999999998</v>
      </c>
      <c r="F8868" t="s">
        <v>55</v>
      </c>
      <c r="G8868">
        <v>-136.98859999999999</v>
      </c>
      <c r="H8868">
        <v>3.6343899999999998</v>
      </c>
      <c r="I8868">
        <v>160.81739999999999</v>
      </c>
      <c r="J8868">
        <v>-180.58860000000001</v>
      </c>
      <c r="K8868">
        <v>1.1026530000000001</v>
      </c>
      <c r="L8868">
        <v>131.46420000000001</v>
      </c>
      <c r="M8868">
        <v>0.55632630000000005</v>
      </c>
      <c r="N8868">
        <v>0</v>
      </c>
      <c r="O8868">
        <v>0.83083059999999997</v>
      </c>
      <c r="P8868">
        <v>0.6206779</v>
      </c>
      <c r="Q8868">
        <v>5.135576E-2</v>
      </c>
      <c r="R8868">
        <v>0.78238189999999996</v>
      </c>
      <c r="S8868">
        <v>2.61084</v>
      </c>
      <c r="T8868">
        <v>0.1513437</v>
      </c>
      <c r="U8868">
        <v>1.7607729999999999</v>
      </c>
      <c r="V8868">
        <v>8.1658090000000003E-2</v>
      </c>
      <c r="W8868">
        <v>6.4646270000000006E-2</v>
      </c>
      <c r="X8868">
        <v>0.99456160000000005</v>
      </c>
      <c r="Y8868">
        <v>0.3768126</v>
      </c>
      <c r="Z8868">
        <v>4.5123959999999998E-2</v>
      </c>
      <c r="AA8868">
        <v>0.92518979999999995</v>
      </c>
      <c r="AB8868">
        <v>24</v>
      </c>
      <c r="AC8868">
        <v>43.6</v>
      </c>
      <c r="AD8868">
        <v>2.5317369999999899</v>
      </c>
      <c r="AE8868">
        <v>29.353199999999902</v>
      </c>
      <c r="AF8868">
        <v>19.850404543299501</v>
      </c>
      <c r="AG8868">
        <v>2.5317369999999899</v>
      </c>
      <c r="AH8868">
        <v>48.536139965510102</v>
      </c>
      <c r="AI8868">
        <v>87.235898893055094</v>
      </c>
      <c r="AJ8868">
        <v>67.756325076119694</v>
      </c>
      <c r="AK8868">
        <v>52.499572717512699</v>
      </c>
      <c r="AL8868">
        <v>86.293456736156401</v>
      </c>
      <c r="AM8868">
        <v>85.306280655147702</v>
      </c>
      <c r="AN8868">
        <v>0.99999998004096002</v>
      </c>
    </row>
    <row r="8869" spans="1:40" x14ac:dyDescent="0.25">
      <c r="A8869" t="str">
        <f>"20190312160541506"</f>
        <v>20190312160541506</v>
      </c>
      <c r="B8869" t="str">
        <f>"1552377941493766"</f>
        <v>1552377941493766</v>
      </c>
      <c r="C8869" t="s">
        <v>40</v>
      </c>
      <c r="D8869">
        <v>5.7308859999999999</v>
      </c>
      <c r="E8869">
        <v>0.62208379999999996</v>
      </c>
      <c r="F8869" t="s">
        <v>55</v>
      </c>
      <c r="G8869">
        <v>-136.3683</v>
      </c>
      <c r="H8869">
        <v>3.9177339999999998</v>
      </c>
      <c r="I8869">
        <v>160.81700000000001</v>
      </c>
      <c r="J8869">
        <v>-180.5069</v>
      </c>
      <c r="K8869">
        <v>1.102603</v>
      </c>
      <c r="L8869">
        <v>131.57399999999899</v>
      </c>
      <c r="M8869">
        <v>0.56182500000000002</v>
      </c>
      <c r="N8869">
        <v>0</v>
      </c>
      <c r="O8869">
        <v>0.82712180000000002</v>
      </c>
      <c r="P8869">
        <v>0.62578679999999998</v>
      </c>
      <c r="Q8869">
        <v>5.1723570000000003E-2</v>
      </c>
      <c r="R8869">
        <v>0.7782772</v>
      </c>
      <c r="S8869">
        <v>2.623993</v>
      </c>
      <c r="T8869">
        <v>0.1670468</v>
      </c>
      <c r="U8869">
        <v>1.74177599999999</v>
      </c>
      <c r="V8869">
        <v>8.1600909999999999E-2</v>
      </c>
      <c r="W8869">
        <v>6.5022650000000001E-2</v>
      </c>
      <c r="X8869">
        <v>0.99454180000000003</v>
      </c>
      <c r="Y8869">
        <v>0.3772433</v>
      </c>
      <c r="Z8869">
        <v>4.9658349999999997E-2</v>
      </c>
      <c r="AA8869">
        <v>0.92478190000000005</v>
      </c>
      <c r="AB8869">
        <v>24</v>
      </c>
      <c r="AC8869">
        <v>44.138599999999997</v>
      </c>
      <c r="AD8869">
        <v>2.815131</v>
      </c>
      <c r="AE8869">
        <v>29.242999999999999</v>
      </c>
      <c r="AF8869">
        <v>20.024173695026999</v>
      </c>
      <c r="AG8869">
        <v>2.815131</v>
      </c>
      <c r="AH8869">
        <v>48.853030197644202</v>
      </c>
      <c r="AI8869">
        <v>86.947919076667205</v>
      </c>
      <c r="AJ8869">
        <v>67.711962248612707</v>
      </c>
      <c r="AK8869">
        <v>52.872592656382103</v>
      </c>
      <c r="AL8869">
        <v>86.271846441822106</v>
      </c>
      <c r="AM8869">
        <v>85.309459736535004</v>
      </c>
      <c r="AN8869">
        <v>1.00000002273654</v>
      </c>
    </row>
    <row r="8870" spans="1:40" x14ac:dyDescent="0.25">
      <c r="A8870" t="str">
        <f>"20190312160541519"</f>
        <v>20190312160541519</v>
      </c>
      <c r="B8870" t="str">
        <f>"1552377941504502"</f>
        <v>1552377941504502</v>
      </c>
      <c r="C8870" t="s">
        <v>40</v>
      </c>
      <c r="D8870">
        <v>5.7938330000000002</v>
      </c>
      <c r="E8870">
        <v>0.62213980000000002</v>
      </c>
      <c r="F8870" t="s">
        <v>55</v>
      </c>
      <c r="G8870">
        <v>-135.80500000000001</v>
      </c>
      <c r="H8870">
        <v>4.1601160000000004</v>
      </c>
      <c r="I8870">
        <v>160.8168</v>
      </c>
      <c r="J8870">
        <v>-180.42830000000001</v>
      </c>
      <c r="K8870">
        <v>1.102557</v>
      </c>
      <c r="L8870">
        <v>131.6771</v>
      </c>
      <c r="M8870">
        <v>0.56707830000000004</v>
      </c>
      <c r="N8870">
        <v>0</v>
      </c>
      <c r="O8870">
        <v>0.8235287</v>
      </c>
      <c r="P8870">
        <v>0.63064519999999902</v>
      </c>
      <c r="Q8870">
        <v>5.1727450000000001E-2</v>
      </c>
      <c r="R8870">
        <v>0.77434539999999996</v>
      </c>
      <c r="S8870">
        <v>2.6351469999999999</v>
      </c>
      <c r="T8870">
        <v>0.1802405</v>
      </c>
      <c r="U8870">
        <v>1.723846</v>
      </c>
      <c r="V8870">
        <v>8.1502469999999994E-2</v>
      </c>
      <c r="W8870">
        <v>6.5035960000000004E-2</v>
      </c>
      <c r="X8870">
        <v>0.99454900000000002</v>
      </c>
      <c r="Y8870">
        <v>0.37735279999999999</v>
      </c>
      <c r="Z8870">
        <v>5.3436039999999997E-2</v>
      </c>
      <c r="AA8870">
        <v>0.92452659999999998</v>
      </c>
      <c r="AB8870">
        <v>24</v>
      </c>
      <c r="AC8870">
        <v>44.6233</v>
      </c>
      <c r="AD8870">
        <v>3.0575589999999999</v>
      </c>
      <c r="AE8870">
        <v>29.139700000000001</v>
      </c>
      <c r="AF8870">
        <v>20.159974993052899</v>
      </c>
      <c r="AG8870">
        <v>3.0575589999999999</v>
      </c>
      <c r="AH8870">
        <v>49.146017126426301</v>
      </c>
      <c r="AI8870">
        <v>86.705732566553095</v>
      </c>
      <c r="AJ8870">
        <v>67.696283261925998</v>
      </c>
      <c r="AK8870">
        <v>53.2081221069677</v>
      </c>
      <c r="AL8870">
        <v>86.271082211143295</v>
      </c>
      <c r="AM8870">
        <v>85.315126775134999</v>
      </c>
      <c r="AN8870">
        <v>1.0000000210551101</v>
      </c>
    </row>
    <row r="8871" spans="1:40" x14ac:dyDescent="0.25">
      <c r="A8871" t="str">
        <f>"20190312160541531"</f>
        <v>20190312160541531</v>
      </c>
      <c r="B8871" t="str">
        <f>"1552377941524022"</f>
        <v>1552377941524022</v>
      </c>
      <c r="C8871" t="s">
        <v>40</v>
      </c>
      <c r="D8871">
        <v>5.7821949999999998</v>
      </c>
      <c r="E8871">
        <v>0.6219382</v>
      </c>
      <c r="F8871" t="s">
        <v>55</v>
      </c>
      <c r="G8871">
        <v>-135.2593</v>
      </c>
      <c r="H8871">
        <v>4.3212760000000001</v>
      </c>
      <c r="I8871">
        <v>160.81649999999999</v>
      </c>
      <c r="J8871">
        <v>-180.34620000000001</v>
      </c>
      <c r="K8871">
        <v>1.102506</v>
      </c>
      <c r="L8871">
        <v>131.78399999999999</v>
      </c>
      <c r="M8871">
        <v>0.57253969999999998</v>
      </c>
      <c r="N8871">
        <v>0</v>
      </c>
      <c r="O8871">
        <v>0.81974089999999999</v>
      </c>
      <c r="P8871">
        <v>0.63563119999999995</v>
      </c>
      <c r="Q8871">
        <v>5.1756099999999999E-2</v>
      </c>
      <c r="R8871">
        <v>0.77025600000000005</v>
      </c>
      <c r="S8871">
        <v>2.6457820000000001</v>
      </c>
      <c r="T8871">
        <v>0.18853890000000001</v>
      </c>
      <c r="U8871">
        <v>1.7068479999999999</v>
      </c>
      <c r="V8871">
        <v>8.1321950000000004E-2</v>
      </c>
      <c r="W8871">
        <v>6.5075939999999999E-2</v>
      </c>
      <c r="X8871">
        <v>0.99456109999999998</v>
      </c>
      <c r="Y8871">
        <v>0.37695679999999998</v>
      </c>
      <c r="Z8871">
        <v>5.5725950000000003E-2</v>
      </c>
      <c r="AA8871">
        <v>0.92455299999999996</v>
      </c>
      <c r="AB8871">
        <v>24</v>
      </c>
      <c r="AC8871">
        <v>45.0869</v>
      </c>
      <c r="AD8871">
        <v>3.2187700000000001</v>
      </c>
      <c r="AE8871">
        <v>29.032499999999999</v>
      </c>
      <c r="AF8871">
        <v>20.266571261507099</v>
      </c>
      <c r="AG8871">
        <v>3.2187700000000001</v>
      </c>
      <c r="AH8871">
        <v>49.440582315506603</v>
      </c>
      <c r="AI8871">
        <v>86.552716218922896</v>
      </c>
      <c r="AJ8871">
        <v>67.7104063448067</v>
      </c>
      <c r="AK8871">
        <v>53.5300436269861</v>
      </c>
      <c r="AL8871">
        <v>86.268786433362095</v>
      </c>
      <c r="AM8871">
        <v>85.325513894744702</v>
      </c>
      <c r="AN8871">
        <v>0.99999995957594701</v>
      </c>
    </row>
    <row r="8872" spans="1:40" x14ac:dyDescent="0.25">
      <c r="A8872" t="str">
        <f>"20190312160541547"</f>
        <v>20190312160541547</v>
      </c>
      <c r="B8872" t="str">
        <f>"1552377941534418"</f>
        <v>1552377941534418</v>
      </c>
      <c r="C8872" t="s">
        <v>40</v>
      </c>
      <c r="D8872">
        <v>5.7815320000000003</v>
      </c>
      <c r="E8872">
        <v>0.62182999999999999</v>
      </c>
      <c r="F8872" t="s">
        <v>55</v>
      </c>
      <c r="G8872">
        <v>-134.75899999999999</v>
      </c>
      <c r="H8872">
        <v>4.5620379999999896</v>
      </c>
      <c r="I8872">
        <v>160.81630000000001</v>
      </c>
      <c r="J8872">
        <v>-180.23699999999999</v>
      </c>
      <c r="K8872">
        <v>1.102433</v>
      </c>
      <c r="L8872">
        <v>131.9238</v>
      </c>
      <c r="M8872">
        <v>0.57975319999999997</v>
      </c>
      <c r="N8872">
        <v>0</v>
      </c>
      <c r="O8872">
        <v>0.81465480000000001</v>
      </c>
      <c r="P8872">
        <v>0.64164219999999905</v>
      </c>
      <c r="Q8872">
        <v>5.1788689999999998E-2</v>
      </c>
      <c r="R8872">
        <v>0.76525379999999998</v>
      </c>
      <c r="S8872">
        <v>2.654617</v>
      </c>
      <c r="T8872">
        <v>0.2014562</v>
      </c>
      <c r="U8872">
        <v>1.690598</v>
      </c>
      <c r="V8872">
        <v>8.0341280000000001E-2</v>
      </c>
      <c r="W8872">
        <v>6.5138280000000007E-2</v>
      </c>
      <c r="X8872">
        <v>0.99463679999999999</v>
      </c>
      <c r="Y8872">
        <v>0.37398890000000001</v>
      </c>
      <c r="Z8872">
        <v>5.9261519999999998E-2</v>
      </c>
      <c r="AA8872">
        <v>0.92553790000000002</v>
      </c>
      <c r="AB8872">
        <v>24</v>
      </c>
      <c r="AC8872">
        <v>45.478000000000002</v>
      </c>
      <c r="AD8872">
        <v>3.4596049999999998</v>
      </c>
      <c r="AE8872">
        <v>28.892499999999998</v>
      </c>
      <c r="AF8872">
        <v>20.217269592021498</v>
      </c>
      <c r="AG8872">
        <v>3.4596049999999998</v>
      </c>
      <c r="AH8872">
        <v>49.704089836648102</v>
      </c>
      <c r="AI8872">
        <v>86.310989201708296</v>
      </c>
      <c r="AJ8872">
        <v>67.8658366835175</v>
      </c>
      <c r="AK8872">
        <v>53.769911688620901</v>
      </c>
      <c r="AL8872">
        <v>86.265207321929495</v>
      </c>
      <c r="AM8872">
        <v>85.381988663560406</v>
      </c>
      <c r="AN8872">
        <v>1.0000000403538101</v>
      </c>
    </row>
    <row r="8873" spans="1:40" x14ac:dyDescent="0.25">
      <c r="A8873" t="str">
        <f>"20190312160541558"</f>
        <v>20190312160541558</v>
      </c>
      <c r="B8873" t="str">
        <f>"1552377941553937"</f>
        <v>1552377941553937</v>
      </c>
      <c r="C8873" t="s">
        <v>40</v>
      </c>
      <c r="D8873">
        <v>5.840395</v>
      </c>
      <c r="E8873">
        <v>0.62138990000000005</v>
      </c>
      <c r="F8873" t="s">
        <v>55</v>
      </c>
      <c r="G8873">
        <v>-134.10830000000001</v>
      </c>
      <c r="H8873">
        <v>4.6800519999999999</v>
      </c>
      <c r="I8873">
        <v>160.816</v>
      </c>
      <c r="J8873">
        <v>-180.15819999999999</v>
      </c>
      <c r="K8873">
        <v>1.1023879999999999</v>
      </c>
      <c r="L8873">
        <v>132.02250000000001</v>
      </c>
      <c r="M8873">
        <v>0.58491919999999897</v>
      </c>
      <c r="N8873">
        <v>0</v>
      </c>
      <c r="O8873">
        <v>0.81095319999999904</v>
      </c>
      <c r="P8873">
        <v>0.64611200000000002</v>
      </c>
      <c r="Q8873">
        <v>5.163537E-2</v>
      </c>
      <c r="R8873">
        <v>0.761494</v>
      </c>
      <c r="S8873">
        <v>2.6667480000000001</v>
      </c>
      <c r="T8873">
        <v>0.20682780000000001</v>
      </c>
      <c r="U8873">
        <v>1.670288</v>
      </c>
      <c r="V8873">
        <v>7.9841319999999993E-2</v>
      </c>
      <c r="W8873">
        <v>6.5004080000000006E-2</v>
      </c>
      <c r="X8873">
        <v>0.99468579999999995</v>
      </c>
      <c r="Y8873">
        <v>0.3749596</v>
      </c>
      <c r="Z8873">
        <v>6.0692139999999999E-2</v>
      </c>
      <c r="AA8873">
        <v>0.92505230000000005</v>
      </c>
      <c r="AB8873">
        <v>24</v>
      </c>
      <c r="AC8873">
        <v>46.049899999999901</v>
      </c>
      <c r="AD8873">
        <v>3.577664</v>
      </c>
      <c r="AE8873">
        <v>28.793499999999899</v>
      </c>
      <c r="AF8873">
        <v>20.416150561643601</v>
      </c>
      <c r="AG8873">
        <v>3.577664</v>
      </c>
      <c r="AH8873">
        <v>50.074005612760899</v>
      </c>
      <c r="AI8873">
        <v>86.214839333826703</v>
      </c>
      <c r="AJ8873">
        <v>67.818317766918497</v>
      </c>
      <c r="AK8873">
        <v>54.194325547601501</v>
      </c>
      <c r="AL8873">
        <v>86.272912609332707</v>
      </c>
      <c r="AM8873">
        <v>85.410828301564706</v>
      </c>
      <c r="AN8873">
        <v>1.0000000037588099</v>
      </c>
    </row>
    <row r="8874" spans="1:40" x14ac:dyDescent="0.25">
      <c r="A8874" t="str">
        <f>"20190312160541582"</f>
        <v>20190312160541582</v>
      </c>
      <c r="B8874" t="str">
        <f>"1552377941574432"</f>
        <v>1552377941574432</v>
      </c>
      <c r="C8874" t="s">
        <v>40</v>
      </c>
      <c r="D8874">
        <v>5.9281980000000001</v>
      </c>
      <c r="E8874">
        <v>0.62113200000000002</v>
      </c>
      <c r="F8874" t="s">
        <v>55</v>
      </c>
      <c r="G8874">
        <v>-133.70519999999999</v>
      </c>
      <c r="H8874">
        <v>4.7918529999999997</v>
      </c>
      <c r="I8874">
        <v>160.8159</v>
      </c>
      <c r="J8874">
        <v>-180.00370000000001</v>
      </c>
      <c r="K8874">
        <v>1.102309</v>
      </c>
      <c r="L8874">
        <v>132.21289999999999</v>
      </c>
      <c r="M8874">
        <v>0.59494579999999997</v>
      </c>
      <c r="N8874">
        <v>0</v>
      </c>
      <c r="O8874">
        <v>0.80362559999999905</v>
      </c>
      <c r="P8874">
        <v>0.65481140000000004</v>
      </c>
      <c r="Q8874">
        <v>5.156285E-2</v>
      </c>
      <c r="R8874">
        <v>0.75403129999999996</v>
      </c>
      <c r="S8874">
        <v>2.6732939999999998</v>
      </c>
      <c r="T8874">
        <v>0.21232470000000001</v>
      </c>
      <c r="U8874">
        <v>1.6570130000000001</v>
      </c>
      <c r="V8874">
        <v>7.8914609999999996E-2</v>
      </c>
      <c r="W8874">
        <v>6.4966499999999996E-2</v>
      </c>
      <c r="X8874">
        <v>0.99476220000000004</v>
      </c>
      <c r="Y8874">
        <v>0.36768719999999999</v>
      </c>
      <c r="Z8874">
        <v>6.1804089999999999E-2</v>
      </c>
      <c r="AA8874">
        <v>0.92789350000000004</v>
      </c>
      <c r="AB8874">
        <v>24</v>
      </c>
      <c r="AC8874">
        <v>46.298499999999997</v>
      </c>
      <c r="AD8874">
        <v>3.6895440000000002</v>
      </c>
      <c r="AE8874">
        <v>28.603000000000002</v>
      </c>
      <c r="AF8874">
        <v>20.099318580158499</v>
      </c>
      <c r="AG8874">
        <v>3.6895440000000002</v>
      </c>
      <c r="AH8874">
        <v>50.305677554797199</v>
      </c>
      <c r="AI8874">
        <v>86.103744182540098</v>
      </c>
      <c r="AJ8874">
        <v>68.221130043108005</v>
      </c>
      <c r="AK8874">
        <v>54.297850202028002</v>
      </c>
      <c r="AL8874">
        <v>86.275070324851896</v>
      </c>
      <c r="AM8874">
        <v>85.464217680444605</v>
      </c>
      <c r="AN8874">
        <v>0.99999999817127105</v>
      </c>
    </row>
    <row r="8875" spans="1:40" x14ac:dyDescent="0.25">
      <c r="A8875" t="str">
        <f>"20190312160541595"</f>
        <v>20190312160541595</v>
      </c>
      <c r="B8875" t="str">
        <f>"1552377941584193"</f>
        <v>1552377941584193</v>
      </c>
      <c r="C8875" t="s">
        <v>40</v>
      </c>
      <c r="D8875">
        <v>5.8510730000000004</v>
      </c>
      <c r="E8875">
        <v>0.62069049999999903</v>
      </c>
      <c r="F8875" t="s">
        <v>55</v>
      </c>
      <c r="G8875">
        <v>-132.71549999999999</v>
      </c>
      <c r="H8875">
        <v>4.8574979999999996</v>
      </c>
      <c r="I8875">
        <v>160.81549999999999</v>
      </c>
      <c r="J8875">
        <v>-179.90530000000001</v>
      </c>
      <c r="K8875">
        <v>1.1022670000000001</v>
      </c>
      <c r="L8875">
        <v>132.3313</v>
      </c>
      <c r="M8875">
        <v>0.60125569999999995</v>
      </c>
      <c r="N8875">
        <v>0</v>
      </c>
      <c r="O8875">
        <v>0.79891540000000005</v>
      </c>
      <c r="P8875">
        <v>0.66043589999999996</v>
      </c>
      <c r="Q8875">
        <v>5.1749509999999999E-2</v>
      </c>
      <c r="R8875">
        <v>0.74909700000000001</v>
      </c>
      <c r="S8875">
        <v>2.6906129999999999</v>
      </c>
      <c r="T8875">
        <v>0.21366560000000001</v>
      </c>
      <c r="U8875">
        <v>1.6274409999999999</v>
      </c>
      <c r="V8875">
        <v>7.8543859999999993E-2</v>
      </c>
      <c r="W8875">
        <v>6.5170149999999996E-2</v>
      </c>
      <c r="X8875">
        <v>0.99477819999999995</v>
      </c>
      <c r="Y8875">
        <v>0.3704537</v>
      </c>
      <c r="Z8875">
        <v>6.2032039999999997E-2</v>
      </c>
      <c r="AA8875">
        <v>0.92677730000000003</v>
      </c>
      <c r="AB8875">
        <v>24</v>
      </c>
      <c r="AC8875">
        <v>47.189799999999998</v>
      </c>
      <c r="AD8875">
        <v>3.75523099999999</v>
      </c>
      <c r="AE8875">
        <v>28.484199999999898</v>
      </c>
      <c r="AF8875">
        <v>20.4816288984515</v>
      </c>
      <c r="AG8875">
        <v>3.75523099999999</v>
      </c>
      <c r="AH8875">
        <v>50.8991294723129</v>
      </c>
      <c r="AI8875">
        <v>86.084533771516902</v>
      </c>
      <c r="AJ8875">
        <v>68.080320874031699</v>
      </c>
      <c r="AK8875">
        <v>54.993820227699402</v>
      </c>
      <c r="AL8875">
        <v>86.263377179508794</v>
      </c>
      <c r="AM8875">
        <v>85.485511326923202</v>
      </c>
      <c r="AN8875">
        <v>0.99999997679497998</v>
      </c>
    </row>
    <row r="8876" spans="1:40" x14ac:dyDescent="0.25">
      <c r="A8876" t="str">
        <f>"20190312160541615"</f>
        <v>20190312160541615</v>
      </c>
      <c r="B8876" t="str">
        <f>"1552377941603712"</f>
        <v>1552377941603712</v>
      </c>
      <c r="C8876" t="s">
        <v>40</v>
      </c>
      <c r="D8876">
        <v>5.8632710000000001</v>
      </c>
      <c r="E8876">
        <v>0.62023790000000001</v>
      </c>
      <c r="F8876" t="s">
        <v>55</v>
      </c>
      <c r="G8876">
        <v>-132.12049999999999</v>
      </c>
      <c r="H8876">
        <v>4.9063739999999996</v>
      </c>
      <c r="I8876">
        <v>160.81530000000001</v>
      </c>
      <c r="J8876">
        <v>-179.76859999999999</v>
      </c>
      <c r="K8876">
        <v>1.1022069999999999</v>
      </c>
      <c r="L8876">
        <v>132.49279999999999</v>
      </c>
      <c r="M8876">
        <v>0.60994079999999995</v>
      </c>
      <c r="N8876">
        <v>0</v>
      </c>
      <c r="O8876">
        <v>0.79230409999999996</v>
      </c>
      <c r="P8876">
        <v>0.66819229999999996</v>
      </c>
      <c r="Q8876">
        <v>5.1935290000000002E-2</v>
      </c>
      <c r="R8876">
        <v>0.74217369999999905</v>
      </c>
      <c r="S8876">
        <v>2.700043</v>
      </c>
      <c r="T8876">
        <v>0.21494949999999999</v>
      </c>
      <c r="U8876">
        <v>1.609467</v>
      </c>
      <c r="V8876">
        <v>7.8052830000000004E-2</v>
      </c>
      <c r="W8876">
        <v>6.5379969999999996E-2</v>
      </c>
      <c r="X8876">
        <v>0.99480310000000005</v>
      </c>
      <c r="Y8876">
        <v>0.36627890000000002</v>
      </c>
      <c r="Z8876">
        <v>6.1992949999999998E-2</v>
      </c>
      <c r="AA8876">
        <v>0.92843770000000003</v>
      </c>
      <c r="AB8876">
        <v>24</v>
      </c>
      <c r="AC8876">
        <v>47.648099999999999</v>
      </c>
      <c r="AD8876">
        <v>3.8041670000000001</v>
      </c>
      <c r="AE8876">
        <v>28.322500000000002</v>
      </c>
      <c r="AF8876">
        <v>20.3830499848114</v>
      </c>
      <c r="AG8876">
        <v>3.8041670000000001</v>
      </c>
      <c r="AH8876">
        <v>51.266914778708802</v>
      </c>
      <c r="AI8876">
        <v>86.055520060604707</v>
      </c>
      <c r="AJ8876">
        <v>68.317883245672206</v>
      </c>
      <c r="AK8876">
        <v>55.301328774041203</v>
      </c>
      <c r="AL8876">
        <v>86.251329758235201</v>
      </c>
      <c r="AM8876">
        <v>85.513730659550305</v>
      </c>
      <c r="AN8876">
        <v>0.99999999625890901</v>
      </c>
    </row>
    <row r="8877" spans="1:40" x14ac:dyDescent="0.25">
      <c r="A8877" t="str">
        <f>"20190312160541630"</f>
        <v>20190312160541630</v>
      </c>
      <c r="B8877" t="str">
        <f>"1552377941624209"</f>
        <v>1552377941624209</v>
      </c>
      <c r="C8877" t="s">
        <v>40</v>
      </c>
      <c r="D8877">
        <v>5.8538290000000002</v>
      </c>
      <c r="E8877">
        <v>0.61948549999999902</v>
      </c>
      <c r="F8877" t="s">
        <v>55</v>
      </c>
      <c r="G8877">
        <v>-131.23920000000001</v>
      </c>
      <c r="H8877">
        <v>5.0116860000000001</v>
      </c>
      <c r="I8877">
        <v>160.815</v>
      </c>
      <c r="J8877">
        <v>-179.6636</v>
      </c>
      <c r="K8877">
        <v>1.1021700000000001</v>
      </c>
      <c r="L8877">
        <v>132.6146</v>
      </c>
      <c r="M8877">
        <v>0.6165387</v>
      </c>
      <c r="N8877">
        <v>0</v>
      </c>
      <c r="O8877">
        <v>0.7871804</v>
      </c>
      <c r="P8877">
        <v>0.67426129999999995</v>
      </c>
      <c r="Q8877">
        <v>5.2089940000000001E-2</v>
      </c>
      <c r="R8877">
        <v>0.73665349999999996</v>
      </c>
      <c r="S8877">
        <v>2.7136840000000002</v>
      </c>
      <c r="T8877">
        <v>0.2186131</v>
      </c>
      <c r="U8877">
        <v>1.583725</v>
      </c>
      <c r="V8877">
        <v>7.7922779999999997E-2</v>
      </c>
      <c r="W8877">
        <v>6.5546519999999997E-2</v>
      </c>
      <c r="X8877">
        <v>0.99480239999999998</v>
      </c>
      <c r="Y8877">
        <v>0.36704219999999999</v>
      </c>
      <c r="Z8877">
        <v>6.2822420000000004E-2</v>
      </c>
      <c r="AA8877">
        <v>0.92808040000000003</v>
      </c>
      <c r="AB8877">
        <v>24</v>
      </c>
      <c r="AC8877">
        <v>48.424399999999899</v>
      </c>
      <c r="AD8877">
        <v>3.909516</v>
      </c>
      <c r="AE8877">
        <v>28.200399999999998</v>
      </c>
      <c r="AF8877">
        <v>20.634022027708401</v>
      </c>
      <c r="AG8877">
        <v>3.909516</v>
      </c>
      <c r="AH8877">
        <v>51.808062321724599</v>
      </c>
      <c r="AI8877">
        <v>85.989793394929606</v>
      </c>
      <c r="AJ8877">
        <v>68.2836854817415</v>
      </c>
      <c r="AK8877">
        <v>55.902795117291802</v>
      </c>
      <c r="AL8877">
        <v>86.241766874755697</v>
      </c>
      <c r="AM8877">
        <v>85.521172010550202</v>
      </c>
      <c r="AN8877">
        <v>1.0000000604863899</v>
      </c>
    </row>
    <row r="8878" spans="1:40" x14ac:dyDescent="0.25">
      <c r="A8878" t="str">
        <f>"20190312160541640"</f>
        <v>20190312160541640</v>
      </c>
      <c r="B8878" t="str">
        <f>"1552377941634573"</f>
        <v>1552377941634573</v>
      </c>
      <c r="C8878" t="s">
        <v>40</v>
      </c>
      <c r="D8878">
        <v>5.6842980000000001</v>
      </c>
      <c r="E8878">
        <v>0.61929769999999995</v>
      </c>
      <c r="F8878" t="s">
        <v>55</v>
      </c>
      <c r="G8878">
        <v>-130.62389999999999</v>
      </c>
      <c r="H8878">
        <v>5.0525419999999999</v>
      </c>
      <c r="I8878">
        <v>160.81479999999999</v>
      </c>
      <c r="J8878">
        <v>-179.58340000000001</v>
      </c>
      <c r="K8878">
        <v>1.102144</v>
      </c>
      <c r="L8878">
        <v>132.70580000000001</v>
      </c>
      <c r="M8878">
        <v>0.62153179999999997</v>
      </c>
      <c r="N8878">
        <v>0</v>
      </c>
      <c r="O8878">
        <v>0.78324380000000005</v>
      </c>
      <c r="P8878">
        <v>0.67880280000000004</v>
      </c>
      <c r="Q8878">
        <v>5.1972110000000002E-2</v>
      </c>
      <c r="R8878">
        <v>0.73247910000000005</v>
      </c>
      <c r="S8878">
        <v>2.722153</v>
      </c>
      <c r="T8878">
        <v>0.2192836</v>
      </c>
      <c r="U8878">
        <v>1.565369</v>
      </c>
      <c r="V8878">
        <v>7.7743930000000003E-2</v>
      </c>
      <c r="W8878">
        <v>6.5440890000000002E-2</v>
      </c>
      <c r="X8878">
        <v>0.99482329999999997</v>
      </c>
      <c r="Y8878">
        <v>0.36706870000000003</v>
      </c>
      <c r="Z8878">
        <v>6.2844819999999996E-2</v>
      </c>
      <c r="AA8878">
        <v>0.92806849999999996</v>
      </c>
      <c r="AB8878">
        <v>24</v>
      </c>
      <c r="AC8878">
        <v>48.959499999999998</v>
      </c>
      <c r="AD8878">
        <v>3.9503979999999999</v>
      </c>
      <c r="AE8878">
        <v>28.108999999999899</v>
      </c>
      <c r="AF8878">
        <v>20.777227030287602</v>
      </c>
      <c r="AG8878">
        <v>3.9503979999999999</v>
      </c>
      <c r="AH8878">
        <v>52.196473230933996</v>
      </c>
      <c r="AI8878">
        <v>85.977747070420094</v>
      </c>
      <c r="AJ8878">
        <v>68.294572622249504</v>
      </c>
      <c r="AK8878">
        <v>56.318474989777002</v>
      </c>
      <c r="AL8878">
        <v>86.247831872986893</v>
      </c>
      <c r="AM8878">
        <v>85.531503726645099</v>
      </c>
      <c r="AN8878">
        <v>1.0000000134793601</v>
      </c>
    </row>
    <row r="8879" spans="1:40" x14ac:dyDescent="0.25">
      <c r="A8879" t="str">
        <f>"20190312160541652"</f>
        <v>20190312160541652</v>
      </c>
      <c r="B8879" t="str">
        <f>"1552377941644333"</f>
        <v>1552377941644333</v>
      </c>
      <c r="C8879" t="s">
        <v>40</v>
      </c>
      <c r="D8879">
        <v>5.9169790000000004</v>
      </c>
      <c r="E8879">
        <v>0.6191335</v>
      </c>
      <c r="F8879" t="s">
        <v>55</v>
      </c>
      <c r="G8879">
        <v>-130.05250000000001</v>
      </c>
      <c r="H8879">
        <v>5.1337679999999999</v>
      </c>
      <c r="I8879">
        <v>160.81450000000001</v>
      </c>
      <c r="J8879">
        <v>-179.5077</v>
      </c>
      <c r="K8879">
        <v>1.1021209999999999</v>
      </c>
      <c r="L8879">
        <v>132.7911</v>
      </c>
      <c r="M8879">
        <v>0.62621019999999905</v>
      </c>
      <c r="N8879">
        <v>0</v>
      </c>
      <c r="O8879">
        <v>0.77950810000000004</v>
      </c>
      <c r="P8879">
        <v>0.68326549999999997</v>
      </c>
      <c r="Q8879">
        <v>5.2002800000000002E-2</v>
      </c>
      <c r="R8879">
        <v>0.72831590000000002</v>
      </c>
      <c r="S8879">
        <v>2.7304529999999998</v>
      </c>
      <c r="T8879">
        <v>0.22225020000000001</v>
      </c>
      <c r="U8879">
        <v>1.5495300000000001</v>
      </c>
      <c r="V8879">
        <v>7.7871510000000005E-2</v>
      </c>
      <c r="W8879">
        <v>6.5476580000000006E-2</v>
      </c>
      <c r="X8879">
        <v>0.99481090000000005</v>
      </c>
      <c r="Y8879">
        <v>0.36673240000000001</v>
      </c>
      <c r="Z8879">
        <v>6.3496189999999994E-2</v>
      </c>
      <c r="AA8879">
        <v>0.92815709999999996</v>
      </c>
      <c r="AB8879">
        <v>24</v>
      </c>
      <c r="AC8879">
        <v>49.455199999999898</v>
      </c>
      <c r="AD8879">
        <v>4.0316470000000004</v>
      </c>
      <c r="AE8879">
        <v>28.023399999999999</v>
      </c>
      <c r="AF8879">
        <v>20.899449145273099</v>
      </c>
      <c r="AG8879">
        <v>4.0316470000000004</v>
      </c>
      <c r="AH8879">
        <v>52.555457277967299</v>
      </c>
      <c r="AI8879">
        <v>85.922693705991804</v>
      </c>
      <c r="AJ8879">
        <v>68.314031536758506</v>
      </c>
      <c r="AK8879">
        <v>56.702003860575402</v>
      </c>
      <c r="AL8879">
        <v>86.245782317800504</v>
      </c>
      <c r="AM8879">
        <v>85.524145005819705</v>
      </c>
      <c r="AN8879">
        <v>0.99999994067849096</v>
      </c>
    </row>
    <row r="8880" spans="1:40" x14ac:dyDescent="0.25">
      <c r="A8880" t="str">
        <f>"20190312160541661"</f>
        <v>20190312160541661</v>
      </c>
      <c r="B8880" t="str">
        <f>"1552377941654092"</f>
        <v>1552377941654092</v>
      </c>
      <c r="C8880" t="s">
        <v>40</v>
      </c>
      <c r="D8880">
        <v>5.7908970000000002</v>
      </c>
      <c r="E8880">
        <v>0.6191335</v>
      </c>
      <c r="F8880" t="s">
        <v>55</v>
      </c>
      <c r="G8880">
        <v>-129.4648</v>
      </c>
      <c r="H8880">
        <v>5.1657830000000002</v>
      </c>
      <c r="I8880">
        <v>160.8143</v>
      </c>
      <c r="J8880">
        <v>-179.4282</v>
      </c>
      <c r="K8880">
        <v>1.102098</v>
      </c>
      <c r="L8880">
        <v>132.8793</v>
      </c>
      <c r="M8880">
        <v>0.63107930000000001</v>
      </c>
      <c r="N8880">
        <v>0</v>
      </c>
      <c r="O8880">
        <v>0.77557119999999902</v>
      </c>
      <c r="P8880">
        <v>0.68780529999999995</v>
      </c>
      <c r="Q8880">
        <v>5.192596E-2</v>
      </c>
      <c r="R8880">
        <v>0.7240356</v>
      </c>
      <c r="S8880">
        <v>2.7388919999999999</v>
      </c>
      <c r="T8880">
        <v>0.22240950000000001</v>
      </c>
      <c r="U8880">
        <v>1.5337369999999999</v>
      </c>
      <c r="V8880">
        <v>7.7859369999999997E-2</v>
      </c>
      <c r="W8880">
        <v>6.5408069999999999E-2</v>
      </c>
      <c r="X8880">
        <v>0.99481640000000005</v>
      </c>
      <c r="Y8880">
        <v>0.36620599999999998</v>
      </c>
      <c r="Z8880">
        <v>6.3324130000000006E-2</v>
      </c>
      <c r="AA8880">
        <v>0.9283766</v>
      </c>
      <c r="AB8880">
        <v>24</v>
      </c>
      <c r="AC8880">
        <v>49.9634</v>
      </c>
      <c r="AD8880">
        <v>4.0636849999999898</v>
      </c>
      <c r="AE8880">
        <v>27.934999999999999</v>
      </c>
      <c r="AF8880">
        <v>21.017463275902902</v>
      </c>
      <c r="AG8880">
        <v>4.0636849999999898</v>
      </c>
      <c r="AH8880">
        <v>52.9357415355447</v>
      </c>
      <c r="AI8880">
        <v>85.918950650166707</v>
      </c>
      <c r="AJ8880">
        <v>68.345076808854003</v>
      </c>
      <c r="AK8880">
        <v>57.100262961313497</v>
      </c>
      <c r="AL8880">
        <v>86.249716244992499</v>
      </c>
      <c r="AM8880">
        <v>85.524864588405805</v>
      </c>
      <c r="AN8880">
        <v>0.99999998341343999</v>
      </c>
    </row>
    <row r="8881" spans="1:40" x14ac:dyDescent="0.25">
      <c r="A8881" t="str">
        <f>"20190312160541672"</f>
        <v>20190312160541672</v>
      </c>
      <c r="B8881" t="str">
        <f>"1552377941663852"</f>
        <v>1552377941663852</v>
      </c>
      <c r="C8881" t="s">
        <v>40</v>
      </c>
      <c r="D8881">
        <v>5.6042189999999996</v>
      </c>
      <c r="E8881">
        <v>0.63236510000000001</v>
      </c>
      <c r="F8881" t="s">
        <v>55</v>
      </c>
      <c r="G8881">
        <v>-128.80520000000001</v>
      </c>
      <c r="H8881">
        <v>5.2009280000000002</v>
      </c>
      <c r="I8881">
        <v>160.8141</v>
      </c>
      <c r="J8881">
        <v>-179.35290000000001</v>
      </c>
      <c r="K8881">
        <v>1.1020779999999999</v>
      </c>
      <c r="L8881">
        <v>132.96180000000001</v>
      </c>
      <c r="M8881">
        <v>0.63565830000000001</v>
      </c>
      <c r="N8881">
        <v>0</v>
      </c>
      <c r="O8881">
        <v>0.77182249999999997</v>
      </c>
      <c r="P8881">
        <v>0.69220429999999999</v>
      </c>
      <c r="Q8881">
        <v>5.193358E-2</v>
      </c>
      <c r="R8881">
        <v>0.71983059999999999</v>
      </c>
      <c r="S8881">
        <v>2.7484130000000002</v>
      </c>
      <c r="T8881">
        <v>0.2225348</v>
      </c>
      <c r="U8881">
        <v>1.516632</v>
      </c>
      <c r="V8881">
        <v>7.8037389999999998E-2</v>
      </c>
      <c r="W8881">
        <v>6.5419000000000005E-2</v>
      </c>
      <c r="X8881">
        <v>0.99480179999999996</v>
      </c>
      <c r="Y8881">
        <v>0.36649530000000002</v>
      </c>
      <c r="Z8881">
        <v>6.3163410000000003E-2</v>
      </c>
      <c r="AA8881">
        <v>0.92827340000000003</v>
      </c>
      <c r="AB8881">
        <v>24</v>
      </c>
      <c r="AC8881">
        <v>50.547699999999899</v>
      </c>
      <c r="AD8881">
        <v>4.0988499999999997</v>
      </c>
      <c r="AE8881">
        <v>27.8522999999999</v>
      </c>
      <c r="AF8881">
        <v>21.204785716120501</v>
      </c>
      <c r="AG8881">
        <v>4.0988499999999997</v>
      </c>
      <c r="AH8881">
        <v>53.365054451041601</v>
      </c>
      <c r="AI8881">
        <v>85.917199588080294</v>
      </c>
      <c r="AJ8881">
        <v>68.329433083582401</v>
      </c>
      <c r="AK8881">
        <v>57.569718994899702</v>
      </c>
      <c r="AL8881">
        <v>86.249088910122197</v>
      </c>
      <c r="AM8881">
        <v>85.514608650445496</v>
      </c>
      <c r="AN8881">
        <v>1.00000005054112</v>
      </c>
    </row>
    <row r="8882" spans="1:40" x14ac:dyDescent="0.25">
      <c r="A8882" t="str">
        <f>"20190312160541683"</f>
        <v>20190312160541683</v>
      </c>
      <c r="B8882" t="str">
        <f>"1552377941673611"</f>
        <v>1552377941673611</v>
      </c>
      <c r="C8882" t="s">
        <v>40</v>
      </c>
      <c r="D8882">
        <v>5.5331809999999999</v>
      </c>
      <c r="E8882">
        <v>0.63236510000000001</v>
      </c>
      <c r="F8882" t="s">
        <v>49</v>
      </c>
      <c r="G8882">
        <v>-178.71119999999999</v>
      </c>
      <c r="H8882">
        <v>1.191395</v>
      </c>
      <c r="I8882">
        <v>133.2861</v>
      </c>
      <c r="J8882">
        <v>-179.2748</v>
      </c>
      <c r="K8882">
        <v>1.10206</v>
      </c>
      <c r="L8882">
        <v>133.04660000000001</v>
      </c>
      <c r="M8882">
        <v>0.64037270000000002</v>
      </c>
      <c r="N8882">
        <v>0</v>
      </c>
      <c r="O8882">
        <v>0.76791529999999997</v>
      </c>
      <c r="P8882">
        <v>0.69669759999999903</v>
      </c>
      <c r="Q8882">
        <v>5.2060429999999998E-2</v>
      </c>
      <c r="R8882">
        <v>0.71547340000000004</v>
      </c>
      <c r="S8882">
        <v>2.82193</v>
      </c>
      <c r="T8882">
        <v>0.3927524</v>
      </c>
      <c r="U8882">
        <v>1.4256740000000001</v>
      </c>
      <c r="V8882">
        <v>7.8185610000000003E-2</v>
      </c>
      <c r="W8882">
        <v>6.5549850000000007E-2</v>
      </c>
      <c r="X8882">
        <v>0.99478149999999999</v>
      </c>
      <c r="Y8882">
        <v>0.38975280000000001</v>
      </c>
      <c r="Z8882">
        <v>0.1109421</v>
      </c>
      <c r="AA8882">
        <v>0.91421260000000004</v>
      </c>
      <c r="AB8882">
        <v>24</v>
      </c>
      <c r="AC8882">
        <v>0.56360000000000798</v>
      </c>
      <c r="AD8882">
        <v>8.9334999999999901E-2</v>
      </c>
      <c r="AE8882">
        <v>0.239499999999992</v>
      </c>
      <c r="AF8882">
        <v>0.27363634491861699</v>
      </c>
      <c r="AG8882">
        <v>8.9334999999999901E-2</v>
      </c>
      <c r="AH8882">
        <v>0.53353755630101096</v>
      </c>
      <c r="AI8882">
        <v>81.526003203007704</v>
      </c>
      <c r="AJ8882">
        <v>62.8479935548635</v>
      </c>
      <c r="AK8882">
        <v>0.60623420842861997</v>
      </c>
      <c r="AL8882">
        <v>86.2415754507184</v>
      </c>
      <c r="AM8882">
        <v>85.506032875134295</v>
      </c>
      <c r="AN8882">
        <v>1.00000000259417</v>
      </c>
    </row>
    <row r="8883" spans="1:40" x14ac:dyDescent="0.25">
      <c r="A8883" t="str">
        <f>"20190312160541694"</f>
        <v>20190312160541694</v>
      </c>
      <c r="B8883" t="str">
        <f>"1552377941684347"</f>
        <v>1552377941684347</v>
      </c>
      <c r="C8883" t="s">
        <v>40</v>
      </c>
      <c r="D8883">
        <v>4.6055669999999997</v>
      </c>
      <c r="E8883">
        <v>0.64498440000000001</v>
      </c>
      <c r="F8883" t="s">
        <v>55</v>
      </c>
      <c r="G8883">
        <v>-123.4477</v>
      </c>
      <c r="H8883">
        <v>8.8502119999999902</v>
      </c>
      <c r="I8883">
        <v>160.81110000000001</v>
      </c>
      <c r="J8883">
        <v>-179.1977</v>
      </c>
      <c r="K8883">
        <v>1.1020430000000001</v>
      </c>
      <c r="L8883">
        <v>133.12889999999999</v>
      </c>
      <c r="M8883">
        <v>0.644984</v>
      </c>
      <c r="N8883">
        <v>0</v>
      </c>
      <c r="O8883">
        <v>0.76404609999999995</v>
      </c>
      <c r="P8883">
        <v>0.70101630000000004</v>
      </c>
      <c r="Q8883">
        <v>5.207444E-2</v>
      </c>
      <c r="R8883">
        <v>0.71124149999999997</v>
      </c>
      <c r="S8883">
        <v>2.8308409999999999</v>
      </c>
      <c r="T8883">
        <v>0.39288960000000001</v>
      </c>
      <c r="U8883">
        <v>1.407867</v>
      </c>
      <c r="V8883">
        <v>7.822308E-2</v>
      </c>
      <c r="W8883">
        <v>6.5569829999999996E-2</v>
      </c>
      <c r="X8883">
        <v>0.99477729999999998</v>
      </c>
      <c r="Y8883">
        <v>0.38999240000000002</v>
      </c>
      <c r="Z8883">
        <v>0.1106322</v>
      </c>
      <c r="AA8883">
        <v>0.91414790000000001</v>
      </c>
      <c r="AB8883">
        <v>24</v>
      </c>
      <c r="AC8883">
        <v>55.75</v>
      </c>
      <c r="AD8883">
        <v>7.7481689999999901</v>
      </c>
      <c r="AE8883">
        <v>27.682200000000002</v>
      </c>
      <c r="AF8883">
        <v>24.366269313481499</v>
      </c>
      <c r="AG8883">
        <v>7.7481689999999901</v>
      </c>
      <c r="AH8883">
        <v>56.243377690211901</v>
      </c>
      <c r="AI8883">
        <v>82.7955326001629</v>
      </c>
      <c r="AJ8883">
        <v>66.576334154126101</v>
      </c>
      <c r="AK8883">
        <v>61.782414464906601</v>
      </c>
      <c r="AL8883">
        <v>86.240428446838607</v>
      </c>
      <c r="AM8883">
        <v>85.503869090969204</v>
      </c>
      <c r="AN8883">
        <v>1.0000000647231</v>
      </c>
    </row>
    <row r="8884" spans="1:40" x14ac:dyDescent="0.25">
      <c r="A8884" t="str">
        <f>"20190312160541704"</f>
        <v>20190312160541704</v>
      </c>
      <c r="B8884" t="str">
        <f>"1552377941694108"</f>
        <v>1552377941694108</v>
      </c>
      <c r="C8884" t="s">
        <v>40</v>
      </c>
      <c r="D8884">
        <v>4.0495539999999997</v>
      </c>
      <c r="E8884">
        <v>0.64498440000000001</v>
      </c>
      <c r="F8884" t="s">
        <v>49</v>
      </c>
      <c r="G8884">
        <v>-178.5874</v>
      </c>
      <c r="H8884">
        <v>1.2128460000000001</v>
      </c>
      <c r="I8884">
        <v>133.40620000000001</v>
      </c>
      <c r="J8884">
        <v>-179.11580000000001</v>
      </c>
      <c r="K8884">
        <v>1.1020270000000001</v>
      </c>
      <c r="L8884">
        <v>133.21549999999999</v>
      </c>
      <c r="M8884">
        <v>0.64984410000000004</v>
      </c>
      <c r="N8884">
        <v>0</v>
      </c>
      <c r="O8884">
        <v>0.75991660000000005</v>
      </c>
      <c r="P8884">
        <v>0.70558869999999996</v>
      </c>
      <c r="Q8884">
        <v>5.2406929999999997E-2</v>
      </c>
      <c r="R8884">
        <v>0.70668109999999995</v>
      </c>
      <c r="S8884">
        <v>2.9017490000000001</v>
      </c>
      <c r="T8884">
        <v>0.5268254</v>
      </c>
      <c r="U8884">
        <v>1.3194429999999999</v>
      </c>
      <c r="V8884">
        <v>7.8319440000000004E-2</v>
      </c>
      <c r="W8884">
        <v>6.5907660000000007E-2</v>
      </c>
      <c r="X8884">
        <v>0.9947473</v>
      </c>
      <c r="Y8884">
        <v>0.4102305</v>
      </c>
      <c r="Z8884">
        <v>0.14726620000000001</v>
      </c>
      <c r="AA8884">
        <v>0.90001309999999901</v>
      </c>
      <c r="AB8884">
        <v>24</v>
      </c>
      <c r="AC8884">
        <v>0.52840000000000398</v>
      </c>
      <c r="AD8884">
        <v>0.110818999999999</v>
      </c>
      <c r="AE8884">
        <v>0.19070000000001999</v>
      </c>
      <c r="AF8884">
        <v>0.26724634326850899</v>
      </c>
      <c r="AG8884">
        <v>0.110818999999999</v>
      </c>
      <c r="AH8884">
        <v>0.47005698421884401</v>
      </c>
      <c r="AI8884">
        <v>78.417706128172398</v>
      </c>
      <c r="AJ8884">
        <v>60.3800243073877</v>
      </c>
      <c r="AK8884">
        <v>0.55195563876484199</v>
      </c>
      <c r="AL8884">
        <v>86.221029905317806</v>
      </c>
      <c r="AM8884">
        <v>85.498218027223402</v>
      </c>
      <c r="AN8884">
        <v>0.99999997259293905</v>
      </c>
    </row>
    <row r="8885" spans="1:40" x14ac:dyDescent="0.25">
      <c r="A8885" t="str">
        <f>"20190312160541726"</f>
        <v>20190312160541726</v>
      </c>
      <c r="B8885" t="str">
        <f>"1552377941713628"</f>
        <v>1552377941713628</v>
      </c>
      <c r="C8885" t="s">
        <v>40</v>
      </c>
      <c r="D8885">
        <v>5.3626009999999997</v>
      </c>
      <c r="E8885">
        <v>0.65749849999999999</v>
      </c>
      <c r="F8885" t="s">
        <v>129</v>
      </c>
      <c r="G8885">
        <v>-112.6952</v>
      </c>
      <c r="H8885">
        <v>13.150359999999999</v>
      </c>
      <c r="I8885">
        <v>162.89750000000001</v>
      </c>
      <c r="J8885">
        <v>-178.95910000000001</v>
      </c>
      <c r="K8885">
        <v>1.102001</v>
      </c>
      <c r="L8885">
        <v>133.37790000000001</v>
      </c>
      <c r="M8885">
        <v>0.65902280000000002</v>
      </c>
      <c r="N8885">
        <v>0</v>
      </c>
      <c r="O8885">
        <v>0.75197009999999997</v>
      </c>
      <c r="P8885">
        <v>0.71439779999999997</v>
      </c>
      <c r="Q8885">
        <v>5.281259E-2</v>
      </c>
      <c r="R8885">
        <v>0.69774399999999903</v>
      </c>
      <c r="S8885">
        <v>2.9100950000000001</v>
      </c>
      <c r="T8885">
        <v>0.52787539999999999</v>
      </c>
      <c r="U8885">
        <v>1.3004610000000001</v>
      </c>
      <c r="V8885">
        <v>7.8753329999999996E-2</v>
      </c>
      <c r="W8885">
        <v>6.6316369999999999E-2</v>
      </c>
      <c r="X8885">
        <v>0.99468590000000001</v>
      </c>
      <c r="Y8885">
        <v>0.40511750000000002</v>
      </c>
      <c r="Z8885">
        <v>0.14627589999999999</v>
      </c>
      <c r="AA8885">
        <v>0.90248720000000004</v>
      </c>
      <c r="AB8885">
        <v>24</v>
      </c>
      <c r="AC8885">
        <v>66.263900000000007</v>
      </c>
      <c r="AD8885">
        <v>12.048359</v>
      </c>
      <c r="AE8885">
        <v>29.519600000000001</v>
      </c>
      <c r="AF8885">
        <v>29.562384305188399</v>
      </c>
      <c r="AG8885">
        <v>12.048359</v>
      </c>
      <c r="AH8885">
        <v>64.106448849526103</v>
      </c>
      <c r="AI8885">
        <v>80.314640789802496</v>
      </c>
      <c r="AJ8885">
        <v>65.2434352517067</v>
      </c>
      <c r="AK8885">
        <v>71.615182081018503</v>
      </c>
      <c r="AL8885">
        <v>86.197561282518706</v>
      </c>
      <c r="AM8885">
        <v>85.473103244836295</v>
      </c>
      <c r="AN8885">
        <v>0.99999999378743698</v>
      </c>
    </row>
    <row r="8886" spans="1:40" x14ac:dyDescent="0.25">
      <c r="A8886" t="str">
        <f>"20190312160541738"</f>
        <v>20190312160541738</v>
      </c>
      <c r="B8886" t="str">
        <f>"1552377941734125"</f>
        <v>1552377941734125</v>
      </c>
      <c r="C8886" t="s">
        <v>40</v>
      </c>
      <c r="D8886">
        <v>5.3371130000000004</v>
      </c>
      <c r="E8886">
        <v>0.65962319999999997</v>
      </c>
      <c r="F8886" t="s">
        <v>49</v>
      </c>
      <c r="G8886">
        <v>-178.3931</v>
      </c>
      <c r="H8886">
        <v>1.217735</v>
      </c>
      <c r="I8886">
        <v>133.6036</v>
      </c>
      <c r="J8886">
        <v>-178.86619999999999</v>
      </c>
      <c r="K8886">
        <v>1.101985</v>
      </c>
      <c r="L8886">
        <v>133.47190000000001</v>
      </c>
      <c r="M8886">
        <v>0.66438169999999996</v>
      </c>
      <c r="N8886">
        <v>0</v>
      </c>
      <c r="O8886">
        <v>0.74723930000000005</v>
      </c>
      <c r="P8886">
        <v>0.71946469999999996</v>
      </c>
      <c r="Q8886">
        <v>5.2809000000000002E-2</v>
      </c>
      <c r="R8886">
        <v>0.69251839999999998</v>
      </c>
      <c r="S8886">
        <v>2.9899900000000001</v>
      </c>
      <c r="T8886">
        <v>0.61139600000000005</v>
      </c>
      <c r="U8886">
        <v>1.19194</v>
      </c>
      <c r="V8886">
        <v>7.8895240000000005E-2</v>
      </c>
      <c r="W8886">
        <v>6.6317319999999999E-2</v>
      </c>
      <c r="X8886">
        <v>0.99467459999999996</v>
      </c>
      <c r="Y8886">
        <v>0.43106860000000002</v>
      </c>
      <c r="Z8886">
        <v>0.1685217</v>
      </c>
      <c r="AA8886">
        <v>0.88644249999999902</v>
      </c>
      <c r="AB8886">
        <v>24</v>
      </c>
      <c r="AC8886">
        <v>0.47309999999998797</v>
      </c>
      <c r="AD8886">
        <v>0.11575000000000001</v>
      </c>
      <c r="AE8886">
        <v>0.13169999999999499</v>
      </c>
      <c r="AF8886">
        <v>0.25204801994249398</v>
      </c>
      <c r="AG8886">
        <v>0.11575000000000001</v>
      </c>
      <c r="AH8886">
        <v>0.39105308256874599</v>
      </c>
      <c r="AI8886">
        <v>76.028760144294694</v>
      </c>
      <c r="AJ8886">
        <v>57.1967386077608</v>
      </c>
      <c r="AK8886">
        <v>0.47942546891404397</v>
      </c>
      <c r="AL8886">
        <v>86.197506765973401</v>
      </c>
      <c r="AM8886">
        <v>85.464928669430407</v>
      </c>
      <c r="AN8886">
        <v>1.0000000028559</v>
      </c>
    </row>
    <row r="8887" spans="1:40" x14ac:dyDescent="0.25">
      <c r="A8887" t="str">
        <f>"20190312160541748"</f>
        <v>20190312160541748</v>
      </c>
      <c r="B8887" t="str">
        <f>"1552377941743884"</f>
        <v>1552377941743884</v>
      </c>
      <c r="C8887" t="s">
        <v>40</v>
      </c>
      <c r="D8887">
        <v>5.3257479999999999</v>
      </c>
      <c r="E8887">
        <v>0.65948929999999995</v>
      </c>
      <c r="F8887" t="s">
        <v>49</v>
      </c>
      <c r="G8887">
        <v>-178.28190000000001</v>
      </c>
      <c r="H8887">
        <v>1.2238</v>
      </c>
      <c r="I8887">
        <v>133.69659999999999</v>
      </c>
      <c r="J8887">
        <v>-178.7867</v>
      </c>
      <c r="K8887">
        <v>1.10197099999999</v>
      </c>
      <c r="L8887">
        <v>133.55189999999999</v>
      </c>
      <c r="M8887">
        <v>0.66893709999999995</v>
      </c>
      <c r="N8887">
        <v>0</v>
      </c>
      <c r="O8887">
        <v>0.74316389999999999</v>
      </c>
      <c r="P8887">
        <v>0.72390589999999999</v>
      </c>
      <c r="Q8887">
        <v>5.2603009999999999E-2</v>
      </c>
      <c r="R8887">
        <v>0.68789040000000001</v>
      </c>
      <c r="S8887">
        <v>3.009201</v>
      </c>
      <c r="T8887">
        <v>0.62738570000000005</v>
      </c>
      <c r="U8887">
        <v>1.157883</v>
      </c>
      <c r="V8887">
        <v>7.9202850000000005E-2</v>
      </c>
      <c r="W8887">
        <v>6.6111299999999998E-2</v>
      </c>
      <c r="X8887">
        <v>0.99466390000000005</v>
      </c>
      <c r="Y8887">
        <v>0.4353957</v>
      </c>
      <c r="Z8887">
        <v>0.17229359999999999</v>
      </c>
      <c r="AA8887">
        <v>0.88359799999999999</v>
      </c>
      <c r="AB8887">
        <v>24</v>
      </c>
      <c r="AC8887">
        <v>0.50479999999998804</v>
      </c>
      <c r="AD8887">
        <v>0.12182900000000001</v>
      </c>
      <c r="AE8887">
        <v>0.1447</v>
      </c>
      <c r="AF8887">
        <v>0.26416772184071602</v>
      </c>
      <c r="AG8887">
        <v>0.12182900000000001</v>
      </c>
      <c r="AH8887">
        <v>0.42252501554341099</v>
      </c>
      <c r="AI8887">
        <v>76.261550349593705</v>
      </c>
      <c r="AJ8887">
        <v>57.985881762108001</v>
      </c>
      <c r="AK8887">
        <v>0.51298565210293501</v>
      </c>
      <c r="AL8887">
        <v>86.209336925253396</v>
      </c>
      <c r="AM8887">
        <v>85.447271993079895</v>
      </c>
      <c r="AN8887">
        <v>1.0000000346995099</v>
      </c>
    </row>
    <row r="8888" spans="1:40" x14ac:dyDescent="0.25">
      <c r="A8888" t="str">
        <f>"20190312160541759"</f>
        <v>20190312160541759</v>
      </c>
      <c r="B8888" t="str">
        <f>"1552377941753644"</f>
        <v>1552377941753644</v>
      </c>
      <c r="C8888" t="s">
        <v>40</v>
      </c>
      <c r="D8888">
        <v>5.6449680000000004</v>
      </c>
      <c r="E8888">
        <v>0.65938809999999903</v>
      </c>
      <c r="F8888" t="s">
        <v>49</v>
      </c>
      <c r="G8888">
        <v>-178.09630000000001</v>
      </c>
      <c r="H8888">
        <v>1.2459229999999999</v>
      </c>
      <c r="I8888">
        <v>133.81280000000001</v>
      </c>
      <c r="J8888">
        <v>-178.69579999999999</v>
      </c>
      <c r="K8888">
        <v>1.1019589999999999</v>
      </c>
      <c r="L8888">
        <v>133.6413</v>
      </c>
      <c r="M8888">
        <v>0.67407720000000004</v>
      </c>
      <c r="N8888">
        <v>0</v>
      </c>
      <c r="O8888">
        <v>0.73850459999999996</v>
      </c>
      <c r="P8888">
        <v>0.72884409999999999</v>
      </c>
      <c r="Q8888">
        <v>5.2416959999999999E-2</v>
      </c>
      <c r="R8888">
        <v>0.68267040000000001</v>
      </c>
      <c r="S8888">
        <v>3.0158839999999998</v>
      </c>
      <c r="T8888">
        <v>0.62888049999999995</v>
      </c>
      <c r="U8888">
        <v>1.1392819999999999</v>
      </c>
      <c r="V8888">
        <v>7.9458000000000001E-2</v>
      </c>
      <c r="W8888">
        <v>6.5926689999999996E-2</v>
      </c>
      <c r="X8888">
        <v>0.99465579999999998</v>
      </c>
      <c r="Y8888">
        <v>0.43458859999999999</v>
      </c>
      <c r="Z8888">
        <v>0.17199420000000001</v>
      </c>
      <c r="AA8888">
        <v>0.88405359999999999</v>
      </c>
      <c r="AB8888">
        <v>24</v>
      </c>
      <c r="AC8888">
        <v>0.59949999999997705</v>
      </c>
      <c r="AD8888">
        <v>0.14396399999999901</v>
      </c>
      <c r="AE8888">
        <v>0.17150000000000801</v>
      </c>
      <c r="AF8888">
        <v>0.31060998716170701</v>
      </c>
      <c r="AG8888">
        <v>0.14396399999999901</v>
      </c>
      <c r="AH8888">
        <v>0.50396051034387801</v>
      </c>
      <c r="AI8888">
        <v>76.331809059834697</v>
      </c>
      <c r="AJ8888">
        <v>58.352896097845402</v>
      </c>
      <c r="AK8888">
        <v>0.60924575780768297</v>
      </c>
      <c r="AL8888">
        <v>86.219937412467999</v>
      </c>
      <c r="AM8888">
        <v>85.432630411003004</v>
      </c>
      <c r="AN8888">
        <v>1.00000003134599</v>
      </c>
    </row>
    <row r="8889" spans="1:40" x14ac:dyDescent="0.25">
      <c r="A8889" t="str">
        <f>"20190312160541771"</f>
        <v>20190312160541771</v>
      </c>
      <c r="B8889" t="str">
        <f>"1552377941764380"</f>
        <v>1552377941764380</v>
      </c>
      <c r="C8889" t="s">
        <v>40</v>
      </c>
      <c r="D8889">
        <v>5.6475759999999999</v>
      </c>
      <c r="E8889">
        <v>0.65861959999999997</v>
      </c>
      <c r="F8889" t="s">
        <v>49</v>
      </c>
      <c r="G8889">
        <v>-178.12029999999999</v>
      </c>
      <c r="H8889">
        <v>1.2217249999999999</v>
      </c>
      <c r="I8889">
        <v>133.85429999999999</v>
      </c>
      <c r="J8889">
        <v>-178.60810000000001</v>
      </c>
      <c r="K8889">
        <v>1.1019479999999999</v>
      </c>
      <c r="L8889">
        <v>133.7269</v>
      </c>
      <c r="M8889">
        <v>0.67899759999999998</v>
      </c>
      <c r="N8889">
        <v>0</v>
      </c>
      <c r="O8889">
        <v>0.73398299999999905</v>
      </c>
      <c r="P8889">
        <v>0.73359030000000003</v>
      </c>
      <c r="Q8889">
        <v>5.2239510000000003E-2</v>
      </c>
      <c r="R8889">
        <v>0.67758130000000005</v>
      </c>
      <c r="S8889">
        <v>3.0234529999999999</v>
      </c>
      <c r="T8889">
        <v>0.62918249999999998</v>
      </c>
      <c r="U8889">
        <v>1.1182399999999999</v>
      </c>
      <c r="V8889">
        <v>7.9740640000000002E-2</v>
      </c>
      <c r="W8889">
        <v>6.574969E-2</v>
      </c>
      <c r="X8889">
        <v>0.99464490000000005</v>
      </c>
      <c r="Y8889">
        <v>0.434778</v>
      </c>
      <c r="Z8889">
        <v>0.171461999999999</v>
      </c>
      <c r="AA8889">
        <v>0.88406379999999996</v>
      </c>
      <c r="AB8889">
        <v>24</v>
      </c>
      <c r="AC8889">
        <v>0.48780000000002099</v>
      </c>
      <c r="AD8889">
        <v>0.11977699999999999</v>
      </c>
      <c r="AE8889">
        <v>0.12739999999999399</v>
      </c>
      <c r="AF8889">
        <v>0.25705517542969097</v>
      </c>
      <c r="AG8889">
        <v>0.11977699999999999</v>
      </c>
      <c r="AH8889">
        <v>0.40207922060837398</v>
      </c>
      <c r="AI8889">
        <v>75.910615571997894</v>
      </c>
      <c r="AJ8889">
        <v>57.408618937731603</v>
      </c>
      <c r="AK8889">
        <v>0.49202804045016302</v>
      </c>
      <c r="AL8889">
        <v>86.230100827506902</v>
      </c>
      <c r="AM8889">
        <v>85.416402912766202</v>
      </c>
      <c r="AN8889">
        <v>1.00000003424935</v>
      </c>
    </row>
    <row r="8890" spans="1:40" x14ac:dyDescent="0.25">
      <c r="A8890" t="str">
        <f>"20190312160541784"</f>
        <v>20190312160541784</v>
      </c>
      <c r="B8890" t="str">
        <f>"1552377941774140"</f>
        <v>1552377941774140</v>
      </c>
      <c r="C8890" t="s">
        <v>40</v>
      </c>
      <c r="D8890">
        <v>5.5964039999999997</v>
      </c>
      <c r="E8890">
        <v>0.65807740000000003</v>
      </c>
      <c r="F8890" t="s">
        <v>49</v>
      </c>
      <c r="G8890">
        <v>-177.9511</v>
      </c>
      <c r="H8890">
        <v>1.237946</v>
      </c>
      <c r="I8890">
        <v>133.9658</v>
      </c>
      <c r="J8890">
        <v>-178.50829999999999</v>
      </c>
      <c r="K8890">
        <v>1.101942</v>
      </c>
      <c r="L8890">
        <v>133.8229</v>
      </c>
      <c r="M8890">
        <v>0.68453399999999998</v>
      </c>
      <c r="N8890">
        <v>0</v>
      </c>
      <c r="O8890">
        <v>0.72882219999999998</v>
      </c>
      <c r="P8890">
        <v>0.73879159999999999</v>
      </c>
      <c r="Q8890">
        <v>5.2430089999999999E-2</v>
      </c>
      <c r="R8890">
        <v>0.67189140000000003</v>
      </c>
      <c r="S8890">
        <v>3.0272830000000002</v>
      </c>
      <c r="T8890">
        <v>0.62668610000000002</v>
      </c>
      <c r="U8890">
        <v>1.1016539999999999</v>
      </c>
      <c r="V8890">
        <v>7.9894660000000006E-2</v>
      </c>
      <c r="W8890">
        <v>6.5943810000000005E-2</v>
      </c>
      <c r="X8890">
        <v>0.9946197</v>
      </c>
      <c r="Y8890">
        <v>0.43285109999999899</v>
      </c>
      <c r="Z8890">
        <v>0.1700227</v>
      </c>
      <c r="AA8890">
        <v>0.88528649999999998</v>
      </c>
      <c r="AB8890">
        <v>24</v>
      </c>
      <c r="AC8890">
        <v>0.55719999999999403</v>
      </c>
      <c r="AD8890">
        <v>0.13600399999999899</v>
      </c>
      <c r="AE8890">
        <v>0.142899999999997</v>
      </c>
      <c r="AF8890">
        <v>0.29199290610744899</v>
      </c>
      <c r="AG8890">
        <v>0.13600399999999899</v>
      </c>
      <c r="AH8890">
        <v>0.45991754405947899</v>
      </c>
      <c r="AI8890">
        <v>75.982636147529206</v>
      </c>
      <c r="AJ8890">
        <v>57.589312251496096</v>
      </c>
      <c r="AK8890">
        <v>0.56149896933723398</v>
      </c>
      <c r="AL8890">
        <v>86.218954422019905</v>
      </c>
      <c r="AM8890">
        <v>85.407471616444695</v>
      </c>
      <c r="AN8890">
        <v>1.0000000452009501</v>
      </c>
    </row>
    <row r="8891" spans="1:40" x14ac:dyDescent="0.25">
      <c r="A8891" t="str">
        <f>"20190312160541805"</f>
        <v>20190312160541805</v>
      </c>
      <c r="B8891" t="str">
        <f>"1552377941793660"</f>
        <v>1552377941793660</v>
      </c>
      <c r="C8891" t="s">
        <v>40</v>
      </c>
      <c r="D8891">
        <v>5.088158</v>
      </c>
      <c r="E8891">
        <v>0.65694929999999996</v>
      </c>
      <c r="F8891" t="s">
        <v>49</v>
      </c>
      <c r="G8891">
        <v>-177.93530000000001</v>
      </c>
      <c r="H8891">
        <v>1.220566</v>
      </c>
      <c r="I8891">
        <v>134.02699999999999</v>
      </c>
      <c r="J8891">
        <v>-178.3503</v>
      </c>
      <c r="K8891">
        <v>1.101931</v>
      </c>
      <c r="L8891">
        <v>133.9716</v>
      </c>
      <c r="M8891">
        <v>0.69316119999999903</v>
      </c>
      <c r="N8891">
        <v>0</v>
      </c>
      <c r="O8891">
        <v>0.72062179999999998</v>
      </c>
      <c r="P8891">
        <v>0.7468996</v>
      </c>
      <c r="Q8891">
        <v>5.250751E-2</v>
      </c>
      <c r="R8891">
        <v>0.66286049999999996</v>
      </c>
      <c r="S8891">
        <v>3.0326840000000002</v>
      </c>
      <c r="T8891">
        <v>0.62789240000000002</v>
      </c>
      <c r="U8891">
        <v>1.0813900000000001</v>
      </c>
      <c r="V8891">
        <v>8.0145720000000004E-2</v>
      </c>
      <c r="W8891">
        <v>6.6026130000000002E-2</v>
      </c>
      <c r="X8891">
        <v>0.99459399999999998</v>
      </c>
      <c r="Y8891">
        <v>0.42801309999999898</v>
      </c>
      <c r="Z8891">
        <v>0.16887189999999999</v>
      </c>
      <c r="AA8891">
        <v>0.88785539999999996</v>
      </c>
      <c r="AB8891">
        <v>24</v>
      </c>
      <c r="AC8891">
        <v>0.41499999999999199</v>
      </c>
      <c r="AD8891">
        <v>0.118635</v>
      </c>
      <c r="AE8891">
        <v>5.54000000000201E-2</v>
      </c>
      <c r="AF8891">
        <v>0.241312307494946</v>
      </c>
      <c r="AG8891">
        <v>0.118635</v>
      </c>
      <c r="AH8891">
        <v>0.30327272884338702</v>
      </c>
      <c r="AI8891">
        <v>72.980432696168094</v>
      </c>
      <c r="AJ8891">
        <v>51.490942468179099</v>
      </c>
      <c r="AK8891">
        <v>0.40531498989508202</v>
      </c>
      <c r="AL8891">
        <v>86.214227381655903</v>
      </c>
      <c r="AM8891">
        <v>85.392983606441703</v>
      </c>
      <c r="AN8891">
        <v>1.0000000055565399</v>
      </c>
    </row>
    <row r="8892" spans="1:40" x14ac:dyDescent="0.25">
      <c r="A8892" t="str">
        <f>"20190312160541820"</f>
        <v>20190312160541820</v>
      </c>
      <c r="B8892" t="str">
        <f>"1552377941814156"</f>
        <v>1552377941814156</v>
      </c>
      <c r="C8892" t="s">
        <v>40</v>
      </c>
      <c r="D8892">
        <v>5.6541100000000002</v>
      </c>
      <c r="E8892">
        <v>0.65568749999999998</v>
      </c>
      <c r="F8892" t="s">
        <v>49</v>
      </c>
      <c r="G8892">
        <v>-177.773</v>
      </c>
      <c r="H8892">
        <v>1.2209129999999999</v>
      </c>
      <c r="I8892">
        <v>134.1712</v>
      </c>
      <c r="J8892">
        <v>-178.2371</v>
      </c>
      <c r="K8892">
        <v>1.101928</v>
      </c>
      <c r="L8892">
        <v>134.07570000000001</v>
      </c>
      <c r="M8892">
        <v>0.69923729999999995</v>
      </c>
      <c r="N8892">
        <v>0</v>
      </c>
      <c r="O8892">
        <v>0.71472729999999995</v>
      </c>
      <c r="P8892">
        <v>0.752641</v>
      </c>
      <c r="Q8892">
        <v>5.27672E-2</v>
      </c>
      <c r="R8892">
        <v>0.65631349999999999</v>
      </c>
      <c r="S8892">
        <v>3.0396420000000002</v>
      </c>
      <c r="T8892">
        <v>0.62649169999999998</v>
      </c>
      <c r="U8892">
        <v>1.051193</v>
      </c>
      <c r="V8892">
        <v>8.0402909999999994E-2</v>
      </c>
      <c r="W8892">
        <v>6.6286869999999998E-2</v>
      </c>
      <c r="X8892">
        <v>0.99455590000000005</v>
      </c>
      <c r="Y8892">
        <v>0.4290157</v>
      </c>
      <c r="Z8892">
        <v>0.1679041</v>
      </c>
      <c r="AA8892">
        <v>0.88755490000000004</v>
      </c>
      <c r="AB8892">
        <v>23</v>
      </c>
      <c r="AC8892">
        <v>0.46410000000000201</v>
      </c>
      <c r="AD8892">
        <v>0.11898499999999899</v>
      </c>
      <c r="AE8892">
        <v>9.5499999999986998E-2</v>
      </c>
      <c r="AF8892">
        <v>0.24924148151679401</v>
      </c>
      <c r="AG8892">
        <v>0.11898499999999899</v>
      </c>
      <c r="AH8892">
        <v>0.36951654389893501</v>
      </c>
      <c r="AI8892">
        <v>75.053331557945896</v>
      </c>
      <c r="AJ8892">
        <v>56.000061220260598</v>
      </c>
      <c r="AK8892">
        <v>0.46132550606778699</v>
      </c>
      <c r="AL8892">
        <v>86.199255288110706</v>
      </c>
      <c r="AM8892">
        <v>85.378087214550803</v>
      </c>
      <c r="AN8892">
        <v>1.0000000076478299</v>
      </c>
    </row>
    <row r="8893" spans="1:40" x14ac:dyDescent="0.25">
      <c r="A8893" t="str">
        <f>"20190312160541831"</f>
        <v>20190312160541831</v>
      </c>
      <c r="B8893" t="str">
        <f>"1552377941823916"</f>
        <v>1552377941823916</v>
      </c>
      <c r="C8893" t="s">
        <v>40</v>
      </c>
      <c r="D8893">
        <v>5.2643449999999996</v>
      </c>
      <c r="E8893">
        <v>0.65513149999999998</v>
      </c>
      <c r="F8893" t="s">
        <v>49</v>
      </c>
      <c r="G8893">
        <v>-177.6455</v>
      </c>
      <c r="H8893">
        <v>1.2230099999999999</v>
      </c>
      <c r="I8893">
        <v>134.27619999999999</v>
      </c>
      <c r="J8893">
        <v>-178.1361</v>
      </c>
      <c r="K8893">
        <v>1.1019270000000001</v>
      </c>
      <c r="L8893">
        <v>134.16730000000001</v>
      </c>
      <c r="M8893">
        <v>0.70459490000000002</v>
      </c>
      <c r="N8893">
        <v>0</v>
      </c>
      <c r="O8893">
        <v>0.70944609999999997</v>
      </c>
      <c r="P8893">
        <v>0.75775859999999995</v>
      </c>
      <c r="Q8893">
        <v>5.2738029999999998E-2</v>
      </c>
      <c r="R8893">
        <v>0.65040039999999999</v>
      </c>
      <c r="S8893">
        <v>3.0422210000000001</v>
      </c>
      <c r="T8893">
        <v>0.62270530000000002</v>
      </c>
      <c r="U8893">
        <v>1.0321499999999999</v>
      </c>
      <c r="V8893">
        <v>8.0708929999999998E-2</v>
      </c>
      <c r="W8893">
        <v>6.6257360000000001E-2</v>
      </c>
      <c r="X8893">
        <v>0.99453309999999995</v>
      </c>
      <c r="Y8893">
        <v>0.42773</v>
      </c>
      <c r="Z8893">
        <v>0.16623289999999999</v>
      </c>
      <c r="AA8893">
        <v>0.88848950000000004</v>
      </c>
      <c r="AB8893">
        <v>23</v>
      </c>
      <c r="AC8893">
        <v>0.49059999999999998</v>
      </c>
      <c r="AD8893">
        <v>0.121082999999999</v>
      </c>
      <c r="AE8893">
        <v>0.108899999999977</v>
      </c>
      <c r="AF8893">
        <v>0.25646677256082401</v>
      </c>
      <c r="AG8893">
        <v>0.121082999999999</v>
      </c>
      <c r="AH8893">
        <v>0.39977405916393099</v>
      </c>
      <c r="AI8893">
        <v>75.698278175508307</v>
      </c>
      <c r="AJ8893">
        <v>57.318638855854402</v>
      </c>
      <c r="AK8893">
        <v>0.49015874642524898</v>
      </c>
      <c r="AL8893">
        <v>86.200949889496897</v>
      </c>
      <c r="AM8893">
        <v>85.360466591925203</v>
      </c>
      <c r="AN8893">
        <v>1.0000000280657599</v>
      </c>
    </row>
    <row r="8894" spans="1:40" x14ac:dyDescent="0.25">
      <c r="A8894" t="str">
        <f>"20190312160541842"</f>
        <v>20190312160541842</v>
      </c>
      <c r="B8894" t="str">
        <f>"1552377941833677"</f>
        <v>1552377941833677</v>
      </c>
      <c r="C8894" t="s">
        <v>40</v>
      </c>
      <c r="D8894">
        <v>5.4185249999999998</v>
      </c>
      <c r="E8894">
        <v>0.65513149999999998</v>
      </c>
      <c r="F8894" t="s">
        <v>49</v>
      </c>
      <c r="G8894">
        <v>-177.47739999999999</v>
      </c>
      <c r="H8894">
        <v>1.235984</v>
      </c>
      <c r="I8894">
        <v>134.3861</v>
      </c>
      <c r="J8894">
        <v>-178.04750000000001</v>
      </c>
      <c r="K8894">
        <v>1.101925</v>
      </c>
      <c r="L8894">
        <v>134.2466</v>
      </c>
      <c r="M8894">
        <v>0.70924529999999997</v>
      </c>
      <c r="N8894">
        <v>0</v>
      </c>
      <c r="O8894">
        <v>0.70479700000000001</v>
      </c>
      <c r="P8894">
        <v>0.7619937</v>
      </c>
      <c r="Q8894">
        <v>5.2695350000000002E-2</v>
      </c>
      <c r="R8894">
        <v>0.64543689999999998</v>
      </c>
      <c r="S8894">
        <v>3.0475159999999999</v>
      </c>
      <c r="T8894">
        <v>0.62020469999999905</v>
      </c>
      <c r="U8894">
        <v>1.011703</v>
      </c>
      <c r="V8894">
        <v>8.0665920000000002E-2</v>
      </c>
      <c r="W8894">
        <v>6.6220260000000003E-2</v>
      </c>
      <c r="X8894">
        <v>0.99453899999999995</v>
      </c>
      <c r="Y8894">
        <v>0.4278381</v>
      </c>
      <c r="Z8894">
        <v>0.16498779999999999</v>
      </c>
      <c r="AA8894">
        <v>0.88866959999999995</v>
      </c>
      <c r="AB8894">
        <v>23</v>
      </c>
      <c r="AC8894">
        <v>0.57010000000002403</v>
      </c>
      <c r="AD8894">
        <v>0.13405899999999901</v>
      </c>
      <c r="AE8894">
        <v>0.13949999999999799</v>
      </c>
      <c r="AF8894">
        <v>0.28788098631421399</v>
      </c>
      <c r="AG8894">
        <v>0.13405899999999901</v>
      </c>
      <c r="AH8894">
        <v>0.47779113306998</v>
      </c>
      <c r="AI8894">
        <v>76.486503314090598</v>
      </c>
      <c r="AJ8894">
        <v>58.9299958204017</v>
      </c>
      <c r="AK8894">
        <v>0.57369996043449401</v>
      </c>
      <c r="AL8894">
        <v>86.203080013149702</v>
      </c>
      <c r="AM8894">
        <v>85.362955615426301</v>
      </c>
      <c r="AN8894">
        <v>0.99999996800245605</v>
      </c>
    </row>
    <row r="8895" spans="1:40" x14ac:dyDescent="0.25">
      <c r="A8895" t="str">
        <f>"20190312160541853"</f>
        <v>20190312160541853</v>
      </c>
      <c r="B8895" t="str">
        <f>"1552377941844412"</f>
        <v>1552377941844412</v>
      </c>
      <c r="C8895" t="s">
        <v>40</v>
      </c>
      <c r="D8895">
        <v>5.6586169999999996</v>
      </c>
      <c r="E8895">
        <v>0.65439019999999903</v>
      </c>
      <c r="F8895" t="s">
        <v>49</v>
      </c>
      <c r="G8895">
        <v>-177.45869999999999</v>
      </c>
      <c r="H8895">
        <v>1.221454</v>
      </c>
      <c r="I8895">
        <v>134.43790000000001</v>
      </c>
      <c r="J8895">
        <v>-177.96870000000001</v>
      </c>
      <c r="K8895">
        <v>1.101925</v>
      </c>
      <c r="L8895">
        <v>134.316</v>
      </c>
      <c r="M8895">
        <v>0.71333409999999997</v>
      </c>
      <c r="N8895">
        <v>0</v>
      </c>
      <c r="O8895">
        <v>0.70065819999999901</v>
      </c>
      <c r="P8895">
        <v>0.76588750000000005</v>
      </c>
      <c r="Q8895">
        <v>5.2566389999999998E-2</v>
      </c>
      <c r="R8895">
        <v>0.64082229999999996</v>
      </c>
      <c r="S8895">
        <v>3.0541079999999998</v>
      </c>
      <c r="T8895">
        <v>0.62007519999999905</v>
      </c>
      <c r="U8895">
        <v>0.99176030000000004</v>
      </c>
      <c r="V8895">
        <v>8.089064E-2</v>
      </c>
      <c r="W8895">
        <v>6.6090839999999998E-2</v>
      </c>
      <c r="X8895">
        <v>0.99452940000000001</v>
      </c>
      <c r="Y8895">
        <v>0.42848049999999999</v>
      </c>
      <c r="Z8895">
        <v>0.1643994</v>
      </c>
      <c r="AA8895">
        <v>0.88846909999999901</v>
      </c>
      <c r="AB8895">
        <v>23</v>
      </c>
      <c r="AC8895">
        <v>0.51000000000001899</v>
      </c>
      <c r="AD8895">
        <v>0.119529</v>
      </c>
      <c r="AE8895">
        <v>0.12190000000001</v>
      </c>
      <c r="AF8895">
        <v>0.25705486589117199</v>
      </c>
      <c r="AG8895">
        <v>0.119529</v>
      </c>
      <c r="AH8895">
        <v>0.42707178090972098</v>
      </c>
      <c r="AI8895">
        <v>76.515422265344597</v>
      </c>
      <c r="AJ8895">
        <v>58.956229438389897</v>
      </c>
      <c r="AK8895">
        <v>0.51259603194789705</v>
      </c>
      <c r="AL8895">
        <v>86.210511676825305</v>
      </c>
      <c r="AM8895">
        <v>85.350049567073697</v>
      </c>
      <c r="AN8895">
        <v>1.0000000111179299</v>
      </c>
    </row>
    <row r="8896" spans="1:40" x14ac:dyDescent="0.25">
      <c r="A8896" t="str">
        <f>"20190312160541862"</f>
        <v>20190312160541862</v>
      </c>
      <c r="B8896" t="str">
        <f>"1552377941854175"</f>
        <v>1552377941854175</v>
      </c>
      <c r="C8896" t="s">
        <v>40</v>
      </c>
      <c r="D8896">
        <v>5.3807850000000004</v>
      </c>
      <c r="E8896">
        <v>0.65385559999999998</v>
      </c>
      <c r="F8896" t="s">
        <v>49</v>
      </c>
      <c r="G8896">
        <v>-177.3186</v>
      </c>
      <c r="H8896">
        <v>1.232998</v>
      </c>
      <c r="I8896">
        <v>134.524</v>
      </c>
      <c r="J8896">
        <v>-177.8818</v>
      </c>
      <c r="K8896">
        <v>1.1019219999999901</v>
      </c>
      <c r="L8896">
        <v>134.39179999999999</v>
      </c>
      <c r="M8896">
        <v>0.71780169999999999</v>
      </c>
      <c r="N8896">
        <v>0</v>
      </c>
      <c r="O8896">
        <v>0.69608049999999999</v>
      </c>
      <c r="P8896">
        <v>0.77010990000000001</v>
      </c>
      <c r="Q8896">
        <v>5.279797E-2</v>
      </c>
      <c r="R8896">
        <v>0.63572259999999903</v>
      </c>
      <c r="S8896">
        <v>3.0565799999999999</v>
      </c>
      <c r="T8896">
        <v>0.61625030000000003</v>
      </c>
      <c r="U8896">
        <v>0.97781370000000001</v>
      </c>
      <c r="V8896">
        <v>8.1126229999999994E-2</v>
      </c>
      <c r="W8896">
        <v>6.6321599999999994E-2</v>
      </c>
      <c r="X8896">
        <v>0.99449489999999996</v>
      </c>
      <c r="Y8896">
        <v>0.42689739999999998</v>
      </c>
      <c r="Z8896">
        <v>0.162709299999999</v>
      </c>
      <c r="AA8896">
        <v>0.88954159999999904</v>
      </c>
      <c r="AB8896">
        <v>23</v>
      </c>
      <c r="AC8896">
        <v>0.56319999999999404</v>
      </c>
      <c r="AD8896">
        <v>0.131076</v>
      </c>
      <c r="AE8896">
        <v>0.132200000000011</v>
      </c>
      <c r="AF8896">
        <v>0.28266274457131901</v>
      </c>
      <c r="AG8896">
        <v>0.131076</v>
      </c>
      <c r="AH8896">
        <v>0.47210897271026903</v>
      </c>
      <c r="AI8896">
        <v>76.601400708298002</v>
      </c>
      <c r="AJ8896">
        <v>59.090051022990799</v>
      </c>
      <c r="AK8896">
        <v>0.56565539603024795</v>
      </c>
      <c r="AL8896">
        <v>86.197261227914296</v>
      </c>
      <c r="AM8896">
        <v>85.3364053960658</v>
      </c>
      <c r="AN8896">
        <v>1.0000000629732799</v>
      </c>
    </row>
    <row r="8897" spans="1:40" x14ac:dyDescent="0.25">
      <c r="A8897" t="str">
        <f>"20190312160541873"</f>
        <v>20190312160541873</v>
      </c>
      <c r="B8897" t="str">
        <f>"1552377941863932"</f>
        <v>1552377941863932</v>
      </c>
      <c r="C8897" t="s">
        <v>40</v>
      </c>
      <c r="D8897">
        <v>5.5320340000000003</v>
      </c>
      <c r="E8897">
        <v>0.65312579999999998</v>
      </c>
      <c r="F8897" t="s">
        <v>49</v>
      </c>
      <c r="G8897">
        <v>-177.28970000000001</v>
      </c>
      <c r="H8897">
        <v>1.220464</v>
      </c>
      <c r="I8897">
        <v>134.57769999999999</v>
      </c>
      <c r="J8897">
        <v>-177.80029999999999</v>
      </c>
      <c r="K8897">
        <v>1.101926</v>
      </c>
      <c r="L8897">
        <v>134.46180000000001</v>
      </c>
      <c r="M8897">
        <v>0.721944699999999</v>
      </c>
      <c r="N8897">
        <v>0</v>
      </c>
      <c r="O8897">
        <v>0.69178249999999997</v>
      </c>
      <c r="P8897">
        <v>0.77394700000000005</v>
      </c>
      <c r="Q8897">
        <v>5.2605430000000002E-2</v>
      </c>
      <c r="R8897">
        <v>0.6310616</v>
      </c>
      <c r="S8897">
        <v>3.060486</v>
      </c>
      <c r="T8897">
        <v>0.61274859999999998</v>
      </c>
      <c r="U8897">
        <v>0.96070860000000002</v>
      </c>
      <c r="V8897">
        <v>8.1198140000000002E-2</v>
      </c>
      <c r="W8897">
        <v>6.6131759999999998E-2</v>
      </c>
      <c r="X8897">
        <v>0.99450159999999999</v>
      </c>
      <c r="Y8897">
        <v>0.4266218</v>
      </c>
      <c r="Z8897">
        <v>0.16122790000000001</v>
      </c>
      <c r="AA8897">
        <v>0.8899435</v>
      </c>
      <c r="AB8897">
        <v>23</v>
      </c>
      <c r="AC8897">
        <v>0.51059999999998196</v>
      </c>
      <c r="AD8897">
        <v>0.118538</v>
      </c>
      <c r="AE8897">
        <v>0.115899999999982</v>
      </c>
      <c r="AF8897">
        <v>0.25643843581349501</v>
      </c>
      <c r="AG8897">
        <v>0.118538</v>
      </c>
      <c r="AH8897">
        <v>0.42697051939118802</v>
      </c>
      <c r="AI8897">
        <v>76.612715884092594</v>
      </c>
      <c r="AJ8897">
        <v>59.010978342066998</v>
      </c>
      <c r="AK8897">
        <v>0.51197241452606901</v>
      </c>
      <c r="AL8897">
        <v>86.208161912894695</v>
      </c>
      <c r="AM8897">
        <v>85.332321168079503</v>
      </c>
      <c r="AN8897">
        <v>0.99999999001135798</v>
      </c>
    </row>
    <row r="8898" spans="1:40" x14ac:dyDescent="0.25">
      <c r="A8898" t="str">
        <f>"20190312160541884"</f>
        <v>20190312160541884</v>
      </c>
      <c r="B8898" t="str">
        <f>"1552377941873692"</f>
        <v>1552377941873692</v>
      </c>
      <c r="C8898" t="s">
        <v>40</v>
      </c>
      <c r="D8898">
        <v>5.5916329999999999</v>
      </c>
      <c r="E8898">
        <v>0.65254590000000001</v>
      </c>
      <c r="F8898" t="s">
        <v>49</v>
      </c>
      <c r="G8898">
        <v>-177.15870000000001</v>
      </c>
      <c r="H8898">
        <v>1.229576</v>
      </c>
      <c r="I8898">
        <v>134.6602</v>
      </c>
      <c r="J8898">
        <v>-177.71180000000001</v>
      </c>
      <c r="K8898">
        <v>1.1019270000000001</v>
      </c>
      <c r="L8898">
        <v>134.53720000000001</v>
      </c>
      <c r="M8898">
        <v>0.72640519999999997</v>
      </c>
      <c r="N8898">
        <v>0</v>
      </c>
      <c r="O8898">
        <v>0.68709719999999996</v>
      </c>
      <c r="P8898">
        <v>0.77816149999999995</v>
      </c>
      <c r="Q8898">
        <v>5.256943E-2</v>
      </c>
      <c r="R8898">
        <v>0.62586039999999998</v>
      </c>
      <c r="S8898">
        <v>3.0628199999999999</v>
      </c>
      <c r="T8898">
        <v>0.60933800000000005</v>
      </c>
      <c r="U8898">
        <v>0.94679259999999998</v>
      </c>
      <c r="V8898">
        <v>8.1430379999999997E-2</v>
      </c>
      <c r="W8898">
        <v>6.6095109999999999E-2</v>
      </c>
      <c r="X8898">
        <v>0.99448510000000001</v>
      </c>
      <c r="Y8898">
        <v>0.42493999999999998</v>
      </c>
      <c r="Z8898">
        <v>0.15962570000000001</v>
      </c>
      <c r="AA8898">
        <v>0.8910363</v>
      </c>
      <c r="AB8898">
        <v>23</v>
      </c>
      <c r="AC8898">
        <v>0.55310000000000004</v>
      </c>
      <c r="AD8898">
        <v>0.12764899999999901</v>
      </c>
      <c r="AE8898">
        <v>0.12299999999999001</v>
      </c>
      <c r="AF8898">
        <v>0.27667720794760903</v>
      </c>
      <c r="AG8898">
        <v>0.12764899999999901</v>
      </c>
      <c r="AH8898">
        <v>0.46285301101141901</v>
      </c>
      <c r="AI8898">
        <v>76.682157951028799</v>
      </c>
      <c r="AJ8898">
        <v>59.130506333736797</v>
      </c>
      <c r="AK8898">
        <v>0.55414569780972001</v>
      </c>
      <c r="AL8898">
        <v>86.210266605842804</v>
      </c>
      <c r="AM8898">
        <v>85.318952764068499</v>
      </c>
      <c r="AN8898">
        <v>1.00000004223743</v>
      </c>
    </row>
    <row r="8899" spans="1:40" x14ac:dyDescent="0.25">
      <c r="A8899" t="str">
        <f>"20190312160541897"</f>
        <v>20190312160541897</v>
      </c>
      <c r="B8899" t="str">
        <f>"1552377941894188"</f>
        <v>1552377941894188</v>
      </c>
      <c r="C8899" t="s">
        <v>40</v>
      </c>
      <c r="D8899">
        <v>5.7601610000000001</v>
      </c>
      <c r="E8899">
        <v>0.651339</v>
      </c>
      <c r="F8899" t="s">
        <v>49</v>
      </c>
      <c r="G8899">
        <v>-177.1163</v>
      </c>
      <c r="H8899">
        <v>1.2194739999999999</v>
      </c>
      <c r="I8899">
        <v>134.71780000000001</v>
      </c>
      <c r="J8899">
        <v>-177.614</v>
      </c>
      <c r="K8899">
        <v>1.1019270000000001</v>
      </c>
      <c r="L8899">
        <v>134.6189</v>
      </c>
      <c r="M8899">
        <v>0.73126659999999999</v>
      </c>
      <c r="N8899">
        <v>0</v>
      </c>
      <c r="O8899">
        <v>0.68192089999999905</v>
      </c>
      <c r="P8899">
        <v>0.78261519999999996</v>
      </c>
      <c r="Q8899">
        <v>5.27836E-2</v>
      </c>
      <c r="R8899">
        <v>0.62026389999999998</v>
      </c>
      <c r="S8899">
        <v>3.0665589999999998</v>
      </c>
      <c r="T8899">
        <v>0.60532699999999995</v>
      </c>
      <c r="U8899">
        <v>0.92976380000000003</v>
      </c>
      <c r="V8899">
        <v>8.1493709999999997E-2</v>
      </c>
      <c r="W8899">
        <v>6.6312070000000001E-2</v>
      </c>
      <c r="X8899">
        <v>0.99446540000000005</v>
      </c>
      <c r="Y8899">
        <v>0.42367320000000003</v>
      </c>
      <c r="Z8899">
        <v>0.1578106</v>
      </c>
      <c r="AA8899">
        <v>0.89196229999999999</v>
      </c>
      <c r="AB8899">
        <v>23</v>
      </c>
      <c r="AC8899">
        <v>0.49770000000000802</v>
      </c>
      <c r="AD8899">
        <v>0.117546999999999</v>
      </c>
      <c r="AE8899">
        <v>9.8900000000014601E-2</v>
      </c>
      <c r="AF8899">
        <v>0.25349764403993402</v>
      </c>
      <c r="AG8899">
        <v>0.117546999999999</v>
      </c>
      <c r="AH8899">
        <v>0.40947054155521401</v>
      </c>
      <c r="AI8899">
        <v>76.283329796923098</v>
      </c>
      <c r="AJ8899">
        <v>58.238913500368</v>
      </c>
      <c r="AK8899">
        <v>0.49572621187941801</v>
      </c>
      <c r="AL8899">
        <v>86.197808121004897</v>
      </c>
      <c r="AM8899">
        <v>85.315236030624007</v>
      </c>
      <c r="AN8899">
        <v>0.99999997359720405</v>
      </c>
    </row>
    <row r="8900" spans="1:40" x14ac:dyDescent="0.25">
      <c r="A8900" t="str">
        <f>"20190312160541908"</f>
        <v>20190312160541908</v>
      </c>
      <c r="B8900" t="str">
        <f>"1552377941903949"</f>
        <v>1552377941903949</v>
      </c>
      <c r="C8900" t="s">
        <v>40</v>
      </c>
      <c r="D8900">
        <v>5.7680569999999998</v>
      </c>
      <c r="E8900">
        <v>0.65079889999999996</v>
      </c>
      <c r="F8900" t="s">
        <v>49</v>
      </c>
      <c r="G8900">
        <v>-176.99950000000001</v>
      </c>
      <c r="H8900">
        <v>1.2214100000000001</v>
      </c>
      <c r="I8900">
        <v>134.80199999999999</v>
      </c>
      <c r="J8900">
        <v>-177.51769999999999</v>
      </c>
      <c r="K8900">
        <v>1.101925</v>
      </c>
      <c r="L8900">
        <v>134.69880000000001</v>
      </c>
      <c r="M8900">
        <v>0.73601510000000003</v>
      </c>
      <c r="N8900">
        <v>0</v>
      </c>
      <c r="O8900">
        <v>0.67679290000000003</v>
      </c>
      <c r="P8900">
        <v>0.7869062</v>
      </c>
      <c r="Q8900">
        <v>5.2802910000000002E-2</v>
      </c>
      <c r="R8900">
        <v>0.61480950000000001</v>
      </c>
      <c r="S8900">
        <v>3.0677639999999999</v>
      </c>
      <c r="T8900">
        <v>0.59646960000000004</v>
      </c>
      <c r="U8900">
        <v>0.91516109999999995</v>
      </c>
      <c r="V8900">
        <v>8.1454319999999997E-2</v>
      </c>
      <c r="W8900">
        <v>6.6336359999999997E-2</v>
      </c>
      <c r="X8900">
        <v>0.99446699999999999</v>
      </c>
      <c r="Y8900">
        <v>0.42191149999999999</v>
      </c>
      <c r="Z8900">
        <v>0.15481420000000001</v>
      </c>
      <c r="AA8900">
        <v>0.89332149999999999</v>
      </c>
      <c r="AB8900">
        <v>23</v>
      </c>
      <c r="AC8900">
        <v>0.51819999999997801</v>
      </c>
      <c r="AD8900">
        <v>0.11948499999999999</v>
      </c>
      <c r="AE8900">
        <v>0.103200000000015</v>
      </c>
      <c r="AF8900">
        <v>0.26142092359237101</v>
      </c>
      <c r="AG8900">
        <v>0.11948499999999999</v>
      </c>
      <c r="AH8900">
        <v>0.42934499977311402</v>
      </c>
      <c r="AI8900">
        <v>76.628920891061696</v>
      </c>
      <c r="AJ8900">
        <v>58.663470418558802</v>
      </c>
      <c r="AK8900">
        <v>0.51667658486432699</v>
      </c>
      <c r="AL8900">
        <v>86.196413308293501</v>
      </c>
      <c r="AM8900">
        <v>85.317497840856603</v>
      </c>
      <c r="AN8900">
        <v>0.99999996649685496</v>
      </c>
    </row>
    <row r="8901" spans="1:40" x14ac:dyDescent="0.25">
      <c r="A8901" t="str">
        <f>"20190312160541919"</f>
        <v>20190312160541919</v>
      </c>
      <c r="B8901" t="str">
        <f>"1552377941913708"</f>
        <v>1552377941913708</v>
      </c>
      <c r="C8901" t="s">
        <v>40</v>
      </c>
      <c r="D8901">
        <v>5.9608140000000001</v>
      </c>
      <c r="E8901">
        <v>0.65004469999999903</v>
      </c>
      <c r="F8901" t="s">
        <v>49</v>
      </c>
      <c r="G8901">
        <v>-176.81440000000001</v>
      </c>
      <c r="H8901">
        <v>1.2374350000000001</v>
      </c>
      <c r="I8901">
        <v>134.9042</v>
      </c>
      <c r="J8901">
        <v>-177.4237</v>
      </c>
      <c r="K8901">
        <v>1.101926</v>
      </c>
      <c r="L8901">
        <v>134.7749</v>
      </c>
      <c r="M8901">
        <v>0.74057729999999999</v>
      </c>
      <c r="N8901">
        <v>0</v>
      </c>
      <c r="O8901">
        <v>0.67179750000000005</v>
      </c>
      <c r="P8901">
        <v>0.79101519999999903</v>
      </c>
      <c r="Q8901">
        <v>5.2844049999999997E-2</v>
      </c>
      <c r="R8901">
        <v>0.60951009999999906</v>
      </c>
      <c r="S8901">
        <v>3.071701</v>
      </c>
      <c r="T8901">
        <v>0.59186099999999997</v>
      </c>
      <c r="U8901">
        <v>0.89718629999999999</v>
      </c>
      <c r="V8901">
        <v>8.1404340000000006E-2</v>
      </c>
      <c r="W8901">
        <v>6.6382010000000005E-2</v>
      </c>
      <c r="X8901">
        <v>0.99446809999999997</v>
      </c>
      <c r="Y8901">
        <v>0.4212439</v>
      </c>
      <c r="Z8901">
        <v>0.1529314</v>
      </c>
      <c r="AA8901">
        <v>0.89396070000000005</v>
      </c>
      <c r="AB8901">
        <v>23</v>
      </c>
      <c r="AC8901">
        <v>0.60929999999998996</v>
      </c>
      <c r="AD8901">
        <v>0.13550899999999999</v>
      </c>
      <c r="AE8901">
        <v>0.1293</v>
      </c>
      <c r="AF8901">
        <v>0.29943373373268101</v>
      </c>
      <c r="AG8901">
        <v>0.13550899999999999</v>
      </c>
      <c r="AH8901">
        <v>0.51383953635175295</v>
      </c>
      <c r="AI8901">
        <v>77.164095167409997</v>
      </c>
      <c r="AJ8901">
        <v>59.769026935865902</v>
      </c>
      <c r="AK8901">
        <v>0.60996255548703904</v>
      </c>
      <c r="AL8901">
        <v>86.193792181383003</v>
      </c>
      <c r="AM8901">
        <v>85.3203633916808</v>
      </c>
      <c r="AN8901">
        <v>1.0000000198700401</v>
      </c>
    </row>
    <row r="8902" spans="1:40" x14ac:dyDescent="0.25">
      <c r="A8902" t="str">
        <f>"20190312160541930"</f>
        <v>20190312160541930</v>
      </c>
      <c r="B8902" t="str">
        <f>"1552377941924445"</f>
        <v>1552377941924445</v>
      </c>
      <c r="C8902" t="s">
        <v>40</v>
      </c>
      <c r="D8902">
        <v>5.8267449999999998</v>
      </c>
      <c r="E8902">
        <v>0.64946680000000001</v>
      </c>
      <c r="F8902" t="s">
        <v>49</v>
      </c>
      <c r="G8902">
        <v>-176.8091</v>
      </c>
      <c r="H8902">
        <v>1.2188099999999999</v>
      </c>
      <c r="I8902">
        <v>134.95099999999999</v>
      </c>
      <c r="J8902">
        <v>-177.3374</v>
      </c>
      <c r="K8902">
        <v>1.1019289999999999</v>
      </c>
      <c r="L8902">
        <v>134.84440000000001</v>
      </c>
      <c r="M8902">
        <v>0.74473140000000004</v>
      </c>
      <c r="N8902">
        <v>0</v>
      </c>
      <c r="O8902">
        <v>0.66718929999999999</v>
      </c>
      <c r="P8902">
        <v>0.79465479999999999</v>
      </c>
      <c r="Q8902">
        <v>5.3005620000000003E-2</v>
      </c>
      <c r="R8902">
        <v>0.60474309999999998</v>
      </c>
      <c r="S8902">
        <v>3.0745849999999999</v>
      </c>
      <c r="T8902">
        <v>0.58468430000000005</v>
      </c>
      <c r="U8902">
        <v>0.88113399999999997</v>
      </c>
      <c r="V8902">
        <v>8.1208849999999999E-2</v>
      </c>
      <c r="W8902">
        <v>6.655092E-2</v>
      </c>
      <c r="X8902">
        <v>0.99447280000000005</v>
      </c>
      <c r="Y8902">
        <v>0.42061379999999998</v>
      </c>
      <c r="Z8902">
        <v>0.15048320000000001</v>
      </c>
      <c r="AA8902">
        <v>0.89467249999999998</v>
      </c>
      <c r="AB8902">
        <v>23</v>
      </c>
      <c r="AC8902">
        <v>0.52830000000000099</v>
      </c>
      <c r="AD8902">
        <v>0.116880999999999</v>
      </c>
      <c r="AE8902">
        <v>0.106599999999986</v>
      </c>
      <c r="AF8902">
        <v>0.260851244072138</v>
      </c>
      <c r="AG8902">
        <v>0.116880999999999</v>
      </c>
      <c r="AH8902">
        <v>0.443747828571806</v>
      </c>
      <c r="AI8902">
        <v>77.206845327118302</v>
      </c>
      <c r="AJ8902">
        <v>59.551426356828898</v>
      </c>
      <c r="AK8902">
        <v>0.52784152456696198</v>
      </c>
      <c r="AL8902">
        <v>86.184092926869099</v>
      </c>
      <c r="AM8902">
        <v>85.331573627682104</v>
      </c>
      <c r="AN8902">
        <v>1.0000000261055</v>
      </c>
    </row>
    <row r="8903" spans="1:40" x14ac:dyDescent="0.25">
      <c r="A8903" t="str">
        <f>"20190312160541941"</f>
        <v>20190312160541941</v>
      </c>
      <c r="B8903" t="str">
        <f>"1552377941934204"</f>
        <v>1552377941934204</v>
      </c>
      <c r="C8903" t="s">
        <v>40</v>
      </c>
      <c r="D8903">
        <v>5.8298579999999998</v>
      </c>
      <c r="E8903">
        <v>0.64895890000000001</v>
      </c>
      <c r="F8903" t="s">
        <v>49</v>
      </c>
      <c r="G8903">
        <v>-176.6532</v>
      </c>
      <c r="H8903">
        <v>1.2308859999999999</v>
      </c>
      <c r="I8903">
        <v>135.0369</v>
      </c>
      <c r="J8903">
        <v>-177.24539999999999</v>
      </c>
      <c r="K8903">
        <v>1.101928</v>
      </c>
      <c r="L8903">
        <v>134.91720000000001</v>
      </c>
      <c r="M8903">
        <v>0.74910969999999999</v>
      </c>
      <c r="N8903">
        <v>0</v>
      </c>
      <c r="O8903">
        <v>0.66226980000000002</v>
      </c>
      <c r="P8903">
        <v>0.79848050000000004</v>
      </c>
      <c r="Q8903">
        <v>5.3324299999999998E-2</v>
      </c>
      <c r="R8903">
        <v>0.59965449999999998</v>
      </c>
      <c r="S8903">
        <v>3.0772710000000001</v>
      </c>
      <c r="T8903">
        <v>0.57993600000000001</v>
      </c>
      <c r="U8903">
        <v>0.86628719999999904</v>
      </c>
      <c r="V8903">
        <v>8.1003980000000003E-2</v>
      </c>
      <c r="W8903">
        <v>6.6877309999999995E-2</v>
      </c>
      <c r="X8903">
        <v>0.99446760000000001</v>
      </c>
      <c r="Y8903">
        <v>0.41918870000000003</v>
      </c>
      <c r="Z8903">
        <v>0.1485387</v>
      </c>
      <c r="AA8903">
        <v>0.89566579999999996</v>
      </c>
      <c r="AB8903">
        <v>23</v>
      </c>
      <c r="AC8903">
        <v>0.59219999999999096</v>
      </c>
      <c r="AD8903">
        <v>0.12895799999999999</v>
      </c>
      <c r="AE8903">
        <v>0.11969999999999401</v>
      </c>
      <c r="AF8903">
        <v>0.28937936496641498</v>
      </c>
      <c r="AG8903">
        <v>0.12895799999999999</v>
      </c>
      <c r="AH8903">
        <v>0.50017047404841197</v>
      </c>
      <c r="AI8903">
        <v>77.419534010134299</v>
      </c>
      <c r="AJ8903">
        <v>59.947979754684802</v>
      </c>
      <c r="AK8903">
        <v>0.59206510262147605</v>
      </c>
      <c r="AL8903">
        <v>86.165350353164399</v>
      </c>
      <c r="AM8903">
        <v>85.343274818800793</v>
      </c>
      <c r="AN8903">
        <v>1.00000001340921</v>
      </c>
    </row>
    <row r="8904" spans="1:40" x14ac:dyDescent="0.25">
      <c r="A8904" t="str">
        <f>"20190312160541950"</f>
        <v>20190312160541950</v>
      </c>
      <c r="B8904" t="str">
        <f>"1552377941943965"</f>
        <v>1552377941943965</v>
      </c>
      <c r="C8904" t="s">
        <v>40</v>
      </c>
      <c r="D8904">
        <v>5.7773180000000002</v>
      </c>
      <c r="E8904">
        <v>0.64895890000000001</v>
      </c>
      <c r="F8904" t="s">
        <v>49</v>
      </c>
      <c r="G8904">
        <v>-176.62819999999999</v>
      </c>
      <c r="H8904">
        <v>1.21733799999999</v>
      </c>
      <c r="I8904">
        <v>135.0874</v>
      </c>
      <c r="J8904">
        <v>-177.16329999999999</v>
      </c>
      <c r="K8904">
        <v>1.1019289999999999</v>
      </c>
      <c r="L8904">
        <v>134.98140000000001</v>
      </c>
      <c r="M8904">
        <v>0.75297389999999997</v>
      </c>
      <c r="N8904">
        <v>0</v>
      </c>
      <c r="O8904">
        <v>0.65787289999999998</v>
      </c>
      <c r="P8904">
        <v>0.80178050000000001</v>
      </c>
      <c r="Q8904">
        <v>5.3397750000000001E-2</v>
      </c>
      <c r="R8904">
        <v>0.59522830000000004</v>
      </c>
      <c r="S8904">
        <v>3.08046</v>
      </c>
      <c r="T8904">
        <v>0.57605469999999903</v>
      </c>
      <c r="U8904">
        <v>0.84980769999999906</v>
      </c>
      <c r="V8904">
        <v>8.0681149999999993E-2</v>
      </c>
      <c r="W8904">
        <v>6.6961039999999999E-2</v>
      </c>
      <c r="X8904">
        <v>0.99448820000000004</v>
      </c>
      <c r="Y8904">
        <v>0.4188405</v>
      </c>
      <c r="Z8904">
        <v>0.14697170000000001</v>
      </c>
      <c r="AA8904">
        <v>0.89608709999999903</v>
      </c>
      <c r="AB8904">
        <v>23</v>
      </c>
      <c r="AC8904">
        <v>0.53509999999999902</v>
      </c>
      <c r="AD8904">
        <v>0.115408999999999</v>
      </c>
      <c r="AE8904">
        <v>0.105999999999994</v>
      </c>
      <c r="AF8904">
        <v>0.26058067638861299</v>
      </c>
      <c r="AG8904">
        <v>0.115408999999999</v>
      </c>
      <c r="AH8904">
        <v>0.452454079328373</v>
      </c>
      <c r="AI8904">
        <v>77.535969798460002</v>
      </c>
      <c r="AJ8904">
        <v>60.061183361590203</v>
      </c>
      <c r="AK8904">
        <v>0.53473004412416703</v>
      </c>
      <c r="AL8904">
        <v>86.160542164974103</v>
      </c>
      <c r="AM8904">
        <v>85.361848066356501</v>
      </c>
      <c r="AN8904">
        <v>1.0000000043912201</v>
      </c>
    </row>
    <row r="8905" spans="1:40" x14ac:dyDescent="0.25">
      <c r="A8905" t="str">
        <f>"20190312160541962"</f>
        <v>20190312160541962</v>
      </c>
      <c r="B8905" t="str">
        <f>"1552377941953724"</f>
        <v>1552377941953724</v>
      </c>
      <c r="C8905" t="s">
        <v>40</v>
      </c>
      <c r="D8905">
        <v>5.8903509999999999</v>
      </c>
      <c r="E8905">
        <v>0.63413869999999894</v>
      </c>
      <c r="F8905" t="s">
        <v>49</v>
      </c>
      <c r="G8905">
        <v>-176.48740000000001</v>
      </c>
      <c r="H8905">
        <v>1.2282839999999999</v>
      </c>
      <c r="I8905">
        <v>135.16390000000001</v>
      </c>
      <c r="J8905">
        <v>-177.0609</v>
      </c>
      <c r="K8905">
        <v>1.1019350000000001</v>
      </c>
      <c r="L8905">
        <v>135.06039999999999</v>
      </c>
      <c r="M8905">
        <v>0.75774149999999996</v>
      </c>
      <c r="N8905">
        <v>0</v>
      </c>
      <c r="O8905">
        <v>0.65237590000000001</v>
      </c>
      <c r="P8905">
        <v>0.80594049999999995</v>
      </c>
      <c r="Q8905">
        <v>5.3410119999999998E-2</v>
      </c>
      <c r="R8905">
        <v>0.5895823</v>
      </c>
      <c r="S8905">
        <v>3.0850369999999998</v>
      </c>
      <c r="T8905">
        <v>0.57669999999999999</v>
      </c>
      <c r="U8905">
        <v>0.83274840000000006</v>
      </c>
      <c r="V8905">
        <v>8.0428159999999999E-2</v>
      </c>
      <c r="W8905">
        <v>6.6981979999999997E-2</v>
      </c>
      <c r="X8905">
        <v>0.99450729999999998</v>
      </c>
      <c r="Y8905">
        <v>0.41727500000000001</v>
      </c>
      <c r="Z8905">
        <v>0.14622650000000001</v>
      </c>
      <c r="AA8905">
        <v>0.89693889999999998</v>
      </c>
      <c r="AB8905">
        <v>23</v>
      </c>
      <c r="AC8905">
        <v>0.57349999999999501</v>
      </c>
      <c r="AD8905">
        <v>0.12634899999999899</v>
      </c>
      <c r="AE8905">
        <v>0.103500000000025</v>
      </c>
      <c r="AF8905">
        <v>0.28246804613115301</v>
      </c>
      <c r="AG8905">
        <v>0.12634899999999899</v>
      </c>
      <c r="AH8905">
        <v>0.47959999565091299</v>
      </c>
      <c r="AI8905">
        <v>77.210530953522493</v>
      </c>
      <c r="AJ8905">
        <v>59.503365194138603</v>
      </c>
      <c r="AK8905">
        <v>0.57076126595495902</v>
      </c>
      <c r="AL8905">
        <v>86.159339760013594</v>
      </c>
      <c r="AM8905">
        <v>85.376417068426505</v>
      </c>
      <c r="AN8905">
        <v>1.00000002215949</v>
      </c>
    </row>
    <row r="8906" spans="1:40" x14ac:dyDescent="0.25">
      <c r="A8906" t="str">
        <f>"20190312160541973"</f>
        <v>20190312160541973</v>
      </c>
      <c r="B8906" t="str">
        <f>"1552377941964460"</f>
        <v>1552377941964460</v>
      </c>
      <c r="C8906" t="s">
        <v>40</v>
      </c>
      <c r="D8906">
        <v>5.784872</v>
      </c>
      <c r="E8906">
        <v>0.63218819999999998</v>
      </c>
      <c r="F8906" t="s">
        <v>129</v>
      </c>
      <c r="G8906">
        <v>-101.7501</v>
      </c>
      <c r="H8906">
        <v>11.952629999999999</v>
      </c>
      <c r="I8906">
        <v>157.5712</v>
      </c>
      <c r="J8906">
        <v>-176.97200000000001</v>
      </c>
      <c r="K8906">
        <v>1.1019380000000001</v>
      </c>
      <c r="L8906">
        <v>135.12790000000001</v>
      </c>
      <c r="M8906">
        <v>0.76182780000000005</v>
      </c>
      <c r="N8906">
        <v>0</v>
      </c>
      <c r="O8906">
        <v>0.64759899999999904</v>
      </c>
      <c r="P8906">
        <v>0.80942389999999997</v>
      </c>
      <c r="Q8906">
        <v>5.317914E-2</v>
      </c>
      <c r="R8906">
        <v>0.58481190000000005</v>
      </c>
      <c r="S8906">
        <v>3.030716</v>
      </c>
      <c r="T8906">
        <v>0.4366623</v>
      </c>
      <c r="U8906">
        <v>0.90589900000000001</v>
      </c>
      <c r="V8906">
        <v>8.0054040000000007E-2</v>
      </c>
      <c r="W8906">
        <v>6.6762169999999996E-2</v>
      </c>
      <c r="X8906">
        <v>0.99455229999999994</v>
      </c>
      <c r="Y8906">
        <v>0.3937252</v>
      </c>
      <c r="Z8906">
        <v>0.11034480000000001</v>
      </c>
      <c r="AA8906">
        <v>0.91258119999999998</v>
      </c>
      <c r="AB8906">
        <v>23</v>
      </c>
      <c r="AC8906">
        <v>75.221900000000005</v>
      </c>
      <c r="AD8906">
        <v>10.850692</v>
      </c>
      <c r="AE8906">
        <v>22.443299999999901</v>
      </c>
      <c r="AF8906">
        <v>31.026573856840201</v>
      </c>
      <c r="AG8906">
        <v>10.850692</v>
      </c>
      <c r="AH8906">
        <v>70.501727079844201</v>
      </c>
      <c r="AI8906">
        <v>81.981569092385001</v>
      </c>
      <c r="AJ8906">
        <v>66.246547090191896</v>
      </c>
      <c r="AK8906">
        <v>77.787398230135295</v>
      </c>
      <c r="AL8906">
        <v>86.171962333418307</v>
      </c>
      <c r="AM8906">
        <v>85.398038884546907</v>
      </c>
      <c r="AN8906">
        <v>1.0000000570493499</v>
      </c>
    </row>
    <row r="8907" spans="1:40" x14ac:dyDescent="0.25">
      <c r="A8907" t="str">
        <f>"20190312160541985"</f>
        <v>20190312160541985</v>
      </c>
      <c r="B8907" t="str">
        <f>"1552377941974220"</f>
        <v>1552377941974220</v>
      </c>
      <c r="C8907" t="s">
        <v>40</v>
      </c>
      <c r="D8907">
        <v>5.7277319999999996</v>
      </c>
      <c r="E8907">
        <v>0.63218819999999998</v>
      </c>
      <c r="F8907" t="s">
        <v>49</v>
      </c>
      <c r="G8907">
        <v>-176.2859</v>
      </c>
      <c r="H8907">
        <v>1.20113</v>
      </c>
      <c r="I8907">
        <v>135.33199999999999</v>
      </c>
      <c r="J8907">
        <v>-176.86840000000001</v>
      </c>
      <c r="K8907">
        <v>1.1019399999999999</v>
      </c>
      <c r="L8907">
        <v>135.20580000000001</v>
      </c>
      <c r="M8907">
        <v>0.76654009999999995</v>
      </c>
      <c r="N8907">
        <v>0</v>
      </c>
      <c r="O8907">
        <v>0.64201439999999999</v>
      </c>
      <c r="P8907">
        <v>0.81345529999999999</v>
      </c>
      <c r="Q8907">
        <v>5.3239670000000003E-2</v>
      </c>
      <c r="R8907">
        <v>0.57918570000000003</v>
      </c>
      <c r="S8907">
        <v>3.0269010000000001</v>
      </c>
      <c r="T8907">
        <v>0.43757259999999998</v>
      </c>
      <c r="U8907">
        <v>0.90064999999999995</v>
      </c>
      <c r="V8907">
        <v>7.9679700000000006E-2</v>
      </c>
      <c r="W8907">
        <v>6.6834019999999994E-2</v>
      </c>
      <c r="X8907">
        <v>0.9945775</v>
      </c>
      <c r="Y8907">
        <v>0.38817629999999997</v>
      </c>
      <c r="Z8907">
        <v>0.1097846</v>
      </c>
      <c r="AA8907">
        <v>0.91502269999999997</v>
      </c>
      <c r="AB8907">
        <v>23</v>
      </c>
      <c r="AC8907">
        <v>0.58250000000001001</v>
      </c>
      <c r="AD8907">
        <v>9.9190000000000098E-2</v>
      </c>
      <c r="AE8907">
        <v>0.12619999999998299</v>
      </c>
      <c r="AF8907">
        <v>0.26979606812571699</v>
      </c>
      <c r="AG8907">
        <v>9.9190000000000098E-2</v>
      </c>
      <c r="AH8907">
        <v>0.51337488018497102</v>
      </c>
      <c r="AI8907">
        <v>80.294520726606706</v>
      </c>
      <c r="AJ8907">
        <v>62.276537444423099</v>
      </c>
      <c r="AK8907">
        <v>0.58837262179764105</v>
      </c>
      <c r="AL8907">
        <v>86.167836282827395</v>
      </c>
      <c r="AM8907">
        <v>85.419581853382795</v>
      </c>
      <c r="AN8907">
        <v>1.0000000221638401</v>
      </c>
    </row>
    <row r="8908" spans="1:40" x14ac:dyDescent="0.25">
      <c r="A8908" t="str">
        <f>"20190312160541999"</f>
        <v>20190312160541999</v>
      </c>
      <c r="B8908" t="str">
        <f>"1552377941994716"</f>
        <v>1552377941994716</v>
      </c>
      <c r="C8908" t="s">
        <v>40</v>
      </c>
      <c r="D8908">
        <v>5.7981509999999998</v>
      </c>
      <c r="E8908">
        <v>0.63137909999999997</v>
      </c>
      <c r="F8908" t="s">
        <v>129</v>
      </c>
      <c r="G8908">
        <v>-97.72148</v>
      </c>
      <c r="H8908">
        <v>12.5275</v>
      </c>
      <c r="I8908">
        <v>158.1591</v>
      </c>
      <c r="J8908">
        <v>-176.75299999999999</v>
      </c>
      <c r="K8908">
        <v>1.1019460000000001</v>
      </c>
      <c r="L8908">
        <v>135.29060000000001</v>
      </c>
      <c r="M8908">
        <v>0.77170909999999904</v>
      </c>
      <c r="N8908">
        <v>0</v>
      </c>
      <c r="O8908">
        <v>0.63579180000000002</v>
      </c>
      <c r="P8908">
        <v>0.81804350000000003</v>
      </c>
      <c r="Q8908">
        <v>5.3240549999999998E-2</v>
      </c>
      <c r="R8908">
        <v>0.57268699999999995</v>
      </c>
      <c r="S8908">
        <v>3.0330349999999999</v>
      </c>
      <c r="T8908">
        <v>0.4378455</v>
      </c>
      <c r="U8908">
        <v>0.87960819999999995</v>
      </c>
      <c r="V8908">
        <v>7.9555459999999995E-2</v>
      </c>
      <c r="W8908">
        <v>6.684068E-2</v>
      </c>
      <c r="X8908">
        <v>0.994587</v>
      </c>
      <c r="Y8908">
        <v>0.38713530000000002</v>
      </c>
      <c r="Z8908">
        <v>0.109081399999999</v>
      </c>
      <c r="AA8908">
        <v>0.91554769999999996</v>
      </c>
      <c r="AB8908">
        <v>23</v>
      </c>
      <c r="AC8908">
        <v>79.031519999999901</v>
      </c>
      <c r="AD8908">
        <v>11.425554</v>
      </c>
      <c r="AE8908">
        <v>22.868499999999901</v>
      </c>
      <c r="AF8908">
        <v>31.9866925210452</v>
      </c>
      <c r="AG8908">
        <v>11.425554</v>
      </c>
      <c r="AH8908">
        <v>74.108552537587599</v>
      </c>
      <c r="AI8908">
        <v>81.943258434913801</v>
      </c>
      <c r="AJ8908">
        <v>66.654032918410493</v>
      </c>
      <c r="AK8908">
        <v>81.521588195147402</v>
      </c>
      <c r="AL8908">
        <v>86.167453845352597</v>
      </c>
      <c r="AM8908">
        <v>85.426737015256293</v>
      </c>
      <c r="AN8908">
        <v>1.00000002414383</v>
      </c>
    </row>
    <row r="8909" spans="1:40" x14ac:dyDescent="0.25">
      <c r="A8909" t="str">
        <f>"20190312160542012"</f>
        <v>20190312160542012</v>
      </c>
      <c r="B8909" t="str">
        <f>"1552377942004476"</f>
        <v>1552377942004476</v>
      </c>
      <c r="C8909" t="s">
        <v>40</v>
      </c>
      <c r="D8909">
        <v>5.4158809999999997</v>
      </c>
      <c r="E8909">
        <v>0.63137909999999997</v>
      </c>
      <c r="F8909" t="s">
        <v>129</v>
      </c>
      <c r="G8909">
        <v>-96.042400000000001</v>
      </c>
      <c r="H8909">
        <v>12.32343</v>
      </c>
      <c r="I8909">
        <v>158.1591</v>
      </c>
      <c r="J8909">
        <v>-176.64080000000001</v>
      </c>
      <c r="K8909">
        <v>1.101953</v>
      </c>
      <c r="L8909">
        <v>135.37209999999999</v>
      </c>
      <c r="M8909">
        <v>0.77667120000000001</v>
      </c>
      <c r="N8909">
        <v>0</v>
      </c>
      <c r="O8909">
        <v>0.62972059999999996</v>
      </c>
      <c r="P8909">
        <v>0.82240599999999997</v>
      </c>
      <c r="Q8909">
        <v>5.3375510000000001E-2</v>
      </c>
      <c r="R8909">
        <v>0.5663916</v>
      </c>
      <c r="S8909">
        <v>3.0373380000000001</v>
      </c>
      <c r="T8909">
        <v>0.4222921</v>
      </c>
      <c r="U8909">
        <v>0.86059569999999996</v>
      </c>
      <c r="V8909">
        <v>7.9385570000000003E-2</v>
      </c>
      <c r="W8909">
        <v>6.6981970000000002E-2</v>
      </c>
      <c r="X8909">
        <v>0.99459109999999995</v>
      </c>
      <c r="Y8909">
        <v>0.38620949999999998</v>
      </c>
      <c r="Z8909">
        <v>0.1045596</v>
      </c>
      <c r="AA8909">
        <v>0.9164658</v>
      </c>
      <c r="AB8909">
        <v>23</v>
      </c>
      <c r="AC8909">
        <v>80.598399999999998</v>
      </c>
      <c r="AD8909">
        <v>11.221477</v>
      </c>
      <c r="AE8909">
        <v>22.786999999999999</v>
      </c>
      <c r="AF8909">
        <v>32.477380790990097</v>
      </c>
      <c r="AG8909">
        <v>11.221477</v>
      </c>
      <c r="AH8909">
        <v>75.599920919377098</v>
      </c>
      <c r="AI8909">
        <v>82.233897849556499</v>
      </c>
      <c r="AJ8909">
        <v>66.751860860099697</v>
      </c>
      <c r="AK8909">
        <v>83.0424581290834</v>
      </c>
      <c r="AL8909">
        <v>86.159340459095802</v>
      </c>
      <c r="AM8909">
        <v>85.436480616444598</v>
      </c>
      <c r="AN8909">
        <v>1.00000005461425</v>
      </c>
    </row>
    <row r="8910" spans="1:40" x14ac:dyDescent="0.25">
      <c r="A8910" t="str">
        <f>"20190312160542024"</f>
        <v>20190312160542024</v>
      </c>
      <c r="B8910" t="str">
        <f>"1552377942014237"</f>
        <v>1552377942014237</v>
      </c>
      <c r="C8910" t="s">
        <v>40</v>
      </c>
      <c r="D8910">
        <v>5.6150659999999997</v>
      </c>
      <c r="E8910">
        <v>0.63237860000000001</v>
      </c>
      <c r="F8910" t="s">
        <v>49</v>
      </c>
      <c r="G8910">
        <v>-175.9436</v>
      </c>
      <c r="H8910">
        <v>1.1987380000000001</v>
      </c>
      <c r="I8910">
        <v>135.56379999999999</v>
      </c>
      <c r="J8910">
        <v>-176.52619999999999</v>
      </c>
      <c r="K8910">
        <v>1.101963</v>
      </c>
      <c r="L8910">
        <v>135.45400000000001</v>
      </c>
      <c r="M8910">
        <v>0.78166650000000004</v>
      </c>
      <c r="N8910">
        <v>0</v>
      </c>
      <c r="O8910">
        <v>0.62350899999999998</v>
      </c>
      <c r="P8910">
        <v>0.82690319999999995</v>
      </c>
      <c r="Q8910">
        <v>5.355861E-2</v>
      </c>
      <c r="R8910">
        <v>0.5597879</v>
      </c>
      <c r="S8910">
        <v>3.0438390000000002</v>
      </c>
      <c r="T8910">
        <v>0.4225777</v>
      </c>
      <c r="U8910">
        <v>0.83720399999999995</v>
      </c>
      <c r="V8910">
        <v>7.9416299999999995E-2</v>
      </c>
      <c r="W8910">
        <v>6.7167519999999994E-2</v>
      </c>
      <c r="X8910">
        <v>0.99457609999999996</v>
      </c>
      <c r="Y8910">
        <v>0.38595829999999998</v>
      </c>
      <c r="Z8910">
        <v>0.10392609999999999</v>
      </c>
      <c r="AA8910">
        <v>0.9166436</v>
      </c>
      <c r="AB8910">
        <v>23</v>
      </c>
      <c r="AC8910">
        <v>0.58259999999998502</v>
      </c>
      <c r="AD8910">
        <v>9.6774999999999806E-2</v>
      </c>
      <c r="AE8910">
        <v>0.109799999999978</v>
      </c>
      <c r="AF8910">
        <v>0.27026054506295799</v>
      </c>
      <c r="AG8910">
        <v>9.6774999999999806E-2</v>
      </c>
      <c r="AH8910">
        <v>0.51032356458563299</v>
      </c>
      <c r="AI8910">
        <v>80.486511011698894</v>
      </c>
      <c r="AJ8910">
        <v>62.094903123330099</v>
      </c>
      <c r="AK8910">
        <v>0.58552224843648304</v>
      </c>
      <c r="AL8910">
        <v>86.148685104250504</v>
      </c>
      <c r="AM8910">
        <v>85.434652991313399</v>
      </c>
      <c r="AN8910">
        <v>1.0000000215699201</v>
      </c>
    </row>
    <row r="8911" spans="1:40" x14ac:dyDescent="0.25">
      <c r="A8911" t="str">
        <f>"20190312160542039"</f>
        <v>20190312160542039</v>
      </c>
      <c r="B8911" t="str">
        <f>"1552377942033758"</f>
        <v>1552377942033758</v>
      </c>
      <c r="C8911" t="s">
        <v>40</v>
      </c>
      <c r="D8911">
        <v>4.9197889999999997</v>
      </c>
      <c r="E8911">
        <v>0.64144780000000001</v>
      </c>
      <c r="F8911" t="s">
        <v>129</v>
      </c>
      <c r="G8911">
        <v>-95.03519</v>
      </c>
      <c r="H8911">
        <v>12.75145</v>
      </c>
      <c r="I8911">
        <v>156.96709999999999</v>
      </c>
      <c r="J8911">
        <v>-176.41069999999999</v>
      </c>
      <c r="K8911">
        <v>1.1019749999999999</v>
      </c>
      <c r="L8911">
        <v>135.53469999999999</v>
      </c>
      <c r="M8911">
        <v>0.78661809999999999</v>
      </c>
      <c r="N8911">
        <v>0</v>
      </c>
      <c r="O8911">
        <v>0.61725030000000003</v>
      </c>
      <c r="P8911">
        <v>0.83137269999999897</v>
      </c>
      <c r="Q8911">
        <v>5.3875100000000002E-2</v>
      </c>
      <c r="R8911">
        <v>0.55309770000000003</v>
      </c>
      <c r="S8911">
        <v>3.053909</v>
      </c>
      <c r="T8911">
        <v>0.4365696</v>
      </c>
      <c r="U8911">
        <v>0.80621339999999997</v>
      </c>
      <c r="V8911">
        <v>7.9495179999999999E-2</v>
      </c>
      <c r="W8911">
        <v>6.7484840000000004E-2</v>
      </c>
      <c r="X8911">
        <v>0.99454830000000005</v>
      </c>
      <c r="Y8911">
        <v>0.3875691</v>
      </c>
      <c r="Z8911">
        <v>0.10665289999999999</v>
      </c>
      <c r="AA8911">
        <v>0.91565019999999997</v>
      </c>
      <c r="AB8911">
        <v>23</v>
      </c>
      <c r="AC8911">
        <v>81.375509999999906</v>
      </c>
      <c r="AD8911">
        <v>11.649475000000001</v>
      </c>
      <c r="AE8911">
        <v>21.432400000000001</v>
      </c>
      <c r="AF8911">
        <v>32.746282256072497</v>
      </c>
      <c r="AG8911">
        <v>11.649475000000001</v>
      </c>
      <c r="AH8911">
        <v>75.797029158393798</v>
      </c>
      <c r="AI8911">
        <v>81.969196718373993</v>
      </c>
      <c r="AJ8911">
        <v>66.6344033589926</v>
      </c>
      <c r="AK8911">
        <v>83.385963438749002</v>
      </c>
      <c r="AL8911">
        <v>86.130462593929707</v>
      </c>
      <c r="AM8911">
        <v>85.430010473735393</v>
      </c>
      <c r="AN8911">
        <v>1.00000000415297</v>
      </c>
    </row>
    <row r="8912" spans="1:40" x14ac:dyDescent="0.25">
      <c r="A8912" t="str">
        <f>"20190312160542062"</f>
        <v>20190312160542062</v>
      </c>
      <c r="B8912" t="str">
        <f>"1552377942054252"</f>
        <v>1552377942054252</v>
      </c>
      <c r="C8912" t="s">
        <v>40</v>
      </c>
      <c r="D8912">
        <v>5.5255789999999996</v>
      </c>
      <c r="E8912">
        <v>0.64776020000000001</v>
      </c>
      <c r="F8912" t="s">
        <v>49</v>
      </c>
      <c r="G8912">
        <v>-175.75739999999999</v>
      </c>
      <c r="H8912">
        <v>1.2076039999999999</v>
      </c>
      <c r="I8912">
        <v>135.68700000000001</v>
      </c>
      <c r="J8912">
        <v>-176.21619999999999</v>
      </c>
      <c r="K8912">
        <v>1.1019969999999999</v>
      </c>
      <c r="L8912">
        <v>135.6679</v>
      </c>
      <c r="M8912">
        <v>0.79479580000000005</v>
      </c>
      <c r="N8912">
        <v>0</v>
      </c>
      <c r="O8912">
        <v>0.60668409999999995</v>
      </c>
      <c r="P8912">
        <v>0.83892739999999999</v>
      </c>
      <c r="Q8912">
        <v>5.4462650000000001E-2</v>
      </c>
      <c r="R8912">
        <v>0.54151169999999904</v>
      </c>
      <c r="S8912">
        <v>3.0958860000000001</v>
      </c>
      <c r="T8912">
        <v>0.50059010000000004</v>
      </c>
      <c r="U8912">
        <v>0.7217865</v>
      </c>
      <c r="V8912">
        <v>7.9987899999999904E-2</v>
      </c>
      <c r="W8912">
        <v>6.806574E-2</v>
      </c>
      <c r="X8912">
        <v>0.99446920000000005</v>
      </c>
      <c r="Y8912">
        <v>0.39928910000000001</v>
      </c>
      <c r="Z8912">
        <v>0.12075760000000001</v>
      </c>
      <c r="AA8912">
        <v>0.90883769999999997</v>
      </c>
      <c r="AB8912">
        <v>23</v>
      </c>
      <c r="AC8912">
        <v>0.45879999999999599</v>
      </c>
      <c r="AD8912">
        <v>0.10560700000000001</v>
      </c>
      <c r="AE8912">
        <v>1.91000000000087E-2</v>
      </c>
      <c r="AF8912">
        <v>0.24997527782890899</v>
      </c>
      <c r="AG8912">
        <v>0.10560700000000001</v>
      </c>
      <c r="AH8912">
        <v>0.35738153876773099</v>
      </c>
      <c r="AI8912">
        <v>76.388074097176499</v>
      </c>
      <c r="AJ8912">
        <v>55.028622229555197</v>
      </c>
      <c r="AK8912">
        <v>0.44873382113078097</v>
      </c>
      <c r="AL8912">
        <v>86.097102749602698</v>
      </c>
      <c r="AM8912">
        <v>85.401442091091496</v>
      </c>
      <c r="AN8912">
        <v>0.99999999942839801</v>
      </c>
    </row>
    <row r="8913" spans="1:40" x14ac:dyDescent="0.25">
      <c r="A8913" t="str">
        <f>"20190312160542075"</f>
        <v>20190312160542075</v>
      </c>
      <c r="B8913" t="str">
        <f>"1552377942064012"</f>
        <v>1552377942064012</v>
      </c>
      <c r="C8913" t="s">
        <v>40</v>
      </c>
      <c r="D8913">
        <v>5.2819250000000002</v>
      </c>
      <c r="E8913">
        <v>0.64985700000000002</v>
      </c>
      <c r="F8913" t="s">
        <v>49</v>
      </c>
      <c r="G8913">
        <v>-175.5848</v>
      </c>
      <c r="H8913">
        <v>1.2120489999999999</v>
      </c>
      <c r="I8913">
        <v>135.7963</v>
      </c>
      <c r="J8913">
        <v>-176.09219999999999</v>
      </c>
      <c r="K8913">
        <v>1.1020110000000001</v>
      </c>
      <c r="L8913">
        <v>135.7509</v>
      </c>
      <c r="M8913">
        <v>0.79990209999999995</v>
      </c>
      <c r="N8913">
        <v>0</v>
      </c>
      <c r="O8913">
        <v>0.59993560000000001</v>
      </c>
      <c r="P8913">
        <v>0.84353040000000001</v>
      </c>
      <c r="Q8913">
        <v>5.43072E-2</v>
      </c>
      <c r="R8913">
        <v>0.53432899999999905</v>
      </c>
      <c r="S8913">
        <v>3.129578</v>
      </c>
      <c r="T8913">
        <v>0.54548140000000001</v>
      </c>
      <c r="U8913">
        <v>0.63674929999999996</v>
      </c>
      <c r="V8913">
        <v>8.0062519999999998E-2</v>
      </c>
      <c r="W8913">
        <v>6.7911120000000005E-2</v>
      </c>
      <c r="X8913">
        <v>0.99447379999999996</v>
      </c>
      <c r="Y8913">
        <v>0.41514640000000003</v>
      </c>
      <c r="Z8913">
        <v>0.13110479999999899</v>
      </c>
      <c r="AA8913">
        <v>0.90025829999999996</v>
      </c>
      <c r="AB8913">
        <v>23</v>
      </c>
      <c r="AC8913">
        <v>0.50739999999998897</v>
      </c>
      <c r="AD8913">
        <v>0.110037999999999</v>
      </c>
      <c r="AE8913">
        <v>4.5400000000000697E-2</v>
      </c>
      <c r="AF8913">
        <v>0.25617083939493102</v>
      </c>
      <c r="AG8913">
        <v>0.110037999999999</v>
      </c>
      <c r="AH8913">
        <v>0.41384891243939997</v>
      </c>
      <c r="AI8913">
        <v>77.260643672314401</v>
      </c>
      <c r="AJ8913">
        <v>58.242656329604003</v>
      </c>
      <c r="AK8913">
        <v>0.499001786296981</v>
      </c>
      <c r="AL8913">
        <v>86.105982500860904</v>
      </c>
      <c r="AM8913">
        <v>85.397191761397195</v>
      </c>
      <c r="AN8913">
        <v>1.0000000331074199</v>
      </c>
    </row>
    <row r="8914" spans="1:40" x14ac:dyDescent="0.25">
      <c r="A8914" t="str">
        <f>"20190312160542090"</f>
        <v>20190312160542090</v>
      </c>
      <c r="B8914" t="str">
        <f>"1552377942084508"</f>
        <v>1552377942084508</v>
      </c>
      <c r="C8914" t="s">
        <v>40</v>
      </c>
      <c r="D8914">
        <v>5.361084</v>
      </c>
      <c r="E8914">
        <v>0.65015089999999998</v>
      </c>
      <c r="F8914" t="s">
        <v>49</v>
      </c>
      <c r="G8914">
        <v>-175.45359999999999</v>
      </c>
      <c r="H8914">
        <v>1.2155830000000001</v>
      </c>
      <c r="I8914">
        <v>135.87190000000001</v>
      </c>
      <c r="J8914">
        <v>-175.96709999999999</v>
      </c>
      <c r="K8914">
        <v>1.102028</v>
      </c>
      <c r="L8914">
        <v>135.83320000000001</v>
      </c>
      <c r="M8914">
        <v>0.80496820000000002</v>
      </c>
      <c r="N8914">
        <v>0</v>
      </c>
      <c r="O8914">
        <v>0.5931208</v>
      </c>
      <c r="P8914">
        <v>0.84805769999999903</v>
      </c>
      <c r="Q8914">
        <v>5.4424840000000002E-2</v>
      </c>
      <c r="R8914">
        <v>0.52710159999999995</v>
      </c>
      <c r="S8914">
        <v>3.1428989999999999</v>
      </c>
      <c r="T8914">
        <v>0.55895499999999998</v>
      </c>
      <c r="U8914">
        <v>0.59611510000000001</v>
      </c>
      <c r="V8914">
        <v>8.0109799999999995E-2</v>
      </c>
      <c r="W8914">
        <v>6.8029580000000006E-2</v>
      </c>
      <c r="X8914">
        <v>0.99446179999999995</v>
      </c>
      <c r="Y8914">
        <v>0.41882510000000001</v>
      </c>
      <c r="Z8914">
        <v>0.13339129999999999</v>
      </c>
      <c r="AA8914">
        <v>0.89821620000000002</v>
      </c>
      <c r="AB8914">
        <v>23</v>
      </c>
      <c r="AC8914">
        <v>0.51349999999999296</v>
      </c>
      <c r="AD8914">
        <v>0.113555</v>
      </c>
      <c r="AE8914">
        <v>3.8700000000005702E-2</v>
      </c>
      <c r="AF8914">
        <v>0.26076708780562102</v>
      </c>
      <c r="AG8914">
        <v>0.113555</v>
      </c>
      <c r="AH8914">
        <v>0.41612150494970002</v>
      </c>
      <c r="AI8914">
        <v>76.979957792575107</v>
      </c>
      <c r="AJ8914">
        <v>57.926235276554301</v>
      </c>
      <c r="AK8914">
        <v>0.50403503746190903</v>
      </c>
      <c r="AL8914">
        <v>86.099179137441297</v>
      </c>
      <c r="AM8914">
        <v>85.394429980745798</v>
      </c>
      <c r="AN8914">
        <v>0.99999993773512597</v>
      </c>
    </row>
    <row r="8915" spans="1:40" x14ac:dyDescent="0.25">
      <c r="A8915" t="str">
        <f>"20190312160542101"</f>
        <v>20190312160542101</v>
      </c>
      <c r="B8915" t="str">
        <f>"1552377942094269"</f>
        <v>1552377942094269</v>
      </c>
      <c r="C8915" t="s">
        <v>40</v>
      </c>
      <c r="D8915">
        <v>5.5960159999999997</v>
      </c>
      <c r="E8915">
        <v>0.65120849999999997</v>
      </c>
      <c r="F8915" t="s">
        <v>49</v>
      </c>
      <c r="G8915">
        <v>-175.26740000000001</v>
      </c>
      <c r="H8915">
        <v>1.228715</v>
      </c>
      <c r="I8915">
        <v>135.95910000000001</v>
      </c>
      <c r="J8915">
        <v>-175.86449999999999</v>
      </c>
      <c r="K8915">
        <v>1.102044</v>
      </c>
      <c r="L8915">
        <v>135.89930000000001</v>
      </c>
      <c r="M8915">
        <v>0.80905969999999905</v>
      </c>
      <c r="N8915">
        <v>0</v>
      </c>
      <c r="O8915">
        <v>0.58752749999999998</v>
      </c>
      <c r="P8915">
        <v>0.85174629999999996</v>
      </c>
      <c r="Q8915">
        <v>5.4445010000000002E-2</v>
      </c>
      <c r="R8915">
        <v>0.52111809999999903</v>
      </c>
      <c r="S8915">
        <v>3.1482540000000001</v>
      </c>
      <c r="T8915">
        <v>0.56995980000000002</v>
      </c>
      <c r="U8915">
        <v>0.56735230000000003</v>
      </c>
      <c r="V8915">
        <v>8.0215960000000003E-2</v>
      </c>
      <c r="W8915">
        <v>6.8049070000000003E-2</v>
      </c>
      <c r="X8915">
        <v>0.994452</v>
      </c>
      <c r="Y8915">
        <v>0.42027870000000001</v>
      </c>
      <c r="Z8915">
        <v>0.13527069999999999</v>
      </c>
      <c r="AA8915">
        <v>0.89725560000000004</v>
      </c>
      <c r="AB8915">
        <v>23</v>
      </c>
      <c r="AC8915">
        <v>0.59709999999998298</v>
      </c>
      <c r="AD8915">
        <v>0.12667099999999901</v>
      </c>
      <c r="AE8915">
        <v>5.97999999999956E-2</v>
      </c>
      <c r="AF8915">
        <v>0.28956387279482698</v>
      </c>
      <c r="AG8915">
        <v>0.12667099999999901</v>
      </c>
      <c r="AH8915">
        <v>0.49617568493448799</v>
      </c>
      <c r="AI8915">
        <v>77.565621569086204</v>
      </c>
      <c r="AJ8915">
        <v>59.732531059813198</v>
      </c>
      <c r="AK8915">
        <v>0.58828827031409303</v>
      </c>
      <c r="AL8915">
        <v>86.098060202507298</v>
      </c>
      <c r="AM8915">
        <v>85.388307823633994</v>
      </c>
      <c r="AN8915">
        <v>1.0000000282352901</v>
      </c>
    </row>
    <row r="8916" spans="1:40" x14ac:dyDescent="0.25">
      <c r="A8916" t="str">
        <f>"20190312160542111"</f>
        <v>20190312160542111</v>
      </c>
      <c r="B8916" t="str">
        <f>"1552377942104028"</f>
        <v>1552377942104028</v>
      </c>
      <c r="C8916" t="s">
        <v>40</v>
      </c>
      <c r="D8916">
        <v>5.1049449999999998</v>
      </c>
      <c r="E8916">
        <v>0.65146309999999996</v>
      </c>
      <c r="F8916" t="s">
        <v>49</v>
      </c>
      <c r="G8916">
        <v>-175.24</v>
      </c>
      <c r="H8916">
        <v>1.216218</v>
      </c>
      <c r="I8916">
        <v>136.00550000000001</v>
      </c>
      <c r="J8916">
        <v>-175.77</v>
      </c>
      <c r="K8916">
        <v>1.1020589999999999</v>
      </c>
      <c r="L8916">
        <v>135.95949999999999</v>
      </c>
      <c r="M8916">
        <v>0.81277900000000003</v>
      </c>
      <c r="N8916">
        <v>0</v>
      </c>
      <c r="O8916">
        <v>0.58237139999999998</v>
      </c>
      <c r="P8916">
        <v>0.85502509999999998</v>
      </c>
      <c r="Q8916">
        <v>5.4432349999999997E-2</v>
      </c>
      <c r="R8916">
        <v>0.51572220000000002</v>
      </c>
      <c r="S8916">
        <v>3.156174</v>
      </c>
      <c r="T8916">
        <v>0.57701689999999894</v>
      </c>
      <c r="U8916">
        <v>0.53796390000000005</v>
      </c>
      <c r="V8916">
        <v>8.0178769999999996E-2</v>
      </c>
      <c r="W8916">
        <v>6.8038609999999999E-2</v>
      </c>
      <c r="X8916">
        <v>0.99445570000000005</v>
      </c>
      <c r="Y8916">
        <v>0.42273650000000002</v>
      </c>
      <c r="Z8916">
        <v>0.13624339999999999</v>
      </c>
      <c r="AA8916">
        <v>0.89595290000000005</v>
      </c>
      <c r="AB8916">
        <v>23</v>
      </c>
      <c r="AC8916">
        <v>0.53000000000000103</v>
      </c>
      <c r="AD8916">
        <v>0.114158999999999</v>
      </c>
      <c r="AE8916">
        <v>4.6000000000020601E-2</v>
      </c>
      <c r="AF8916">
        <v>0.25935786072261202</v>
      </c>
      <c r="AG8916">
        <v>0.114158999999999</v>
      </c>
      <c r="AH8916">
        <v>0.43747087260794698</v>
      </c>
      <c r="AI8916">
        <v>77.348582384358096</v>
      </c>
      <c r="AJ8916">
        <v>59.338102660175899</v>
      </c>
      <c r="AK8916">
        <v>0.52122887638730098</v>
      </c>
      <c r="AL8916">
        <v>86.098660850754598</v>
      </c>
      <c r="AM8916">
        <v>85.390453772740699</v>
      </c>
      <c r="AN8916">
        <v>1.0000000134359599</v>
      </c>
    </row>
    <row r="8917" spans="1:40" x14ac:dyDescent="0.25">
      <c r="A8917" t="str">
        <f>"20190312160542122"</f>
        <v>20190312160542122</v>
      </c>
      <c r="B8917" t="str">
        <f>"1552377942113789"</f>
        <v>1552377942113789</v>
      </c>
      <c r="C8917" t="s">
        <v>40</v>
      </c>
      <c r="D8917">
        <v>5.5390540000000001</v>
      </c>
      <c r="E8917">
        <v>0.65222349999999996</v>
      </c>
      <c r="F8917" t="s">
        <v>49</v>
      </c>
      <c r="G8917">
        <v>-175.0934</v>
      </c>
      <c r="H8917">
        <v>1.226812</v>
      </c>
      <c r="I8917">
        <v>136.07</v>
      </c>
      <c r="J8917">
        <v>-175.6705</v>
      </c>
      <c r="K8917">
        <v>1.102074</v>
      </c>
      <c r="L8917">
        <v>136.02189999999999</v>
      </c>
      <c r="M8917">
        <v>0.81664219999999998</v>
      </c>
      <c r="N8917">
        <v>0</v>
      </c>
      <c r="O8917">
        <v>0.57694160000000005</v>
      </c>
      <c r="P8917">
        <v>0.85841350000000005</v>
      </c>
      <c r="Q8917">
        <v>5.4424449999999999E-2</v>
      </c>
      <c r="R8917">
        <v>0.51006320000000005</v>
      </c>
      <c r="S8917">
        <v>3.1601560000000002</v>
      </c>
      <c r="T8917">
        <v>0.58274499999999996</v>
      </c>
      <c r="U8917">
        <v>0.51629639999999999</v>
      </c>
      <c r="V8917">
        <v>8.0117519999999998E-2</v>
      </c>
      <c r="W8917">
        <v>6.8033389999999999E-2</v>
      </c>
      <c r="X8917">
        <v>0.99446100000000004</v>
      </c>
      <c r="Y8917">
        <v>0.4226779</v>
      </c>
      <c r="Z8917">
        <v>0.136734299999999</v>
      </c>
      <c r="AA8917">
        <v>0.89590579999999997</v>
      </c>
      <c r="AB8917">
        <v>23</v>
      </c>
      <c r="AC8917">
        <v>0.57710000000000095</v>
      </c>
      <c r="AD8917">
        <v>0.124738</v>
      </c>
      <c r="AE8917">
        <v>4.8100000000005097E-2</v>
      </c>
      <c r="AF8917">
        <v>0.28068399561465301</v>
      </c>
      <c r="AG8917">
        <v>0.124738</v>
      </c>
      <c r="AH8917">
        <v>0.476963840704139</v>
      </c>
      <c r="AI8917">
        <v>77.298173527606494</v>
      </c>
      <c r="AJ8917">
        <v>59.52401177734</v>
      </c>
      <c r="AK8917">
        <v>0.56730730594401002</v>
      </c>
      <c r="AL8917">
        <v>86.098960654381003</v>
      </c>
      <c r="AM8917">
        <v>85.393984372621404</v>
      </c>
      <c r="AN8917">
        <v>1.00000001984342</v>
      </c>
    </row>
    <row r="8918" spans="1:40" x14ac:dyDescent="0.25">
      <c r="A8918" t="str">
        <f>"20190312160542134"</f>
        <v>20190312160542134</v>
      </c>
      <c r="B8918" t="str">
        <f>"1552377942124524"</f>
        <v>1552377942124524</v>
      </c>
      <c r="C8918" t="s">
        <v>40</v>
      </c>
      <c r="D8918">
        <v>5.2401580000000001</v>
      </c>
      <c r="E8918">
        <v>0.65272929999999996</v>
      </c>
      <c r="F8918" t="s">
        <v>49</v>
      </c>
      <c r="G8918">
        <v>-175.0506</v>
      </c>
      <c r="H8918">
        <v>1.2165029999999999</v>
      </c>
      <c r="I8918">
        <v>136.11779999999999</v>
      </c>
      <c r="J8918">
        <v>-175.56970000000001</v>
      </c>
      <c r="K8918">
        <v>1.1020890000000001</v>
      </c>
      <c r="L8918">
        <v>136.084</v>
      </c>
      <c r="M8918">
        <v>0.82050100000000004</v>
      </c>
      <c r="N8918">
        <v>0</v>
      </c>
      <c r="O8918">
        <v>0.57144059999999997</v>
      </c>
      <c r="P8918">
        <v>0.86166909999999897</v>
      </c>
      <c r="Q8918">
        <v>5.4591019999999997E-2</v>
      </c>
      <c r="R8918">
        <v>0.50452580000000002</v>
      </c>
      <c r="S8918">
        <v>3.1665040000000002</v>
      </c>
      <c r="T8918">
        <v>0.58454430000000002</v>
      </c>
      <c r="U8918">
        <v>0.49017329999999998</v>
      </c>
      <c r="V8918">
        <v>7.9831879999999994E-2</v>
      </c>
      <c r="W8918">
        <v>6.8206550000000005E-2</v>
      </c>
      <c r="X8918">
        <v>0.99447209999999997</v>
      </c>
      <c r="Y8918">
        <v>0.42409750000000002</v>
      </c>
      <c r="Z8918">
        <v>0.1363492</v>
      </c>
      <c r="AA8918">
        <v>0.89529340000000002</v>
      </c>
      <c r="AB8918">
        <v>23</v>
      </c>
      <c r="AC8918">
        <v>0.519100000000008</v>
      </c>
      <c r="AD8918">
        <v>0.114414</v>
      </c>
      <c r="AE8918">
        <v>3.3799999999985099E-2</v>
      </c>
      <c r="AF8918">
        <v>0.25652402443133498</v>
      </c>
      <c r="AG8918">
        <v>0.114414</v>
      </c>
      <c r="AH8918">
        <v>0.42474201053890798</v>
      </c>
      <c r="AI8918">
        <v>77.015551019757197</v>
      </c>
      <c r="AJ8918">
        <v>58.870015429852799</v>
      </c>
      <c r="AK8918">
        <v>0.50921597974050503</v>
      </c>
      <c r="AL8918">
        <v>86.089016179667297</v>
      </c>
      <c r="AM8918">
        <v>85.410386753708295</v>
      </c>
      <c r="AN8918">
        <v>1.0000000101028199</v>
      </c>
    </row>
    <row r="8919" spans="1:40" x14ac:dyDescent="0.25">
      <c r="A8919" t="str">
        <f>"20190312160542145"</f>
        <v>20190312160542145</v>
      </c>
      <c r="B8919" t="str">
        <f>"1552377942134285"</f>
        <v>1552377942134285</v>
      </c>
      <c r="C8919" t="s">
        <v>40</v>
      </c>
      <c r="D8919">
        <v>5.3310190000000004</v>
      </c>
      <c r="E8919">
        <v>0.65258749999999999</v>
      </c>
      <c r="F8919" t="s">
        <v>49</v>
      </c>
      <c r="G8919">
        <v>-174.91890000000001</v>
      </c>
      <c r="H8919">
        <v>1.2224649999999999</v>
      </c>
      <c r="I8919">
        <v>136.17959999999999</v>
      </c>
      <c r="J8919">
        <v>-175.46430000000001</v>
      </c>
      <c r="K8919">
        <v>1.1021000000000001</v>
      </c>
      <c r="L8919">
        <v>136.14840000000001</v>
      </c>
      <c r="M8919">
        <v>0.82448519999999903</v>
      </c>
      <c r="N8919">
        <v>0</v>
      </c>
      <c r="O8919">
        <v>0.56567699999999999</v>
      </c>
      <c r="P8919">
        <v>0.86504969999999903</v>
      </c>
      <c r="Q8919">
        <v>5.4607620000000003E-2</v>
      </c>
      <c r="R8919">
        <v>0.49870560000000003</v>
      </c>
      <c r="S8919">
        <v>3.1715089999999999</v>
      </c>
      <c r="T8919">
        <v>0.58667340000000001</v>
      </c>
      <c r="U8919">
        <v>0.46615600000000001</v>
      </c>
      <c r="V8919">
        <v>7.9564460000000004E-2</v>
      </c>
      <c r="W8919">
        <v>6.8229849999999995E-2</v>
      </c>
      <c r="X8919">
        <v>0.99449189999999998</v>
      </c>
      <c r="Y8919">
        <v>0.42460540000000002</v>
      </c>
      <c r="Z8919">
        <v>0.1359475</v>
      </c>
      <c r="AA8919">
        <v>0.89511369999999901</v>
      </c>
      <c r="AB8919">
        <v>23</v>
      </c>
      <c r="AC8919">
        <v>0.5454</v>
      </c>
      <c r="AD8919">
        <v>0.120364999999999</v>
      </c>
      <c r="AE8919">
        <v>3.1199999999984102E-2</v>
      </c>
      <c r="AF8919">
        <v>0.26973486339328401</v>
      </c>
      <c r="AG8919">
        <v>0.120364999999999</v>
      </c>
      <c r="AH8919">
        <v>0.44573921649544201</v>
      </c>
      <c r="AI8919">
        <v>76.991353511462194</v>
      </c>
      <c r="AJ8919">
        <v>58.820168074842101</v>
      </c>
      <c r="AK8919">
        <v>0.53472243161921296</v>
      </c>
      <c r="AL8919">
        <v>86.087677942829899</v>
      </c>
      <c r="AM8919">
        <v>85.425786323874703</v>
      </c>
      <c r="AN8919">
        <v>0.999999977445861</v>
      </c>
    </row>
    <row r="8920" spans="1:40" x14ac:dyDescent="0.25">
      <c r="A8920" t="str">
        <f>"20190312160542158"</f>
        <v>20190312160542158</v>
      </c>
      <c r="B8920" t="str">
        <f>"1552377942153805"</f>
        <v>1552377942153805</v>
      </c>
      <c r="C8920" t="s">
        <v>40</v>
      </c>
      <c r="D8920">
        <v>5.1817060000000001</v>
      </c>
      <c r="E8920">
        <v>0.65252290000000002</v>
      </c>
      <c r="F8920" t="s">
        <v>49</v>
      </c>
      <c r="G8920">
        <v>-174.84979999999999</v>
      </c>
      <c r="H8920">
        <v>1.215849</v>
      </c>
      <c r="I8920">
        <v>136.2346</v>
      </c>
      <c r="J8920">
        <v>-175.35159999999999</v>
      </c>
      <c r="K8920">
        <v>1.102114</v>
      </c>
      <c r="L8920">
        <v>136.21559999999999</v>
      </c>
      <c r="M8920">
        <v>0.82867429999999997</v>
      </c>
      <c r="N8920">
        <v>0</v>
      </c>
      <c r="O8920">
        <v>0.55952230000000003</v>
      </c>
      <c r="P8920">
        <v>0.86847030000000003</v>
      </c>
      <c r="Q8920">
        <v>5.4587490000000002E-2</v>
      </c>
      <c r="R8920">
        <v>0.49272660000000001</v>
      </c>
      <c r="S8920">
        <v>3.1739039999999998</v>
      </c>
      <c r="T8920">
        <v>0.58745000000000003</v>
      </c>
      <c r="U8920">
        <v>0.44581599999999999</v>
      </c>
      <c r="V8920">
        <v>7.9016680000000006E-2</v>
      </c>
      <c r="W8920">
        <v>6.8221770000000001E-2</v>
      </c>
      <c r="X8920">
        <v>0.99453619999999998</v>
      </c>
      <c r="Y8920">
        <v>0.42367500000000002</v>
      </c>
      <c r="Z8920">
        <v>0.1351234</v>
      </c>
      <c r="AA8920">
        <v>0.89567919999999901</v>
      </c>
      <c r="AB8920">
        <v>23</v>
      </c>
      <c r="AC8920">
        <v>0.50180000000000202</v>
      </c>
      <c r="AD8920">
        <v>0.113734999999999</v>
      </c>
      <c r="AE8920">
        <v>1.9000000000005401E-2</v>
      </c>
      <c r="AF8920">
        <v>0.25212101886028099</v>
      </c>
      <c r="AG8920">
        <v>0.113734999999999</v>
      </c>
      <c r="AH8920">
        <v>0.40569783301125201</v>
      </c>
      <c r="AI8920">
        <v>76.6066781245231</v>
      </c>
      <c r="AJ8920">
        <v>58.141105150804698</v>
      </c>
      <c r="AK8920">
        <v>0.49101058042182</v>
      </c>
      <c r="AL8920">
        <v>86.088142255752203</v>
      </c>
      <c r="AM8920">
        <v>85.457347794205006</v>
      </c>
      <c r="AN8920">
        <v>1.0000000493652901</v>
      </c>
    </row>
    <row r="8921" spans="1:40" x14ac:dyDescent="0.25">
      <c r="A8921" t="str">
        <f>"20190312160542172"</f>
        <v>20190312160542172</v>
      </c>
      <c r="B8921" t="str">
        <f>"1552377942164541"</f>
        <v>1552377942164541</v>
      </c>
      <c r="C8921" t="s">
        <v>40</v>
      </c>
      <c r="D8921">
        <v>5.122471</v>
      </c>
      <c r="E8921">
        <v>0.65252290000000002</v>
      </c>
      <c r="F8921" t="s">
        <v>49</v>
      </c>
      <c r="G8921">
        <v>-174.72059999999999</v>
      </c>
      <c r="H8921">
        <v>1.213506</v>
      </c>
      <c r="I8921">
        <v>136.2998</v>
      </c>
      <c r="J8921">
        <v>-175.2319</v>
      </c>
      <c r="K8921">
        <v>1.1021289999999999</v>
      </c>
      <c r="L8921">
        <v>136.2861</v>
      </c>
      <c r="M8921">
        <v>0.83306089999999999</v>
      </c>
      <c r="N8921">
        <v>0</v>
      </c>
      <c r="O8921">
        <v>0.55297019999999997</v>
      </c>
      <c r="P8921">
        <v>0.87203649999999999</v>
      </c>
      <c r="Q8921">
        <v>5.4019039999999997E-2</v>
      </c>
      <c r="R8921">
        <v>0.48645100000000002</v>
      </c>
      <c r="S8921">
        <v>3.1785130000000001</v>
      </c>
      <c r="T8921">
        <v>0.56110979999999999</v>
      </c>
      <c r="U8921">
        <v>0.42405700000000002</v>
      </c>
      <c r="V8921">
        <v>7.8350500000000003E-2</v>
      </c>
      <c r="W8921">
        <v>6.7668969999999995E-2</v>
      </c>
      <c r="X8921">
        <v>0.99462660000000003</v>
      </c>
      <c r="Y8921">
        <v>0.42418410000000001</v>
      </c>
      <c r="Z8921">
        <v>0.1281825</v>
      </c>
      <c r="AA8921">
        <v>0.89645810000000004</v>
      </c>
      <c r="AB8921">
        <v>23</v>
      </c>
      <c r="AC8921">
        <v>0.51130000000000497</v>
      </c>
      <c r="AD8921">
        <v>0.111376999999999</v>
      </c>
      <c r="AE8921">
        <v>1.37E-2</v>
      </c>
      <c r="AF8921">
        <v>0.25906834532662298</v>
      </c>
      <c r="AG8921">
        <v>0.111376999999999</v>
      </c>
      <c r="AH8921">
        <v>0.41394271472418198</v>
      </c>
      <c r="AI8921">
        <v>77.151874247783894</v>
      </c>
      <c r="AJ8921">
        <v>57.959380443243496</v>
      </c>
      <c r="AK8921">
        <v>0.50086905948810601</v>
      </c>
      <c r="AL8921">
        <v>86.119888464017194</v>
      </c>
      <c r="AM8921">
        <v>85.495895781370805</v>
      </c>
      <c r="AN8921">
        <v>0.99999998188933503</v>
      </c>
    </row>
    <row r="8922" spans="1:40" x14ac:dyDescent="0.25">
      <c r="A8922" t="str">
        <f>"20190312160542186"</f>
        <v>20190312160542186</v>
      </c>
      <c r="B8922" t="str">
        <f>"1552377942174300"</f>
        <v>1552377942174300</v>
      </c>
      <c r="C8922" t="s">
        <v>40</v>
      </c>
      <c r="D8922">
        <v>5.4403680000000003</v>
      </c>
      <c r="E8922">
        <v>0.65236939999999999</v>
      </c>
      <c r="F8922" t="s">
        <v>49</v>
      </c>
      <c r="G8922">
        <v>-174.5532</v>
      </c>
      <c r="H8922">
        <v>1.2214799999999999</v>
      </c>
      <c r="I8922">
        <v>136.3716</v>
      </c>
      <c r="J8922">
        <v>-175.1</v>
      </c>
      <c r="K8922">
        <v>1.102147</v>
      </c>
      <c r="L8922">
        <v>136.36240000000001</v>
      </c>
      <c r="M8922">
        <v>0.83781049999999901</v>
      </c>
      <c r="N8922">
        <v>0</v>
      </c>
      <c r="O8922">
        <v>0.54574730000000005</v>
      </c>
      <c r="P8922">
        <v>0.87610189999999999</v>
      </c>
      <c r="Q8922">
        <v>5.3875630000000001E-2</v>
      </c>
      <c r="R8922">
        <v>0.47910649999999999</v>
      </c>
      <c r="S8922">
        <v>3.1817169999999999</v>
      </c>
      <c r="T8922">
        <v>0.55948690000000001</v>
      </c>
      <c r="U8922">
        <v>0.40127560000000001</v>
      </c>
      <c r="V8922">
        <v>7.8107750000000004E-2</v>
      </c>
      <c r="W8922">
        <v>6.7530519999999997E-2</v>
      </c>
      <c r="X8922">
        <v>0.99465510000000001</v>
      </c>
      <c r="Y8922">
        <v>0.42301610000000001</v>
      </c>
      <c r="Z8922">
        <v>0.12664929999999999</v>
      </c>
      <c r="AA8922">
        <v>0.89722760000000001</v>
      </c>
      <c r="AB8922">
        <v>23</v>
      </c>
      <c r="AC8922">
        <v>0.54679999999998996</v>
      </c>
      <c r="AD8922">
        <v>0.119332999999999</v>
      </c>
      <c r="AE8922">
        <v>9.1999999999927695E-3</v>
      </c>
      <c r="AF8922">
        <v>0.27752636720739798</v>
      </c>
      <c r="AG8922">
        <v>0.119332999999999</v>
      </c>
      <c r="AH8922">
        <v>0.44213747618617</v>
      </c>
      <c r="AI8922">
        <v>77.123558676485004</v>
      </c>
      <c r="AJ8922">
        <v>57.8838170640188</v>
      </c>
      <c r="AK8922">
        <v>0.53548743891207395</v>
      </c>
      <c r="AL8922">
        <v>86.127839244189204</v>
      </c>
      <c r="AM8922">
        <v>85.509921631531597</v>
      </c>
      <c r="AN8922">
        <v>0.99999997984877098</v>
      </c>
    </row>
    <row r="8923" spans="1:40" x14ac:dyDescent="0.25">
      <c r="A8923" t="str">
        <f>"20190312160542198"</f>
        <v>20190312160542198</v>
      </c>
      <c r="B8923" t="str">
        <f>"1552377942193822"</f>
        <v>1552377942193822</v>
      </c>
      <c r="C8923" t="s">
        <v>40</v>
      </c>
      <c r="D8923">
        <v>5.4773069999999997</v>
      </c>
      <c r="E8923">
        <v>0.65194059999999998</v>
      </c>
      <c r="F8923" t="s">
        <v>49</v>
      </c>
      <c r="G8923">
        <v>-174.4819</v>
      </c>
      <c r="H8923">
        <v>1.2102630000000001</v>
      </c>
      <c r="I8923">
        <v>136.43520000000001</v>
      </c>
      <c r="J8923">
        <v>-174.99420000000001</v>
      </c>
      <c r="K8923">
        <v>1.1021639999999999</v>
      </c>
      <c r="L8923">
        <v>136.422</v>
      </c>
      <c r="M8923">
        <v>0.84155079999999904</v>
      </c>
      <c r="N8923">
        <v>0</v>
      </c>
      <c r="O8923">
        <v>0.53996180000000005</v>
      </c>
      <c r="P8923">
        <v>0.87948409999999999</v>
      </c>
      <c r="Q8923">
        <v>5.3582690000000002E-2</v>
      </c>
      <c r="R8923">
        <v>0.4729025</v>
      </c>
      <c r="S8923">
        <v>3.1847080000000001</v>
      </c>
      <c r="T8923">
        <v>0.55700989999999995</v>
      </c>
      <c r="U8923">
        <v>0.37542720000000002</v>
      </c>
      <c r="V8923">
        <v>7.8285980000000005E-2</v>
      </c>
      <c r="W8923">
        <v>6.7234139999999998E-2</v>
      </c>
      <c r="X8923">
        <v>0.99466120000000002</v>
      </c>
      <c r="Y8923">
        <v>0.4242592</v>
      </c>
      <c r="Z8923">
        <v>0.12536130000000001</v>
      </c>
      <c r="AA8923">
        <v>0.89682139999999999</v>
      </c>
      <c r="AB8923">
        <v>23</v>
      </c>
      <c r="AC8923">
        <v>0.51230000000000997</v>
      </c>
      <c r="AD8923">
        <v>0.108098999999999</v>
      </c>
      <c r="AE8923">
        <v>1.32000000000118E-2</v>
      </c>
      <c r="AF8923">
        <v>0.25423299252929499</v>
      </c>
      <c r="AG8923">
        <v>0.108098999999999</v>
      </c>
      <c r="AH8923">
        <v>0.41963374961427802</v>
      </c>
      <c r="AI8923">
        <v>77.574943530086202</v>
      </c>
      <c r="AJ8923">
        <v>58.790634510946497</v>
      </c>
      <c r="AK8923">
        <v>0.50240650086034899</v>
      </c>
      <c r="AL8923">
        <v>86.144859380308006</v>
      </c>
      <c r="AM8923">
        <v>85.499745481012695</v>
      </c>
      <c r="AN8923">
        <v>1.0000000135157601</v>
      </c>
    </row>
    <row r="8924" spans="1:40" x14ac:dyDescent="0.25">
      <c r="A8924" t="str">
        <f>"20190312160542211"</f>
        <v>20190312160542211</v>
      </c>
      <c r="B8924" t="str">
        <f>"1552377942204556"</f>
        <v>1552377942204556</v>
      </c>
      <c r="C8924" t="s">
        <v>40</v>
      </c>
      <c r="D8924">
        <v>5.4856089999999904</v>
      </c>
      <c r="E8924">
        <v>0.65262540000000002</v>
      </c>
      <c r="F8924" t="s">
        <v>49</v>
      </c>
      <c r="G8924">
        <v>-174.3578</v>
      </c>
      <c r="H8924">
        <v>1.212493</v>
      </c>
      <c r="I8924">
        <v>136.4931</v>
      </c>
      <c r="J8924">
        <v>-174.874</v>
      </c>
      <c r="K8924">
        <v>1.102179</v>
      </c>
      <c r="L8924">
        <v>136.489</v>
      </c>
      <c r="M8924">
        <v>0.84574309999999997</v>
      </c>
      <c r="N8924">
        <v>0</v>
      </c>
      <c r="O8924">
        <v>0.53337159999999995</v>
      </c>
      <c r="P8924">
        <v>0.88314530000000002</v>
      </c>
      <c r="Q8924">
        <v>5.3643219999999998E-2</v>
      </c>
      <c r="R8924">
        <v>0.46602250000000001</v>
      </c>
      <c r="S8924">
        <v>3.1861109999999999</v>
      </c>
      <c r="T8924">
        <v>0.55236430000000003</v>
      </c>
      <c r="U8924">
        <v>0.35588069999999999</v>
      </c>
      <c r="V8924">
        <v>7.8277600000000003E-2</v>
      </c>
      <c r="W8924">
        <v>6.7294549999999995E-2</v>
      </c>
      <c r="X8924">
        <v>0.99465780000000004</v>
      </c>
      <c r="Y8924">
        <v>0.4230139</v>
      </c>
      <c r="Z8924">
        <v>0.1232975</v>
      </c>
      <c r="AA8924">
        <v>0.89769539999999903</v>
      </c>
      <c r="AB8924">
        <v>23</v>
      </c>
      <c r="AC8924">
        <v>0.51620000000002597</v>
      </c>
      <c r="AD8924">
        <v>0.110314</v>
      </c>
      <c r="AE8924">
        <v>4.0999999999939904E-3</v>
      </c>
      <c r="AF8924">
        <v>0.26001654772489802</v>
      </c>
      <c r="AG8924">
        <v>0.110314</v>
      </c>
      <c r="AH8924">
        <v>0.41964680492408901</v>
      </c>
      <c r="AI8924">
        <v>77.4038430496486</v>
      </c>
      <c r="AJ8924">
        <v>58.217310638018901</v>
      </c>
      <c r="AK8924">
        <v>0.50584703673123499</v>
      </c>
      <c r="AL8924">
        <v>86.141390384383001</v>
      </c>
      <c r="AM8924">
        <v>85.500209906997299</v>
      </c>
      <c r="AN8924">
        <v>1.0000000391111501</v>
      </c>
    </row>
    <row r="8925" spans="1:40" x14ac:dyDescent="0.25">
      <c r="A8925" t="str">
        <f>"20190312160542225"</f>
        <v>20190312160542225</v>
      </c>
      <c r="B8925" t="str">
        <f>"1552377942214316"</f>
        <v>1552377942214316</v>
      </c>
      <c r="C8925" t="s">
        <v>40</v>
      </c>
      <c r="D8925">
        <v>5.2630189999999999</v>
      </c>
      <c r="E8925">
        <v>0.65250180000000002</v>
      </c>
      <c r="F8925" t="s">
        <v>49</v>
      </c>
      <c r="G8925">
        <v>-174.18729999999999</v>
      </c>
      <c r="H8925">
        <v>1.2157739999999999</v>
      </c>
      <c r="I8925">
        <v>136.559</v>
      </c>
      <c r="J8925">
        <v>-174.74959999999999</v>
      </c>
      <c r="K8925">
        <v>1.102196</v>
      </c>
      <c r="L8925">
        <v>136.55709999999999</v>
      </c>
      <c r="M8925">
        <v>0.85000819999999999</v>
      </c>
      <c r="N8925">
        <v>0</v>
      </c>
      <c r="O8925">
        <v>0.52654809999999996</v>
      </c>
      <c r="P8925">
        <v>0.88698269999999901</v>
      </c>
      <c r="Q8925">
        <v>5.3443110000000002E-2</v>
      </c>
      <c r="R8925">
        <v>0.4587001</v>
      </c>
      <c r="S8925">
        <v>3.1929470000000002</v>
      </c>
      <c r="T8925">
        <v>0.52816560000000001</v>
      </c>
      <c r="U8925">
        <v>0.32577509999999998</v>
      </c>
      <c r="V8925">
        <v>7.8501689999999999E-2</v>
      </c>
      <c r="W8925">
        <v>6.7089510000000005E-2</v>
      </c>
      <c r="X8925">
        <v>0.99465389999999998</v>
      </c>
      <c r="Y8925">
        <v>0.42553960000000002</v>
      </c>
      <c r="Z8925">
        <v>0.11709269999999999</v>
      </c>
      <c r="AA8925">
        <v>0.89733240000000003</v>
      </c>
      <c r="AB8925">
        <v>23</v>
      </c>
      <c r="AC8925">
        <v>0.56229999999999303</v>
      </c>
      <c r="AD8925">
        <v>0.113577999999999</v>
      </c>
      <c r="AE8925">
        <v>1.90000000000623E-3</v>
      </c>
      <c r="AF8925">
        <v>0.28295316776051399</v>
      </c>
      <c r="AG8925">
        <v>0.113577999999999</v>
      </c>
      <c r="AH8925">
        <v>0.46023871500462199</v>
      </c>
      <c r="AI8925">
        <v>78.1277130975365</v>
      </c>
      <c r="AJ8925">
        <v>58.416943499452202</v>
      </c>
      <c r="AK8925">
        <v>0.55207076721994197</v>
      </c>
      <c r="AL8925">
        <v>86.153164574037206</v>
      </c>
      <c r="AM8925">
        <v>85.487363596546103</v>
      </c>
      <c r="AN8925">
        <v>0.99999994923505098</v>
      </c>
    </row>
    <row r="8926" spans="1:40" x14ac:dyDescent="0.25">
      <c r="A8926" t="str">
        <f>"20190312160542240"</f>
        <v>20190312160542240</v>
      </c>
      <c r="B8926" t="str">
        <f>"1552377942233836"</f>
        <v>1552377942233836</v>
      </c>
      <c r="C8926" t="s">
        <v>40</v>
      </c>
      <c r="D8926">
        <v>5.5047240000000004</v>
      </c>
      <c r="E8926">
        <v>0.65184779999999998</v>
      </c>
      <c r="F8926" t="s">
        <v>49</v>
      </c>
      <c r="G8926">
        <v>-174.1276</v>
      </c>
      <c r="H8926">
        <v>1.2018310000000001</v>
      </c>
      <c r="I8926">
        <v>136.6155</v>
      </c>
      <c r="J8926">
        <v>-174.60679999999999</v>
      </c>
      <c r="K8926">
        <v>1.102214</v>
      </c>
      <c r="L8926">
        <v>136.63329999999999</v>
      </c>
      <c r="M8926">
        <v>0.85480610000000001</v>
      </c>
      <c r="N8926">
        <v>0</v>
      </c>
      <c r="O8926">
        <v>0.51872289999999999</v>
      </c>
      <c r="P8926">
        <v>0.89126469999999902</v>
      </c>
      <c r="Q8926">
        <v>5.3301800000000003E-2</v>
      </c>
      <c r="R8926">
        <v>0.45034010000000002</v>
      </c>
      <c r="S8926">
        <v>3.1963499999999998</v>
      </c>
      <c r="T8926">
        <v>0.51203299999999996</v>
      </c>
      <c r="U8926">
        <v>0.2998962</v>
      </c>
      <c r="V8926">
        <v>7.8721550000000001E-2</v>
      </c>
      <c r="W8926">
        <v>6.6943440000000007E-2</v>
      </c>
      <c r="X8926">
        <v>0.99464640000000004</v>
      </c>
      <c r="Y8926">
        <v>0.42537829999999899</v>
      </c>
      <c r="Z8926">
        <v>0.11245570000000001</v>
      </c>
      <c r="AA8926">
        <v>0.89800170000000001</v>
      </c>
      <c r="AB8926">
        <v>23</v>
      </c>
      <c r="AC8926">
        <v>0.47919999999999102</v>
      </c>
      <c r="AD8926">
        <v>9.9616999999999803E-2</v>
      </c>
      <c r="AE8926">
        <v>-1.7799999999994001E-2</v>
      </c>
      <c r="AF8926">
        <v>0.25290414700248898</v>
      </c>
      <c r="AG8926">
        <v>9.9616999999999803E-2</v>
      </c>
      <c r="AH8926">
        <v>0.38387042925741899</v>
      </c>
      <c r="AI8926">
        <v>77.772853374313797</v>
      </c>
      <c r="AJ8926">
        <v>56.6220351595151</v>
      </c>
      <c r="AK8926">
        <v>0.47036215910544099</v>
      </c>
      <c r="AL8926">
        <v>86.161552759350997</v>
      </c>
      <c r="AM8926">
        <v>85.474743477341605</v>
      </c>
      <c r="AN8926">
        <v>0.99999998381319699</v>
      </c>
    </row>
    <row r="8927" spans="1:40" x14ac:dyDescent="0.25">
      <c r="A8927" t="str">
        <f>"20190312160542254"</f>
        <v>20190312160542254</v>
      </c>
      <c r="B8927" t="str">
        <f>"1552377942243599"</f>
        <v>1552377942243599</v>
      </c>
      <c r="C8927" t="s">
        <v>40</v>
      </c>
      <c r="D8927">
        <v>5.6439389999999996</v>
      </c>
      <c r="E8927">
        <v>0.65130269999999901</v>
      </c>
      <c r="F8927" t="s">
        <v>49</v>
      </c>
      <c r="G8927">
        <v>-173.97409999999999</v>
      </c>
      <c r="H8927">
        <v>1.2025170000000001</v>
      </c>
      <c r="I8927">
        <v>136.6876</v>
      </c>
      <c r="J8927">
        <v>-174.48159999999999</v>
      </c>
      <c r="K8927">
        <v>1.102236</v>
      </c>
      <c r="L8927">
        <v>136.69899999999899</v>
      </c>
      <c r="M8927">
        <v>0.85894319999999902</v>
      </c>
      <c r="N8927">
        <v>0</v>
      </c>
      <c r="O8927">
        <v>0.51184339999999995</v>
      </c>
      <c r="P8927">
        <v>0.89499509999999904</v>
      </c>
      <c r="Q8927">
        <v>5.3319140000000001E-2</v>
      </c>
      <c r="R8927">
        <v>0.44287789999999999</v>
      </c>
      <c r="S8927">
        <v>3.1970369999999999</v>
      </c>
      <c r="T8927">
        <v>0.50679759999999996</v>
      </c>
      <c r="U8927">
        <v>0.27441409999999899</v>
      </c>
      <c r="V8927">
        <v>7.9043499999999906E-2</v>
      </c>
      <c r="W8927">
        <v>6.6952940000000002E-2</v>
      </c>
      <c r="X8927">
        <v>0.99462030000000001</v>
      </c>
      <c r="Y8927">
        <v>0.4255507</v>
      </c>
      <c r="Z8927">
        <v>0.11045870000000001</v>
      </c>
      <c r="AA8927">
        <v>0.89816779999999996</v>
      </c>
      <c r="AB8927">
        <v>23</v>
      </c>
      <c r="AC8927">
        <v>0.50749999999999296</v>
      </c>
      <c r="AD8927">
        <v>0.100281</v>
      </c>
      <c r="AE8927">
        <v>-1.13999999999805E-2</v>
      </c>
      <c r="AF8927">
        <v>0.25945843409022901</v>
      </c>
      <c r="AG8927">
        <v>0.100281</v>
      </c>
      <c r="AH8927">
        <v>0.41397332459442199</v>
      </c>
      <c r="AI8927">
        <v>78.400711939058198</v>
      </c>
      <c r="AJ8927">
        <v>57.922506062300499</v>
      </c>
      <c r="AK8927">
        <v>0.49874730220554803</v>
      </c>
      <c r="AL8927">
        <v>86.161007503505502</v>
      </c>
      <c r="AM8927">
        <v>85.456194998900699</v>
      </c>
      <c r="AN8927">
        <v>1.0000000561194899</v>
      </c>
    </row>
    <row r="8928" spans="1:40" x14ac:dyDescent="0.25">
      <c r="A8928" t="str">
        <f>"20190312160542267"</f>
        <v>20190312160542267</v>
      </c>
      <c r="B8928" t="str">
        <f>"1552377942254334"</f>
        <v>1552377942254334</v>
      </c>
      <c r="C8928" t="s">
        <v>40</v>
      </c>
      <c r="D8928">
        <v>5.5129130000000002</v>
      </c>
      <c r="E8928">
        <v>0.6508005</v>
      </c>
      <c r="F8928" t="s">
        <v>49</v>
      </c>
      <c r="G8928">
        <v>-173.8254</v>
      </c>
      <c r="H8928">
        <v>1.205551</v>
      </c>
      <c r="I8928">
        <v>136.75049999999999</v>
      </c>
      <c r="J8928">
        <v>-174.36619999999999</v>
      </c>
      <c r="K8928">
        <v>1.1022540000000001</v>
      </c>
      <c r="L8928">
        <v>136.7586</v>
      </c>
      <c r="M8928">
        <v>0.86269110000000004</v>
      </c>
      <c r="N8928">
        <v>0</v>
      </c>
      <c r="O8928">
        <v>0.50550099999999998</v>
      </c>
      <c r="P8928">
        <v>0.89818980000000004</v>
      </c>
      <c r="Q8928">
        <v>5.31212E-2</v>
      </c>
      <c r="R8928">
        <v>0.43638660000000001</v>
      </c>
      <c r="S8928">
        <v>3.1974640000000001</v>
      </c>
      <c r="T8928">
        <v>0.50345309999999999</v>
      </c>
      <c r="U8928">
        <v>0.2515869</v>
      </c>
      <c r="V8928">
        <v>7.8915830000000006E-2</v>
      </c>
      <c r="W8928">
        <v>6.6757430000000006E-2</v>
      </c>
      <c r="X8928">
        <v>0.99464350000000001</v>
      </c>
      <c r="Y8928">
        <v>0.42549310000000001</v>
      </c>
      <c r="Z8928">
        <v>0.1089286</v>
      </c>
      <c r="AA8928">
        <v>0.89838200000000001</v>
      </c>
      <c r="AB8928">
        <v>23</v>
      </c>
      <c r="AC8928">
        <v>0.54079999999998996</v>
      </c>
      <c r="AD8928">
        <v>0.103296999999999</v>
      </c>
      <c r="AE8928">
        <v>-8.1000000000130898E-3</v>
      </c>
      <c r="AF8928">
        <v>0.27052767045964599</v>
      </c>
      <c r="AG8928">
        <v>0.103296999999999</v>
      </c>
      <c r="AH8928">
        <v>0.44622617866826098</v>
      </c>
      <c r="AI8928">
        <v>78.802900655592794</v>
      </c>
      <c r="AJ8928">
        <v>58.773375196540499</v>
      </c>
      <c r="AK8928">
        <v>0.53195234111920398</v>
      </c>
      <c r="AL8928">
        <v>86.172234217253603</v>
      </c>
      <c r="AM8928">
        <v>85.463608805059096</v>
      </c>
      <c r="AN8928">
        <v>0.99999997738852098</v>
      </c>
    </row>
    <row r="8929" spans="1:40" x14ac:dyDescent="0.25">
      <c r="A8929" t="str">
        <f>"20190312160542278"</f>
        <v>20190312160542278</v>
      </c>
      <c r="B8929" t="str">
        <f>"1552377942273852"</f>
        <v>1552377942273852</v>
      </c>
      <c r="C8929" t="s">
        <v>40</v>
      </c>
      <c r="D8929">
        <v>5.4792740000000002</v>
      </c>
      <c r="E8929">
        <v>0.65019830000000001</v>
      </c>
      <c r="F8929" t="s">
        <v>49</v>
      </c>
      <c r="G8929">
        <v>-173.7422</v>
      </c>
      <c r="H8929">
        <v>1.1999109999999999</v>
      </c>
      <c r="I8929">
        <v>136.8038</v>
      </c>
      <c r="J8929">
        <v>-174.25489999999999</v>
      </c>
      <c r="K8929">
        <v>1.102266</v>
      </c>
      <c r="L8929">
        <v>136.81460000000001</v>
      </c>
      <c r="M8929">
        <v>0.86624489999999998</v>
      </c>
      <c r="N8929">
        <v>0</v>
      </c>
      <c r="O8929">
        <v>0.49938680000000002</v>
      </c>
      <c r="P8929">
        <v>0.90113750000000004</v>
      </c>
      <c r="Q8929">
        <v>5.3270230000000002E-2</v>
      </c>
      <c r="R8929">
        <v>0.43024820000000003</v>
      </c>
      <c r="S8929">
        <v>3.1976619999999998</v>
      </c>
      <c r="T8929">
        <v>0.5003512</v>
      </c>
      <c r="U8929">
        <v>0.23217769999999999</v>
      </c>
      <c r="V8929">
        <v>7.8663269999999993E-2</v>
      </c>
      <c r="W8929">
        <v>6.6911090000000006E-2</v>
      </c>
      <c r="X8929">
        <v>0.99465320000000002</v>
      </c>
      <c r="Y8929">
        <v>0.42474250000000002</v>
      </c>
      <c r="Z8929">
        <v>0.1074275</v>
      </c>
      <c r="AA8929">
        <v>0.89891779999999999</v>
      </c>
      <c r="AB8929">
        <v>23</v>
      </c>
      <c r="AC8929">
        <v>0.51269999999999505</v>
      </c>
      <c r="AD8929">
        <v>9.7644999999999899E-2</v>
      </c>
      <c r="AE8929">
        <v>-1.08000000000174E-2</v>
      </c>
      <c r="AF8929">
        <v>0.25613546223474398</v>
      </c>
      <c r="AG8929">
        <v>9.7644999999999899E-2</v>
      </c>
      <c r="AH8929">
        <v>0.42342952526005501</v>
      </c>
      <c r="AI8929">
        <v>78.838132445371798</v>
      </c>
      <c r="AJ8929">
        <v>58.8299648406323</v>
      </c>
      <c r="AK8929">
        <v>0.50441300925051702</v>
      </c>
      <c r="AL8929">
        <v>86.163410490409106</v>
      </c>
      <c r="AM8929">
        <v>85.478110551513495</v>
      </c>
      <c r="AN8929">
        <v>0.99999999614115997</v>
      </c>
    </row>
    <row r="8930" spans="1:40" x14ac:dyDescent="0.25">
      <c r="A8930" t="str">
        <f>"20190312160542290"</f>
        <v>20190312160542290</v>
      </c>
      <c r="B8930" t="str">
        <f>"1552377942283613"</f>
        <v>1552377942283613</v>
      </c>
      <c r="C8930" t="s">
        <v>40</v>
      </c>
      <c r="D8930">
        <v>5.5211449999999997</v>
      </c>
      <c r="E8930">
        <v>0.64983419999999903</v>
      </c>
      <c r="F8930" t="s">
        <v>49</v>
      </c>
      <c r="G8930">
        <v>-173.6121</v>
      </c>
      <c r="H8930">
        <v>1.201328</v>
      </c>
      <c r="I8930">
        <v>136.85769999999999</v>
      </c>
      <c r="J8930">
        <v>-174.14519999999999</v>
      </c>
      <c r="K8930">
        <v>1.1022799999999999</v>
      </c>
      <c r="L8930">
        <v>136.8691</v>
      </c>
      <c r="M8930">
        <v>0.86969730000000001</v>
      </c>
      <c r="N8930">
        <v>0</v>
      </c>
      <c r="O8930">
        <v>0.4933498</v>
      </c>
      <c r="P8930">
        <v>0.90395499999999995</v>
      </c>
      <c r="Q8930">
        <v>5.3173320000000003E-2</v>
      </c>
      <c r="R8930">
        <v>0.42430889999999999</v>
      </c>
      <c r="S8930">
        <v>3.1975099999999999</v>
      </c>
      <c r="T8930">
        <v>0.49280380000000001</v>
      </c>
      <c r="U8930">
        <v>0.21463009999999999</v>
      </c>
      <c r="V8930">
        <v>7.8288899999999995E-2</v>
      </c>
      <c r="W8930">
        <v>6.6821640000000002E-2</v>
      </c>
      <c r="X8930">
        <v>0.99468869999999998</v>
      </c>
      <c r="Y8930">
        <v>0.4237591</v>
      </c>
      <c r="Z8930">
        <v>0.1049929</v>
      </c>
      <c r="AA8930">
        <v>0.89966919999999995</v>
      </c>
      <c r="AB8930">
        <v>23</v>
      </c>
      <c r="AC8930">
        <v>0.53309999999999003</v>
      </c>
      <c r="AD8930">
        <v>9.9048000000000205E-2</v>
      </c>
      <c r="AE8930">
        <v>-1.14000000000089E-2</v>
      </c>
      <c r="AF8930">
        <v>0.26384716164488298</v>
      </c>
      <c r="AG8930">
        <v>9.9048000000000205E-2</v>
      </c>
      <c r="AH8930">
        <v>0.442786592929728</v>
      </c>
      <c r="AI8930">
        <v>79.122459021265797</v>
      </c>
      <c r="AJ8930">
        <v>59.210180531311899</v>
      </c>
      <c r="AK8930">
        <v>0.52486740981925994</v>
      </c>
      <c r="AL8930">
        <v>86.168546904110897</v>
      </c>
      <c r="AM8930">
        <v>85.499702226248303</v>
      </c>
      <c r="AN8930">
        <v>0.99999994667159298</v>
      </c>
    </row>
    <row r="8931" spans="1:40" x14ac:dyDescent="0.25">
      <c r="A8931" t="str">
        <f>"20190312160542301"</f>
        <v>20190312160542301</v>
      </c>
      <c r="B8931" t="str">
        <f>"1552377942294350"</f>
        <v>1552377942294350</v>
      </c>
      <c r="C8931" t="s">
        <v>40</v>
      </c>
      <c r="D8931">
        <v>5.4785550000000001</v>
      </c>
      <c r="E8931">
        <v>0.64929740000000002</v>
      </c>
      <c r="F8931" t="s">
        <v>49</v>
      </c>
      <c r="G8931">
        <v>-173.44909999999999</v>
      </c>
      <c r="H8931">
        <v>1.2086380000000001</v>
      </c>
      <c r="I8931">
        <v>136.91159999999999</v>
      </c>
      <c r="J8931">
        <v>-174.03809999999999</v>
      </c>
      <c r="K8931">
        <v>1.1022940000000001</v>
      </c>
      <c r="L8931">
        <v>136.92140000000001</v>
      </c>
      <c r="M8931">
        <v>0.87301589999999996</v>
      </c>
      <c r="N8931">
        <v>0</v>
      </c>
      <c r="O8931">
        <v>0.48745329999999898</v>
      </c>
      <c r="P8931">
        <v>0.90660019999999997</v>
      </c>
      <c r="Q8931">
        <v>5.3129530000000001E-2</v>
      </c>
      <c r="R8931">
        <v>0.41863289999999997</v>
      </c>
      <c r="S8931">
        <v>3.1979980000000001</v>
      </c>
      <c r="T8931">
        <v>0.48854019999999998</v>
      </c>
      <c r="U8931">
        <v>0.19604489999999999</v>
      </c>
      <c r="V8931">
        <v>7.7792260000000002E-2</v>
      </c>
      <c r="W8931">
        <v>6.6787869999999999E-2</v>
      </c>
      <c r="X8931">
        <v>0.99473</v>
      </c>
      <c r="Y8931">
        <v>0.42310880000000001</v>
      </c>
      <c r="Z8931">
        <v>0.10328859999999999</v>
      </c>
      <c r="AA8931">
        <v>0.90017239999999998</v>
      </c>
      <c r="AB8931">
        <v>23</v>
      </c>
      <c r="AC8931">
        <v>0.58899999999999797</v>
      </c>
      <c r="AD8931">
        <v>0.10634399999999899</v>
      </c>
      <c r="AE8931">
        <v>-9.8000000000126805E-3</v>
      </c>
      <c r="AF8931">
        <v>0.28636741264413301</v>
      </c>
      <c r="AG8931">
        <v>0.10634399999999899</v>
      </c>
      <c r="AH8931">
        <v>0.49340870899793099</v>
      </c>
      <c r="AI8931">
        <v>79.440782820226303</v>
      </c>
      <c r="AJ8931">
        <v>59.869728750390699</v>
      </c>
      <c r="AK8931">
        <v>0.58031671996893197</v>
      </c>
      <c r="AL8931">
        <v>86.170486373348893</v>
      </c>
      <c r="AM8931">
        <v>85.528319440775206</v>
      </c>
      <c r="AN8931">
        <v>1.00000001409752</v>
      </c>
    </row>
    <row r="8932" spans="1:40" x14ac:dyDescent="0.25">
      <c r="A8932" t="str">
        <f>"20190312160542312"</f>
        <v>20190312160542312</v>
      </c>
      <c r="B8932" t="str">
        <f>"1552377942304109"</f>
        <v>1552377942304109</v>
      </c>
      <c r="C8932" t="s">
        <v>40</v>
      </c>
      <c r="D8932">
        <v>5.524241</v>
      </c>
      <c r="E8932">
        <v>0.64897669999999996</v>
      </c>
      <c r="F8932" t="s">
        <v>49</v>
      </c>
      <c r="G8932">
        <v>-173.398</v>
      </c>
      <c r="H8932">
        <v>1.198229</v>
      </c>
      <c r="I8932">
        <v>136.9571</v>
      </c>
      <c r="J8932">
        <v>-173.9384</v>
      </c>
      <c r="K8932">
        <v>1.1023050000000001</v>
      </c>
      <c r="L8932">
        <v>136.9691</v>
      </c>
      <c r="M8932">
        <v>0.87605679999999997</v>
      </c>
      <c r="N8932">
        <v>0</v>
      </c>
      <c r="O8932">
        <v>0.48196660000000002</v>
      </c>
      <c r="P8932">
        <v>0.90891880000000003</v>
      </c>
      <c r="Q8932">
        <v>5.2807970000000003E-2</v>
      </c>
      <c r="R8932">
        <v>0.41361569999999998</v>
      </c>
      <c r="S8932">
        <v>3.198013</v>
      </c>
      <c r="T8932">
        <v>0.47929929999999898</v>
      </c>
      <c r="U8932">
        <v>0.1796722</v>
      </c>
      <c r="V8932">
        <v>7.7049590000000001E-2</v>
      </c>
      <c r="W8932">
        <v>6.6480990000000004E-2</v>
      </c>
      <c r="X8932">
        <v>0.99480829999999998</v>
      </c>
      <c r="Y8932">
        <v>0.42246929999999999</v>
      </c>
      <c r="Z8932">
        <v>0.1006243</v>
      </c>
      <c r="AA8932">
        <v>0.90077439999999998</v>
      </c>
      <c r="AB8932">
        <v>23</v>
      </c>
      <c r="AC8932">
        <v>0.54040000000000499</v>
      </c>
      <c r="AD8932">
        <v>9.5924000000000106E-2</v>
      </c>
      <c r="AE8932">
        <v>-1.2000000000000399E-2</v>
      </c>
      <c r="AF8932">
        <v>0.26272504321693702</v>
      </c>
      <c r="AG8932">
        <v>9.5924000000000106E-2</v>
      </c>
      <c r="AH8932">
        <v>0.45341272271987598</v>
      </c>
      <c r="AI8932">
        <v>79.626818179657107</v>
      </c>
      <c r="AJ8932">
        <v>59.910321881518001</v>
      </c>
      <c r="AK8932">
        <v>0.53273723282082797</v>
      </c>
      <c r="AL8932">
        <v>86.188108251985696</v>
      </c>
      <c r="AM8932">
        <v>85.571186387099701</v>
      </c>
      <c r="AN8932">
        <v>0.99999995754971804</v>
      </c>
    </row>
    <row r="8933" spans="1:40" x14ac:dyDescent="0.25">
      <c r="A8933" t="str">
        <f>"20190312160542324"</f>
        <v>20190312160542324</v>
      </c>
      <c r="B8933" t="str">
        <f>"1552377942313869"</f>
        <v>1552377942313869</v>
      </c>
      <c r="C8933" t="s">
        <v>40</v>
      </c>
      <c r="D8933">
        <v>5.5751910000000002</v>
      </c>
      <c r="E8933">
        <v>0.64851009999999998</v>
      </c>
      <c r="F8933" t="s">
        <v>49</v>
      </c>
      <c r="G8933">
        <v>-173.26759999999999</v>
      </c>
      <c r="H8933">
        <v>1.2016610000000001</v>
      </c>
      <c r="I8933">
        <v>137.00360000000001</v>
      </c>
      <c r="J8933">
        <v>-173.8237</v>
      </c>
      <c r="K8933">
        <v>1.1023210000000001</v>
      </c>
      <c r="L8933">
        <v>137.02340000000001</v>
      </c>
      <c r="M8933">
        <v>0.8795075</v>
      </c>
      <c r="N8933">
        <v>0</v>
      </c>
      <c r="O8933">
        <v>0.47564079999999898</v>
      </c>
      <c r="P8933">
        <v>0.91161749999999997</v>
      </c>
      <c r="Q8933">
        <v>5.2502840000000002E-2</v>
      </c>
      <c r="R8933">
        <v>0.4076729</v>
      </c>
      <c r="S8933">
        <v>3.19841</v>
      </c>
      <c r="T8933">
        <v>0.47373150000000003</v>
      </c>
      <c r="U8933">
        <v>0.16412349999999901</v>
      </c>
      <c r="V8933">
        <v>7.6374659999999997E-2</v>
      </c>
      <c r="W8933">
        <v>6.6189330000000005E-2</v>
      </c>
      <c r="X8933">
        <v>0.99487979999999998</v>
      </c>
      <c r="Y8933">
        <v>0.42063299999999998</v>
      </c>
      <c r="Z8933">
        <v>9.8527909999999996E-2</v>
      </c>
      <c r="AA8933">
        <v>0.90186480000000002</v>
      </c>
      <c r="AB8933">
        <v>23</v>
      </c>
      <c r="AC8933">
        <v>0.55610000000001403</v>
      </c>
      <c r="AD8933">
        <v>9.9340000000000206E-2</v>
      </c>
      <c r="AE8933">
        <v>-1.9800000000003599E-2</v>
      </c>
      <c r="AF8933">
        <v>0.27324241887642903</v>
      </c>
      <c r="AG8933">
        <v>9.9340000000000206E-2</v>
      </c>
      <c r="AH8933">
        <v>0.46491498780823798</v>
      </c>
      <c r="AI8933">
        <v>79.562359845951406</v>
      </c>
      <c r="AJ8933">
        <v>59.5561579038189</v>
      </c>
      <c r="AK8933">
        <v>0.54833912951947505</v>
      </c>
      <c r="AL8933">
        <v>86.204856061655804</v>
      </c>
      <c r="AM8933">
        <v>85.610143337411898</v>
      </c>
      <c r="AN8933">
        <v>0.99999996627200105</v>
      </c>
    </row>
    <row r="8934" spans="1:40" x14ac:dyDescent="0.25">
      <c r="A8934" t="str">
        <f>"20190312160542337"</f>
        <v>20190312160542337</v>
      </c>
      <c r="B8934" t="str">
        <f>"1552377942334365"</f>
        <v>1552377942334365</v>
      </c>
      <c r="C8934" t="s">
        <v>40</v>
      </c>
      <c r="D8934">
        <v>5.4781300000000002</v>
      </c>
      <c r="E8934">
        <v>0.64766899999999905</v>
      </c>
      <c r="F8934" t="s">
        <v>49</v>
      </c>
      <c r="G8934">
        <v>-173.18469999999999</v>
      </c>
      <c r="H8934">
        <v>1.19601</v>
      </c>
      <c r="I8934">
        <v>137.05269999999999</v>
      </c>
      <c r="J8934">
        <v>-173.70670000000001</v>
      </c>
      <c r="K8934">
        <v>1.102336</v>
      </c>
      <c r="L8934">
        <v>137.07730000000001</v>
      </c>
      <c r="M8934">
        <v>0.88296469999999905</v>
      </c>
      <c r="N8934">
        <v>0</v>
      </c>
      <c r="O8934">
        <v>0.46919179999999999</v>
      </c>
      <c r="P8934">
        <v>0.91432469999999999</v>
      </c>
      <c r="Q8934">
        <v>5.2559630000000003E-2</v>
      </c>
      <c r="R8934">
        <v>0.40155669999999999</v>
      </c>
      <c r="S8934">
        <v>3.198334</v>
      </c>
      <c r="T8934">
        <v>0.46896120000000002</v>
      </c>
      <c r="U8934">
        <v>0.14649960000000001</v>
      </c>
      <c r="V8934">
        <v>7.5755719999999999E-2</v>
      </c>
      <c r="W8934">
        <v>6.6257830000000004E-2</v>
      </c>
      <c r="X8934">
        <v>0.99492259999999999</v>
      </c>
      <c r="Y8934">
        <v>0.41923090000000002</v>
      </c>
      <c r="Z8934">
        <v>9.6643720000000002E-2</v>
      </c>
      <c r="AA8934">
        <v>0.9027212</v>
      </c>
      <c r="AB8934">
        <v>23</v>
      </c>
      <c r="AC8934">
        <v>0.522000000000019</v>
      </c>
      <c r="AD8934">
        <v>9.3673999999999993E-2</v>
      </c>
      <c r="AE8934">
        <v>-2.46000000000208E-2</v>
      </c>
      <c r="AF8934">
        <v>0.25836822940711401</v>
      </c>
      <c r="AG8934">
        <v>9.3673999999999993E-2</v>
      </c>
      <c r="AH8934">
        <v>0.43542668061878298</v>
      </c>
      <c r="AI8934">
        <v>79.518068619060003</v>
      </c>
      <c r="AJ8934">
        <v>59.316465154751398</v>
      </c>
      <c r="AK8934">
        <v>0.51490324764722495</v>
      </c>
      <c r="AL8934">
        <v>86.200922811782206</v>
      </c>
      <c r="AM8934">
        <v>85.645767939084493</v>
      </c>
      <c r="AN8934">
        <v>1.00000000456989</v>
      </c>
    </row>
    <row r="8935" spans="1:40" x14ac:dyDescent="0.25">
      <c r="A8935" t="str">
        <f>"20190312160542350"</f>
        <v>20190312160542350</v>
      </c>
      <c r="B8935" t="str">
        <f>"1552377942344124"</f>
        <v>1552377942344124</v>
      </c>
      <c r="C8935" t="s">
        <v>40</v>
      </c>
      <c r="D8935">
        <v>5.5839919999999896</v>
      </c>
      <c r="E8935">
        <v>0.64727800000000002</v>
      </c>
      <c r="F8935" t="s">
        <v>49</v>
      </c>
      <c r="G8935">
        <v>-173.0489</v>
      </c>
      <c r="H8935">
        <v>1.1974899999999999</v>
      </c>
      <c r="I8935">
        <v>137.10419999999999</v>
      </c>
      <c r="J8935">
        <v>-173.58080000000001</v>
      </c>
      <c r="K8935">
        <v>1.102352</v>
      </c>
      <c r="L8935">
        <v>137.13460000000001</v>
      </c>
      <c r="M8935">
        <v>0.88662229999999997</v>
      </c>
      <c r="N8935">
        <v>0</v>
      </c>
      <c r="O8935">
        <v>0.46224330000000002</v>
      </c>
      <c r="P8935">
        <v>0.91684290000000002</v>
      </c>
      <c r="Q8935">
        <v>5.2267979999999999E-2</v>
      </c>
      <c r="R8935">
        <v>0.39581230000000001</v>
      </c>
      <c r="S8935">
        <v>3.1969759999999998</v>
      </c>
      <c r="T8935">
        <v>0.46240750000000003</v>
      </c>
      <c r="U8935">
        <v>0.13104250000000001</v>
      </c>
      <c r="V8935">
        <v>7.4182689999999996E-2</v>
      </c>
      <c r="W8935">
        <v>6.5998059999999997E-2</v>
      </c>
      <c r="X8935">
        <v>0.99505840000000001</v>
      </c>
      <c r="Y8935">
        <v>0.41679310000000003</v>
      </c>
      <c r="Z8935">
        <v>9.4305570000000005E-2</v>
      </c>
      <c r="AA8935">
        <v>0.90409620000000002</v>
      </c>
      <c r="AB8935">
        <v>23</v>
      </c>
      <c r="AC8935">
        <v>0.53190000000000703</v>
      </c>
      <c r="AD8935">
        <v>9.5137999999999903E-2</v>
      </c>
      <c r="AE8935">
        <v>-3.0400000000014402E-2</v>
      </c>
      <c r="AF8935">
        <v>0.264420266018561</v>
      </c>
      <c r="AG8935">
        <v>9.5137999999999903E-2</v>
      </c>
      <c r="AH8935">
        <v>0.443454280853537</v>
      </c>
      <c r="AI8935">
        <v>79.559371698373496</v>
      </c>
      <c r="AJ8935">
        <v>59.1934743416667</v>
      </c>
      <c r="AK8935">
        <v>0.524996205065003</v>
      </c>
      <c r="AL8935">
        <v>86.215839234756501</v>
      </c>
      <c r="AM8935">
        <v>85.736424209400198</v>
      </c>
      <c r="AN8935">
        <v>1.0000000174149699</v>
      </c>
    </row>
    <row r="8936" spans="1:40" x14ac:dyDescent="0.25">
      <c r="A8936" t="str">
        <f>"20190312160542366"</f>
        <v>20190312160542366</v>
      </c>
      <c r="B8936" t="str">
        <f>"1552377942353884"</f>
        <v>1552377942353884</v>
      </c>
      <c r="C8936" t="s">
        <v>40</v>
      </c>
      <c r="D8936">
        <v>5.6307619999999998</v>
      </c>
      <c r="E8936">
        <v>0.64689140000000001</v>
      </c>
      <c r="F8936" t="s">
        <v>49</v>
      </c>
      <c r="G8936">
        <v>-172.89150000000001</v>
      </c>
      <c r="H8936">
        <v>1.2012229999999999</v>
      </c>
      <c r="I8936">
        <v>137.1592</v>
      </c>
      <c r="J8936">
        <v>-173.43260000000001</v>
      </c>
      <c r="K8936">
        <v>1.102371</v>
      </c>
      <c r="L8936">
        <v>137.2004</v>
      </c>
      <c r="M8936">
        <v>0.89084249999999998</v>
      </c>
      <c r="N8936">
        <v>0</v>
      </c>
      <c r="O8936">
        <v>0.45405699999999999</v>
      </c>
      <c r="P8936">
        <v>0.92017199999999999</v>
      </c>
      <c r="Q8936">
        <v>5.2047639999999999E-2</v>
      </c>
      <c r="R8936">
        <v>0.38803949999999998</v>
      </c>
      <c r="S8936">
        <v>3.1967159999999999</v>
      </c>
      <c r="T8936">
        <v>0.45852710000000002</v>
      </c>
      <c r="U8936">
        <v>0.11405940000000001</v>
      </c>
      <c r="V8936">
        <v>7.3435459999999994E-2</v>
      </c>
      <c r="W8936">
        <v>6.5791569999999994E-2</v>
      </c>
      <c r="X8936">
        <v>0.99512750000000005</v>
      </c>
      <c r="Y8936">
        <v>0.41348819999999997</v>
      </c>
      <c r="Z8936">
        <v>9.2272190000000004E-2</v>
      </c>
      <c r="AA8936">
        <v>0.90582189999999996</v>
      </c>
      <c r="AB8936">
        <v>23</v>
      </c>
      <c r="AC8936">
        <v>0.54110000000000003</v>
      </c>
      <c r="AD8936">
        <v>9.8851999999999898E-2</v>
      </c>
      <c r="AE8936">
        <v>-4.1200000000003401E-2</v>
      </c>
      <c r="AF8936">
        <v>0.27335517142614801</v>
      </c>
      <c r="AG8936">
        <v>9.8851999999999898E-2</v>
      </c>
      <c r="AH8936">
        <v>0.44849925945443397</v>
      </c>
      <c r="AI8936">
        <v>79.341365996802395</v>
      </c>
      <c r="AJ8936">
        <v>58.638170035201398</v>
      </c>
      <c r="AK8936">
        <v>0.53445893516770204</v>
      </c>
      <c r="AL8936">
        <v>86.227696017253393</v>
      </c>
      <c r="AM8936">
        <v>85.779506540779494</v>
      </c>
      <c r="AN8936">
        <v>1.0000000193623599</v>
      </c>
    </row>
    <row r="8937" spans="1:40" x14ac:dyDescent="0.25">
      <c r="A8937" t="str">
        <f>"20190312160542378"</f>
        <v>20190312160542378</v>
      </c>
      <c r="B8937" t="str">
        <f>"1552377942374380"</f>
        <v>1552377942374380</v>
      </c>
      <c r="C8937" t="s">
        <v>40</v>
      </c>
      <c r="D8937">
        <v>5.7021459999999999</v>
      </c>
      <c r="E8937">
        <v>0.64604110000000003</v>
      </c>
      <c r="F8937" t="s">
        <v>45</v>
      </c>
      <c r="G8937">
        <v>0</v>
      </c>
      <c r="H8937">
        <v>0</v>
      </c>
      <c r="I8937">
        <v>0</v>
      </c>
      <c r="J8937">
        <v>-173.32749999999999</v>
      </c>
      <c r="K8937">
        <v>1.102384</v>
      </c>
      <c r="L8937">
        <v>137.2457</v>
      </c>
      <c r="M8937">
        <v>0.89377459999999898</v>
      </c>
      <c r="N8937">
        <v>0</v>
      </c>
      <c r="O8937">
        <v>0.44825789999999999</v>
      </c>
      <c r="P8937">
        <v>0.92259080000000004</v>
      </c>
      <c r="Q8937">
        <v>5.1862650000000003E-2</v>
      </c>
      <c r="R8937">
        <v>0.38227800000000001</v>
      </c>
      <c r="S8937">
        <v>3.1966709999999998</v>
      </c>
      <c r="T8937">
        <v>0.45426430000000001</v>
      </c>
      <c r="U8937">
        <v>8.9904789999999998E-2</v>
      </c>
      <c r="V8937">
        <v>7.3189599999999994E-2</v>
      </c>
      <c r="W8937">
        <v>6.5610769999999999E-2</v>
      </c>
      <c r="X8937">
        <v>0.99515750000000003</v>
      </c>
      <c r="Y8937">
        <v>0.41462070000000001</v>
      </c>
      <c r="Z8937">
        <v>9.0800850000000002E-2</v>
      </c>
      <c r="AA8937">
        <v>0.9054529</v>
      </c>
      <c r="AB8937">
        <v>23</v>
      </c>
      <c r="AC8937">
        <v>3.1966709999999998</v>
      </c>
      <c r="AD8937">
        <v>0.45426430000000001</v>
      </c>
      <c r="AE8937">
        <v>8.9904789999999998E-2</v>
      </c>
      <c r="AF8937">
        <v>1.32597960995848</v>
      </c>
      <c r="AG8937">
        <v>0.45426430000000001</v>
      </c>
      <c r="AH8937">
        <v>2.8404256855115699</v>
      </c>
      <c r="AI8937">
        <v>81.754353047057407</v>
      </c>
      <c r="AJ8937">
        <v>64.975692434590002</v>
      </c>
      <c r="AK8937">
        <v>3.1674273559458301</v>
      </c>
      <c r="AL8937">
        <v>86.238077339836494</v>
      </c>
      <c r="AM8937">
        <v>85.793712190886197</v>
      </c>
      <c r="AN8937">
        <v>0.999999970247201</v>
      </c>
    </row>
    <row r="8938" spans="1:40" x14ac:dyDescent="0.25">
      <c r="A8938" t="str">
        <f>"20190312160542389"</f>
        <v>20190312160542389</v>
      </c>
      <c r="B8938" t="str">
        <f>"1552377942384142"</f>
        <v>1552377942384142</v>
      </c>
      <c r="C8938" t="s">
        <v>40</v>
      </c>
      <c r="D8938">
        <v>5.211983</v>
      </c>
      <c r="E8938">
        <v>0.64559820000000001</v>
      </c>
      <c r="F8938" t="s">
        <v>49</v>
      </c>
      <c r="G8938">
        <v>-172.66069999999999</v>
      </c>
      <c r="H8938">
        <v>1.195603</v>
      </c>
      <c r="I8938">
        <v>137.26140000000001</v>
      </c>
      <c r="J8938">
        <v>-173.21700000000001</v>
      </c>
      <c r="K8938">
        <v>1.1023989999999999</v>
      </c>
      <c r="L8938">
        <v>137.29300000000001</v>
      </c>
      <c r="M8938">
        <v>0.89681250000000001</v>
      </c>
      <c r="N8938">
        <v>0</v>
      </c>
      <c r="O8938">
        <v>0.44214880000000001</v>
      </c>
      <c r="P8938">
        <v>0.92505110000000002</v>
      </c>
      <c r="Q8938">
        <v>5.1538250000000001E-2</v>
      </c>
      <c r="R8938">
        <v>0.37633</v>
      </c>
      <c r="S8938">
        <v>3.1950989999999999</v>
      </c>
      <c r="T8938">
        <v>0.44664510000000002</v>
      </c>
      <c r="U8938">
        <v>7.600403E-2</v>
      </c>
      <c r="V8938">
        <v>7.2805350000000005E-2</v>
      </c>
      <c r="W8938">
        <v>6.5293879999999999E-2</v>
      </c>
      <c r="X8938">
        <v>0.99520649999999999</v>
      </c>
      <c r="Y8938">
        <v>0.41269400000000001</v>
      </c>
      <c r="Z8938">
        <v>8.8450799999999996E-2</v>
      </c>
      <c r="AA8938">
        <v>0.90656499999999995</v>
      </c>
      <c r="AB8938">
        <v>22</v>
      </c>
      <c r="AC8938">
        <v>0.556300000000021</v>
      </c>
      <c r="AD8938">
        <v>9.3203999999999995E-2</v>
      </c>
      <c r="AE8938">
        <v>-3.1599999999997401E-2</v>
      </c>
      <c r="AF8938">
        <v>0.26687131556210197</v>
      </c>
      <c r="AG8938">
        <v>9.3203999999999995E-2</v>
      </c>
      <c r="AH8938">
        <v>0.47178055157481702</v>
      </c>
      <c r="AI8938">
        <v>80.243212756307301</v>
      </c>
      <c r="AJ8938">
        <v>60.504533638404297</v>
      </c>
      <c r="AK8938">
        <v>0.54998561211188601</v>
      </c>
      <c r="AL8938">
        <v>86.256272717097403</v>
      </c>
      <c r="AM8938">
        <v>85.815922111937795</v>
      </c>
      <c r="AN8938">
        <v>0.99999994369816103</v>
      </c>
    </row>
    <row r="8939" spans="1:40" x14ac:dyDescent="0.25">
      <c r="A8939" t="str">
        <f>"20190312160542401"</f>
        <v>20190312160542401</v>
      </c>
      <c r="B8939" t="str">
        <f>"1552377942393901"</f>
        <v>1552377942393901</v>
      </c>
      <c r="C8939" t="s">
        <v>40</v>
      </c>
      <c r="D8939">
        <v>5.7713609999999997</v>
      </c>
      <c r="E8939">
        <v>0.64515690000000003</v>
      </c>
      <c r="F8939" t="s">
        <v>49</v>
      </c>
      <c r="G8939">
        <v>-172.51300000000001</v>
      </c>
      <c r="H8939">
        <v>1.1998200000000001</v>
      </c>
      <c r="I8939">
        <v>137.30590000000001</v>
      </c>
      <c r="J8939">
        <v>-173.10069999999999</v>
      </c>
      <c r="K8939">
        <v>1.1024119999999999</v>
      </c>
      <c r="L8939">
        <v>137.34139999999999</v>
      </c>
      <c r="M8939">
        <v>0.89995309999999995</v>
      </c>
      <c r="N8939">
        <v>0</v>
      </c>
      <c r="O8939">
        <v>0.43572090000000002</v>
      </c>
      <c r="P8939">
        <v>0.92747279999999999</v>
      </c>
      <c r="Q8939">
        <v>5.1716520000000002E-2</v>
      </c>
      <c r="R8939">
        <v>0.37029659999999998</v>
      </c>
      <c r="S8939">
        <v>3.19455</v>
      </c>
      <c r="T8939">
        <v>0.44205250000000001</v>
      </c>
      <c r="U8939">
        <v>5.8685300000000003E-2</v>
      </c>
      <c r="V8939">
        <v>7.2163399999999905E-2</v>
      </c>
      <c r="W8939">
        <v>6.5483250000000007E-2</v>
      </c>
      <c r="X8939">
        <v>0.99524089999999998</v>
      </c>
      <c r="Y8939">
        <v>0.41133249999999999</v>
      </c>
      <c r="Z8939">
        <v>8.6687280000000005E-2</v>
      </c>
      <c r="AA8939">
        <v>0.90735379999999999</v>
      </c>
      <c r="AB8939">
        <v>22</v>
      </c>
      <c r="AC8939">
        <v>0.58769999999998301</v>
      </c>
      <c r="AD8939">
        <v>9.7407999999999897E-2</v>
      </c>
      <c r="AE8939">
        <v>-3.5499999999984697E-2</v>
      </c>
      <c r="AF8939">
        <v>0.280380492407586</v>
      </c>
      <c r="AG8939">
        <v>9.7407999999999897E-2</v>
      </c>
      <c r="AH8939">
        <v>0.49981327942231402</v>
      </c>
      <c r="AI8939">
        <v>80.353554825817596</v>
      </c>
      <c r="AJ8939">
        <v>60.708861639265301</v>
      </c>
      <c r="AK8939">
        <v>0.581304441126686</v>
      </c>
      <c r="AL8939">
        <v>86.2453996714097</v>
      </c>
      <c r="AM8939">
        <v>85.852828126816604</v>
      </c>
      <c r="AN8939">
        <v>1.00000003068146</v>
      </c>
    </row>
    <row r="8940" spans="1:40" x14ac:dyDescent="0.25">
      <c r="A8940" t="str">
        <f>"20190312160542415"</f>
        <v>20190312160542415</v>
      </c>
      <c r="B8940" t="str">
        <f>"1552377942403661"</f>
        <v>1552377942403661</v>
      </c>
      <c r="C8940" t="s">
        <v>40</v>
      </c>
      <c r="D8940">
        <v>5.493436</v>
      </c>
      <c r="E8940">
        <v>0.64469860000000001</v>
      </c>
      <c r="F8940" t="s">
        <v>49</v>
      </c>
      <c r="G8940">
        <v>-172.4374</v>
      </c>
      <c r="H8940">
        <v>1.1934659999999999</v>
      </c>
      <c r="I8940">
        <v>137.34989999999999</v>
      </c>
      <c r="J8940">
        <v>-172.9735</v>
      </c>
      <c r="K8940">
        <v>1.102428</v>
      </c>
      <c r="L8940">
        <v>137.39340000000001</v>
      </c>
      <c r="M8940">
        <v>0.90332619999999997</v>
      </c>
      <c r="N8940">
        <v>0</v>
      </c>
      <c r="O8940">
        <v>0.42868440000000002</v>
      </c>
      <c r="P8940">
        <v>0.93017519999999998</v>
      </c>
      <c r="Q8940">
        <v>5.174554E-2</v>
      </c>
      <c r="R8940">
        <v>0.36345060000000001</v>
      </c>
      <c r="S8940">
        <v>3.1937709999999999</v>
      </c>
      <c r="T8940">
        <v>0.43842710000000001</v>
      </c>
      <c r="U8940">
        <v>4.1015629999999997E-2</v>
      </c>
      <c r="V8940">
        <v>7.1728600000000003E-2</v>
      </c>
      <c r="W8940">
        <v>6.5519880000000003E-2</v>
      </c>
      <c r="X8940">
        <v>0.99526990000000004</v>
      </c>
      <c r="Y8940">
        <v>0.40945369999999998</v>
      </c>
      <c r="Z8940">
        <v>8.5016919999999996E-2</v>
      </c>
      <c r="AA8940">
        <v>0.90836110000000003</v>
      </c>
      <c r="AB8940">
        <v>22</v>
      </c>
      <c r="AC8940">
        <v>0.53610000000000402</v>
      </c>
      <c r="AD8940">
        <v>9.1037999999999897E-2</v>
      </c>
      <c r="AE8940">
        <v>-4.3500000000022902E-2</v>
      </c>
      <c r="AF8940">
        <v>0.26164769944773603</v>
      </c>
      <c r="AG8940">
        <v>9.1037999999999897E-2</v>
      </c>
      <c r="AH8940">
        <v>0.45270978757306901</v>
      </c>
      <c r="AI8940">
        <v>80.123346195345604</v>
      </c>
      <c r="AJ8940">
        <v>59.9738482992</v>
      </c>
      <c r="AK8940">
        <v>0.53074813973743296</v>
      </c>
      <c r="AL8940">
        <v>86.243296333530694</v>
      </c>
      <c r="AM8940">
        <v>85.877849027989996</v>
      </c>
      <c r="AN8940">
        <v>1.0000000102895901</v>
      </c>
    </row>
    <row r="8941" spans="1:40" x14ac:dyDescent="0.25">
      <c r="A8941" t="str">
        <f>"20190312160542430"</f>
        <v>20190312160542430</v>
      </c>
      <c r="B8941" t="str">
        <f>"1552377942424156"</f>
        <v>1552377942424156</v>
      </c>
      <c r="C8941" t="s">
        <v>40</v>
      </c>
      <c r="D8941">
        <v>5.3207230000000001</v>
      </c>
      <c r="E8941">
        <v>0.64373400000000003</v>
      </c>
      <c r="F8941" t="s">
        <v>49</v>
      </c>
      <c r="G8941">
        <v>-172.29400000000001</v>
      </c>
      <c r="H8941">
        <v>1.1948650000000001</v>
      </c>
      <c r="I8941">
        <v>137.39769999999999</v>
      </c>
      <c r="J8941">
        <v>-172.83090000000001</v>
      </c>
      <c r="K8941">
        <v>1.1024480000000001</v>
      </c>
      <c r="L8941">
        <v>137.4504</v>
      </c>
      <c r="M8941">
        <v>0.90702870000000002</v>
      </c>
      <c r="N8941">
        <v>0</v>
      </c>
      <c r="O8941">
        <v>0.4207941</v>
      </c>
      <c r="P8941">
        <v>0.93306670000000003</v>
      </c>
      <c r="Q8941">
        <v>5.1984809999999999E-2</v>
      </c>
      <c r="R8941">
        <v>0.355927299999999</v>
      </c>
      <c r="S8941">
        <v>3.1929319999999999</v>
      </c>
      <c r="T8941">
        <v>0.43434970000000001</v>
      </c>
      <c r="U8941">
        <v>2.0782470000000001E-2</v>
      </c>
      <c r="V8941">
        <v>7.1085549999999997E-2</v>
      </c>
      <c r="W8941">
        <v>6.5770629999999997E-2</v>
      </c>
      <c r="X8941">
        <v>0.9952995</v>
      </c>
      <c r="Y8941">
        <v>0.40749540000000001</v>
      </c>
      <c r="Z8941">
        <v>8.3162780000000006E-2</v>
      </c>
      <c r="AA8941">
        <v>0.90941269999999996</v>
      </c>
      <c r="AB8941">
        <v>22</v>
      </c>
      <c r="AC8941">
        <v>0.53690000000000204</v>
      </c>
      <c r="AD8941">
        <v>9.2417000000000193E-2</v>
      </c>
      <c r="AE8941">
        <v>-5.27000000000157E-2</v>
      </c>
      <c r="AF8941">
        <v>0.265951733939438</v>
      </c>
      <c r="AG8941">
        <v>9.2417000000000193E-2</v>
      </c>
      <c r="AH8941">
        <v>0.451608594510574</v>
      </c>
      <c r="AI8941">
        <v>79.9995698794351</v>
      </c>
      <c r="AJ8941">
        <v>59.5062223524437</v>
      </c>
      <c r="AK8941">
        <v>0.53218563425764298</v>
      </c>
      <c r="AL8941">
        <v>86.228898370873793</v>
      </c>
      <c r="AM8941">
        <v>85.914799685169498</v>
      </c>
      <c r="AN8941">
        <v>1.0000000129448201</v>
      </c>
    </row>
    <row r="8942" spans="1:40" x14ac:dyDescent="0.25">
      <c r="A8942" t="str">
        <f>"20190312160542444"</f>
        <v>20190312160542444</v>
      </c>
      <c r="B8942" t="str">
        <f>"1552377942433917"</f>
        <v>1552377942433917</v>
      </c>
      <c r="C8942" t="s">
        <v>40</v>
      </c>
      <c r="D8942">
        <v>5.38253</v>
      </c>
      <c r="E8942">
        <v>0.643298699999999</v>
      </c>
      <c r="F8942" t="s">
        <v>49</v>
      </c>
      <c r="G8942">
        <v>-172.13460000000001</v>
      </c>
      <c r="H8942">
        <v>1.1959120000000001</v>
      </c>
      <c r="I8942">
        <v>137.45089999999999</v>
      </c>
      <c r="J8942">
        <v>-172.69059999999999</v>
      </c>
      <c r="K8942">
        <v>1.1024620000000001</v>
      </c>
      <c r="L8942">
        <v>137.5051</v>
      </c>
      <c r="M8942">
        <v>0.91058989999999995</v>
      </c>
      <c r="N8942">
        <v>0</v>
      </c>
      <c r="O8942">
        <v>0.4130315</v>
      </c>
      <c r="P8942">
        <v>0.93560259999999995</v>
      </c>
      <c r="Q8942">
        <v>5.1893960000000003E-2</v>
      </c>
      <c r="R8942">
        <v>0.3492207</v>
      </c>
      <c r="S8942">
        <v>3.1905209999999999</v>
      </c>
      <c r="T8942">
        <v>0.42830669999999998</v>
      </c>
      <c r="U8942">
        <v>2.166748E-3</v>
      </c>
      <c r="V8942">
        <v>6.9724040000000001E-2</v>
      </c>
      <c r="W8942">
        <v>6.5705920000000001E-2</v>
      </c>
      <c r="X8942">
        <v>0.99540010000000001</v>
      </c>
      <c r="Y8942">
        <v>0.40529389999999998</v>
      </c>
      <c r="Z8942">
        <v>8.0990580000000006E-2</v>
      </c>
      <c r="AA8942">
        <v>0.91059179999999995</v>
      </c>
      <c r="AB8942">
        <v>22</v>
      </c>
      <c r="AC8942">
        <v>0.55599999999998295</v>
      </c>
      <c r="AD8942">
        <v>9.3450000000000005E-2</v>
      </c>
      <c r="AE8942">
        <v>-5.4200000000008602E-2</v>
      </c>
      <c r="AF8942">
        <v>0.27143599818284703</v>
      </c>
      <c r="AG8942">
        <v>9.3450000000000005E-2</v>
      </c>
      <c r="AH8942">
        <v>0.47078342815632401</v>
      </c>
      <c r="AI8942">
        <v>80.242636359331499</v>
      </c>
      <c r="AJ8942">
        <v>60.033870021517998</v>
      </c>
      <c r="AK8942">
        <v>0.55140496899841096</v>
      </c>
      <c r="AL8942">
        <v>86.232614098900001</v>
      </c>
      <c r="AM8942">
        <v>85.993190303029905</v>
      </c>
      <c r="AN8942">
        <v>1.0000000343784801</v>
      </c>
    </row>
    <row r="8943" spans="1:40" x14ac:dyDescent="0.25">
      <c r="A8943" t="str">
        <f>"20190312160542463"</f>
        <v>20190312160542463</v>
      </c>
      <c r="B8943" t="str">
        <f>"1552377942454413"</f>
        <v>1552377942454413</v>
      </c>
      <c r="C8943" t="s">
        <v>40</v>
      </c>
      <c r="D8943">
        <v>5.6382399999999997</v>
      </c>
      <c r="E8943">
        <v>0.64232959999999995</v>
      </c>
      <c r="F8943" t="s">
        <v>45</v>
      </c>
      <c r="G8943">
        <v>0</v>
      </c>
      <c r="H8943">
        <v>0</v>
      </c>
      <c r="I8943">
        <v>0</v>
      </c>
      <c r="J8943">
        <v>-172.5128</v>
      </c>
      <c r="K8943">
        <v>1.10249</v>
      </c>
      <c r="L8943">
        <v>137.57230000000001</v>
      </c>
      <c r="M8943">
        <v>0.91498489999999999</v>
      </c>
      <c r="N8943">
        <v>0</v>
      </c>
      <c r="O8943">
        <v>0.4032018</v>
      </c>
      <c r="P8943">
        <v>0.93899359999999998</v>
      </c>
      <c r="Q8943">
        <v>5.1439430000000001E-2</v>
      </c>
      <c r="R8943">
        <v>0.34006629999999999</v>
      </c>
      <c r="S8943">
        <v>3.189362</v>
      </c>
      <c r="T8943">
        <v>0.42578529999999998</v>
      </c>
      <c r="U8943">
        <v>-1.7318730000000001E-2</v>
      </c>
      <c r="V8943">
        <v>6.8722489999999997E-2</v>
      </c>
      <c r="W8943">
        <v>6.5269599999999997E-2</v>
      </c>
      <c r="X8943">
        <v>0.99549840000000001</v>
      </c>
      <c r="Y8943">
        <v>0.40122960000000002</v>
      </c>
      <c r="Z8943">
        <v>7.908155E-2</v>
      </c>
      <c r="AA8943">
        <v>0.91255739999999996</v>
      </c>
      <c r="AB8943">
        <v>22</v>
      </c>
      <c r="AC8943">
        <v>3.189362</v>
      </c>
      <c r="AD8943">
        <v>0.42578529999999998</v>
      </c>
      <c r="AE8943">
        <v>-1.7318730000000001E-2</v>
      </c>
      <c r="AF8943">
        <v>1.2791558721121199</v>
      </c>
      <c r="AG8943">
        <v>0.42578529999999998</v>
      </c>
      <c r="AH8943">
        <v>2.8605894010652202</v>
      </c>
      <c r="AI8943">
        <v>82.262096188387005</v>
      </c>
      <c r="AJ8943">
        <v>65.907470867361397</v>
      </c>
      <c r="AK8943">
        <v>3.1623574415840001</v>
      </c>
      <c r="AL8943">
        <v>86.257666979291898</v>
      </c>
      <c r="AM8943">
        <v>86.050951353898398</v>
      </c>
      <c r="AN8943">
        <v>0.99999998285925995</v>
      </c>
    </row>
    <row r="8944" spans="1:40" x14ac:dyDescent="0.25">
      <c r="A8944" t="str">
        <f>"20190312160542479"</f>
        <v>20190312160542479</v>
      </c>
      <c r="B8944" t="str">
        <f>"1552377942473933"</f>
        <v>1552377942473933</v>
      </c>
      <c r="C8944" t="s">
        <v>40</v>
      </c>
      <c r="D8944">
        <v>5.7420790000000004</v>
      </c>
      <c r="E8944">
        <v>0.64144380000000001</v>
      </c>
      <c r="F8944" t="s">
        <v>45</v>
      </c>
      <c r="G8944">
        <v>0</v>
      </c>
      <c r="H8944">
        <v>0</v>
      </c>
      <c r="I8944">
        <v>0</v>
      </c>
      <c r="J8944">
        <v>-172.3596</v>
      </c>
      <c r="K8944">
        <v>1.1025199999999999</v>
      </c>
      <c r="L8944">
        <v>137.6284</v>
      </c>
      <c r="M8944">
        <v>0.91866729999999996</v>
      </c>
      <c r="N8944">
        <v>0</v>
      </c>
      <c r="O8944">
        <v>0.39473999999999998</v>
      </c>
      <c r="P8944">
        <v>0.94199129999999998</v>
      </c>
      <c r="Q8944">
        <v>5.1584119999999997E-2</v>
      </c>
      <c r="R8944">
        <v>0.33164959999999999</v>
      </c>
      <c r="S8944">
        <v>3.1870120000000002</v>
      </c>
      <c r="T8944">
        <v>0.41661369999999998</v>
      </c>
      <c r="U8944">
        <v>-4.1244509999999998E-2</v>
      </c>
      <c r="V8944">
        <v>6.8438250000000006E-2</v>
      </c>
      <c r="W8944">
        <v>6.5417569999999994E-2</v>
      </c>
      <c r="X8944">
        <v>0.99550830000000001</v>
      </c>
      <c r="Y8944">
        <v>0.4000148</v>
      </c>
      <c r="Z8944">
        <v>7.6360750000000005E-2</v>
      </c>
      <c r="AA8944">
        <v>0.91332210000000003</v>
      </c>
      <c r="AB8944">
        <v>22</v>
      </c>
      <c r="AC8944">
        <v>3.1870120000000002</v>
      </c>
      <c r="AD8944">
        <v>0.41661369999999998</v>
      </c>
      <c r="AE8944">
        <v>-4.1244509999999998E-2</v>
      </c>
      <c r="AF8944">
        <v>1.2743084658811901</v>
      </c>
      <c r="AG8944">
        <v>0.41661369999999998</v>
      </c>
      <c r="AH8944">
        <v>2.8629440402341202</v>
      </c>
      <c r="AI8944">
        <v>82.427237470872001</v>
      </c>
      <c r="AJ8944">
        <v>66.005951976038105</v>
      </c>
      <c r="AK8944">
        <v>3.1613094784845401</v>
      </c>
      <c r="AL8944">
        <v>86.249170881515994</v>
      </c>
      <c r="AM8944">
        <v>86.067272463636698</v>
      </c>
      <c r="AN8944">
        <v>1.0000000139483201</v>
      </c>
    </row>
    <row r="8945" spans="1:40" x14ac:dyDescent="0.25">
      <c r="A8945" t="str">
        <f>"20190312160542492"</f>
        <v>20190312160542492</v>
      </c>
      <c r="B8945" t="str">
        <f>"1552377942483693"</f>
        <v>1552377942483693</v>
      </c>
      <c r="C8945" t="s">
        <v>40</v>
      </c>
      <c r="D8945">
        <v>5.454599</v>
      </c>
      <c r="E8945">
        <v>0.64113830000000005</v>
      </c>
      <c r="F8945" t="s">
        <v>49</v>
      </c>
      <c r="G8945">
        <v>-171.67259999999999</v>
      </c>
      <c r="H8945">
        <v>1.1915020000000001</v>
      </c>
      <c r="I8945">
        <v>137.6147</v>
      </c>
      <c r="J8945">
        <v>-172.22900000000001</v>
      </c>
      <c r="K8945">
        <v>1.1025469999999999</v>
      </c>
      <c r="L8945">
        <v>137.67509999999999</v>
      </c>
      <c r="M8945">
        <v>0.92173240000000001</v>
      </c>
      <c r="N8945">
        <v>0</v>
      </c>
      <c r="O8945">
        <v>0.38752900000000001</v>
      </c>
      <c r="P8945">
        <v>0.94442029999999999</v>
      </c>
      <c r="Q8945">
        <v>5.1793840000000001E-2</v>
      </c>
      <c r="R8945">
        <v>0.32463500000000001</v>
      </c>
      <c r="S8945">
        <v>3.184402</v>
      </c>
      <c r="T8945">
        <v>0.4124506</v>
      </c>
      <c r="U8945">
        <v>-6.3186649999999997E-2</v>
      </c>
      <c r="V8945">
        <v>6.8035369999999998E-2</v>
      </c>
      <c r="W8945">
        <v>6.5633129999999998E-2</v>
      </c>
      <c r="X8945">
        <v>0.99552169999999895</v>
      </c>
      <c r="Y8945">
        <v>0.39933429999999998</v>
      </c>
      <c r="Z8945">
        <v>7.4764289999999997E-2</v>
      </c>
      <c r="AA8945">
        <v>0.9137518</v>
      </c>
      <c r="AB8945">
        <v>22</v>
      </c>
      <c r="AC8945">
        <v>0.55640000000002399</v>
      </c>
      <c r="AD8945">
        <v>8.8955000000000103E-2</v>
      </c>
      <c r="AE8945">
        <v>-6.0399999999987103E-2</v>
      </c>
      <c r="AF8945">
        <v>0.26463957367873298</v>
      </c>
      <c r="AG8945">
        <v>8.8955000000000103E-2</v>
      </c>
      <c r="AH8945">
        <v>0.47744021595928599</v>
      </c>
      <c r="AI8945">
        <v>80.744575605742099</v>
      </c>
      <c r="AJ8945">
        <v>61.000905113977502</v>
      </c>
      <c r="AK8945">
        <v>0.55307888749898204</v>
      </c>
      <c r="AL8945">
        <v>86.236793502861403</v>
      </c>
      <c r="AM8945">
        <v>86.090403965936602</v>
      </c>
      <c r="AN8945">
        <v>0.99999998724776096</v>
      </c>
    </row>
    <row r="8946" spans="1:40" x14ac:dyDescent="0.25">
      <c r="A8946" t="str">
        <f>"20190312160542505"</f>
        <v>20190312160542505</v>
      </c>
      <c r="B8946" t="str">
        <f>"1552377942494428"</f>
        <v>1552377942494428</v>
      </c>
      <c r="C8946" t="s">
        <v>40</v>
      </c>
      <c r="D8946">
        <v>5.2762089999999997</v>
      </c>
      <c r="E8946">
        <v>0.64081940000000004</v>
      </c>
      <c r="F8946" t="s">
        <v>49</v>
      </c>
      <c r="G8946">
        <v>-171.52629999999999</v>
      </c>
      <c r="H8946">
        <v>1.193668</v>
      </c>
      <c r="I8946">
        <v>137.65629999999999</v>
      </c>
      <c r="J8946">
        <v>-172.10570000000001</v>
      </c>
      <c r="K8946">
        <v>1.1025769999999999</v>
      </c>
      <c r="L8946">
        <v>137.7182</v>
      </c>
      <c r="M8946">
        <v>0.92456349999999998</v>
      </c>
      <c r="N8946">
        <v>0</v>
      </c>
      <c r="O8946">
        <v>0.3807257</v>
      </c>
      <c r="P8946">
        <v>0.94654870000000002</v>
      </c>
      <c r="Q8946">
        <v>5.2006150000000001E-2</v>
      </c>
      <c r="R8946">
        <v>0.31834089999999998</v>
      </c>
      <c r="S8946">
        <v>3.1829830000000001</v>
      </c>
      <c r="T8946">
        <v>0.41272710000000001</v>
      </c>
      <c r="U8946">
        <v>-8.4594730000000007E-2</v>
      </c>
      <c r="V8946">
        <v>6.7320379999999999E-2</v>
      </c>
      <c r="W8946">
        <v>6.5858189999999997E-2</v>
      </c>
      <c r="X8946">
        <v>0.99555550000000004</v>
      </c>
      <c r="Y8946">
        <v>0.39878849999999999</v>
      </c>
      <c r="Z8946">
        <v>7.399741E-2</v>
      </c>
      <c r="AA8946">
        <v>0.91405250000000005</v>
      </c>
      <c r="AB8946">
        <v>22</v>
      </c>
      <c r="AC8946">
        <v>0.57940000000002101</v>
      </c>
      <c r="AD8946">
        <v>9.1090999999999797E-2</v>
      </c>
      <c r="AE8946">
        <v>-6.1900000000008497E-2</v>
      </c>
      <c r="AF8946">
        <v>0.27122671406382498</v>
      </c>
      <c r="AG8946">
        <v>9.1090999999999797E-2</v>
      </c>
      <c r="AH8946">
        <v>0.49996599173584799</v>
      </c>
      <c r="AI8946">
        <v>80.9015226629148</v>
      </c>
      <c r="AJ8946">
        <v>61.5205970847042</v>
      </c>
      <c r="AK8946">
        <v>0.57604469756718502</v>
      </c>
      <c r="AL8946">
        <v>86.223870769860994</v>
      </c>
      <c r="AM8946">
        <v>86.131495796658797</v>
      </c>
      <c r="AN8946">
        <v>1.00000004416683</v>
      </c>
    </row>
    <row r="8947" spans="1:40" x14ac:dyDescent="0.25">
      <c r="A8947" t="str">
        <f>"20190312160542519"</f>
        <v>20190312160542519</v>
      </c>
      <c r="B8947" t="str">
        <f>"1552377942513949"</f>
        <v>1552377942513949</v>
      </c>
      <c r="C8947" t="s">
        <v>40</v>
      </c>
      <c r="D8947">
        <v>5.4338889999999997</v>
      </c>
      <c r="E8947">
        <v>0.64010669999999903</v>
      </c>
      <c r="F8947" t="s">
        <v>45</v>
      </c>
      <c r="G8947">
        <v>0</v>
      </c>
      <c r="H8947">
        <v>0</v>
      </c>
      <c r="I8947">
        <v>0</v>
      </c>
      <c r="J8947">
        <v>-171.97649999999999</v>
      </c>
      <c r="K8947">
        <v>1.102609</v>
      </c>
      <c r="L8947">
        <v>137.762</v>
      </c>
      <c r="M8947">
        <v>0.92745750000000005</v>
      </c>
      <c r="N8947">
        <v>0</v>
      </c>
      <c r="O8947">
        <v>0.37362069999999997</v>
      </c>
      <c r="P8947">
        <v>0.94845489999999999</v>
      </c>
      <c r="Q8947">
        <v>5.3236550000000001E-2</v>
      </c>
      <c r="R8947">
        <v>0.31240839999999998</v>
      </c>
      <c r="S8947">
        <v>3.1814269999999998</v>
      </c>
      <c r="T8947">
        <v>0.41347489999999998</v>
      </c>
      <c r="U8947">
        <v>-0.1032867</v>
      </c>
      <c r="V8947">
        <v>6.5906409999999999E-2</v>
      </c>
      <c r="W8947">
        <v>6.7112809999999995E-2</v>
      </c>
      <c r="X8947">
        <v>0.99556630000000002</v>
      </c>
      <c r="Y8947">
        <v>0.39718750000000003</v>
      </c>
      <c r="Z8947">
        <v>7.3203889999999994E-2</v>
      </c>
      <c r="AA8947">
        <v>0.91481330000000005</v>
      </c>
      <c r="AB8947">
        <v>22</v>
      </c>
      <c r="AC8947">
        <v>3.1814269999999998</v>
      </c>
      <c r="AD8947">
        <v>0.41347489999999998</v>
      </c>
      <c r="AE8947">
        <v>-0.1032867</v>
      </c>
      <c r="AF8947">
        <v>1.2632734091011</v>
      </c>
      <c r="AG8947">
        <v>0.41347489999999998</v>
      </c>
      <c r="AH8947">
        <v>2.8640577034143</v>
      </c>
      <c r="AI8947">
        <v>82.475442179888304</v>
      </c>
      <c r="AJ8947">
        <v>66.198769916831097</v>
      </c>
      <c r="AK8947">
        <v>3.15747489737586</v>
      </c>
      <c r="AL8947">
        <v>86.151826842948395</v>
      </c>
      <c r="AM8947">
        <v>86.212550239019095</v>
      </c>
      <c r="AN8947">
        <v>1.0000000209204301</v>
      </c>
    </row>
    <row r="8948" spans="1:40" x14ac:dyDescent="0.25">
      <c r="A8948" t="str">
        <f>"20190312160542541"</f>
        <v>20190312160542541</v>
      </c>
      <c r="B8948" t="str">
        <f>"1552377942534448"</f>
        <v>1552377942534448</v>
      </c>
      <c r="C8948" t="s">
        <v>40</v>
      </c>
      <c r="D8948">
        <v>5.5245949999999997</v>
      </c>
      <c r="E8948">
        <v>0.63975199999999999</v>
      </c>
      <c r="F8948" t="s">
        <v>49</v>
      </c>
      <c r="G8948">
        <v>-171.28049999999999</v>
      </c>
      <c r="H8948">
        <v>1.19337</v>
      </c>
      <c r="I8948">
        <v>137.7362</v>
      </c>
      <c r="J8948">
        <v>-171.7621</v>
      </c>
      <c r="K8948">
        <v>1.102684</v>
      </c>
      <c r="L8948">
        <v>137.83269999999999</v>
      </c>
      <c r="M8948">
        <v>0.93211630000000001</v>
      </c>
      <c r="N8948">
        <v>0</v>
      </c>
      <c r="O8948">
        <v>0.361842</v>
      </c>
      <c r="P8948">
        <v>0.95173509999999995</v>
      </c>
      <c r="Q8948">
        <v>5.3627359999999999E-2</v>
      </c>
      <c r="R8948">
        <v>0.3021992</v>
      </c>
      <c r="S8948">
        <v>3.178528</v>
      </c>
      <c r="T8948">
        <v>0.41445710000000002</v>
      </c>
      <c r="U8948">
        <v>-0.1175995</v>
      </c>
      <c r="V8948">
        <v>6.3980010000000004E-2</v>
      </c>
      <c r="W8948">
        <v>6.7537189999999997E-2</v>
      </c>
      <c r="X8948">
        <v>0.99566319999999997</v>
      </c>
      <c r="Y8948">
        <v>0.38983449999999997</v>
      </c>
      <c r="Z8948">
        <v>7.1523610000000001E-2</v>
      </c>
      <c r="AA8948">
        <v>0.91810320000000001</v>
      </c>
      <c r="AB8948">
        <v>22</v>
      </c>
      <c r="AC8948">
        <v>0.48160000000001402</v>
      </c>
      <c r="AD8948">
        <v>9.0686000000000003E-2</v>
      </c>
      <c r="AE8948">
        <v>-9.6499999999991801E-2</v>
      </c>
      <c r="AF8948">
        <v>0.255531887631821</v>
      </c>
      <c r="AG8948">
        <v>9.0686000000000003E-2</v>
      </c>
      <c r="AH8948">
        <v>0.40038823081145403</v>
      </c>
      <c r="AI8948">
        <v>79.190867929324</v>
      </c>
      <c r="AJ8948">
        <v>57.453562226796798</v>
      </c>
      <c r="AK8948">
        <v>0.48356099053274298</v>
      </c>
      <c r="AL8948">
        <v>86.127456132868801</v>
      </c>
      <c r="AM8948">
        <v>86.323303452570599</v>
      </c>
      <c r="AN8948">
        <v>0.99999996077346698</v>
      </c>
    </row>
    <row r="8949" spans="1:40" x14ac:dyDescent="0.25">
      <c r="A8949" t="str">
        <f>"20190312160542557"</f>
        <v>20190312160542557</v>
      </c>
      <c r="B8949" t="str">
        <f>"1552377942553965"</f>
        <v>1552377942553965</v>
      </c>
      <c r="C8949" t="s">
        <v>40</v>
      </c>
      <c r="D8949">
        <v>5.5514169999999998</v>
      </c>
      <c r="E8949">
        <v>0.63933030000000002</v>
      </c>
      <c r="F8949" t="s">
        <v>45</v>
      </c>
      <c r="G8949">
        <v>0</v>
      </c>
      <c r="H8949">
        <v>0</v>
      </c>
      <c r="I8949">
        <v>0</v>
      </c>
      <c r="J8949">
        <v>-171.602</v>
      </c>
      <c r="K8949">
        <v>1.102735</v>
      </c>
      <c r="L8949">
        <v>137.8835</v>
      </c>
      <c r="M8949">
        <v>0.9354711</v>
      </c>
      <c r="N8949">
        <v>0</v>
      </c>
      <c r="O8949">
        <v>0.35307850000000002</v>
      </c>
      <c r="P8949">
        <v>0.95418190000000003</v>
      </c>
      <c r="Q8949">
        <v>5.4027150000000003E-2</v>
      </c>
      <c r="R8949">
        <v>0.2943095</v>
      </c>
      <c r="S8949">
        <v>3.1761020000000002</v>
      </c>
      <c r="T8949">
        <v>0.41355229999999998</v>
      </c>
      <c r="U8949">
        <v>-0.1488342</v>
      </c>
      <c r="V8949">
        <v>6.2869410000000001E-2</v>
      </c>
      <c r="W8949">
        <v>6.7953940000000004E-2</v>
      </c>
      <c r="X8949">
        <v>0.99570559999999997</v>
      </c>
      <c r="Y8949">
        <v>0.39033679999999998</v>
      </c>
      <c r="Z8949">
        <v>7.0382440000000004E-2</v>
      </c>
      <c r="AA8949">
        <v>0.91797790000000001</v>
      </c>
      <c r="AB8949">
        <v>22</v>
      </c>
      <c r="AC8949">
        <v>3.1761020000000002</v>
      </c>
      <c r="AD8949">
        <v>0.41355229999999998</v>
      </c>
      <c r="AE8949">
        <v>-0.1488342</v>
      </c>
      <c r="AF8949">
        <v>1.2398142935091001</v>
      </c>
      <c r="AG8949">
        <v>0.41355229999999998</v>
      </c>
      <c r="AH8949">
        <v>2.8703785392639101</v>
      </c>
      <c r="AI8949">
        <v>82.465503588892602</v>
      </c>
      <c r="AJ8949">
        <v>66.6388388656339</v>
      </c>
      <c r="AK8949">
        <v>3.15392421372036</v>
      </c>
      <c r="AL8949">
        <v>86.103523173664897</v>
      </c>
      <c r="AM8949">
        <v>86.387108463204299</v>
      </c>
      <c r="AN8949">
        <v>0.99999997127331497</v>
      </c>
    </row>
    <row r="8950" spans="1:40" x14ac:dyDescent="0.25">
      <c r="A8950" t="str">
        <f>"20190312160542570"</f>
        <v>20190312160542570</v>
      </c>
      <c r="B8950" t="str">
        <f>"1552377942564701"</f>
        <v>1552377942564701</v>
      </c>
      <c r="C8950" t="s">
        <v>40</v>
      </c>
      <c r="D8950">
        <v>5.5049169999999998</v>
      </c>
      <c r="E8950">
        <v>0.63897660000000001</v>
      </c>
      <c r="F8950" t="s">
        <v>49</v>
      </c>
      <c r="G8950">
        <v>-170.8956</v>
      </c>
      <c r="H8950">
        <v>1.194733</v>
      </c>
      <c r="I8950">
        <v>137.84520000000001</v>
      </c>
      <c r="J8950">
        <v>-171.48089999999999</v>
      </c>
      <c r="K8950">
        <v>1.1027769999999999</v>
      </c>
      <c r="L8950">
        <v>137.92099999999999</v>
      </c>
      <c r="M8950">
        <v>0.93794069999999996</v>
      </c>
      <c r="N8950">
        <v>0</v>
      </c>
      <c r="O8950">
        <v>0.34646549999999998</v>
      </c>
      <c r="P8950">
        <v>0.95594979999999996</v>
      </c>
      <c r="Q8950">
        <v>5.4099800000000003E-2</v>
      </c>
      <c r="R8950">
        <v>0.28850179999999997</v>
      </c>
      <c r="S8950">
        <v>3.1736909999999998</v>
      </c>
      <c r="T8950">
        <v>0.41337059999999998</v>
      </c>
      <c r="U8950">
        <v>-0.1719513</v>
      </c>
      <c r="V8950">
        <v>6.188718E-2</v>
      </c>
      <c r="W8950">
        <v>6.8042430000000001E-2</v>
      </c>
      <c r="X8950">
        <v>0.99576109999999896</v>
      </c>
      <c r="Y8950">
        <v>0.39060309999999998</v>
      </c>
      <c r="Z8950">
        <v>6.9606769999999998E-2</v>
      </c>
      <c r="AA8950">
        <v>0.91792379999999996</v>
      </c>
      <c r="AB8950">
        <v>22</v>
      </c>
      <c r="AC8950">
        <v>0.58529999999998905</v>
      </c>
      <c r="AD8950">
        <v>9.1955999999999899E-2</v>
      </c>
      <c r="AE8950">
        <v>-7.5799999999986697E-2</v>
      </c>
      <c r="AF8950">
        <v>0.26742155134773599</v>
      </c>
      <c r="AG8950">
        <v>9.1955999999999899E-2</v>
      </c>
      <c r="AH8950">
        <v>0.51038428328924301</v>
      </c>
      <c r="AI8950">
        <v>80.932605480832294</v>
      </c>
      <c r="AJ8950">
        <v>62.3472066189535</v>
      </c>
      <c r="AK8950">
        <v>0.58349148124878802</v>
      </c>
      <c r="AL8950">
        <v>86.098441348866501</v>
      </c>
      <c r="AM8950">
        <v>86.443605578063497</v>
      </c>
      <c r="AN8950">
        <v>0.99999998180093297</v>
      </c>
    </row>
    <row r="8951" spans="1:40" x14ac:dyDescent="0.25">
      <c r="A8951" t="str">
        <f>"20190312160542582"</f>
        <v>20190312160542582</v>
      </c>
      <c r="B8951" t="str">
        <f>"1552377942574461"</f>
        <v>1552377942574461</v>
      </c>
      <c r="C8951" t="s">
        <v>40</v>
      </c>
      <c r="D8951">
        <v>5.4514019999999999</v>
      </c>
      <c r="E8951">
        <v>0.63854769999999905</v>
      </c>
      <c r="F8951" t="s">
        <v>49</v>
      </c>
      <c r="G8951">
        <v>-170.75530000000001</v>
      </c>
      <c r="H8951">
        <v>1.196428</v>
      </c>
      <c r="I8951">
        <v>137.8776</v>
      </c>
      <c r="J8951">
        <v>-171.36089999999999</v>
      </c>
      <c r="K8951">
        <v>1.1028260000000001</v>
      </c>
      <c r="L8951">
        <v>137.95699999999999</v>
      </c>
      <c r="M8951">
        <v>0.94032499999999997</v>
      </c>
      <c r="N8951">
        <v>0</v>
      </c>
      <c r="O8951">
        <v>0.33994170000000001</v>
      </c>
      <c r="P8951">
        <v>0.95756699999999995</v>
      </c>
      <c r="Q8951">
        <v>5.4521890000000003E-2</v>
      </c>
      <c r="R8951">
        <v>0.28300700000000001</v>
      </c>
      <c r="S8951">
        <v>3.1720280000000001</v>
      </c>
      <c r="T8951">
        <v>0.40934490000000001</v>
      </c>
      <c r="U8951">
        <v>-0.1887054</v>
      </c>
      <c r="V8951">
        <v>6.0680339999999999E-2</v>
      </c>
      <c r="W8951">
        <v>6.84839E-2</v>
      </c>
      <c r="X8951">
        <v>0.9958051</v>
      </c>
      <c r="Y8951">
        <v>0.3892584</v>
      </c>
      <c r="Z8951">
        <v>6.808322E-2</v>
      </c>
      <c r="AA8951">
        <v>0.91860900000000001</v>
      </c>
      <c r="AB8951">
        <v>22</v>
      </c>
      <c r="AC8951">
        <v>0.60559999999998104</v>
      </c>
      <c r="AD8951">
        <v>9.3601999999999894E-2</v>
      </c>
      <c r="AE8951">
        <v>-7.9399999999992504E-2</v>
      </c>
      <c r="AF8951">
        <v>0.27412465326928598</v>
      </c>
      <c r="AG8951">
        <v>9.3601999999999894E-2</v>
      </c>
      <c r="AH8951">
        <v>0.53008229196580303</v>
      </c>
      <c r="AI8951">
        <v>81.085879189392699</v>
      </c>
      <c r="AJ8951">
        <v>62.654886360745301</v>
      </c>
      <c r="AK8951">
        <v>0.60406365243219595</v>
      </c>
      <c r="AL8951">
        <v>86.073087803758</v>
      </c>
      <c r="AM8951">
        <v>86.512938433326696</v>
      </c>
      <c r="AN8951">
        <v>0.99999997270386698</v>
      </c>
    </row>
    <row r="8952" spans="1:40" x14ac:dyDescent="0.25">
      <c r="A8952" t="str">
        <f>"20190312160542596"</f>
        <v>20190312160542596</v>
      </c>
      <c r="B8952" t="str">
        <f>"1552377942584221"</f>
        <v>1552377942584221</v>
      </c>
      <c r="C8952" t="s">
        <v>40</v>
      </c>
      <c r="D8952">
        <v>5.63279</v>
      </c>
      <c r="E8952">
        <v>0.63848289999999996</v>
      </c>
      <c r="F8952" t="s">
        <v>45</v>
      </c>
      <c r="G8952">
        <v>0</v>
      </c>
      <c r="H8952">
        <v>0</v>
      </c>
      <c r="I8952">
        <v>0</v>
      </c>
      <c r="J8952">
        <v>-171.2216</v>
      </c>
      <c r="K8952">
        <v>1.1028800000000001</v>
      </c>
      <c r="L8952">
        <v>137.99780000000001</v>
      </c>
      <c r="M8952">
        <v>0.94302030000000003</v>
      </c>
      <c r="N8952">
        <v>0</v>
      </c>
      <c r="O8952">
        <v>0.33239180000000002</v>
      </c>
      <c r="P8952">
        <v>0.95923420000000004</v>
      </c>
      <c r="Q8952">
        <v>5.5188290000000001E-2</v>
      </c>
      <c r="R8952">
        <v>0.27717170000000002</v>
      </c>
      <c r="S8952">
        <v>3.1699069999999998</v>
      </c>
      <c r="T8952">
        <v>0.40784870000000001</v>
      </c>
      <c r="U8952">
        <v>-0.2037506</v>
      </c>
      <c r="V8952">
        <v>5.874828E-2</v>
      </c>
      <c r="W8952">
        <v>6.9181759999999995E-2</v>
      </c>
      <c r="X8952">
        <v>0.99587270000000006</v>
      </c>
      <c r="Y8952">
        <v>0.38638850000000002</v>
      </c>
      <c r="Z8952">
        <v>6.6770399999999994E-2</v>
      </c>
      <c r="AA8952">
        <v>0.91991610000000001</v>
      </c>
      <c r="AB8952">
        <v>22</v>
      </c>
      <c r="AC8952">
        <v>3.1699069999999998</v>
      </c>
      <c r="AD8952">
        <v>0.40784870000000001</v>
      </c>
      <c r="AE8952">
        <v>-0.2037506</v>
      </c>
      <c r="AF8952">
        <v>1.2257270414544901</v>
      </c>
      <c r="AG8952">
        <v>0.40784870000000001</v>
      </c>
      <c r="AH8952">
        <v>2.87450629950211</v>
      </c>
      <c r="AI8952">
        <v>82.564102749628503</v>
      </c>
      <c r="AJ8952">
        <v>66.905966788377597</v>
      </c>
      <c r="AK8952">
        <v>3.1514336115682</v>
      </c>
      <c r="AL8952">
        <v>86.033008240414702</v>
      </c>
      <c r="AM8952">
        <v>86.623933956007406</v>
      </c>
      <c r="AN8952">
        <v>0.999999955462472</v>
      </c>
    </row>
    <row r="8953" spans="1:40" x14ac:dyDescent="0.25">
      <c r="A8953" t="str">
        <f>"20190312160542612"</f>
        <v>20190312160542612</v>
      </c>
      <c r="B8953" t="str">
        <f>"1552377942603741"</f>
        <v>1552377942603741</v>
      </c>
      <c r="C8953" t="s">
        <v>40</v>
      </c>
      <c r="D8953">
        <v>5.4059999999999997</v>
      </c>
      <c r="E8953">
        <v>0.63815059999999901</v>
      </c>
      <c r="F8953" t="s">
        <v>49</v>
      </c>
      <c r="G8953">
        <v>-170.50399999999999</v>
      </c>
      <c r="H8953">
        <v>1.1930750000000001</v>
      </c>
      <c r="I8953">
        <v>137.94739999999999</v>
      </c>
      <c r="J8953">
        <v>-171.0667</v>
      </c>
      <c r="K8953">
        <v>1.1029420000000001</v>
      </c>
      <c r="L8953">
        <v>138.0419</v>
      </c>
      <c r="M8953">
        <v>0.9459246</v>
      </c>
      <c r="N8953">
        <v>0</v>
      </c>
      <c r="O8953">
        <v>0.32403490000000001</v>
      </c>
      <c r="P8953">
        <v>0.96134629999999999</v>
      </c>
      <c r="Q8953">
        <v>5.5484209999999999E-2</v>
      </c>
      <c r="R8953">
        <v>0.2696944</v>
      </c>
      <c r="S8953">
        <v>3.1689759999999998</v>
      </c>
      <c r="T8953">
        <v>0.39834770000000003</v>
      </c>
      <c r="U8953">
        <v>-0.2228851</v>
      </c>
      <c r="V8953">
        <v>5.7679050000000003E-2</v>
      </c>
      <c r="W8953">
        <v>6.9491440000000002E-2</v>
      </c>
      <c r="X8953">
        <v>0.99591370000000001</v>
      </c>
      <c r="Y8953">
        <v>0.38413960000000003</v>
      </c>
      <c r="Z8953">
        <v>6.4098459999999996E-2</v>
      </c>
      <c r="AA8953">
        <v>0.92104730000000001</v>
      </c>
      <c r="AB8953">
        <v>22</v>
      </c>
      <c r="AC8953">
        <v>0.562699999999978</v>
      </c>
      <c r="AD8953">
        <v>9.0133000000000005E-2</v>
      </c>
      <c r="AE8953">
        <v>-9.4500000000010603E-2</v>
      </c>
      <c r="AF8953">
        <v>0.26513910381509198</v>
      </c>
      <c r="AG8953">
        <v>9.0133000000000005E-2</v>
      </c>
      <c r="AH8953">
        <v>0.48949302978690101</v>
      </c>
      <c r="AI8953">
        <v>80.803096518279006</v>
      </c>
      <c r="AJ8953">
        <v>61.557338708212399</v>
      </c>
      <c r="AK8953">
        <v>0.56393805357577198</v>
      </c>
      <c r="AL8953">
        <v>86.015222316381596</v>
      </c>
      <c r="AM8953">
        <v>86.685376887164793</v>
      </c>
      <c r="AN8953">
        <v>1.00000001544493</v>
      </c>
    </row>
    <row r="8954" spans="1:40" x14ac:dyDescent="0.25">
      <c r="A8954" t="str">
        <f>"20190312160542627"</f>
        <v>20190312160542627</v>
      </c>
      <c r="B8954" t="str">
        <f>"1552377942624237"</f>
        <v>1552377942624237</v>
      </c>
      <c r="C8954" t="s">
        <v>40</v>
      </c>
      <c r="D8954">
        <v>5.5022029999999997</v>
      </c>
      <c r="E8954">
        <v>0.63781189999999999</v>
      </c>
      <c r="F8954" t="s">
        <v>49</v>
      </c>
      <c r="G8954">
        <v>-170.33779999999999</v>
      </c>
      <c r="H8954">
        <v>1.190925</v>
      </c>
      <c r="I8954">
        <v>137.98519999999999</v>
      </c>
      <c r="J8954">
        <v>-170.92570000000001</v>
      </c>
      <c r="K8954">
        <v>1.1030040000000001</v>
      </c>
      <c r="L8954">
        <v>138.08090000000001</v>
      </c>
      <c r="M8954">
        <v>0.9484842</v>
      </c>
      <c r="N8954">
        <v>0</v>
      </c>
      <c r="O8954">
        <v>0.3164653</v>
      </c>
      <c r="P8954">
        <v>0.96315550000000005</v>
      </c>
      <c r="Q8954">
        <v>5.5786750000000003E-2</v>
      </c>
      <c r="R8954">
        <v>0.26309589999999999</v>
      </c>
      <c r="S8954">
        <v>3.1674799999999999</v>
      </c>
      <c r="T8954">
        <v>0.38229249999999998</v>
      </c>
      <c r="U8954">
        <v>-0.24559020000000001</v>
      </c>
      <c r="V8954">
        <v>5.6538020000000001E-2</v>
      </c>
      <c r="W8954">
        <v>6.9809179999999998E-2</v>
      </c>
      <c r="X8954">
        <v>0.99595690000000003</v>
      </c>
      <c r="Y8954">
        <v>0.38385979999999997</v>
      </c>
      <c r="Z8954">
        <v>6.0665080000000003E-2</v>
      </c>
      <c r="AA8954">
        <v>0.9213964</v>
      </c>
      <c r="AB8954">
        <v>22</v>
      </c>
      <c r="AC8954">
        <v>0.58790000000001896</v>
      </c>
      <c r="AD8954">
        <v>8.7920999999999902E-2</v>
      </c>
      <c r="AE8954">
        <v>-9.5700000000022101E-2</v>
      </c>
      <c r="AF8954">
        <v>0.27094792199559098</v>
      </c>
      <c r="AG8954">
        <v>8.7920999999999902E-2</v>
      </c>
      <c r="AH8954">
        <v>0.51614232885299305</v>
      </c>
      <c r="AI8954">
        <v>81.423058251577402</v>
      </c>
      <c r="AJ8954">
        <v>62.302859493906297</v>
      </c>
      <c r="AK8954">
        <v>0.58953013689591904</v>
      </c>
      <c r="AL8954">
        <v>85.996972806261795</v>
      </c>
      <c r="AM8954">
        <v>86.750946814539205</v>
      </c>
      <c r="AN8954">
        <v>1.0000000079877001</v>
      </c>
    </row>
    <row r="8955" spans="1:40" x14ac:dyDescent="0.25">
      <c r="A8955" t="str">
        <f>"20190312160542642"</f>
        <v>20190312160542642</v>
      </c>
      <c r="B8955" t="str">
        <f>"1552377942633997"</f>
        <v>1552377942633997</v>
      </c>
      <c r="C8955" t="s">
        <v>40</v>
      </c>
      <c r="D8955">
        <v>5.3981050000000002</v>
      </c>
      <c r="E8955">
        <v>0.63781189999999999</v>
      </c>
      <c r="F8955" t="s">
        <v>45</v>
      </c>
      <c r="G8955">
        <v>0</v>
      </c>
      <c r="H8955">
        <v>0</v>
      </c>
      <c r="I8955">
        <v>0</v>
      </c>
      <c r="J8955">
        <v>-170.7816</v>
      </c>
      <c r="K8955">
        <v>1.103073</v>
      </c>
      <c r="L8955">
        <v>138.11920000000001</v>
      </c>
      <c r="M8955">
        <v>0.95100810000000002</v>
      </c>
      <c r="N8955">
        <v>0</v>
      </c>
      <c r="O8955">
        <v>0.30879899999999999</v>
      </c>
      <c r="P8955">
        <v>0.9647173</v>
      </c>
      <c r="Q8955">
        <v>5.6202889999999998E-2</v>
      </c>
      <c r="R8955">
        <v>0.2572197</v>
      </c>
      <c r="S8955">
        <v>3.165848</v>
      </c>
      <c r="T8955">
        <v>0.36875590000000003</v>
      </c>
      <c r="U8955">
        <v>-0.26521299999999998</v>
      </c>
      <c r="V8955">
        <v>5.4556189999999997E-2</v>
      </c>
      <c r="W8955">
        <v>7.0254419999999998E-2</v>
      </c>
      <c r="X8955">
        <v>0.99603609999999998</v>
      </c>
      <c r="Y8955">
        <v>0.38253559999999998</v>
      </c>
      <c r="Z8955">
        <v>5.7620820000000003E-2</v>
      </c>
      <c r="AA8955">
        <v>0.92214229999999997</v>
      </c>
      <c r="AB8955">
        <v>22</v>
      </c>
      <c r="AC8955">
        <v>3.165848</v>
      </c>
      <c r="AD8955">
        <v>0.36875590000000003</v>
      </c>
      <c r="AE8955">
        <v>-0.26521299999999998</v>
      </c>
      <c r="AF8955">
        <v>1.2136189273809901</v>
      </c>
      <c r="AG8955">
        <v>0.36875590000000003</v>
      </c>
      <c r="AH8955">
        <v>2.8902418300193702</v>
      </c>
      <c r="AI8955">
        <v>83.290754483643298</v>
      </c>
      <c r="AJ8955">
        <v>67.222357308177195</v>
      </c>
      <c r="AK8955">
        <v>3.1563190033131798</v>
      </c>
      <c r="AL8955">
        <v>85.971399560225194</v>
      </c>
      <c r="AM8955">
        <v>86.864853503876603</v>
      </c>
      <c r="AN8955">
        <v>0.99999998695003101</v>
      </c>
    </row>
    <row r="8956" spans="1:40" x14ac:dyDescent="0.25">
      <c r="A8956" t="str">
        <f>"20190312160542661"</f>
        <v>20190312160542661</v>
      </c>
      <c r="B8956" t="str">
        <f>"1552377942654492"</f>
        <v>1552377942654492</v>
      </c>
      <c r="C8956" t="s">
        <v>40</v>
      </c>
      <c r="D8956">
        <v>5.4252190000000002</v>
      </c>
      <c r="E8956">
        <v>0.61794249999999995</v>
      </c>
      <c r="F8956" t="s">
        <v>45</v>
      </c>
      <c r="G8956">
        <v>0</v>
      </c>
      <c r="H8956">
        <v>0</v>
      </c>
      <c r="I8956">
        <v>0</v>
      </c>
      <c r="J8956">
        <v>-170.6063</v>
      </c>
      <c r="K8956">
        <v>1.1031709999999999</v>
      </c>
      <c r="L8956">
        <v>138.1644</v>
      </c>
      <c r="M8956">
        <v>0.9539649</v>
      </c>
      <c r="N8956">
        <v>0</v>
      </c>
      <c r="O8956">
        <v>0.2995409</v>
      </c>
      <c r="P8956">
        <v>0.96687520000000005</v>
      </c>
      <c r="Q8956">
        <v>5.6372720000000001E-2</v>
      </c>
      <c r="R8956">
        <v>0.24894740000000001</v>
      </c>
      <c r="S8956">
        <v>3.1640169999999999</v>
      </c>
      <c r="T8956">
        <v>0.37004720000000002</v>
      </c>
      <c r="U8956">
        <v>-0.28451539999999997</v>
      </c>
      <c r="V8956">
        <v>5.3388329999999998E-2</v>
      </c>
      <c r="W8956">
        <v>7.0435639999999994E-2</v>
      </c>
      <c r="X8956">
        <v>0.99608660000000004</v>
      </c>
      <c r="Y8956">
        <v>0.379245</v>
      </c>
      <c r="Z8956">
        <v>5.6612599999999999E-2</v>
      </c>
      <c r="AA8956">
        <v>0.92356280000000002</v>
      </c>
      <c r="AB8956">
        <v>22</v>
      </c>
      <c r="AC8956">
        <v>3.1640169999999999</v>
      </c>
      <c r="AD8956">
        <v>0.37004720000000002</v>
      </c>
      <c r="AE8956">
        <v>-0.28451539999999997</v>
      </c>
      <c r="AF8956">
        <v>1.20298515309253</v>
      </c>
      <c r="AG8956">
        <v>0.37004720000000002</v>
      </c>
      <c r="AH8956">
        <v>2.8941984012591702</v>
      </c>
      <c r="AI8956">
        <v>83.266521149767698</v>
      </c>
      <c r="AJ8956">
        <v>67.429591098010903</v>
      </c>
      <c r="AK8956">
        <v>3.1560248089392502</v>
      </c>
      <c r="AL8956">
        <v>85.960990701783302</v>
      </c>
      <c r="AM8956">
        <v>86.931991814845404</v>
      </c>
      <c r="AN8956">
        <v>1.00000000393097</v>
      </c>
    </row>
    <row r="8957" spans="1:40" x14ac:dyDescent="0.25">
      <c r="A8957" t="str">
        <f>"20190312160542674"</f>
        <v>20190312160542674</v>
      </c>
      <c r="B8957" t="str">
        <f>"1552377942664253"</f>
        <v>1552377942664253</v>
      </c>
      <c r="C8957" t="s">
        <v>40</v>
      </c>
      <c r="D8957">
        <v>5.6279669999999999</v>
      </c>
      <c r="E8957">
        <v>0.6139308</v>
      </c>
      <c r="F8957" t="s">
        <v>41</v>
      </c>
      <c r="G8957">
        <v>-130.2714</v>
      </c>
      <c r="H8957" s="1">
        <v>-4.809711E-6</v>
      </c>
      <c r="I8957">
        <v>135.93</v>
      </c>
      <c r="J8957">
        <v>-170.459</v>
      </c>
      <c r="K8957">
        <v>1.1032599999999999</v>
      </c>
      <c r="L8957">
        <v>138.2012</v>
      </c>
      <c r="M8957">
        <v>0.9563509</v>
      </c>
      <c r="N8957">
        <v>0</v>
      </c>
      <c r="O8957">
        <v>0.291834599999999</v>
      </c>
      <c r="P8957">
        <v>0.96830729999999998</v>
      </c>
      <c r="Q8957">
        <v>5.6753030000000003E-2</v>
      </c>
      <c r="R8957">
        <v>0.243229</v>
      </c>
      <c r="S8957">
        <v>3.152771</v>
      </c>
      <c r="T8957">
        <v>-8.6229440000000004E-2</v>
      </c>
      <c r="U8957">
        <v>-0.1746521</v>
      </c>
      <c r="V8957">
        <v>5.1221049999999997E-2</v>
      </c>
      <c r="W8957">
        <v>7.0845160000000004E-2</v>
      </c>
      <c r="X8957">
        <v>0.99617140000000004</v>
      </c>
      <c r="Y8957">
        <v>0.34408840000000002</v>
      </c>
      <c r="Z8957">
        <v>-1.260348E-2</v>
      </c>
      <c r="AA8957">
        <v>0.93885269999999998</v>
      </c>
      <c r="AB8957">
        <v>22</v>
      </c>
      <c r="AC8957">
        <v>40.187600000000003</v>
      </c>
      <c r="AD8957">
        <v>-1.103264809711</v>
      </c>
      <c r="AE8957">
        <v>-2.2711999999999901</v>
      </c>
      <c r="AF8957">
        <v>13.891327997945799</v>
      </c>
      <c r="AG8957">
        <v>-1.103264809711</v>
      </c>
      <c r="AH8957">
        <v>37.746534989514899</v>
      </c>
      <c r="AI8957">
        <v>91.571213273254202</v>
      </c>
      <c r="AJ8957">
        <v>69.795578543571196</v>
      </c>
      <c r="AK8957">
        <v>40.236638658087898</v>
      </c>
      <c r="AL8957">
        <v>85.937468340018199</v>
      </c>
      <c r="AM8957">
        <v>87.056562973542796</v>
      </c>
      <c r="AN8957">
        <v>1.0000000454182401</v>
      </c>
    </row>
    <row r="8958" spans="1:40" x14ac:dyDescent="0.25">
      <c r="A8958" t="str">
        <f>"20190312160542692"</f>
        <v>20190312160542692</v>
      </c>
      <c r="B8958" t="str">
        <f>"1552377942683774"</f>
        <v>1552377942683774</v>
      </c>
      <c r="C8958" t="s">
        <v>40</v>
      </c>
      <c r="D8958">
        <v>5.2956969999999997</v>
      </c>
      <c r="E8958">
        <v>0.61062280000000002</v>
      </c>
      <c r="F8958" t="s">
        <v>45</v>
      </c>
      <c r="G8958">
        <v>0</v>
      </c>
      <c r="H8958">
        <v>0</v>
      </c>
      <c r="I8958">
        <v>0</v>
      </c>
      <c r="J8958">
        <v>-170.29089999999999</v>
      </c>
      <c r="K8958">
        <v>1.10337</v>
      </c>
      <c r="L8958">
        <v>138.24170000000001</v>
      </c>
      <c r="M8958">
        <v>0.95896190000000003</v>
      </c>
      <c r="N8958">
        <v>0</v>
      </c>
      <c r="O8958">
        <v>0.28313820000000001</v>
      </c>
      <c r="P8958">
        <v>0.97022529999999996</v>
      </c>
      <c r="Q8958">
        <v>5.7041830000000002E-2</v>
      </c>
      <c r="R8958">
        <v>0.2353922</v>
      </c>
      <c r="S8958">
        <v>3.1400450000000002</v>
      </c>
      <c r="T8958">
        <v>-2.721548E-2</v>
      </c>
      <c r="U8958">
        <v>-0.16026309999999999</v>
      </c>
      <c r="V8958">
        <v>5.0208599999999999E-2</v>
      </c>
      <c r="W8958">
        <v>7.1139110000000005E-2</v>
      </c>
      <c r="X8958">
        <v>0.99620189999999997</v>
      </c>
      <c r="Y8958">
        <v>0.33166489999999998</v>
      </c>
      <c r="Z8958">
        <v>-3.8678219999999999E-3</v>
      </c>
      <c r="AA8958">
        <v>0.94338940000000004</v>
      </c>
      <c r="AB8958">
        <v>22</v>
      </c>
      <c r="AC8958">
        <v>3.1400450000000002</v>
      </c>
      <c r="AD8958">
        <v>-2.721548E-2</v>
      </c>
      <c r="AE8958">
        <v>-0.16026309999999999</v>
      </c>
      <c r="AF8958">
        <v>1.0427920071924599</v>
      </c>
      <c r="AG8958">
        <v>-2.721548E-2</v>
      </c>
      <c r="AH8958">
        <v>2.9659181537511201</v>
      </c>
      <c r="AI8958">
        <v>90.495974710434197</v>
      </c>
      <c r="AJ8958">
        <v>70.628752390440695</v>
      </c>
      <c r="AK8958">
        <v>3.14401436818705</v>
      </c>
      <c r="AL8958">
        <v>85.920583258421004</v>
      </c>
      <c r="AM8958">
        <v>87.1147326816548</v>
      </c>
      <c r="AN8958">
        <v>0.99999995102457895</v>
      </c>
    </row>
    <row r="8959" spans="1:40" x14ac:dyDescent="0.25">
      <c r="A8959" t="str">
        <f>"20190312160542709"</f>
        <v>20190312160542709</v>
      </c>
      <c r="B8959" t="str">
        <f>"1552377942704272"</f>
        <v>1552377942704272</v>
      </c>
      <c r="C8959" t="s">
        <v>40</v>
      </c>
      <c r="D8959">
        <v>5.5194190000000001</v>
      </c>
      <c r="E8959">
        <v>0.60793269999999899</v>
      </c>
      <c r="F8959" t="s">
        <v>45</v>
      </c>
      <c r="G8959">
        <v>0</v>
      </c>
      <c r="H8959">
        <v>0</v>
      </c>
      <c r="I8959">
        <v>0</v>
      </c>
      <c r="J8959">
        <v>-170.12909999999999</v>
      </c>
      <c r="K8959">
        <v>1.103485</v>
      </c>
      <c r="L8959">
        <v>138.27930000000001</v>
      </c>
      <c r="M8959">
        <v>0.96136920000000003</v>
      </c>
      <c r="N8959">
        <v>0</v>
      </c>
      <c r="O8959">
        <v>0.27485470000000001</v>
      </c>
      <c r="P8959">
        <v>0.97173609999999999</v>
      </c>
      <c r="Q8959">
        <v>5.6748659999999999E-2</v>
      </c>
      <c r="R8959">
        <v>0.22914670000000001</v>
      </c>
      <c r="S8959">
        <v>3.1285099999999999</v>
      </c>
      <c r="T8959">
        <v>3.1518339999999999E-2</v>
      </c>
      <c r="U8959">
        <v>-0.15789790000000001</v>
      </c>
      <c r="V8959">
        <v>4.799962E-2</v>
      </c>
      <c r="W8959">
        <v>7.0871799999999999E-2</v>
      </c>
      <c r="X8959">
        <v>0.99632989999999999</v>
      </c>
      <c r="Y8959">
        <v>0.3229708</v>
      </c>
      <c r="Z8959">
        <v>4.3709700000000001E-3</v>
      </c>
      <c r="AA8959">
        <v>0.94639890000000004</v>
      </c>
      <c r="AB8959">
        <v>22</v>
      </c>
      <c r="AC8959">
        <v>3.1285099999999999</v>
      </c>
      <c r="AD8959">
        <v>3.1518339999999999E-2</v>
      </c>
      <c r="AE8959">
        <v>-0.15789790000000001</v>
      </c>
      <c r="AF8959">
        <v>1.0116948387493101</v>
      </c>
      <c r="AG8959">
        <v>3.1518339999999999E-2</v>
      </c>
      <c r="AH8959">
        <v>2.9642863576807801</v>
      </c>
      <c r="AI8959">
        <v>89.423465507088906</v>
      </c>
      <c r="AJ8959">
        <v>71.1555055645984</v>
      </c>
      <c r="AK8959">
        <v>3.1323335491037199</v>
      </c>
      <c r="AL8959">
        <v>85.935938041251404</v>
      </c>
      <c r="AM8959">
        <v>87.241826314915301</v>
      </c>
      <c r="AN8959">
        <v>1.0000000225946899</v>
      </c>
    </row>
    <row r="8960" spans="1:40" x14ac:dyDescent="0.25">
      <c r="A8960" t="str">
        <f>"20190312160542724"</f>
        <v>20190312160542724</v>
      </c>
      <c r="B8960" t="str">
        <f>"1552377942714029"</f>
        <v>1552377942714029</v>
      </c>
      <c r="C8960" t="s">
        <v>40</v>
      </c>
      <c r="D8960">
        <v>6.4662280000000001</v>
      </c>
      <c r="E8960">
        <v>0.60674499999999998</v>
      </c>
      <c r="F8960" t="s">
        <v>45</v>
      </c>
      <c r="G8960">
        <v>0</v>
      </c>
      <c r="H8960">
        <v>0</v>
      </c>
      <c r="I8960">
        <v>0</v>
      </c>
      <c r="J8960">
        <v>-169.9693</v>
      </c>
      <c r="K8960">
        <v>1.1036029999999999</v>
      </c>
      <c r="L8960">
        <v>138.3151</v>
      </c>
      <c r="M8960">
        <v>0.96363860000000001</v>
      </c>
      <c r="N8960">
        <v>0</v>
      </c>
      <c r="O8960">
        <v>0.2667909</v>
      </c>
      <c r="P8960">
        <v>0.97347309999999998</v>
      </c>
      <c r="Q8960">
        <v>5.6665409999999999E-2</v>
      </c>
      <c r="R8960">
        <v>0.22167410000000001</v>
      </c>
      <c r="S8960">
        <v>3.1206209999999999</v>
      </c>
      <c r="T8960">
        <v>5.9208150000000001E-2</v>
      </c>
      <c r="U8960">
        <v>-0.1561737</v>
      </c>
      <c r="V8960">
        <v>4.7285519999999998E-2</v>
      </c>
      <c r="W8960">
        <v>7.0785719999999996E-2</v>
      </c>
      <c r="X8960">
        <v>0.99637010000000004</v>
      </c>
      <c r="Y8960">
        <v>0.31455450000000001</v>
      </c>
      <c r="Z8960">
        <v>8.0025029999999994E-3</v>
      </c>
      <c r="AA8960">
        <v>0.94920570000000004</v>
      </c>
      <c r="AB8960">
        <v>22</v>
      </c>
      <c r="AC8960">
        <v>3.1206209999999999</v>
      </c>
      <c r="AD8960">
        <v>5.9208150000000001E-2</v>
      </c>
      <c r="AE8960">
        <v>-0.1561737</v>
      </c>
      <c r="AF8960">
        <v>0.98280514053856105</v>
      </c>
      <c r="AG8960">
        <v>5.9208150000000001E-2</v>
      </c>
      <c r="AH8960">
        <v>2.9647516372355098</v>
      </c>
      <c r="AI8960">
        <v>88.914015007228201</v>
      </c>
      <c r="AJ8960">
        <v>71.659815747687901</v>
      </c>
      <c r="AK8960">
        <v>3.1239660401140901</v>
      </c>
      <c r="AL8960">
        <v>85.940882214635096</v>
      </c>
      <c r="AM8960">
        <v>87.282907724345904</v>
      </c>
      <c r="AN8960">
        <v>0.99999995736579805</v>
      </c>
    </row>
    <row r="8961" spans="1:40" x14ac:dyDescent="0.25">
      <c r="A8961" t="str">
        <f>"20190312160542737"</f>
        <v>20190312160542737</v>
      </c>
      <c r="B8961" t="str">
        <f>"1552377942734525"</f>
        <v>1552377942734525</v>
      </c>
      <c r="C8961" t="s">
        <v>40</v>
      </c>
      <c r="D8961">
        <v>5.4928569999999999</v>
      </c>
      <c r="E8961">
        <v>0.60494979999999998</v>
      </c>
      <c r="F8961" t="s">
        <v>45</v>
      </c>
      <c r="G8961">
        <v>0</v>
      </c>
      <c r="H8961">
        <v>0</v>
      </c>
      <c r="I8961">
        <v>0</v>
      </c>
      <c r="J8961">
        <v>-169.8494</v>
      </c>
      <c r="K8961">
        <v>1.1036919999999999</v>
      </c>
      <c r="L8961">
        <v>138.34100000000001</v>
      </c>
      <c r="M8961">
        <v>0.96527339999999995</v>
      </c>
      <c r="N8961">
        <v>0</v>
      </c>
      <c r="O8961">
        <v>0.26081539999999998</v>
      </c>
      <c r="P8961">
        <v>0.97458180000000005</v>
      </c>
      <c r="Q8961">
        <v>5.655541E-2</v>
      </c>
      <c r="R8961">
        <v>0.21677589999999999</v>
      </c>
      <c r="S8961">
        <v>3.1163789999999998</v>
      </c>
      <c r="T8961">
        <v>7.100737E-2</v>
      </c>
      <c r="U8961">
        <v>-0.17031859999999999</v>
      </c>
      <c r="V8961">
        <v>4.6106080000000001E-2</v>
      </c>
      <c r="W8961">
        <v>7.0683449999999995E-2</v>
      </c>
      <c r="X8961">
        <v>0.99643269999999995</v>
      </c>
      <c r="Y8961">
        <v>0.31298999999999999</v>
      </c>
      <c r="Z8961">
        <v>9.4591529999999997E-3</v>
      </c>
      <c r="AA8961">
        <v>0.94970929999999998</v>
      </c>
      <c r="AB8961">
        <v>22</v>
      </c>
      <c r="AC8961">
        <v>3.1163789999999998</v>
      </c>
      <c r="AD8961">
        <v>7.100737E-2</v>
      </c>
      <c r="AE8961">
        <v>-0.17031859999999999</v>
      </c>
      <c r="AF8961">
        <v>0.97680681102531497</v>
      </c>
      <c r="AG8961">
        <v>7.100737E-2</v>
      </c>
      <c r="AH8961">
        <v>2.96253247781102</v>
      </c>
      <c r="AI8961">
        <v>88.695999063472897</v>
      </c>
      <c r="AJ8961">
        <v>71.751568080688799</v>
      </c>
      <c r="AK8961">
        <v>3.12022311297524</v>
      </c>
      <c r="AL8961">
        <v>85.946756835683502</v>
      </c>
      <c r="AM8961">
        <v>87.350748410851594</v>
      </c>
      <c r="AN8961">
        <v>1.0000000231730699</v>
      </c>
    </row>
    <row r="8962" spans="1:40" x14ac:dyDescent="0.25">
      <c r="A8962" t="str">
        <f>"20190312160542753"</f>
        <v>20190312160542753</v>
      </c>
      <c r="B8962" t="str">
        <f>"1552377942744285"</f>
        <v>1552377942744285</v>
      </c>
      <c r="C8962" t="s">
        <v>40</v>
      </c>
      <c r="D8962">
        <v>5.3004129999999998</v>
      </c>
      <c r="E8962">
        <v>0.60494979999999998</v>
      </c>
      <c r="F8962" t="s">
        <v>45</v>
      </c>
      <c r="G8962">
        <v>0</v>
      </c>
      <c r="H8962">
        <v>0</v>
      </c>
      <c r="I8962">
        <v>0</v>
      </c>
      <c r="J8962">
        <v>-169.69239999999999</v>
      </c>
      <c r="K8962">
        <v>1.103809</v>
      </c>
      <c r="L8962">
        <v>138.374</v>
      </c>
      <c r="M8962">
        <v>0.96733139999999995</v>
      </c>
      <c r="N8962">
        <v>0</v>
      </c>
      <c r="O8962">
        <v>0.25307729999999901</v>
      </c>
      <c r="P8962">
        <v>0.97591799999999995</v>
      </c>
      <c r="Q8962">
        <v>5.6305260000000003E-2</v>
      </c>
      <c r="R8962">
        <v>0.21074570000000001</v>
      </c>
      <c r="S8962">
        <v>3.1113590000000002</v>
      </c>
      <c r="T8962">
        <v>8.6069820000000005E-2</v>
      </c>
      <c r="U8962">
        <v>-0.17135619999999999</v>
      </c>
      <c r="V8962">
        <v>4.4264770000000002E-2</v>
      </c>
      <c r="W8962">
        <v>7.0448469999999999E-2</v>
      </c>
      <c r="X8962">
        <v>0.9965328</v>
      </c>
      <c r="Y8962">
        <v>0.3057106</v>
      </c>
      <c r="Z8962">
        <v>1.1173809999999999E-2</v>
      </c>
      <c r="AA8962">
        <v>0.95205890000000004</v>
      </c>
      <c r="AB8962">
        <v>22</v>
      </c>
      <c r="AC8962">
        <v>3.1113590000000002</v>
      </c>
      <c r="AD8962">
        <v>8.6069820000000005E-2</v>
      </c>
      <c r="AE8962">
        <v>-0.17135619999999999</v>
      </c>
      <c r="AF8962">
        <v>0.95255157996322404</v>
      </c>
      <c r="AG8962">
        <v>8.6069820000000005E-2</v>
      </c>
      <c r="AH8962">
        <v>2.9644163290699201</v>
      </c>
      <c r="AI8962">
        <v>88.416615517855902</v>
      </c>
      <c r="AJ8962">
        <v>72.186305762438195</v>
      </c>
      <c r="AK8962">
        <v>3.11488791105903</v>
      </c>
      <c r="AL8962">
        <v>85.960253706410995</v>
      </c>
      <c r="AM8962">
        <v>87.456663256514403</v>
      </c>
      <c r="AN8962">
        <v>0.99999998913216603</v>
      </c>
    </row>
    <row r="8963" spans="1:40" x14ac:dyDescent="0.25">
      <c r="A8963" t="str">
        <f>"20190312160542768"</f>
        <v>20190312160542768</v>
      </c>
      <c r="B8963" t="str">
        <f>"1552377942763805"</f>
        <v>1552377942763805</v>
      </c>
      <c r="C8963" t="s">
        <v>40</v>
      </c>
      <c r="D8963">
        <v>5.4529399999999999</v>
      </c>
      <c r="E8963">
        <v>0.59045150000000002</v>
      </c>
      <c r="F8963" t="s">
        <v>45</v>
      </c>
      <c r="G8963">
        <v>0</v>
      </c>
      <c r="H8963">
        <v>0</v>
      </c>
      <c r="I8963">
        <v>0</v>
      </c>
      <c r="J8963">
        <v>-169.5395</v>
      </c>
      <c r="K8963">
        <v>1.103934</v>
      </c>
      <c r="L8963">
        <v>138.4051</v>
      </c>
      <c r="M8963">
        <v>0.96924460000000001</v>
      </c>
      <c r="N8963">
        <v>0</v>
      </c>
      <c r="O8963">
        <v>0.24565090000000001</v>
      </c>
      <c r="P8963">
        <v>0.97723040000000005</v>
      </c>
      <c r="Q8963">
        <v>5.6686840000000002E-2</v>
      </c>
      <c r="R8963">
        <v>0.20446900000000001</v>
      </c>
      <c r="S8963">
        <v>3.1102750000000001</v>
      </c>
      <c r="T8963">
        <v>8.5720420000000006E-2</v>
      </c>
      <c r="U8963">
        <v>-0.19070429999999999</v>
      </c>
      <c r="V8963">
        <v>4.3004199999999999E-2</v>
      </c>
      <c r="W8963">
        <v>7.0834229999999998E-2</v>
      </c>
      <c r="X8963">
        <v>0.99656060000000002</v>
      </c>
      <c r="Y8963">
        <v>0.30433379999999999</v>
      </c>
      <c r="Z8963">
        <v>1.091253E-2</v>
      </c>
      <c r="AA8963">
        <v>0.95250299999999999</v>
      </c>
      <c r="AB8963">
        <v>22</v>
      </c>
      <c r="AC8963">
        <v>3.1102750000000001</v>
      </c>
      <c r="AD8963">
        <v>8.5720420000000006E-2</v>
      </c>
      <c r="AE8963">
        <v>-0.19070429999999999</v>
      </c>
      <c r="AF8963">
        <v>0.94826803317570296</v>
      </c>
      <c r="AG8963">
        <v>8.5720420000000006E-2</v>
      </c>
      <c r="AH8963">
        <v>2.9658535241386099</v>
      </c>
      <c r="AI8963">
        <v>88.423070952181803</v>
      </c>
      <c r="AJ8963">
        <v>72.269437979067703</v>
      </c>
      <c r="AK8963">
        <v>3.1149393862149699</v>
      </c>
      <c r="AL8963">
        <v>85.938095728825502</v>
      </c>
      <c r="AM8963">
        <v>87.529070034923294</v>
      </c>
      <c r="AN8963">
        <v>0.999999939414844</v>
      </c>
    </row>
    <row r="8964" spans="1:40" x14ac:dyDescent="0.25">
      <c r="A8964" t="str">
        <f>"20190312160542781"</f>
        <v>20190312160542781</v>
      </c>
      <c r="B8964" t="str">
        <f>"1552377942774541"</f>
        <v>1552377942774541</v>
      </c>
      <c r="C8964" t="s">
        <v>40</v>
      </c>
      <c r="D8964">
        <v>5.3685859999999996</v>
      </c>
      <c r="E8964">
        <v>0.58889469999999899</v>
      </c>
      <c r="F8964" t="s">
        <v>45</v>
      </c>
      <c r="G8964">
        <v>0</v>
      </c>
      <c r="H8964">
        <v>0</v>
      </c>
      <c r="I8964">
        <v>0</v>
      </c>
      <c r="J8964">
        <v>-169.4117</v>
      </c>
      <c r="K8964">
        <v>1.104042</v>
      </c>
      <c r="L8964">
        <v>138.43010000000001</v>
      </c>
      <c r="M8964">
        <v>0.97076669999999998</v>
      </c>
      <c r="N8964">
        <v>0</v>
      </c>
      <c r="O8964">
        <v>0.23956669999999999</v>
      </c>
      <c r="P8964">
        <v>0.97828219999999999</v>
      </c>
      <c r="Q8964">
        <v>5.6928569999999998E-2</v>
      </c>
      <c r="R8964">
        <v>0.1993067</v>
      </c>
      <c r="S8964">
        <v>3.0738530000000002</v>
      </c>
      <c r="T8964">
        <v>0.25666060000000002</v>
      </c>
      <c r="U8964">
        <v>-9.0042109999999995E-2</v>
      </c>
      <c r="V8964">
        <v>4.199522E-2</v>
      </c>
      <c r="W8964">
        <v>7.1075849999999996E-2</v>
      </c>
      <c r="X8964">
        <v>0.99658650000000004</v>
      </c>
      <c r="Y8964">
        <v>0.26616859999999998</v>
      </c>
      <c r="Z8964">
        <v>3.092686E-2</v>
      </c>
      <c r="AA8964">
        <v>0.96343020000000001</v>
      </c>
      <c r="AB8964">
        <v>22</v>
      </c>
      <c r="AC8964">
        <v>3.0738530000000002</v>
      </c>
      <c r="AD8964">
        <v>0.25666060000000002</v>
      </c>
      <c r="AE8964">
        <v>-9.0042109999999995E-2</v>
      </c>
      <c r="AF8964">
        <v>0.81819376799457499</v>
      </c>
      <c r="AG8964">
        <v>0.25666060000000002</v>
      </c>
      <c r="AH8964">
        <v>2.9422531228933302</v>
      </c>
      <c r="AI8964">
        <v>85.195946111136195</v>
      </c>
      <c r="AJ8964">
        <v>74.459597342170099</v>
      </c>
      <c r="AK8964">
        <v>3.0646646055894999</v>
      </c>
      <c r="AL8964">
        <v>85.924217242759894</v>
      </c>
      <c r="AM8964">
        <v>87.587037170137805</v>
      </c>
      <c r="AN8964">
        <v>1.00000001346916</v>
      </c>
    </row>
    <row r="8965" spans="1:40" x14ac:dyDescent="0.25">
      <c r="A8965" t="str">
        <f>"20190312160542794"</f>
        <v>20190312160542794</v>
      </c>
      <c r="B8965" t="str">
        <f>"1552377942784300"</f>
        <v>1552377942784300</v>
      </c>
      <c r="C8965" t="s">
        <v>40</v>
      </c>
      <c r="D8965">
        <v>5.5319070000000004</v>
      </c>
      <c r="E8965">
        <v>0.58535800000000004</v>
      </c>
      <c r="F8965" t="s">
        <v>45</v>
      </c>
      <c r="G8965">
        <v>0</v>
      </c>
      <c r="H8965">
        <v>0</v>
      </c>
      <c r="I8965">
        <v>0</v>
      </c>
      <c r="J8965">
        <v>-169.29320000000001</v>
      </c>
      <c r="K8965">
        <v>1.1041449999999999</v>
      </c>
      <c r="L8965">
        <v>138.45259999999999</v>
      </c>
      <c r="M8965">
        <v>0.97212580000000004</v>
      </c>
      <c r="N8965">
        <v>0</v>
      </c>
      <c r="O8965">
        <v>0.23399200000000001</v>
      </c>
      <c r="P8965">
        <v>0.97917639999999995</v>
      </c>
      <c r="Q8965">
        <v>5.7426400000000002E-2</v>
      </c>
      <c r="R8965">
        <v>0.1947198</v>
      </c>
      <c r="S8965">
        <v>3.075745</v>
      </c>
      <c r="T8965">
        <v>0.18330469999999999</v>
      </c>
      <c r="U8965">
        <v>-9.7274780000000005E-2</v>
      </c>
      <c r="V8965">
        <v>4.092846E-2</v>
      </c>
      <c r="W8965">
        <v>7.1574310000000002E-2</v>
      </c>
      <c r="X8965">
        <v>0.99659520000000001</v>
      </c>
      <c r="Y8965">
        <v>0.26375539999999997</v>
      </c>
      <c r="Z8965">
        <v>2.1696190000000001E-2</v>
      </c>
      <c r="AA8965">
        <v>0.96434560000000002</v>
      </c>
      <c r="AB8965">
        <v>22</v>
      </c>
      <c r="AC8965">
        <v>3.075745</v>
      </c>
      <c r="AD8965">
        <v>0.18330469999999999</v>
      </c>
      <c r="AE8965">
        <v>-9.7274780000000005E-2</v>
      </c>
      <c r="AF8965">
        <v>0.81147299738084799</v>
      </c>
      <c r="AG8965">
        <v>0.18330469999999999</v>
      </c>
      <c r="AH8965">
        <v>2.9570823492500802</v>
      </c>
      <c r="AI8965">
        <v>86.579019826902496</v>
      </c>
      <c r="AJ8965">
        <v>74.654820355800098</v>
      </c>
      <c r="AK8965">
        <v>3.0718764719250502</v>
      </c>
      <c r="AL8965">
        <v>85.895584637012604</v>
      </c>
      <c r="AM8965">
        <v>87.648281895866702</v>
      </c>
      <c r="AN8965">
        <v>1.00000000667649</v>
      </c>
    </row>
    <row r="8966" spans="1:40" x14ac:dyDescent="0.25">
      <c r="A8966" t="str">
        <f>"20190312160542805"</f>
        <v>20190312160542805</v>
      </c>
      <c r="B8966" t="str">
        <f>"1552377942794063"</f>
        <v>1552377942794063</v>
      </c>
      <c r="C8966" t="s">
        <v>40</v>
      </c>
      <c r="D8966">
        <v>5.409154</v>
      </c>
      <c r="E8966">
        <v>0.58481939999999999</v>
      </c>
      <c r="F8966" t="s">
        <v>45</v>
      </c>
      <c r="G8966">
        <v>0</v>
      </c>
      <c r="H8966">
        <v>0</v>
      </c>
      <c r="I8966">
        <v>0</v>
      </c>
      <c r="J8966">
        <v>-169.1739</v>
      </c>
      <c r="K8966">
        <v>1.104247</v>
      </c>
      <c r="L8966">
        <v>138.47489999999999</v>
      </c>
      <c r="M8966">
        <v>0.97344850000000005</v>
      </c>
      <c r="N8966">
        <v>0</v>
      </c>
      <c r="O8966">
        <v>0.22842850000000001</v>
      </c>
      <c r="P8966">
        <v>0.97998390000000002</v>
      </c>
      <c r="Q8966">
        <v>5.7995610000000003E-2</v>
      </c>
      <c r="R8966">
        <v>0.19044169999999999</v>
      </c>
      <c r="S8966">
        <v>3.0696560000000002</v>
      </c>
      <c r="T8966">
        <v>0.18494389999999999</v>
      </c>
      <c r="U8966">
        <v>-8.4014889999999995E-2</v>
      </c>
      <c r="V8966">
        <v>3.956221E-2</v>
      </c>
      <c r="W8966">
        <v>7.2147870000000003E-2</v>
      </c>
      <c r="X8966">
        <v>0.99660899999999997</v>
      </c>
      <c r="Y8966">
        <v>0.25413340000000001</v>
      </c>
      <c r="Z8966">
        <v>2.1314909999999999E-2</v>
      </c>
      <c r="AA8966">
        <v>0.96693430000000002</v>
      </c>
      <c r="AB8966">
        <v>22</v>
      </c>
      <c r="AC8966">
        <v>3.0696560000000002</v>
      </c>
      <c r="AD8966">
        <v>0.18494389999999999</v>
      </c>
      <c r="AE8966">
        <v>-8.4014889999999995E-2</v>
      </c>
      <c r="AF8966">
        <v>0.78023651546401596</v>
      </c>
      <c r="AG8966">
        <v>0.18494389999999999</v>
      </c>
      <c r="AH8966">
        <v>2.9585535918817598</v>
      </c>
      <c r="AI8966">
        <v>86.540967091069803</v>
      </c>
      <c r="AJ8966">
        <v>75.226198528751794</v>
      </c>
      <c r="AK8966">
        <v>3.0652916047657</v>
      </c>
      <c r="AL8966">
        <v>85.862636824044202</v>
      </c>
      <c r="AM8966">
        <v>87.726733242144306</v>
      </c>
      <c r="AN8966">
        <v>0.99999999124330996</v>
      </c>
    </row>
    <row r="8967" spans="1:40" x14ac:dyDescent="0.25">
      <c r="A8967" t="str">
        <f>"20190312160542820"</f>
        <v>20190312160542820</v>
      </c>
      <c r="B8967" t="str">
        <f>"1552377942814556"</f>
        <v>1552377942814556</v>
      </c>
      <c r="C8967" t="s">
        <v>40</v>
      </c>
      <c r="D8967">
        <v>5.3926949999999998</v>
      </c>
      <c r="E8967">
        <v>0.58403590000000005</v>
      </c>
      <c r="F8967" t="s">
        <v>45</v>
      </c>
      <c r="G8967">
        <v>0</v>
      </c>
      <c r="H8967">
        <v>0</v>
      </c>
      <c r="I8967">
        <v>0</v>
      </c>
      <c r="J8967">
        <v>-169.03229999999999</v>
      </c>
      <c r="K8967">
        <v>1.1043889999999901</v>
      </c>
      <c r="L8967">
        <v>138.50020000000001</v>
      </c>
      <c r="M8967">
        <v>0.97493969999999996</v>
      </c>
      <c r="N8967">
        <v>0</v>
      </c>
      <c r="O8967">
        <v>0.22197990000000001</v>
      </c>
      <c r="P8967">
        <v>0.98081209999999996</v>
      </c>
      <c r="Q8967">
        <v>5.8406949999999999E-2</v>
      </c>
      <c r="R8967">
        <v>0.1860011</v>
      </c>
      <c r="S8967">
        <v>3.0717469999999998</v>
      </c>
      <c r="T8967">
        <v>0.13645350000000001</v>
      </c>
      <c r="U8967">
        <v>-9.5504759999999994E-2</v>
      </c>
      <c r="V8967">
        <v>3.7454260000000003E-2</v>
      </c>
      <c r="W8967">
        <v>7.2570679999999999E-2</v>
      </c>
      <c r="X8967">
        <v>0.99665979999999998</v>
      </c>
      <c r="Y8967">
        <v>0.25173289999999998</v>
      </c>
      <c r="Z8967">
        <v>1.538803E-2</v>
      </c>
      <c r="AA8967">
        <v>0.96767440000000005</v>
      </c>
      <c r="AB8967">
        <v>22</v>
      </c>
      <c r="AC8967">
        <v>3.0717469999999998</v>
      </c>
      <c r="AD8967">
        <v>0.13645350000000001</v>
      </c>
      <c r="AE8967">
        <v>-9.5504759999999994E-2</v>
      </c>
      <c r="AF8967">
        <v>0.77353680371105005</v>
      </c>
      <c r="AG8967">
        <v>0.13645350000000001</v>
      </c>
      <c r="AH8967">
        <v>2.9680401481874901</v>
      </c>
      <c r="AI8967">
        <v>87.452693986015603</v>
      </c>
      <c r="AJ8967">
        <v>75.392403054426097</v>
      </c>
      <c r="AK8967">
        <v>3.0702184068255698</v>
      </c>
      <c r="AL8967">
        <v>85.838348132657998</v>
      </c>
      <c r="AM8967">
        <v>87.847849718535997</v>
      </c>
      <c r="AN8967">
        <v>1.0000000410619201</v>
      </c>
    </row>
    <row r="8968" spans="1:40" x14ac:dyDescent="0.25">
      <c r="A8968" t="str">
        <f>"20190312160542843"</f>
        <v>20190312160542843</v>
      </c>
      <c r="B8968" t="str">
        <f>"1552377942834078"</f>
        <v>1552377942834078</v>
      </c>
      <c r="C8968" t="s">
        <v>40</v>
      </c>
      <c r="D8968">
        <v>5.3877430000000004</v>
      </c>
      <c r="E8968">
        <v>0.58334519999999901</v>
      </c>
      <c r="F8968" t="s">
        <v>45</v>
      </c>
      <c r="G8968">
        <v>0</v>
      </c>
      <c r="H8968">
        <v>0</v>
      </c>
      <c r="I8968">
        <v>0</v>
      </c>
      <c r="J8968">
        <v>-168.8092</v>
      </c>
      <c r="K8968">
        <v>1.104617</v>
      </c>
      <c r="L8968">
        <v>138.53870000000001</v>
      </c>
      <c r="M8968">
        <v>0.97715160000000001</v>
      </c>
      <c r="N8968">
        <v>0</v>
      </c>
      <c r="O8968">
        <v>0.21203459999999999</v>
      </c>
      <c r="P8968">
        <v>0.98218419999999895</v>
      </c>
      <c r="Q8968">
        <v>5.8316670000000001E-2</v>
      </c>
      <c r="R8968">
        <v>0.17864340000000001</v>
      </c>
      <c r="S8968">
        <v>3.073868</v>
      </c>
      <c r="T8968">
        <v>8.1867220000000004E-2</v>
      </c>
      <c r="U8968">
        <v>-0.1057739</v>
      </c>
      <c r="V8968">
        <v>3.4728149999999999E-2</v>
      </c>
      <c r="W8968">
        <v>7.248744E-2</v>
      </c>
      <c r="X8968">
        <v>0.99676450000000005</v>
      </c>
      <c r="Y8968">
        <v>0.24537880000000001</v>
      </c>
      <c r="Z8968">
        <v>8.8838790000000008E-3</v>
      </c>
      <c r="AA8968">
        <v>0.96938659999999999</v>
      </c>
      <c r="AB8968">
        <v>22</v>
      </c>
      <c r="AC8968">
        <v>3.073868</v>
      </c>
      <c r="AD8968">
        <v>8.1867220000000004E-2</v>
      </c>
      <c r="AE8968">
        <v>-0.1057739</v>
      </c>
      <c r="AF8968">
        <v>0.75467042495168601</v>
      </c>
      <c r="AG8968">
        <v>8.1867220000000004E-2</v>
      </c>
      <c r="AH8968">
        <v>2.9794185502646702</v>
      </c>
      <c r="AI8968">
        <v>88.474207773816303</v>
      </c>
      <c r="AJ8968">
        <v>75.786235668565496</v>
      </c>
      <c r="AK8968">
        <v>3.0745999072511001</v>
      </c>
      <c r="AL8968">
        <v>85.843129735102806</v>
      </c>
      <c r="AM8968">
        <v>88.004571902288504</v>
      </c>
      <c r="AN8968">
        <v>0.99999997091021198</v>
      </c>
    </row>
    <row r="8969" spans="1:40" x14ac:dyDescent="0.25">
      <c r="A8969" t="str">
        <f>"20190312160542865"</f>
        <v>20190312160542865</v>
      </c>
      <c r="B8969" t="str">
        <f>"1552377942854573"</f>
        <v>1552377942854573</v>
      </c>
      <c r="C8969" t="s">
        <v>40</v>
      </c>
      <c r="D8969">
        <v>5.3983280000000002</v>
      </c>
      <c r="E8969">
        <v>0.58239359999999996</v>
      </c>
      <c r="F8969" t="s">
        <v>45</v>
      </c>
      <c r="G8969">
        <v>0</v>
      </c>
      <c r="H8969">
        <v>0</v>
      </c>
      <c r="I8969">
        <v>0</v>
      </c>
      <c r="J8969">
        <v>-168.59350000000001</v>
      </c>
      <c r="K8969">
        <v>1.1048450000000001</v>
      </c>
      <c r="L8969">
        <v>138.57409999999999</v>
      </c>
      <c r="M8969">
        <v>0.97912750000000004</v>
      </c>
      <c r="N8969">
        <v>0</v>
      </c>
      <c r="O8969">
        <v>0.20271910000000001</v>
      </c>
      <c r="P8969">
        <v>0.98328419999999905</v>
      </c>
      <c r="Q8969">
        <v>5.9257659999999997E-2</v>
      </c>
      <c r="R8969">
        <v>0.17216500000000001</v>
      </c>
      <c r="S8969">
        <v>3.074554</v>
      </c>
      <c r="T8969">
        <v>4.4069289999999997E-2</v>
      </c>
      <c r="U8969">
        <v>-0.1250916</v>
      </c>
      <c r="V8969">
        <v>3.1764889999999997E-2</v>
      </c>
      <c r="W8969">
        <v>7.3434299999999994E-2</v>
      </c>
      <c r="X8969">
        <v>0.99679399999999996</v>
      </c>
      <c r="Y8969">
        <v>0.242336</v>
      </c>
      <c r="Z8969">
        <v>4.6283670000000004E-3</v>
      </c>
      <c r="AA8969">
        <v>0.97018130000000002</v>
      </c>
      <c r="AB8969">
        <v>22</v>
      </c>
      <c r="AC8969">
        <v>3.074554</v>
      </c>
      <c r="AD8969">
        <v>4.4069289999999997E-2</v>
      </c>
      <c r="AE8969">
        <v>-0.1250916</v>
      </c>
      <c r="AF8969">
        <v>0.74567842037430798</v>
      </c>
      <c r="AG8969">
        <v>4.4069289999999997E-2</v>
      </c>
      <c r="AH8969">
        <v>2.9847296176985498</v>
      </c>
      <c r="AI8969">
        <v>89.179314484208604</v>
      </c>
      <c r="AJ8969">
        <v>75.972862429258996</v>
      </c>
      <c r="AK8969">
        <v>3.0767822964421701</v>
      </c>
      <c r="AL8969">
        <v>85.788733549605794</v>
      </c>
      <c r="AM8969">
        <v>88.174769877045804</v>
      </c>
      <c r="AN8969">
        <v>0.99999994154459904</v>
      </c>
    </row>
    <row r="8970" spans="1:40" x14ac:dyDescent="0.25">
      <c r="A8970" t="str">
        <f>"20190312160542888"</f>
        <v>20190312160542888</v>
      </c>
      <c r="B8970" t="str">
        <f>"1552377942883853"</f>
        <v>1552377942883853</v>
      </c>
      <c r="C8970" t="s">
        <v>40</v>
      </c>
      <c r="D8970">
        <v>5.6342800000000004</v>
      </c>
      <c r="E8970">
        <v>0.57972849999999998</v>
      </c>
      <c r="F8970" t="s">
        <v>45</v>
      </c>
      <c r="G8970">
        <v>0</v>
      </c>
      <c r="H8970">
        <v>0</v>
      </c>
      <c r="I8970">
        <v>0</v>
      </c>
      <c r="J8970">
        <v>-168.3768</v>
      </c>
      <c r="K8970">
        <v>1.105078</v>
      </c>
      <c r="L8970">
        <v>138.6079</v>
      </c>
      <c r="M8970">
        <v>0.98095730000000003</v>
      </c>
      <c r="N8970">
        <v>0</v>
      </c>
      <c r="O8970">
        <v>0.1936755</v>
      </c>
      <c r="P8970">
        <v>0.98424389999999995</v>
      </c>
      <c r="Q8970">
        <v>6.0675569999999998E-2</v>
      </c>
      <c r="R8970">
        <v>0.16608020000000001</v>
      </c>
      <c r="S8970">
        <v>3.0738829999999999</v>
      </c>
      <c r="T8970">
        <v>2.4303910000000001E-2</v>
      </c>
      <c r="U8970">
        <v>-0.13905329999999999</v>
      </c>
      <c r="V8970">
        <v>2.8688849999999998E-2</v>
      </c>
      <c r="W8970">
        <v>7.4855169999999999E-2</v>
      </c>
      <c r="X8970">
        <v>0.99678160000000005</v>
      </c>
      <c r="Y8970">
        <v>0.23781969999999999</v>
      </c>
      <c r="Z8970">
        <v>2.4647060000000001E-3</v>
      </c>
      <c r="AA8970">
        <v>0.97130620000000001</v>
      </c>
      <c r="AB8970">
        <v>22</v>
      </c>
      <c r="AC8970">
        <v>3.0738829999999999</v>
      </c>
      <c r="AD8970">
        <v>2.4303910000000001E-2</v>
      </c>
      <c r="AE8970">
        <v>-0.13905329999999999</v>
      </c>
      <c r="AF8970">
        <v>0.73177331181030003</v>
      </c>
      <c r="AG8970">
        <v>2.4303910000000001E-2</v>
      </c>
      <c r="AH8970">
        <v>2.9885479899963898</v>
      </c>
      <c r="AI8970">
        <v>89.547430173875597</v>
      </c>
      <c r="AJ8970">
        <v>76.241312852959794</v>
      </c>
      <c r="AK8970">
        <v>3.07693060507229</v>
      </c>
      <c r="AL8970">
        <v>85.707099030153898</v>
      </c>
      <c r="AM8970">
        <v>88.351397768752605</v>
      </c>
      <c r="AN8970">
        <v>0.99999995234430405</v>
      </c>
    </row>
    <row r="8971" spans="1:40" x14ac:dyDescent="0.25">
      <c r="A8971" t="str">
        <f>"20190312160542903"</f>
        <v>20190312160542903</v>
      </c>
      <c r="B8971" t="str">
        <f>"1552377942894589"</f>
        <v>1552377942894589</v>
      </c>
      <c r="C8971" t="s">
        <v>40</v>
      </c>
      <c r="D8971">
        <v>5.5236099999999997</v>
      </c>
      <c r="E8971">
        <v>0.57856039999999997</v>
      </c>
      <c r="F8971" t="s">
        <v>45</v>
      </c>
      <c r="G8971">
        <v>0</v>
      </c>
      <c r="H8971">
        <v>0</v>
      </c>
      <c r="I8971">
        <v>0</v>
      </c>
      <c r="J8971">
        <v>-168.2191</v>
      </c>
      <c r="K8971">
        <v>1.105248</v>
      </c>
      <c r="L8971">
        <v>138.63130000000001</v>
      </c>
      <c r="M8971">
        <v>0.98219049999999997</v>
      </c>
      <c r="N8971">
        <v>0</v>
      </c>
      <c r="O8971">
        <v>0.18732399999999999</v>
      </c>
      <c r="P8971">
        <v>0.98503490000000005</v>
      </c>
      <c r="Q8971">
        <v>6.1300399999999998E-2</v>
      </c>
      <c r="R8971">
        <v>0.16108539999999999</v>
      </c>
      <c r="S8971">
        <v>3.0696409999999998</v>
      </c>
      <c r="T8971">
        <v>2.5571940000000001E-2</v>
      </c>
      <c r="U8971">
        <v>-0.13746639999999999</v>
      </c>
      <c r="V8971">
        <v>2.726317E-2</v>
      </c>
      <c r="W8971">
        <v>7.5469499999999995E-2</v>
      </c>
      <c r="X8971">
        <v>0.99677530000000003</v>
      </c>
      <c r="Y8971">
        <v>0.2310874</v>
      </c>
      <c r="Z8971">
        <v>2.5165980000000001E-3</v>
      </c>
      <c r="AA8971">
        <v>0.97292970000000001</v>
      </c>
      <c r="AB8971">
        <v>22</v>
      </c>
      <c r="AC8971">
        <v>3.0696409999999998</v>
      </c>
      <c r="AD8971">
        <v>2.5571940000000001E-2</v>
      </c>
      <c r="AE8971">
        <v>-0.13746639999999999</v>
      </c>
      <c r="AF8971">
        <v>0.71006155666104298</v>
      </c>
      <c r="AG8971">
        <v>2.5571940000000001E-2</v>
      </c>
      <c r="AH8971">
        <v>2.9893306530711801</v>
      </c>
      <c r="AI8971">
        <v>89.523147872108197</v>
      </c>
      <c r="AJ8971">
        <v>76.638048394992595</v>
      </c>
      <c r="AK8971">
        <v>3.07261111951289</v>
      </c>
      <c r="AL8971">
        <v>85.671800706652903</v>
      </c>
      <c r="AM8971">
        <v>88.433272547591201</v>
      </c>
      <c r="AN8971">
        <v>0.99999996227939303</v>
      </c>
    </row>
    <row r="8972" spans="1:40" x14ac:dyDescent="0.25">
      <c r="A8972" t="str">
        <f>"20190312160542924"</f>
        <v>20190312160542924</v>
      </c>
      <c r="B8972" t="str">
        <f>"1552377942914110"</f>
        <v>1552377942914110</v>
      </c>
      <c r="C8972" t="s">
        <v>40</v>
      </c>
      <c r="D8972">
        <v>6.3919620000000004</v>
      </c>
      <c r="E8972">
        <v>0.57911230000000002</v>
      </c>
      <c r="F8972" t="s">
        <v>45</v>
      </c>
      <c r="G8972">
        <v>0</v>
      </c>
      <c r="H8972">
        <v>0</v>
      </c>
      <c r="I8972">
        <v>0</v>
      </c>
      <c r="J8972">
        <v>-168.0163</v>
      </c>
      <c r="K8972">
        <v>1.105453</v>
      </c>
      <c r="L8972">
        <v>138.6602</v>
      </c>
      <c r="M8972">
        <v>0.98367890000000002</v>
      </c>
      <c r="N8972">
        <v>0</v>
      </c>
      <c r="O8972">
        <v>0.17934839999999999</v>
      </c>
      <c r="P8972">
        <v>0.98582550000000002</v>
      </c>
      <c r="Q8972">
        <v>6.1244229999999997E-2</v>
      </c>
      <c r="R8972">
        <v>0.15619729999999901</v>
      </c>
      <c r="S8972">
        <v>3.0668790000000001</v>
      </c>
      <c r="T8972">
        <v>3.4587380000000001E-2</v>
      </c>
      <c r="U8972">
        <v>-0.14353940000000001</v>
      </c>
      <c r="V8972">
        <v>2.4079360000000001E-2</v>
      </c>
      <c r="W8972">
        <v>7.5415769999999993E-2</v>
      </c>
      <c r="X8972">
        <v>0.99686140000000001</v>
      </c>
      <c r="Y8972">
        <v>0.22513920000000001</v>
      </c>
      <c r="Z8972">
        <v>3.2843360000000001E-3</v>
      </c>
      <c r="AA8972">
        <v>0.97432110000000005</v>
      </c>
      <c r="AB8972">
        <v>22</v>
      </c>
      <c r="AC8972">
        <v>3.0668790000000001</v>
      </c>
      <c r="AD8972">
        <v>3.4587380000000001E-2</v>
      </c>
      <c r="AE8972">
        <v>-0.14353940000000001</v>
      </c>
      <c r="AF8972">
        <v>0.69122138063534799</v>
      </c>
      <c r="AG8972">
        <v>3.4587380000000001E-2</v>
      </c>
      <c r="AH8972">
        <v>2.99101508598942</v>
      </c>
      <c r="AI8972">
        <v>89.354486624368107</v>
      </c>
      <c r="AJ8972">
        <v>76.987431173558207</v>
      </c>
      <c r="AK8972">
        <v>3.0700414538763199</v>
      </c>
      <c r="AL8972">
        <v>85.674888181121005</v>
      </c>
      <c r="AM8972">
        <v>88.616279588238996</v>
      </c>
      <c r="AN8972">
        <v>1.00000000237633</v>
      </c>
    </row>
    <row r="8973" spans="1:40" x14ac:dyDescent="0.25">
      <c r="A8973" t="str">
        <f>"20190312160542942"</f>
        <v>20190312160542942</v>
      </c>
      <c r="B8973" t="str">
        <f>"1552377942934606"</f>
        <v>1552377942934606</v>
      </c>
      <c r="C8973" t="s">
        <v>40</v>
      </c>
      <c r="D8973">
        <v>5.6721430000000002</v>
      </c>
      <c r="E8973">
        <v>0.57790830000000004</v>
      </c>
      <c r="F8973" t="s">
        <v>45</v>
      </c>
      <c r="G8973">
        <v>0</v>
      </c>
      <c r="H8973">
        <v>0</v>
      </c>
      <c r="I8973">
        <v>0</v>
      </c>
      <c r="J8973">
        <v>-167.8348</v>
      </c>
      <c r="K8973">
        <v>1.105623</v>
      </c>
      <c r="L8973">
        <v>138.685</v>
      </c>
      <c r="M8973">
        <v>0.98491280000000003</v>
      </c>
      <c r="N8973">
        <v>0</v>
      </c>
      <c r="O8973">
        <v>0.17244689999999999</v>
      </c>
      <c r="P8973">
        <v>0.98646809999999996</v>
      </c>
      <c r="Q8973">
        <v>6.1008430000000002E-2</v>
      </c>
      <c r="R8973">
        <v>0.15218039999999999</v>
      </c>
      <c r="S8973">
        <v>3.0675659999999998</v>
      </c>
      <c r="T8973">
        <v>2.4082780000000002E-2</v>
      </c>
      <c r="U8973">
        <v>-0.1635742</v>
      </c>
      <c r="V8973">
        <v>2.1115109999999999E-2</v>
      </c>
      <c r="W8973">
        <v>7.5181360000000003E-2</v>
      </c>
      <c r="X8973">
        <v>0.99694629999999995</v>
      </c>
      <c r="Y8973">
        <v>0.22465830000000001</v>
      </c>
      <c r="Z8973">
        <v>2.230685E-3</v>
      </c>
      <c r="AA8973">
        <v>0.97443500000000005</v>
      </c>
      <c r="AB8973">
        <v>22</v>
      </c>
      <c r="AC8973">
        <v>3.0675659999999998</v>
      </c>
      <c r="AD8973">
        <v>2.4082780000000002E-2</v>
      </c>
      <c r="AE8973">
        <v>-0.1635742</v>
      </c>
      <c r="AF8973">
        <v>0.69012822776517002</v>
      </c>
      <c r="AG8973">
        <v>2.4082780000000002E-2</v>
      </c>
      <c r="AH8973">
        <v>2.99320578291006</v>
      </c>
      <c r="AI8973">
        <v>89.550803294609807</v>
      </c>
      <c r="AJ8973">
        <v>77.016498404861906</v>
      </c>
      <c r="AK8973">
        <v>3.0718297169434701</v>
      </c>
      <c r="AL8973">
        <v>85.688357133673904</v>
      </c>
      <c r="AM8973">
        <v>88.786669015262106</v>
      </c>
      <c r="AN8973">
        <v>1.00000000492272</v>
      </c>
    </row>
    <row r="8974" spans="1:40" x14ac:dyDescent="0.25">
      <c r="A8974" t="str">
        <f>"20190312160542960"</f>
        <v>20190312160542960</v>
      </c>
      <c r="B8974" t="str">
        <f>"1552377942953697"</f>
        <v>1552377942953697</v>
      </c>
      <c r="C8974" t="s">
        <v>40</v>
      </c>
      <c r="D8974">
        <v>5.6863679999999999</v>
      </c>
      <c r="E8974">
        <v>0.5769898</v>
      </c>
      <c r="F8974" t="s">
        <v>45</v>
      </c>
      <c r="G8974">
        <v>0</v>
      </c>
      <c r="H8974">
        <v>0</v>
      </c>
      <c r="I8974">
        <v>0</v>
      </c>
      <c r="J8974">
        <v>-167.66980000000001</v>
      </c>
      <c r="K8974">
        <v>1.105783</v>
      </c>
      <c r="L8974">
        <v>138.70650000000001</v>
      </c>
      <c r="M8974">
        <v>0.98595580000000005</v>
      </c>
      <c r="N8974">
        <v>0</v>
      </c>
      <c r="O8974">
        <v>0.166384</v>
      </c>
      <c r="P8974">
        <v>0.98713510000000004</v>
      </c>
      <c r="Q8974">
        <v>6.1356069999999999E-2</v>
      </c>
      <c r="R8974">
        <v>0.14764759999999999</v>
      </c>
      <c r="S8974">
        <v>3.0656889999999999</v>
      </c>
      <c r="T8974">
        <v>1.9374249999999999E-2</v>
      </c>
      <c r="U8974">
        <v>-0.166763299999999</v>
      </c>
      <c r="V8974">
        <v>1.9530039999999999E-2</v>
      </c>
      <c r="W8974">
        <v>7.5515609999999997E-2</v>
      </c>
      <c r="X8974">
        <v>0.99695339999999999</v>
      </c>
      <c r="Y8974">
        <v>0.21970700000000001</v>
      </c>
      <c r="Z8974">
        <v>1.7420440000000001E-3</v>
      </c>
      <c r="AA8974">
        <v>0.9755644</v>
      </c>
      <c r="AB8974">
        <v>22</v>
      </c>
      <c r="AC8974">
        <v>3.0656889999999999</v>
      </c>
      <c r="AD8974">
        <v>1.9374249999999999E-2</v>
      </c>
      <c r="AE8974">
        <v>-0.166763299999999</v>
      </c>
      <c r="AF8974">
        <v>0.67454597944283701</v>
      </c>
      <c r="AG8974">
        <v>1.9374249999999999E-2</v>
      </c>
      <c r="AH8974">
        <v>2.9950786444229598</v>
      </c>
      <c r="AI8974">
        <v>89.638432509268995</v>
      </c>
      <c r="AJ8974">
        <v>77.307721939511495</v>
      </c>
      <c r="AK8974">
        <v>3.07016021181698</v>
      </c>
      <c r="AL8974">
        <v>85.669151643312304</v>
      </c>
      <c r="AM8974">
        <v>88.877735149249403</v>
      </c>
      <c r="AN8974">
        <v>1.00000005579381</v>
      </c>
    </row>
    <row r="8975" spans="1:40" x14ac:dyDescent="0.25">
      <c r="A8975" t="str">
        <f>"20190312160542976"</f>
        <v>20190312160542976</v>
      </c>
      <c r="B8975" t="str">
        <f>"1552377942974194"</f>
        <v>1552377942974194</v>
      </c>
      <c r="C8975" t="s">
        <v>40</v>
      </c>
      <c r="D8975">
        <v>5.4992859999999997</v>
      </c>
      <c r="E8975">
        <v>0.57637640000000001</v>
      </c>
      <c r="F8975" t="s">
        <v>45</v>
      </c>
      <c r="G8975">
        <v>0</v>
      </c>
      <c r="H8975">
        <v>0</v>
      </c>
      <c r="I8975">
        <v>0</v>
      </c>
      <c r="J8975">
        <v>-167.51050000000001</v>
      </c>
      <c r="K8975">
        <v>1.1059479999999999</v>
      </c>
      <c r="L8975">
        <v>138.72659999999999</v>
      </c>
      <c r="M8975">
        <v>0.98689700000000002</v>
      </c>
      <c r="N8975">
        <v>0</v>
      </c>
      <c r="O8975">
        <v>0.1607104</v>
      </c>
      <c r="P8975">
        <v>0.98747649999999998</v>
      </c>
      <c r="Q8975">
        <v>6.1805119999999998E-2</v>
      </c>
      <c r="R8975">
        <v>0.14515649999999999</v>
      </c>
      <c r="S8975">
        <v>3.0644840000000002</v>
      </c>
      <c r="T8975">
        <v>1.048815E-2</v>
      </c>
      <c r="U8975">
        <v>-0.17398069999999999</v>
      </c>
      <c r="V8975">
        <v>1.6278689999999998E-2</v>
      </c>
      <c r="W8975">
        <v>7.5969220000000004E-2</v>
      </c>
      <c r="X8975">
        <v>0.99697729999999996</v>
      </c>
      <c r="Y8975">
        <v>0.21641150000000001</v>
      </c>
      <c r="Z8975">
        <v>9.1850500000000002E-4</v>
      </c>
      <c r="AA8975">
        <v>0.9763018</v>
      </c>
      <c r="AB8975">
        <v>22</v>
      </c>
      <c r="AC8975">
        <v>3.0644840000000002</v>
      </c>
      <c r="AD8975">
        <v>1.048815E-2</v>
      </c>
      <c r="AE8975">
        <v>-0.17398069999999999</v>
      </c>
      <c r="AF8975">
        <v>0.66425630635620603</v>
      </c>
      <c r="AG8975">
        <v>1.048815E-2</v>
      </c>
      <c r="AH8975">
        <v>2.9966439613285099</v>
      </c>
      <c r="AI8975">
        <v>89.804219803140001</v>
      </c>
      <c r="AJ8975">
        <v>77.501524756815002</v>
      </c>
      <c r="AK8975">
        <v>3.0694008328647802</v>
      </c>
      <c r="AL8975">
        <v>85.643086708839405</v>
      </c>
      <c r="AM8975">
        <v>89.064555071887099</v>
      </c>
      <c r="AN8975">
        <v>1.0000000274254</v>
      </c>
    </row>
    <row r="8976" spans="1:40" x14ac:dyDescent="0.25">
      <c r="A8976" t="str">
        <f>"20190312160542999"</f>
        <v>20190312160542999</v>
      </c>
      <c r="B8976" t="str">
        <f>"1552377942994690"</f>
        <v>1552377942994690</v>
      </c>
      <c r="C8976" t="s">
        <v>40</v>
      </c>
      <c r="D8976">
        <v>5.6726580000000002</v>
      </c>
      <c r="E8976">
        <v>0.57514679999999996</v>
      </c>
      <c r="F8976" t="s">
        <v>45</v>
      </c>
      <c r="G8976">
        <v>0</v>
      </c>
      <c r="H8976">
        <v>0</v>
      </c>
      <c r="I8976">
        <v>0</v>
      </c>
      <c r="J8976">
        <v>-167.28880000000001</v>
      </c>
      <c r="K8976">
        <v>1.1061829999999999</v>
      </c>
      <c r="L8976">
        <v>138.7533</v>
      </c>
      <c r="M8976">
        <v>0.98810549999999997</v>
      </c>
      <c r="N8976">
        <v>0</v>
      </c>
      <c r="O8976">
        <v>0.15310950000000001</v>
      </c>
      <c r="P8976">
        <v>0.9881105</v>
      </c>
      <c r="Q8976">
        <v>6.2520019999999996E-2</v>
      </c>
      <c r="R8976">
        <v>0.14046040000000001</v>
      </c>
      <c r="S8976">
        <v>3.063904</v>
      </c>
      <c r="T8976">
        <v>3.8334129999999999E-3</v>
      </c>
      <c r="U8976">
        <v>-0.17749019999999999</v>
      </c>
      <c r="V8976">
        <v>1.3299210000000001E-2</v>
      </c>
      <c r="W8976">
        <v>7.6669070000000006E-2</v>
      </c>
      <c r="X8976">
        <v>0.99696790000000002</v>
      </c>
      <c r="Y8976">
        <v>0.21001909999999999</v>
      </c>
      <c r="Z8976">
        <v>3.2234039999999998E-4</v>
      </c>
      <c r="AA8976">
        <v>0.97769720000000004</v>
      </c>
      <c r="AB8976">
        <v>22</v>
      </c>
      <c r="AC8976">
        <v>3.063904</v>
      </c>
      <c r="AD8976">
        <v>3.8334129999999999E-3</v>
      </c>
      <c r="AE8976">
        <v>-0.17749019999999999</v>
      </c>
      <c r="AF8976">
        <v>0.64455691787881497</v>
      </c>
      <c r="AG8976">
        <v>3.8334129999999999E-3</v>
      </c>
      <c r="AH8976">
        <v>3.0005878560516899</v>
      </c>
      <c r="AI8976">
        <v>89.928434113540305</v>
      </c>
      <c r="AJ8976">
        <v>77.876513761324205</v>
      </c>
      <c r="AK8976">
        <v>3.0690382528286602</v>
      </c>
      <c r="AL8976">
        <v>85.602870865026603</v>
      </c>
      <c r="AM8976">
        <v>89.235739274092893</v>
      </c>
      <c r="AN8976">
        <v>1.0000000044558399</v>
      </c>
    </row>
    <row r="8977" spans="1:40" x14ac:dyDescent="0.25">
      <c r="A8977" t="str">
        <f>"20190312160543017"</f>
        <v>20190312160543017</v>
      </c>
      <c r="B8977" t="str">
        <f>"1552377943014210"</f>
        <v>1552377943014210</v>
      </c>
      <c r="C8977" t="s">
        <v>40</v>
      </c>
      <c r="D8977">
        <v>5.716488</v>
      </c>
      <c r="E8977">
        <v>0.57382749999999905</v>
      </c>
      <c r="F8977" t="s">
        <v>45</v>
      </c>
      <c r="G8977">
        <v>0</v>
      </c>
      <c r="H8977">
        <v>0</v>
      </c>
      <c r="I8977">
        <v>0</v>
      </c>
      <c r="J8977">
        <v>-167.11760000000001</v>
      </c>
      <c r="K8977">
        <v>1.1063620000000001</v>
      </c>
      <c r="L8977">
        <v>138.7731</v>
      </c>
      <c r="M8977">
        <v>0.98896379999999995</v>
      </c>
      <c r="N8977">
        <v>0</v>
      </c>
      <c r="O8977">
        <v>0.1474684</v>
      </c>
      <c r="P8977">
        <v>0.98866799999999999</v>
      </c>
      <c r="Q8977">
        <v>6.2927159999999996E-2</v>
      </c>
      <c r="R8977">
        <v>0.1362931</v>
      </c>
      <c r="S8977">
        <v>3.061874</v>
      </c>
      <c r="T8977">
        <v>2.635002E-3</v>
      </c>
      <c r="U8977">
        <v>-0.18254090000000001</v>
      </c>
      <c r="V8977">
        <v>1.177863E-2</v>
      </c>
      <c r="W8977">
        <v>7.7055589999999993E-2</v>
      </c>
      <c r="X8977">
        <v>0.99695719999999999</v>
      </c>
      <c r="Y8977">
        <v>0.20608280000000001</v>
      </c>
      <c r="Z8977">
        <v>2.1519749999999999E-4</v>
      </c>
      <c r="AA8977">
        <v>0.97853449999999997</v>
      </c>
      <c r="AB8977">
        <v>22</v>
      </c>
      <c r="AC8977">
        <v>3.061874</v>
      </c>
      <c r="AD8977">
        <v>2.635002E-3</v>
      </c>
      <c r="AE8977">
        <v>-0.18254090000000001</v>
      </c>
      <c r="AF8977">
        <v>0.63211991170417003</v>
      </c>
      <c r="AG8977">
        <v>2.635002E-3</v>
      </c>
      <c r="AH8977">
        <v>3.0014669917925398</v>
      </c>
      <c r="AI8977">
        <v>89.950779495932906</v>
      </c>
      <c r="AJ8977">
        <v>78.107099008468396</v>
      </c>
      <c r="AK8977">
        <v>3.0673093467774999</v>
      </c>
      <c r="AL8977">
        <v>85.580659080679496</v>
      </c>
      <c r="AM8977">
        <v>89.323105956949902</v>
      </c>
      <c r="AN8977">
        <v>0.99999997935338203</v>
      </c>
    </row>
    <row r="8978" spans="1:40" x14ac:dyDescent="0.25">
      <c r="A8978" t="str">
        <f>"20190312160543033"</f>
        <v>20190312160543033</v>
      </c>
      <c r="B8978" t="str">
        <f>"1552377943023971"</f>
        <v>1552377943023971</v>
      </c>
      <c r="C8978" t="s">
        <v>40</v>
      </c>
      <c r="D8978">
        <v>5.7459439999999997</v>
      </c>
      <c r="E8978">
        <v>0.57337859999999996</v>
      </c>
      <c r="F8978" t="s">
        <v>45</v>
      </c>
      <c r="G8978">
        <v>0</v>
      </c>
      <c r="H8978">
        <v>0</v>
      </c>
      <c r="I8978">
        <v>0</v>
      </c>
      <c r="J8978">
        <v>-166.96010000000001</v>
      </c>
      <c r="K8978">
        <v>1.106528</v>
      </c>
      <c r="L8978">
        <v>138.79060000000001</v>
      </c>
      <c r="M8978">
        <v>0.98970040000000004</v>
      </c>
      <c r="N8978">
        <v>0</v>
      </c>
      <c r="O8978">
        <v>0.1424436</v>
      </c>
      <c r="P8978">
        <v>0.98903470000000004</v>
      </c>
      <c r="Q8978">
        <v>6.3122380000000006E-2</v>
      </c>
      <c r="R8978">
        <v>0.13351469999999999</v>
      </c>
      <c r="S8978">
        <v>3.0598749999999999</v>
      </c>
      <c r="T8978" s="1">
        <v>-5.9604639999999998E-6</v>
      </c>
      <c r="U8978">
        <v>-0.18504329999999999</v>
      </c>
      <c r="V8978">
        <v>9.4835739999999998E-3</v>
      </c>
      <c r="W8978">
        <v>7.7241009999999999E-2</v>
      </c>
      <c r="X8978">
        <v>0.99696739999999995</v>
      </c>
      <c r="Y8978">
        <v>0.2019465</v>
      </c>
      <c r="Z8978" s="1">
        <v>-4.7334630000000001E-7</v>
      </c>
      <c r="AA8978">
        <v>0.9793965</v>
      </c>
      <c r="AB8978">
        <v>22</v>
      </c>
      <c r="AC8978">
        <v>3.0598749999999999</v>
      </c>
      <c r="AD8978" s="1">
        <v>-5.9604639999999998E-6</v>
      </c>
      <c r="AE8978">
        <v>-0.18504329999999999</v>
      </c>
      <c r="AF8978">
        <v>0.61905985747467696</v>
      </c>
      <c r="AG8978" s="1">
        <v>-5.9604639999999998E-6</v>
      </c>
      <c r="AH8978">
        <v>3.0023059356588302</v>
      </c>
      <c r="AI8978">
        <v>90.0001114054228</v>
      </c>
      <c r="AJ8978">
        <v>78.349193389368907</v>
      </c>
      <c r="AK8978">
        <v>3.06546506071499</v>
      </c>
      <c r="AL8978">
        <v>85.570003871911197</v>
      </c>
      <c r="AM8978">
        <v>89.454994840681806</v>
      </c>
      <c r="AN8978">
        <v>1.0000000542321901</v>
      </c>
    </row>
    <row r="8979" spans="1:40" x14ac:dyDescent="0.25">
      <c r="A8979" t="str">
        <f>"20190312160543055"</f>
        <v>20190312160543055</v>
      </c>
      <c r="B8979" t="str">
        <f>"1552377943044135"</f>
        <v>1552377943044135</v>
      </c>
      <c r="C8979" t="s">
        <v>40</v>
      </c>
      <c r="D8979">
        <v>5.7933240000000001</v>
      </c>
      <c r="E8979">
        <v>0.57269130000000001</v>
      </c>
      <c r="F8979" t="s">
        <v>45</v>
      </c>
      <c r="G8979">
        <v>0</v>
      </c>
      <c r="H8979">
        <v>0</v>
      </c>
      <c r="I8979">
        <v>0</v>
      </c>
      <c r="J8979">
        <v>-166.744</v>
      </c>
      <c r="K8979">
        <v>1.106741</v>
      </c>
      <c r="L8979">
        <v>138.81360000000001</v>
      </c>
      <c r="M8979">
        <v>0.99062850000000002</v>
      </c>
      <c r="N8979">
        <v>0</v>
      </c>
      <c r="O8979">
        <v>0.13584470000000001</v>
      </c>
      <c r="P8979">
        <v>0.98962830000000002</v>
      </c>
      <c r="Q8979">
        <v>6.3292950000000001E-2</v>
      </c>
      <c r="R8979">
        <v>0.1289582</v>
      </c>
      <c r="S8979">
        <v>3.0590060000000001</v>
      </c>
      <c r="T8979">
        <v>-9.0599059999999995E-4</v>
      </c>
      <c r="U8979">
        <v>-0.1902161</v>
      </c>
      <c r="V8979">
        <v>7.3881110000000002E-3</v>
      </c>
      <c r="W8979">
        <v>7.7386960000000005E-2</v>
      </c>
      <c r="X8979">
        <v>0.99697380000000002</v>
      </c>
      <c r="Y8979">
        <v>0.19708349999999999</v>
      </c>
      <c r="Z8979" s="1">
        <v>-6.9304579999999999E-5</v>
      </c>
      <c r="AA8979">
        <v>0.98038670000000006</v>
      </c>
      <c r="AB8979">
        <v>22</v>
      </c>
      <c r="AC8979">
        <v>3.0590060000000001</v>
      </c>
      <c r="AD8979">
        <v>-9.0599059999999995E-4</v>
      </c>
      <c r="AE8979">
        <v>-0.1902161</v>
      </c>
      <c r="AF8979">
        <v>0.604044017432119</v>
      </c>
      <c r="AG8979">
        <v>-9.0599059999999995E-4</v>
      </c>
      <c r="AH8979">
        <v>3.0048010010817601</v>
      </c>
      <c r="AI8979">
        <v>90.016936669358699</v>
      </c>
      <c r="AJ8979">
        <v>78.633537867778998</v>
      </c>
      <c r="AK8979">
        <v>3.06491419976423</v>
      </c>
      <c r="AL8979">
        <v>85.561616392873006</v>
      </c>
      <c r="AM8979">
        <v>89.575415291419503</v>
      </c>
      <c r="AN8979">
        <v>1.00000004182431</v>
      </c>
    </row>
    <row r="8980" spans="1:40" x14ac:dyDescent="0.25">
      <c r="A8980" t="str">
        <f>"20190312160543077"</f>
        <v>20190312160543077</v>
      </c>
      <c r="B8980" t="str">
        <f>"1552377943074390"</f>
        <v>1552377943074390</v>
      </c>
      <c r="C8980" t="s">
        <v>40</v>
      </c>
      <c r="D8980">
        <v>5.712154</v>
      </c>
      <c r="E8980">
        <v>0.57141209999999998</v>
      </c>
      <c r="F8980" t="s">
        <v>45</v>
      </c>
      <c r="G8980">
        <v>0</v>
      </c>
      <c r="H8980">
        <v>0</v>
      </c>
      <c r="I8980">
        <v>0</v>
      </c>
      <c r="J8980">
        <v>-166.53200000000001</v>
      </c>
      <c r="K8980">
        <v>1.106951</v>
      </c>
      <c r="L8980">
        <v>138.83519999999999</v>
      </c>
      <c r="M8980">
        <v>0.99145450000000002</v>
      </c>
      <c r="N8980">
        <v>0</v>
      </c>
      <c r="O8980">
        <v>0.1296832</v>
      </c>
      <c r="P8980">
        <v>0.99016409999999999</v>
      </c>
      <c r="Q8980">
        <v>6.3828250000000003E-2</v>
      </c>
      <c r="R8980">
        <v>0.1245034</v>
      </c>
      <c r="S8980">
        <v>3.0575869999999998</v>
      </c>
      <c r="T8980">
        <v>-3.5464759999999998E-3</v>
      </c>
      <c r="U8980">
        <v>-0.198822</v>
      </c>
      <c r="V8980">
        <v>5.6362019999999999E-3</v>
      </c>
      <c r="W8980">
        <v>7.7895149999999996E-2</v>
      </c>
      <c r="X8980">
        <v>0.99694559999999999</v>
      </c>
      <c r="Y8980">
        <v>0.1937634</v>
      </c>
      <c r="Z8980">
        <v>-2.6236899999999998E-4</v>
      </c>
      <c r="AA8980">
        <v>0.98104829999999998</v>
      </c>
      <c r="AB8980">
        <v>22</v>
      </c>
      <c r="AC8980">
        <v>3.0575869999999998</v>
      </c>
      <c r="AD8980">
        <v>-3.5464759999999998E-3</v>
      </c>
      <c r="AE8980">
        <v>-0.198822</v>
      </c>
      <c r="AF8980">
        <v>0.59369928250664905</v>
      </c>
      <c r="AG8980">
        <v>-3.5464759999999998E-3</v>
      </c>
      <c r="AH8980">
        <v>3.0059714664764501</v>
      </c>
      <c r="AI8980">
        <v>90.066317016970999</v>
      </c>
      <c r="AJ8980">
        <v>78.827498353228705</v>
      </c>
      <c r="AK8980">
        <v>3.0640424071496599</v>
      </c>
      <c r="AL8980">
        <v>85.532410793827196</v>
      </c>
      <c r="AM8980">
        <v>89.676083482712997</v>
      </c>
      <c r="AN8980">
        <v>0.99999997526293305</v>
      </c>
    </row>
    <row r="8981" spans="1:40" x14ac:dyDescent="0.25">
      <c r="A8981" t="str">
        <f>"20190312160543099"</f>
        <v>20190312160543099</v>
      </c>
      <c r="B8981" t="str">
        <f>"1552377943093911"</f>
        <v>1552377943093911</v>
      </c>
      <c r="C8981" t="s">
        <v>40</v>
      </c>
      <c r="D8981">
        <v>5.723357</v>
      </c>
      <c r="E8981">
        <v>0.57058750000000003</v>
      </c>
      <c r="F8981" t="s">
        <v>45</v>
      </c>
      <c r="G8981">
        <v>0</v>
      </c>
      <c r="H8981">
        <v>0</v>
      </c>
      <c r="I8981">
        <v>0</v>
      </c>
      <c r="J8981">
        <v>-166.31200000000001</v>
      </c>
      <c r="K8981">
        <v>1.1071580000000001</v>
      </c>
      <c r="L8981">
        <v>138.85650000000001</v>
      </c>
      <c r="M8981">
        <v>0.99223079999999997</v>
      </c>
      <c r="N8981">
        <v>0</v>
      </c>
      <c r="O8981">
        <v>0.1236088</v>
      </c>
      <c r="P8981">
        <v>0.99069940000000001</v>
      </c>
      <c r="Q8981">
        <v>6.4791630000000003E-2</v>
      </c>
      <c r="R8981">
        <v>0.1196536</v>
      </c>
      <c r="S8981">
        <v>3.0557560000000001</v>
      </c>
      <c r="T8981">
        <v>-7.4093340000000001E-3</v>
      </c>
      <c r="U8981">
        <v>-0.2025604</v>
      </c>
      <c r="V8981">
        <v>4.3722409999999998E-3</v>
      </c>
      <c r="W8981">
        <v>7.8824519999999995E-2</v>
      </c>
      <c r="X8981">
        <v>0.99687890000000001</v>
      </c>
      <c r="Y8981">
        <v>0.18898519999999999</v>
      </c>
      <c r="Z8981">
        <v>-5.2801360000000002E-4</v>
      </c>
      <c r="AA8981">
        <v>0.98197979999999996</v>
      </c>
      <c r="AB8981">
        <v>22</v>
      </c>
      <c r="AC8981">
        <v>3.0557560000000001</v>
      </c>
      <c r="AD8981">
        <v>-7.4093340000000001E-3</v>
      </c>
      <c r="AE8981">
        <v>-0.2025604</v>
      </c>
      <c r="AF8981">
        <v>0.57875917420077805</v>
      </c>
      <c r="AG8981">
        <v>-7.4093340000000001E-3</v>
      </c>
      <c r="AH8981">
        <v>3.0072584641107798</v>
      </c>
      <c r="AI8981">
        <v>90.138622186917303</v>
      </c>
      <c r="AJ8981">
        <v>79.106384648671295</v>
      </c>
      <c r="AK8981">
        <v>3.0624533547334001</v>
      </c>
      <c r="AL8981">
        <v>85.478997601397197</v>
      </c>
      <c r="AM8981">
        <v>89.748706337324904</v>
      </c>
      <c r="AN8981">
        <v>0.99999998135490098</v>
      </c>
    </row>
    <row r="8982" spans="1:40" x14ac:dyDescent="0.25">
      <c r="A8982" t="str">
        <f>"20190312160543122"</f>
        <v>20190312160543122</v>
      </c>
      <c r="B8982" t="str">
        <f>"1552377943114410"</f>
        <v>1552377943114410</v>
      </c>
      <c r="C8982" t="s">
        <v>40</v>
      </c>
      <c r="D8982">
        <v>5.7801530000000003</v>
      </c>
      <c r="E8982">
        <v>0.56982739999999998</v>
      </c>
      <c r="F8982" t="s">
        <v>45</v>
      </c>
      <c r="G8982">
        <v>0</v>
      </c>
      <c r="H8982">
        <v>0</v>
      </c>
      <c r="I8982">
        <v>0</v>
      </c>
      <c r="J8982">
        <v>-166.09719999999999</v>
      </c>
      <c r="K8982">
        <v>1.1073550000000001</v>
      </c>
      <c r="L8982">
        <v>138.87639999999999</v>
      </c>
      <c r="M8982">
        <v>0.99291560000000001</v>
      </c>
      <c r="N8982">
        <v>0</v>
      </c>
      <c r="O8982">
        <v>0.1179867</v>
      </c>
      <c r="P8982">
        <v>0.99119299999999999</v>
      </c>
      <c r="Q8982">
        <v>6.5302949999999998E-2</v>
      </c>
      <c r="R8982">
        <v>0.115204399999999</v>
      </c>
      <c r="S8982">
        <v>3.0541689999999999</v>
      </c>
      <c r="T8982">
        <v>-7.7817440000000002E-3</v>
      </c>
      <c r="U8982">
        <v>-0.21112059999999999</v>
      </c>
      <c r="V8982">
        <v>3.1632890000000001E-3</v>
      </c>
      <c r="W8982">
        <v>7.9304139999999995E-2</v>
      </c>
      <c r="X8982">
        <v>0.99684539999999999</v>
      </c>
      <c r="Y8982">
        <v>0.18619550000000001</v>
      </c>
      <c r="Z8982">
        <v>-5.3699209999999995E-4</v>
      </c>
      <c r="AA8982">
        <v>0.98251250000000001</v>
      </c>
      <c r="AB8982">
        <v>21</v>
      </c>
      <c r="AC8982">
        <v>3.0541689999999999</v>
      </c>
      <c r="AD8982">
        <v>-7.7817440000000002E-3</v>
      </c>
      <c r="AE8982">
        <v>-0.21112059999999999</v>
      </c>
      <c r="AF8982">
        <v>0.57002894056947095</v>
      </c>
      <c r="AG8982">
        <v>-7.7817440000000002E-3</v>
      </c>
      <c r="AH8982">
        <v>3.0079006109432802</v>
      </c>
      <c r="AI8982">
        <v>90.145637511730598</v>
      </c>
      <c r="AJ8982">
        <v>79.269100902034197</v>
      </c>
      <c r="AK8982">
        <v>3.0614473103320599</v>
      </c>
      <c r="AL8982">
        <v>85.451430969734602</v>
      </c>
      <c r="AM8982">
        <v>89.818183942343097</v>
      </c>
      <c r="AN8982">
        <v>0.99999995225979699</v>
      </c>
    </row>
    <row r="8983" spans="1:40" x14ac:dyDescent="0.25">
      <c r="A8983" t="str">
        <f>"20190312160543140"</f>
        <v>20190312160543140</v>
      </c>
      <c r="B8983" t="str">
        <f>"1552377943133928"</f>
        <v>1552377943133928</v>
      </c>
      <c r="C8983" t="s">
        <v>40</v>
      </c>
      <c r="D8983">
        <v>5.7403130000000004</v>
      </c>
      <c r="E8983">
        <v>0.56914690000000001</v>
      </c>
      <c r="F8983" t="s">
        <v>45</v>
      </c>
      <c r="G8983">
        <v>0</v>
      </c>
      <c r="H8983">
        <v>0</v>
      </c>
      <c r="I8983">
        <v>0</v>
      </c>
      <c r="J8983">
        <v>-165.9178</v>
      </c>
      <c r="K8983">
        <v>1.107518</v>
      </c>
      <c r="L8983">
        <v>138.89230000000001</v>
      </c>
      <c r="M8983">
        <v>0.99343429999999999</v>
      </c>
      <c r="N8983">
        <v>0</v>
      </c>
      <c r="O8983">
        <v>0.1135415</v>
      </c>
      <c r="P8983">
        <v>0.99165080000000005</v>
      </c>
      <c r="Q8983">
        <v>6.5697389999999994E-2</v>
      </c>
      <c r="R8983">
        <v>0.11096250000000001</v>
      </c>
      <c r="S8983">
        <v>3.0527340000000001</v>
      </c>
      <c r="T8983">
        <v>-9.8494289999999998E-3</v>
      </c>
      <c r="U8983">
        <v>-0.21881100000000001</v>
      </c>
      <c r="V8983">
        <v>2.9347449999999999E-3</v>
      </c>
      <c r="W8983">
        <v>7.9666349999999997E-2</v>
      </c>
      <c r="X8983">
        <v>0.99681730000000002</v>
      </c>
      <c r="Y8983">
        <v>0.18429180000000001</v>
      </c>
      <c r="Z8983">
        <v>-6.6259860000000002E-4</v>
      </c>
      <c r="AA8983">
        <v>0.98287139999999995</v>
      </c>
      <c r="AB8983">
        <v>21</v>
      </c>
      <c r="AC8983">
        <v>3.0527340000000001</v>
      </c>
      <c r="AD8983">
        <v>-9.8494289999999998E-3</v>
      </c>
      <c r="AE8983">
        <v>-0.21881100000000001</v>
      </c>
      <c r="AF8983">
        <v>0.56403596205936002</v>
      </c>
      <c r="AG8983">
        <v>-9.8494289999999998E-3</v>
      </c>
      <c r="AH8983">
        <v>3.0081111253561699</v>
      </c>
      <c r="AI8983">
        <v>90.184388979730201</v>
      </c>
      <c r="AJ8983">
        <v>79.380066401464703</v>
      </c>
      <c r="AK8983">
        <v>3.0605499702242098</v>
      </c>
      <c r="AL8983">
        <v>85.430612371999501</v>
      </c>
      <c r="AM8983">
        <v>89.831315109977496</v>
      </c>
      <c r="AN8983">
        <v>1.0000000348149101</v>
      </c>
    </row>
    <row r="8984" spans="1:40" x14ac:dyDescent="0.25">
      <c r="A8984" t="str">
        <f>"20190312160543155"</f>
        <v>20190312160543155</v>
      </c>
      <c r="B8984" t="str">
        <f>"1552377943144307"</f>
        <v>1552377943144307</v>
      </c>
      <c r="C8984" t="s">
        <v>40</v>
      </c>
      <c r="D8984">
        <v>5.8030850000000003</v>
      </c>
      <c r="E8984">
        <v>0.56883359999999905</v>
      </c>
      <c r="F8984" t="s">
        <v>45</v>
      </c>
      <c r="G8984">
        <v>0</v>
      </c>
      <c r="H8984">
        <v>0</v>
      </c>
      <c r="I8984">
        <v>0</v>
      </c>
      <c r="J8984">
        <v>-165.7773</v>
      </c>
      <c r="K8984">
        <v>1.107642</v>
      </c>
      <c r="L8984">
        <v>138.90440000000001</v>
      </c>
      <c r="M8984">
        <v>0.99380970000000002</v>
      </c>
      <c r="N8984">
        <v>0</v>
      </c>
      <c r="O8984">
        <v>0.1102109</v>
      </c>
      <c r="P8984">
        <v>0.99188149999999997</v>
      </c>
      <c r="Q8984">
        <v>6.6155809999999995E-2</v>
      </c>
      <c r="R8984">
        <v>0.10860300000000001</v>
      </c>
      <c r="S8984">
        <v>3.0513759999999999</v>
      </c>
      <c r="T8984">
        <v>-1.1290430000000001E-2</v>
      </c>
      <c r="U8984">
        <v>-0.2265778</v>
      </c>
      <c r="V8984">
        <v>1.9386430000000001E-3</v>
      </c>
      <c r="W8984">
        <v>8.0106010000000005E-2</v>
      </c>
      <c r="X8984">
        <v>0.99678440000000001</v>
      </c>
      <c r="Y8984">
        <v>0.18351629999999999</v>
      </c>
      <c r="Z8984">
        <v>-7.4611289999999895E-4</v>
      </c>
      <c r="AA8984">
        <v>0.98301640000000001</v>
      </c>
      <c r="AB8984">
        <v>21</v>
      </c>
      <c r="AC8984">
        <v>3.0513759999999999</v>
      </c>
      <c r="AD8984">
        <v>-1.1290430000000001E-2</v>
      </c>
      <c r="AE8984">
        <v>-0.2265778</v>
      </c>
      <c r="AF8984">
        <v>0.56151745174867695</v>
      </c>
      <c r="AG8984">
        <v>-1.1290430000000001E-2</v>
      </c>
      <c r="AH8984">
        <v>3.0077693066121598</v>
      </c>
      <c r="AI8984">
        <v>90.211420616309496</v>
      </c>
      <c r="AJ8984">
        <v>79.425239925403105</v>
      </c>
      <c r="AK8984">
        <v>3.0597557948676402</v>
      </c>
      <c r="AL8984">
        <v>85.405340485855305</v>
      </c>
      <c r="AM8984">
        <v>89.888565750196406</v>
      </c>
      <c r="AN8984">
        <v>0.99999993562907796</v>
      </c>
    </row>
    <row r="8985" spans="1:40" x14ac:dyDescent="0.25">
      <c r="A8985" t="str">
        <f>"20190312160543174"</f>
        <v>20190312160543174</v>
      </c>
      <c r="B8985" t="str">
        <f>"1552377943163828"</f>
        <v>1552377943163828</v>
      </c>
      <c r="C8985" t="s">
        <v>40</v>
      </c>
      <c r="D8985">
        <v>6.0773279999999996</v>
      </c>
      <c r="E8985">
        <v>0.5683745</v>
      </c>
      <c r="F8985" t="s">
        <v>45</v>
      </c>
      <c r="G8985">
        <v>0</v>
      </c>
      <c r="H8985">
        <v>0</v>
      </c>
      <c r="I8985">
        <v>0</v>
      </c>
      <c r="J8985">
        <v>-165.59739999999999</v>
      </c>
      <c r="K8985">
        <v>1.107809</v>
      </c>
      <c r="L8985">
        <v>138.9194</v>
      </c>
      <c r="M8985">
        <v>0.99425390000000002</v>
      </c>
      <c r="N8985">
        <v>0</v>
      </c>
      <c r="O8985">
        <v>0.1061317</v>
      </c>
      <c r="P8985">
        <v>0.99227449999999995</v>
      </c>
      <c r="Q8985">
        <v>6.6398970000000002E-2</v>
      </c>
      <c r="R8985">
        <v>0.1047971</v>
      </c>
      <c r="S8985">
        <v>3.050659</v>
      </c>
      <c r="T8985">
        <v>-1.133728E-2</v>
      </c>
      <c r="U8985">
        <v>-0.23136899999999999</v>
      </c>
      <c r="V8985">
        <v>1.639087E-3</v>
      </c>
      <c r="W8985">
        <v>8.0319409999999994E-2</v>
      </c>
      <c r="X8985">
        <v>0.99676779999999998</v>
      </c>
      <c r="Y8985">
        <v>0.181034</v>
      </c>
      <c r="Z8985">
        <v>-7.2963979999999997E-4</v>
      </c>
      <c r="AA8985">
        <v>0.98347660000000003</v>
      </c>
      <c r="AB8985">
        <v>21</v>
      </c>
      <c r="AC8985">
        <v>3.050659</v>
      </c>
      <c r="AD8985">
        <v>-1.133728E-2</v>
      </c>
      <c r="AE8985">
        <v>-0.23136899999999999</v>
      </c>
      <c r="AF8985">
        <v>0.55385762294101504</v>
      </c>
      <c r="AG8985">
        <v>-1.133728E-2</v>
      </c>
      <c r="AH8985">
        <v>3.0088264521922099</v>
      </c>
      <c r="AI8985">
        <v>90.212322662384693</v>
      </c>
      <c r="AJ8985">
        <v>79.569889676429</v>
      </c>
      <c r="AK8985">
        <v>3.0593991926225002</v>
      </c>
      <c r="AL8985">
        <v>85.393074202165707</v>
      </c>
      <c r="AM8985">
        <v>89.9057827884223</v>
      </c>
      <c r="AN8985">
        <v>0.99999997067289004</v>
      </c>
    </row>
    <row r="8986" spans="1:40" x14ac:dyDescent="0.25">
      <c r="A8986" t="str">
        <f>"20190312160543189"</f>
        <v>20190312160543189</v>
      </c>
      <c r="B8986" t="str">
        <f>"1552377943184323"</f>
        <v>1552377943184323</v>
      </c>
      <c r="C8986" t="s">
        <v>40</v>
      </c>
      <c r="D8986">
        <v>5.7374340000000004</v>
      </c>
      <c r="E8986">
        <v>0.54432060000000004</v>
      </c>
      <c r="F8986" t="s">
        <v>45</v>
      </c>
      <c r="G8986">
        <v>0</v>
      </c>
      <c r="H8986">
        <v>0</v>
      </c>
      <c r="I8986">
        <v>0</v>
      </c>
      <c r="J8986">
        <v>-165.45240000000001</v>
      </c>
      <c r="K8986">
        <v>1.107945</v>
      </c>
      <c r="L8986">
        <v>138.93119999999999</v>
      </c>
      <c r="M8986">
        <v>0.99458559999999996</v>
      </c>
      <c r="N8986">
        <v>0</v>
      </c>
      <c r="O8986">
        <v>0.1029814</v>
      </c>
      <c r="P8986">
        <v>0.99251840000000002</v>
      </c>
      <c r="Q8986">
        <v>6.6779939999999996E-2</v>
      </c>
      <c r="R8986">
        <v>0.1022156</v>
      </c>
      <c r="S8986">
        <v>3.0495000000000001</v>
      </c>
      <c r="T8986">
        <v>-1.3114209999999999E-2</v>
      </c>
      <c r="U8986">
        <v>-0.239563</v>
      </c>
      <c r="V8986">
        <v>1.047475E-3</v>
      </c>
      <c r="W8986">
        <v>8.0679669999999995E-2</v>
      </c>
      <c r="X8986">
        <v>0.9967395</v>
      </c>
      <c r="Y8986">
        <v>0.18057290000000001</v>
      </c>
      <c r="Z8986">
        <v>-8.2975720000000005E-4</v>
      </c>
      <c r="AA8986">
        <v>0.98356129999999997</v>
      </c>
      <c r="AB8986">
        <v>21</v>
      </c>
      <c r="AC8986">
        <v>3.0495000000000001</v>
      </c>
      <c r="AD8986">
        <v>-1.3114209999999999E-2</v>
      </c>
      <c r="AE8986">
        <v>-0.239563</v>
      </c>
      <c r="AF8986">
        <v>0.55235120575637198</v>
      </c>
      <c r="AG8986">
        <v>-1.3114209999999999E-2</v>
      </c>
      <c r="AH8986">
        <v>3.0085552796888599</v>
      </c>
      <c r="AI8986">
        <v>90.245643609523697</v>
      </c>
      <c r="AJ8986">
        <v>79.596720907085597</v>
      </c>
      <c r="AK8986">
        <v>3.0588672262698999</v>
      </c>
      <c r="AL8986">
        <v>85.372365607645094</v>
      </c>
      <c r="AM8986">
        <v>89.939787803581794</v>
      </c>
      <c r="AN8986">
        <v>0.99999996860771601</v>
      </c>
    </row>
    <row r="8987" spans="1:40" x14ac:dyDescent="0.25">
      <c r="A8987" t="str">
        <f>"20190312160543211"</f>
        <v>20190312160543211</v>
      </c>
      <c r="B8987" t="str">
        <f>"1552377943203843"</f>
        <v>1552377943203843</v>
      </c>
      <c r="C8987" t="s">
        <v>40</v>
      </c>
      <c r="D8987">
        <v>5.7570499999999996</v>
      </c>
      <c r="E8987">
        <v>0.54934249999999996</v>
      </c>
      <c r="F8987" t="s">
        <v>41</v>
      </c>
      <c r="G8987">
        <v>-118.2466</v>
      </c>
      <c r="H8987" s="1">
        <v>-1.019402E-6</v>
      </c>
      <c r="I8987">
        <v>138.0103</v>
      </c>
      <c r="J8987">
        <v>-165.23560000000001</v>
      </c>
      <c r="K8987">
        <v>1.108133</v>
      </c>
      <c r="L8987">
        <v>138.94810000000001</v>
      </c>
      <c r="M8987">
        <v>0.99503620000000004</v>
      </c>
      <c r="N8987">
        <v>0</v>
      </c>
      <c r="O8987">
        <v>9.853758E-2</v>
      </c>
      <c r="P8987">
        <v>0.99287119999999995</v>
      </c>
      <c r="Q8987">
        <v>6.7450259999999998E-2</v>
      </c>
      <c r="R8987">
        <v>9.8271419999999998E-2</v>
      </c>
      <c r="S8987">
        <v>3.0334780000000001</v>
      </c>
      <c r="T8987">
        <v>-7.1197270000000007E-2</v>
      </c>
      <c r="U8987">
        <v>-5.9173580000000003E-2</v>
      </c>
      <c r="V8987">
        <v>5.1867190000000004E-4</v>
      </c>
      <c r="W8987">
        <v>8.1317490000000006E-2</v>
      </c>
      <c r="X8987">
        <v>0.99668809999999997</v>
      </c>
      <c r="Y8987">
        <v>0.117877</v>
      </c>
      <c r="Z8987">
        <v>-3.6931429999999999E-3</v>
      </c>
      <c r="AA8987">
        <v>0.9930213</v>
      </c>
      <c r="AB8987">
        <v>21</v>
      </c>
      <c r="AC8987">
        <v>46.988999999999997</v>
      </c>
      <c r="AD8987">
        <v>-1.108134019402</v>
      </c>
      <c r="AE8987">
        <v>-0.93780000000000996</v>
      </c>
      <c r="AF8987">
        <v>5.5607736907068199</v>
      </c>
      <c r="AG8987">
        <v>-1.108134019402</v>
      </c>
      <c r="AH8987">
        <v>46.641928672072702</v>
      </c>
      <c r="AI8987">
        <v>91.351428465112704</v>
      </c>
      <c r="AJ8987">
        <v>83.201138018862807</v>
      </c>
      <c r="AK8987">
        <v>46.985313399986303</v>
      </c>
      <c r="AL8987">
        <v>85.335700819983899</v>
      </c>
      <c r="AM8987">
        <v>89.970183542735697</v>
      </c>
      <c r="AN8987">
        <v>0.99999998594102402</v>
      </c>
    </row>
    <row r="8988" spans="1:40" x14ac:dyDescent="0.25">
      <c r="A8988" t="str">
        <f>"20190312160543234"</f>
        <v>20190312160543234</v>
      </c>
      <c r="B8988" t="str">
        <f>"1552377943224339"</f>
        <v>1552377943224339</v>
      </c>
      <c r="C8988" t="s">
        <v>40</v>
      </c>
      <c r="D8988">
        <v>5.4177770000000001</v>
      </c>
      <c r="E8988">
        <v>0.54695199999999999</v>
      </c>
      <c r="F8988" t="s">
        <v>41</v>
      </c>
      <c r="G8988">
        <v>-114.2231</v>
      </c>
      <c r="H8988" s="1">
        <v>-2.9089729999999999E-6</v>
      </c>
      <c r="I8988">
        <v>137.08860000000001</v>
      </c>
      <c r="J8988">
        <v>-165.02459999999999</v>
      </c>
      <c r="K8988">
        <v>1.1082920000000001</v>
      </c>
      <c r="L8988">
        <v>138.964</v>
      </c>
      <c r="M8988">
        <v>0.99543210000000004</v>
      </c>
      <c r="N8988">
        <v>0</v>
      </c>
      <c r="O8988">
        <v>9.4458520000000004E-2</v>
      </c>
      <c r="P8988">
        <v>0.99321250000000005</v>
      </c>
      <c r="Q8988">
        <v>6.7284899999999995E-2</v>
      </c>
      <c r="R8988">
        <v>9.4876080000000002E-2</v>
      </c>
      <c r="S8988">
        <v>3.036972</v>
      </c>
      <c r="T8988">
        <v>-6.5971489999999994E-2</v>
      </c>
      <c r="U8988">
        <v>-0.1107025</v>
      </c>
      <c r="V8988">
        <v>-1.894563E-4</v>
      </c>
      <c r="W8988">
        <v>8.112548E-2</v>
      </c>
      <c r="X8988">
        <v>0.99670389999999998</v>
      </c>
      <c r="Y8988">
        <v>0.13061639999999999</v>
      </c>
      <c r="Z8988">
        <v>-3.4678E-3</v>
      </c>
      <c r="AA8988">
        <v>0.9914269</v>
      </c>
      <c r="AB8988">
        <v>21</v>
      </c>
      <c r="AC8988">
        <v>50.801499999999898</v>
      </c>
      <c r="AD8988">
        <v>-1.1082949089730001</v>
      </c>
      <c r="AE8988">
        <v>-1.87539999999998</v>
      </c>
      <c r="AF8988">
        <v>6.6629426978327198</v>
      </c>
      <c r="AG8988">
        <v>-1.1082949089730001</v>
      </c>
      <c r="AH8988">
        <v>50.373205547661399</v>
      </c>
      <c r="AI8988">
        <v>91.249520020432399</v>
      </c>
      <c r="AJ8988">
        <v>82.465137189953396</v>
      </c>
      <c r="AK8988">
        <v>50.824039195510601</v>
      </c>
      <c r="AL8988">
        <v>85.346738818323999</v>
      </c>
      <c r="AM8988">
        <v>90.0108909439016</v>
      </c>
      <c r="AN8988">
        <v>1.0000000218370599</v>
      </c>
    </row>
    <row r="8989" spans="1:40" x14ac:dyDescent="0.25">
      <c r="A8989" t="str">
        <f>"20190312160543256"</f>
        <v>20190312160543256</v>
      </c>
      <c r="B8989" t="str">
        <f>"1552377943244440"</f>
        <v>1552377943244440</v>
      </c>
      <c r="C8989" t="s">
        <v>40</v>
      </c>
      <c r="D8989">
        <v>5.4271289999999999</v>
      </c>
      <c r="E8989">
        <v>0.54546169999999905</v>
      </c>
      <c r="F8989" t="s">
        <v>41</v>
      </c>
      <c r="G8989">
        <v>-132.4333</v>
      </c>
      <c r="H8989" s="1">
        <v>-3.5416670000000001E-6</v>
      </c>
      <c r="I8989">
        <v>137.8502</v>
      </c>
      <c r="J8989">
        <v>-164.81099999999901</v>
      </c>
      <c r="K8989">
        <v>1.1084130000000001</v>
      </c>
      <c r="L8989">
        <v>138.9795</v>
      </c>
      <c r="M8989">
        <v>0.99579399999999996</v>
      </c>
      <c r="N8989">
        <v>0</v>
      </c>
      <c r="O8989">
        <v>9.056815E-2</v>
      </c>
      <c r="P8989">
        <v>0.99360939999999998</v>
      </c>
      <c r="Q8989">
        <v>6.6427630000000001E-2</v>
      </c>
      <c r="R8989">
        <v>9.1257000000000005E-2</v>
      </c>
      <c r="S8989">
        <v>3.0374150000000002</v>
      </c>
      <c r="T8989">
        <v>-0.1032898</v>
      </c>
      <c r="U8989">
        <v>-0.10380549999999999</v>
      </c>
      <c r="V8989">
        <v>-4.7940310000000002E-4</v>
      </c>
      <c r="W8989">
        <v>8.0241460000000001E-2</v>
      </c>
      <c r="X8989">
        <v>0.99677530000000003</v>
      </c>
      <c r="Y8989">
        <v>0.1244152</v>
      </c>
      <c r="Z8989">
        <v>-5.1905679999999996E-3</v>
      </c>
      <c r="AA8989">
        <v>0.9922166</v>
      </c>
      <c r="AB8989">
        <v>21</v>
      </c>
      <c r="AC8989">
        <v>32.377699999999898</v>
      </c>
      <c r="AD8989">
        <v>-1.10841654166699</v>
      </c>
      <c r="AE8989">
        <v>-1.1293</v>
      </c>
      <c r="AF8989">
        <v>4.0525837995274303</v>
      </c>
      <c r="AG8989">
        <v>-1.10841654166699</v>
      </c>
      <c r="AH8989">
        <v>32.104742227174697</v>
      </c>
      <c r="AI8989">
        <v>91.961796367692898</v>
      </c>
      <c r="AJ8989">
        <v>82.805600747666901</v>
      </c>
      <c r="AK8989">
        <v>32.378488169699501</v>
      </c>
      <c r="AL8989">
        <v>85.397554822231299</v>
      </c>
      <c r="AM8989">
        <v>90.027556634075395</v>
      </c>
      <c r="AN8989">
        <v>0.99999996021017601</v>
      </c>
    </row>
    <row r="8990" spans="1:40" x14ac:dyDescent="0.25">
      <c r="A8990" t="str">
        <f>"20190312160543278"</f>
        <v>20190312160543278</v>
      </c>
      <c r="B8990" t="str">
        <f>"1552377943273719"</f>
        <v>1552377943273719</v>
      </c>
      <c r="C8990" t="s">
        <v>40</v>
      </c>
      <c r="D8990">
        <v>5.3870639999999996</v>
      </c>
      <c r="E8990">
        <v>0.54328199999999904</v>
      </c>
      <c r="F8990" t="s">
        <v>41</v>
      </c>
      <c r="G8990">
        <v>-136.12260000000001</v>
      </c>
      <c r="H8990" s="1">
        <v>-1.931804E-6</v>
      </c>
      <c r="I8990">
        <v>138.0033</v>
      </c>
      <c r="J8990">
        <v>-164.5993</v>
      </c>
      <c r="K8990">
        <v>1.1085339999999999</v>
      </c>
      <c r="L8990">
        <v>138.99430000000001</v>
      </c>
      <c r="M8990">
        <v>0.99611769999999999</v>
      </c>
      <c r="N8990">
        <v>0</v>
      </c>
      <c r="O8990">
        <v>8.6940729999999994E-2</v>
      </c>
      <c r="P8990">
        <v>0.99385800000000002</v>
      </c>
      <c r="Q8990">
        <v>6.6412750000000007E-2</v>
      </c>
      <c r="R8990">
        <v>8.8519509999999996E-2</v>
      </c>
      <c r="S8990">
        <v>3.0366520000000001</v>
      </c>
      <c r="T8990">
        <v>-0.1173249</v>
      </c>
      <c r="U8990">
        <v>-0.10333249999999999</v>
      </c>
      <c r="V8990">
        <v>-1.3891299999999999E-3</v>
      </c>
      <c r="W8990">
        <v>8.0204380000000006E-2</v>
      </c>
      <c r="X8990">
        <v>0.99677749999999998</v>
      </c>
      <c r="Y8990">
        <v>0.120624</v>
      </c>
      <c r="Z8990">
        <v>-5.6839100000000004E-3</v>
      </c>
      <c r="AA8990">
        <v>0.99268199999999995</v>
      </c>
      <c r="AB8990">
        <v>21</v>
      </c>
      <c r="AC8990">
        <v>28.476699999999902</v>
      </c>
      <c r="AD8990">
        <v>-1.108535931804</v>
      </c>
      <c r="AE8990">
        <v>-0.99100000000001398</v>
      </c>
      <c r="AF8990">
        <v>3.4580343211606999</v>
      </c>
      <c r="AG8990">
        <v>-1.108535931804</v>
      </c>
      <c r="AH8990">
        <v>28.2399431164236</v>
      </c>
      <c r="AI8990">
        <v>92.231295685678703</v>
      </c>
      <c r="AJ8990">
        <v>83.0187784762403</v>
      </c>
      <c r="AK8990">
        <v>28.4724646017388</v>
      </c>
      <c r="AL8990">
        <v>85.399686533703104</v>
      </c>
      <c r="AM8990">
        <v>90.079848546609597</v>
      </c>
      <c r="AN8990">
        <v>1.0000000283797901</v>
      </c>
    </row>
    <row r="8991" spans="1:40" x14ac:dyDescent="0.25">
      <c r="A8991" t="str">
        <f>"20190312160543301"</f>
        <v>20190312160543301</v>
      </c>
      <c r="B8991" t="str">
        <f>"1552377943294218"</f>
        <v>1552377943294218</v>
      </c>
      <c r="C8991" t="s">
        <v>40</v>
      </c>
      <c r="D8991">
        <v>5.3637949999999996</v>
      </c>
      <c r="E8991">
        <v>0.54199609999999998</v>
      </c>
      <c r="F8991" t="s">
        <v>41</v>
      </c>
      <c r="G8991">
        <v>-137.0727</v>
      </c>
      <c r="H8991" s="1">
        <v>-1.5003909999999901E-6</v>
      </c>
      <c r="I8991">
        <v>138.13759999999999</v>
      </c>
      <c r="J8991">
        <v>-164.38480000000001</v>
      </c>
      <c r="K8991">
        <v>1.108663</v>
      </c>
      <c r="L8991">
        <v>139.0087</v>
      </c>
      <c r="M8991">
        <v>0.9964134</v>
      </c>
      <c r="N8991">
        <v>0</v>
      </c>
      <c r="O8991">
        <v>8.3486619999999997E-2</v>
      </c>
      <c r="P8991">
        <v>0.99407049999999997</v>
      </c>
      <c r="Q8991">
        <v>6.7052600000000004E-2</v>
      </c>
      <c r="R8991">
        <v>8.5602020000000001E-2</v>
      </c>
      <c r="S8991">
        <v>3.035126</v>
      </c>
      <c r="T8991">
        <v>-0.12222860000000001</v>
      </c>
      <c r="U8991">
        <v>-9.4451900000000005E-2</v>
      </c>
      <c r="V8991">
        <v>-1.9451340000000001E-3</v>
      </c>
      <c r="W8991">
        <v>8.0820349999999999E-2</v>
      </c>
      <c r="X8991">
        <v>0.99672680000000002</v>
      </c>
      <c r="Y8991">
        <v>0.11429</v>
      </c>
      <c r="Z8991">
        <v>-5.6582339999999998E-3</v>
      </c>
      <c r="AA8991">
        <v>0.99343130000000002</v>
      </c>
      <c r="AB8991">
        <v>21</v>
      </c>
      <c r="AC8991">
        <v>27.312100000000001</v>
      </c>
      <c r="AD8991">
        <v>-1.1086645003910001</v>
      </c>
      <c r="AE8991">
        <v>-0.87110000000001198</v>
      </c>
      <c r="AF8991">
        <v>3.1432961621194102</v>
      </c>
      <c r="AG8991">
        <v>-1.1086645003910001</v>
      </c>
      <c r="AH8991">
        <v>27.099392859506501</v>
      </c>
      <c r="AI8991">
        <v>92.327138786770803</v>
      </c>
      <c r="AJ8991">
        <v>83.383749044144693</v>
      </c>
      <c r="AK8991">
        <v>27.303599416397301</v>
      </c>
      <c r="AL8991">
        <v>85.364279035895706</v>
      </c>
      <c r="AM8991">
        <v>90.111813816290294</v>
      </c>
      <c r="AN8991">
        <v>1.0000000131793201</v>
      </c>
    </row>
    <row r="8992" spans="1:40" x14ac:dyDescent="0.25">
      <c r="A8992" t="str">
        <f>"20190312160543322"</f>
        <v>20190312160543322</v>
      </c>
      <c r="B8992" t="str">
        <f>"1552377943313735"</f>
        <v>1552377943313735</v>
      </c>
      <c r="C8992" t="s">
        <v>40</v>
      </c>
      <c r="D8992">
        <v>5.667675</v>
      </c>
      <c r="E8992">
        <v>0.54142309999999905</v>
      </c>
      <c r="F8992" t="s">
        <v>41</v>
      </c>
      <c r="G8992">
        <v>-135.97919999999999</v>
      </c>
      <c r="H8992" s="1">
        <v>-1.9696420000000001E-6</v>
      </c>
      <c r="I8992">
        <v>138.1369</v>
      </c>
      <c r="J8992">
        <v>-164.17740000000001</v>
      </c>
      <c r="K8992">
        <v>1.1088070000000001</v>
      </c>
      <c r="L8992">
        <v>139.0222</v>
      </c>
      <c r="M8992">
        <v>0.99667190000000006</v>
      </c>
      <c r="N8992">
        <v>0</v>
      </c>
      <c r="O8992">
        <v>8.0347749999999996E-2</v>
      </c>
      <c r="P8992">
        <v>0.99429920000000005</v>
      </c>
      <c r="Q8992">
        <v>6.6762719999999998E-2</v>
      </c>
      <c r="R8992">
        <v>8.3138660000000003E-2</v>
      </c>
      <c r="S8992">
        <v>3.0339200000000002</v>
      </c>
      <c r="T8992">
        <v>-0.11841309999999999</v>
      </c>
      <c r="U8992">
        <v>-9.3109129999999998E-2</v>
      </c>
      <c r="V8992">
        <v>-2.6400550000000001E-3</v>
      </c>
      <c r="W8992">
        <v>8.0509999999999998E-2</v>
      </c>
      <c r="X8992">
        <v>0.99675029999999998</v>
      </c>
      <c r="Y8992">
        <v>0.110748</v>
      </c>
      <c r="Z8992">
        <v>-5.2926469999999897E-3</v>
      </c>
      <c r="AA8992">
        <v>0.99383440000000001</v>
      </c>
      <c r="AB8992">
        <v>21</v>
      </c>
      <c r="AC8992">
        <v>28.1982</v>
      </c>
      <c r="AD8992">
        <v>-1.10880896964199</v>
      </c>
      <c r="AE8992">
        <v>-0.88529999999999998</v>
      </c>
      <c r="AF8992">
        <v>3.1434579732964898</v>
      </c>
      <c r="AG8992">
        <v>-1.10880896964199</v>
      </c>
      <c r="AH8992">
        <v>27.992636216278299</v>
      </c>
      <c r="AI8992">
        <v>92.254188446802104</v>
      </c>
      <c r="AJ8992">
        <v>83.592762061196098</v>
      </c>
      <c r="AK8992">
        <v>28.190396728282</v>
      </c>
      <c r="AL8992">
        <v>85.3821188336441</v>
      </c>
      <c r="AM8992">
        <v>90.151756819593999</v>
      </c>
      <c r="AN8992">
        <v>0.99999999527024597</v>
      </c>
    </row>
    <row r="8993" spans="1:40" x14ac:dyDescent="0.25">
      <c r="A8993" t="str">
        <f>"20190312160543345"</f>
        <v>20190312160543345</v>
      </c>
      <c r="B8993" t="str">
        <f>"1552377943334231"</f>
        <v>1552377943334231</v>
      </c>
      <c r="C8993" t="s">
        <v>40</v>
      </c>
      <c r="D8993">
        <v>5.33894</v>
      </c>
      <c r="E8993">
        <v>0.540608599999999</v>
      </c>
      <c r="F8993" t="s">
        <v>41</v>
      </c>
      <c r="G8993">
        <v>-134.3203</v>
      </c>
      <c r="H8993" s="1">
        <v>-2.6917859999999998E-6</v>
      </c>
      <c r="I8993">
        <v>138.0778</v>
      </c>
      <c r="J8993">
        <v>-163.9648</v>
      </c>
      <c r="K8993">
        <v>1.1089359999999999</v>
      </c>
      <c r="L8993">
        <v>139.03559999999999</v>
      </c>
      <c r="M8993">
        <v>0.99691160000000001</v>
      </c>
      <c r="N8993">
        <v>0</v>
      </c>
      <c r="O8993">
        <v>7.7319959999999993E-2</v>
      </c>
      <c r="P8993">
        <v>0.99450590000000005</v>
      </c>
      <c r="Q8993">
        <v>6.6708429999999999E-2</v>
      </c>
      <c r="R8993">
        <v>8.0672679999999997E-2</v>
      </c>
      <c r="S8993">
        <v>3.032791</v>
      </c>
      <c r="T8993">
        <v>-0.112629199999999</v>
      </c>
      <c r="U8993">
        <v>-9.5932009999999998E-2</v>
      </c>
      <c r="V8993">
        <v>-3.2208750000000002E-3</v>
      </c>
      <c r="W8993">
        <v>8.0435850000000003E-2</v>
      </c>
      <c r="X8993">
        <v>0.99675460000000005</v>
      </c>
      <c r="Y8993">
        <v>0.1086816</v>
      </c>
      <c r="Z8993">
        <v>-4.8855950000000004E-3</v>
      </c>
      <c r="AA8993">
        <v>0.99406459999999996</v>
      </c>
      <c r="AB8993">
        <v>21</v>
      </c>
      <c r="AC8993">
        <v>29.644499999999901</v>
      </c>
      <c r="AD8993">
        <v>-1.108938691786</v>
      </c>
      <c r="AE8993">
        <v>-0.95779999999999099</v>
      </c>
      <c r="AF8993">
        <v>3.2427271963616602</v>
      </c>
      <c r="AG8993">
        <v>-1.108938691786</v>
      </c>
      <c r="AH8993">
        <v>29.4405186593794</v>
      </c>
      <c r="AI8993">
        <v>92.144190367057902</v>
      </c>
      <c r="AJ8993">
        <v>83.714490636073506</v>
      </c>
      <c r="AK8993">
        <v>29.639317867073601</v>
      </c>
      <c r="AL8993">
        <v>85.386381236531903</v>
      </c>
      <c r="AM8993">
        <v>90.185142763856305</v>
      </c>
      <c r="AN8993">
        <v>1.0000000163110701</v>
      </c>
    </row>
    <row r="8994" spans="1:40" x14ac:dyDescent="0.25">
      <c r="A8994" t="str">
        <f>"20190312160543368"</f>
        <v>20190312160543368</v>
      </c>
      <c r="B8994" t="str">
        <f>"1552377943364161"</f>
        <v>1552377943364161</v>
      </c>
      <c r="C8994" t="s">
        <v>40</v>
      </c>
      <c r="D8994">
        <v>5.7565339999999896</v>
      </c>
      <c r="E8994">
        <v>0.5406107</v>
      </c>
      <c r="F8994" t="s">
        <v>41</v>
      </c>
      <c r="G8994">
        <v>-132.30199999999999</v>
      </c>
      <c r="H8994" s="1">
        <v>-3.5674220000000001E-6</v>
      </c>
      <c r="I8994">
        <v>138.02260000000001</v>
      </c>
      <c r="J8994">
        <v>-163.75110000000001</v>
      </c>
      <c r="K8994">
        <v>1.1090610000000001</v>
      </c>
      <c r="L8994">
        <v>139.0487</v>
      </c>
      <c r="M8994">
        <v>0.99712909999999999</v>
      </c>
      <c r="N8994">
        <v>0</v>
      </c>
      <c r="O8994">
        <v>7.4465999999999893E-2</v>
      </c>
      <c r="P8994">
        <v>0.99462399999999995</v>
      </c>
      <c r="Q8994">
        <v>6.7083690000000001E-2</v>
      </c>
      <c r="R8994">
        <v>7.8884910000000003E-2</v>
      </c>
      <c r="S8994">
        <v>3.0315859999999999</v>
      </c>
      <c r="T8994">
        <v>-0.1061761</v>
      </c>
      <c r="U8994">
        <v>-9.6984860000000006E-2</v>
      </c>
      <c r="V8994">
        <v>-4.3072589999999999E-3</v>
      </c>
      <c r="W8994">
        <v>8.079422E-2</v>
      </c>
      <c r="X8994">
        <v>0.99672150000000004</v>
      </c>
      <c r="Y8994">
        <v>0.1062106</v>
      </c>
      <c r="Z8994">
        <v>-4.4646670000000003E-3</v>
      </c>
      <c r="AA8994">
        <v>0.99433360000000004</v>
      </c>
      <c r="AB8994">
        <v>21</v>
      </c>
      <c r="AC8994">
        <v>31.449099999999898</v>
      </c>
      <c r="AD8994">
        <v>-1.1090645674220001</v>
      </c>
      <c r="AE8994">
        <v>-1.02609999999998</v>
      </c>
      <c r="AF8994">
        <v>3.3611841538462799</v>
      </c>
      <c r="AG8994">
        <v>-1.1090645674220001</v>
      </c>
      <c r="AH8994">
        <v>31.2465316693124</v>
      </c>
      <c r="AI8994">
        <v>92.021153077211096</v>
      </c>
      <c r="AJ8994">
        <v>83.860311334772604</v>
      </c>
      <c r="AK8994">
        <v>31.4463562991346</v>
      </c>
      <c r="AL8994">
        <v>85.365781041795401</v>
      </c>
      <c r="AM8994">
        <v>90.247597975718705</v>
      </c>
      <c r="AN8994">
        <v>1.0000000035138701</v>
      </c>
    </row>
    <row r="8995" spans="1:40" x14ac:dyDescent="0.25">
      <c r="A8995" t="str">
        <f>"20190312160543390"</f>
        <v>20190312160543390</v>
      </c>
      <c r="B8995" t="str">
        <f>"1552377943383680"</f>
        <v>1552377943383680</v>
      </c>
      <c r="C8995" t="s">
        <v>40</v>
      </c>
      <c r="D8995">
        <v>5.7620180000000003</v>
      </c>
      <c r="E8995">
        <v>0.54031879999999999</v>
      </c>
      <c r="F8995" t="s">
        <v>41</v>
      </c>
      <c r="G8995">
        <v>-127.3537</v>
      </c>
      <c r="H8995" s="1">
        <v>-1.4359310000000001E-6</v>
      </c>
      <c r="I8995">
        <v>137.82140000000001</v>
      </c>
      <c r="J8995">
        <v>-163.5401</v>
      </c>
      <c r="K8995">
        <v>1.1091629999999999</v>
      </c>
      <c r="L8995">
        <v>139.06120000000001</v>
      </c>
      <c r="M8995">
        <v>0.99732169999999998</v>
      </c>
      <c r="N8995">
        <v>0</v>
      </c>
      <c r="O8995">
        <v>7.1843039999999997E-2</v>
      </c>
      <c r="P8995">
        <v>0.99471379999999998</v>
      </c>
      <c r="Q8995">
        <v>6.7482799999999996E-2</v>
      </c>
      <c r="R8995">
        <v>7.7400469999999999E-2</v>
      </c>
      <c r="S8995">
        <v>3.030548</v>
      </c>
      <c r="T8995">
        <v>-9.2343690000000006E-2</v>
      </c>
      <c r="U8995">
        <v>-0.1021881</v>
      </c>
      <c r="V8995">
        <v>-5.4639019999999996E-3</v>
      </c>
      <c r="W8995">
        <v>8.1178239999999999E-2</v>
      </c>
      <c r="X8995">
        <v>0.99668460000000003</v>
      </c>
      <c r="Y8995">
        <v>0.1053399</v>
      </c>
      <c r="Z8995">
        <v>-3.791525E-3</v>
      </c>
      <c r="AA8995">
        <v>0.99442909999999995</v>
      </c>
      <c r="AB8995">
        <v>21</v>
      </c>
      <c r="AC8995">
        <v>36.1863999999999</v>
      </c>
      <c r="AD8995">
        <v>-1.109164435931</v>
      </c>
      <c r="AE8995">
        <v>-1.2398</v>
      </c>
      <c r="AF8995">
        <v>3.8329841878509501</v>
      </c>
      <c r="AG8995">
        <v>-1.109164435931</v>
      </c>
      <c r="AH8995">
        <v>35.970040989858397</v>
      </c>
      <c r="AI8995">
        <v>91.756263785778401</v>
      </c>
      <c r="AJ8995">
        <v>83.917488533682004</v>
      </c>
      <c r="AK8995">
        <v>36.190687508561403</v>
      </c>
      <c r="AL8995">
        <v>85.3437056775538</v>
      </c>
      <c r="AM8995">
        <v>90.314096744542596</v>
      </c>
      <c r="AN8995">
        <v>0.99999997637586102</v>
      </c>
    </row>
    <row r="8996" spans="1:40" x14ac:dyDescent="0.25">
      <c r="A8996" t="str">
        <f>"20190312160543411"</f>
        <v>20190312160543411</v>
      </c>
      <c r="B8996" t="str">
        <f>"1552377943404180"</f>
        <v>1552377943404180</v>
      </c>
      <c r="C8996" t="s">
        <v>40</v>
      </c>
      <c r="D8996">
        <v>5.4390479999999997</v>
      </c>
      <c r="E8996">
        <v>0.53928859999999901</v>
      </c>
      <c r="F8996" t="s">
        <v>41</v>
      </c>
      <c r="G8996">
        <v>-123.70229999999999</v>
      </c>
      <c r="H8996" s="1">
        <v>-3.0258509999999998E-6</v>
      </c>
      <c r="I8996">
        <v>137.68899999999999</v>
      </c>
      <c r="J8996">
        <v>-163.33170000000001</v>
      </c>
      <c r="K8996">
        <v>1.1092470000000001</v>
      </c>
      <c r="L8996">
        <v>139.07320000000001</v>
      </c>
      <c r="M8996">
        <v>0.99749580000000004</v>
      </c>
      <c r="N8996">
        <v>0</v>
      </c>
      <c r="O8996">
        <v>6.9386550000000005E-2</v>
      </c>
      <c r="P8996">
        <v>0.99477969999999905</v>
      </c>
      <c r="Q8996">
        <v>6.8019140000000006E-2</v>
      </c>
      <c r="R8996">
        <v>7.6071109999999997E-2</v>
      </c>
      <c r="S8996">
        <v>3.029785</v>
      </c>
      <c r="T8996">
        <v>-8.4355349999999996E-2</v>
      </c>
      <c r="U8996">
        <v>-0.1043549</v>
      </c>
      <c r="V8996">
        <v>-6.6037550000000002E-3</v>
      </c>
      <c r="W8996">
        <v>8.1700540000000002E-2</v>
      </c>
      <c r="X8996">
        <v>0.99663500000000005</v>
      </c>
      <c r="Y8996">
        <v>0.1036246</v>
      </c>
      <c r="Z8996">
        <v>-3.37236E-3</v>
      </c>
      <c r="AA8996">
        <v>0.99461080000000002</v>
      </c>
      <c r="AB8996">
        <v>21</v>
      </c>
      <c r="AC8996">
        <v>39.629399999999997</v>
      </c>
      <c r="AD8996">
        <v>-1.1092500258510001</v>
      </c>
      <c r="AE8996">
        <v>-1.3842000000000201</v>
      </c>
      <c r="AF8996">
        <v>4.12763864637036</v>
      </c>
      <c r="AG8996">
        <v>-1.1092500258510001</v>
      </c>
      <c r="AH8996">
        <v>39.406978664556902</v>
      </c>
      <c r="AI8996">
        <v>91.603600243082496</v>
      </c>
      <c r="AJ8996">
        <v>84.020423731539296</v>
      </c>
      <c r="AK8996">
        <v>39.638085270150199</v>
      </c>
      <c r="AL8996">
        <v>85.313680257669304</v>
      </c>
      <c r="AM8996">
        <v>90.379639239274496</v>
      </c>
      <c r="AN8996">
        <v>0.99999995552069398</v>
      </c>
    </row>
    <row r="8997" spans="1:40" x14ac:dyDescent="0.25">
      <c r="A8997" t="str">
        <f>"20190312160543435"</f>
        <v>20190312160543435</v>
      </c>
      <c r="B8997" t="str">
        <f>"1552377943423696"</f>
        <v>1552377943423696</v>
      </c>
      <c r="C8997" t="s">
        <v>40</v>
      </c>
      <c r="D8997">
        <v>5.306457</v>
      </c>
      <c r="E8997">
        <v>0.53811759999999997</v>
      </c>
      <c r="F8997" t="s">
        <v>41</v>
      </c>
      <c r="G8997">
        <v>-121.69029999999999</v>
      </c>
      <c r="H8997" s="1">
        <v>-3.8877120000000004E-6</v>
      </c>
      <c r="I8997">
        <v>137.6962</v>
      </c>
      <c r="J8997">
        <v>-163.11439999999999</v>
      </c>
      <c r="K8997">
        <v>1.1093109999999999</v>
      </c>
      <c r="L8997">
        <v>139.08529999999999</v>
      </c>
      <c r="M8997">
        <v>0.99766239999999995</v>
      </c>
      <c r="N8997">
        <v>0</v>
      </c>
      <c r="O8997">
        <v>6.6953269999999995E-2</v>
      </c>
      <c r="P8997">
        <v>0.99490190000000001</v>
      </c>
      <c r="Q8997">
        <v>6.8383579999999999E-2</v>
      </c>
      <c r="R8997">
        <v>7.4123430000000004E-2</v>
      </c>
      <c r="S8997">
        <v>3.0289000000000001</v>
      </c>
      <c r="T8997">
        <v>-8.0684420000000007E-2</v>
      </c>
      <c r="U8997">
        <v>-0.1001587</v>
      </c>
      <c r="V8997">
        <v>-7.0963650000000003E-3</v>
      </c>
      <c r="W8997">
        <v>8.2050310000000001E-2</v>
      </c>
      <c r="X8997">
        <v>0.99660300000000002</v>
      </c>
      <c r="Y8997">
        <v>9.9839300000000006E-2</v>
      </c>
      <c r="Z8997">
        <v>-3.1115399999999999E-3</v>
      </c>
      <c r="AA8997">
        <v>0.99499870000000001</v>
      </c>
      <c r="AB8997">
        <v>21</v>
      </c>
      <c r="AC8997">
        <v>41.424100000000003</v>
      </c>
      <c r="AD8997">
        <v>-1.109314887712</v>
      </c>
      <c r="AE8997">
        <v>-1.38909999999998</v>
      </c>
      <c r="AF8997">
        <v>4.1567431183748296</v>
      </c>
      <c r="AG8997">
        <v>-1.109314887712</v>
      </c>
      <c r="AH8997">
        <v>41.20859897183</v>
      </c>
      <c r="AI8997">
        <v>91.534219572669301</v>
      </c>
      <c r="AJ8997">
        <v>84.240013648922599</v>
      </c>
      <c r="AK8997">
        <v>41.432568374328</v>
      </c>
      <c r="AL8997">
        <v>85.293572968005606</v>
      </c>
      <c r="AM8997">
        <v>90.407970769587493</v>
      </c>
      <c r="AN8997">
        <v>1.00000007568815</v>
      </c>
    </row>
    <row r="8998" spans="1:40" x14ac:dyDescent="0.25">
      <c r="A8998" t="str">
        <f>"20190312160543457"</f>
        <v>20190312160543457</v>
      </c>
      <c r="B8998" t="str">
        <f>"1552377943453953"</f>
        <v>1552377943453953</v>
      </c>
      <c r="C8998" t="s">
        <v>40</v>
      </c>
      <c r="D8998">
        <v>6.3670530000000003</v>
      </c>
      <c r="E8998">
        <v>0.53649749999999996</v>
      </c>
      <c r="F8998" t="s">
        <v>41</v>
      </c>
      <c r="G8998">
        <v>-119.07429999999999</v>
      </c>
      <c r="H8998" s="1">
        <v>-8.1712170000000003E-7</v>
      </c>
      <c r="I8998">
        <v>137.67689999999999</v>
      </c>
      <c r="J8998">
        <v>-162.90289999999999</v>
      </c>
      <c r="K8998">
        <v>1.109356</v>
      </c>
      <c r="L8998">
        <v>139.0967</v>
      </c>
      <c r="M8998">
        <v>0.99781129999999996</v>
      </c>
      <c r="N8998">
        <v>0</v>
      </c>
      <c r="O8998">
        <v>6.4697729999999995E-2</v>
      </c>
      <c r="P8998">
        <v>0.99504079999999995</v>
      </c>
      <c r="Q8998">
        <v>6.89863E-2</v>
      </c>
      <c r="R8998">
        <v>7.1658719999999995E-2</v>
      </c>
      <c r="S8998">
        <v>3.027847</v>
      </c>
      <c r="T8998">
        <v>-7.626724E-2</v>
      </c>
      <c r="U8998">
        <v>-9.6832280000000007E-2</v>
      </c>
      <c r="V8998">
        <v>-6.890261E-3</v>
      </c>
      <c r="W8998">
        <v>8.2638639999999999E-2</v>
      </c>
      <c r="X8998">
        <v>0.99655570000000004</v>
      </c>
      <c r="Y8998">
        <v>9.6516859999999996E-2</v>
      </c>
      <c r="Z8998">
        <v>-2.843749E-3</v>
      </c>
      <c r="AA8998">
        <v>0.99532730000000003</v>
      </c>
      <c r="AB8998">
        <v>21</v>
      </c>
      <c r="AC8998">
        <v>43.828600000000002</v>
      </c>
      <c r="AD8998">
        <v>-1.1093568171216901</v>
      </c>
      <c r="AE8998">
        <v>-1.4198</v>
      </c>
      <c r="AF8998">
        <v>4.2499807254226001</v>
      </c>
      <c r="AG8998">
        <v>-1.1093568171216901</v>
      </c>
      <c r="AH8998">
        <v>43.6169770796918</v>
      </c>
      <c r="AI8998">
        <v>91.450085635382095</v>
      </c>
      <c r="AJ8998">
        <v>84.434743166088197</v>
      </c>
      <c r="AK8998">
        <v>43.837583171116101</v>
      </c>
      <c r="AL8998">
        <v>85.259748640560204</v>
      </c>
      <c r="AM8998">
        <v>90.396141012924005</v>
      </c>
      <c r="AN8998">
        <v>0.999999941860092</v>
      </c>
    </row>
    <row r="8999" spans="1:40" x14ac:dyDescent="0.25">
      <c r="A8999" t="str">
        <f>"20190312160543481"</f>
        <v>20190312160543481</v>
      </c>
      <c r="B8999" t="str">
        <f>"1552377943474449"</f>
        <v>1552377943474449</v>
      </c>
      <c r="C8999" t="s">
        <v>40</v>
      </c>
      <c r="D8999">
        <v>5.474939</v>
      </c>
      <c r="E8999">
        <v>0.53577430000000004</v>
      </c>
      <c r="F8999" t="s">
        <v>41</v>
      </c>
      <c r="G8999">
        <v>-117.239</v>
      </c>
      <c r="H8999" s="1">
        <v>-1.502478E-6</v>
      </c>
      <c r="I8999">
        <v>137.72370000000001</v>
      </c>
      <c r="J8999">
        <v>-162.68770000000001</v>
      </c>
      <c r="K8999">
        <v>1.1094109999999999</v>
      </c>
      <c r="L8999">
        <v>139.108</v>
      </c>
      <c r="M8999">
        <v>0.99795100000000003</v>
      </c>
      <c r="N8999">
        <v>0</v>
      </c>
      <c r="O8999">
        <v>6.2507389999999996E-2</v>
      </c>
      <c r="P8999">
        <v>0.99526400000000004</v>
      </c>
      <c r="Q8999">
        <v>6.8935780000000002E-2</v>
      </c>
      <c r="R8999">
        <v>6.8537929999999997E-2</v>
      </c>
      <c r="S8999">
        <v>3.026627</v>
      </c>
      <c r="T8999">
        <v>-7.3528769999999993E-2</v>
      </c>
      <c r="U8999">
        <v>-9.1003420000000002E-2</v>
      </c>
      <c r="V8999">
        <v>-5.96176E-3</v>
      </c>
      <c r="W8999">
        <v>8.2572590000000001E-2</v>
      </c>
      <c r="X8999">
        <v>0.99656719999999999</v>
      </c>
      <c r="Y8999">
        <v>9.2434559999999999E-2</v>
      </c>
      <c r="Z8999">
        <v>-2.6401229999999999E-3</v>
      </c>
      <c r="AA8999">
        <v>0.99571529999999997</v>
      </c>
      <c r="AB8999">
        <v>21</v>
      </c>
      <c r="AC8999">
        <v>45.448700000000002</v>
      </c>
      <c r="AD8999">
        <v>-1.1094125024779999</v>
      </c>
      <c r="AE8999">
        <v>-1.3842999999999901</v>
      </c>
      <c r="AF8999">
        <v>4.2202249172547504</v>
      </c>
      <c r="AG8999">
        <v>-1.1094125024779999</v>
      </c>
      <c r="AH8999">
        <v>45.2463360282906</v>
      </c>
      <c r="AI8999">
        <v>91.398508356460695</v>
      </c>
      <c r="AJ8999">
        <v>84.671314055847205</v>
      </c>
      <c r="AK8999">
        <v>45.456264897567898</v>
      </c>
      <c r="AL8999">
        <v>85.263546184652498</v>
      </c>
      <c r="AM8999">
        <v>90.3427562252771</v>
      </c>
      <c r="AN8999">
        <v>0.999999979658722</v>
      </c>
    </row>
    <row r="9000" spans="1:40" x14ac:dyDescent="0.25">
      <c r="A9000" t="str">
        <f>"20190312160543501"</f>
        <v>20190312160543501</v>
      </c>
      <c r="B9000" t="str">
        <f>"1552377943493970"</f>
        <v>1552377943493970</v>
      </c>
      <c r="C9000" t="s">
        <v>40</v>
      </c>
      <c r="D9000">
        <v>5.3388269999999904</v>
      </c>
      <c r="E9000">
        <v>0.55438359999999998</v>
      </c>
      <c r="F9000" t="s">
        <v>41</v>
      </c>
      <c r="G9000">
        <v>-113.2415</v>
      </c>
      <c r="H9000" s="1">
        <v>-3.2440779999999998E-6</v>
      </c>
      <c r="I9000">
        <v>137.57320000000001</v>
      </c>
      <c r="J9000">
        <v>-162.4847</v>
      </c>
      <c r="K9000">
        <v>1.109464</v>
      </c>
      <c r="L9000">
        <v>139.1182</v>
      </c>
      <c r="M9000">
        <v>0.99807319999999999</v>
      </c>
      <c r="N9000">
        <v>0</v>
      </c>
      <c r="O9000">
        <v>6.0529020000000003E-2</v>
      </c>
      <c r="P9000">
        <v>0.99544940000000004</v>
      </c>
      <c r="Q9000">
        <v>6.9697319999999993E-2</v>
      </c>
      <c r="R9000">
        <v>6.4985089999999995E-2</v>
      </c>
      <c r="S9000">
        <v>3.025436</v>
      </c>
      <c r="T9000">
        <v>-6.7881109999999995E-2</v>
      </c>
      <c r="U9000">
        <v>-9.3902589999999994E-2</v>
      </c>
      <c r="V9000">
        <v>-4.3895180000000002E-3</v>
      </c>
      <c r="W9000">
        <v>8.3318169999999997E-2</v>
      </c>
      <c r="X9000">
        <v>0.99651330000000005</v>
      </c>
      <c r="Y9000">
        <v>9.1433150000000005E-2</v>
      </c>
      <c r="Z9000">
        <v>-2.3827589999999999E-3</v>
      </c>
      <c r="AA9000">
        <v>0.99580840000000004</v>
      </c>
      <c r="AB9000">
        <v>21</v>
      </c>
      <c r="AC9000">
        <v>49.243200000000002</v>
      </c>
      <c r="AD9000">
        <v>-1.109467244078</v>
      </c>
      <c r="AE9000">
        <v>-1.5449999999999799</v>
      </c>
      <c r="AF9000">
        <v>4.52079410478418</v>
      </c>
      <c r="AG9000">
        <v>-1.109467244078</v>
      </c>
      <c r="AH9000">
        <v>49.034500386637902</v>
      </c>
      <c r="AI9000">
        <v>91.290695840249299</v>
      </c>
      <c r="AJ9000">
        <v>84.7324387542225</v>
      </c>
      <c r="AK9000">
        <v>49.254956350307801</v>
      </c>
      <c r="AL9000">
        <v>85.220679841730998</v>
      </c>
      <c r="AM9000">
        <v>90.252379199451894</v>
      </c>
      <c r="AN9000">
        <v>0.99999997119865502</v>
      </c>
    </row>
    <row r="9001" spans="1:40" x14ac:dyDescent="0.25">
      <c r="A9001" t="str">
        <f>"20190312160543524"</f>
        <v>20190312160543524</v>
      </c>
      <c r="B9001" t="str">
        <f>"1552377943514466"</f>
        <v>1552377943514466</v>
      </c>
      <c r="C9001" t="s">
        <v>40</v>
      </c>
      <c r="D9001">
        <v>5.6789069999999997</v>
      </c>
      <c r="E9001">
        <v>0.63631899999999997</v>
      </c>
      <c r="F9001" t="s">
        <v>45</v>
      </c>
      <c r="G9001">
        <v>0</v>
      </c>
      <c r="H9001">
        <v>0</v>
      </c>
      <c r="I9001">
        <v>0</v>
      </c>
      <c r="J9001">
        <v>-162.2784</v>
      </c>
      <c r="K9001">
        <v>1.1095250000000001</v>
      </c>
      <c r="L9001">
        <v>139.1283</v>
      </c>
      <c r="M9001">
        <v>0.99818870000000004</v>
      </c>
      <c r="N9001">
        <v>0</v>
      </c>
      <c r="O9001">
        <v>5.8596530000000001E-2</v>
      </c>
      <c r="P9001">
        <v>0.99566339999999998</v>
      </c>
      <c r="Q9001">
        <v>7.0386089999999998E-2</v>
      </c>
      <c r="R9001">
        <v>6.0832700000000003E-2</v>
      </c>
      <c r="S9001">
        <v>2.9944000000000002</v>
      </c>
      <c r="T9001">
        <v>0.48472379999999998</v>
      </c>
      <c r="U9001">
        <v>-0.22419739999999999</v>
      </c>
      <c r="V9001">
        <v>-2.1722199999999999E-3</v>
      </c>
      <c r="W9001">
        <v>8.3991010000000005E-2</v>
      </c>
      <c r="X9001">
        <v>0.99646409999999996</v>
      </c>
      <c r="Y9001">
        <v>0.130523</v>
      </c>
      <c r="Z9001">
        <v>1.9894709999999999E-2</v>
      </c>
      <c r="AA9001">
        <v>0.99124559999999995</v>
      </c>
      <c r="AB9001">
        <v>21</v>
      </c>
      <c r="AC9001">
        <v>2.9944000000000002</v>
      </c>
      <c r="AD9001">
        <v>0.48472379999999998</v>
      </c>
      <c r="AE9001">
        <v>-0.22419739999999999</v>
      </c>
      <c r="AF9001">
        <v>0.38914939038864099</v>
      </c>
      <c r="AG9001">
        <v>0.48472379999999998</v>
      </c>
      <c r="AH9001">
        <v>2.90053336545181</v>
      </c>
      <c r="AI9001">
        <v>80.595403338052904</v>
      </c>
      <c r="AJ9001">
        <v>82.358556057429695</v>
      </c>
      <c r="AK9001">
        <v>2.9663931321430499</v>
      </c>
      <c r="AL9001">
        <v>85.181993268033196</v>
      </c>
      <c r="AM9001">
        <v>90.124900476622997</v>
      </c>
      <c r="AN9001">
        <v>0.99999995544467801</v>
      </c>
    </row>
    <row r="9002" spans="1:40" x14ac:dyDescent="0.25">
      <c r="A9002" t="str">
        <f>"20190312160543546"</f>
        <v>20190312160543546</v>
      </c>
      <c r="B9002" t="str">
        <f>"1552377943533985"</f>
        <v>1552377943533985</v>
      </c>
      <c r="C9002" t="s">
        <v>40</v>
      </c>
      <c r="D9002">
        <v>5.2977610000000004</v>
      </c>
      <c r="E9002">
        <v>0.63589569999999995</v>
      </c>
      <c r="F9002" t="s">
        <v>130</v>
      </c>
      <c r="G9002">
        <v>-93.300749999999994</v>
      </c>
      <c r="H9002">
        <v>5.0957970000000001</v>
      </c>
      <c r="I9002">
        <v>118.675</v>
      </c>
      <c r="J9002">
        <v>-162.07239999999999</v>
      </c>
      <c r="K9002">
        <v>1.109577</v>
      </c>
      <c r="L9002">
        <v>139.13820000000001</v>
      </c>
      <c r="M9002">
        <v>0.9982955</v>
      </c>
      <c r="N9002">
        <v>0</v>
      </c>
      <c r="O9002">
        <v>5.6746339999999999E-2</v>
      </c>
      <c r="P9002">
        <v>0.99591079999999998</v>
      </c>
      <c r="Q9002">
        <v>7.0512190000000002E-2</v>
      </c>
      <c r="R9002">
        <v>5.6479559999999998E-2</v>
      </c>
      <c r="S9002">
        <v>3.0559690000000002</v>
      </c>
      <c r="T9002">
        <v>0.17660689999999901</v>
      </c>
      <c r="U9002">
        <v>-0.90615840000000003</v>
      </c>
      <c r="V9002">
        <v>3.2900090000000001E-4</v>
      </c>
      <c r="W9002">
        <v>8.4101699999999904E-2</v>
      </c>
      <c r="X9002">
        <v>0.99645709999999998</v>
      </c>
      <c r="Y9002">
        <v>0.337630599999999</v>
      </c>
      <c r="Z9002">
        <v>1.2756450000000001E-2</v>
      </c>
      <c r="AA9002">
        <v>0.94119229999999998</v>
      </c>
      <c r="AB9002">
        <v>21</v>
      </c>
      <c r="AC9002">
        <v>68.771649999999994</v>
      </c>
      <c r="AD9002">
        <v>3.9862199999999999</v>
      </c>
      <c r="AE9002">
        <v>-20.463200000000001</v>
      </c>
      <c r="AF9002">
        <v>24.258250321197</v>
      </c>
      <c r="AG9002">
        <v>3.9862199999999999</v>
      </c>
      <c r="AH9002">
        <v>67.291799777553393</v>
      </c>
      <c r="AI9002">
        <v>86.810356735814096</v>
      </c>
      <c r="AJ9002">
        <v>70.176100783259997</v>
      </c>
      <c r="AK9002">
        <v>71.641740457896404</v>
      </c>
      <c r="AL9002">
        <v>85.175628788872501</v>
      </c>
      <c r="AM9002">
        <v>89.981082615256497</v>
      </c>
      <c r="AN9002">
        <v>0.99999997816244501</v>
      </c>
    </row>
    <row r="9003" spans="1:40" x14ac:dyDescent="0.25">
      <c r="A9003" t="str">
        <f>"20190312160543569"</f>
        <v>20190312160543569</v>
      </c>
      <c r="B9003" t="str">
        <f>"1552377943564244"</f>
        <v>1552377943564244</v>
      </c>
      <c r="C9003" t="s">
        <v>40</v>
      </c>
      <c r="D9003">
        <v>5.3967260000000001</v>
      </c>
      <c r="E9003">
        <v>0.63484969999999996</v>
      </c>
      <c r="F9003" t="s">
        <v>130</v>
      </c>
      <c r="G9003">
        <v>-92.479389999999995</v>
      </c>
      <c r="H9003">
        <v>20.357119999999998</v>
      </c>
      <c r="I9003">
        <v>118.675</v>
      </c>
      <c r="J9003">
        <v>-161.86179999999999</v>
      </c>
      <c r="K9003">
        <v>1.1096220000000001</v>
      </c>
      <c r="L9003">
        <v>139.148</v>
      </c>
      <c r="M9003">
        <v>0.99839690000000003</v>
      </c>
      <c r="N9003">
        <v>0</v>
      </c>
      <c r="O9003">
        <v>5.4938220000000003E-2</v>
      </c>
      <c r="P9003">
        <v>0.99616349999999998</v>
      </c>
      <c r="Q9003">
        <v>7.03178E-2</v>
      </c>
      <c r="R9003">
        <v>5.2095530000000001E-2</v>
      </c>
      <c r="S9003">
        <v>3.0036010000000002</v>
      </c>
      <c r="T9003">
        <v>0.83071430000000002</v>
      </c>
      <c r="U9003">
        <v>-0.88317869999999998</v>
      </c>
      <c r="V9003">
        <v>2.904121E-3</v>
      </c>
      <c r="W9003">
        <v>8.3893590000000004E-2</v>
      </c>
      <c r="X9003">
        <v>0.99647050000000004</v>
      </c>
      <c r="Y9003">
        <v>0.32131110000000002</v>
      </c>
      <c r="Z9003">
        <v>5.7402340000000003E-2</v>
      </c>
      <c r="AA9003">
        <v>0.94523230000000003</v>
      </c>
      <c r="AB9003">
        <v>21</v>
      </c>
      <c r="AC9003">
        <v>69.382409999999894</v>
      </c>
      <c r="AD9003">
        <v>19.247498</v>
      </c>
      <c r="AE9003">
        <v>-20.472999999999999</v>
      </c>
      <c r="AF9003">
        <v>22.650657962334201</v>
      </c>
      <c r="AG9003">
        <v>19.247498</v>
      </c>
      <c r="AH9003">
        <v>63.646967783646197</v>
      </c>
      <c r="AI9003">
        <v>74.097415418362601</v>
      </c>
      <c r="AJ9003">
        <v>70.410392788403399</v>
      </c>
      <c r="AK9003">
        <v>70.245675976811299</v>
      </c>
      <c r="AL9003">
        <v>85.187595070040601</v>
      </c>
      <c r="AM9003">
        <v>89.833017228915494</v>
      </c>
      <c r="AN9003">
        <v>1.00000001286606</v>
      </c>
    </row>
    <row r="9004" spans="1:40" x14ac:dyDescent="0.25">
      <c r="A9004" t="str">
        <f>"20190312160543590"</f>
        <v>20190312160543590</v>
      </c>
      <c r="B9004" t="str">
        <f>"1552377943583761"</f>
        <v>1552377943583761</v>
      </c>
      <c r="C9004" t="s">
        <v>40</v>
      </c>
      <c r="D9004">
        <v>5.2765659999999999</v>
      </c>
      <c r="E9004">
        <v>0.6320289</v>
      </c>
      <c r="F9004" t="s">
        <v>130</v>
      </c>
      <c r="G9004">
        <v>-92.84599</v>
      </c>
      <c r="H9004">
        <v>19.53312</v>
      </c>
      <c r="I9004">
        <v>118.675</v>
      </c>
      <c r="J9004">
        <v>-161.65209999999999</v>
      </c>
      <c r="K9004">
        <v>1.1096619999999999</v>
      </c>
      <c r="L9004">
        <v>139.1574</v>
      </c>
      <c r="M9004">
        <v>0.99849010000000005</v>
      </c>
      <c r="N9004">
        <v>0</v>
      </c>
      <c r="O9004">
        <v>5.3218790000000002E-2</v>
      </c>
      <c r="P9004">
        <v>0.99642220000000004</v>
      </c>
      <c r="Q9004">
        <v>6.9635779999999994E-2</v>
      </c>
      <c r="R9004">
        <v>4.7892730000000001E-2</v>
      </c>
      <c r="S9004">
        <v>3.001541</v>
      </c>
      <c r="T9004">
        <v>0.80124969999999995</v>
      </c>
      <c r="U9004">
        <v>-0.89038090000000003</v>
      </c>
      <c r="V9004">
        <v>5.3882219999999998E-3</v>
      </c>
      <c r="W9004">
        <v>8.3199369999999995E-2</v>
      </c>
      <c r="X9004">
        <v>0.99651840000000003</v>
      </c>
      <c r="Y9004">
        <v>0.3228472</v>
      </c>
      <c r="Z9004">
        <v>5.5204499999999997E-2</v>
      </c>
      <c r="AA9004">
        <v>0.94483980000000001</v>
      </c>
      <c r="AB9004">
        <v>21</v>
      </c>
      <c r="AC9004">
        <v>68.806109999999904</v>
      </c>
      <c r="AD9004">
        <v>18.423458</v>
      </c>
      <c r="AE9004">
        <v>-20.482399999999998</v>
      </c>
      <c r="AF9004">
        <v>22.625403372191599</v>
      </c>
      <c r="AG9004">
        <v>18.423458</v>
      </c>
      <c r="AH9004">
        <v>63.440330372175097</v>
      </c>
      <c r="AI9004">
        <v>74.702024662762199</v>
      </c>
      <c r="AJ9004">
        <v>70.371697160076806</v>
      </c>
      <c r="AK9004">
        <v>69.828419716923804</v>
      </c>
      <c r="AL9004">
        <v>85.227510648321996</v>
      </c>
      <c r="AM9004">
        <v>89.6902020362961</v>
      </c>
      <c r="AN9004">
        <v>1.00000004482163</v>
      </c>
    </row>
    <row r="9005" spans="1:40" x14ac:dyDescent="0.25">
      <c r="A9005" t="str">
        <f>"20190312160543613"</f>
        <v>20190312160543613</v>
      </c>
      <c r="B9005" t="str">
        <f>"1552377943604257"</f>
        <v>1552377943604257</v>
      </c>
      <c r="C9005" t="s">
        <v>40</v>
      </c>
      <c r="D9005">
        <v>4.9697550000000001</v>
      </c>
      <c r="E9005">
        <v>0.62971009999999905</v>
      </c>
      <c r="F9005" t="s">
        <v>130</v>
      </c>
      <c r="G9005">
        <v>-92.205359999999999</v>
      </c>
      <c r="H9005">
        <v>19.14358</v>
      </c>
      <c r="I9005">
        <v>118.6949</v>
      </c>
      <c r="J9005">
        <v>-161.44710000000001</v>
      </c>
      <c r="K9005">
        <v>1.109677</v>
      </c>
      <c r="L9005">
        <v>139.16630000000001</v>
      </c>
      <c r="M9005">
        <v>0.99857549999999995</v>
      </c>
      <c r="N9005">
        <v>0</v>
      </c>
      <c r="O9005">
        <v>5.1593890000000003E-2</v>
      </c>
      <c r="P9005">
        <v>0.996583</v>
      </c>
      <c r="Q9005">
        <v>6.9499850000000002E-2</v>
      </c>
      <c r="R9005">
        <v>4.4637610000000001E-2</v>
      </c>
      <c r="S9005">
        <v>2.9988250000000001</v>
      </c>
      <c r="T9005">
        <v>0.77873479999999995</v>
      </c>
      <c r="U9005">
        <v>-0.883606</v>
      </c>
      <c r="V9005">
        <v>7.0188289999999999E-3</v>
      </c>
      <c r="W9005">
        <v>8.3053500000000002E-2</v>
      </c>
      <c r="X9005">
        <v>0.99652039999999997</v>
      </c>
      <c r="Y9005">
        <v>0.32034679999999999</v>
      </c>
      <c r="Z9005">
        <v>5.304097E-2</v>
      </c>
      <c r="AA9005">
        <v>0.9458143</v>
      </c>
      <c r="AB9005">
        <v>21</v>
      </c>
      <c r="AC9005">
        <v>69.241739999999993</v>
      </c>
      <c r="AD9005">
        <v>18.033902999999999</v>
      </c>
      <c r="AE9005">
        <v>-20.471399999999999</v>
      </c>
      <c r="AF9005">
        <v>22.606689888140799</v>
      </c>
      <c r="AG9005">
        <v>18.033902999999999</v>
      </c>
      <c r="AH9005">
        <v>64.094919391172297</v>
      </c>
      <c r="AI9005">
        <v>75.139486206195897</v>
      </c>
      <c r="AJ9005">
        <v>70.571926438342004</v>
      </c>
      <c r="AK9005">
        <v>70.316731841524401</v>
      </c>
      <c r="AL9005">
        <v>85.235897328154095</v>
      </c>
      <c r="AM9005">
        <v>89.596453189516595</v>
      </c>
      <c r="AN9005">
        <v>1.0000000277194701</v>
      </c>
    </row>
    <row r="9006" spans="1:40" x14ac:dyDescent="0.25">
      <c r="A9006" t="str">
        <f>"20190312160543636"</f>
        <v>20190312160543636</v>
      </c>
      <c r="B9006" t="str">
        <f>"1552377943623777"</f>
        <v>1552377943623777</v>
      </c>
      <c r="C9006" t="s">
        <v>40</v>
      </c>
      <c r="D9006">
        <v>5.4325109999999999</v>
      </c>
      <c r="E9006">
        <v>0.62902639999999999</v>
      </c>
      <c r="F9006" t="s">
        <v>130</v>
      </c>
      <c r="G9006">
        <v>-92.205539999999999</v>
      </c>
      <c r="H9006">
        <v>18.590160000000001</v>
      </c>
      <c r="I9006">
        <v>118.89230000000001</v>
      </c>
      <c r="J9006">
        <v>-161.2336</v>
      </c>
      <c r="K9006">
        <v>1.1096919999999999</v>
      </c>
      <c r="L9006">
        <v>139.17529999999999</v>
      </c>
      <c r="M9006">
        <v>0.99865950000000003</v>
      </c>
      <c r="N9006">
        <v>0</v>
      </c>
      <c r="O9006">
        <v>4.9944450000000001E-2</v>
      </c>
      <c r="P9006">
        <v>0.99673089999999998</v>
      </c>
      <c r="Q9006">
        <v>6.9063319999999997E-2</v>
      </c>
      <c r="R9006">
        <v>4.1931650000000001E-2</v>
      </c>
      <c r="S9006">
        <v>2.996826</v>
      </c>
      <c r="T9006">
        <v>0.75656800000000002</v>
      </c>
      <c r="U9006">
        <v>-0.87747189999999997</v>
      </c>
      <c r="V9006">
        <v>8.0770229999999991E-3</v>
      </c>
      <c r="W9006">
        <v>8.2609169999999996E-2</v>
      </c>
      <c r="X9006">
        <v>0.99654929999999997</v>
      </c>
      <c r="Y9006">
        <v>0.31790659999999998</v>
      </c>
      <c r="Z9006">
        <v>5.092058E-2</v>
      </c>
      <c r="AA9006">
        <v>0.94675370000000003</v>
      </c>
      <c r="AB9006">
        <v>21</v>
      </c>
      <c r="AC9006">
        <v>69.028059999999996</v>
      </c>
      <c r="AD9006">
        <v>17.480467999999998</v>
      </c>
      <c r="AE9006">
        <v>-20.282999999999902</v>
      </c>
      <c r="AF9006">
        <v>22.3841817318464</v>
      </c>
      <c r="AG9006">
        <v>17.480467999999998</v>
      </c>
      <c r="AH9006">
        <v>64.1423182097477</v>
      </c>
      <c r="AI9006">
        <v>75.570341384363402</v>
      </c>
      <c r="AJ9006">
        <v>70.762197022807598</v>
      </c>
      <c r="AK9006">
        <v>70.148808533173806</v>
      </c>
      <c r="AL9006">
        <v>85.261443265477794</v>
      </c>
      <c r="AM9006">
        <v>89.535628397040199</v>
      </c>
      <c r="AN9006">
        <v>1.0000000102995601</v>
      </c>
    </row>
    <row r="9007" spans="1:40" x14ac:dyDescent="0.25">
      <c r="A9007" t="str">
        <f>"20190312160543658"</f>
        <v>20190312160543658</v>
      </c>
      <c r="B9007" t="str">
        <f>"1552377943654033"</f>
        <v>1552377943654033</v>
      </c>
      <c r="C9007" t="s">
        <v>40</v>
      </c>
      <c r="D9007">
        <v>5.246715</v>
      </c>
      <c r="E9007">
        <v>0.62610959999999904</v>
      </c>
      <c r="F9007" t="s">
        <v>130</v>
      </c>
      <c r="G9007">
        <v>-92.205629999999999</v>
      </c>
      <c r="H9007">
        <v>18.333269999999999</v>
      </c>
      <c r="I9007">
        <v>118.8698</v>
      </c>
      <c r="J9007">
        <v>-161.02359999999999</v>
      </c>
      <c r="K9007">
        <v>1.109704</v>
      </c>
      <c r="L9007">
        <v>139.18389999999999</v>
      </c>
      <c r="M9007">
        <v>0.99873800000000001</v>
      </c>
      <c r="N9007">
        <v>0</v>
      </c>
      <c r="O9007">
        <v>4.8351850000000002E-2</v>
      </c>
      <c r="P9007">
        <v>0.99686660000000005</v>
      </c>
      <c r="Q9007">
        <v>6.8099699999999999E-2</v>
      </c>
      <c r="R9007">
        <v>4.0247600000000001E-2</v>
      </c>
      <c r="S9007">
        <v>2.9951319999999999</v>
      </c>
      <c r="T9007">
        <v>0.74733340000000004</v>
      </c>
      <c r="U9007">
        <v>-0.88105769999999906</v>
      </c>
      <c r="V9007">
        <v>8.1711949999999992E-3</v>
      </c>
      <c r="W9007">
        <v>8.1641610000000003E-2</v>
      </c>
      <c r="X9007">
        <v>0.99662830000000002</v>
      </c>
      <c r="Y9007">
        <v>0.3178839</v>
      </c>
      <c r="Z9007">
        <v>4.9947890000000002E-2</v>
      </c>
      <c r="AA9007">
        <v>0.94681309999999996</v>
      </c>
      <c r="AB9007">
        <v>21</v>
      </c>
      <c r="AC9007">
        <v>68.817969999999903</v>
      </c>
      <c r="AD9007">
        <v>17.223566000000002</v>
      </c>
      <c r="AE9007">
        <v>-20.3141</v>
      </c>
      <c r="AF9007">
        <v>22.3314241395049</v>
      </c>
      <c r="AG9007">
        <v>17.223566000000002</v>
      </c>
      <c r="AH9007">
        <v>64.063906741807003</v>
      </c>
      <c r="AI9007">
        <v>75.755349555851694</v>
      </c>
      <c r="AJ9007">
        <v>70.782444971422606</v>
      </c>
      <c r="AK9007">
        <v>69.996627610748305</v>
      </c>
      <c r="AL9007">
        <v>85.317068433714994</v>
      </c>
      <c r="AM9007">
        <v>89.530251652385701</v>
      </c>
      <c r="AN9007">
        <v>1.000000044636</v>
      </c>
    </row>
    <row r="9008" spans="1:40" x14ac:dyDescent="0.25">
      <c r="A9008" t="str">
        <f>"20190312160543681"</f>
        <v>20190312160543681</v>
      </c>
      <c r="B9008" t="str">
        <f>"1552377943674528"</f>
        <v>1552377943674528</v>
      </c>
      <c r="C9008" t="s">
        <v>40</v>
      </c>
      <c r="D9008">
        <v>5.445881</v>
      </c>
      <c r="E9008">
        <v>0.53064940000000005</v>
      </c>
      <c r="F9008" t="s">
        <v>130</v>
      </c>
      <c r="G9008">
        <v>-91.792720000000003</v>
      </c>
      <c r="H9008">
        <v>8.4903499999999994</v>
      </c>
      <c r="I9008">
        <v>119.02379999999999</v>
      </c>
      <c r="J9008">
        <v>-160.81790000000001</v>
      </c>
      <c r="K9008">
        <v>1.109696</v>
      </c>
      <c r="L9008">
        <v>139.19200000000001</v>
      </c>
      <c r="M9008">
        <v>0.99881149999999996</v>
      </c>
      <c r="N9008">
        <v>0</v>
      </c>
      <c r="O9008">
        <v>4.6806269999999997E-2</v>
      </c>
      <c r="P9008">
        <v>0.99701189999999995</v>
      </c>
      <c r="Q9008">
        <v>6.7398070000000004E-2</v>
      </c>
      <c r="R9008">
        <v>3.7748230000000001E-2</v>
      </c>
      <c r="S9008">
        <v>3.0229339999999998</v>
      </c>
      <c r="T9008">
        <v>0.32227250000000002</v>
      </c>
      <c r="U9008">
        <v>-0.88027949999999999</v>
      </c>
      <c r="V9008">
        <v>9.1288789999999995E-3</v>
      </c>
      <c r="W9008">
        <v>8.0933469999999993E-2</v>
      </c>
      <c r="X9008">
        <v>0.9966777</v>
      </c>
      <c r="Y9008">
        <v>0.32228970000000001</v>
      </c>
      <c r="Z9008">
        <v>2.166796E-2</v>
      </c>
      <c r="AA9008">
        <v>0.94639309999999999</v>
      </c>
      <c r="AB9008">
        <v>21</v>
      </c>
      <c r="AC9008">
        <v>69.025180000000006</v>
      </c>
      <c r="AD9008">
        <v>7.3806539999999901</v>
      </c>
      <c r="AE9008">
        <v>-20.168199999999999</v>
      </c>
      <c r="AF9008">
        <v>23.1335112573495</v>
      </c>
      <c r="AG9008">
        <v>7.3806539999999901</v>
      </c>
      <c r="AH9008">
        <v>67.296522562112202</v>
      </c>
      <c r="AI9008">
        <v>84.078641089101197</v>
      </c>
      <c r="AJ9008">
        <v>71.029339684636696</v>
      </c>
      <c r="AK9008">
        <v>71.543380864441303</v>
      </c>
      <c r="AL9008">
        <v>85.357776375766505</v>
      </c>
      <c r="AM9008">
        <v>89.475224927283094</v>
      </c>
      <c r="AN9008">
        <v>1.0000000003376599</v>
      </c>
    </row>
    <row r="9009" spans="1:40" x14ac:dyDescent="0.25">
      <c r="A9009" t="str">
        <f>"20190312160543702"</f>
        <v>20190312160543702</v>
      </c>
      <c r="B9009" t="str">
        <f>"1552377943694049"</f>
        <v>1552377943694049</v>
      </c>
      <c r="C9009" t="s">
        <v>40</v>
      </c>
      <c r="D9009">
        <v>5.7310990000000004</v>
      </c>
      <c r="E9009">
        <v>0.51721779999999995</v>
      </c>
      <c r="F9009" t="s">
        <v>45</v>
      </c>
      <c r="G9009">
        <v>0</v>
      </c>
      <c r="H9009">
        <v>0</v>
      </c>
      <c r="I9009">
        <v>0</v>
      </c>
      <c r="J9009">
        <v>-160.61580000000001</v>
      </c>
      <c r="K9009">
        <v>1.109699</v>
      </c>
      <c r="L9009">
        <v>139.1996</v>
      </c>
      <c r="M9009">
        <v>0.99888160000000004</v>
      </c>
      <c r="N9009">
        <v>0</v>
      </c>
      <c r="O9009">
        <v>4.5290049999999998E-2</v>
      </c>
      <c r="P9009">
        <v>0.99703569999999997</v>
      </c>
      <c r="Q9009">
        <v>6.7700040000000003E-2</v>
      </c>
      <c r="R9009">
        <v>3.6563329999999998E-2</v>
      </c>
      <c r="S9009">
        <v>2.990097</v>
      </c>
      <c r="T9009">
        <v>0.34967179999999998</v>
      </c>
      <c r="U9009">
        <v>-0.1252289</v>
      </c>
      <c r="V9009">
        <v>8.8002789999999994E-3</v>
      </c>
      <c r="W9009">
        <v>8.1230990000000003E-2</v>
      </c>
      <c r="X9009">
        <v>0.99665649999999995</v>
      </c>
      <c r="Y9009">
        <v>8.6161600000000005E-2</v>
      </c>
      <c r="Z9009">
        <v>1.0295189999999999E-2</v>
      </c>
      <c r="AA9009">
        <v>0.996228</v>
      </c>
      <c r="AB9009">
        <v>21</v>
      </c>
      <c r="AC9009">
        <v>2.990097</v>
      </c>
      <c r="AD9009">
        <v>0.34967179999999998</v>
      </c>
      <c r="AE9009">
        <v>-0.1252289</v>
      </c>
      <c r="AF9009">
        <v>0.25702564405825601</v>
      </c>
      <c r="AG9009">
        <v>0.34967179999999998</v>
      </c>
      <c r="AH9009">
        <v>2.94120339946336</v>
      </c>
      <c r="AI9009">
        <v>83.245583835077895</v>
      </c>
      <c r="AJ9009">
        <v>85.005728446893897</v>
      </c>
      <c r="AK9009">
        <v>2.9730472560041199</v>
      </c>
      <c r="AL9009">
        <v>85.340673648859195</v>
      </c>
      <c r="AM9009">
        <v>89.494102790703707</v>
      </c>
      <c r="AN9009">
        <v>1.00000004881955</v>
      </c>
    </row>
    <row r="9010" spans="1:40" x14ac:dyDescent="0.25">
      <c r="A9010" t="str">
        <f>"20190312160543724"</f>
        <v>20190312160543724</v>
      </c>
      <c r="B9010" t="str">
        <f>"1552377943714544"</f>
        <v>1552377943714544</v>
      </c>
      <c r="C9010" t="s">
        <v>40</v>
      </c>
      <c r="D9010">
        <v>5.4726629999999998</v>
      </c>
      <c r="E9010">
        <v>0.5118277</v>
      </c>
      <c r="F9010" t="s">
        <v>45</v>
      </c>
      <c r="G9010">
        <v>0</v>
      </c>
      <c r="H9010">
        <v>0</v>
      </c>
      <c r="I9010">
        <v>0</v>
      </c>
      <c r="J9010">
        <v>-160.41139999999999</v>
      </c>
      <c r="K9010">
        <v>1.1096889999999999</v>
      </c>
      <c r="L9010">
        <v>139.2071</v>
      </c>
      <c r="M9010">
        <v>0.99895020000000001</v>
      </c>
      <c r="N9010">
        <v>0</v>
      </c>
      <c r="O9010">
        <v>4.3750730000000002E-2</v>
      </c>
      <c r="P9010">
        <v>0.99700949999999999</v>
      </c>
      <c r="Q9010">
        <v>6.8494550000000001E-2</v>
      </c>
      <c r="R9010">
        <v>3.5787119999999999E-2</v>
      </c>
      <c r="S9010">
        <v>2.9973299999999998</v>
      </c>
      <c r="T9010">
        <v>0.1862876</v>
      </c>
      <c r="U9010">
        <v>-2.842712E-2</v>
      </c>
      <c r="V9010">
        <v>8.0402749999999995E-3</v>
      </c>
      <c r="W9010">
        <v>8.2022280000000003E-2</v>
      </c>
      <c r="X9010">
        <v>0.99659810000000004</v>
      </c>
      <c r="Y9010">
        <v>5.3040709999999998E-2</v>
      </c>
      <c r="Z9010">
        <v>4.3628649999999996E-3</v>
      </c>
      <c r="AA9010">
        <v>0.99858279999999999</v>
      </c>
      <c r="AB9010">
        <v>21</v>
      </c>
      <c r="AC9010">
        <v>2.9973299999999998</v>
      </c>
      <c r="AD9010">
        <v>0.1862876</v>
      </c>
      <c r="AE9010">
        <v>-2.842712E-2</v>
      </c>
      <c r="AF9010">
        <v>0.15893349322925801</v>
      </c>
      <c r="AG9010">
        <v>0.1862876</v>
      </c>
      <c r="AH9010">
        <v>2.9816990605616902</v>
      </c>
      <c r="AI9010">
        <v>86.430033315804494</v>
      </c>
      <c r="AJ9010">
        <v>86.948850756463301</v>
      </c>
      <c r="AK9010">
        <v>2.9917373235192799</v>
      </c>
      <c r="AL9010">
        <v>85.295184216234105</v>
      </c>
      <c r="AM9010">
        <v>89.537763689076002</v>
      </c>
      <c r="AN9010">
        <v>1.00000003668104</v>
      </c>
    </row>
    <row r="9011" spans="1:40" x14ac:dyDescent="0.25">
      <c r="A9011" t="str">
        <f>"20190312160543746"</f>
        <v>20190312160543746</v>
      </c>
      <c r="B9011" t="str">
        <f>"1552377943734066"</f>
        <v>1552377943734066</v>
      </c>
      <c r="C9011" t="s">
        <v>40</v>
      </c>
      <c r="D9011">
        <v>5.2954780000000001</v>
      </c>
      <c r="E9011">
        <v>0.50961690000000004</v>
      </c>
      <c r="F9011" t="s">
        <v>45</v>
      </c>
      <c r="G9011">
        <v>0</v>
      </c>
      <c r="H9011">
        <v>0</v>
      </c>
      <c r="I9011">
        <v>0</v>
      </c>
      <c r="J9011">
        <v>-160.2046</v>
      </c>
      <c r="K9011">
        <v>1.1096779999999999</v>
      </c>
      <c r="L9011">
        <v>139.21430000000001</v>
      </c>
      <c r="M9011">
        <v>0.9990175</v>
      </c>
      <c r="N9011">
        <v>0</v>
      </c>
      <c r="O9011">
        <v>4.2185090000000001E-2</v>
      </c>
      <c r="P9011">
        <v>0.99709729999999996</v>
      </c>
      <c r="Q9011">
        <v>6.761209E-2</v>
      </c>
      <c r="R9011">
        <v>3.5011180000000003E-2</v>
      </c>
      <c r="S9011">
        <v>2.9962460000000002</v>
      </c>
      <c r="T9011">
        <v>0.1797388</v>
      </c>
      <c r="U9011">
        <v>1.1825560000000001E-2</v>
      </c>
      <c r="V9011">
        <v>7.2556449999999998E-3</v>
      </c>
      <c r="W9011">
        <v>8.113832E-2</v>
      </c>
      <c r="X9011">
        <v>0.99667640000000002</v>
      </c>
      <c r="Y9011">
        <v>3.8101110000000001E-2</v>
      </c>
      <c r="Z9011">
        <v>3.6697069999999999E-3</v>
      </c>
      <c r="AA9011">
        <v>0.99926720000000002</v>
      </c>
      <c r="AB9011">
        <v>21</v>
      </c>
      <c r="AC9011">
        <v>2.9962460000000002</v>
      </c>
      <c r="AD9011">
        <v>0.1797388</v>
      </c>
      <c r="AE9011">
        <v>1.1825560000000001E-2</v>
      </c>
      <c r="AF9011">
        <v>0.114182648122598</v>
      </c>
      <c r="AG9011">
        <v>0.1797388</v>
      </c>
      <c r="AH9011">
        <v>2.9833416299737299</v>
      </c>
      <c r="AI9011">
        <v>86.554757823052697</v>
      </c>
      <c r="AJ9011">
        <v>87.8081651384758</v>
      </c>
      <c r="AK9011">
        <v>2.9909314593437402</v>
      </c>
      <c r="AL9011">
        <v>85.346000413405307</v>
      </c>
      <c r="AM9011">
        <v>89.5829032446496</v>
      </c>
      <c r="AN9011">
        <v>0.99999995883687298</v>
      </c>
    </row>
    <row r="9012" spans="1:40" x14ac:dyDescent="0.25">
      <c r="A9012" t="str">
        <f>"20190312160543769"</f>
        <v>20190312160543769</v>
      </c>
      <c r="B9012" t="str">
        <f>"1552377943764323"</f>
        <v>1552377943764323</v>
      </c>
      <c r="C9012" t="s">
        <v>40</v>
      </c>
      <c r="D9012">
        <v>5.2699569999999998</v>
      </c>
      <c r="E9012">
        <v>0.5075537</v>
      </c>
      <c r="F9012" t="s">
        <v>45</v>
      </c>
      <c r="G9012">
        <v>0</v>
      </c>
      <c r="H9012">
        <v>0</v>
      </c>
      <c r="I9012">
        <v>0</v>
      </c>
      <c r="J9012">
        <v>-159.9991</v>
      </c>
      <c r="K9012">
        <v>1.109667</v>
      </c>
      <c r="L9012">
        <v>139.22110000000001</v>
      </c>
      <c r="M9012">
        <v>0.99908249999999998</v>
      </c>
      <c r="N9012">
        <v>0</v>
      </c>
      <c r="O9012">
        <v>4.0620139999999999E-2</v>
      </c>
      <c r="P9012">
        <v>0.99722750000000004</v>
      </c>
      <c r="Q9012">
        <v>6.6391329999999998E-2</v>
      </c>
      <c r="R9012">
        <v>3.3608970000000002E-2</v>
      </c>
      <c r="S9012">
        <v>2.996292</v>
      </c>
      <c r="T9012">
        <v>0.169824799999999</v>
      </c>
      <c r="U9012">
        <v>2.674866E-2</v>
      </c>
      <c r="V9012">
        <v>7.0985769999999896E-3</v>
      </c>
      <c r="W9012">
        <v>7.9915399999999998E-2</v>
      </c>
      <c r="X9012">
        <v>0.99677640000000001</v>
      </c>
      <c r="Y9012">
        <v>3.1586889999999999E-2</v>
      </c>
      <c r="Z9012">
        <v>3.194433E-3</v>
      </c>
      <c r="AA9012">
        <v>0.99949589999999999</v>
      </c>
      <c r="AB9012">
        <v>21</v>
      </c>
      <c r="AC9012">
        <v>2.996292</v>
      </c>
      <c r="AD9012">
        <v>0.169824799999999</v>
      </c>
      <c r="AE9012">
        <v>2.674866E-2</v>
      </c>
      <c r="AF9012">
        <v>9.46902682064968E-2</v>
      </c>
      <c r="AG9012">
        <v>0.169824799999999</v>
      </c>
      <c r="AH9012">
        <v>2.9853158633844501</v>
      </c>
      <c r="AI9012">
        <v>86.745773696907804</v>
      </c>
      <c r="AJ9012">
        <v>88.183262797420596</v>
      </c>
      <c r="AK9012">
        <v>2.99164127424444</v>
      </c>
      <c r="AL9012">
        <v>85.416297177264596</v>
      </c>
      <c r="AM9012">
        <v>89.591973057234597</v>
      </c>
      <c r="AN9012">
        <v>1.0000000262747699</v>
      </c>
    </row>
    <row r="9013" spans="1:40" x14ac:dyDescent="0.25">
      <c r="A9013" t="str">
        <f>"20190312160543791"</f>
        <v>20190312160543791</v>
      </c>
      <c r="B9013" t="str">
        <f>"1552377943783841"</f>
        <v>1552377943783841</v>
      </c>
      <c r="C9013" t="s">
        <v>40</v>
      </c>
      <c r="D9013">
        <v>5.2139850000000001</v>
      </c>
      <c r="E9013">
        <v>0.50721989999999995</v>
      </c>
      <c r="F9013" t="s">
        <v>45</v>
      </c>
      <c r="G9013">
        <v>0</v>
      </c>
      <c r="H9013">
        <v>0</v>
      </c>
      <c r="I9013">
        <v>0</v>
      </c>
      <c r="J9013">
        <v>-159.7946</v>
      </c>
      <c r="K9013">
        <v>1.1096520000000001</v>
      </c>
      <c r="L9013">
        <v>139.2276</v>
      </c>
      <c r="M9013">
        <v>0.9991449</v>
      </c>
      <c r="N9013">
        <v>0</v>
      </c>
      <c r="O9013">
        <v>3.9053549999999999E-2</v>
      </c>
      <c r="P9013">
        <v>0.99730419999999997</v>
      </c>
      <c r="Q9013">
        <v>6.5875710000000004E-2</v>
      </c>
      <c r="R9013">
        <v>3.2321099999999998E-2</v>
      </c>
      <c r="S9013">
        <v>2.9966430000000002</v>
      </c>
      <c r="T9013">
        <v>0.15625749999999999</v>
      </c>
      <c r="U9013">
        <v>3.8650509999999999E-2</v>
      </c>
      <c r="V9013">
        <v>6.8244400000000002E-3</v>
      </c>
      <c r="W9013">
        <v>7.9397300000000004E-2</v>
      </c>
      <c r="X9013">
        <v>0.99681969999999998</v>
      </c>
      <c r="Y9013">
        <v>2.6078440000000001E-2</v>
      </c>
      <c r="Z9013">
        <v>2.71405E-3</v>
      </c>
      <c r="AA9013">
        <v>0.99965619999999999</v>
      </c>
      <c r="AB9013">
        <v>21</v>
      </c>
      <c r="AC9013">
        <v>2.9966430000000002</v>
      </c>
      <c r="AD9013">
        <v>0.15625749999999999</v>
      </c>
      <c r="AE9013">
        <v>3.8650509999999999E-2</v>
      </c>
      <c r="AF9013">
        <v>7.8206703633842495E-2</v>
      </c>
      <c r="AG9013">
        <v>0.15625749999999999</v>
      </c>
      <c r="AH9013">
        <v>2.9877437044633699</v>
      </c>
      <c r="AI9013">
        <v>87.007210275473696</v>
      </c>
      <c r="AJ9013">
        <v>88.5005771884707</v>
      </c>
      <c r="AK9013">
        <v>2.9928490002604602</v>
      </c>
      <c r="AL9013">
        <v>85.446076670607695</v>
      </c>
      <c r="AM9013">
        <v>89.607747017113596</v>
      </c>
      <c r="AN9013">
        <v>1.0000000092683401</v>
      </c>
    </row>
    <row r="9014" spans="1:40" x14ac:dyDescent="0.25">
      <c r="A9014" t="str">
        <f>"20190312160543814"</f>
        <v>20190312160543814</v>
      </c>
      <c r="B9014" t="str">
        <f>"1552377943804337"</f>
        <v>1552377943804337</v>
      </c>
      <c r="C9014" t="s">
        <v>40</v>
      </c>
      <c r="D9014">
        <v>5.4646530000000002</v>
      </c>
      <c r="E9014">
        <v>0.50689839999999997</v>
      </c>
      <c r="F9014" t="s">
        <v>45</v>
      </c>
      <c r="G9014">
        <v>0</v>
      </c>
      <c r="H9014">
        <v>0</v>
      </c>
      <c r="I9014">
        <v>0</v>
      </c>
      <c r="J9014">
        <v>-159.589</v>
      </c>
      <c r="K9014">
        <v>1.1096459999999999</v>
      </c>
      <c r="L9014">
        <v>139.2337</v>
      </c>
      <c r="M9014">
        <v>0.99920569999999997</v>
      </c>
      <c r="N9014">
        <v>0</v>
      </c>
      <c r="O9014">
        <v>3.7471379999999999E-2</v>
      </c>
      <c r="P9014">
        <v>0.99728760000000005</v>
      </c>
      <c r="Q9014">
        <v>6.6645190000000007E-2</v>
      </c>
      <c r="R9014">
        <v>3.1242869999999999E-2</v>
      </c>
      <c r="S9014">
        <v>2.9969790000000001</v>
      </c>
      <c r="T9014">
        <v>0.150286999999999</v>
      </c>
      <c r="U9014">
        <v>3.7292480000000003E-2</v>
      </c>
      <c r="V9014">
        <v>6.3241510000000001E-3</v>
      </c>
      <c r="W9014">
        <v>8.0163990000000004E-2</v>
      </c>
      <c r="X9014">
        <v>0.99676160000000003</v>
      </c>
      <c r="Y9014">
        <v>2.4959849999999999E-2</v>
      </c>
      <c r="Z9014">
        <v>2.5029309999999999E-3</v>
      </c>
      <c r="AA9014">
        <v>0.9996853</v>
      </c>
      <c r="AB9014">
        <v>21</v>
      </c>
      <c r="AC9014">
        <v>2.9969790000000001</v>
      </c>
      <c r="AD9014">
        <v>0.150286999999999</v>
      </c>
      <c r="AE9014">
        <v>3.7292480000000003E-2</v>
      </c>
      <c r="AF9014">
        <v>7.4856771237876096E-2</v>
      </c>
      <c r="AG9014">
        <v>0.150286999999999</v>
      </c>
      <c r="AH9014">
        <v>2.98875688992424</v>
      </c>
      <c r="AI9014">
        <v>87.122257872938803</v>
      </c>
      <c r="AJ9014">
        <v>88.565262843938498</v>
      </c>
      <c r="AK9014">
        <v>2.99346913557478</v>
      </c>
      <c r="AL9014">
        <v>85.402007933814005</v>
      </c>
      <c r="AM9014">
        <v>89.636480479080305</v>
      </c>
      <c r="AN9014">
        <v>0.99999997370657501</v>
      </c>
    </row>
    <row r="9015" spans="1:40" x14ac:dyDescent="0.25">
      <c r="A9015" t="str">
        <f>"20190312160543837"</f>
        <v>20190312160543837</v>
      </c>
      <c r="B9015" t="str">
        <f>"1552377943834593"</f>
        <v>1552377943834593</v>
      </c>
      <c r="C9015" t="s">
        <v>40</v>
      </c>
      <c r="D9015">
        <v>5.2126340000000004</v>
      </c>
      <c r="E9015">
        <v>0.50670300000000001</v>
      </c>
      <c r="F9015" t="s">
        <v>45</v>
      </c>
      <c r="G9015">
        <v>0</v>
      </c>
      <c r="H9015">
        <v>0</v>
      </c>
      <c r="I9015">
        <v>0</v>
      </c>
      <c r="J9015">
        <v>-159.37799999999999</v>
      </c>
      <c r="K9015">
        <v>1.1096520000000001</v>
      </c>
      <c r="L9015">
        <v>139.2397</v>
      </c>
      <c r="M9015">
        <v>0.99926539999999997</v>
      </c>
      <c r="N9015">
        <v>0</v>
      </c>
      <c r="O9015">
        <v>3.5842220000000001E-2</v>
      </c>
      <c r="P9015">
        <v>0.99727650000000001</v>
      </c>
      <c r="Q9015">
        <v>6.705701E-2</v>
      </c>
      <c r="R9015">
        <v>3.0708070000000001E-2</v>
      </c>
      <c r="S9015">
        <v>2.997055</v>
      </c>
      <c r="T9015">
        <v>0.14916670000000001</v>
      </c>
      <c r="U9015">
        <v>3.6575320000000001E-2</v>
      </c>
      <c r="V9015">
        <v>5.2330839999999998E-3</v>
      </c>
      <c r="W9015">
        <v>8.057512E-2</v>
      </c>
      <c r="X9015">
        <v>0.99673480000000003</v>
      </c>
      <c r="Y9015">
        <v>2.3574330000000001E-2</v>
      </c>
      <c r="Z9015">
        <v>2.3687920000000002E-3</v>
      </c>
      <c r="AA9015">
        <v>0.99971929999999998</v>
      </c>
      <c r="AB9015">
        <v>21</v>
      </c>
      <c r="AC9015">
        <v>2.997055</v>
      </c>
      <c r="AD9015">
        <v>0.14916670000000001</v>
      </c>
      <c r="AE9015">
        <v>3.6575320000000001E-2</v>
      </c>
      <c r="AF9015">
        <v>7.0704054633303495E-2</v>
      </c>
      <c r="AG9015">
        <v>0.14916670000000001</v>
      </c>
      <c r="AH9015">
        <v>2.98903675818551</v>
      </c>
      <c r="AI9015">
        <v>87.143844498705604</v>
      </c>
      <c r="AJ9015">
        <v>88.644951888789095</v>
      </c>
      <c r="AK9015">
        <v>2.9935915735976102</v>
      </c>
      <c r="AL9015">
        <v>85.378375585419604</v>
      </c>
      <c r="AM9015">
        <v>89.699186912984999</v>
      </c>
      <c r="AN9015">
        <v>0.99999999833110198</v>
      </c>
    </row>
    <row r="9016" spans="1:40" x14ac:dyDescent="0.25">
      <c r="A9016" t="str">
        <f>"20190312160543858"</f>
        <v>20190312160543858</v>
      </c>
      <c r="B9016" t="str">
        <f>"1552377943854113"</f>
        <v>1552377943854113</v>
      </c>
      <c r="C9016" t="s">
        <v>40</v>
      </c>
      <c r="D9016">
        <v>5.078227</v>
      </c>
      <c r="E9016">
        <v>0.50677570000000005</v>
      </c>
      <c r="F9016" t="s">
        <v>45</v>
      </c>
      <c r="G9016">
        <v>0</v>
      </c>
      <c r="H9016">
        <v>0</v>
      </c>
      <c r="I9016">
        <v>0</v>
      </c>
      <c r="J9016">
        <v>-159.1738</v>
      </c>
      <c r="K9016">
        <v>1.109667</v>
      </c>
      <c r="L9016">
        <v>139.24520000000001</v>
      </c>
      <c r="M9016">
        <v>0.99932100000000001</v>
      </c>
      <c r="N9016">
        <v>0</v>
      </c>
      <c r="O9016">
        <v>3.426245E-2</v>
      </c>
      <c r="P9016">
        <v>0.99701870000000004</v>
      </c>
      <c r="Q9016">
        <v>7.0743459999999994E-2</v>
      </c>
      <c r="R9016">
        <v>3.0810529999999999E-2</v>
      </c>
      <c r="S9016">
        <v>2.9971009999999998</v>
      </c>
      <c r="T9016">
        <v>0.1482366</v>
      </c>
      <c r="U9016">
        <v>3.6300659999999998E-2</v>
      </c>
      <c r="V9016">
        <v>3.552974E-3</v>
      </c>
      <c r="W9016">
        <v>8.4258520000000003E-2</v>
      </c>
      <c r="X9016">
        <v>0.99643760000000003</v>
      </c>
      <c r="Y9016">
        <v>2.2090309999999998E-2</v>
      </c>
      <c r="Z9016">
        <v>2.2392829999999999E-3</v>
      </c>
      <c r="AA9016">
        <v>0.99975349999999996</v>
      </c>
      <c r="AB9016">
        <v>20</v>
      </c>
      <c r="AC9016">
        <v>2.9971009999999998</v>
      </c>
      <c r="AD9016">
        <v>0.1482366</v>
      </c>
      <c r="AE9016">
        <v>3.6300659999999998E-2</v>
      </c>
      <c r="AF9016">
        <v>6.6256051732397403E-2</v>
      </c>
      <c r="AG9016">
        <v>0.1482366</v>
      </c>
      <c r="AH9016">
        <v>2.9892732922446998</v>
      </c>
      <c r="AI9016">
        <v>87.161751850615801</v>
      </c>
      <c r="AJ9016">
        <v>88.730269770492896</v>
      </c>
      <c r="AK9016">
        <v>2.9936798041370798</v>
      </c>
      <c r="AL9016">
        <v>85.166611794823694</v>
      </c>
      <c r="AM9016">
        <v>89.795702658960593</v>
      </c>
      <c r="AN9016">
        <v>1.0000000062552901</v>
      </c>
    </row>
    <row r="9017" spans="1:40" x14ac:dyDescent="0.25">
      <c r="A9017" t="str">
        <f>"20190312160543948"</f>
        <v>20190312160543948</v>
      </c>
      <c r="B9017" t="str">
        <f>"1552377943943905"</f>
        <v>1552377943943905</v>
      </c>
      <c r="C9017" t="s">
        <v>40</v>
      </c>
      <c r="D9017">
        <v>5.1490780000000003</v>
      </c>
      <c r="E9017">
        <v>0.50608699999999995</v>
      </c>
      <c r="F9017" t="s">
        <v>45</v>
      </c>
      <c r="G9017">
        <v>0</v>
      </c>
      <c r="H9017">
        <v>0</v>
      </c>
      <c r="I9017">
        <v>0</v>
      </c>
      <c r="J9017">
        <v>-158.3596</v>
      </c>
      <c r="K9017">
        <v>1.10965</v>
      </c>
      <c r="L9017">
        <v>139.2638</v>
      </c>
      <c r="M9017">
        <v>0.99951679999999998</v>
      </c>
      <c r="N9017">
        <v>0</v>
      </c>
      <c r="O9017">
        <v>2.797436E-2</v>
      </c>
      <c r="P9017">
        <v>0.99697930000000001</v>
      </c>
      <c r="Q9017">
        <v>6.96991E-2</v>
      </c>
      <c r="R9017">
        <v>3.427115E-2</v>
      </c>
      <c r="S9017">
        <v>2.996429</v>
      </c>
      <c r="T9017">
        <v>0.16080449999999999</v>
      </c>
      <c r="U9017">
        <v>3.6102290000000002E-2</v>
      </c>
      <c r="V9017">
        <v>-6.1861919999999897E-3</v>
      </c>
      <c r="W9017">
        <v>8.3225499999999994E-2</v>
      </c>
      <c r="X9017">
        <v>0.99651149999999999</v>
      </c>
      <c r="Y9017">
        <v>1.5868980000000001E-2</v>
      </c>
      <c r="Z9017">
        <v>1.925534E-3</v>
      </c>
      <c r="AA9017">
        <v>0.99987219999999999</v>
      </c>
      <c r="AB9017">
        <v>20</v>
      </c>
      <c r="AC9017">
        <v>2.996429</v>
      </c>
      <c r="AD9017">
        <v>0.16080449999999999</v>
      </c>
      <c r="AE9017">
        <v>3.6102290000000002E-2</v>
      </c>
      <c r="AF9017">
        <v>4.76056381587351E-2</v>
      </c>
      <c r="AG9017">
        <v>0.16080449999999999</v>
      </c>
      <c r="AH9017">
        <v>2.98766299654796</v>
      </c>
      <c r="AI9017">
        <v>86.919541520465401</v>
      </c>
      <c r="AJ9017">
        <v>89.087122160489102</v>
      </c>
      <c r="AK9017">
        <v>2.9923660479538099</v>
      </c>
      <c r="AL9017">
        <v>85.226007899264502</v>
      </c>
      <c r="AM9017">
        <v>90.355678925798202</v>
      </c>
      <c r="AN9017">
        <v>0.99999996122697898</v>
      </c>
    </row>
    <row r="9018" spans="1:40" x14ac:dyDescent="0.25">
      <c r="A9018" t="str">
        <f>"20190312160543970"</f>
        <v>20190312160543970</v>
      </c>
      <c r="B9018" t="str">
        <f>"1552377943964404"</f>
        <v>1552377943964404</v>
      </c>
      <c r="C9018" t="s">
        <v>40</v>
      </c>
      <c r="D9018">
        <v>5.6106040000000004</v>
      </c>
      <c r="E9018">
        <v>0.50323640000000003</v>
      </c>
      <c r="F9018" t="s">
        <v>49</v>
      </c>
      <c r="G9018">
        <v>-157.47909999999999</v>
      </c>
      <c r="H9018">
        <v>0.99495270000000002</v>
      </c>
      <c r="I9018">
        <v>139.2722</v>
      </c>
      <c r="J9018">
        <v>-158.15770000000001</v>
      </c>
      <c r="K9018">
        <v>1.1096619999999999</v>
      </c>
      <c r="L9018">
        <v>139.26759999999999</v>
      </c>
      <c r="M9018">
        <v>0.99955919999999998</v>
      </c>
      <c r="N9018">
        <v>0</v>
      </c>
      <c r="O9018">
        <v>2.6419000000000002E-2</v>
      </c>
      <c r="P9018">
        <v>0.99699890000000002</v>
      </c>
      <c r="Q9018">
        <v>6.9659639999999995E-2</v>
      </c>
      <c r="R9018">
        <v>3.378362E-2</v>
      </c>
      <c r="S9018">
        <v>3.035736</v>
      </c>
      <c r="T9018">
        <v>-0.39547769999999999</v>
      </c>
      <c r="U9018">
        <v>2.944946E-2</v>
      </c>
      <c r="V9018">
        <v>-7.2515519999999997E-3</v>
      </c>
      <c r="W9018">
        <v>8.3185579999999995E-2</v>
      </c>
      <c r="X9018">
        <v>0.9965077</v>
      </c>
      <c r="Y9018">
        <v>1.636168E-2</v>
      </c>
      <c r="Z9018">
        <v>-4.4882990000000003E-3</v>
      </c>
      <c r="AA9018">
        <v>0.99985610000000003</v>
      </c>
      <c r="AB9018">
        <v>20</v>
      </c>
      <c r="AC9018">
        <v>0.67860000000001697</v>
      </c>
      <c r="AD9018">
        <v>-0.1147093</v>
      </c>
      <c r="AE9018">
        <v>4.6000000000105904E-3</v>
      </c>
      <c r="AF9018">
        <v>1.29608586015843E-2</v>
      </c>
      <c r="AG9018">
        <v>-0.1147093</v>
      </c>
      <c r="AH9018">
        <v>0.65963709515152302</v>
      </c>
      <c r="AI9018">
        <v>99.863081119818304</v>
      </c>
      <c r="AJ9018">
        <v>88.874370527805993</v>
      </c>
      <c r="AK9018">
        <v>0.66966208244316805</v>
      </c>
      <c r="AL9018">
        <v>85.228303343492897</v>
      </c>
      <c r="AM9018">
        <v>90.416932042659397</v>
      </c>
      <c r="AN9018">
        <v>1.00000001094281</v>
      </c>
    </row>
    <row r="9019" spans="1:40" x14ac:dyDescent="0.25">
      <c r="A9019" t="str">
        <f>"20190312160543992"</f>
        <v>20190312160543992</v>
      </c>
      <c r="B9019" t="str">
        <f>"1552377943983922"</f>
        <v>1552377943983922</v>
      </c>
      <c r="C9019" t="s">
        <v>40</v>
      </c>
      <c r="D9019">
        <v>5.0804850000000004</v>
      </c>
      <c r="E9019">
        <v>0.501942</v>
      </c>
      <c r="F9019" t="s">
        <v>49</v>
      </c>
      <c r="G9019">
        <v>-157.28739999999999</v>
      </c>
      <c r="H9019">
        <v>1.015323</v>
      </c>
      <c r="I9019">
        <v>139.28290000000001</v>
      </c>
      <c r="J9019">
        <v>-157.95169999999999</v>
      </c>
      <c r="K9019">
        <v>1.1096710000000001</v>
      </c>
      <c r="L9019">
        <v>139.27109999999999</v>
      </c>
      <c r="M9019">
        <v>0.99959989999999999</v>
      </c>
      <c r="N9019">
        <v>0</v>
      </c>
      <c r="O9019">
        <v>2.483229E-2</v>
      </c>
      <c r="P9019">
        <v>0.9969673</v>
      </c>
      <c r="Q9019">
        <v>7.042611E-2</v>
      </c>
      <c r="R9019">
        <v>3.3114909999999997E-2</v>
      </c>
      <c r="S9019">
        <v>3.030151</v>
      </c>
      <c r="T9019">
        <v>-0.32847749999999998</v>
      </c>
      <c r="U9019">
        <v>5.3802490000000001E-2</v>
      </c>
      <c r="V9019">
        <v>-8.1662049999999993E-3</v>
      </c>
      <c r="W9019">
        <v>8.3950620000000004E-2</v>
      </c>
      <c r="X9019">
        <v>0.99643649999999995</v>
      </c>
      <c r="Y9019">
        <v>6.8974190000000001E-3</v>
      </c>
      <c r="Z9019">
        <v>-3.0564440000000002E-3</v>
      </c>
      <c r="AA9019">
        <v>0.99997159999999996</v>
      </c>
      <c r="AB9019">
        <v>20</v>
      </c>
      <c r="AC9019">
        <v>0.664299999999997</v>
      </c>
      <c r="AD9019">
        <v>-9.4347999999999793E-2</v>
      </c>
      <c r="AE9019">
        <v>1.1800000000022201E-2</v>
      </c>
      <c r="AF9019">
        <v>4.6083155078100102E-3</v>
      </c>
      <c r="AG9019">
        <v>-9.4347999999999793E-2</v>
      </c>
      <c r="AH9019">
        <v>0.65125554279022202</v>
      </c>
      <c r="AI9019">
        <v>98.242941017641698</v>
      </c>
      <c r="AJ9019">
        <v>89.594579078060093</v>
      </c>
      <c r="AK9019">
        <v>0.65807033339211296</v>
      </c>
      <c r="AL9019">
        <v>85.184316084015194</v>
      </c>
      <c r="AM9019">
        <v>90.469551854378494</v>
      </c>
      <c r="AN9019">
        <v>1.0000000460173599</v>
      </c>
    </row>
    <row r="9020" spans="1:40" x14ac:dyDescent="0.25">
      <c r="A9020" t="str">
        <f>"20190312160544015"</f>
        <v>20190312160544015</v>
      </c>
      <c r="B9020" t="str">
        <f>"1552377944004417"</f>
        <v>1552377944004417</v>
      </c>
      <c r="C9020" t="s">
        <v>40</v>
      </c>
      <c r="D9020">
        <v>5.0958870000000003</v>
      </c>
      <c r="E9020">
        <v>0.50113929999999995</v>
      </c>
      <c r="F9020" t="s">
        <v>49</v>
      </c>
      <c r="G9020">
        <v>-157.09360000000001</v>
      </c>
      <c r="H9020">
        <v>1.036265</v>
      </c>
      <c r="I9020">
        <v>139.2894</v>
      </c>
      <c r="J9020">
        <v>-157.75200000000001</v>
      </c>
      <c r="K9020">
        <v>1.1096820000000001</v>
      </c>
      <c r="L9020">
        <v>139.27420000000001</v>
      </c>
      <c r="M9020">
        <v>0.99963690000000005</v>
      </c>
      <c r="N9020">
        <v>0</v>
      </c>
      <c r="O9020">
        <v>2.329523E-2</v>
      </c>
      <c r="P9020">
        <v>0.99690579999999995</v>
      </c>
      <c r="Q9020">
        <v>7.1995260000000005E-2</v>
      </c>
      <c r="R9020">
        <v>3.1551570000000001E-2</v>
      </c>
      <c r="S9020">
        <v>3.0252530000000002</v>
      </c>
      <c r="T9020">
        <v>-0.25878679999999998</v>
      </c>
      <c r="U9020">
        <v>6.4743040000000002E-2</v>
      </c>
      <c r="V9020">
        <v>-8.1356610000000006E-3</v>
      </c>
      <c r="W9020">
        <v>8.5515659999999993E-2</v>
      </c>
      <c r="X9020">
        <v>0.99630359999999996</v>
      </c>
      <c r="Y9020">
        <v>1.8102420000000001E-3</v>
      </c>
      <c r="Z9020">
        <v>-2.0660660000000001E-3</v>
      </c>
      <c r="AA9020">
        <v>0.9999962</v>
      </c>
      <c r="AB9020">
        <v>20</v>
      </c>
      <c r="AC9020">
        <v>0.65839999999999999</v>
      </c>
      <c r="AD9020">
        <v>-7.3416999999999996E-2</v>
      </c>
      <c r="AE9020">
        <v>1.51999999999929E-2</v>
      </c>
      <c r="AF9020">
        <v>1.41354993091168E-4</v>
      </c>
      <c r="AG9020">
        <v>-7.3416999999999996E-2</v>
      </c>
      <c r="AH9020">
        <v>0.650491463010341</v>
      </c>
      <c r="AI9020">
        <v>96.439374797963296</v>
      </c>
      <c r="AJ9020">
        <v>89.987549345609693</v>
      </c>
      <c r="AK9020">
        <v>0.654621432065562</v>
      </c>
      <c r="AL9020">
        <v>85.094321971059102</v>
      </c>
      <c r="AM9020">
        <v>90.467858068952907</v>
      </c>
      <c r="AN9020">
        <v>0.99999999022905095</v>
      </c>
    </row>
    <row r="9021" spans="1:40" x14ac:dyDescent="0.25">
      <c r="A9021" t="str">
        <f>"20190312160544033"</f>
        <v>20190312160544033</v>
      </c>
      <c r="B9021" t="str">
        <f>"1552377944023937"</f>
        <v>1552377944023937</v>
      </c>
      <c r="C9021" t="s">
        <v>40</v>
      </c>
      <c r="D9021">
        <v>5.3977029999999999</v>
      </c>
      <c r="E9021">
        <v>0.49908619999999998</v>
      </c>
      <c r="F9021" t="s">
        <v>41</v>
      </c>
      <c r="G9021">
        <v>-139.69710000000001</v>
      </c>
      <c r="H9021" s="1">
        <v>-1.3056120000000001E-7</v>
      </c>
      <c r="I9021">
        <v>139.685</v>
      </c>
      <c r="J9021">
        <v>-157.5839</v>
      </c>
      <c r="K9021">
        <v>1.1096889999999999</v>
      </c>
      <c r="L9021">
        <v>139.2766</v>
      </c>
      <c r="M9021">
        <v>0.99966630000000001</v>
      </c>
      <c r="N9021">
        <v>0</v>
      </c>
      <c r="O9021">
        <v>2.2000909999999999E-2</v>
      </c>
      <c r="P9021">
        <v>0.99687709999999996</v>
      </c>
      <c r="Q9021">
        <v>7.2899160000000005E-2</v>
      </c>
      <c r="R9021">
        <v>3.0358280000000001E-2</v>
      </c>
      <c r="S9021">
        <v>3.0205229999999998</v>
      </c>
      <c r="T9021">
        <v>-0.18564520000000001</v>
      </c>
      <c r="U9021">
        <v>6.8725590000000003E-2</v>
      </c>
      <c r="V9021">
        <v>-8.2333559999999903E-3</v>
      </c>
      <c r="W9021">
        <v>8.6417339999999995E-2</v>
      </c>
      <c r="X9021">
        <v>0.99622500000000003</v>
      </c>
      <c r="Y9021">
        <v>-7.8425439999999999E-4</v>
      </c>
      <c r="Z9021">
        <v>-1.32663799999999E-3</v>
      </c>
      <c r="AA9021">
        <v>0.99999879999999997</v>
      </c>
      <c r="AB9021">
        <v>20</v>
      </c>
      <c r="AC9021">
        <v>17.886799999999901</v>
      </c>
      <c r="AD9021">
        <v>-1.1096891305612</v>
      </c>
      <c r="AE9021">
        <v>0.40839999999999999</v>
      </c>
      <c r="AF9021">
        <v>-1.46827075390634E-2</v>
      </c>
      <c r="AG9021">
        <v>-1.1096891305612</v>
      </c>
      <c r="AH9021">
        <v>17.8228928089143</v>
      </c>
      <c r="AI9021">
        <v>93.562750204109093</v>
      </c>
      <c r="AJ9021">
        <v>90.047200922573097</v>
      </c>
      <c r="AK9021">
        <v>17.857411168095901</v>
      </c>
      <c r="AL9021">
        <v>85.042467583858198</v>
      </c>
      <c r="AM9021">
        <v>90.473513322943703</v>
      </c>
      <c r="AN9021">
        <v>0.999999997714349</v>
      </c>
    </row>
    <row r="9022" spans="1:40" x14ac:dyDescent="0.25">
      <c r="A9022" t="str">
        <f>"20190312160544049"</f>
        <v>20190312160544049</v>
      </c>
      <c r="B9022" t="str">
        <f>"1552377944044433"</f>
        <v>1552377944044433</v>
      </c>
      <c r="C9022" t="s">
        <v>40</v>
      </c>
      <c r="D9022">
        <v>5.2024800000000004</v>
      </c>
      <c r="E9022">
        <v>0.49866729999999998</v>
      </c>
      <c r="F9022" t="s">
        <v>41</v>
      </c>
      <c r="G9022">
        <v>-130.1386</v>
      </c>
      <c r="H9022" s="1">
        <v>-4.3041360000000002E-6</v>
      </c>
      <c r="I9022">
        <v>140.04060000000001</v>
      </c>
      <c r="J9022">
        <v>-157.4435</v>
      </c>
      <c r="K9022">
        <v>1.1096969999999999</v>
      </c>
      <c r="L9022">
        <v>139.27850000000001</v>
      </c>
      <c r="M9022">
        <v>0.99968959999999996</v>
      </c>
      <c r="N9022">
        <v>0</v>
      </c>
      <c r="O9022">
        <v>2.0919719999999999E-2</v>
      </c>
      <c r="P9022">
        <v>0.99681220000000004</v>
      </c>
      <c r="Q9022">
        <v>7.4122259999999995E-2</v>
      </c>
      <c r="R9022">
        <v>2.9522969999999999E-2</v>
      </c>
      <c r="S9022">
        <v>3.0157470000000002</v>
      </c>
      <c r="T9022">
        <v>-0.1219351</v>
      </c>
      <c r="U9022">
        <v>8.3953860000000005E-2</v>
      </c>
      <c r="V9022">
        <v>-8.4761430000000002E-3</v>
      </c>
      <c r="W9022">
        <v>8.7637690000000004E-2</v>
      </c>
      <c r="X9022">
        <v>0.99611629999999995</v>
      </c>
      <c r="Y9022">
        <v>-6.9195180000000004E-3</v>
      </c>
      <c r="Z9022">
        <v>-7.055001E-4</v>
      </c>
      <c r="AA9022">
        <v>0.99997579999999997</v>
      </c>
      <c r="AB9022">
        <v>20</v>
      </c>
      <c r="AC9022">
        <v>27.3049</v>
      </c>
      <c r="AD9022">
        <v>-1.109701304136</v>
      </c>
      <c r="AE9022">
        <v>0.762100000000003</v>
      </c>
      <c r="AF9022">
        <v>-0.19035586927637599</v>
      </c>
      <c r="AG9022">
        <v>-1.109701304136</v>
      </c>
      <c r="AH9022">
        <v>27.269861291290901</v>
      </c>
      <c r="AI9022">
        <v>92.330213317648898</v>
      </c>
      <c r="AJ9022">
        <v>90.399943756828804</v>
      </c>
      <c r="AK9022">
        <v>27.293094496367001</v>
      </c>
      <c r="AL9022">
        <v>84.972280119426003</v>
      </c>
      <c r="AM9022">
        <v>90.487528915699599</v>
      </c>
      <c r="AN9022">
        <v>0.99999994641718903</v>
      </c>
    </row>
    <row r="9023" spans="1:40" x14ac:dyDescent="0.25">
      <c r="A9023" t="str">
        <f>"20190312160544073"</f>
        <v>20190312160544073</v>
      </c>
      <c r="B9023" t="str">
        <f>"1552377944063953"</f>
        <v>1552377944063953</v>
      </c>
      <c r="C9023" t="s">
        <v>40</v>
      </c>
      <c r="D9023">
        <v>5.2387199999999998</v>
      </c>
      <c r="E9023">
        <v>0.49822060000000001</v>
      </c>
      <c r="F9023" t="s">
        <v>41</v>
      </c>
      <c r="G9023">
        <v>-120.23869999999999</v>
      </c>
      <c r="H9023" s="1">
        <v>-4.3236329999999998E-6</v>
      </c>
      <c r="I9023">
        <v>140.3426</v>
      </c>
      <c r="J9023">
        <v>-157.2261</v>
      </c>
      <c r="K9023">
        <v>1.1096999999999999</v>
      </c>
      <c r="L9023">
        <v>139.28100000000001</v>
      </c>
      <c r="M9023">
        <v>0.99972320000000003</v>
      </c>
      <c r="N9023">
        <v>0</v>
      </c>
      <c r="O9023">
        <v>1.9245399999999999E-2</v>
      </c>
      <c r="P9023">
        <v>0.99686079999999999</v>
      </c>
      <c r="Q9023">
        <v>7.396229E-2</v>
      </c>
      <c r="R9023">
        <v>2.8256360000000001E-2</v>
      </c>
      <c r="S9023">
        <v>3.0137179999999999</v>
      </c>
      <c r="T9023">
        <v>-8.9889410000000003E-2</v>
      </c>
      <c r="U9023">
        <v>8.6196899999999896E-2</v>
      </c>
      <c r="V9023">
        <v>-8.880008E-3</v>
      </c>
      <c r="W9023">
        <v>8.7476189999999995E-2</v>
      </c>
      <c r="X9023">
        <v>0.99612699999999998</v>
      </c>
      <c r="Y9023">
        <v>-9.3496369999999992E-3</v>
      </c>
      <c r="Z9023">
        <v>-4.3439409999999998E-4</v>
      </c>
      <c r="AA9023">
        <v>0.99995619999999996</v>
      </c>
      <c r="AB9023">
        <v>20</v>
      </c>
      <c r="AC9023">
        <v>36.987400000000001</v>
      </c>
      <c r="AD9023">
        <v>-1.109704323633</v>
      </c>
      <c r="AE9023">
        <v>1.0615999999999901</v>
      </c>
      <c r="AF9023">
        <v>-0.34918679003202402</v>
      </c>
      <c r="AG9023">
        <v>-1.109704323633</v>
      </c>
      <c r="AH9023">
        <v>36.967732594899999</v>
      </c>
      <c r="AI9023">
        <v>91.719322470951695</v>
      </c>
      <c r="AJ9023">
        <v>90.541183701064995</v>
      </c>
      <c r="AK9023">
        <v>36.986032881457497</v>
      </c>
      <c r="AL9023">
        <v>84.9815691772083</v>
      </c>
      <c r="AM9023">
        <v>90.510751644621294</v>
      </c>
      <c r="AN9023">
        <v>0.99999996924399703</v>
      </c>
    </row>
    <row r="9024" spans="1:40" x14ac:dyDescent="0.25">
      <c r="A9024" t="str">
        <f>"20190312160544095"</f>
        <v>20190312160544095</v>
      </c>
      <c r="B9024" t="str">
        <f>"1552377944084449"</f>
        <v>1552377944084449</v>
      </c>
      <c r="C9024" t="s">
        <v>40</v>
      </c>
      <c r="D9024">
        <v>5.1699650000000004</v>
      </c>
      <c r="E9024">
        <v>0.49787480000000001</v>
      </c>
      <c r="F9024" t="s">
        <v>41</v>
      </c>
      <c r="G9024">
        <v>-113.3005</v>
      </c>
      <c r="H9024" s="1">
        <v>-3.1029279999999999E-6</v>
      </c>
      <c r="I9024">
        <v>140.5429</v>
      </c>
      <c r="J9024">
        <v>-157.02850000000001</v>
      </c>
      <c r="K9024">
        <v>1.109707</v>
      </c>
      <c r="L9024">
        <v>139.28299999999999</v>
      </c>
      <c r="M9024">
        <v>0.99975130000000001</v>
      </c>
      <c r="N9024">
        <v>0</v>
      </c>
      <c r="O9024">
        <v>1.772263E-2</v>
      </c>
      <c r="P9024">
        <v>0.99691810000000003</v>
      </c>
      <c r="Q9024">
        <v>7.3811829999999995E-2</v>
      </c>
      <c r="R9024">
        <v>2.6575290000000001E-2</v>
      </c>
      <c r="S9024">
        <v>3.0126499999999998</v>
      </c>
      <c r="T9024">
        <v>-7.6109170000000004E-2</v>
      </c>
      <c r="U9024">
        <v>8.6547849999999996E-2</v>
      </c>
      <c r="V9024">
        <v>-8.7176770000000001E-3</v>
      </c>
      <c r="W9024">
        <v>8.7323230000000002E-2</v>
      </c>
      <c r="X9024">
        <v>0.99614190000000002</v>
      </c>
      <c r="Y9024">
        <v>-1.099699E-2</v>
      </c>
      <c r="Z9024">
        <v>-3.0870270000000002E-4</v>
      </c>
      <c r="AA9024">
        <v>0.99993949999999998</v>
      </c>
      <c r="AB9024">
        <v>20</v>
      </c>
      <c r="AC9024">
        <v>43.728000000000002</v>
      </c>
      <c r="AD9024">
        <v>-1.1097101029279901</v>
      </c>
      <c r="AE9024">
        <v>1.25990000000001</v>
      </c>
      <c r="AF9024">
        <v>-0.48434423701968499</v>
      </c>
      <c r="AG9024">
        <v>-1.1097101029279901</v>
      </c>
      <c r="AH9024">
        <v>43.715331462589504</v>
      </c>
      <c r="AI9024">
        <v>91.454047165599903</v>
      </c>
      <c r="AJ9024">
        <v>90.6347829066857</v>
      </c>
      <c r="AK9024">
        <v>43.732096345093602</v>
      </c>
      <c r="AL9024">
        <v>84.990367033712801</v>
      </c>
      <c r="AM9024">
        <v>90.501407829892401</v>
      </c>
      <c r="AN9024">
        <v>1.0000000146627499</v>
      </c>
    </row>
    <row r="9025" spans="1:40" x14ac:dyDescent="0.25">
      <c r="A9025" t="str">
        <f>"20190312160544115"</f>
        <v>20190312160544115</v>
      </c>
      <c r="B9025" t="str">
        <f>"1552377944103969"</f>
        <v>1552377944103969</v>
      </c>
      <c r="C9025" t="s">
        <v>40</v>
      </c>
      <c r="D9025">
        <v>5.1194790000000001</v>
      </c>
      <c r="E9025">
        <v>0.49790469999999998</v>
      </c>
      <c r="F9025" t="s">
        <v>41</v>
      </c>
      <c r="G9025">
        <v>-104.8565</v>
      </c>
      <c r="H9025" s="1">
        <v>-2.712559E-6</v>
      </c>
      <c r="I9025">
        <v>140.7466</v>
      </c>
      <c r="J9025">
        <v>-156.84309999999999</v>
      </c>
      <c r="K9025">
        <v>1.1097129999999999</v>
      </c>
      <c r="L9025">
        <v>139.28460000000001</v>
      </c>
      <c r="M9025">
        <v>0.99977579999999999</v>
      </c>
      <c r="N9025">
        <v>0</v>
      </c>
      <c r="O9025">
        <v>1.6293729999999999E-2</v>
      </c>
      <c r="P9025">
        <v>0.99697329999999995</v>
      </c>
      <c r="Q9025">
        <v>7.3554659999999994E-2</v>
      </c>
      <c r="R9025">
        <v>2.5188019999999998E-2</v>
      </c>
      <c r="S9025">
        <v>3.011765</v>
      </c>
      <c r="T9025">
        <v>-6.4060930000000002E-2</v>
      </c>
      <c r="U9025">
        <v>8.4487919999999994E-2</v>
      </c>
      <c r="V9025">
        <v>-8.75587699999999E-3</v>
      </c>
      <c r="W9025">
        <v>8.7064359999999993E-2</v>
      </c>
      <c r="X9025">
        <v>0.99616420000000006</v>
      </c>
      <c r="Y9025">
        <v>-1.1750089999999999E-2</v>
      </c>
      <c r="Z9025">
        <v>-2.2153949999999999E-4</v>
      </c>
      <c r="AA9025">
        <v>0.99993089999999996</v>
      </c>
      <c r="AB9025">
        <v>20</v>
      </c>
      <c r="AC9025">
        <v>51.986600000000003</v>
      </c>
      <c r="AD9025">
        <v>-1.109715712559</v>
      </c>
      <c r="AE9025">
        <v>1.46199999999998</v>
      </c>
      <c r="AF9025">
        <v>-0.61439306600688803</v>
      </c>
      <c r="AG9025">
        <v>-1.109715712559</v>
      </c>
      <c r="AH9025">
        <v>51.979854634623599</v>
      </c>
      <c r="AI9025">
        <v>91.2229339833833</v>
      </c>
      <c r="AJ9025">
        <v>90.677194861063697</v>
      </c>
      <c r="AK9025">
        <v>51.995328979042498</v>
      </c>
      <c r="AL9025">
        <v>85.005255778504505</v>
      </c>
      <c r="AM9025">
        <v>90.503593563540605</v>
      </c>
      <c r="AN9025">
        <v>0.99999999076294399</v>
      </c>
    </row>
    <row r="9026" spans="1:40" x14ac:dyDescent="0.25">
      <c r="A9026" t="str">
        <f>"20190312160544139"</f>
        <v>20190312160544139</v>
      </c>
      <c r="B9026" t="str">
        <f>"1552377944134228"</f>
        <v>1552377944134228</v>
      </c>
      <c r="C9026" t="s">
        <v>40</v>
      </c>
      <c r="D9026">
        <v>5.3178769999999904</v>
      </c>
      <c r="E9026">
        <v>0.49830400000000002</v>
      </c>
      <c r="F9026" t="s">
        <v>41</v>
      </c>
      <c r="G9026">
        <v>-115.89</v>
      </c>
      <c r="H9026" s="1">
        <v>-1.9448200000000001E-6</v>
      </c>
      <c r="I9026">
        <v>140.3655</v>
      </c>
      <c r="J9026">
        <v>-156.63720000000001</v>
      </c>
      <c r="K9026">
        <v>1.10971</v>
      </c>
      <c r="L9026">
        <v>139.2861</v>
      </c>
      <c r="M9026">
        <v>0.99980029999999998</v>
      </c>
      <c r="N9026">
        <v>0</v>
      </c>
      <c r="O9026">
        <v>1.470575E-2</v>
      </c>
      <c r="P9026">
        <v>0.997054</v>
      </c>
      <c r="Q9026">
        <v>7.2685879999999994E-2</v>
      </c>
      <c r="R9026">
        <v>2.4494499999999999E-2</v>
      </c>
      <c r="S9026">
        <v>3.0131380000000001</v>
      </c>
      <c r="T9026">
        <v>-8.1647520000000001E-2</v>
      </c>
      <c r="U9026">
        <v>7.9528810000000005E-2</v>
      </c>
      <c r="V9026">
        <v>-9.6477190000000008E-3</v>
      </c>
      <c r="W9026">
        <v>8.6196439999999999E-2</v>
      </c>
      <c r="X9026">
        <v>0.99623139999999999</v>
      </c>
      <c r="Y9026">
        <v>-1.168111E-2</v>
      </c>
      <c r="Z9026">
        <v>-2.4014230000000001E-4</v>
      </c>
      <c r="AA9026">
        <v>0.99993180000000004</v>
      </c>
      <c r="AB9026">
        <v>20</v>
      </c>
      <c r="AC9026">
        <v>40.747199999999999</v>
      </c>
      <c r="AD9026">
        <v>-1.1097119448199999</v>
      </c>
      <c r="AE9026">
        <v>1.0793999999999899</v>
      </c>
      <c r="AF9026">
        <v>-0.47965474686646398</v>
      </c>
      <c r="AG9026">
        <v>-1.1097119448199999</v>
      </c>
      <c r="AH9026">
        <v>40.728480916922301</v>
      </c>
      <c r="AI9026">
        <v>91.560619917492303</v>
      </c>
      <c r="AJ9026">
        <v>90.674734769320196</v>
      </c>
      <c r="AK9026">
        <v>40.746419316018098</v>
      </c>
      <c r="AL9026">
        <v>85.055171406548396</v>
      </c>
      <c r="AM9026">
        <v>90.554847298687704</v>
      </c>
      <c r="AN9026">
        <v>0.99999995354826698</v>
      </c>
    </row>
    <row r="9027" spans="1:40" x14ac:dyDescent="0.25">
      <c r="A9027" t="str">
        <f>"20190312160544161"</f>
        <v>20190312160544161</v>
      </c>
      <c r="B9027" t="str">
        <f>"1552377944153745"</f>
        <v>1552377944153745</v>
      </c>
      <c r="C9027" t="s">
        <v>40</v>
      </c>
      <c r="D9027">
        <v>5.4963629999999997</v>
      </c>
      <c r="E9027">
        <v>0.49787209999999898</v>
      </c>
      <c r="F9027" t="s">
        <v>41</v>
      </c>
      <c r="G9027">
        <v>-119.2557</v>
      </c>
      <c r="H9027" s="1">
        <v>-4.571837E-7</v>
      </c>
      <c r="I9027">
        <v>140.20099999999999</v>
      </c>
      <c r="J9027">
        <v>-156.43379999999999</v>
      </c>
      <c r="K9027">
        <v>1.109712</v>
      </c>
      <c r="L9027">
        <v>139.28720000000001</v>
      </c>
      <c r="M9027">
        <v>0.99982210000000005</v>
      </c>
      <c r="N9027">
        <v>0</v>
      </c>
      <c r="O9027">
        <v>1.313798E-2</v>
      </c>
      <c r="P9027">
        <v>0.99704020000000004</v>
      </c>
      <c r="Q9027">
        <v>7.2884379999999999E-2</v>
      </c>
      <c r="R9027">
        <v>2.4469890000000001E-2</v>
      </c>
      <c r="S9027">
        <v>3.0135649999999998</v>
      </c>
      <c r="T9027">
        <v>-8.9460970000000001E-2</v>
      </c>
      <c r="U9027">
        <v>7.3760989999999999E-2</v>
      </c>
      <c r="V9027">
        <v>-1.1186639999999999E-2</v>
      </c>
      <c r="W9027">
        <v>8.6395490000000005E-2</v>
      </c>
      <c r="X9027">
        <v>0.99619809999999998</v>
      </c>
      <c r="Y9027">
        <v>-1.1332429999999999E-2</v>
      </c>
      <c r="Z9027">
        <v>-2.2173700000000001E-4</v>
      </c>
      <c r="AA9027">
        <v>0.99993569999999998</v>
      </c>
      <c r="AB9027">
        <v>20</v>
      </c>
      <c r="AC9027">
        <v>37.178099999999901</v>
      </c>
      <c r="AD9027">
        <v>-1.10971245718369</v>
      </c>
      <c r="AE9027">
        <v>0.91379999999997996</v>
      </c>
      <c r="AF9027">
        <v>-0.42485295730406902</v>
      </c>
      <c r="AG9027">
        <v>-1.10971245718369</v>
      </c>
      <c r="AH9027">
        <v>37.153815579456499</v>
      </c>
      <c r="AI9027">
        <v>91.710693489293504</v>
      </c>
      <c r="AJ9027">
        <v>90.655147259649496</v>
      </c>
      <c r="AK9027">
        <v>37.1728122945416</v>
      </c>
      <c r="AL9027">
        <v>85.0437241482677</v>
      </c>
      <c r="AM9027">
        <v>90.643366334733997</v>
      </c>
      <c r="AN9027">
        <v>0.99999998802521906</v>
      </c>
    </row>
    <row r="9028" spans="1:40" x14ac:dyDescent="0.25">
      <c r="A9028" t="str">
        <f>"20190312160544183"</f>
        <v>20190312160544183</v>
      </c>
      <c r="B9028" t="str">
        <f>"1552377944174241"</f>
        <v>1552377944174241</v>
      </c>
      <c r="C9028" t="s">
        <v>40</v>
      </c>
      <c r="D9028">
        <v>5.2572660000000004</v>
      </c>
      <c r="E9028">
        <v>0.4974191</v>
      </c>
      <c r="F9028" t="s">
        <v>41</v>
      </c>
      <c r="G9028">
        <v>-113.0638</v>
      </c>
      <c r="H9028" s="1">
        <v>-3.1669149999999999E-6</v>
      </c>
      <c r="I9028">
        <v>140.40170000000001</v>
      </c>
      <c r="J9028">
        <v>-156.24010000000001</v>
      </c>
      <c r="K9028">
        <v>1.1097129999999999</v>
      </c>
      <c r="L9028">
        <v>139.28790000000001</v>
      </c>
      <c r="M9028">
        <v>0.99984070000000003</v>
      </c>
      <c r="N9028">
        <v>0</v>
      </c>
      <c r="O9028">
        <v>1.1643870000000001E-2</v>
      </c>
      <c r="P9028">
        <v>0.99706030000000001</v>
      </c>
      <c r="Q9028">
        <v>7.2629990000000005E-2</v>
      </c>
      <c r="R9028">
        <v>2.4409460000000001E-2</v>
      </c>
      <c r="S9028">
        <v>3.0126189999999999</v>
      </c>
      <c r="T9028">
        <v>-7.7084180000000002E-2</v>
      </c>
      <c r="U9028">
        <v>7.7423099999999995E-2</v>
      </c>
      <c r="V9028">
        <v>-1.2617679999999999E-2</v>
      </c>
      <c r="W9028">
        <v>8.6141809999999999E-2</v>
      </c>
      <c r="X9028">
        <v>0.99620299999999995</v>
      </c>
      <c r="Y9028">
        <v>-1.4047489999999999E-2</v>
      </c>
      <c r="Z9028">
        <v>-1.1818789999999999E-4</v>
      </c>
      <c r="AA9028">
        <v>0.99990129999999999</v>
      </c>
      <c r="AB9028">
        <v>20</v>
      </c>
      <c r="AC9028">
        <v>43.176299999999998</v>
      </c>
      <c r="AD9028">
        <v>-1.109716166915</v>
      </c>
      <c r="AE9028">
        <v>1.1137999999999899</v>
      </c>
      <c r="AF9028">
        <v>-0.61053620251154395</v>
      </c>
      <c r="AG9028">
        <v>-1.109716166915</v>
      </c>
      <c r="AH9028">
        <v>43.1578518286194</v>
      </c>
      <c r="AI9028">
        <v>91.4727723015816</v>
      </c>
      <c r="AJ9028">
        <v>90.810485529235294</v>
      </c>
      <c r="AK9028">
        <v>43.176433373852902</v>
      </c>
      <c r="AL9028">
        <v>85.058313476356901</v>
      </c>
      <c r="AM9028">
        <v>90.725656474169398</v>
      </c>
      <c r="AN9028">
        <v>1.0000000172438199</v>
      </c>
    </row>
    <row r="9029" spans="1:40" x14ac:dyDescent="0.25">
      <c r="A9029" t="str">
        <f>"20190312160544205"</f>
        <v>20190312160544205</v>
      </c>
      <c r="B9029" t="str">
        <f>"1552377944193761"</f>
        <v>1552377944193761</v>
      </c>
      <c r="C9029" t="s">
        <v>40</v>
      </c>
      <c r="D9029">
        <v>5.266464</v>
      </c>
      <c r="E9029">
        <v>0.49715350000000003</v>
      </c>
      <c r="F9029" t="s">
        <v>41</v>
      </c>
      <c r="G9029">
        <v>-105.5989</v>
      </c>
      <c r="H9029" s="1">
        <v>-2.3385499999999998E-6</v>
      </c>
      <c r="I9029">
        <v>140.65989999999999</v>
      </c>
      <c r="J9029">
        <v>-156.04</v>
      </c>
      <c r="K9029">
        <v>1.10971</v>
      </c>
      <c r="L9029">
        <v>139.2885</v>
      </c>
      <c r="M9029">
        <v>0.99985749999999995</v>
      </c>
      <c r="N9029">
        <v>0</v>
      </c>
      <c r="O9029">
        <v>1.010001E-2</v>
      </c>
      <c r="P9029">
        <v>0.99717719999999999</v>
      </c>
      <c r="Q9029">
        <v>7.1389729999999998E-2</v>
      </c>
      <c r="R9029">
        <v>2.3262060000000001E-2</v>
      </c>
      <c r="S9029">
        <v>3.0116580000000002</v>
      </c>
      <c r="T9029">
        <v>-6.599534E-2</v>
      </c>
      <c r="U9029">
        <v>8.1588750000000002E-2</v>
      </c>
      <c r="V9029">
        <v>-1.301192E-2</v>
      </c>
      <c r="W9029">
        <v>8.4901359999999995E-2</v>
      </c>
      <c r="X9029">
        <v>0.99630439999999998</v>
      </c>
      <c r="Y9029">
        <v>-1.6980789999999999E-2</v>
      </c>
      <c r="Z9029" s="1">
        <v>-3.5271110000000003E-5</v>
      </c>
      <c r="AA9029">
        <v>0.99985579999999996</v>
      </c>
      <c r="AB9029">
        <v>20</v>
      </c>
      <c r="AC9029">
        <v>50.441099999999899</v>
      </c>
      <c r="AD9029">
        <v>-1.1097123385500001</v>
      </c>
      <c r="AE9029">
        <v>1.37139999999999</v>
      </c>
      <c r="AF9029">
        <v>-0.861411187628074</v>
      </c>
      <c r="AG9029">
        <v>-1.1097123385500001</v>
      </c>
      <c r="AH9029">
        <v>50.4279896547852</v>
      </c>
      <c r="AI9029">
        <v>91.260456814262</v>
      </c>
      <c r="AJ9029">
        <v>90.978631631363996</v>
      </c>
      <c r="AK9029">
        <v>50.447553273985697</v>
      </c>
      <c r="AL9029">
        <v>85.129647310674798</v>
      </c>
      <c r="AM9029">
        <v>90.748250952063302</v>
      </c>
      <c r="AN9029">
        <v>1.0000000042256401</v>
      </c>
    </row>
    <row r="9030" spans="1:40" x14ac:dyDescent="0.25">
      <c r="A9030" t="str">
        <f>"20190312160544226"</f>
        <v>20190312160544226</v>
      </c>
      <c r="B9030" t="str">
        <f>"1552377944224018"</f>
        <v>1552377944224018</v>
      </c>
      <c r="C9030" t="s">
        <v>40</v>
      </c>
      <c r="D9030">
        <v>5.5342209999999996</v>
      </c>
      <c r="E9030">
        <v>0.4966911</v>
      </c>
      <c r="F9030" t="s">
        <v>41</v>
      </c>
      <c r="G9030">
        <v>-101.0659</v>
      </c>
      <c r="H9030" s="1">
        <v>-4.5065750000000001E-6</v>
      </c>
      <c r="I9030">
        <v>140.7697</v>
      </c>
      <c r="J9030">
        <v>-155.84049999999999</v>
      </c>
      <c r="K9030">
        <v>1.109718</v>
      </c>
      <c r="L9030">
        <v>139.2886</v>
      </c>
      <c r="M9030">
        <v>0.99987199999999998</v>
      </c>
      <c r="N9030">
        <v>0</v>
      </c>
      <c r="O9030">
        <v>8.5612640000000007E-3</v>
      </c>
      <c r="P9030">
        <v>0.99725490000000006</v>
      </c>
      <c r="Q9030">
        <v>7.0709019999999997E-2</v>
      </c>
      <c r="R9030">
        <v>2.1980489999999998E-2</v>
      </c>
      <c r="S9030">
        <v>3.0109560000000002</v>
      </c>
      <c r="T9030">
        <v>-6.0779569999999998E-2</v>
      </c>
      <c r="U9030">
        <v>8.1130980000000005E-2</v>
      </c>
      <c r="V9030">
        <v>-1.3266379999999999E-2</v>
      </c>
      <c r="W9030">
        <v>8.4219539999999996E-2</v>
      </c>
      <c r="X9030">
        <v>0.99635890000000005</v>
      </c>
      <c r="Y9030">
        <v>-1.8373560000000001E-2</v>
      </c>
      <c r="Z9030" s="1">
        <v>1.261393E-5</v>
      </c>
      <c r="AA9030">
        <v>0.99983120000000003</v>
      </c>
      <c r="AB9030">
        <v>20</v>
      </c>
      <c r="AC9030">
        <v>54.7745999999999</v>
      </c>
      <c r="AD9030">
        <v>-1.109722506575</v>
      </c>
      <c r="AE9030">
        <v>1.4810999999999901</v>
      </c>
      <c r="AF9030">
        <v>-1.0116481211628701</v>
      </c>
      <c r="AG9030">
        <v>-1.109722506575</v>
      </c>
      <c r="AH9030">
        <v>54.762811988179301</v>
      </c>
      <c r="AI9030">
        <v>91.160694108259804</v>
      </c>
      <c r="AJ9030">
        <v>91.058319932912397</v>
      </c>
      <c r="AK9030">
        <v>54.783396141671702</v>
      </c>
      <c r="AL9030">
        <v>85.168853085298295</v>
      </c>
      <c r="AM9030">
        <v>90.762840247129503</v>
      </c>
      <c r="AN9030">
        <v>0.99999999268266204</v>
      </c>
    </row>
    <row r="9031" spans="1:40" x14ac:dyDescent="0.25">
      <c r="A9031" t="str">
        <f>"20190312160544251"</f>
        <v>20190312160544251</v>
      </c>
      <c r="B9031" t="str">
        <f>"1552377944244513"</f>
        <v>1552377944244513</v>
      </c>
      <c r="C9031" t="s">
        <v>40</v>
      </c>
      <c r="D9031">
        <v>5.5202229999999997</v>
      </c>
      <c r="E9031">
        <v>0.49732379999999998</v>
      </c>
      <c r="F9031" t="s">
        <v>41</v>
      </c>
      <c r="G9031">
        <v>-90.822950000000006</v>
      </c>
      <c r="H9031" s="1">
        <v>-4.2508970000000004E-6</v>
      </c>
      <c r="I9031">
        <v>141.05350000000001</v>
      </c>
      <c r="J9031">
        <v>-155.63579999999999</v>
      </c>
      <c r="K9031">
        <v>1.1097189999999999</v>
      </c>
      <c r="L9031">
        <v>139.2885</v>
      </c>
      <c r="M9031">
        <v>0.99988440000000001</v>
      </c>
      <c r="N9031">
        <v>0</v>
      </c>
      <c r="O9031">
        <v>6.9815769999999897E-3</v>
      </c>
      <c r="P9031">
        <v>0.99730469999999904</v>
      </c>
      <c r="Q9031">
        <v>7.0316249999999997E-2</v>
      </c>
      <c r="R9031">
        <v>2.0961420000000001E-2</v>
      </c>
      <c r="S9031">
        <v>3.0101010000000001</v>
      </c>
      <c r="T9031">
        <v>-5.1376459999999999E-2</v>
      </c>
      <c r="U9031">
        <v>8.1710820000000003E-2</v>
      </c>
      <c r="V9031">
        <v>-1.382413E-2</v>
      </c>
      <c r="W9031">
        <v>8.3826120000000004E-2</v>
      </c>
      <c r="X9031">
        <v>0.99638450000000001</v>
      </c>
      <c r="Y9031">
        <v>-2.0153319999999999E-2</v>
      </c>
      <c r="Z9031" s="1">
        <v>5.280606E-5</v>
      </c>
      <c r="AA9031">
        <v>0.99979689999999999</v>
      </c>
      <c r="AB9031">
        <v>20</v>
      </c>
      <c r="AC9031">
        <v>64.812849999999898</v>
      </c>
      <c r="AD9031">
        <v>-1.1097232508970001</v>
      </c>
      <c r="AE9031">
        <v>1.7650000000000099</v>
      </c>
      <c r="AF9031">
        <v>-1.3120354368816101</v>
      </c>
      <c r="AG9031">
        <v>-1.1097232508970001</v>
      </c>
      <c r="AH9031">
        <v>64.8046095860132</v>
      </c>
      <c r="AI9031">
        <v>90.980844138496906</v>
      </c>
      <c r="AJ9031">
        <v>91.1598530535111</v>
      </c>
      <c r="AK9031">
        <v>64.827388859006206</v>
      </c>
      <c r="AL9031">
        <v>85.191474411521</v>
      </c>
      <c r="AM9031">
        <v>90.794887402645401</v>
      </c>
      <c r="AN9031">
        <v>0.99999999840237996</v>
      </c>
    </row>
    <row r="9032" spans="1:40" x14ac:dyDescent="0.25">
      <c r="A9032" t="str">
        <f>"20190312160544283"</f>
        <v>20190312160544283</v>
      </c>
      <c r="B9032" t="str">
        <f>"1552377944273793"</f>
        <v>1552377944273793</v>
      </c>
      <c r="C9032" t="s">
        <v>40</v>
      </c>
      <c r="D9032">
        <v>5.2845139999999997</v>
      </c>
      <c r="E9032">
        <v>0.49694270000000001</v>
      </c>
      <c r="F9032" t="s">
        <v>41</v>
      </c>
      <c r="G9032">
        <v>-86.764439999999993</v>
      </c>
      <c r="H9032" s="1">
        <v>-1.7301200000000001E-6</v>
      </c>
      <c r="I9032">
        <v>140.96850000000001</v>
      </c>
      <c r="J9032">
        <v>-155.33789999999999</v>
      </c>
      <c r="K9032">
        <v>1.1097429999999999</v>
      </c>
      <c r="L9032">
        <v>139.2877</v>
      </c>
      <c r="M9032">
        <v>0.9998977</v>
      </c>
      <c r="N9032">
        <v>0</v>
      </c>
      <c r="O9032">
        <v>4.6822870000000003E-3</v>
      </c>
      <c r="P9032">
        <v>0.99738760000000004</v>
      </c>
      <c r="Q9032">
        <v>6.9471019999999994E-2</v>
      </c>
      <c r="R9032">
        <v>1.9795420000000001E-2</v>
      </c>
      <c r="S9032">
        <v>3.009979</v>
      </c>
      <c r="T9032">
        <v>-4.849958E-2</v>
      </c>
      <c r="U9032">
        <v>7.3425290000000004E-2</v>
      </c>
      <c r="V9032">
        <v>-1.495405E-2</v>
      </c>
      <c r="W9032">
        <v>8.2980299999999896E-2</v>
      </c>
      <c r="X9032">
        <v>0.99643899999999996</v>
      </c>
      <c r="Y9032">
        <v>-1.9703160000000001E-2</v>
      </c>
      <c r="Z9032" s="1">
        <v>8.3269069999999997E-5</v>
      </c>
      <c r="AA9032">
        <v>0.99980590000000003</v>
      </c>
      <c r="AB9032">
        <v>20</v>
      </c>
      <c r="AC9032">
        <v>68.573459999999898</v>
      </c>
      <c r="AD9032">
        <v>-1.1097447301200001</v>
      </c>
      <c r="AE9032">
        <v>1.6808000000000001</v>
      </c>
      <c r="AF9032">
        <v>-1.3593158323477601</v>
      </c>
      <c r="AG9032">
        <v>-1.1097447301200001</v>
      </c>
      <c r="AH9032">
        <v>68.562633157148099</v>
      </c>
      <c r="AI9032">
        <v>90.927117955944993</v>
      </c>
      <c r="AJ9032">
        <v>91.135791533050394</v>
      </c>
      <c r="AK9032">
        <v>68.585085392815202</v>
      </c>
      <c r="AL9032">
        <v>85.240105856624197</v>
      </c>
      <c r="AM9032">
        <v>90.859801388561905</v>
      </c>
      <c r="AN9032">
        <v>1.0000000172602399</v>
      </c>
    </row>
    <row r="9033" spans="1:40" x14ac:dyDescent="0.25">
      <c r="A9033" t="str">
        <f>"20190312160544306"</f>
        <v>20190312160544306</v>
      </c>
      <c r="B9033" t="str">
        <f>"1552377944294289"</f>
        <v>1552377944294289</v>
      </c>
      <c r="C9033" t="s">
        <v>40</v>
      </c>
      <c r="D9033">
        <v>5.4024679999999998</v>
      </c>
      <c r="E9033">
        <v>0.49727399999999999</v>
      </c>
      <c r="F9033" t="s">
        <v>41</v>
      </c>
      <c r="G9033">
        <v>-79.756200000000007</v>
      </c>
      <c r="H9033" s="1">
        <v>-4.8549909999999996E-7</v>
      </c>
      <c r="I9033">
        <v>141.11439999999999</v>
      </c>
      <c r="J9033">
        <v>-155.14060000000001</v>
      </c>
      <c r="K9033">
        <v>1.10975</v>
      </c>
      <c r="L9033">
        <v>139.2868</v>
      </c>
      <c r="M9033">
        <v>0.9999036</v>
      </c>
      <c r="N9033">
        <v>0</v>
      </c>
      <c r="O9033">
        <v>3.1591039999999998E-3</v>
      </c>
      <c r="P9033">
        <v>0.99751749999999995</v>
      </c>
      <c r="Q9033">
        <v>6.8078139999999995E-2</v>
      </c>
      <c r="R9033">
        <v>1.8007929999999998E-2</v>
      </c>
      <c r="S9033">
        <v>3.0094910000000001</v>
      </c>
      <c r="T9033">
        <v>-4.418743E-2</v>
      </c>
      <c r="U9033">
        <v>7.2738650000000002E-2</v>
      </c>
      <c r="V9033">
        <v>-1.4688720000000001E-2</v>
      </c>
      <c r="W9033">
        <v>8.1586489999999998E-2</v>
      </c>
      <c r="X9033">
        <v>0.99655800000000005</v>
      </c>
      <c r="Y9033">
        <v>-2.1002179999999999E-2</v>
      </c>
      <c r="Z9033">
        <v>1.077749E-4</v>
      </c>
      <c r="AA9033">
        <v>0.99977939999999998</v>
      </c>
      <c r="AB9033">
        <v>20</v>
      </c>
      <c r="AC9033">
        <v>75.384399999999999</v>
      </c>
      <c r="AD9033">
        <v>-1.1097504854991</v>
      </c>
      <c r="AE9033">
        <v>1.8275999999999799</v>
      </c>
      <c r="AF9033">
        <v>-1.58907777443946</v>
      </c>
      <c r="AG9033">
        <v>-1.1097504854991</v>
      </c>
      <c r="AH9033">
        <v>75.373472950677694</v>
      </c>
      <c r="AI9033">
        <v>90.843337842114707</v>
      </c>
      <c r="AJ9033">
        <v>91.207771915024097</v>
      </c>
      <c r="AK9033">
        <v>75.398389498449006</v>
      </c>
      <c r="AL9033">
        <v>85.320236847423104</v>
      </c>
      <c r="AM9033">
        <v>90.844447311636799</v>
      </c>
      <c r="AN9033">
        <v>0.99999998060487905</v>
      </c>
    </row>
    <row r="9034" spans="1:40" x14ac:dyDescent="0.25">
      <c r="A9034" t="str">
        <f>"20190312160544328"</f>
        <v>20190312160544328</v>
      </c>
      <c r="B9034" t="str">
        <f>"1552377944324546"</f>
        <v>1552377944324546</v>
      </c>
      <c r="C9034" t="s">
        <v>40</v>
      </c>
      <c r="D9034">
        <v>5.4702479999999998</v>
      </c>
      <c r="E9034">
        <v>0.49688690000000002</v>
      </c>
      <c r="F9034" t="s">
        <v>41</v>
      </c>
      <c r="G9034">
        <v>-80.153490000000005</v>
      </c>
      <c r="H9034" s="1">
        <v>-4.45297E-6</v>
      </c>
      <c r="I9034">
        <v>140.9084</v>
      </c>
      <c r="J9034">
        <v>-154.94059999999999</v>
      </c>
      <c r="K9034">
        <v>1.109756</v>
      </c>
      <c r="L9034">
        <v>139.28559999999999</v>
      </c>
      <c r="M9034">
        <v>0.9999074</v>
      </c>
      <c r="N9034">
        <v>0</v>
      </c>
      <c r="O9034">
        <v>1.6150019999999999E-3</v>
      </c>
      <c r="P9034">
        <v>0.99758270000000004</v>
      </c>
      <c r="Q9034">
        <v>6.7428940000000007E-2</v>
      </c>
      <c r="R9034">
        <v>1.679727E-2</v>
      </c>
      <c r="S9034">
        <v>3.0093380000000001</v>
      </c>
      <c r="T9034">
        <v>-4.4535989999999998E-2</v>
      </c>
      <c r="U9034">
        <v>6.5078739999999996E-2</v>
      </c>
      <c r="V9034">
        <v>-1.5020250000000001E-2</v>
      </c>
      <c r="W9034">
        <v>8.0935850000000004E-2</v>
      </c>
      <c r="X9034">
        <v>0.99660610000000005</v>
      </c>
      <c r="Y9034">
        <v>-2.0003730000000001E-2</v>
      </c>
      <c r="Z9034">
        <v>1.24096E-4</v>
      </c>
      <c r="AA9034">
        <v>0.99979989999999996</v>
      </c>
      <c r="AB9034">
        <v>20</v>
      </c>
      <c r="AC9034">
        <v>74.787109999999899</v>
      </c>
      <c r="AD9034">
        <v>-1.10976045297</v>
      </c>
      <c r="AE9034">
        <v>1.62280000000001</v>
      </c>
      <c r="AF9034">
        <v>-1.50167501940073</v>
      </c>
      <c r="AG9034">
        <v>-1.10976045297</v>
      </c>
      <c r="AH9034">
        <v>74.773176678082294</v>
      </c>
      <c r="AI9034">
        <v>90.850132478953995</v>
      </c>
      <c r="AJ9034">
        <v>91.150520547388595</v>
      </c>
      <c r="AK9034">
        <v>74.796487528884498</v>
      </c>
      <c r="AL9034">
        <v>85.357639417841796</v>
      </c>
      <c r="AM9034">
        <v>90.863462285054098</v>
      </c>
      <c r="AN9034">
        <v>0.999999969141247</v>
      </c>
    </row>
    <row r="9035" spans="1:40" x14ac:dyDescent="0.25">
      <c r="A9035" t="str">
        <f>"20190312160544350"</f>
        <v>20190312160544350</v>
      </c>
      <c r="B9035" t="str">
        <f>"1552377944344069"</f>
        <v>1552377944344069</v>
      </c>
      <c r="C9035" t="s">
        <v>40</v>
      </c>
      <c r="D9035">
        <v>5.3417450000000004</v>
      </c>
      <c r="E9035">
        <v>0.4974288</v>
      </c>
      <c r="F9035" t="s">
        <v>41</v>
      </c>
      <c r="G9035">
        <v>-78.710679999999996</v>
      </c>
      <c r="H9035" s="1">
        <v>-8.8493769999999995E-7</v>
      </c>
      <c r="I9035">
        <v>140.93</v>
      </c>
      <c r="J9035">
        <v>-154.74340000000001</v>
      </c>
      <c r="K9035">
        <v>1.1097680000000001</v>
      </c>
      <c r="L9035">
        <v>139.2841</v>
      </c>
      <c r="M9035">
        <v>0.99990889999999999</v>
      </c>
      <c r="N9035">
        <v>0</v>
      </c>
      <c r="O9035" s="1">
        <v>9.2650489999999996E-5</v>
      </c>
      <c r="P9035">
        <v>0.99757130000000005</v>
      </c>
      <c r="Q9035">
        <v>6.7708679999999993E-2</v>
      </c>
      <c r="R9035">
        <v>1.6355939999999999E-2</v>
      </c>
      <c r="S9035">
        <v>3.009125</v>
      </c>
      <c r="T9035">
        <v>-4.3806909999999998E-2</v>
      </c>
      <c r="U9035">
        <v>6.4910889999999999E-2</v>
      </c>
      <c r="V9035">
        <v>-1.6098149999999999E-2</v>
      </c>
      <c r="W9035">
        <v>8.1215309999999999E-2</v>
      </c>
      <c r="X9035">
        <v>0.99656659999999997</v>
      </c>
      <c r="Y9035">
        <v>-2.147143E-2</v>
      </c>
      <c r="Z9035">
        <v>1.5491569999999901E-4</v>
      </c>
      <c r="AA9035">
        <v>0.99976940000000003</v>
      </c>
      <c r="AB9035">
        <v>20</v>
      </c>
      <c r="AC9035">
        <v>76.032719999999998</v>
      </c>
      <c r="AD9035">
        <v>-1.1097688849376901</v>
      </c>
      <c r="AE9035">
        <v>1.6459000000000099</v>
      </c>
      <c r="AF9035">
        <v>-1.6385059762615</v>
      </c>
      <c r="AG9035">
        <v>-1.1097688849376901</v>
      </c>
      <c r="AH9035">
        <v>76.016685064288893</v>
      </c>
      <c r="AI9035">
        <v>90.836208446271101</v>
      </c>
      <c r="AJ9035">
        <v>91.234793944916305</v>
      </c>
      <c r="AK9035">
        <v>76.042440104033403</v>
      </c>
      <c r="AL9035">
        <v>85.341574949222803</v>
      </c>
      <c r="AM9035">
        <v>90.925453290578801</v>
      </c>
      <c r="AN9035">
        <v>1.00000003262368</v>
      </c>
    </row>
    <row r="9036" spans="1:40" x14ac:dyDescent="0.25">
      <c r="A9036" t="str">
        <f>"20190312160544372"</f>
        <v>20190312160544372</v>
      </c>
      <c r="B9036" t="str">
        <f>"1552377944364561"</f>
        <v>1552377944364561</v>
      </c>
      <c r="C9036" t="s">
        <v>40</v>
      </c>
      <c r="D9036">
        <v>5.2892349999999997</v>
      </c>
      <c r="E9036">
        <v>0.49848609999999999</v>
      </c>
      <c r="F9036" t="s">
        <v>41</v>
      </c>
      <c r="G9036">
        <v>-75.027670000000001</v>
      </c>
      <c r="H9036" s="1">
        <v>-2.4426799999999998E-6</v>
      </c>
      <c r="I9036">
        <v>140.84639999999999</v>
      </c>
      <c r="J9036">
        <v>-154.5489</v>
      </c>
      <c r="K9036">
        <v>1.1097699999999999</v>
      </c>
      <c r="L9036">
        <v>139.28229999999999</v>
      </c>
      <c r="M9036">
        <v>0.99990780000000001</v>
      </c>
      <c r="N9036">
        <v>0</v>
      </c>
      <c r="O9036">
        <v>-1.409439E-3</v>
      </c>
      <c r="P9036">
        <v>0.99746539999999995</v>
      </c>
      <c r="Q9036">
        <v>6.9252289999999994E-2</v>
      </c>
      <c r="R9036">
        <v>1.635377E-2</v>
      </c>
      <c r="S9036">
        <v>3.0091860000000001</v>
      </c>
      <c r="T9036">
        <v>-4.1892649999999997E-2</v>
      </c>
      <c r="U9036">
        <v>5.8975220000000002E-2</v>
      </c>
      <c r="V9036">
        <v>-1.7591820000000001E-2</v>
      </c>
      <c r="W9036">
        <v>8.2757910000000004E-2</v>
      </c>
      <c r="X9036">
        <v>0.99641440000000003</v>
      </c>
      <c r="Y9036">
        <v>-2.1001740000000001E-2</v>
      </c>
      <c r="Z9036">
        <v>1.6578839999999999E-4</v>
      </c>
      <c r="AA9036">
        <v>0.99977939999999998</v>
      </c>
      <c r="AB9036">
        <v>20</v>
      </c>
      <c r="AC9036">
        <v>79.521230000000003</v>
      </c>
      <c r="AD9036">
        <v>-1.10977244268</v>
      </c>
      <c r="AE9036">
        <v>1.5640999999999901</v>
      </c>
      <c r="AF9036">
        <v>-1.6758627261999199</v>
      </c>
      <c r="AG9036">
        <v>-1.10977244268</v>
      </c>
      <c r="AH9036">
        <v>79.503468119518303</v>
      </c>
      <c r="AI9036">
        <v>90.799550389625097</v>
      </c>
      <c r="AJ9036">
        <v>91.207565479134601</v>
      </c>
      <c r="AK9036">
        <v>79.528872453863301</v>
      </c>
      <c r="AL9036">
        <v>85.2528917616483</v>
      </c>
      <c r="AM9036">
        <v>91.011459021197396</v>
      </c>
      <c r="AN9036">
        <v>1.0000000001629199</v>
      </c>
    </row>
    <row r="9037" spans="1:40" x14ac:dyDescent="0.25">
      <c r="A9037" t="str">
        <f>"20190312160544394"</f>
        <v>20190312160544394</v>
      </c>
      <c r="B9037" t="str">
        <f>"1552377944384082"</f>
        <v>1552377944384082</v>
      </c>
      <c r="C9037" t="s">
        <v>40</v>
      </c>
      <c r="D9037">
        <v>5.279147</v>
      </c>
      <c r="E9037">
        <v>0.49962649999999997</v>
      </c>
      <c r="F9037" t="s">
        <v>41</v>
      </c>
      <c r="G9037">
        <v>-73.243659999999906</v>
      </c>
      <c r="H9037" s="1">
        <v>-3.14985E-6</v>
      </c>
      <c r="I9037">
        <v>140.62780000000001</v>
      </c>
      <c r="J9037">
        <v>-154.35069999999999</v>
      </c>
      <c r="K9037">
        <v>1.109777</v>
      </c>
      <c r="L9037">
        <v>139.28020000000001</v>
      </c>
      <c r="M9037">
        <v>0.99990449999999997</v>
      </c>
      <c r="N9037">
        <v>0</v>
      </c>
      <c r="O9037">
        <v>-2.9398380000000002E-3</v>
      </c>
      <c r="P9037">
        <v>0.99750850000000002</v>
      </c>
      <c r="Q9037">
        <v>6.870685E-2</v>
      </c>
      <c r="R9037">
        <v>1.6023229999999999E-2</v>
      </c>
      <c r="S9037">
        <v>3.0096590000000001</v>
      </c>
      <c r="T9037">
        <v>-4.1080239999999997E-2</v>
      </c>
      <c r="U9037">
        <v>4.9804689999999999E-2</v>
      </c>
      <c r="V9037">
        <v>-1.8789980000000001E-2</v>
      </c>
      <c r="W9037">
        <v>8.2212850000000004E-2</v>
      </c>
      <c r="X9037">
        <v>0.99643769999999998</v>
      </c>
      <c r="Y9037">
        <v>-1.9483569999999999E-2</v>
      </c>
      <c r="Z9037">
        <v>1.7308140000000001E-4</v>
      </c>
      <c r="AA9037">
        <v>0.99981019999999998</v>
      </c>
      <c r="AB9037">
        <v>20</v>
      </c>
      <c r="AC9037">
        <v>81.107039999999998</v>
      </c>
      <c r="AD9037">
        <v>-1.10978014985</v>
      </c>
      <c r="AE9037">
        <v>1.3475999999999999</v>
      </c>
      <c r="AF9037">
        <v>-1.5857606691481401</v>
      </c>
      <c r="AG9037">
        <v>-1.10978014985</v>
      </c>
      <c r="AH9037">
        <v>81.087550177883401</v>
      </c>
      <c r="AI9037">
        <v>90.783962467214494</v>
      </c>
      <c r="AJ9037">
        <v>91.120342315446194</v>
      </c>
      <c r="AK9037">
        <v>81.110646913531497</v>
      </c>
      <c r="AL9037">
        <v>85.284228435358898</v>
      </c>
      <c r="AM9037">
        <v>91.080307348596904</v>
      </c>
      <c r="AN9037">
        <v>1.0000000530174</v>
      </c>
    </row>
    <row r="9038" spans="1:40" x14ac:dyDescent="0.25">
      <c r="A9038" t="str">
        <f>"20190312160544417"</f>
        <v>20190312160544417</v>
      </c>
      <c r="B9038" t="str">
        <f>"1552377944414337"</f>
        <v>1552377944414337</v>
      </c>
      <c r="C9038" t="s">
        <v>40</v>
      </c>
      <c r="D9038">
        <v>6.0111869999999996</v>
      </c>
      <c r="E9038">
        <v>0.50114970000000003</v>
      </c>
      <c r="F9038" t="s">
        <v>41</v>
      </c>
      <c r="G9038">
        <v>-86.277919999999995</v>
      </c>
      <c r="H9038" s="1">
        <v>-1.72685E-6</v>
      </c>
      <c r="I9038">
        <v>140.17179999999999</v>
      </c>
      <c r="J9038">
        <v>-154.1516</v>
      </c>
      <c r="K9038">
        <v>1.1097809999999999</v>
      </c>
      <c r="L9038">
        <v>139.27780000000001</v>
      </c>
      <c r="M9038">
        <v>0.99989890000000003</v>
      </c>
      <c r="N9038">
        <v>0</v>
      </c>
      <c r="O9038">
        <v>-4.4771500000000001E-3</v>
      </c>
      <c r="P9038">
        <v>0.99759109999999995</v>
      </c>
      <c r="Q9038">
        <v>6.789742E-2</v>
      </c>
      <c r="R9038">
        <v>1.420893E-2</v>
      </c>
      <c r="S9038">
        <v>3.0102229999999999</v>
      </c>
      <c r="T9038">
        <v>-4.9075130000000002E-2</v>
      </c>
      <c r="U9038">
        <v>3.9428709999999999E-2</v>
      </c>
      <c r="V9038">
        <v>-1.851088E-2</v>
      </c>
      <c r="W9038">
        <v>8.1401130000000002E-2</v>
      </c>
      <c r="X9038">
        <v>0.99650950000000005</v>
      </c>
      <c r="Y9038">
        <v>-1.7571259999999998E-2</v>
      </c>
      <c r="Z9038">
        <v>2.1620410000000001E-4</v>
      </c>
      <c r="AA9038">
        <v>0.9998456</v>
      </c>
      <c r="AB9038">
        <v>20</v>
      </c>
      <c r="AC9038">
        <v>67.873679999999993</v>
      </c>
      <c r="AD9038">
        <v>-1.10978272685</v>
      </c>
      <c r="AE9038">
        <v>0.89399999999997704</v>
      </c>
      <c r="AF9038">
        <v>-1.1975792515416599</v>
      </c>
      <c r="AG9038">
        <v>-1.10978272685</v>
      </c>
      <c r="AH9038">
        <v>67.850860190249193</v>
      </c>
      <c r="AI9038">
        <v>90.936912184050698</v>
      </c>
      <c r="AJ9038">
        <v>91.011175283262006</v>
      </c>
      <c r="AK9038">
        <v>67.870502004341205</v>
      </c>
      <c r="AL9038">
        <v>85.330892680622796</v>
      </c>
      <c r="AM9038">
        <v>91.064187883406106</v>
      </c>
      <c r="AN9038">
        <v>0.99999999011694995</v>
      </c>
    </row>
    <row r="9039" spans="1:40" x14ac:dyDescent="0.25">
      <c r="A9039" t="str">
        <f>"20190312160544439"</f>
        <v>20190312160544439</v>
      </c>
      <c r="B9039" t="str">
        <f>"1552377944433857"</f>
        <v>1552377944433857</v>
      </c>
      <c r="C9039" t="s">
        <v>40</v>
      </c>
      <c r="D9039">
        <v>5.4300129999999998</v>
      </c>
      <c r="E9039">
        <v>0.50190590000000002</v>
      </c>
      <c r="F9039" t="s">
        <v>41</v>
      </c>
      <c r="G9039">
        <v>-90.006659999999997</v>
      </c>
      <c r="H9039" s="1">
        <v>-4.2985200000000001E-6</v>
      </c>
      <c r="I9039">
        <v>139.756</v>
      </c>
      <c r="J9039">
        <v>-153.95240000000001</v>
      </c>
      <c r="K9039">
        <v>1.109783</v>
      </c>
      <c r="L9039">
        <v>139.27500000000001</v>
      </c>
      <c r="M9039">
        <v>0.99989090000000003</v>
      </c>
      <c r="N9039">
        <v>0</v>
      </c>
      <c r="O9039">
        <v>-6.0163689999999997E-3</v>
      </c>
      <c r="P9039">
        <v>0.99765369999999998</v>
      </c>
      <c r="Q9039">
        <v>6.7397449999999998E-2</v>
      </c>
      <c r="R9039">
        <v>1.2031119999999999E-2</v>
      </c>
      <c r="S9039">
        <v>3.0104679999999999</v>
      </c>
      <c r="T9039">
        <v>-5.2084680000000001E-2</v>
      </c>
      <c r="U9039">
        <v>2.2445679999999999E-2</v>
      </c>
      <c r="V9039">
        <v>-1.7870130000000001E-2</v>
      </c>
      <c r="W9039">
        <v>8.0898289999999998E-2</v>
      </c>
      <c r="X9039">
        <v>0.99656210000000001</v>
      </c>
      <c r="Y9039">
        <v>-1.346937E-2</v>
      </c>
      <c r="Z9039">
        <v>2.205985E-4</v>
      </c>
      <c r="AA9039">
        <v>0.9999093</v>
      </c>
      <c r="AB9039">
        <v>20</v>
      </c>
      <c r="AC9039">
        <v>63.945740000000001</v>
      </c>
      <c r="AD9039">
        <v>-1.1097872985199999</v>
      </c>
      <c r="AE9039">
        <v>0.48099999999999399</v>
      </c>
      <c r="AF9039">
        <v>-0.86548680294562197</v>
      </c>
      <c r="AG9039">
        <v>-1.1097872985199999</v>
      </c>
      <c r="AH9039">
        <v>63.922435923845804</v>
      </c>
      <c r="AI9039">
        <v>90.994547752600099</v>
      </c>
      <c r="AJ9039">
        <v>90.7757168577225</v>
      </c>
      <c r="AK9039">
        <v>63.937927004964799</v>
      </c>
      <c r="AL9039">
        <v>85.359798424557695</v>
      </c>
      <c r="AM9039">
        <v>91.0273050789134</v>
      </c>
      <c r="AN9039">
        <v>0.99999994701377404</v>
      </c>
    </row>
    <row r="9040" spans="1:40" x14ac:dyDescent="0.25">
      <c r="A9040" t="str">
        <f>"20190312160544463"</f>
        <v>20190312160544463</v>
      </c>
      <c r="B9040" t="str">
        <f>"1552377944454355"</f>
        <v>1552377944454355</v>
      </c>
      <c r="C9040" t="s">
        <v>40</v>
      </c>
      <c r="D9040">
        <v>5.4382820000000001</v>
      </c>
      <c r="E9040">
        <v>0.50281670000000001</v>
      </c>
      <c r="F9040" t="s">
        <v>41</v>
      </c>
      <c r="G9040">
        <v>-87.645969999999906</v>
      </c>
      <c r="H9040" s="1">
        <v>-1.0132779999999999E-6</v>
      </c>
      <c r="I9040">
        <v>139.4975</v>
      </c>
      <c r="J9040">
        <v>-153.75290000000001</v>
      </c>
      <c r="K9040">
        <v>1.109785</v>
      </c>
      <c r="L9040">
        <v>139.27199999999999</v>
      </c>
      <c r="M9040">
        <v>0.99988030000000006</v>
      </c>
      <c r="N9040">
        <v>0</v>
      </c>
      <c r="O9040">
        <v>-7.5568989999999997E-3</v>
      </c>
      <c r="P9040">
        <v>0.99772930000000004</v>
      </c>
      <c r="Q9040">
        <v>6.6650379999999995E-2</v>
      </c>
      <c r="R9040">
        <v>9.7051129999999996E-3</v>
      </c>
      <c r="S9040">
        <v>3.010345</v>
      </c>
      <c r="T9040">
        <v>-5.0384760000000001E-2</v>
      </c>
      <c r="U9040">
        <v>1.010132E-2</v>
      </c>
      <c r="V9040">
        <v>-1.7084240000000001E-2</v>
      </c>
      <c r="W9040">
        <v>8.0148300000000006E-2</v>
      </c>
      <c r="X9040">
        <v>0.99663650000000004</v>
      </c>
      <c r="Y9040">
        <v>-1.0910380000000001E-2</v>
      </c>
      <c r="Z9040">
        <v>2.1778109999999999E-4</v>
      </c>
      <c r="AA9040">
        <v>0.99994050000000001</v>
      </c>
      <c r="AB9040">
        <v>20</v>
      </c>
      <c r="AC9040">
        <v>66.106930000000006</v>
      </c>
      <c r="AD9040">
        <v>-1.109786013278</v>
      </c>
      <c r="AE9040">
        <v>0.22549999999998199</v>
      </c>
      <c r="AF9040">
        <v>-0.72489819492294605</v>
      </c>
      <c r="AG9040">
        <v>-1.109786013278</v>
      </c>
      <c r="AH9040">
        <v>66.084713495695993</v>
      </c>
      <c r="AI9040">
        <v>90.962041762269905</v>
      </c>
      <c r="AJ9040">
        <v>90.628465181130395</v>
      </c>
      <c r="AK9040">
        <v>66.098006476719803</v>
      </c>
      <c r="AL9040">
        <v>85.402909776538493</v>
      </c>
      <c r="AM9040">
        <v>90.982062154065403</v>
      </c>
      <c r="AN9040">
        <v>0.99999996719075801</v>
      </c>
    </row>
    <row r="9041" spans="1:40" x14ac:dyDescent="0.25">
      <c r="A9041" t="str">
        <f>"20190312160544486"</f>
        <v>20190312160544486</v>
      </c>
      <c r="B9041" t="str">
        <f>"1552377944473873"</f>
        <v>1552377944473873</v>
      </c>
      <c r="C9041" t="s">
        <v>40</v>
      </c>
      <c r="D9041">
        <v>5.4417980000000004</v>
      </c>
      <c r="E9041">
        <v>0.50364160000000002</v>
      </c>
      <c r="F9041" t="s">
        <v>41</v>
      </c>
      <c r="G9041">
        <v>-91.531639999999996</v>
      </c>
      <c r="H9041" s="1">
        <v>-3.6921350000000001E-6</v>
      </c>
      <c r="I9041">
        <v>139.18270000000001</v>
      </c>
      <c r="J9041">
        <v>-153.54589999999999</v>
      </c>
      <c r="K9041">
        <v>1.1097870000000001</v>
      </c>
      <c r="L9041">
        <v>139.26849999999999</v>
      </c>
      <c r="M9041">
        <v>0.99986699999999995</v>
      </c>
      <c r="N9041">
        <v>0</v>
      </c>
      <c r="O9041">
        <v>-9.1567909999999992E-3</v>
      </c>
      <c r="P9041">
        <v>0.99778699999999998</v>
      </c>
      <c r="Q9041">
        <v>6.6089090000000003E-2</v>
      </c>
      <c r="R9041">
        <v>7.3284119999999899E-3</v>
      </c>
      <c r="S9041">
        <v>3.010437</v>
      </c>
      <c r="T9041">
        <v>-5.3694609999999997E-2</v>
      </c>
      <c r="U9041">
        <v>-4.3182369999999999E-3</v>
      </c>
      <c r="V9041">
        <v>-1.6306060000000001E-2</v>
      </c>
      <c r="W9041">
        <v>7.9583639999999997E-2</v>
      </c>
      <c r="X9041">
        <v>0.99669479999999999</v>
      </c>
      <c r="Y9041">
        <v>-7.7205709999999999E-3</v>
      </c>
      <c r="Z9041">
        <v>2.321689E-4</v>
      </c>
      <c r="AA9041">
        <v>0.99997020000000003</v>
      </c>
      <c r="AB9041">
        <v>20</v>
      </c>
      <c r="AC9041">
        <v>62.014259999999901</v>
      </c>
      <c r="AD9041">
        <v>-1.109790692135</v>
      </c>
      <c r="AE9041">
        <v>-8.5799999999977603E-2</v>
      </c>
      <c r="AF9041">
        <v>-0.48195258709629202</v>
      </c>
      <c r="AG9041">
        <v>-1.109790692135</v>
      </c>
      <c r="AH9041">
        <v>61.9925918053437</v>
      </c>
      <c r="AI9041">
        <v>91.0255678722217</v>
      </c>
      <c r="AJ9041">
        <v>90.445428914151805</v>
      </c>
      <c r="AK9041">
        <v>62.004397847414999</v>
      </c>
      <c r="AL9041">
        <v>85.435366167183901</v>
      </c>
      <c r="AM9041">
        <v>90.937282986045901</v>
      </c>
      <c r="AN9041">
        <v>0.99999998384770605</v>
      </c>
    </row>
    <row r="9042" spans="1:40" x14ac:dyDescent="0.25">
      <c r="A9042" t="str">
        <f>"20190312160544510"</f>
        <v>20190312160544510</v>
      </c>
      <c r="B9042" t="str">
        <f>"1552377944504131"</f>
        <v>1552377944504131</v>
      </c>
      <c r="C9042" t="s">
        <v>40</v>
      </c>
      <c r="D9042">
        <v>5.2357480000000001</v>
      </c>
      <c r="E9042">
        <v>0.52814859999999997</v>
      </c>
      <c r="F9042" t="s">
        <v>41</v>
      </c>
      <c r="G9042">
        <v>-89.881</v>
      </c>
      <c r="H9042" s="1">
        <v>-2.1899970000000001E-7</v>
      </c>
      <c r="I9042">
        <v>138.8931</v>
      </c>
      <c r="J9042">
        <v>-153.33799999999999</v>
      </c>
      <c r="K9042">
        <v>1.1097919999999999</v>
      </c>
      <c r="L9042">
        <v>139.2646</v>
      </c>
      <c r="M9042">
        <v>0.99985109999999999</v>
      </c>
      <c r="N9042">
        <v>0</v>
      </c>
      <c r="O9042">
        <v>-1.076359E-2</v>
      </c>
      <c r="P9042">
        <v>0.99783429999999995</v>
      </c>
      <c r="Q9042">
        <v>6.5597719999999998E-2</v>
      </c>
      <c r="R9042">
        <v>4.9108800000000003E-3</v>
      </c>
      <c r="S9042">
        <v>3.0102540000000002</v>
      </c>
      <c r="T9042">
        <v>-5.2473779999999998E-2</v>
      </c>
      <c r="U9042">
        <v>-1.774597E-2</v>
      </c>
      <c r="V9042">
        <v>-1.5493979999999999E-2</v>
      </c>
      <c r="W9042">
        <v>7.9088790000000006E-2</v>
      </c>
      <c r="X9042">
        <v>0.9967471</v>
      </c>
      <c r="Y9042">
        <v>-4.867283E-3</v>
      </c>
      <c r="Z9042">
        <v>2.3004340000000001E-4</v>
      </c>
      <c r="AA9042">
        <v>0.99998810000000005</v>
      </c>
      <c r="AB9042">
        <v>20</v>
      </c>
      <c r="AC9042">
        <v>63.457000000000001</v>
      </c>
      <c r="AD9042">
        <v>-1.1097922189997</v>
      </c>
      <c r="AE9042">
        <v>-0.371499999999997</v>
      </c>
      <c r="AF9042">
        <v>-0.31151351605781802</v>
      </c>
      <c r="AG9042">
        <v>-1.1097922189997</v>
      </c>
      <c r="AH9042">
        <v>63.437919832482201</v>
      </c>
      <c r="AI9042">
        <v>91.002226404711294</v>
      </c>
      <c r="AJ9042">
        <v>90.281350118659105</v>
      </c>
      <c r="AK9042">
        <v>63.448391249207297</v>
      </c>
      <c r="AL9042">
        <v>85.463808441568602</v>
      </c>
      <c r="AM9042">
        <v>90.890565089040706</v>
      </c>
      <c r="AN9042">
        <v>0.99999994073915499</v>
      </c>
    </row>
    <row r="9043" spans="1:40" x14ac:dyDescent="0.25">
      <c r="A9043" t="str">
        <f>"20190312160544529"</f>
        <v>20190312160544529</v>
      </c>
      <c r="B9043" t="str">
        <f>"1552377944524625"</f>
        <v>1552377944524625</v>
      </c>
      <c r="C9043" t="s">
        <v>40</v>
      </c>
      <c r="D9043">
        <v>5.2013379999999998</v>
      </c>
      <c r="E9043">
        <v>0.52024409999999999</v>
      </c>
      <c r="F9043" t="s">
        <v>41</v>
      </c>
      <c r="G9043">
        <v>-134.34139999999999</v>
      </c>
      <c r="H9043" s="1">
        <v>-2.7237709999999999E-6</v>
      </c>
      <c r="I9043">
        <v>137.84639999999999</v>
      </c>
      <c r="J9043">
        <v>-153.1643</v>
      </c>
      <c r="K9043">
        <v>1.109793</v>
      </c>
      <c r="L9043">
        <v>139.2612</v>
      </c>
      <c r="M9043">
        <v>0.99983569999999999</v>
      </c>
      <c r="N9043">
        <v>0</v>
      </c>
      <c r="O9043">
        <v>-1.210602E-2</v>
      </c>
      <c r="P9043">
        <v>0.99782660000000001</v>
      </c>
      <c r="Q9043">
        <v>6.5853990000000001E-2</v>
      </c>
      <c r="R9043">
        <v>2.2931459999999998E-3</v>
      </c>
      <c r="S9043">
        <v>3.0192109999999999</v>
      </c>
      <c r="T9043">
        <v>-0.17638389999999901</v>
      </c>
      <c r="U9043">
        <v>-0.22540279999999999</v>
      </c>
      <c r="V9043">
        <v>-1.4215159999999999E-2</v>
      </c>
      <c r="W9043">
        <v>7.9340729999999998E-2</v>
      </c>
      <c r="X9043">
        <v>0.99674620000000003</v>
      </c>
      <c r="Y9043">
        <v>6.2284989999999998E-2</v>
      </c>
      <c r="Z9043">
        <v>-1.109662E-3</v>
      </c>
      <c r="AA9043">
        <v>0.99805779999999999</v>
      </c>
      <c r="AB9043">
        <v>20</v>
      </c>
      <c r="AC9043">
        <v>18.822900000000001</v>
      </c>
      <c r="AD9043">
        <v>-1.1097957237710001</v>
      </c>
      <c r="AE9043">
        <v>-1.41480000000001</v>
      </c>
      <c r="AF9043">
        <v>1.1827168179165</v>
      </c>
      <c r="AG9043">
        <v>-1.1097957237710001</v>
      </c>
      <c r="AH9043">
        <v>18.773753623122801</v>
      </c>
      <c r="AI9043">
        <v>93.376380129584007</v>
      </c>
      <c r="AJ9043">
        <v>86.395220259058405</v>
      </c>
      <c r="AK9043">
        <v>18.843680392152599</v>
      </c>
      <c r="AL9043">
        <v>85.449328129480406</v>
      </c>
      <c r="AM9043">
        <v>90.817072050014502</v>
      </c>
      <c r="AN9043">
        <v>1.0000000047125901</v>
      </c>
    </row>
    <row r="9044" spans="1:40" x14ac:dyDescent="0.25">
      <c r="A9044" t="str">
        <f>"20190312160544551"</f>
        <v>20190312160544551</v>
      </c>
      <c r="B9044" t="str">
        <f>"1552377944544146"</f>
        <v>1552377944544146</v>
      </c>
      <c r="C9044" t="s">
        <v>40</v>
      </c>
      <c r="D9044">
        <v>5.3717779999999999</v>
      </c>
      <c r="E9044">
        <v>0.52238339999999905</v>
      </c>
      <c r="F9044" t="s">
        <v>41</v>
      </c>
      <c r="G9044">
        <v>-102.9588</v>
      </c>
      <c r="H9044" s="1">
        <v>-3.8616259999999999E-6</v>
      </c>
      <c r="I9044">
        <v>136.50040000000001</v>
      </c>
      <c r="J9044">
        <v>-152.97069999999999</v>
      </c>
      <c r="K9044">
        <v>1.1097969999999999</v>
      </c>
      <c r="L9044">
        <v>139.25700000000001</v>
      </c>
      <c r="M9044">
        <v>0.9998165</v>
      </c>
      <c r="N9044">
        <v>0</v>
      </c>
      <c r="O9044">
        <v>-1.3602090000000001E-2</v>
      </c>
      <c r="P9044">
        <v>0.99783699999999997</v>
      </c>
      <c r="Q9044">
        <v>6.5736610000000001E-2</v>
      </c>
      <c r="R9044">
        <v>1.6315599999999999E-4</v>
      </c>
      <c r="S9044">
        <v>3.0112920000000001</v>
      </c>
      <c r="T9044">
        <v>-6.6564799999999993E-2</v>
      </c>
      <c r="U9044">
        <v>-0.1655884</v>
      </c>
      <c r="V9044">
        <v>-1.357935E-2</v>
      </c>
      <c r="W9044">
        <v>7.9219999999999999E-2</v>
      </c>
      <c r="X9044">
        <v>0.99676469999999995</v>
      </c>
      <c r="Y9044">
        <v>4.1311580000000001E-2</v>
      </c>
      <c r="Z9044">
        <v>-1.5579360000000001E-4</v>
      </c>
      <c r="AA9044">
        <v>0.99914630000000004</v>
      </c>
      <c r="AB9044">
        <v>20</v>
      </c>
      <c r="AC9044">
        <v>50.011899999999997</v>
      </c>
      <c r="AD9044">
        <v>-1.109800861626</v>
      </c>
      <c r="AE9044">
        <v>-2.7565999999999899</v>
      </c>
      <c r="AF9044">
        <v>2.0749979789020099</v>
      </c>
      <c r="AG9044">
        <v>-1.109800861626</v>
      </c>
      <c r="AH9044">
        <v>50.020214568374399</v>
      </c>
      <c r="AI9044">
        <v>91.269923783495997</v>
      </c>
      <c r="AJ9044">
        <v>87.624550367291206</v>
      </c>
      <c r="AK9044">
        <v>50.0755343459372</v>
      </c>
      <c r="AL9044">
        <v>85.456267438633404</v>
      </c>
      <c r="AM9044">
        <v>90.7805165198683</v>
      </c>
      <c r="AN9044">
        <v>1.0000000371562501</v>
      </c>
    </row>
    <row r="9045" spans="1:40" x14ac:dyDescent="0.25">
      <c r="A9045" t="str">
        <f>"20190312160544573"</f>
        <v>20190312160544573</v>
      </c>
      <c r="B9045" t="str">
        <f>"1552377944564644"</f>
        <v>1552377944564644</v>
      </c>
      <c r="C9045" t="s">
        <v>40</v>
      </c>
      <c r="D9045">
        <v>5.369027</v>
      </c>
      <c r="E9045">
        <v>0.52465850000000003</v>
      </c>
      <c r="F9045" t="s">
        <v>41</v>
      </c>
      <c r="G9045">
        <v>-106.30929999999999</v>
      </c>
      <c r="H9045" s="1">
        <v>-2.3091259999999999E-6</v>
      </c>
      <c r="I9045">
        <v>136.3237</v>
      </c>
      <c r="J9045">
        <v>-152.77760000000001</v>
      </c>
      <c r="K9045">
        <v>1.109801</v>
      </c>
      <c r="L9045">
        <v>139.2526</v>
      </c>
      <c r="M9045">
        <v>0.99979510000000005</v>
      </c>
      <c r="N9045">
        <v>0</v>
      </c>
      <c r="O9045">
        <v>-1.509098E-2</v>
      </c>
      <c r="P9045">
        <v>0.99785449999999998</v>
      </c>
      <c r="Q9045">
        <v>6.5460770000000001E-2</v>
      </c>
      <c r="R9045">
        <v>-1.1463409999999999E-3</v>
      </c>
      <c r="S9045">
        <v>3.0112459999999999</v>
      </c>
      <c r="T9045">
        <v>-7.1619870000000002E-2</v>
      </c>
      <c r="U9045">
        <v>-0.18930050000000001</v>
      </c>
      <c r="V9045">
        <v>-1.3757419999999999E-2</v>
      </c>
      <c r="W9045">
        <v>7.8942869999999998E-2</v>
      </c>
      <c r="X9045">
        <v>0.99678420000000001</v>
      </c>
      <c r="Y9045">
        <v>4.7661740000000001E-2</v>
      </c>
      <c r="Z9045">
        <v>-2.076565E-4</v>
      </c>
      <c r="AA9045">
        <v>0.99886350000000002</v>
      </c>
      <c r="AB9045">
        <v>20</v>
      </c>
      <c r="AC9045">
        <v>46.468299999999999</v>
      </c>
      <c r="AD9045">
        <v>-1.109803309126</v>
      </c>
      <c r="AE9045">
        <v>-2.9288999999999898</v>
      </c>
      <c r="AF9045">
        <v>2.2259857192331398</v>
      </c>
      <c r="AG9045">
        <v>-1.109803309126</v>
      </c>
      <c r="AH9045">
        <v>46.4808037645223</v>
      </c>
      <c r="AI9045">
        <v>91.366203025547406</v>
      </c>
      <c r="AJ9045">
        <v>87.258175270873807</v>
      </c>
      <c r="AK9045">
        <v>46.547307058552903</v>
      </c>
      <c r="AL9045">
        <v>85.472195498955003</v>
      </c>
      <c r="AM9045">
        <v>90.790734903319901</v>
      </c>
      <c r="AN9045">
        <v>0.99999999234926595</v>
      </c>
    </row>
    <row r="9046" spans="1:40" x14ac:dyDescent="0.25">
      <c r="A9046" t="str">
        <f>"20190312160544595"</f>
        <v>20190312160544595</v>
      </c>
      <c r="B9046" t="str">
        <f>"1552377944584162"</f>
        <v>1552377944584162</v>
      </c>
      <c r="C9046" t="s">
        <v>40</v>
      </c>
      <c r="D9046">
        <v>5.4009260000000001</v>
      </c>
      <c r="E9046">
        <v>0.52585550000000003</v>
      </c>
      <c r="F9046" t="s">
        <v>41</v>
      </c>
      <c r="G9046">
        <v>-103.389</v>
      </c>
      <c r="H9046" s="1">
        <v>-3.7849080000000002E-6</v>
      </c>
      <c r="I9046">
        <v>135.78620000000001</v>
      </c>
      <c r="J9046">
        <v>-152.58349999999999</v>
      </c>
      <c r="K9046">
        <v>1.109812</v>
      </c>
      <c r="L9046">
        <v>139.24789999999999</v>
      </c>
      <c r="M9046">
        <v>0.99977150000000004</v>
      </c>
      <c r="N9046">
        <v>0</v>
      </c>
      <c r="O9046">
        <v>-1.6578969999999998E-2</v>
      </c>
      <c r="P9046">
        <v>0.99787919999999997</v>
      </c>
      <c r="Q9046">
        <v>6.5033240000000006E-2</v>
      </c>
      <c r="R9046">
        <v>-2.8185480000000001E-3</v>
      </c>
      <c r="S9046">
        <v>3.0106510000000002</v>
      </c>
      <c r="T9046">
        <v>-6.7651989999999995E-2</v>
      </c>
      <c r="U9046">
        <v>-0.21130370000000001</v>
      </c>
      <c r="V9046">
        <v>-1.3573460000000001E-2</v>
      </c>
      <c r="W9046">
        <v>7.8512659999999998E-2</v>
      </c>
      <c r="X9046">
        <v>0.9968207</v>
      </c>
      <c r="Y9046">
        <v>5.3454500000000002E-2</v>
      </c>
      <c r="Z9046">
        <v>-2.27765E-4</v>
      </c>
      <c r="AA9046">
        <v>0.99857030000000002</v>
      </c>
      <c r="AB9046">
        <v>20</v>
      </c>
      <c r="AC9046">
        <v>49.194499999999898</v>
      </c>
      <c r="AD9046">
        <v>-1.1098157849079999</v>
      </c>
      <c r="AE9046">
        <v>-3.4616999999999698</v>
      </c>
      <c r="AF9046">
        <v>2.6442166082483198</v>
      </c>
      <c r="AG9046">
        <v>-1.1098157849079999</v>
      </c>
      <c r="AH9046">
        <v>49.220207268627902</v>
      </c>
      <c r="AI9046">
        <v>91.289825383781206</v>
      </c>
      <c r="AJ9046">
        <v>86.924902127902499</v>
      </c>
      <c r="AK9046">
        <v>49.303675077163</v>
      </c>
      <c r="AL9046">
        <v>85.496921461915406</v>
      </c>
      <c r="AM9046">
        <v>90.780134191259606</v>
      </c>
      <c r="AN9046">
        <v>0.99999999227256797</v>
      </c>
    </row>
    <row r="9047" spans="1:40" x14ac:dyDescent="0.25">
      <c r="A9047" t="str">
        <f>"20190312160544618"</f>
        <v>20190312160544618</v>
      </c>
      <c r="B9047" t="str">
        <f>"1552377944614421"</f>
        <v>1552377944614421</v>
      </c>
      <c r="C9047" t="s">
        <v>40</v>
      </c>
      <c r="D9047">
        <v>5.3676159999999999</v>
      </c>
      <c r="E9047">
        <v>0.526165199999999</v>
      </c>
      <c r="F9047" t="s">
        <v>41</v>
      </c>
      <c r="G9047">
        <v>-102.9821</v>
      </c>
      <c r="H9047" s="1">
        <v>-4.0230469999999997E-6</v>
      </c>
      <c r="I9047">
        <v>135.52809999999999</v>
      </c>
      <c r="J9047">
        <v>-152.3869</v>
      </c>
      <c r="K9047">
        <v>1.109804</v>
      </c>
      <c r="L9047">
        <v>139.24279999999999</v>
      </c>
      <c r="M9047">
        <v>0.99974580000000002</v>
      </c>
      <c r="N9047">
        <v>0</v>
      </c>
      <c r="O9047">
        <v>-1.8066470000000001E-2</v>
      </c>
      <c r="P9047">
        <v>0.99789910000000004</v>
      </c>
      <c r="Q9047">
        <v>6.4614459999999999E-2</v>
      </c>
      <c r="R9047">
        <v>-4.742362E-3</v>
      </c>
      <c r="S9047">
        <v>3.010132</v>
      </c>
      <c r="T9047">
        <v>-6.7350859999999999E-2</v>
      </c>
      <c r="U9047">
        <v>-0.22573850000000001</v>
      </c>
      <c r="V9047">
        <v>-1.3138499999999999E-2</v>
      </c>
      <c r="W9047">
        <v>7.8091019999999997E-2</v>
      </c>
      <c r="X9047">
        <v>0.99685970000000002</v>
      </c>
      <c r="Y9047">
        <v>5.6743559999999998E-2</v>
      </c>
      <c r="Z9047">
        <v>-2.302746E-4</v>
      </c>
      <c r="AA9047">
        <v>0.99838879999999997</v>
      </c>
      <c r="AB9047">
        <v>19</v>
      </c>
      <c r="AC9047">
        <v>49.404800000000002</v>
      </c>
      <c r="AD9047">
        <v>-1.109808023047</v>
      </c>
      <c r="AE9047">
        <v>-3.7146999999999899</v>
      </c>
      <c r="AF9047">
        <v>2.82002704235442</v>
      </c>
      <c r="AG9047">
        <v>-1.109808023047</v>
      </c>
      <c r="AH9047">
        <v>49.439045417003101</v>
      </c>
      <c r="AI9047">
        <v>91.2838738473653</v>
      </c>
      <c r="AJ9047">
        <v>86.7353586118588</v>
      </c>
      <c r="AK9047">
        <v>49.531842668248501</v>
      </c>
      <c r="AL9047">
        <v>85.521154290709504</v>
      </c>
      <c r="AM9047">
        <v>90.755108281839796</v>
      </c>
      <c r="AN9047">
        <v>1.00000004453548</v>
      </c>
    </row>
    <row r="9048" spans="1:40" x14ac:dyDescent="0.25">
      <c r="A9048" t="str">
        <f>"20190312160544640"</f>
        <v>20190312160544640</v>
      </c>
      <c r="B9048" t="str">
        <f>"1552377944633937"</f>
        <v>1552377944633937</v>
      </c>
      <c r="C9048" t="s">
        <v>40</v>
      </c>
      <c r="D9048">
        <v>5.3631070000000003</v>
      </c>
      <c r="E9048">
        <v>0.52612349999999997</v>
      </c>
      <c r="F9048" t="s">
        <v>41</v>
      </c>
      <c r="G9048">
        <v>-104.4997</v>
      </c>
      <c r="H9048" s="1">
        <v>-3.305955E-6</v>
      </c>
      <c r="I9048">
        <v>135.5266</v>
      </c>
      <c r="J9048">
        <v>-152.18889999999999</v>
      </c>
      <c r="K9048">
        <v>1.1098330000000001</v>
      </c>
      <c r="L9048">
        <v>139.23740000000001</v>
      </c>
      <c r="M9048">
        <v>0.99971840000000001</v>
      </c>
      <c r="N9048">
        <v>0</v>
      </c>
      <c r="O9048">
        <v>-1.9532219999999999E-2</v>
      </c>
      <c r="P9048">
        <v>0.99787740000000003</v>
      </c>
      <c r="Q9048">
        <v>6.4740580000000006E-2</v>
      </c>
      <c r="R9048">
        <v>-7.0340410000000004E-3</v>
      </c>
      <c r="S9048">
        <v>3.0097049999999999</v>
      </c>
      <c r="T9048">
        <v>-6.9751259999999995E-2</v>
      </c>
      <c r="U9048">
        <v>-0.2335663</v>
      </c>
      <c r="V9048">
        <v>-1.2313670000000001E-2</v>
      </c>
      <c r="W9048">
        <v>7.8212249999999997E-2</v>
      </c>
      <c r="X9048">
        <v>0.99686070000000004</v>
      </c>
      <c r="Y9048">
        <v>5.7871319999999997E-2</v>
      </c>
      <c r="Z9048">
        <v>-2.1763859999999999E-4</v>
      </c>
      <c r="AA9048">
        <v>0.99832399999999999</v>
      </c>
      <c r="AB9048">
        <v>19</v>
      </c>
      <c r="AC9048">
        <v>47.6891999999999</v>
      </c>
      <c r="AD9048">
        <v>-1.109836305955</v>
      </c>
      <c r="AE9048">
        <v>-3.7107999999999999</v>
      </c>
      <c r="AF9048">
        <v>2.7770364248361399</v>
      </c>
      <c r="AG9048">
        <v>-1.109836305955</v>
      </c>
      <c r="AH9048">
        <v>47.726894059568501</v>
      </c>
      <c r="AI9048">
        <v>91.329861628932903</v>
      </c>
      <c r="AJ9048">
        <v>86.669943236259499</v>
      </c>
      <c r="AK9048">
        <v>47.820498580673103</v>
      </c>
      <c r="AL9048">
        <v>85.514186898733499</v>
      </c>
      <c r="AM9048">
        <v>90.707707146131995</v>
      </c>
      <c r="AN9048">
        <v>1.00000001886171</v>
      </c>
    </row>
    <row r="9049" spans="1:40" x14ac:dyDescent="0.25">
      <c r="A9049" t="str">
        <f>"20190312160544664"</f>
        <v>20190312160544664</v>
      </c>
      <c r="B9049" t="str">
        <f>"1552377944654433"</f>
        <v>1552377944654433</v>
      </c>
      <c r="C9049" t="s">
        <v>40</v>
      </c>
      <c r="D9049">
        <v>5.3350689999999998</v>
      </c>
      <c r="E9049">
        <v>0.52608849999999996</v>
      </c>
      <c r="F9049" t="s">
        <v>41</v>
      </c>
      <c r="G9049">
        <v>-105.6878</v>
      </c>
      <c r="H9049" s="1">
        <v>-2.7439289999999998E-6</v>
      </c>
      <c r="I9049">
        <v>135.52879999999999</v>
      </c>
      <c r="J9049">
        <v>-151.99430000000001</v>
      </c>
      <c r="K9049">
        <v>1.10985</v>
      </c>
      <c r="L9049">
        <v>139.2319</v>
      </c>
      <c r="M9049">
        <v>0.99969019999999997</v>
      </c>
      <c r="N9049">
        <v>0</v>
      </c>
      <c r="O9049">
        <v>-2.0926139999999999E-2</v>
      </c>
      <c r="P9049">
        <v>0.99785829999999998</v>
      </c>
      <c r="Q9049">
        <v>6.4873810000000004E-2</v>
      </c>
      <c r="R9049">
        <v>-8.3685059999999995E-3</v>
      </c>
      <c r="S9049">
        <v>3.0093540000000001</v>
      </c>
      <c r="T9049">
        <v>-7.182384E-2</v>
      </c>
      <c r="U9049">
        <v>-0.24000550000000001</v>
      </c>
      <c r="V9049">
        <v>-1.237629E-2</v>
      </c>
      <c r="W9049">
        <v>7.8342019999999998E-2</v>
      </c>
      <c r="X9049">
        <v>0.99684969999999995</v>
      </c>
      <c r="Y9049">
        <v>5.8610870000000002E-2</v>
      </c>
      <c r="Z9049">
        <v>-1.9972809999999999E-4</v>
      </c>
      <c r="AA9049">
        <v>0.99828090000000003</v>
      </c>
      <c r="AB9049">
        <v>19</v>
      </c>
      <c r="AC9049">
        <v>46.3065</v>
      </c>
      <c r="AD9049">
        <v>-1.109852743929</v>
      </c>
      <c r="AE9049">
        <v>-3.7031000000000001</v>
      </c>
      <c r="AF9049">
        <v>2.7316254716205499</v>
      </c>
      <c r="AG9049">
        <v>-1.109852743929</v>
      </c>
      <c r="AH9049">
        <v>46.347402036931904</v>
      </c>
      <c r="AI9049">
        <v>91.369389195220904</v>
      </c>
      <c r="AJ9049">
        <v>86.627000493409795</v>
      </c>
      <c r="AK9049">
        <v>46.4410941559672</v>
      </c>
      <c r="AL9049">
        <v>85.506728586612695</v>
      </c>
      <c r="AM9049">
        <v>90.711313603090204</v>
      </c>
      <c r="AN9049">
        <v>0.99999998452096694</v>
      </c>
    </row>
    <row r="9050" spans="1:40" x14ac:dyDescent="0.25">
      <c r="A9050" t="str">
        <f>"20190312160544686"</f>
        <v>20190312160544686</v>
      </c>
      <c r="B9050" t="str">
        <f>"1552377944673953"</f>
        <v>1552377944673953</v>
      </c>
      <c r="C9050" t="s">
        <v>40</v>
      </c>
      <c r="D9050">
        <v>5.3619919999999999</v>
      </c>
      <c r="E9050">
        <v>0.52573049999999999</v>
      </c>
      <c r="F9050" t="s">
        <v>41</v>
      </c>
      <c r="G9050">
        <v>-105.8421</v>
      </c>
      <c r="H9050" s="1">
        <v>-2.6782180000000001E-6</v>
      </c>
      <c r="I9050">
        <v>135.4923</v>
      </c>
      <c r="J9050">
        <v>-151.7978</v>
      </c>
      <c r="K9050">
        <v>1.109885</v>
      </c>
      <c r="L9050">
        <v>139.22620000000001</v>
      </c>
      <c r="M9050">
        <v>0.99966129999999997</v>
      </c>
      <c r="N9050">
        <v>0</v>
      </c>
      <c r="O9050">
        <v>-2.2265699999999999E-2</v>
      </c>
      <c r="P9050">
        <v>0.99785999999999997</v>
      </c>
      <c r="Q9050">
        <v>6.4789879999999994E-2</v>
      </c>
      <c r="R9050">
        <v>-8.8174059999999999E-3</v>
      </c>
      <c r="S9050">
        <v>3.0090940000000002</v>
      </c>
      <c r="T9050">
        <v>-7.2361709999999996E-2</v>
      </c>
      <c r="U9050">
        <v>-0.24382019999999999</v>
      </c>
      <c r="V9050">
        <v>-1.3273800000000001E-2</v>
      </c>
      <c r="W9050">
        <v>7.8254560000000001E-2</v>
      </c>
      <c r="X9050">
        <v>0.99684510000000004</v>
      </c>
      <c r="Y9050">
        <v>5.853767E-2</v>
      </c>
      <c r="Z9050">
        <v>-1.682144E-4</v>
      </c>
      <c r="AA9050">
        <v>0.99828519999999998</v>
      </c>
      <c r="AB9050">
        <v>19</v>
      </c>
      <c r="AC9050">
        <v>45.955699999999901</v>
      </c>
      <c r="AD9050">
        <v>-1.1098876782179901</v>
      </c>
      <c r="AE9050">
        <v>-3.7339000000000002</v>
      </c>
      <c r="AF9050">
        <v>2.7080762269816701</v>
      </c>
      <c r="AG9050">
        <v>-1.1098876782179901</v>
      </c>
      <c r="AH9050">
        <v>46.000794920249596</v>
      </c>
      <c r="AI9050">
        <v>91.379752209491002</v>
      </c>
      <c r="AJ9050">
        <v>86.630874251594406</v>
      </c>
      <c r="AK9050">
        <v>46.093802845981998</v>
      </c>
      <c r="AL9050">
        <v>85.511755454036901</v>
      </c>
      <c r="AM9050">
        <v>90.762894628926105</v>
      </c>
      <c r="AN9050">
        <v>1.0000000616606199</v>
      </c>
    </row>
    <row r="9051" spans="1:40" x14ac:dyDescent="0.25">
      <c r="A9051" t="str">
        <f>"20190312160544709"</f>
        <v>20190312160544709</v>
      </c>
      <c r="B9051" t="str">
        <f>"1552377944704210"</f>
        <v>1552377944704210</v>
      </c>
      <c r="C9051" t="s">
        <v>40</v>
      </c>
      <c r="D9051">
        <v>5.1113429999999997</v>
      </c>
      <c r="E9051">
        <v>0.50320450000000005</v>
      </c>
      <c r="F9051" t="s">
        <v>41</v>
      </c>
      <c r="G9051">
        <v>-108.2306</v>
      </c>
      <c r="H9051" s="1">
        <v>-1.7013220000000001E-6</v>
      </c>
      <c r="I9051">
        <v>135.7165</v>
      </c>
      <c r="J9051">
        <v>-151.608</v>
      </c>
      <c r="K9051">
        <v>1.109939</v>
      </c>
      <c r="L9051">
        <v>139.22049999999999</v>
      </c>
      <c r="M9051">
        <v>0.99963369999999996</v>
      </c>
      <c r="N9051">
        <v>0</v>
      </c>
      <c r="O9051">
        <v>-2.347252E-2</v>
      </c>
      <c r="P9051">
        <v>0.99788129999999997</v>
      </c>
      <c r="Q9051">
        <v>6.4441739999999997E-2</v>
      </c>
      <c r="R9051">
        <v>-8.9691969999999999E-3</v>
      </c>
      <c r="S9051">
        <v>3.0092469999999998</v>
      </c>
      <c r="T9051">
        <v>-7.6661350000000003E-2</v>
      </c>
      <c r="U9051">
        <v>-0.2424164</v>
      </c>
      <c r="V9051">
        <v>-1.4338460000000001E-2</v>
      </c>
      <c r="W9051">
        <v>7.7903239999999999E-2</v>
      </c>
      <c r="X9051">
        <v>0.99685780000000002</v>
      </c>
      <c r="Y9051">
        <v>5.6865319999999997E-2</v>
      </c>
      <c r="Z9051">
        <v>-1.262639E-4</v>
      </c>
      <c r="AA9051">
        <v>0.99838190000000004</v>
      </c>
      <c r="AB9051">
        <v>19</v>
      </c>
      <c r="AC9051">
        <v>43.377400000000002</v>
      </c>
      <c r="AD9051">
        <v>-1.109940701322</v>
      </c>
      <c r="AE9051">
        <v>-3.5039999999999898</v>
      </c>
      <c r="AF9051">
        <v>2.48314981577008</v>
      </c>
      <c r="AG9051">
        <v>-1.109940701322</v>
      </c>
      <c r="AH9051">
        <v>43.419457379579498</v>
      </c>
      <c r="AI9051">
        <v>91.461957318617493</v>
      </c>
      <c r="AJ9051">
        <v>86.726831562601305</v>
      </c>
      <c r="AK9051">
        <v>43.5045662029301</v>
      </c>
      <c r="AL9051">
        <v>85.531945923346996</v>
      </c>
      <c r="AM9051">
        <v>90.824065974300495</v>
      </c>
      <c r="AN9051">
        <v>0.99999998982925398</v>
      </c>
    </row>
    <row r="9052" spans="1:40" x14ac:dyDescent="0.25">
      <c r="A9052" t="str">
        <f>"20190312160544730"</f>
        <v>20190312160544730</v>
      </c>
      <c r="B9052" t="str">
        <f>"1552377944724705"</f>
        <v>1552377944724705</v>
      </c>
      <c r="C9052" t="s">
        <v>40</v>
      </c>
      <c r="D9052">
        <v>5.1924609999999998</v>
      </c>
      <c r="E9052">
        <v>0.50105580000000005</v>
      </c>
      <c r="F9052" t="s">
        <v>41</v>
      </c>
      <c r="G9052">
        <v>-112.86199999999999</v>
      </c>
      <c r="H9052" s="1">
        <v>-3.2585100000000001E-6</v>
      </c>
      <c r="I9052">
        <v>138.40979999999999</v>
      </c>
      <c r="J9052">
        <v>-151.41560000000001</v>
      </c>
      <c r="K9052">
        <v>1.1099969999999999</v>
      </c>
      <c r="L9052">
        <v>139.21459999999999</v>
      </c>
      <c r="M9052">
        <v>0.99960680000000002</v>
      </c>
      <c r="N9052">
        <v>0</v>
      </c>
      <c r="O9052">
        <v>-2.459515E-2</v>
      </c>
      <c r="P9052">
        <v>0.99789760000000005</v>
      </c>
      <c r="Q9052">
        <v>6.4317429999999995E-2</v>
      </c>
      <c r="R9052">
        <v>-7.9990510000000001E-3</v>
      </c>
      <c r="S9052">
        <v>3.0113530000000002</v>
      </c>
      <c r="T9052">
        <v>-8.6264850000000004E-2</v>
      </c>
      <c r="U9052">
        <v>-6.3003539999999997E-2</v>
      </c>
      <c r="V9052">
        <v>-1.644197E-2</v>
      </c>
      <c r="W9052">
        <v>7.7775849999999994E-2</v>
      </c>
      <c r="X9052">
        <v>0.99683529999999998</v>
      </c>
      <c r="Y9052">
        <v>-3.6693120000000001E-3</v>
      </c>
      <c r="Z9052">
        <v>7.5684999999999999E-4</v>
      </c>
      <c r="AA9052">
        <v>0.99999300000000002</v>
      </c>
      <c r="AB9052">
        <v>19</v>
      </c>
      <c r="AC9052">
        <v>38.553600000000003</v>
      </c>
      <c r="AD9052">
        <v>-1.1100002585099999</v>
      </c>
      <c r="AE9052">
        <v>-0.80479999999999996</v>
      </c>
      <c r="AF9052">
        <v>-0.14364203975274401</v>
      </c>
      <c r="AG9052">
        <v>-1.1100002585099999</v>
      </c>
      <c r="AH9052">
        <v>38.529806657526898</v>
      </c>
      <c r="AI9052">
        <v>91.650158883490704</v>
      </c>
      <c r="AJ9052">
        <v>90.213602019424002</v>
      </c>
      <c r="AK9052">
        <v>38.546059911174801</v>
      </c>
      <c r="AL9052">
        <v>85.539267172937201</v>
      </c>
      <c r="AM9052">
        <v>90.944960587471599</v>
      </c>
      <c r="AN9052">
        <v>1.0000000182733899</v>
      </c>
    </row>
    <row r="9053" spans="1:40" x14ac:dyDescent="0.25">
      <c r="A9053" t="str">
        <f>"20190312160544753"</f>
        <v>20190312160544753</v>
      </c>
      <c r="B9053" t="str">
        <f>"1552377944744226"</f>
        <v>1552377944744226</v>
      </c>
      <c r="C9053" t="s">
        <v>40</v>
      </c>
      <c r="D9053">
        <v>5.1825479999999997</v>
      </c>
      <c r="E9053">
        <v>0.4995078</v>
      </c>
      <c r="F9053" t="s">
        <v>41</v>
      </c>
      <c r="G9053">
        <v>-88.536369999999906</v>
      </c>
      <c r="H9053" s="1">
        <v>-8.358265E-7</v>
      </c>
      <c r="I9053">
        <v>138.34450000000001</v>
      </c>
      <c r="J9053">
        <v>-151.22309999999999</v>
      </c>
      <c r="K9053">
        <v>1.1100570000000001</v>
      </c>
      <c r="L9053">
        <v>139.20849999999999</v>
      </c>
      <c r="M9053">
        <v>0.99958080000000005</v>
      </c>
      <c r="N9053">
        <v>0</v>
      </c>
      <c r="O9053">
        <v>-2.5631089999999999E-2</v>
      </c>
      <c r="P9053">
        <v>0.99784170000000005</v>
      </c>
      <c r="Q9053">
        <v>6.5237069999999994E-2</v>
      </c>
      <c r="R9053">
        <v>-7.509534E-3</v>
      </c>
      <c r="S9053">
        <v>3.0094150000000002</v>
      </c>
      <c r="T9053">
        <v>-5.3124669999999999E-2</v>
      </c>
      <c r="U9053">
        <v>-4.1641240000000003E-2</v>
      </c>
      <c r="V9053">
        <v>-1.7974540000000001E-2</v>
      </c>
      <c r="W9053">
        <v>7.8689980000000007E-2</v>
      </c>
      <c r="X9053">
        <v>0.99673710000000004</v>
      </c>
      <c r="Y9053">
        <v>-1.1794020000000001E-2</v>
      </c>
      <c r="Z9053">
        <v>5.5647390000000002E-4</v>
      </c>
      <c r="AA9053">
        <v>0.99993030000000005</v>
      </c>
      <c r="AB9053">
        <v>19</v>
      </c>
      <c r="AC9053">
        <v>62.686729999999997</v>
      </c>
      <c r="AD9053">
        <v>-1.1100578358265001</v>
      </c>
      <c r="AE9053">
        <v>-0.86399999999997501</v>
      </c>
      <c r="AF9053">
        <v>-0.74292584909012105</v>
      </c>
      <c r="AG9053">
        <v>-1.1100578358265001</v>
      </c>
      <c r="AH9053">
        <v>62.668631522936899</v>
      </c>
      <c r="AI9053">
        <v>91.014710384120207</v>
      </c>
      <c r="AJ9053">
        <v>90.679199796161598</v>
      </c>
      <c r="AK9053">
        <v>62.682864837001198</v>
      </c>
      <c r="AL9053">
        <v>85.486730377342496</v>
      </c>
      <c r="AM9053">
        <v>91.033124646506593</v>
      </c>
      <c r="AN9053">
        <v>1.0000000217785101</v>
      </c>
    </row>
    <row r="9054" spans="1:40" x14ac:dyDescent="0.25">
      <c r="A9054" t="str">
        <f>"20190312160544775"</f>
        <v>20190312160544775</v>
      </c>
      <c r="B9054" t="str">
        <f>"1552377944764721"</f>
        <v>1552377944764721</v>
      </c>
      <c r="C9054" t="s">
        <v>40</v>
      </c>
      <c r="D9054">
        <v>5.1594540000000002</v>
      </c>
      <c r="E9054">
        <v>0.49886209999999997</v>
      </c>
      <c r="F9054" t="s">
        <v>41</v>
      </c>
      <c r="G9054">
        <v>-69.890780000000007</v>
      </c>
      <c r="H9054" s="1">
        <v>-3.2931059999999898E-7</v>
      </c>
      <c r="I9054">
        <v>138.46610000000001</v>
      </c>
      <c r="J9054">
        <v>-151.03280000000001</v>
      </c>
      <c r="K9054">
        <v>1.110114</v>
      </c>
      <c r="L9054">
        <v>139.20249999999999</v>
      </c>
      <c r="M9054">
        <v>0.99955649999999996</v>
      </c>
      <c r="N9054">
        <v>0</v>
      </c>
      <c r="O9054">
        <v>-2.656524E-2</v>
      </c>
      <c r="P9054">
        <v>0.99783560000000004</v>
      </c>
      <c r="Q9054">
        <v>6.5208299999999997E-2</v>
      </c>
      <c r="R9054">
        <v>-8.5080580000000006E-3</v>
      </c>
      <c r="S9054">
        <v>3.0089570000000001</v>
      </c>
      <c r="T9054">
        <v>-4.1067480000000003E-2</v>
      </c>
      <c r="U9054">
        <v>-2.7465819999999998E-2</v>
      </c>
      <c r="V9054">
        <v>-1.7918969999999999E-2</v>
      </c>
      <c r="W9054">
        <v>7.8656219999999999E-2</v>
      </c>
      <c r="X9054">
        <v>0.99674079999999998</v>
      </c>
      <c r="Y9054">
        <v>-1.743803E-2</v>
      </c>
      <c r="Z9054">
        <v>4.815315E-4</v>
      </c>
      <c r="AA9054">
        <v>0.99984779999999995</v>
      </c>
      <c r="AB9054">
        <v>19</v>
      </c>
      <c r="AC9054">
        <v>81.142020000000002</v>
      </c>
      <c r="AD9054">
        <v>-1.1101143293105999</v>
      </c>
      <c r="AE9054">
        <v>-0.73639999999997396</v>
      </c>
      <c r="AF9054">
        <v>-1.4193467324872999</v>
      </c>
      <c r="AG9054">
        <v>-1.1101143293105999</v>
      </c>
      <c r="AH9054">
        <v>81.117760901090506</v>
      </c>
      <c r="AI9054">
        <v>90.783936370231103</v>
      </c>
      <c r="AJ9054">
        <v>91.002422636942697</v>
      </c>
      <c r="AK9054">
        <v>81.137771922685005</v>
      </c>
      <c r="AL9054">
        <v>85.488670853445797</v>
      </c>
      <c r="AM9054">
        <v>91.029927510081293</v>
      </c>
      <c r="AN9054">
        <v>1.0000000564075899</v>
      </c>
    </row>
    <row r="9055" spans="1:40" x14ac:dyDescent="0.25">
      <c r="A9055" t="str">
        <f>"20190312160544797"</f>
        <v>20190312160544797</v>
      </c>
      <c r="B9055" t="str">
        <f>"1552377944794001"</f>
        <v>1552377944794001</v>
      </c>
      <c r="C9055" t="s">
        <v>40</v>
      </c>
      <c r="D9055">
        <v>5.1626830000000004</v>
      </c>
      <c r="E9055">
        <v>0.49865340000000002</v>
      </c>
      <c r="F9055" t="s">
        <v>41</v>
      </c>
      <c r="G9055">
        <v>-67.255859999999998</v>
      </c>
      <c r="H9055" s="1">
        <v>-1.3575469999999999E-6</v>
      </c>
      <c r="I9055">
        <v>138.50020000000001</v>
      </c>
      <c r="J9055">
        <v>-150.83920000000001</v>
      </c>
      <c r="K9055">
        <v>1.1101589999999999</v>
      </c>
      <c r="L9055">
        <v>139.1962</v>
      </c>
      <c r="M9055">
        <v>0.99953349999999996</v>
      </c>
      <c r="N9055">
        <v>0</v>
      </c>
      <c r="O9055">
        <v>-2.7418990000000001E-2</v>
      </c>
      <c r="P9055">
        <v>0.99786079999999999</v>
      </c>
      <c r="Q9055">
        <v>6.4721989999999993E-2</v>
      </c>
      <c r="R9055">
        <v>-9.2296970000000002E-3</v>
      </c>
      <c r="S9055">
        <v>3.008896</v>
      </c>
      <c r="T9055">
        <v>-3.9870379999999997E-2</v>
      </c>
      <c r="U9055">
        <v>-2.522278E-2</v>
      </c>
      <c r="V9055">
        <v>-1.8061310000000001E-2</v>
      </c>
      <c r="W9055">
        <v>7.8164220000000006E-2</v>
      </c>
      <c r="X9055">
        <v>0.99677689999999997</v>
      </c>
      <c r="Y9055">
        <v>-1.9037149999999999E-2</v>
      </c>
      <c r="Z9055">
        <v>4.8941190000000002E-4</v>
      </c>
      <c r="AA9055">
        <v>0.99981869999999995</v>
      </c>
      <c r="AB9055">
        <v>19</v>
      </c>
      <c r="AC9055">
        <v>83.583340000000007</v>
      </c>
      <c r="AD9055">
        <v>-1.110160357547</v>
      </c>
      <c r="AE9055">
        <v>-0.69599999999999795</v>
      </c>
      <c r="AF9055">
        <v>-1.5959583698091</v>
      </c>
      <c r="AG9055">
        <v>-1.110160357547</v>
      </c>
      <c r="AH9055">
        <v>83.556255292262804</v>
      </c>
      <c r="AI9055">
        <v>90.761070045698403</v>
      </c>
      <c r="AJ9055">
        <v>91.094239574249201</v>
      </c>
      <c r="AK9055">
        <v>83.578868965806393</v>
      </c>
      <c r="AL9055">
        <v>85.516947280922295</v>
      </c>
      <c r="AM9055">
        <v>91.0380694053772</v>
      </c>
      <c r="AN9055">
        <v>1.00000002229036</v>
      </c>
    </row>
    <row r="9056" spans="1:40" x14ac:dyDescent="0.25">
      <c r="A9056" t="str">
        <f>"20190312160544820"</f>
        <v>20190312160544820</v>
      </c>
      <c r="B9056" t="str">
        <f>"1552377944814497"</f>
        <v>1552377944814497</v>
      </c>
      <c r="C9056" t="s">
        <v>40</v>
      </c>
      <c r="D9056">
        <v>5.116625</v>
      </c>
      <c r="E9056">
        <v>0.49850070000000002</v>
      </c>
      <c r="F9056" t="s">
        <v>41</v>
      </c>
      <c r="G9056">
        <v>-70.787909999999997</v>
      </c>
      <c r="H9056" s="1">
        <v>-4.1293539999999998E-6</v>
      </c>
      <c r="I9056">
        <v>138.51660000000001</v>
      </c>
      <c r="J9056">
        <v>-150.6472</v>
      </c>
      <c r="K9056">
        <v>1.1102030000000001</v>
      </c>
      <c r="L9056">
        <v>139.19</v>
      </c>
      <c r="M9056">
        <v>0.99951270000000003</v>
      </c>
      <c r="N9056">
        <v>0</v>
      </c>
      <c r="O9056">
        <v>-2.8170710000000002E-2</v>
      </c>
      <c r="P9056">
        <v>0.99785159999999995</v>
      </c>
      <c r="Q9056">
        <v>6.48397E-2</v>
      </c>
      <c r="R9056">
        <v>-9.3887780000000004E-3</v>
      </c>
      <c r="S9056">
        <v>3.008896</v>
      </c>
      <c r="T9056">
        <v>-4.1727779999999999E-2</v>
      </c>
      <c r="U9056">
        <v>-2.554321E-2</v>
      </c>
      <c r="V9056">
        <v>-1.8661919999999999E-2</v>
      </c>
      <c r="W9056">
        <v>7.8276879999999993E-2</v>
      </c>
      <c r="X9056">
        <v>0.996757</v>
      </c>
      <c r="Y9056">
        <v>-1.9682089999999999E-2</v>
      </c>
      <c r="Z9056">
        <v>5.2710229999999999E-4</v>
      </c>
      <c r="AA9056">
        <v>0.99980619999999998</v>
      </c>
      <c r="AB9056">
        <v>19</v>
      </c>
      <c r="AC9056">
        <v>79.859290000000001</v>
      </c>
      <c r="AD9056">
        <v>-1.1102071293539999</v>
      </c>
      <c r="AE9056">
        <v>-0.67339999999998601</v>
      </c>
      <c r="AF9056">
        <v>-1.5764589168774501</v>
      </c>
      <c r="AG9056">
        <v>-1.1102071293539999</v>
      </c>
      <c r="AH9056">
        <v>79.831134520379806</v>
      </c>
      <c r="AI9056">
        <v>90.796602556689194</v>
      </c>
      <c r="AJ9056">
        <v>91.1312967654913</v>
      </c>
      <c r="AK9056">
        <v>79.854416417613606</v>
      </c>
      <c r="AL9056">
        <v>85.5104725220761</v>
      </c>
      <c r="AM9056">
        <v>91.072602793543396</v>
      </c>
      <c r="AN9056">
        <v>1.00000002712481</v>
      </c>
    </row>
    <row r="9057" spans="1:40" x14ac:dyDescent="0.25">
      <c r="A9057" t="str">
        <f>"20190312160544841"</f>
        <v>20190312160544841</v>
      </c>
      <c r="B9057" t="str">
        <f>"1552377944834019"</f>
        <v>1552377944834019</v>
      </c>
      <c r="C9057" t="s">
        <v>40</v>
      </c>
      <c r="D9057">
        <v>5.1524859999999997</v>
      </c>
      <c r="E9057">
        <v>0.49844129999999998</v>
      </c>
      <c r="F9057" t="s">
        <v>41</v>
      </c>
      <c r="G9057">
        <v>-73.526169999999993</v>
      </c>
      <c r="H9057" s="1">
        <v>-2.9490539999999999E-6</v>
      </c>
      <c r="I9057">
        <v>138.54820000000001</v>
      </c>
      <c r="J9057">
        <v>-150.459</v>
      </c>
      <c r="K9057">
        <v>1.11025</v>
      </c>
      <c r="L9057">
        <v>139.18379999999999</v>
      </c>
      <c r="M9057">
        <v>0.99949410000000005</v>
      </c>
      <c r="N9057">
        <v>0</v>
      </c>
      <c r="O9057">
        <v>-2.882171E-2</v>
      </c>
      <c r="P9057">
        <v>0.9978747</v>
      </c>
      <c r="Q9057">
        <v>6.4497940000000004E-2</v>
      </c>
      <c r="R9057">
        <v>-9.2803680000000006E-3</v>
      </c>
      <c r="S9057">
        <v>3.0090180000000002</v>
      </c>
      <c r="T9057">
        <v>-4.3316720000000003E-2</v>
      </c>
      <c r="U9057">
        <v>-2.503967E-2</v>
      </c>
      <c r="V9057">
        <v>-1.943052E-2</v>
      </c>
      <c r="W9057">
        <v>7.7930349999999995E-2</v>
      </c>
      <c r="X9057">
        <v>0.99676940000000003</v>
      </c>
      <c r="Y9057">
        <v>-2.0500419999999998E-2</v>
      </c>
      <c r="Z9057">
        <v>5.6240819999999999E-4</v>
      </c>
      <c r="AA9057">
        <v>0.9997897</v>
      </c>
      <c r="AB9057">
        <v>19</v>
      </c>
      <c r="AC9057">
        <v>76.932829999999996</v>
      </c>
      <c r="AD9057">
        <v>-1.1102529490539901</v>
      </c>
      <c r="AE9057">
        <v>-0.63559999999998196</v>
      </c>
      <c r="AF9057">
        <v>-1.58187091614669</v>
      </c>
      <c r="AG9057">
        <v>-1.1102529490539901</v>
      </c>
      <c r="AH9057">
        <v>76.903169312152698</v>
      </c>
      <c r="AI9057">
        <v>90.826948215424295</v>
      </c>
      <c r="AJ9057">
        <v>91.1783876852341</v>
      </c>
      <c r="AK9057">
        <v>76.927449115773101</v>
      </c>
      <c r="AL9057">
        <v>85.530387767535103</v>
      </c>
      <c r="AM9057">
        <v>91.116753591057005</v>
      </c>
      <c r="AN9057">
        <v>0.99999996066747499</v>
      </c>
    </row>
    <row r="9058" spans="1:40" x14ac:dyDescent="0.25">
      <c r="A9058" t="str">
        <f>"20190312160544864"</f>
        <v>20190312160544864</v>
      </c>
      <c r="B9058" t="str">
        <f>"1552377944854161"</f>
        <v>1552377944854161</v>
      </c>
      <c r="C9058" t="s">
        <v>40</v>
      </c>
      <c r="D9058">
        <v>5.1230379999999904</v>
      </c>
      <c r="E9058">
        <v>0.4984538</v>
      </c>
      <c r="F9058" t="s">
        <v>41</v>
      </c>
      <c r="G9058">
        <v>-76.279269999999997</v>
      </c>
      <c r="H9058" s="1">
        <v>-1.762062E-6</v>
      </c>
      <c r="I9058">
        <v>138.58150000000001</v>
      </c>
      <c r="J9058">
        <v>-150.26519999999999</v>
      </c>
      <c r="K9058">
        <v>1.1102970000000001</v>
      </c>
      <c r="L9058">
        <v>139.17740000000001</v>
      </c>
      <c r="M9058">
        <v>0.9994769</v>
      </c>
      <c r="N9058">
        <v>0</v>
      </c>
      <c r="O9058">
        <v>-2.9414429999999998E-2</v>
      </c>
      <c r="P9058">
        <v>0.9979266</v>
      </c>
      <c r="Q9058">
        <v>6.3704739999999996E-2</v>
      </c>
      <c r="R9058">
        <v>-9.1815060000000007E-3</v>
      </c>
      <c r="S9058">
        <v>3.0090789999999998</v>
      </c>
      <c r="T9058">
        <v>-4.5037029999999999E-2</v>
      </c>
      <c r="U9058">
        <v>-2.4429320000000001E-2</v>
      </c>
      <c r="V9058">
        <v>-2.01333E-2</v>
      </c>
      <c r="W9058">
        <v>7.7132140000000002E-2</v>
      </c>
      <c r="X9058">
        <v>0.99681759999999997</v>
      </c>
      <c r="Y9058">
        <v>-2.1295689999999999E-2</v>
      </c>
      <c r="Z9058">
        <v>5.9954959999999999E-4</v>
      </c>
      <c r="AA9058">
        <v>0.99977300000000002</v>
      </c>
      <c r="AB9058">
        <v>19</v>
      </c>
      <c r="AC9058">
        <v>73.985929999999996</v>
      </c>
      <c r="AD9058">
        <v>-1.110298762062</v>
      </c>
      <c r="AE9058">
        <v>-0.59589999999999999</v>
      </c>
      <c r="AF9058">
        <v>-1.58045261519691</v>
      </c>
      <c r="AG9058">
        <v>-1.110298762062</v>
      </c>
      <c r="AH9058">
        <v>73.954786256197494</v>
      </c>
      <c r="AI9058">
        <v>90.859932656798193</v>
      </c>
      <c r="AJ9058">
        <v>91.224254544232707</v>
      </c>
      <c r="AK9058">
        <v>73.980004082250403</v>
      </c>
      <c r="AL9058">
        <v>85.576260186335105</v>
      </c>
      <c r="AM9058">
        <v>91.1570785819696</v>
      </c>
      <c r="AN9058">
        <v>1.00000002222981</v>
      </c>
    </row>
    <row r="9059" spans="1:40" x14ac:dyDescent="0.25">
      <c r="A9059" t="str">
        <f>"20190312160544887"</f>
        <v>20190312160544887</v>
      </c>
      <c r="B9059" t="str">
        <f>"1552377944874656"</f>
        <v>1552377944874656</v>
      </c>
      <c r="C9059" t="s">
        <v>40</v>
      </c>
      <c r="D9059">
        <v>5.1139469999999996</v>
      </c>
      <c r="E9059">
        <v>0.49832359999999998</v>
      </c>
      <c r="F9059" t="s">
        <v>41</v>
      </c>
      <c r="G9059">
        <v>-81.721409999999906</v>
      </c>
      <c r="H9059" s="1">
        <v>-3.7084080000000002E-6</v>
      </c>
      <c r="I9059">
        <v>138.63200000000001</v>
      </c>
      <c r="J9059">
        <v>-150.0737</v>
      </c>
      <c r="K9059">
        <v>1.110341</v>
      </c>
      <c r="L9059">
        <v>139.1711</v>
      </c>
      <c r="M9059">
        <v>0.99946159999999995</v>
      </c>
      <c r="N9059">
        <v>0</v>
      </c>
      <c r="O9059">
        <v>-2.9930849999999998E-2</v>
      </c>
      <c r="P9059">
        <v>0.99795860000000003</v>
      </c>
      <c r="Q9059">
        <v>6.3125719999999996E-2</v>
      </c>
      <c r="R9059">
        <v>-9.7106929999999994E-3</v>
      </c>
      <c r="S9059">
        <v>3.0091399999999999</v>
      </c>
      <c r="T9059">
        <v>-4.8743250000000002E-2</v>
      </c>
      <c r="U9059">
        <v>-2.394104E-2</v>
      </c>
      <c r="V9059">
        <v>-2.0129930000000001E-2</v>
      </c>
      <c r="W9059">
        <v>7.6548309999999994E-2</v>
      </c>
      <c r="X9059">
        <v>0.99686260000000004</v>
      </c>
      <c r="Y9059">
        <v>-2.1973510000000002E-2</v>
      </c>
      <c r="Z9059">
        <v>6.6272080000000005E-4</v>
      </c>
      <c r="AA9059">
        <v>0.99975840000000005</v>
      </c>
      <c r="AB9059">
        <v>19</v>
      </c>
      <c r="AC9059">
        <v>68.352289999999996</v>
      </c>
      <c r="AD9059">
        <v>-1.110344708408</v>
      </c>
      <c r="AE9059">
        <v>-0.53909999999999003</v>
      </c>
      <c r="AF9059">
        <v>-1.5067709502370801</v>
      </c>
      <c r="AG9059">
        <v>-1.110344708408</v>
      </c>
      <c r="AH9059">
        <v>68.319770661229995</v>
      </c>
      <c r="AI9059">
        <v>90.930872603618695</v>
      </c>
      <c r="AJ9059">
        <v>91.263435487204305</v>
      </c>
      <c r="AK9059">
        <v>68.345404287860006</v>
      </c>
      <c r="AL9059">
        <v>85.609810059617402</v>
      </c>
      <c r="AM9059">
        <v>91.156832748248306</v>
      </c>
      <c r="AN9059">
        <v>0.99999995056220903</v>
      </c>
    </row>
    <row r="9060" spans="1:40" x14ac:dyDescent="0.25">
      <c r="A9060" t="str">
        <f>"20190312160544911"</f>
        <v>20190312160544911</v>
      </c>
      <c r="B9060" t="str">
        <f>"1552377944903936"</f>
        <v>1552377944903936</v>
      </c>
      <c r="C9060" t="s">
        <v>40</v>
      </c>
      <c r="D9060">
        <v>5.0809360000000003</v>
      </c>
      <c r="E9060">
        <v>0.49831890000000001</v>
      </c>
      <c r="F9060" t="s">
        <v>41</v>
      </c>
      <c r="G9060">
        <v>-84.802549999999997</v>
      </c>
      <c r="H9060" s="1">
        <v>-2.3845210000000002E-6</v>
      </c>
      <c r="I9060">
        <v>138.6438</v>
      </c>
      <c r="J9060">
        <v>-149.86850000000001</v>
      </c>
      <c r="K9060">
        <v>1.1103700000000001</v>
      </c>
      <c r="L9060">
        <v>139.1643</v>
      </c>
      <c r="M9060">
        <v>0.99944699999999997</v>
      </c>
      <c r="N9060">
        <v>0</v>
      </c>
      <c r="O9060">
        <v>-3.041168E-2</v>
      </c>
      <c r="P9060">
        <v>0.99799289999999996</v>
      </c>
      <c r="Q9060">
        <v>6.2508309999999997E-2</v>
      </c>
      <c r="R9060">
        <v>-1.0149679999999999E-2</v>
      </c>
      <c r="S9060">
        <v>3.0091399999999999</v>
      </c>
      <c r="T9060">
        <v>-5.1189180000000001E-2</v>
      </c>
      <c r="U9060">
        <v>-2.4307249999999999E-2</v>
      </c>
      <c r="V9060">
        <v>-2.017938E-2</v>
      </c>
      <c r="W9060">
        <v>7.5926430000000003E-2</v>
      </c>
      <c r="X9060">
        <v>0.99690919999999905</v>
      </c>
      <c r="Y9060">
        <v>-2.2332000000000001E-2</v>
      </c>
      <c r="Z9060">
        <v>7.07196E-4</v>
      </c>
      <c r="AA9060">
        <v>0.99975040000000004</v>
      </c>
      <c r="AB9060">
        <v>19</v>
      </c>
      <c r="AC9060">
        <v>65.065950000000001</v>
      </c>
      <c r="AD9060">
        <v>-1.1103723845209901</v>
      </c>
      <c r="AE9060">
        <v>-0.52049999999999796</v>
      </c>
      <c r="AF9060">
        <v>-1.4582599196372401</v>
      </c>
      <c r="AG9060">
        <v>-1.1103723845209901</v>
      </c>
      <c r="AH9060">
        <v>65.032741528308307</v>
      </c>
      <c r="AI9060">
        <v>90.977930270603693</v>
      </c>
      <c r="AJ9060">
        <v>91.284555093508004</v>
      </c>
      <c r="AK9060">
        <v>65.058565304756598</v>
      </c>
      <c r="AL9060">
        <v>85.645545340351902</v>
      </c>
      <c r="AM9060">
        <v>91.159619586767704</v>
      </c>
      <c r="AN9060">
        <v>0.999999991597184</v>
      </c>
    </row>
    <row r="9061" spans="1:40" x14ac:dyDescent="0.25">
      <c r="A9061" t="str">
        <f>"20190312160544933"</f>
        <v>20190312160544933</v>
      </c>
      <c r="B9061" t="str">
        <f>"1552377944924432"</f>
        <v>1552377944924432</v>
      </c>
      <c r="C9061" t="s">
        <v>40</v>
      </c>
      <c r="D9061">
        <v>5.5357320000000003</v>
      </c>
      <c r="E9061">
        <v>0.49874760000000001</v>
      </c>
      <c r="F9061" t="s">
        <v>41</v>
      </c>
      <c r="G9061">
        <v>-90.746449999999996</v>
      </c>
      <c r="H9061" s="1">
        <v>-4.1224779999999997E-6</v>
      </c>
      <c r="I9061">
        <v>138.65559999999999</v>
      </c>
      <c r="J9061">
        <v>-149.6824</v>
      </c>
      <c r="K9061">
        <v>1.110384</v>
      </c>
      <c r="L9061">
        <v>139.15819999999999</v>
      </c>
      <c r="M9061">
        <v>0.99943519999999997</v>
      </c>
      <c r="N9061">
        <v>0</v>
      </c>
      <c r="O9061">
        <v>-3.0801350000000002E-2</v>
      </c>
      <c r="P9061">
        <v>0.99806729999999999</v>
      </c>
      <c r="Q9061">
        <v>6.1214190000000002E-2</v>
      </c>
      <c r="R9061">
        <v>-1.070904E-2</v>
      </c>
      <c r="S9061">
        <v>3.009293</v>
      </c>
      <c r="T9061">
        <v>-5.6517600000000001E-2</v>
      </c>
      <c r="U9061">
        <v>-2.5894170000000001E-2</v>
      </c>
      <c r="V9061">
        <v>-2.0015439999999999E-2</v>
      </c>
      <c r="W9061">
        <v>7.4629780000000007E-2</v>
      </c>
      <c r="X9061">
        <v>0.99701039999999996</v>
      </c>
      <c r="Y9061">
        <v>-2.2193310000000001E-2</v>
      </c>
      <c r="Z9061">
        <v>7.8676799999999997E-4</v>
      </c>
      <c r="AA9061">
        <v>0.99975340000000001</v>
      </c>
      <c r="AB9061">
        <v>19</v>
      </c>
      <c r="AC9061">
        <v>58.935949999999998</v>
      </c>
      <c r="AD9061">
        <v>-1.1103881224779999</v>
      </c>
      <c r="AE9061">
        <v>-0.50260000000000105</v>
      </c>
      <c r="AF9061">
        <v>-1.31264333113067</v>
      </c>
      <c r="AG9061">
        <v>-1.1103881224779999</v>
      </c>
      <c r="AH9061">
        <v>58.902556526449303</v>
      </c>
      <c r="AI9061">
        <v>91.079702409250402</v>
      </c>
      <c r="AJ9061">
        <v>91.276625004236607</v>
      </c>
      <c r="AK9061">
        <v>58.927643425211301</v>
      </c>
      <c r="AL9061">
        <v>85.720049267471197</v>
      </c>
      <c r="AM9061">
        <v>91.150084504303294</v>
      </c>
      <c r="AN9061">
        <v>0.99999997980470001</v>
      </c>
    </row>
    <row r="9062" spans="1:40" x14ac:dyDescent="0.25">
      <c r="A9062" t="str">
        <f>"20190312160544953"</f>
        <v>20190312160544953</v>
      </c>
      <c r="B9062" t="str">
        <f>"1552377944943953"</f>
        <v>1552377944943953</v>
      </c>
      <c r="C9062" t="s">
        <v>40</v>
      </c>
      <c r="D9062">
        <v>4.99315</v>
      </c>
      <c r="E9062">
        <v>0.52730319999999997</v>
      </c>
      <c r="F9062" t="s">
        <v>41</v>
      </c>
      <c r="G9062">
        <v>-90.388859999999994</v>
      </c>
      <c r="H9062" s="1">
        <v>-4.2950630000000002E-6</v>
      </c>
      <c r="I9062">
        <v>138.54740000000001</v>
      </c>
      <c r="J9062">
        <v>-149.50319999999999</v>
      </c>
      <c r="K9062">
        <v>1.110387</v>
      </c>
      <c r="L9062">
        <v>139.15219999999999</v>
      </c>
      <c r="M9062">
        <v>0.99942439999999999</v>
      </c>
      <c r="N9062">
        <v>0</v>
      </c>
      <c r="O9062">
        <v>-3.1149880000000001E-2</v>
      </c>
      <c r="P9062">
        <v>0.99813039999999997</v>
      </c>
      <c r="Q9062">
        <v>6.016581E-2</v>
      </c>
      <c r="R9062">
        <v>-1.077263E-2</v>
      </c>
      <c r="S9062">
        <v>3.0089109999999999</v>
      </c>
      <c r="T9062">
        <v>-5.6347729999999999E-2</v>
      </c>
      <c r="U9062">
        <v>-3.09906E-2</v>
      </c>
      <c r="V9062">
        <v>-2.0303700000000001E-2</v>
      </c>
      <c r="W9062">
        <v>7.3578870000000005E-2</v>
      </c>
      <c r="X9062">
        <v>0.99708269999999999</v>
      </c>
      <c r="Y9062">
        <v>-2.0847870000000001E-2</v>
      </c>
      <c r="Z9062">
        <v>7.7842030000000004E-4</v>
      </c>
      <c r="AA9062">
        <v>0.99978239999999996</v>
      </c>
      <c r="AB9062">
        <v>19</v>
      </c>
      <c r="AC9062">
        <v>59.114339999999999</v>
      </c>
      <c r="AD9062">
        <v>-1.1103912950629999</v>
      </c>
      <c r="AE9062">
        <v>-0.60479999999998302</v>
      </c>
      <c r="AF9062">
        <v>-1.2366281287115799</v>
      </c>
      <c r="AG9062">
        <v>-1.1103912950629999</v>
      </c>
      <c r="AH9062">
        <v>59.083644896267998</v>
      </c>
      <c r="AI9062">
        <v>91.076428521092396</v>
      </c>
      <c r="AJ9062">
        <v>91.199032814688195</v>
      </c>
      <c r="AK9062">
        <v>59.107015761119001</v>
      </c>
      <c r="AL9062">
        <v>85.780428078247596</v>
      </c>
      <c r="AM9062">
        <v>91.166558768334298</v>
      </c>
      <c r="AN9062">
        <v>1.00000000049172</v>
      </c>
    </row>
    <row r="9063" spans="1:40" x14ac:dyDescent="0.25">
      <c r="A9063" t="str">
        <f>"20190312160544975"</f>
        <v>20190312160544975</v>
      </c>
      <c r="B9063" t="str">
        <f>"1552377944964098"</f>
        <v>1552377944964098</v>
      </c>
      <c r="C9063" t="s">
        <v>40</v>
      </c>
      <c r="D9063">
        <v>5.0879719999999997</v>
      </c>
      <c r="E9063">
        <v>0.52998339999999999</v>
      </c>
      <c r="F9063" t="s">
        <v>49</v>
      </c>
      <c r="G9063">
        <v>-148.6653</v>
      </c>
      <c r="H9063">
        <v>1.032594</v>
      </c>
      <c r="I9063">
        <v>139.078</v>
      </c>
      <c r="J9063">
        <v>-149.3177</v>
      </c>
      <c r="K9063">
        <v>1.1103829999999999</v>
      </c>
      <c r="L9063">
        <v>139.14599999999999</v>
      </c>
      <c r="M9063">
        <v>0.99941349999999995</v>
      </c>
      <c r="N9063">
        <v>0</v>
      </c>
      <c r="O9063">
        <v>-3.1495820000000001E-2</v>
      </c>
      <c r="P9063">
        <v>0.99817690000000003</v>
      </c>
      <c r="Q9063">
        <v>5.9303870000000002E-2</v>
      </c>
      <c r="R9063">
        <v>-1.1230169999999999E-2</v>
      </c>
      <c r="S9063">
        <v>3.0196529999999999</v>
      </c>
      <c r="T9063">
        <v>-0.28034710000000002</v>
      </c>
      <c r="U9063">
        <v>-0.26759339999999998</v>
      </c>
      <c r="V9063">
        <v>-2.0193249999999999E-2</v>
      </c>
      <c r="W9063">
        <v>7.2715719999999998E-2</v>
      </c>
      <c r="X9063">
        <v>0.99714829999999999</v>
      </c>
      <c r="Y9063">
        <v>5.6744129999999997E-2</v>
      </c>
      <c r="Z9063">
        <v>2.87717E-4</v>
      </c>
      <c r="AA9063">
        <v>0.99838870000000002</v>
      </c>
      <c r="AB9063">
        <v>19</v>
      </c>
      <c r="AC9063">
        <v>0.65239999999999998</v>
      </c>
      <c r="AD9063">
        <v>-7.7788999999999803E-2</v>
      </c>
      <c r="AE9063">
        <v>-6.8000000000011995E-2</v>
      </c>
      <c r="AF9063">
        <v>4.6758900976755599E-2</v>
      </c>
      <c r="AG9063">
        <v>-7.7788999999999803E-2</v>
      </c>
      <c r="AH9063">
        <v>0.64514472520487798</v>
      </c>
      <c r="AI9063">
        <v>96.857491726346794</v>
      </c>
      <c r="AJ9063">
        <v>85.854556117726304</v>
      </c>
      <c r="AK9063">
        <v>0.65149768978963496</v>
      </c>
      <c r="AL9063">
        <v>85.830015925526894</v>
      </c>
      <c r="AM9063">
        <v>91.160138243373794</v>
      </c>
      <c r="AN9063">
        <v>1.0000000377367799</v>
      </c>
    </row>
    <row r="9064" spans="1:40" x14ac:dyDescent="0.25">
      <c r="A9064" t="str">
        <f>"20190312160544998"</f>
        <v>20190312160544998</v>
      </c>
      <c r="B9064" t="str">
        <f>"1552377944994354"</f>
        <v>1552377944994354</v>
      </c>
      <c r="C9064" t="s">
        <v>40</v>
      </c>
      <c r="D9064">
        <v>5.1031230000000001</v>
      </c>
      <c r="E9064">
        <v>0.52973649999999906</v>
      </c>
      <c r="F9064" t="s">
        <v>49</v>
      </c>
      <c r="G9064">
        <v>-148.50020000000001</v>
      </c>
      <c r="H9064">
        <v>1.023957</v>
      </c>
      <c r="I9064">
        <v>139.0668</v>
      </c>
      <c r="J9064">
        <v>-149.126</v>
      </c>
      <c r="K9064">
        <v>1.110374</v>
      </c>
      <c r="L9064">
        <v>139.1395</v>
      </c>
      <c r="M9064">
        <v>0.99940240000000002</v>
      </c>
      <c r="N9064">
        <v>0</v>
      </c>
      <c r="O9064">
        <v>-3.1849849999999999E-2</v>
      </c>
      <c r="P9064">
        <v>0.99817880000000003</v>
      </c>
      <c r="Q9064">
        <v>5.925217E-2</v>
      </c>
      <c r="R9064">
        <v>-1.1318369999999999E-2</v>
      </c>
      <c r="S9064">
        <v>3.0211790000000001</v>
      </c>
      <c r="T9064">
        <v>-0.31945380000000001</v>
      </c>
      <c r="U9064">
        <v>-0.2922363</v>
      </c>
      <c r="V9064">
        <v>-2.0457699999999999E-2</v>
      </c>
      <c r="W9064">
        <v>7.2661519999999993E-2</v>
      </c>
      <c r="X9064">
        <v>0.9971468</v>
      </c>
      <c r="Y9064">
        <v>6.4346890000000004E-2</v>
      </c>
      <c r="Z9064" s="1">
        <v>-3.5448470000000002E-5</v>
      </c>
      <c r="AA9064">
        <v>0.99792760000000003</v>
      </c>
      <c r="AB9064">
        <v>19</v>
      </c>
      <c r="AC9064">
        <v>0.62579999999999802</v>
      </c>
      <c r="AD9064">
        <v>-8.6416999999999897E-2</v>
      </c>
      <c r="AE9064">
        <v>-7.2699999999997503E-2</v>
      </c>
      <c r="AF9064">
        <v>5.1755886129118002E-2</v>
      </c>
      <c r="AG9064">
        <v>-8.6416999999999897E-2</v>
      </c>
      <c r="AH9064">
        <v>0.616204233606646</v>
      </c>
      <c r="AI9064">
        <v>97.955492426060601</v>
      </c>
      <c r="AJ9064">
        <v>85.198913184517394</v>
      </c>
      <c r="AK9064">
        <v>0.62438307724726505</v>
      </c>
      <c r="AL9064">
        <v>85.833129341286494</v>
      </c>
      <c r="AM9064">
        <v>91.175328901020094</v>
      </c>
      <c r="AN9064">
        <v>0.99999997736412005</v>
      </c>
    </row>
    <row r="9065" spans="1:40" x14ac:dyDescent="0.25">
      <c r="A9065" t="str">
        <f>"20190312160545020"</f>
        <v>20190312160545020</v>
      </c>
      <c r="B9065" t="str">
        <f>"1552377945013874"</f>
        <v>1552377945013874</v>
      </c>
      <c r="C9065" t="s">
        <v>40</v>
      </c>
      <c r="D9065">
        <v>5.132047</v>
      </c>
      <c r="E9065">
        <v>0.529344699999999</v>
      </c>
      <c r="F9065" t="s">
        <v>49</v>
      </c>
      <c r="G9065">
        <v>-148.3349</v>
      </c>
      <c r="H9065">
        <v>1.0155529999999999</v>
      </c>
      <c r="I9065">
        <v>139.06290000000001</v>
      </c>
      <c r="J9065">
        <v>-148.93530000000001</v>
      </c>
      <c r="K9065">
        <v>1.1103609999999999</v>
      </c>
      <c r="L9065">
        <v>139.13299999999899</v>
      </c>
      <c r="M9065">
        <v>0.99939089999999997</v>
      </c>
      <c r="N9065">
        <v>0</v>
      </c>
      <c r="O9065">
        <v>-3.2208000000000001E-2</v>
      </c>
      <c r="P9065">
        <v>0.99818399999999996</v>
      </c>
      <c r="Q9065">
        <v>5.917066E-2</v>
      </c>
      <c r="R9065">
        <v>-1.1286900000000001E-2</v>
      </c>
      <c r="S9065">
        <v>3.023666</v>
      </c>
      <c r="T9065">
        <v>-0.36245850000000002</v>
      </c>
      <c r="U9065">
        <v>-0.29231259999999998</v>
      </c>
      <c r="V9065">
        <v>-2.0844390000000001E-2</v>
      </c>
      <c r="W9065">
        <v>7.2578760000000006E-2</v>
      </c>
      <c r="X9065">
        <v>0.99714480000000005</v>
      </c>
      <c r="Y9065">
        <v>6.389032E-2</v>
      </c>
      <c r="Z9065" s="1">
        <v>2.9685209999999999E-5</v>
      </c>
      <c r="AA9065">
        <v>0.99795690000000004</v>
      </c>
      <c r="AB9065">
        <v>19</v>
      </c>
      <c r="AC9065">
        <v>0.60040000000000704</v>
      </c>
      <c r="AD9065">
        <v>-9.4808000000000003E-2</v>
      </c>
      <c r="AE9065">
        <v>-7.0099999999967993E-2</v>
      </c>
      <c r="AF9065">
        <v>4.9506358792782097E-2</v>
      </c>
      <c r="AG9065">
        <v>-9.4808000000000003E-2</v>
      </c>
      <c r="AH9065">
        <v>0.58788469476909</v>
      </c>
      <c r="AI9065">
        <v>99.129430059362605</v>
      </c>
      <c r="AJ9065">
        <v>85.186422083593001</v>
      </c>
      <c r="AK9065">
        <v>0.59753481134463304</v>
      </c>
      <c r="AL9065">
        <v>85.837883614847001</v>
      </c>
      <c r="AM9065">
        <v>91.197540876593393</v>
      </c>
      <c r="AN9065">
        <v>0.99999995858232404</v>
      </c>
    </row>
    <row r="9066" spans="1:40" x14ac:dyDescent="0.25">
      <c r="A9066" t="str">
        <f>"20190312160545043"</f>
        <v>20190312160545043</v>
      </c>
      <c r="B9066" t="str">
        <f>"1552377945034372"</f>
        <v>1552377945034372</v>
      </c>
      <c r="C9066" t="s">
        <v>40</v>
      </c>
      <c r="D9066">
        <v>5.1374339999999998</v>
      </c>
      <c r="E9066">
        <v>0.52938509999999905</v>
      </c>
      <c r="F9066" t="s">
        <v>49</v>
      </c>
      <c r="G9066">
        <v>-148.16579999999999</v>
      </c>
      <c r="H9066">
        <v>1.0152749999999999</v>
      </c>
      <c r="I9066">
        <v>139.0591</v>
      </c>
      <c r="J9066">
        <v>-148.74950000000001</v>
      </c>
      <c r="K9066">
        <v>1.110349</v>
      </c>
      <c r="L9066">
        <v>139.1266</v>
      </c>
      <c r="M9066">
        <v>0.99937949999999998</v>
      </c>
      <c r="N9066">
        <v>0</v>
      </c>
      <c r="O9066">
        <v>-3.256759E-2</v>
      </c>
      <c r="P9066">
        <v>0.99823550000000005</v>
      </c>
      <c r="Q9066">
        <v>5.8282639999999997E-2</v>
      </c>
      <c r="R9066">
        <v>-1.137345E-2</v>
      </c>
      <c r="S9066">
        <v>3.0243530000000001</v>
      </c>
      <c r="T9066">
        <v>-0.37385079999999998</v>
      </c>
      <c r="U9066">
        <v>-0.28942869999999998</v>
      </c>
      <c r="V9066">
        <v>-2.1117250000000001E-2</v>
      </c>
      <c r="W9066">
        <v>7.1689399999999903E-2</v>
      </c>
      <c r="X9066">
        <v>0.99720339999999996</v>
      </c>
      <c r="Y9066">
        <v>6.2565079999999995E-2</v>
      </c>
      <c r="Z9066">
        <v>1.561698E-4</v>
      </c>
      <c r="AA9066">
        <v>0.99804090000000001</v>
      </c>
      <c r="AB9066">
        <v>19</v>
      </c>
      <c r="AC9066">
        <v>0.58370000000002098</v>
      </c>
      <c r="AD9066">
        <v>-9.5074000000000103E-2</v>
      </c>
      <c r="AE9066">
        <v>-6.7499999999995397E-2</v>
      </c>
      <c r="AF9066">
        <v>4.7216628038645403E-2</v>
      </c>
      <c r="AG9066">
        <v>-9.5074000000000103E-2</v>
      </c>
      <c r="AH9066">
        <v>0.57064905170672298</v>
      </c>
      <c r="AI9066">
        <v>99.427348900493897</v>
      </c>
      <c r="AJ9066">
        <v>85.270008770362097</v>
      </c>
      <c r="AK9066">
        <v>0.58043846844701996</v>
      </c>
      <c r="AL9066">
        <v>85.888973309566694</v>
      </c>
      <c r="AM9066">
        <v>91.213141157702097</v>
      </c>
      <c r="AN9066">
        <v>0.99999996464574004</v>
      </c>
    </row>
    <row r="9067" spans="1:40" x14ac:dyDescent="0.25">
      <c r="A9067" t="str">
        <f>"20190312160545065"</f>
        <v>20190312160545065</v>
      </c>
      <c r="B9067" t="str">
        <f>"1552377945054047"</f>
        <v>1552377945054047</v>
      </c>
      <c r="C9067" t="s">
        <v>40</v>
      </c>
      <c r="D9067">
        <v>5.0579510000000001</v>
      </c>
      <c r="E9067">
        <v>0.52961040000000004</v>
      </c>
      <c r="F9067" t="s">
        <v>49</v>
      </c>
      <c r="G9067">
        <v>-147.9975</v>
      </c>
      <c r="H9067">
        <v>1.0140819999999999</v>
      </c>
      <c r="I9067">
        <v>139.05430000000001</v>
      </c>
      <c r="J9067">
        <v>-148.56010000000001</v>
      </c>
      <c r="K9067">
        <v>1.1103339999999999</v>
      </c>
      <c r="L9067">
        <v>139.12</v>
      </c>
      <c r="M9067">
        <v>0.99936689999999995</v>
      </c>
      <c r="N9067">
        <v>0</v>
      </c>
      <c r="O9067">
        <v>-3.2945309999999998E-2</v>
      </c>
      <c r="P9067">
        <v>0.99822829999999996</v>
      </c>
      <c r="Q9067">
        <v>5.8252350000000001E-2</v>
      </c>
      <c r="R9067">
        <v>-1.211308E-2</v>
      </c>
      <c r="S9067">
        <v>3.0246119999999999</v>
      </c>
      <c r="T9067">
        <v>-0.38725789999999999</v>
      </c>
      <c r="U9067">
        <v>-0.290329</v>
      </c>
      <c r="V9067">
        <v>-2.0752110000000001E-2</v>
      </c>
      <c r="W9067">
        <v>7.1657529999999997E-2</v>
      </c>
      <c r="X9067">
        <v>0.99721340000000003</v>
      </c>
      <c r="Y9067">
        <v>6.2461610000000001E-2</v>
      </c>
      <c r="Z9067">
        <v>2.1629179999999999E-4</v>
      </c>
      <c r="AA9067">
        <v>0.99804740000000003</v>
      </c>
      <c r="AB9067">
        <v>19</v>
      </c>
      <c r="AC9067">
        <v>0.56260000000000299</v>
      </c>
      <c r="AD9067">
        <v>-9.6252000000000004E-2</v>
      </c>
      <c r="AE9067">
        <v>-6.5699999999992501E-2</v>
      </c>
      <c r="AF9067">
        <v>4.5804959881173203E-2</v>
      </c>
      <c r="AG9067">
        <v>-9.6252000000000004E-2</v>
      </c>
      <c r="AH9067">
        <v>0.54861735316499305</v>
      </c>
      <c r="AI9067">
        <v>99.917148328076806</v>
      </c>
      <c r="AJ9067">
        <v>85.227350953917906</v>
      </c>
      <c r="AK9067">
        <v>0.558877036607766</v>
      </c>
      <c r="AL9067">
        <v>85.890804214608593</v>
      </c>
      <c r="AM9067">
        <v>91.192158795867002</v>
      </c>
      <c r="AN9067">
        <v>1.0000000084073499</v>
      </c>
    </row>
    <row r="9068" spans="1:40" x14ac:dyDescent="0.25">
      <c r="A9068" t="str">
        <f>"20190312160545088"</f>
        <v>20190312160545088</v>
      </c>
      <c r="B9068" t="str">
        <f>"1552377945084303"</f>
        <v>1552377945084303</v>
      </c>
      <c r="C9068" t="s">
        <v>40</v>
      </c>
      <c r="D9068">
        <v>5.0544399999999996</v>
      </c>
      <c r="E9068">
        <v>0.53008940000000004</v>
      </c>
      <c r="F9068" t="s">
        <v>49</v>
      </c>
      <c r="G9068">
        <v>-147.82749999999999</v>
      </c>
      <c r="H9068">
        <v>1.016615</v>
      </c>
      <c r="I9068">
        <v>139.04849999999999</v>
      </c>
      <c r="J9068">
        <v>-148.36940000000001</v>
      </c>
      <c r="K9068">
        <v>1.1103259999999999</v>
      </c>
      <c r="L9068">
        <v>139.11330000000001</v>
      </c>
      <c r="M9068">
        <v>0.99935410000000002</v>
      </c>
      <c r="N9068">
        <v>0</v>
      </c>
      <c r="O9068">
        <v>-3.3336249999999998E-2</v>
      </c>
      <c r="P9068">
        <v>0.99824100000000004</v>
      </c>
      <c r="Q9068">
        <v>5.7908889999999998E-2</v>
      </c>
      <c r="R9068">
        <v>-1.2718210000000001E-2</v>
      </c>
      <c r="S9068">
        <v>3.0243380000000002</v>
      </c>
      <c r="T9068">
        <v>-0.3869708</v>
      </c>
      <c r="U9068">
        <v>-0.29455569999999998</v>
      </c>
      <c r="V9068">
        <v>-2.053673E-2</v>
      </c>
      <c r="W9068">
        <v>7.1313169999999995E-2</v>
      </c>
      <c r="X9068">
        <v>0.99724250000000003</v>
      </c>
      <c r="Y9068">
        <v>6.3457180000000002E-2</v>
      </c>
      <c r="Z9068">
        <v>2.0247280000000001E-4</v>
      </c>
      <c r="AA9068">
        <v>0.99798450000000005</v>
      </c>
      <c r="AB9068">
        <v>19</v>
      </c>
      <c r="AC9068">
        <v>0.54190000000002603</v>
      </c>
      <c r="AD9068">
        <v>-9.3710999999999794E-2</v>
      </c>
      <c r="AE9068">
        <v>-6.4800000000019495E-2</v>
      </c>
      <c r="AF9068">
        <v>4.5360069957944602E-2</v>
      </c>
      <c r="AG9068">
        <v>-9.3710999999999794E-2</v>
      </c>
      <c r="AH9068">
        <v>0.528186434249583</v>
      </c>
      <c r="AI9068">
        <v>100.024596499566</v>
      </c>
      <c r="AJ9068">
        <v>85.091544763496202</v>
      </c>
      <c r="AK9068">
        <v>0.53834951174202705</v>
      </c>
      <c r="AL9068">
        <v>85.9105850166072</v>
      </c>
      <c r="AM9068">
        <v>91.179754831408104</v>
      </c>
      <c r="AN9068">
        <v>0.99999996465039498</v>
      </c>
    </row>
    <row r="9069" spans="1:40" x14ac:dyDescent="0.25">
      <c r="A9069" t="str">
        <f>"20190312160545112"</f>
        <v>20190312160545112</v>
      </c>
      <c r="B9069" t="str">
        <f>"1552377945103823"</f>
        <v>1552377945103823</v>
      </c>
      <c r="C9069" t="s">
        <v>40</v>
      </c>
      <c r="D9069">
        <v>5.1810830000000001</v>
      </c>
      <c r="E9069">
        <v>0.53034040000000005</v>
      </c>
      <c r="F9069" t="s">
        <v>49</v>
      </c>
      <c r="G9069">
        <v>-147.49959999999999</v>
      </c>
      <c r="H9069">
        <v>0.99947799999999998</v>
      </c>
      <c r="I9069">
        <v>139.02680000000001</v>
      </c>
      <c r="J9069">
        <v>-148.16980000000001</v>
      </c>
      <c r="K9069">
        <v>1.1103130000000001</v>
      </c>
      <c r="L9069">
        <v>139.1061</v>
      </c>
      <c r="M9069">
        <v>0.99934020000000001</v>
      </c>
      <c r="N9069">
        <v>0</v>
      </c>
      <c r="O9069">
        <v>-3.3752780000000003E-2</v>
      </c>
      <c r="P9069">
        <v>0.99823139999999999</v>
      </c>
      <c r="Q9069">
        <v>5.7923849999999999E-2</v>
      </c>
      <c r="R9069">
        <v>-1.340567E-2</v>
      </c>
      <c r="S9069">
        <v>3.023819</v>
      </c>
      <c r="T9069">
        <v>-0.38544889999999998</v>
      </c>
      <c r="U9069">
        <v>-0.30010989999999999</v>
      </c>
      <c r="V9069">
        <v>-2.026377E-2</v>
      </c>
      <c r="W9069">
        <v>7.1326500000000001E-2</v>
      </c>
      <c r="X9069">
        <v>0.9972472</v>
      </c>
      <c r="Y9069">
        <v>6.4867159999999993E-2</v>
      </c>
      <c r="Z9069">
        <v>1.6507229999999999E-4</v>
      </c>
      <c r="AA9069">
        <v>0.9978939</v>
      </c>
      <c r="AB9069">
        <v>19</v>
      </c>
      <c r="AC9069">
        <v>0.670200000000022</v>
      </c>
      <c r="AD9069">
        <v>-0.110834999999999</v>
      </c>
      <c r="AE9069">
        <v>-7.9299999999989199E-2</v>
      </c>
      <c r="AF9069">
        <v>5.5144327895426101E-2</v>
      </c>
      <c r="AG9069">
        <v>-0.110834999999999</v>
      </c>
      <c r="AH9069">
        <v>0.65483299397397199</v>
      </c>
      <c r="AI9069">
        <v>99.5734047246834</v>
      </c>
      <c r="AJ9069">
        <v>85.186405941897505</v>
      </c>
      <c r="AK9069">
        <v>0.66643195010515099</v>
      </c>
      <c r="AL9069">
        <v>85.909819597875</v>
      </c>
      <c r="AM9069">
        <v>91.164073205790601</v>
      </c>
      <c r="AN9069">
        <v>1.00000003394235</v>
      </c>
    </row>
    <row r="9070" spans="1:40" x14ac:dyDescent="0.25">
      <c r="A9070" t="str">
        <f>"20190312160545133"</f>
        <v>20190312160545133</v>
      </c>
      <c r="B9070" t="str">
        <f>"1552377945124318"</f>
        <v>1552377945124318</v>
      </c>
      <c r="C9070" t="s">
        <v>40</v>
      </c>
      <c r="D9070">
        <v>5.1496930000000001</v>
      </c>
      <c r="E9070">
        <v>0.55231819999999998</v>
      </c>
      <c r="F9070" t="s">
        <v>49</v>
      </c>
      <c r="G9070">
        <v>-147.32939999999999</v>
      </c>
      <c r="H9070">
        <v>1.0040070000000001</v>
      </c>
      <c r="I9070">
        <v>139.0215</v>
      </c>
      <c r="J9070">
        <v>-147.9873</v>
      </c>
      <c r="K9070">
        <v>1.1103099999999999</v>
      </c>
      <c r="L9070">
        <v>139.09950000000001</v>
      </c>
      <c r="M9070">
        <v>0.99932699999999997</v>
      </c>
      <c r="N9070">
        <v>0</v>
      </c>
      <c r="O9070">
        <v>-3.4137199999999902E-2</v>
      </c>
      <c r="P9070">
        <v>0.99822540000000004</v>
      </c>
      <c r="Q9070">
        <v>5.7843079999999998E-2</v>
      </c>
      <c r="R9070">
        <v>-1.415859E-2</v>
      </c>
      <c r="S9070">
        <v>3.0234220000000001</v>
      </c>
      <c r="T9070">
        <v>-0.38247389999999998</v>
      </c>
      <c r="U9070">
        <v>-0.30386350000000001</v>
      </c>
      <c r="V9070">
        <v>-1.9893919999999999E-2</v>
      </c>
      <c r="W9070">
        <v>7.124374E-2</v>
      </c>
      <c r="X9070">
        <v>0.99726049999999999</v>
      </c>
      <c r="Y9070">
        <v>6.5722890000000006E-2</v>
      </c>
      <c r="Z9070">
        <v>1.582806E-4</v>
      </c>
      <c r="AA9070">
        <v>0.99783790000000006</v>
      </c>
      <c r="AB9070">
        <v>19</v>
      </c>
      <c r="AC9070">
        <v>0.65790000000001203</v>
      </c>
      <c r="AD9070">
        <v>-0.10630299999999999</v>
      </c>
      <c r="AE9070">
        <v>-7.80000000000029E-2</v>
      </c>
      <c r="AF9070">
        <v>5.4100765706863403E-2</v>
      </c>
      <c r="AG9070">
        <v>-0.10630299999999999</v>
      </c>
      <c r="AH9070">
        <v>0.64360908056140198</v>
      </c>
      <c r="AI9070">
        <v>99.346324335731197</v>
      </c>
      <c r="AJ9070">
        <v>85.195102607918898</v>
      </c>
      <c r="AK9070">
        <v>0.65456846031577298</v>
      </c>
      <c r="AL9070">
        <v>85.914573235712297</v>
      </c>
      <c r="AM9070">
        <v>91.142817240170501</v>
      </c>
      <c r="AN9070">
        <v>0.99999997170120103</v>
      </c>
    </row>
    <row r="9071" spans="1:40" x14ac:dyDescent="0.25">
      <c r="A9071" t="str">
        <f>"20190312160545154"</f>
        <v>20190312160545154</v>
      </c>
      <c r="B9071" t="str">
        <f>"1552377945143839"</f>
        <v>1552377945143839</v>
      </c>
      <c r="C9071" t="s">
        <v>40</v>
      </c>
      <c r="D9071">
        <v>5.1041349999999897</v>
      </c>
      <c r="E9071">
        <v>0.55992649999999999</v>
      </c>
      <c r="F9071" t="s">
        <v>49</v>
      </c>
      <c r="G9071">
        <v>-147.17019999999999</v>
      </c>
      <c r="H9071">
        <v>0.98938020000000004</v>
      </c>
      <c r="I9071">
        <v>138.96860000000001</v>
      </c>
      <c r="J9071">
        <v>-147.81020000000001</v>
      </c>
      <c r="K9071">
        <v>1.1103069999999999</v>
      </c>
      <c r="L9071">
        <v>139.09299999999999</v>
      </c>
      <c r="M9071">
        <v>0.99931420000000004</v>
      </c>
      <c r="N9071">
        <v>0</v>
      </c>
      <c r="O9071">
        <v>-3.4511689999999998E-2</v>
      </c>
      <c r="P9071">
        <v>0.99821409999999999</v>
      </c>
      <c r="Q9071">
        <v>5.7806959999999998E-2</v>
      </c>
      <c r="R9071">
        <v>-1.506847E-2</v>
      </c>
      <c r="S9071">
        <v>3.0244140000000002</v>
      </c>
      <c r="T9071">
        <v>-0.44763510000000001</v>
      </c>
      <c r="U9071">
        <v>-0.48344419999999999</v>
      </c>
      <c r="V9071">
        <v>-1.9357099999999999E-2</v>
      </c>
      <c r="W9071">
        <v>7.1206169999999999E-2</v>
      </c>
      <c r="X9071">
        <v>0.99727379999999999</v>
      </c>
      <c r="Y9071">
        <v>0.1227313</v>
      </c>
      <c r="Z9071">
        <v>-3.9322460000000004E-3</v>
      </c>
      <c r="AA9071">
        <v>0.99243219999999999</v>
      </c>
      <c r="AB9071">
        <v>19</v>
      </c>
      <c r="AC9071">
        <v>0.640000000000014</v>
      </c>
      <c r="AD9071">
        <v>-0.1209268</v>
      </c>
      <c r="AE9071">
        <v>-0.12439999999998</v>
      </c>
      <c r="AF9071">
        <v>9.8836279844043404E-2</v>
      </c>
      <c r="AG9071">
        <v>-0.1209268</v>
      </c>
      <c r="AH9071">
        <v>0.62249738729287896</v>
      </c>
      <c r="AI9071">
        <v>100.860651148201</v>
      </c>
      <c r="AJ9071">
        <v>80.978238201312607</v>
      </c>
      <c r="AK9071">
        <v>0.64179038506206298</v>
      </c>
      <c r="AL9071">
        <v>85.916731533326498</v>
      </c>
      <c r="AM9071">
        <v>91.111972342587705</v>
      </c>
      <c r="AN9071">
        <v>1.0000000240664499</v>
      </c>
    </row>
    <row r="9072" spans="1:40" x14ac:dyDescent="0.25">
      <c r="A9072" t="str">
        <f>"20190312160545178"</f>
        <v>20190312160545178</v>
      </c>
      <c r="B9072" t="str">
        <f>"1552377945164335"</f>
        <v>1552377945164335</v>
      </c>
      <c r="C9072" t="s">
        <v>40</v>
      </c>
      <c r="D9072">
        <v>5.1415860000000002</v>
      </c>
      <c r="E9072">
        <v>0.56049989999999905</v>
      </c>
      <c r="F9072" t="s">
        <v>49</v>
      </c>
      <c r="G9072">
        <v>-147.01400000000001</v>
      </c>
      <c r="H9072">
        <v>0.96656730000000002</v>
      </c>
      <c r="I9072">
        <v>138.94829999999999</v>
      </c>
      <c r="J9072">
        <v>-147.62020000000001</v>
      </c>
      <c r="K9072">
        <v>1.1102989999999999</v>
      </c>
      <c r="L9072">
        <v>139.08590000000001</v>
      </c>
      <c r="M9072">
        <v>0.99930030000000003</v>
      </c>
      <c r="N9072">
        <v>0</v>
      </c>
      <c r="O9072">
        <v>-3.4913199999999901E-2</v>
      </c>
      <c r="P9072">
        <v>0.99821709999999997</v>
      </c>
      <c r="Q9072">
        <v>5.7513679999999998E-2</v>
      </c>
      <c r="R9072">
        <v>-1.596908E-2</v>
      </c>
      <c r="S9072">
        <v>3.0287480000000002</v>
      </c>
      <c r="T9072">
        <v>-0.54677719999999996</v>
      </c>
      <c r="U9072">
        <v>-0.55015559999999997</v>
      </c>
      <c r="V9072">
        <v>-1.8858179999999999E-2</v>
      </c>
      <c r="W9072">
        <v>7.0911279999999993E-2</v>
      </c>
      <c r="X9072">
        <v>0.99730430000000003</v>
      </c>
      <c r="Y9072">
        <v>0.14257439999999999</v>
      </c>
      <c r="Z9072">
        <v>-6.4675139999999997E-3</v>
      </c>
      <c r="AA9072">
        <v>0.98976299999999995</v>
      </c>
      <c r="AB9072">
        <v>19</v>
      </c>
      <c r="AC9072">
        <v>0.60620000000000096</v>
      </c>
      <c r="AD9072">
        <v>-0.14373169999999899</v>
      </c>
      <c r="AE9072">
        <v>-0.13760000000002001</v>
      </c>
      <c r="AF9072">
        <v>0.110445072089857</v>
      </c>
      <c r="AG9072">
        <v>-0.14373169999999899</v>
      </c>
      <c r="AH9072">
        <v>0.57964521025903604</v>
      </c>
      <c r="AI9072">
        <v>103.68966996790699</v>
      </c>
      <c r="AJ9072">
        <v>79.212224355669306</v>
      </c>
      <c r="AK9072">
        <v>0.60732650634569396</v>
      </c>
      <c r="AL9072">
        <v>85.933670017698503</v>
      </c>
      <c r="AM9072">
        <v>91.083285584787305</v>
      </c>
      <c r="AN9072">
        <v>0.999999953691319</v>
      </c>
    </row>
    <row r="9073" spans="1:40" x14ac:dyDescent="0.25">
      <c r="A9073" t="str">
        <f>"20190312160545199"</f>
        <v>20190312160545199</v>
      </c>
      <c r="B9073" t="str">
        <f>"1552377945194594"</f>
        <v>1552377945194594</v>
      </c>
      <c r="C9073" t="s">
        <v>40</v>
      </c>
      <c r="D9073">
        <v>5.2857880000000002</v>
      </c>
      <c r="E9073">
        <v>0.55814659999999905</v>
      </c>
      <c r="F9073" t="s">
        <v>49</v>
      </c>
      <c r="G9073">
        <v>-146.84739999999999</v>
      </c>
      <c r="H9073">
        <v>0.96505240000000003</v>
      </c>
      <c r="I9073">
        <v>138.9434</v>
      </c>
      <c r="J9073">
        <v>-147.43539999999999</v>
      </c>
      <c r="K9073">
        <v>1.1102959999999999</v>
      </c>
      <c r="L9073">
        <v>139.07900000000001</v>
      </c>
      <c r="M9073">
        <v>0.99928680000000003</v>
      </c>
      <c r="N9073">
        <v>0</v>
      </c>
      <c r="O9073">
        <v>-3.5302640000000003E-2</v>
      </c>
      <c r="P9073">
        <v>0.99820980000000004</v>
      </c>
      <c r="Q9073">
        <v>5.7490390000000002E-2</v>
      </c>
      <c r="R9073">
        <v>-1.6508169999999999E-2</v>
      </c>
      <c r="S9073">
        <v>3.029236</v>
      </c>
      <c r="T9073">
        <v>-0.56934189999999996</v>
      </c>
      <c r="U9073">
        <v>-0.55776979999999998</v>
      </c>
      <c r="V9073">
        <v>-1.8707939999999999E-2</v>
      </c>
      <c r="W9073">
        <v>7.0886080000000004E-2</v>
      </c>
      <c r="X9073">
        <v>0.997309</v>
      </c>
      <c r="Y9073">
        <v>0.14440449999999999</v>
      </c>
      <c r="Z9073">
        <v>-6.8248409999999999E-3</v>
      </c>
      <c r="AA9073">
        <v>0.98949520000000002</v>
      </c>
      <c r="AB9073">
        <v>19</v>
      </c>
      <c r="AC9073">
        <v>0.58799999999999297</v>
      </c>
      <c r="AD9073">
        <v>-0.1452436</v>
      </c>
      <c r="AE9073">
        <v>-0.13560000000000999</v>
      </c>
      <c r="AF9073">
        <v>0.108471425670756</v>
      </c>
      <c r="AG9073">
        <v>-0.1452436</v>
      </c>
      <c r="AH9073">
        <v>0.559978885704564</v>
      </c>
      <c r="AI9073">
        <v>104.28618444508599</v>
      </c>
      <c r="AJ9073">
        <v>79.0372177881748</v>
      </c>
      <c r="AK9073">
        <v>0.58858993022556205</v>
      </c>
      <c r="AL9073">
        <v>85.935117834558099</v>
      </c>
      <c r="AM9073">
        <v>91.074652196513995</v>
      </c>
      <c r="AN9073">
        <v>1.0000000324189</v>
      </c>
    </row>
    <row r="9074" spans="1:40" x14ac:dyDescent="0.25">
      <c r="A9074" t="str">
        <f>"20190312160545221"</f>
        <v>20190312160545221</v>
      </c>
      <c r="B9074" t="str">
        <f>"1552377945214112"</f>
        <v>1552377945214112</v>
      </c>
      <c r="C9074" t="s">
        <v>40</v>
      </c>
      <c r="D9074">
        <v>5.2573220000000003</v>
      </c>
      <c r="E9074">
        <v>0.55534519999999998</v>
      </c>
      <c r="F9074" t="s">
        <v>49</v>
      </c>
      <c r="G9074">
        <v>-146.6765</v>
      </c>
      <c r="H9074">
        <v>0.97288450000000004</v>
      </c>
      <c r="I9074">
        <v>138.9435</v>
      </c>
      <c r="J9074">
        <v>-147.2482</v>
      </c>
      <c r="K9074">
        <v>1.1102970000000001</v>
      </c>
      <c r="L9074">
        <v>139.0719</v>
      </c>
      <c r="M9074">
        <v>0.99927279999999996</v>
      </c>
      <c r="N9074">
        <v>0</v>
      </c>
      <c r="O9074">
        <v>-3.5694450000000003E-2</v>
      </c>
      <c r="P9074">
        <v>0.99821260000000001</v>
      </c>
      <c r="Q9074">
        <v>5.7216610000000001E-2</v>
      </c>
      <c r="R9074">
        <v>-1.7261579999999999E-2</v>
      </c>
      <c r="S9074">
        <v>3.0280300000000002</v>
      </c>
      <c r="T9074">
        <v>-0.54833580000000004</v>
      </c>
      <c r="U9074">
        <v>-0.54006960000000004</v>
      </c>
      <c r="V9074">
        <v>-1.8346399999999999E-2</v>
      </c>
      <c r="W9074">
        <v>7.0610199999999998E-2</v>
      </c>
      <c r="X9074">
        <v>0.99733530000000004</v>
      </c>
      <c r="Y9074">
        <v>0.1387091</v>
      </c>
      <c r="Z9074">
        <v>-6.00543E-3</v>
      </c>
      <c r="AA9074">
        <v>0.99031499999999995</v>
      </c>
      <c r="AB9074">
        <v>19</v>
      </c>
      <c r="AC9074">
        <v>0.57169999999999199</v>
      </c>
      <c r="AD9074">
        <v>-0.13741249999999899</v>
      </c>
      <c r="AE9074">
        <v>-0.12839999999999899</v>
      </c>
      <c r="AF9074">
        <v>0.102284410852245</v>
      </c>
      <c r="AG9074">
        <v>-0.13741249999999899</v>
      </c>
      <c r="AH9074">
        <v>0.54589620219692103</v>
      </c>
      <c r="AI9074">
        <v>103.896682717335</v>
      </c>
      <c r="AJ9074">
        <v>79.387556658016905</v>
      </c>
      <c r="AK9074">
        <v>0.57214242932390702</v>
      </c>
      <c r="AL9074">
        <v>85.950964355441997</v>
      </c>
      <c r="AM9074">
        <v>91.053860967534007</v>
      </c>
      <c r="AN9074">
        <v>1.0000000456815401</v>
      </c>
    </row>
    <row r="9075" spans="1:40" x14ac:dyDescent="0.25">
      <c r="A9075" t="str">
        <f>"20190312160545243"</f>
        <v>20190312160545243</v>
      </c>
      <c r="B9075" t="str">
        <f>"1552377945234608"</f>
        <v>1552377945234608</v>
      </c>
      <c r="C9075" t="s">
        <v>40</v>
      </c>
      <c r="D9075">
        <v>5.2579710000000004</v>
      </c>
      <c r="E9075">
        <v>0.55565629999999999</v>
      </c>
      <c r="F9075" t="s">
        <v>49</v>
      </c>
      <c r="G9075">
        <v>-146.50489999999999</v>
      </c>
      <c r="H9075">
        <v>0.98244699999999996</v>
      </c>
      <c r="I9075">
        <v>138.9443</v>
      </c>
      <c r="J9075">
        <v>-147.06370000000001</v>
      </c>
      <c r="K9075">
        <v>1.1102959999999999</v>
      </c>
      <c r="L9075">
        <v>139.06479999999999</v>
      </c>
      <c r="M9075">
        <v>0.99925889999999995</v>
      </c>
      <c r="N9075">
        <v>0</v>
      </c>
      <c r="O9075">
        <v>-3.6078730000000003E-2</v>
      </c>
      <c r="P9075">
        <v>0.99820529999999996</v>
      </c>
      <c r="Q9075">
        <v>5.7097290000000002E-2</v>
      </c>
      <c r="R9075">
        <v>-1.8068000000000001E-2</v>
      </c>
      <c r="S9075">
        <v>3.02623</v>
      </c>
      <c r="T9075">
        <v>-0.5205109</v>
      </c>
      <c r="U9075">
        <v>-0.51882929999999905</v>
      </c>
      <c r="V9075">
        <v>-1.7924720000000002E-2</v>
      </c>
      <c r="W9075">
        <v>7.0488910000000002E-2</v>
      </c>
      <c r="X9075">
        <v>0.99735149999999995</v>
      </c>
      <c r="Y9075">
        <v>0.1319399</v>
      </c>
      <c r="Z9075">
        <v>-5.0727419999999999E-3</v>
      </c>
      <c r="AA9075">
        <v>0.99124469999999998</v>
      </c>
      <c r="AB9075">
        <v>19</v>
      </c>
      <c r="AC9075">
        <v>0.55880000000001895</v>
      </c>
      <c r="AD9075">
        <v>-0.12784899999999999</v>
      </c>
      <c r="AE9075">
        <v>-0.120499999999992</v>
      </c>
      <c r="AF9075">
        <v>9.5482887176439005E-2</v>
      </c>
      <c r="AG9075">
        <v>-0.12784899999999999</v>
      </c>
      <c r="AH9075">
        <v>0.53597464211994605</v>
      </c>
      <c r="AI9075">
        <v>103.215762567346</v>
      </c>
      <c r="AJ9075">
        <v>79.898833084583998</v>
      </c>
      <c r="AK9075">
        <v>0.55922371689705097</v>
      </c>
      <c r="AL9075">
        <v>85.957930927585096</v>
      </c>
      <c r="AM9075">
        <v>91.029627217771505</v>
      </c>
      <c r="AN9075">
        <v>0.99999999828615804</v>
      </c>
    </row>
    <row r="9076" spans="1:40" x14ac:dyDescent="0.25">
      <c r="A9076" t="str">
        <f>"20190312160545266"</f>
        <v>20190312160545266</v>
      </c>
      <c r="B9076" t="str">
        <f>"1552377945254127"</f>
        <v>1552377945254127</v>
      </c>
      <c r="C9076" t="s">
        <v>40</v>
      </c>
      <c r="D9076">
        <v>5.2209019999999997</v>
      </c>
      <c r="E9076">
        <v>0.55692730000000001</v>
      </c>
      <c r="F9076" t="s">
        <v>49</v>
      </c>
      <c r="G9076">
        <v>-146.33779999999999</v>
      </c>
      <c r="H9076">
        <v>0.98339580000000004</v>
      </c>
      <c r="I9076">
        <v>138.9393</v>
      </c>
      <c r="J9076">
        <v>-146.87549999999999</v>
      </c>
      <c r="K9076">
        <v>1.1103019999999999</v>
      </c>
      <c r="L9076">
        <v>139.05760000000001</v>
      </c>
      <c r="M9076">
        <v>0.99924469999999999</v>
      </c>
      <c r="N9076">
        <v>0</v>
      </c>
      <c r="O9076">
        <v>-3.6468720000000003E-2</v>
      </c>
      <c r="P9076">
        <v>0.9982219</v>
      </c>
      <c r="Q9076">
        <v>5.6577269999999999E-2</v>
      </c>
      <c r="R9076">
        <v>-1.8763430000000001E-2</v>
      </c>
      <c r="S9076">
        <v>3.0261840000000002</v>
      </c>
      <c r="T9076">
        <v>-0.52904130000000005</v>
      </c>
      <c r="U9076">
        <v>-0.52317809999999998</v>
      </c>
      <c r="V9076">
        <v>-1.7620529999999999E-2</v>
      </c>
      <c r="W9076">
        <v>6.9967109999999999E-2</v>
      </c>
      <c r="X9076">
        <v>0.99739370000000005</v>
      </c>
      <c r="Y9076">
        <v>0.13288639999999999</v>
      </c>
      <c r="Z9076">
        <v>-5.1686470000000002E-3</v>
      </c>
      <c r="AA9076">
        <v>0.99111780000000005</v>
      </c>
      <c r="AB9076">
        <v>19</v>
      </c>
      <c r="AC9076">
        <v>0.53770000000000095</v>
      </c>
      <c r="AD9076">
        <v>-0.1269062</v>
      </c>
      <c r="AE9076">
        <v>-0.118300000000004</v>
      </c>
      <c r="AF9076">
        <v>9.3635262341695599E-2</v>
      </c>
      <c r="AG9076">
        <v>-0.1269062</v>
      </c>
      <c r="AH9076">
        <v>0.51432951224265</v>
      </c>
      <c r="AI9076">
        <v>103.644678650906</v>
      </c>
      <c r="AJ9076">
        <v>79.682127097203207</v>
      </c>
      <c r="AK9076">
        <v>0.53796616354190896</v>
      </c>
      <c r="AL9076">
        <v>85.987902017299405</v>
      </c>
      <c r="AM9076">
        <v>91.012114863594206</v>
      </c>
      <c r="AN9076">
        <v>1.0000000361794601</v>
      </c>
    </row>
    <row r="9077" spans="1:40" x14ac:dyDescent="0.25">
      <c r="A9077" t="str">
        <f>"20190312160545289"</f>
        <v>20190312160545289</v>
      </c>
      <c r="B9077" t="str">
        <f>"1552377945284383"</f>
        <v>1552377945284383</v>
      </c>
      <c r="C9077" t="s">
        <v>40</v>
      </c>
      <c r="D9077">
        <v>6.4022550000000003</v>
      </c>
      <c r="E9077">
        <v>0.55593289999999995</v>
      </c>
      <c r="F9077" t="s">
        <v>49</v>
      </c>
      <c r="G9077">
        <v>-146.17179999999999</v>
      </c>
      <c r="H9077">
        <v>0.98274079999999997</v>
      </c>
      <c r="I9077">
        <v>138.93279999999999</v>
      </c>
      <c r="J9077">
        <v>-146.68709999999999</v>
      </c>
      <c r="K9077">
        <v>1.110303</v>
      </c>
      <c r="L9077">
        <v>139.05019999999999</v>
      </c>
      <c r="M9077">
        <v>0.99923059999999997</v>
      </c>
      <c r="N9077">
        <v>0</v>
      </c>
      <c r="O9077">
        <v>-3.6858000000000002E-2</v>
      </c>
      <c r="P9077">
        <v>0.99824669999999904</v>
      </c>
      <c r="Q9077">
        <v>5.591844E-2</v>
      </c>
      <c r="R9077">
        <v>-1.9413940000000001E-2</v>
      </c>
      <c r="S9077">
        <v>3.026367</v>
      </c>
      <c r="T9077">
        <v>-0.54857419999999901</v>
      </c>
      <c r="U9077">
        <v>-0.53569029999999995</v>
      </c>
      <c r="V9077">
        <v>-1.73607E-2</v>
      </c>
      <c r="W9077">
        <v>6.9306870000000007E-2</v>
      </c>
      <c r="X9077">
        <v>0.99744429999999995</v>
      </c>
      <c r="Y9077">
        <v>0.136313299999999</v>
      </c>
      <c r="Z9077">
        <v>-5.5909239999999997E-3</v>
      </c>
      <c r="AA9077">
        <v>0.99065000000000003</v>
      </c>
      <c r="AB9077">
        <v>19</v>
      </c>
      <c r="AC9077">
        <v>0.51529999999999598</v>
      </c>
      <c r="AD9077">
        <v>-0.12756219999999899</v>
      </c>
      <c r="AE9077">
        <v>-0.117400000000003</v>
      </c>
      <c r="AF9077">
        <v>9.2912775795377406E-2</v>
      </c>
      <c r="AG9077">
        <v>-0.12756219999999899</v>
      </c>
      <c r="AH9077">
        <v>0.49069120052341603</v>
      </c>
      <c r="AI9077">
        <v>104.328448666917</v>
      </c>
      <c r="AJ9077">
        <v>79.277937097836798</v>
      </c>
      <c r="AK9077">
        <v>0.51544422884144703</v>
      </c>
      <c r="AL9077">
        <v>86.025822831003296</v>
      </c>
      <c r="AM9077">
        <v>90.997142811119105</v>
      </c>
      <c r="AN9077">
        <v>0.99999998386808797</v>
      </c>
    </row>
    <row r="9078" spans="1:40" x14ac:dyDescent="0.25">
      <c r="A9078" t="str">
        <f>"20190312160545322"</f>
        <v>20190312160545322</v>
      </c>
      <c r="B9078" t="str">
        <f>"1552377945314639"</f>
        <v>1552377945314639</v>
      </c>
      <c r="C9078" t="s">
        <v>40</v>
      </c>
      <c r="D9078">
        <v>5.2445830000000004</v>
      </c>
      <c r="E9078">
        <v>0.48586309999999999</v>
      </c>
      <c r="F9078" t="s">
        <v>49</v>
      </c>
      <c r="G9078">
        <v>-145.8503</v>
      </c>
      <c r="H9078">
        <v>0.96154079999999997</v>
      </c>
      <c r="I9078">
        <v>138.90379999999999</v>
      </c>
      <c r="J9078">
        <v>-146.41040000000001</v>
      </c>
      <c r="K9078">
        <v>1.110309</v>
      </c>
      <c r="L9078">
        <v>139.0393</v>
      </c>
      <c r="M9078">
        <v>0.99920949999999997</v>
      </c>
      <c r="N9078">
        <v>0</v>
      </c>
      <c r="O9078">
        <v>-3.7425470000000002E-2</v>
      </c>
      <c r="P9078">
        <v>0.99827259999999995</v>
      </c>
      <c r="Q9078">
        <v>5.5162870000000003E-2</v>
      </c>
      <c r="R9078">
        <v>-2.022419E-2</v>
      </c>
      <c r="S9078">
        <v>3.0251160000000001</v>
      </c>
      <c r="T9078">
        <v>-0.53785869999999902</v>
      </c>
      <c r="U9078">
        <v>-0.52883910000000001</v>
      </c>
      <c r="V9078">
        <v>-1.7119519999999999E-2</v>
      </c>
      <c r="W9078">
        <v>6.8548600000000001E-2</v>
      </c>
      <c r="X9078">
        <v>0.99750090000000002</v>
      </c>
      <c r="Y9078">
        <v>0.13375029999999999</v>
      </c>
      <c r="Z9078">
        <v>-5.1629800000000002E-3</v>
      </c>
      <c r="AA9078">
        <v>0.99100160000000004</v>
      </c>
      <c r="AB9078">
        <v>19</v>
      </c>
      <c r="AC9078">
        <v>0.56010000000000504</v>
      </c>
      <c r="AD9078">
        <v>-0.14876819999999899</v>
      </c>
      <c r="AE9078">
        <v>-0.135500000000007</v>
      </c>
      <c r="AF9078">
        <v>0.107290462126942</v>
      </c>
      <c r="AG9078">
        <v>-0.14876819999999899</v>
      </c>
      <c r="AH9078">
        <v>0.52948967422554905</v>
      </c>
      <c r="AI9078">
        <v>105.395902253759</v>
      </c>
      <c r="AJ9078">
        <v>78.545252044301407</v>
      </c>
      <c r="AK9078">
        <v>0.56035929162112696</v>
      </c>
      <c r="AL9078">
        <v>86.069372209105694</v>
      </c>
      <c r="AM9078">
        <v>90.983237163145105</v>
      </c>
      <c r="AN9078">
        <v>1.0000000170139001</v>
      </c>
    </row>
    <row r="9079" spans="1:40" x14ac:dyDescent="0.25">
      <c r="A9079" t="str">
        <f>"20190312160545344"</f>
        <v>20190312160545344</v>
      </c>
      <c r="B9079" t="str">
        <f>"1552377945334159"</f>
        <v>1552377945334159</v>
      </c>
      <c r="C9079" t="s">
        <v>40</v>
      </c>
      <c r="D9079">
        <v>5.3223690000000001</v>
      </c>
      <c r="E9079">
        <v>0.48596250000000002</v>
      </c>
      <c r="F9079" t="s">
        <v>41</v>
      </c>
      <c r="G9079">
        <v>-118.49420000000001</v>
      </c>
      <c r="H9079" s="1">
        <v>-6.607451E-7</v>
      </c>
      <c r="I9079">
        <v>139.43340000000001</v>
      </c>
      <c r="J9079">
        <v>-146.22829999999999</v>
      </c>
      <c r="K9079">
        <v>1.110304</v>
      </c>
      <c r="L9079">
        <v>139.03200000000001</v>
      </c>
      <c r="M9079">
        <v>0.99919570000000002</v>
      </c>
      <c r="N9079">
        <v>0</v>
      </c>
      <c r="O9079">
        <v>-3.7794809999999998E-2</v>
      </c>
      <c r="P9079">
        <v>0.99826300000000001</v>
      </c>
      <c r="Q9079">
        <v>5.5110399999999997E-2</v>
      </c>
      <c r="R9079">
        <v>-2.0830830000000002E-2</v>
      </c>
      <c r="S9079">
        <v>3.01268</v>
      </c>
      <c r="T9079">
        <v>-0.119823</v>
      </c>
      <c r="U9079">
        <v>4.2541500000000003E-2</v>
      </c>
      <c r="V9079">
        <v>-1.68827E-2</v>
      </c>
      <c r="W9079">
        <v>6.8493879999999993E-2</v>
      </c>
      <c r="X9079">
        <v>0.99750870000000003</v>
      </c>
      <c r="Y9079">
        <v>-5.1832910000000003E-2</v>
      </c>
      <c r="Z9079">
        <v>2.5328220000000001E-3</v>
      </c>
      <c r="AA9079">
        <v>0.9986526</v>
      </c>
      <c r="AB9079">
        <v>19</v>
      </c>
      <c r="AC9079">
        <v>27.734099999999899</v>
      </c>
      <c r="AD9079">
        <v>-1.1103046607450999</v>
      </c>
      <c r="AE9079">
        <v>0.40139999999999498</v>
      </c>
      <c r="AF9079">
        <v>-1.44709349649799</v>
      </c>
      <c r="AG9079">
        <v>-1.1103046607450999</v>
      </c>
      <c r="AH9079">
        <v>27.654795348942699</v>
      </c>
      <c r="AI9079">
        <v>92.295979646320305</v>
      </c>
      <c r="AJ9079">
        <v>92.995386453774103</v>
      </c>
      <c r="AK9079">
        <v>27.7148797908124</v>
      </c>
      <c r="AL9079">
        <v>86.072514839406495</v>
      </c>
      <c r="AM9079">
        <v>90.969630751668504</v>
      </c>
      <c r="AN9079">
        <v>1.00000002186621</v>
      </c>
    </row>
    <row r="9080" spans="1:40" x14ac:dyDescent="0.25">
      <c r="A9080" t="str">
        <f>"20190312160545366"</f>
        <v>20190312160545366</v>
      </c>
      <c r="B9080" t="str">
        <f>"1552377945364416"</f>
        <v>1552377945364416</v>
      </c>
      <c r="C9080" t="s">
        <v>40</v>
      </c>
      <c r="D9080">
        <v>5.4191979999999997</v>
      </c>
      <c r="E9080">
        <v>0.48824909999999999</v>
      </c>
      <c r="F9080" t="s">
        <v>41</v>
      </c>
      <c r="G9080">
        <v>-118.9584</v>
      </c>
      <c r="H9080" s="1">
        <v>-4.6872830000000002E-7</v>
      </c>
      <c r="I9080">
        <v>139.39330000000001</v>
      </c>
      <c r="J9080">
        <v>-146.04409999999999</v>
      </c>
      <c r="K9080">
        <v>1.1103099999999999</v>
      </c>
      <c r="L9080">
        <v>139.02459999999999</v>
      </c>
      <c r="M9080">
        <v>0.99918200000000001</v>
      </c>
      <c r="N9080">
        <v>0</v>
      </c>
      <c r="O9080">
        <v>-3.8157419999999997E-2</v>
      </c>
      <c r="P9080">
        <v>0.99826879999999996</v>
      </c>
      <c r="Q9080">
        <v>5.4812489999999998E-2</v>
      </c>
      <c r="R9080">
        <v>-2.1339609999999998E-2</v>
      </c>
      <c r="S9080">
        <v>3.012848</v>
      </c>
      <c r="T9080">
        <v>-0.122669</v>
      </c>
      <c r="U9080">
        <v>3.9916989999999999E-2</v>
      </c>
      <c r="V9080">
        <v>-1.673798E-2</v>
      </c>
      <c r="W9080">
        <v>6.8194179999999993E-2</v>
      </c>
      <c r="X9080">
        <v>0.99753170000000002</v>
      </c>
      <c r="Y9080">
        <v>-5.1321480000000003E-2</v>
      </c>
      <c r="Z9080">
        <v>2.5971409999999999E-3</v>
      </c>
      <c r="AA9080">
        <v>0.99867879999999998</v>
      </c>
      <c r="AB9080">
        <v>19</v>
      </c>
      <c r="AC9080">
        <v>27.0856999999999</v>
      </c>
      <c r="AD9080">
        <v>-1.1103104687283001</v>
      </c>
      <c r="AE9080">
        <v>0.36870000000001801</v>
      </c>
      <c r="AF9080">
        <v>-1.39969297574703</v>
      </c>
      <c r="AG9080">
        <v>-1.1103104687283001</v>
      </c>
      <c r="AH9080">
        <v>27.006528187087799</v>
      </c>
      <c r="AI9080">
        <v>92.3511045898764</v>
      </c>
      <c r="AJ9080">
        <v>92.966868189506897</v>
      </c>
      <c r="AK9080">
        <v>27.065559193988399</v>
      </c>
      <c r="AL9080">
        <v>86.089726736160898</v>
      </c>
      <c r="AM9080">
        <v>90.961298396583999</v>
      </c>
      <c r="AN9080">
        <v>1.00000004933262</v>
      </c>
    </row>
    <row r="9081" spans="1:40" x14ac:dyDescent="0.25">
      <c r="A9081" t="str">
        <f>"20190312160545389"</f>
        <v>20190312160545389</v>
      </c>
      <c r="B9081" t="str">
        <f>"1552377945383935"</f>
        <v>1552377945383935</v>
      </c>
      <c r="C9081" t="s">
        <v>40</v>
      </c>
      <c r="D9081">
        <v>5.4065180000000002</v>
      </c>
      <c r="E9081">
        <v>0.48805589999999999</v>
      </c>
      <c r="F9081" t="s">
        <v>41</v>
      </c>
      <c r="G9081">
        <v>-117.1709</v>
      </c>
      <c r="H9081" s="1">
        <v>-1.266153E-6</v>
      </c>
      <c r="I9081">
        <v>139.2208</v>
      </c>
      <c r="J9081">
        <v>-145.85849999999999</v>
      </c>
      <c r="K9081">
        <v>1.110328</v>
      </c>
      <c r="L9081">
        <v>139.017</v>
      </c>
      <c r="M9081">
        <v>0.99916879999999997</v>
      </c>
      <c r="N9081">
        <v>0</v>
      </c>
      <c r="O9081">
        <v>-3.8499279999999997E-2</v>
      </c>
      <c r="P9081">
        <v>0.99826879999999996</v>
      </c>
      <c r="Q9081">
        <v>5.4380850000000001E-2</v>
      </c>
      <c r="R9081">
        <v>-2.2404899999999998E-2</v>
      </c>
      <c r="S9081">
        <v>3.0120089999999999</v>
      </c>
      <c r="T9081">
        <v>-0.11582580000000001</v>
      </c>
      <c r="U9081">
        <v>2.0477289999999999E-2</v>
      </c>
      <c r="V9081">
        <v>-1.6017819999999999E-2</v>
      </c>
      <c r="W9081">
        <v>6.7760319999999999E-2</v>
      </c>
      <c r="X9081">
        <v>0.99757300000000004</v>
      </c>
      <c r="Y9081">
        <v>-4.5233330000000002E-2</v>
      </c>
      <c r="Z9081">
        <v>2.349205E-3</v>
      </c>
      <c r="AA9081">
        <v>0.99897369999999996</v>
      </c>
      <c r="AB9081">
        <v>19</v>
      </c>
      <c r="AC9081">
        <v>28.6875999999999</v>
      </c>
      <c r="AD9081">
        <v>-1.110329266153</v>
      </c>
      <c r="AE9081">
        <v>0.20380000000000101</v>
      </c>
      <c r="AF9081">
        <v>-1.30624330338984</v>
      </c>
      <c r="AG9081">
        <v>-1.110329266153</v>
      </c>
      <c r="AH9081">
        <v>28.615616777124099</v>
      </c>
      <c r="AI9081">
        <v>92.219739168248694</v>
      </c>
      <c r="AJ9081">
        <v>92.613618642425095</v>
      </c>
      <c r="AK9081">
        <v>28.6669256492941</v>
      </c>
      <c r="AL9081">
        <v>86.114642371874098</v>
      </c>
      <c r="AM9081">
        <v>90.919907238178695</v>
      </c>
      <c r="AN9081">
        <v>0.99999996092652599</v>
      </c>
    </row>
    <row r="9082" spans="1:40" x14ac:dyDescent="0.25">
      <c r="A9082" t="str">
        <f>"20190312160545411"</f>
        <v>20190312160545411</v>
      </c>
      <c r="B9082" t="str">
        <f>"1552377945404434"</f>
        <v>1552377945404434</v>
      </c>
      <c r="C9082" t="s">
        <v>40</v>
      </c>
      <c r="D9082">
        <v>5.3312790000000003</v>
      </c>
      <c r="E9082">
        <v>0.48806929999999998</v>
      </c>
      <c r="F9082" t="s">
        <v>41</v>
      </c>
      <c r="G9082">
        <v>-115.5586</v>
      </c>
      <c r="H9082" s="1">
        <v>-1.959406E-6</v>
      </c>
      <c r="I9082">
        <v>139.21180000000001</v>
      </c>
      <c r="J9082">
        <v>-145.67439999999999</v>
      </c>
      <c r="K9082">
        <v>1.1103499999999999</v>
      </c>
      <c r="L9082">
        <v>139.0095</v>
      </c>
      <c r="M9082">
        <v>0.99915699999999996</v>
      </c>
      <c r="N9082">
        <v>0</v>
      </c>
      <c r="O9082">
        <v>-3.8806809999999997E-2</v>
      </c>
      <c r="P9082">
        <v>0.9982588</v>
      </c>
      <c r="Q9082">
        <v>5.4275200000000003E-2</v>
      </c>
      <c r="R9082">
        <v>-2.3102549999999999E-2</v>
      </c>
      <c r="S9082">
        <v>3.0116420000000002</v>
      </c>
      <c r="T9082">
        <v>-0.1103604</v>
      </c>
      <c r="U9082">
        <v>1.9363399999999999E-2</v>
      </c>
      <c r="V9082">
        <v>-1.5630729999999999E-2</v>
      </c>
      <c r="W9082">
        <v>6.7651840000000005E-2</v>
      </c>
      <c r="X9082">
        <v>0.99758650000000004</v>
      </c>
      <c r="Y9082">
        <v>-4.5177660000000001E-2</v>
      </c>
      <c r="Z9082">
        <v>2.2489430000000002E-3</v>
      </c>
      <c r="AA9082">
        <v>0.99897639999999999</v>
      </c>
      <c r="AB9082">
        <v>18</v>
      </c>
      <c r="AC9082">
        <v>30.1158</v>
      </c>
      <c r="AD9082">
        <v>-1.1103519594059901</v>
      </c>
      <c r="AE9082">
        <v>0.202300000000008</v>
      </c>
      <c r="AF9082">
        <v>-1.3690895220910999</v>
      </c>
      <c r="AG9082">
        <v>-1.1103519594059901</v>
      </c>
      <c r="AH9082">
        <v>30.044420185888299</v>
      </c>
      <c r="AI9082">
        <v>92.114325408690405</v>
      </c>
      <c r="AJ9082">
        <v>92.6090975387784</v>
      </c>
      <c r="AK9082">
        <v>30.0960873187773</v>
      </c>
      <c r="AL9082">
        <v>86.120872102542407</v>
      </c>
      <c r="AM9082">
        <v>90.897668103598704</v>
      </c>
      <c r="AN9082">
        <v>0.99999995807898301</v>
      </c>
    </row>
    <row r="9083" spans="1:40" x14ac:dyDescent="0.25">
      <c r="A9083" t="str">
        <f>"20190312160545433"</f>
        <v>20190312160545433</v>
      </c>
      <c r="B9083" t="str">
        <f>"1552377945423953"</f>
        <v>1552377945423953</v>
      </c>
      <c r="C9083" t="s">
        <v>40</v>
      </c>
      <c r="D9083">
        <v>5.4311049999999996</v>
      </c>
      <c r="E9083">
        <v>0.4879019</v>
      </c>
      <c r="F9083" t="s">
        <v>41</v>
      </c>
      <c r="G9083">
        <v>-117.7765</v>
      </c>
      <c r="H9083" s="1">
        <v>-1.015959E-6</v>
      </c>
      <c r="I9083">
        <v>139.16669999999999</v>
      </c>
      <c r="J9083">
        <v>-145.49100000000001</v>
      </c>
      <c r="K9083">
        <v>1.110379</v>
      </c>
      <c r="L9083">
        <v>139.00210000000001</v>
      </c>
      <c r="M9083">
        <v>0.99914630000000004</v>
      </c>
      <c r="N9083">
        <v>0</v>
      </c>
      <c r="O9083">
        <v>-3.908151E-2</v>
      </c>
      <c r="P9083">
        <v>0.99824049999999998</v>
      </c>
      <c r="Q9083">
        <v>5.4472270000000003E-2</v>
      </c>
      <c r="R9083">
        <v>-2.3428919999999999E-2</v>
      </c>
      <c r="S9083">
        <v>3.0121609999999999</v>
      </c>
      <c r="T9083">
        <v>-0.11988509999999999</v>
      </c>
      <c r="U9083">
        <v>1.696777E-2</v>
      </c>
      <c r="V9083">
        <v>-1.558296E-2</v>
      </c>
      <c r="W9083">
        <v>6.7845939999999993E-2</v>
      </c>
      <c r="X9083">
        <v>0.99757410000000002</v>
      </c>
      <c r="Y9083">
        <v>-4.46468E-2</v>
      </c>
      <c r="Z9083">
        <v>2.442835E-3</v>
      </c>
      <c r="AA9083">
        <v>0.99899979999999999</v>
      </c>
      <c r="AB9083">
        <v>18</v>
      </c>
      <c r="AC9083">
        <v>27.714500000000001</v>
      </c>
      <c r="AD9083">
        <v>-1.110380015959</v>
      </c>
      <c r="AE9083">
        <v>0.16459999999997799</v>
      </c>
      <c r="AF9083">
        <v>-1.24569633369771</v>
      </c>
      <c r="AG9083">
        <v>-1.110380015959</v>
      </c>
      <c r="AH9083">
        <v>27.642519439594199</v>
      </c>
      <c r="AI9083">
        <v>92.297963656845496</v>
      </c>
      <c r="AJ9083">
        <v>92.580259962886899</v>
      </c>
      <c r="AK9083">
        <v>27.692843553957601</v>
      </c>
      <c r="AL9083">
        <v>86.109725515112302</v>
      </c>
      <c r="AM9083">
        <v>90.894936256034001</v>
      </c>
      <c r="AN9083">
        <v>0.99999999260382699</v>
      </c>
    </row>
    <row r="9084" spans="1:40" x14ac:dyDescent="0.25">
      <c r="A9084" t="str">
        <f>"20190312160545457"</f>
        <v>20190312160545457</v>
      </c>
      <c r="B9084" t="str">
        <f>"1552377945454208"</f>
        <v>1552377945454208</v>
      </c>
      <c r="C9084" t="s">
        <v>40</v>
      </c>
      <c r="D9084">
        <v>5.4314470000000004</v>
      </c>
      <c r="E9084">
        <v>0.48786400000000002</v>
      </c>
      <c r="F9084" t="s">
        <v>41</v>
      </c>
      <c r="G9084">
        <v>-118.3759</v>
      </c>
      <c r="H9084" s="1">
        <v>-7.6080080000000003E-7</v>
      </c>
      <c r="I9084">
        <v>139.15530000000001</v>
      </c>
      <c r="J9084">
        <v>-145.30629999999999</v>
      </c>
      <c r="K9084">
        <v>1.110411</v>
      </c>
      <c r="L9084">
        <v>138.99449999999999</v>
      </c>
      <c r="M9084">
        <v>0.99913700000000005</v>
      </c>
      <c r="N9084">
        <v>0</v>
      </c>
      <c r="O9084">
        <v>-3.9318510000000001E-2</v>
      </c>
      <c r="P9084">
        <v>0.99820629999999999</v>
      </c>
      <c r="Q9084">
        <v>5.5222529999999999E-2</v>
      </c>
      <c r="R9084">
        <v>-2.313291E-2</v>
      </c>
      <c r="S9084">
        <v>3.0124209999999998</v>
      </c>
      <c r="T9084">
        <v>-0.1233606</v>
      </c>
      <c r="U9084">
        <v>1.7028809999999998E-2</v>
      </c>
      <c r="V9084">
        <v>-1.6118219999999999E-2</v>
      </c>
      <c r="W9084">
        <v>6.8592379999999994E-2</v>
      </c>
      <c r="X9084">
        <v>0.99751449999999997</v>
      </c>
      <c r="Y9084">
        <v>-4.489924E-2</v>
      </c>
      <c r="Z9084">
        <v>2.5282429999999999E-3</v>
      </c>
      <c r="AA9084">
        <v>0.99898830000000005</v>
      </c>
      <c r="AB9084">
        <v>18</v>
      </c>
      <c r="AC9084">
        <v>26.930399999999899</v>
      </c>
      <c r="AD9084">
        <v>-1.1104117608008</v>
      </c>
      <c r="AE9084">
        <v>0.16080000000002301</v>
      </c>
      <c r="AF9084">
        <v>-1.2175638377167299</v>
      </c>
      <c r="AG9084">
        <v>-1.1104117608008</v>
      </c>
      <c r="AH9084">
        <v>26.857588963908</v>
      </c>
      <c r="AI9084">
        <v>92.365086768645895</v>
      </c>
      <c r="AJ9084">
        <v>92.595673703969197</v>
      </c>
      <c r="AK9084">
        <v>26.9080947101736</v>
      </c>
      <c r="AL9084">
        <v>86.066857596858199</v>
      </c>
      <c r="AM9084">
        <v>90.925726511355407</v>
      </c>
      <c r="AN9084">
        <v>0.99999994466013897</v>
      </c>
    </row>
    <row r="9085" spans="1:40" x14ac:dyDescent="0.25">
      <c r="A9085" t="str">
        <f>"20190312160545479"</f>
        <v>20190312160545479</v>
      </c>
      <c r="B9085" t="str">
        <f>"1552377945474703"</f>
        <v>1552377945474703</v>
      </c>
      <c r="C9085" t="s">
        <v>40</v>
      </c>
      <c r="D9085">
        <v>5.4655839999999998</v>
      </c>
      <c r="E9085">
        <v>0.48788340000000002</v>
      </c>
      <c r="F9085" t="s">
        <v>41</v>
      </c>
      <c r="G9085">
        <v>-119.2906</v>
      </c>
      <c r="H9085" s="1">
        <v>-3.6952739999999999E-7</v>
      </c>
      <c r="I9085">
        <v>139.1491</v>
      </c>
      <c r="J9085">
        <v>-145.1217</v>
      </c>
      <c r="K9085">
        <v>1.1104430000000001</v>
      </c>
      <c r="L9085">
        <v>138.98699999999999</v>
      </c>
      <c r="M9085">
        <v>0.99912970000000001</v>
      </c>
      <c r="N9085">
        <v>0</v>
      </c>
      <c r="O9085">
        <v>-3.9508300000000003E-2</v>
      </c>
      <c r="P9085">
        <v>0.9982162</v>
      </c>
      <c r="Q9085">
        <v>5.5051540000000003E-2</v>
      </c>
      <c r="R9085">
        <v>-2.3112319999999999E-2</v>
      </c>
      <c r="S9085">
        <v>3.0129090000000001</v>
      </c>
      <c r="T9085">
        <v>-0.12859760000000001</v>
      </c>
      <c r="U9085">
        <v>1.7898560000000001E-2</v>
      </c>
      <c r="V9085">
        <v>-1.633341E-2</v>
      </c>
      <c r="W9085">
        <v>6.8418720000000002E-2</v>
      </c>
      <c r="X9085">
        <v>0.99752300000000005</v>
      </c>
      <c r="Y9085">
        <v>-4.5369739999999999E-2</v>
      </c>
      <c r="Z9085">
        <v>2.653182E-3</v>
      </c>
      <c r="AA9085">
        <v>0.99896680000000004</v>
      </c>
      <c r="AB9085">
        <v>18</v>
      </c>
      <c r="AC9085">
        <v>25.831099999999999</v>
      </c>
      <c r="AD9085">
        <v>-1.1104433695273901</v>
      </c>
      <c r="AE9085">
        <v>0.16210000000000899</v>
      </c>
      <c r="AF9085">
        <v>-1.18042621607565</v>
      </c>
      <c r="AG9085">
        <v>-1.1104433695273901</v>
      </c>
      <c r="AH9085">
        <v>25.756926211034401</v>
      </c>
      <c r="AI9085">
        <v>92.466045680242999</v>
      </c>
      <c r="AJ9085">
        <v>92.623999003647398</v>
      </c>
      <c r="AK9085">
        <v>25.807861948816999</v>
      </c>
      <c r="AL9085">
        <v>86.0768313029414</v>
      </c>
      <c r="AM9085">
        <v>90.938075449768405</v>
      </c>
      <c r="AN9085">
        <v>1.00000001852883</v>
      </c>
    </row>
    <row r="9086" spans="1:40" x14ac:dyDescent="0.25">
      <c r="A9086" t="str">
        <f>"20190312160545503"</f>
        <v>20190312160545503</v>
      </c>
      <c r="B9086" t="str">
        <f>"1552377945494223"</f>
        <v>1552377945494223</v>
      </c>
      <c r="C9086" t="s">
        <v>40</v>
      </c>
      <c r="D9086">
        <v>5.4487540000000001</v>
      </c>
      <c r="E9086">
        <v>0.48766189999999998</v>
      </c>
      <c r="F9086" t="s">
        <v>41</v>
      </c>
      <c r="G9086">
        <v>-119.5138</v>
      </c>
      <c r="H9086" s="1">
        <v>-2.7818680000000002E-7</v>
      </c>
      <c r="I9086">
        <v>139.14019999999999</v>
      </c>
      <c r="J9086">
        <v>-144.91720000000001</v>
      </c>
      <c r="K9086">
        <v>1.1104769999999999</v>
      </c>
      <c r="L9086">
        <v>138.9787</v>
      </c>
      <c r="M9086">
        <v>0.99912380000000001</v>
      </c>
      <c r="N9086">
        <v>0</v>
      </c>
      <c r="O9086">
        <v>-3.9658550000000001E-2</v>
      </c>
      <c r="P9086">
        <v>0.99821380000000004</v>
      </c>
      <c r="Q9086">
        <v>5.5289489999999997E-2</v>
      </c>
      <c r="R9086">
        <v>-2.2642639999999999E-2</v>
      </c>
      <c r="S9086">
        <v>3.012985</v>
      </c>
      <c r="T9086">
        <v>-0.1306533</v>
      </c>
      <c r="U9086">
        <v>1.8020629999999999E-2</v>
      </c>
      <c r="V9086">
        <v>-1.6958150000000002E-2</v>
      </c>
      <c r="W9086">
        <v>6.8652790000000005E-2</v>
      </c>
      <c r="X9086">
        <v>0.99749650000000001</v>
      </c>
      <c r="Y9086">
        <v>-4.5557500000000001E-2</v>
      </c>
      <c r="Z9086">
        <v>2.7060640000000002E-3</v>
      </c>
      <c r="AA9086">
        <v>0.99895809999999996</v>
      </c>
      <c r="AB9086">
        <v>18</v>
      </c>
      <c r="AC9086">
        <v>25.403400000000001</v>
      </c>
      <c r="AD9086">
        <v>-1.1104772781868</v>
      </c>
      <c r="AE9086">
        <v>0.16149999999998901</v>
      </c>
      <c r="AF9086">
        <v>-1.1666956909744599</v>
      </c>
      <c r="AG9086">
        <v>-1.1104772781868</v>
      </c>
      <c r="AH9086">
        <v>25.3286076689722</v>
      </c>
      <c r="AI9086">
        <v>92.507744599291001</v>
      </c>
      <c r="AJ9086">
        <v>92.637315199518994</v>
      </c>
      <c r="AK9086">
        <v>25.3797696023708</v>
      </c>
      <c r="AL9086">
        <v>86.063388500727896</v>
      </c>
      <c r="AM9086">
        <v>90.973975178207994</v>
      </c>
      <c r="AN9086">
        <v>1.0000000259692201</v>
      </c>
    </row>
    <row r="9087" spans="1:40" x14ac:dyDescent="0.25">
      <c r="A9087" t="str">
        <f>"20190312160545527"</f>
        <v>20190312160545527</v>
      </c>
      <c r="B9087" t="str">
        <f>"1552377945524480"</f>
        <v>1552377945524480</v>
      </c>
      <c r="C9087" t="s">
        <v>40</v>
      </c>
      <c r="D9087">
        <v>5.4768429999999997</v>
      </c>
      <c r="E9087">
        <v>0.48754199999999998</v>
      </c>
      <c r="F9087" t="s">
        <v>41</v>
      </c>
      <c r="G9087">
        <v>-119.28570000000001</v>
      </c>
      <c r="H9087" s="1">
        <v>-3.6984869999999999E-7</v>
      </c>
      <c r="I9087">
        <v>139.1591</v>
      </c>
      <c r="J9087">
        <v>-144.72720000000001</v>
      </c>
      <c r="K9087">
        <v>1.1105240000000001</v>
      </c>
      <c r="L9087">
        <v>138.971</v>
      </c>
      <c r="M9087">
        <v>0.99912060000000003</v>
      </c>
      <c r="N9087">
        <v>0</v>
      </c>
      <c r="O9087">
        <v>-3.9739669999999998E-2</v>
      </c>
      <c r="P9087">
        <v>0.99821249999999995</v>
      </c>
      <c r="Q9087">
        <v>5.5594490000000003E-2</v>
      </c>
      <c r="R9087">
        <v>-2.1946500000000001E-2</v>
      </c>
      <c r="S9087">
        <v>3.013077</v>
      </c>
      <c r="T9087">
        <v>-0.13054060000000001</v>
      </c>
      <c r="U9087">
        <v>2.1209720000000001E-2</v>
      </c>
      <c r="V9087">
        <v>-1.7739729999999999E-2</v>
      </c>
      <c r="W9087">
        <v>6.8953429999999996E-2</v>
      </c>
      <c r="X9087">
        <v>0.99746219999999997</v>
      </c>
      <c r="Y9087">
        <v>-4.6694649999999997E-2</v>
      </c>
      <c r="Z9087">
        <v>2.7317830000000002E-3</v>
      </c>
      <c r="AA9087">
        <v>0.9989055</v>
      </c>
      <c r="AB9087">
        <v>18</v>
      </c>
      <c r="AC9087">
        <v>25.441500000000001</v>
      </c>
      <c r="AD9087">
        <v>-1.1105243698487</v>
      </c>
      <c r="AE9087">
        <v>0.188099999999991</v>
      </c>
      <c r="AF9087">
        <v>-1.1967984185573599</v>
      </c>
      <c r="AG9087">
        <v>-1.1105243698487</v>
      </c>
      <c r="AH9087">
        <v>25.365596380528402</v>
      </c>
      <c r="AI9087">
        <v>92.504068200366703</v>
      </c>
      <c r="AJ9087">
        <v>92.701323554926205</v>
      </c>
      <c r="AK9087">
        <v>25.418085501677101</v>
      </c>
      <c r="AL9087">
        <v>86.046122304043195</v>
      </c>
      <c r="AM9087">
        <v>91.018890254578295</v>
      </c>
      <c r="AN9087">
        <v>1.0000000569790299</v>
      </c>
    </row>
    <row r="9088" spans="1:40" x14ac:dyDescent="0.25">
      <c r="A9088" t="str">
        <f>"20190312160545548"</f>
        <v>20190312160545548</v>
      </c>
      <c r="B9088" t="str">
        <f>"1552377945544000"</f>
        <v>1552377945544000</v>
      </c>
      <c r="C9088" t="s">
        <v>40</v>
      </c>
      <c r="D9088">
        <v>5.4767190000000001</v>
      </c>
      <c r="E9088">
        <v>0.48733860000000001</v>
      </c>
      <c r="F9088" t="s">
        <v>41</v>
      </c>
      <c r="G9088">
        <v>-118.872</v>
      </c>
      <c r="H9088" s="1">
        <v>-5.4382199999999996E-7</v>
      </c>
      <c r="I9088">
        <v>139.1788</v>
      </c>
      <c r="J9088">
        <v>-144.55359999999999</v>
      </c>
      <c r="K9088">
        <v>1.1105510000000001</v>
      </c>
      <c r="L9088">
        <v>138.9641</v>
      </c>
      <c r="M9088">
        <v>0.99911950000000005</v>
      </c>
      <c r="N9088">
        <v>0</v>
      </c>
      <c r="O9088">
        <v>-3.9764929999999997E-2</v>
      </c>
      <c r="P9088">
        <v>0.99828689999999998</v>
      </c>
      <c r="Q9088">
        <v>5.4550580000000001E-2</v>
      </c>
      <c r="R9088">
        <v>-2.1163970000000001E-2</v>
      </c>
      <c r="S9088">
        <v>3.0131070000000002</v>
      </c>
      <c r="T9088">
        <v>-0.12941810000000001</v>
      </c>
      <c r="U9088">
        <v>2.42157E-2</v>
      </c>
      <c r="V9088">
        <v>-1.8554859999999999E-2</v>
      </c>
      <c r="W9088">
        <v>6.7907330000000002E-2</v>
      </c>
      <c r="X9088">
        <v>0.99751909999999999</v>
      </c>
      <c r="Y9088">
        <v>-4.7716729999999999E-2</v>
      </c>
      <c r="Z9088">
        <v>2.7313099999999998E-3</v>
      </c>
      <c r="AA9088">
        <v>0.9988572</v>
      </c>
      <c r="AB9088">
        <v>18</v>
      </c>
      <c r="AC9088">
        <v>25.6815999999999</v>
      </c>
      <c r="AD9088">
        <v>-1.1105515438219999</v>
      </c>
      <c r="AE9088">
        <v>0.21469999999999301</v>
      </c>
      <c r="AF9088">
        <v>-1.2335420626678999</v>
      </c>
      <c r="AG9088">
        <v>-1.1105515438219999</v>
      </c>
      <c r="AH9088">
        <v>25.604868683403701</v>
      </c>
      <c r="AI9088">
        <v>92.480641018106198</v>
      </c>
      <c r="AJ9088">
        <v>92.758153233893196</v>
      </c>
      <c r="AK9088">
        <v>25.65860968654</v>
      </c>
      <c r="AL9088">
        <v>86.106200109359705</v>
      </c>
      <c r="AM9088">
        <v>91.065636318326398</v>
      </c>
      <c r="AN9088">
        <v>1.00000002158107</v>
      </c>
    </row>
    <row r="9089" spans="1:40" x14ac:dyDescent="0.25">
      <c r="A9089" t="str">
        <f>"20190312160545568"</f>
        <v>20190312160545568</v>
      </c>
      <c r="B9089" t="str">
        <f>"1552377945564496"</f>
        <v>1552377945564496</v>
      </c>
      <c r="C9089" t="s">
        <v>40</v>
      </c>
      <c r="D9089">
        <v>5.4498989999999896</v>
      </c>
      <c r="E9089">
        <v>0.48725970000000002</v>
      </c>
      <c r="F9089" t="s">
        <v>41</v>
      </c>
      <c r="G9089">
        <v>-119.39700000000001</v>
      </c>
      <c r="H9089" s="1">
        <v>-3.1508970000000002E-7</v>
      </c>
      <c r="I9089">
        <v>139.1986</v>
      </c>
      <c r="J9089">
        <v>-144.39599999999999</v>
      </c>
      <c r="K9089">
        <v>1.110584</v>
      </c>
      <c r="L9089">
        <v>138.95779999999999</v>
      </c>
      <c r="M9089">
        <v>0.99911970000000005</v>
      </c>
      <c r="N9089">
        <v>0</v>
      </c>
      <c r="O9089">
        <v>-3.9759919999999997E-2</v>
      </c>
      <c r="P9089">
        <v>0.99831930000000002</v>
      </c>
      <c r="Q9089">
        <v>5.3990349999999999E-2</v>
      </c>
      <c r="R9089">
        <v>-2.1064860000000001E-2</v>
      </c>
      <c r="S9089">
        <v>3.0130159999999999</v>
      </c>
      <c r="T9089">
        <v>-0.13301109999999999</v>
      </c>
      <c r="U9089">
        <v>2.8091430000000001E-2</v>
      </c>
      <c r="V9089">
        <v>-1.8653550000000001E-2</v>
      </c>
      <c r="W9089">
        <v>6.7344509999999996E-2</v>
      </c>
      <c r="X9089">
        <v>0.99755539999999998</v>
      </c>
      <c r="Y9089">
        <v>-4.8990909999999999E-2</v>
      </c>
      <c r="Z9089">
        <v>2.8350350000000001E-3</v>
      </c>
      <c r="AA9089">
        <v>0.99879519999999999</v>
      </c>
      <c r="AB9089">
        <v>18</v>
      </c>
      <c r="AC9089">
        <v>24.998999999999999</v>
      </c>
      <c r="AD9089">
        <v>-1.1105843150896999</v>
      </c>
      <c r="AE9089">
        <v>0.24080000000000701</v>
      </c>
      <c r="AF9089">
        <v>-1.2322250681290701</v>
      </c>
      <c r="AG9089">
        <v>-1.1105843150896999</v>
      </c>
      <c r="AH9089">
        <v>24.920475413077799</v>
      </c>
      <c r="AI9089">
        <v>92.548596125618005</v>
      </c>
      <c r="AJ9089">
        <v>92.830758256521804</v>
      </c>
      <c r="AK9089">
        <v>24.975625536776199</v>
      </c>
      <c r="AL9089">
        <v>86.138521254779704</v>
      </c>
      <c r="AM9089">
        <v>91.071263956404493</v>
      </c>
      <c r="AN9089">
        <v>1.0000000070119499</v>
      </c>
    </row>
    <row r="9090" spans="1:40" x14ac:dyDescent="0.25">
      <c r="A9090" t="str">
        <f>"20190312160545590"</f>
        <v>20190312160545590</v>
      </c>
      <c r="B9090" t="str">
        <f>"1552377945584016"</f>
        <v>1552377945584016</v>
      </c>
      <c r="C9090" t="s">
        <v>40</v>
      </c>
      <c r="D9090">
        <v>5.4517790000000002</v>
      </c>
      <c r="E9090">
        <v>0.48725479999999999</v>
      </c>
      <c r="F9090" t="s">
        <v>41</v>
      </c>
      <c r="G9090">
        <v>-119.8582</v>
      </c>
      <c r="H9090" s="1">
        <v>-1.4698299999999999E-7</v>
      </c>
      <c r="I9090">
        <v>139.19290000000001</v>
      </c>
      <c r="J9090">
        <v>-144.21109999999999</v>
      </c>
      <c r="K9090">
        <v>1.1106049999999901</v>
      </c>
      <c r="L9090">
        <v>138.9504</v>
      </c>
      <c r="M9090">
        <v>0.99912089999999998</v>
      </c>
      <c r="N9090">
        <v>0</v>
      </c>
      <c r="O9090">
        <v>-3.9728560000000003E-2</v>
      </c>
      <c r="P9090">
        <v>0.99832509999999997</v>
      </c>
      <c r="Q9090">
        <v>5.4102629999999999E-2</v>
      </c>
      <c r="R9090">
        <v>-2.0495670000000001E-2</v>
      </c>
      <c r="S9090">
        <v>3.0130159999999999</v>
      </c>
      <c r="T9090">
        <v>-0.1363692</v>
      </c>
      <c r="U9090">
        <v>2.886963E-2</v>
      </c>
      <c r="V9090">
        <v>-1.9193769999999999E-2</v>
      </c>
      <c r="W9090">
        <v>6.7453940000000004E-2</v>
      </c>
      <c r="X9090">
        <v>0.99753769999999997</v>
      </c>
      <c r="Y9090">
        <v>-4.9212890000000002E-2</v>
      </c>
      <c r="Z9090">
        <v>2.910139E-3</v>
      </c>
      <c r="AA9090">
        <v>0.99878409999999995</v>
      </c>
      <c r="AB9090">
        <v>18</v>
      </c>
      <c r="AC9090">
        <v>24.352899999999899</v>
      </c>
      <c r="AD9090">
        <v>-1.1106051469829901</v>
      </c>
      <c r="AE9090">
        <v>0.24250000000000599</v>
      </c>
      <c r="AF9090">
        <v>-1.2073899396857199</v>
      </c>
      <c r="AG9090">
        <v>-1.1106051469829901</v>
      </c>
      <c r="AH9090">
        <v>24.273556403003301</v>
      </c>
      <c r="AI9090">
        <v>92.616436984159805</v>
      </c>
      <c r="AJ9090">
        <v>92.847600011114395</v>
      </c>
      <c r="AK9090">
        <v>24.328928762046601</v>
      </c>
      <c r="AL9090">
        <v>86.132236862816498</v>
      </c>
      <c r="AM9090">
        <v>91.102300524994206</v>
      </c>
      <c r="AN9090">
        <v>0.99999994887481203</v>
      </c>
    </row>
    <row r="9091" spans="1:40" x14ac:dyDescent="0.25">
      <c r="A9091" t="str">
        <f>"20190312160545612"</f>
        <v>20190312160545612</v>
      </c>
      <c r="B9091" t="str">
        <f>"1552377945604512"</f>
        <v>1552377945604512</v>
      </c>
      <c r="C9091" t="s">
        <v>40</v>
      </c>
      <c r="D9091">
        <v>5.4566589999999904</v>
      </c>
      <c r="E9091">
        <v>0.48723529999999998</v>
      </c>
      <c r="F9091" t="s">
        <v>41</v>
      </c>
      <c r="G9091">
        <v>-119.93219999999999</v>
      </c>
      <c r="H9091" s="1">
        <v>-1.2032769999999999E-7</v>
      </c>
      <c r="I9091">
        <v>139.19839999999999</v>
      </c>
      <c r="J9091">
        <v>-144.03149999999999</v>
      </c>
      <c r="K9091">
        <v>1.110614</v>
      </c>
      <c r="L9091">
        <v>138.94329999999999</v>
      </c>
      <c r="M9091">
        <v>0.99912299999999998</v>
      </c>
      <c r="N9091">
        <v>0</v>
      </c>
      <c r="O9091">
        <v>-3.9676940000000001E-2</v>
      </c>
      <c r="P9091">
        <v>0.99837180000000003</v>
      </c>
      <c r="Q9091">
        <v>5.3498919999999998E-2</v>
      </c>
      <c r="R9091">
        <v>-1.9796190000000002E-2</v>
      </c>
      <c r="S9091">
        <v>3.0131230000000002</v>
      </c>
      <c r="T9091">
        <v>-0.13783099999999901</v>
      </c>
      <c r="U9091">
        <v>3.0776979999999999E-2</v>
      </c>
      <c r="V9091">
        <v>-1.9843860000000001E-2</v>
      </c>
      <c r="W9091">
        <v>6.6848290000000005E-2</v>
      </c>
      <c r="X9091">
        <v>0.99756579999999995</v>
      </c>
      <c r="Y9091">
        <v>-4.9790609999999999E-2</v>
      </c>
      <c r="Z9091">
        <v>2.9520409999999999E-3</v>
      </c>
      <c r="AA9091">
        <v>0.99875530000000001</v>
      </c>
      <c r="AB9091">
        <v>18</v>
      </c>
      <c r="AC9091">
        <v>24.099299999999999</v>
      </c>
      <c r="AD9091">
        <v>-1.1106141203277</v>
      </c>
      <c r="AE9091">
        <v>0.255099999999998</v>
      </c>
      <c r="AF9091">
        <v>-1.2086045748152301</v>
      </c>
      <c r="AG9091">
        <v>-1.1106141203277</v>
      </c>
      <c r="AH9091">
        <v>24.0191906592087</v>
      </c>
      <c r="AI9091">
        <v>92.644051469339004</v>
      </c>
      <c r="AJ9091">
        <v>92.880596069721804</v>
      </c>
      <c r="AK9091">
        <v>24.075209421019601</v>
      </c>
      <c r="AL9091">
        <v>86.167016750545201</v>
      </c>
      <c r="AM9091">
        <v>91.139593493969898</v>
      </c>
      <c r="AN9091">
        <v>0.99999999899263103</v>
      </c>
    </row>
    <row r="9092" spans="1:40" x14ac:dyDescent="0.25">
      <c r="A9092" t="str">
        <f>"20190312160545634"</f>
        <v>20190312160545634</v>
      </c>
      <c r="B9092" t="str">
        <f>"1552377945624031"</f>
        <v>1552377945624031</v>
      </c>
      <c r="C9092" t="s">
        <v>40</v>
      </c>
      <c r="D9092">
        <v>5.4194849999999999</v>
      </c>
      <c r="E9092">
        <v>0.4871936</v>
      </c>
      <c r="F9092" t="s">
        <v>41</v>
      </c>
      <c r="G9092">
        <v>-120.6322</v>
      </c>
      <c r="H9092" s="1">
        <v>-4.074802E-6</v>
      </c>
      <c r="I9092">
        <v>139.20060000000001</v>
      </c>
      <c r="J9092">
        <v>-143.8528</v>
      </c>
      <c r="K9092">
        <v>1.1106309999999999</v>
      </c>
      <c r="L9092">
        <v>138.93629999999999</v>
      </c>
      <c r="M9092">
        <v>0.99912610000000002</v>
      </c>
      <c r="N9092">
        <v>0</v>
      </c>
      <c r="O9092">
        <v>-3.9601999999999998E-2</v>
      </c>
      <c r="P9092">
        <v>0.99837030000000004</v>
      </c>
      <c r="Q9092">
        <v>5.4023790000000002E-2</v>
      </c>
      <c r="R9092">
        <v>-1.838704E-2</v>
      </c>
      <c r="S9092">
        <v>3.0131990000000002</v>
      </c>
      <c r="T9092">
        <v>-0.14301739999999999</v>
      </c>
      <c r="U9092">
        <v>3.3126830000000003E-2</v>
      </c>
      <c r="V9092">
        <v>-2.117784E-2</v>
      </c>
      <c r="W9092">
        <v>6.7370189999999996E-2</v>
      </c>
      <c r="X9092">
        <v>0.99750329999999998</v>
      </c>
      <c r="Y9092">
        <v>-5.0486360000000001E-2</v>
      </c>
      <c r="Z9092">
        <v>3.075866E-3</v>
      </c>
      <c r="AA9092">
        <v>0.99872000000000005</v>
      </c>
      <c r="AB9092">
        <v>18</v>
      </c>
      <c r="AC9092">
        <v>23.220600000000001</v>
      </c>
      <c r="AD9092">
        <v>-1.110635074802</v>
      </c>
      <c r="AE9092">
        <v>0.26430000000002002</v>
      </c>
      <c r="AF9092">
        <v>-1.1810554825687001</v>
      </c>
      <c r="AG9092">
        <v>-1.110635074802</v>
      </c>
      <c r="AH9092">
        <v>23.138985393965299</v>
      </c>
      <c r="AI9092">
        <v>92.744431501554999</v>
      </c>
      <c r="AJ9092">
        <v>92.921944043591196</v>
      </c>
      <c r="AK9092">
        <v>23.195711831811199</v>
      </c>
      <c r="AL9092">
        <v>86.137046671655895</v>
      </c>
      <c r="AM9092">
        <v>91.216255211861807</v>
      </c>
      <c r="AN9092">
        <v>1.00000003845929</v>
      </c>
    </row>
    <row r="9093" spans="1:40" x14ac:dyDescent="0.25">
      <c r="A9093" t="str">
        <f>"20190312160545657"</f>
        <v>20190312160545657</v>
      </c>
      <c r="B9093" t="str">
        <f>"1552377945654288"</f>
        <v>1552377945654288</v>
      </c>
      <c r="C9093" t="s">
        <v>40</v>
      </c>
      <c r="D9093">
        <v>5.3537359999999996</v>
      </c>
      <c r="E9093">
        <v>0.48731869999999999</v>
      </c>
      <c r="F9093" t="s">
        <v>41</v>
      </c>
      <c r="G9093">
        <v>-120.2932</v>
      </c>
      <c r="H9093" s="1">
        <v>-4.2150649999999998E-6</v>
      </c>
      <c r="I9093">
        <v>139.22970000000001</v>
      </c>
      <c r="J9093">
        <v>-143.6711</v>
      </c>
      <c r="K9093">
        <v>1.1106499999999999</v>
      </c>
      <c r="L9093">
        <v>138.92920000000001</v>
      </c>
      <c r="M9093">
        <v>0.99912999999999996</v>
      </c>
      <c r="N9093">
        <v>0</v>
      </c>
      <c r="O9093">
        <v>-3.9501719999999997E-2</v>
      </c>
      <c r="P9093">
        <v>0.99835189999999996</v>
      </c>
      <c r="Q9093">
        <v>5.4582619999999998E-2</v>
      </c>
      <c r="R9093">
        <v>-1.7724219999999999E-2</v>
      </c>
      <c r="S9093">
        <v>3.0132750000000001</v>
      </c>
      <c r="T9093">
        <v>-0.14205000000000001</v>
      </c>
      <c r="U9093">
        <v>3.7521359999999997E-2</v>
      </c>
      <c r="V9093">
        <v>-2.1740659999999998E-2</v>
      </c>
      <c r="W9093">
        <v>6.7925860000000005E-2</v>
      </c>
      <c r="X9093">
        <v>0.99745349999999999</v>
      </c>
      <c r="Y9093">
        <v>-5.1842100000000002E-2</v>
      </c>
      <c r="Z9093">
        <v>3.0822079999999999E-3</v>
      </c>
      <c r="AA9093">
        <v>0.99865060000000005</v>
      </c>
      <c r="AB9093">
        <v>18</v>
      </c>
      <c r="AC9093">
        <v>23.3779</v>
      </c>
      <c r="AD9093">
        <v>-1.1106542150649901</v>
      </c>
      <c r="AE9093">
        <v>0.30049999999999899</v>
      </c>
      <c r="AF9093">
        <v>-1.2210597011567601</v>
      </c>
      <c r="AG9093">
        <v>-1.1106542150649901</v>
      </c>
      <c r="AH9093">
        <v>23.2952085746313</v>
      </c>
      <c r="AI9093">
        <v>92.725908378243602</v>
      </c>
      <c r="AJ9093">
        <v>93.000513991675305</v>
      </c>
      <c r="AK9093">
        <v>23.3536138983843</v>
      </c>
      <c r="AL9093">
        <v>86.105136000977595</v>
      </c>
      <c r="AM9093">
        <v>91.248630497777697</v>
      </c>
      <c r="AN9093">
        <v>1.0000000317081099</v>
      </c>
    </row>
    <row r="9094" spans="1:40" x14ac:dyDescent="0.25">
      <c r="A9094" t="str">
        <f>"20190312160545679"</f>
        <v>20190312160545679</v>
      </c>
      <c r="B9094" t="str">
        <f>"1552377945674783"</f>
        <v>1552377945674783</v>
      </c>
      <c r="C9094" t="s">
        <v>40</v>
      </c>
      <c r="D9094">
        <v>5.385103</v>
      </c>
      <c r="E9094">
        <v>0.48732389999999998</v>
      </c>
      <c r="F9094" t="s">
        <v>41</v>
      </c>
      <c r="G9094">
        <v>-119.7475</v>
      </c>
      <c r="H9094" s="1">
        <v>-1.740537E-7</v>
      </c>
      <c r="I9094">
        <v>139.23269999999999</v>
      </c>
      <c r="J9094">
        <v>-143.4879</v>
      </c>
      <c r="K9094">
        <v>1.1106659999999999</v>
      </c>
      <c r="L9094">
        <v>138.9221</v>
      </c>
      <c r="M9094">
        <v>0.99913510000000005</v>
      </c>
      <c r="N9094">
        <v>0</v>
      </c>
      <c r="O9094">
        <v>-3.9376199999999903E-2</v>
      </c>
      <c r="P9094">
        <v>0.99836429999999998</v>
      </c>
      <c r="Q9094">
        <v>5.4457600000000002E-2</v>
      </c>
      <c r="R9094">
        <v>-1.7414559999999999E-2</v>
      </c>
      <c r="S9094">
        <v>3.0132750000000001</v>
      </c>
      <c r="T9094">
        <v>-0.13989079999999901</v>
      </c>
      <c r="U9094">
        <v>3.8223269999999997E-2</v>
      </c>
      <c r="V9094">
        <v>-2.19273E-2</v>
      </c>
      <c r="W9094">
        <v>6.779789E-2</v>
      </c>
      <c r="X9094">
        <v>0.99745810000000001</v>
      </c>
      <c r="Y9094">
        <v>-5.19523E-2</v>
      </c>
      <c r="Z9094">
        <v>3.03214E-3</v>
      </c>
      <c r="AA9094">
        <v>0.99864489999999995</v>
      </c>
      <c r="AB9094">
        <v>18</v>
      </c>
      <c r="AC9094">
        <v>23.740399999999902</v>
      </c>
      <c r="AD9094">
        <v>-1.1106661740536901</v>
      </c>
      <c r="AE9094">
        <v>0.31059999999999299</v>
      </c>
      <c r="AF9094">
        <v>-1.24253019520788</v>
      </c>
      <c r="AG9094">
        <v>-1.1106661740536901</v>
      </c>
      <c r="AH9094">
        <v>23.6579817287259</v>
      </c>
      <c r="AI9094">
        <v>92.684185019391805</v>
      </c>
      <c r="AJ9094">
        <v>93.006443509090502</v>
      </c>
      <c r="AK9094">
        <v>23.7166093721873</v>
      </c>
      <c r="AL9094">
        <v>86.112485001954795</v>
      </c>
      <c r="AM9094">
        <v>91.259340542531902</v>
      </c>
      <c r="AN9094">
        <v>1.00000001081467</v>
      </c>
    </row>
    <row r="9095" spans="1:40" x14ac:dyDescent="0.25">
      <c r="A9095" t="str">
        <f>"20190312160545703"</f>
        <v>20190312160545703</v>
      </c>
      <c r="B9095" t="str">
        <f>"1552377945694303"</f>
        <v>1552377945694303</v>
      </c>
      <c r="C9095" t="s">
        <v>40</v>
      </c>
      <c r="D9095">
        <v>5.4131260000000001</v>
      </c>
      <c r="E9095">
        <v>0.48742770000000002</v>
      </c>
      <c r="F9095" t="s">
        <v>41</v>
      </c>
      <c r="G9095">
        <v>-119.7657</v>
      </c>
      <c r="H9095" s="1">
        <v>-1.6925729999999899E-7</v>
      </c>
      <c r="I9095">
        <v>139.22739999999999</v>
      </c>
      <c r="J9095">
        <v>-143.30529999999999</v>
      </c>
      <c r="K9095">
        <v>1.110692</v>
      </c>
      <c r="L9095">
        <v>138.9151</v>
      </c>
      <c r="M9095">
        <v>0.99914099999999995</v>
      </c>
      <c r="N9095">
        <v>0</v>
      </c>
      <c r="O9095">
        <v>-3.922581E-2</v>
      </c>
      <c r="P9095">
        <v>0.99840220000000002</v>
      </c>
      <c r="Q9095">
        <v>5.390793E-2</v>
      </c>
      <c r="R9095">
        <v>-1.6946300000000001E-2</v>
      </c>
      <c r="S9095">
        <v>3.01329</v>
      </c>
      <c r="T9095">
        <v>-0.14108080000000001</v>
      </c>
      <c r="U9095">
        <v>3.8787839999999997E-2</v>
      </c>
      <c r="V9095">
        <v>-2.2249649999999999E-2</v>
      </c>
      <c r="W9095">
        <v>6.7245550000000001E-2</v>
      </c>
      <c r="X9095">
        <v>0.99748829999999999</v>
      </c>
      <c r="Y9095">
        <v>-5.1987440000000003E-2</v>
      </c>
      <c r="Z9095">
        <v>3.0516749999999998E-3</v>
      </c>
      <c r="AA9095">
        <v>0.99864310000000001</v>
      </c>
      <c r="AB9095">
        <v>18</v>
      </c>
      <c r="AC9095">
        <v>23.5396</v>
      </c>
      <c r="AD9095">
        <v>-1.1106921692573</v>
      </c>
      <c r="AE9095">
        <v>0.31229999999999303</v>
      </c>
      <c r="AF9095">
        <v>-1.23275790418729</v>
      </c>
      <c r="AG9095">
        <v>-1.1106921692573</v>
      </c>
      <c r="AH9095">
        <v>23.457014874504399</v>
      </c>
      <c r="AI9095">
        <v>92.707206122481395</v>
      </c>
      <c r="AJ9095">
        <v>93.008349811762898</v>
      </c>
      <c r="AK9095">
        <v>23.515630460778802</v>
      </c>
      <c r="AL9095">
        <v>86.144203945074295</v>
      </c>
      <c r="AM9095">
        <v>91.277809152486796</v>
      </c>
      <c r="AN9095">
        <v>0.99999995977840594</v>
      </c>
    </row>
    <row r="9096" spans="1:40" x14ac:dyDescent="0.25">
      <c r="A9096" t="str">
        <f>"20190312160545725"</f>
        <v>20190312160545725</v>
      </c>
      <c r="B9096" t="str">
        <f>"1552377945713825"</f>
        <v>1552377945713825</v>
      </c>
      <c r="C9096" t="s">
        <v>40</v>
      </c>
      <c r="D9096">
        <v>5.4541680000000001</v>
      </c>
      <c r="E9096">
        <v>0.51255729999999999</v>
      </c>
      <c r="F9096" t="s">
        <v>41</v>
      </c>
      <c r="G9096">
        <v>-119.8847</v>
      </c>
      <c r="H9096" s="1">
        <v>-1.3067890000000001E-7</v>
      </c>
      <c r="I9096">
        <v>139.22020000000001</v>
      </c>
      <c r="J9096">
        <v>-143.1225</v>
      </c>
      <c r="K9096">
        <v>1.110716</v>
      </c>
      <c r="L9096">
        <v>138.90809999999999</v>
      </c>
      <c r="M9096">
        <v>0.99914800000000004</v>
      </c>
      <c r="N9096">
        <v>0</v>
      </c>
      <c r="O9096">
        <v>-3.9048380000000001E-2</v>
      </c>
      <c r="P9096">
        <v>0.99842450000000005</v>
      </c>
      <c r="Q9096">
        <v>5.3637600000000001E-2</v>
      </c>
      <c r="R9096">
        <v>-1.6490749999999998E-2</v>
      </c>
      <c r="S9096">
        <v>3.0131990000000002</v>
      </c>
      <c r="T9096">
        <v>-0.14289679999999999</v>
      </c>
      <c r="U9096">
        <v>3.9260860000000002E-2</v>
      </c>
      <c r="V9096">
        <v>-2.253117E-2</v>
      </c>
      <c r="W9096">
        <v>6.6972459999999998E-2</v>
      </c>
      <c r="X9096">
        <v>0.99750039999999995</v>
      </c>
      <c r="Y9096">
        <v>-5.1964870000000003E-2</v>
      </c>
      <c r="Z9096">
        <v>3.0820639999999998E-3</v>
      </c>
      <c r="AA9096">
        <v>0.99864419999999998</v>
      </c>
      <c r="AB9096">
        <v>18</v>
      </c>
      <c r="AC9096">
        <v>23.2378</v>
      </c>
      <c r="AD9096">
        <v>-1.1107161306789</v>
      </c>
      <c r="AE9096">
        <v>0.31210000000001498</v>
      </c>
      <c r="AF9096">
        <v>-1.2165624699528499</v>
      </c>
      <c r="AG9096">
        <v>-1.1107161306789</v>
      </c>
      <c r="AH9096">
        <v>23.154994682446901</v>
      </c>
      <c r="AI9096">
        <v>92.742524847652504</v>
      </c>
      <c r="AJ9096">
        <v>93.007552540697901</v>
      </c>
      <c r="AK9096">
        <v>23.213519623495198</v>
      </c>
      <c r="AL9096">
        <v>86.1598863812888</v>
      </c>
      <c r="AM9096">
        <v>91.293955841228097</v>
      </c>
      <c r="AN9096">
        <v>1.00000000601009</v>
      </c>
    </row>
    <row r="9097" spans="1:40" x14ac:dyDescent="0.25">
      <c r="A9097" t="str">
        <f>"20190312160545749"</f>
        <v>20190312160545749</v>
      </c>
      <c r="B9097" t="str">
        <f>"1552377945744081"</f>
        <v>1552377945744081</v>
      </c>
      <c r="C9097" t="s">
        <v>40</v>
      </c>
      <c r="D9097">
        <v>5.4542539999999997</v>
      </c>
      <c r="E9097">
        <v>0.51981650000000001</v>
      </c>
      <c r="F9097" t="s">
        <v>41</v>
      </c>
      <c r="G9097">
        <v>-93.920289999999994</v>
      </c>
      <c r="H9097" s="1">
        <v>-3.1728189999999998E-6</v>
      </c>
      <c r="I9097">
        <v>136.33340000000001</v>
      </c>
      <c r="J9097">
        <v>-142.92699999999999</v>
      </c>
      <c r="K9097">
        <v>1.1107320000000001</v>
      </c>
      <c r="L9097">
        <v>138.9008</v>
      </c>
      <c r="M9097">
        <v>0.99915670000000001</v>
      </c>
      <c r="N9097">
        <v>0</v>
      </c>
      <c r="O9097">
        <v>-3.8826810000000003E-2</v>
      </c>
      <c r="P9097">
        <v>0.99843669999999995</v>
      </c>
      <c r="Q9097">
        <v>5.3611680000000002E-2</v>
      </c>
      <c r="R9097">
        <v>-1.5824390000000001E-2</v>
      </c>
      <c r="S9097">
        <v>3.0057830000000001</v>
      </c>
      <c r="T9097">
        <v>-6.7854289999999998E-2</v>
      </c>
      <c r="U9097">
        <v>-0.1572876</v>
      </c>
      <c r="V9097">
        <v>-2.297832E-2</v>
      </c>
      <c r="W9097">
        <v>6.6943920000000004E-2</v>
      </c>
      <c r="X9097">
        <v>0.99749209999999999</v>
      </c>
      <c r="Y9097">
        <v>1.3446639999999999E-2</v>
      </c>
      <c r="Z9097">
        <v>7.2382589999999997E-4</v>
      </c>
      <c r="AA9097">
        <v>0.9999093</v>
      </c>
      <c r="AB9097">
        <v>18</v>
      </c>
      <c r="AC9097">
        <v>49.006709999999998</v>
      </c>
      <c r="AD9097">
        <v>-1.110735172819</v>
      </c>
      <c r="AE9097">
        <v>-2.5673999999999899</v>
      </c>
      <c r="AF9097">
        <v>0.66218055096994199</v>
      </c>
      <c r="AG9097">
        <v>-1.110735172819</v>
      </c>
      <c r="AH9097">
        <v>49.044317859079797</v>
      </c>
      <c r="AI9097">
        <v>91.297270838009993</v>
      </c>
      <c r="AJ9097">
        <v>89.226457878964794</v>
      </c>
      <c r="AK9097">
        <v>49.061362903701301</v>
      </c>
      <c r="AL9097">
        <v>86.161525221590594</v>
      </c>
      <c r="AM9097">
        <v>91.319637466502797</v>
      </c>
      <c r="AN9097">
        <v>0.99999999058869904</v>
      </c>
    </row>
    <row r="9098" spans="1:40" x14ac:dyDescent="0.25">
      <c r="A9098" t="str">
        <f>"20190312160545769"</f>
        <v>20190312160545769</v>
      </c>
      <c r="B9098" t="str">
        <f>"1552377945764575"</f>
        <v>1552377945764575</v>
      </c>
      <c r="C9098" t="s">
        <v>40</v>
      </c>
      <c r="D9098">
        <v>5.282146</v>
      </c>
      <c r="E9098">
        <v>0.52055980000000002</v>
      </c>
      <c r="F9098" t="s">
        <v>41</v>
      </c>
      <c r="G9098">
        <v>-93.83202</v>
      </c>
      <c r="H9098" s="1">
        <v>-3.3733290000000001E-6</v>
      </c>
      <c r="I9098">
        <v>135.41650000000001</v>
      </c>
      <c r="J9098">
        <v>-142.76769999999999</v>
      </c>
      <c r="K9098">
        <v>1.1107400000000001</v>
      </c>
      <c r="L9098">
        <v>138.8948</v>
      </c>
      <c r="M9098">
        <v>0.99916439999999995</v>
      </c>
      <c r="N9098">
        <v>0</v>
      </c>
      <c r="O9098">
        <v>-3.8626479999999998E-2</v>
      </c>
      <c r="P9098">
        <v>0.99841250000000004</v>
      </c>
      <c r="Q9098">
        <v>5.437206E-2</v>
      </c>
      <c r="R9098">
        <v>-1.4710859999999999E-2</v>
      </c>
      <c r="S9098">
        <v>3.0049589999999999</v>
      </c>
      <c r="T9098">
        <v>-6.7984820000000001E-2</v>
      </c>
      <c r="U9098">
        <v>-0.2132568</v>
      </c>
      <c r="V9098">
        <v>-2.389032E-2</v>
      </c>
      <c r="W9098">
        <v>6.7701319999999995E-2</v>
      </c>
      <c r="X9098">
        <v>0.99741950000000001</v>
      </c>
      <c r="Y9098">
        <v>3.2206029999999997E-2</v>
      </c>
      <c r="Z9098">
        <v>5.0848709999999999E-4</v>
      </c>
      <c r="AA9098">
        <v>0.99948110000000001</v>
      </c>
      <c r="AB9098">
        <v>18</v>
      </c>
      <c r="AC9098">
        <v>48.935679999999898</v>
      </c>
      <c r="AD9098">
        <v>-1.110743373329</v>
      </c>
      <c r="AE9098">
        <v>-3.4782999999999902</v>
      </c>
      <c r="AF9098">
        <v>1.5845097250186799</v>
      </c>
      <c r="AG9098">
        <v>-1.110743373329</v>
      </c>
      <c r="AH9098">
        <v>49.008397966126601</v>
      </c>
      <c r="AI9098">
        <v>91.297671361104506</v>
      </c>
      <c r="AJ9098">
        <v>88.148192756965202</v>
      </c>
      <c r="AK9098">
        <v>49.0465849281712</v>
      </c>
      <c r="AL9098">
        <v>86.1180305127411</v>
      </c>
      <c r="AM9098">
        <v>91.372093519617806</v>
      </c>
      <c r="AN9098">
        <v>0.99999993754984495</v>
      </c>
    </row>
    <row r="9099" spans="1:40" x14ac:dyDescent="0.25">
      <c r="A9099" t="str">
        <f>"20190312160545790"</f>
        <v>20190312160545790</v>
      </c>
      <c r="B9099" t="str">
        <f>"1552377945784096"</f>
        <v>1552377945784096</v>
      </c>
      <c r="C9099" t="s">
        <v>40</v>
      </c>
      <c r="D9099">
        <v>5.5009079999999999</v>
      </c>
      <c r="E9099">
        <v>0.52178599999999997</v>
      </c>
      <c r="F9099" t="s">
        <v>41</v>
      </c>
      <c r="G9099">
        <v>-105.199</v>
      </c>
      <c r="H9099" s="1">
        <v>-2.8586009999999999E-6</v>
      </c>
      <c r="I9099">
        <v>136.1849</v>
      </c>
      <c r="J9099">
        <v>-142.5926</v>
      </c>
      <c r="K9099">
        <v>1.110746</v>
      </c>
      <c r="L9099">
        <v>138.88829999999999</v>
      </c>
      <c r="M9099">
        <v>0.99917330000000004</v>
      </c>
      <c r="N9099">
        <v>0</v>
      </c>
      <c r="O9099">
        <v>-3.8393820000000002E-2</v>
      </c>
      <c r="P9099">
        <v>0.99841519999999995</v>
      </c>
      <c r="Q9099">
        <v>5.4497209999999997E-2</v>
      </c>
      <c r="R9099">
        <v>-1.403687E-2</v>
      </c>
      <c r="S9099">
        <v>3.0064090000000001</v>
      </c>
      <c r="T9099">
        <v>-8.8886380000000001E-2</v>
      </c>
      <c r="U9099">
        <v>-0.21685789999999999</v>
      </c>
      <c r="V9099">
        <v>-2.4331470000000001E-2</v>
      </c>
      <c r="W9099">
        <v>6.7824529999999994E-2</v>
      </c>
      <c r="X9099">
        <v>0.99740050000000002</v>
      </c>
      <c r="Y9099">
        <v>3.3596250000000001E-2</v>
      </c>
      <c r="Z9099">
        <v>6.3702400000000003E-4</v>
      </c>
      <c r="AA9099">
        <v>0.99943530000000003</v>
      </c>
      <c r="AB9099">
        <v>18</v>
      </c>
      <c r="AC9099">
        <v>37.393599999999999</v>
      </c>
      <c r="AD9099">
        <v>-1.1107488586009999</v>
      </c>
      <c r="AE9099">
        <v>-2.7033999999999798</v>
      </c>
      <c r="AF9099">
        <v>1.2644850862741599</v>
      </c>
      <c r="AG9099">
        <v>-1.1107488586009999</v>
      </c>
      <c r="AH9099">
        <v>37.436966877123297</v>
      </c>
      <c r="AI9099">
        <v>91.698490101858297</v>
      </c>
      <c r="AJ9099">
        <v>88.0654916158459</v>
      </c>
      <c r="AK9099">
        <v>37.474780513288103</v>
      </c>
      <c r="AL9099">
        <v>86.110954971063506</v>
      </c>
      <c r="AM9099">
        <v>91.397446755972894</v>
      </c>
      <c r="AN9099">
        <v>0.999999972351165</v>
      </c>
    </row>
    <row r="9100" spans="1:40" x14ac:dyDescent="0.25">
      <c r="A9100" t="str">
        <f>"20190312160545813"</f>
        <v>20190312160545813</v>
      </c>
      <c r="B9100" t="str">
        <f>"1552377945804592"</f>
        <v>1552377945804592</v>
      </c>
      <c r="C9100" t="s">
        <v>40</v>
      </c>
      <c r="D9100">
        <v>5.3503590000000001</v>
      </c>
      <c r="E9100">
        <v>0.52186449999999995</v>
      </c>
      <c r="F9100" t="s">
        <v>41</v>
      </c>
      <c r="G9100">
        <v>-106.3021</v>
      </c>
      <c r="H9100" s="1">
        <v>-2.3391519999999999E-6</v>
      </c>
      <c r="I9100">
        <v>136.1737</v>
      </c>
      <c r="J9100">
        <v>-142.4135</v>
      </c>
      <c r="K9100">
        <v>1.110741</v>
      </c>
      <c r="L9100">
        <v>138.8817</v>
      </c>
      <c r="M9100">
        <v>0.99918249999999997</v>
      </c>
      <c r="N9100">
        <v>0</v>
      </c>
      <c r="O9100">
        <v>-3.8152749999999999E-2</v>
      </c>
      <c r="P9100">
        <v>0.99841690000000005</v>
      </c>
      <c r="Q9100">
        <v>5.4594230000000001E-2</v>
      </c>
      <c r="R9100">
        <v>-1.353438E-2</v>
      </c>
      <c r="S9100">
        <v>3.0066380000000001</v>
      </c>
      <c r="T9100">
        <v>-9.2024449999999994E-2</v>
      </c>
      <c r="U9100">
        <v>-0.2248993</v>
      </c>
      <c r="V9100">
        <v>-2.459194E-2</v>
      </c>
      <c r="W9100">
        <v>6.7920159999999993E-2</v>
      </c>
      <c r="X9100">
        <v>0.99738760000000004</v>
      </c>
      <c r="Y9100">
        <v>3.6489140000000003E-2</v>
      </c>
      <c r="Z9100">
        <v>6.0781680000000001E-4</v>
      </c>
      <c r="AA9100">
        <v>0.9993339</v>
      </c>
      <c r="AB9100">
        <v>18</v>
      </c>
      <c r="AC9100">
        <v>36.111400000000003</v>
      </c>
      <c r="AD9100">
        <v>-1.1107433391519901</v>
      </c>
      <c r="AE9100">
        <v>-2.70799999999999</v>
      </c>
      <c r="AF9100">
        <v>1.3269072974609699</v>
      </c>
      <c r="AG9100">
        <v>-1.1107433391519901</v>
      </c>
      <c r="AH9100">
        <v>36.154415598605397</v>
      </c>
      <c r="AI9100">
        <v>91.758515952032695</v>
      </c>
      <c r="AJ9100">
        <v>87.898124497079493</v>
      </c>
      <c r="AK9100">
        <v>36.195803638242502</v>
      </c>
      <c r="AL9100">
        <v>86.105463094936994</v>
      </c>
      <c r="AM9100">
        <v>91.412418748834298</v>
      </c>
      <c r="AN9100">
        <v>0.99999996814057401</v>
      </c>
    </row>
    <row r="9101" spans="1:40" x14ac:dyDescent="0.25">
      <c r="A9101" t="str">
        <f>"20190312160545835"</f>
        <v>20190312160545835</v>
      </c>
      <c r="B9101" t="str">
        <f>"1552377945824112"</f>
        <v>1552377945824112</v>
      </c>
      <c r="C9101" t="s">
        <v>40</v>
      </c>
      <c r="D9101">
        <v>5.3791190000000002</v>
      </c>
      <c r="E9101">
        <v>0.52119749999999998</v>
      </c>
      <c r="F9101" t="s">
        <v>41</v>
      </c>
      <c r="G9101">
        <v>-104.2689</v>
      </c>
      <c r="H9101" s="1">
        <v>-3.323569E-6</v>
      </c>
      <c r="I9101">
        <v>136.04230000000001</v>
      </c>
      <c r="J9101">
        <v>-142.23679999999999</v>
      </c>
      <c r="K9101">
        <v>1.1107370000000001</v>
      </c>
      <c r="L9101">
        <v>138.87520000000001</v>
      </c>
      <c r="M9101">
        <v>0.99919150000000001</v>
      </c>
      <c r="N9101">
        <v>0</v>
      </c>
      <c r="O9101">
        <v>-3.791957E-2</v>
      </c>
      <c r="P9101">
        <v>0.99850550000000005</v>
      </c>
      <c r="Q9101">
        <v>5.2995250000000001E-2</v>
      </c>
      <c r="R9101">
        <v>-1.335535E-2</v>
      </c>
      <c r="S9101">
        <v>3.006516</v>
      </c>
      <c r="T9101">
        <v>-8.7547659999999999E-2</v>
      </c>
      <c r="U9101">
        <v>-0.22380069999999999</v>
      </c>
      <c r="V9101">
        <v>-2.4539410000000001E-2</v>
      </c>
      <c r="W9101">
        <v>6.6321119999999997E-2</v>
      </c>
      <c r="X9101">
        <v>0.99749650000000001</v>
      </c>
      <c r="Y9101">
        <v>3.6362110000000003E-2</v>
      </c>
      <c r="Z9101">
        <v>5.7336870000000001E-4</v>
      </c>
      <c r="AA9101">
        <v>0.99933850000000002</v>
      </c>
      <c r="AB9101">
        <v>18</v>
      </c>
      <c r="AC9101">
        <v>37.967899999999901</v>
      </c>
      <c r="AD9101">
        <v>-1.1107403235690001</v>
      </c>
      <c r="AE9101">
        <v>-2.8328999999999902</v>
      </c>
      <c r="AF9101">
        <v>1.38982439818059</v>
      </c>
      <c r="AG9101">
        <v>-1.1107403235690001</v>
      </c>
      <c r="AH9101">
        <v>38.015665183963002</v>
      </c>
      <c r="AI9101">
        <v>91.672473181709407</v>
      </c>
      <c r="AJ9101">
        <v>87.906241477664494</v>
      </c>
      <c r="AK9101">
        <v>38.0572746699413</v>
      </c>
      <c r="AL9101">
        <v>86.197288438620504</v>
      </c>
      <c r="AM9101">
        <v>91.409249140638295</v>
      </c>
      <c r="AN9101">
        <v>0.99999997055672496</v>
      </c>
    </row>
    <row r="9102" spans="1:40" x14ac:dyDescent="0.25">
      <c r="A9102" t="str">
        <f>"20190312160545858"</f>
        <v>20190312160545858</v>
      </c>
      <c r="B9102" t="str">
        <f>"1552377945854371"</f>
        <v>1552377945854371</v>
      </c>
      <c r="C9102" t="s">
        <v>40</v>
      </c>
      <c r="D9102">
        <v>5.4149629999999904</v>
      </c>
      <c r="E9102">
        <v>0.52178809999999998</v>
      </c>
      <c r="F9102" t="s">
        <v>41</v>
      </c>
      <c r="G9102">
        <v>-101.67610000000001</v>
      </c>
      <c r="H9102" s="1">
        <v>-4.5680939999999998E-6</v>
      </c>
      <c r="I9102">
        <v>135.9359</v>
      </c>
      <c r="J9102">
        <v>-142.05510000000001</v>
      </c>
      <c r="K9102">
        <v>1.1107290000000001</v>
      </c>
      <c r="L9102">
        <v>138.86859999999999</v>
      </c>
      <c r="M9102">
        <v>0.99920030000000004</v>
      </c>
      <c r="N9102">
        <v>0</v>
      </c>
      <c r="O9102">
        <v>-3.7688890000000003E-2</v>
      </c>
      <c r="P9102">
        <v>0.99855499999999997</v>
      </c>
      <c r="Q9102">
        <v>5.2260729999999998E-2</v>
      </c>
      <c r="R9102">
        <v>-1.253169E-2</v>
      </c>
      <c r="S9102">
        <v>3.005951</v>
      </c>
      <c r="T9102">
        <v>-8.2316990000000007E-2</v>
      </c>
      <c r="U9102">
        <v>-0.21783449999999999</v>
      </c>
      <c r="V9102">
        <v>-2.5132809999999998E-2</v>
      </c>
      <c r="W9102">
        <v>6.5585069999999995E-2</v>
      </c>
      <c r="X9102">
        <v>0.99753040000000004</v>
      </c>
      <c r="Y9102">
        <v>3.4634310000000001E-2</v>
      </c>
      <c r="Z9102">
        <v>5.5659630000000002E-4</v>
      </c>
      <c r="AA9102">
        <v>0.99939990000000001</v>
      </c>
      <c r="AB9102">
        <v>18</v>
      </c>
      <c r="AC9102">
        <v>40.378999999999998</v>
      </c>
      <c r="AD9102">
        <v>-1.110733568094</v>
      </c>
      <c r="AE9102">
        <v>-2.9326999999999801</v>
      </c>
      <c r="AF9102">
        <v>1.40758113120468</v>
      </c>
      <c r="AG9102">
        <v>-1.110733568094</v>
      </c>
      <c r="AH9102">
        <v>40.4304144256865</v>
      </c>
      <c r="AI9102">
        <v>91.572722873348397</v>
      </c>
      <c r="AJ9102">
        <v>88.006058090331905</v>
      </c>
      <c r="AK9102">
        <v>40.470154735718197</v>
      </c>
      <c r="AL9102">
        <v>86.239553053672694</v>
      </c>
      <c r="AM9102">
        <v>91.4432636403386</v>
      </c>
      <c r="AN9102">
        <v>0.99999997923478001</v>
      </c>
    </row>
    <row r="9103" spans="1:40" x14ac:dyDescent="0.25">
      <c r="A9103" t="str">
        <f>"20190312160545880"</f>
        <v>20190312160545880</v>
      </c>
      <c r="B9103" t="str">
        <f>"1552377945873887"</f>
        <v>1552377945873887</v>
      </c>
      <c r="C9103" t="s">
        <v>40</v>
      </c>
      <c r="D9103">
        <v>5.2887190000000004</v>
      </c>
      <c r="E9103">
        <v>0.52159940000000005</v>
      </c>
      <c r="F9103" t="s">
        <v>41</v>
      </c>
      <c r="G9103">
        <v>-102.486</v>
      </c>
      <c r="H9103" s="1">
        <v>-4.1791929999999997E-6</v>
      </c>
      <c r="I9103">
        <v>135.97</v>
      </c>
      <c r="J9103">
        <v>-141.87790000000001</v>
      </c>
      <c r="K9103">
        <v>1.110727</v>
      </c>
      <c r="L9103">
        <v>138.8622</v>
      </c>
      <c r="M9103">
        <v>0.99920850000000005</v>
      </c>
      <c r="N9103">
        <v>0</v>
      </c>
      <c r="O9103">
        <v>-3.7472980000000003E-2</v>
      </c>
      <c r="P9103">
        <v>0.99858069999999999</v>
      </c>
      <c r="Q9103">
        <v>5.1889900000000003E-2</v>
      </c>
      <c r="R9103">
        <v>-1.20044E-2</v>
      </c>
      <c r="S9103">
        <v>3.0060120000000001</v>
      </c>
      <c r="T9103">
        <v>-8.4380869999999997E-2</v>
      </c>
      <c r="U9103">
        <v>-0.2201996</v>
      </c>
      <c r="V9103">
        <v>-2.544308E-2</v>
      </c>
      <c r="W9103">
        <v>6.5212980000000004E-2</v>
      </c>
      <c r="X9103">
        <v>0.99754699999999996</v>
      </c>
      <c r="Y9103">
        <v>3.5630540000000002E-2</v>
      </c>
      <c r="Z9103">
        <v>5.5050879999999996E-4</v>
      </c>
      <c r="AA9103">
        <v>0.9993649</v>
      </c>
      <c r="AB9103">
        <v>18</v>
      </c>
      <c r="AC9103">
        <v>39.3919</v>
      </c>
      <c r="AD9103">
        <v>-1.1107311791929999</v>
      </c>
      <c r="AE9103">
        <v>-2.8921999999999999</v>
      </c>
      <c r="AF9103">
        <v>1.41278765247559</v>
      </c>
      <c r="AG9103">
        <v>-1.1107311791929999</v>
      </c>
      <c r="AH9103">
        <v>39.441426366379197</v>
      </c>
      <c r="AI9103">
        <v>91.612077532070998</v>
      </c>
      <c r="AJ9103">
        <v>87.948548418865599</v>
      </c>
      <c r="AK9103">
        <v>39.482348037039699</v>
      </c>
      <c r="AL9103">
        <v>86.260918244554404</v>
      </c>
      <c r="AM9103">
        <v>91.461049064524204</v>
      </c>
      <c r="AN9103">
        <v>1.00000005014468</v>
      </c>
    </row>
    <row r="9104" spans="1:40" x14ac:dyDescent="0.25">
      <c r="A9104" t="str">
        <f>"20190312160545904"</f>
        <v>20190312160545904</v>
      </c>
      <c r="B9104" t="str">
        <f>"1552377945894384"</f>
        <v>1552377945894384</v>
      </c>
      <c r="C9104" t="s">
        <v>40</v>
      </c>
      <c r="D9104">
        <v>5.5243669999999998</v>
      </c>
      <c r="E9104">
        <v>0.52231039999999995</v>
      </c>
      <c r="F9104" t="s">
        <v>41</v>
      </c>
      <c r="G9104">
        <v>-102.98909999999999</v>
      </c>
      <c r="H9104" s="1">
        <v>-3.9255069999999999E-6</v>
      </c>
      <c r="I9104">
        <v>136.05950000000001</v>
      </c>
      <c r="J9104">
        <v>-141.6962</v>
      </c>
      <c r="K9104">
        <v>1.1107229999999999</v>
      </c>
      <c r="L9104">
        <v>138.85560000000001</v>
      </c>
      <c r="M9104">
        <v>0.99921649999999995</v>
      </c>
      <c r="N9104">
        <v>0</v>
      </c>
      <c r="O9104">
        <v>-3.725933E-2</v>
      </c>
      <c r="P9104">
        <v>0.99860260000000001</v>
      </c>
      <c r="Q9104">
        <v>5.160182E-2</v>
      </c>
      <c r="R9104">
        <v>-1.1419240000000001E-2</v>
      </c>
      <c r="S9104">
        <v>3.006119</v>
      </c>
      <c r="T9104">
        <v>-8.5859779999999997E-2</v>
      </c>
      <c r="U9104">
        <v>-0.21664430000000001</v>
      </c>
      <c r="V9104">
        <v>-2.5814589999999998E-2</v>
      </c>
      <c r="W9104">
        <v>6.4923179999999997E-2</v>
      </c>
      <c r="X9104">
        <v>0.99755629999999995</v>
      </c>
      <c r="Y9104">
        <v>3.4666219999999998E-2</v>
      </c>
      <c r="Z9104">
        <v>5.6782769999999896E-4</v>
      </c>
      <c r="AA9104">
        <v>0.99939880000000003</v>
      </c>
      <c r="AB9104">
        <v>18</v>
      </c>
      <c r="AC9104">
        <v>38.707099999999997</v>
      </c>
      <c r="AD9104">
        <v>-1.11072692550699</v>
      </c>
      <c r="AE9104">
        <v>-2.7960999999999898</v>
      </c>
      <c r="AF9104">
        <v>1.35072257968749</v>
      </c>
      <c r="AG9104">
        <v>-1.11072692550699</v>
      </c>
      <c r="AH9104">
        <v>38.752663315910603</v>
      </c>
      <c r="AI9104">
        <v>91.640763525573703</v>
      </c>
      <c r="AJ9104">
        <v>88.003765948550196</v>
      </c>
      <c r="AK9104">
        <v>38.792100740571499</v>
      </c>
      <c r="AL9104">
        <v>86.277557606131396</v>
      </c>
      <c r="AM9104">
        <v>91.4823594729814</v>
      </c>
      <c r="AN9104">
        <v>0.99999999201393497</v>
      </c>
    </row>
    <row r="9105" spans="1:40" x14ac:dyDescent="0.25">
      <c r="A9105" t="str">
        <f>"20190312160545926"</f>
        <v>20190312160545926</v>
      </c>
      <c r="B9105" t="str">
        <f>"1552377945913904"</f>
        <v>1552377945913904</v>
      </c>
      <c r="C9105" t="s">
        <v>40</v>
      </c>
      <c r="D9105">
        <v>5.3026589999999896</v>
      </c>
      <c r="E9105">
        <v>0.52252480000000001</v>
      </c>
      <c r="F9105" t="s">
        <v>41</v>
      </c>
      <c r="G9105">
        <v>-103.4962</v>
      </c>
      <c r="H9105" s="1">
        <v>-3.687246E-6</v>
      </c>
      <c r="I9105">
        <v>136.05109999999999</v>
      </c>
      <c r="J9105">
        <v>-141.51560000000001</v>
      </c>
      <c r="K9105">
        <v>1.1107129999999901</v>
      </c>
      <c r="L9105">
        <v>138.84909999999999</v>
      </c>
      <c r="M9105">
        <v>0.99922409999999995</v>
      </c>
      <c r="N9105">
        <v>0</v>
      </c>
      <c r="O9105">
        <v>-3.7052099999999998E-2</v>
      </c>
      <c r="P9105">
        <v>0.99867090000000003</v>
      </c>
      <c r="Q9105">
        <v>5.0393640000000003E-2</v>
      </c>
      <c r="R9105">
        <v>-1.081087E-2</v>
      </c>
      <c r="S9105">
        <v>3.006195</v>
      </c>
      <c r="T9105">
        <v>-8.7410210000000002E-2</v>
      </c>
      <c r="U9105">
        <v>-0.22070310000000001</v>
      </c>
      <c r="V9105">
        <v>-2.6217150000000002E-2</v>
      </c>
      <c r="W9105">
        <v>6.3714060000000003E-2</v>
      </c>
      <c r="X9105">
        <v>0.9976237</v>
      </c>
      <c r="Y9105">
        <v>3.6213160000000001E-2</v>
      </c>
      <c r="Z9105">
        <v>5.4956299999999998E-4</v>
      </c>
      <c r="AA9105">
        <v>0.99934389999999995</v>
      </c>
      <c r="AB9105">
        <v>18</v>
      </c>
      <c r="AC9105">
        <v>38.019399999999997</v>
      </c>
      <c r="AD9105">
        <v>-1.1107166872459999</v>
      </c>
      <c r="AE9105">
        <v>-2.798</v>
      </c>
      <c r="AF9105">
        <v>1.3860775037638999</v>
      </c>
      <c r="AG9105">
        <v>-1.1107166872459999</v>
      </c>
      <c r="AH9105">
        <v>38.064657159095297</v>
      </c>
      <c r="AI9105">
        <v>91.670295133400799</v>
      </c>
      <c r="AJ9105">
        <v>87.914566324252604</v>
      </c>
      <c r="AK9105">
        <v>38.1060759859269</v>
      </c>
      <c r="AL9105">
        <v>86.346978612834803</v>
      </c>
      <c r="AM9105">
        <v>91.505363585116797</v>
      </c>
      <c r="AN9105">
        <v>0.99999993359874495</v>
      </c>
    </row>
    <row r="9106" spans="1:40" x14ac:dyDescent="0.25">
      <c r="A9106" t="str">
        <f>"20190312160545950"</f>
        <v>20190312160545950</v>
      </c>
      <c r="B9106" t="str">
        <f>"1552377945944161"</f>
        <v>1552377945944161</v>
      </c>
      <c r="C9106" t="s">
        <v>40</v>
      </c>
      <c r="D9106">
        <v>5.2710889999999999</v>
      </c>
      <c r="E9106">
        <v>0.52276049999999996</v>
      </c>
      <c r="F9106" t="s">
        <v>41</v>
      </c>
      <c r="G9106">
        <v>-104.71429999999999</v>
      </c>
      <c r="H9106" s="1">
        <v>-3.094149E-6</v>
      </c>
      <c r="I9106">
        <v>136.14859999999999</v>
      </c>
      <c r="J9106">
        <v>-141.3321</v>
      </c>
      <c r="K9106">
        <v>1.110703</v>
      </c>
      <c r="L9106">
        <v>138.8426</v>
      </c>
      <c r="M9106">
        <v>0.99923189999999995</v>
      </c>
      <c r="N9106">
        <v>0</v>
      </c>
      <c r="O9106">
        <v>-3.6844380000000003E-2</v>
      </c>
      <c r="P9106">
        <v>0.99876670000000001</v>
      </c>
      <c r="Q9106">
        <v>4.8576849999999998E-2</v>
      </c>
      <c r="R9106">
        <v>-1.0268619999999999E-2</v>
      </c>
      <c r="S9106">
        <v>3.0062099999999998</v>
      </c>
      <c r="T9106">
        <v>-9.0731740000000005E-2</v>
      </c>
      <c r="U9106">
        <v>-0.2205963</v>
      </c>
      <c r="V9106">
        <v>-2.655414E-2</v>
      </c>
      <c r="W9106">
        <v>6.1896619999999999E-2</v>
      </c>
      <c r="X9106">
        <v>0.99772919999999998</v>
      </c>
      <c r="Y9106">
        <v>3.6385090000000002E-2</v>
      </c>
      <c r="Z9106">
        <v>5.6159169999999998E-4</v>
      </c>
      <c r="AA9106">
        <v>0.9993377</v>
      </c>
      <c r="AB9106">
        <v>18</v>
      </c>
      <c r="AC9106">
        <v>36.617800000000003</v>
      </c>
      <c r="AD9106">
        <v>-1.1107060941489999</v>
      </c>
      <c r="AE9106">
        <v>-2.6940000000000102</v>
      </c>
      <c r="AF9106">
        <v>1.3416624336030201</v>
      </c>
      <c r="AG9106">
        <v>-1.1107060941489999</v>
      </c>
      <c r="AH9106">
        <v>36.658653840087801</v>
      </c>
      <c r="AI9106">
        <v>91.734290885934698</v>
      </c>
      <c r="AJ9106">
        <v>87.903979223248697</v>
      </c>
      <c r="AK9106">
        <v>36.700008548782499</v>
      </c>
      <c r="AL9106">
        <v>86.451316265445598</v>
      </c>
      <c r="AM9106">
        <v>91.524543005339595</v>
      </c>
      <c r="AN9106">
        <v>0.99999993522559905</v>
      </c>
    </row>
    <row r="9107" spans="1:40" x14ac:dyDescent="0.25">
      <c r="A9107" t="str">
        <f>"20190312160545970"</f>
        <v>20190312160545970</v>
      </c>
      <c r="B9107" t="str">
        <f>"1552377945964657"</f>
        <v>1552377945964657</v>
      </c>
      <c r="C9107" t="s">
        <v>40</v>
      </c>
      <c r="D9107">
        <v>5.2545869999999999</v>
      </c>
      <c r="E9107">
        <v>0.52300789999999997</v>
      </c>
      <c r="F9107" t="s">
        <v>41</v>
      </c>
      <c r="G9107">
        <v>-107.2135</v>
      </c>
      <c r="H9107" s="1">
        <v>-1.9266840000000001E-6</v>
      </c>
      <c r="I9107">
        <v>136.33750000000001</v>
      </c>
      <c r="J9107">
        <v>-141.16810000000001</v>
      </c>
      <c r="K9107">
        <v>1.110697</v>
      </c>
      <c r="L9107">
        <v>138.83670000000001</v>
      </c>
      <c r="M9107">
        <v>0.99923870000000004</v>
      </c>
      <c r="N9107">
        <v>0</v>
      </c>
      <c r="O9107">
        <v>-3.6659169999999998E-2</v>
      </c>
      <c r="P9107">
        <v>0.9988515</v>
      </c>
      <c r="Q9107">
        <v>4.691555E-2</v>
      </c>
      <c r="R9107">
        <v>-9.7392150000000007E-3</v>
      </c>
      <c r="S9107">
        <v>3.006195</v>
      </c>
      <c r="T9107">
        <v>-9.7864389999999996E-2</v>
      </c>
      <c r="U9107">
        <v>-0.22071840000000001</v>
      </c>
      <c r="V9107">
        <v>-2.690085E-2</v>
      </c>
      <c r="W9107">
        <v>6.0235089999999998E-2</v>
      </c>
      <c r="X9107">
        <v>0.99782170000000003</v>
      </c>
      <c r="Y9107">
        <v>3.6610860000000002E-2</v>
      </c>
      <c r="Z9107">
        <v>5.96037E-4</v>
      </c>
      <c r="AA9107">
        <v>0.99932940000000003</v>
      </c>
      <c r="AB9107">
        <v>18</v>
      </c>
      <c r="AC9107">
        <v>33.954599999999999</v>
      </c>
      <c r="AD9107">
        <v>-1.1106989266839999</v>
      </c>
      <c r="AE9107">
        <v>-2.4992000000000001</v>
      </c>
      <c r="AF9107">
        <v>1.2513297318824399</v>
      </c>
      <c r="AG9107">
        <v>-1.1106989266839999</v>
      </c>
      <c r="AH9107">
        <v>33.987227964339802</v>
      </c>
      <c r="AI9107">
        <v>91.870487297296705</v>
      </c>
      <c r="AJ9107">
        <v>87.891456659038496</v>
      </c>
      <c r="AK9107">
        <v>34.028387309768803</v>
      </c>
      <c r="AL9107">
        <v>86.546693276445097</v>
      </c>
      <c r="AM9107">
        <v>91.544295856243096</v>
      </c>
      <c r="AN9107">
        <v>1.0000000333944501</v>
      </c>
    </row>
    <row r="9108" spans="1:40" x14ac:dyDescent="0.25">
      <c r="A9108" t="str">
        <f>"20190312160545992"</f>
        <v>20190312160545992</v>
      </c>
      <c r="B9108" t="str">
        <f>"1552377945984177"</f>
        <v>1552377945984177</v>
      </c>
      <c r="C9108" t="s">
        <v>40</v>
      </c>
      <c r="D9108">
        <v>5.2673940000000004</v>
      </c>
      <c r="E9108">
        <v>0.52158579999999999</v>
      </c>
      <c r="F9108" t="s">
        <v>41</v>
      </c>
      <c r="G9108">
        <v>-111.1802</v>
      </c>
      <c r="H9108" s="1">
        <v>-4.2951580000000001E-6</v>
      </c>
      <c r="I9108">
        <v>136.63290000000001</v>
      </c>
      <c r="J9108">
        <v>-140.98830000000001</v>
      </c>
      <c r="K9108">
        <v>1.11069</v>
      </c>
      <c r="L9108">
        <v>138.8304</v>
      </c>
      <c r="M9108">
        <v>0.99924610000000003</v>
      </c>
      <c r="N9108">
        <v>0</v>
      </c>
      <c r="O9108">
        <v>-3.6455469999999997E-2</v>
      </c>
      <c r="P9108">
        <v>0.99892639999999999</v>
      </c>
      <c r="Q9108">
        <v>4.5270600000000001E-2</v>
      </c>
      <c r="R9108">
        <v>-9.8292459999999998E-3</v>
      </c>
      <c r="S9108">
        <v>3.0065309999999998</v>
      </c>
      <c r="T9108">
        <v>-0.11135680000000001</v>
      </c>
      <c r="U9108">
        <v>-0.22094730000000001</v>
      </c>
      <c r="V9108">
        <v>-2.6608940000000001E-2</v>
      </c>
      <c r="W9108">
        <v>5.8589570000000001E-2</v>
      </c>
      <c r="X9108">
        <v>0.99792749999999997</v>
      </c>
      <c r="Y9108">
        <v>3.6881770000000001E-2</v>
      </c>
      <c r="Z9108">
        <v>6.6554929999999997E-4</v>
      </c>
      <c r="AA9108">
        <v>0.99931939999999997</v>
      </c>
      <c r="AB9108">
        <v>18</v>
      </c>
      <c r="AC9108">
        <v>29.8081</v>
      </c>
      <c r="AD9108">
        <v>-1.1106942951579999</v>
      </c>
      <c r="AE9108">
        <v>-2.19749999999999</v>
      </c>
      <c r="AF9108">
        <v>1.1077441678389801</v>
      </c>
      <c r="AG9108">
        <v>-1.1106942951579999</v>
      </c>
      <c r="AH9108">
        <v>29.8272116086838</v>
      </c>
      <c r="AI9108">
        <v>92.131105141931897</v>
      </c>
      <c r="AJ9108">
        <v>87.873086162492697</v>
      </c>
      <c r="AK9108">
        <v>29.868433023978302</v>
      </c>
      <c r="AL9108">
        <v>86.641141478482794</v>
      </c>
      <c r="AM9108">
        <v>91.527384302231596</v>
      </c>
      <c r="AN9108">
        <v>1.0000000343284701</v>
      </c>
    </row>
    <row r="9109" spans="1:40" x14ac:dyDescent="0.25">
      <c r="A9109" t="str">
        <f>"20190312160546036"</f>
        <v>20190312160546036</v>
      </c>
      <c r="B9109" t="str">
        <f>"1552377946033952"</f>
        <v>1552377946033952</v>
      </c>
      <c r="C9109" t="s">
        <v>40</v>
      </c>
      <c r="D9109">
        <v>5.2177129999999998</v>
      </c>
      <c r="E9109">
        <v>0.5189144</v>
      </c>
      <c r="F9109" t="s">
        <v>49</v>
      </c>
      <c r="G9109">
        <v>-140.1961</v>
      </c>
      <c r="H9109">
        <v>0.93879619999999997</v>
      </c>
      <c r="I9109">
        <v>138.7714</v>
      </c>
      <c r="J9109">
        <v>-140.64179999999999</v>
      </c>
      <c r="K9109">
        <v>1.1106819999999999</v>
      </c>
      <c r="L9109">
        <v>138.81819999999999</v>
      </c>
      <c r="M9109">
        <v>0.9992607</v>
      </c>
      <c r="N9109">
        <v>0</v>
      </c>
      <c r="O9109">
        <v>-3.6058399999999997E-2</v>
      </c>
      <c r="P9109">
        <v>0.99900219999999995</v>
      </c>
      <c r="Q9109">
        <v>4.3499969999999999E-2</v>
      </c>
      <c r="R9109">
        <v>-1.011741E-2</v>
      </c>
      <c r="S9109">
        <v>3.0308229999999998</v>
      </c>
      <c r="T9109">
        <v>-0.65771000000000002</v>
      </c>
      <c r="U9109">
        <v>-0.22546389999999999</v>
      </c>
      <c r="V9109">
        <v>-2.5926370000000001E-2</v>
      </c>
      <c r="W9109">
        <v>5.6816779999999997E-2</v>
      </c>
      <c r="X9109">
        <v>0.99804789999999999</v>
      </c>
      <c r="Y9109">
        <v>3.8126790000000001E-2</v>
      </c>
      <c r="Z9109">
        <v>3.6376120000000001E-3</v>
      </c>
      <c r="AA9109">
        <v>0.99926630000000005</v>
      </c>
      <c r="AB9109">
        <v>18</v>
      </c>
      <c r="AC9109">
        <v>0.44569999999998799</v>
      </c>
      <c r="AD9109">
        <v>-0.17188579999999901</v>
      </c>
      <c r="AE9109">
        <v>-4.6799999999990398E-2</v>
      </c>
      <c r="AF9109">
        <v>2.6760283873617102E-2</v>
      </c>
      <c r="AG9109">
        <v>-0.17188579999999901</v>
      </c>
      <c r="AH9109">
        <v>0.38976127977055097</v>
      </c>
      <c r="AI9109">
        <v>113.74790990677801</v>
      </c>
      <c r="AJ9109">
        <v>86.072342284778102</v>
      </c>
      <c r="AK9109">
        <v>0.42681927819981802</v>
      </c>
      <c r="AL9109">
        <v>86.7428841793582</v>
      </c>
      <c r="AM9109">
        <v>91.488042385486196</v>
      </c>
      <c r="AN9109">
        <v>0.99999996692267701</v>
      </c>
    </row>
    <row r="9110" spans="1:40" x14ac:dyDescent="0.25">
      <c r="A9110" t="str">
        <f>"20190312160546059"</f>
        <v>20190312160546059</v>
      </c>
      <c r="B9110" t="str">
        <f>"1552377946054451"</f>
        <v>1552377946054451</v>
      </c>
      <c r="C9110" t="s">
        <v>40</v>
      </c>
      <c r="D9110">
        <v>4.9341200000000001</v>
      </c>
      <c r="E9110">
        <v>0.51803140000000003</v>
      </c>
      <c r="F9110" t="s">
        <v>49</v>
      </c>
      <c r="G9110">
        <v>-139.90280000000001</v>
      </c>
      <c r="H9110">
        <v>0.88857140000000001</v>
      </c>
      <c r="I9110">
        <v>138.7671</v>
      </c>
      <c r="J9110">
        <v>-140.46129999999999</v>
      </c>
      <c r="K9110">
        <v>1.1106819999999999</v>
      </c>
      <c r="L9110">
        <v>138.81200000000001</v>
      </c>
      <c r="M9110">
        <v>0.99926809999999999</v>
      </c>
      <c r="N9110">
        <v>0</v>
      </c>
      <c r="O9110">
        <v>-3.5848709999999999E-2</v>
      </c>
      <c r="P9110">
        <v>0.99903200000000003</v>
      </c>
      <c r="Q9110">
        <v>4.2614430000000002E-2</v>
      </c>
      <c r="R9110">
        <v>-1.0906259999999999E-2</v>
      </c>
      <c r="S9110">
        <v>3.04068</v>
      </c>
      <c r="T9110">
        <v>-0.91395879999999996</v>
      </c>
      <c r="U9110">
        <v>-0.20985409999999999</v>
      </c>
      <c r="V9110">
        <v>-2.4929150000000001E-2</v>
      </c>
      <c r="W9110">
        <v>5.5930319999999999E-2</v>
      </c>
      <c r="X9110">
        <v>0.99812339999999999</v>
      </c>
      <c r="Y9110">
        <v>3.3158550000000002E-2</v>
      </c>
      <c r="Z9110">
        <v>5.6564440000000001E-3</v>
      </c>
      <c r="AA9110">
        <v>0.99943409999999999</v>
      </c>
      <c r="AB9110">
        <v>18</v>
      </c>
      <c r="AC9110">
        <v>0.55849999999998001</v>
      </c>
      <c r="AD9110">
        <v>-0.22211059999999999</v>
      </c>
      <c r="AE9110">
        <v>-4.4900000000012603E-2</v>
      </c>
      <c r="AF9110">
        <v>2.1473449647600801E-2</v>
      </c>
      <c r="AG9110">
        <v>-0.22211059999999999</v>
      </c>
      <c r="AH9110">
        <v>0.48373522020642001</v>
      </c>
      <c r="AI9110">
        <v>114.64119156346401</v>
      </c>
      <c r="AJ9110">
        <v>87.458256520840294</v>
      </c>
      <c r="AK9110">
        <v>0.53272318415879205</v>
      </c>
      <c r="AL9110">
        <v>86.793755579542903</v>
      </c>
      <c r="AM9110">
        <v>91.430723088683806</v>
      </c>
      <c r="AN9110">
        <v>0.99999999242129201</v>
      </c>
    </row>
    <row r="9111" spans="1:40" x14ac:dyDescent="0.25">
      <c r="A9111" t="str">
        <f>"20190312160546081"</f>
        <v>20190312160546081</v>
      </c>
      <c r="B9111" t="str">
        <f>"1552377946073968"</f>
        <v>1552377946073968</v>
      </c>
      <c r="C9111" t="s">
        <v>40</v>
      </c>
      <c r="D9111">
        <v>8.7293880000000001</v>
      </c>
      <c r="E9111">
        <v>0.51761899999999905</v>
      </c>
      <c r="F9111" t="s">
        <v>49</v>
      </c>
      <c r="G9111">
        <v>-139.74029999999999</v>
      </c>
      <c r="H9111">
        <v>0.90025730000000004</v>
      </c>
      <c r="I9111">
        <v>138.76339999999999</v>
      </c>
      <c r="J9111">
        <v>-140.29</v>
      </c>
      <c r="K9111">
        <v>1.110679</v>
      </c>
      <c r="L9111">
        <v>138.80600000000001</v>
      </c>
      <c r="M9111">
        <v>0.99927529999999998</v>
      </c>
      <c r="N9111">
        <v>0</v>
      </c>
      <c r="O9111">
        <v>-3.5648539999999999E-2</v>
      </c>
      <c r="P9111">
        <v>0.99905549999999999</v>
      </c>
      <c r="Q9111">
        <v>4.1787940000000003E-2</v>
      </c>
      <c r="R9111">
        <v>-1.190746E-2</v>
      </c>
      <c r="S9111">
        <v>3.038513</v>
      </c>
      <c r="T9111">
        <v>-0.88678579999999996</v>
      </c>
      <c r="U9111">
        <v>-0.20382690000000001</v>
      </c>
      <c r="V9111">
        <v>-2.3729429999999999E-2</v>
      </c>
      <c r="W9111">
        <v>5.5102859999999997E-2</v>
      </c>
      <c r="X9111">
        <v>0.99819869999999999</v>
      </c>
      <c r="Y9111">
        <v>3.1488719999999998E-2</v>
      </c>
      <c r="Z9111">
        <v>5.6805880000000003E-3</v>
      </c>
      <c r="AA9111">
        <v>0.99948789999999998</v>
      </c>
      <c r="AB9111">
        <v>18</v>
      </c>
      <c r="AC9111">
        <v>0.54970000000000097</v>
      </c>
      <c r="AD9111">
        <v>-0.21042169999999999</v>
      </c>
      <c r="AE9111">
        <v>-4.2600000000021503E-2</v>
      </c>
      <c r="AF9111">
        <v>2.00541575788445E-2</v>
      </c>
      <c r="AG9111">
        <v>-0.21042169999999999</v>
      </c>
      <c r="AH9111">
        <v>0.480832979035135</v>
      </c>
      <c r="AI9111">
        <v>113.616824300982</v>
      </c>
      <c r="AJ9111">
        <v>87.611742325326105</v>
      </c>
      <c r="AK9111">
        <v>0.52524262469347405</v>
      </c>
      <c r="AL9111">
        <v>86.841238889284099</v>
      </c>
      <c r="AM9111">
        <v>91.361793162452003</v>
      </c>
      <c r="AN9111">
        <v>1.0000000278549901</v>
      </c>
    </row>
    <row r="9112" spans="1:40" x14ac:dyDescent="0.25">
      <c r="A9112" t="str">
        <f>"20190312160546104"</f>
        <v>20190312160546104</v>
      </c>
      <c r="B9112" t="str">
        <f>"1552377946094464"</f>
        <v>1552377946094464</v>
      </c>
      <c r="C9112" t="s">
        <v>40</v>
      </c>
      <c r="D9112">
        <v>5.2658659999999999</v>
      </c>
      <c r="E9112">
        <v>0.51370660000000001</v>
      </c>
      <c r="F9112" t="s">
        <v>49</v>
      </c>
      <c r="G9112">
        <v>-139.56950000000001</v>
      </c>
      <c r="H9112">
        <v>0.93083700000000003</v>
      </c>
      <c r="I9112">
        <v>138.7586</v>
      </c>
      <c r="J9112">
        <v>-140.11109999999999</v>
      </c>
      <c r="K9112">
        <v>1.1106780000000001</v>
      </c>
      <c r="L9112">
        <v>138.79990000000001</v>
      </c>
      <c r="M9112">
        <v>0.99928289999999997</v>
      </c>
      <c r="N9112">
        <v>0</v>
      </c>
      <c r="O9112">
        <v>-3.5438599999999897E-2</v>
      </c>
      <c r="P9112">
        <v>0.99910370000000004</v>
      </c>
      <c r="Q9112">
        <v>4.0451649999999999E-2</v>
      </c>
      <c r="R9112">
        <v>-1.2474280000000001E-2</v>
      </c>
      <c r="S9112">
        <v>3.0321349999999998</v>
      </c>
      <c r="T9112">
        <v>-0.75693719999999998</v>
      </c>
      <c r="U9112">
        <v>-0.19926450000000001</v>
      </c>
      <c r="V9112">
        <v>-2.29543E-2</v>
      </c>
      <c r="W9112">
        <v>5.3765889999999997E-2</v>
      </c>
      <c r="X9112">
        <v>0.99828969999999995</v>
      </c>
      <c r="Y9112">
        <v>3.0325359999999999E-2</v>
      </c>
      <c r="Z9112">
        <v>4.9769150000000002E-3</v>
      </c>
      <c r="AA9112">
        <v>0.99952770000000002</v>
      </c>
      <c r="AB9112">
        <v>18</v>
      </c>
      <c r="AC9112">
        <v>0.54159999999998798</v>
      </c>
      <c r="AD9112">
        <v>-0.179841</v>
      </c>
      <c r="AE9112">
        <v>-4.1300000000006699E-2</v>
      </c>
      <c r="AF9112">
        <v>1.9897567934378E-2</v>
      </c>
      <c r="AG9112">
        <v>-0.179841</v>
      </c>
      <c r="AH9112">
        <v>0.48910615308431299</v>
      </c>
      <c r="AI9112">
        <v>110.17279194929201</v>
      </c>
      <c r="AJ9112">
        <v>87.670406797733605</v>
      </c>
      <c r="AK9112">
        <v>0.52150122480741901</v>
      </c>
      <c r="AL9112">
        <v>86.917955282735903</v>
      </c>
      <c r="AM9112">
        <v>91.317205619599903</v>
      </c>
      <c r="AN9112">
        <v>0.999999997971035</v>
      </c>
    </row>
    <row r="9113" spans="1:40" x14ac:dyDescent="0.25">
      <c r="A9113" t="str">
        <f>"20190312160546127"</f>
        <v>20190312160546127</v>
      </c>
      <c r="B9113" t="str">
        <f>"1552377946124720"</f>
        <v>1552377946124720</v>
      </c>
      <c r="C9113" t="s">
        <v>40</v>
      </c>
      <c r="D9113">
        <v>5.0996030000000001</v>
      </c>
      <c r="E9113">
        <v>0.51715029999999995</v>
      </c>
      <c r="F9113" t="s">
        <v>41</v>
      </c>
      <c r="G9113">
        <v>-104.4076</v>
      </c>
      <c r="H9113" s="1">
        <v>-3.0897790000000001E-6</v>
      </c>
      <c r="I9113">
        <v>136.9907</v>
      </c>
      <c r="J9113">
        <v>-139.9324</v>
      </c>
      <c r="K9113">
        <v>1.1106720000000001</v>
      </c>
      <c r="L9113">
        <v>138.7938</v>
      </c>
      <c r="M9113">
        <v>0.99929029999999996</v>
      </c>
      <c r="N9113">
        <v>0</v>
      </c>
      <c r="O9113">
        <v>-3.5228309999999999E-2</v>
      </c>
      <c r="P9113">
        <v>0.99915849999999995</v>
      </c>
      <c r="Q9113">
        <v>3.91426E-2</v>
      </c>
      <c r="R9113">
        <v>-1.226466E-2</v>
      </c>
      <c r="S9113">
        <v>3.004578</v>
      </c>
      <c r="T9113">
        <v>-9.3467830000000002E-2</v>
      </c>
      <c r="U9113">
        <v>-0.1522522</v>
      </c>
      <c r="V9113">
        <v>-2.2955429999999999E-2</v>
      </c>
      <c r="W9113">
        <v>5.245549E-2</v>
      </c>
      <c r="X9113">
        <v>0.99835940000000001</v>
      </c>
      <c r="Y9113">
        <v>1.540032E-2</v>
      </c>
      <c r="Z9113">
        <v>8.5528660000000001E-4</v>
      </c>
      <c r="AA9113">
        <v>0.99988100000000002</v>
      </c>
      <c r="AB9113">
        <v>18</v>
      </c>
      <c r="AC9113">
        <v>35.524799999999999</v>
      </c>
      <c r="AD9113">
        <v>-1.1106750897790001</v>
      </c>
      <c r="AE9113">
        <v>-1.8030999999999999</v>
      </c>
      <c r="AF9113">
        <v>0.54985452762813503</v>
      </c>
      <c r="AG9113">
        <v>-1.1106750897790001</v>
      </c>
      <c r="AH9113">
        <v>35.531628865531196</v>
      </c>
      <c r="AI9113">
        <v>91.790198519116899</v>
      </c>
      <c r="AJ9113">
        <v>89.113414434349806</v>
      </c>
      <c r="AK9113">
        <v>35.553235984850403</v>
      </c>
      <c r="AL9113">
        <v>86.993141832541895</v>
      </c>
      <c r="AM9113">
        <v>91.317178508252596</v>
      </c>
      <c r="AN9113">
        <v>1.0000000108829901</v>
      </c>
    </row>
    <row r="9114" spans="1:40" x14ac:dyDescent="0.25">
      <c r="A9114" t="str">
        <f>"20190312160546152"</f>
        <v>20190312160546152</v>
      </c>
      <c r="B9114" t="str">
        <f>"1552377946144240"</f>
        <v>1552377946144240</v>
      </c>
      <c r="C9114" t="s">
        <v>40</v>
      </c>
      <c r="D9114">
        <v>5.1390570000000002</v>
      </c>
      <c r="E9114">
        <v>0.51917079999999904</v>
      </c>
      <c r="F9114" t="s">
        <v>41</v>
      </c>
      <c r="G9114">
        <v>-114.7893</v>
      </c>
      <c r="H9114" s="1">
        <v>-2.6305340000000001E-6</v>
      </c>
      <c r="I9114">
        <v>137.28880000000001</v>
      </c>
      <c r="J9114">
        <v>-139.74529999999999</v>
      </c>
      <c r="K9114">
        <v>1.1106720000000001</v>
      </c>
      <c r="L9114">
        <v>138.78739999999999</v>
      </c>
      <c r="M9114">
        <v>0.99929809999999997</v>
      </c>
      <c r="N9114">
        <v>0</v>
      </c>
      <c r="O9114">
        <v>-3.5008249999999998E-2</v>
      </c>
      <c r="P9114">
        <v>0.99921629999999995</v>
      </c>
      <c r="Q9114">
        <v>3.7582079999999997E-2</v>
      </c>
      <c r="R9114">
        <v>-1.2432530000000001E-2</v>
      </c>
      <c r="S9114">
        <v>3.0055239999999999</v>
      </c>
      <c r="T9114">
        <v>-0.13276640000000001</v>
      </c>
      <c r="U9114">
        <v>-0.17990110000000001</v>
      </c>
      <c r="V9114">
        <v>-2.2569269999999999E-2</v>
      </c>
      <c r="W9114">
        <v>5.089403E-2</v>
      </c>
      <c r="X9114">
        <v>0.99844900000000003</v>
      </c>
      <c r="Y9114">
        <v>2.4774379999999999E-2</v>
      </c>
      <c r="Z9114">
        <v>9.9738359999999989E-4</v>
      </c>
      <c r="AA9114">
        <v>0.99969260000000004</v>
      </c>
      <c r="AB9114">
        <v>18</v>
      </c>
      <c r="AC9114">
        <v>24.9559999999999</v>
      </c>
      <c r="AD9114">
        <v>-1.1106746305339901</v>
      </c>
      <c r="AE9114">
        <v>-1.4985999999999799</v>
      </c>
      <c r="AF9114">
        <v>0.62270871245522597</v>
      </c>
      <c r="AG9114">
        <v>-1.1106746305339901</v>
      </c>
      <c r="AH9114">
        <v>24.943938347580399</v>
      </c>
      <c r="AI9114">
        <v>92.548722662032006</v>
      </c>
      <c r="AJ9114">
        <v>88.569946272280802</v>
      </c>
      <c r="AK9114">
        <v>24.976417368457199</v>
      </c>
      <c r="AL9114">
        <v>87.082726535613901</v>
      </c>
      <c r="AM9114">
        <v>91.294912150919501</v>
      </c>
      <c r="AN9114">
        <v>0.99999998991948602</v>
      </c>
    </row>
    <row r="9115" spans="1:40" x14ac:dyDescent="0.25">
      <c r="A9115" t="str">
        <f>"20190312160546172"</f>
        <v>20190312160546172</v>
      </c>
      <c r="B9115" t="str">
        <f>"1552377946164735"</f>
        <v>1552377946164735</v>
      </c>
      <c r="C9115" t="s">
        <v>40</v>
      </c>
      <c r="D9115">
        <v>5.2888890000000002</v>
      </c>
      <c r="E9115">
        <v>0.5208467</v>
      </c>
      <c r="F9115" t="s">
        <v>41</v>
      </c>
      <c r="G9115">
        <v>-118.35080000000001</v>
      </c>
      <c r="H9115" s="1">
        <v>-1.140356E-6</v>
      </c>
      <c r="I9115">
        <v>137.38730000000001</v>
      </c>
      <c r="J9115">
        <v>-139.58090000000001</v>
      </c>
      <c r="K9115">
        <v>1.1106659999999999</v>
      </c>
      <c r="L9115">
        <v>138.78190000000001</v>
      </c>
      <c r="M9115">
        <v>0.999305</v>
      </c>
      <c r="N9115">
        <v>0</v>
      </c>
      <c r="O9115">
        <v>-3.481513E-2</v>
      </c>
      <c r="P9115">
        <v>0.99926630000000005</v>
      </c>
      <c r="Q9115">
        <v>3.6448550000000003E-2</v>
      </c>
      <c r="R9115">
        <v>-1.1783460000000001E-2</v>
      </c>
      <c r="S9115">
        <v>3.0057529999999999</v>
      </c>
      <c r="T9115">
        <v>-0.1560405</v>
      </c>
      <c r="U9115">
        <v>-0.19670099999999999</v>
      </c>
      <c r="V9115">
        <v>-2.3026689999999999E-2</v>
      </c>
      <c r="W9115">
        <v>4.975868E-2</v>
      </c>
      <c r="X9115">
        <v>0.99849580000000004</v>
      </c>
      <c r="Y9115">
        <v>3.0524099999999998E-2</v>
      </c>
      <c r="Z9115">
        <v>1.012687E-3</v>
      </c>
      <c r="AA9115">
        <v>0.99953349999999996</v>
      </c>
      <c r="AB9115">
        <v>18</v>
      </c>
      <c r="AC9115">
        <v>21.2301</v>
      </c>
      <c r="AD9115">
        <v>-1.110667140356</v>
      </c>
      <c r="AE9115">
        <v>-1.3945999999999901</v>
      </c>
      <c r="AF9115">
        <v>0.65278119104404797</v>
      </c>
      <c r="AG9115">
        <v>-1.110667140356</v>
      </c>
      <c r="AH9115">
        <v>21.207989474114299</v>
      </c>
      <c r="AI9115">
        <v>92.996437581232499</v>
      </c>
      <c r="AJ9115">
        <v>88.236994485423494</v>
      </c>
      <c r="AK9115">
        <v>21.247082677727601</v>
      </c>
      <c r="AL9115">
        <v>87.1478598917639</v>
      </c>
      <c r="AM9115">
        <v>91.321085519023399</v>
      </c>
      <c r="AN9115">
        <v>1.0000000086526599</v>
      </c>
    </row>
    <row r="9116" spans="1:40" x14ac:dyDescent="0.25">
      <c r="A9116" t="str">
        <f>"20190312160546194"</f>
        <v>20190312160546194</v>
      </c>
      <c r="B9116" t="str">
        <f>"1552377946184257"</f>
        <v>1552377946184257</v>
      </c>
      <c r="C9116" t="s">
        <v>40</v>
      </c>
      <c r="D9116">
        <v>5.1707340000000004</v>
      </c>
      <c r="E9116">
        <v>0.52088250000000003</v>
      </c>
      <c r="F9116" t="s">
        <v>41</v>
      </c>
      <c r="G9116">
        <v>-117.72029999999999</v>
      </c>
      <c r="H9116" s="1">
        <v>-1.3856929999999999E-6</v>
      </c>
      <c r="I9116">
        <v>137.27160000000001</v>
      </c>
      <c r="J9116">
        <v>-139.41299999999899</v>
      </c>
      <c r="K9116">
        <v>1.1106689999999999</v>
      </c>
      <c r="L9116">
        <v>138.77629999999999</v>
      </c>
      <c r="M9116">
        <v>0.99931179999999997</v>
      </c>
      <c r="N9116">
        <v>0</v>
      </c>
      <c r="O9116">
        <v>-3.4617960000000003E-2</v>
      </c>
      <c r="P9116">
        <v>0.99928249999999996</v>
      </c>
      <c r="Q9116">
        <v>3.6275370000000001E-2</v>
      </c>
      <c r="R9116">
        <v>-1.089884E-2</v>
      </c>
      <c r="S9116">
        <v>3.005325</v>
      </c>
      <c r="T9116">
        <v>-0.1526912</v>
      </c>
      <c r="U9116">
        <v>-0.20762630000000001</v>
      </c>
      <c r="V9116">
        <v>-2.3713919999999999E-2</v>
      </c>
      <c r="W9116">
        <v>4.95839E-2</v>
      </c>
      <c r="X9116">
        <v>0.99848840000000005</v>
      </c>
      <c r="Y9116">
        <v>3.434218E-2</v>
      </c>
      <c r="Z9116">
        <v>8.8416609999999996E-4</v>
      </c>
      <c r="AA9116">
        <v>0.99940969999999996</v>
      </c>
      <c r="AB9116">
        <v>17</v>
      </c>
      <c r="AC9116">
        <v>21.692699999999899</v>
      </c>
      <c r="AD9116">
        <v>-1.110670385693</v>
      </c>
      <c r="AE9116">
        <v>-1.5046999999999799</v>
      </c>
      <c r="AF9116">
        <v>0.75081545725885601</v>
      </c>
      <c r="AG9116">
        <v>-1.110670385693</v>
      </c>
      <c r="AH9116">
        <v>21.675241073552499</v>
      </c>
      <c r="AI9116">
        <v>92.931597029015904</v>
      </c>
      <c r="AJ9116">
        <v>88.016106792360304</v>
      </c>
      <c r="AK9116">
        <v>21.7166615333281</v>
      </c>
      <c r="AL9116">
        <v>87.157886397239395</v>
      </c>
      <c r="AM9116">
        <v>91.360508701630906</v>
      </c>
      <c r="AN9116">
        <v>0.99999999903776804</v>
      </c>
    </row>
    <row r="9117" spans="1:40" x14ac:dyDescent="0.25">
      <c r="A9117" t="str">
        <f>"20190312160546215"</f>
        <v>20190312160546215</v>
      </c>
      <c r="B9117" t="str">
        <f>"1552377946204751"</f>
        <v>1552377946204751</v>
      </c>
      <c r="C9117" t="s">
        <v>40</v>
      </c>
      <c r="D9117">
        <v>5.1622629999999896</v>
      </c>
      <c r="E9117">
        <v>0.52022979999999996</v>
      </c>
      <c r="F9117" t="s">
        <v>41</v>
      </c>
      <c r="G9117">
        <v>-118.6474</v>
      </c>
      <c r="H9117" s="1">
        <v>-1.0474750000000001E-6</v>
      </c>
      <c r="I9117">
        <v>137.357</v>
      </c>
      <c r="J9117">
        <v>-139.23990000000001</v>
      </c>
      <c r="K9117">
        <v>1.110676</v>
      </c>
      <c r="L9117">
        <v>138.7705</v>
      </c>
      <c r="M9117">
        <v>0.99931879999999995</v>
      </c>
      <c r="N9117">
        <v>0</v>
      </c>
      <c r="O9117">
        <v>-3.4415429999999997E-2</v>
      </c>
      <c r="P9117">
        <v>0.99929299999999999</v>
      </c>
      <c r="Q9117">
        <v>3.6149250000000001E-2</v>
      </c>
      <c r="R9117">
        <v>-1.0345399999999999E-2</v>
      </c>
      <c r="S9117">
        <v>3.0057680000000002</v>
      </c>
      <c r="T9117">
        <v>-0.16076660000000001</v>
      </c>
      <c r="U9117">
        <v>-0.2054291</v>
      </c>
      <c r="V9117">
        <v>-2.4064510000000001E-2</v>
      </c>
      <c r="W9117">
        <v>4.9455319999999997E-2</v>
      </c>
      <c r="X9117">
        <v>0.9984864</v>
      </c>
      <c r="Y9117">
        <v>3.3807980000000001E-2</v>
      </c>
      <c r="Z9117">
        <v>9.3421210000000005E-4</v>
      </c>
      <c r="AA9117">
        <v>0.99942790000000004</v>
      </c>
      <c r="AB9117">
        <v>17</v>
      </c>
      <c r="AC9117">
        <v>20.592500000000001</v>
      </c>
      <c r="AD9117">
        <v>-1.1106770474750001</v>
      </c>
      <c r="AE9117">
        <v>-1.41349999999999</v>
      </c>
      <c r="AF9117">
        <v>0.701867638040368</v>
      </c>
      <c r="AG9117">
        <v>-1.1106770474750001</v>
      </c>
      <c r="AH9117">
        <v>20.569392008569402</v>
      </c>
      <c r="AI9117">
        <v>93.088980996785494</v>
      </c>
      <c r="AJ9117">
        <v>88.045714858999006</v>
      </c>
      <c r="AK9117">
        <v>20.611310227331899</v>
      </c>
      <c r="AL9117">
        <v>87.165262569518305</v>
      </c>
      <c r="AM9117">
        <v>91.380617693797106</v>
      </c>
      <c r="AN9117">
        <v>1.0000000101513999</v>
      </c>
    </row>
    <row r="9118" spans="1:40" x14ac:dyDescent="0.25">
      <c r="A9118" t="str">
        <f>"20190312160546237"</f>
        <v>20190312160546237</v>
      </c>
      <c r="B9118" t="str">
        <f>"1552377946234032"</f>
        <v>1552377946234032</v>
      </c>
      <c r="C9118" t="s">
        <v>40</v>
      </c>
      <c r="D9118">
        <v>5.2968440000000001</v>
      </c>
      <c r="E9118">
        <v>0.51980389999999999</v>
      </c>
      <c r="F9118" t="s">
        <v>41</v>
      </c>
      <c r="G9118">
        <v>-117.85120000000001</v>
      </c>
      <c r="H9118" s="1">
        <v>-1.3177159999999999E-6</v>
      </c>
      <c r="I9118">
        <v>137.35980000000001</v>
      </c>
      <c r="J9118">
        <v>-139.0675</v>
      </c>
      <c r="K9118">
        <v>1.1106750000000001</v>
      </c>
      <c r="L9118">
        <v>138.76480000000001</v>
      </c>
      <c r="M9118">
        <v>0.99932580000000004</v>
      </c>
      <c r="N9118">
        <v>0</v>
      </c>
      <c r="O9118">
        <v>-3.4213849999999997E-2</v>
      </c>
      <c r="P9118">
        <v>0.99930070000000004</v>
      </c>
      <c r="Q9118">
        <v>3.5987529999999997E-2</v>
      </c>
      <c r="R9118">
        <v>-1.014982E-2</v>
      </c>
      <c r="S9118">
        <v>3.005722</v>
      </c>
      <c r="T9118">
        <v>-0.15608129999999901</v>
      </c>
      <c r="U9118">
        <v>-0.19824220000000001</v>
      </c>
      <c r="V9118">
        <v>-2.4058980000000001E-2</v>
      </c>
      <c r="W9118">
        <v>4.9291479999999999E-2</v>
      </c>
      <c r="X9118">
        <v>0.99849460000000001</v>
      </c>
      <c r="Y9118">
        <v>3.163415E-2</v>
      </c>
      <c r="Z9118">
        <v>9.5303019999999996E-4</v>
      </c>
      <c r="AA9118">
        <v>0.99949909999999997</v>
      </c>
      <c r="AB9118">
        <v>17</v>
      </c>
      <c r="AC9118">
        <v>21.216299999999901</v>
      </c>
      <c r="AD9118">
        <v>-1.110676317716</v>
      </c>
      <c r="AE9118">
        <v>-1.405</v>
      </c>
      <c r="AF9118">
        <v>0.67637604956953901</v>
      </c>
      <c r="AG9118">
        <v>-1.110676317716</v>
      </c>
      <c r="AH9118">
        <v>21.194121441196401</v>
      </c>
      <c r="AI9118">
        <v>92.998313176328296</v>
      </c>
      <c r="AJ9118">
        <v>88.172118396047395</v>
      </c>
      <c r="AK9118">
        <v>21.2339791397503</v>
      </c>
      <c r="AL9118">
        <v>87.174661274486596</v>
      </c>
      <c r="AM9118">
        <v>91.380289220860007</v>
      </c>
      <c r="AN9118">
        <v>0.99999997537419505</v>
      </c>
    </row>
    <row r="9119" spans="1:40" x14ac:dyDescent="0.25">
      <c r="A9119" t="str">
        <f>"20190312160546260"</f>
        <v>20190312160546260</v>
      </c>
      <c r="B9119" t="str">
        <f>"1552377946254528"</f>
        <v>1552377946254528</v>
      </c>
      <c r="C9119" t="s">
        <v>40</v>
      </c>
      <c r="D9119">
        <v>5.198232</v>
      </c>
      <c r="E9119">
        <v>0.51943289999999998</v>
      </c>
      <c r="F9119" t="s">
        <v>41</v>
      </c>
      <c r="G9119">
        <v>-118.41800000000001</v>
      </c>
      <c r="H9119" s="1">
        <v>-1.1056229999999901E-6</v>
      </c>
      <c r="I9119">
        <v>137.43199999999999</v>
      </c>
      <c r="J9119">
        <v>-138.8922</v>
      </c>
      <c r="K9119">
        <v>1.1106659999999999</v>
      </c>
      <c r="L9119">
        <v>138.75899999999999</v>
      </c>
      <c r="M9119">
        <v>0.99933280000000002</v>
      </c>
      <c r="N9119">
        <v>0</v>
      </c>
      <c r="O9119">
        <v>-3.4009289999999998E-2</v>
      </c>
      <c r="P9119">
        <v>0.99928640000000002</v>
      </c>
      <c r="Q9119">
        <v>3.6375829999999998E-2</v>
      </c>
      <c r="R9119">
        <v>-1.019259E-2</v>
      </c>
      <c r="S9119">
        <v>3.005951</v>
      </c>
      <c r="T9119">
        <v>-0.16168060000000001</v>
      </c>
      <c r="U9119">
        <v>-0.19401550000000001</v>
      </c>
      <c r="V9119">
        <v>-2.3810939999999999E-2</v>
      </c>
      <c r="W9119">
        <v>4.9677730000000003E-2</v>
      </c>
      <c r="X9119">
        <v>0.99848150000000002</v>
      </c>
      <c r="Y9119">
        <v>3.0435960000000001E-2</v>
      </c>
      <c r="Z9119">
        <v>1.0083449999999999E-3</v>
      </c>
      <c r="AA9119">
        <v>0.99953619999999999</v>
      </c>
      <c r="AB9119">
        <v>17</v>
      </c>
      <c r="AC9119">
        <v>20.4742</v>
      </c>
      <c r="AD9119">
        <v>-1.110667105623</v>
      </c>
      <c r="AE9119">
        <v>-1.32699999999996</v>
      </c>
      <c r="AF9119">
        <v>0.62801709809309003</v>
      </c>
      <c r="AG9119">
        <v>-1.110667105623</v>
      </c>
      <c r="AH9119">
        <v>20.447567799851701</v>
      </c>
      <c r="AI9119">
        <v>93.107663385918897</v>
      </c>
      <c r="AJ9119">
        <v>88.240797071319193</v>
      </c>
      <c r="AK9119">
        <v>20.487337938945199</v>
      </c>
      <c r="AL9119">
        <v>87.152503908085706</v>
      </c>
      <c r="AM9119">
        <v>91.366082238966598</v>
      </c>
      <c r="AN9119">
        <v>1.0000000717819399</v>
      </c>
    </row>
    <row r="9120" spans="1:40" x14ac:dyDescent="0.25">
      <c r="A9120" t="str">
        <f>"20190312160546282"</f>
        <v>20190312160546282</v>
      </c>
      <c r="B9120" t="str">
        <f>"1552377946274048"</f>
        <v>1552377946274048</v>
      </c>
      <c r="C9120" t="s">
        <v>40</v>
      </c>
      <c r="D9120">
        <v>5.3233699999999997</v>
      </c>
      <c r="E9120">
        <v>0.51930880000000001</v>
      </c>
      <c r="F9120" t="s">
        <v>41</v>
      </c>
      <c r="G9120">
        <v>-118.273</v>
      </c>
      <c r="H9120" s="1">
        <v>-1.150928E-6</v>
      </c>
      <c r="I9120">
        <v>137.44710000000001</v>
      </c>
      <c r="J9120">
        <v>-138.72049999999999</v>
      </c>
      <c r="K9120">
        <v>1.1106640000000001</v>
      </c>
      <c r="L9120">
        <v>138.7534</v>
      </c>
      <c r="M9120">
        <v>0.99933950000000005</v>
      </c>
      <c r="N9120">
        <v>0</v>
      </c>
      <c r="O9120">
        <v>-3.3808669999999999E-2</v>
      </c>
      <c r="P9120">
        <v>0.99929409999999996</v>
      </c>
      <c r="Q9120">
        <v>3.6125650000000002E-2</v>
      </c>
      <c r="R9120">
        <v>-1.0320269999999999E-2</v>
      </c>
      <c r="S9120">
        <v>3.0060880000000001</v>
      </c>
      <c r="T9120">
        <v>-0.1619247</v>
      </c>
      <c r="U9120">
        <v>-0.19126889999999999</v>
      </c>
      <c r="V9120">
        <v>-2.3483190000000001E-2</v>
      </c>
      <c r="W9120">
        <v>4.942626E-2</v>
      </c>
      <c r="X9120">
        <v>0.99850170000000005</v>
      </c>
      <c r="Y9120">
        <v>2.9724919999999998E-2</v>
      </c>
      <c r="Z9120">
        <v>1.018195E-3</v>
      </c>
      <c r="AA9120">
        <v>0.99955760000000005</v>
      </c>
      <c r="AB9120">
        <v>17</v>
      </c>
      <c r="AC9120">
        <v>20.447499999999899</v>
      </c>
      <c r="AD9120">
        <v>-1.1106651509279999</v>
      </c>
      <c r="AE9120">
        <v>-1.30629999999999</v>
      </c>
      <c r="AF9120">
        <v>0.61238946205170697</v>
      </c>
      <c r="AG9120">
        <v>-1.1106651509279999</v>
      </c>
      <c r="AH9120">
        <v>20.4199738702705</v>
      </c>
      <c r="AI9120">
        <v>93.111917288347499</v>
      </c>
      <c r="AJ9120">
        <v>88.282230011798703</v>
      </c>
      <c r="AK9120">
        <v>20.459323810752998</v>
      </c>
      <c r="AL9120">
        <v>87.166929680261106</v>
      </c>
      <c r="AM9120">
        <v>91.347258285436396</v>
      </c>
      <c r="AN9120">
        <v>1.0000000301465199</v>
      </c>
    </row>
    <row r="9121" spans="1:40" x14ac:dyDescent="0.25">
      <c r="A9121" t="str">
        <f>"20190312160546305"</f>
        <v>20190312160546305</v>
      </c>
      <c r="B9121" t="str">
        <f>"1552377946294544"</f>
        <v>1552377946294544</v>
      </c>
      <c r="C9121" t="s">
        <v>40</v>
      </c>
      <c r="D9121">
        <v>5.240202</v>
      </c>
      <c r="E9121">
        <v>0.51893639999999996</v>
      </c>
      <c r="F9121" t="s">
        <v>41</v>
      </c>
      <c r="G9121">
        <v>-118.4849</v>
      </c>
      <c r="H9121" s="1">
        <v>-1.07272E-6</v>
      </c>
      <c r="I9121">
        <v>137.47</v>
      </c>
      <c r="J9121">
        <v>-138.54570000000001</v>
      </c>
      <c r="K9121">
        <v>1.1106689999999999</v>
      </c>
      <c r="L9121">
        <v>138.74770000000001</v>
      </c>
      <c r="M9121">
        <v>0.99934639999999997</v>
      </c>
      <c r="N9121">
        <v>0</v>
      </c>
      <c r="O9121">
        <v>-3.3604710000000003E-2</v>
      </c>
      <c r="P9121">
        <v>0.99929259999999998</v>
      </c>
      <c r="Q9121">
        <v>3.5942000000000002E-2</v>
      </c>
      <c r="R9121">
        <v>-1.107196E-2</v>
      </c>
      <c r="S9121">
        <v>3.0060880000000001</v>
      </c>
      <c r="T9121">
        <v>-0.16499430000000001</v>
      </c>
      <c r="U9121">
        <v>-0.19065860000000001</v>
      </c>
      <c r="V9121">
        <v>-2.2527809999999999E-2</v>
      </c>
      <c r="W9121">
        <v>4.9241479999999997E-2</v>
      </c>
      <c r="X9121">
        <v>0.9985328</v>
      </c>
      <c r="Y9121">
        <v>2.9726700000000002E-2</v>
      </c>
      <c r="Z9121">
        <v>1.026262E-3</v>
      </c>
      <c r="AA9121">
        <v>0.99955760000000005</v>
      </c>
      <c r="AB9121">
        <v>17</v>
      </c>
      <c r="AC9121">
        <v>20.0608</v>
      </c>
      <c r="AD9121">
        <v>-1.1106700727200001</v>
      </c>
      <c r="AE9121">
        <v>-1.27770000000001</v>
      </c>
      <c r="AF9121">
        <v>0.60094638562212399</v>
      </c>
      <c r="AG9121">
        <v>-1.1106700727200001</v>
      </c>
      <c r="AH9121">
        <v>20.031254420856801</v>
      </c>
      <c r="AI9121">
        <v>93.172196908530594</v>
      </c>
      <c r="AJ9121">
        <v>88.281616984494505</v>
      </c>
      <c r="AK9121">
        <v>20.071020856994899</v>
      </c>
      <c r="AL9121">
        <v>87.177529585408294</v>
      </c>
      <c r="AM9121">
        <v>91.292425753881204</v>
      </c>
      <c r="AN9121">
        <v>0.99999998912591304</v>
      </c>
    </row>
    <row r="9122" spans="1:40" x14ac:dyDescent="0.25">
      <c r="A9122" t="str">
        <f>"20190312160546328"</f>
        <v>20190312160546328</v>
      </c>
      <c r="B9122" t="str">
        <f>"1552377946324801"</f>
        <v>1552377946324801</v>
      </c>
      <c r="C9122" t="s">
        <v>40</v>
      </c>
      <c r="D9122">
        <v>5.3544010000000002</v>
      </c>
      <c r="E9122">
        <v>0.51907729999999996</v>
      </c>
      <c r="F9122" t="s">
        <v>41</v>
      </c>
      <c r="G9122">
        <v>-118.5671</v>
      </c>
      <c r="H9122" s="1">
        <v>-1.0397599999999999E-6</v>
      </c>
      <c r="I9122">
        <v>137.4888</v>
      </c>
      <c r="J9122">
        <v>-138.36709999999999</v>
      </c>
      <c r="K9122">
        <v>1.110662</v>
      </c>
      <c r="L9122">
        <v>138.74199999999999</v>
      </c>
      <c r="M9122">
        <v>0.99935350000000001</v>
      </c>
      <c r="N9122">
        <v>0</v>
      </c>
      <c r="O9122">
        <v>-3.339669E-2</v>
      </c>
      <c r="P9122">
        <v>0.99928629999999996</v>
      </c>
      <c r="Q9122">
        <v>3.5945060000000001E-2</v>
      </c>
      <c r="R9122">
        <v>-1.1619010000000001E-2</v>
      </c>
      <c r="S9122">
        <v>3.0060419999999999</v>
      </c>
      <c r="T9122">
        <v>-0.16711489999999901</v>
      </c>
      <c r="U9122">
        <v>-0.1894226</v>
      </c>
      <c r="V9122">
        <v>-2.177312E-2</v>
      </c>
      <c r="W9122">
        <v>4.9243380000000003E-2</v>
      </c>
      <c r="X9122">
        <v>0.99854949999999998</v>
      </c>
      <c r="Y9122">
        <v>2.952654E-2</v>
      </c>
      <c r="Z9122">
        <v>1.0334840000000001E-3</v>
      </c>
      <c r="AA9122">
        <v>0.99956350000000005</v>
      </c>
      <c r="AB9122">
        <v>17</v>
      </c>
      <c r="AC9122">
        <v>19.8</v>
      </c>
      <c r="AD9122">
        <v>-1.1106630397599999</v>
      </c>
      <c r="AE9122">
        <v>-1.2532000000000201</v>
      </c>
      <c r="AF9122">
        <v>0.58934074901709399</v>
      </c>
      <c r="AG9122">
        <v>-1.1106630397599999</v>
      </c>
      <c r="AH9122">
        <v>19.768854106665302</v>
      </c>
      <c r="AI9122">
        <v>93.214212893527204</v>
      </c>
      <c r="AJ9122">
        <v>88.292428099832705</v>
      </c>
      <c r="AK9122">
        <v>19.808798237070199</v>
      </c>
      <c r="AL9122">
        <v>87.177420739402294</v>
      </c>
      <c r="AM9122">
        <v>91.249122082822694</v>
      </c>
      <c r="AN9122">
        <v>1.0000000415893</v>
      </c>
    </row>
    <row r="9123" spans="1:40" x14ac:dyDescent="0.25">
      <c r="A9123" t="str">
        <f>"20190312160546351"</f>
        <v>20190312160546351</v>
      </c>
      <c r="B9123" t="str">
        <f>"1552377946344320"</f>
        <v>1552377946344320</v>
      </c>
      <c r="C9123" t="s">
        <v>40</v>
      </c>
      <c r="D9123">
        <v>5.2659050000000001</v>
      </c>
      <c r="E9123">
        <v>0.51886520000000003</v>
      </c>
      <c r="F9123" t="s">
        <v>41</v>
      </c>
      <c r="G9123">
        <v>-118.7582</v>
      </c>
      <c r="H9123" s="1">
        <v>-9.7441629999999998E-7</v>
      </c>
      <c r="I9123">
        <v>137.48990000000001</v>
      </c>
      <c r="J9123">
        <v>-138.19560000000001</v>
      </c>
      <c r="K9123">
        <v>1.110649</v>
      </c>
      <c r="L9123">
        <v>138.73650000000001</v>
      </c>
      <c r="M9123">
        <v>0.99936029999999998</v>
      </c>
      <c r="N9123">
        <v>0</v>
      </c>
      <c r="O9123">
        <v>-3.3196419999999997E-2</v>
      </c>
      <c r="P9123">
        <v>0.99930529999999995</v>
      </c>
      <c r="Q9123">
        <v>3.554156E-2</v>
      </c>
      <c r="R9123">
        <v>-1.1216439999999999E-2</v>
      </c>
      <c r="S9123">
        <v>3.0060579999999999</v>
      </c>
      <c r="T9123">
        <v>-0.1702651</v>
      </c>
      <c r="U9123">
        <v>-0.19194030000000001</v>
      </c>
      <c r="V9123">
        <v>-2.1975450000000001E-2</v>
      </c>
      <c r="W9123">
        <v>4.8838090000000001E-2</v>
      </c>
      <c r="X9123">
        <v>0.99856500000000004</v>
      </c>
      <c r="Y9123">
        <v>3.055859E-2</v>
      </c>
      <c r="Z9123">
        <v>1.0124070000000001E-3</v>
      </c>
      <c r="AA9123">
        <v>0.99953250000000005</v>
      </c>
      <c r="AB9123">
        <v>17</v>
      </c>
      <c r="AC9123">
        <v>19.4374</v>
      </c>
      <c r="AD9123">
        <v>-1.1106499744163001</v>
      </c>
      <c r="AE9123">
        <v>-1.2465999999999999</v>
      </c>
      <c r="AF9123">
        <v>0.59865702265440002</v>
      </c>
      <c r="AG9123">
        <v>-1.1106499744163001</v>
      </c>
      <c r="AH9123">
        <v>19.4049744736379</v>
      </c>
      <c r="AI9123">
        <v>93.274214153963797</v>
      </c>
      <c r="AJ9123">
        <v>88.2329456288725</v>
      </c>
      <c r="AK9123">
        <v>19.445949910430802</v>
      </c>
      <c r="AL9123">
        <v>87.200670196929707</v>
      </c>
      <c r="AM9123">
        <v>91.260706445965297</v>
      </c>
      <c r="AN9123">
        <v>1.0000000693312701</v>
      </c>
    </row>
    <row r="9124" spans="1:40" x14ac:dyDescent="0.25">
      <c r="A9124" t="str">
        <f>"20190312160546374"</f>
        <v>20190312160546374</v>
      </c>
      <c r="B9124" t="str">
        <f>"1552377946364816"</f>
        <v>1552377946364816</v>
      </c>
      <c r="C9124" t="s">
        <v>40</v>
      </c>
      <c r="D9124">
        <v>5.2477839999999896</v>
      </c>
      <c r="E9124">
        <v>0.51867909999999995</v>
      </c>
      <c r="F9124" t="s">
        <v>41</v>
      </c>
      <c r="G9124">
        <v>-118.59010000000001</v>
      </c>
      <c r="H9124" s="1">
        <v>-1.028622E-6</v>
      </c>
      <c r="I9124">
        <v>137.50129999999999</v>
      </c>
      <c r="J9124">
        <v>-138.01329999999999</v>
      </c>
      <c r="K9124">
        <v>1.110641</v>
      </c>
      <c r="L9124">
        <v>138.73070000000001</v>
      </c>
      <c r="M9124">
        <v>0.99936720000000001</v>
      </c>
      <c r="N9124">
        <v>0</v>
      </c>
      <c r="O9124">
        <v>-3.2983510000000001E-2</v>
      </c>
      <c r="P9124">
        <v>0.99933209999999995</v>
      </c>
      <c r="Q9124">
        <v>3.5049770000000001E-2</v>
      </c>
      <c r="R9124">
        <v>-1.033482E-2</v>
      </c>
      <c r="S9124">
        <v>3.0060120000000001</v>
      </c>
      <c r="T9124">
        <v>-0.17028950000000001</v>
      </c>
      <c r="U9124">
        <v>-0.18939210000000001</v>
      </c>
      <c r="V9124">
        <v>-2.264451E-2</v>
      </c>
      <c r="W9124">
        <v>4.834418E-2</v>
      </c>
      <c r="X9124">
        <v>0.99857399999999996</v>
      </c>
      <c r="Y9124">
        <v>2.9929250000000001E-2</v>
      </c>
      <c r="Z9124">
        <v>1.0183659999999999E-3</v>
      </c>
      <c r="AA9124">
        <v>0.99955150000000004</v>
      </c>
      <c r="AB9124">
        <v>17</v>
      </c>
      <c r="AC9124">
        <v>19.423199999999898</v>
      </c>
      <c r="AD9124">
        <v>-1.110642028622</v>
      </c>
      <c r="AE9124">
        <v>-1.22940000000002</v>
      </c>
      <c r="AF9124">
        <v>0.58612006765694402</v>
      </c>
      <c r="AG9124">
        <v>-1.110642028622</v>
      </c>
      <c r="AH9124">
        <v>19.390036972043902</v>
      </c>
      <c r="AI9124">
        <v>93.276769754156803</v>
      </c>
      <c r="AJ9124">
        <v>88.268596212216295</v>
      </c>
      <c r="AK9124">
        <v>19.430661240078301</v>
      </c>
      <c r="AL9124">
        <v>87.229002383344493</v>
      </c>
      <c r="AM9124">
        <v>91.299064990039099</v>
      </c>
      <c r="AN9124">
        <v>0.99999998352450603</v>
      </c>
    </row>
    <row r="9125" spans="1:40" x14ac:dyDescent="0.25">
      <c r="A9125" t="str">
        <f>"20190312160546394"</f>
        <v>20190312160546394</v>
      </c>
      <c r="B9125" t="str">
        <f>"1552377946384337"</f>
        <v>1552377946384337</v>
      </c>
      <c r="C9125" t="s">
        <v>40</v>
      </c>
      <c r="D9125">
        <v>5.3109789999999997</v>
      </c>
      <c r="E9125">
        <v>0.51850819999999997</v>
      </c>
      <c r="F9125" t="s">
        <v>41</v>
      </c>
      <c r="G9125">
        <v>-118.5561</v>
      </c>
      <c r="H9125" s="1">
        <v>-1.032405E-6</v>
      </c>
      <c r="I9125">
        <v>137.53039999999999</v>
      </c>
      <c r="J9125">
        <v>-137.85849999999999</v>
      </c>
      <c r="K9125">
        <v>1.110633</v>
      </c>
      <c r="L9125">
        <v>138.72579999999999</v>
      </c>
      <c r="M9125">
        <v>0.99937310000000001</v>
      </c>
      <c r="N9125">
        <v>0</v>
      </c>
      <c r="O9125">
        <v>-3.2802669999999999E-2</v>
      </c>
      <c r="P9125">
        <v>0.99933179999999999</v>
      </c>
      <c r="Q9125">
        <v>3.5190810000000003E-2</v>
      </c>
      <c r="R9125">
        <v>-9.8802360000000006E-3</v>
      </c>
      <c r="S9125">
        <v>3.0061040000000001</v>
      </c>
      <c r="T9125">
        <v>-0.171592299999999</v>
      </c>
      <c r="U9125">
        <v>-0.1854401</v>
      </c>
      <c r="V9125">
        <v>-2.291814E-2</v>
      </c>
      <c r="W9125">
        <v>4.848326E-2</v>
      </c>
      <c r="X9125">
        <v>0.99856100000000003</v>
      </c>
      <c r="Y9125">
        <v>2.880081E-2</v>
      </c>
      <c r="Z9125">
        <v>1.0480190000000001E-3</v>
      </c>
      <c r="AA9125">
        <v>0.99958460000000005</v>
      </c>
      <c r="AB9125">
        <v>17</v>
      </c>
      <c r="AC9125">
        <v>19.302399999999899</v>
      </c>
      <c r="AD9125">
        <v>-1.1106340324049999</v>
      </c>
      <c r="AE9125">
        <v>-1.1954</v>
      </c>
      <c r="AF9125">
        <v>0.55968428883945798</v>
      </c>
      <c r="AG9125">
        <v>-1.1106340324049999</v>
      </c>
      <c r="AH9125">
        <v>19.267680596356598</v>
      </c>
      <c r="AI9125">
        <v>93.297623877413699</v>
      </c>
      <c r="AJ9125">
        <v>88.336149868490693</v>
      </c>
      <c r="AK9125">
        <v>19.307777449005499</v>
      </c>
      <c r="AL9125">
        <v>87.221024290983607</v>
      </c>
      <c r="AM9125">
        <v>91.3147741658033</v>
      </c>
      <c r="AN9125">
        <v>0.99999996918114298</v>
      </c>
    </row>
    <row r="9126" spans="1:40" x14ac:dyDescent="0.25">
      <c r="A9126" t="str">
        <f>"20190312160546416"</f>
        <v>20190312160546416</v>
      </c>
      <c r="B9126" t="str">
        <f>"1552377946403856"</f>
        <v>1552377946403856</v>
      </c>
      <c r="C9126" t="s">
        <v>40</v>
      </c>
      <c r="D9126">
        <v>5.3295370000000002</v>
      </c>
      <c r="E9126">
        <v>0.51842759999999999</v>
      </c>
      <c r="F9126" t="s">
        <v>41</v>
      </c>
      <c r="G9126">
        <v>-118.2957</v>
      </c>
      <c r="H9126" s="1">
        <v>-1.1182970000000001E-6</v>
      </c>
      <c r="I9126">
        <v>137.54079999999999</v>
      </c>
      <c r="J9126">
        <v>-137.6875</v>
      </c>
      <c r="K9126">
        <v>1.110625</v>
      </c>
      <c r="L9126">
        <v>138.72040000000001</v>
      </c>
      <c r="M9126">
        <v>0.99937989999999999</v>
      </c>
      <c r="N9126">
        <v>0</v>
      </c>
      <c r="O9126">
        <v>-3.2603E-2</v>
      </c>
      <c r="P9126">
        <v>0.99927900000000003</v>
      </c>
      <c r="Q9126">
        <v>3.6495399999999997E-2</v>
      </c>
      <c r="R9126">
        <v>-1.0487949999999999E-2</v>
      </c>
      <c r="S9126">
        <v>3.0062099999999998</v>
      </c>
      <c r="T9126">
        <v>-0.1706705</v>
      </c>
      <c r="U9126">
        <v>-0.18209839999999999</v>
      </c>
      <c r="V9126">
        <v>-2.210964E-2</v>
      </c>
      <c r="W9126">
        <v>4.9785830000000003E-2</v>
      </c>
      <c r="X9126">
        <v>0.99851520000000005</v>
      </c>
      <c r="Y9126">
        <v>2.7892420000000001E-2</v>
      </c>
      <c r="Z9126">
        <v>1.056839E-3</v>
      </c>
      <c r="AA9126">
        <v>0.99961040000000001</v>
      </c>
      <c r="AB9126">
        <v>17</v>
      </c>
      <c r="AC9126">
        <v>19.3918</v>
      </c>
      <c r="AD9126">
        <v>-1.1106261182970001</v>
      </c>
      <c r="AE9126">
        <v>-1.17960000000002</v>
      </c>
      <c r="AF9126">
        <v>0.54490521487630805</v>
      </c>
      <c r="AG9126">
        <v>-1.1106261182970001</v>
      </c>
      <c r="AH9126">
        <v>19.356691400868201</v>
      </c>
      <c r="AI9126">
        <v>93.282553773791605</v>
      </c>
      <c r="AJ9126">
        <v>88.387507182637094</v>
      </c>
      <c r="AK9126">
        <v>19.396182976459301</v>
      </c>
      <c r="AL9126">
        <v>87.146302455767795</v>
      </c>
      <c r="AM9126">
        <v>91.268465505231006</v>
      </c>
      <c r="AN9126">
        <v>1.0000000348403699</v>
      </c>
    </row>
    <row r="9127" spans="1:40" x14ac:dyDescent="0.25">
      <c r="A9127" t="str">
        <f>"20190312160546439"</f>
        <v>20190312160546439</v>
      </c>
      <c r="B9127" t="str">
        <f>"1552377946434113"</f>
        <v>1552377946434113</v>
      </c>
      <c r="C9127" t="s">
        <v>40</v>
      </c>
      <c r="D9127">
        <v>5.2998459999999996</v>
      </c>
      <c r="E9127">
        <v>0.51818809999999904</v>
      </c>
      <c r="F9127" t="s">
        <v>41</v>
      </c>
      <c r="G9127">
        <v>-117.6204</v>
      </c>
      <c r="H9127" s="1">
        <v>-1.3784729999999999E-6</v>
      </c>
      <c r="I9127">
        <v>137.50040000000001</v>
      </c>
      <c r="J9127">
        <v>-137.51179999999999</v>
      </c>
      <c r="K9127">
        <v>1.11063</v>
      </c>
      <c r="L9127">
        <v>138.7149</v>
      </c>
      <c r="M9127">
        <v>0.99938649999999996</v>
      </c>
      <c r="N9127">
        <v>0</v>
      </c>
      <c r="O9127">
        <v>-3.2397490000000001E-2</v>
      </c>
      <c r="P9127">
        <v>0.99925679999999995</v>
      </c>
      <c r="Q9127">
        <v>3.6859830000000003E-2</v>
      </c>
      <c r="R9127">
        <v>-1.128151E-2</v>
      </c>
      <c r="S9127">
        <v>3.006332</v>
      </c>
      <c r="T9127">
        <v>-0.1663868</v>
      </c>
      <c r="U9127">
        <v>-0.18276980000000001</v>
      </c>
      <c r="V9127">
        <v>-2.111033E-2</v>
      </c>
      <c r="W9127">
        <v>5.0148730000000002E-2</v>
      </c>
      <c r="X9127">
        <v>0.99851860000000003</v>
      </c>
      <c r="Y9127">
        <v>2.8316609999999999E-2</v>
      </c>
      <c r="Z9127">
        <v>1.0072389999999901E-3</v>
      </c>
      <c r="AA9127">
        <v>0.99959849999999995</v>
      </c>
      <c r="AB9127">
        <v>17</v>
      </c>
      <c r="AC9127">
        <v>19.891399999999901</v>
      </c>
      <c r="AD9127">
        <v>-1.110631378473</v>
      </c>
      <c r="AE9127">
        <v>-1.2144999999999799</v>
      </c>
      <c r="AF9127">
        <v>0.56761090506099598</v>
      </c>
      <c r="AG9127">
        <v>-1.110631378473</v>
      </c>
      <c r="AH9127">
        <v>19.8586269437853</v>
      </c>
      <c r="AI9127">
        <v>93.199736448529407</v>
      </c>
      <c r="AJ9127">
        <v>88.362784227787401</v>
      </c>
      <c r="AK9127">
        <v>19.8977573683777</v>
      </c>
      <c r="AL9127">
        <v>87.125483619767493</v>
      </c>
      <c r="AM9127">
        <v>91.211146846354893</v>
      </c>
      <c r="AN9127">
        <v>0.99999996784963996</v>
      </c>
    </row>
    <row r="9128" spans="1:40" x14ac:dyDescent="0.25">
      <c r="A9128" t="str">
        <f>"20190312160546462"</f>
        <v>20190312160546462</v>
      </c>
      <c r="B9128" t="str">
        <f>"1552377946454609"</f>
        <v>1552377946454609</v>
      </c>
      <c r="C9128" t="s">
        <v>40</v>
      </c>
      <c r="D9128">
        <v>5.319229</v>
      </c>
      <c r="E9128">
        <v>0.51796699999999996</v>
      </c>
      <c r="F9128" t="s">
        <v>41</v>
      </c>
      <c r="G9128">
        <v>-117.209</v>
      </c>
      <c r="H9128" s="1">
        <v>-1.559007E-6</v>
      </c>
      <c r="I9128">
        <v>137.4777</v>
      </c>
      <c r="J9128">
        <v>-137.3417</v>
      </c>
      <c r="K9128">
        <v>1.110616</v>
      </c>
      <c r="L9128">
        <v>138.7097</v>
      </c>
      <c r="M9128">
        <v>0.99939299999999998</v>
      </c>
      <c r="N9128">
        <v>0</v>
      </c>
      <c r="O9128">
        <v>-3.2198650000000002E-2</v>
      </c>
      <c r="P9128">
        <v>0.9992877</v>
      </c>
      <c r="Q9128">
        <v>3.5881379999999997E-2</v>
      </c>
      <c r="R9128">
        <v>-1.169534E-2</v>
      </c>
      <c r="S9128">
        <v>3.0062099999999998</v>
      </c>
      <c r="T9128">
        <v>-0.1644496</v>
      </c>
      <c r="U9128">
        <v>-0.183197</v>
      </c>
      <c r="V9128">
        <v>-2.0498539999999999E-2</v>
      </c>
      <c r="W9128">
        <v>4.9169560000000001E-2</v>
      </c>
      <c r="X9128">
        <v>0.99858009999999997</v>
      </c>
      <c r="Y9128">
        <v>2.865854E-2</v>
      </c>
      <c r="Z9128">
        <v>9.7537769999999995E-4</v>
      </c>
      <c r="AA9128">
        <v>0.99958880000000006</v>
      </c>
      <c r="AB9128">
        <v>17</v>
      </c>
      <c r="AC9128">
        <v>20.1327</v>
      </c>
      <c r="AD9128">
        <v>-1.110617559007</v>
      </c>
      <c r="AE9128">
        <v>-1.23199999999999</v>
      </c>
      <c r="AF9128">
        <v>0.58129560569862504</v>
      </c>
      <c r="AG9128">
        <v>-1.110617559007</v>
      </c>
      <c r="AH9128">
        <v>20.100989024185498</v>
      </c>
      <c r="AI9128">
        <v>93.161165519748394</v>
      </c>
      <c r="AJ9128">
        <v>88.343538967627296</v>
      </c>
      <c r="AK9128">
        <v>20.140038125435701</v>
      </c>
      <c r="AL9128">
        <v>87.181655399344393</v>
      </c>
      <c r="AM9128">
        <v>91.175984680761403</v>
      </c>
      <c r="AN9128">
        <v>1.00000002594436</v>
      </c>
    </row>
    <row r="9129" spans="1:40" x14ac:dyDescent="0.25">
      <c r="A9129" t="str">
        <f>"20190312160546484"</f>
        <v>20190312160546484</v>
      </c>
      <c r="B9129" t="str">
        <f>"1552377946474129"</f>
        <v>1552377946474129</v>
      </c>
      <c r="C9129" t="s">
        <v>40</v>
      </c>
      <c r="D9129">
        <v>5.4622390000000003</v>
      </c>
      <c r="E9129">
        <v>0.5176944</v>
      </c>
      <c r="F9129" t="s">
        <v>41</v>
      </c>
      <c r="G9129">
        <v>-117.2414</v>
      </c>
      <c r="H9129" s="1">
        <v>-1.5436189999999901E-6</v>
      </c>
      <c r="I9129">
        <v>137.48609999999999</v>
      </c>
      <c r="J9129">
        <v>-137.17189999999999</v>
      </c>
      <c r="K9129">
        <v>1.1105989999999999</v>
      </c>
      <c r="L9129">
        <v>138.70439999999999</v>
      </c>
      <c r="M9129">
        <v>0.99939940000000005</v>
      </c>
      <c r="N9129">
        <v>0</v>
      </c>
      <c r="O9129">
        <v>-3.2000170000000001E-2</v>
      </c>
      <c r="P9129">
        <v>0.99932699999999997</v>
      </c>
      <c r="Q9129">
        <v>3.4638919999999997E-2</v>
      </c>
      <c r="R9129">
        <v>-1.208033E-2</v>
      </c>
      <c r="S9129">
        <v>3.0059659999999999</v>
      </c>
      <c r="T9129">
        <v>-0.1660905</v>
      </c>
      <c r="U9129">
        <v>-0.18298339999999999</v>
      </c>
      <c r="V9129">
        <v>-1.9916449999999999E-2</v>
      </c>
      <c r="W9129">
        <v>4.7926009999999998E-2</v>
      </c>
      <c r="X9129">
        <v>0.99865230000000005</v>
      </c>
      <c r="Y9129">
        <v>2.8790820000000002E-2</v>
      </c>
      <c r="Z9129">
        <v>9.7058919999999996E-4</v>
      </c>
      <c r="AA9129">
        <v>0.99958499999999995</v>
      </c>
      <c r="AB9129">
        <v>17</v>
      </c>
      <c r="AC9129">
        <v>19.930499999999899</v>
      </c>
      <c r="AD9129">
        <v>-1.1106005436189901</v>
      </c>
      <c r="AE9129">
        <v>-1.2182999999999899</v>
      </c>
      <c r="AF9129">
        <v>0.578051926408642</v>
      </c>
      <c r="AG9129">
        <v>-1.1106005436189901</v>
      </c>
      <c r="AH9129">
        <v>19.897725349184899</v>
      </c>
      <c r="AI9129">
        <v>93.193330621180607</v>
      </c>
      <c r="AJ9129">
        <v>88.335959389841506</v>
      </c>
      <c r="AK9129">
        <v>19.937077310094999</v>
      </c>
      <c r="AL9129">
        <v>87.252989588051406</v>
      </c>
      <c r="AM9129">
        <v>91.142517044779098</v>
      </c>
      <c r="AN9129">
        <v>0.99999999185520605</v>
      </c>
    </row>
    <row r="9130" spans="1:40" x14ac:dyDescent="0.25">
      <c r="A9130" t="str">
        <f>"20190312160546507"</f>
        <v>20190312160546507</v>
      </c>
      <c r="B9130" t="str">
        <f>"1552377946494625"</f>
        <v>1552377946494625</v>
      </c>
      <c r="C9130" t="s">
        <v>40</v>
      </c>
      <c r="D9130">
        <v>5.4866769999999896</v>
      </c>
      <c r="E9130">
        <v>0.51742670000000002</v>
      </c>
      <c r="F9130" t="s">
        <v>41</v>
      </c>
      <c r="G9130">
        <v>-117.16670000000001</v>
      </c>
      <c r="H9130" s="1">
        <v>-1.5743009999999999E-6</v>
      </c>
      <c r="I9130">
        <v>137.49359999999999</v>
      </c>
      <c r="J9130">
        <v>-136.99959999999999</v>
      </c>
      <c r="K9130">
        <v>1.110598</v>
      </c>
      <c r="L9130">
        <v>138.69909999999999</v>
      </c>
      <c r="M9130">
        <v>0.99940589999999996</v>
      </c>
      <c r="N9130">
        <v>0</v>
      </c>
      <c r="O9130">
        <v>-3.1798590000000002E-2</v>
      </c>
      <c r="P9130">
        <v>0.99934440000000002</v>
      </c>
      <c r="Q9130">
        <v>3.4362259999999999E-2</v>
      </c>
      <c r="R9130">
        <v>-1.1407489999999999E-2</v>
      </c>
      <c r="S9130">
        <v>3.0056150000000001</v>
      </c>
      <c r="T9130">
        <v>-0.16685829999999999</v>
      </c>
      <c r="U9130">
        <v>-0.1819153</v>
      </c>
      <c r="V9130">
        <v>-2.0388150000000001E-2</v>
      </c>
      <c r="W9130">
        <v>4.764786E-2</v>
      </c>
      <c r="X9130">
        <v>0.99865610000000005</v>
      </c>
      <c r="Y9130">
        <v>2.8645540000000001E-2</v>
      </c>
      <c r="Z9130">
        <v>9.6805820000000001E-4</v>
      </c>
      <c r="AA9130">
        <v>0.99958910000000001</v>
      </c>
      <c r="AB9130">
        <v>17</v>
      </c>
      <c r="AC9130">
        <v>19.832899999999899</v>
      </c>
      <c r="AD9130">
        <v>-1.110599574301</v>
      </c>
      <c r="AE9130">
        <v>-1.2055</v>
      </c>
      <c r="AF9130">
        <v>0.57238802303494096</v>
      </c>
      <c r="AG9130">
        <v>-1.110599574301</v>
      </c>
      <c r="AH9130">
        <v>19.7993478258694</v>
      </c>
      <c r="AI9130">
        <v>93.209174668732203</v>
      </c>
      <c r="AJ9130">
        <v>88.344072415287997</v>
      </c>
      <c r="AK9130">
        <v>19.838730649744502</v>
      </c>
      <c r="AL9130">
        <v>87.268944661145497</v>
      </c>
      <c r="AM9130">
        <v>91.169564471176301</v>
      </c>
      <c r="AN9130">
        <v>1.0000000006451</v>
      </c>
    </row>
    <row r="9131" spans="1:40" x14ac:dyDescent="0.25">
      <c r="A9131" t="str">
        <f>"20190312160546533"</f>
        <v>20190312160546533</v>
      </c>
      <c r="B9131" t="str">
        <f>"1552377946523905"</f>
        <v>1552377946523905</v>
      </c>
      <c r="C9131" t="s">
        <v>40</v>
      </c>
      <c r="D9131">
        <v>5.3395149999999996</v>
      </c>
      <c r="E9131">
        <v>0.49087439999999999</v>
      </c>
      <c r="F9131" t="s">
        <v>41</v>
      </c>
      <c r="G9131">
        <v>-116.61060000000001</v>
      </c>
      <c r="H9131" s="1">
        <v>-1.8127349999999999E-6</v>
      </c>
      <c r="I9131">
        <v>137.49430000000001</v>
      </c>
      <c r="J9131">
        <v>-136.80330000000001</v>
      </c>
      <c r="K9131">
        <v>1.1105780000000001</v>
      </c>
      <c r="L9131">
        <v>138.69319999999999</v>
      </c>
      <c r="M9131">
        <v>0.99941310000000005</v>
      </c>
      <c r="N9131">
        <v>0</v>
      </c>
      <c r="O9131">
        <v>-3.1569109999999997E-2</v>
      </c>
      <c r="P9131">
        <v>0.99932799999999999</v>
      </c>
      <c r="Q9131">
        <v>3.5149430000000002E-2</v>
      </c>
      <c r="R9131">
        <v>-1.042011E-2</v>
      </c>
      <c r="S9131">
        <v>3.0055689999999999</v>
      </c>
      <c r="T9131">
        <v>-0.16371459999999999</v>
      </c>
      <c r="U9131">
        <v>-0.177597</v>
      </c>
      <c r="V9131">
        <v>-2.114545E-2</v>
      </c>
      <c r="W9131">
        <v>4.843182E-2</v>
      </c>
      <c r="X9131">
        <v>0.99860260000000001</v>
      </c>
      <c r="Y9131">
        <v>2.7446180000000001E-2</v>
      </c>
      <c r="Z9131">
        <v>9.7005400000000003E-4</v>
      </c>
      <c r="AA9131">
        <v>0.99962280000000003</v>
      </c>
      <c r="AB9131">
        <v>17</v>
      </c>
      <c r="AC9131">
        <v>20.192699999999999</v>
      </c>
      <c r="AD9131">
        <v>-1.1105798127349999</v>
      </c>
      <c r="AE9131">
        <v>-1.1988999999999801</v>
      </c>
      <c r="AF9131">
        <v>0.55909512138403805</v>
      </c>
      <c r="AG9131">
        <v>-1.1105798127349999</v>
      </c>
      <c r="AH9131">
        <v>20.1597182704832</v>
      </c>
      <c r="AI9131">
        <v>93.151973648645395</v>
      </c>
      <c r="AJ9131">
        <v>88.411407273074502</v>
      </c>
      <c r="AK9131">
        <v>20.1980250425744</v>
      </c>
      <c r="AL9131">
        <v>87.223975032408603</v>
      </c>
      <c r="AM9131">
        <v>91.213059139988601</v>
      </c>
      <c r="AN9131">
        <v>0.99999996198548602</v>
      </c>
    </row>
    <row r="9132" spans="1:40" x14ac:dyDescent="0.25">
      <c r="A9132" t="str">
        <f>"20190312160546557"</f>
        <v>20190312160546557</v>
      </c>
      <c r="B9132" t="str">
        <f>"1552377946544400"</f>
        <v>1552377946544400</v>
      </c>
      <c r="C9132" t="s">
        <v>40</v>
      </c>
      <c r="D9132">
        <v>5.2420879999999999</v>
      </c>
      <c r="E9132">
        <v>0.48520619999999998</v>
      </c>
      <c r="F9132" t="s">
        <v>41</v>
      </c>
      <c r="G9132">
        <v>-115.4349</v>
      </c>
      <c r="H9132" s="1">
        <v>-2.0576099999999999E-6</v>
      </c>
      <c r="I9132">
        <v>138.95740000000001</v>
      </c>
      <c r="J9132">
        <v>-136.62190000000001</v>
      </c>
      <c r="K9132">
        <v>1.1105579999999999</v>
      </c>
      <c r="L9132">
        <v>138.68770000000001</v>
      </c>
      <c r="M9132">
        <v>0.99941979999999997</v>
      </c>
      <c r="N9132">
        <v>0</v>
      </c>
      <c r="O9132">
        <v>-3.1357160000000002E-2</v>
      </c>
      <c r="P9132">
        <v>0.9993126</v>
      </c>
      <c r="Q9132">
        <v>3.6118049999999999E-2</v>
      </c>
      <c r="R9132">
        <v>-8.370766E-3</v>
      </c>
      <c r="S9132">
        <v>3.0079039999999999</v>
      </c>
      <c r="T9132">
        <v>-0.15632929999999901</v>
      </c>
      <c r="U9132">
        <v>3.7185669999999997E-2</v>
      </c>
      <c r="V9132">
        <v>-2.2981390000000001E-2</v>
      </c>
      <c r="W9132">
        <v>4.9397690000000001E-2</v>
      </c>
      <c r="X9132">
        <v>0.99851480000000004</v>
      </c>
      <c r="Y9132">
        <v>-4.3611980000000002E-2</v>
      </c>
      <c r="Z9132">
        <v>2.7610930000000001E-3</v>
      </c>
      <c r="AA9132">
        <v>0.99904470000000001</v>
      </c>
      <c r="AB9132">
        <v>17</v>
      </c>
      <c r="AC9132">
        <v>21.187000000000001</v>
      </c>
      <c r="AD9132">
        <v>-1.1105600576100001</v>
      </c>
      <c r="AE9132">
        <v>0.2697</v>
      </c>
      <c r="AF9132">
        <v>-0.93143149617117504</v>
      </c>
      <c r="AG9132">
        <v>-1.1105600576100001</v>
      </c>
      <c r="AH9132">
        <v>21.110129853576399</v>
      </c>
      <c r="AI9132">
        <v>93.008514114416698</v>
      </c>
      <c r="AJ9132">
        <v>92.526393860227998</v>
      </c>
      <c r="AK9132">
        <v>21.159832010403001</v>
      </c>
      <c r="AL9132">
        <v>87.168568653219197</v>
      </c>
      <c r="AM9132">
        <v>91.318462409499304</v>
      </c>
      <c r="AN9132">
        <v>1.0000000409413501</v>
      </c>
    </row>
    <row r="9133" spans="1:40" x14ac:dyDescent="0.25">
      <c r="A9133" t="str">
        <f>"20190312160546584"</f>
        <v>20190312160546584</v>
      </c>
      <c r="B9133" t="str">
        <f>"1552377946574657"</f>
        <v>1552377946574657</v>
      </c>
      <c r="C9133" t="s">
        <v>40</v>
      </c>
      <c r="D9133">
        <v>5.2440020000000001</v>
      </c>
      <c r="E9133">
        <v>0.48454049999999999</v>
      </c>
      <c r="F9133" t="s">
        <v>41</v>
      </c>
      <c r="G9133">
        <v>-111.9025</v>
      </c>
      <c r="H9133" s="1">
        <v>-3.4913590000000001E-6</v>
      </c>
      <c r="I9133">
        <v>139.4177</v>
      </c>
      <c r="J9133">
        <v>-136.40960000000001</v>
      </c>
      <c r="K9133">
        <v>1.110549</v>
      </c>
      <c r="L9133">
        <v>138.6814</v>
      </c>
      <c r="M9133">
        <v>0.99942770000000003</v>
      </c>
      <c r="N9133">
        <v>0</v>
      </c>
      <c r="O9133">
        <v>-3.1109089999999999E-2</v>
      </c>
      <c r="P9133">
        <v>0.99926630000000005</v>
      </c>
      <c r="Q9133">
        <v>3.7638049999999999E-2</v>
      </c>
      <c r="R9133">
        <v>-7.1069050000000002E-3</v>
      </c>
      <c r="S9133">
        <v>3.0076900000000002</v>
      </c>
      <c r="T9133">
        <v>-0.1351252</v>
      </c>
      <c r="U9133">
        <v>8.8821410000000003E-2</v>
      </c>
      <c r="V9133">
        <v>-2.399513E-2</v>
      </c>
      <c r="W9133">
        <v>5.0914029999999999E-2</v>
      </c>
      <c r="X9133">
        <v>0.99841480000000005</v>
      </c>
      <c r="Y9133">
        <v>-6.0510210000000002E-2</v>
      </c>
      <c r="Z9133">
        <v>2.7550069999999999E-3</v>
      </c>
      <c r="AA9133">
        <v>0.99816380000000005</v>
      </c>
      <c r="AB9133">
        <v>17</v>
      </c>
      <c r="AC9133">
        <v>24.507100000000001</v>
      </c>
      <c r="AD9133">
        <v>-1.1105524913589999</v>
      </c>
      <c r="AE9133">
        <v>0.73629999999999995</v>
      </c>
      <c r="AF9133">
        <v>-1.4953365311640401</v>
      </c>
      <c r="AG9133">
        <v>-1.1105524913589999</v>
      </c>
      <c r="AH9133">
        <v>24.422222941930102</v>
      </c>
      <c r="AI9133">
        <v>92.598759101914496</v>
      </c>
      <c r="AJ9133">
        <v>93.503761615021006</v>
      </c>
      <c r="AK9133">
        <v>24.493148666572701</v>
      </c>
      <c r="AL9133">
        <v>87.081579333618393</v>
      </c>
      <c r="AM9133">
        <v>91.376737477018494</v>
      </c>
      <c r="AN9133">
        <v>1.0000000587867901</v>
      </c>
    </row>
    <row r="9134" spans="1:40" x14ac:dyDescent="0.25">
      <c r="A9134" t="str">
        <f>"20190312160546606"</f>
        <v>20190312160546606</v>
      </c>
      <c r="B9134" t="str">
        <f>"1552377946594177"</f>
        <v>1552377946594177</v>
      </c>
      <c r="C9134" t="s">
        <v>40</v>
      </c>
      <c r="D9134">
        <v>5.1789459999999998</v>
      </c>
      <c r="E9134">
        <v>0.48374610000000001</v>
      </c>
      <c r="F9134" t="s">
        <v>41</v>
      </c>
      <c r="G9134">
        <v>-107.8188</v>
      </c>
      <c r="H9134" s="1">
        <v>-1.0118429999999999E-6</v>
      </c>
      <c r="I9134">
        <v>139.61750000000001</v>
      </c>
      <c r="J9134">
        <v>-136.2389</v>
      </c>
      <c r="K9134">
        <v>1.110557</v>
      </c>
      <c r="L9134">
        <v>138.6763</v>
      </c>
      <c r="M9134">
        <v>0.99943380000000004</v>
      </c>
      <c r="N9134">
        <v>0</v>
      </c>
      <c r="O9134">
        <v>-3.0909530000000001E-2</v>
      </c>
      <c r="P9134">
        <v>0.99926090000000001</v>
      </c>
      <c r="Q9134">
        <v>3.779445E-2</v>
      </c>
      <c r="R9134">
        <v>-7.0452120000000003E-3</v>
      </c>
      <c r="S9134">
        <v>3.0072939999999999</v>
      </c>
      <c r="T9134">
        <v>-0.1168119</v>
      </c>
      <c r="U9134">
        <v>9.8464969999999999E-2</v>
      </c>
      <c r="V9134">
        <v>-2.3857349999999999E-2</v>
      </c>
      <c r="W9134">
        <v>5.1068330000000002E-2</v>
      </c>
      <c r="X9134">
        <v>0.99841020000000003</v>
      </c>
      <c r="Y9134">
        <v>-6.3533439999999997E-2</v>
      </c>
      <c r="Z9134">
        <v>2.4330699999999999E-3</v>
      </c>
      <c r="AA9134">
        <v>0.99797670000000005</v>
      </c>
      <c r="AB9134">
        <v>17</v>
      </c>
      <c r="AC9134">
        <v>28.420100000000001</v>
      </c>
      <c r="AD9134">
        <v>-1.1105580118430001</v>
      </c>
      <c r="AE9134">
        <v>0.94120000000000903</v>
      </c>
      <c r="AF9134">
        <v>-1.8165090277054501</v>
      </c>
      <c r="AG9134">
        <v>-1.1105580118430001</v>
      </c>
      <c r="AH9134">
        <v>28.334205307138699</v>
      </c>
      <c r="AI9134">
        <v>92.239962972054798</v>
      </c>
      <c r="AJ9134">
        <v>93.668218651616897</v>
      </c>
      <c r="AK9134">
        <v>28.414085143331501</v>
      </c>
      <c r="AL9134">
        <v>87.072727017034893</v>
      </c>
      <c r="AM9134">
        <v>91.368841573138099</v>
      </c>
      <c r="AN9134">
        <v>1.0000000374710201</v>
      </c>
    </row>
    <row r="9135" spans="1:40" x14ac:dyDescent="0.25">
      <c r="A9135" t="str">
        <f>"20190312160546630"</f>
        <v>20190312160546630</v>
      </c>
      <c r="B9135" t="str">
        <f>"1552377946624436"</f>
        <v>1552377946624436</v>
      </c>
      <c r="C9135" t="s">
        <v>40</v>
      </c>
      <c r="D9135">
        <v>5.1853249999999997</v>
      </c>
      <c r="E9135">
        <v>0.48280430000000002</v>
      </c>
      <c r="F9135" t="s">
        <v>41</v>
      </c>
      <c r="G9135">
        <v>-104.63590000000001</v>
      </c>
      <c r="H9135" s="1">
        <v>-2.5596110000000001E-6</v>
      </c>
      <c r="I9135">
        <v>139.77979999999999</v>
      </c>
      <c r="J9135">
        <v>-136.06899999999999</v>
      </c>
      <c r="K9135">
        <v>1.1105510000000001</v>
      </c>
      <c r="L9135">
        <v>138.6713</v>
      </c>
      <c r="M9135">
        <v>0.99944</v>
      </c>
      <c r="N9135">
        <v>0</v>
      </c>
      <c r="O9135">
        <v>-3.071057E-2</v>
      </c>
      <c r="P9135">
        <v>0.9992569</v>
      </c>
      <c r="Q9135">
        <v>3.7902480000000002E-2</v>
      </c>
      <c r="R9135">
        <v>-7.0004809999999898E-3</v>
      </c>
      <c r="S9135">
        <v>3.0069270000000001</v>
      </c>
      <c r="T9135">
        <v>-0.1056663</v>
      </c>
      <c r="U9135">
        <v>0.104995699999999</v>
      </c>
      <c r="V9135">
        <v>-2.3702979999999998E-2</v>
      </c>
      <c r="W9135">
        <v>5.1174989999999997E-2</v>
      </c>
      <c r="X9135">
        <v>0.99840839999999997</v>
      </c>
      <c r="Y9135">
        <v>-6.5515470000000006E-2</v>
      </c>
      <c r="Z9135">
        <v>2.2290819999999999E-3</v>
      </c>
      <c r="AA9135">
        <v>0.99784899999999999</v>
      </c>
      <c r="AB9135">
        <v>17</v>
      </c>
      <c r="AC9135">
        <v>31.4330999999999</v>
      </c>
      <c r="AD9135">
        <v>-1.1105535596109899</v>
      </c>
      <c r="AE9135">
        <v>1.10849999999999</v>
      </c>
      <c r="AF9135">
        <v>-2.0708089971465302</v>
      </c>
      <c r="AG9135">
        <v>-1.1105535596109899</v>
      </c>
      <c r="AH9135">
        <v>31.345147067590499</v>
      </c>
      <c r="AI9135">
        <v>92.024721569536496</v>
      </c>
      <c r="AJ9135">
        <v>93.779738220858505</v>
      </c>
      <c r="AK9135">
        <v>31.433100766553501</v>
      </c>
      <c r="AL9135">
        <v>87.066607802851394</v>
      </c>
      <c r="AM9135">
        <v>91.359990213613003</v>
      </c>
      <c r="AN9135">
        <v>1.00000002202647</v>
      </c>
    </row>
    <row r="9136" spans="1:40" x14ac:dyDescent="0.25">
      <c r="A9136" t="str">
        <f>"20190312160546651"</f>
        <v>20190312160546651</v>
      </c>
      <c r="B9136" t="str">
        <f>"1552377946643953"</f>
        <v>1552377946643953</v>
      </c>
      <c r="C9136" t="s">
        <v>40</v>
      </c>
      <c r="D9136">
        <v>5.1547589999999897</v>
      </c>
      <c r="E9136">
        <v>0.48266520000000002</v>
      </c>
      <c r="F9136" t="s">
        <v>41</v>
      </c>
      <c r="G9136">
        <v>-98.880279999999999</v>
      </c>
      <c r="H9136" s="1">
        <v>-5.8193139999999997E-7</v>
      </c>
      <c r="I9136">
        <v>140.06460000000001</v>
      </c>
      <c r="J9136">
        <v>-135.90260000000001</v>
      </c>
      <c r="K9136">
        <v>1.110541</v>
      </c>
      <c r="L9136">
        <v>138.66640000000001</v>
      </c>
      <c r="M9136">
        <v>0.99944599999999995</v>
      </c>
      <c r="N9136">
        <v>0</v>
      </c>
      <c r="O9136">
        <v>-3.0516379999999999E-2</v>
      </c>
      <c r="P9136">
        <v>0.99924049999999998</v>
      </c>
      <c r="Q9136">
        <v>3.8436230000000002E-2</v>
      </c>
      <c r="R9136">
        <v>-6.4301760000000001E-3</v>
      </c>
      <c r="S9136">
        <v>3.006424</v>
      </c>
      <c r="T9136">
        <v>-8.9779499999999998E-2</v>
      </c>
      <c r="U9136">
        <v>0.1126404</v>
      </c>
      <c r="V9136">
        <v>-2.407842E-2</v>
      </c>
      <c r="W9136">
        <v>5.1706439999999999E-2</v>
      </c>
      <c r="X9136">
        <v>0.99837200000000004</v>
      </c>
      <c r="Y9136">
        <v>-6.7876729999999996E-2</v>
      </c>
      <c r="Z9136">
        <v>1.9237849999999999E-3</v>
      </c>
      <c r="AA9136">
        <v>0.99769189999999996</v>
      </c>
      <c r="AB9136">
        <v>17</v>
      </c>
      <c r="AC9136">
        <v>37.022320000000001</v>
      </c>
      <c r="AD9136">
        <v>-1.1105415819314</v>
      </c>
      <c r="AE9136">
        <v>1.3982000000000001</v>
      </c>
      <c r="AF9136">
        <v>-2.5251666775802102</v>
      </c>
      <c r="AG9136">
        <v>-1.1105415819314</v>
      </c>
      <c r="AH9136">
        <v>36.929221355074098</v>
      </c>
      <c r="AI9136">
        <v>91.718478555807394</v>
      </c>
      <c r="AJ9136">
        <v>93.911713443491394</v>
      </c>
      <c r="AK9136">
        <v>37.032109840607497</v>
      </c>
      <c r="AL9136">
        <v>87.036117493622598</v>
      </c>
      <c r="AM9136">
        <v>91.381573652875403</v>
      </c>
      <c r="AN9136">
        <v>0.99999998831558401</v>
      </c>
    </row>
    <row r="9137" spans="1:40" x14ac:dyDescent="0.25">
      <c r="A9137" t="str">
        <f>"20190312160546673"</f>
        <v>20190312160546673</v>
      </c>
      <c r="B9137" t="str">
        <f>"1552377946664449"</f>
        <v>1552377946664449</v>
      </c>
      <c r="C9137" t="s">
        <v>40</v>
      </c>
      <c r="D9137">
        <v>5.1534969999999998</v>
      </c>
      <c r="E9137">
        <v>0.48259639999999998</v>
      </c>
      <c r="F9137" t="s">
        <v>41</v>
      </c>
      <c r="G9137">
        <v>-95.454040000000006</v>
      </c>
      <c r="H9137" s="1">
        <v>-2.0931649999999998E-6</v>
      </c>
      <c r="I9137">
        <v>140.2201</v>
      </c>
      <c r="J9137">
        <v>-135.73589999999999</v>
      </c>
      <c r="K9137">
        <v>1.1105499999999999</v>
      </c>
      <c r="L9137">
        <v>138.66149999999999</v>
      </c>
      <c r="M9137">
        <v>0.99945189999999995</v>
      </c>
      <c r="N9137">
        <v>0</v>
      </c>
      <c r="O9137">
        <v>-3.0321589999999999E-2</v>
      </c>
      <c r="P9137">
        <v>0.99921700000000002</v>
      </c>
      <c r="Q9137">
        <v>3.9138510000000001E-2</v>
      </c>
      <c r="R9137">
        <v>-5.826243E-3</v>
      </c>
      <c r="S9137">
        <v>3.0062099999999998</v>
      </c>
      <c r="T9137">
        <v>-8.2537410000000005E-2</v>
      </c>
      <c r="U9137">
        <v>0.1154785</v>
      </c>
      <c r="V9137">
        <v>-2.4486930000000001E-2</v>
      </c>
      <c r="W9137">
        <v>5.2406429999999997E-2</v>
      </c>
      <c r="X9137">
        <v>0.99832560000000004</v>
      </c>
      <c r="Y9137">
        <v>-6.8632040000000005E-2</v>
      </c>
      <c r="Z9137">
        <v>1.7737779999999999E-3</v>
      </c>
      <c r="AA9137">
        <v>0.99764050000000004</v>
      </c>
      <c r="AB9137">
        <v>17</v>
      </c>
      <c r="AC9137">
        <v>40.281859999999902</v>
      </c>
      <c r="AD9137">
        <v>-1.1105520931649999</v>
      </c>
      <c r="AE9137">
        <v>1.55860000000001</v>
      </c>
      <c r="AF9137">
        <v>-2.7772932615306898</v>
      </c>
      <c r="AG9137">
        <v>-1.1105520931649999</v>
      </c>
      <c r="AH9137">
        <v>40.185572964549202</v>
      </c>
      <c r="AI9137">
        <v>91.579234724974398</v>
      </c>
      <c r="AJ9137">
        <v>93.953522150210802</v>
      </c>
      <c r="AK9137">
        <v>40.296736323197301</v>
      </c>
      <c r="AL9137">
        <v>86.995956673400997</v>
      </c>
      <c r="AM9137">
        <v>91.405069133046098</v>
      </c>
      <c r="AN9137">
        <v>1.00000002363076</v>
      </c>
    </row>
    <row r="9138" spans="1:40" x14ac:dyDescent="0.25">
      <c r="A9138" t="str">
        <f>"20190312160546696"</f>
        <v>20190312160546696</v>
      </c>
      <c r="B9138" t="str">
        <f>"1552377946683968"</f>
        <v>1552377946683968</v>
      </c>
      <c r="C9138" t="s">
        <v>40</v>
      </c>
      <c r="D9138">
        <v>5.1169200000000004</v>
      </c>
      <c r="E9138">
        <v>0.48307309999999998</v>
      </c>
      <c r="F9138" t="s">
        <v>41</v>
      </c>
      <c r="G9138">
        <v>-92.339449999999999</v>
      </c>
      <c r="H9138" s="1">
        <v>-3.4677179999999999E-6</v>
      </c>
      <c r="I9138">
        <v>140.36449999999999</v>
      </c>
      <c r="J9138">
        <v>-135.5643</v>
      </c>
      <c r="K9138">
        <v>1.1105419999999999</v>
      </c>
      <c r="L9138">
        <v>138.6566</v>
      </c>
      <c r="M9138">
        <v>0.99945790000000001</v>
      </c>
      <c r="N9138">
        <v>0</v>
      </c>
      <c r="O9138">
        <v>-3.0120959999999999E-2</v>
      </c>
      <c r="P9138">
        <v>0.99918910000000005</v>
      </c>
      <c r="Q9138">
        <v>3.9946540000000003E-2</v>
      </c>
      <c r="R9138">
        <v>-5.0142880000000004E-3</v>
      </c>
      <c r="S9138">
        <v>3.0060579999999999</v>
      </c>
      <c r="T9138">
        <v>-7.6927540000000003E-2</v>
      </c>
      <c r="U9138">
        <v>0.11796570000000001</v>
      </c>
      <c r="V9138">
        <v>-2.5096609999999998E-2</v>
      </c>
      <c r="W9138">
        <v>5.3211649999999999E-2</v>
      </c>
      <c r="X9138">
        <v>0.99826780000000004</v>
      </c>
      <c r="Y9138">
        <v>-6.9262649999999995E-2</v>
      </c>
      <c r="Z9138">
        <v>1.6562510000000001E-3</v>
      </c>
      <c r="AA9138">
        <v>0.99759710000000001</v>
      </c>
      <c r="AB9138">
        <v>17</v>
      </c>
      <c r="AC9138">
        <v>43.224850000000004</v>
      </c>
      <c r="AD9138">
        <v>-1.110545467718</v>
      </c>
      <c r="AE9138">
        <v>1.70789999999999</v>
      </c>
      <c r="AF9138">
        <v>-3.0072319404602101</v>
      </c>
      <c r="AG9138">
        <v>-1.110545467718</v>
      </c>
      <c r="AH9138">
        <v>43.125363185398697</v>
      </c>
      <c r="AI9138">
        <v>91.471557926154901</v>
      </c>
      <c r="AJ9138">
        <v>93.988910922839693</v>
      </c>
      <c r="AK9138">
        <v>43.244348822154002</v>
      </c>
      <c r="AL9138">
        <v>86.949756305074004</v>
      </c>
      <c r="AM9138">
        <v>91.440121589448097</v>
      </c>
      <c r="AN9138">
        <v>0.99999996002302605</v>
      </c>
    </row>
    <row r="9139" spans="1:40" x14ac:dyDescent="0.25">
      <c r="A9139" t="str">
        <f>"20190312160546719"</f>
        <v>20190312160546719</v>
      </c>
      <c r="B9139" t="str">
        <f>"1552377946714224"</f>
        <v>1552377946714224</v>
      </c>
      <c r="C9139" t="s">
        <v>40</v>
      </c>
      <c r="D9139">
        <v>5.0749570000000004</v>
      </c>
      <c r="E9139">
        <v>0.48362719999999998</v>
      </c>
      <c r="F9139" t="s">
        <v>41</v>
      </c>
      <c r="G9139">
        <v>-94.206050000000005</v>
      </c>
      <c r="H9139" s="1">
        <v>-2.6388489999999999E-6</v>
      </c>
      <c r="I9139">
        <v>140.25890000000001</v>
      </c>
      <c r="J9139">
        <v>-135.39660000000001</v>
      </c>
      <c r="K9139">
        <v>1.110528</v>
      </c>
      <c r="L9139">
        <v>138.65170000000001</v>
      </c>
      <c r="M9139">
        <v>0.99946389999999996</v>
      </c>
      <c r="N9139">
        <v>0</v>
      </c>
      <c r="O9139">
        <v>-2.9924869999999999E-2</v>
      </c>
      <c r="P9139">
        <v>0.99918600000000002</v>
      </c>
      <c r="Q9139">
        <v>4.0159460000000001E-2</v>
      </c>
      <c r="R9139">
        <v>-3.8483440000000001E-3</v>
      </c>
      <c r="S9139">
        <v>3.0062410000000002</v>
      </c>
      <c r="T9139">
        <v>-8.0722929999999998E-2</v>
      </c>
      <c r="U9139">
        <v>0.1164703</v>
      </c>
      <c r="V9139">
        <v>-2.606642E-2</v>
      </c>
      <c r="W9139">
        <v>5.3422110000000002E-2</v>
      </c>
      <c r="X9139">
        <v>0.9982318</v>
      </c>
      <c r="Y9139">
        <v>-6.8566080000000001E-2</v>
      </c>
      <c r="Z9139">
        <v>1.7232370000000001E-3</v>
      </c>
      <c r="AA9139">
        <v>0.99764509999999995</v>
      </c>
      <c r="AB9139">
        <v>17</v>
      </c>
      <c r="AC9139">
        <v>41.190550000000002</v>
      </c>
      <c r="AD9139">
        <v>-1.1105306388489999</v>
      </c>
      <c r="AE9139">
        <v>1.6072</v>
      </c>
      <c r="AF9139">
        <v>-2.83715153554324</v>
      </c>
      <c r="AG9139">
        <v>-1.1105306388489999</v>
      </c>
      <c r="AH9139">
        <v>41.094174749939398</v>
      </c>
      <c r="AI9139">
        <v>91.544312340738401</v>
      </c>
      <c r="AJ9139">
        <v>93.949447028738902</v>
      </c>
      <c r="AK9139">
        <v>41.206964284135402</v>
      </c>
      <c r="AL9139">
        <v>86.937680944885599</v>
      </c>
      <c r="AM9139">
        <v>91.4958014124676</v>
      </c>
      <c r="AN9139">
        <v>1.0000000533098501</v>
      </c>
    </row>
    <row r="9140" spans="1:40" x14ac:dyDescent="0.25">
      <c r="A9140" t="str">
        <f>"20190312160546742"</f>
        <v>20190312160546742</v>
      </c>
      <c r="B9140" t="str">
        <f>"1552377946734720"</f>
        <v>1552377946734720</v>
      </c>
      <c r="C9140" t="s">
        <v>40</v>
      </c>
      <c r="D9140">
        <v>5.0472549999999998</v>
      </c>
      <c r="E9140">
        <v>0.48371609999999998</v>
      </c>
      <c r="F9140" t="s">
        <v>41</v>
      </c>
      <c r="G9140">
        <v>-97.021630000000002</v>
      </c>
      <c r="H9140" s="1">
        <v>-1.3947340000000001E-6</v>
      </c>
      <c r="I9140">
        <v>140.12260000000001</v>
      </c>
      <c r="J9140">
        <v>-135.21729999999999</v>
      </c>
      <c r="K9140">
        <v>1.11053</v>
      </c>
      <c r="L9140">
        <v>138.64670000000001</v>
      </c>
      <c r="M9140">
        <v>0.99947019999999998</v>
      </c>
      <c r="N9140">
        <v>0</v>
      </c>
      <c r="O9140">
        <v>-2.9715060000000001E-2</v>
      </c>
      <c r="P9140">
        <v>0.99917049999999996</v>
      </c>
      <c r="Q9140">
        <v>4.062665E-2</v>
      </c>
      <c r="R9140">
        <v>-2.7899299999999999E-3</v>
      </c>
      <c r="S9140">
        <v>3.0063629999999999</v>
      </c>
      <c r="T9140">
        <v>-8.7000850000000005E-2</v>
      </c>
      <c r="U9140">
        <v>0.1152344</v>
      </c>
      <c r="V9140">
        <v>-2.6913960000000001E-2</v>
      </c>
      <c r="W9140">
        <v>5.3886829999999997E-2</v>
      </c>
      <c r="X9140">
        <v>0.99818430000000002</v>
      </c>
      <c r="Y9140">
        <v>-6.7940159999999999E-2</v>
      </c>
      <c r="Z9140">
        <v>1.84202E-3</v>
      </c>
      <c r="AA9140">
        <v>0.99768769999999996</v>
      </c>
      <c r="AB9140">
        <v>17</v>
      </c>
      <c r="AC9140">
        <v>38.1956699999999</v>
      </c>
      <c r="AD9140">
        <v>-1.1105313947339901</v>
      </c>
      <c r="AE9140">
        <v>1.47589999999999</v>
      </c>
      <c r="AF9140">
        <v>-2.6081333676012801</v>
      </c>
      <c r="AG9140">
        <v>-1.1105313947339901</v>
      </c>
      <c r="AH9140">
        <v>38.102777948615298</v>
      </c>
      <c r="AI9140">
        <v>91.665556743832298</v>
      </c>
      <c r="AJ9140">
        <v>93.915785380520802</v>
      </c>
      <c r="AK9140">
        <v>38.208079342507801</v>
      </c>
      <c r="AL9140">
        <v>86.911015952339696</v>
      </c>
      <c r="AM9140">
        <v>91.544487115091101</v>
      </c>
      <c r="AN9140">
        <v>1.0000000242284099</v>
      </c>
    </row>
    <row r="9141" spans="1:40" x14ac:dyDescent="0.25">
      <c r="A9141" t="str">
        <f>"20190312160546765"</f>
        <v>20190312160546765</v>
      </c>
      <c r="B9141" t="str">
        <f>"1552377946754240"</f>
        <v>1552377946754240</v>
      </c>
      <c r="C9141" t="s">
        <v>40</v>
      </c>
      <c r="D9141">
        <v>5.1209339999999903</v>
      </c>
      <c r="E9141">
        <v>0.48368749999999999</v>
      </c>
      <c r="F9141" t="s">
        <v>41</v>
      </c>
      <c r="G9141">
        <v>-98.026480000000006</v>
      </c>
      <c r="H9141" s="1">
        <v>-9.5819759999999997E-7</v>
      </c>
      <c r="I9141">
        <v>140.10210000000001</v>
      </c>
      <c r="J9141">
        <v>-135.0463</v>
      </c>
      <c r="K9141">
        <v>1.1105229999999999</v>
      </c>
      <c r="L9141">
        <v>138.64179999999999</v>
      </c>
      <c r="M9141">
        <v>0.99947609999999998</v>
      </c>
      <c r="N9141">
        <v>0</v>
      </c>
      <c r="O9141">
        <v>-2.9514909999999998E-2</v>
      </c>
      <c r="P9141">
        <v>0.99916369999999999</v>
      </c>
      <c r="Q9141">
        <v>4.0822339999999999E-2</v>
      </c>
      <c r="R9141">
        <v>-2.4068840000000002E-3</v>
      </c>
      <c r="S9141">
        <v>3.0064540000000002</v>
      </c>
      <c r="T9141">
        <v>-8.9773649999999997E-2</v>
      </c>
      <c r="U9141">
        <v>0.1176605</v>
      </c>
      <c r="V9141">
        <v>-2.7097389999999999E-2</v>
      </c>
      <c r="W9141">
        <v>5.4080620000000003E-2</v>
      </c>
      <c r="X9141">
        <v>0.99816879999999997</v>
      </c>
      <c r="Y9141">
        <v>-6.8540279999999995E-2</v>
      </c>
      <c r="Z9141">
        <v>1.9035980000000001E-3</v>
      </c>
      <c r="AA9141">
        <v>0.99764649999999999</v>
      </c>
      <c r="AB9141">
        <v>17</v>
      </c>
      <c r="AC9141">
        <v>37.019820000000003</v>
      </c>
      <c r="AD9141">
        <v>-1.1105239581976001</v>
      </c>
      <c r="AE9141">
        <v>1.4603000000000099</v>
      </c>
      <c r="AF9141">
        <v>-2.55010549230352</v>
      </c>
      <c r="AG9141">
        <v>-1.1105239581976001</v>
      </c>
      <c r="AH9141">
        <v>36.927405869007103</v>
      </c>
      <c r="AI9141">
        <v>91.718456010296606</v>
      </c>
      <c r="AJ9141">
        <v>93.9504178234249</v>
      </c>
      <c r="AK9141">
        <v>37.032007853990201</v>
      </c>
      <c r="AL9141">
        <v>86.899896213532401</v>
      </c>
      <c r="AM9141">
        <v>91.555032431073499</v>
      </c>
      <c r="AN9141">
        <v>0.99999996764891697</v>
      </c>
    </row>
    <row r="9142" spans="1:40" x14ac:dyDescent="0.25">
      <c r="A9142" t="str">
        <f>"20190312160546786"</f>
        <v>20190312160546786</v>
      </c>
      <c r="B9142" t="str">
        <f>"1552377946774736"</f>
        <v>1552377946774736</v>
      </c>
      <c r="C9142" t="s">
        <v>40</v>
      </c>
      <c r="D9142">
        <v>5.0709999999999997</v>
      </c>
      <c r="E9142">
        <v>0.48371920000000002</v>
      </c>
      <c r="F9142" t="s">
        <v>41</v>
      </c>
      <c r="G9142">
        <v>-97.768299999999996</v>
      </c>
      <c r="H9142" s="1">
        <v>-1.0732519999999999E-6</v>
      </c>
      <c r="I9142">
        <v>140.1183</v>
      </c>
      <c r="J9142">
        <v>-134.88759999999999</v>
      </c>
      <c r="K9142">
        <v>1.1105130000000001</v>
      </c>
      <c r="L9142">
        <v>138.63740000000001</v>
      </c>
      <c r="M9142">
        <v>0.99948159999999997</v>
      </c>
      <c r="N9142">
        <v>0</v>
      </c>
      <c r="O9142">
        <v>-2.9329419999999998E-2</v>
      </c>
      <c r="P9142">
        <v>0.99916590000000005</v>
      </c>
      <c r="Q9142">
        <v>4.0778410000000001E-2</v>
      </c>
      <c r="R9142">
        <v>-2.157656E-3</v>
      </c>
      <c r="S9142">
        <v>3.0064700000000002</v>
      </c>
      <c r="T9142">
        <v>-8.9563729999999994E-2</v>
      </c>
      <c r="U9142">
        <v>0.11907959999999999</v>
      </c>
      <c r="V9142">
        <v>-2.7160770000000001E-2</v>
      </c>
      <c r="W9142">
        <v>5.4034909999999998E-2</v>
      </c>
      <c r="X9142">
        <v>0.99816959999999999</v>
      </c>
      <c r="Y9142">
        <v>-6.8825269999999994E-2</v>
      </c>
      <c r="Z9142">
        <v>1.8978420000000001E-3</v>
      </c>
      <c r="AA9142">
        <v>0.99762689999999998</v>
      </c>
      <c r="AB9142">
        <v>17</v>
      </c>
      <c r="AC9142">
        <v>37.119300000000003</v>
      </c>
      <c r="AD9142">
        <v>-1.11051407325199</v>
      </c>
      <c r="AE9142">
        <v>1.4808999999999899</v>
      </c>
      <c r="AF9142">
        <v>-2.5667526058617698</v>
      </c>
      <c r="AG9142">
        <v>-1.11051407325199</v>
      </c>
      <c r="AH9142">
        <v>37.026802421994603</v>
      </c>
      <c r="AI9142">
        <v>91.713799249790398</v>
      </c>
      <c r="AJ9142">
        <v>93.965484138766996</v>
      </c>
      <c r="AK9142">
        <v>37.132271113466999</v>
      </c>
      <c r="AL9142">
        <v>86.902519184479104</v>
      </c>
      <c r="AM9142">
        <v>91.558666565583593</v>
      </c>
      <c r="AN9142">
        <v>1.0000000146449299</v>
      </c>
    </row>
    <row r="9143" spans="1:40" x14ac:dyDescent="0.25">
      <c r="A9143" t="str">
        <f>"20190312160546807"</f>
        <v>20190312160546807</v>
      </c>
      <c r="B9143" t="str">
        <f>"1552377946804020"</f>
        <v>1552377946804020</v>
      </c>
      <c r="C9143" t="s">
        <v>40</v>
      </c>
      <c r="D9143">
        <v>5.0353379999999897</v>
      </c>
      <c r="E9143">
        <v>0.48402210000000001</v>
      </c>
      <c r="F9143" t="s">
        <v>41</v>
      </c>
      <c r="G9143">
        <v>-98.303600000000003</v>
      </c>
      <c r="H9143" s="1">
        <v>-8.3689219999999996E-7</v>
      </c>
      <c r="I9143">
        <v>140.09299999999999</v>
      </c>
      <c r="J9143">
        <v>-134.72890000000001</v>
      </c>
      <c r="K9143">
        <v>1.1105179999999999</v>
      </c>
      <c r="L9143">
        <v>138.63290000000001</v>
      </c>
      <c r="M9143">
        <v>0.99948700000000001</v>
      </c>
      <c r="N9143">
        <v>0</v>
      </c>
      <c r="O9143">
        <v>-2.9143809999999999E-2</v>
      </c>
      <c r="P9143">
        <v>0.99917180000000005</v>
      </c>
      <c r="Q9143">
        <v>4.0614629999999999E-2</v>
      </c>
      <c r="R9143">
        <v>-2.4566789999999998E-3</v>
      </c>
      <c r="S9143">
        <v>3.0064850000000001</v>
      </c>
      <c r="T9143">
        <v>-9.1262339999999997E-2</v>
      </c>
      <c r="U9143">
        <v>0.1196289</v>
      </c>
      <c r="V9143">
        <v>-2.6676470000000001E-2</v>
      </c>
      <c r="W9143">
        <v>5.3870170000000002E-2</v>
      </c>
      <c r="X9143">
        <v>0.99819150000000001</v>
      </c>
      <c r="Y9143">
        <v>-6.8820220000000001E-2</v>
      </c>
      <c r="Z9143">
        <v>1.928096E-3</v>
      </c>
      <c r="AA9143">
        <v>0.99762720000000005</v>
      </c>
      <c r="AB9143">
        <v>17</v>
      </c>
      <c r="AC9143">
        <v>36.4253</v>
      </c>
      <c r="AD9143">
        <v>-1.1105188368921901</v>
      </c>
      <c r="AE9143">
        <v>1.46009999999998</v>
      </c>
      <c r="AF9143">
        <v>-2.5188078790277402</v>
      </c>
      <c r="AG9143">
        <v>-1.1105188368921901</v>
      </c>
      <c r="AH9143">
        <v>36.333550665020503</v>
      </c>
      <c r="AI9143">
        <v>91.746485950701697</v>
      </c>
      <c r="AJ9143">
        <v>93.965660709058596</v>
      </c>
      <c r="AK9143">
        <v>36.437680348043003</v>
      </c>
      <c r="AL9143">
        <v>86.911971658966905</v>
      </c>
      <c r="AM9143">
        <v>91.530853968111501</v>
      </c>
      <c r="AN9143">
        <v>0.99999994996986796</v>
      </c>
    </row>
    <row r="9144" spans="1:40" x14ac:dyDescent="0.25">
      <c r="A9144" t="str">
        <f>"20190312160546830"</f>
        <v>20190312160546830</v>
      </c>
      <c r="B9144" t="str">
        <f>"1552377946824512"</f>
        <v>1552377946824512</v>
      </c>
      <c r="C9144" t="s">
        <v>40</v>
      </c>
      <c r="D9144">
        <v>5.0322009999999997</v>
      </c>
      <c r="E9144">
        <v>0.48400870000000001</v>
      </c>
      <c r="F9144" t="s">
        <v>41</v>
      </c>
      <c r="G9144">
        <v>-100.86020000000001</v>
      </c>
      <c r="H9144" s="1">
        <v>-4.3871169999999997E-6</v>
      </c>
      <c r="I9144">
        <v>139.9402</v>
      </c>
      <c r="J9144">
        <v>-134.56110000000001</v>
      </c>
      <c r="K9144">
        <v>1.110517</v>
      </c>
      <c r="L9144">
        <v>138.6283</v>
      </c>
      <c r="M9144">
        <v>0.99949279999999996</v>
      </c>
      <c r="N9144">
        <v>0</v>
      </c>
      <c r="O9144">
        <v>-2.894735E-2</v>
      </c>
      <c r="P9144">
        <v>0.99915220000000005</v>
      </c>
      <c r="Q9144">
        <v>4.1057900000000001E-2</v>
      </c>
      <c r="R9144">
        <v>-3.061336E-3</v>
      </c>
      <c r="S9144">
        <v>3.0067900000000001</v>
      </c>
      <c r="T9144">
        <v>-9.8589540000000003E-2</v>
      </c>
      <c r="U9144">
        <v>0.1160583</v>
      </c>
      <c r="V9144">
        <v>-2.5875260000000001E-2</v>
      </c>
      <c r="W9144">
        <v>5.4311539999999998E-2</v>
      </c>
      <c r="X9144">
        <v>0.99818870000000004</v>
      </c>
      <c r="Y9144">
        <v>-6.7430519999999994E-2</v>
      </c>
      <c r="Z9144">
        <v>2.0534429999999998E-3</v>
      </c>
      <c r="AA9144">
        <v>0.99772190000000005</v>
      </c>
      <c r="AB9144">
        <v>17</v>
      </c>
      <c r="AC9144">
        <v>33.700899999999997</v>
      </c>
      <c r="AD9144">
        <v>-1.1105213871170001</v>
      </c>
      <c r="AE9144">
        <v>1.3119000000000001</v>
      </c>
      <c r="AF9144">
        <v>-2.2845109485694199</v>
      </c>
      <c r="AG9144">
        <v>-1.1105213871170001</v>
      </c>
      <c r="AH9144">
        <v>33.612352523766802</v>
      </c>
      <c r="AI9144">
        <v>91.887959354649297</v>
      </c>
      <c r="AJ9144">
        <v>93.888208719637703</v>
      </c>
      <c r="AK9144">
        <v>33.708196187386697</v>
      </c>
      <c r="AL9144">
        <v>86.886646025988099</v>
      </c>
      <c r="AM9144">
        <v>91.484900856080998</v>
      </c>
      <c r="AN9144">
        <v>0.99999997663246398</v>
      </c>
    </row>
    <row r="9145" spans="1:40" x14ac:dyDescent="0.25">
      <c r="A9145" t="str">
        <f>"20190312160546852"</f>
        <v>20190312160546852</v>
      </c>
      <c r="B9145" t="str">
        <f>"1552377946844033"</f>
        <v>1552377946844033</v>
      </c>
      <c r="C9145" t="s">
        <v>40</v>
      </c>
      <c r="D9145">
        <v>5.1961279999999999</v>
      </c>
      <c r="E9145">
        <v>0.48423850000000002</v>
      </c>
      <c r="F9145" t="s">
        <v>41</v>
      </c>
      <c r="G9145">
        <v>-101.5488</v>
      </c>
      <c r="H9145" s="1">
        <v>-4.0463919999999997E-6</v>
      </c>
      <c r="I9145">
        <v>139.88310000000001</v>
      </c>
      <c r="J9145">
        <v>-134.3954</v>
      </c>
      <c r="K9145">
        <v>1.1105119999999999</v>
      </c>
      <c r="L9145">
        <v>138.62370000000001</v>
      </c>
      <c r="M9145">
        <v>0.99949849999999996</v>
      </c>
      <c r="N9145">
        <v>0</v>
      </c>
      <c r="O9145">
        <v>-2.8753520000000001E-2</v>
      </c>
      <c r="P9145">
        <v>0.99912259999999997</v>
      </c>
      <c r="Q9145">
        <v>4.1721580000000001E-2</v>
      </c>
      <c r="R9145">
        <v>-3.7267630000000001E-3</v>
      </c>
      <c r="S9145">
        <v>3.00705</v>
      </c>
      <c r="T9145">
        <v>-0.101156</v>
      </c>
      <c r="U9145">
        <v>0.11430360000000001</v>
      </c>
      <c r="V9145">
        <v>-2.501569E-2</v>
      </c>
      <c r="W9145">
        <v>5.4972880000000002E-2</v>
      </c>
      <c r="X9145">
        <v>0.99817440000000002</v>
      </c>
      <c r="Y9145">
        <v>-6.6650130000000002E-2</v>
      </c>
      <c r="Z9145">
        <v>2.0870730000000001E-3</v>
      </c>
      <c r="AA9145">
        <v>0.99777420000000006</v>
      </c>
      <c r="AB9145">
        <v>17</v>
      </c>
      <c r="AC9145">
        <v>32.846599999999903</v>
      </c>
      <c r="AD9145">
        <v>-1.1105160463920001</v>
      </c>
      <c r="AE9145">
        <v>1.2593999999999901</v>
      </c>
      <c r="AF9145">
        <v>-2.2009055991014299</v>
      </c>
      <c r="AG9145">
        <v>-1.1105160463920001</v>
      </c>
      <c r="AH9145">
        <v>32.759410237063904</v>
      </c>
      <c r="AI9145">
        <v>91.937170920975007</v>
      </c>
      <c r="AJ9145">
        <v>93.843579121382405</v>
      </c>
      <c r="AK9145">
        <v>32.852034798862903</v>
      </c>
      <c r="AL9145">
        <v>86.848697309523402</v>
      </c>
      <c r="AM9145">
        <v>91.435614356855893</v>
      </c>
      <c r="AN9145">
        <v>0.99999996754851395</v>
      </c>
    </row>
    <row r="9146" spans="1:40" x14ac:dyDescent="0.25">
      <c r="A9146" t="str">
        <f>"20190312160546874"</f>
        <v>20190312160546874</v>
      </c>
      <c r="B9146" t="str">
        <f>"1552377946864529"</f>
        <v>1552377946864529</v>
      </c>
      <c r="C9146" t="s">
        <v>40</v>
      </c>
      <c r="D9146">
        <v>4.9576229999999999</v>
      </c>
      <c r="E9146">
        <v>0.48424040000000002</v>
      </c>
      <c r="F9146" t="s">
        <v>41</v>
      </c>
      <c r="G9146">
        <v>-101.6126</v>
      </c>
      <c r="H9146" s="1">
        <v>-4.0011429999999998E-6</v>
      </c>
      <c r="I9146">
        <v>139.8263</v>
      </c>
      <c r="J9146">
        <v>-134.2312</v>
      </c>
      <c r="K9146">
        <v>1.1105160000000001</v>
      </c>
      <c r="L9146">
        <v>138.61920000000001</v>
      </c>
      <c r="M9146">
        <v>0.9995039</v>
      </c>
      <c r="N9146">
        <v>0</v>
      </c>
      <c r="O9146">
        <v>-2.8561349999999999E-2</v>
      </c>
      <c r="P9146">
        <v>0.9991215</v>
      </c>
      <c r="Q9146">
        <v>4.1648690000000002E-2</v>
      </c>
      <c r="R9146">
        <v>-4.6215400000000004E-3</v>
      </c>
      <c r="S9146">
        <v>3.0073240000000001</v>
      </c>
      <c r="T9146">
        <v>-0.1018728</v>
      </c>
      <c r="U9146">
        <v>0.110321</v>
      </c>
      <c r="V9146">
        <v>-2.3929140000000002E-2</v>
      </c>
      <c r="W9146">
        <v>5.4899089999999998E-2</v>
      </c>
      <c r="X9146">
        <v>0.99820509999999996</v>
      </c>
      <c r="Y9146">
        <v>-6.5135490000000004E-2</v>
      </c>
      <c r="Z9146">
        <v>2.0695660000000001E-3</v>
      </c>
      <c r="AA9146">
        <v>0.99787429999999999</v>
      </c>
      <c r="AB9146">
        <v>17</v>
      </c>
      <c r="AC9146">
        <v>32.618600000000001</v>
      </c>
      <c r="AD9146">
        <v>-1.1105200011429901</v>
      </c>
      <c r="AE9146">
        <v>1.2070999999999901</v>
      </c>
      <c r="AF9146">
        <v>-2.1358485232629998</v>
      </c>
      <c r="AG9146">
        <v>-1.1105200011429901</v>
      </c>
      <c r="AH9146">
        <v>32.533153460026099</v>
      </c>
      <c r="AI9146">
        <v>91.950837368956201</v>
      </c>
      <c r="AJ9146">
        <v>93.756160394335097</v>
      </c>
      <c r="AK9146">
        <v>32.622096462993802</v>
      </c>
      <c r="AL9146">
        <v>86.852931560082894</v>
      </c>
      <c r="AM9146">
        <v>91.373241020961004</v>
      </c>
      <c r="AN9146">
        <v>0.99999996774498801</v>
      </c>
    </row>
    <row r="9147" spans="1:40" x14ac:dyDescent="0.25">
      <c r="A9147" t="str">
        <f>"20190312160546896"</f>
        <v>20190312160546896</v>
      </c>
      <c r="B9147" t="str">
        <f>"1552377946884049"</f>
        <v>1552377946884049</v>
      </c>
      <c r="C9147" t="s">
        <v>40</v>
      </c>
      <c r="D9147">
        <v>4.9410480000000003</v>
      </c>
      <c r="E9147">
        <v>0.48415560000000002</v>
      </c>
      <c r="F9147" t="s">
        <v>41</v>
      </c>
      <c r="G9147">
        <v>-102.4088</v>
      </c>
      <c r="H9147" s="1">
        <v>-3.6066139999999999E-6</v>
      </c>
      <c r="I9147">
        <v>139.75810000000001</v>
      </c>
      <c r="J9147">
        <v>-134.066</v>
      </c>
      <c r="K9147">
        <v>1.110514</v>
      </c>
      <c r="L9147">
        <v>138.6147</v>
      </c>
      <c r="M9147">
        <v>0.99950950000000005</v>
      </c>
      <c r="N9147">
        <v>0</v>
      </c>
      <c r="O9147">
        <v>-2.8367989999999999E-2</v>
      </c>
      <c r="P9147">
        <v>0.99910069999999995</v>
      </c>
      <c r="Q9147">
        <v>4.2153509999999998E-2</v>
      </c>
      <c r="R9147">
        <v>-4.6057499999999996E-3</v>
      </c>
      <c r="S9147">
        <v>3.0075069999999999</v>
      </c>
      <c r="T9147">
        <v>-0.10495409999999999</v>
      </c>
      <c r="U9147">
        <v>0.1076355</v>
      </c>
      <c r="V9147">
        <v>-2.3751410000000001E-2</v>
      </c>
      <c r="W9147">
        <v>5.540233E-2</v>
      </c>
      <c r="X9147">
        <v>0.9981816</v>
      </c>
      <c r="Y9147">
        <v>-6.4047809999999997E-2</v>
      </c>
      <c r="Z9147">
        <v>2.1063179999999998E-3</v>
      </c>
      <c r="AA9147">
        <v>0.99794459999999996</v>
      </c>
      <c r="AB9147">
        <v>17</v>
      </c>
      <c r="AC9147">
        <v>31.6572</v>
      </c>
      <c r="AD9147">
        <v>-1.1105176066139999</v>
      </c>
      <c r="AE9147">
        <v>1.14340000000001</v>
      </c>
      <c r="AF9147">
        <v>-2.03856460854495</v>
      </c>
      <c r="AG9147">
        <v>-1.1105176066139999</v>
      </c>
      <c r="AH9147">
        <v>31.5732160295947</v>
      </c>
      <c r="AI9147">
        <v>92.010238766997801</v>
      </c>
      <c r="AJ9147">
        <v>93.694246605203901</v>
      </c>
      <c r="AK9147">
        <v>31.658442246409798</v>
      </c>
      <c r="AL9147">
        <v>86.824054269173104</v>
      </c>
      <c r="AM9147">
        <v>91.363077424911296</v>
      </c>
      <c r="AN9147">
        <v>1.00000002711248</v>
      </c>
    </row>
    <row r="9148" spans="1:40" x14ac:dyDescent="0.25">
      <c r="A9148" t="str">
        <f>"20190312160546920"</f>
        <v>20190312160546920</v>
      </c>
      <c r="B9148" t="str">
        <f>"1552377946914305"</f>
        <v>1552377946914305</v>
      </c>
      <c r="C9148" t="s">
        <v>40</v>
      </c>
      <c r="D9148">
        <v>4.8973500000000003</v>
      </c>
      <c r="E9148">
        <v>0.48402689999999998</v>
      </c>
      <c r="F9148" t="s">
        <v>41</v>
      </c>
      <c r="G9148">
        <v>-101.248</v>
      </c>
      <c r="H9148" s="1">
        <v>-4.1655470000000004E-6</v>
      </c>
      <c r="I9148">
        <v>139.79640000000001</v>
      </c>
      <c r="J9148">
        <v>-133.8954</v>
      </c>
      <c r="K9148">
        <v>1.1105080000000001</v>
      </c>
      <c r="L9148">
        <v>138.61009999999999</v>
      </c>
      <c r="M9148">
        <v>0.99951520000000005</v>
      </c>
      <c r="N9148">
        <v>0</v>
      </c>
      <c r="O9148">
        <v>-2.8168559999999999E-2</v>
      </c>
      <c r="P9148">
        <v>0.99908439999999998</v>
      </c>
      <c r="Q9148">
        <v>4.2582500000000002E-2</v>
      </c>
      <c r="R9148">
        <v>-4.1301100000000002E-3</v>
      </c>
      <c r="S9148">
        <v>3.0074920000000001</v>
      </c>
      <c r="T9148">
        <v>-0.10176929999999999</v>
      </c>
      <c r="U9148">
        <v>0.1082916</v>
      </c>
      <c r="V9148">
        <v>-2.402642E-2</v>
      </c>
      <c r="W9148">
        <v>5.5828450000000002E-2</v>
      </c>
      <c r="X9148">
        <v>0.99815120000000002</v>
      </c>
      <c r="Y9148">
        <v>-6.4069749999999995E-2</v>
      </c>
      <c r="Z9148">
        <v>2.0360679999999998E-3</v>
      </c>
      <c r="AA9148">
        <v>0.99794329999999998</v>
      </c>
      <c r="AB9148">
        <v>17</v>
      </c>
      <c r="AC9148">
        <v>32.647399999999998</v>
      </c>
      <c r="AD9148">
        <v>-1.1105121655470001</v>
      </c>
      <c r="AE9148">
        <v>1.1863000000000099</v>
      </c>
      <c r="AF9148">
        <v>-2.1031101351444801</v>
      </c>
      <c r="AG9148">
        <v>-1.1105121655470001</v>
      </c>
      <c r="AH9148">
        <v>32.563395955783797</v>
      </c>
      <c r="AI9148">
        <v>91.9491478968595</v>
      </c>
      <c r="AJ9148">
        <v>93.695321248218207</v>
      </c>
      <c r="AK9148">
        <v>32.650131174063198</v>
      </c>
      <c r="AL9148">
        <v>86.799601303139397</v>
      </c>
      <c r="AM9148">
        <v>91.378895984073907</v>
      </c>
      <c r="AN9148">
        <v>0.99999995137442799</v>
      </c>
    </row>
    <row r="9149" spans="1:40" x14ac:dyDescent="0.25">
      <c r="A9149" t="str">
        <f>"20190312160546944"</f>
        <v>20190312160546944</v>
      </c>
      <c r="B9149" t="str">
        <f>"1552377946934801"</f>
        <v>1552377946934801</v>
      </c>
      <c r="C9149" t="s">
        <v>40</v>
      </c>
      <c r="D9149">
        <v>4.9199000000000002</v>
      </c>
      <c r="E9149">
        <v>0.48412179999999999</v>
      </c>
      <c r="F9149" t="s">
        <v>41</v>
      </c>
      <c r="G9149">
        <v>-100.3509</v>
      </c>
      <c r="H9149" s="1">
        <v>-4.6023400000000002E-6</v>
      </c>
      <c r="I9149">
        <v>139.84440000000001</v>
      </c>
      <c r="J9149">
        <v>-133.71469999999999</v>
      </c>
      <c r="K9149">
        <v>1.1105119999999999</v>
      </c>
      <c r="L9149">
        <v>138.6053</v>
      </c>
      <c r="M9149">
        <v>0.99952110000000005</v>
      </c>
      <c r="N9149">
        <v>0</v>
      </c>
      <c r="O9149">
        <v>-2.7957079999999999E-2</v>
      </c>
      <c r="P9149">
        <v>0.99908439999999998</v>
      </c>
      <c r="Q9149">
        <v>4.263571E-2</v>
      </c>
      <c r="R9149">
        <v>-3.5582729999999998E-3</v>
      </c>
      <c r="S9149">
        <v>3.007431</v>
      </c>
      <c r="T9149">
        <v>-9.9562999999999999E-2</v>
      </c>
      <c r="U9149">
        <v>0.1106567</v>
      </c>
      <c r="V9149">
        <v>-2.4387120000000002E-2</v>
      </c>
      <c r="W9149">
        <v>5.5879860000000003E-2</v>
      </c>
      <c r="X9149">
        <v>0.99813960000000002</v>
      </c>
      <c r="Y9149">
        <v>-6.4645159999999993E-2</v>
      </c>
      <c r="Z9149">
        <v>1.9944870000000001E-3</v>
      </c>
      <c r="AA9149">
        <v>0.99790630000000002</v>
      </c>
      <c r="AB9149">
        <v>17</v>
      </c>
      <c r="AC9149">
        <v>33.363799999999998</v>
      </c>
      <c r="AD9149">
        <v>-1.1105166023399999</v>
      </c>
      <c r="AE9149">
        <v>1.2391000000000001</v>
      </c>
      <c r="AF9149">
        <v>-2.1690523119701699</v>
      </c>
      <c r="AG9149">
        <v>-1.1105166023399999</v>
      </c>
      <c r="AH9149">
        <v>33.279292725711201</v>
      </c>
      <c r="AI9149">
        <v>91.907184269266494</v>
      </c>
      <c r="AJ9149">
        <v>93.729106001257406</v>
      </c>
      <c r="AK9149">
        <v>33.368388624261001</v>
      </c>
      <c r="AL9149">
        <v>86.796651199661596</v>
      </c>
      <c r="AM9149">
        <v>91.399604939485698</v>
      </c>
      <c r="AN9149">
        <v>0.99999997573183597</v>
      </c>
    </row>
    <row r="9150" spans="1:40" x14ac:dyDescent="0.25">
      <c r="A9150" t="str">
        <f>"20190312160546967"</f>
        <v>20190312160546967</v>
      </c>
      <c r="B9150" t="str">
        <f>"1552377946954321"</f>
        <v>1552377946954321</v>
      </c>
      <c r="C9150" t="s">
        <v>40</v>
      </c>
      <c r="D9150">
        <v>4.9307439999999998</v>
      </c>
      <c r="E9150">
        <v>0.48409020000000003</v>
      </c>
      <c r="F9150" t="s">
        <v>41</v>
      </c>
      <c r="G9150">
        <v>-100.91370000000001</v>
      </c>
      <c r="H9150" s="1">
        <v>-4.3301420000000002E-6</v>
      </c>
      <c r="I9150">
        <v>139.8212</v>
      </c>
      <c r="J9150">
        <v>-133.54339999999999</v>
      </c>
      <c r="K9150">
        <v>1.1105119999999999</v>
      </c>
      <c r="L9150">
        <v>138.60069999999999</v>
      </c>
      <c r="M9150">
        <v>0.99952669999999999</v>
      </c>
      <c r="N9150">
        <v>0</v>
      </c>
      <c r="O9150">
        <v>-2.7756920000000001E-2</v>
      </c>
      <c r="P9150">
        <v>0.99909230000000004</v>
      </c>
      <c r="Q9150">
        <v>4.2510100000000002E-2</v>
      </c>
      <c r="R9150">
        <v>-2.8009369999999999E-3</v>
      </c>
      <c r="S9150">
        <v>3.0074920000000001</v>
      </c>
      <c r="T9150">
        <v>-0.1018221</v>
      </c>
      <c r="U9150">
        <v>0.1114807</v>
      </c>
      <c r="V9150">
        <v>-2.494416E-2</v>
      </c>
      <c r="W9150">
        <v>5.575227E-2</v>
      </c>
      <c r="X9150">
        <v>0.99813300000000005</v>
      </c>
      <c r="Y9150">
        <v>-6.471536E-2</v>
      </c>
      <c r="Z9150">
        <v>2.034082E-3</v>
      </c>
      <c r="AA9150">
        <v>0.9979017</v>
      </c>
      <c r="AB9150">
        <v>17</v>
      </c>
      <c r="AC9150">
        <v>32.6296999999999</v>
      </c>
      <c r="AD9150">
        <v>-1.110516330142</v>
      </c>
      <c r="AE9150">
        <v>1.2205000000000099</v>
      </c>
      <c r="AF9150">
        <v>-2.1233532552779502</v>
      </c>
      <c r="AG9150">
        <v>-1.110516330142</v>
      </c>
      <c r="AH9150">
        <v>32.545600211260698</v>
      </c>
      <c r="AI9150">
        <v>91.950137367135994</v>
      </c>
      <c r="AJ9150">
        <v>93.732824150495603</v>
      </c>
      <c r="AK9150">
        <v>32.633693763921698</v>
      </c>
      <c r="AL9150">
        <v>86.803973080017798</v>
      </c>
      <c r="AM9150">
        <v>91.431570414605602</v>
      </c>
      <c r="AN9150">
        <v>1.0000000062086201</v>
      </c>
    </row>
    <row r="9151" spans="1:40" x14ac:dyDescent="0.25">
      <c r="A9151" t="str">
        <f>"20190312160546986"</f>
        <v>20190312160546986</v>
      </c>
      <c r="B9151" t="str">
        <f>"1552377946974817"</f>
        <v>1552377946974817</v>
      </c>
      <c r="C9151" t="s">
        <v>40</v>
      </c>
      <c r="D9151">
        <v>4.9251300000000002</v>
      </c>
      <c r="E9151">
        <v>0.48411320000000002</v>
      </c>
      <c r="F9151" t="s">
        <v>41</v>
      </c>
      <c r="G9151">
        <v>-101.5117</v>
      </c>
      <c r="H9151" s="1">
        <v>-4.0459560000000004E-6</v>
      </c>
      <c r="I9151">
        <v>139.81549999999999</v>
      </c>
      <c r="J9151">
        <v>-133.40010000000001</v>
      </c>
      <c r="K9151">
        <v>1.110509</v>
      </c>
      <c r="L9151">
        <v>138.59700000000001</v>
      </c>
      <c r="M9151">
        <v>0.99953150000000002</v>
      </c>
      <c r="N9151">
        <v>0</v>
      </c>
      <c r="O9151">
        <v>-2.7589550000000001E-2</v>
      </c>
      <c r="P9151">
        <v>0.99909320000000001</v>
      </c>
      <c r="Q9151">
        <v>4.2528959999999998E-2</v>
      </c>
      <c r="R9151">
        <v>-2.1670819999999999E-3</v>
      </c>
      <c r="S9151">
        <v>3.0074770000000002</v>
      </c>
      <c r="T9151">
        <v>-0.104267</v>
      </c>
      <c r="U9151">
        <v>0.11405940000000001</v>
      </c>
      <c r="V9151">
        <v>-2.5411039999999999E-2</v>
      </c>
      <c r="W9151">
        <v>5.5768930000000001E-2</v>
      </c>
      <c r="X9151">
        <v>0.99812029999999996</v>
      </c>
      <c r="Y9151">
        <v>-6.5399970000000002E-2</v>
      </c>
      <c r="Z9151">
        <v>2.0889340000000002E-3</v>
      </c>
      <c r="AA9151">
        <v>0.99785690000000005</v>
      </c>
      <c r="AB9151">
        <v>17</v>
      </c>
      <c r="AC9151">
        <v>31.888400000000001</v>
      </c>
      <c r="AD9151">
        <v>-1.110513045956</v>
      </c>
      <c r="AE9151">
        <v>1.2184999999999699</v>
      </c>
      <c r="AF9151">
        <v>-2.0953624320706901</v>
      </c>
      <c r="AG9151">
        <v>-1.110513045956</v>
      </c>
      <c r="AH9151">
        <v>31.804123126010399</v>
      </c>
      <c r="AI9151">
        <v>91.995476940904496</v>
      </c>
      <c r="AJ9151">
        <v>93.769390829002006</v>
      </c>
      <c r="AK9151">
        <v>31.8924133731112</v>
      </c>
      <c r="AL9151">
        <v>86.803017069488106</v>
      </c>
      <c r="AM9151">
        <v>91.458372209971799</v>
      </c>
      <c r="AN9151">
        <v>1.0000000138896501</v>
      </c>
    </row>
    <row r="9152" spans="1:40" x14ac:dyDescent="0.25">
      <c r="A9152" t="str">
        <f>"20190312160547010"</f>
        <v>20190312160547010</v>
      </c>
      <c r="B9152" t="str">
        <f>"1552377947004097"</f>
        <v>1552377947004097</v>
      </c>
      <c r="C9152" t="s">
        <v>40</v>
      </c>
      <c r="D9152">
        <v>4.9341879999999998</v>
      </c>
      <c r="E9152">
        <v>0.48411799999999999</v>
      </c>
      <c r="F9152" t="s">
        <v>41</v>
      </c>
      <c r="G9152">
        <v>-102.0856</v>
      </c>
      <c r="H9152" s="1">
        <v>-3.7710110000000001E-6</v>
      </c>
      <c r="I9152">
        <v>139.80189999999999</v>
      </c>
      <c r="J9152">
        <v>-133.22909999999999</v>
      </c>
      <c r="K9152">
        <v>1.1105100000000001</v>
      </c>
      <c r="L9152">
        <v>138.5925</v>
      </c>
      <c r="M9152">
        <v>0.99953689999999995</v>
      </c>
      <c r="N9152">
        <v>0</v>
      </c>
      <c r="O9152">
        <v>-2.738964E-2</v>
      </c>
      <c r="P9152">
        <v>0.99908839999999999</v>
      </c>
      <c r="Q9152">
        <v>4.2670159999999999E-2</v>
      </c>
      <c r="R9152">
        <v>-1.2508409999999999E-3</v>
      </c>
      <c r="S9152">
        <v>3.0075229999999999</v>
      </c>
      <c r="T9152">
        <v>-0.1066566</v>
      </c>
      <c r="U9152">
        <v>0.115722699999999</v>
      </c>
      <c r="V9152">
        <v>-2.612664E-2</v>
      </c>
      <c r="W9152">
        <v>5.5907949999999998E-2</v>
      </c>
      <c r="X9152">
        <v>0.99809400000000004</v>
      </c>
      <c r="Y9152">
        <v>-6.5748169999999995E-2</v>
      </c>
      <c r="Z9152">
        <v>2.1358089999999998E-3</v>
      </c>
      <c r="AA9152">
        <v>0.997834</v>
      </c>
      <c r="AB9152">
        <v>17</v>
      </c>
      <c r="AC9152">
        <v>31.1434999999999</v>
      </c>
      <c r="AD9152">
        <v>-1.110513771011</v>
      </c>
      <c r="AE9152">
        <v>1.20939999999998</v>
      </c>
      <c r="AF9152">
        <v>-2.0594158490861698</v>
      </c>
      <c r="AG9152">
        <v>-1.110513771011</v>
      </c>
      <c r="AH9152">
        <v>31.059253925987601</v>
      </c>
      <c r="AI9152">
        <v>92.043237322844902</v>
      </c>
      <c r="AJ9152">
        <v>93.793502861501906</v>
      </c>
      <c r="AK9152">
        <v>31.147258128349701</v>
      </c>
      <c r="AL9152">
        <v>86.795039211647904</v>
      </c>
      <c r="AM9152">
        <v>91.499462412786798</v>
      </c>
      <c r="AN9152">
        <v>0.99999996651344503</v>
      </c>
    </row>
    <row r="9153" spans="1:40" x14ac:dyDescent="0.25">
      <c r="A9153" t="str">
        <f>"20190312160547031"</f>
        <v>20190312160547031</v>
      </c>
      <c r="B9153" t="str">
        <f>"1552377947024593"</f>
        <v>1552377947024593</v>
      </c>
      <c r="C9153" t="s">
        <v>40</v>
      </c>
      <c r="D9153">
        <v>4.9614449999999897</v>
      </c>
      <c r="E9153">
        <v>0.48411709999999902</v>
      </c>
      <c r="F9153" t="s">
        <v>41</v>
      </c>
      <c r="G9153">
        <v>-102.8456</v>
      </c>
      <c r="H9153" s="1">
        <v>-3.407569E-6</v>
      </c>
      <c r="I9153">
        <v>139.7861</v>
      </c>
      <c r="J9153">
        <v>-133.0729</v>
      </c>
      <c r="K9153">
        <v>1.1105400000000001</v>
      </c>
      <c r="L9153">
        <v>138.58840000000001</v>
      </c>
      <c r="M9153">
        <v>0.99954189999999998</v>
      </c>
      <c r="N9153">
        <v>0</v>
      </c>
      <c r="O9153">
        <v>-2.720701E-2</v>
      </c>
      <c r="P9153">
        <v>0.99908169999999996</v>
      </c>
      <c r="Q9153">
        <v>4.2792370000000003E-2</v>
      </c>
      <c r="R9153">
        <v>-2.1440280000000001E-3</v>
      </c>
      <c r="S9153">
        <v>3.007584</v>
      </c>
      <c r="T9153">
        <v>-0.1099267</v>
      </c>
      <c r="U9153">
        <v>0.1181488</v>
      </c>
      <c r="V9153">
        <v>-2.505133E-2</v>
      </c>
      <c r="W9153">
        <v>5.6029349999999999E-2</v>
      </c>
      <c r="X9153">
        <v>0.99811479999999997</v>
      </c>
      <c r="Y9153">
        <v>-6.6364850000000003E-2</v>
      </c>
      <c r="Z9153">
        <v>2.2057660000000001E-3</v>
      </c>
      <c r="AA9153">
        <v>0.99779300000000004</v>
      </c>
      <c r="AB9153">
        <v>16</v>
      </c>
      <c r="AC9153">
        <v>30.2273</v>
      </c>
      <c r="AD9153">
        <v>-1.1105434075689999</v>
      </c>
      <c r="AE9153">
        <v>1.19769999999999</v>
      </c>
      <c r="AF9153">
        <v>-2.0170049928674301</v>
      </c>
      <c r="AG9153">
        <v>-1.1105434075689999</v>
      </c>
      <c r="AH9153">
        <v>30.142896435657601</v>
      </c>
      <c r="AI9153">
        <v>92.105268797586007</v>
      </c>
      <c r="AJ9153">
        <v>93.828226995726496</v>
      </c>
      <c r="AK9153">
        <v>30.230709904534599</v>
      </c>
      <c r="AL9153">
        <v>86.788072709408397</v>
      </c>
      <c r="AM9153">
        <v>91.437744637529704</v>
      </c>
      <c r="AN9153">
        <v>1.0000000055876099</v>
      </c>
    </row>
    <row r="9154" spans="1:40" x14ac:dyDescent="0.25">
      <c r="A9154" t="str">
        <f>"20190312160547053"</f>
        <v>20190312160547053</v>
      </c>
      <c r="B9154" t="str">
        <f>"1552377947044113"</f>
        <v>1552377947044113</v>
      </c>
      <c r="C9154" t="s">
        <v>40</v>
      </c>
      <c r="D9154">
        <v>5.268014</v>
      </c>
      <c r="E9154">
        <v>0.48423050000000001</v>
      </c>
      <c r="F9154" t="s">
        <v>41</v>
      </c>
      <c r="G9154">
        <v>-102.86920000000001</v>
      </c>
      <c r="H9154" s="1">
        <v>-3.3862680000000001E-6</v>
      </c>
      <c r="I9154">
        <v>139.74799999999999</v>
      </c>
      <c r="J9154">
        <v>-132.9093</v>
      </c>
      <c r="K9154">
        <v>1.110527</v>
      </c>
      <c r="L9154">
        <v>138.58420000000001</v>
      </c>
      <c r="M9154">
        <v>0.99954710000000002</v>
      </c>
      <c r="N9154">
        <v>0</v>
      </c>
      <c r="O9154">
        <v>-2.701568E-2</v>
      </c>
      <c r="P9154">
        <v>0.99911099999999997</v>
      </c>
      <c r="Q9154">
        <v>4.2119249999999997E-2</v>
      </c>
      <c r="R9154">
        <v>-1.8285020000000001E-3</v>
      </c>
      <c r="S9154">
        <v>3.0077509999999998</v>
      </c>
      <c r="T9154">
        <v>-0.1105906</v>
      </c>
      <c r="U9154">
        <v>0.1154785</v>
      </c>
      <c r="V9154">
        <v>-2.5176029999999999E-2</v>
      </c>
      <c r="W9154">
        <v>5.5354720000000003E-2</v>
      </c>
      <c r="X9154">
        <v>0.99814930000000002</v>
      </c>
      <c r="Y9154">
        <v>-6.5287239999999996E-2</v>
      </c>
      <c r="Z9154">
        <v>2.192163E-3</v>
      </c>
      <c r="AA9154">
        <v>0.99786410000000003</v>
      </c>
      <c r="AB9154">
        <v>16</v>
      </c>
      <c r="AC9154">
        <v>30.040099999999899</v>
      </c>
      <c r="AD9154">
        <v>-1.110530386268</v>
      </c>
      <c r="AE9154">
        <v>1.16379999999998</v>
      </c>
      <c r="AF9154">
        <v>-1.9723087810331399</v>
      </c>
      <c r="AG9154">
        <v>-1.110530386268</v>
      </c>
      <c r="AH9154">
        <v>29.956810923112499</v>
      </c>
      <c r="AI9154">
        <v>92.118460146522807</v>
      </c>
      <c r="AJ9154">
        <v>93.766826581030202</v>
      </c>
      <c r="AK9154">
        <v>30.042200324704599</v>
      </c>
      <c r="AL9154">
        <v>86.826786231682604</v>
      </c>
      <c r="AM9154">
        <v>91.444848466853898</v>
      </c>
      <c r="AN9154">
        <v>1.0000000013016599</v>
      </c>
    </row>
    <row r="9155" spans="1:40" x14ac:dyDescent="0.25">
      <c r="A9155" t="str">
        <f>"20190312160547076"</f>
        <v>20190312160547076</v>
      </c>
      <c r="B9155" t="str">
        <f>"1552377947064609"</f>
        <v>1552377947064609</v>
      </c>
      <c r="C9155" t="s">
        <v>40</v>
      </c>
      <c r="D9155">
        <v>5.017506</v>
      </c>
      <c r="E9155">
        <v>0.53125459999999902</v>
      </c>
      <c r="F9155" t="s">
        <v>41</v>
      </c>
      <c r="G9155">
        <v>-103.4379</v>
      </c>
      <c r="H9155" s="1">
        <v>-3.1090860000000001E-6</v>
      </c>
      <c r="I9155">
        <v>139.7166</v>
      </c>
      <c r="J9155">
        <v>-132.74799999999999</v>
      </c>
      <c r="K9155">
        <v>1.1105339999999999</v>
      </c>
      <c r="L9155">
        <v>138.58000000000001</v>
      </c>
      <c r="M9155">
        <v>0.99955229999999995</v>
      </c>
      <c r="N9155">
        <v>0</v>
      </c>
      <c r="O9155">
        <v>-2.6827449999999999E-2</v>
      </c>
      <c r="P9155">
        <v>0.99912369999999995</v>
      </c>
      <c r="Q9155">
        <v>4.1810149999999997E-2</v>
      </c>
      <c r="R9155">
        <v>-2.0729239999999999E-3</v>
      </c>
      <c r="S9155">
        <v>3.0076749999999999</v>
      </c>
      <c r="T9155">
        <v>-0.1133343</v>
      </c>
      <c r="U9155">
        <v>0.1155701</v>
      </c>
      <c r="V9155">
        <v>-2.474428E-2</v>
      </c>
      <c r="W9155">
        <v>5.5044299999999997E-2</v>
      </c>
      <c r="X9155">
        <v>0.99817730000000005</v>
      </c>
      <c r="Y9155">
        <v>-6.5127740000000003E-2</v>
      </c>
      <c r="Z9155">
        <v>2.2364749999999999E-3</v>
      </c>
      <c r="AA9155">
        <v>0.99787440000000005</v>
      </c>
      <c r="AB9155">
        <v>16</v>
      </c>
      <c r="AC9155">
        <v>29.310099999999899</v>
      </c>
      <c r="AD9155">
        <v>-1.1105371090859999</v>
      </c>
      <c r="AE9155">
        <v>1.1365999999999801</v>
      </c>
      <c r="AF9155">
        <v>-1.9198231400100201</v>
      </c>
      <c r="AG9155">
        <v>-1.1105371090859999</v>
      </c>
      <c r="AH9155">
        <v>29.227158752910501</v>
      </c>
      <c r="AI9155">
        <v>92.171331961397698</v>
      </c>
      <c r="AJ9155">
        <v>93.758147365763904</v>
      </c>
      <c r="AK9155">
        <v>29.311189370740401</v>
      </c>
      <c r="AL9155">
        <v>86.8445992630093</v>
      </c>
      <c r="AM9155">
        <v>91.420040817255298</v>
      </c>
      <c r="AN9155">
        <v>1.0000000382952401</v>
      </c>
    </row>
    <row r="9156" spans="1:40" x14ac:dyDescent="0.25">
      <c r="A9156" t="str">
        <f>"20190312160547098"</f>
        <v>20190312160547098</v>
      </c>
      <c r="B9156" t="str">
        <f>"1552377947094864"</f>
        <v>1552377947094864</v>
      </c>
      <c r="C9156" t="s">
        <v>40</v>
      </c>
      <c r="D9156">
        <v>4.9578419999999896</v>
      </c>
      <c r="E9156">
        <v>0.54006089999999995</v>
      </c>
      <c r="F9156" t="s">
        <v>49</v>
      </c>
      <c r="G9156">
        <v>-131.9511</v>
      </c>
      <c r="H9156">
        <v>1.0091429999999999</v>
      </c>
      <c r="I9156">
        <v>138.50980000000001</v>
      </c>
      <c r="J9156">
        <v>-132.58250000000001</v>
      </c>
      <c r="K9156">
        <v>1.110535</v>
      </c>
      <c r="L9156">
        <v>138.57579999999999</v>
      </c>
      <c r="M9156">
        <v>0.99955729999999998</v>
      </c>
      <c r="N9156">
        <v>0</v>
      </c>
      <c r="O9156">
        <v>-2.6633730000000001E-2</v>
      </c>
      <c r="P9156">
        <v>0.99913649999999998</v>
      </c>
      <c r="Q9156">
        <v>4.1462819999999997E-2</v>
      </c>
      <c r="R9156">
        <v>-2.6915179999999999E-3</v>
      </c>
      <c r="S9156">
        <v>3.018173</v>
      </c>
      <c r="T9156">
        <v>-0.38405620000000001</v>
      </c>
      <c r="U9156">
        <v>-0.2656097</v>
      </c>
      <c r="V9156">
        <v>-2.393226E-2</v>
      </c>
      <c r="W9156">
        <v>5.4695309999999997E-2</v>
      </c>
      <c r="X9156">
        <v>0.99821629999999995</v>
      </c>
      <c r="Y9156">
        <v>6.0826579999999998E-2</v>
      </c>
      <c r="Z9156">
        <v>-4.790819E-4</v>
      </c>
      <c r="AA9156">
        <v>0.99814829999999999</v>
      </c>
      <c r="AB9156">
        <v>16</v>
      </c>
      <c r="AC9156">
        <v>0.63140000000001295</v>
      </c>
      <c r="AD9156">
        <v>-0.101391999999999</v>
      </c>
      <c r="AE9156">
        <v>-6.5999999999973996E-2</v>
      </c>
      <c r="AF9156">
        <v>4.7935813989180398E-2</v>
      </c>
      <c r="AG9156">
        <v>-0.101391999999999</v>
      </c>
      <c r="AH9156">
        <v>0.61719057884409201</v>
      </c>
      <c r="AI9156">
        <v>99.301693418631899</v>
      </c>
      <c r="AJ9156">
        <v>85.558880463194996</v>
      </c>
      <c r="AK9156">
        <v>0.62729768893302196</v>
      </c>
      <c r="AL9156">
        <v>86.864625139910203</v>
      </c>
      <c r="AM9156">
        <v>91.373404598475403</v>
      </c>
      <c r="AN9156">
        <v>1.00000005579519</v>
      </c>
    </row>
    <row r="9157" spans="1:40" x14ac:dyDescent="0.25">
      <c r="A9157" t="str">
        <f>"20190312160547121"</f>
        <v>20190312160547121</v>
      </c>
      <c r="B9157" t="str">
        <f>"1552377947114386"</f>
        <v>1552377947114386</v>
      </c>
      <c r="C9157" t="s">
        <v>40</v>
      </c>
      <c r="D9157">
        <v>4.9641909999999996</v>
      </c>
      <c r="E9157">
        <v>0.54140940000000004</v>
      </c>
      <c r="F9157" t="s">
        <v>49</v>
      </c>
      <c r="G9157">
        <v>-131.8142</v>
      </c>
      <c r="H9157">
        <v>0.99124670000000004</v>
      </c>
      <c r="I9157">
        <v>138.48929999999999</v>
      </c>
      <c r="J9157">
        <v>-132.41739999999999</v>
      </c>
      <c r="K9157">
        <v>1.11053</v>
      </c>
      <c r="L9157">
        <v>138.57169999999999</v>
      </c>
      <c r="M9157">
        <v>0.99956250000000002</v>
      </c>
      <c r="N9157">
        <v>0</v>
      </c>
      <c r="O9157">
        <v>-2.6440849999999998E-2</v>
      </c>
      <c r="P9157">
        <v>0.99914020000000003</v>
      </c>
      <c r="Q9157">
        <v>4.1349549999999999E-2</v>
      </c>
      <c r="R9157">
        <v>-3.0199760000000002E-3</v>
      </c>
      <c r="S9157">
        <v>3.0211329999999998</v>
      </c>
      <c r="T9157">
        <v>-0.46919860000000002</v>
      </c>
      <c r="U9157">
        <v>-0.33953860000000002</v>
      </c>
      <c r="V9157">
        <v>-2.3411669999999999E-2</v>
      </c>
      <c r="W9157">
        <v>5.4581039999999997E-2</v>
      </c>
      <c r="X9157">
        <v>0.99823490000000004</v>
      </c>
      <c r="Y9157">
        <v>8.4678870000000003E-2</v>
      </c>
      <c r="Z9157">
        <v>-2.4483560000000001E-3</v>
      </c>
      <c r="AA9157">
        <v>0.99640530000000005</v>
      </c>
      <c r="AB9157">
        <v>16</v>
      </c>
      <c r="AC9157">
        <v>0.60319999999998597</v>
      </c>
      <c r="AD9157">
        <v>-0.11928329999999999</v>
      </c>
      <c r="AE9157">
        <v>-8.2400000000006898E-2</v>
      </c>
      <c r="AF9157">
        <v>6.3965106626666296E-2</v>
      </c>
      <c r="AG9157">
        <v>-0.11928329999999999</v>
      </c>
      <c r="AH9157">
        <v>0.58279505930576903</v>
      </c>
      <c r="AI9157">
        <v>101.500025404662</v>
      </c>
      <c r="AJ9157">
        <v>83.736529276483907</v>
      </c>
      <c r="AK9157">
        <v>0.59830604348933802</v>
      </c>
      <c r="AL9157">
        <v>86.871182123292201</v>
      </c>
      <c r="AM9157">
        <v>91.3435154604242</v>
      </c>
      <c r="AN9157">
        <v>1.00000005589883</v>
      </c>
    </row>
    <row r="9158" spans="1:40" x14ac:dyDescent="0.25">
      <c r="A9158" t="str">
        <f>"20190312160547145"</f>
        <v>20190312160547145</v>
      </c>
      <c r="B9158" t="str">
        <f>"1552377947134881"</f>
        <v>1552377947134881</v>
      </c>
      <c r="C9158" t="s">
        <v>40</v>
      </c>
      <c r="D9158">
        <v>5.1371869999999999</v>
      </c>
      <c r="E9158">
        <v>0.54132599999999997</v>
      </c>
      <c r="F9158" t="s">
        <v>49</v>
      </c>
      <c r="G9158">
        <v>-131.6678</v>
      </c>
      <c r="H9158">
        <v>0.99208830000000003</v>
      </c>
      <c r="I9158">
        <v>138.4845</v>
      </c>
      <c r="J9158">
        <v>-132.24340000000001</v>
      </c>
      <c r="K9158">
        <v>1.1105389999999999</v>
      </c>
      <c r="L9158">
        <v>138.56729999999999</v>
      </c>
      <c r="M9158">
        <v>0.99956789999999995</v>
      </c>
      <c r="N9158">
        <v>0</v>
      </c>
      <c r="O9158">
        <v>-2.6237239999999998E-2</v>
      </c>
      <c r="P9158">
        <v>0.99915500000000002</v>
      </c>
      <c r="Q9158">
        <v>4.094354E-2</v>
      </c>
      <c r="R9158">
        <v>-3.5871359999999999E-3</v>
      </c>
      <c r="S9158">
        <v>3.021255</v>
      </c>
      <c r="T9158">
        <v>-0.4773502</v>
      </c>
      <c r="U9158">
        <v>-0.35104370000000001</v>
      </c>
      <c r="V9158">
        <v>-2.2641049999999999E-2</v>
      </c>
      <c r="W9158">
        <v>5.417346E-2</v>
      </c>
      <c r="X9158">
        <v>0.99827480000000002</v>
      </c>
      <c r="Y9158">
        <v>8.8548769999999999E-2</v>
      </c>
      <c r="Z9158">
        <v>-2.824474E-3</v>
      </c>
      <c r="AA9158">
        <v>0.99606779999999995</v>
      </c>
      <c r="AB9158">
        <v>16</v>
      </c>
      <c r="AC9158">
        <v>0.57560000000000799</v>
      </c>
      <c r="AD9158">
        <v>-0.11845069999999901</v>
      </c>
      <c r="AE9158">
        <v>-8.27999999999917E-2</v>
      </c>
      <c r="AF9158">
        <v>6.4972336475550702E-2</v>
      </c>
      <c r="AG9158">
        <v>-0.11845069999999901</v>
      </c>
      <c r="AH9158">
        <v>0.55456576605580199</v>
      </c>
      <c r="AI9158">
        <v>101.977207317167</v>
      </c>
      <c r="AJ9158">
        <v>83.317750182283007</v>
      </c>
      <c r="AK9158">
        <v>0.57078468945710203</v>
      </c>
      <c r="AL9158">
        <v>86.894569097977097</v>
      </c>
      <c r="AM9158">
        <v>91.299255724629703</v>
      </c>
      <c r="AN9158">
        <v>0.99999997861425605</v>
      </c>
    </row>
    <row r="9159" spans="1:40" x14ac:dyDescent="0.25">
      <c r="A9159" t="str">
        <f>"20190312160547166"</f>
        <v>20190312160547166</v>
      </c>
      <c r="B9159" t="str">
        <f>"1552377947154401"</f>
        <v>1552377947154401</v>
      </c>
      <c r="C9159" t="s">
        <v>40</v>
      </c>
      <c r="D9159">
        <v>5.0383839999999998</v>
      </c>
      <c r="E9159">
        <v>0.54058669999999998</v>
      </c>
      <c r="F9159" t="s">
        <v>49</v>
      </c>
      <c r="G9159">
        <v>-131.52170000000001</v>
      </c>
      <c r="H9159">
        <v>0.99251</v>
      </c>
      <c r="I9159">
        <v>138.48310000000001</v>
      </c>
      <c r="J9159">
        <v>-132.08770000000001</v>
      </c>
      <c r="K9159">
        <v>1.1105400000000001</v>
      </c>
      <c r="L9159">
        <v>138.5634</v>
      </c>
      <c r="M9159">
        <v>0.99957260000000003</v>
      </c>
      <c r="N9159">
        <v>0</v>
      </c>
      <c r="O9159">
        <v>-2.6055209999999999E-2</v>
      </c>
      <c r="P9159">
        <v>0.99911729999999999</v>
      </c>
      <c r="Q9159">
        <v>4.1813349999999999E-2</v>
      </c>
      <c r="R9159">
        <v>-4.0694019999999997E-3</v>
      </c>
      <c r="S9159">
        <v>3.0215299999999998</v>
      </c>
      <c r="T9159">
        <v>-0.49421120000000002</v>
      </c>
      <c r="U9159">
        <v>-0.35191349999999999</v>
      </c>
      <c r="V9159">
        <v>-2.197644E-2</v>
      </c>
      <c r="W9159">
        <v>5.5041439999999997E-2</v>
      </c>
      <c r="X9159">
        <v>0.99824219999999997</v>
      </c>
      <c r="Y9159">
        <v>8.8940870000000005E-2</v>
      </c>
      <c r="Z9159">
        <v>-2.983865E-3</v>
      </c>
      <c r="AA9159">
        <v>0.99603240000000004</v>
      </c>
      <c r="AB9159">
        <v>16</v>
      </c>
      <c r="AC9159">
        <v>0.56600000000000195</v>
      </c>
      <c r="AD9159">
        <v>-0.118029999999999</v>
      </c>
      <c r="AE9159">
        <v>-8.0299999999994001E-2</v>
      </c>
      <c r="AF9159">
        <v>6.2845208693291604E-2</v>
      </c>
      <c r="AG9159">
        <v>-0.118029999999999</v>
      </c>
      <c r="AH9159">
        <v>0.54468142288741805</v>
      </c>
      <c r="AI9159">
        <v>102.14852010924599</v>
      </c>
      <c r="AJ9159">
        <v>83.418330210542905</v>
      </c>
      <c r="AK9159">
        <v>0.56085510927009097</v>
      </c>
      <c r="AL9159">
        <v>86.8447632787191</v>
      </c>
      <c r="AM9159">
        <v>91.261170782157194</v>
      </c>
      <c r="AN9159">
        <v>1.00000000694659</v>
      </c>
    </row>
    <row r="9160" spans="1:40" x14ac:dyDescent="0.25">
      <c r="A9160" t="str">
        <f>"20190312160547187"</f>
        <v>20190312160547187</v>
      </c>
      <c r="B9160" t="str">
        <f>"1552377947184657"</f>
        <v>1552377947184657</v>
      </c>
      <c r="C9160" t="s">
        <v>40</v>
      </c>
      <c r="D9160">
        <v>5.1964610000000002</v>
      </c>
      <c r="E9160">
        <v>0.54276559999999996</v>
      </c>
      <c r="F9160" t="s">
        <v>49</v>
      </c>
      <c r="G9160">
        <v>-131.37299999999999</v>
      </c>
      <c r="H9160">
        <v>0.99859370000000003</v>
      </c>
      <c r="I9160">
        <v>138.48099999999999</v>
      </c>
      <c r="J9160">
        <v>-131.9332</v>
      </c>
      <c r="K9160">
        <v>1.1105389999999999</v>
      </c>
      <c r="L9160">
        <v>138.55959999999999</v>
      </c>
      <c r="M9160">
        <v>0.99957750000000001</v>
      </c>
      <c r="N9160">
        <v>0</v>
      </c>
      <c r="O9160">
        <v>-2.5874609999999999E-2</v>
      </c>
      <c r="P9160">
        <v>0.9991179</v>
      </c>
      <c r="Q9160">
        <v>4.1828419999999998E-2</v>
      </c>
      <c r="R9160">
        <v>-3.8073730000000002E-3</v>
      </c>
      <c r="S9160">
        <v>3.021042</v>
      </c>
      <c r="T9160">
        <v>-0.47322789999999998</v>
      </c>
      <c r="U9160">
        <v>-0.34800720000000002</v>
      </c>
      <c r="V9160">
        <v>-2.2057819999999999E-2</v>
      </c>
      <c r="W9160">
        <v>5.5054779999999998E-2</v>
      </c>
      <c r="X9160">
        <v>0.9982396</v>
      </c>
      <c r="Y9160">
        <v>8.7945930000000005E-2</v>
      </c>
      <c r="Z9160">
        <v>-2.810164E-3</v>
      </c>
      <c r="AA9160">
        <v>0.99612129999999999</v>
      </c>
      <c r="AB9160">
        <v>16</v>
      </c>
      <c r="AC9160">
        <v>0.56020000000000802</v>
      </c>
      <c r="AD9160">
        <v>-0.111945299999999</v>
      </c>
      <c r="AE9160">
        <v>-7.8599999999994397E-2</v>
      </c>
      <c r="AF9160">
        <v>6.1662652065497599E-2</v>
      </c>
      <c r="AG9160">
        <v>-0.111945299999999</v>
      </c>
      <c r="AH9160">
        <v>0.54086525186954904</v>
      </c>
      <c r="AI9160">
        <v>101.620441330373</v>
      </c>
      <c r="AJ9160">
        <v>83.495938239030593</v>
      </c>
      <c r="AK9160">
        <v>0.55576006831343305</v>
      </c>
      <c r="AL9160">
        <v>86.843997573292299</v>
      </c>
      <c r="AM9160">
        <v>91.265842748051597</v>
      </c>
      <c r="AN9160">
        <v>0.99999993761607797</v>
      </c>
    </row>
    <row r="9161" spans="1:40" x14ac:dyDescent="0.25">
      <c r="A9161" t="str">
        <f>"20190312160547211"</f>
        <v>20190312160547211</v>
      </c>
      <c r="B9161" t="str">
        <f>"1552377947204180"</f>
        <v>1552377947204180</v>
      </c>
      <c r="C9161" t="s">
        <v>40</v>
      </c>
      <c r="D9161">
        <v>5.0274890000000001</v>
      </c>
      <c r="E9161">
        <v>0.54264119999999905</v>
      </c>
      <c r="F9161" t="s">
        <v>49</v>
      </c>
      <c r="G9161">
        <v>-131.09450000000001</v>
      </c>
      <c r="H9161">
        <v>0.97489150000000002</v>
      </c>
      <c r="I9161">
        <v>138.458</v>
      </c>
      <c r="J9161">
        <v>-131.76580000000001</v>
      </c>
      <c r="K9161">
        <v>1.1105449999999999</v>
      </c>
      <c r="L9161">
        <v>138.55549999999999</v>
      </c>
      <c r="M9161">
        <v>0.99958259999999999</v>
      </c>
      <c r="N9161">
        <v>0</v>
      </c>
      <c r="O9161">
        <v>-2.5678860000000001E-2</v>
      </c>
      <c r="P9161">
        <v>0.99914060000000005</v>
      </c>
      <c r="Q9161">
        <v>4.1256109999999999E-2</v>
      </c>
      <c r="R9161">
        <v>-4.0318389999999997E-3</v>
      </c>
      <c r="S9161">
        <v>3.0217130000000001</v>
      </c>
      <c r="T9161">
        <v>-0.48878719999999998</v>
      </c>
      <c r="U9161">
        <v>-0.36531069999999999</v>
      </c>
      <c r="V9161">
        <v>-2.1637719999999999E-2</v>
      </c>
      <c r="W9161">
        <v>5.4481519999999999E-2</v>
      </c>
      <c r="X9161">
        <v>0.99828030000000001</v>
      </c>
      <c r="Y9161">
        <v>9.3616469999999993E-2</v>
      </c>
      <c r="Z9161">
        <v>-3.3852579999999999E-3</v>
      </c>
      <c r="AA9161">
        <v>0.9956026</v>
      </c>
      <c r="AB9161">
        <v>16</v>
      </c>
      <c r="AC9161">
        <v>0.67130000000000201</v>
      </c>
      <c r="AD9161">
        <v>-0.13565349999999901</v>
      </c>
      <c r="AE9161">
        <v>-9.7499999999996603E-2</v>
      </c>
      <c r="AF9161">
        <v>7.7143082297314106E-2</v>
      </c>
      <c r="AG9161">
        <v>-0.13565349999999901</v>
      </c>
      <c r="AH9161">
        <v>0.64768106817425597</v>
      </c>
      <c r="AI9161">
        <v>101.748604810953</v>
      </c>
      <c r="AJ9161">
        <v>83.207693977556204</v>
      </c>
      <c r="AK9161">
        <v>0.66621595093477404</v>
      </c>
      <c r="AL9161">
        <v>86.876892496659394</v>
      </c>
      <c r="AM9161">
        <v>91.241691278404502</v>
      </c>
      <c r="AN9161">
        <v>0.99999999215819901</v>
      </c>
    </row>
    <row r="9162" spans="1:40" x14ac:dyDescent="0.25">
      <c r="A9162" t="str">
        <f>"20190312160547232"</f>
        <v>20190312160547232</v>
      </c>
      <c r="B9162" t="str">
        <f>"1552377947224673"</f>
        <v>1552377947224673</v>
      </c>
      <c r="C9162" t="s">
        <v>40</v>
      </c>
      <c r="D9162">
        <v>5.0442289999999996</v>
      </c>
      <c r="E9162">
        <v>0.54304209999999997</v>
      </c>
      <c r="F9162" t="s">
        <v>49</v>
      </c>
      <c r="G9162">
        <v>-130.9485</v>
      </c>
      <c r="H9162">
        <v>0.97680929999999999</v>
      </c>
      <c r="I9162">
        <v>138.45699999999999</v>
      </c>
      <c r="J9162">
        <v>-131.60659999999999</v>
      </c>
      <c r="K9162">
        <v>1.1105499999999999</v>
      </c>
      <c r="L9162">
        <v>138.55160000000001</v>
      </c>
      <c r="M9162">
        <v>0.99958740000000001</v>
      </c>
      <c r="N9162">
        <v>0</v>
      </c>
      <c r="O9162">
        <v>-2.549278E-2</v>
      </c>
      <c r="P9162">
        <v>0.99913189999999996</v>
      </c>
      <c r="Q9162">
        <v>4.1391699999999997E-2</v>
      </c>
      <c r="R9162">
        <v>-4.7424379999999999E-3</v>
      </c>
      <c r="S9162">
        <v>3.0215299999999998</v>
      </c>
      <c r="T9162">
        <v>-0.49447140000000001</v>
      </c>
      <c r="U9162">
        <v>-0.36381530000000001</v>
      </c>
      <c r="V9162">
        <v>-2.0741220000000001E-2</v>
      </c>
      <c r="W9162">
        <v>5.4615799999999999E-2</v>
      </c>
      <c r="X9162">
        <v>0.99829199999999996</v>
      </c>
      <c r="Y9162">
        <v>9.3304590000000007E-2</v>
      </c>
      <c r="Z9162">
        <v>-3.4292680000000001E-3</v>
      </c>
      <c r="AA9162">
        <v>0.99563170000000001</v>
      </c>
      <c r="AB9162">
        <v>16</v>
      </c>
      <c r="AC9162">
        <v>0.65809999999999003</v>
      </c>
      <c r="AD9162">
        <v>-0.13374069999999899</v>
      </c>
      <c r="AE9162">
        <v>-9.4600000000014006E-2</v>
      </c>
      <c r="AF9162">
        <v>7.4765717227860698E-2</v>
      </c>
      <c r="AG9162">
        <v>-0.13374069999999899</v>
      </c>
      <c r="AH9162">
        <v>0.63461914931487795</v>
      </c>
      <c r="AI9162">
        <v>101.821042899562</v>
      </c>
      <c r="AJ9162">
        <v>83.280844980450098</v>
      </c>
      <c r="AK9162">
        <v>0.652853698761235</v>
      </c>
      <c r="AL9162">
        <v>86.869187373495805</v>
      </c>
      <c r="AM9162">
        <v>91.190246355767201</v>
      </c>
      <c r="AN9162">
        <v>1.00000000054036</v>
      </c>
    </row>
    <row r="9163" spans="1:40" x14ac:dyDescent="0.25">
      <c r="A9163" t="str">
        <f>"20190312160547254"</f>
        <v>20190312160547254</v>
      </c>
      <c r="B9163" t="str">
        <f>"1552377947244194"</f>
        <v>1552377947244194</v>
      </c>
      <c r="C9163" t="s">
        <v>40</v>
      </c>
      <c r="D9163">
        <v>5.09124</v>
      </c>
      <c r="E9163">
        <v>0.54406709999999903</v>
      </c>
      <c r="F9163" t="s">
        <v>49</v>
      </c>
      <c r="G9163">
        <v>-130.80289999999999</v>
      </c>
      <c r="H9163">
        <v>0.9784098</v>
      </c>
      <c r="I9163">
        <v>138.45339999999999</v>
      </c>
      <c r="J9163">
        <v>-131.44710000000001</v>
      </c>
      <c r="K9163">
        <v>1.1105480000000001</v>
      </c>
      <c r="L9163">
        <v>138.5478</v>
      </c>
      <c r="M9163">
        <v>0.99959200000000004</v>
      </c>
      <c r="N9163">
        <v>0</v>
      </c>
      <c r="O9163">
        <v>-2.5306220000000001E-2</v>
      </c>
      <c r="P9163">
        <v>0.9991276</v>
      </c>
      <c r="Q9163">
        <v>4.1524510000000001E-2</v>
      </c>
      <c r="R9163">
        <v>-4.4398900000000002E-3</v>
      </c>
      <c r="S9163">
        <v>3.021423</v>
      </c>
      <c r="T9163">
        <v>-0.49679289999999998</v>
      </c>
      <c r="U9163">
        <v>-0.36904910000000002</v>
      </c>
      <c r="V9163">
        <v>-2.0857690000000002E-2</v>
      </c>
      <c r="W9163">
        <v>5.4746250000000003E-2</v>
      </c>
      <c r="X9163">
        <v>0.99828240000000001</v>
      </c>
      <c r="Y9163">
        <v>9.5158930000000003E-2</v>
      </c>
      <c r="Z9163">
        <v>-3.626163E-3</v>
      </c>
      <c r="AA9163">
        <v>0.99545550000000005</v>
      </c>
      <c r="AB9163">
        <v>16</v>
      </c>
      <c r="AC9163">
        <v>0.64420000000001199</v>
      </c>
      <c r="AD9163">
        <v>-0.13213819999999901</v>
      </c>
      <c r="AE9163">
        <v>-9.4400000000007298E-2</v>
      </c>
      <c r="AF9163">
        <v>7.4977757176941495E-2</v>
      </c>
      <c r="AG9163">
        <v>-0.13213819999999901</v>
      </c>
      <c r="AH9163">
        <v>0.62081174677005801</v>
      </c>
      <c r="AI9163">
        <v>101.931751854103</v>
      </c>
      <c r="AJ9163">
        <v>83.113527816125</v>
      </c>
      <c r="AK9163">
        <v>0.63913174924909999</v>
      </c>
      <c r="AL9163">
        <v>86.861701852240401</v>
      </c>
      <c r="AM9163">
        <v>91.196939618981503</v>
      </c>
      <c r="AN9163">
        <v>0.99999997263547902</v>
      </c>
    </row>
    <row r="9164" spans="1:40" x14ac:dyDescent="0.25">
      <c r="A9164" t="str">
        <f>"20190312160547277"</f>
        <v>20190312160547277</v>
      </c>
      <c r="B9164" t="str">
        <f>"1552377947264689"</f>
        <v>1552377947264689</v>
      </c>
      <c r="C9164" t="s">
        <v>40</v>
      </c>
      <c r="D9164">
        <v>5.3101949999999896</v>
      </c>
      <c r="E9164">
        <v>0.54514560000000001</v>
      </c>
      <c r="F9164" t="s">
        <v>49</v>
      </c>
      <c r="G9164">
        <v>-130.65600000000001</v>
      </c>
      <c r="H9164">
        <v>0.98306979999999999</v>
      </c>
      <c r="I9164">
        <v>138.44899999999899</v>
      </c>
      <c r="J9164">
        <v>-131.2859</v>
      </c>
      <c r="K9164">
        <v>1.1105480000000001</v>
      </c>
      <c r="L9164">
        <v>138.54390000000001</v>
      </c>
      <c r="M9164">
        <v>0.99959679999999995</v>
      </c>
      <c r="N9164">
        <v>0</v>
      </c>
      <c r="O9164">
        <v>-2.5117629999999998E-2</v>
      </c>
      <c r="P9164">
        <v>0.99910889999999997</v>
      </c>
      <c r="Q9164">
        <v>4.1943250000000001E-2</v>
      </c>
      <c r="R9164">
        <v>-4.6857610000000001E-3</v>
      </c>
      <c r="S9164">
        <v>3.0211790000000001</v>
      </c>
      <c r="T9164">
        <v>-0.48688530000000002</v>
      </c>
      <c r="U9164">
        <v>-0.37672420000000001</v>
      </c>
      <c r="V9164">
        <v>-2.0422619999999999E-2</v>
      </c>
      <c r="W9164">
        <v>5.5163329999999997E-2</v>
      </c>
      <c r="X9164">
        <v>0.9982685</v>
      </c>
      <c r="Y9164">
        <v>9.7846929999999999E-2</v>
      </c>
      <c r="Z9164">
        <v>-3.7989880000000001E-3</v>
      </c>
      <c r="AA9164">
        <v>0.99519420000000003</v>
      </c>
      <c r="AB9164">
        <v>16</v>
      </c>
      <c r="AC9164">
        <v>0.62989999999999202</v>
      </c>
      <c r="AD9164">
        <v>-0.12747819999999899</v>
      </c>
      <c r="AE9164">
        <v>-9.4900000000023896E-2</v>
      </c>
      <c r="AF9164">
        <v>7.6003289413107702E-2</v>
      </c>
      <c r="AG9164">
        <v>-0.12747819999999899</v>
      </c>
      <c r="AH9164">
        <v>0.60774607092916699</v>
      </c>
      <c r="AI9164">
        <v>101.757367859998</v>
      </c>
      <c r="AJ9164">
        <v>82.871731947684793</v>
      </c>
      <c r="AK9164">
        <v>0.625605689077947</v>
      </c>
      <c r="AL9164">
        <v>86.837768965545706</v>
      </c>
      <c r="AM9164">
        <v>91.171996039300495</v>
      </c>
      <c r="AN9164">
        <v>1.0000000372383</v>
      </c>
    </row>
    <row r="9165" spans="1:40" x14ac:dyDescent="0.25">
      <c r="A9165" t="str">
        <f>"20190312160547299"</f>
        <v>20190312160547299</v>
      </c>
      <c r="B9165" t="str">
        <f>"1552377947293969"</f>
        <v>1552377947293969</v>
      </c>
      <c r="C9165" t="s">
        <v>40</v>
      </c>
      <c r="D9165">
        <v>5.2349019999999999</v>
      </c>
      <c r="E9165">
        <v>0.5462399</v>
      </c>
      <c r="F9165" t="s">
        <v>49</v>
      </c>
      <c r="G9165">
        <v>-130.50899999999999</v>
      </c>
      <c r="H9165">
        <v>0.98835799999999996</v>
      </c>
      <c r="I9165">
        <v>138.44450000000001</v>
      </c>
      <c r="J9165">
        <v>-131.12029999999999</v>
      </c>
      <c r="K9165">
        <v>1.110544</v>
      </c>
      <c r="L9165">
        <v>138.54</v>
      </c>
      <c r="M9165">
        <v>0.99960179999999998</v>
      </c>
      <c r="N9165">
        <v>0</v>
      </c>
      <c r="O9165">
        <v>-2.492368E-2</v>
      </c>
      <c r="P9165">
        <v>0.99909020000000004</v>
      </c>
      <c r="Q9165">
        <v>4.2393109999999998E-2</v>
      </c>
      <c r="R9165">
        <v>-4.6787460000000001E-3</v>
      </c>
      <c r="S9165">
        <v>3.020813</v>
      </c>
      <c r="T9165">
        <v>-0.47519</v>
      </c>
      <c r="U9165">
        <v>-0.38603209999999999</v>
      </c>
      <c r="V9165">
        <v>-2.023552E-2</v>
      </c>
      <c r="W9165">
        <v>5.5611819999999999E-2</v>
      </c>
      <c r="X9165">
        <v>0.99824740000000001</v>
      </c>
      <c r="Y9165">
        <v>0.101075</v>
      </c>
      <c r="Z9165">
        <v>-3.9901390000000002E-3</v>
      </c>
      <c r="AA9165">
        <v>0.99487080000000006</v>
      </c>
      <c r="AB9165">
        <v>16</v>
      </c>
      <c r="AC9165">
        <v>0.61129999999999995</v>
      </c>
      <c r="AD9165">
        <v>-0.122186</v>
      </c>
      <c r="AE9165">
        <v>-9.5499999999986998E-2</v>
      </c>
      <c r="AF9165">
        <v>7.7221527876968302E-2</v>
      </c>
      <c r="AG9165">
        <v>-0.122186</v>
      </c>
      <c r="AH9165">
        <v>0.59046258983786304</v>
      </c>
      <c r="AI9165">
        <v>101.59531934758699</v>
      </c>
      <c r="AJ9165">
        <v>82.549065053808803</v>
      </c>
      <c r="AK9165">
        <v>0.60789690981422995</v>
      </c>
      <c r="AL9165">
        <v>86.812032792340403</v>
      </c>
      <c r="AM9165">
        <v>91.161286395491601</v>
      </c>
      <c r="AN9165">
        <v>1.00000001120007</v>
      </c>
    </row>
    <row r="9166" spans="1:40" x14ac:dyDescent="0.25">
      <c r="A9166" t="str">
        <f>"20190312160547322"</f>
        <v>20190312160547322</v>
      </c>
      <c r="B9166" t="str">
        <f>"1552377947314468"</f>
        <v>1552377947314468</v>
      </c>
      <c r="C9166" t="s">
        <v>40</v>
      </c>
      <c r="D9166">
        <v>5.1978619999999998</v>
      </c>
      <c r="E9166">
        <v>0.54701080000000002</v>
      </c>
      <c r="F9166" t="s">
        <v>49</v>
      </c>
      <c r="G9166">
        <v>-130.36170000000001</v>
      </c>
      <c r="H9166">
        <v>0.99478699999999998</v>
      </c>
      <c r="I9166">
        <v>138.4409</v>
      </c>
      <c r="J9166">
        <v>-130.96</v>
      </c>
      <c r="K9166">
        <v>1.110557</v>
      </c>
      <c r="L9166">
        <v>138.53620000000001</v>
      </c>
      <c r="M9166">
        <v>0.99960649999999995</v>
      </c>
      <c r="N9166">
        <v>0</v>
      </c>
      <c r="O9166">
        <v>-2.473581E-2</v>
      </c>
      <c r="P9166">
        <v>0.99910500000000002</v>
      </c>
      <c r="Q9166">
        <v>4.2064610000000002E-2</v>
      </c>
      <c r="R9166">
        <v>-4.4848199999999996E-3</v>
      </c>
      <c r="S9166">
        <v>3.0204620000000002</v>
      </c>
      <c r="T9166">
        <v>-0.46099329999999999</v>
      </c>
      <c r="U9166">
        <v>-0.39421079999999997</v>
      </c>
      <c r="V9166">
        <v>-2.0241599999999998E-2</v>
      </c>
      <c r="W9166">
        <v>5.5281400000000001E-2</v>
      </c>
      <c r="X9166">
        <v>0.99826559999999998</v>
      </c>
      <c r="Y9166">
        <v>0.1039451</v>
      </c>
      <c r="Z9166">
        <v>-4.1173299999999998E-3</v>
      </c>
      <c r="AA9166">
        <v>0.99457450000000003</v>
      </c>
      <c r="AB9166">
        <v>16</v>
      </c>
      <c r="AC9166">
        <v>0.59829999999999395</v>
      </c>
      <c r="AD9166">
        <v>-0.115769999999999</v>
      </c>
      <c r="AE9166">
        <v>-9.5300000000008794E-2</v>
      </c>
      <c r="AF9166">
        <v>7.7635244589501606E-2</v>
      </c>
      <c r="AG9166">
        <v>-0.115769999999999</v>
      </c>
      <c r="AH9166">
        <v>0.57932047212559701</v>
      </c>
      <c r="AI9166">
        <v>101.203397676104</v>
      </c>
      <c r="AJ9166">
        <v>82.367217709789799</v>
      </c>
      <c r="AK9166">
        <v>0.59585412101142399</v>
      </c>
      <c r="AL9166">
        <v>86.830993538917895</v>
      </c>
      <c r="AM9166">
        <v>91.161614049364502</v>
      </c>
      <c r="AN9166">
        <v>0.99999998184993899</v>
      </c>
    </row>
    <row r="9167" spans="1:40" x14ac:dyDescent="0.25">
      <c r="A9167" t="str">
        <f>"20190312160547344"</f>
        <v>20190312160547344</v>
      </c>
      <c r="B9167" t="str">
        <f>"1552377947333986"</f>
        <v>1552377947333986</v>
      </c>
      <c r="C9167" t="s">
        <v>40</v>
      </c>
      <c r="D9167">
        <v>5.2265030000000001</v>
      </c>
      <c r="E9167">
        <v>0.54731430000000003</v>
      </c>
      <c r="F9167" t="s">
        <v>49</v>
      </c>
      <c r="G9167">
        <v>-130.2159</v>
      </c>
      <c r="H9167">
        <v>0.99848619999999999</v>
      </c>
      <c r="I9167">
        <v>138.43770000000001</v>
      </c>
      <c r="J9167">
        <v>-130.80109999999999</v>
      </c>
      <c r="K9167">
        <v>1.1105609999999999</v>
      </c>
      <c r="L9167">
        <v>138.5325</v>
      </c>
      <c r="M9167">
        <v>0.99961100000000003</v>
      </c>
      <c r="N9167">
        <v>0</v>
      </c>
      <c r="O9167">
        <v>-2.4549850000000002E-2</v>
      </c>
      <c r="P9167">
        <v>0.99915109999999996</v>
      </c>
      <c r="Q9167">
        <v>4.1036959999999997E-2</v>
      </c>
      <c r="R9167">
        <v>-3.6122530000000002E-3</v>
      </c>
      <c r="S9167">
        <v>3.0200499999999999</v>
      </c>
      <c r="T9167">
        <v>-0.45490809999999998</v>
      </c>
      <c r="U9167">
        <v>-0.39945979999999998</v>
      </c>
      <c r="V9167">
        <v>-2.0929179999999999E-2</v>
      </c>
      <c r="W9167">
        <v>5.4252500000000002E-2</v>
      </c>
      <c r="X9167">
        <v>0.99830790000000003</v>
      </c>
      <c r="Y9167">
        <v>0.105847</v>
      </c>
      <c r="Z9167">
        <v>-4.2332350000000001E-3</v>
      </c>
      <c r="AA9167">
        <v>0.99437339999999996</v>
      </c>
      <c r="AB9167">
        <v>16</v>
      </c>
      <c r="AC9167">
        <v>0.58519999999998595</v>
      </c>
      <c r="AD9167">
        <v>-0.1120748</v>
      </c>
      <c r="AE9167">
        <v>-9.4799999999992196E-2</v>
      </c>
      <c r="AF9167">
        <v>7.7629110751174193E-2</v>
      </c>
      <c r="AG9167">
        <v>-0.1120748</v>
      </c>
      <c r="AH9167">
        <v>0.56708343585985499</v>
      </c>
      <c r="AI9167">
        <v>101.078777228373</v>
      </c>
      <c r="AJ9167">
        <v>82.205123164558103</v>
      </c>
      <c r="AK9167">
        <v>0.58324151331817697</v>
      </c>
      <c r="AL9167">
        <v>86.890033879221605</v>
      </c>
      <c r="AM9167">
        <v>91.201010275770301</v>
      </c>
      <c r="AN9167">
        <v>1.0000000137670599</v>
      </c>
    </row>
    <row r="9168" spans="1:40" x14ac:dyDescent="0.25">
      <c r="A9168" t="str">
        <f>"20190312160547366"</f>
        <v>20190312160547366</v>
      </c>
      <c r="B9168" t="str">
        <f>"1552377947354481"</f>
        <v>1552377947354481</v>
      </c>
      <c r="C9168" t="s">
        <v>40</v>
      </c>
      <c r="D9168">
        <v>5.2541789999999997</v>
      </c>
      <c r="E9168">
        <v>0.54799609999999999</v>
      </c>
      <c r="F9168" t="s">
        <v>49</v>
      </c>
      <c r="G9168">
        <v>-130.07060000000001</v>
      </c>
      <c r="H9168">
        <v>1.001565</v>
      </c>
      <c r="I9168">
        <v>138.4358</v>
      </c>
      <c r="J9168">
        <v>-130.64109999999999</v>
      </c>
      <c r="K9168">
        <v>1.110576</v>
      </c>
      <c r="L9168">
        <v>138.52879999999999</v>
      </c>
      <c r="M9168">
        <v>0.9996157</v>
      </c>
      <c r="N9168">
        <v>0</v>
      </c>
      <c r="O9168">
        <v>-2.436257E-2</v>
      </c>
      <c r="P9168">
        <v>0.9991736</v>
      </c>
      <c r="Q9168">
        <v>4.0548609999999999E-2</v>
      </c>
      <c r="R9168">
        <v>-2.8854620000000001E-3</v>
      </c>
      <c r="S9168">
        <v>3.0195919999999998</v>
      </c>
      <c r="T9168">
        <v>-0.45064759999999998</v>
      </c>
      <c r="U9168">
        <v>-0.39929199999999998</v>
      </c>
      <c r="V9168">
        <v>-2.146909E-2</v>
      </c>
      <c r="W9168">
        <v>5.3762079999999997E-2</v>
      </c>
      <c r="X9168">
        <v>0.99832299999999996</v>
      </c>
      <c r="Y9168">
        <v>0.1060111</v>
      </c>
      <c r="Z9168">
        <v>-4.2344399999999999E-3</v>
      </c>
      <c r="AA9168">
        <v>0.99435589999999996</v>
      </c>
      <c r="AB9168">
        <v>16</v>
      </c>
      <c r="AC9168">
        <v>0.57049999999998102</v>
      </c>
      <c r="AD9168">
        <v>-0.109010999999999</v>
      </c>
      <c r="AE9168">
        <v>-9.29999999999893E-2</v>
      </c>
      <c r="AF9168">
        <v>7.6356604976277095E-2</v>
      </c>
      <c r="AG9168">
        <v>-0.109010999999999</v>
      </c>
      <c r="AH9168">
        <v>0.55293083186543401</v>
      </c>
      <c r="AI9168">
        <v>101.050649408616</v>
      </c>
      <c r="AJ9168">
        <v>82.137506225971805</v>
      </c>
      <c r="AK9168">
        <v>0.56872333702065003</v>
      </c>
      <c r="AL9168">
        <v>86.918174049247298</v>
      </c>
      <c r="AM9168">
        <v>91.231964677369007</v>
      </c>
      <c r="AN9168">
        <v>1.00000004770017</v>
      </c>
    </row>
    <row r="9169" spans="1:40" x14ac:dyDescent="0.25">
      <c r="A9169" t="str">
        <f>"20190312160547389"</f>
        <v>20190312160547389</v>
      </c>
      <c r="B9169" t="str">
        <f>"1552377947384738"</f>
        <v>1552377947384738</v>
      </c>
      <c r="C9169" t="s">
        <v>40</v>
      </c>
      <c r="D9169">
        <v>5.2704029999999999</v>
      </c>
      <c r="E9169">
        <v>0.5483034</v>
      </c>
      <c r="F9169" t="s">
        <v>49</v>
      </c>
      <c r="G9169">
        <v>-129.92570000000001</v>
      </c>
      <c r="H9169">
        <v>1.0042120000000001</v>
      </c>
      <c r="I9169">
        <v>138.43340000000001</v>
      </c>
      <c r="J9169">
        <v>-130.48099999999999</v>
      </c>
      <c r="K9169">
        <v>1.110589</v>
      </c>
      <c r="L9169">
        <v>138.52520000000001</v>
      </c>
      <c r="M9169">
        <v>0.99962010000000001</v>
      </c>
      <c r="N9169">
        <v>0</v>
      </c>
      <c r="O9169">
        <v>-2.417482E-2</v>
      </c>
      <c r="P9169">
        <v>0.99918340000000005</v>
      </c>
      <c r="Q9169">
        <v>4.0328530000000001E-2</v>
      </c>
      <c r="R9169">
        <v>-2.5416150000000001E-3</v>
      </c>
      <c r="S9169">
        <v>3.0195470000000002</v>
      </c>
      <c r="T9169">
        <v>-0.44898399999999999</v>
      </c>
      <c r="U9169">
        <v>-0.40271000000000001</v>
      </c>
      <c r="V9169">
        <v>-2.1625490000000001E-2</v>
      </c>
      <c r="W9169">
        <v>5.3540190000000001E-2</v>
      </c>
      <c r="X9169">
        <v>0.99833150000000004</v>
      </c>
      <c r="Y9169">
        <v>0.1072965</v>
      </c>
      <c r="Z9169">
        <v>-4.3409920000000001E-3</v>
      </c>
      <c r="AA9169">
        <v>0.99421760000000003</v>
      </c>
      <c r="AB9169">
        <v>16</v>
      </c>
      <c r="AC9169">
        <v>0.55529999999998803</v>
      </c>
      <c r="AD9169">
        <v>-0.106376999999999</v>
      </c>
      <c r="AE9169">
        <v>-9.1800000000006293E-2</v>
      </c>
      <c r="AF9169">
        <v>7.5645535975023298E-2</v>
      </c>
      <c r="AG9169">
        <v>-0.106376999999999</v>
      </c>
      <c r="AH9169">
        <v>0.53813413530806098</v>
      </c>
      <c r="AI9169">
        <v>101.075761364969</v>
      </c>
      <c r="AJ9169">
        <v>81.998359176745296</v>
      </c>
      <c r="AK9169">
        <v>0.55373880198673398</v>
      </c>
      <c r="AL9169">
        <v>86.930905595988605</v>
      </c>
      <c r="AM9169">
        <v>91.240926048374803</v>
      </c>
      <c r="AN9169">
        <v>0.99999999882761303</v>
      </c>
    </row>
    <row r="9170" spans="1:40" x14ac:dyDescent="0.25">
      <c r="A9170" t="str">
        <f>"20190312160547411"</f>
        <v>20190312160547411</v>
      </c>
      <c r="B9170" t="str">
        <f>"1552377947404261"</f>
        <v>1552377947404261</v>
      </c>
      <c r="C9170" t="s">
        <v>40</v>
      </c>
      <c r="D9170">
        <v>5.3240189999999998</v>
      </c>
      <c r="E9170">
        <v>0.54884750000000004</v>
      </c>
      <c r="F9170" t="s">
        <v>49</v>
      </c>
      <c r="G9170">
        <v>-129.64689999999999</v>
      </c>
      <c r="H9170">
        <v>0.98897429999999997</v>
      </c>
      <c r="I9170">
        <v>138.4134</v>
      </c>
      <c r="J9170">
        <v>-130.322</v>
      </c>
      <c r="K9170">
        <v>1.110587</v>
      </c>
      <c r="L9170">
        <v>138.5215</v>
      </c>
      <c r="M9170">
        <v>0.99962470000000003</v>
      </c>
      <c r="N9170">
        <v>0</v>
      </c>
      <c r="O9170">
        <v>-2.398861E-2</v>
      </c>
      <c r="P9170">
        <v>0.99919230000000003</v>
      </c>
      <c r="Q9170">
        <v>4.0118809999999998E-2</v>
      </c>
      <c r="R9170">
        <v>-2.3417260000000001E-3</v>
      </c>
      <c r="S9170">
        <v>3.019196</v>
      </c>
      <c r="T9170">
        <v>-0.4402606</v>
      </c>
      <c r="U9170">
        <v>-0.40431210000000001</v>
      </c>
      <c r="V9170">
        <v>-2.1639060000000002E-2</v>
      </c>
      <c r="W9170">
        <v>5.3329260000000003E-2</v>
      </c>
      <c r="X9170">
        <v>0.99834250000000002</v>
      </c>
      <c r="Y9170">
        <v>0.1080397</v>
      </c>
      <c r="Z9170">
        <v>-4.3384069999999999E-3</v>
      </c>
      <c r="AA9170">
        <v>0.9941371</v>
      </c>
      <c r="AB9170">
        <v>16</v>
      </c>
      <c r="AC9170">
        <v>0.67510000000001402</v>
      </c>
      <c r="AD9170">
        <v>-0.121612699999999</v>
      </c>
      <c r="AE9170">
        <v>-0.108100000000007</v>
      </c>
      <c r="AF9170">
        <v>8.9055117994517999E-2</v>
      </c>
      <c r="AG9170">
        <v>-0.121612699999999</v>
      </c>
      <c r="AH9170">
        <v>0.65672090448813103</v>
      </c>
      <c r="AI9170">
        <v>100.398217858127</v>
      </c>
      <c r="AJ9170">
        <v>82.277470361479502</v>
      </c>
      <c r="AK9170">
        <v>0.67379730574855801</v>
      </c>
      <c r="AL9170">
        <v>86.943008298438301</v>
      </c>
      <c r="AM9170">
        <v>91.241690808900202</v>
      </c>
      <c r="AN9170">
        <v>1.00000000309804</v>
      </c>
    </row>
    <row r="9171" spans="1:40" x14ac:dyDescent="0.25">
      <c r="A9171" t="str">
        <f>"20190312160547432"</f>
        <v>20190312160547432</v>
      </c>
      <c r="B9171" t="str">
        <f>"1552377947424753"</f>
        <v>1552377947424753</v>
      </c>
      <c r="C9171" t="s">
        <v>40</v>
      </c>
      <c r="D9171">
        <v>5.3335049999999997</v>
      </c>
      <c r="E9171">
        <v>0.54927190000000004</v>
      </c>
      <c r="F9171" t="s">
        <v>49</v>
      </c>
      <c r="G9171">
        <v>-129.5027</v>
      </c>
      <c r="H9171">
        <v>0.99160950000000003</v>
      </c>
      <c r="I9171">
        <v>138.41050000000001</v>
      </c>
      <c r="J9171">
        <v>-130.1644</v>
      </c>
      <c r="K9171">
        <v>1.1105969999999901</v>
      </c>
      <c r="L9171">
        <v>138.518</v>
      </c>
      <c r="M9171">
        <v>0.9996292</v>
      </c>
      <c r="N9171">
        <v>0</v>
      </c>
      <c r="O9171">
        <v>-2.3804200000000001E-2</v>
      </c>
      <c r="P9171">
        <v>0.99920770000000003</v>
      </c>
      <c r="Q9171">
        <v>3.9772719999999998E-2</v>
      </c>
      <c r="R9171">
        <v>-1.5754079999999999E-3</v>
      </c>
      <c r="S9171">
        <v>3.0190730000000001</v>
      </c>
      <c r="T9171">
        <v>-0.43852210000000003</v>
      </c>
      <c r="U9171">
        <v>-0.40826420000000002</v>
      </c>
      <c r="V9171">
        <v>-2.22212E-2</v>
      </c>
      <c r="W9171">
        <v>5.298071E-2</v>
      </c>
      <c r="X9171">
        <v>0.99834829999999997</v>
      </c>
      <c r="Y9171">
        <v>0.1094966</v>
      </c>
      <c r="Z9171">
        <v>-4.4525520000000002E-3</v>
      </c>
      <c r="AA9171">
        <v>0.99397720000000001</v>
      </c>
      <c r="AB9171">
        <v>16</v>
      </c>
      <c r="AC9171">
        <v>0.66169999999999596</v>
      </c>
      <c r="AD9171">
        <v>-0.118987499999999</v>
      </c>
      <c r="AE9171">
        <v>-0.10749999999998699</v>
      </c>
      <c r="AF9171">
        <v>8.8915711076968107E-2</v>
      </c>
      <c r="AG9171">
        <v>-0.118987499999999</v>
      </c>
      <c r="AH9171">
        <v>0.64378965279219202</v>
      </c>
      <c r="AI9171">
        <v>100.375125735567</v>
      </c>
      <c r="AJ9171">
        <v>82.136456549257105</v>
      </c>
      <c r="AK9171">
        <v>0.66070352343154903</v>
      </c>
      <c r="AL9171">
        <v>86.963007105222403</v>
      </c>
      <c r="AM9171">
        <v>91.275076830785807</v>
      </c>
      <c r="AN9171">
        <v>1.0000000327372101</v>
      </c>
    </row>
    <row r="9172" spans="1:40" x14ac:dyDescent="0.25">
      <c r="A9172" t="str">
        <f>"20190312160547455"</f>
        <v>20190312160547455</v>
      </c>
      <c r="B9172" t="str">
        <f>"1552377947444273"</f>
        <v>1552377947444273</v>
      </c>
      <c r="C9172" t="s">
        <v>40</v>
      </c>
      <c r="D9172">
        <v>5.4346240000000003</v>
      </c>
      <c r="E9172">
        <v>0.54940429999999996</v>
      </c>
      <c r="F9172" t="s">
        <v>49</v>
      </c>
      <c r="G9172">
        <v>-129.3587</v>
      </c>
      <c r="H9172">
        <v>0.99401740000000005</v>
      </c>
      <c r="I9172">
        <v>138.40860000000001</v>
      </c>
      <c r="J9172">
        <v>-130.0025</v>
      </c>
      <c r="K9172">
        <v>1.110608</v>
      </c>
      <c r="L9172">
        <v>138.51439999999999</v>
      </c>
      <c r="M9172">
        <v>0.99963369999999996</v>
      </c>
      <c r="N9172">
        <v>0</v>
      </c>
      <c r="O9172">
        <v>-2.361477E-2</v>
      </c>
      <c r="P9172">
        <v>0.99919409999999997</v>
      </c>
      <c r="Q9172">
        <v>4.013013E-2</v>
      </c>
      <c r="R9172">
        <v>-8.1141669999999896E-4</v>
      </c>
      <c r="S9172">
        <v>3.0191189999999999</v>
      </c>
      <c r="T9172">
        <v>-0.43691530000000001</v>
      </c>
      <c r="U9172">
        <v>-0.40974430000000001</v>
      </c>
      <c r="V9172">
        <v>-2.2795840000000001E-2</v>
      </c>
      <c r="W9172">
        <v>5.3335920000000002E-2</v>
      </c>
      <c r="X9172">
        <v>0.99831639999999999</v>
      </c>
      <c r="Y9172">
        <v>0.110159199999999</v>
      </c>
      <c r="Z9172">
        <v>-4.5108070000000004E-3</v>
      </c>
      <c r="AA9172">
        <v>0.99390369999999995</v>
      </c>
      <c r="AB9172">
        <v>16</v>
      </c>
      <c r="AC9172">
        <v>0.64379999999999804</v>
      </c>
      <c r="AD9172">
        <v>-0.1165906</v>
      </c>
      <c r="AE9172">
        <v>-0.105799999999987</v>
      </c>
      <c r="AF9172">
        <v>8.77633471142341E-2</v>
      </c>
      <c r="AG9172">
        <v>-0.1165906</v>
      </c>
      <c r="AH9172">
        <v>0.62612449996097497</v>
      </c>
      <c r="AI9172">
        <v>100.448372741623</v>
      </c>
      <c r="AJ9172">
        <v>82.020883816496195</v>
      </c>
      <c r="AK9172">
        <v>0.64290564047645005</v>
      </c>
      <c r="AL9172">
        <v>86.942626163161407</v>
      </c>
      <c r="AM9172">
        <v>91.308080775149506</v>
      </c>
      <c r="AN9172">
        <v>1.0000000025962501</v>
      </c>
    </row>
    <row r="9173" spans="1:40" x14ac:dyDescent="0.25">
      <c r="A9173" t="str">
        <f>"20190312160547478"</f>
        <v>20190312160547478</v>
      </c>
      <c r="B9173" t="str">
        <f>"1552377947474529"</f>
        <v>1552377947474529</v>
      </c>
      <c r="C9173" t="s">
        <v>40</v>
      </c>
      <c r="D9173">
        <v>5.328843</v>
      </c>
      <c r="E9173">
        <v>0.51932849999999997</v>
      </c>
      <c r="F9173" t="s">
        <v>49</v>
      </c>
      <c r="G9173">
        <v>-129.2148</v>
      </c>
      <c r="H9173">
        <v>0.99679320000000005</v>
      </c>
      <c r="I9173">
        <v>138.40770000000001</v>
      </c>
      <c r="J9173">
        <v>-129.84129999999999</v>
      </c>
      <c r="K9173">
        <v>1.1106069999999999</v>
      </c>
      <c r="L9173">
        <v>138.51079999999999</v>
      </c>
      <c r="M9173">
        <v>0.99963809999999997</v>
      </c>
      <c r="N9173">
        <v>0</v>
      </c>
      <c r="O9173">
        <v>-2.3426300000000001E-2</v>
      </c>
      <c r="P9173">
        <v>0.99917789999999995</v>
      </c>
      <c r="Q9173">
        <v>4.0543839999999998E-2</v>
      </c>
      <c r="R9173">
        <v>-1.671493E-4</v>
      </c>
      <c r="S9173">
        <v>3.019638</v>
      </c>
      <c r="T9173">
        <v>-0.43639260000000002</v>
      </c>
      <c r="U9173">
        <v>-0.40837099999999998</v>
      </c>
      <c r="V9173">
        <v>-2.3250880000000002E-2</v>
      </c>
      <c r="W9173">
        <v>5.3747320000000001E-2</v>
      </c>
      <c r="X9173">
        <v>0.9982839</v>
      </c>
      <c r="Y9173">
        <v>0.1098832</v>
      </c>
      <c r="Z9173">
        <v>-4.5120300000000002E-3</v>
      </c>
      <c r="AA9173">
        <v>0.99393430000000005</v>
      </c>
      <c r="AB9173">
        <v>16</v>
      </c>
      <c r="AC9173">
        <v>0.62649999999999295</v>
      </c>
      <c r="AD9173">
        <v>-0.11381379999999899</v>
      </c>
      <c r="AE9173">
        <v>-0.103099999999983</v>
      </c>
      <c r="AF9173">
        <v>8.5641961563601599E-2</v>
      </c>
      <c r="AG9173">
        <v>-0.11381379999999899</v>
      </c>
      <c r="AH9173">
        <v>0.60916944370272497</v>
      </c>
      <c r="AI9173">
        <v>100.482044894458</v>
      </c>
      <c r="AJ9173">
        <v>81.997345577544294</v>
      </c>
      <c r="AK9173">
        <v>0.62560014209716097</v>
      </c>
      <c r="AL9173">
        <v>86.919021001691306</v>
      </c>
      <c r="AM9173">
        <v>91.334226151910499</v>
      </c>
      <c r="AN9173">
        <v>1.00000006141358</v>
      </c>
    </row>
    <row r="9174" spans="1:40" x14ac:dyDescent="0.25">
      <c r="A9174" t="str">
        <f>"20190312160547500"</f>
        <v>20190312160547500</v>
      </c>
      <c r="B9174" t="str">
        <f>"1552377947494050"</f>
        <v>1552377947494050</v>
      </c>
      <c r="C9174" t="s">
        <v>40</v>
      </c>
      <c r="D9174">
        <v>5.2824239999999998</v>
      </c>
      <c r="E9174">
        <v>0.51143450000000001</v>
      </c>
      <c r="F9174" t="s">
        <v>49</v>
      </c>
      <c r="G9174">
        <v>-129.04140000000001</v>
      </c>
      <c r="H9174">
        <v>1.048891</v>
      </c>
      <c r="I9174">
        <v>138.4676</v>
      </c>
      <c r="J9174">
        <v>-129.68549999999999</v>
      </c>
      <c r="K9174">
        <v>1.110611</v>
      </c>
      <c r="L9174">
        <v>138.50729999999999</v>
      </c>
      <c r="M9174">
        <v>0.99964240000000004</v>
      </c>
      <c r="N9174">
        <v>0</v>
      </c>
      <c r="O9174">
        <v>-2.3243679999999999E-2</v>
      </c>
      <c r="P9174">
        <v>0.99918070000000003</v>
      </c>
      <c r="Q9174">
        <v>4.0466849999999999E-2</v>
      </c>
      <c r="R9174">
        <v>5.6777729999999999E-4</v>
      </c>
      <c r="S9174">
        <v>3.0118710000000002</v>
      </c>
      <c r="T9174">
        <v>-0.2324581</v>
      </c>
      <c r="U9174">
        <v>-0.16210939999999999</v>
      </c>
      <c r="V9174">
        <v>-2.3803169999999998E-2</v>
      </c>
      <c r="W9174">
        <v>5.3668279999999999E-2</v>
      </c>
      <c r="X9174">
        <v>0.99827509999999997</v>
      </c>
      <c r="Y9174">
        <v>3.049754E-2</v>
      </c>
      <c r="Z9174">
        <v>6.1544799999999999E-4</v>
      </c>
      <c r="AA9174">
        <v>0.9995347</v>
      </c>
      <c r="AB9174">
        <v>16</v>
      </c>
      <c r="AC9174">
        <v>0.64409999999998002</v>
      </c>
      <c r="AD9174">
        <v>-6.1719999999999997E-2</v>
      </c>
      <c r="AE9174">
        <v>-3.9699999999982E-2</v>
      </c>
      <c r="AF9174">
        <v>2.4492664761459799E-2</v>
      </c>
      <c r="AG9174">
        <v>-6.1719999999999997E-2</v>
      </c>
      <c r="AH9174">
        <v>0.63900357539073604</v>
      </c>
      <c r="AI9174">
        <v>95.512940760927293</v>
      </c>
      <c r="AJ9174">
        <v>87.804957988101293</v>
      </c>
      <c r="AK9174">
        <v>0.64244440879290199</v>
      </c>
      <c r="AL9174">
        <v>86.923556094087203</v>
      </c>
      <c r="AM9174">
        <v>91.365918874519195</v>
      </c>
      <c r="AN9174">
        <v>1.0000000252301</v>
      </c>
    </row>
    <row r="9175" spans="1:40" x14ac:dyDescent="0.25">
      <c r="A9175" t="str">
        <f>"20190312160547522"</f>
        <v>20190312160547522</v>
      </c>
      <c r="B9175" t="str">
        <f>"1552377947514546"</f>
        <v>1552377947514546</v>
      </c>
      <c r="C9175" t="s">
        <v>40</v>
      </c>
      <c r="D9175">
        <v>5.2476599999999998</v>
      </c>
      <c r="E9175">
        <v>0.50595679999999998</v>
      </c>
      <c r="F9175" t="s">
        <v>41</v>
      </c>
      <c r="G9175">
        <v>-112.28360000000001</v>
      </c>
      <c r="H9175" s="1">
        <v>-3.5877960000000001E-6</v>
      </c>
      <c r="I9175">
        <v>137.9521</v>
      </c>
      <c r="J9175">
        <v>-129.52709999999999</v>
      </c>
      <c r="K9175">
        <v>1.110614</v>
      </c>
      <c r="L9175">
        <v>138.50389999999999</v>
      </c>
      <c r="M9175">
        <v>0.99964679999999995</v>
      </c>
      <c r="N9175">
        <v>0</v>
      </c>
      <c r="O9175">
        <v>-2.3057950000000001E-2</v>
      </c>
      <c r="P9175">
        <v>0.99918499999999999</v>
      </c>
      <c r="Q9175">
        <v>4.0357850000000001E-2</v>
      </c>
      <c r="R9175">
        <v>8.6664559999999997E-4</v>
      </c>
      <c r="S9175">
        <v>3.0103</v>
      </c>
      <c r="T9175">
        <v>-0.19212190000000001</v>
      </c>
      <c r="U9175">
        <v>-9.6038819999999997E-2</v>
      </c>
      <c r="V9175">
        <v>-2.39166E-2</v>
      </c>
      <c r="W9175">
        <v>5.3557819999999999E-2</v>
      </c>
      <c r="X9175">
        <v>0.99827829999999995</v>
      </c>
      <c r="Y9175">
        <v>8.8593209999999999E-3</v>
      </c>
      <c r="Z9175">
        <v>1.1872720000000001E-3</v>
      </c>
      <c r="AA9175">
        <v>0.99996010000000002</v>
      </c>
      <c r="AB9175">
        <v>16</v>
      </c>
      <c r="AC9175">
        <v>17.243499999999901</v>
      </c>
      <c r="AD9175">
        <v>-1.1106175877959901</v>
      </c>
      <c r="AE9175">
        <v>-0.55179999999998497</v>
      </c>
      <c r="AF9175">
        <v>0.153383150053579</v>
      </c>
      <c r="AG9175">
        <v>-1.1106175877959901</v>
      </c>
      <c r="AH9175">
        <v>17.180441116594199</v>
      </c>
      <c r="AI9175">
        <v>93.6985521505854</v>
      </c>
      <c r="AJ9175">
        <v>89.488489637175107</v>
      </c>
      <c r="AK9175">
        <v>17.216984485611899</v>
      </c>
      <c r="AL9175">
        <v>86.929894036041006</v>
      </c>
      <c r="AM9175">
        <v>91.372421049762806</v>
      </c>
      <c r="AN9175">
        <v>1.0000000040448001</v>
      </c>
    </row>
    <row r="9176" spans="1:40" x14ac:dyDescent="0.25">
      <c r="A9176" t="str">
        <f>"20190312160547545"</f>
        <v>20190312160547545</v>
      </c>
      <c r="B9176" t="str">
        <f>"1552377947534065"</f>
        <v>1552377947534065</v>
      </c>
      <c r="C9176" t="s">
        <v>40</v>
      </c>
      <c r="D9176">
        <v>5.2946249999999999</v>
      </c>
      <c r="E9176">
        <v>0.50411419999999996</v>
      </c>
      <c r="F9176" t="s">
        <v>41</v>
      </c>
      <c r="G9176">
        <v>-110.0573</v>
      </c>
      <c r="H9176" s="1">
        <v>-4.5037389999999998E-6</v>
      </c>
      <c r="I9176">
        <v>138.173</v>
      </c>
      <c r="J9176">
        <v>-129.3646</v>
      </c>
      <c r="K9176">
        <v>1.110611</v>
      </c>
      <c r="L9176">
        <v>138.50040000000001</v>
      </c>
      <c r="M9176">
        <v>0.99965130000000002</v>
      </c>
      <c r="N9176">
        <v>0</v>
      </c>
      <c r="O9176">
        <v>-2.2867459999999999E-2</v>
      </c>
      <c r="P9176">
        <v>0.99921819999999895</v>
      </c>
      <c r="Q9176">
        <v>3.9524980000000001E-2</v>
      </c>
      <c r="R9176">
        <v>9.4600100000000003E-4</v>
      </c>
      <c r="S9176">
        <v>3.00943</v>
      </c>
      <c r="T9176">
        <v>-0.1716666</v>
      </c>
      <c r="U9176">
        <v>-5.1147459999999999E-2</v>
      </c>
      <c r="V9176">
        <v>-2.380579E-2</v>
      </c>
      <c r="W9176">
        <v>5.272309E-2</v>
      </c>
      <c r="X9176">
        <v>0.99832529999999997</v>
      </c>
      <c r="Y9176">
        <v>-5.8306819999999898E-3</v>
      </c>
      <c r="Z9176">
        <v>1.469391E-3</v>
      </c>
      <c r="AA9176">
        <v>0.99998189999999998</v>
      </c>
      <c r="AB9176">
        <v>16</v>
      </c>
      <c r="AC9176">
        <v>19.307300000000001</v>
      </c>
      <c r="AD9176">
        <v>-1.110615503739</v>
      </c>
      <c r="AE9176">
        <v>-0.32740000000001102</v>
      </c>
      <c r="AF9176">
        <v>-0.113856402192392</v>
      </c>
      <c r="AG9176">
        <v>-1.110615503739</v>
      </c>
      <c r="AH9176">
        <v>19.246072694558901</v>
      </c>
      <c r="AI9176">
        <v>93.302594765559206</v>
      </c>
      <c r="AJ9176">
        <v>90.338947863309301</v>
      </c>
      <c r="AK9176">
        <v>19.278426913047401</v>
      </c>
      <c r="AL9176">
        <v>86.977787968004293</v>
      </c>
      <c r="AM9176">
        <v>91.366000497703396</v>
      </c>
      <c r="AN9176">
        <v>0.99999992223837797</v>
      </c>
    </row>
    <row r="9177" spans="1:40" x14ac:dyDescent="0.25">
      <c r="A9177" t="str">
        <f>"20190312160547568"</f>
        <v>20190312160547568</v>
      </c>
      <c r="B9177" t="str">
        <f>"1552377947554561"</f>
        <v>1552377947554561</v>
      </c>
      <c r="C9177" t="s">
        <v>40</v>
      </c>
      <c r="D9177">
        <v>5.2482629999999997</v>
      </c>
      <c r="E9177">
        <v>0.50321349999999998</v>
      </c>
      <c r="F9177" t="s">
        <v>41</v>
      </c>
      <c r="G9177">
        <v>-107.3231</v>
      </c>
      <c r="H9177" s="1">
        <v>-1.4903449999999999E-6</v>
      </c>
      <c r="I9177">
        <v>138.2381</v>
      </c>
      <c r="J9177">
        <v>-129.20869999999999</v>
      </c>
      <c r="K9177">
        <v>1.110611</v>
      </c>
      <c r="L9177">
        <v>138.49700000000001</v>
      </c>
      <c r="M9177">
        <v>0.99965539999999997</v>
      </c>
      <c r="N9177">
        <v>0</v>
      </c>
      <c r="O9177">
        <v>-2.268506E-2</v>
      </c>
      <c r="P9177">
        <v>0.99924210000000002</v>
      </c>
      <c r="Q9177">
        <v>3.8922770000000002E-2</v>
      </c>
      <c r="R9177">
        <v>8.9352210000000004E-4</v>
      </c>
      <c r="S9177">
        <v>3.008362</v>
      </c>
      <c r="T9177">
        <v>-0.1515831</v>
      </c>
      <c r="U9177">
        <v>-3.5797120000000002E-2</v>
      </c>
      <c r="V9177">
        <v>-2.3571849999999998E-2</v>
      </c>
      <c r="W9177">
        <v>5.212025E-2</v>
      </c>
      <c r="X9177">
        <v>0.99836259999999999</v>
      </c>
      <c r="Y9177">
        <v>-1.074773E-2</v>
      </c>
      <c r="Z9177">
        <v>1.4128539999999901E-3</v>
      </c>
      <c r="AA9177">
        <v>0.99994119999999997</v>
      </c>
      <c r="AB9177">
        <v>16</v>
      </c>
      <c r="AC9177">
        <v>21.8856</v>
      </c>
      <c r="AD9177">
        <v>-1.1106124903450001</v>
      </c>
      <c r="AE9177">
        <v>-0.25890000000001101</v>
      </c>
      <c r="AF9177">
        <v>-0.23707567349110401</v>
      </c>
      <c r="AG9177">
        <v>-1.1106124903450001</v>
      </c>
      <c r="AH9177">
        <v>21.829633224308601</v>
      </c>
      <c r="AI9177">
        <v>92.912318645061305</v>
      </c>
      <c r="AJ9177">
        <v>90.622223075384596</v>
      </c>
      <c r="AK9177">
        <v>21.8591525839065</v>
      </c>
      <c r="AL9177">
        <v>87.012375998599893</v>
      </c>
      <c r="AM9177">
        <v>91.352531278201894</v>
      </c>
      <c r="AN9177">
        <v>1.00000001682562</v>
      </c>
    </row>
    <row r="9178" spans="1:40" x14ac:dyDescent="0.25">
      <c r="A9178" t="str">
        <f>"20190312160547590"</f>
        <v>20190312160547590</v>
      </c>
      <c r="B9178" t="str">
        <f>"1552377947584817"</f>
        <v>1552377947584817</v>
      </c>
      <c r="C9178" t="s">
        <v>40</v>
      </c>
      <c r="D9178">
        <v>5.2258909999999998</v>
      </c>
      <c r="E9178">
        <v>0.50303009999999904</v>
      </c>
      <c r="F9178" t="s">
        <v>41</v>
      </c>
      <c r="G9178">
        <v>-105.8322</v>
      </c>
      <c r="H9178" s="1">
        <v>-2.188412E-6</v>
      </c>
      <c r="I9178">
        <v>138.2757</v>
      </c>
      <c r="J9178">
        <v>-129.04589999999999</v>
      </c>
      <c r="K9178">
        <v>1.110609</v>
      </c>
      <c r="L9178">
        <v>138.49350000000001</v>
      </c>
      <c r="M9178">
        <v>0.99965970000000004</v>
      </c>
      <c r="N9178">
        <v>0</v>
      </c>
      <c r="O9178">
        <v>-2.2494449999999999E-2</v>
      </c>
      <c r="P9178">
        <v>0.99925679999999995</v>
      </c>
      <c r="Q9178">
        <v>3.853736E-2</v>
      </c>
      <c r="R9178">
        <v>1.0197889999999999E-3</v>
      </c>
      <c r="S9178">
        <v>3.0078580000000001</v>
      </c>
      <c r="T9178">
        <v>-0.142903</v>
      </c>
      <c r="U9178">
        <v>-2.8472899999999999E-2</v>
      </c>
      <c r="V9178">
        <v>-2.350758E-2</v>
      </c>
      <c r="W9178">
        <v>5.1732630000000002E-2</v>
      </c>
      <c r="X9178">
        <v>0.99838419999999894</v>
      </c>
      <c r="Y9178">
        <v>-1.299203E-2</v>
      </c>
      <c r="Z9178">
        <v>1.3765229999999999E-3</v>
      </c>
      <c r="AA9178">
        <v>0.99991459999999999</v>
      </c>
      <c r="AB9178">
        <v>16</v>
      </c>
      <c r="AC9178">
        <v>23.2136999999999</v>
      </c>
      <c r="AD9178">
        <v>-1.110611188412</v>
      </c>
      <c r="AE9178">
        <v>-0.21780000000001101</v>
      </c>
      <c r="AF9178">
        <v>-0.30378481039233801</v>
      </c>
      <c r="AG9178">
        <v>-1.110611188412</v>
      </c>
      <c r="AH9178">
        <v>23.159718226383699</v>
      </c>
      <c r="AI9178">
        <v>92.745247664687099</v>
      </c>
      <c r="AJ9178">
        <v>90.751502639760005</v>
      </c>
      <c r="AK9178">
        <v>23.1883222926615</v>
      </c>
      <c r="AL9178">
        <v>87.034614765914696</v>
      </c>
      <c r="AM9178">
        <v>91.348815716983395</v>
      </c>
      <c r="AN9178">
        <v>0.99999994106690404</v>
      </c>
    </row>
    <row r="9179" spans="1:40" x14ac:dyDescent="0.25">
      <c r="A9179" t="str">
        <f>"20190312160547612"</f>
        <v>20190312160547612</v>
      </c>
      <c r="B9179" t="str">
        <f>"1552377947604337"</f>
        <v>1552377947604337</v>
      </c>
      <c r="C9179" t="s">
        <v>40</v>
      </c>
      <c r="D9179">
        <v>5.2320880000000001</v>
      </c>
      <c r="E9179">
        <v>0.50285230000000003</v>
      </c>
      <c r="F9179" t="s">
        <v>41</v>
      </c>
      <c r="G9179">
        <v>-103.85120000000001</v>
      </c>
      <c r="H9179" s="1">
        <v>-3.1253209999999999E-6</v>
      </c>
      <c r="I9179">
        <v>138.2732</v>
      </c>
      <c r="J9179">
        <v>-128.8937</v>
      </c>
      <c r="K9179">
        <v>1.1106100000000001</v>
      </c>
      <c r="L9179">
        <v>138.49029999999999</v>
      </c>
      <c r="M9179">
        <v>0.99966370000000004</v>
      </c>
      <c r="N9179">
        <v>0</v>
      </c>
      <c r="O9179">
        <v>-2.231646E-2</v>
      </c>
      <c r="P9179">
        <v>0.99926000000000004</v>
      </c>
      <c r="Q9179">
        <v>3.8438559999999997E-2</v>
      </c>
      <c r="R9179">
        <v>1.3922369999999999E-3</v>
      </c>
      <c r="S9179">
        <v>3.0073699999999999</v>
      </c>
      <c r="T9179">
        <v>-0.1325682</v>
      </c>
      <c r="U9179">
        <v>-2.630615E-2</v>
      </c>
      <c r="V9179">
        <v>-2.3702419999999998E-2</v>
      </c>
      <c r="W9179">
        <v>5.1630719999999998E-2</v>
      </c>
      <c r="X9179">
        <v>0.99838499999999997</v>
      </c>
      <c r="Y9179">
        <v>-1.353802E-2</v>
      </c>
      <c r="Z9179">
        <v>1.2814739999999999E-3</v>
      </c>
      <c r="AA9179">
        <v>0.99990760000000001</v>
      </c>
      <c r="AB9179">
        <v>16</v>
      </c>
      <c r="AC9179">
        <v>25.042499999999901</v>
      </c>
      <c r="AD9179">
        <v>-1.1106131253210001</v>
      </c>
      <c r="AE9179">
        <v>-0.217099999999987</v>
      </c>
      <c r="AF9179">
        <v>-0.34119176166387999</v>
      </c>
      <c r="AG9179">
        <v>-1.1106131253210001</v>
      </c>
      <c r="AH9179">
        <v>24.9919559521515</v>
      </c>
      <c r="AI9179">
        <v>92.544246197434205</v>
      </c>
      <c r="AJ9179">
        <v>90.782157011802695</v>
      </c>
      <c r="AK9179">
        <v>25.0189475327529</v>
      </c>
      <c r="AL9179">
        <v>87.040461980920597</v>
      </c>
      <c r="AM9179">
        <v>91.359989957455895</v>
      </c>
      <c r="AN9179">
        <v>1.00000007209328</v>
      </c>
    </row>
    <row r="9180" spans="1:40" x14ac:dyDescent="0.25">
      <c r="A9180" t="str">
        <f>"20190312160547646"</f>
        <v>20190312160547646</v>
      </c>
      <c r="B9180" t="str">
        <f>"1552377947634597"</f>
        <v>1552377947634597</v>
      </c>
      <c r="C9180" t="s">
        <v>40</v>
      </c>
      <c r="D9180">
        <v>5.2511979999999996</v>
      </c>
      <c r="E9180">
        <v>0.50290029999999997</v>
      </c>
      <c r="F9180" t="s">
        <v>41</v>
      </c>
      <c r="G9180">
        <v>-102.69889999999999</v>
      </c>
      <c r="H9180" s="1">
        <v>-3.6681819999999998E-6</v>
      </c>
      <c r="I9180">
        <v>138.2834</v>
      </c>
      <c r="J9180">
        <v>-128.65649999999999</v>
      </c>
      <c r="K9180">
        <v>1.1105499999999999</v>
      </c>
      <c r="L9180">
        <v>138.4854</v>
      </c>
      <c r="M9180">
        <v>0.99967309999999998</v>
      </c>
      <c r="N9180">
        <v>0</v>
      </c>
      <c r="O9180">
        <v>-2.2036440000000001E-2</v>
      </c>
      <c r="P9180">
        <v>0.99925940000000002</v>
      </c>
      <c r="Q9180">
        <v>3.8442419999999998E-2</v>
      </c>
      <c r="R9180">
        <v>1.729471E-3</v>
      </c>
      <c r="S9180">
        <v>3.0071560000000002</v>
      </c>
      <c r="T9180">
        <v>-0.1274981</v>
      </c>
      <c r="U9180">
        <v>-2.375793E-2</v>
      </c>
      <c r="V9180">
        <v>-2.3759369999999998E-2</v>
      </c>
      <c r="W9180">
        <v>5.1389289999999997E-2</v>
      </c>
      <c r="X9180">
        <v>0.99839599999999995</v>
      </c>
      <c r="Y9180">
        <v>-1.4106830000000001E-2</v>
      </c>
      <c r="Z9180">
        <v>1.2327869999999999E-3</v>
      </c>
      <c r="AA9180">
        <v>0.99989969999999995</v>
      </c>
      <c r="AB9180">
        <v>16</v>
      </c>
      <c r="AC9180">
        <v>25.957599999999999</v>
      </c>
      <c r="AD9180">
        <v>-1.1105536681820001</v>
      </c>
      <c r="AE9180">
        <v>-0.20199999999999799</v>
      </c>
      <c r="AF9180">
        <v>-0.36943405826249898</v>
      </c>
      <c r="AG9180">
        <v>-1.1105536681820001</v>
      </c>
      <c r="AH9180">
        <v>25.908327174078401</v>
      </c>
      <c r="AI9180">
        <v>92.454216885815498</v>
      </c>
      <c r="AJ9180">
        <v>90.816941123640603</v>
      </c>
      <c r="AK9180">
        <v>25.934749428756898</v>
      </c>
      <c r="AL9180">
        <v>87.054312986328199</v>
      </c>
      <c r="AM9180">
        <v>91.363241370652602</v>
      </c>
      <c r="AN9180">
        <v>0.99999996980274997</v>
      </c>
    </row>
    <row r="9181" spans="1:40" x14ac:dyDescent="0.25">
      <c r="A9181" t="str">
        <f>"20190312160547667"</f>
        <v>20190312160547667</v>
      </c>
      <c r="B9181" t="str">
        <f>"1552377947664849"</f>
        <v>1552377947664849</v>
      </c>
      <c r="C9181" t="s">
        <v>40</v>
      </c>
      <c r="D9181">
        <v>5.1714979999999997</v>
      </c>
      <c r="E9181">
        <v>0.50304589999999905</v>
      </c>
      <c r="F9181" t="s">
        <v>41</v>
      </c>
      <c r="G9181">
        <v>-101.45010000000001</v>
      </c>
      <c r="H9181" s="1">
        <v>-4.2594869999999999E-6</v>
      </c>
      <c r="I9181">
        <v>138.27799999999999</v>
      </c>
      <c r="J9181">
        <v>-128.501</v>
      </c>
      <c r="K9181">
        <v>1.1104700000000001</v>
      </c>
      <c r="L9181">
        <v>138.48220000000001</v>
      </c>
      <c r="M9181">
        <v>0.99968170000000001</v>
      </c>
      <c r="N9181">
        <v>0</v>
      </c>
      <c r="O9181">
        <v>-2.1851229999999999E-2</v>
      </c>
      <c r="P9181">
        <v>0.99925620000000004</v>
      </c>
      <c r="Q9181">
        <v>3.853065E-2</v>
      </c>
      <c r="R9181">
        <v>1.62045299999999E-3</v>
      </c>
      <c r="S9181">
        <v>3.0069889999999999</v>
      </c>
      <c r="T9181">
        <v>-0.122743699999999</v>
      </c>
      <c r="U9181">
        <v>-2.29187E-2</v>
      </c>
      <c r="V9181">
        <v>-2.346546E-2</v>
      </c>
      <c r="W9181">
        <v>5.1138330000000003E-2</v>
      </c>
      <c r="X9181">
        <v>0.99841590000000002</v>
      </c>
      <c r="Y9181">
        <v>-1.420254E-2</v>
      </c>
      <c r="Z9181">
        <v>1.181316E-3</v>
      </c>
      <c r="AA9181">
        <v>0.99989839999999997</v>
      </c>
      <c r="AB9181">
        <v>16</v>
      </c>
      <c r="AC9181">
        <v>27.050899999999999</v>
      </c>
      <c r="AD9181">
        <v>-1.1104742594869901</v>
      </c>
      <c r="AE9181">
        <v>-0.20420000000001401</v>
      </c>
      <c r="AF9181">
        <v>-0.38634017930515901</v>
      </c>
      <c r="AG9181">
        <v>-1.1104742594869901</v>
      </c>
      <c r="AH9181">
        <v>27.003398741276101</v>
      </c>
      <c r="AI9181">
        <v>92.354635386743993</v>
      </c>
      <c r="AJ9181">
        <v>90.819680211000403</v>
      </c>
      <c r="AK9181">
        <v>27.0289836175074</v>
      </c>
      <c r="AL9181">
        <v>87.068711052115404</v>
      </c>
      <c r="AM9181">
        <v>91.346357117123603</v>
      </c>
      <c r="AN9181">
        <v>1.0000000329905001</v>
      </c>
    </row>
    <row r="9182" spans="1:40" x14ac:dyDescent="0.25">
      <c r="A9182" t="str">
        <f>"20190312160547690"</f>
        <v>20190312160547690</v>
      </c>
      <c r="B9182" t="str">
        <f>"1552377947684514"</f>
        <v>1552377947684514</v>
      </c>
      <c r="C9182" t="s">
        <v>40</v>
      </c>
      <c r="D9182">
        <v>5.1761200000000001</v>
      </c>
      <c r="E9182">
        <v>0.5030251</v>
      </c>
      <c r="F9182" t="s">
        <v>41</v>
      </c>
      <c r="G9182">
        <v>-100.56359999999999</v>
      </c>
      <c r="H9182" s="1">
        <v>-4.682282E-6</v>
      </c>
      <c r="I9182">
        <v>138.2567</v>
      </c>
      <c r="J9182">
        <v>-128.34219999999999</v>
      </c>
      <c r="K9182">
        <v>1.1104579999999999</v>
      </c>
      <c r="L9182">
        <v>138.47890000000001</v>
      </c>
      <c r="M9182">
        <v>0.99968789999999996</v>
      </c>
      <c r="N9182">
        <v>0</v>
      </c>
      <c r="O9182">
        <v>-2.165425E-2</v>
      </c>
      <c r="P9182">
        <v>0.99925770000000003</v>
      </c>
      <c r="Q9182">
        <v>3.8515109999999998E-2</v>
      </c>
      <c r="R9182">
        <v>1.055107E-3</v>
      </c>
      <c r="S9182">
        <v>3.0068820000000001</v>
      </c>
      <c r="T9182">
        <v>-0.1195198</v>
      </c>
      <c r="U9182">
        <v>-2.426147E-2</v>
      </c>
      <c r="V9182">
        <v>-2.2703919999999999E-2</v>
      </c>
      <c r="W9182">
        <v>5.0964519999999999E-2</v>
      </c>
      <c r="X9182">
        <v>0.99844239999999995</v>
      </c>
      <c r="Y9182">
        <v>-1.3560930000000001E-2</v>
      </c>
      <c r="Z9182">
        <v>1.1297779999999999E-3</v>
      </c>
      <c r="AA9182">
        <v>0.9999074</v>
      </c>
      <c r="AB9182">
        <v>16</v>
      </c>
      <c r="AC9182">
        <v>27.778600000000001</v>
      </c>
      <c r="AD9182">
        <v>-1.1104626822819901</v>
      </c>
      <c r="AE9182">
        <v>-0.222200000000015</v>
      </c>
      <c r="AF9182">
        <v>-0.37881821398382798</v>
      </c>
      <c r="AG9182">
        <v>-1.1104626822819901</v>
      </c>
      <c r="AH9182">
        <v>27.732582491184999</v>
      </c>
      <c r="AI9182">
        <v>92.292787844082099</v>
      </c>
      <c r="AJ9182">
        <v>90.782593365964502</v>
      </c>
      <c r="AK9182">
        <v>27.7573911281007</v>
      </c>
      <c r="AL9182">
        <v>87.078682649152697</v>
      </c>
      <c r="AM9182">
        <v>91.302643650184294</v>
      </c>
      <c r="AN9182">
        <v>1.0000000381999701</v>
      </c>
    </row>
    <row r="9183" spans="1:40" x14ac:dyDescent="0.25">
      <c r="A9183" t="str">
        <f>"20190312160547712"</f>
        <v>20190312160547712</v>
      </c>
      <c r="B9183" t="str">
        <f>"1552377947704034"</f>
        <v>1552377947704034</v>
      </c>
      <c r="C9183" t="s">
        <v>40</v>
      </c>
      <c r="D9183">
        <v>5.1820599999999999</v>
      </c>
      <c r="E9183">
        <v>0.50310679999999997</v>
      </c>
      <c r="F9183" t="s">
        <v>41</v>
      </c>
      <c r="G9183">
        <v>-99.935270000000003</v>
      </c>
      <c r="H9183" s="1">
        <v>-3.7555520000000001E-7</v>
      </c>
      <c r="I9183">
        <v>138.2353</v>
      </c>
      <c r="J9183">
        <v>-128.184</v>
      </c>
      <c r="K9183">
        <v>1.1104849999999999</v>
      </c>
      <c r="L9183">
        <v>138.47569999999999</v>
      </c>
      <c r="M9183">
        <v>0.99969209999999997</v>
      </c>
      <c r="N9183">
        <v>0</v>
      </c>
      <c r="O9183">
        <v>-2.1463570000000001E-2</v>
      </c>
      <c r="P9183">
        <v>0.9992489</v>
      </c>
      <c r="Q9183">
        <v>3.8726620000000003E-2</v>
      </c>
      <c r="R9183">
        <v>1.4317760000000001E-3</v>
      </c>
      <c r="S9183">
        <v>3.0067900000000001</v>
      </c>
      <c r="T9183">
        <v>-0.11753859999999999</v>
      </c>
      <c r="U9183">
        <v>-2.5787350000000001E-2</v>
      </c>
      <c r="V9183">
        <v>-2.2889360000000001E-2</v>
      </c>
      <c r="W9183">
        <v>5.1163090000000001E-2</v>
      </c>
      <c r="X9183">
        <v>0.99842799999999998</v>
      </c>
      <c r="Y9183">
        <v>-1.286415E-2</v>
      </c>
      <c r="Z9183">
        <v>1.090031E-3</v>
      </c>
      <c r="AA9183">
        <v>0.99991669999999999</v>
      </c>
      <c r="AB9183">
        <v>16</v>
      </c>
      <c r="AC9183">
        <v>28.248729999999998</v>
      </c>
      <c r="AD9183">
        <v>-1.1104853755552</v>
      </c>
      <c r="AE9183">
        <v>-0.24039999999999301</v>
      </c>
      <c r="AF9183">
        <v>-0.36545626616716398</v>
      </c>
      <c r="AG9183">
        <v>-1.1104853755552</v>
      </c>
      <c r="AH9183">
        <v>28.203799918963298</v>
      </c>
      <c r="AI9183">
        <v>92.254587820419701</v>
      </c>
      <c r="AJ9183">
        <v>90.742379747456098</v>
      </c>
      <c r="AK9183">
        <v>28.228019163956901</v>
      </c>
      <c r="AL9183">
        <v>87.067290534150402</v>
      </c>
      <c r="AM9183">
        <v>91.313298544455193</v>
      </c>
      <c r="AN9183">
        <v>1.00000002788177</v>
      </c>
    </row>
    <row r="9184" spans="1:40" x14ac:dyDescent="0.25">
      <c r="A9184" t="str">
        <f>"20190312160547735"</f>
        <v>20190312160547735</v>
      </c>
      <c r="B9184" t="str">
        <f>"1552377947724530"</f>
        <v>1552377947724530</v>
      </c>
      <c r="C9184" t="s">
        <v>40</v>
      </c>
      <c r="D9184">
        <v>5.1705199999999998</v>
      </c>
      <c r="E9184">
        <v>0.50320790000000004</v>
      </c>
      <c r="F9184" t="s">
        <v>41</v>
      </c>
      <c r="G9184">
        <v>-99.466260000000005</v>
      </c>
      <c r="H9184" s="1">
        <v>-5.3571259999999998E-7</v>
      </c>
      <c r="I9184">
        <v>138.23320000000001</v>
      </c>
      <c r="J9184">
        <v>-128.02459999999999</v>
      </c>
      <c r="K9184">
        <v>1.1104969999999901</v>
      </c>
      <c r="L9184">
        <v>138.4725</v>
      </c>
      <c r="M9184">
        <v>0.99969669999999999</v>
      </c>
      <c r="N9184">
        <v>0</v>
      </c>
      <c r="O9184">
        <v>-2.1270150000000002E-2</v>
      </c>
      <c r="P9184">
        <v>0.9992356</v>
      </c>
      <c r="Q9184">
        <v>3.906254E-2</v>
      </c>
      <c r="R9184">
        <v>1.6511849999999999E-3</v>
      </c>
      <c r="S9184">
        <v>3.006821</v>
      </c>
      <c r="T9184">
        <v>-0.1162705</v>
      </c>
      <c r="U9184">
        <v>-2.5390630000000001E-2</v>
      </c>
      <c r="V9184">
        <v>-2.2915669999999999E-2</v>
      </c>
      <c r="W9184">
        <v>5.1467390000000002E-2</v>
      </c>
      <c r="X9184">
        <v>0.99841170000000001</v>
      </c>
      <c r="Y9184">
        <v>-1.2803429999999999E-2</v>
      </c>
      <c r="Z9184">
        <v>1.069621E-3</v>
      </c>
      <c r="AA9184">
        <v>0.99991739999999996</v>
      </c>
      <c r="AB9184">
        <v>16</v>
      </c>
      <c r="AC9184">
        <v>28.558340000000001</v>
      </c>
      <c r="AD9184">
        <v>-1.1104975357125999</v>
      </c>
      <c r="AE9184">
        <v>-0.239299999999985</v>
      </c>
      <c r="AF9184">
        <v>-0.36768520385614201</v>
      </c>
      <c r="AG9184">
        <v>-1.1104975357125999</v>
      </c>
      <c r="AH9184">
        <v>28.513856780116502</v>
      </c>
      <c r="AI9184">
        <v>92.230122746107696</v>
      </c>
      <c r="AJ9184">
        <v>90.738786162294303</v>
      </c>
      <c r="AK9184">
        <v>28.537841993797599</v>
      </c>
      <c r="AL9184">
        <v>87.0498322612126</v>
      </c>
      <c r="AM9184">
        <v>91.314829033762095</v>
      </c>
      <c r="AN9184">
        <v>0.99999997143092501</v>
      </c>
    </row>
    <row r="9185" spans="1:40" x14ac:dyDescent="0.25">
      <c r="A9185" t="str">
        <f>"20190312160547758"</f>
        <v>20190312160547758</v>
      </c>
      <c r="B9185" t="str">
        <f>"1552377947754787"</f>
        <v>1552377947754787</v>
      </c>
      <c r="C9185" t="s">
        <v>40</v>
      </c>
      <c r="D9185">
        <v>5.1757669999999996</v>
      </c>
      <c r="E9185">
        <v>0.50332270000000001</v>
      </c>
      <c r="F9185" t="s">
        <v>41</v>
      </c>
      <c r="G9185">
        <v>-98.977230000000006</v>
      </c>
      <c r="H9185" s="1">
        <v>-7.0443309999999998E-7</v>
      </c>
      <c r="I9185">
        <v>138.22460000000001</v>
      </c>
      <c r="J9185">
        <v>-127.8562</v>
      </c>
      <c r="K9185">
        <v>1.110487</v>
      </c>
      <c r="L9185">
        <v>138.4692</v>
      </c>
      <c r="M9185">
        <v>0.99970230000000004</v>
      </c>
      <c r="N9185">
        <v>0</v>
      </c>
      <c r="O9185">
        <v>-2.1059350000000001E-2</v>
      </c>
      <c r="P9185">
        <v>0.99923740000000005</v>
      </c>
      <c r="Q9185">
        <v>3.8969940000000002E-2</v>
      </c>
      <c r="R9185">
        <v>2.4608049999999999E-3</v>
      </c>
      <c r="S9185">
        <v>3.0068359999999998</v>
      </c>
      <c r="T9185">
        <v>-0.114953</v>
      </c>
      <c r="U9185">
        <v>-2.5665279999999999E-2</v>
      </c>
      <c r="V9185">
        <v>-2.3514810000000001E-2</v>
      </c>
      <c r="W9185">
        <v>5.1271190000000001E-2</v>
      </c>
      <c r="X9185">
        <v>0.99840790000000001</v>
      </c>
      <c r="Y9185">
        <v>-1.250223E-2</v>
      </c>
      <c r="Z9185">
        <v>1.0436919999999999E-3</v>
      </c>
      <c r="AA9185">
        <v>0.99992130000000001</v>
      </c>
      <c r="AB9185">
        <v>16</v>
      </c>
      <c r="AC9185">
        <v>28.878969999999899</v>
      </c>
      <c r="AD9185">
        <v>-1.1104877044331001</v>
      </c>
      <c r="AE9185">
        <v>-0.24459999999999099</v>
      </c>
      <c r="AF9185">
        <v>-0.36313585012754401</v>
      </c>
      <c r="AG9185">
        <v>-1.1104877044331001</v>
      </c>
      <c r="AH9185">
        <v>28.8350821579855</v>
      </c>
      <c r="AI9185">
        <v>92.205292605290495</v>
      </c>
      <c r="AJ9185">
        <v>90.721518727067206</v>
      </c>
      <c r="AK9185">
        <v>28.858742412744199</v>
      </c>
      <c r="AL9185">
        <v>87.061088662441307</v>
      </c>
      <c r="AM9185">
        <v>91.349198390008993</v>
      </c>
      <c r="AN9185">
        <v>1.0000000079978799</v>
      </c>
    </row>
    <row r="9186" spans="1:40" x14ac:dyDescent="0.25">
      <c r="A9186" t="str">
        <f>"20190312160547780"</f>
        <v>20190312160547780</v>
      </c>
      <c r="B9186" t="str">
        <f>"1552377947774306"</f>
        <v>1552377947774306</v>
      </c>
      <c r="C9186" t="s">
        <v>40</v>
      </c>
      <c r="D9186">
        <v>5.1564180000000004</v>
      </c>
      <c r="E9186">
        <v>0.50337600000000005</v>
      </c>
      <c r="F9186" t="s">
        <v>41</v>
      </c>
      <c r="G9186">
        <v>-98.727040000000002</v>
      </c>
      <c r="H9186" s="1">
        <v>-7.8671699999999996E-7</v>
      </c>
      <c r="I9186">
        <v>138.2353</v>
      </c>
      <c r="J9186">
        <v>-127.70829999999999</v>
      </c>
      <c r="K9186">
        <v>1.110482</v>
      </c>
      <c r="L9186">
        <v>138.46629999999999</v>
      </c>
      <c r="M9186">
        <v>0.99970720000000002</v>
      </c>
      <c r="N9186">
        <v>0</v>
      </c>
      <c r="O9186">
        <v>-2.087903E-2</v>
      </c>
      <c r="P9186">
        <v>0.99922979999999995</v>
      </c>
      <c r="Q9186">
        <v>3.9075289999999999E-2</v>
      </c>
      <c r="R9186">
        <v>3.5869320000000001E-3</v>
      </c>
      <c r="S9186">
        <v>3.006821</v>
      </c>
      <c r="T9186">
        <v>-0.1146288</v>
      </c>
      <c r="U9186">
        <v>-2.4139399999999998E-2</v>
      </c>
      <c r="V9186">
        <v>-2.4460269999999999E-2</v>
      </c>
      <c r="W9186">
        <v>5.128547E-2</v>
      </c>
      <c r="X9186">
        <v>0.99838439999999995</v>
      </c>
      <c r="Y9186">
        <v>-1.282924E-2</v>
      </c>
      <c r="Z9186">
        <v>1.0401189999999999E-3</v>
      </c>
      <c r="AA9186">
        <v>0.9999171</v>
      </c>
      <c r="AB9186">
        <v>16</v>
      </c>
      <c r="AC9186">
        <v>28.981259999999899</v>
      </c>
      <c r="AD9186">
        <v>-1.110482786717</v>
      </c>
      <c r="AE9186">
        <v>-0.23099999999999399</v>
      </c>
      <c r="AF9186">
        <v>-0.37364766143731198</v>
      </c>
      <c r="AG9186">
        <v>-1.110482786717</v>
      </c>
      <c r="AH9186">
        <v>28.9372814254308</v>
      </c>
      <c r="AI9186">
        <v>92.197493065059504</v>
      </c>
      <c r="AJ9186">
        <v>90.739780770451901</v>
      </c>
      <c r="AK9186">
        <v>28.960991711077099</v>
      </c>
      <c r="AL9186">
        <v>87.060269251440801</v>
      </c>
      <c r="AM9186">
        <v>91.403457355951105</v>
      </c>
      <c r="AN9186">
        <v>0.99999995720247603</v>
      </c>
    </row>
    <row r="9187" spans="1:40" x14ac:dyDescent="0.25">
      <c r="A9187" t="str">
        <f>"20190312160547801"</f>
        <v>20190312160547801</v>
      </c>
      <c r="B9187" t="str">
        <f>"1552377947794802"</f>
        <v>1552377947794802</v>
      </c>
      <c r="C9187" t="s">
        <v>40</v>
      </c>
      <c r="D9187">
        <v>5.1634929999999999</v>
      </c>
      <c r="E9187">
        <v>0.50326780000000004</v>
      </c>
      <c r="F9187" t="s">
        <v>41</v>
      </c>
      <c r="G9187">
        <v>-98.174180000000007</v>
      </c>
      <c r="H9187" s="1">
        <v>-1.0064630000000001E-6</v>
      </c>
      <c r="I9187">
        <v>138.25839999999999</v>
      </c>
      <c r="J9187">
        <v>-127.55029999999999</v>
      </c>
      <c r="K9187">
        <v>1.110479</v>
      </c>
      <c r="L9187">
        <v>138.4632</v>
      </c>
      <c r="M9187">
        <v>0.99971180000000004</v>
      </c>
      <c r="N9187">
        <v>0</v>
      </c>
      <c r="O9187">
        <v>-2.0691459999999998E-2</v>
      </c>
      <c r="P9187">
        <v>0.99921230000000005</v>
      </c>
      <c r="Q9187">
        <v>3.9361880000000002E-2</v>
      </c>
      <c r="R9187">
        <v>5.0568890000000002E-3</v>
      </c>
      <c r="S9187">
        <v>3.0068049999999999</v>
      </c>
      <c r="T9187">
        <v>-0.1130558</v>
      </c>
      <c r="U9187">
        <v>-2.1163939999999999E-2</v>
      </c>
      <c r="V9187">
        <v>-2.5741989999999999E-2</v>
      </c>
      <c r="W9187">
        <v>5.1519299999999997E-2</v>
      </c>
      <c r="X9187">
        <v>0.99834020000000001</v>
      </c>
      <c r="Y9187">
        <v>-1.3631229999999999E-2</v>
      </c>
      <c r="Z9187">
        <v>1.0338890000000001E-3</v>
      </c>
      <c r="AA9187">
        <v>0.99990650000000003</v>
      </c>
      <c r="AB9187">
        <v>16</v>
      </c>
      <c r="AC9187">
        <v>29.376119999999901</v>
      </c>
      <c r="AD9187">
        <v>-1.110480006463</v>
      </c>
      <c r="AE9187">
        <v>-0.20480000000000501</v>
      </c>
      <c r="AF9187">
        <v>-0.40254848956987999</v>
      </c>
      <c r="AG9187">
        <v>-1.110480006463</v>
      </c>
      <c r="AH9187">
        <v>29.332154175826499</v>
      </c>
      <c r="AI9187">
        <v>92.1679097615838</v>
      </c>
      <c r="AJ9187">
        <v>90.786266209046303</v>
      </c>
      <c r="AK9187">
        <v>29.355927505798</v>
      </c>
      <c r="AL9187">
        <v>87.046854234553194</v>
      </c>
      <c r="AM9187">
        <v>91.477032225035202</v>
      </c>
      <c r="AN9187">
        <v>1.0000000216288401</v>
      </c>
    </row>
    <row r="9188" spans="1:40" x14ac:dyDescent="0.25">
      <c r="A9188" t="str">
        <f>"20190312160547824"</f>
        <v>20190312160547824</v>
      </c>
      <c r="B9188" t="str">
        <f>"1552377947814323"</f>
        <v>1552377947814323</v>
      </c>
      <c r="C9188" t="s">
        <v>40</v>
      </c>
      <c r="D9188">
        <v>5.1278790000000001</v>
      </c>
      <c r="E9188">
        <v>0.45566250000000003</v>
      </c>
      <c r="F9188" t="s">
        <v>41</v>
      </c>
      <c r="G9188">
        <v>-98.162099999999995</v>
      </c>
      <c r="H9188" s="1">
        <v>-1.0030069999999999E-6</v>
      </c>
      <c r="I9188">
        <v>138.30709999999999</v>
      </c>
      <c r="J9188">
        <v>-127.39619999999999</v>
      </c>
      <c r="K9188">
        <v>1.110484</v>
      </c>
      <c r="L9188">
        <v>138.46029999999999</v>
      </c>
      <c r="M9188">
        <v>0.99971589999999999</v>
      </c>
      <c r="N9188">
        <v>0</v>
      </c>
      <c r="O9188">
        <v>-2.0508390000000001E-2</v>
      </c>
      <c r="P9188">
        <v>0.99921210000000005</v>
      </c>
      <c r="Q9188">
        <v>3.9251510000000003E-2</v>
      </c>
      <c r="R9188">
        <v>5.929457E-3</v>
      </c>
      <c r="S9188">
        <v>3.0069270000000001</v>
      </c>
      <c r="T9188">
        <v>-0.1136215</v>
      </c>
      <c r="U9188">
        <v>-1.5975949999999999E-2</v>
      </c>
      <c r="V9188">
        <v>-2.6431E-2</v>
      </c>
      <c r="W9188">
        <v>5.1387380000000003E-2</v>
      </c>
      <c r="X9188">
        <v>0.99832900000000002</v>
      </c>
      <c r="Y9188">
        <v>-1.5172299999999901E-2</v>
      </c>
      <c r="Z9188">
        <v>1.061216E-3</v>
      </c>
      <c r="AA9188">
        <v>0.99988429999999995</v>
      </c>
      <c r="AB9188">
        <v>16</v>
      </c>
      <c r="AC9188">
        <v>29.234100000000002</v>
      </c>
      <c r="AD9188">
        <v>-1.1104850030069999</v>
      </c>
      <c r="AE9188">
        <v>-0.153199999999998</v>
      </c>
      <c r="AF9188">
        <v>-0.44577756943101099</v>
      </c>
      <c r="AG9188">
        <v>-1.1104850030069999</v>
      </c>
      <c r="AH9188">
        <v>29.188976160519999</v>
      </c>
      <c r="AI9188">
        <v>92.178494537530298</v>
      </c>
      <c r="AJ9188">
        <v>90.874960044713802</v>
      </c>
      <c r="AK9188">
        <v>29.213493866408999</v>
      </c>
      <c r="AL9188">
        <v>87.054422732948794</v>
      </c>
      <c r="AM9188">
        <v>91.516565247461699</v>
      </c>
      <c r="AN9188">
        <v>1.0000000264126301</v>
      </c>
    </row>
    <row r="9189" spans="1:40" x14ac:dyDescent="0.25">
      <c r="A9189" t="str">
        <f>"20190312160547846"</f>
        <v>20190312160547846</v>
      </c>
      <c r="B9189" t="str">
        <f>"1552377947834819"</f>
        <v>1552377947834819</v>
      </c>
      <c r="C9189" t="s">
        <v>40</v>
      </c>
      <c r="D9189">
        <v>5.0517399999999997</v>
      </c>
      <c r="E9189">
        <v>0.43334990000000001</v>
      </c>
      <c r="F9189" t="s">
        <v>45</v>
      </c>
      <c r="G9189">
        <v>0</v>
      </c>
      <c r="H9189">
        <v>0</v>
      </c>
      <c r="I9189">
        <v>0</v>
      </c>
      <c r="J9189">
        <v>-127.2376</v>
      </c>
      <c r="K9189">
        <v>1.1104940000000001</v>
      </c>
      <c r="L9189">
        <v>138.4573</v>
      </c>
      <c r="M9189">
        <v>0.99972019999999995</v>
      </c>
      <c r="N9189">
        <v>0</v>
      </c>
      <c r="O9189">
        <v>-2.0314749999999999E-2</v>
      </c>
      <c r="P9189">
        <v>0.99919530000000001</v>
      </c>
      <c r="Q9189">
        <v>3.9542729999999998E-2</v>
      </c>
      <c r="R9189">
        <v>6.7690229999999999E-3</v>
      </c>
      <c r="S9189">
        <v>3.0004270000000002</v>
      </c>
      <c r="T9189">
        <v>-6.2439440000000004E-3</v>
      </c>
      <c r="U9189">
        <v>0.3686218</v>
      </c>
      <c r="V9189">
        <v>-2.7076610000000001E-2</v>
      </c>
      <c r="W9189">
        <v>5.1653579999999998E-2</v>
      </c>
      <c r="X9189">
        <v>0.99829789999999996</v>
      </c>
      <c r="Y9189">
        <v>-0.14207879999999901</v>
      </c>
      <c r="Z9189">
        <v>1.8941149999999999E-4</v>
      </c>
      <c r="AA9189">
        <v>0.98985529999999999</v>
      </c>
      <c r="AB9189">
        <v>16</v>
      </c>
      <c r="AC9189">
        <v>3.0004270000000002</v>
      </c>
      <c r="AD9189">
        <v>-6.2439440000000004E-3</v>
      </c>
      <c r="AE9189">
        <v>0.3686218</v>
      </c>
      <c r="AF9189">
        <v>-0.42950128535800802</v>
      </c>
      <c r="AG9189">
        <v>-6.2439440000000004E-3</v>
      </c>
      <c r="AH9189">
        <v>2.9923059480049301</v>
      </c>
      <c r="AI9189">
        <v>90.118344133582696</v>
      </c>
      <c r="AJ9189">
        <v>98.168172538798501</v>
      </c>
      <c r="AK9189">
        <v>3.0229795281189902</v>
      </c>
      <c r="AL9189">
        <v>87.039150135467906</v>
      </c>
      <c r="AM9189">
        <v>91.553639673918099</v>
      </c>
      <c r="AN9189">
        <v>0.99999996614015796</v>
      </c>
    </row>
    <row r="9190" spans="1:40" x14ac:dyDescent="0.25">
      <c r="A9190" t="str">
        <f>"20190312160547868"</f>
        <v>20190312160547868</v>
      </c>
      <c r="B9190" t="str">
        <f>"1552377947864101"</f>
        <v>1552377947864101</v>
      </c>
      <c r="C9190" t="s">
        <v>40</v>
      </c>
      <c r="D9190">
        <v>5.1437189999999999</v>
      </c>
      <c r="E9190">
        <v>0.41873369999999999</v>
      </c>
      <c r="F9190" t="s">
        <v>45</v>
      </c>
      <c r="G9190">
        <v>0</v>
      </c>
      <c r="H9190">
        <v>0</v>
      </c>
      <c r="I9190">
        <v>0</v>
      </c>
      <c r="J9190">
        <v>-127.0789</v>
      </c>
      <c r="K9190">
        <v>1.1104989999999999</v>
      </c>
      <c r="L9190">
        <v>138.45429999999999</v>
      </c>
      <c r="M9190">
        <v>0.99972439999999996</v>
      </c>
      <c r="N9190">
        <v>0</v>
      </c>
      <c r="O9190">
        <v>-2.0129569999999999E-2</v>
      </c>
      <c r="P9190">
        <v>0.99918620000000002</v>
      </c>
      <c r="Q9190">
        <v>3.972643E-2</v>
      </c>
      <c r="R9190">
        <v>7.0163789999999997E-3</v>
      </c>
      <c r="S9190">
        <v>2.9971619999999999</v>
      </c>
      <c r="T9190">
        <v>3.8517000000000003E-2</v>
      </c>
      <c r="U9190">
        <v>0.55020139999999995</v>
      </c>
      <c r="V9190">
        <v>-2.7139710000000001E-2</v>
      </c>
      <c r="W9190">
        <v>5.1803099999999998E-2</v>
      </c>
      <c r="X9190">
        <v>0.99828850000000002</v>
      </c>
      <c r="Y9190">
        <v>-0.20030300000000001</v>
      </c>
      <c r="Z9190">
        <v>-1.533005E-3</v>
      </c>
      <c r="AA9190">
        <v>0.97973279999999996</v>
      </c>
      <c r="AB9190">
        <v>16</v>
      </c>
      <c r="AC9190">
        <v>2.9971619999999999</v>
      </c>
      <c r="AD9190">
        <v>3.8517000000000003E-2</v>
      </c>
      <c r="AE9190">
        <v>0.55020139999999995</v>
      </c>
      <c r="AF9190">
        <v>-0.61032837540219798</v>
      </c>
      <c r="AG9190">
        <v>3.8517000000000003E-2</v>
      </c>
      <c r="AH9190">
        <v>2.9850015915124599</v>
      </c>
      <c r="AI9190">
        <v>89.275707530578401</v>
      </c>
      <c r="AJ9190">
        <v>101.555706598501</v>
      </c>
      <c r="AK9190">
        <v>3.0470016059139202</v>
      </c>
      <c r="AL9190">
        <v>87.030571966731401</v>
      </c>
      <c r="AM9190">
        <v>91.557273189509601</v>
      </c>
      <c r="AN9190">
        <v>1.00000002713037</v>
      </c>
    </row>
    <row r="9191" spans="1:40" x14ac:dyDescent="0.25">
      <c r="A9191" t="str">
        <f>"20190312160547891"</f>
        <v>20190312160547891</v>
      </c>
      <c r="B9191" t="str">
        <f>"1552377947884594"</f>
        <v>1552377947884594</v>
      </c>
      <c r="C9191" t="s">
        <v>40</v>
      </c>
      <c r="D9191">
        <v>5.1250720000000003</v>
      </c>
      <c r="E9191">
        <v>0.41496880000000003</v>
      </c>
      <c r="F9191" t="s">
        <v>45</v>
      </c>
      <c r="G9191">
        <v>0</v>
      </c>
      <c r="H9191">
        <v>0</v>
      </c>
      <c r="I9191">
        <v>0</v>
      </c>
      <c r="J9191">
        <v>-126.9208</v>
      </c>
      <c r="K9191">
        <v>1.1104969999999901</v>
      </c>
      <c r="L9191">
        <v>138.45140000000001</v>
      </c>
      <c r="M9191">
        <v>0.99972830000000001</v>
      </c>
      <c r="N9191">
        <v>0</v>
      </c>
      <c r="O9191">
        <v>-1.9950840000000001E-2</v>
      </c>
      <c r="P9191">
        <v>0.99917979999999995</v>
      </c>
      <c r="Q9191">
        <v>3.9862250000000002E-2</v>
      </c>
      <c r="R9191">
        <v>7.1308839999999997E-3</v>
      </c>
      <c r="S9191">
        <v>2.9951780000000001</v>
      </c>
      <c r="T9191">
        <v>6.4569829999999995E-2</v>
      </c>
      <c r="U9191">
        <v>0.66802980000000001</v>
      </c>
      <c r="V9191">
        <v>-2.70753E-2</v>
      </c>
      <c r="W9191">
        <v>5.1909780000000003E-2</v>
      </c>
      <c r="X9191">
        <v>0.99828470000000002</v>
      </c>
      <c r="Y9191">
        <v>-0.23705989999999999</v>
      </c>
      <c r="Z9191">
        <v>-2.9490409999999999E-3</v>
      </c>
      <c r="AA9191">
        <v>0.97149059999999998</v>
      </c>
      <c r="AB9191">
        <v>16</v>
      </c>
      <c r="AC9191">
        <v>2.9951780000000001</v>
      </c>
      <c r="AD9191">
        <v>6.4569829999999995E-2</v>
      </c>
      <c r="AE9191">
        <v>0.66802980000000001</v>
      </c>
      <c r="AF9191">
        <v>-0.72733546916147196</v>
      </c>
      <c r="AG9191">
        <v>6.4569829999999995E-2</v>
      </c>
      <c r="AH9191">
        <v>2.9799337558032799</v>
      </c>
      <c r="AI9191">
        <v>88.794087222624498</v>
      </c>
      <c r="AJ9191">
        <v>103.71644017883099</v>
      </c>
      <c r="AK9191">
        <v>3.0680924589429202</v>
      </c>
      <c r="AL9191">
        <v>87.024451396089006</v>
      </c>
      <c r="AM9191">
        <v>91.553585075961095</v>
      </c>
      <c r="AN9191">
        <v>1.0000000196919101</v>
      </c>
    </row>
    <row r="9192" spans="1:40" x14ac:dyDescent="0.25">
      <c r="A9192" t="str">
        <f>"20190312160547913"</f>
        <v>20190312160547913</v>
      </c>
      <c r="B9192" t="str">
        <f>"1552377947904115"</f>
        <v>1552377947904115</v>
      </c>
      <c r="C9192" t="s">
        <v>40</v>
      </c>
      <c r="D9192">
        <v>5.1080410000000001</v>
      </c>
      <c r="E9192">
        <v>0.41266199999999997</v>
      </c>
      <c r="F9192" t="s">
        <v>45</v>
      </c>
      <c r="G9192">
        <v>0</v>
      </c>
      <c r="H9192">
        <v>0</v>
      </c>
      <c r="I9192">
        <v>0</v>
      </c>
      <c r="J9192">
        <v>-126.7651</v>
      </c>
      <c r="K9192">
        <v>1.1104879999999999</v>
      </c>
      <c r="L9192">
        <v>138.4485</v>
      </c>
      <c r="M9192">
        <v>0.99973210000000001</v>
      </c>
      <c r="N9192">
        <v>0</v>
      </c>
      <c r="O9192">
        <v>-1.9765620000000001E-2</v>
      </c>
      <c r="P9192">
        <v>0.99917769999999995</v>
      </c>
      <c r="Q9192">
        <v>4.0003749999999998E-2</v>
      </c>
      <c r="R9192">
        <v>6.6244090000000004E-3</v>
      </c>
      <c r="S9192">
        <v>2.9947659999999998</v>
      </c>
      <c r="T9192">
        <v>6.7926050000000002E-2</v>
      </c>
      <c r="U9192">
        <v>0.69845579999999996</v>
      </c>
      <c r="V9192">
        <v>-2.6382989999999999E-2</v>
      </c>
      <c r="W9192">
        <v>5.2035020000000001E-2</v>
      </c>
      <c r="X9192">
        <v>0.99829670000000004</v>
      </c>
      <c r="Y9192">
        <v>-0.24627109999999999</v>
      </c>
      <c r="Z9192">
        <v>-3.1981760000000001E-3</v>
      </c>
      <c r="AA9192">
        <v>0.96919569999999999</v>
      </c>
      <c r="AB9192">
        <v>16</v>
      </c>
      <c r="AC9192">
        <v>2.9947659999999998</v>
      </c>
      <c r="AD9192">
        <v>6.7926050000000002E-2</v>
      </c>
      <c r="AE9192">
        <v>0.69845579999999996</v>
      </c>
      <c r="AF9192">
        <v>-0.75714760729180997</v>
      </c>
      <c r="AG9192">
        <v>6.7926050000000002E-2</v>
      </c>
      <c r="AH9192">
        <v>2.9789209880079199</v>
      </c>
      <c r="AI9192">
        <v>88.733993986647903</v>
      </c>
      <c r="AJ9192">
        <v>104.260805339827</v>
      </c>
      <c r="AK9192">
        <v>3.0743872072805698</v>
      </c>
      <c r="AL9192">
        <v>87.017265913050693</v>
      </c>
      <c r="AM9192">
        <v>91.513860756106098</v>
      </c>
      <c r="AN9192">
        <v>1.0000000033493099</v>
      </c>
    </row>
    <row r="9193" spans="1:40" x14ac:dyDescent="0.25">
      <c r="A9193" t="str">
        <f>"20190312160547936"</f>
        <v>20190312160547936</v>
      </c>
      <c r="B9193" t="str">
        <f>"1552377947924610"</f>
        <v>1552377947924610</v>
      </c>
      <c r="C9193" t="s">
        <v>40</v>
      </c>
      <c r="D9193">
        <v>5.0844829999999996</v>
      </c>
      <c r="E9193">
        <v>0.41103260000000003</v>
      </c>
      <c r="F9193" t="s">
        <v>45</v>
      </c>
      <c r="G9193">
        <v>0</v>
      </c>
      <c r="H9193">
        <v>0</v>
      </c>
      <c r="I9193">
        <v>0</v>
      </c>
      <c r="J9193">
        <v>-126.60639999999999</v>
      </c>
      <c r="K9193">
        <v>1.1105929999999999</v>
      </c>
      <c r="L9193">
        <v>138.44560000000001</v>
      </c>
      <c r="M9193">
        <v>0.99973060000000002</v>
      </c>
      <c r="N9193">
        <v>0</v>
      </c>
      <c r="O9193">
        <v>-1.9575780000000001E-2</v>
      </c>
      <c r="P9193">
        <v>0.99918940000000001</v>
      </c>
      <c r="Q9193">
        <v>3.9695859999999999E-2</v>
      </c>
      <c r="R9193">
        <v>6.7201329999999997E-3</v>
      </c>
      <c r="S9193">
        <v>2.9948579999999998</v>
      </c>
      <c r="T9193">
        <v>7.1548219999999996E-2</v>
      </c>
      <c r="U9193">
        <v>0.71548459999999903</v>
      </c>
      <c r="V9193">
        <v>-2.6287629999999999E-2</v>
      </c>
      <c r="W9193">
        <v>5.2146440000000002E-2</v>
      </c>
      <c r="X9193">
        <v>0.9982934</v>
      </c>
      <c r="Y9193">
        <v>-0.25128889999999998</v>
      </c>
      <c r="Z9193">
        <v>-3.4210360000000001E-3</v>
      </c>
      <c r="AA9193">
        <v>0.96790609999999999</v>
      </c>
      <c r="AB9193">
        <v>16</v>
      </c>
      <c r="AC9193">
        <v>2.9948579999999998</v>
      </c>
      <c r="AD9193">
        <v>7.1548219999999996E-2</v>
      </c>
      <c r="AE9193">
        <v>0.71548459999999903</v>
      </c>
      <c r="AF9193">
        <v>-0.773561044702746</v>
      </c>
      <c r="AG9193">
        <v>7.1548219999999996E-2</v>
      </c>
      <c r="AH9193">
        <v>2.9786684866837501</v>
      </c>
      <c r="AI9193">
        <v>88.668170998312803</v>
      </c>
      <c r="AJ9193">
        <v>104.558129785475</v>
      </c>
      <c r="AK9193">
        <v>3.07830826773889</v>
      </c>
      <c r="AL9193">
        <v>87.010873333212302</v>
      </c>
      <c r="AM9193">
        <v>91.508396498370999</v>
      </c>
      <c r="AN9193">
        <v>1.00000000158962</v>
      </c>
    </row>
    <row r="9194" spans="1:40" x14ac:dyDescent="0.25">
      <c r="A9194" t="str">
        <f>"20190312160547958"</f>
        <v>20190312160547958</v>
      </c>
      <c r="B9194" t="str">
        <f>"1552377947954866"</f>
        <v>1552377947954866</v>
      </c>
      <c r="C9194" t="s">
        <v>40</v>
      </c>
      <c r="D9194">
        <v>5.1248550000000002</v>
      </c>
      <c r="E9194">
        <v>0.40926760000000001</v>
      </c>
      <c r="F9194" t="s">
        <v>45</v>
      </c>
      <c r="G9194">
        <v>0</v>
      </c>
      <c r="H9194">
        <v>0</v>
      </c>
      <c r="I9194">
        <v>0</v>
      </c>
      <c r="J9194">
        <v>-126.4529</v>
      </c>
      <c r="K9194">
        <v>1.1109249999999999</v>
      </c>
      <c r="L9194">
        <v>138.44280000000001</v>
      </c>
      <c r="M9194">
        <v>0.99971620000000005</v>
      </c>
      <c r="N9194">
        <v>0</v>
      </c>
      <c r="O9194">
        <v>-1.940538E-2</v>
      </c>
      <c r="P9194">
        <v>0.99925220000000003</v>
      </c>
      <c r="Q9194">
        <v>3.8186030000000003E-2</v>
      </c>
      <c r="R9194">
        <v>6.0861889999999997E-3</v>
      </c>
      <c r="S9194">
        <v>2.994659</v>
      </c>
      <c r="T9194">
        <v>7.2423929999999997E-2</v>
      </c>
      <c r="U9194">
        <v>0.72871399999999997</v>
      </c>
      <c r="V9194">
        <v>-2.5483349999999998E-2</v>
      </c>
      <c r="W9194">
        <v>5.1991210000000003E-2</v>
      </c>
      <c r="X9194">
        <v>0.99832240000000005</v>
      </c>
      <c r="Y9194">
        <v>-0.25517499999999999</v>
      </c>
      <c r="Z9194">
        <v>-3.503609E-3</v>
      </c>
      <c r="AA9194">
        <v>0.96688850000000004</v>
      </c>
      <c r="AB9194">
        <v>16</v>
      </c>
      <c r="AC9194">
        <v>2.994659</v>
      </c>
      <c r="AD9194">
        <v>7.2423929999999997E-2</v>
      </c>
      <c r="AE9194">
        <v>0.72871399999999997</v>
      </c>
      <c r="AF9194">
        <v>-0.78626063766377996</v>
      </c>
      <c r="AG9194">
        <v>7.2423929999999997E-2</v>
      </c>
      <c r="AH9194">
        <v>2.9783080870023699</v>
      </c>
      <c r="AI9194">
        <v>88.653130978933604</v>
      </c>
      <c r="AJ9194">
        <v>104.788449262257</v>
      </c>
      <c r="AK9194">
        <v>3.0811962087929099</v>
      </c>
      <c r="AL9194">
        <v>87.019779584675504</v>
      </c>
      <c r="AM9194">
        <v>91.462224430340797</v>
      </c>
      <c r="AN9194">
        <v>1.0000000506931199</v>
      </c>
    </row>
    <row r="9195" spans="1:40" x14ac:dyDescent="0.25">
      <c r="A9195" t="str">
        <f>"20190312160547981"</f>
        <v>20190312160547981</v>
      </c>
      <c r="B9195" t="str">
        <f>"1552377947974386"</f>
        <v>1552377947974386</v>
      </c>
      <c r="C9195" t="s">
        <v>40</v>
      </c>
      <c r="D9195">
        <v>5.1247699999999998</v>
      </c>
      <c r="E9195">
        <v>0.40810449999999998</v>
      </c>
      <c r="F9195" t="s">
        <v>45</v>
      </c>
      <c r="G9195">
        <v>0</v>
      </c>
      <c r="H9195">
        <v>0</v>
      </c>
      <c r="I9195">
        <v>0</v>
      </c>
      <c r="J9195">
        <v>-126.303</v>
      </c>
      <c r="K9195">
        <v>1.1110629999999999</v>
      </c>
      <c r="L9195">
        <v>138.4401</v>
      </c>
      <c r="M9195">
        <v>0.99970769999999998</v>
      </c>
      <c r="N9195">
        <v>0</v>
      </c>
      <c r="O9195">
        <v>-1.9241169999999998E-2</v>
      </c>
      <c r="P9195">
        <v>0.99928689999999998</v>
      </c>
      <c r="Q9195">
        <v>3.7305060000000001E-2</v>
      </c>
      <c r="R9195">
        <v>5.855903E-3</v>
      </c>
      <c r="S9195">
        <v>2.9950410000000001</v>
      </c>
      <c r="T9195">
        <v>7.0367810000000003E-2</v>
      </c>
      <c r="U9195">
        <v>0.74090579999999995</v>
      </c>
      <c r="V9195">
        <v>-2.508927E-2</v>
      </c>
      <c r="W9195">
        <v>5.1930259999999999E-2</v>
      </c>
      <c r="X9195">
        <v>0.99833550000000004</v>
      </c>
      <c r="Y9195">
        <v>-0.25870219999999999</v>
      </c>
      <c r="Z9195">
        <v>-3.4391399999999998E-3</v>
      </c>
      <c r="AA9195">
        <v>0.965951</v>
      </c>
      <c r="AB9195">
        <v>15</v>
      </c>
      <c r="AC9195">
        <v>2.9950410000000001</v>
      </c>
      <c r="AD9195">
        <v>7.0367810000000003E-2</v>
      </c>
      <c r="AE9195">
        <v>0.74090579999999995</v>
      </c>
      <c r="AF9195">
        <v>-0.79798778550773497</v>
      </c>
      <c r="AG9195">
        <v>7.0367810000000003E-2</v>
      </c>
      <c r="AH9195">
        <v>2.9786795656311398</v>
      </c>
      <c r="AI9195">
        <v>88.692786112009898</v>
      </c>
      <c r="AJ9195">
        <v>104.997361816492</v>
      </c>
      <c r="AK9195">
        <v>3.0845207227723801</v>
      </c>
      <c r="AL9195">
        <v>87.023276326050805</v>
      </c>
      <c r="AM9195">
        <v>91.439602985550593</v>
      </c>
      <c r="AN9195">
        <v>0.99999999696652497</v>
      </c>
    </row>
    <row r="9196" spans="1:40" x14ac:dyDescent="0.25">
      <c r="A9196" t="str">
        <f>"20190312160548004"</f>
        <v>20190312160548004</v>
      </c>
      <c r="B9196" t="str">
        <f>"1552377947994882"</f>
        <v>1552377947994882</v>
      </c>
      <c r="C9196" t="s">
        <v>40</v>
      </c>
      <c r="D9196">
        <v>5.1094269999999904</v>
      </c>
      <c r="E9196">
        <v>0.40742509999999998</v>
      </c>
      <c r="F9196" t="s">
        <v>45</v>
      </c>
      <c r="G9196">
        <v>0</v>
      </c>
      <c r="H9196">
        <v>0</v>
      </c>
      <c r="I9196">
        <v>0</v>
      </c>
      <c r="J9196">
        <v>-126.1353</v>
      </c>
      <c r="K9196">
        <v>1.1107089999999999</v>
      </c>
      <c r="L9196">
        <v>138.43700000000001</v>
      </c>
      <c r="M9196">
        <v>0.99972439999999996</v>
      </c>
      <c r="N9196">
        <v>0</v>
      </c>
      <c r="O9196">
        <v>-1.9066920000000001E-2</v>
      </c>
      <c r="P9196">
        <v>0.99926179999999998</v>
      </c>
      <c r="Q9196">
        <v>3.7926269999999998E-2</v>
      </c>
      <c r="R9196">
        <v>6.1254780000000002E-3</v>
      </c>
      <c r="S9196">
        <v>2.9951629999999998</v>
      </c>
      <c r="T9196">
        <v>6.9028019999999995E-2</v>
      </c>
      <c r="U9196">
        <v>0.74966429999999995</v>
      </c>
      <c r="V9196">
        <v>-2.5185369999999999E-2</v>
      </c>
      <c r="W9196">
        <v>5.1606440000000003E-2</v>
      </c>
      <c r="X9196">
        <v>0.99834979999999995</v>
      </c>
      <c r="Y9196">
        <v>-0.26118580000000002</v>
      </c>
      <c r="Z9196">
        <v>-3.3965890000000002E-3</v>
      </c>
      <c r="AA9196">
        <v>0.96528259999999999</v>
      </c>
      <c r="AB9196">
        <v>15</v>
      </c>
      <c r="AC9196">
        <v>2.9951629999999998</v>
      </c>
      <c r="AD9196">
        <v>6.9028019999999995E-2</v>
      </c>
      <c r="AE9196">
        <v>0.74966429999999995</v>
      </c>
      <c r="AF9196">
        <v>-0.80623890147376798</v>
      </c>
      <c r="AG9196">
        <v>6.9028019999999995E-2</v>
      </c>
      <c r="AH9196">
        <v>2.9788343690141601</v>
      </c>
      <c r="AI9196">
        <v>88.718620112489205</v>
      </c>
      <c r="AJ9196">
        <v>105.14459267634901</v>
      </c>
      <c r="AK9196">
        <v>3.0867847725124502</v>
      </c>
      <c r="AL9196">
        <v>87.041854544874994</v>
      </c>
      <c r="AM9196">
        <v>91.445094105207104</v>
      </c>
      <c r="AN9196">
        <v>0.99999992533577198</v>
      </c>
    </row>
    <row r="9197" spans="1:40" x14ac:dyDescent="0.25">
      <c r="A9197" t="str">
        <f>"20190312160548025"</f>
        <v>20190312160548025</v>
      </c>
      <c r="B9197" t="str">
        <f>"1552377948014402"</f>
        <v>1552377948014402</v>
      </c>
      <c r="C9197" t="s">
        <v>40</v>
      </c>
      <c r="D9197">
        <v>5.1440479999999997</v>
      </c>
      <c r="E9197">
        <v>0.4069335</v>
      </c>
      <c r="F9197" t="s">
        <v>45</v>
      </c>
      <c r="G9197">
        <v>0</v>
      </c>
      <c r="H9197">
        <v>0</v>
      </c>
      <c r="I9197">
        <v>0</v>
      </c>
      <c r="J9197">
        <v>-125.99379999999999</v>
      </c>
      <c r="K9197">
        <v>1.110287</v>
      </c>
      <c r="L9197">
        <v>138.43450000000001</v>
      </c>
      <c r="M9197">
        <v>0.99974629999999998</v>
      </c>
      <c r="N9197">
        <v>0</v>
      </c>
      <c r="O9197">
        <v>-1.891545E-2</v>
      </c>
      <c r="P9197">
        <v>0.99921559999999998</v>
      </c>
      <c r="Q9197">
        <v>3.9051530000000001E-2</v>
      </c>
      <c r="R9197">
        <v>6.5646130000000004E-3</v>
      </c>
      <c r="S9197">
        <v>2.9949340000000002</v>
      </c>
      <c r="T9197">
        <v>7.0011019999999993E-2</v>
      </c>
      <c r="U9197">
        <v>0.75576779999999999</v>
      </c>
      <c r="V9197">
        <v>-2.547288E-2</v>
      </c>
      <c r="W9197">
        <v>5.126356E-2</v>
      </c>
      <c r="X9197">
        <v>0.99836020000000003</v>
      </c>
      <c r="Y9197">
        <v>-0.26290409999999997</v>
      </c>
      <c r="Z9197">
        <v>-3.4606350000000001E-3</v>
      </c>
      <c r="AA9197">
        <v>0.9648158</v>
      </c>
      <c r="AB9197">
        <v>15</v>
      </c>
      <c r="AC9197">
        <v>2.9949340000000002</v>
      </c>
      <c r="AD9197">
        <v>7.0011019999999993E-2</v>
      </c>
      <c r="AE9197">
        <v>0.75576779999999999</v>
      </c>
      <c r="AF9197">
        <v>-0.81187022957194099</v>
      </c>
      <c r="AG9197">
        <v>7.0011019999999993E-2</v>
      </c>
      <c r="AH9197">
        <v>2.97857110467727</v>
      </c>
      <c r="AI9197">
        <v>88.700892962102301</v>
      </c>
      <c r="AJ9197">
        <v>105.246750907807</v>
      </c>
      <c r="AK9197">
        <v>3.0880286006131801</v>
      </c>
      <c r="AL9197">
        <v>87.061526247753605</v>
      </c>
      <c r="AM9197">
        <v>91.461568610460205</v>
      </c>
      <c r="AN9197">
        <v>0.99999995457170299</v>
      </c>
    </row>
    <row r="9198" spans="1:40" x14ac:dyDescent="0.25">
      <c r="A9198" t="str">
        <f>"20190312160548048"</f>
        <v>20190312160548048</v>
      </c>
      <c r="B9198" t="str">
        <f>"1552377948044659"</f>
        <v>1552377948044659</v>
      </c>
      <c r="C9198" t="s">
        <v>40</v>
      </c>
      <c r="D9198">
        <v>5.0960739999999998</v>
      </c>
      <c r="E9198">
        <v>0.40618399999999999</v>
      </c>
      <c r="F9198" t="s">
        <v>45</v>
      </c>
      <c r="G9198">
        <v>0</v>
      </c>
      <c r="H9198">
        <v>0</v>
      </c>
      <c r="I9198">
        <v>0</v>
      </c>
      <c r="J9198">
        <v>-125.8295</v>
      </c>
      <c r="K9198">
        <v>1.109931</v>
      </c>
      <c r="L9198">
        <v>138.4316</v>
      </c>
      <c r="M9198">
        <v>0.99976719999999997</v>
      </c>
      <c r="N9198">
        <v>0</v>
      </c>
      <c r="O9198">
        <v>-1.8727339999999999E-2</v>
      </c>
      <c r="P9198">
        <v>0.99917940000000005</v>
      </c>
      <c r="Q9198">
        <v>3.9915829999999999E-2</v>
      </c>
      <c r="R9198">
        <v>6.9074139999999997E-3</v>
      </c>
      <c r="S9198">
        <v>2.9944920000000002</v>
      </c>
      <c r="T9198">
        <v>7.3609350000000004E-2</v>
      </c>
      <c r="U9198">
        <v>0.76104740000000004</v>
      </c>
      <c r="V9198">
        <v>-2.5627489999999999E-2</v>
      </c>
      <c r="W9198">
        <v>5.061686E-2</v>
      </c>
      <c r="X9198">
        <v>0.99838930000000004</v>
      </c>
      <c r="Y9198">
        <v>-0.26434629999999998</v>
      </c>
      <c r="Z9198">
        <v>-3.6510790000000002E-3</v>
      </c>
      <c r="AA9198">
        <v>0.96442090000000003</v>
      </c>
      <c r="AB9198">
        <v>16</v>
      </c>
      <c r="AC9198">
        <v>2.9944920000000002</v>
      </c>
      <c r="AD9198">
        <v>7.3609350000000004E-2</v>
      </c>
      <c r="AE9198">
        <v>0.76104740000000004</v>
      </c>
      <c r="AF9198">
        <v>-0.81653255053796903</v>
      </c>
      <c r="AG9198">
        <v>7.3609350000000004E-2</v>
      </c>
      <c r="AH9198">
        <v>2.97802327449766</v>
      </c>
      <c r="AI9198">
        <v>88.634457880683797</v>
      </c>
      <c r="AJ9198">
        <v>105.332887213812</v>
      </c>
      <c r="AK9198">
        <v>3.0888130998726999</v>
      </c>
      <c r="AL9198">
        <v>87.098627773403607</v>
      </c>
      <c r="AM9198">
        <v>91.470393013367698</v>
      </c>
      <c r="AN9198">
        <v>1.0000000145572201</v>
      </c>
    </row>
    <row r="9199" spans="1:40" x14ac:dyDescent="0.25">
      <c r="A9199" t="str">
        <f>"20190312160548070"</f>
        <v>20190312160548070</v>
      </c>
      <c r="B9199" t="str">
        <f>"1552377948064182"</f>
        <v>1552377948064182</v>
      </c>
      <c r="C9199" t="s">
        <v>40</v>
      </c>
      <c r="D9199">
        <v>5.0172410000000003</v>
      </c>
      <c r="E9199">
        <v>0.4061071</v>
      </c>
      <c r="F9199" t="s">
        <v>45</v>
      </c>
      <c r="G9199">
        <v>0</v>
      </c>
      <c r="H9199">
        <v>0</v>
      </c>
      <c r="I9199">
        <v>0</v>
      </c>
      <c r="J9199">
        <v>-125.66719999999999</v>
      </c>
      <c r="K9199">
        <v>1.1098170000000001</v>
      </c>
      <c r="L9199">
        <v>138.4288</v>
      </c>
      <c r="M9199">
        <v>0.99977939999999998</v>
      </c>
      <c r="N9199">
        <v>0</v>
      </c>
      <c r="O9199">
        <v>-1.854198E-2</v>
      </c>
      <c r="P9199">
        <v>0.99915030000000005</v>
      </c>
      <c r="Q9199">
        <v>4.0644630000000001E-2</v>
      </c>
      <c r="R9199">
        <v>6.8392660000000001E-3</v>
      </c>
      <c r="S9199">
        <v>2.9940340000000001</v>
      </c>
      <c r="T9199">
        <v>7.7915670000000006E-2</v>
      </c>
      <c r="U9199">
        <v>0.76815800000000001</v>
      </c>
      <c r="V9199">
        <v>-2.5373429999999999E-2</v>
      </c>
      <c r="W9199">
        <v>5.0489239999999998E-2</v>
      </c>
      <c r="X9199">
        <v>0.99840220000000002</v>
      </c>
      <c r="Y9199">
        <v>-0.26634190000000002</v>
      </c>
      <c r="Z9199">
        <v>-3.8848609999999999E-3</v>
      </c>
      <c r="AA9199">
        <v>0.96387080000000003</v>
      </c>
      <c r="AB9199">
        <v>16</v>
      </c>
      <c r="AC9199">
        <v>2.9940340000000001</v>
      </c>
      <c r="AD9199">
        <v>7.7915670000000006E-2</v>
      </c>
      <c r="AE9199">
        <v>0.76815800000000001</v>
      </c>
      <c r="AF9199">
        <v>-0.82302099689905295</v>
      </c>
      <c r="AG9199">
        <v>7.7915670000000006E-2</v>
      </c>
      <c r="AH9199">
        <v>2.9773835164566398</v>
      </c>
      <c r="AI9199">
        <v>88.555120427683406</v>
      </c>
      <c r="AJ9199">
        <v>105.45208957294599</v>
      </c>
      <c r="AK9199">
        <v>3.0900237890728199</v>
      </c>
      <c r="AL9199">
        <v>87.105949074558893</v>
      </c>
      <c r="AM9199">
        <v>91.455803666981296</v>
      </c>
      <c r="AN9199">
        <v>0.99999996363528998</v>
      </c>
    </row>
    <row r="9200" spans="1:40" x14ac:dyDescent="0.25">
      <c r="A9200" t="str">
        <f>"20190312160548092"</f>
        <v>20190312160548092</v>
      </c>
      <c r="B9200" t="str">
        <f>"1552377948084675"</f>
        <v>1552377948084675</v>
      </c>
      <c r="C9200" t="s">
        <v>40</v>
      </c>
      <c r="D9200">
        <v>5.348516</v>
      </c>
      <c r="E9200">
        <v>0.46120319999999998</v>
      </c>
      <c r="F9200" t="s">
        <v>45</v>
      </c>
      <c r="G9200">
        <v>0</v>
      </c>
      <c r="H9200">
        <v>0</v>
      </c>
      <c r="I9200">
        <v>0</v>
      </c>
      <c r="J9200">
        <v>-125.5098</v>
      </c>
      <c r="K9200">
        <v>1.109964</v>
      </c>
      <c r="L9200">
        <v>138.42609999999999</v>
      </c>
      <c r="M9200">
        <v>0.9997817</v>
      </c>
      <c r="N9200">
        <v>0</v>
      </c>
      <c r="O9200">
        <v>-1.8374450000000001E-2</v>
      </c>
      <c r="P9200">
        <v>0.99915699999999996</v>
      </c>
      <c r="Q9200">
        <v>4.0449359999999997E-2</v>
      </c>
      <c r="R9200">
        <v>7.0452029999999999E-3</v>
      </c>
      <c r="S9200">
        <v>2.9940190000000002</v>
      </c>
      <c r="T9200">
        <v>8.0157999999999993E-2</v>
      </c>
      <c r="U9200">
        <v>0.76856990000000003</v>
      </c>
      <c r="V9200">
        <v>-2.5412609999999999E-2</v>
      </c>
      <c r="W9200">
        <v>5.0384470000000001E-2</v>
      </c>
      <c r="X9200">
        <v>0.99840649999999997</v>
      </c>
      <c r="Y9200">
        <v>-0.2663008</v>
      </c>
      <c r="Z9200">
        <v>-3.9916190000000001E-3</v>
      </c>
      <c r="AA9200">
        <v>0.96388169999999995</v>
      </c>
      <c r="AB9200">
        <v>16</v>
      </c>
      <c r="AC9200">
        <v>2.9940190000000002</v>
      </c>
      <c r="AD9200">
        <v>8.0157999999999993E-2</v>
      </c>
      <c r="AE9200">
        <v>0.76856990000000003</v>
      </c>
      <c r="AF9200">
        <v>-0.82290293398455805</v>
      </c>
      <c r="AG9200">
        <v>8.0157999999999993E-2</v>
      </c>
      <c r="AH9200">
        <v>2.9773885479779798</v>
      </c>
      <c r="AI9200">
        <v>88.513543931048901</v>
      </c>
      <c r="AJ9200">
        <v>105.449954004443</v>
      </c>
      <c r="AK9200">
        <v>3.0900545479578199</v>
      </c>
      <c r="AL9200">
        <v>87.111959614380694</v>
      </c>
      <c r="AM9200">
        <v>91.458044377756906</v>
      </c>
      <c r="AN9200">
        <v>0.99999996740322095</v>
      </c>
    </row>
    <row r="9201" spans="1:40" x14ac:dyDescent="0.25">
      <c r="A9201" t="str">
        <f>"20190312160548114"</f>
        <v>20190312160548114</v>
      </c>
      <c r="B9201" t="str">
        <f>"1552377948104194"</f>
        <v>1552377948104194</v>
      </c>
      <c r="C9201" t="s">
        <v>40</v>
      </c>
      <c r="D9201">
        <v>5.1859460000000004</v>
      </c>
      <c r="E9201">
        <v>0.48751630000000001</v>
      </c>
      <c r="F9201" t="s">
        <v>45</v>
      </c>
      <c r="G9201">
        <v>0</v>
      </c>
      <c r="H9201">
        <v>0</v>
      </c>
      <c r="I9201">
        <v>0</v>
      </c>
      <c r="J9201">
        <v>-125.3502</v>
      </c>
      <c r="K9201">
        <v>1.110177</v>
      </c>
      <c r="L9201">
        <v>138.42339999999999</v>
      </c>
      <c r="M9201">
        <v>0.99978020000000001</v>
      </c>
      <c r="N9201">
        <v>0</v>
      </c>
      <c r="O9201">
        <v>-1.8195510000000002E-2</v>
      </c>
      <c r="P9201">
        <v>0.99918169999999995</v>
      </c>
      <c r="Q9201">
        <v>3.9835799999999998E-2</v>
      </c>
      <c r="R9201">
        <v>7.0122300000000004E-3</v>
      </c>
      <c r="S9201">
        <v>3.0007929999999998</v>
      </c>
      <c r="T9201">
        <v>-1.405203E-2</v>
      </c>
      <c r="U9201">
        <v>0.32746890000000001</v>
      </c>
      <c r="V9201">
        <v>-2.5200460000000001E-2</v>
      </c>
      <c r="W9201">
        <v>5.0243500000000003E-2</v>
      </c>
      <c r="X9201">
        <v>0.99841899999999995</v>
      </c>
      <c r="Y9201">
        <v>-0.126553</v>
      </c>
      <c r="Z9201">
        <v>3.804058E-4</v>
      </c>
      <c r="AA9201">
        <v>0.99195979999999995</v>
      </c>
      <c r="AB9201">
        <v>16</v>
      </c>
      <c r="AC9201">
        <v>3.0007929999999998</v>
      </c>
      <c r="AD9201">
        <v>-1.405203E-2</v>
      </c>
      <c r="AE9201">
        <v>0.32746890000000001</v>
      </c>
      <c r="AF9201">
        <v>-0.38201032341706498</v>
      </c>
      <c r="AG9201">
        <v>-1.405203E-2</v>
      </c>
      <c r="AH9201">
        <v>2.9942724852393399</v>
      </c>
      <c r="AI9201">
        <v>90.266723480708606</v>
      </c>
      <c r="AJ9201">
        <v>97.270538319946098</v>
      </c>
      <c r="AK9201">
        <v>3.0185753365794499</v>
      </c>
      <c r="AL9201">
        <v>87.120046897231404</v>
      </c>
      <c r="AM9201">
        <v>91.4458594002068</v>
      </c>
      <c r="AN9201">
        <v>0.99999998601872997</v>
      </c>
    </row>
    <row r="9202" spans="1:40" x14ac:dyDescent="0.25">
      <c r="A9202" t="str">
        <f>"20190312160548137"</f>
        <v>20190312160548137</v>
      </c>
      <c r="B9202" t="str">
        <f>"1552377948134451"</f>
        <v>1552377948134451</v>
      </c>
      <c r="C9202" t="s">
        <v>40</v>
      </c>
      <c r="D9202">
        <v>5.1675120000000003</v>
      </c>
      <c r="E9202">
        <v>0.50433689999999998</v>
      </c>
      <c r="F9202" t="s">
        <v>41</v>
      </c>
      <c r="G9202">
        <v>-69.702699999999993</v>
      </c>
      <c r="H9202" s="1">
        <v>-3.661091E-7</v>
      </c>
      <c r="I9202">
        <v>140.5795</v>
      </c>
      <c r="J9202">
        <v>-125.1921</v>
      </c>
      <c r="K9202">
        <v>1.110282</v>
      </c>
      <c r="L9202">
        <v>138.42070000000001</v>
      </c>
      <c r="M9202">
        <v>0.99978140000000004</v>
      </c>
      <c r="N9202">
        <v>0</v>
      </c>
      <c r="O9202">
        <v>-1.7994159999999999E-2</v>
      </c>
      <c r="P9202">
        <v>0.99922040000000001</v>
      </c>
      <c r="Q9202">
        <v>3.8920290000000003E-2</v>
      </c>
      <c r="R9202">
        <v>6.6319660000000004E-3</v>
      </c>
      <c r="S9202">
        <v>3.0040279999999999</v>
      </c>
      <c r="T9202">
        <v>-5.9930799999999999E-2</v>
      </c>
      <c r="U9202">
        <v>0.116394</v>
      </c>
      <c r="V9202">
        <v>-2.4619519999999999E-2</v>
      </c>
      <c r="W9202">
        <v>4.9558190000000002E-2</v>
      </c>
      <c r="X9202">
        <v>0.99846769999999996</v>
      </c>
      <c r="Y9202">
        <v>-5.667751E-2</v>
      </c>
      <c r="Z9202">
        <v>9.2394679999999998E-4</v>
      </c>
      <c r="AA9202">
        <v>0.9983921</v>
      </c>
      <c r="AB9202">
        <v>16</v>
      </c>
      <c r="AC9202">
        <v>55.489400000000003</v>
      </c>
      <c r="AD9202">
        <v>-1.1102823661090999</v>
      </c>
      <c r="AE9202">
        <v>2.1587999999999798</v>
      </c>
      <c r="AF9202">
        <v>-3.1557306677032302</v>
      </c>
      <c r="AG9202">
        <v>-1.1102823661090999</v>
      </c>
      <c r="AH9202">
        <v>55.419412821260401</v>
      </c>
      <c r="AI9202">
        <v>91.145864577071805</v>
      </c>
      <c r="AJ9202">
        <v>93.259056617819496</v>
      </c>
      <c r="AK9202">
        <v>55.520290709188998</v>
      </c>
      <c r="AL9202">
        <v>87.159361121245098</v>
      </c>
      <c r="AM9202">
        <v>91.412473154186301</v>
      </c>
      <c r="AN9202">
        <v>0.99999994145219595</v>
      </c>
    </row>
    <row r="9203" spans="1:40" x14ac:dyDescent="0.25">
      <c r="A9203" t="str">
        <f>"20190312160548159"</f>
        <v>20190312160548159</v>
      </c>
      <c r="B9203" t="str">
        <f>"1552377948153972"</f>
        <v>1552377948153972</v>
      </c>
      <c r="C9203" t="s">
        <v>40</v>
      </c>
      <c r="D9203">
        <v>5.0909469999999999</v>
      </c>
      <c r="E9203">
        <v>0.50897209999999904</v>
      </c>
      <c r="F9203" t="s">
        <v>41</v>
      </c>
      <c r="G9203">
        <v>-83.528229999999994</v>
      </c>
      <c r="H9203" s="1">
        <v>-3.018125E-6</v>
      </c>
      <c r="I9203">
        <v>138.15379999999999</v>
      </c>
      <c r="J9203">
        <v>-125.0291</v>
      </c>
      <c r="K9203">
        <v>1.110271</v>
      </c>
      <c r="L9203">
        <v>138.41800000000001</v>
      </c>
      <c r="M9203">
        <v>0.99978639999999996</v>
      </c>
      <c r="N9203">
        <v>0</v>
      </c>
      <c r="O9203">
        <v>-1.7776650000000001E-2</v>
      </c>
      <c r="P9203">
        <v>0.99923139999999999</v>
      </c>
      <c r="Q9203">
        <v>3.8636320000000002E-2</v>
      </c>
      <c r="R9203">
        <v>6.6278140000000001E-3</v>
      </c>
      <c r="S9203">
        <v>3.005585</v>
      </c>
      <c r="T9203">
        <v>-8.0094579999999999E-2</v>
      </c>
      <c r="U9203">
        <v>-1.9256590000000001E-2</v>
      </c>
      <c r="V9203">
        <v>-2.4399089999999998E-2</v>
      </c>
      <c r="W9203">
        <v>4.9157659999999999E-2</v>
      </c>
      <c r="X9203">
        <v>0.99849299999999996</v>
      </c>
      <c r="Y9203">
        <v>-1.136114E-2</v>
      </c>
      <c r="Z9203">
        <v>6.2498519999999995E-4</v>
      </c>
      <c r="AA9203">
        <v>0.99993529999999997</v>
      </c>
      <c r="AB9203">
        <v>16</v>
      </c>
      <c r="AC9203">
        <v>41.5008699999999</v>
      </c>
      <c r="AD9203">
        <v>-1.1102740181249999</v>
      </c>
      <c r="AE9203">
        <v>-0.26420000000001598</v>
      </c>
      <c r="AF9203">
        <v>-0.47329046341151498</v>
      </c>
      <c r="AG9203">
        <v>-1.1102740181249999</v>
      </c>
      <c r="AH9203">
        <v>41.46932885823</v>
      </c>
      <c r="AI9203">
        <v>91.533535364767104</v>
      </c>
      <c r="AJ9203">
        <v>90.653889741116998</v>
      </c>
      <c r="AK9203">
        <v>41.486888871185599</v>
      </c>
      <c r="AL9203">
        <v>87.182338059107707</v>
      </c>
      <c r="AM9203">
        <v>91.399796225411393</v>
      </c>
      <c r="AN9203">
        <v>1.0000000310892501</v>
      </c>
    </row>
    <row r="9204" spans="1:40" x14ac:dyDescent="0.25">
      <c r="A9204" t="str">
        <f>"20190312160548182"</f>
        <v>20190312160548182</v>
      </c>
      <c r="B9204" t="str">
        <f>"1552377948174224"</f>
        <v>1552377948174224</v>
      </c>
      <c r="C9204" t="s">
        <v>40</v>
      </c>
      <c r="D9204">
        <v>5.1382510000000003</v>
      </c>
      <c r="E9204">
        <v>0.51189510000000005</v>
      </c>
      <c r="F9204" t="s">
        <v>41</v>
      </c>
      <c r="G9204">
        <v>-86.637929999999997</v>
      </c>
      <c r="H9204" s="1">
        <v>-1.764721E-6</v>
      </c>
      <c r="I9204">
        <v>137.69909999999999</v>
      </c>
      <c r="J9204">
        <v>-124.8691</v>
      </c>
      <c r="K9204">
        <v>1.110269</v>
      </c>
      <c r="L9204">
        <v>138.41540000000001</v>
      </c>
      <c r="M9204">
        <v>0.99979079999999998</v>
      </c>
      <c r="N9204">
        <v>0</v>
      </c>
      <c r="O9204">
        <v>-1.757885E-2</v>
      </c>
      <c r="P9204">
        <v>0.99923410000000001</v>
      </c>
      <c r="Q9204">
        <v>3.8475330000000002E-2</v>
      </c>
      <c r="R9204">
        <v>7.1466869999999997E-3</v>
      </c>
      <c r="S9204">
        <v>3.0060579999999999</v>
      </c>
      <c r="T9204">
        <v>-8.6935159999999997E-2</v>
      </c>
      <c r="U9204">
        <v>-5.628967E-2</v>
      </c>
      <c r="V9204">
        <v>-2.472077E-2</v>
      </c>
      <c r="W9204">
        <v>4.8909519999999998E-2</v>
      </c>
      <c r="X9204">
        <v>0.99849719999999997</v>
      </c>
      <c r="Y9204">
        <v>1.1493740000000001E-3</v>
      </c>
      <c r="Z9204">
        <v>4.9160169999999995E-4</v>
      </c>
      <c r="AA9204">
        <v>0.99999919999999998</v>
      </c>
      <c r="AB9204">
        <v>16</v>
      </c>
      <c r="AC9204">
        <v>38.231169999999899</v>
      </c>
      <c r="AD9204">
        <v>-1.1102707647209999</v>
      </c>
      <c r="AE9204">
        <v>-0.71630000000001803</v>
      </c>
      <c r="AF9204">
        <v>4.40554155366129E-2</v>
      </c>
      <c r="AG9204">
        <v>-1.1102707647209999</v>
      </c>
      <c r="AH9204">
        <v>38.205643776063702</v>
      </c>
      <c r="AI9204">
        <v>91.664567902540099</v>
      </c>
      <c r="AJ9204">
        <v>89.933931534540804</v>
      </c>
      <c r="AK9204">
        <v>38.221798209844998</v>
      </c>
      <c r="AL9204">
        <v>87.196572350647003</v>
      </c>
      <c r="AM9204">
        <v>91.418237824747806</v>
      </c>
      <c r="AN9204">
        <v>0.99999995801192998</v>
      </c>
    </row>
    <row r="9205" spans="1:40" x14ac:dyDescent="0.25">
      <c r="A9205" t="str">
        <f>"20190312160548204"</f>
        <v>20190312160548204</v>
      </c>
      <c r="B9205" t="str">
        <f>"1552377948194719"</f>
        <v>1552377948194719</v>
      </c>
      <c r="C9205" t="s">
        <v>40</v>
      </c>
      <c r="D9205">
        <v>5.1073740000000001</v>
      </c>
      <c r="E9205">
        <v>0.51342809999999905</v>
      </c>
      <c r="F9205" t="s">
        <v>41</v>
      </c>
      <c r="G9205">
        <v>-89.015879999999996</v>
      </c>
      <c r="H9205" s="1">
        <v>-8.8933049999999904E-7</v>
      </c>
      <c r="I9205">
        <v>137.4802</v>
      </c>
      <c r="J9205">
        <v>-124.7081</v>
      </c>
      <c r="K9205">
        <v>1.110328</v>
      </c>
      <c r="L9205">
        <v>138.4128</v>
      </c>
      <c r="M9205">
        <v>0.99979249999999997</v>
      </c>
      <c r="N9205">
        <v>0</v>
      </c>
      <c r="O9205">
        <v>-1.7390320000000001E-2</v>
      </c>
      <c r="P9205">
        <v>0.99923689999999998</v>
      </c>
      <c r="Q9205">
        <v>3.8326859999999997E-2</v>
      </c>
      <c r="R9205">
        <v>7.5348359999999996E-3</v>
      </c>
      <c r="S9205">
        <v>3.0064540000000002</v>
      </c>
      <c r="T9205">
        <v>-9.3101139999999999E-2</v>
      </c>
      <c r="U9205">
        <v>-7.8414919999999999E-2</v>
      </c>
      <c r="V9205">
        <v>-2.4921209999999999E-2</v>
      </c>
      <c r="W9205">
        <v>4.8920470000000001E-2</v>
      </c>
      <c r="X9205">
        <v>0.99849169999999998</v>
      </c>
      <c r="Y9205">
        <v>8.6881630000000005E-3</v>
      </c>
      <c r="Z9205">
        <v>4.038181E-4</v>
      </c>
      <c r="AA9205">
        <v>0.99996220000000002</v>
      </c>
      <c r="AB9205">
        <v>16</v>
      </c>
      <c r="AC9205">
        <v>35.692219999999899</v>
      </c>
      <c r="AD9205">
        <v>-1.1103288893304999</v>
      </c>
      <c r="AE9205">
        <v>-0.93260000000000798</v>
      </c>
      <c r="AF9205">
        <v>0.31142372863873302</v>
      </c>
      <c r="AG9205">
        <v>-1.1103288893304999</v>
      </c>
      <c r="AH9205">
        <v>35.668546903019902</v>
      </c>
      <c r="AI9205">
        <v>91.782920965917498</v>
      </c>
      <c r="AJ9205">
        <v>89.499760616652793</v>
      </c>
      <c r="AK9205">
        <v>35.687183317742701</v>
      </c>
      <c r="AL9205">
        <v>87.195944263288794</v>
      </c>
      <c r="AM9205">
        <v>91.429740244662099</v>
      </c>
      <c r="AN9205">
        <v>0.99999997703088706</v>
      </c>
    </row>
    <row r="9206" spans="1:40" x14ac:dyDescent="0.25">
      <c r="A9206" t="str">
        <f>"20190312160548226"</f>
        <v>20190312160548226</v>
      </c>
      <c r="B9206" t="str">
        <f>"1552377948224975"</f>
        <v>1552377948224975</v>
      </c>
      <c r="C9206" t="s">
        <v>40</v>
      </c>
      <c r="D9206">
        <v>5.0383559999999896</v>
      </c>
      <c r="E9206">
        <v>0.51541309999999996</v>
      </c>
      <c r="F9206" t="s">
        <v>41</v>
      </c>
      <c r="G9206">
        <v>-89.915480000000002</v>
      </c>
      <c r="H9206" s="1">
        <v>-6.1043119999999895E-7</v>
      </c>
      <c r="I9206">
        <v>137.37790000000001</v>
      </c>
      <c r="J9206">
        <v>-124.5504</v>
      </c>
      <c r="K9206">
        <v>1.110398</v>
      </c>
      <c r="L9206">
        <v>138.41030000000001</v>
      </c>
      <c r="M9206">
        <v>0.99979309999999999</v>
      </c>
      <c r="N9206">
        <v>0</v>
      </c>
      <c r="O9206">
        <v>-1.7200690000000001E-2</v>
      </c>
      <c r="P9206">
        <v>0.9992548</v>
      </c>
      <c r="Q9206">
        <v>3.7795629999999997E-2</v>
      </c>
      <c r="R9206">
        <v>7.8431890000000004E-3</v>
      </c>
      <c r="S9206">
        <v>3.006653</v>
      </c>
      <c r="T9206">
        <v>-9.5950599999999997E-2</v>
      </c>
      <c r="U9206">
        <v>-8.9431759999999999E-2</v>
      </c>
      <c r="V9206">
        <v>-2.5040570000000002E-2</v>
      </c>
      <c r="W9206">
        <v>4.864806E-2</v>
      </c>
      <c r="X9206">
        <v>0.99850209999999995</v>
      </c>
      <c r="Y9206">
        <v>1.2535350000000001E-2</v>
      </c>
      <c r="Z9206">
        <v>3.4871379999999898E-4</v>
      </c>
      <c r="AA9206">
        <v>0.99992139999999996</v>
      </c>
      <c r="AB9206">
        <v>16</v>
      </c>
      <c r="AC9206">
        <v>34.634919999999902</v>
      </c>
      <c r="AD9206">
        <v>-1.1103986104312</v>
      </c>
      <c r="AE9206">
        <v>-1.03239999999999</v>
      </c>
      <c r="AF9206">
        <v>0.43601983860606602</v>
      </c>
      <c r="AG9206">
        <v>-1.1103986104312</v>
      </c>
      <c r="AH9206">
        <v>34.612010099349497</v>
      </c>
      <c r="AI9206">
        <v>91.837347740974906</v>
      </c>
      <c r="AJ9206">
        <v>89.278262802642999</v>
      </c>
      <c r="AK9206">
        <v>34.632561867282902</v>
      </c>
      <c r="AL9206">
        <v>87.211571027142099</v>
      </c>
      <c r="AM9206">
        <v>91.436570158428097</v>
      </c>
      <c r="AN9206">
        <v>1.0000000537960401</v>
      </c>
    </row>
    <row r="9207" spans="1:40" x14ac:dyDescent="0.25">
      <c r="A9207" t="str">
        <f>"20190312160548249"</f>
        <v>20190312160548249</v>
      </c>
      <c r="B9207" t="str">
        <f>"1552377948244498"</f>
        <v>1552377948244498</v>
      </c>
      <c r="C9207" t="s">
        <v>40</v>
      </c>
      <c r="D9207">
        <v>5.0208079999999997</v>
      </c>
      <c r="E9207">
        <v>0.51653320000000003</v>
      </c>
      <c r="F9207" t="s">
        <v>41</v>
      </c>
      <c r="G9207">
        <v>-92.042519999999996</v>
      </c>
      <c r="H9207" s="1">
        <v>-3.8100419999999998E-6</v>
      </c>
      <c r="I9207">
        <v>137.2824</v>
      </c>
      <c r="J9207">
        <v>-124.3913</v>
      </c>
      <c r="K9207">
        <v>1.1104290000000001</v>
      </c>
      <c r="L9207">
        <v>138.40780000000001</v>
      </c>
      <c r="M9207">
        <v>0.99979439999999997</v>
      </c>
      <c r="N9207">
        <v>0</v>
      </c>
      <c r="O9207">
        <v>-1.700575E-2</v>
      </c>
      <c r="P9207">
        <v>0.99926470000000001</v>
      </c>
      <c r="Q9207">
        <v>3.746965E-2</v>
      </c>
      <c r="R9207">
        <v>8.1401349999999997E-3</v>
      </c>
      <c r="S9207">
        <v>3.0069270000000001</v>
      </c>
      <c r="T9207">
        <v>-0.10271039999999999</v>
      </c>
      <c r="U9207">
        <v>-0.10432429999999999</v>
      </c>
      <c r="V9207">
        <v>-2.5142649999999999E-2</v>
      </c>
      <c r="W9207">
        <v>4.849088E-2</v>
      </c>
      <c r="X9207">
        <v>0.99850709999999998</v>
      </c>
      <c r="Y9207">
        <v>1.7671840000000001E-2</v>
      </c>
      <c r="Z9207">
        <v>2.7887060000000001E-4</v>
      </c>
      <c r="AA9207">
        <v>0.99984379999999995</v>
      </c>
      <c r="AB9207">
        <v>16</v>
      </c>
      <c r="AC9207">
        <v>32.348779999999998</v>
      </c>
      <c r="AD9207">
        <v>-1.110432810042</v>
      </c>
      <c r="AE9207">
        <v>-1.1254000000000099</v>
      </c>
      <c r="AF9207">
        <v>0.57441239088444296</v>
      </c>
      <c r="AG9207">
        <v>-1.110432810042</v>
      </c>
      <c r="AH9207">
        <v>32.325197103623601</v>
      </c>
      <c r="AI9207">
        <v>91.967136469481602</v>
      </c>
      <c r="AJ9207">
        <v>88.981972417726595</v>
      </c>
      <c r="AK9207">
        <v>32.349364420472597</v>
      </c>
      <c r="AL9207">
        <v>87.220587195080896</v>
      </c>
      <c r="AM9207">
        <v>91.442416769161397</v>
      </c>
      <c r="AN9207">
        <v>0.99999997352130299</v>
      </c>
    </row>
    <row r="9208" spans="1:40" x14ac:dyDescent="0.25">
      <c r="A9208" t="str">
        <f>"20190312160548271"</f>
        <v>20190312160548271</v>
      </c>
      <c r="B9208" t="str">
        <f>"1552377948264015"</f>
        <v>1552377948264015</v>
      </c>
      <c r="C9208" t="s">
        <v>40</v>
      </c>
      <c r="D9208">
        <v>5.031955</v>
      </c>
      <c r="E9208">
        <v>0.51758490000000001</v>
      </c>
      <c r="F9208" t="s">
        <v>41</v>
      </c>
      <c r="G9208">
        <v>-93.10427</v>
      </c>
      <c r="H9208" s="1">
        <v>-3.3626210000000002E-6</v>
      </c>
      <c r="I9208">
        <v>137.23689999999999</v>
      </c>
      <c r="J9208">
        <v>-124.2298</v>
      </c>
      <c r="K9208">
        <v>1.110428</v>
      </c>
      <c r="L9208">
        <v>138.40530000000001</v>
      </c>
      <c r="M9208">
        <v>0.99979720000000005</v>
      </c>
      <c r="N9208">
        <v>0</v>
      </c>
      <c r="O9208">
        <v>-1.6806399999999999E-2</v>
      </c>
      <c r="P9208">
        <v>0.99926020000000004</v>
      </c>
      <c r="Q9208">
        <v>3.7539830000000003E-2</v>
      </c>
      <c r="R9208">
        <v>8.3812729999999998E-3</v>
      </c>
      <c r="S9208">
        <v>3.0071110000000001</v>
      </c>
      <c r="T9208">
        <v>-0.10672769999999999</v>
      </c>
      <c r="U9208">
        <v>-0.1125336</v>
      </c>
      <c r="V9208">
        <v>-2.518389E-2</v>
      </c>
      <c r="W9208">
        <v>4.8638529999999999E-2</v>
      </c>
      <c r="X9208">
        <v>0.99849889999999997</v>
      </c>
      <c r="Y9208">
        <v>2.0592969999999999E-2</v>
      </c>
      <c r="Z9208">
        <v>2.3086379999999999E-4</v>
      </c>
      <c r="AA9208">
        <v>0.99978789999999995</v>
      </c>
      <c r="AB9208">
        <v>16</v>
      </c>
      <c r="AC9208">
        <v>31.125530000000001</v>
      </c>
      <c r="AD9208">
        <v>-1.1104313626210001</v>
      </c>
      <c r="AE9208">
        <v>-1.1684000000000101</v>
      </c>
      <c r="AF9208">
        <v>0.64427578809525399</v>
      </c>
      <c r="AG9208">
        <v>-1.1104313626210001</v>
      </c>
      <c r="AH9208">
        <v>31.101242146329199</v>
      </c>
      <c r="AI9208">
        <v>92.044368090413201</v>
      </c>
      <c r="AJ9208">
        <v>88.813262687307997</v>
      </c>
      <c r="AK9208">
        <v>31.1277273848706</v>
      </c>
      <c r="AL9208">
        <v>87.212117536505602</v>
      </c>
      <c r="AM9208">
        <v>91.444793537996006</v>
      </c>
      <c r="AN9208">
        <v>0.99999999410865104</v>
      </c>
    </row>
    <row r="9209" spans="1:40" x14ac:dyDescent="0.25">
      <c r="A9209" t="str">
        <f>"20190312160548292"</f>
        <v>20190312160548292</v>
      </c>
      <c r="B9209" t="str">
        <f>"1552377948284208"</f>
        <v>1552377948284208</v>
      </c>
      <c r="C9209" t="s">
        <v>40</v>
      </c>
      <c r="D9209">
        <v>5.0899029999999996</v>
      </c>
      <c r="E9209">
        <v>0.51849719999999999</v>
      </c>
      <c r="F9209" t="s">
        <v>41</v>
      </c>
      <c r="G9209">
        <v>-93.706100000000006</v>
      </c>
      <c r="H9209" s="1">
        <v>-3.1140090000000002E-6</v>
      </c>
      <c r="I9209">
        <v>137.18299999999999</v>
      </c>
      <c r="J9209">
        <v>-124.0748</v>
      </c>
      <c r="K9209">
        <v>1.1104270000000001</v>
      </c>
      <c r="L9209">
        <v>138.40289999999999</v>
      </c>
      <c r="M9209">
        <v>0.99979929999999995</v>
      </c>
      <c r="N9209">
        <v>0</v>
      </c>
      <c r="O9209">
        <v>-1.6623809999999999E-2</v>
      </c>
      <c r="P9209">
        <v>0.99926230000000005</v>
      </c>
      <c r="Q9209">
        <v>3.7565349999999997E-2</v>
      </c>
      <c r="R9209">
        <v>8.0124069999999992E-3</v>
      </c>
      <c r="S9209">
        <v>3.0073240000000001</v>
      </c>
      <c r="T9209">
        <v>-0.109404399999999</v>
      </c>
      <c r="U9209">
        <v>-0.1204224</v>
      </c>
      <c r="V9209">
        <v>-2.4632899999999999E-2</v>
      </c>
      <c r="W9209">
        <v>4.8732350000000001E-2</v>
      </c>
      <c r="X9209">
        <v>0.99850810000000001</v>
      </c>
      <c r="Y9209">
        <v>2.3389429999999999E-2</v>
      </c>
      <c r="Z9209">
        <v>1.7915299999999901E-4</v>
      </c>
      <c r="AA9209">
        <v>0.99972640000000002</v>
      </c>
      <c r="AB9209">
        <v>16</v>
      </c>
      <c r="AC9209">
        <v>30.368699999999901</v>
      </c>
      <c r="AD9209">
        <v>-1.110430114009</v>
      </c>
      <c r="AE9209">
        <v>-1.21989999999999</v>
      </c>
      <c r="AF9209">
        <v>0.71390340212873704</v>
      </c>
      <c r="AG9209">
        <v>-1.110430114009</v>
      </c>
      <c r="AH9209">
        <v>30.3442788113903</v>
      </c>
      <c r="AI9209">
        <v>92.095189173618493</v>
      </c>
      <c r="AJ9209">
        <v>88.6522629908238</v>
      </c>
      <c r="AK9209">
        <v>30.3729809154298</v>
      </c>
      <c r="AL9209">
        <v>87.206735747215603</v>
      </c>
      <c r="AM9209">
        <v>91.413183324397195</v>
      </c>
      <c r="AN9209">
        <v>1.0000000237322699</v>
      </c>
    </row>
    <row r="9210" spans="1:40" x14ac:dyDescent="0.25">
      <c r="A9210" t="str">
        <f>"20190312160548315"</f>
        <v>20190312160548315</v>
      </c>
      <c r="B9210" t="str">
        <f>"1552377948304703"</f>
        <v>1552377948304703</v>
      </c>
      <c r="C9210" t="s">
        <v>40</v>
      </c>
      <c r="D9210">
        <v>4.9545690000000002</v>
      </c>
      <c r="E9210">
        <v>0.51895709999999995</v>
      </c>
      <c r="F9210" t="s">
        <v>41</v>
      </c>
      <c r="G9210">
        <v>-94.279200000000003</v>
      </c>
      <c r="H9210" s="1">
        <v>-2.877898E-6</v>
      </c>
      <c r="I9210">
        <v>137.12799999999999</v>
      </c>
      <c r="J9210">
        <v>-123.9156</v>
      </c>
      <c r="K9210">
        <v>1.1104350000000001</v>
      </c>
      <c r="L9210">
        <v>138.40049999999999</v>
      </c>
      <c r="M9210">
        <v>0.99980119999999895</v>
      </c>
      <c r="N9210">
        <v>0</v>
      </c>
      <c r="O9210">
        <v>-1.644837E-2</v>
      </c>
      <c r="P9210">
        <v>0.99925010000000003</v>
      </c>
      <c r="Q9210">
        <v>3.7883140000000003E-2</v>
      </c>
      <c r="R9210">
        <v>8.0238219999999999E-3</v>
      </c>
      <c r="S9210">
        <v>3.0074770000000002</v>
      </c>
      <c r="T9210">
        <v>-0.1120833</v>
      </c>
      <c r="U9210">
        <v>-0.1286774</v>
      </c>
      <c r="V9210">
        <v>-2.446862E-2</v>
      </c>
      <c r="W9210">
        <v>4.9143850000000003E-2</v>
      </c>
      <c r="X9210">
        <v>0.99849189999999999</v>
      </c>
      <c r="Y9210">
        <v>2.629973E-2</v>
      </c>
      <c r="Z9210">
        <v>1.227949E-4</v>
      </c>
      <c r="AA9210">
        <v>0.99965409999999999</v>
      </c>
      <c r="AB9210">
        <v>16</v>
      </c>
      <c r="AC9210">
        <v>29.636399999999899</v>
      </c>
      <c r="AD9210">
        <v>-1.110437877898</v>
      </c>
      <c r="AE9210">
        <v>-1.2725</v>
      </c>
      <c r="AF9210">
        <v>0.78372814202636498</v>
      </c>
      <c r="AG9210">
        <v>-1.110437877898</v>
      </c>
      <c r="AH9210">
        <v>29.611826370062001</v>
      </c>
      <c r="AI9210">
        <v>92.1468235106245</v>
      </c>
      <c r="AJ9210">
        <v>88.483922143325202</v>
      </c>
      <c r="AK9210">
        <v>29.643001923758899</v>
      </c>
      <c r="AL9210">
        <v>87.183130050753604</v>
      </c>
      <c r="AM9210">
        <v>91.4037851717233</v>
      </c>
      <c r="AN9210">
        <v>0.99999995286156695</v>
      </c>
    </row>
    <row r="9211" spans="1:40" x14ac:dyDescent="0.25">
      <c r="A9211" t="str">
        <f>"20190312160548337"</f>
        <v>20190312160548337</v>
      </c>
      <c r="B9211" t="str">
        <f>"1552377948333984"</f>
        <v>1552377948333984</v>
      </c>
      <c r="C9211" t="s">
        <v>40</v>
      </c>
      <c r="D9211">
        <v>4.8864210000000003</v>
      </c>
      <c r="E9211">
        <v>0.51960499999999998</v>
      </c>
      <c r="F9211" t="s">
        <v>41</v>
      </c>
      <c r="G9211">
        <v>-94.383099999999999</v>
      </c>
      <c r="H9211" s="1">
        <v>-2.8377809999999999E-6</v>
      </c>
      <c r="I9211">
        <v>137.10290000000001</v>
      </c>
      <c r="J9211">
        <v>-123.7552</v>
      </c>
      <c r="K9211">
        <v>1.110439</v>
      </c>
      <c r="L9211">
        <v>138.3981</v>
      </c>
      <c r="M9211">
        <v>0.9998032</v>
      </c>
      <c r="N9211">
        <v>0</v>
      </c>
      <c r="O9211">
        <v>-1.6261640000000001E-2</v>
      </c>
      <c r="P9211">
        <v>0.99924729999999995</v>
      </c>
      <c r="Q9211">
        <v>3.8011719999999999E-2</v>
      </c>
      <c r="R9211">
        <v>7.788728E-3</v>
      </c>
      <c r="S9211">
        <v>3.0075989999999999</v>
      </c>
      <c r="T9211">
        <v>-0.1130874</v>
      </c>
      <c r="U9211">
        <v>-0.13214110000000001</v>
      </c>
      <c r="V9211">
        <v>-2.4046990000000001E-2</v>
      </c>
      <c r="W9211">
        <v>4.9367210000000002E-2</v>
      </c>
      <c r="X9211">
        <v>0.99849120000000002</v>
      </c>
      <c r="Y9211">
        <v>2.763256E-2</v>
      </c>
      <c r="Z9211" s="1">
        <v>9.1834869999999995E-5</v>
      </c>
      <c r="AA9211">
        <v>0.99961820000000001</v>
      </c>
      <c r="AB9211">
        <v>16</v>
      </c>
      <c r="AC9211">
        <v>29.3721</v>
      </c>
      <c r="AD9211">
        <v>-1.1104418377809999</v>
      </c>
      <c r="AE9211">
        <v>-1.2951999999999899</v>
      </c>
      <c r="AF9211">
        <v>0.81619504010236599</v>
      </c>
      <c r="AG9211">
        <v>-1.1104418377809999</v>
      </c>
      <c r="AH9211">
        <v>29.3474144003</v>
      </c>
      <c r="AI9211">
        <v>92.166076242087399</v>
      </c>
      <c r="AJ9211">
        <v>88.406930201984096</v>
      </c>
      <c r="AK9211">
        <v>29.3797547199005</v>
      </c>
      <c r="AL9211">
        <v>87.170317124612595</v>
      </c>
      <c r="AM9211">
        <v>91.379606303664403</v>
      </c>
      <c r="AN9211">
        <v>1.0000000278143399</v>
      </c>
    </row>
    <row r="9212" spans="1:40" x14ac:dyDescent="0.25">
      <c r="A9212" t="str">
        <f>"20190312160548361"</f>
        <v>20190312160548361</v>
      </c>
      <c r="B9212" t="str">
        <f>"1552377948354479"</f>
        <v>1552377948354479</v>
      </c>
      <c r="C9212" t="s">
        <v>40</v>
      </c>
      <c r="D9212">
        <v>4.9030750000000003</v>
      </c>
      <c r="E9212">
        <v>0.52018019999999998</v>
      </c>
      <c r="F9212" t="s">
        <v>41</v>
      </c>
      <c r="G9212">
        <v>-94.639859999999999</v>
      </c>
      <c r="H9212" s="1">
        <v>-2.7351509999999998E-6</v>
      </c>
      <c r="I9212">
        <v>137.06049999999999</v>
      </c>
      <c r="J9212">
        <v>-123.59310000000001</v>
      </c>
      <c r="K9212">
        <v>1.1104400000000001</v>
      </c>
      <c r="L9212">
        <v>138.39570000000001</v>
      </c>
      <c r="M9212">
        <v>0.99980550000000001</v>
      </c>
      <c r="N9212">
        <v>0</v>
      </c>
      <c r="O9212">
        <v>-1.6062529999999998E-2</v>
      </c>
      <c r="P9212">
        <v>0.99925830000000004</v>
      </c>
      <c r="Q9212">
        <v>3.7719570000000001E-2</v>
      </c>
      <c r="R9212">
        <v>7.7648659999999996E-3</v>
      </c>
      <c r="S9212">
        <v>3.0077060000000002</v>
      </c>
      <c r="T9212">
        <v>-0.1147121</v>
      </c>
      <c r="U9212">
        <v>-0.13816829999999999</v>
      </c>
      <c r="V9212">
        <v>-2.3823939999999998E-2</v>
      </c>
      <c r="W9212">
        <v>4.915195E-2</v>
      </c>
      <c r="X9212">
        <v>0.99850709999999998</v>
      </c>
      <c r="Y9212">
        <v>2.9827159999999998E-2</v>
      </c>
      <c r="Z9212" s="1">
        <v>4.3745329999999903E-5</v>
      </c>
      <c r="AA9212">
        <v>0.99955510000000003</v>
      </c>
      <c r="AB9212">
        <v>16</v>
      </c>
      <c r="AC9212">
        <v>28.953240000000001</v>
      </c>
      <c r="AD9212">
        <v>-1.11044273515099</v>
      </c>
      <c r="AE9212">
        <v>-1.3352000000000099</v>
      </c>
      <c r="AF9212">
        <v>0.86865993754291904</v>
      </c>
      <c r="AG9212">
        <v>-1.11044273515099</v>
      </c>
      <c r="AH9212">
        <v>28.9284902573783</v>
      </c>
      <c r="AI9212">
        <v>92.197274649138294</v>
      </c>
      <c r="AJ9212">
        <v>88.280048595227797</v>
      </c>
      <c r="AK9212">
        <v>28.9628244777054</v>
      </c>
      <c r="AL9212">
        <v>87.182665417820999</v>
      </c>
      <c r="AM9212">
        <v>91.366792762835601</v>
      </c>
      <c r="AN9212">
        <v>0.99999996152816695</v>
      </c>
    </row>
    <row r="9213" spans="1:40" x14ac:dyDescent="0.25">
      <c r="A9213" t="str">
        <f>"20190312160548383"</f>
        <v>20190312160548383</v>
      </c>
      <c r="B9213" t="str">
        <f>"1552377948374561"</f>
        <v>1552377948374561</v>
      </c>
      <c r="C9213" t="s">
        <v>40</v>
      </c>
      <c r="D9213">
        <v>4.831474</v>
      </c>
      <c r="E9213">
        <v>0.52048149999999904</v>
      </c>
      <c r="F9213" t="s">
        <v>41</v>
      </c>
      <c r="G9213">
        <v>-95.045330000000007</v>
      </c>
      <c r="H9213" s="1">
        <v>-2.5649889999999999E-6</v>
      </c>
      <c r="I9213">
        <v>137.03919999999999</v>
      </c>
      <c r="J9213">
        <v>-123.434</v>
      </c>
      <c r="K9213">
        <v>1.1104350000000001</v>
      </c>
      <c r="L9213">
        <v>138.39340000000001</v>
      </c>
      <c r="M9213">
        <v>0.99980800000000003</v>
      </c>
      <c r="N9213">
        <v>0</v>
      </c>
      <c r="O9213">
        <v>-1.586475E-2</v>
      </c>
      <c r="P9213">
        <v>0.99927469999999996</v>
      </c>
      <c r="Q9213">
        <v>3.7296169999999997E-2</v>
      </c>
      <c r="R9213">
        <v>7.6969019999999898E-3</v>
      </c>
      <c r="S9213">
        <v>3.0077669999999999</v>
      </c>
      <c r="T9213">
        <v>-0.11699519999999999</v>
      </c>
      <c r="U9213">
        <v>-0.14291379999999901</v>
      </c>
      <c r="V9213">
        <v>-2.3558679999999999E-2</v>
      </c>
      <c r="W9213">
        <v>4.8789039999999999E-2</v>
      </c>
      <c r="X9213">
        <v>0.99853119999999995</v>
      </c>
      <c r="Y9213">
        <v>3.1595619999999998E-2</v>
      </c>
      <c r="Z9213" s="1">
        <v>2.5648040000000001E-6</v>
      </c>
      <c r="AA9213">
        <v>0.99950079999999997</v>
      </c>
      <c r="AB9213">
        <v>16</v>
      </c>
      <c r="AC9213">
        <v>28.388669999999902</v>
      </c>
      <c r="AD9213">
        <v>-1.1104375649889999</v>
      </c>
      <c r="AE9213">
        <v>-1.3542000000000201</v>
      </c>
      <c r="AF9213">
        <v>0.90224328577355695</v>
      </c>
      <c r="AG9213">
        <v>-1.1104375649889999</v>
      </c>
      <c r="AH9213">
        <v>28.363284214906699</v>
      </c>
      <c r="AI9213">
        <v>92.240882696417003</v>
      </c>
      <c r="AJ9213">
        <v>88.178021062169705</v>
      </c>
      <c r="AK9213">
        <v>28.399348689504102</v>
      </c>
      <c r="AL9213">
        <v>87.203483629804495</v>
      </c>
      <c r="AM9213">
        <v>91.351547716078201</v>
      </c>
      <c r="AN9213">
        <v>0.99999996960045101</v>
      </c>
    </row>
    <row r="9214" spans="1:40" x14ac:dyDescent="0.25">
      <c r="A9214" t="str">
        <f>"20190312160548404"</f>
        <v>20190312160548404</v>
      </c>
      <c r="B9214" t="str">
        <f>"1552377948394082"</f>
        <v>1552377948394082</v>
      </c>
      <c r="C9214" t="s">
        <v>40</v>
      </c>
      <c r="D9214">
        <v>4.8271179999999996</v>
      </c>
      <c r="E9214">
        <v>0.52074900000000002</v>
      </c>
      <c r="F9214" t="s">
        <v>41</v>
      </c>
      <c r="G9214">
        <v>-95.286730000000006</v>
      </c>
      <c r="H9214" s="1">
        <v>-2.462823E-6</v>
      </c>
      <c r="I9214">
        <v>137.03139999999999</v>
      </c>
      <c r="J9214">
        <v>-123.27800000000001</v>
      </c>
      <c r="K9214">
        <v>1.1104350000000001</v>
      </c>
      <c r="L9214">
        <v>138.39109999999999</v>
      </c>
      <c r="M9214">
        <v>0.99981019999999998</v>
      </c>
      <c r="N9214">
        <v>0</v>
      </c>
      <c r="O9214">
        <v>-1.567636E-2</v>
      </c>
      <c r="P9214">
        <v>0.9992704</v>
      </c>
      <c r="Q9214">
        <v>3.7381350000000001E-2</v>
      </c>
      <c r="R9214">
        <v>7.8170199999999992E-3</v>
      </c>
      <c r="S9214">
        <v>3.0077509999999998</v>
      </c>
      <c r="T9214">
        <v>-0.11865870000000001</v>
      </c>
      <c r="U9214">
        <v>-0.14553829999999901</v>
      </c>
      <c r="V9214">
        <v>-2.349043E-2</v>
      </c>
      <c r="W9214">
        <v>4.8930000000000001E-2</v>
      </c>
      <c r="X9214">
        <v>0.99852589999999997</v>
      </c>
      <c r="Y9214">
        <v>3.2652999999999897E-2</v>
      </c>
      <c r="Z9214" s="1">
        <v>-2.5659859999999999E-5</v>
      </c>
      <c r="AA9214">
        <v>0.99946679999999999</v>
      </c>
      <c r="AB9214">
        <v>16</v>
      </c>
      <c r="AC9214">
        <v>27.991269999999901</v>
      </c>
      <c r="AD9214">
        <v>-1.110437462823</v>
      </c>
      <c r="AE9214">
        <v>-1.3596999999999999</v>
      </c>
      <c r="AF9214">
        <v>0.91925900543341699</v>
      </c>
      <c r="AG9214">
        <v>-1.110437462823</v>
      </c>
      <c r="AH9214">
        <v>27.9652390721415</v>
      </c>
      <c r="AI9214">
        <v>92.272667192855494</v>
      </c>
      <c r="AJ9214">
        <v>88.117280421632302</v>
      </c>
      <c r="AK9214">
        <v>28.0023696290143</v>
      </c>
      <c r="AL9214">
        <v>87.195397529445202</v>
      </c>
      <c r="AM9214">
        <v>91.347640849806695</v>
      </c>
      <c r="AN9214">
        <v>0.99999995908619599</v>
      </c>
    </row>
    <row r="9215" spans="1:40" x14ac:dyDescent="0.25">
      <c r="A9215" t="str">
        <f>"20190312160548427"</f>
        <v>20190312160548427</v>
      </c>
      <c r="B9215" t="str">
        <f>"1552377948424338"</f>
        <v>1552377948424338</v>
      </c>
      <c r="C9215" t="s">
        <v>40</v>
      </c>
      <c r="D9215">
        <v>4.8037260000000002</v>
      </c>
      <c r="E9215">
        <v>0.52121770000000001</v>
      </c>
      <c r="F9215" t="s">
        <v>41</v>
      </c>
      <c r="G9215">
        <v>-95.468869999999995</v>
      </c>
      <c r="H9215" s="1">
        <v>-2.3848559999999999E-6</v>
      </c>
      <c r="I9215">
        <v>137.03039999999999</v>
      </c>
      <c r="J9215">
        <v>-123.1174</v>
      </c>
      <c r="K9215">
        <v>1.11043799999999</v>
      </c>
      <c r="L9215">
        <v>138.3888</v>
      </c>
      <c r="M9215">
        <v>0.9998127</v>
      </c>
      <c r="N9215">
        <v>0</v>
      </c>
      <c r="O9215">
        <v>-1.548939E-2</v>
      </c>
      <c r="P9215">
        <v>0.99927120000000003</v>
      </c>
      <c r="Q9215">
        <v>3.7292470000000001E-2</v>
      </c>
      <c r="R9215">
        <v>8.1787979999999993E-3</v>
      </c>
      <c r="S9215">
        <v>3.0078279999999999</v>
      </c>
      <c r="T9215">
        <v>-0.12010460000000001</v>
      </c>
      <c r="U9215">
        <v>-0.147171</v>
      </c>
      <c r="V9215">
        <v>-2.366569E-2</v>
      </c>
      <c r="W9215">
        <v>4.8894760000000002E-2</v>
      </c>
      <c r="X9215">
        <v>0.99852350000000001</v>
      </c>
      <c r="Y9215">
        <v>3.3378860000000003E-2</v>
      </c>
      <c r="Z9215" s="1">
        <v>-4.7905950000000002E-5</v>
      </c>
      <c r="AA9215">
        <v>0.99944279999999996</v>
      </c>
      <c r="AB9215">
        <v>16</v>
      </c>
      <c r="AC9215">
        <v>27.648530000000001</v>
      </c>
      <c r="AD9215">
        <v>-1.1104403848559901</v>
      </c>
      <c r="AE9215">
        <v>-1.35840000000001</v>
      </c>
      <c r="AF9215">
        <v>0.92845528211043005</v>
      </c>
      <c r="AG9215">
        <v>-1.1104403848559901</v>
      </c>
      <c r="AH9215">
        <v>27.621806905550699</v>
      </c>
      <c r="AI9215">
        <v>92.300843369559104</v>
      </c>
      <c r="AJ9215">
        <v>88.074834557102704</v>
      </c>
      <c r="AK9215">
        <v>27.6597057791063</v>
      </c>
      <c r="AL9215">
        <v>87.197419086517598</v>
      </c>
      <c r="AM9215">
        <v>91.357694990372806</v>
      </c>
      <c r="AN9215">
        <v>0.99999997124544104</v>
      </c>
    </row>
    <row r="9216" spans="1:40" x14ac:dyDescent="0.25">
      <c r="A9216" t="str">
        <f>"20190312160548449"</f>
        <v>20190312160548449</v>
      </c>
      <c r="B9216" t="str">
        <f>"1552377948444833"</f>
        <v>1552377948444833</v>
      </c>
      <c r="C9216" t="s">
        <v>40</v>
      </c>
      <c r="D9216">
        <v>4.8149579999999998</v>
      </c>
      <c r="E9216">
        <v>0.52148559999999999</v>
      </c>
      <c r="F9216" t="s">
        <v>41</v>
      </c>
      <c r="G9216">
        <v>-95.723209999999995</v>
      </c>
      <c r="H9216" s="1">
        <v>-2.2768259999999998E-6</v>
      </c>
      <c r="I9216">
        <v>137.02430000000001</v>
      </c>
      <c r="J9216">
        <v>-122.9585</v>
      </c>
      <c r="K9216">
        <v>1.1104419999999999</v>
      </c>
      <c r="L9216">
        <v>138.38659999999999</v>
      </c>
      <c r="M9216">
        <v>0.99981500000000001</v>
      </c>
      <c r="N9216">
        <v>0</v>
      </c>
      <c r="O9216">
        <v>-1.5305819999999999E-2</v>
      </c>
      <c r="P9216">
        <v>0.99926870000000001</v>
      </c>
      <c r="Q9216">
        <v>3.7274010000000003E-2</v>
      </c>
      <c r="R9216">
        <v>8.5560510000000003E-3</v>
      </c>
      <c r="S9216">
        <v>3.007965</v>
      </c>
      <c r="T9216">
        <v>-0.1219295</v>
      </c>
      <c r="U9216">
        <v>-0.14982599999999999</v>
      </c>
      <c r="V9216">
        <v>-2.3859450000000001E-2</v>
      </c>
      <c r="W9216">
        <v>4.8920959999999999E-2</v>
      </c>
      <c r="X9216">
        <v>0.99851760000000001</v>
      </c>
      <c r="Y9216">
        <v>3.4438690000000001E-2</v>
      </c>
      <c r="Z9216" s="1">
        <v>-7.7521079999999997E-5</v>
      </c>
      <c r="AA9216">
        <v>0.99940680000000004</v>
      </c>
      <c r="AB9216">
        <v>16</v>
      </c>
      <c r="AC9216">
        <v>27.235289999999999</v>
      </c>
      <c r="AD9216">
        <v>-1.1104442768260001</v>
      </c>
      <c r="AE9216">
        <v>-1.3622999999999701</v>
      </c>
      <c r="AF9216">
        <v>0.94368881322699005</v>
      </c>
      <c r="AG9216">
        <v>-1.1104442768260001</v>
      </c>
      <c r="AH9216">
        <v>27.2078349340023</v>
      </c>
      <c r="AI9216">
        <v>92.335735537283</v>
      </c>
      <c r="AJ9216">
        <v>88.013523681135894</v>
      </c>
      <c r="AK9216">
        <v>27.2468331529384</v>
      </c>
      <c r="AL9216">
        <v>87.195916122609901</v>
      </c>
      <c r="AM9216">
        <v>91.368814828314896</v>
      </c>
      <c r="AN9216">
        <v>0.99999996559569104</v>
      </c>
    </row>
    <row r="9217" spans="1:40" x14ac:dyDescent="0.25">
      <c r="A9217" t="str">
        <f>"20190312160548472"</f>
        <v>20190312160548472</v>
      </c>
      <c r="B9217" t="str">
        <f>"1552377948464354"</f>
        <v>1552377948464354</v>
      </c>
      <c r="C9217" t="s">
        <v>40</v>
      </c>
      <c r="D9217">
        <v>4.8116029999999999</v>
      </c>
      <c r="E9217">
        <v>0.52180909999999903</v>
      </c>
      <c r="F9217" t="s">
        <v>41</v>
      </c>
      <c r="G9217">
        <v>-96.118989999999997</v>
      </c>
      <c r="H9217" s="1">
        <v>-2.1040640000000002E-6</v>
      </c>
      <c r="I9217">
        <v>137.0411</v>
      </c>
      <c r="J9217">
        <v>-122.7976</v>
      </c>
      <c r="K9217">
        <v>1.1104369999999999</v>
      </c>
      <c r="L9217">
        <v>138.3844</v>
      </c>
      <c r="M9217">
        <v>0.99981739999999997</v>
      </c>
      <c r="N9217">
        <v>0</v>
      </c>
      <c r="O9217">
        <v>-1.511495E-2</v>
      </c>
      <c r="P9217">
        <v>0.99927639999999995</v>
      </c>
      <c r="Q9217">
        <v>3.7196269999999997E-2</v>
      </c>
      <c r="R9217">
        <v>7.9680080000000004E-3</v>
      </c>
      <c r="S9217">
        <v>3.0081329999999999</v>
      </c>
      <c r="T9217">
        <v>-0.1244569</v>
      </c>
      <c r="U9217">
        <v>-0.15080260000000001</v>
      </c>
      <c r="V9217">
        <v>-2.308054E-2</v>
      </c>
      <c r="W9217">
        <v>4.8879520000000003E-2</v>
      </c>
      <c r="X9217">
        <v>0.99853800000000004</v>
      </c>
      <c r="Y9217">
        <v>3.4949090000000002E-2</v>
      </c>
      <c r="Z9217" s="1">
        <v>-9.7555979999999998E-5</v>
      </c>
      <c r="AA9217">
        <v>0.99938910000000003</v>
      </c>
      <c r="AB9217">
        <v>16</v>
      </c>
      <c r="AC9217">
        <v>26.678609999999999</v>
      </c>
      <c r="AD9217">
        <v>-1.110439104064</v>
      </c>
      <c r="AE9217">
        <v>-1.3432999999999899</v>
      </c>
      <c r="AF9217">
        <v>0.93825172947332103</v>
      </c>
      <c r="AG9217">
        <v>-1.110439104064</v>
      </c>
      <c r="AH9217">
        <v>26.6498142199932</v>
      </c>
      <c r="AI9217">
        <v>92.384533136723604</v>
      </c>
      <c r="AJ9217">
        <v>87.983638117479003</v>
      </c>
      <c r="AK9217">
        <v>26.6894359114584</v>
      </c>
      <c r="AL9217">
        <v>87.198293479016698</v>
      </c>
      <c r="AM9217">
        <v>91.324117956407505</v>
      </c>
      <c r="AN9217">
        <v>1.0000000281230601</v>
      </c>
    </row>
    <row r="9218" spans="1:40" x14ac:dyDescent="0.25">
      <c r="A9218" t="str">
        <f>"20190312160548494"</f>
        <v>20190312160548494</v>
      </c>
      <c r="B9218" t="str">
        <f>"1552377948484850"</f>
        <v>1552377948484850</v>
      </c>
      <c r="C9218" t="s">
        <v>40</v>
      </c>
      <c r="D9218">
        <v>4.9980789999999997</v>
      </c>
      <c r="E9218">
        <v>0.52185800000000004</v>
      </c>
      <c r="F9218" t="s">
        <v>41</v>
      </c>
      <c r="G9218">
        <v>-96.182590000000005</v>
      </c>
      <c r="H9218" s="1">
        <v>-2.0819560000000002E-6</v>
      </c>
      <c r="I9218">
        <v>137.0119</v>
      </c>
      <c r="J9218">
        <v>-122.64019999999999</v>
      </c>
      <c r="K9218">
        <v>1.110433</v>
      </c>
      <c r="L9218">
        <v>138.38220000000001</v>
      </c>
      <c r="M9218">
        <v>0.99981989999999998</v>
      </c>
      <c r="N9218">
        <v>0</v>
      </c>
      <c r="O9218">
        <v>-1.492478E-2</v>
      </c>
      <c r="P9218">
        <v>0.99927200000000005</v>
      </c>
      <c r="Q9218">
        <v>3.738619E-2</v>
      </c>
      <c r="R9218">
        <v>7.617726E-3</v>
      </c>
      <c r="S9218">
        <v>3.0080870000000002</v>
      </c>
      <c r="T9218">
        <v>-0.12550430000000001</v>
      </c>
      <c r="U9218">
        <v>-0.155120799999999</v>
      </c>
      <c r="V9218">
        <v>-2.2540350000000001E-2</v>
      </c>
      <c r="W9218">
        <v>4.910051E-2</v>
      </c>
      <c r="X9218">
        <v>0.99853939999999997</v>
      </c>
      <c r="Y9218">
        <v>3.6568999999999997E-2</v>
      </c>
      <c r="Z9218">
        <v>-1.4005579999999999E-4</v>
      </c>
      <c r="AA9218">
        <v>0.99933110000000003</v>
      </c>
      <c r="AB9218">
        <v>16</v>
      </c>
      <c r="AC9218">
        <v>26.457609999999899</v>
      </c>
      <c r="AD9218">
        <v>-1.110435081956</v>
      </c>
      <c r="AE9218">
        <v>-1.3703000000000101</v>
      </c>
      <c r="AF9218">
        <v>0.97353590563879699</v>
      </c>
      <c r="AG9218">
        <v>-1.110435081956</v>
      </c>
      <c r="AH9218">
        <v>26.428685708017099</v>
      </c>
      <c r="AI9218">
        <v>92.404311685704698</v>
      </c>
      <c r="AJ9218">
        <v>87.890387347368204</v>
      </c>
      <c r="AK9218">
        <v>26.4699124759405</v>
      </c>
      <c r="AL9218">
        <v>87.1856161881053</v>
      </c>
      <c r="AM9218">
        <v>91.293136388072099</v>
      </c>
      <c r="AN9218">
        <v>0.99999993040636803</v>
      </c>
    </row>
    <row r="9219" spans="1:40" x14ac:dyDescent="0.25">
      <c r="A9219" t="str">
        <f>"20190312160548517"</f>
        <v>20190312160548517</v>
      </c>
      <c r="B9219" t="str">
        <f>"1552377948504369"</f>
        <v>1552377948504369</v>
      </c>
      <c r="C9219" t="s">
        <v>40</v>
      </c>
      <c r="D9219">
        <v>4.8110910000000002</v>
      </c>
      <c r="E9219">
        <v>0.50652900000000001</v>
      </c>
      <c r="F9219" t="s">
        <v>41</v>
      </c>
      <c r="G9219">
        <v>-96.154880000000006</v>
      </c>
      <c r="H9219" s="1">
        <v>-2.0954030000000002E-6</v>
      </c>
      <c r="I9219">
        <v>137.00309999999999</v>
      </c>
      <c r="J9219">
        <v>-122.48220000000001</v>
      </c>
      <c r="K9219">
        <v>1.1104369999999999</v>
      </c>
      <c r="L9219">
        <v>138.3801</v>
      </c>
      <c r="M9219">
        <v>0.9998224</v>
      </c>
      <c r="N9219">
        <v>0</v>
      </c>
      <c r="O9219">
        <v>-1.473387E-2</v>
      </c>
      <c r="P9219">
        <v>0.99928499999999998</v>
      </c>
      <c r="Q9219">
        <v>3.7092569999999998E-2</v>
      </c>
      <c r="R9219">
        <v>7.3408190000000002E-3</v>
      </c>
      <c r="S9219">
        <v>3.0081020000000001</v>
      </c>
      <c r="T9219">
        <v>-0.1261187</v>
      </c>
      <c r="U9219">
        <v>-0.15663150000000001</v>
      </c>
      <c r="V9219">
        <v>-2.2072580000000001E-2</v>
      </c>
      <c r="W9219">
        <v>4.883618E-2</v>
      </c>
      <c r="X9219">
        <v>0.99856290000000003</v>
      </c>
      <c r="Y9219">
        <v>3.725908E-2</v>
      </c>
      <c r="Z9219">
        <v>-1.6318219999999901E-4</v>
      </c>
      <c r="AA9219">
        <v>0.99930560000000002</v>
      </c>
      <c r="AB9219">
        <v>16</v>
      </c>
      <c r="AC9219">
        <v>26.32732</v>
      </c>
      <c r="AD9219">
        <v>-1.1104390954029999</v>
      </c>
      <c r="AE9219">
        <v>-1.377</v>
      </c>
      <c r="AF9219">
        <v>0.987169029106157</v>
      </c>
      <c r="AG9219">
        <v>-1.1104390954029999</v>
      </c>
      <c r="AH9219">
        <v>26.298095029899599</v>
      </c>
      <c r="AI9219">
        <v>92.416182733132203</v>
      </c>
      <c r="AJ9219">
        <v>87.850259673405006</v>
      </c>
      <c r="AK9219">
        <v>26.3400337865815</v>
      </c>
      <c r="AL9219">
        <v>87.200779619527793</v>
      </c>
      <c r="AM9219">
        <v>91.266279534870094</v>
      </c>
      <c r="AN9219">
        <v>1.0000000182606199</v>
      </c>
    </row>
    <row r="9220" spans="1:40" x14ac:dyDescent="0.25">
      <c r="A9220" t="str">
        <f>"20190312160548539"</f>
        <v>20190312160548539</v>
      </c>
      <c r="B9220" t="str">
        <f>"1552377948534625"</f>
        <v>1552377948534625</v>
      </c>
      <c r="C9220" t="s">
        <v>40</v>
      </c>
      <c r="D9220">
        <v>5.0067750000000002</v>
      </c>
      <c r="E9220">
        <v>0.50212559999999995</v>
      </c>
      <c r="F9220" t="s">
        <v>41</v>
      </c>
      <c r="G9220">
        <v>-104.14400000000001</v>
      </c>
      <c r="H9220" s="1">
        <v>-3.0071439999999999E-6</v>
      </c>
      <c r="I9220">
        <v>138.1591</v>
      </c>
      <c r="J9220">
        <v>-122.3227</v>
      </c>
      <c r="K9220">
        <v>1.11043799999999</v>
      </c>
      <c r="L9220">
        <v>138.37799999999999</v>
      </c>
      <c r="M9220">
        <v>0.99982479999999996</v>
      </c>
      <c r="N9220">
        <v>0</v>
      </c>
      <c r="O9220">
        <v>-1.454341E-2</v>
      </c>
      <c r="P9220">
        <v>0.99927710000000003</v>
      </c>
      <c r="Q9220">
        <v>3.7338610000000001E-2</v>
      </c>
      <c r="R9220">
        <v>7.1436199999999998E-3</v>
      </c>
      <c r="S9220">
        <v>3.0091709999999998</v>
      </c>
      <c r="T9220">
        <v>-0.18221480000000001</v>
      </c>
      <c r="U9220">
        <v>-3.6254880000000003E-2</v>
      </c>
      <c r="V9220">
        <v>-2.1684709999999999E-2</v>
      </c>
      <c r="W9220">
        <v>4.9108119999999998E-2</v>
      </c>
      <c r="X9220">
        <v>0.99855799999999995</v>
      </c>
      <c r="Y9220">
        <v>-2.4662320000000001E-3</v>
      </c>
      <c r="Z9220">
        <v>9.5442859999999999E-4</v>
      </c>
      <c r="AA9220">
        <v>0.99999649999999995</v>
      </c>
      <c r="AB9220">
        <v>16</v>
      </c>
      <c r="AC9220">
        <v>18.178699999999999</v>
      </c>
      <c r="AD9220">
        <v>-1.1104410071439901</v>
      </c>
      <c r="AE9220">
        <v>-0.21889999999998999</v>
      </c>
      <c r="AF9220">
        <v>-4.5352597673974898E-2</v>
      </c>
      <c r="AG9220">
        <v>-1.1104410071439901</v>
      </c>
      <c r="AH9220">
        <v>18.112387152892399</v>
      </c>
      <c r="AI9220">
        <v>93.508308916796906</v>
      </c>
      <c r="AJ9220">
        <v>90.143465738891805</v>
      </c>
      <c r="AK9220">
        <v>18.146451566758799</v>
      </c>
      <c r="AL9220">
        <v>87.185179714724399</v>
      </c>
      <c r="AM9220">
        <v>91.244041019332897</v>
      </c>
      <c r="AN9220">
        <v>0.99999995673085795</v>
      </c>
    </row>
    <row r="9221" spans="1:40" x14ac:dyDescent="0.25">
      <c r="A9221" t="str">
        <f>"20190312160548561"</f>
        <v>20190312160548561</v>
      </c>
      <c r="B9221" t="str">
        <f>"1552377948554145"</f>
        <v>1552377948554145</v>
      </c>
      <c r="C9221" t="s">
        <v>40</v>
      </c>
      <c r="D9221">
        <v>4.8758299999999997</v>
      </c>
      <c r="E9221">
        <v>0.50173089999999998</v>
      </c>
      <c r="F9221" t="s">
        <v>41</v>
      </c>
      <c r="G9221">
        <v>-103.2808</v>
      </c>
      <c r="H9221" s="1">
        <v>-3.3783229999999999E-6</v>
      </c>
      <c r="I9221">
        <v>138.36689999999999</v>
      </c>
      <c r="J9221">
        <v>-122.1623</v>
      </c>
      <c r="K9221">
        <v>1.110441</v>
      </c>
      <c r="L9221">
        <v>138.3759</v>
      </c>
      <c r="M9221">
        <v>0.99982720000000003</v>
      </c>
      <c r="N9221">
        <v>0</v>
      </c>
      <c r="O9221">
        <v>-1.435315E-2</v>
      </c>
      <c r="P9221">
        <v>0.99926459999999995</v>
      </c>
      <c r="Q9221">
        <v>3.761424E-2</v>
      </c>
      <c r="R9221">
        <v>7.44722599999999E-3</v>
      </c>
      <c r="S9221">
        <v>3.0087429999999999</v>
      </c>
      <c r="T9221">
        <v>-0.1754568</v>
      </c>
      <c r="U9221">
        <v>-1.7547610000000001E-3</v>
      </c>
      <c r="V9221">
        <v>-2.1798189999999999E-2</v>
      </c>
      <c r="W9221">
        <v>4.940626E-2</v>
      </c>
      <c r="X9221">
        <v>0.99854089999999995</v>
      </c>
      <c r="Y9221">
        <v>-1.3723290000000001E-2</v>
      </c>
      <c r="Z9221">
        <v>1.2361399999999999E-3</v>
      </c>
      <c r="AA9221">
        <v>0.99990500000000004</v>
      </c>
      <c r="AB9221">
        <v>16</v>
      </c>
      <c r="AC9221">
        <v>18.881499999999999</v>
      </c>
      <c r="AD9221">
        <v>-1.110444378323</v>
      </c>
      <c r="AE9221">
        <v>-9.0000000000145502E-3</v>
      </c>
      <c r="AF9221">
        <v>-0.26112567032530798</v>
      </c>
      <c r="AG9221">
        <v>-1.110444378323</v>
      </c>
      <c r="AH9221">
        <v>18.814608667311099</v>
      </c>
      <c r="AI9221">
        <v>93.377372879632205</v>
      </c>
      <c r="AJ9221">
        <v>90.795150118179095</v>
      </c>
      <c r="AK9221">
        <v>18.849158406600299</v>
      </c>
      <c r="AL9221">
        <v>87.1680770092822</v>
      </c>
      <c r="AM9221">
        <v>91.250570657268696</v>
      </c>
      <c r="AN9221">
        <v>1.0000000342936299</v>
      </c>
    </row>
    <row r="9222" spans="1:40" x14ac:dyDescent="0.25">
      <c r="A9222" t="str">
        <f>"20190312160548584"</f>
        <v>20190312160548584</v>
      </c>
      <c r="B9222" t="str">
        <f>"1552377948574642"</f>
        <v>1552377948574642</v>
      </c>
      <c r="C9222" t="s">
        <v>40</v>
      </c>
      <c r="D9222">
        <v>4.8485809999999896</v>
      </c>
      <c r="E9222">
        <v>0.50109389999999998</v>
      </c>
      <c r="F9222" t="s">
        <v>41</v>
      </c>
      <c r="G9222">
        <v>-102.3304</v>
      </c>
      <c r="H9222" s="1">
        <v>-3.823295E-6</v>
      </c>
      <c r="I9222">
        <v>138.39099999999999</v>
      </c>
      <c r="J9222">
        <v>-122.0034</v>
      </c>
      <c r="K9222">
        <v>1.1104449999999999</v>
      </c>
      <c r="L9222">
        <v>138.37379999999999</v>
      </c>
      <c r="M9222">
        <v>0.99982979999999999</v>
      </c>
      <c r="N9222">
        <v>0</v>
      </c>
      <c r="O9222">
        <v>-1.416514E-2</v>
      </c>
      <c r="P9222">
        <v>0.99924990000000002</v>
      </c>
      <c r="Q9222">
        <v>3.7812980000000003E-2</v>
      </c>
      <c r="R9222">
        <v>8.3783130000000001E-3</v>
      </c>
      <c r="S9222">
        <v>3.0085299999999999</v>
      </c>
      <c r="T9222">
        <v>-0.16845570000000001</v>
      </c>
      <c r="U9222">
        <v>2.3040769999999999E-3</v>
      </c>
      <c r="V9222">
        <v>-2.254167E-2</v>
      </c>
      <c r="W9222">
        <v>4.9622960000000001E-2</v>
      </c>
      <c r="X9222">
        <v>0.9985136</v>
      </c>
      <c r="Y9222">
        <v>-1.4886389999999999E-2</v>
      </c>
      <c r="Z9222">
        <v>1.208998E-3</v>
      </c>
      <c r="AA9222">
        <v>0.99988849999999996</v>
      </c>
      <c r="AB9222">
        <v>16</v>
      </c>
      <c r="AC9222">
        <v>19.672999999999998</v>
      </c>
      <c r="AD9222">
        <v>-1.1104488232950001</v>
      </c>
      <c r="AE9222">
        <v>1.7200000000002501E-2</v>
      </c>
      <c r="AF9222">
        <v>-0.29494881510246002</v>
      </c>
      <c r="AG9222">
        <v>-1.1104488232950001</v>
      </c>
      <c r="AH9222">
        <v>19.608308779476101</v>
      </c>
      <c r="AI9222">
        <v>93.240920555896196</v>
      </c>
      <c r="AJ9222">
        <v>90.861779976972798</v>
      </c>
      <c r="AK9222">
        <v>19.641941466768699</v>
      </c>
      <c r="AL9222">
        <v>87.155645632076201</v>
      </c>
      <c r="AM9222">
        <v>91.2932454937432</v>
      </c>
      <c r="AN9222">
        <v>0.99999998721525496</v>
      </c>
    </row>
    <row r="9223" spans="1:40" x14ac:dyDescent="0.25">
      <c r="A9223" t="str">
        <f>"20190312160548609"</f>
        <v>20190312160548609</v>
      </c>
      <c r="B9223" t="str">
        <f>"1552377948604897"</f>
        <v>1552377948604897</v>
      </c>
      <c r="C9223" t="s">
        <v>40</v>
      </c>
      <c r="D9223">
        <v>5.0224010000000003</v>
      </c>
      <c r="E9223">
        <v>0.50028090000000003</v>
      </c>
      <c r="F9223" t="s">
        <v>41</v>
      </c>
      <c r="G9223">
        <v>-101.3515</v>
      </c>
      <c r="H9223" s="1">
        <v>-4.2764990000000002E-6</v>
      </c>
      <c r="I9223">
        <v>138.44470000000001</v>
      </c>
      <c r="J9223">
        <v>-121.8292</v>
      </c>
      <c r="K9223">
        <v>1.110444</v>
      </c>
      <c r="L9223">
        <v>138.3716</v>
      </c>
      <c r="M9223">
        <v>0.99983239999999995</v>
      </c>
      <c r="N9223">
        <v>0</v>
      </c>
      <c r="O9223">
        <v>-1.395746E-2</v>
      </c>
      <c r="P9223">
        <v>0.99926139999999997</v>
      </c>
      <c r="Q9223">
        <v>3.7387289999999997E-2</v>
      </c>
      <c r="R9223">
        <v>8.8829169999999902E-3</v>
      </c>
      <c r="S9223">
        <v>3.008286</v>
      </c>
      <c r="T9223">
        <v>-0.161754799999999</v>
      </c>
      <c r="U9223">
        <v>1.0330199999999999E-2</v>
      </c>
      <c r="V9223">
        <v>-2.2838279999999999E-2</v>
      </c>
      <c r="W9223">
        <v>4.921528E-2</v>
      </c>
      <c r="X9223">
        <v>0.9985271</v>
      </c>
      <c r="Y9223">
        <v>-1.73467E-2</v>
      </c>
      <c r="Z9223">
        <v>1.2160109999999999E-3</v>
      </c>
      <c r="AA9223">
        <v>0.99984879999999998</v>
      </c>
      <c r="AB9223">
        <v>16</v>
      </c>
      <c r="AC9223">
        <v>20.477699999999999</v>
      </c>
      <c r="AD9223">
        <v>-1.110448276499</v>
      </c>
      <c r="AE9223">
        <v>7.3100000000010795E-2</v>
      </c>
      <c r="AF9223">
        <v>-0.35787726136695303</v>
      </c>
      <c r="AG9223">
        <v>-1.110448276499</v>
      </c>
      <c r="AH9223">
        <v>20.414654282257299</v>
      </c>
      <c r="AI9223">
        <v>93.113039038885901</v>
      </c>
      <c r="AJ9223">
        <v>91.004315639076296</v>
      </c>
      <c r="AK9223">
        <v>20.447965203732899</v>
      </c>
      <c r="AL9223">
        <v>87.179032729348805</v>
      </c>
      <c r="AM9223">
        <v>91.310238800671101</v>
      </c>
      <c r="AN9223">
        <v>1.00000005012662</v>
      </c>
    </row>
    <row r="9224" spans="1:40" x14ac:dyDescent="0.25">
      <c r="A9224" t="str">
        <f>"20190312160548628"</f>
        <v>20190312160548628</v>
      </c>
      <c r="B9224" t="str">
        <f>"1552377948624421"</f>
        <v>1552377948624421</v>
      </c>
      <c r="C9224" t="s">
        <v>40</v>
      </c>
      <c r="D9224">
        <v>4.8752389999999997</v>
      </c>
      <c r="E9224">
        <v>0.5000656</v>
      </c>
      <c r="F9224" t="s">
        <v>41</v>
      </c>
      <c r="G9224">
        <v>-99.127139999999997</v>
      </c>
      <c r="H9224" s="1">
        <v>-5.7669729999999997E-7</v>
      </c>
      <c r="I9224">
        <v>138.5129</v>
      </c>
      <c r="J9224">
        <v>-121.68980000000001</v>
      </c>
      <c r="K9224">
        <v>1.1104459999999901</v>
      </c>
      <c r="L9224">
        <v>138.3699</v>
      </c>
      <c r="M9224">
        <v>0.99983460000000002</v>
      </c>
      <c r="N9224">
        <v>0</v>
      </c>
      <c r="O9224">
        <v>-1.379175E-2</v>
      </c>
      <c r="P9224">
        <v>0.99927820000000001</v>
      </c>
      <c r="Q9224">
        <v>3.675776E-2</v>
      </c>
      <c r="R9224">
        <v>9.6084970000000006E-3</v>
      </c>
      <c r="S9224">
        <v>3.0075379999999998</v>
      </c>
      <c r="T9224">
        <v>-0.14711009999999999</v>
      </c>
      <c r="U9224">
        <v>1.8722530000000001E-2</v>
      </c>
      <c r="V9224">
        <v>-2.339844E-2</v>
      </c>
      <c r="W9224">
        <v>4.8601850000000002E-2</v>
      </c>
      <c r="X9224">
        <v>0.99854410000000005</v>
      </c>
      <c r="Y9224">
        <v>-1.9976569999999999E-2</v>
      </c>
      <c r="Z9224">
        <v>1.1625050000000001E-3</v>
      </c>
      <c r="AA9224">
        <v>0.99979980000000002</v>
      </c>
      <c r="AB9224">
        <v>16</v>
      </c>
      <c r="AC9224">
        <v>22.562660000000001</v>
      </c>
      <c r="AD9224">
        <v>-1.11044657669729</v>
      </c>
      <c r="AE9224">
        <v>0.14299999999999999</v>
      </c>
      <c r="AF9224">
        <v>-0.45308939426065598</v>
      </c>
      <c r="AG9224">
        <v>-1.11044657669729</v>
      </c>
      <c r="AH9224">
        <v>22.5040337128464</v>
      </c>
      <c r="AI9224">
        <v>92.824359383128495</v>
      </c>
      <c r="AJ9224">
        <v>91.153420024052394</v>
      </c>
      <c r="AK9224">
        <v>22.535969358956301</v>
      </c>
      <c r="AL9224">
        <v>87.214221575939007</v>
      </c>
      <c r="AM9224">
        <v>91.342340880624207</v>
      </c>
      <c r="AN9224">
        <v>0.99999997323133205</v>
      </c>
    </row>
    <row r="9225" spans="1:40" x14ac:dyDescent="0.25">
      <c r="A9225" t="str">
        <f>"20190312160548650"</f>
        <v>20190312160548650</v>
      </c>
      <c r="B9225" t="str">
        <f>"1552377948643937"</f>
        <v>1552377948643937</v>
      </c>
      <c r="C9225" t="s">
        <v>40</v>
      </c>
      <c r="D9225">
        <v>4.8807219999999996</v>
      </c>
      <c r="E9225">
        <v>0.49981750000000003</v>
      </c>
      <c r="F9225" t="s">
        <v>41</v>
      </c>
      <c r="G9225">
        <v>-98.961299999999994</v>
      </c>
      <c r="H9225" s="1">
        <v>-6.2560299999999997E-7</v>
      </c>
      <c r="I9225">
        <v>138.5412</v>
      </c>
      <c r="J9225">
        <v>-121.5299</v>
      </c>
      <c r="K9225">
        <v>1.1104480000000001</v>
      </c>
      <c r="L9225">
        <v>138.36789999999999</v>
      </c>
      <c r="M9225">
        <v>0.99983690000000003</v>
      </c>
      <c r="N9225">
        <v>0</v>
      </c>
      <c r="O9225">
        <v>-1.360159E-2</v>
      </c>
      <c r="P9225">
        <v>0.9992664</v>
      </c>
      <c r="Q9225">
        <v>3.6961349999999997E-2</v>
      </c>
      <c r="R9225">
        <v>1.0038429999999999E-2</v>
      </c>
      <c r="S9225">
        <v>3.007355</v>
      </c>
      <c r="T9225">
        <v>-0.14693020000000001</v>
      </c>
      <c r="U9225">
        <v>2.267456E-2</v>
      </c>
      <c r="V9225">
        <v>-2.363815E-2</v>
      </c>
      <c r="W9225">
        <v>4.883523E-2</v>
      </c>
      <c r="X9225">
        <v>0.9985271</v>
      </c>
      <c r="Y9225">
        <v>-2.1099570000000002E-2</v>
      </c>
      <c r="Z9225">
        <v>1.1792829999999999E-3</v>
      </c>
      <c r="AA9225">
        <v>0.99977669999999996</v>
      </c>
      <c r="AB9225">
        <v>16</v>
      </c>
      <c r="AC9225">
        <v>22.5686</v>
      </c>
      <c r="AD9225">
        <v>-1.110448625603</v>
      </c>
      <c r="AE9225">
        <v>0.173300000000011</v>
      </c>
      <c r="AF9225">
        <v>-0.47911463104395202</v>
      </c>
      <c r="AG9225">
        <v>-1.110448625603</v>
      </c>
      <c r="AH9225">
        <v>22.509662862978399</v>
      </c>
      <c r="AI9225">
        <v>92.823592244669001</v>
      </c>
      <c r="AJ9225">
        <v>91.219347531314199</v>
      </c>
      <c r="AK9225">
        <v>22.5421287633785</v>
      </c>
      <c r="AL9225">
        <v>87.200834080155801</v>
      </c>
      <c r="AM9225">
        <v>91.356110730097996</v>
      </c>
      <c r="AN9225">
        <v>1.00000000562949</v>
      </c>
    </row>
    <row r="9226" spans="1:40" x14ac:dyDescent="0.25">
      <c r="A9226" t="str">
        <f>"20190312160548673"</f>
        <v>20190312160548673</v>
      </c>
      <c r="B9226" t="str">
        <f>"1552377948664434"</f>
        <v>1552377948664434</v>
      </c>
      <c r="C9226" t="s">
        <v>40</v>
      </c>
      <c r="D9226">
        <v>4.9139599999999897</v>
      </c>
      <c r="E9226">
        <v>0.49977850000000001</v>
      </c>
      <c r="F9226" t="s">
        <v>41</v>
      </c>
      <c r="G9226">
        <v>-98.717939999999999</v>
      </c>
      <c r="H9226" s="1">
        <v>-7.188887E-7</v>
      </c>
      <c r="I9226">
        <v>138.56450000000001</v>
      </c>
      <c r="J9226">
        <v>-121.3729</v>
      </c>
      <c r="K9226">
        <v>1.1104529999999999</v>
      </c>
      <c r="L9226">
        <v>138.36600000000001</v>
      </c>
      <c r="M9226">
        <v>0.99983889999999997</v>
      </c>
      <c r="N9226">
        <v>0</v>
      </c>
      <c r="O9226">
        <v>-1.3415760000000001E-2</v>
      </c>
      <c r="P9226">
        <v>0.9992645</v>
      </c>
      <c r="Q9226">
        <v>3.6905210000000001E-2</v>
      </c>
      <c r="R9226">
        <v>1.04285E-2</v>
      </c>
      <c r="S9226">
        <v>3.007339</v>
      </c>
      <c r="T9226">
        <v>-0.14639199999999999</v>
      </c>
      <c r="U9226">
        <v>2.5924679999999999E-2</v>
      </c>
      <c r="V9226">
        <v>-2.3842430000000001E-2</v>
      </c>
      <c r="W9226">
        <v>4.8816169999999999E-2</v>
      </c>
      <c r="X9226">
        <v>0.99852320000000006</v>
      </c>
      <c r="Y9226">
        <v>-2.1993660000000002E-2</v>
      </c>
      <c r="Z9226">
        <v>1.187677E-3</v>
      </c>
      <c r="AA9226">
        <v>0.99975740000000002</v>
      </c>
      <c r="AB9226">
        <v>16</v>
      </c>
      <c r="AC9226">
        <v>22.654959999999999</v>
      </c>
      <c r="AD9226">
        <v>-1.1104537188887</v>
      </c>
      <c r="AE9226">
        <v>0.19849999999999501</v>
      </c>
      <c r="AF9226">
        <v>-0.50123309983893705</v>
      </c>
      <c r="AG9226">
        <v>-1.1104537188887</v>
      </c>
      <c r="AH9226">
        <v>22.5959736256094</v>
      </c>
      <c r="AI9226">
        <v>92.812782332735395</v>
      </c>
      <c r="AJ9226">
        <v>91.270749941179602</v>
      </c>
      <c r="AK9226">
        <v>22.628795066715401</v>
      </c>
      <c r="AL9226">
        <v>87.201927511192807</v>
      </c>
      <c r="AM9226">
        <v>91.367831094993093</v>
      </c>
      <c r="AN9226">
        <v>1.0000000304300001</v>
      </c>
    </row>
    <row r="9227" spans="1:40" x14ac:dyDescent="0.25">
      <c r="A9227" t="str">
        <f>"20190312160548694"</f>
        <v>20190312160548694</v>
      </c>
      <c r="B9227" t="str">
        <f>"1552377948684929"</f>
        <v>1552377948684929</v>
      </c>
      <c r="C9227" t="s">
        <v>40</v>
      </c>
      <c r="D9227">
        <v>4.9271649999999996</v>
      </c>
      <c r="E9227">
        <v>0.49961850000000002</v>
      </c>
      <c r="F9227" t="s">
        <v>41</v>
      </c>
      <c r="G9227">
        <v>-99.017589999999998</v>
      </c>
      <c r="H9227" s="1">
        <v>-5.9933469999999895E-7</v>
      </c>
      <c r="I9227">
        <v>138.56790000000001</v>
      </c>
      <c r="J9227">
        <v>-121.2161</v>
      </c>
      <c r="K9227">
        <v>1.1104620000000001</v>
      </c>
      <c r="L9227">
        <v>138.36410000000001</v>
      </c>
      <c r="M9227">
        <v>0.99984099999999998</v>
      </c>
      <c r="N9227">
        <v>0</v>
      </c>
      <c r="O9227">
        <v>-1.3231669999999999E-2</v>
      </c>
      <c r="P9227">
        <v>0.99927180000000004</v>
      </c>
      <c r="Q9227">
        <v>3.6615670000000003E-2</v>
      </c>
      <c r="R9227">
        <v>1.0746739999999999E-2</v>
      </c>
      <c r="S9227">
        <v>3.007431</v>
      </c>
      <c r="T9227">
        <v>-0.1493874</v>
      </c>
      <c r="U9227">
        <v>2.7175899999999999E-2</v>
      </c>
      <c r="V9227">
        <v>-2.3976520000000001E-2</v>
      </c>
      <c r="W9227">
        <v>4.8562800000000003E-2</v>
      </c>
      <c r="X9227">
        <v>0.99853230000000004</v>
      </c>
      <c r="Y9227">
        <v>-2.222346E-2</v>
      </c>
      <c r="Z9227">
        <v>1.208476E-3</v>
      </c>
      <c r="AA9227">
        <v>0.99975230000000004</v>
      </c>
      <c r="AB9227">
        <v>16</v>
      </c>
      <c r="AC9227">
        <v>22.198509999999999</v>
      </c>
      <c r="AD9227">
        <v>-1.1104625993346999</v>
      </c>
      <c r="AE9227">
        <v>0.20380000000000101</v>
      </c>
      <c r="AF9227">
        <v>-0.49628469542444897</v>
      </c>
      <c r="AG9227">
        <v>-1.1104625993346999</v>
      </c>
      <c r="AH9227">
        <v>22.138474510055001</v>
      </c>
      <c r="AI9227">
        <v>92.870821097141601</v>
      </c>
      <c r="AJ9227">
        <v>91.284201253770107</v>
      </c>
      <c r="AK9227">
        <v>22.1718623330515</v>
      </c>
      <c r="AL9227">
        <v>87.216461658515101</v>
      </c>
      <c r="AM9227">
        <v>91.375508309005397</v>
      </c>
      <c r="AN9227">
        <v>0.99999998659921996</v>
      </c>
    </row>
    <row r="9228" spans="1:40" x14ac:dyDescent="0.25">
      <c r="A9228" t="str">
        <f>"20190312160548718"</f>
        <v>20190312160548718</v>
      </c>
      <c r="B9228" t="str">
        <f>"1552377948714209"</f>
        <v>1552377948714209</v>
      </c>
      <c r="C9228" t="s">
        <v>40</v>
      </c>
      <c r="D9228">
        <v>4.968146</v>
      </c>
      <c r="E9228">
        <v>0.4998628</v>
      </c>
      <c r="F9228" t="s">
        <v>41</v>
      </c>
      <c r="G9228">
        <v>-99.400790000000001</v>
      </c>
      <c r="H9228" s="1">
        <v>-4.6666199999999997E-7</v>
      </c>
      <c r="I9228">
        <v>138.57650000000001</v>
      </c>
      <c r="J9228">
        <v>-121.05719999999999</v>
      </c>
      <c r="K9228">
        <v>1.1104700000000001</v>
      </c>
      <c r="L9228">
        <v>138.3622</v>
      </c>
      <c r="M9228">
        <v>0.99984300000000004</v>
      </c>
      <c r="N9228">
        <v>0</v>
      </c>
      <c r="O9228">
        <v>-1.3045640000000001E-2</v>
      </c>
      <c r="P9228">
        <v>0.99926919999999997</v>
      </c>
      <c r="Q9228">
        <v>3.6572210000000001E-2</v>
      </c>
      <c r="R9228">
        <v>1.1122440000000001E-2</v>
      </c>
      <c r="S9228">
        <v>3.0074920000000001</v>
      </c>
      <c r="T9228">
        <v>-0.15308949999999999</v>
      </c>
      <c r="U9228">
        <v>2.9281620000000001E-2</v>
      </c>
      <c r="V9228">
        <v>-2.4166509999999999E-2</v>
      </c>
      <c r="W9228">
        <v>4.8551370000000003E-2</v>
      </c>
      <c r="X9228">
        <v>0.99852830000000004</v>
      </c>
      <c r="Y9228">
        <v>-2.2734569999999999E-2</v>
      </c>
      <c r="Z9228">
        <v>1.241895E-3</v>
      </c>
      <c r="AA9228">
        <v>0.99974079999999999</v>
      </c>
      <c r="AB9228">
        <v>16</v>
      </c>
      <c r="AC9228">
        <v>21.656409999999902</v>
      </c>
      <c r="AD9228">
        <v>-1.110470466662</v>
      </c>
      <c r="AE9228">
        <v>0.21430000000000801</v>
      </c>
      <c r="AF9228">
        <v>-0.49552105424019399</v>
      </c>
      <c r="AG9228">
        <v>-1.110470466662</v>
      </c>
      <c r="AH9228">
        <v>21.594996646381301</v>
      </c>
      <c r="AI9228">
        <v>92.942930738257004</v>
      </c>
      <c r="AJ9228">
        <v>91.314484286093005</v>
      </c>
      <c r="AK9228">
        <v>21.629206317609999</v>
      </c>
      <c r="AL9228">
        <v>87.217117390149397</v>
      </c>
      <c r="AM9228">
        <v>91.386409154340399</v>
      </c>
      <c r="AN9228">
        <v>1.0000000108176701</v>
      </c>
    </row>
    <row r="9229" spans="1:40" x14ac:dyDescent="0.25">
      <c r="A9229" t="str">
        <f>"20190312160548740"</f>
        <v>20190312160548740</v>
      </c>
      <c r="B9229" t="str">
        <f>"1552377948734705"</f>
        <v>1552377948734705</v>
      </c>
      <c r="C9229" t="s">
        <v>40</v>
      </c>
      <c r="D9229">
        <v>5.035069</v>
      </c>
      <c r="E9229">
        <v>0.50012230000000002</v>
      </c>
      <c r="F9229" t="s">
        <v>41</v>
      </c>
      <c r="G9229">
        <v>-99.197879999999998</v>
      </c>
      <c r="H9229" s="1">
        <v>-5.3763050000000004E-7</v>
      </c>
      <c r="I9229">
        <v>138.5693</v>
      </c>
      <c r="J9229">
        <v>-120.89279999999999</v>
      </c>
      <c r="K9229">
        <v>1.1104769999999999</v>
      </c>
      <c r="L9229">
        <v>138.3603</v>
      </c>
      <c r="M9229">
        <v>0.99984510000000004</v>
      </c>
      <c r="N9229">
        <v>0</v>
      </c>
      <c r="O9229">
        <v>-1.285327E-2</v>
      </c>
      <c r="P9229">
        <v>0.99926559999999998</v>
      </c>
      <c r="Q9229">
        <v>3.6646629999999999E-2</v>
      </c>
      <c r="R9229">
        <v>1.1207109999999999E-2</v>
      </c>
      <c r="S9229">
        <v>3.0074770000000002</v>
      </c>
      <c r="T9229">
        <v>-0.152782</v>
      </c>
      <c r="U9229">
        <v>2.8488159999999998E-2</v>
      </c>
      <c r="V9229">
        <v>-2.4059259999999999E-2</v>
      </c>
      <c r="W9229">
        <v>4.8654240000000001E-2</v>
      </c>
      <c r="X9229">
        <v>0.99852589999999997</v>
      </c>
      <c r="Y9229">
        <v>-2.227956E-2</v>
      </c>
      <c r="Z9229">
        <v>1.218095E-3</v>
      </c>
      <c r="AA9229">
        <v>0.99975099999999995</v>
      </c>
      <c r="AB9229">
        <v>16</v>
      </c>
      <c r="AC9229">
        <v>21.69492</v>
      </c>
      <c r="AD9229">
        <v>-1.1104775376304901</v>
      </c>
      <c r="AE9229">
        <v>0.20900000000000299</v>
      </c>
      <c r="AF9229">
        <v>-0.486578831350928</v>
      </c>
      <c r="AG9229">
        <v>-1.1104775376304901</v>
      </c>
      <c r="AH9229">
        <v>21.633765579993799</v>
      </c>
      <c r="AI9229">
        <v>92.937715021615404</v>
      </c>
      <c r="AJ9229">
        <v>91.288458714667001</v>
      </c>
      <c r="AK9229">
        <v>21.667711750224701</v>
      </c>
      <c r="AL9229">
        <v>87.2112164474959</v>
      </c>
      <c r="AM9229">
        <v>91.380262027945093</v>
      </c>
      <c r="AN9229">
        <v>1.00000002801626</v>
      </c>
    </row>
    <row r="9230" spans="1:40" x14ac:dyDescent="0.25">
      <c r="A9230" t="str">
        <f>"20190312160548763"</f>
        <v>20190312160548763</v>
      </c>
      <c r="B9230" t="str">
        <f>"1552377948754226"</f>
        <v>1552377948754226</v>
      </c>
      <c r="C9230" t="s">
        <v>40</v>
      </c>
      <c r="D9230">
        <v>5.0035829999999999</v>
      </c>
      <c r="E9230">
        <v>0.50025429999999904</v>
      </c>
      <c r="F9230" t="s">
        <v>41</v>
      </c>
      <c r="G9230">
        <v>-99.079849999999993</v>
      </c>
      <c r="H9230" s="1">
        <v>-5.8181140000000004E-7</v>
      </c>
      <c r="I9230">
        <v>138.55420000000001</v>
      </c>
      <c r="J9230">
        <v>-120.7384</v>
      </c>
      <c r="K9230">
        <v>1.1104810000000001</v>
      </c>
      <c r="L9230">
        <v>138.35849999999999</v>
      </c>
      <c r="M9230">
        <v>0.99984720000000005</v>
      </c>
      <c r="N9230">
        <v>0</v>
      </c>
      <c r="O9230">
        <v>-1.2671150000000001E-2</v>
      </c>
      <c r="P9230">
        <v>0.99926890000000002</v>
      </c>
      <c r="Q9230">
        <v>3.6557100000000002E-2</v>
      </c>
      <c r="R9230">
        <v>1.119085E-2</v>
      </c>
      <c r="S9230">
        <v>3.0075069999999999</v>
      </c>
      <c r="T9230">
        <v>-0.1531091</v>
      </c>
      <c r="U9230">
        <v>2.6733400000000001E-2</v>
      </c>
      <c r="V9230">
        <v>-2.3860780000000002E-2</v>
      </c>
      <c r="W9230">
        <v>4.8591370000000002E-2</v>
      </c>
      <c r="X9230">
        <v>0.99853369999999997</v>
      </c>
      <c r="Y9230">
        <v>-2.151513E-2</v>
      </c>
      <c r="Z9230">
        <v>1.19198E-3</v>
      </c>
      <c r="AA9230">
        <v>0.99976779999999998</v>
      </c>
      <c r="AB9230">
        <v>16</v>
      </c>
      <c r="AC9230">
        <v>21.658550000000002</v>
      </c>
      <c r="AD9230">
        <v>-1.1104815818114</v>
      </c>
      <c r="AE9230">
        <v>0.195700000000016</v>
      </c>
      <c r="AF9230">
        <v>-0.46891033477517202</v>
      </c>
      <c r="AG9230">
        <v>-1.1104815818114</v>
      </c>
      <c r="AH9230">
        <v>21.597559159504801</v>
      </c>
      <c r="AI9230">
        <v>92.942692532857293</v>
      </c>
      <c r="AJ9230">
        <v>91.243768460121103</v>
      </c>
      <c r="AK9230">
        <v>21.631172134073299</v>
      </c>
      <c r="AL9230">
        <v>87.214822831912898</v>
      </c>
      <c r="AM9230">
        <v>91.368869038169393</v>
      </c>
      <c r="AN9230">
        <v>1.00000000404818</v>
      </c>
    </row>
    <row r="9231" spans="1:40" x14ac:dyDescent="0.25">
      <c r="A9231" t="str">
        <f>"20190312160548785"</f>
        <v>20190312160548785</v>
      </c>
      <c r="B9231" t="str">
        <f>"1552377948774721"</f>
        <v>1552377948774721</v>
      </c>
      <c r="C9231" t="s">
        <v>40</v>
      </c>
      <c r="D9231">
        <v>5.0031280000000002</v>
      </c>
      <c r="E9231">
        <v>0.50037569999999998</v>
      </c>
      <c r="F9231" t="s">
        <v>41</v>
      </c>
      <c r="G9231">
        <v>-98.935699999999997</v>
      </c>
      <c r="H9231" s="1">
        <v>-6.3339100000000001E-7</v>
      </c>
      <c r="I9231">
        <v>138.54470000000001</v>
      </c>
      <c r="J9231">
        <v>-120.5823</v>
      </c>
      <c r="K9231">
        <v>1.110484</v>
      </c>
      <c r="L9231">
        <v>138.35679999999999</v>
      </c>
      <c r="M9231">
        <v>0.99984919999999999</v>
      </c>
      <c r="N9231">
        <v>0</v>
      </c>
      <c r="O9231">
        <v>-1.2485939999999999E-2</v>
      </c>
      <c r="P9231">
        <v>0.99926329999999997</v>
      </c>
      <c r="Q9231">
        <v>3.6659940000000002E-2</v>
      </c>
      <c r="R9231">
        <v>1.1354349999999999E-2</v>
      </c>
      <c r="S9231">
        <v>3.0075069999999999</v>
      </c>
      <c r="T9231">
        <v>-0.15318199999999901</v>
      </c>
      <c r="U9231">
        <v>2.5680540000000002E-2</v>
      </c>
      <c r="V9231">
        <v>-2.383921E-2</v>
      </c>
      <c r="W9231">
        <v>4.8719489999999997E-2</v>
      </c>
      <c r="X9231">
        <v>0.99852790000000002</v>
      </c>
      <c r="Y9231">
        <v>-2.0980849999999999E-2</v>
      </c>
      <c r="Z9231">
        <v>1.169523E-3</v>
      </c>
      <c r="AA9231">
        <v>0.99977919999999998</v>
      </c>
      <c r="AB9231">
        <v>16</v>
      </c>
      <c r="AC9231">
        <v>21.646599999999999</v>
      </c>
      <c r="AD9231">
        <v>-1.1104846333909999</v>
      </c>
      <c r="AE9231">
        <v>0.187900000000013</v>
      </c>
      <c r="AF9231">
        <v>-0.45698061728500999</v>
      </c>
      <c r="AG9231">
        <v>-1.1104846333909999</v>
      </c>
      <c r="AH9231">
        <v>21.585761879550201</v>
      </c>
      <c r="AI9231">
        <v>92.944340116393704</v>
      </c>
      <c r="AJ9231">
        <v>91.212797131630893</v>
      </c>
      <c r="AK9231">
        <v>21.619137895073699</v>
      </c>
      <c r="AL9231">
        <v>87.2074731904099</v>
      </c>
      <c r="AM9231">
        <v>91.367640000020501</v>
      </c>
      <c r="AN9231">
        <v>0.99999993185884395</v>
      </c>
    </row>
    <row r="9232" spans="1:40" x14ac:dyDescent="0.25">
      <c r="A9232" t="str">
        <f>"20190312160548808"</f>
        <v>20190312160548808</v>
      </c>
      <c r="B9232" t="str">
        <f>"1552377948804002"</f>
        <v>1552377948804002</v>
      </c>
      <c r="C9232" t="s">
        <v>40</v>
      </c>
      <c r="D9232">
        <v>5.0559710000000004</v>
      </c>
      <c r="E9232">
        <v>0.50064969999999998</v>
      </c>
      <c r="F9232" t="s">
        <v>41</v>
      </c>
      <c r="G9232">
        <v>-98.844179999999994</v>
      </c>
      <c r="H9232" s="1">
        <v>-6.6936829999999999E-7</v>
      </c>
      <c r="I9232">
        <v>138.5384</v>
      </c>
      <c r="J9232">
        <v>-120.42</v>
      </c>
      <c r="K9232">
        <v>1.110487</v>
      </c>
      <c r="L9232">
        <v>138.35499999999999</v>
      </c>
      <c r="M9232">
        <v>0.99985109999999999</v>
      </c>
      <c r="N9232">
        <v>0</v>
      </c>
      <c r="O9232">
        <v>-1.2292549999999999E-2</v>
      </c>
      <c r="P9232">
        <v>0.99926899999999996</v>
      </c>
      <c r="Q9232">
        <v>3.665471E-2</v>
      </c>
      <c r="R9232">
        <v>1.0856650000000001E-2</v>
      </c>
      <c r="S9232">
        <v>3.007568</v>
      </c>
      <c r="T9232">
        <v>-0.1536401</v>
      </c>
      <c r="U9232">
        <v>2.5131230000000001E-2</v>
      </c>
      <c r="V9232">
        <v>-2.31483E-2</v>
      </c>
      <c r="W9232">
        <v>4.8745209999999997E-2</v>
      </c>
      <c r="X9232">
        <v>0.99854299999999996</v>
      </c>
      <c r="Y9232">
        <v>-2.0605189999999999E-2</v>
      </c>
      <c r="Z9232">
        <v>1.153531E-3</v>
      </c>
      <c r="AA9232">
        <v>0.99978699999999998</v>
      </c>
      <c r="AB9232">
        <v>16</v>
      </c>
      <c r="AC9232">
        <v>21.57582</v>
      </c>
      <c r="AD9232">
        <v>-1.1104876693682999</v>
      </c>
      <c r="AE9232">
        <v>0.183400000000006</v>
      </c>
      <c r="AF9232">
        <v>-0.44744222085399399</v>
      </c>
      <c r="AG9232">
        <v>-1.1104876693682999</v>
      </c>
      <c r="AH9232">
        <v>21.514944552786101</v>
      </c>
      <c r="AI9232">
        <v>92.954045568311102</v>
      </c>
      <c r="AJ9232">
        <v>91.191397715583705</v>
      </c>
      <c r="AK9232">
        <v>21.548230240887101</v>
      </c>
      <c r="AL9232">
        <v>87.205998067313203</v>
      </c>
      <c r="AM9232">
        <v>91.327997273159696</v>
      </c>
      <c r="AN9232">
        <v>1.00000003106991</v>
      </c>
    </row>
    <row r="9233" spans="1:40" x14ac:dyDescent="0.25">
      <c r="A9233" t="str">
        <f>"20190312160548829"</f>
        <v>20190312160548829</v>
      </c>
      <c r="B9233" t="str">
        <f>"1552377948824501"</f>
        <v>1552377948824501</v>
      </c>
      <c r="C9233" t="s">
        <v>40</v>
      </c>
      <c r="D9233">
        <v>5.0551979999999999</v>
      </c>
      <c r="E9233">
        <v>0.50079110000000004</v>
      </c>
      <c r="F9233" t="s">
        <v>41</v>
      </c>
      <c r="G9233">
        <v>-98.712180000000004</v>
      </c>
      <c r="H9233" s="1">
        <v>-7.3116469999999899E-7</v>
      </c>
      <c r="I9233">
        <v>138.50919999999999</v>
      </c>
      <c r="J9233">
        <v>-120.26690000000001</v>
      </c>
      <c r="K9233">
        <v>1.1104909999999999</v>
      </c>
      <c r="L9233">
        <v>138.35329999999999</v>
      </c>
      <c r="M9233">
        <v>0.99985299999999999</v>
      </c>
      <c r="N9233">
        <v>0</v>
      </c>
      <c r="O9233">
        <v>-1.2110630000000001E-2</v>
      </c>
      <c r="P9233">
        <v>0.99926579999999998</v>
      </c>
      <c r="Q9233">
        <v>3.6830630000000003E-2</v>
      </c>
      <c r="R9233">
        <v>1.05571E-2</v>
      </c>
      <c r="S9233">
        <v>3.0076139999999998</v>
      </c>
      <c r="T9233">
        <v>-0.15385739999999901</v>
      </c>
      <c r="U9233">
        <v>2.137756E-2</v>
      </c>
      <c r="V9233">
        <v>-2.266669E-2</v>
      </c>
      <c r="W9233">
        <v>4.895762E-2</v>
      </c>
      <c r="X9233">
        <v>0.99854359999999998</v>
      </c>
      <c r="Y9233">
        <v>-1.9177420000000001E-2</v>
      </c>
      <c r="Z9233">
        <v>1.1093520000000001E-3</v>
      </c>
      <c r="AA9233">
        <v>0.99981549999999997</v>
      </c>
      <c r="AB9233">
        <v>16</v>
      </c>
      <c r="AC9233">
        <v>21.55472</v>
      </c>
      <c r="AD9233">
        <v>-1.11049173116469</v>
      </c>
      <c r="AE9233">
        <v>0.15590000000000201</v>
      </c>
      <c r="AF9233">
        <v>-0.41584532306953098</v>
      </c>
      <c r="AG9233">
        <v>-1.11049173116469</v>
      </c>
      <c r="AH9233">
        <v>21.494202300362002</v>
      </c>
      <c r="AI9233">
        <v>92.956987878777795</v>
      </c>
      <c r="AJ9233">
        <v>91.108355153426203</v>
      </c>
      <c r="AK9233">
        <v>21.526886717465398</v>
      </c>
      <c r="AL9233">
        <v>87.193813163665993</v>
      </c>
      <c r="AM9233">
        <v>91.300376544769904</v>
      </c>
      <c r="AN9233">
        <v>0.99999997424628995</v>
      </c>
    </row>
    <row r="9234" spans="1:40" x14ac:dyDescent="0.25">
      <c r="A9234" t="str">
        <f>"20190312160548851"</f>
        <v>20190312160548851</v>
      </c>
      <c r="B9234" t="str">
        <f>"1552377948844018"</f>
        <v>1552377948844018</v>
      </c>
      <c r="C9234" t="s">
        <v>40</v>
      </c>
      <c r="D9234">
        <v>5.1926920000000001</v>
      </c>
      <c r="E9234">
        <v>0.50056149999999999</v>
      </c>
      <c r="F9234" t="s">
        <v>41</v>
      </c>
      <c r="G9234">
        <v>-98.633420000000001</v>
      </c>
      <c r="H9234" s="1">
        <v>-7.6773539999999995E-7</v>
      </c>
      <c r="I9234">
        <v>138.49359999999999</v>
      </c>
      <c r="J9234">
        <v>-120.1079</v>
      </c>
      <c r="K9234">
        <v>1.110498</v>
      </c>
      <c r="L9234">
        <v>138.35159999999999</v>
      </c>
      <c r="M9234">
        <v>0.99985469999999999</v>
      </c>
      <c r="N9234">
        <v>0</v>
      </c>
      <c r="O9234">
        <v>-1.192228E-2</v>
      </c>
      <c r="P9234">
        <v>0.99926579999999998</v>
      </c>
      <c r="Q9234">
        <v>3.6898300000000002E-2</v>
      </c>
      <c r="R9234">
        <v>1.032916E-2</v>
      </c>
      <c r="S9234">
        <v>3.0076900000000002</v>
      </c>
      <c r="T9234">
        <v>-0.15439120000000001</v>
      </c>
      <c r="U9234">
        <v>1.9500730000000001E-2</v>
      </c>
      <c r="V9234">
        <v>-2.2250900000000001E-2</v>
      </c>
      <c r="W9234">
        <v>4.906336E-2</v>
      </c>
      <c r="X9234">
        <v>0.99854779999999999</v>
      </c>
      <c r="Y9234">
        <v>-1.836606E-2</v>
      </c>
      <c r="Z9234">
        <v>1.0826970000000001E-3</v>
      </c>
      <c r="AA9234">
        <v>0.99983069999999996</v>
      </c>
      <c r="AB9234">
        <v>16</v>
      </c>
      <c r="AC9234">
        <v>21.47448</v>
      </c>
      <c r="AD9234">
        <v>-1.1104987677353999</v>
      </c>
      <c r="AE9234">
        <v>0.14199999999999499</v>
      </c>
      <c r="AF9234">
        <v>-0.39697214452290402</v>
      </c>
      <c r="AG9234">
        <v>-1.1104987677353999</v>
      </c>
      <c r="AH9234">
        <v>21.4139980207853</v>
      </c>
      <c r="AI9234">
        <v>92.968107409099503</v>
      </c>
      <c r="AJ9234">
        <v>91.062026040683094</v>
      </c>
      <c r="AK9234">
        <v>21.4464473895064</v>
      </c>
      <c r="AL9234">
        <v>87.187747525641399</v>
      </c>
      <c r="AM9234">
        <v>91.276525481879702</v>
      </c>
      <c r="AN9234">
        <v>1.0000000123650601</v>
      </c>
    </row>
    <row r="9235" spans="1:40" x14ac:dyDescent="0.25">
      <c r="A9235" t="str">
        <f>"20190312160548874"</f>
        <v>20190312160548874</v>
      </c>
      <c r="B9235" t="str">
        <f>"1552377948864514"</f>
        <v>1552377948864514</v>
      </c>
      <c r="C9235" t="s">
        <v>40</v>
      </c>
      <c r="D9235">
        <v>5.002777</v>
      </c>
      <c r="E9235">
        <v>0.47112199999999999</v>
      </c>
      <c r="F9235" t="s">
        <v>41</v>
      </c>
      <c r="G9235">
        <v>-98.228110000000001</v>
      </c>
      <c r="H9235" s="1">
        <v>-9.4021110000000005E-7</v>
      </c>
      <c r="I9235">
        <v>138.50139999999999</v>
      </c>
      <c r="J9235">
        <v>-119.9541</v>
      </c>
      <c r="K9235">
        <v>1.110503</v>
      </c>
      <c r="L9235">
        <v>138.35</v>
      </c>
      <c r="M9235">
        <v>0.99985650000000004</v>
      </c>
      <c r="N9235">
        <v>0</v>
      </c>
      <c r="O9235">
        <v>-1.1740560000000001E-2</v>
      </c>
      <c r="P9235">
        <v>0.99926959999999998</v>
      </c>
      <c r="Q9235">
        <v>3.6554059999999999E-2</v>
      </c>
      <c r="R9235">
        <v>1.114657E-2</v>
      </c>
      <c r="S9235">
        <v>3.0076139999999998</v>
      </c>
      <c r="T9235">
        <v>-0.15264990000000001</v>
      </c>
      <c r="U9235">
        <v>2.0599369999999999E-2</v>
      </c>
      <c r="V9235">
        <v>-2.288689E-2</v>
      </c>
      <c r="W9235">
        <v>4.87514E-2</v>
      </c>
      <c r="X9235">
        <v>0.99854869999999996</v>
      </c>
      <c r="Y9235">
        <v>-1.8550609999999999E-2</v>
      </c>
      <c r="Z9235">
        <v>1.0659910000000001E-3</v>
      </c>
      <c r="AA9235">
        <v>0.99982729999999997</v>
      </c>
      <c r="AB9235">
        <v>16</v>
      </c>
      <c r="AC9235">
        <v>21.725989999999999</v>
      </c>
      <c r="AD9235">
        <v>-1.1105039402111001</v>
      </c>
      <c r="AE9235">
        <v>0.15139999999999501</v>
      </c>
      <c r="AF9235">
        <v>-0.40542469465315001</v>
      </c>
      <c r="AG9235">
        <v>-1.1105039402111001</v>
      </c>
      <c r="AH9235">
        <v>21.6661115138727</v>
      </c>
      <c r="AI9235">
        <v>92.933634420118295</v>
      </c>
      <c r="AJ9235">
        <v>91.072015770607294</v>
      </c>
      <c r="AK9235">
        <v>21.698340404644402</v>
      </c>
      <c r="AL9235">
        <v>87.205642918384399</v>
      </c>
      <c r="AM9235">
        <v>91.312998202679495</v>
      </c>
      <c r="AN9235">
        <v>1.0000000075037601</v>
      </c>
    </row>
    <row r="9236" spans="1:40" x14ac:dyDescent="0.25">
      <c r="A9236" t="str">
        <f>"20190312160548896"</f>
        <v>20190312160548896</v>
      </c>
      <c r="B9236" t="str">
        <f>"1552377948884034"</f>
        <v>1552377948884034</v>
      </c>
      <c r="C9236" t="s">
        <v>40</v>
      </c>
      <c r="D9236">
        <v>5.062303</v>
      </c>
      <c r="E9236">
        <v>0.43000569999999999</v>
      </c>
      <c r="F9236" t="s">
        <v>41</v>
      </c>
      <c r="G9236">
        <v>-95.32159</v>
      </c>
      <c r="H9236" s="1">
        <v>-2.214954E-6</v>
      </c>
      <c r="I9236">
        <v>140.46430000000001</v>
      </c>
      <c r="J9236">
        <v>-119.79640000000001</v>
      </c>
      <c r="K9236">
        <v>1.1105039999999999</v>
      </c>
      <c r="L9236">
        <v>138.3484</v>
      </c>
      <c r="M9236">
        <v>0.99985829999999998</v>
      </c>
      <c r="N9236">
        <v>0</v>
      </c>
      <c r="O9236">
        <v>-1.155465E-2</v>
      </c>
      <c r="P9236">
        <v>0.99926910000000002</v>
      </c>
      <c r="Q9236">
        <v>3.6360200000000002E-2</v>
      </c>
      <c r="R9236">
        <v>1.179682E-2</v>
      </c>
      <c r="S9236">
        <v>3.0042879999999998</v>
      </c>
      <c r="T9236">
        <v>-0.135441899999999</v>
      </c>
      <c r="U9236">
        <v>0.25787349999999998</v>
      </c>
      <c r="V9236">
        <v>-2.3351319999999998E-2</v>
      </c>
      <c r="W9236">
        <v>4.858614E-2</v>
      </c>
      <c r="X9236">
        <v>0.99854600000000004</v>
      </c>
      <c r="Y9236">
        <v>-9.6918760000000007E-2</v>
      </c>
      <c r="Z9236">
        <v>2.69937E-3</v>
      </c>
      <c r="AA9236">
        <v>0.99528859999999997</v>
      </c>
      <c r="AB9236">
        <v>16</v>
      </c>
      <c r="AC9236">
        <v>24.474810000000002</v>
      </c>
      <c r="AD9236">
        <v>-1.1105062149539999</v>
      </c>
      <c r="AE9236">
        <v>2.1159000000000101</v>
      </c>
      <c r="AF9236">
        <v>-2.39368634443175</v>
      </c>
      <c r="AG9236">
        <v>-1.1105062149539999</v>
      </c>
      <c r="AH9236">
        <v>24.398867075498199</v>
      </c>
      <c r="AI9236">
        <v>92.593565219764201</v>
      </c>
      <c r="AJ9236">
        <v>95.603155139614501</v>
      </c>
      <c r="AK9236">
        <v>24.5411424537815</v>
      </c>
      <c r="AL9236">
        <v>87.215122847602402</v>
      </c>
      <c r="AM9236">
        <v>91.339636099834806</v>
      </c>
      <c r="AN9236">
        <v>1.00000000563092</v>
      </c>
    </row>
    <row r="9237" spans="1:40" x14ac:dyDescent="0.25">
      <c r="A9237" t="str">
        <f>"20190312160548919"</f>
        <v>20190312160548919</v>
      </c>
      <c r="B9237" t="str">
        <f>"1552377948914293"</f>
        <v>1552377948914293</v>
      </c>
      <c r="C9237" t="s">
        <v>40</v>
      </c>
      <c r="D9237">
        <v>5.0444930000000001</v>
      </c>
      <c r="E9237">
        <v>0.42670609999999998</v>
      </c>
      <c r="F9237" t="s">
        <v>41</v>
      </c>
      <c r="G9237">
        <v>-57.762160000000002</v>
      </c>
      <c r="H9237">
        <v>7.998624E-2</v>
      </c>
      <c r="I9237">
        <v>150.5616</v>
      </c>
      <c r="J9237">
        <v>-119.6375</v>
      </c>
      <c r="K9237">
        <v>1.1105100000000001</v>
      </c>
      <c r="L9237">
        <v>138.3468</v>
      </c>
      <c r="M9237">
        <v>0.99986019999999998</v>
      </c>
      <c r="N9237">
        <v>0</v>
      </c>
      <c r="O9237">
        <v>-1.136765E-2</v>
      </c>
      <c r="P9237">
        <v>0.99928360000000005</v>
      </c>
      <c r="Q9237">
        <v>3.5826169999999997E-2</v>
      </c>
      <c r="R9237">
        <v>1.219515E-2</v>
      </c>
      <c r="S9237">
        <v>2.997055</v>
      </c>
      <c r="T9237">
        <v>-4.9787280000000003E-2</v>
      </c>
      <c r="U9237">
        <v>0.59005739999999995</v>
      </c>
      <c r="V9237">
        <v>-2.3562349999999999E-2</v>
      </c>
      <c r="W9237">
        <v>4.8079370000000003E-2</v>
      </c>
      <c r="X9237">
        <v>0.99856560000000005</v>
      </c>
      <c r="Y9237">
        <v>-0.2042841</v>
      </c>
      <c r="Z9237">
        <v>1.8676420000000001E-3</v>
      </c>
      <c r="AA9237">
        <v>0.9789099</v>
      </c>
      <c r="AB9237">
        <v>16</v>
      </c>
      <c r="AC9237">
        <v>61.875340000000001</v>
      </c>
      <c r="AD9237">
        <v>-1.0305237599999999</v>
      </c>
      <c r="AE9237">
        <v>12.214799999999901</v>
      </c>
      <c r="AF9237">
        <v>-12.9139929615031</v>
      </c>
      <c r="AG9237">
        <v>-1.0305237599999999</v>
      </c>
      <c r="AH9237">
        <v>61.716000492438198</v>
      </c>
      <c r="AI9237">
        <v>90.936350987747005</v>
      </c>
      <c r="AJ9237">
        <v>101.818544819161</v>
      </c>
      <c r="AK9237">
        <v>63.061064930845497</v>
      </c>
      <c r="AL9237">
        <v>87.244192681838697</v>
      </c>
      <c r="AM9237">
        <v>91.351711633721393</v>
      </c>
      <c r="AN9237">
        <v>1.00000003383023</v>
      </c>
    </row>
    <row r="9238" spans="1:40" x14ac:dyDescent="0.25">
      <c r="A9238" t="str">
        <f>"20190312160548940"</f>
        <v>20190312160548940</v>
      </c>
      <c r="B9238" t="str">
        <f>"1552377948934786"</f>
        <v>1552377948934786</v>
      </c>
      <c r="C9238" t="s">
        <v>40</v>
      </c>
      <c r="D9238">
        <v>5.0039530000000001</v>
      </c>
      <c r="E9238">
        <v>0.4257378</v>
      </c>
      <c r="F9238" t="s">
        <v>41</v>
      </c>
      <c r="G9238">
        <v>-53.419800000000002</v>
      </c>
      <c r="H9238">
        <v>7.9986500000000002E-2</v>
      </c>
      <c r="I9238">
        <v>152.00139999999999</v>
      </c>
      <c r="J9238">
        <v>-119.4834</v>
      </c>
      <c r="K9238">
        <v>1.1105179999999999</v>
      </c>
      <c r="L9238">
        <v>138.34520000000001</v>
      </c>
      <c r="M9238">
        <v>0.99986200000000003</v>
      </c>
      <c r="N9238">
        <v>0</v>
      </c>
      <c r="O9238">
        <v>-1.1185769999999999E-2</v>
      </c>
      <c r="P9238">
        <v>0.9992858</v>
      </c>
      <c r="Q9238">
        <v>3.5809269999999997E-2</v>
      </c>
      <c r="R9238">
        <v>1.208481E-2</v>
      </c>
      <c r="S9238">
        <v>2.9962770000000001</v>
      </c>
      <c r="T9238">
        <v>-4.6630020000000001E-2</v>
      </c>
      <c r="U9238">
        <v>0.61785889999999999</v>
      </c>
      <c r="V9238">
        <v>-2.327046E-2</v>
      </c>
      <c r="W9238">
        <v>4.8086509999999999E-2</v>
      </c>
      <c r="X9238">
        <v>0.99857209999999996</v>
      </c>
      <c r="Y9238">
        <v>-0.21287710000000001</v>
      </c>
      <c r="Z9238">
        <v>1.8114439999999999E-3</v>
      </c>
      <c r="AA9238">
        <v>0.97707730000000004</v>
      </c>
      <c r="AB9238">
        <v>16</v>
      </c>
      <c r="AC9238">
        <v>66.063599999999994</v>
      </c>
      <c r="AD9238">
        <v>-1.0305314999999999</v>
      </c>
      <c r="AE9238">
        <v>13.656199999999901</v>
      </c>
      <c r="AF9238">
        <v>-14.391015199458201</v>
      </c>
      <c r="AG9238">
        <v>-1.0305314999999999</v>
      </c>
      <c r="AH9238">
        <v>65.891323236324197</v>
      </c>
      <c r="AI9238">
        <v>90.8753933138523</v>
      </c>
      <c r="AJ9238">
        <v>102.32023878522</v>
      </c>
      <c r="AK9238">
        <v>67.452426134849205</v>
      </c>
      <c r="AL9238">
        <v>87.243783113489997</v>
      </c>
      <c r="AM9238">
        <v>91.334964063500394</v>
      </c>
      <c r="AN9238">
        <v>1.0000000328255001</v>
      </c>
    </row>
    <row r="9239" spans="1:40" x14ac:dyDescent="0.25">
      <c r="A9239" t="str">
        <f>"20190312160548964"</f>
        <v>20190312160548964</v>
      </c>
      <c r="B9239" t="str">
        <f>"1552377948954306"</f>
        <v>1552377948954306</v>
      </c>
      <c r="C9239" t="s">
        <v>40</v>
      </c>
      <c r="D9239">
        <v>4.9951369999999997</v>
      </c>
      <c r="E9239">
        <v>0.42531960000000002</v>
      </c>
      <c r="F9239" t="s">
        <v>45</v>
      </c>
      <c r="G9239">
        <v>0</v>
      </c>
      <c r="H9239">
        <v>0</v>
      </c>
      <c r="I9239">
        <v>0</v>
      </c>
      <c r="J9239">
        <v>-119.32559999999999</v>
      </c>
      <c r="K9239">
        <v>1.110519</v>
      </c>
      <c r="L9239">
        <v>138.34370000000001</v>
      </c>
      <c r="M9239">
        <v>0.99986370000000002</v>
      </c>
      <c r="N9239">
        <v>0</v>
      </c>
      <c r="O9239">
        <v>-1.0999119999999999E-2</v>
      </c>
      <c r="P9239">
        <v>0.99927960000000005</v>
      </c>
      <c r="Q9239">
        <v>3.6086989999999999E-2</v>
      </c>
      <c r="R9239">
        <v>1.176891E-2</v>
      </c>
      <c r="S9239">
        <v>2.9959560000000001</v>
      </c>
      <c r="T9239">
        <v>-3.8338780000000003E-2</v>
      </c>
      <c r="U9239">
        <v>0.62542719999999996</v>
      </c>
      <c r="V9239">
        <v>-2.2768730000000001E-2</v>
      </c>
      <c r="W9239">
        <v>4.8387529999999998E-2</v>
      </c>
      <c r="X9239">
        <v>0.99856909999999999</v>
      </c>
      <c r="Y9239">
        <v>-0.21508949999999999</v>
      </c>
      <c r="Z9239">
        <v>1.5007989999999999E-3</v>
      </c>
      <c r="AA9239">
        <v>0.97659320000000005</v>
      </c>
      <c r="AB9239">
        <v>16</v>
      </c>
      <c r="AC9239">
        <v>2.9959560000000001</v>
      </c>
      <c r="AD9239">
        <v>-3.8338780000000003E-2</v>
      </c>
      <c r="AE9239">
        <v>0.62542719999999996</v>
      </c>
      <c r="AF9239">
        <v>-0.65824144682116204</v>
      </c>
      <c r="AG9239">
        <v>-3.8338780000000003E-2</v>
      </c>
      <c r="AH9239">
        <v>2.98842612453935</v>
      </c>
      <c r="AI9239">
        <v>90.717807735408002</v>
      </c>
      <c r="AJ9239">
        <v>102.421822742331</v>
      </c>
      <c r="AK9239">
        <v>3.0603010254212601</v>
      </c>
      <c r="AL9239">
        <v>87.226515768445907</v>
      </c>
      <c r="AM9239">
        <v>91.306195159331594</v>
      </c>
      <c r="AN9239">
        <v>1.0000000078000599</v>
      </c>
    </row>
    <row r="9240" spans="1:40" x14ac:dyDescent="0.25">
      <c r="A9240" t="str">
        <f>"20190312160548986"</f>
        <v>20190312160548986</v>
      </c>
      <c r="B9240" t="str">
        <f>"1552377948974802"</f>
        <v>1552377948974802</v>
      </c>
      <c r="C9240" t="s">
        <v>40</v>
      </c>
      <c r="D9240">
        <v>5.0431489999999997</v>
      </c>
      <c r="E9240">
        <v>0.42502200000000001</v>
      </c>
      <c r="F9240" t="s">
        <v>45</v>
      </c>
      <c r="G9240">
        <v>0</v>
      </c>
      <c r="H9240">
        <v>0</v>
      </c>
      <c r="I9240">
        <v>0</v>
      </c>
      <c r="J9240">
        <v>-119.16670000000001</v>
      </c>
      <c r="K9240">
        <v>1.11052</v>
      </c>
      <c r="L9240">
        <v>138.34219999999999</v>
      </c>
      <c r="M9240">
        <v>0.99986560000000002</v>
      </c>
      <c r="N9240">
        <v>0</v>
      </c>
      <c r="O9240">
        <v>-1.0811019999999999E-2</v>
      </c>
      <c r="P9240">
        <v>0.99930099999999999</v>
      </c>
      <c r="Q9240">
        <v>3.5506049999999997E-2</v>
      </c>
      <c r="R9240">
        <v>1.1723620000000001E-2</v>
      </c>
      <c r="S9240">
        <v>2.995819</v>
      </c>
      <c r="T9240">
        <v>-2.9380079999999999E-2</v>
      </c>
      <c r="U9240">
        <v>0.62786869999999995</v>
      </c>
      <c r="V9240">
        <v>-2.2535070000000001E-2</v>
      </c>
      <c r="W9240">
        <v>4.7825989999999999E-2</v>
      </c>
      <c r="X9240">
        <v>0.99860139999999997</v>
      </c>
      <c r="Y9240">
        <v>-0.2156846</v>
      </c>
      <c r="Z9240">
        <v>1.1511399999999999E-3</v>
      </c>
      <c r="AA9240">
        <v>0.97646239999999995</v>
      </c>
      <c r="AB9240">
        <v>16</v>
      </c>
      <c r="AC9240">
        <v>2.995819</v>
      </c>
      <c r="AD9240">
        <v>-2.9380079999999999E-2</v>
      </c>
      <c r="AE9240">
        <v>0.62786869999999995</v>
      </c>
      <c r="AF9240">
        <v>-0.66016149927946399</v>
      </c>
      <c r="AG9240">
        <v>-2.9380079999999999E-2</v>
      </c>
      <c r="AH9240">
        <v>2.9885801378611601</v>
      </c>
      <c r="AI9240">
        <v>90.549986675149398</v>
      </c>
      <c r="AJ9240">
        <v>102.456305055797</v>
      </c>
      <c r="AK9240">
        <v>3.0607658575346699</v>
      </c>
      <c r="AL9240">
        <v>87.258726790972801</v>
      </c>
      <c r="AM9240">
        <v>91.292753337404207</v>
      </c>
      <c r="AN9240">
        <v>0.99999995539067099</v>
      </c>
    </row>
    <row r="9241" spans="1:40" x14ac:dyDescent="0.25">
      <c r="A9241" t="str">
        <f>"20190312160549011"</f>
        <v>20190312160549011</v>
      </c>
      <c r="B9241" t="str">
        <f>"1552377949004083"</f>
        <v>1552377949004083</v>
      </c>
      <c r="C9241" t="s">
        <v>40</v>
      </c>
      <c r="D9241">
        <v>5.0747200000000001</v>
      </c>
      <c r="E9241">
        <v>0.42485030000000001</v>
      </c>
      <c r="F9241" t="s">
        <v>45</v>
      </c>
      <c r="G9241">
        <v>0</v>
      </c>
      <c r="H9241">
        <v>0</v>
      </c>
      <c r="I9241">
        <v>0</v>
      </c>
      <c r="J9241">
        <v>-118.9945</v>
      </c>
      <c r="K9241">
        <v>1.1105149999999999</v>
      </c>
      <c r="L9241">
        <v>138.34049999999999</v>
      </c>
      <c r="M9241">
        <v>0.99986739999999996</v>
      </c>
      <c r="N9241">
        <v>0</v>
      </c>
      <c r="O9241">
        <v>-1.060694E-2</v>
      </c>
      <c r="P9241">
        <v>0.9993109</v>
      </c>
      <c r="Q9241">
        <v>3.5168860000000003E-2</v>
      </c>
      <c r="R9241">
        <v>1.187935E-2</v>
      </c>
      <c r="S9241">
        <v>2.9956360000000002</v>
      </c>
      <c r="T9241">
        <v>-2.6017309999999998E-2</v>
      </c>
      <c r="U9241">
        <v>0.63027949999999999</v>
      </c>
      <c r="V9241">
        <v>-2.248733E-2</v>
      </c>
      <c r="W9241">
        <v>4.7507349999999997E-2</v>
      </c>
      <c r="X9241">
        <v>0.99861770000000005</v>
      </c>
      <c r="Y9241">
        <v>-0.2162521</v>
      </c>
      <c r="Z9241">
        <v>1.02005E-3</v>
      </c>
      <c r="AA9241">
        <v>0.97633700000000001</v>
      </c>
      <c r="AB9241">
        <v>16</v>
      </c>
      <c r="AC9241">
        <v>2.9956360000000002</v>
      </c>
      <c r="AD9241">
        <v>-2.6017309999999998E-2</v>
      </c>
      <c r="AE9241">
        <v>0.63027949999999999</v>
      </c>
      <c r="AF9241">
        <v>-0.66197317907397502</v>
      </c>
      <c r="AG9241">
        <v>-2.6017309999999998E-2</v>
      </c>
      <c r="AH9241">
        <v>2.9885657343670502</v>
      </c>
      <c r="AI9241">
        <v>90.486979796224404</v>
      </c>
      <c r="AJ9241">
        <v>102.489475960473</v>
      </c>
      <c r="AK9241">
        <v>3.06111263086901</v>
      </c>
      <c r="AL9241">
        <v>87.2770043336632</v>
      </c>
      <c r="AM9241">
        <v>91.289994547946193</v>
      </c>
      <c r="AN9241">
        <v>0.99999996953392001</v>
      </c>
    </row>
    <row r="9242" spans="1:40" x14ac:dyDescent="0.25">
      <c r="A9242" t="str">
        <f>"20190312160549031"</f>
        <v>20190312160549031</v>
      </c>
      <c r="B9242" t="str">
        <f>"1552377949024578"</f>
        <v>1552377949024578</v>
      </c>
      <c r="C9242" t="s">
        <v>40</v>
      </c>
      <c r="D9242">
        <v>5.1129660000000001</v>
      </c>
      <c r="E9242">
        <v>0.42458079999999998</v>
      </c>
      <c r="F9242" t="s">
        <v>45</v>
      </c>
      <c r="G9242">
        <v>0</v>
      </c>
      <c r="H9242">
        <v>0</v>
      </c>
      <c r="I9242">
        <v>0</v>
      </c>
      <c r="J9242">
        <v>-118.85250000000001</v>
      </c>
      <c r="K9242">
        <v>1.1105130000000001</v>
      </c>
      <c r="L9242">
        <v>138.33920000000001</v>
      </c>
      <c r="M9242">
        <v>0.99986909999999896</v>
      </c>
      <c r="N9242">
        <v>0</v>
      </c>
      <c r="O9242">
        <v>-1.043906E-2</v>
      </c>
      <c r="P9242">
        <v>0.99933459999999996</v>
      </c>
      <c r="Q9242">
        <v>3.4507799999999998E-2</v>
      </c>
      <c r="R9242">
        <v>1.18002E-2</v>
      </c>
      <c r="S9242">
        <v>2.9952700000000001</v>
      </c>
      <c r="T9242">
        <v>-2.0295379999999998E-2</v>
      </c>
      <c r="U9242">
        <v>0.63221740000000004</v>
      </c>
      <c r="V9242">
        <v>-2.223992E-2</v>
      </c>
      <c r="W9242">
        <v>4.6860520000000003E-2</v>
      </c>
      <c r="X9242">
        <v>0.99865380000000004</v>
      </c>
      <c r="Y9242">
        <v>-0.2167202</v>
      </c>
      <c r="Z9242">
        <v>7.9620399999999903E-4</v>
      </c>
      <c r="AA9242">
        <v>0.97623340000000003</v>
      </c>
      <c r="AB9242">
        <v>16</v>
      </c>
      <c r="AC9242">
        <v>2.9952700000000001</v>
      </c>
      <c r="AD9242">
        <v>-2.0295379999999998E-2</v>
      </c>
      <c r="AE9242">
        <v>0.63221740000000004</v>
      </c>
      <c r="AF9242">
        <v>-0.66342397894507499</v>
      </c>
      <c r="AG9242">
        <v>-2.0295379999999998E-2</v>
      </c>
      <c r="AH9242">
        <v>2.9883751583988101</v>
      </c>
      <c r="AI9242">
        <v>90.379867089364097</v>
      </c>
      <c r="AJ9242">
        <v>102.516759680817</v>
      </c>
      <c r="AK9242">
        <v>3.06119737449642</v>
      </c>
      <c r="AL9242">
        <v>87.314106282039106</v>
      </c>
      <c r="AM9242">
        <v>91.275760389322002</v>
      </c>
      <c r="AN9242">
        <v>0.99999996731535701</v>
      </c>
    </row>
    <row r="9243" spans="1:40" x14ac:dyDescent="0.25">
      <c r="A9243" t="str">
        <f>"20190312160549052"</f>
        <v>20190312160549052</v>
      </c>
      <c r="B9243" t="str">
        <f>"1552377949044099"</f>
        <v>1552377949044099</v>
      </c>
      <c r="C9243" t="s">
        <v>40</v>
      </c>
      <c r="D9243">
        <v>5.0891060000000001</v>
      </c>
      <c r="E9243">
        <v>0.4245024</v>
      </c>
      <c r="F9243" t="s">
        <v>45</v>
      </c>
      <c r="G9243">
        <v>0</v>
      </c>
      <c r="H9243">
        <v>0</v>
      </c>
      <c r="I9243">
        <v>0</v>
      </c>
      <c r="J9243">
        <v>-118.7003</v>
      </c>
      <c r="K9243">
        <v>1.1105020000000001</v>
      </c>
      <c r="L9243">
        <v>138.33789999999999</v>
      </c>
      <c r="M9243">
        <v>0.99987079999999995</v>
      </c>
      <c r="N9243">
        <v>0</v>
      </c>
      <c r="O9243">
        <v>-1.02589E-2</v>
      </c>
      <c r="P9243">
        <v>0.99934319999999999</v>
      </c>
      <c r="Q9243">
        <v>3.4181870000000003E-2</v>
      </c>
      <c r="R9243">
        <v>1.2034059999999999E-2</v>
      </c>
      <c r="S9243">
        <v>2.9951479999999999</v>
      </c>
      <c r="T9243">
        <v>-1.8535380000000001E-2</v>
      </c>
      <c r="U9243">
        <v>0.63432310000000003</v>
      </c>
      <c r="V9243">
        <v>-2.2294049999999999E-2</v>
      </c>
      <c r="W9243">
        <v>4.6547110000000003E-2</v>
      </c>
      <c r="X9243">
        <v>0.99866730000000004</v>
      </c>
      <c r="Y9243">
        <v>-0.21721009999999999</v>
      </c>
      <c r="Z9243">
        <v>7.2753179999999996E-4</v>
      </c>
      <c r="AA9243">
        <v>0.97612460000000001</v>
      </c>
      <c r="AB9243">
        <v>16</v>
      </c>
      <c r="AC9243">
        <v>2.9951479999999999</v>
      </c>
      <c r="AD9243">
        <v>-1.8535380000000001E-2</v>
      </c>
      <c r="AE9243">
        <v>0.63432310000000003</v>
      </c>
      <c r="AF9243">
        <v>-0.66499461699428297</v>
      </c>
      <c r="AG9243">
        <v>-1.8535380000000001E-2</v>
      </c>
      <c r="AH9243">
        <v>2.9883728705800099</v>
      </c>
      <c r="AI9243">
        <v>90.346887782796699</v>
      </c>
      <c r="AJ9243">
        <v>102.545465020818</v>
      </c>
      <c r="AK9243">
        <v>3.0615247532172098</v>
      </c>
      <c r="AL9243">
        <v>87.332083102376203</v>
      </c>
      <c r="AM9243">
        <v>91.278847165456597</v>
      </c>
      <c r="AN9243">
        <v>1.00000001710202</v>
      </c>
    </row>
    <row r="9244" spans="1:40" x14ac:dyDescent="0.25">
      <c r="A9244" t="str">
        <f>"20190312160549075"</f>
        <v>20190312160549075</v>
      </c>
      <c r="B9244" t="str">
        <f>"1552377949064595"</f>
        <v>1552377949064595</v>
      </c>
      <c r="C9244" t="s">
        <v>40</v>
      </c>
      <c r="D9244">
        <v>5.0473330000000001</v>
      </c>
      <c r="E9244">
        <v>0.42438730000000002</v>
      </c>
      <c r="F9244" t="s">
        <v>45</v>
      </c>
      <c r="G9244">
        <v>0</v>
      </c>
      <c r="H9244">
        <v>0</v>
      </c>
      <c r="I9244">
        <v>0</v>
      </c>
      <c r="J9244">
        <v>-118.5466</v>
      </c>
      <c r="K9244">
        <v>1.110501</v>
      </c>
      <c r="L9244">
        <v>138.3365</v>
      </c>
      <c r="M9244">
        <v>0.9998726</v>
      </c>
      <c r="N9244">
        <v>0</v>
      </c>
      <c r="O9244">
        <v>-1.007719E-2</v>
      </c>
      <c r="P9244">
        <v>0.99932619999999905</v>
      </c>
      <c r="Q9244">
        <v>3.4618980000000001E-2</v>
      </c>
      <c r="R9244">
        <v>1.2204039999999999E-2</v>
      </c>
      <c r="S9244">
        <v>2.9950869999999998</v>
      </c>
      <c r="T9244">
        <v>-2.273476E-2</v>
      </c>
      <c r="U9244">
        <v>0.63543700000000003</v>
      </c>
      <c r="V9244">
        <v>-2.2282159999999999E-2</v>
      </c>
      <c r="W9244">
        <v>4.6995330000000002E-2</v>
      </c>
      <c r="X9244">
        <v>0.99864660000000005</v>
      </c>
      <c r="Y9244">
        <v>-0.21738199999999999</v>
      </c>
      <c r="Z9244">
        <v>8.9162170000000002E-4</v>
      </c>
      <c r="AA9244">
        <v>0.97608620000000001</v>
      </c>
      <c r="AB9244">
        <v>16</v>
      </c>
      <c r="AC9244">
        <v>2.9950869999999998</v>
      </c>
      <c r="AD9244">
        <v>-2.273476E-2</v>
      </c>
      <c r="AE9244">
        <v>0.63543700000000003</v>
      </c>
      <c r="AF9244">
        <v>-0.66555240713351804</v>
      </c>
      <c r="AG9244">
        <v>-2.273476E-2</v>
      </c>
      <c r="AH9244">
        <v>2.9883662189834301</v>
      </c>
      <c r="AI9244">
        <v>90.425460195300204</v>
      </c>
      <c r="AJ9244">
        <v>102.555681547492</v>
      </c>
      <c r="AK9244">
        <v>3.0616677701401298</v>
      </c>
      <c r="AL9244">
        <v>87.306373924495801</v>
      </c>
      <c r="AM9244">
        <v>91.278191834222596</v>
      </c>
      <c r="AN9244">
        <v>1.0000000436938099</v>
      </c>
    </row>
    <row r="9245" spans="1:40" x14ac:dyDescent="0.25">
      <c r="A9245" t="str">
        <f>"20190312160549097"</f>
        <v>20190312160549097</v>
      </c>
      <c r="B9245" t="str">
        <f>"1552377949084114"</f>
        <v>1552377949084114</v>
      </c>
      <c r="C9245" t="s">
        <v>40</v>
      </c>
      <c r="D9245">
        <v>5.1412089999999999</v>
      </c>
      <c r="E9245">
        <v>0.42415809999999998</v>
      </c>
      <c r="F9245" t="s">
        <v>45</v>
      </c>
      <c r="G9245">
        <v>0</v>
      </c>
      <c r="H9245">
        <v>0</v>
      </c>
      <c r="I9245">
        <v>0</v>
      </c>
      <c r="J9245">
        <v>-118.3918</v>
      </c>
      <c r="K9245">
        <v>1.1104940000000001</v>
      </c>
      <c r="L9245">
        <v>138.33519999999999</v>
      </c>
      <c r="M9245">
        <v>0.99987420000000005</v>
      </c>
      <c r="N9245">
        <v>0</v>
      </c>
      <c r="O9245">
        <v>-9.8940339999999995E-3</v>
      </c>
      <c r="P9245">
        <v>0.99932430000000005</v>
      </c>
      <c r="Q9245">
        <v>3.469262E-2</v>
      </c>
      <c r="R9245">
        <v>1.214727E-2</v>
      </c>
      <c r="S9245">
        <v>2.9951479999999999</v>
      </c>
      <c r="T9245">
        <v>-2.5918960000000001E-2</v>
      </c>
      <c r="U9245">
        <v>0.63684079999999998</v>
      </c>
      <c r="V9245">
        <v>-2.2042539999999999E-2</v>
      </c>
      <c r="W9245">
        <v>4.7079629999999997E-2</v>
      </c>
      <c r="X9245">
        <v>0.99864790000000003</v>
      </c>
      <c r="Y9245">
        <v>-0.2176351</v>
      </c>
      <c r="Z9245">
        <v>1.0159419999999999E-3</v>
      </c>
      <c r="AA9245">
        <v>0.9760297</v>
      </c>
      <c r="AB9245">
        <v>16</v>
      </c>
      <c r="AC9245">
        <v>2.9951479999999999</v>
      </c>
      <c r="AD9245">
        <v>-2.5918960000000001E-2</v>
      </c>
      <c r="AE9245">
        <v>0.63684079999999998</v>
      </c>
      <c r="AF9245">
        <v>-0.66639825218961701</v>
      </c>
      <c r="AG9245">
        <v>-2.5918960000000001E-2</v>
      </c>
      <c r="AH9245">
        <v>2.98848584994699</v>
      </c>
      <c r="AI9245">
        <v>90.484999266485801</v>
      </c>
      <c r="AJ9245">
        <v>102.570644329947</v>
      </c>
      <c r="AK9245">
        <v>3.0619938109575302</v>
      </c>
      <c r="AL9245">
        <v>87.301538411292398</v>
      </c>
      <c r="AM9245">
        <v>91.264449135319097</v>
      </c>
      <c r="AN9245">
        <v>0.99999999665249895</v>
      </c>
    </row>
    <row r="9246" spans="1:40" x14ac:dyDescent="0.25">
      <c r="A9246" t="str">
        <f>"20190312160549120"</f>
        <v>20190312160549120</v>
      </c>
      <c r="B9246" t="str">
        <f>"1552377949114373"</f>
        <v>1552377949114373</v>
      </c>
      <c r="C9246" t="s">
        <v>40</v>
      </c>
      <c r="D9246">
        <v>5.3216109999999999</v>
      </c>
      <c r="E9246">
        <v>0.47256429999999999</v>
      </c>
      <c r="F9246" t="s">
        <v>45</v>
      </c>
      <c r="G9246">
        <v>0</v>
      </c>
      <c r="H9246">
        <v>0</v>
      </c>
      <c r="I9246">
        <v>0</v>
      </c>
      <c r="J9246">
        <v>-118.2341</v>
      </c>
      <c r="K9246">
        <v>1.110484</v>
      </c>
      <c r="L9246">
        <v>138.3338</v>
      </c>
      <c r="M9246">
        <v>0.99987599999999999</v>
      </c>
      <c r="N9246">
        <v>0</v>
      </c>
      <c r="O9246">
        <v>-9.7080099999999996E-3</v>
      </c>
      <c r="P9246">
        <v>0.99930730000000001</v>
      </c>
      <c r="Q9246">
        <v>3.5066890000000003E-2</v>
      </c>
      <c r="R9246">
        <v>1.247739E-2</v>
      </c>
      <c r="S9246">
        <v>2.9952549999999998</v>
      </c>
      <c r="T9246">
        <v>-2.8219339999999999E-2</v>
      </c>
      <c r="U9246">
        <v>0.63851930000000001</v>
      </c>
      <c r="V9246">
        <v>-2.218643E-2</v>
      </c>
      <c r="W9246">
        <v>4.74621E-2</v>
      </c>
      <c r="X9246">
        <v>0.99862660000000003</v>
      </c>
      <c r="Y9246">
        <v>-0.2179681</v>
      </c>
      <c r="Z9246">
        <v>1.1058210000000001E-3</v>
      </c>
      <c r="AA9246">
        <v>0.97595520000000002</v>
      </c>
      <c r="AB9246">
        <v>16</v>
      </c>
      <c r="AC9246">
        <v>2.9952549999999998</v>
      </c>
      <c r="AD9246">
        <v>-2.8219339999999999E-2</v>
      </c>
      <c r="AE9246">
        <v>0.63851930000000001</v>
      </c>
      <c r="AF9246">
        <v>-0.66751273274341905</v>
      </c>
      <c r="AG9246">
        <v>-2.8219339999999999E-2</v>
      </c>
      <c r="AH9246">
        <v>2.98866085456907</v>
      </c>
      <c r="AI9246">
        <v>90.527970660791695</v>
      </c>
      <c r="AJ9246">
        <v>102.590283835514</v>
      </c>
      <c r="AK9246">
        <v>3.0624276780290098</v>
      </c>
      <c r="AL9246">
        <v>87.279599944346401</v>
      </c>
      <c r="AM9246">
        <v>91.272727677802195</v>
      </c>
      <c r="AN9246">
        <v>0.99999998742005702</v>
      </c>
    </row>
    <row r="9247" spans="1:40" x14ac:dyDescent="0.25">
      <c r="A9247" t="str">
        <f>"20190312160549141"</f>
        <v>20190312160549141</v>
      </c>
      <c r="B9247" t="str">
        <f>"1552377949134865"</f>
        <v>1552377949134865</v>
      </c>
      <c r="C9247" t="s">
        <v>40</v>
      </c>
      <c r="D9247">
        <v>5.2081989999999996</v>
      </c>
      <c r="E9247">
        <v>0.489707</v>
      </c>
      <c r="F9247" t="s">
        <v>41</v>
      </c>
      <c r="G9247">
        <v>-93.726070000000007</v>
      </c>
      <c r="H9247" s="1">
        <v>-2.8771809999999999E-6</v>
      </c>
      <c r="I9247">
        <v>140.38069999999999</v>
      </c>
      <c r="J9247">
        <v>-118.0812</v>
      </c>
      <c r="K9247">
        <v>1.1104879999999999</v>
      </c>
      <c r="L9247">
        <v>138.33260000000001</v>
      </c>
      <c r="M9247">
        <v>0.99987749999999997</v>
      </c>
      <c r="N9247">
        <v>0</v>
      </c>
      <c r="O9247">
        <v>-9.5269880000000001E-3</v>
      </c>
      <c r="P9247">
        <v>0.99929279999999998</v>
      </c>
      <c r="Q9247">
        <v>3.549828E-2</v>
      </c>
      <c r="R9247">
        <v>1.240321E-2</v>
      </c>
      <c r="S9247">
        <v>3.0037229999999999</v>
      </c>
      <c r="T9247">
        <v>-0.136102</v>
      </c>
      <c r="U9247">
        <v>0.25086979999999998</v>
      </c>
      <c r="V9247">
        <v>-2.193121E-2</v>
      </c>
      <c r="W9247">
        <v>4.7901239999999998E-2</v>
      </c>
      <c r="X9247">
        <v>0.99861129999999998</v>
      </c>
      <c r="Y9247">
        <v>-9.2616610000000002E-2</v>
      </c>
      <c r="Z9247">
        <v>2.524344E-3</v>
      </c>
      <c r="AA9247">
        <v>0.99569859999999999</v>
      </c>
      <c r="AB9247">
        <v>16</v>
      </c>
      <c r="AC9247">
        <v>24.355129999999999</v>
      </c>
      <c r="AD9247">
        <v>-1.11049087718099</v>
      </c>
      <c r="AE9247">
        <v>2.0480999999999701</v>
      </c>
      <c r="AF9247">
        <v>-2.2753587675398301</v>
      </c>
      <c r="AG9247">
        <v>-1.11049087718099</v>
      </c>
      <c r="AH9247">
        <v>24.2843787189124</v>
      </c>
      <c r="AI9247">
        <v>92.606830513702704</v>
      </c>
      <c r="AJ9247">
        <v>95.352780509039107</v>
      </c>
      <c r="AK9247">
        <v>24.416009036549902</v>
      </c>
      <c r="AL9247">
        <v>87.254410507202493</v>
      </c>
      <c r="AM9247">
        <v>91.258110948877004</v>
      </c>
      <c r="AN9247">
        <v>1.0000000176266399</v>
      </c>
    </row>
    <row r="9248" spans="1:40" x14ac:dyDescent="0.25">
      <c r="A9248" t="str">
        <f>"20190312160549165"</f>
        <v>20190312160549165</v>
      </c>
      <c r="B9248" t="str">
        <f>"1552377949154386"</f>
        <v>1552377949154386</v>
      </c>
      <c r="C9248" t="s">
        <v>40</v>
      </c>
      <c r="D9248">
        <v>5.1462029999999999</v>
      </c>
      <c r="E9248">
        <v>0.49664960000000002</v>
      </c>
      <c r="F9248" t="s">
        <v>41</v>
      </c>
      <c r="G9248">
        <v>-91.375079999999997</v>
      </c>
      <c r="H9248" s="1">
        <v>-3.7304470000000001E-6</v>
      </c>
      <c r="I9248">
        <v>139.34540000000001</v>
      </c>
      <c r="J9248">
        <v>-117.9237</v>
      </c>
      <c r="K9248">
        <v>1.1104849999999999</v>
      </c>
      <c r="L9248">
        <v>138.3313</v>
      </c>
      <c r="M9248">
        <v>0.99987919999999997</v>
      </c>
      <c r="N9248">
        <v>0</v>
      </c>
      <c r="O9248">
        <v>-9.3408350000000005E-3</v>
      </c>
      <c r="P9248">
        <v>0.99930529999999995</v>
      </c>
      <c r="Q9248">
        <v>3.5183480000000003E-2</v>
      </c>
      <c r="R9248">
        <v>1.229743E-2</v>
      </c>
      <c r="S9248">
        <v>3.0051570000000001</v>
      </c>
      <c r="T9248">
        <v>-0.1249601</v>
      </c>
      <c r="U9248">
        <v>0.113967899999999</v>
      </c>
      <c r="V9248">
        <v>-2.163963E-2</v>
      </c>
      <c r="W9248">
        <v>4.759356E-2</v>
      </c>
      <c r="X9248">
        <v>0.99863239999999998</v>
      </c>
      <c r="Y9248">
        <v>-4.7181269999999997E-2</v>
      </c>
      <c r="Z9248">
        <v>1.3683129999999999E-3</v>
      </c>
      <c r="AA9248">
        <v>0.99888540000000003</v>
      </c>
      <c r="AB9248">
        <v>16</v>
      </c>
      <c r="AC9248">
        <v>26.5486199999999</v>
      </c>
      <c r="AD9248">
        <v>-1.1104887304469999</v>
      </c>
      <c r="AE9248">
        <v>1.01410000000001</v>
      </c>
      <c r="AF9248">
        <v>-1.2598601006557399</v>
      </c>
      <c r="AG9248">
        <v>-1.1104887304469999</v>
      </c>
      <c r="AH9248">
        <v>26.491705365511802</v>
      </c>
      <c r="AI9248">
        <v>92.397633009395193</v>
      </c>
      <c r="AJ9248">
        <v>92.722751160489196</v>
      </c>
      <c r="AK9248">
        <v>26.5448843634091</v>
      </c>
      <c r="AL9248">
        <v>87.272059477898395</v>
      </c>
      <c r="AM9248">
        <v>91.241363150543705</v>
      </c>
      <c r="AN9248">
        <v>1.0000000454348801</v>
      </c>
    </row>
    <row r="9249" spans="1:40" x14ac:dyDescent="0.25">
      <c r="A9249" t="str">
        <f>"20190312160549187"</f>
        <v>20190312160549187</v>
      </c>
      <c r="B9249" t="str">
        <f>"1552377949173906"</f>
        <v>1552377949173906</v>
      </c>
      <c r="C9249" t="s">
        <v>40</v>
      </c>
      <c r="D9249">
        <v>5.1015030000000001</v>
      </c>
      <c r="E9249">
        <v>0.50044009999999906</v>
      </c>
      <c r="F9249" t="s">
        <v>41</v>
      </c>
      <c r="G9249">
        <v>-90.627080000000007</v>
      </c>
      <c r="H9249" s="1">
        <v>-4.136924E-6</v>
      </c>
      <c r="I9249">
        <v>138.86279999999999</v>
      </c>
      <c r="J9249">
        <v>-117.7689</v>
      </c>
      <c r="K9249">
        <v>1.1104799999999999</v>
      </c>
      <c r="L9249">
        <v>138.33009999999999</v>
      </c>
      <c r="M9249">
        <v>0.99988089999999996</v>
      </c>
      <c r="N9249">
        <v>0</v>
      </c>
      <c r="O9249">
        <v>-9.1575389999999993E-3</v>
      </c>
      <c r="P9249">
        <v>0.99928810000000001</v>
      </c>
      <c r="Q9249">
        <v>3.5706559999999998E-2</v>
      </c>
      <c r="R9249">
        <v>1.219348E-2</v>
      </c>
      <c r="S9249">
        <v>3.0056759999999998</v>
      </c>
      <c r="T9249">
        <v>-0.12227789999999999</v>
      </c>
      <c r="U9249">
        <v>5.8532710000000002E-2</v>
      </c>
      <c r="V9249">
        <v>-2.1352429999999999E-2</v>
      </c>
      <c r="W9249">
        <v>4.8122709999999999E-2</v>
      </c>
      <c r="X9249">
        <v>0.99861319999999998</v>
      </c>
      <c r="Y9249">
        <v>-2.8594850000000002E-2</v>
      </c>
      <c r="Z9249">
        <v>9.5375060000000005E-4</v>
      </c>
      <c r="AA9249">
        <v>0.9995906</v>
      </c>
      <c r="AB9249">
        <v>16</v>
      </c>
      <c r="AC9249">
        <v>27.141819999999999</v>
      </c>
      <c r="AD9249">
        <v>-1.1104841369239999</v>
      </c>
      <c r="AE9249">
        <v>0.53270000000000495</v>
      </c>
      <c r="AF9249">
        <v>-0.77994401868147301</v>
      </c>
      <c r="AG9249">
        <v>-1.1104841369239999</v>
      </c>
      <c r="AH9249">
        <v>27.0904720558243</v>
      </c>
      <c r="AI9249">
        <v>92.346365317598895</v>
      </c>
      <c r="AJ9249">
        <v>91.649109681616096</v>
      </c>
      <c r="AK9249">
        <v>27.124438499221299</v>
      </c>
      <c r="AL9249">
        <v>87.241706573450898</v>
      </c>
      <c r="AM9249">
        <v>91.224916442478005</v>
      </c>
      <c r="AN9249">
        <v>1.0000000223494401</v>
      </c>
    </row>
    <row r="9250" spans="1:40" x14ac:dyDescent="0.25">
      <c r="A9250" t="str">
        <f>"20190312160549210"</f>
        <v>20190312160549210</v>
      </c>
      <c r="B9250" t="str">
        <f>"1552377949204162"</f>
        <v>1552377949204162</v>
      </c>
      <c r="C9250" t="s">
        <v>40</v>
      </c>
      <c r="D9250">
        <v>5.0491549999999998</v>
      </c>
      <c r="E9250">
        <v>0.50230540000000001</v>
      </c>
      <c r="F9250" t="s">
        <v>41</v>
      </c>
      <c r="G9250">
        <v>-89.642679999999999</v>
      </c>
      <c r="H9250" s="1">
        <v>-3.7961019999999998E-7</v>
      </c>
      <c r="I9250">
        <v>138.5943</v>
      </c>
      <c r="J9250">
        <v>-117.6112</v>
      </c>
      <c r="K9250">
        <v>1.110484</v>
      </c>
      <c r="L9250">
        <v>138.3288</v>
      </c>
      <c r="M9250">
        <v>0.99988250000000001</v>
      </c>
      <c r="N9250">
        <v>0</v>
      </c>
      <c r="O9250">
        <v>-8.9710220000000004E-3</v>
      </c>
      <c r="P9250">
        <v>0.99927310000000003</v>
      </c>
      <c r="Q9250">
        <v>3.6262999999999997E-2</v>
      </c>
      <c r="R9250">
        <v>1.177631E-2</v>
      </c>
      <c r="S9250">
        <v>3.006027</v>
      </c>
      <c r="T9250">
        <v>-0.118684</v>
      </c>
      <c r="U9250">
        <v>2.8244020000000002E-2</v>
      </c>
      <c r="V9250">
        <v>-2.0748539999999999E-2</v>
      </c>
      <c r="W9250">
        <v>4.8684720000000001E-2</v>
      </c>
      <c r="X9250">
        <v>0.99859869999999995</v>
      </c>
      <c r="Y9250">
        <v>-1.834504E-2</v>
      </c>
      <c r="Z9250">
        <v>7.1607619999999904E-4</v>
      </c>
      <c r="AA9250">
        <v>0.99983140000000004</v>
      </c>
      <c r="AB9250">
        <v>16</v>
      </c>
      <c r="AC9250">
        <v>27.968520000000002</v>
      </c>
      <c r="AD9250">
        <v>-1.1104843796102</v>
      </c>
      <c r="AE9250">
        <v>0.26550000000000201</v>
      </c>
      <c r="AF9250">
        <v>-0.51560214986270003</v>
      </c>
      <c r="AG9250">
        <v>-1.1104843796102</v>
      </c>
      <c r="AH9250">
        <v>27.920999695325101</v>
      </c>
      <c r="AI9250">
        <v>92.277200788200403</v>
      </c>
      <c r="AJ9250">
        <v>91.057930234650598</v>
      </c>
      <c r="AK9250">
        <v>27.947830776656801</v>
      </c>
      <c r="AL9250">
        <v>87.209468016202194</v>
      </c>
      <c r="AM9250">
        <v>91.190300712532604</v>
      </c>
      <c r="AN9250">
        <v>1.00000003375764</v>
      </c>
    </row>
    <row r="9251" spans="1:40" x14ac:dyDescent="0.25">
      <c r="A9251" t="str">
        <f>"20190312160549231"</f>
        <v>20190312160549231</v>
      </c>
      <c r="B9251" t="str">
        <f>"1552377949224658"</f>
        <v>1552377949224658</v>
      </c>
      <c r="C9251" t="s">
        <v>40</v>
      </c>
      <c r="D9251">
        <v>5.0274660000000004</v>
      </c>
      <c r="E9251">
        <v>0.50285429999999998</v>
      </c>
      <c r="F9251" t="s">
        <v>41</v>
      </c>
      <c r="G9251">
        <v>-90.549899999999994</v>
      </c>
      <c r="H9251" s="1">
        <v>-4.245906E-6</v>
      </c>
      <c r="I9251">
        <v>138.43510000000001</v>
      </c>
      <c r="J9251">
        <v>-117.461</v>
      </c>
      <c r="K9251">
        <v>1.1104769999999999</v>
      </c>
      <c r="L9251">
        <v>138.32769999999999</v>
      </c>
      <c r="M9251">
        <v>0.99988390000000005</v>
      </c>
      <c r="N9251">
        <v>0</v>
      </c>
      <c r="O9251">
        <v>-8.7932129999999994E-3</v>
      </c>
      <c r="P9251">
        <v>0.99927049999999995</v>
      </c>
      <c r="Q9251">
        <v>3.645901E-2</v>
      </c>
      <c r="R9251">
        <v>1.1365689999999999E-2</v>
      </c>
      <c r="S9251">
        <v>3.0065309999999998</v>
      </c>
      <c r="T9251">
        <v>-0.123376</v>
      </c>
      <c r="U9251">
        <v>1.1810299999999999E-2</v>
      </c>
      <c r="V9251">
        <v>-2.0160270000000001E-2</v>
      </c>
      <c r="W9251">
        <v>4.8888099999999997E-2</v>
      </c>
      <c r="X9251">
        <v>0.99860079999999996</v>
      </c>
      <c r="Y9251">
        <v>-1.270377E-2</v>
      </c>
      <c r="Z9251">
        <v>6.212562E-4</v>
      </c>
      <c r="AA9251">
        <v>0.99991909999999895</v>
      </c>
      <c r="AB9251">
        <v>16</v>
      </c>
      <c r="AC9251">
        <v>26.911100000000001</v>
      </c>
      <c r="AD9251">
        <v>-1.1104812459059901</v>
      </c>
      <c r="AE9251">
        <v>0.107400000000012</v>
      </c>
      <c r="AF9251">
        <v>-0.34346437069054297</v>
      </c>
      <c r="AG9251">
        <v>-1.1104812459059901</v>
      </c>
      <c r="AH9251">
        <v>26.863373170333698</v>
      </c>
      <c r="AI9251">
        <v>92.3669586158329</v>
      </c>
      <c r="AJ9251">
        <v>90.732521061733806</v>
      </c>
      <c r="AK9251">
        <v>26.888509710656098</v>
      </c>
      <c r="AL9251">
        <v>87.197801270836806</v>
      </c>
      <c r="AM9251">
        <v>91.1565597513911</v>
      </c>
      <c r="AN9251">
        <v>1.00000002028436</v>
      </c>
    </row>
    <row r="9252" spans="1:40" x14ac:dyDescent="0.25">
      <c r="A9252" t="str">
        <f>"20190312160549253"</f>
        <v>20190312160549253</v>
      </c>
      <c r="B9252" t="str">
        <f>"1552377949244179"</f>
        <v>1552377949244179</v>
      </c>
      <c r="C9252" t="s">
        <v>40</v>
      </c>
      <c r="D9252">
        <v>5.0861419999999997</v>
      </c>
      <c r="E9252">
        <v>0.50379819999999997</v>
      </c>
      <c r="F9252" t="s">
        <v>41</v>
      </c>
      <c r="G9252">
        <v>-90.578320000000005</v>
      </c>
      <c r="H9252" s="1">
        <v>-4.242919E-6</v>
      </c>
      <c r="I9252">
        <v>138.38319999999999</v>
      </c>
      <c r="J9252">
        <v>-117.3047</v>
      </c>
      <c r="K9252">
        <v>1.1104689999999999</v>
      </c>
      <c r="L9252">
        <v>138.32660000000001</v>
      </c>
      <c r="M9252">
        <v>0.99988540000000004</v>
      </c>
      <c r="N9252">
        <v>0</v>
      </c>
      <c r="O9252">
        <v>-8.6083800000000005E-3</v>
      </c>
      <c r="P9252">
        <v>0.99929449999999997</v>
      </c>
      <c r="Q9252">
        <v>3.5823349999999997E-2</v>
      </c>
      <c r="R9252">
        <v>1.128006E-2</v>
      </c>
      <c r="S9252">
        <v>3.006653</v>
      </c>
      <c r="T9252">
        <v>-0.12420009999999999</v>
      </c>
      <c r="U9252">
        <v>6.2103269999999999E-3</v>
      </c>
      <c r="V9252">
        <v>-1.988993E-2</v>
      </c>
      <c r="W9252">
        <v>4.8261310000000002E-2</v>
      </c>
      <c r="X9252">
        <v>0.99863670000000004</v>
      </c>
      <c r="Y9252">
        <v>-1.0658050000000001E-2</v>
      </c>
      <c r="Z9252">
        <v>5.7551130000000001E-4</v>
      </c>
      <c r="AA9252">
        <v>0.99994300000000003</v>
      </c>
      <c r="AB9252">
        <v>16</v>
      </c>
      <c r="AC9252">
        <v>26.726379999999999</v>
      </c>
      <c r="AD9252">
        <v>-1.1104732429189901</v>
      </c>
      <c r="AE9252">
        <v>5.6599999999974601E-2</v>
      </c>
      <c r="AF9252">
        <v>-0.286192505366056</v>
      </c>
      <c r="AG9252">
        <v>-1.1104732429189901</v>
      </c>
      <c r="AH9252">
        <v>26.678844720557901</v>
      </c>
      <c r="AI9252">
        <v>92.383351687173899</v>
      </c>
      <c r="AJ9252">
        <v>90.614606588601802</v>
      </c>
      <c r="AK9252">
        <v>26.703479409938499</v>
      </c>
      <c r="AL9252">
        <v>87.233756109399806</v>
      </c>
      <c r="AM9252">
        <v>91.141013933384897</v>
      </c>
      <c r="AN9252">
        <v>1.0000000109725999</v>
      </c>
    </row>
    <row r="9253" spans="1:40" x14ac:dyDescent="0.25">
      <c r="A9253" t="str">
        <f>"20190312160549276"</f>
        <v>20190312160549276</v>
      </c>
      <c r="B9253" t="str">
        <f>"1552377949264674"</f>
        <v>1552377949264674</v>
      </c>
      <c r="C9253" t="s">
        <v>40</v>
      </c>
      <c r="D9253">
        <v>5.0416150000000002</v>
      </c>
      <c r="E9253">
        <v>0.50441210000000003</v>
      </c>
      <c r="F9253" t="s">
        <v>41</v>
      </c>
      <c r="G9253">
        <v>-91.09796</v>
      </c>
      <c r="H9253" s="1">
        <v>-4.0325020000000004E-6</v>
      </c>
      <c r="I9253">
        <v>138.31270000000001</v>
      </c>
      <c r="J9253">
        <v>-117.15219999999999</v>
      </c>
      <c r="K9253">
        <v>1.110471</v>
      </c>
      <c r="L9253">
        <v>138.32550000000001</v>
      </c>
      <c r="M9253">
        <v>0.99988679999999996</v>
      </c>
      <c r="N9253">
        <v>0</v>
      </c>
      <c r="O9253">
        <v>-8.4280759999999996E-3</v>
      </c>
      <c r="P9253">
        <v>0.99932719999999997</v>
      </c>
      <c r="Q9253">
        <v>3.4979049999999998E-2</v>
      </c>
      <c r="R9253">
        <v>1.102846E-2</v>
      </c>
      <c r="S9253">
        <v>3.0066989999999998</v>
      </c>
      <c r="T9253">
        <v>-0.12740460000000001</v>
      </c>
      <c r="U9253">
        <v>-1.586914E-3</v>
      </c>
      <c r="V9253">
        <v>-1.9458329999999999E-2</v>
      </c>
      <c r="W9253">
        <v>4.74259E-2</v>
      </c>
      <c r="X9253">
        <v>0.99868520000000005</v>
      </c>
      <c r="Y9253">
        <v>-7.8863159999999904E-3</v>
      </c>
      <c r="Z9253">
        <v>5.240027E-4</v>
      </c>
      <c r="AA9253">
        <v>0.99996879999999999</v>
      </c>
      <c r="AB9253">
        <v>15</v>
      </c>
      <c r="AC9253">
        <v>26.05424</v>
      </c>
      <c r="AD9253">
        <v>-1.1104750325020001</v>
      </c>
      <c r="AE9253">
        <v>-1.27999999999985E-2</v>
      </c>
      <c r="AF9253">
        <v>-0.20642962722560901</v>
      </c>
      <c r="AG9253">
        <v>-1.1104750325020001</v>
      </c>
      <c r="AH9253">
        <v>26.006179405250201</v>
      </c>
      <c r="AI9253">
        <v>92.444992135823696</v>
      </c>
      <c r="AJ9253">
        <v>90.454787988049802</v>
      </c>
      <c r="AK9253">
        <v>26.030696019255199</v>
      </c>
      <c r="AL9253">
        <v>87.281676385057295</v>
      </c>
      <c r="AM9253">
        <v>91.1162067276004</v>
      </c>
      <c r="AN9253">
        <v>0.99999998564811898</v>
      </c>
    </row>
    <row r="9254" spans="1:40" x14ac:dyDescent="0.25">
      <c r="A9254" t="str">
        <f>"20190312160549298"</f>
        <v>20190312160549298</v>
      </c>
      <c r="B9254" t="str">
        <f>"1552377949294953"</f>
        <v>1552377949294953</v>
      </c>
      <c r="C9254" t="s">
        <v>40</v>
      </c>
      <c r="D9254">
        <v>4.3880420000000004</v>
      </c>
      <c r="E9254">
        <v>0.52344860000000004</v>
      </c>
      <c r="F9254" t="s">
        <v>41</v>
      </c>
      <c r="G9254">
        <v>-90.93544</v>
      </c>
      <c r="H9254" s="1">
        <v>-4.1109389999999999E-6</v>
      </c>
      <c r="I9254">
        <v>138.26349999999999</v>
      </c>
      <c r="J9254">
        <v>-116.996</v>
      </c>
      <c r="K9254">
        <v>1.1104689999999999</v>
      </c>
      <c r="L9254">
        <v>138.3244</v>
      </c>
      <c r="M9254">
        <v>0.9998882</v>
      </c>
      <c r="N9254">
        <v>0</v>
      </c>
      <c r="O9254">
        <v>-8.2434829999999994E-3</v>
      </c>
      <c r="P9254">
        <v>0.99932500000000002</v>
      </c>
      <c r="Q9254">
        <v>3.5018250000000001E-2</v>
      </c>
      <c r="R9254">
        <v>1.1095320000000001E-2</v>
      </c>
      <c r="S9254">
        <v>3.0065460000000002</v>
      </c>
      <c r="T9254">
        <v>-0.12734970000000001</v>
      </c>
      <c r="U9254">
        <v>-7.0953369999999898E-3</v>
      </c>
      <c r="V9254">
        <v>-1.9340670000000001E-2</v>
      </c>
      <c r="W9254">
        <v>4.7473050000000003E-2</v>
      </c>
      <c r="X9254">
        <v>0.99868520000000005</v>
      </c>
      <c r="Y9254">
        <v>-5.8715690000000001E-3</v>
      </c>
      <c r="Z9254">
        <v>4.7333599999999998E-4</v>
      </c>
      <c r="AA9254">
        <v>0.9999827</v>
      </c>
      <c r="AB9254">
        <v>15</v>
      </c>
      <c r="AC9254">
        <v>26.060559999999999</v>
      </c>
      <c r="AD9254">
        <v>-1.110473110939</v>
      </c>
      <c r="AE9254">
        <v>-6.0900000000003701E-2</v>
      </c>
      <c r="AF9254">
        <v>-0.15366955293343501</v>
      </c>
      <c r="AG9254">
        <v>-1.110473110939</v>
      </c>
      <c r="AH9254">
        <v>26.012944505270099</v>
      </c>
      <c r="AI9254">
        <v>92.444387133432002</v>
      </c>
      <c r="AJ9254">
        <v>90.338466658507599</v>
      </c>
      <c r="AK9254">
        <v>26.037089827703099</v>
      </c>
      <c r="AL9254">
        <v>87.278971719362104</v>
      </c>
      <c r="AM9254">
        <v>91.109458977044</v>
      </c>
      <c r="AN9254">
        <v>0.99999994034569395</v>
      </c>
    </row>
    <row r="9255" spans="1:40" x14ac:dyDescent="0.25">
      <c r="A9255" t="str">
        <f>"20190312160549365"</f>
        <v>20190312160549365</v>
      </c>
      <c r="B9255" t="str">
        <f>"1552377949354490"</f>
        <v>1552377949354490</v>
      </c>
      <c r="C9255" t="s">
        <v>40</v>
      </c>
      <c r="D9255">
        <v>4.8835119999999996</v>
      </c>
      <c r="E9255">
        <v>0.51968249999999905</v>
      </c>
      <c r="F9255" t="s">
        <v>49</v>
      </c>
      <c r="G9255">
        <v>-116.2775</v>
      </c>
      <c r="H9255">
        <v>0.89398159999999904</v>
      </c>
      <c r="I9255">
        <v>138.28270000000001</v>
      </c>
      <c r="J9255">
        <v>-116.5354</v>
      </c>
      <c r="K9255">
        <v>1.110466</v>
      </c>
      <c r="L9255">
        <v>138.32130000000001</v>
      </c>
      <c r="M9255">
        <v>0.99989240000000001</v>
      </c>
      <c r="N9255">
        <v>0</v>
      </c>
      <c r="O9255">
        <v>-7.6985109999999999E-3</v>
      </c>
      <c r="P9255">
        <v>0.99935050000000003</v>
      </c>
      <c r="Q9255">
        <v>3.4646379999999997E-2</v>
      </c>
      <c r="R9255">
        <v>9.9309250000000002E-3</v>
      </c>
      <c r="S9255">
        <v>3.0360260000000001</v>
      </c>
      <c r="T9255">
        <v>-0.9147267</v>
      </c>
      <c r="U9255">
        <v>-0.1755524</v>
      </c>
      <c r="V9255">
        <v>-1.7631810000000001E-2</v>
      </c>
      <c r="W9255">
        <v>4.7125350000000003E-2</v>
      </c>
      <c r="X9255">
        <v>0.99873330000000005</v>
      </c>
      <c r="Y9255">
        <v>4.824444E-2</v>
      </c>
      <c r="Z9255">
        <v>-4.8370189999999997E-3</v>
      </c>
      <c r="AA9255">
        <v>0.99882380000000004</v>
      </c>
      <c r="AB9255">
        <v>15</v>
      </c>
      <c r="AC9255">
        <v>0.25789999999999202</v>
      </c>
      <c r="AD9255">
        <v>-0.21648439999999999</v>
      </c>
      <c r="AE9255">
        <v>-3.8600000000002403E-2</v>
      </c>
      <c r="AF9255">
        <v>2.16752362776217E-2</v>
      </c>
      <c r="AG9255">
        <v>-0.21648439999999999</v>
      </c>
      <c r="AH9255">
        <v>0.152849543174396</v>
      </c>
      <c r="AI9255">
        <v>144.506678795494</v>
      </c>
      <c r="AJ9255">
        <v>81.928834520365399</v>
      </c>
      <c r="AK9255">
        <v>0.26589150825039898</v>
      </c>
      <c r="AL9255">
        <v>87.298915789547607</v>
      </c>
      <c r="AM9255">
        <v>91.011404511339705</v>
      </c>
      <c r="AN9255">
        <v>0.99999994193269204</v>
      </c>
    </row>
    <row r="9256" spans="1:40" x14ac:dyDescent="0.25">
      <c r="A9256" t="str">
        <f>"20190312160549389"</f>
        <v>20190312160549389</v>
      </c>
      <c r="B9256" t="str">
        <f>"1552377949384746"</f>
        <v>1552377949384746</v>
      </c>
      <c r="C9256" t="s">
        <v>40</v>
      </c>
      <c r="D9256">
        <v>5.0147170000000001</v>
      </c>
      <c r="E9256">
        <v>0.51706960000000002</v>
      </c>
      <c r="F9256" t="s">
        <v>49</v>
      </c>
      <c r="G9256">
        <v>-115.8596</v>
      </c>
      <c r="H9256">
        <v>0.90302789999999999</v>
      </c>
      <c r="I9256">
        <v>138.28819999999999</v>
      </c>
      <c r="J9256">
        <v>-116.3767</v>
      </c>
      <c r="K9256">
        <v>1.110465</v>
      </c>
      <c r="L9256">
        <v>138.3203</v>
      </c>
      <c r="M9256">
        <v>0.99989380000000005</v>
      </c>
      <c r="N9256">
        <v>0</v>
      </c>
      <c r="O9256">
        <v>-7.511045E-3</v>
      </c>
      <c r="P9256">
        <v>0.99935189999999996</v>
      </c>
      <c r="Q9256">
        <v>3.4706720000000003E-2</v>
      </c>
      <c r="R9256">
        <v>9.5819540000000002E-3</v>
      </c>
      <c r="S9256">
        <v>3.035736</v>
      </c>
      <c r="T9256">
        <v>-0.93181610000000004</v>
      </c>
      <c r="U9256">
        <v>-0.1483612</v>
      </c>
      <c r="V9256">
        <v>-1.7095519999999999E-2</v>
      </c>
      <c r="W9256">
        <v>4.719251E-2</v>
      </c>
      <c r="X9256">
        <v>0.9987395</v>
      </c>
      <c r="Y9256">
        <v>3.982488E-2</v>
      </c>
      <c r="Z9256">
        <v>-3.7187919999999998E-3</v>
      </c>
      <c r="AA9256">
        <v>0.99919970000000002</v>
      </c>
      <c r="AB9256">
        <v>15</v>
      </c>
      <c r="AC9256">
        <v>0.517099999999999</v>
      </c>
      <c r="AD9256">
        <v>-0.20743710000000001</v>
      </c>
      <c r="AE9256">
        <v>-3.2100000000013999E-2</v>
      </c>
      <c r="AF9256">
        <v>2.43166865366784E-2</v>
      </c>
      <c r="AG9256">
        <v>-0.20743710000000001</v>
      </c>
      <c r="AH9256">
        <v>0.44585301936603899</v>
      </c>
      <c r="AI9256">
        <v>114.918096462082</v>
      </c>
      <c r="AJ9256">
        <v>86.878198704641704</v>
      </c>
      <c r="AK9256">
        <v>0.49234781057535598</v>
      </c>
      <c r="AL9256">
        <v>87.295063647037495</v>
      </c>
      <c r="AM9256">
        <v>90.980641597155994</v>
      </c>
      <c r="AN9256">
        <v>0.99999998933221002</v>
      </c>
    </row>
    <row r="9257" spans="1:40" x14ac:dyDescent="0.25">
      <c r="A9257" t="str">
        <f>"20190312160549411"</f>
        <v>20190312160549411</v>
      </c>
      <c r="B9257" t="str">
        <f>"1552377949404265"</f>
        <v>1552377949404265</v>
      </c>
      <c r="C9257" t="s">
        <v>40</v>
      </c>
      <c r="D9257">
        <v>4.8788729999999996</v>
      </c>
      <c r="E9257">
        <v>0.51659769999999905</v>
      </c>
      <c r="F9257" t="s">
        <v>49</v>
      </c>
      <c r="G9257">
        <v>-115.5742</v>
      </c>
      <c r="H9257">
        <v>0.92639579999999999</v>
      </c>
      <c r="I9257">
        <v>138.28739999999999</v>
      </c>
      <c r="J9257">
        <v>-116.22629999999999</v>
      </c>
      <c r="K9257">
        <v>1.1104639999999999</v>
      </c>
      <c r="L9257">
        <v>138.3194</v>
      </c>
      <c r="M9257">
        <v>0.99989499999999998</v>
      </c>
      <c r="N9257">
        <v>0</v>
      </c>
      <c r="O9257">
        <v>-7.3327549999999998E-3</v>
      </c>
      <c r="P9257">
        <v>0.9993436</v>
      </c>
      <c r="Q9257">
        <v>3.5020780000000001E-2</v>
      </c>
      <c r="R9257">
        <v>9.2774850000000002E-3</v>
      </c>
      <c r="S9257">
        <v>3.027237</v>
      </c>
      <c r="T9257">
        <v>-0.69435780000000002</v>
      </c>
      <c r="U9257">
        <v>-0.12414550000000001</v>
      </c>
      <c r="V9257">
        <v>-1.6612829999999999E-2</v>
      </c>
      <c r="W9257">
        <v>4.7512110000000003E-2</v>
      </c>
      <c r="X9257">
        <v>0.99873250000000002</v>
      </c>
      <c r="Y9257">
        <v>3.2981910000000003E-2</v>
      </c>
      <c r="Z9257">
        <v>-2.0727969999999999E-3</v>
      </c>
      <c r="AA9257">
        <v>0.99945379999999995</v>
      </c>
      <c r="AB9257">
        <v>15</v>
      </c>
      <c r="AC9257">
        <v>0.65209999999999002</v>
      </c>
      <c r="AD9257">
        <v>-0.18406819999999899</v>
      </c>
      <c r="AE9257">
        <v>-3.2000000000010603E-2</v>
      </c>
      <c r="AF9257">
        <v>2.5213022206618901E-2</v>
      </c>
      <c r="AG9257">
        <v>-0.18406819999999899</v>
      </c>
      <c r="AH9257">
        <v>0.60428556147524204</v>
      </c>
      <c r="AI9257">
        <v>106.927095911259</v>
      </c>
      <c r="AJ9257">
        <v>87.610794559997899</v>
      </c>
      <c r="AK9257">
        <v>0.63220078973968297</v>
      </c>
      <c r="AL9257">
        <v>87.276731371289003</v>
      </c>
      <c r="AM9257">
        <v>90.952965154931803</v>
      </c>
      <c r="AN9257">
        <v>0.99999999663675498</v>
      </c>
    </row>
    <row r="9258" spans="1:40" x14ac:dyDescent="0.25">
      <c r="A9258" t="str">
        <f>"20190312160549432"</f>
        <v>20190312160549432</v>
      </c>
      <c r="B9258" t="str">
        <f>"1552377949424761"</f>
        <v>1552377949424761</v>
      </c>
      <c r="C9258" t="s">
        <v>40</v>
      </c>
      <c r="D9258">
        <v>4.9215070000000001</v>
      </c>
      <c r="E9258">
        <v>0.51661590000000002</v>
      </c>
      <c r="F9258" t="s">
        <v>49</v>
      </c>
      <c r="G9258">
        <v>-115.4188</v>
      </c>
      <c r="H9258">
        <v>0.96437499999999998</v>
      </c>
      <c r="I9258">
        <v>138.2877</v>
      </c>
      <c r="J9258">
        <v>-116.0765</v>
      </c>
      <c r="K9258">
        <v>1.110465</v>
      </c>
      <c r="L9258">
        <v>138.3185</v>
      </c>
      <c r="M9258">
        <v>0.99989620000000001</v>
      </c>
      <c r="N9258">
        <v>0</v>
      </c>
      <c r="O9258">
        <v>-7.1556519999999898E-3</v>
      </c>
      <c r="P9258">
        <v>0.99933490000000003</v>
      </c>
      <c r="Q9258">
        <v>3.5248210000000002E-2</v>
      </c>
      <c r="R9258">
        <v>9.3551490000000001E-3</v>
      </c>
      <c r="S9258">
        <v>3.0222169999999999</v>
      </c>
      <c r="T9258">
        <v>-0.54686559999999995</v>
      </c>
      <c r="U9258">
        <v>-0.118270899999999</v>
      </c>
      <c r="V9258">
        <v>-1.6514069999999999E-2</v>
      </c>
      <c r="W9258">
        <v>4.7745019999999999E-2</v>
      </c>
      <c r="X9258">
        <v>0.99872300000000003</v>
      </c>
      <c r="Y9258">
        <v>3.1556529999999999E-2</v>
      </c>
      <c r="Z9258">
        <v>-1.547056E-3</v>
      </c>
      <c r="AA9258">
        <v>0.99950079999999997</v>
      </c>
      <c r="AB9258">
        <v>15</v>
      </c>
      <c r="AC9258">
        <v>0.65769999999999096</v>
      </c>
      <c r="AD9258">
        <v>-0.14609</v>
      </c>
      <c r="AE9258">
        <v>-3.07999999999992E-2</v>
      </c>
      <c r="AF9258">
        <v>2.4868293394200099E-2</v>
      </c>
      <c r="AG9258">
        <v>-0.14609</v>
      </c>
      <c r="AH9258">
        <v>0.62703437795286299</v>
      </c>
      <c r="AI9258">
        <v>103.105180875541</v>
      </c>
      <c r="AJ9258">
        <v>87.728829634304503</v>
      </c>
      <c r="AK9258">
        <v>0.64430802513322305</v>
      </c>
      <c r="AL9258">
        <v>87.263371365574301</v>
      </c>
      <c r="AM9258">
        <v>90.947310009581003</v>
      </c>
      <c r="AN9258">
        <v>0.99999996608588204</v>
      </c>
    </row>
    <row r="9259" spans="1:40" x14ac:dyDescent="0.25">
      <c r="A9259" t="str">
        <f>"20190312160549456"</f>
        <v>20190312160549456</v>
      </c>
      <c r="B9259" t="str">
        <f>"1552377949444281"</f>
        <v>1552377949444281</v>
      </c>
      <c r="C9259" t="s">
        <v>40</v>
      </c>
      <c r="D9259">
        <v>5.480785</v>
      </c>
      <c r="E9259">
        <v>0.51580109999999901</v>
      </c>
      <c r="F9259" t="s">
        <v>49</v>
      </c>
      <c r="G9259">
        <v>-115.27209999999999</v>
      </c>
      <c r="H9259">
        <v>0.98400549999999998</v>
      </c>
      <c r="I9259">
        <v>138.28729999999999</v>
      </c>
      <c r="J9259">
        <v>-115.91759999999999</v>
      </c>
      <c r="K9259">
        <v>1.1104639999999999</v>
      </c>
      <c r="L9259">
        <v>138.3176</v>
      </c>
      <c r="M9259">
        <v>0.99989729999999999</v>
      </c>
      <c r="N9259">
        <v>0</v>
      </c>
      <c r="O9259">
        <v>-6.967226E-3</v>
      </c>
      <c r="P9259">
        <v>0.9993185</v>
      </c>
      <c r="Q9259">
        <v>3.5643660000000001E-2</v>
      </c>
      <c r="R9259">
        <v>9.5972929999999998E-3</v>
      </c>
      <c r="S9259">
        <v>3.0198360000000002</v>
      </c>
      <c r="T9259">
        <v>-0.47480489999999997</v>
      </c>
      <c r="U9259">
        <v>-0.11685180000000001</v>
      </c>
      <c r="V9259">
        <v>-1.6568039999999999E-2</v>
      </c>
      <c r="W9259">
        <v>4.8145100000000003E-2</v>
      </c>
      <c r="X9259">
        <v>0.99870289999999995</v>
      </c>
      <c r="Y9259">
        <v>3.1402600000000003E-2</v>
      </c>
      <c r="Z9259">
        <v>-1.36432E-3</v>
      </c>
      <c r="AA9259">
        <v>0.99950589999999995</v>
      </c>
      <c r="AB9259">
        <v>15</v>
      </c>
      <c r="AC9259">
        <v>0.64549999999999796</v>
      </c>
      <c r="AD9259">
        <v>-0.126458499999999</v>
      </c>
      <c r="AE9259">
        <v>-3.0300000000010999E-2</v>
      </c>
      <c r="AF9259">
        <v>2.4849927078051198E-2</v>
      </c>
      <c r="AG9259">
        <v>-0.126458499999999</v>
      </c>
      <c r="AH9259">
        <v>0.62188024209529502</v>
      </c>
      <c r="AI9259">
        <v>101.485374465666</v>
      </c>
      <c r="AJ9259">
        <v>87.711715605964699</v>
      </c>
      <c r="AK9259">
        <v>0.635093935261972</v>
      </c>
      <c r="AL9259">
        <v>87.240422078145102</v>
      </c>
      <c r="AM9259">
        <v>90.950424492029896</v>
      </c>
      <c r="AN9259">
        <v>0.99999996653593004</v>
      </c>
    </row>
    <row r="9260" spans="1:40" x14ac:dyDescent="0.25">
      <c r="A9260" t="str">
        <f>"20190312160549477"</f>
        <v>20190312160549477</v>
      </c>
      <c r="B9260" t="str">
        <f>"1552377949474538"</f>
        <v>1552377949474538</v>
      </c>
      <c r="C9260" t="s">
        <v>40</v>
      </c>
      <c r="D9260">
        <v>4.9562160000000004</v>
      </c>
      <c r="E9260">
        <v>0.50441879999999994</v>
      </c>
      <c r="F9260" t="s">
        <v>49</v>
      </c>
      <c r="G9260">
        <v>-115.13</v>
      </c>
      <c r="H9260">
        <v>0.99415889999999996</v>
      </c>
      <c r="I9260">
        <v>138.28899999999999</v>
      </c>
      <c r="J9260">
        <v>-115.7653</v>
      </c>
      <c r="K9260">
        <v>1.110465</v>
      </c>
      <c r="L9260">
        <v>138.3167</v>
      </c>
      <c r="M9260">
        <v>0.99989859999999997</v>
      </c>
      <c r="N9260">
        <v>0</v>
      </c>
      <c r="O9260">
        <v>-6.787019E-3</v>
      </c>
      <c r="P9260">
        <v>0.99931440000000005</v>
      </c>
      <c r="Q9260">
        <v>3.5742210000000003E-2</v>
      </c>
      <c r="R9260">
        <v>9.6618150000000007E-3</v>
      </c>
      <c r="S9260">
        <v>3.0189970000000002</v>
      </c>
      <c r="T9260">
        <v>-0.44586710000000002</v>
      </c>
      <c r="U9260">
        <v>-0.10931399999999999</v>
      </c>
      <c r="V9260">
        <v>-1.6451759999999999E-2</v>
      </c>
      <c r="W9260">
        <v>4.824846E-2</v>
      </c>
      <c r="X9260">
        <v>0.99869980000000003</v>
      </c>
      <c r="Y9260">
        <v>2.9158719999999999E-2</v>
      </c>
      <c r="Z9260">
        <v>-1.1442100000000001E-3</v>
      </c>
      <c r="AA9260">
        <v>0.99957410000000002</v>
      </c>
      <c r="AB9260">
        <v>15</v>
      </c>
      <c r="AC9260">
        <v>0.63529999999999998</v>
      </c>
      <c r="AD9260">
        <v>-0.1163061</v>
      </c>
      <c r="AE9260">
        <v>-2.7700000000010001E-2</v>
      </c>
      <c r="AF9260">
        <v>2.2630204618243902E-2</v>
      </c>
      <c r="AG9260">
        <v>-0.1163061</v>
      </c>
      <c r="AH9260">
        <v>0.61490360895756202</v>
      </c>
      <c r="AI9260">
        <v>100.703614037764</v>
      </c>
      <c r="AJ9260">
        <v>87.892303329308902</v>
      </c>
      <c r="AK9260">
        <v>0.62621536500417097</v>
      </c>
      <c r="AL9260">
        <v>87.2344930014158</v>
      </c>
      <c r="AM9260">
        <v>90.9437582373438</v>
      </c>
      <c r="AN9260">
        <v>0.99999993240975205</v>
      </c>
    </row>
    <row r="9261" spans="1:40" x14ac:dyDescent="0.25">
      <c r="A9261" t="str">
        <f>"20190312160549499"</f>
        <v>20190312160549499</v>
      </c>
      <c r="B9261" t="str">
        <f>"1552377949494057"</f>
        <v>1552377949494057</v>
      </c>
      <c r="C9261" t="s">
        <v>40</v>
      </c>
      <c r="D9261">
        <v>4.960026</v>
      </c>
      <c r="E9261">
        <v>0.50545119999999999</v>
      </c>
      <c r="F9261" t="s">
        <v>41</v>
      </c>
      <c r="G9261">
        <v>-66.534279999999995</v>
      </c>
      <c r="H9261" s="1">
        <v>-1.7287789999999999E-6</v>
      </c>
      <c r="I9261">
        <v>138.1525</v>
      </c>
      <c r="J9261">
        <v>-115.61360000000001</v>
      </c>
      <c r="K9261">
        <v>1.110468</v>
      </c>
      <c r="L9261">
        <v>138.3159</v>
      </c>
      <c r="M9261">
        <v>0.99989989999999995</v>
      </c>
      <c r="N9261">
        <v>0</v>
      </c>
      <c r="O9261">
        <v>-6.6076449999999997E-3</v>
      </c>
      <c r="P9261">
        <v>0.99932770000000004</v>
      </c>
      <c r="Q9261">
        <v>3.5286890000000001E-2</v>
      </c>
      <c r="R9261">
        <v>9.9758380000000008E-3</v>
      </c>
      <c r="S9261">
        <v>3.0045929999999998</v>
      </c>
      <c r="T9261">
        <v>-6.7772269999999996E-2</v>
      </c>
      <c r="U9261">
        <v>-1.0025020000000001E-2</v>
      </c>
      <c r="V9261">
        <v>-1.658689E-2</v>
      </c>
      <c r="W9261">
        <v>4.7797890000000003E-2</v>
      </c>
      <c r="X9261">
        <v>0.99871929999999998</v>
      </c>
      <c r="Y9261">
        <v>-3.269138E-3</v>
      </c>
      <c r="Z9261">
        <v>1.8589950000000001E-4</v>
      </c>
      <c r="AA9261">
        <v>0.99999459999999996</v>
      </c>
      <c r="AB9261">
        <v>15</v>
      </c>
      <c r="AC9261">
        <v>49.079320000000003</v>
      </c>
      <c r="AD9261">
        <v>-1.110469728779</v>
      </c>
      <c r="AE9261">
        <v>-0.16339999999999499</v>
      </c>
      <c r="AF9261">
        <v>-0.16084533342156901</v>
      </c>
      <c r="AG9261">
        <v>-1.110469728779</v>
      </c>
      <c r="AH9261">
        <v>49.054215787485198</v>
      </c>
      <c r="AI9261">
        <v>91.296810492680294</v>
      </c>
      <c r="AJ9261">
        <v>90.187868169622504</v>
      </c>
      <c r="AK9261">
        <v>49.067046994545997</v>
      </c>
      <c r="AL9261">
        <v>87.260338772808296</v>
      </c>
      <c r="AM9261">
        <v>90.951490000483702</v>
      </c>
      <c r="AN9261">
        <v>1.0000000017004</v>
      </c>
    </row>
    <row r="9262" spans="1:40" x14ac:dyDescent="0.25">
      <c r="A9262" t="str">
        <f>"20190312160549522"</f>
        <v>20190312160549522</v>
      </c>
      <c r="B9262" t="str">
        <f>"1552377949514555"</f>
        <v>1552377949514555</v>
      </c>
      <c r="C9262" t="s">
        <v>40</v>
      </c>
      <c r="D9262">
        <v>4.9539080000000002</v>
      </c>
      <c r="E9262">
        <v>0.50594629999999996</v>
      </c>
      <c r="F9262" t="s">
        <v>41</v>
      </c>
      <c r="G9262">
        <v>-85.31756</v>
      </c>
      <c r="H9262" s="1">
        <v>-2.2540700000000002E-6</v>
      </c>
      <c r="I9262">
        <v>138.1337</v>
      </c>
      <c r="J9262">
        <v>-115.4584</v>
      </c>
      <c r="K9262">
        <v>1.110466</v>
      </c>
      <c r="L9262">
        <v>138.3151</v>
      </c>
      <c r="M9262">
        <v>0.99990109999999999</v>
      </c>
      <c r="N9262">
        <v>0</v>
      </c>
      <c r="O9262">
        <v>-6.423621E-3</v>
      </c>
      <c r="P9262">
        <v>0.99931630000000005</v>
      </c>
      <c r="Q9262">
        <v>3.5531350000000003E-2</v>
      </c>
      <c r="R9262">
        <v>1.0254279999999999E-2</v>
      </c>
      <c r="S9262">
        <v>3.0060730000000002</v>
      </c>
      <c r="T9262">
        <v>-0.1101843</v>
      </c>
      <c r="U9262">
        <v>-1.8081670000000001E-2</v>
      </c>
      <c r="V9262">
        <v>-1.668099E-2</v>
      </c>
      <c r="W9262">
        <v>4.8045560000000001E-2</v>
      </c>
      <c r="X9262">
        <v>0.99870590000000004</v>
      </c>
      <c r="Y9262">
        <v>-4.0461050000000003E-4</v>
      </c>
      <c r="Z9262">
        <v>2.4279839999999999E-4</v>
      </c>
      <c r="AA9262">
        <v>0.99999990000000005</v>
      </c>
      <c r="AB9262">
        <v>15</v>
      </c>
      <c r="AC9262">
        <v>30.140840000000001</v>
      </c>
      <c r="AD9262">
        <v>-1.1104682540699999</v>
      </c>
      <c r="AE9262">
        <v>-0.18139999999999601</v>
      </c>
      <c r="AF9262">
        <v>-1.22156499342909E-2</v>
      </c>
      <c r="AG9262">
        <v>-1.1104682540699999</v>
      </c>
      <c r="AH9262">
        <v>30.100526995756798</v>
      </c>
      <c r="AI9262">
        <v>92.1127968145788</v>
      </c>
      <c r="AJ9262">
        <v>90.023252255580701</v>
      </c>
      <c r="AK9262">
        <v>30.121006198128299</v>
      </c>
      <c r="AL9262">
        <v>87.246132146168094</v>
      </c>
      <c r="AM9262">
        <v>90.956899786532006</v>
      </c>
      <c r="AN9262">
        <v>1.0000000529789499</v>
      </c>
    </row>
    <row r="9263" spans="1:40" x14ac:dyDescent="0.25">
      <c r="A9263" t="str">
        <f>"20190312160549543"</f>
        <v>20190312160549543</v>
      </c>
      <c r="B9263" t="str">
        <f>"1552377949535049"</f>
        <v>1552377949535049</v>
      </c>
      <c r="C9263" t="s">
        <v>40</v>
      </c>
      <c r="D9263">
        <v>4.9240659999999998</v>
      </c>
      <c r="E9263">
        <v>0.50578909999999999</v>
      </c>
      <c r="F9263" t="s">
        <v>41</v>
      </c>
      <c r="G9263">
        <v>-89.517080000000007</v>
      </c>
      <c r="H9263" s="1">
        <v>-5.465498E-7</v>
      </c>
      <c r="I9263">
        <v>138.1275</v>
      </c>
      <c r="J9263">
        <v>-115.3103</v>
      </c>
      <c r="K9263">
        <v>1.1104639999999999</v>
      </c>
      <c r="L9263">
        <v>138.31440000000001</v>
      </c>
      <c r="M9263">
        <v>0.99990199999999996</v>
      </c>
      <c r="N9263">
        <v>0</v>
      </c>
      <c r="O9263">
        <v>-6.2485319999999898E-3</v>
      </c>
      <c r="P9263">
        <v>0.99930189999999997</v>
      </c>
      <c r="Q9263">
        <v>3.5822380000000001E-2</v>
      </c>
      <c r="R9263">
        <v>1.059468E-2</v>
      </c>
      <c r="S9263">
        <v>3.0068510000000002</v>
      </c>
      <c r="T9263">
        <v>-0.12871389999999999</v>
      </c>
      <c r="U9263">
        <v>-2.1743769999999999E-2</v>
      </c>
      <c r="V9263">
        <v>-1.6846469999999999E-2</v>
      </c>
      <c r="W9263">
        <v>4.8339899999999998E-2</v>
      </c>
      <c r="X9263">
        <v>0.99868889999999999</v>
      </c>
      <c r="Y9263">
        <v>9.8703909999999992E-4</v>
      </c>
      <c r="Z9263">
        <v>2.4625640000000001E-4</v>
      </c>
      <c r="AA9263">
        <v>0.99999950000000004</v>
      </c>
      <c r="AB9263">
        <v>15</v>
      </c>
      <c r="AC9263">
        <v>25.793219999999899</v>
      </c>
      <c r="AD9263">
        <v>-1.1104645465498</v>
      </c>
      <c r="AE9263">
        <v>-0.186900000000008</v>
      </c>
      <c r="AF9263">
        <v>2.5666370437350001E-2</v>
      </c>
      <c r="AG9263">
        <v>-1.1104645465498</v>
      </c>
      <c r="AH9263">
        <v>25.746165684426899</v>
      </c>
      <c r="AI9263">
        <v>92.469707182062194</v>
      </c>
      <c r="AJ9263">
        <v>89.942881816564494</v>
      </c>
      <c r="AK9263">
        <v>25.7701152058285</v>
      </c>
      <c r="AL9263">
        <v>87.229248036940007</v>
      </c>
      <c r="AM9263">
        <v>90.966407150771403</v>
      </c>
      <c r="AN9263">
        <v>1.0000000342333299</v>
      </c>
    </row>
    <row r="9264" spans="1:40" x14ac:dyDescent="0.25">
      <c r="A9264" t="str">
        <f>"20190312160549566"</f>
        <v>20190312160549566</v>
      </c>
      <c r="B9264" t="str">
        <f>"1552377949554569"</f>
        <v>1552377949554569</v>
      </c>
      <c r="C9264" t="s">
        <v>40</v>
      </c>
      <c r="D9264">
        <v>4.9336919999999997</v>
      </c>
      <c r="E9264">
        <v>0.50643400000000005</v>
      </c>
      <c r="F9264" t="s">
        <v>41</v>
      </c>
      <c r="G9264">
        <v>-92.6678</v>
      </c>
      <c r="H9264" s="1">
        <v>-3.385378E-6</v>
      </c>
      <c r="I9264">
        <v>138.16419999999999</v>
      </c>
      <c r="J9264">
        <v>-115.1598</v>
      </c>
      <c r="K9264">
        <v>1.1104639999999999</v>
      </c>
      <c r="L9264">
        <v>138.31370000000001</v>
      </c>
      <c r="M9264">
        <v>0.99990299999999999</v>
      </c>
      <c r="N9264">
        <v>0</v>
      </c>
      <c r="O9264">
        <v>-6.0702250000000003E-3</v>
      </c>
      <c r="P9264">
        <v>0.99929480000000004</v>
      </c>
      <c r="Q9264">
        <v>3.6115800000000003E-2</v>
      </c>
      <c r="R9264">
        <v>1.028688E-2</v>
      </c>
      <c r="S9264">
        <v>3.007584</v>
      </c>
      <c r="T9264">
        <v>-0.14750260000000001</v>
      </c>
      <c r="U9264">
        <v>-1.9943240000000001E-2</v>
      </c>
      <c r="V9264">
        <v>-1.63605E-2</v>
      </c>
      <c r="W9264">
        <v>4.8636619999999998E-2</v>
      </c>
      <c r="X9264">
        <v>0.99868259999999998</v>
      </c>
      <c r="Y9264">
        <v>5.6676209999999999E-4</v>
      </c>
      <c r="Z9264">
        <v>2.8365429999999999E-4</v>
      </c>
      <c r="AA9264">
        <v>0.99999979999999999</v>
      </c>
      <c r="AB9264">
        <v>15</v>
      </c>
      <c r="AC9264">
        <v>22.492000000000001</v>
      </c>
      <c r="AD9264">
        <v>-1.1104673853779901</v>
      </c>
      <c r="AE9264">
        <v>-0.14950000000001701</v>
      </c>
      <c r="AF9264">
        <v>1.2923515271597999E-2</v>
      </c>
      <c r="AG9264">
        <v>-1.1104673853779901</v>
      </c>
      <c r="AH9264">
        <v>22.4378020210454</v>
      </c>
      <c r="AI9264">
        <v>92.833308421396396</v>
      </c>
      <c r="AJ9264">
        <v>89.966999316645996</v>
      </c>
      <c r="AK9264">
        <v>22.465267956711902</v>
      </c>
      <c r="AL9264">
        <v>87.212227288170496</v>
      </c>
      <c r="AM9264">
        <v>90.938540190687903</v>
      </c>
      <c r="AN9264">
        <v>1.0000000611540101</v>
      </c>
    </row>
    <row r="9265" spans="1:40" x14ac:dyDescent="0.25">
      <c r="A9265" t="str">
        <f>"20190312160549589"</f>
        <v>20190312160549589</v>
      </c>
      <c r="B9265" t="str">
        <f>"1552377949584825"</f>
        <v>1552377949584825</v>
      </c>
      <c r="C9265" t="s">
        <v>40</v>
      </c>
      <c r="D9265">
        <v>4.9323959999999998</v>
      </c>
      <c r="E9265">
        <v>0.50719479999999995</v>
      </c>
      <c r="F9265" t="s">
        <v>41</v>
      </c>
      <c r="G9265">
        <v>-94.122510000000005</v>
      </c>
      <c r="H9265" s="1">
        <v>-2.7674220000000001E-6</v>
      </c>
      <c r="I9265">
        <v>138.12979999999999</v>
      </c>
      <c r="J9265">
        <v>-115.00279999999999</v>
      </c>
      <c r="K9265">
        <v>1.110463</v>
      </c>
      <c r="L9265">
        <v>138.31299999999999</v>
      </c>
      <c r="M9265">
        <v>0.99990420000000002</v>
      </c>
      <c r="N9265">
        <v>0</v>
      </c>
      <c r="O9265">
        <v>-5.8847630000000003E-3</v>
      </c>
      <c r="P9265">
        <v>0.99930339999999995</v>
      </c>
      <c r="Q9265">
        <v>3.5927019999999997E-2</v>
      </c>
      <c r="R9265">
        <v>1.0110579999999999E-2</v>
      </c>
      <c r="S9265">
        <v>3.0081329999999999</v>
      </c>
      <c r="T9265">
        <v>-0.15878610000000001</v>
      </c>
      <c r="U9265">
        <v>-2.6290890000000001E-2</v>
      </c>
      <c r="V9265">
        <v>-1.5998720000000001E-2</v>
      </c>
      <c r="W9265">
        <v>4.8451340000000002E-2</v>
      </c>
      <c r="X9265">
        <v>0.99869739999999996</v>
      </c>
      <c r="Y9265">
        <v>2.8586649999999998E-3</v>
      </c>
      <c r="Z9265">
        <v>2.3503550000000001E-4</v>
      </c>
      <c r="AA9265">
        <v>0.99999590000000005</v>
      </c>
      <c r="AB9265">
        <v>15</v>
      </c>
      <c r="AC9265">
        <v>20.880289999999999</v>
      </c>
      <c r="AD9265">
        <v>-1.110465767422</v>
      </c>
      <c r="AE9265">
        <v>-0.183199999999999</v>
      </c>
      <c r="AF9265">
        <v>6.0141535031266999E-2</v>
      </c>
      <c r="AG9265">
        <v>-1.110465767422</v>
      </c>
      <c r="AH9265">
        <v>20.822118299174701</v>
      </c>
      <c r="AI9265">
        <v>93.052740270793905</v>
      </c>
      <c r="AJ9265">
        <v>89.834510278980702</v>
      </c>
      <c r="AK9265">
        <v>20.851795167075601</v>
      </c>
      <c r="AL9265">
        <v>87.222855393404302</v>
      </c>
      <c r="AM9265">
        <v>90.917776227783904</v>
      </c>
      <c r="AN9265">
        <v>0.99999999407809603</v>
      </c>
    </row>
    <row r="9266" spans="1:40" x14ac:dyDescent="0.25">
      <c r="A9266" t="str">
        <f>"20190312160549612"</f>
        <v>20190312160549612</v>
      </c>
      <c r="B9266" t="str">
        <f>"1552377949604346"</f>
        <v>1552377949604346</v>
      </c>
      <c r="C9266" t="s">
        <v>40</v>
      </c>
      <c r="D9266">
        <v>4.9332549999999999</v>
      </c>
      <c r="E9266">
        <v>0.50746229999999903</v>
      </c>
      <c r="F9266" t="s">
        <v>41</v>
      </c>
      <c r="G9266">
        <v>-94.322270000000003</v>
      </c>
      <c r="H9266" s="1">
        <v>-2.6894850000000001E-6</v>
      </c>
      <c r="I9266">
        <v>138.08600000000001</v>
      </c>
      <c r="J9266">
        <v>-114.8473</v>
      </c>
      <c r="K9266">
        <v>1.1104609999999999</v>
      </c>
      <c r="L9266">
        <v>138.31229999999999</v>
      </c>
      <c r="M9266">
        <v>0.99990520000000005</v>
      </c>
      <c r="N9266">
        <v>0</v>
      </c>
      <c r="O9266">
        <v>-5.7007300000000002E-3</v>
      </c>
      <c r="P9266">
        <v>0.99931400000000004</v>
      </c>
      <c r="Q9266">
        <v>3.5782790000000002E-2</v>
      </c>
      <c r="R9266">
        <v>9.5744239999999998E-3</v>
      </c>
      <c r="S9266">
        <v>3.0082239999999998</v>
      </c>
      <c r="T9266">
        <v>-0.16153000000000001</v>
      </c>
      <c r="U9266">
        <v>-3.3004760000000001E-2</v>
      </c>
      <c r="V9266">
        <v>-1.527878E-2</v>
      </c>
      <c r="W9266">
        <v>4.8310369999999998E-2</v>
      </c>
      <c r="X9266">
        <v>0.99871549999999998</v>
      </c>
      <c r="Y9266">
        <v>5.2704550000000003E-3</v>
      </c>
      <c r="Z9266">
        <v>1.64502599999999E-4</v>
      </c>
      <c r="AA9266">
        <v>0.99998609999999999</v>
      </c>
      <c r="AB9266">
        <v>15</v>
      </c>
      <c r="AC9266">
        <v>20.525030000000001</v>
      </c>
      <c r="AD9266">
        <v>-1.110463689485</v>
      </c>
      <c r="AE9266">
        <v>-0.22629999999997999</v>
      </c>
      <c r="AF9266">
        <v>0.10896057398209701</v>
      </c>
      <c r="AG9266">
        <v>-1.110463689485</v>
      </c>
      <c r="AH9266">
        <v>20.466087113290101</v>
      </c>
      <c r="AI9266">
        <v>93.105706331231801</v>
      </c>
      <c r="AJ9266">
        <v>89.694962598166796</v>
      </c>
      <c r="AK9266">
        <v>20.496480764783101</v>
      </c>
      <c r="AL9266">
        <v>87.230941841781998</v>
      </c>
      <c r="AM9266">
        <v>90.876467147547302</v>
      </c>
      <c r="AN9266">
        <v>0.99999999145403695</v>
      </c>
    </row>
    <row r="9267" spans="1:40" x14ac:dyDescent="0.25">
      <c r="A9267" t="str">
        <f>"20190312160549633"</f>
        <v>20190312160549633</v>
      </c>
      <c r="B9267" t="str">
        <f>"1552377949624841"</f>
        <v>1552377949624841</v>
      </c>
      <c r="C9267" t="s">
        <v>40</v>
      </c>
      <c r="D9267">
        <v>4.9798460000000002</v>
      </c>
      <c r="E9267">
        <v>0.50755289999999997</v>
      </c>
      <c r="F9267" t="s">
        <v>41</v>
      </c>
      <c r="G9267">
        <v>-93.864490000000004</v>
      </c>
      <c r="H9267" s="1">
        <v>-2.890963E-6</v>
      </c>
      <c r="I9267">
        <v>138.0573</v>
      </c>
      <c r="J9267">
        <v>-114.703</v>
      </c>
      <c r="K9267">
        <v>1.1104639999999999</v>
      </c>
      <c r="L9267">
        <v>138.3117</v>
      </c>
      <c r="M9267">
        <v>0.99990610000000002</v>
      </c>
      <c r="N9267">
        <v>0</v>
      </c>
      <c r="O9267">
        <v>-5.5300449999999999E-3</v>
      </c>
      <c r="P9267">
        <v>0.9993107</v>
      </c>
      <c r="Q9267">
        <v>3.5878420000000001E-2</v>
      </c>
      <c r="R9267">
        <v>9.5451670000000002E-3</v>
      </c>
      <c r="S9267">
        <v>3.0081020000000001</v>
      </c>
      <c r="T9267">
        <v>-0.15919630000000001</v>
      </c>
      <c r="U9267">
        <v>-3.6544800000000002E-2</v>
      </c>
      <c r="V9267">
        <v>-1.507869E-2</v>
      </c>
      <c r="W9267">
        <v>4.8408489999999998E-2</v>
      </c>
      <c r="X9267">
        <v>0.99871379999999998</v>
      </c>
      <c r="Y9267">
        <v>6.616116E-3</v>
      </c>
      <c r="Z9267">
        <v>1.17526E-4</v>
      </c>
      <c r="AA9267">
        <v>0.99997809999999998</v>
      </c>
      <c r="AB9267">
        <v>15</v>
      </c>
      <c r="AC9267">
        <v>20.8385099999999</v>
      </c>
      <c r="AD9267">
        <v>-1.110466890963</v>
      </c>
      <c r="AE9267">
        <v>-0.25440000000000401</v>
      </c>
      <c r="AF9267">
        <v>0.13875518272829401</v>
      </c>
      <c r="AG9267">
        <v>-1.110466890963</v>
      </c>
      <c r="AH9267">
        <v>20.780595662892601</v>
      </c>
      <c r="AI9267">
        <v>93.058776282817803</v>
      </c>
      <c r="AJ9267">
        <v>89.617433092957796</v>
      </c>
      <c r="AK9267">
        <v>20.810707480076001</v>
      </c>
      <c r="AL9267">
        <v>87.225313422597196</v>
      </c>
      <c r="AM9267">
        <v>90.864992213268906</v>
      </c>
      <c r="AN9267">
        <v>1.0000000015533099</v>
      </c>
    </row>
    <row r="9268" spans="1:40" x14ac:dyDescent="0.25">
      <c r="A9268" t="str">
        <f>"20190312160549656"</f>
        <v>20190312160549656</v>
      </c>
      <c r="B9268" t="str">
        <f>"1552377949644362"</f>
        <v>1552377949644362</v>
      </c>
      <c r="C9268" t="s">
        <v>40</v>
      </c>
      <c r="D9268">
        <v>4.9974889999999998</v>
      </c>
      <c r="E9268">
        <v>0.50767340000000005</v>
      </c>
      <c r="F9268" t="s">
        <v>41</v>
      </c>
      <c r="G9268">
        <v>-93.530199999999994</v>
      </c>
      <c r="H9268" s="1">
        <v>-3.0358260000000001E-6</v>
      </c>
      <c r="I9268">
        <v>138.04910000000001</v>
      </c>
      <c r="J9268">
        <v>-114.55070000000001</v>
      </c>
      <c r="K9268">
        <v>1.110465</v>
      </c>
      <c r="L9268">
        <v>138.31100000000001</v>
      </c>
      <c r="M9268">
        <v>0.99990699999999999</v>
      </c>
      <c r="N9268">
        <v>0</v>
      </c>
      <c r="O9268">
        <v>-5.3494679999999996E-3</v>
      </c>
      <c r="P9268">
        <v>0.99929060000000003</v>
      </c>
      <c r="Q9268">
        <v>3.645383E-2</v>
      </c>
      <c r="R9268">
        <v>9.4577900000000006E-3</v>
      </c>
      <c r="S9268">
        <v>3.0081020000000001</v>
      </c>
      <c r="T9268">
        <v>-0.15776799999999999</v>
      </c>
      <c r="U9268">
        <v>-3.7292480000000003E-2</v>
      </c>
      <c r="V9268">
        <v>-1.4811110000000001E-2</v>
      </c>
      <c r="W9268">
        <v>4.8985720000000003E-2</v>
      </c>
      <c r="X9268">
        <v>0.99868970000000001</v>
      </c>
      <c r="Y9268">
        <v>7.0444089999999997E-3</v>
      </c>
      <c r="Z9268" s="1">
        <v>9.5784980000000004E-5</v>
      </c>
      <c r="AA9268">
        <v>0.99997519999999995</v>
      </c>
      <c r="AB9268">
        <v>15</v>
      </c>
      <c r="AC9268">
        <v>21.020499999999998</v>
      </c>
      <c r="AD9268">
        <v>-1.110468035826</v>
      </c>
      <c r="AE9268">
        <v>-0.26189999999999702</v>
      </c>
      <c r="AF9268">
        <v>0.14902308409668599</v>
      </c>
      <c r="AG9268">
        <v>-1.110468035826</v>
      </c>
      <c r="AH9268">
        <v>20.963105921135</v>
      </c>
      <c r="AI9268">
        <v>93.032189807976295</v>
      </c>
      <c r="AJ9268">
        <v>89.592701101887201</v>
      </c>
      <c r="AK9268">
        <v>20.993026389706401</v>
      </c>
      <c r="AL9268">
        <v>87.1922014122419</v>
      </c>
      <c r="AM9268">
        <v>90.849665201287095</v>
      </c>
      <c r="AN9268">
        <v>1.00000004331471</v>
      </c>
    </row>
    <row r="9269" spans="1:40" x14ac:dyDescent="0.25">
      <c r="A9269" t="str">
        <f>"20190312160549678"</f>
        <v>20190312160549678</v>
      </c>
      <c r="B9269" t="str">
        <f>"1552377949674622"</f>
        <v>1552377949674622</v>
      </c>
      <c r="C9269" t="s">
        <v>40</v>
      </c>
      <c r="D9269">
        <v>5.0269250000000003</v>
      </c>
      <c r="E9269">
        <v>0.50784499999999999</v>
      </c>
      <c r="F9269" t="s">
        <v>41</v>
      </c>
      <c r="G9269">
        <v>-92.456280000000007</v>
      </c>
      <c r="H9269" s="1">
        <v>-3.5002629999999998E-6</v>
      </c>
      <c r="I9269">
        <v>138.02809999999999</v>
      </c>
      <c r="J9269">
        <v>-114.3955</v>
      </c>
      <c r="K9269">
        <v>1.1104639999999999</v>
      </c>
      <c r="L9269">
        <v>138.31039999999999</v>
      </c>
      <c r="M9269">
        <v>0.99990789999999996</v>
      </c>
      <c r="N9269">
        <v>0</v>
      </c>
      <c r="O9269">
        <v>-5.165907E-3</v>
      </c>
      <c r="P9269">
        <v>0.99928430000000001</v>
      </c>
      <c r="Q9269">
        <v>3.6551100000000003E-2</v>
      </c>
      <c r="R9269">
        <v>9.7505360000000006E-3</v>
      </c>
      <c r="S9269">
        <v>3.0080110000000002</v>
      </c>
      <c r="T9269">
        <v>-0.15118290000000001</v>
      </c>
      <c r="U9269">
        <v>-3.8513180000000001E-2</v>
      </c>
      <c r="V9269">
        <v>-1.492009E-2</v>
      </c>
      <c r="W9269">
        <v>4.9085259999999999E-2</v>
      </c>
      <c r="X9269">
        <v>0.99868319999999999</v>
      </c>
      <c r="Y9269">
        <v>7.6333149999999999E-3</v>
      </c>
      <c r="Z9269" s="1">
        <v>6.7785339999999999E-5</v>
      </c>
      <c r="AA9269">
        <v>0.9999709</v>
      </c>
      <c r="AB9269">
        <v>15</v>
      </c>
      <c r="AC9269">
        <v>21.939219999999899</v>
      </c>
      <c r="AD9269">
        <v>-1.11046750026299</v>
      </c>
      <c r="AE9269">
        <v>-0.282299999999992</v>
      </c>
      <c r="AF9269">
        <v>0.16851966966065601</v>
      </c>
      <c r="AG9269">
        <v>-1.11046750026299</v>
      </c>
      <c r="AH9269">
        <v>21.884328555766</v>
      </c>
      <c r="AI9269">
        <v>92.904758814232906</v>
      </c>
      <c r="AJ9269">
        <v>89.558804147402896</v>
      </c>
      <c r="AK9269">
        <v>21.9131324389033</v>
      </c>
      <c r="AL9269">
        <v>87.1864913485513</v>
      </c>
      <c r="AM9269">
        <v>90.855921672675507</v>
      </c>
      <c r="AN9269">
        <v>1.00000005289855</v>
      </c>
    </row>
    <row r="9270" spans="1:40" x14ac:dyDescent="0.25">
      <c r="A9270" t="str">
        <f>"20190312160549700"</f>
        <v>20190312160549700</v>
      </c>
      <c r="B9270" t="str">
        <f>"1552377949694704"</f>
        <v>1552377949694704</v>
      </c>
      <c r="C9270" t="s">
        <v>40</v>
      </c>
      <c r="D9270">
        <v>5.0663229999999997</v>
      </c>
      <c r="E9270">
        <v>0.50789609999999996</v>
      </c>
      <c r="F9270" t="s">
        <v>41</v>
      </c>
      <c r="G9270">
        <v>-92.239019999999996</v>
      </c>
      <c r="H9270" s="1">
        <v>-3.5943189999999999E-6</v>
      </c>
      <c r="I9270">
        <v>138.02330000000001</v>
      </c>
      <c r="J9270">
        <v>-114.2461</v>
      </c>
      <c r="K9270">
        <v>1.110466</v>
      </c>
      <c r="L9270">
        <v>138.3099</v>
      </c>
      <c r="M9270">
        <v>0.99990889999999999</v>
      </c>
      <c r="N9270">
        <v>0</v>
      </c>
      <c r="O9270">
        <v>-4.9894969999999999E-3</v>
      </c>
      <c r="P9270">
        <v>0.9992915</v>
      </c>
      <c r="Q9270">
        <v>3.6507339999999999E-2</v>
      </c>
      <c r="R9270">
        <v>9.1647550000000001E-3</v>
      </c>
      <c r="S9270">
        <v>3.008041</v>
      </c>
      <c r="T9270">
        <v>-0.1507608</v>
      </c>
      <c r="U9270">
        <v>-3.8970949999999997E-2</v>
      </c>
      <c r="V9270">
        <v>-1.415866E-2</v>
      </c>
      <c r="W9270">
        <v>4.9043829999999997E-2</v>
      </c>
      <c r="X9270">
        <v>0.99869629999999998</v>
      </c>
      <c r="Y9270">
        <v>7.9611400000000002E-3</v>
      </c>
      <c r="Z9270" s="1">
        <v>5.0549659999999897E-5</v>
      </c>
      <c r="AA9270">
        <v>0.99996830000000003</v>
      </c>
      <c r="AB9270">
        <v>15</v>
      </c>
      <c r="AC9270">
        <v>22.007079999999998</v>
      </c>
      <c r="AD9270">
        <v>-1.1104695943189999</v>
      </c>
      <c r="AE9270">
        <v>-0.28659999999999197</v>
      </c>
      <c r="AF9270">
        <v>0.17633463241818101</v>
      </c>
      <c r="AG9270">
        <v>-1.1104695943189999</v>
      </c>
      <c r="AH9270">
        <v>21.952351042154</v>
      </c>
      <c r="AI9270">
        <v>92.895771247610597</v>
      </c>
      <c r="AJ9270">
        <v>89.539775356527599</v>
      </c>
      <c r="AK9270">
        <v>21.981127198132</v>
      </c>
      <c r="AL9270">
        <v>87.188867916930803</v>
      </c>
      <c r="AM9270">
        <v>90.812236030050499</v>
      </c>
      <c r="AN9270">
        <v>1.00000003227387</v>
      </c>
    </row>
    <row r="9271" spans="1:40" x14ac:dyDescent="0.25">
      <c r="A9271" t="str">
        <f>"20190312160549723"</f>
        <v>20190312160549723</v>
      </c>
      <c r="B9271" t="str">
        <f>"1552377949714220"</f>
        <v>1552377949714220</v>
      </c>
      <c r="C9271" t="s">
        <v>40</v>
      </c>
      <c r="D9271">
        <v>5.0755670000000004</v>
      </c>
      <c r="E9271">
        <v>0.50802130000000001</v>
      </c>
      <c r="F9271" t="s">
        <v>41</v>
      </c>
      <c r="G9271">
        <v>-92.32593</v>
      </c>
      <c r="H9271" s="1">
        <v>-3.5593910000000001E-6</v>
      </c>
      <c r="I9271">
        <v>138.01009999999999</v>
      </c>
      <c r="J9271">
        <v>-114.09569999999999</v>
      </c>
      <c r="K9271">
        <v>1.110468</v>
      </c>
      <c r="L9271">
        <v>138.30930000000001</v>
      </c>
      <c r="M9271">
        <v>0.99990970000000001</v>
      </c>
      <c r="N9271">
        <v>0</v>
      </c>
      <c r="O9271">
        <v>-4.8114179999999996E-3</v>
      </c>
      <c r="P9271">
        <v>0.99929199999999996</v>
      </c>
      <c r="Q9271">
        <v>3.6562789999999998E-2</v>
      </c>
      <c r="R9271">
        <v>8.8900909999999993E-3</v>
      </c>
      <c r="S9271">
        <v>3.0080719999999999</v>
      </c>
      <c r="T9271">
        <v>-0.15238779999999999</v>
      </c>
      <c r="U9271">
        <v>-4.1137699999999902E-2</v>
      </c>
      <c r="V9271">
        <v>-1.3705739999999999E-2</v>
      </c>
      <c r="W9271">
        <v>4.910146E-2</v>
      </c>
      <c r="X9271">
        <v>0.99869980000000003</v>
      </c>
      <c r="Y9271">
        <v>8.8577959999999994E-3</v>
      </c>
      <c r="Z9271" s="1">
        <v>1.9381510000000001E-5</v>
      </c>
      <c r="AA9271">
        <v>0.99996079999999998</v>
      </c>
      <c r="AB9271">
        <v>15</v>
      </c>
      <c r="AC9271">
        <v>21.769769999999902</v>
      </c>
      <c r="AD9271">
        <v>-1.110471559391</v>
      </c>
      <c r="AE9271">
        <v>-0.29920000000001301</v>
      </c>
      <c r="AF9271">
        <v>0.19394028928895399</v>
      </c>
      <c r="AG9271">
        <v>-1.110471559391</v>
      </c>
      <c r="AH9271">
        <v>21.7144673050027</v>
      </c>
      <c r="AI9271">
        <v>92.927422666183503</v>
      </c>
      <c r="AJ9271">
        <v>89.488282883198295</v>
      </c>
      <c r="AK9271">
        <v>21.7437082913669</v>
      </c>
      <c r="AL9271">
        <v>87.185562015848802</v>
      </c>
      <c r="AM9271">
        <v>90.786254051099206</v>
      </c>
      <c r="AN9271">
        <v>1.0000000456015501</v>
      </c>
    </row>
    <row r="9272" spans="1:40" x14ac:dyDescent="0.25">
      <c r="A9272" t="str">
        <f>"20190312160549745"</f>
        <v>20190312160549745</v>
      </c>
      <c r="B9272" t="str">
        <f>"1552377949734715"</f>
        <v>1552377949734715</v>
      </c>
      <c r="C9272" t="s">
        <v>40</v>
      </c>
      <c r="D9272">
        <v>5.1651210000000001</v>
      </c>
      <c r="E9272">
        <v>0.50806039999999997</v>
      </c>
      <c r="F9272" t="s">
        <v>41</v>
      </c>
      <c r="G9272">
        <v>-92.39152</v>
      </c>
      <c r="H9272" s="1">
        <v>-3.5329539999999999E-6</v>
      </c>
      <c r="I9272">
        <v>138.00049999999999</v>
      </c>
      <c r="J9272">
        <v>-113.9449</v>
      </c>
      <c r="K9272">
        <v>1.1104689999999999</v>
      </c>
      <c r="L9272">
        <v>138.30879999999999</v>
      </c>
      <c r="M9272">
        <v>0.99991050000000004</v>
      </c>
      <c r="N9272">
        <v>0</v>
      </c>
      <c r="O9272">
        <v>-4.6329819999999999E-3</v>
      </c>
      <c r="P9272">
        <v>0.99928249999999996</v>
      </c>
      <c r="Q9272">
        <v>3.6744140000000002E-2</v>
      </c>
      <c r="R9272">
        <v>9.1942840000000005E-3</v>
      </c>
      <c r="S9272">
        <v>3.0081329999999999</v>
      </c>
      <c r="T9272">
        <v>-0.15390799999999999</v>
      </c>
      <c r="U9272">
        <v>-4.2800900000000003E-2</v>
      </c>
      <c r="V9272">
        <v>-1.383181E-2</v>
      </c>
      <c r="W9272">
        <v>4.9284349999999998E-2</v>
      </c>
      <c r="X9272">
        <v>0.99868900000000005</v>
      </c>
      <c r="Y9272">
        <v>9.5874470000000007E-3</v>
      </c>
      <c r="Z9272" s="1">
        <v>-8.2023329999999997E-6</v>
      </c>
      <c r="AA9272">
        <v>0.99995400000000001</v>
      </c>
      <c r="AB9272">
        <v>15</v>
      </c>
      <c r="AC9272">
        <v>21.553380000000001</v>
      </c>
      <c r="AD9272">
        <v>-1.1104725329539999</v>
      </c>
      <c r="AE9272">
        <v>-0.30830000000000202</v>
      </c>
      <c r="AF9272">
        <v>0.20788069399231199</v>
      </c>
      <c r="AG9272">
        <v>-1.1104725329539999</v>
      </c>
      <c r="AH9272">
        <v>21.4975233232576</v>
      </c>
      <c r="AI9272">
        <v>92.956895134456403</v>
      </c>
      <c r="AJ9272">
        <v>89.445968030861593</v>
      </c>
      <c r="AK9272">
        <v>21.527189149152399</v>
      </c>
      <c r="AL9272">
        <v>87.1750703387154</v>
      </c>
      <c r="AM9272">
        <v>90.793493939264096</v>
      </c>
      <c r="AN9272">
        <v>0.99999999242189896</v>
      </c>
    </row>
    <row r="9273" spans="1:40" x14ac:dyDescent="0.25">
      <c r="A9273" t="str">
        <f>"20190312160549768"</f>
        <v>20190312160549768</v>
      </c>
      <c r="B9273" t="str">
        <f>"1552377949764971"</f>
        <v>1552377949764971</v>
      </c>
      <c r="C9273" t="s">
        <v>40</v>
      </c>
      <c r="D9273">
        <v>5.11381</v>
      </c>
      <c r="E9273">
        <v>0.50822199999999995</v>
      </c>
      <c r="F9273" t="s">
        <v>41</v>
      </c>
      <c r="G9273">
        <v>-92.603009999999998</v>
      </c>
      <c r="H9273" s="1">
        <v>-3.4412449999999999E-6</v>
      </c>
      <c r="I9273">
        <v>138.006</v>
      </c>
      <c r="J9273">
        <v>-113.7873</v>
      </c>
      <c r="K9273">
        <v>1.110471</v>
      </c>
      <c r="L9273">
        <v>138.3083</v>
      </c>
      <c r="M9273">
        <v>0.99991140000000001</v>
      </c>
      <c r="N9273">
        <v>0</v>
      </c>
      <c r="O9273">
        <v>-4.4467959999999898E-3</v>
      </c>
      <c r="P9273">
        <v>0.99925319999999995</v>
      </c>
      <c r="Q9273">
        <v>3.7450339999999999E-2</v>
      </c>
      <c r="R9273">
        <v>9.5418810000000003E-3</v>
      </c>
      <c r="S9273">
        <v>3.0083009999999999</v>
      </c>
      <c r="T9273">
        <v>-0.15652940000000001</v>
      </c>
      <c r="U9273">
        <v>-4.2678830000000001E-2</v>
      </c>
      <c r="V9273">
        <v>-1.399276E-2</v>
      </c>
      <c r="W9273">
        <v>4.9991569999999999E-2</v>
      </c>
      <c r="X9273">
        <v>0.99865159999999997</v>
      </c>
      <c r="Y9273">
        <v>9.7316109999999994E-3</v>
      </c>
      <c r="Z9273" s="1">
        <v>-2.177044E-5</v>
      </c>
      <c r="AA9273">
        <v>0.99995270000000003</v>
      </c>
      <c r="AB9273">
        <v>15</v>
      </c>
      <c r="AC9273">
        <v>21.184290000000001</v>
      </c>
      <c r="AD9273">
        <v>-1.1104744412450001</v>
      </c>
      <c r="AE9273">
        <v>-0.30230000000000201</v>
      </c>
      <c r="AF9273">
        <v>0.20751727382242599</v>
      </c>
      <c r="AG9273">
        <v>-1.1104744412450001</v>
      </c>
      <c r="AH9273">
        <v>21.127382327452999</v>
      </c>
      <c r="AI9273">
        <v>93.0086047842764</v>
      </c>
      <c r="AJ9273">
        <v>89.437247764835405</v>
      </c>
      <c r="AK9273">
        <v>21.157563680962099</v>
      </c>
      <c r="AL9273">
        <v>87.134499586298801</v>
      </c>
      <c r="AM9273">
        <v>90.802756067527</v>
      </c>
      <c r="AN9273">
        <v>0.999999986293021</v>
      </c>
    </row>
    <row r="9274" spans="1:40" x14ac:dyDescent="0.25">
      <c r="A9274" t="str">
        <f>"20190312160549789"</f>
        <v>20190312160549789</v>
      </c>
      <c r="B9274" t="str">
        <f>"1552377949784095"</f>
        <v>1552377949784095</v>
      </c>
      <c r="C9274" t="s">
        <v>40</v>
      </c>
      <c r="D9274">
        <v>5.1829229999999997</v>
      </c>
      <c r="E9274">
        <v>0.50796980000000003</v>
      </c>
      <c r="F9274" t="s">
        <v>41</v>
      </c>
      <c r="G9274">
        <v>-92.410510000000002</v>
      </c>
      <c r="H9274" s="1">
        <v>-3.5247330000000002E-6</v>
      </c>
      <c r="I9274">
        <v>138.0009</v>
      </c>
      <c r="J9274">
        <v>-113.64019999999999</v>
      </c>
      <c r="K9274">
        <v>1.110473</v>
      </c>
      <c r="L9274">
        <v>138.30789999999999</v>
      </c>
      <c r="M9274">
        <v>0.99991209999999997</v>
      </c>
      <c r="N9274">
        <v>0</v>
      </c>
      <c r="O9274">
        <v>-4.2724130000000001E-3</v>
      </c>
      <c r="P9274">
        <v>0.9992799</v>
      </c>
      <c r="Q9274">
        <v>3.670271E-2</v>
      </c>
      <c r="R9274">
        <v>9.6332799999999993E-3</v>
      </c>
      <c r="S9274">
        <v>3.0085139999999999</v>
      </c>
      <c r="T9274">
        <v>-0.15628499999999901</v>
      </c>
      <c r="U9274">
        <v>-4.3258669999999999E-2</v>
      </c>
      <c r="V9274">
        <v>-1.391041E-2</v>
      </c>
      <c r="W9274">
        <v>4.9246239999999997E-2</v>
      </c>
      <c r="X9274">
        <v>0.99868979999999996</v>
      </c>
      <c r="Y9274">
        <v>1.009697E-2</v>
      </c>
      <c r="Z9274" s="1">
        <v>-4.0270549999999997E-5</v>
      </c>
      <c r="AA9274">
        <v>0.99994899999999998</v>
      </c>
      <c r="AB9274">
        <v>15</v>
      </c>
      <c r="AC9274">
        <v>21.229689999999898</v>
      </c>
      <c r="AD9274">
        <v>-1.110476524733</v>
      </c>
      <c r="AE9274">
        <v>-0.30699999999998701</v>
      </c>
      <c r="AF9274">
        <v>0.215698001480782</v>
      </c>
      <c r="AG9274">
        <v>-1.110476524733</v>
      </c>
      <c r="AH9274">
        <v>21.172888982431701</v>
      </c>
      <c r="AI9274">
        <v>93.002144937587602</v>
      </c>
      <c r="AJ9274">
        <v>89.416321616363902</v>
      </c>
      <c r="AK9274">
        <v>21.203087312988199</v>
      </c>
      <c r="AL9274">
        <v>87.177256568637006</v>
      </c>
      <c r="AM9274">
        <v>90.798001790398501</v>
      </c>
      <c r="AN9274">
        <v>1.0000000041422701</v>
      </c>
    </row>
    <row r="9275" spans="1:40" x14ac:dyDescent="0.25">
      <c r="A9275" t="str">
        <f>"20190312160549813"</f>
        <v>20190312160549813</v>
      </c>
      <c r="B9275" t="str">
        <f>"1552377949804592"</f>
        <v>1552377949804592</v>
      </c>
      <c r="C9275" t="s">
        <v>40</v>
      </c>
      <c r="D9275">
        <v>5.1652899999999997</v>
      </c>
      <c r="E9275">
        <v>0.48905949999999998</v>
      </c>
      <c r="F9275" t="s">
        <v>41</v>
      </c>
      <c r="G9275">
        <v>-92.389020000000002</v>
      </c>
      <c r="H9275" s="1">
        <v>-3.5302110000000002E-6</v>
      </c>
      <c r="I9275">
        <v>138.02199999999999</v>
      </c>
      <c r="J9275">
        <v>-113.4866</v>
      </c>
      <c r="K9275">
        <v>1.1104750000000001</v>
      </c>
      <c r="L9275">
        <v>138.3074</v>
      </c>
      <c r="M9275">
        <v>0.99991269999999999</v>
      </c>
      <c r="N9275">
        <v>0</v>
      </c>
      <c r="O9275">
        <v>-4.0904000000000001E-3</v>
      </c>
      <c r="P9275">
        <v>0.99930039999999998</v>
      </c>
      <c r="Q9275">
        <v>3.6221219999999998E-2</v>
      </c>
      <c r="R9275">
        <v>9.3141209999999999E-3</v>
      </c>
      <c r="S9275">
        <v>3.0083310000000001</v>
      </c>
      <c r="T9275">
        <v>-0.1571999</v>
      </c>
      <c r="U9275">
        <v>-4.0466309999999998E-2</v>
      </c>
      <c r="V9275">
        <v>-1.3409280000000001E-2</v>
      </c>
      <c r="W9275">
        <v>4.876664E-2</v>
      </c>
      <c r="X9275">
        <v>0.99872019999999995</v>
      </c>
      <c r="Y9275">
        <v>9.3525550000000002E-3</v>
      </c>
      <c r="Z9275" s="1">
        <v>-3.0577719999999998E-5</v>
      </c>
      <c r="AA9275">
        <v>0.99995630000000002</v>
      </c>
      <c r="AB9275">
        <v>15</v>
      </c>
      <c r="AC9275">
        <v>21.097579999999901</v>
      </c>
      <c r="AD9275">
        <v>-1.1104785302110001</v>
      </c>
      <c r="AE9275">
        <v>-0.285399999999981</v>
      </c>
      <c r="AF9275">
        <v>0.19854329886495001</v>
      </c>
      <c r="AG9275">
        <v>-1.1104785302110001</v>
      </c>
      <c r="AH9275">
        <v>21.040289926910798</v>
      </c>
      <c r="AI9275">
        <v>93.0210576338376</v>
      </c>
      <c r="AJ9275">
        <v>89.459353674044294</v>
      </c>
      <c r="AK9275">
        <v>21.070509775894099</v>
      </c>
      <c r="AL9275">
        <v>87.204768714445194</v>
      </c>
      <c r="AM9275">
        <v>90.769233453442197</v>
      </c>
      <c r="AN9275">
        <v>1.00000001592752</v>
      </c>
    </row>
    <row r="9276" spans="1:40" x14ac:dyDescent="0.25">
      <c r="A9276" t="str">
        <f>"20190312160549836"</f>
        <v>20190312160549836</v>
      </c>
      <c r="B9276" t="str">
        <f>"1552377949824111"</f>
        <v>1552377949824111</v>
      </c>
      <c r="C9276" t="s">
        <v>40</v>
      </c>
      <c r="D9276">
        <v>5.1601759999999999</v>
      </c>
      <c r="E9276">
        <v>0.48925730000000001</v>
      </c>
      <c r="F9276" t="s">
        <v>41</v>
      </c>
      <c r="G9276">
        <v>-86.627719999999997</v>
      </c>
      <c r="H9276" s="1">
        <v>-1.4865230000000001E-6</v>
      </c>
      <c r="I9276">
        <v>139.29220000000001</v>
      </c>
      <c r="J9276">
        <v>-113.32729999999999</v>
      </c>
      <c r="K9276">
        <v>1.110476</v>
      </c>
      <c r="L9276">
        <v>138.30699999999999</v>
      </c>
      <c r="M9276">
        <v>0.99991359999999996</v>
      </c>
      <c r="N9276">
        <v>0</v>
      </c>
      <c r="O9276">
        <v>-3.9018299999999998E-3</v>
      </c>
      <c r="P9276">
        <v>0.99929959999999995</v>
      </c>
      <c r="Q9276">
        <v>3.6212939999999999E-2</v>
      </c>
      <c r="R9276">
        <v>9.4600480000000004E-3</v>
      </c>
      <c r="S9276">
        <v>3.0055689999999999</v>
      </c>
      <c r="T9276">
        <v>-0.1242646</v>
      </c>
      <c r="U9276">
        <v>0.11019900000000001</v>
      </c>
      <c r="V9276">
        <v>-1.336642E-2</v>
      </c>
      <c r="W9276">
        <v>4.8760449999999997E-2</v>
      </c>
      <c r="X9276">
        <v>0.99872110000000003</v>
      </c>
      <c r="Y9276">
        <v>-4.050165E-2</v>
      </c>
      <c r="Z9276">
        <v>9.9784019999999991E-4</v>
      </c>
      <c r="AA9276">
        <v>0.99917889999999998</v>
      </c>
      <c r="AB9276">
        <v>15</v>
      </c>
      <c r="AC9276">
        <v>26.699580000000001</v>
      </c>
      <c r="AD9276">
        <v>-1.110477486523</v>
      </c>
      <c r="AE9276">
        <v>0.98519999999999197</v>
      </c>
      <c r="AF9276">
        <v>-1.0874992677675801</v>
      </c>
      <c r="AG9276">
        <v>-1.110477486523</v>
      </c>
      <c r="AH9276">
        <v>26.649495159419399</v>
      </c>
      <c r="AI9276">
        <v>92.384137734573599</v>
      </c>
      <c r="AJ9276">
        <v>92.336800964337698</v>
      </c>
      <c r="AK9276">
        <v>26.6947823957676</v>
      </c>
      <c r="AL9276">
        <v>87.205123862629094</v>
      </c>
      <c r="AM9276">
        <v>90.766774360366</v>
      </c>
      <c r="AN9276">
        <v>1.00000003912651</v>
      </c>
    </row>
    <row r="9277" spans="1:40" x14ac:dyDescent="0.25">
      <c r="A9277" t="str">
        <f>"20190312160549857"</f>
        <v>20190312160549857</v>
      </c>
      <c r="B9277" t="str">
        <f>"1552377949844608"</f>
        <v>1552377949844608</v>
      </c>
      <c r="C9277" t="s">
        <v>40</v>
      </c>
      <c r="D9277">
        <v>5.1551530000000003</v>
      </c>
      <c r="E9277">
        <v>0.48971419999999999</v>
      </c>
      <c r="F9277" t="s">
        <v>41</v>
      </c>
      <c r="G9277">
        <v>-91.721190000000007</v>
      </c>
      <c r="H9277" s="1">
        <v>-3.6281149999999998E-6</v>
      </c>
      <c r="I9277">
        <v>139.08519999999999</v>
      </c>
      <c r="J9277">
        <v>-113.18819999999999</v>
      </c>
      <c r="K9277">
        <v>1.1104750000000001</v>
      </c>
      <c r="L9277">
        <v>138.30670000000001</v>
      </c>
      <c r="M9277">
        <v>0.99991419999999998</v>
      </c>
      <c r="N9277">
        <v>0</v>
      </c>
      <c r="O9277">
        <v>-3.7373369999999999E-3</v>
      </c>
      <c r="P9277">
        <v>0.99929480000000004</v>
      </c>
      <c r="Q9277">
        <v>3.6214440000000001E-2</v>
      </c>
      <c r="R9277">
        <v>9.9436060000000007E-3</v>
      </c>
      <c r="S9277">
        <v>3.0066679999999999</v>
      </c>
      <c r="T9277">
        <v>-0.15453249999999999</v>
      </c>
      <c r="U9277">
        <v>0.1082916</v>
      </c>
      <c r="V9277">
        <v>-1.368597E-2</v>
      </c>
      <c r="W9277">
        <v>4.8762840000000002E-2</v>
      </c>
      <c r="X9277">
        <v>0.99871659999999995</v>
      </c>
      <c r="Y9277">
        <v>-3.967155E-2</v>
      </c>
      <c r="Z9277">
        <v>1.2104049999999999E-3</v>
      </c>
      <c r="AA9277">
        <v>0.99921199999999999</v>
      </c>
      <c r="AB9277">
        <v>15</v>
      </c>
      <c r="AC9277">
        <v>21.467009999999899</v>
      </c>
      <c r="AD9277">
        <v>-1.1104786281150001</v>
      </c>
      <c r="AE9277">
        <v>0.77849999999997899</v>
      </c>
      <c r="AF9277">
        <v>-0.85644155578961101</v>
      </c>
      <c r="AG9277">
        <v>-1.1104786281150001</v>
      </c>
      <c r="AH9277">
        <v>21.406742265019201</v>
      </c>
      <c r="AI9277">
        <v>92.967197587277496</v>
      </c>
      <c r="AJ9277">
        <v>92.291069309930094</v>
      </c>
      <c r="AK9277">
        <v>21.452628494497901</v>
      </c>
      <c r="AL9277">
        <v>87.204986607669696</v>
      </c>
      <c r="AM9277">
        <v>90.785106846787599</v>
      </c>
      <c r="AN9277">
        <v>0.99999998372763299</v>
      </c>
    </row>
    <row r="9278" spans="1:40" x14ac:dyDescent="0.25">
      <c r="A9278" t="str">
        <f>"20190312160549879"</f>
        <v>20190312160549879</v>
      </c>
      <c r="B9278" t="str">
        <f>"1552377949874863"</f>
        <v>1552377949874863</v>
      </c>
      <c r="C9278" t="s">
        <v>40</v>
      </c>
      <c r="D9278">
        <v>5.1062029999999998</v>
      </c>
      <c r="E9278">
        <v>0.48966660000000001</v>
      </c>
      <c r="F9278" t="s">
        <v>41</v>
      </c>
      <c r="G9278">
        <v>-92.733099999999993</v>
      </c>
      <c r="H9278" s="1">
        <v>-3.2045329999999998E-6</v>
      </c>
      <c r="I9278">
        <v>139.0258</v>
      </c>
      <c r="J9278">
        <v>-113.0359</v>
      </c>
      <c r="K9278">
        <v>1.1104719999999999</v>
      </c>
      <c r="L9278">
        <v>138.30629999999999</v>
      </c>
      <c r="M9278">
        <v>0.99991490000000005</v>
      </c>
      <c r="N9278">
        <v>0</v>
      </c>
      <c r="O9278">
        <v>-3.5572289999999999E-3</v>
      </c>
      <c r="P9278">
        <v>0.99929659999999998</v>
      </c>
      <c r="Q9278">
        <v>3.6096999999999997E-2</v>
      </c>
      <c r="R9278">
        <v>1.017468E-2</v>
      </c>
      <c r="S9278">
        <v>3.0069729999999999</v>
      </c>
      <c r="T9278">
        <v>-0.16324379999999999</v>
      </c>
      <c r="U9278">
        <v>0.10572810000000001</v>
      </c>
      <c r="V9278">
        <v>-1.373652E-2</v>
      </c>
      <c r="W9278">
        <v>4.8646630000000003E-2</v>
      </c>
      <c r="X9278">
        <v>0.99872159999999999</v>
      </c>
      <c r="Y9278">
        <v>-3.8632319999999998E-2</v>
      </c>
      <c r="Z9278">
        <v>1.240482E-3</v>
      </c>
      <c r="AA9278">
        <v>0.99925269999999999</v>
      </c>
      <c r="AB9278">
        <v>15</v>
      </c>
      <c r="AC9278">
        <v>20.302800000000001</v>
      </c>
      <c r="AD9278">
        <v>-1.110475204533</v>
      </c>
      <c r="AE9278">
        <v>0.71950000000001002</v>
      </c>
      <c r="AF9278">
        <v>-0.78936433250438798</v>
      </c>
      <c r="AG9278">
        <v>-1.110475204533</v>
      </c>
      <c r="AH9278">
        <v>20.239638616047898</v>
      </c>
      <c r="AI9278">
        <v>93.138080921332502</v>
      </c>
      <c r="AJ9278">
        <v>92.233455608071395</v>
      </c>
      <c r="AK9278">
        <v>20.285443612046802</v>
      </c>
      <c r="AL9278">
        <v>87.211652936263306</v>
      </c>
      <c r="AM9278">
        <v>90.788002379255602</v>
      </c>
      <c r="AN9278">
        <v>1.0000000104493101</v>
      </c>
    </row>
    <row r="9279" spans="1:40" x14ac:dyDescent="0.25">
      <c r="A9279" t="str">
        <f>"20190312160549901"</f>
        <v>20190312160549901</v>
      </c>
      <c r="B9279" t="str">
        <f>"1552377949894051"</f>
        <v>1552377949894051</v>
      </c>
      <c r="C9279" t="s">
        <v>40</v>
      </c>
      <c r="D9279">
        <v>5.0843239999999996</v>
      </c>
      <c r="E9279">
        <v>0.48998809999999898</v>
      </c>
      <c r="F9279" t="s">
        <v>41</v>
      </c>
      <c r="G9279">
        <v>-93.463930000000005</v>
      </c>
      <c r="H9279" s="1">
        <v>-2.8955309999999999E-6</v>
      </c>
      <c r="I9279">
        <v>139.00040000000001</v>
      </c>
      <c r="J9279">
        <v>-112.8896</v>
      </c>
      <c r="K9279">
        <v>1.1104719999999999</v>
      </c>
      <c r="L9279">
        <v>138.30600000000001</v>
      </c>
      <c r="M9279">
        <v>0.99991529999999995</v>
      </c>
      <c r="N9279">
        <v>0</v>
      </c>
      <c r="O9279">
        <v>-3.383914E-3</v>
      </c>
      <c r="P9279">
        <v>0.99929029999999996</v>
      </c>
      <c r="Q9279">
        <v>3.6240590000000003E-2</v>
      </c>
      <c r="R9279">
        <v>1.026352E-2</v>
      </c>
      <c r="S9279">
        <v>3.0071720000000002</v>
      </c>
      <c r="T9279">
        <v>-0.17062079999999999</v>
      </c>
      <c r="U9279">
        <v>0.10664369999999999</v>
      </c>
      <c r="V9279">
        <v>-1.365214E-2</v>
      </c>
      <c r="W9279">
        <v>4.8790939999999998E-2</v>
      </c>
      <c r="X9279">
        <v>0.99871569999999998</v>
      </c>
      <c r="Y9279">
        <v>-3.8754999999999998E-2</v>
      </c>
      <c r="Z9279">
        <v>1.2900120000000001E-3</v>
      </c>
      <c r="AA9279">
        <v>0.99924789999999997</v>
      </c>
      <c r="AB9279">
        <v>15</v>
      </c>
      <c r="AC9279">
        <v>19.42567</v>
      </c>
      <c r="AD9279">
        <v>-1.110474895531</v>
      </c>
      <c r="AE9279">
        <v>0.69440000000000102</v>
      </c>
      <c r="AF9279">
        <v>-0.75766322287354404</v>
      </c>
      <c r="AG9279">
        <v>-1.110474895531</v>
      </c>
      <c r="AH9279">
        <v>19.360023383040598</v>
      </c>
      <c r="AI9279">
        <v>93.280335712065494</v>
      </c>
      <c r="AJ9279">
        <v>92.241152398124697</v>
      </c>
      <c r="AK9279">
        <v>19.406640962432899</v>
      </c>
      <c r="AL9279">
        <v>87.203374703759906</v>
      </c>
      <c r="AM9279">
        <v>90.783167108894204</v>
      </c>
      <c r="AN9279">
        <v>0.99999999308957599</v>
      </c>
    </row>
    <row r="9280" spans="1:40" x14ac:dyDescent="0.25">
      <c r="A9280" t="str">
        <f>"20190312160549923"</f>
        <v>20190312160549923</v>
      </c>
      <c r="B9280" t="str">
        <f>"1552377949914548"</f>
        <v>1552377949914548</v>
      </c>
      <c r="C9280" t="s">
        <v>40</v>
      </c>
      <c r="D9280">
        <v>5.0371880000000004</v>
      </c>
      <c r="E9280">
        <v>0.4900793</v>
      </c>
      <c r="F9280" t="s">
        <v>41</v>
      </c>
      <c r="G9280">
        <v>-93.899379999999994</v>
      </c>
      <c r="H9280" s="1">
        <v>-2.7151160000000001E-6</v>
      </c>
      <c r="I9280">
        <v>138.96430000000001</v>
      </c>
      <c r="J9280">
        <v>-112.73990000000001</v>
      </c>
      <c r="K9280">
        <v>1.110474</v>
      </c>
      <c r="L9280">
        <v>138.3057</v>
      </c>
      <c r="M9280">
        <v>0.99991600000000003</v>
      </c>
      <c r="N9280">
        <v>0</v>
      </c>
      <c r="O9280">
        <v>-3.2071420000000001E-3</v>
      </c>
      <c r="P9280">
        <v>0.99928989999999995</v>
      </c>
      <c r="Q9280">
        <v>3.6169060000000003E-2</v>
      </c>
      <c r="R9280">
        <v>1.0575960000000001E-2</v>
      </c>
      <c r="S9280">
        <v>3.007431</v>
      </c>
      <c r="T9280">
        <v>-0.1758632</v>
      </c>
      <c r="U9280">
        <v>0.1042633</v>
      </c>
      <c r="V9280">
        <v>-1.3788379999999999E-2</v>
      </c>
      <c r="W9280">
        <v>4.8720920000000001E-2</v>
      </c>
      <c r="X9280">
        <v>0.99871719999999997</v>
      </c>
      <c r="Y9280">
        <v>-3.7783089999999998E-2</v>
      </c>
      <c r="Z9280">
        <v>1.2907750000000001E-3</v>
      </c>
      <c r="AA9280">
        <v>0.99928510000000004</v>
      </c>
      <c r="AB9280">
        <v>15</v>
      </c>
      <c r="AC9280">
        <v>18.840520000000001</v>
      </c>
      <c r="AD9280">
        <v>-1.110476715116</v>
      </c>
      <c r="AE9280">
        <v>0.65860000000000696</v>
      </c>
      <c r="AF9280">
        <v>-0.71653936184832501</v>
      </c>
      <c r="AG9280">
        <v>-1.110476715116</v>
      </c>
      <c r="AH9280">
        <v>18.7731717982155</v>
      </c>
      <c r="AI9280">
        <v>93.382776385900499</v>
      </c>
      <c r="AJ9280">
        <v>92.185819357621199</v>
      </c>
      <c r="AK9280">
        <v>18.819632476677199</v>
      </c>
      <c r="AL9280">
        <v>87.207391201007397</v>
      </c>
      <c r="AM9280">
        <v>90.790980461307498</v>
      </c>
      <c r="AN9280">
        <v>0.99999994652225399</v>
      </c>
    </row>
    <row r="9281" spans="1:40" x14ac:dyDescent="0.25">
      <c r="A9281" t="str">
        <f>"20190312160549946"</f>
        <v>20190312160549946</v>
      </c>
      <c r="B9281" t="str">
        <f>"1552377949934068"</f>
        <v>1552377949934068</v>
      </c>
      <c r="C9281" t="s">
        <v>40</v>
      </c>
      <c r="D9281">
        <v>4.9985470000000003</v>
      </c>
      <c r="E9281">
        <v>0.49008069999999998</v>
      </c>
      <c r="F9281" t="s">
        <v>41</v>
      </c>
      <c r="G9281">
        <v>-93.729259999999996</v>
      </c>
      <c r="H9281" s="1">
        <v>-2.7877500000000001E-6</v>
      </c>
      <c r="I9281">
        <v>138.96629999999999</v>
      </c>
      <c r="J9281">
        <v>-112.5896</v>
      </c>
      <c r="K9281">
        <v>1.110474</v>
      </c>
      <c r="L9281">
        <v>138.30549999999999</v>
      </c>
      <c r="M9281">
        <v>0.99991649999999999</v>
      </c>
      <c r="N9281">
        <v>0</v>
      </c>
      <c r="O9281">
        <v>-3.0291789999999999E-3</v>
      </c>
      <c r="P9281">
        <v>0.99928709999999998</v>
      </c>
      <c r="Q9281">
        <v>3.6048410000000003E-2</v>
      </c>
      <c r="R9281">
        <v>1.1231929999999999E-2</v>
      </c>
      <c r="S9281">
        <v>3.0073850000000002</v>
      </c>
      <c r="T9281">
        <v>-0.1756712</v>
      </c>
      <c r="U9281">
        <v>0.1045074</v>
      </c>
      <c r="V9281">
        <v>-1.426612E-2</v>
      </c>
      <c r="W9281">
        <v>4.860138E-2</v>
      </c>
      <c r="X9281">
        <v>0.99871639999999995</v>
      </c>
      <c r="Y9281">
        <v>-3.7687409999999998E-2</v>
      </c>
      <c r="Z9281">
        <v>1.276211E-3</v>
      </c>
      <c r="AA9281">
        <v>0.99928870000000003</v>
      </c>
      <c r="AB9281">
        <v>15</v>
      </c>
      <c r="AC9281">
        <v>18.860340000000001</v>
      </c>
      <c r="AD9281">
        <v>-1.1104767877499999</v>
      </c>
      <c r="AE9281">
        <v>0.66079999999999395</v>
      </c>
      <c r="AF9281">
        <v>-0.71545557247928204</v>
      </c>
      <c r="AG9281">
        <v>-1.1104767877499999</v>
      </c>
      <c r="AH9281">
        <v>18.793180623936902</v>
      </c>
      <c r="AI9281">
        <v>93.379195979460803</v>
      </c>
      <c r="AJ9281">
        <v>92.180194983630003</v>
      </c>
      <c r="AK9281">
        <v>18.839550773206899</v>
      </c>
      <c r="AL9281">
        <v>87.214248700587007</v>
      </c>
      <c r="AM9281">
        <v>90.818383354847796</v>
      </c>
      <c r="AN9281">
        <v>1.00000003197335</v>
      </c>
    </row>
    <row r="9282" spans="1:40" x14ac:dyDescent="0.25">
      <c r="A9282" t="str">
        <f>"20190312160549969"</f>
        <v>20190312160549969</v>
      </c>
      <c r="B9282" t="str">
        <f>"1552377949964327"</f>
        <v>1552377949964327</v>
      </c>
      <c r="C9282" t="s">
        <v>40</v>
      </c>
      <c r="D9282">
        <v>4.8932969999999996</v>
      </c>
      <c r="E9282">
        <v>0.49014029999999997</v>
      </c>
      <c r="F9282" t="s">
        <v>41</v>
      </c>
      <c r="G9282">
        <v>-94.088170000000005</v>
      </c>
      <c r="H9282" s="1">
        <v>-2.6350990000000002E-6</v>
      </c>
      <c r="I9282">
        <v>138.9588</v>
      </c>
      <c r="J9282">
        <v>-112.4387</v>
      </c>
      <c r="K9282">
        <v>1.110476</v>
      </c>
      <c r="L9282">
        <v>138.30520000000001</v>
      </c>
      <c r="M9282">
        <v>0.99991699999999994</v>
      </c>
      <c r="N9282">
        <v>0</v>
      </c>
      <c r="O9282">
        <v>-2.8502649999999998E-3</v>
      </c>
      <c r="P9282">
        <v>0.99927960000000005</v>
      </c>
      <c r="Q9282">
        <v>3.6144250000000003E-2</v>
      </c>
      <c r="R9282">
        <v>1.157593E-2</v>
      </c>
      <c r="S9282">
        <v>3.0074619999999999</v>
      </c>
      <c r="T9282">
        <v>-0.18051139999999999</v>
      </c>
      <c r="U9282">
        <v>0.1062164</v>
      </c>
      <c r="V9282">
        <v>-1.443177E-2</v>
      </c>
      <c r="W9282">
        <v>4.8698060000000001E-2</v>
      </c>
      <c r="X9282">
        <v>0.99870930000000002</v>
      </c>
      <c r="Y9282">
        <v>-3.8070659999999999E-2</v>
      </c>
      <c r="Z9282">
        <v>1.3120250000000001E-3</v>
      </c>
      <c r="AA9282">
        <v>0.9992742</v>
      </c>
      <c r="AB9282">
        <v>15</v>
      </c>
      <c r="AC9282">
        <v>18.350529999999999</v>
      </c>
      <c r="AD9282">
        <v>-1.1104786350989999</v>
      </c>
      <c r="AE9282">
        <v>0.65359999999998297</v>
      </c>
      <c r="AF9282">
        <v>-0.70333297630962699</v>
      </c>
      <c r="AG9282">
        <v>-1.1104786350989999</v>
      </c>
      <c r="AH9282">
        <v>18.2817287530081</v>
      </c>
      <c r="AI9282">
        <v>93.473456993199306</v>
      </c>
      <c r="AJ9282">
        <v>92.203191382313804</v>
      </c>
      <c r="AK9282">
        <v>18.328923761998102</v>
      </c>
      <c r="AL9282">
        <v>87.208702748537604</v>
      </c>
      <c r="AM9282">
        <v>90.827890522552906</v>
      </c>
      <c r="AN9282">
        <v>1.0000000214697899</v>
      </c>
    </row>
    <row r="9283" spans="1:40" x14ac:dyDescent="0.25">
      <c r="A9283" t="str">
        <f>"20190312160549992"</f>
        <v>20190312160549992</v>
      </c>
      <c r="B9283" t="str">
        <f>"1552377949984819"</f>
        <v>1552377949984819</v>
      </c>
      <c r="C9283" t="s">
        <v>40</v>
      </c>
      <c r="D9283">
        <v>4.9045809999999896</v>
      </c>
      <c r="E9283">
        <v>0.4899618</v>
      </c>
      <c r="F9283" t="s">
        <v>41</v>
      </c>
      <c r="G9283">
        <v>-94.536860000000004</v>
      </c>
      <c r="H9283" s="1">
        <v>-2.4461909999999999E-6</v>
      </c>
      <c r="I9283">
        <v>138.93870000000001</v>
      </c>
      <c r="J9283">
        <v>-112.27849999999999</v>
      </c>
      <c r="K9283">
        <v>1.110479</v>
      </c>
      <c r="L9283">
        <v>138.30500000000001</v>
      </c>
      <c r="M9283">
        <v>0.99991759999999996</v>
      </c>
      <c r="N9283">
        <v>0</v>
      </c>
      <c r="O9283">
        <v>-2.6608579999999999E-3</v>
      </c>
      <c r="P9283">
        <v>0.99926970000000004</v>
      </c>
      <c r="Q9283">
        <v>3.6325240000000002E-2</v>
      </c>
      <c r="R9283">
        <v>1.186688E-2</v>
      </c>
      <c r="S9283">
        <v>3.0076749999999999</v>
      </c>
      <c r="T9283">
        <v>-0.18657080000000001</v>
      </c>
      <c r="U9283">
        <v>0.1064301</v>
      </c>
      <c r="V9283">
        <v>-1.453308E-2</v>
      </c>
      <c r="W9283">
        <v>4.8879989999999998E-2</v>
      </c>
      <c r="X9283">
        <v>0.99869889999999995</v>
      </c>
      <c r="Y9283">
        <v>-3.7945350000000003E-2</v>
      </c>
      <c r="Z9283">
        <v>1.34027E-3</v>
      </c>
      <c r="AA9283">
        <v>0.99927889999999997</v>
      </c>
      <c r="AB9283">
        <v>15</v>
      </c>
      <c r="AC9283">
        <v>17.741639999999901</v>
      </c>
      <c r="AD9283">
        <v>-1.110481446191</v>
      </c>
      <c r="AE9283">
        <v>0.63370000000000404</v>
      </c>
      <c r="AF9283">
        <v>-0.67825562387351601</v>
      </c>
      <c r="AG9283">
        <v>-1.110481446191</v>
      </c>
      <c r="AH9283">
        <v>17.670749754222999</v>
      </c>
      <c r="AI9283">
        <v>93.593266179969802</v>
      </c>
      <c r="AJ9283">
        <v>92.198102399333393</v>
      </c>
      <c r="AK9283">
        <v>17.718594656744699</v>
      </c>
      <c r="AL9283">
        <v>87.198266378208501</v>
      </c>
      <c r="AM9283">
        <v>90.833710118323907</v>
      </c>
      <c r="AN9283">
        <v>0.99999997834894705</v>
      </c>
    </row>
    <row r="9284" spans="1:40" x14ac:dyDescent="0.25">
      <c r="A9284" t="str">
        <f>"20190312160550016"</f>
        <v>20190312160550016</v>
      </c>
      <c r="B9284" t="str">
        <f>"1552377950004341"</f>
        <v>1552377950004341</v>
      </c>
      <c r="C9284" t="s">
        <v>40</v>
      </c>
      <c r="D9284">
        <v>4.8615930000000001</v>
      </c>
      <c r="E9284">
        <v>0.4900178</v>
      </c>
      <c r="F9284" t="s">
        <v>41</v>
      </c>
      <c r="G9284">
        <v>-94.715130000000002</v>
      </c>
      <c r="H9284" s="1">
        <v>-2.3696749999999999E-6</v>
      </c>
      <c r="I9284">
        <v>138.93889999999999</v>
      </c>
      <c r="J9284">
        <v>-112.1207</v>
      </c>
      <c r="K9284">
        <v>1.110482</v>
      </c>
      <c r="L9284">
        <v>138.3048</v>
      </c>
      <c r="M9284">
        <v>0.99991799999999997</v>
      </c>
      <c r="N9284">
        <v>0</v>
      </c>
      <c r="O9284">
        <v>-2.4740719999999999E-3</v>
      </c>
      <c r="P9284">
        <v>0.99926389999999998</v>
      </c>
      <c r="Q9284">
        <v>3.6356779999999998E-2</v>
      </c>
      <c r="R9284">
        <v>1.225383E-2</v>
      </c>
      <c r="S9284">
        <v>3.0078429999999998</v>
      </c>
      <c r="T9284">
        <v>-0.19017690000000001</v>
      </c>
      <c r="U9284">
        <v>0.1085663</v>
      </c>
      <c r="V9284">
        <v>-1.4733069999999999E-2</v>
      </c>
      <c r="W9284">
        <v>4.8912379999999998E-2</v>
      </c>
      <c r="X9284">
        <v>0.99869439999999998</v>
      </c>
      <c r="Y9284">
        <v>-3.8461820000000001E-2</v>
      </c>
      <c r="Z9284">
        <v>1.3705410000000001E-3</v>
      </c>
      <c r="AA9284">
        <v>0.99925909999999996</v>
      </c>
      <c r="AB9284">
        <v>15</v>
      </c>
      <c r="AC9284">
        <v>17.405569999999901</v>
      </c>
      <c r="AD9284">
        <v>-1.110484369675</v>
      </c>
      <c r="AE9284">
        <v>0.63409999999998901</v>
      </c>
      <c r="AF9284">
        <v>-0.674422489878862</v>
      </c>
      <c r="AG9284">
        <v>-1.110484369675</v>
      </c>
      <c r="AH9284">
        <v>17.333485251199001</v>
      </c>
      <c r="AI9284">
        <v>93.662928758561193</v>
      </c>
      <c r="AJ9284">
        <v>92.228177415632999</v>
      </c>
      <c r="AK9284">
        <v>17.382109543541599</v>
      </c>
      <c r="AL9284">
        <v>87.196408390534899</v>
      </c>
      <c r="AM9284">
        <v>90.845184974486699</v>
      </c>
      <c r="AN9284">
        <v>0.999999994430124</v>
      </c>
    </row>
    <row r="9285" spans="1:40" x14ac:dyDescent="0.25">
      <c r="A9285" t="str">
        <f>"20190312160550037"</f>
        <v>20190312160550037</v>
      </c>
      <c r="B9285" t="str">
        <f>"1552377950024836"</f>
        <v>1552377950024836</v>
      </c>
      <c r="C9285" t="s">
        <v>40</v>
      </c>
      <c r="D9285">
        <v>4.8791070000000003</v>
      </c>
      <c r="E9285">
        <v>0.4898383</v>
      </c>
      <c r="F9285" t="s">
        <v>41</v>
      </c>
      <c r="G9285">
        <v>-94.783550000000005</v>
      </c>
      <c r="H9285" s="1">
        <v>-2.3412749999999999E-6</v>
      </c>
      <c r="I9285">
        <v>138.93350000000001</v>
      </c>
      <c r="J9285">
        <v>-111.9816</v>
      </c>
      <c r="K9285">
        <v>1.110487</v>
      </c>
      <c r="L9285">
        <v>138.30459999999999</v>
      </c>
      <c r="M9285">
        <v>0.99991839999999999</v>
      </c>
      <c r="N9285">
        <v>0</v>
      </c>
      <c r="O9285">
        <v>-2.3093390000000001E-3</v>
      </c>
      <c r="P9285">
        <v>0.99924089999999999</v>
      </c>
      <c r="Q9285">
        <v>3.6852950000000002E-2</v>
      </c>
      <c r="R9285">
        <v>1.264732E-2</v>
      </c>
      <c r="S9285">
        <v>3.0078740000000002</v>
      </c>
      <c r="T9285">
        <v>-0.1926609</v>
      </c>
      <c r="U9285">
        <v>0.1090851</v>
      </c>
      <c r="V9285">
        <v>-1.496224E-2</v>
      </c>
      <c r="W9285">
        <v>4.9409120000000001E-2</v>
      </c>
      <c r="X9285">
        <v>0.99866650000000001</v>
      </c>
      <c r="Y9285">
        <v>-3.8467139999999997E-2</v>
      </c>
      <c r="Z9285">
        <v>1.37802E-3</v>
      </c>
      <c r="AA9285">
        <v>0.99925889999999995</v>
      </c>
      <c r="AB9285">
        <v>15</v>
      </c>
      <c r="AC9285">
        <v>17.198049999999899</v>
      </c>
      <c r="AD9285">
        <v>-1.1104893412749901</v>
      </c>
      <c r="AE9285">
        <v>0.628900000000015</v>
      </c>
      <c r="AF9285">
        <v>-0.66584513856015703</v>
      </c>
      <c r="AG9285">
        <v>-1.1104893412749901</v>
      </c>
      <c r="AH9285">
        <v>17.125245553411801</v>
      </c>
      <c r="AI9285">
        <v>93.707366328765801</v>
      </c>
      <c r="AJ9285">
        <v>92.226590525903205</v>
      </c>
      <c r="AK9285">
        <v>17.174125060400598</v>
      </c>
      <c r="AL9285">
        <v>87.167912715381206</v>
      </c>
      <c r="AM9285">
        <v>90.858353684190007</v>
      </c>
      <c r="AN9285">
        <v>0.99999995399361996</v>
      </c>
    </row>
    <row r="9286" spans="1:40" x14ac:dyDescent="0.25">
      <c r="A9286" t="str">
        <f>"20190312160550058"</f>
        <v>20190312160550058</v>
      </c>
      <c r="B9286" t="str">
        <f>"1552377950044355"</f>
        <v>1552377950044355</v>
      </c>
      <c r="C9286" t="s">
        <v>40</v>
      </c>
      <c r="D9286">
        <v>4.8319900000000002</v>
      </c>
      <c r="E9286">
        <v>0.48982779999999998</v>
      </c>
      <c r="F9286" t="s">
        <v>41</v>
      </c>
      <c r="G9286">
        <v>-94.58614</v>
      </c>
      <c r="H9286" s="1">
        <v>-2.4228980000000001E-6</v>
      </c>
      <c r="I9286">
        <v>138.95079999999999</v>
      </c>
      <c r="J9286">
        <v>-111.839</v>
      </c>
      <c r="K9286">
        <v>1.110493</v>
      </c>
      <c r="L9286">
        <v>138.30449999999999</v>
      </c>
      <c r="M9286">
        <v>0.99991870000000005</v>
      </c>
      <c r="N9286">
        <v>0</v>
      </c>
      <c r="O9286">
        <v>-2.1403450000000001E-3</v>
      </c>
      <c r="P9286">
        <v>0.99922650000000002</v>
      </c>
      <c r="Q9286">
        <v>3.710977E-2</v>
      </c>
      <c r="R9286">
        <v>1.302066E-2</v>
      </c>
      <c r="S9286">
        <v>3.0079500000000001</v>
      </c>
      <c r="T9286">
        <v>-0.19202130000000001</v>
      </c>
      <c r="U9286">
        <v>0.11174009999999999</v>
      </c>
      <c r="V9286">
        <v>-1.5166809999999999E-2</v>
      </c>
      <c r="W9286">
        <v>4.9671050000000001E-2</v>
      </c>
      <c r="X9286">
        <v>0.9986505</v>
      </c>
      <c r="Y9286">
        <v>-3.9177620000000003E-2</v>
      </c>
      <c r="Z9286">
        <v>1.3852700000000001E-3</v>
      </c>
      <c r="AA9286">
        <v>0.99923130000000004</v>
      </c>
      <c r="AB9286">
        <v>15</v>
      </c>
      <c r="AC9286">
        <v>17.252859999999998</v>
      </c>
      <c r="AD9286">
        <v>-1.110495422898</v>
      </c>
      <c r="AE9286">
        <v>0.64629999999999599</v>
      </c>
      <c r="AF9286">
        <v>-0.68041353006699701</v>
      </c>
      <c r="AG9286">
        <v>-1.110495422898</v>
      </c>
      <c r="AH9286">
        <v>17.1803591630743</v>
      </c>
      <c r="AI9286">
        <v>93.695422068804007</v>
      </c>
      <c r="AJ9286">
        <v>92.267965411431007</v>
      </c>
      <c r="AK9286">
        <v>17.2296518719447</v>
      </c>
      <c r="AL9286">
        <v>87.152887007131795</v>
      </c>
      <c r="AM9286">
        <v>90.870101600632196</v>
      </c>
      <c r="AN9286">
        <v>1.0000000332419601</v>
      </c>
    </row>
    <row r="9287" spans="1:40" x14ac:dyDescent="0.25">
      <c r="A9287" t="str">
        <f>"20190312160550080"</f>
        <v>20190312160550080</v>
      </c>
      <c r="B9287" t="str">
        <f>"1552377950074611"</f>
        <v>1552377950074611</v>
      </c>
      <c r="C9287" t="s">
        <v>40</v>
      </c>
      <c r="D9287">
        <v>4.8419660000000002</v>
      </c>
      <c r="E9287">
        <v>0.49021310000000001</v>
      </c>
      <c r="F9287" t="s">
        <v>41</v>
      </c>
      <c r="G9287">
        <v>-94.352419999999995</v>
      </c>
      <c r="H9287" s="1">
        <v>-2.5211479999999999E-6</v>
      </c>
      <c r="I9287">
        <v>138.9622</v>
      </c>
      <c r="J9287">
        <v>-111.6906</v>
      </c>
      <c r="K9287">
        <v>1.110498</v>
      </c>
      <c r="L9287">
        <v>138.30439999999999</v>
      </c>
      <c r="M9287">
        <v>0.9999188</v>
      </c>
      <c r="N9287">
        <v>0</v>
      </c>
      <c r="O9287">
        <v>-1.9650140000000002E-3</v>
      </c>
      <c r="P9287">
        <v>0.99923059999999997</v>
      </c>
      <c r="Q9287">
        <v>3.6843540000000001E-2</v>
      </c>
      <c r="R9287">
        <v>1.34415E-2</v>
      </c>
      <c r="S9287">
        <v>3.0079500000000001</v>
      </c>
      <c r="T9287">
        <v>-0.191021</v>
      </c>
      <c r="U9287">
        <v>0.1131287</v>
      </c>
      <c r="V9287">
        <v>-1.5412230000000001E-2</v>
      </c>
      <c r="W9287">
        <v>4.9425299999999998E-2</v>
      </c>
      <c r="X9287">
        <v>0.99865890000000002</v>
      </c>
      <c r="Y9287">
        <v>-3.9463690000000003E-2</v>
      </c>
      <c r="Z9287">
        <v>1.3760070000000001E-3</v>
      </c>
      <c r="AA9287">
        <v>0.99922010000000006</v>
      </c>
      <c r="AB9287">
        <v>15</v>
      </c>
      <c r="AC9287">
        <v>17.338180000000001</v>
      </c>
      <c r="AD9287">
        <v>-1.1105005211479999</v>
      </c>
      <c r="AE9287">
        <v>0.65780000000000804</v>
      </c>
      <c r="AF9287">
        <v>-0.68904855597789705</v>
      </c>
      <c r="AG9287">
        <v>-1.1105005211479999</v>
      </c>
      <c r="AH9287">
        <v>17.266124312456402</v>
      </c>
      <c r="AI9287">
        <v>93.677089146926804</v>
      </c>
      <c r="AJ9287">
        <v>92.285320948841203</v>
      </c>
      <c r="AK9287">
        <v>17.315514664403299</v>
      </c>
      <c r="AL9287">
        <v>87.166984659892094</v>
      </c>
      <c r="AM9287">
        <v>90.884171396825494</v>
      </c>
      <c r="AN9287">
        <v>0.999999997831436</v>
      </c>
    </row>
    <row r="9288" spans="1:40" x14ac:dyDescent="0.25">
      <c r="A9288" t="str">
        <f>"20190312160550102"</f>
        <v>20190312160550102</v>
      </c>
      <c r="B9288" t="str">
        <f>"1552377950094547"</f>
        <v>1552377950094547</v>
      </c>
      <c r="C9288" t="s">
        <v>40</v>
      </c>
      <c r="D9288">
        <v>4.8388989999999996</v>
      </c>
      <c r="E9288">
        <v>0.49044290000000001</v>
      </c>
      <c r="F9288" t="s">
        <v>41</v>
      </c>
      <c r="G9288">
        <v>-94.445849999999993</v>
      </c>
      <c r="H9288" s="1">
        <v>-2.484857E-6</v>
      </c>
      <c r="I9288">
        <v>138.9408</v>
      </c>
      <c r="J9288">
        <v>-111.54470000000001</v>
      </c>
      <c r="K9288">
        <v>1.1105160000000001</v>
      </c>
      <c r="L9288">
        <v>138.30430000000001</v>
      </c>
      <c r="M9288">
        <v>0.99991819999999998</v>
      </c>
      <c r="N9288">
        <v>0</v>
      </c>
      <c r="O9288">
        <v>-1.793111E-3</v>
      </c>
      <c r="P9288">
        <v>0.99923890000000004</v>
      </c>
      <c r="Q9288">
        <v>3.6470290000000002E-2</v>
      </c>
      <c r="R9288">
        <v>1.3847430000000001E-2</v>
      </c>
      <c r="S9288">
        <v>3.0079500000000001</v>
      </c>
      <c r="T9288">
        <v>-0.1937006</v>
      </c>
      <c r="U9288">
        <v>0.1110077</v>
      </c>
      <c r="V9288">
        <v>-1.5646279999999999E-2</v>
      </c>
      <c r="W9288">
        <v>4.9124319999999999E-2</v>
      </c>
      <c r="X9288">
        <v>0.99867010000000001</v>
      </c>
      <c r="Y9288">
        <v>-3.8588110000000002E-2</v>
      </c>
      <c r="Z9288">
        <v>1.3560789999999901E-3</v>
      </c>
      <c r="AA9288">
        <v>0.99925430000000004</v>
      </c>
      <c r="AB9288">
        <v>15</v>
      </c>
      <c r="AC9288">
        <v>17.098849999999999</v>
      </c>
      <c r="AD9288">
        <v>-1.110518484857</v>
      </c>
      <c r="AE9288">
        <v>0.63649999999998297</v>
      </c>
      <c r="AF9288">
        <v>-0.66436309348365397</v>
      </c>
      <c r="AG9288">
        <v>-1.110518484857</v>
      </c>
      <c r="AH9288">
        <v>17.025963113516202</v>
      </c>
      <c r="AI9288">
        <v>93.7290014306963</v>
      </c>
      <c r="AJ9288">
        <v>92.234581342576107</v>
      </c>
      <c r="AK9288">
        <v>17.075070997451402</v>
      </c>
      <c r="AL9288">
        <v>87.184250486073097</v>
      </c>
      <c r="AM9288">
        <v>90.897586171341203</v>
      </c>
      <c r="AN9288">
        <v>0.99999998676365498</v>
      </c>
    </row>
    <row r="9289" spans="1:40" x14ac:dyDescent="0.25">
      <c r="A9289" t="str">
        <f>"20190312160550124"</f>
        <v>20190312160550124</v>
      </c>
      <c r="B9289" t="str">
        <f>"1552377950114067"</f>
        <v>1552377950114067</v>
      </c>
      <c r="C9289" t="s">
        <v>40</v>
      </c>
      <c r="D9289">
        <v>4.8400449999999999</v>
      </c>
      <c r="E9289">
        <v>0.49057719999999999</v>
      </c>
      <c r="F9289" t="s">
        <v>41</v>
      </c>
      <c r="G9289">
        <v>-94.613749999999996</v>
      </c>
      <c r="H9289" s="1">
        <v>-2.4155399999999998E-6</v>
      </c>
      <c r="I9289">
        <v>138.9255</v>
      </c>
      <c r="J9289">
        <v>-111.3954</v>
      </c>
      <c r="K9289">
        <v>1.1105560000000001</v>
      </c>
      <c r="L9289">
        <v>138.30420000000001</v>
      </c>
      <c r="M9289">
        <v>0.99991640000000004</v>
      </c>
      <c r="N9289">
        <v>0</v>
      </c>
      <c r="O9289">
        <v>-1.6174889999999999E-3</v>
      </c>
      <c r="P9289">
        <v>0.99924990000000002</v>
      </c>
      <c r="Q9289">
        <v>3.62624E-2</v>
      </c>
      <c r="R9289">
        <v>1.3594409999999999E-2</v>
      </c>
      <c r="S9289">
        <v>3.0079500000000001</v>
      </c>
      <c r="T9289">
        <v>-0.19729469999999999</v>
      </c>
      <c r="U9289">
        <v>0.1103668</v>
      </c>
      <c r="V9289">
        <v>-1.521773E-2</v>
      </c>
      <c r="W9289">
        <v>4.9077639999999999E-2</v>
      </c>
      <c r="X9289">
        <v>0.99867899999999998</v>
      </c>
      <c r="Y9289">
        <v>-3.8198080000000002E-2</v>
      </c>
      <c r="Z9289">
        <v>1.356915E-3</v>
      </c>
      <c r="AA9289">
        <v>0.99926919999999997</v>
      </c>
      <c r="AB9289">
        <v>15</v>
      </c>
      <c r="AC9289">
        <v>16.781649999999999</v>
      </c>
      <c r="AD9289">
        <v>-1.1105584155399999</v>
      </c>
      <c r="AE9289">
        <v>0.62129999999998997</v>
      </c>
      <c r="AF9289">
        <v>-0.64562199579970403</v>
      </c>
      <c r="AG9289">
        <v>-1.1105584155399999</v>
      </c>
      <c r="AH9289">
        <v>16.707554293293001</v>
      </c>
      <c r="AI9289">
        <v>93.800053411916593</v>
      </c>
      <c r="AJ9289">
        <v>92.212952233636997</v>
      </c>
      <c r="AK9289">
        <v>16.7568654055321</v>
      </c>
      <c r="AL9289">
        <v>87.186928234534193</v>
      </c>
      <c r="AM9289">
        <v>90.872997458068298</v>
      </c>
      <c r="AN9289">
        <v>0.99999996954766002</v>
      </c>
    </row>
    <row r="9290" spans="1:40" x14ac:dyDescent="0.25">
      <c r="A9290" t="str">
        <f>"20190312160550148"</f>
        <v>20190312160550148</v>
      </c>
      <c r="B9290" t="str">
        <f>"1552377950144322"</f>
        <v>1552377950144322</v>
      </c>
      <c r="C9290" t="s">
        <v>40</v>
      </c>
      <c r="D9290">
        <v>4.8924629999999896</v>
      </c>
      <c r="E9290">
        <v>0.51722990000000002</v>
      </c>
      <c r="F9290" t="s">
        <v>41</v>
      </c>
      <c r="G9290">
        <v>-94.600219999999993</v>
      </c>
      <c r="H9290" s="1">
        <v>-2.423917E-6</v>
      </c>
      <c r="I9290">
        <v>138.911</v>
      </c>
      <c r="J9290">
        <v>-111.24850000000001</v>
      </c>
      <c r="K9290">
        <v>1.1106149999999999</v>
      </c>
      <c r="L9290">
        <v>138.30420000000001</v>
      </c>
      <c r="M9290">
        <v>0.99991359999999996</v>
      </c>
      <c r="N9290">
        <v>0</v>
      </c>
      <c r="O9290">
        <v>-1.4449269999999999E-3</v>
      </c>
      <c r="P9290">
        <v>0.99925989999999998</v>
      </c>
      <c r="Q9290">
        <v>3.6141600000000003E-2</v>
      </c>
      <c r="R9290">
        <v>1.3184E-2</v>
      </c>
      <c r="S9290">
        <v>3.0079959999999999</v>
      </c>
      <c r="T9290">
        <v>-0.19889889999999999</v>
      </c>
      <c r="U9290">
        <v>0.10867309999999999</v>
      </c>
      <c r="V9290">
        <v>-1.463428E-2</v>
      </c>
      <c r="W9290">
        <v>4.920385E-2</v>
      </c>
      <c r="X9290">
        <v>0.9986815</v>
      </c>
      <c r="Y9290">
        <v>-3.7463740000000002E-2</v>
      </c>
      <c r="Z9290">
        <v>1.3322780000000001E-3</v>
      </c>
      <c r="AA9290">
        <v>0.99929710000000005</v>
      </c>
      <c r="AB9290">
        <v>15</v>
      </c>
      <c r="AC9290">
        <v>16.64828</v>
      </c>
      <c r="AD9290">
        <v>-1.1106174239169999</v>
      </c>
      <c r="AE9290">
        <v>0.60679999999999201</v>
      </c>
      <c r="AF9290">
        <v>-0.62806559114111904</v>
      </c>
      <c r="AG9290">
        <v>-1.1106174239169999</v>
      </c>
      <c r="AH9290">
        <v>16.573725408122002</v>
      </c>
      <c r="AI9290">
        <v>93.830958943366795</v>
      </c>
      <c r="AJ9290">
        <v>92.170199873705997</v>
      </c>
      <c r="AK9290">
        <v>16.622764852843002</v>
      </c>
      <c r="AL9290">
        <v>87.179688159284893</v>
      </c>
      <c r="AM9290">
        <v>90.839529392220896</v>
      </c>
      <c r="AN9290">
        <v>0.99999995972409395</v>
      </c>
    </row>
    <row r="9291" spans="1:40" x14ac:dyDescent="0.25">
      <c r="A9291" t="str">
        <f>"20190312160550169"</f>
        <v>20190312160550169</v>
      </c>
      <c r="B9291" t="str">
        <f>"1552377950164818"</f>
        <v>1552377950164818</v>
      </c>
      <c r="C9291" t="s">
        <v>40</v>
      </c>
      <c r="D9291">
        <v>4.8475460000000004</v>
      </c>
      <c r="E9291">
        <v>0.52123180000000002</v>
      </c>
      <c r="F9291" t="s">
        <v>41</v>
      </c>
      <c r="G9291">
        <v>-93.272239999999996</v>
      </c>
      <c r="H9291" s="1">
        <v>-3.2121769999999999E-6</v>
      </c>
      <c r="I9291">
        <v>137.6788</v>
      </c>
      <c r="J9291">
        <v>-111.10250000000001</v>
      </c>
      <c r="K9291">
        <v>1.110673</v>
      </c>
      <c r="L9291">
        <v>138.30420000000001</v>
      </c>
      <c r="M9291">
        <v>0.99990979999999996</v>
      </c>
      <c r="N9291">
        <v>0</v>
      </c>
      <c r="O9291">
        <v>-1.273751E-3</v>
      </c>
      <c r="P9291">
        <v>0.99926700000000002</v>
      </c>
      <c r="Q9291">
        <v>3.6075509999999998E-2</v>
      </c>
      <c r="R9291">
        <v>1.2807239999999999E-2</v>
      </c>
      <c r="S9291">
        <v>3.0103300000000002</v>
      </c>
      <c r="T9291">
        <v>-0.18598529999999999</v>
      </c>
      <c r="U9291">
        <v>-0.1047211</v>
      </c>
      <c r="V9291">
        <v>-1.4086960000000001E-2</v>
      </c>
      <c r="W9291">
        <v>4.942912E-2</v>
      </c>
      <c r="X9291">
        <v>0.99867830000000002</v>
      </c>
      <c r="Y9291">
        <v>3.3431839999999997E-2</v>
      </c>
      <c r="Z9291">
        <v>-9.5285110000000004E-4</v>
      </c>
      <c r="AA9291">
        <v>0.99944060000000001</v>
      </c>
      <c r="AB9291">
        <v>15</v>
      </c>
      <c r="AC9291">
        <v>17.830259999999999</v>
      </c>
      <c r="AD9291">
        <v>-1.110676212177</v>
      </c>
      <c r="AE9291">
        <v>-0.62540000000001295</v>
      </c>
      <c r="AF9291">
        <v>0.60035946900403003</v>
      </c>
      <c r="AG9291">
        <v>-1.110676212177</v>
      </c>
      <c r="AH9291">
        <v>17.7622051188524</v>
      </c>
      <c r="AI9291">
        <v>93.576027522243805</v>
      </c>
      <c r="AJ9291">
        <v>88.064149501792997</v>
      </c>
      <c r="AK9291">
        <v>17.807020071435499</v>
      </c>
      <c r="AL9291">
        <v>87.166765566932895</v>
      </c>
      <c r="AM9291">
        <v>90.808137945896604</v>
      </c>
      <c r="AN9291">
        <v>1.0000000136184499</v>
      </c>
    </row>
    <row r="9292" spans="1:40" x14ac:dyDescent="0.25">
      <c r="A9292" t="str">
        <f>"20190312160550192"</f>
        <v>20190312160550192</v>
      </c>
      <c r="B9292" t="str">
        <f>"1552377950184338"</f>
        <v>1552377950184338</v>
      </c>
      <c r="C9292" t="s">
        <v>40</v>
      </c>
      <c r="D9292">
        <v>4.8791359999999999</v>
      </c>
      <c r="E9292">
        <v>0.52312579999999997</v>
      </c>
      <c r="F9292" t="s">
        <v>41</v>
      </c>
      <c r="G9292">
        <v>-91.651210000000006</v>
      </c>
      <c r="H9292" s="1">
        <v>-3.9543810000000003E-6</v>
      </c>
      <c r="I9292">
        <v>137.4151</v>
      </c>
      <c r="J9292">
        <v>-110.9562</v>
      </c>
      <c r="K9292">
        <v>1.1107209999999901</v>
      </c>
      <c r="L9292">
        <v>138.30420000000001</v>
      </c>
      <c r="M9292">
        <v>0.99990610000000002</v>
      </c>
      <c r="N9292">
        <v>0</v>
      </c>
      <c r="O9292">
        <v>-1.1026289999999999E-3</v>
      </c>
      <c r="P9292">
        <v>0.99927169999999998</v>
      </c>
      <c r="Q9292">
        <v>3.599753E-2</v>
      </c>
      <c r="R9292">
        <v>1.2647159999999999E-2</v>
      </c>
      <c r="S9292">
        <v>3.0101619999999998</v>
      </c>
      <c r="T9292">
        <v>-0.17188129999999999</v>
      </c>
      <c r="U9292">
        <v>-0.1375885</v>
      </c>
      <c r="V9292">
        <v>-1.3755369999999999E-2</v>
      </c>
      <c r="W9292">
        <v>4.9644870000000001E-2</v>
      </c>
      <c r="X9292">
        <v>0.99867220000000001</v>
      </c>
      <c r="Y9292">
        <v>4.448821E-2</v>
      </c>
      <c r="Z9292">
        <v>-1.20557E-3</v>
      </c>
      <c r="AA9292">
        <v>0.99900919999999904</v>
      </c>
      <c r="AB9292">
        <v>15</v>
      </c>
      <c r="AC9292">
        <v>19.30499</v>
      </c>
      <c r="AD9292">
        <v>-1.1107249543809901</v>
      </c>
      <c r="AE9292">
        <v>-0.88910000000001299</v>
      </c>
      <c r="AF9292">
        <v>0.86495399175036802</v>
      </c>
      <c r="AG9292">
        <v>-1.1107249543809901</v>
      </c>
      <c r="AH9292">
        <v>19.2423944696971</v>
      </c>
      <c r="AI9292">
        <v>93.3002820361164</v>
      </c>
      <c r="AJ9292">
        <v>87.426262332268493</v>
      </c>
      <c r="AK9292">
        <v>19.293822852393902</v>
      </c>
      <c r="AL9292">
        <v>87.154388749381297</v>
      </c>
      <c r="AM9292">
        <v>90.7891226099742</v>
      </c>
      <c r="AN9292">
        <v>0.99999999318699595</v>
      </c>
    </row>
    <row r="9293" spans="1:40" x14ac:dyDescent="0.25">
      <c r="A9293" t="str">
        <f>"20190312160550214"</f>
        <v>20190312160550214</v>
      </c>
      <c r="B9293" t="str">
        <f>"1552377950204834"</f>
        <v>1552377950204834</v>
      </c>
      <c r="C9293" t="s">
        <v>40</v>
      </c>
      <c r="D9293">
        <v>4.9639410000000002</v>
      </c>
      <c r="E9293">
        <v>0.52416269999999998</v>
      </c>
      <c r="F9293" t="s">
        <v>41</v>
      </c>
      <c r="G9293">
        <v>-91.3476</v>
      </c>
      <c r="H9293" s="1">
        <v>-4.1038800000000001E-6</v>
      </c>
      <c r="I9293">
        <v>137.3066</v>
      </c>
      <c r="J9293">
        <v>-110.8109</v>
      </c>
      <c r="K9293">
        <v>1.1107610000000001</v>
      </c>
      <c r="L9293">
        <v>138.30420000000001</v>
      </c>
      <c r="M9293">
        <v>0.99990239999999997</v>
      </c>
      <c r="N9293">
        <v>0</v>
      </c>
      <c r="O9293">
        <v>-9.3288020000000004E-4</v>
      </c>
      <c r="P9293">
        <v>0.99929880000000004</v>
      </c>
      <c r="Q9293">
        <v>3.5315720000000002E-2</v>
      </c>
      <c r="R9293">
        <v>1.244747E-2</v>
      </c>
      <c r="S9293">
        <v>3.0102690000000001</v>
      </c>
      <c r="T9293">
        <v>-0.1705161</v>
      </c>
      <c r="U9293">
        <v>-0.1531525</v>
      </c>
      <c r="V9293">
        <v>-1.338658E-2</v>
      </c>
      <c r="W9293">
        <v>4.9242899999999999E-2</v>
      </c>
      <c r="X9293">
        <v>0.9986971</v>
      </c>
      <c r="Y9293">
        <v>4.9801030000000003E-2</v>
      </c>
      <c r="Z9293">
        <v>-1.355675E-3</v>
      </c>
      <c r="AA9293">
        <v>0.99875829999999999</v>
      </c>
      <c r="AB9293">
        <v>15</v>
      </c>
      <c r="AC9293">
        <v>19.4633</v>
      </c>
      <c r="AD9293">
        <v>-1.1107651038799999</v>
      </c>
      <c r="AE9293">
        <v>-0.99760000000000504</v>
      </c>
      <c r="AF9293">
        <v>0.97626954163191404</v>
      </c>
      <c r="AG9293">
        <v>-1.1107651038799999</v>
      </c>
      <c r="AH9293">
        <v>19.401199035709201</v>
      </c>
      <c r="AI9293">
        <v>93.272611826676794</v>
      </c>
      <c r="AJ9293">
        <v>87.119302586241204</v>
      </c>
      <c r="AK9293">
        <v>19.457477363654299</v>
      </c>
      <c r="AL9293">
        <v>87.177448102598802</v>
      </c>
      <c r="AM9293">
        <v>90.767949167141794</v>
      </c>
      <c r="AN9293">
        <v>0.99999998063645701</v>
      </c>
    </row>
    <row r="9294" spans="1:40" x14ac:dyDescent="0.25">
      <c r="A9294" t="str">
        <f>"20190312160550248"</f>
        <v>20190312160550248</v>
      </c>
      <c r="B9294" t="str">
        <f>"1552377950244850"</f>
        <v>1552377950244850</v>
      </c>
      <c r="C9294" t="s">
        <v>40</v>
      </c>
      <c r="D9294">
        <v>5.0164559999999998</v>
      </c>
      <c r="E9294">
        <v>0.52404589999999995</v>
      </c>
      <c r="F9294" t="s">
        <v>41</v>
      </c>
      <c r="G9294">
        <v>-90.085059999999999</v>
      </c>
      <c r="H9294" s="1">
        <v>-4.6658770000000001E-6</v>
      </c>
      <c r="I9294">
        <v>137.1917</v>
      </c>
      <c r="J9294">
        <v>-110.5959</v>
      </c>
      <c r="K9294">
        <v>1.1108089999999999</v>
      </c>
      <c r="L9294">
        <v>138.30439999999999</v>
      </c>
      <c r="M9294">
        <v>0.99989709999999998</v>
      </c>
      <c r="N9294">
        <v>0</v>
      </c>
      <c r="O9294">
        <v>-6.8109720000000004E-4</v>
      </c>
      <c r="P9294">
        <v>0.99931999999999999</v>
      </c>
      <c r="Q9294">
        <v>3.4867250000000002E-2</v>
      </c>
      <c r="R9294">
        <v>1.19965E-2</v>
      </c>
      <c r="S9294">
        <v>3.009811</v>
      </c>
      <c r="T9294">
        <v>-0.16130529999999901</v>
      </c>
      <c r="U9294">
        <v>-0.16156010000000001</v>
      </c>
      <c r="V9294">
        <v>-1.2683720000000001E-2</v>
      </c>
      <c r="W9294">
        <v>4.9181469999999998E-2</v>
      </c>
      <c r="X9294">
        <v>0.99870930000000002</v>
      </c>
      <c r="Y9294">
        <v>5.2845789999999997E-2</v>
      </c>
      <c r="Z9294">
        <v>-1.3776019999999999E-3</v>
      </c>
      <c r="AA9294">
        <v>0.99860170000000004</v>
      </c>
      <c r="AB9294">
        <v>14</v>
      </c>
      <c r="AC9294">
        <v>20.510839999999899</v>
      </c>
      <c r="AD9294">
        <v>-1.110813665877</v>
      </c>
      <c r="AE9294">
        <v>-1.11269999999998</v>
      </c>
      <c r="AF9294">
        <v>1.0955246609207201</v>
      </c>
      <c r="AG9294">
        <v>-1.110813665877</v>
      </c>
      <c r="AH9294">
        <v>20.451783634465801</v>
      </c>
      <c r="AI9294">
        <v>93.104453715622199</v>
      </c>
      <c r="AJ9294">
        <v>86.933812299361094</v>
      </c>
      <c r="AK9294">
        <v>20.5112051112066</v>
      </c>
      <c r="AL9294">
        <v>87.180972049921394</v>
      </c>
      <c r="AM9294">
        <v>90.727623700442706</v>
      </c>
      <c r="AN9294">
        <v>0.99999997982544397</v>
      </c>
    </row>
    <row r="9295" spans="1:40" x14ac:dyDescent="0.25">
      <c r="A9295" t="str">
        <f>"20190312160550270"</f>
        <v>20190312160550270</v>
      </c>
      <c r="B9295" t="str">
        <f>"1552377950264374"</f>
        <v>1552377950264374</v>
      </c>
      <c r="C9295" t="s">
        <v>40</v>
      </c>
      <c r="D9295">
        <v>4.9489859999999997</v>
      </c>
      <c r="E9295">
        <v>0.52392159999999999</v>
      </c>
      <c r="F9295" t="s">
        <v>41</v>
      </c>
      <c r="G9295">
        <v>-84.680369999999996</v>
      </c>
      <c r="H9295" s="1">
        <v>-2.7431570000000001E-6</v>
      </c>
      <c r="I9295">
        <v>136.91749999999999</v>
      </c>
      <c r="J9295">
        <v>-110.453</v>
      </c>
      <c r="K9295">
        <v>1.1108359999999999</v>
      </c>
      <c r="L9295">
        <v>138.30449999999999</v>
      </c>
      <c r="M9295">
        <v>0.99989380000000005</v>
      </c>
      <c r="N9295">
        <v>0</v>
      </c>
      <c r="O9295">
        <v>-5.1268240000000001E-4</v>
      </c>
      <c r="P9295">
        <v>0.99929880000000004</v>
      </c>
      <c r="Q9295">
        <v>3.5586020000000003E-2</v>
      </c>
      <c r="R9295">
        <v>1.166098E-2</v>
      </c>
      <c r="S9295">
        <v>3.0084689999999998</v>
      </c>
      <c r="T9295">
        <v>-0.12895100000000001</v>
      </c>
      <c r="U9295">
        <v>-0.16099550000000001</v>
      </c>
      <c r="V9295">
        <v>-1.218025E-2</v>
      </c>
      <c r="W9295">
        <v>5.013397E-2</v>
      </c>
      <c r="X9295">
        <v>0.99866829999999995</v>
      </c>
      <c r="Y9295">
        <v>5.2877689999999998E-2</v>
      </c>
      <c r="Z9295">
        <v>-1.109959E-3</v>
      </c>
      <c r="AA9295">
        <v>0.99860040000000005</v>
      </c>
      <c r="AB9295">
        <v>14</v>
      </c>
      <c r="AC9295">
        <v>25.7726299999999</v>
      </c>
      <c r="AD9295">
        <v>-1.1108387431569999</v>
      </c>
      <c r="AE9295">
        <v>-1.387</v>
      </c>
      <c r="AF9295">
        <v>1.37124518402054</v>
      </c>
      <c r="AG9295">
        <v>-1.1108387431569999</v>
      </c>
      <c r="AH9295">
        <v>25.725684203103299</v>
      </c>
      <c r="AI9295">
        <v>92.469003491827195</v>
      </c>
      <c r="AJ9295">
        <v>86.948874873544398</v>
      </c>
      <c r="AK9295">
        <v>25.786141700258302</v>
      </c>
      <c r="AL9295">
        <v>87.126330674263599</v>
      </c>
      <c r="AM9295">
        <v>90.6987728732459</v>
      </c>
      <c r="AN9295">
        <v>1.00000007343145</v>
      </c>
    </row>
    <row r="9296" spans="1:40" x14ac:dyDescent="0.25">
      <c r="A9296" t="str">
        <f>"20190312160550292"</f>
        <v>20190312160550292</v>
      </c>
      <c r="B9296" t="str">
        <f>"1552377950284868"</f>
        <v>1552377950284868</v>
      </c>
      <c r="C9296" t="s">
        <v>40</v>
      </c>
      <c r="D9296">
        <v>4.9990899999999998</v>
      </c>
      <c r="E9296">
        <v>0.52406529999999996</v>
      </c>
      <c r="F9296" t="s">
        <v>41</v>
      </c>
      <c r="G9296">
        <v>-81.705950000000001</v>
      </c>
      <c r="H9296" s="1">
        <v>-4.0458030000000002E-6</v>
      </c>
      <c r="I9296">
        <v>136.76730000000001</v>
      </c>
      <c r="J9296">
        <v>-110.3135</v>
      </c>
      <c r="K9296">
        <v>1.110857</v>
      </c>
      <c r="L9296">
        <v>138.30459999999999</v>
      </c>
      <c r="M9296">
        <v>0.99989090000000003</v>
      </c>
      <c r="N9296">
        <v>0</v>
      </c>
      <c r="O9296">
        <v>-3.4755410000000001E-4</v>
      </c>
      <c r="P9296">
        <v>0.99928490000000003</v>
      </c>
      <c r="Q9296">
        <v>3.6210739999999998E-2</v>
      </c>
      <c r="R9296">
        <v>1.0893369999999999E-2</v>
      </c>
      <c r="S9296">
        <v>3.0081180000000001</v>
      </c>
      <c r="T9296">
        <v>-0.1162391</v>
      </c>
      <c r="U9296">
        <v>-0.16084289999999901</v>
      </c>
      <c r="V9296">
        <v>-1.124737E-2</v>
      </c>
      <c r="W9296">
        <v>5.096403E-2</v>
      </c>
      <c r="X9296">
        <v>0.99863710000000006</v>
      </c>
      <c r="Y9296">
        <v>5.300705E-2</v>
      </c>
      <c r="Z9296">
        <v>-1.0096149999999999E-3</v>
      </c>
      <c r="AA9296">
        <v>0.99859359999999997</v>
      </c>
      <c r="AB9296">
        <v>14</v>
      </c>
      <c r="AC9296">
        <v>28.60755</v>
      </c>
      <c r="AD9296">
        <v>-1.1108610458029999</v>
      </c>
      <c r="AE9296">
        <v>-1.5372999999999799</v>
      </c>
      <c r="AF9296">
        <v>1.5250632063951599</v>
      </c>
      <c r="AG9296">
        <v>-1.1108610458029999</v>
      </c>
      <c r="AH9296">
        <v>28.565134708043299</v>
      </c>
      <c r="AI9296">
        <v>92.2238723435986</v>
      </c>
      <c r="AJ9296">
        <v>86.943938617227403</v>
      </c>
      <c r="AK9296">
        <v>28.627377646847801</v>
      </c>
      <c r="AL9296">
        <v>87.078710492766902</v>
      </c>
      <c r="AM9296">
        <v>90.645279036224295</v>
      </c>
      <c r="AN9296">
        <v>0.99999994659108205</v>
      </c>
    </row>
    <row r="9297" spans="1:40" x14ac:dyDescent="0.25">
      <c r="A9297" t="str">
        <f>"20190312160550315"</f>
        <v>20190312160550315</v>
      </c>
      <c r="B9297" t="str">
        <f>"1552377950304386"</f>
        <v>1552377950304386</v>
      </c>
      <c r="C9297" t="s">
        <v>40</v>
      </c>
      <c r="D9297">
        <v>5.0749190000000004</v>
      </c>
      <c r="E9297">
        <v>0.52417329999999995</v>
      </c>
      <c r="F9297" t="s">
        <v>41</v>
      </c>
      <c r="G9297">
        <v>-80.688990000000004</v>
      </c>
      <c r="H9297" s="1">
        <v>-4.4965159999999997E-6</v>
      </c>
      <c r="I9297">
        <v>136.6859</v>
      </c>
      <c r="J9297">
        <v>-110.17189999999999</v>
      </c>
      <c r="K9297">
        <v>1.1108720000000001</v>
      </c>
      <c r="L9297">
        <v>138.3047</v>
      </c>
      <c r="M9297">
        <v>0.9998882</v>
      </c>
      <c r="N9297">
        <v>0</v>
      </c>
      <c r="O9297">
        <v>-1.8005889999999901E-4</v>
      </c>
      <c r="P9297">
        <v>0.99927029999999994</v>
      </c>
      <c r="Q9297">
        <v>3.6732559999999997E-2</v>
      </c>
      <c r="R9297">
        <v>1.048106E-2</v>
      </c>
      <c r="S9297">
        <v>3.0080260000000001</v>
      </c>
      <c r="T9297">
        <v>-0.1127949</v>
      </c>
      <c r="U9297">
        <v>-0.16435239999999901</v>
      </c>
      <c r="V9297">
        <v>-1.066746E-2</v>
      </c>
      <c r="W9297">
        <v>5.1674539999999998E-2</v>
      </c>
      <c r="X9297">
        <v>0.99860700000000002</v>
      </c>
      <c r="Y9297">
        <v>5.4338820000000003E-2</v>
      </c>
      <c r="Z9297">
        <v>-1.0109369999999999E-3</v>
      </c>
      <c r="AA9297">
        <v>0.99852200000000002</v>
      </c>
      <c r="AB9297">
        <v>14</v>
      </c>
      <c r="AC9297">
        <v>29.482909999999901</v>
      </c>
      <c r="AD9297">
        <v>-1.1108764965159901</v>
      </c>
      <c r="AE9297">
        <v>-1.61879999999999</v>
      </c>
      <c r="AF9297">
        <v>1.61121019007559</v>
      </c>
      <c r="AG9297">
        <v>-1.1108764965159901</v>
      </c>
      <c r="AH9297">
        <v>29.441529074423801</v>
      </c>
      <c r="AI9297">
        <v>92.157611896970394</v>
      </c>
      <c r="AJ9297">
        <v>86.867569278626704</v>
      </c>
      <c r="AK9297">
        <v>29.506502319103401</v>
      </c>
      <c r="AL9297">
        <v>87.037947700298105</v>
      </c>
      <c r="AM9297">
        <v>90.612029746637404</v>
      </c>
      <c r="AN9297">
        <v>0.99999999661803096</v>
      </c>
    </row>
    <row r="9298" spans="1:40" x14ac:dyDescent="0.25">
      <c r="A9298" t="str">
        <f>"20190312160550337"</f>
        <v>20190312160550337</v>
      </c>
      <c r="B9298" t="str">
        <f>"1552377950324882"</f>
        <v>1552377950324882</v>
      </c>
      <c r="C9298" t="s">
        <v>40</v>
      </c>
      <c r="D9298">
        <v>5.1213870000000004</v>
      </c>
      <c r="E9298">
        <v>0.52458719999999903</v>
      </c>
      <c r="F9298" t="s">
        <v>41</v>
      </c>
      <c r="G9298">
        <v>-79.820700000000002</v>
      </c>
      <c r="H9298" s="1">
        <v>-8.4286309999999999E-7</v>
      </c>
      <c r="I9298">
        <v>136.62559999999999</v>
      </c>
      <c r="J9298">
        <v>-110.0337</v>
      </c>
      <c r="K9298">
        <v>1.1108819999999999</v>
      </c>
      <c r="L9298">
        <v>138.3049</v>
      </c>
      <c r="M9298">
        <v>0.99988560000000004</v>
      </c>
      <c r="N9298">
        <v>0</v>
      </c>
      <c r="O9298" s="1">
        <v>-1.68791799999999E-5</v>
      </c>
      <c r="P9298">
        <v>0.99928209999999995</v>
      </c>
      <c r="Q9298">
        <v>3.6494699999999998E-2</v>
      </c>
      <c r="R9298">
        <v>1.01832E-2</v>
      </c>
      <c r="S9298">
        <v>3.0079959999999999</v>
      </c>
      <c r="T9298">
        <v>-0.1100945</v>
      </c>
      <c r="U9298">
        <v>-0.16641239999999999</v>
      </c>
      <c r="V9298">
        <v>-1.020655E-2</v>
      </c>
      <c r="W9298">
        <v>5.1611200000000003E-2</v>
      </c>
      <c r="X9298">
        <v>0.99861509999999998</v>
      </c>
      <c r="Y9298">
        <v>5.5185190000000002E-2</v>
      </c>
      <c r="Z9298">
        <v>-1.0081809999999999E-3</v>
      </c>
      <c r="AA9298">
        <v>0.99847560000000002</v>
      </c>
      <c r="AB9298">
        <v>14</v>
      </c>
      <c r="AC9298">
        <v>30.212999999999901</v>
      </c>
      <c r="AD9298">
        <v>-1.1108828428630999</v>
      </c>
      <c r="AE9298">
        <v>-1.67930000000001</v>
      </c>
      <c r="AF9298">
        <v>1.67653042763488</v>
      </c>
      <c r="AG9298">
        <v>-1.1108828428630999</v>
      </c>
      <c r="AH9298">
        <v>30.172363555031801</v>
      </c>
      <c r="AI9298">
        <v>92.105312825551806</v>
      </c>
      <c r="AJ9298">
        <v>86.819624650897595</v>
      </c>
      <c r="AK9298">
        <v>30.2393177413506</v>
      </c>
      <c r="AL9298">
        <v>87.041581685317098</v>
      </c>
      <c r="AM9298">
        <v>90.585582850342604</v>
      </c>
      <c r="AN9298">
        <v>1.00000000378817</v>
      </c>
    </row>
    <row r="9299" spans="1:40" x14ac:dyDescent="0.25">
      <c r="A9299" t="str">
        <f>"20190312160550360"</f>
        <v>20190312160550360</v>
      </c>
      <c r="B9299" t="str">
        <f>"1552377950354165"</f>
        <v>1552377950354165</v>
      </c>
      <c r="C9299" t="s">
        <v>40</v>
      </c>
      <c r="D9299">
        <v>5.0519509999999999</v>
      </c>
      <c r="E9299">
        <v>0.52449669999999904</v>
      </c>
      <c r="F9299" t="s">
        <v>41</v>
      </c>
      <c r="G9299">
        <v>-80.329599999999999</v>
      </c>
      <c r="H9299" s="1">
        <v>-4.6624240000000003E-6</v>
      </c>
      <c r="I9299">
        <v>136.6198</v>
      </c>
      <c r="J9299">
        <v>-109.89190000000001</v>
      </c>
      <c r="K9299">
        <v>1.1108899999999999</v>
      </c>
      <c r="L9299">
        <v>138.30510000000001</v>
      </c>
      <c r="M9299">
        <v>0.99988290000000002</v>
      </c>
      <c r="N9299">
        <v>0</v>
      </c>
      <c r="O9299">
        <v>1.5041070000000001E-4</v>
      </c>
      <c r="P9299">
        <v>0.99931420000000004</v>
      </c>
      <c r="Q9299">
        <v>3.5609210000000002E-2</v>
      </c>
      <c r="R9299">
        <v>1.017414E-2</v>
      </c>
      <c r="S9299">
        <v>3.0079959999999999</v>
      </c>
      <c r="T9299">
        <v>-0.1124941</v>
      </c>
      <c r="U9299">
        <v>-0.17063900000000001</v>
      </c>
      <c r="V9299">
        <v>-1.0030259999999999E-2</v>
      </c>
      <c r="W9299">
        <v>5.0898789999999999E-2</v>
      </c>
      <c r="X9299">
        <v>0.99865349999999997</v>
      </c>
      <c r="Y9299">
        <v>5.674796E-2</v>
      </c>
      <c r="Z9299">
        <v>-1.065538E-3</v>
      </c>
      <c r="AA9299">
        <v>0.99838800000000005</v>
      </c>
      <c r="AB9299">
        <v>14</v>
      </c>
      <c r="AC9299">
        <v>29.5623</v>
      </c>
      <c r="AD9299">
        <v>-1.1108946624239999</v>
      </c>
      <c r="AE9299">
        <v>-1.68530000000001</v>
      </c>
      <c r="AF9299">
        <v>1.6873719475036799</v>
      </c>
      <c r="AG9299">
        <v>-1.1108946624239999</v>
      </c>
      <c r="AH9299">
        <v>29.520494926399198</v>
      </c>
      <c r="AI9299">
        <v>92.151589232173293</v>
      </c>
      <c r="AJ9299">
        <v>86.728570867330902</v>
      </c>
      <c r="AK9299">
        <v>29.589540918030298</v>
      </c>
      <c r="AL9299">
        <v>87.082453637971199</v>
      </c>
      <c r="AM9299">
        <v>90.575447081582496</v>
      </c>
      <c r="AN9299">
        <v>1.0000000530006801</v>
      </c>
    </row>
    <row r="9300" spans="1:40" x14ac:dyDescent="0.25">
      <c r="A9300" t="str">
        <f>"20190312160550381"</f>
        <v>20190312160550381</v>
      </c>
      <c r="B9300" t="str">
        <f>"1552377950374658"</f>
        <v>1552377950374658</v>
      </c>
      <c r="C9300" t="s">
        <v>40</v>
      </c>
      <c r="D9300">
        <v>5.0170339999999998</v>
      </c>
      <c r="E9300">
        <v>0.52458130000000003</v>
      </c>
      <c r="F9300" t="s">
        <v>41</v>
      </c>
      <c r="G9300">
        <v>-81.350139999999996</v>
      </c>
      <c r="H9300" s="1">
        <v>-4.2118799999999997E-6</v>
      </c>
      <c r="I9300">
        <v>136.69159999999999</v>
      </c>
      <c r="J9300">
        <v>-109.7567</v>
      </c>
      <c r="K9300">
        <v>1.1108960000000001</v>
      </c>
      <c r="L9300">
        <v>138.30529999999999</v>
      </c>
      <c r="M9300">
        <v>0.99988049999999995</v>
      </c>
      <c r="N9300">
        <v>0</v>
      </c>
      <c r="O9300">
        <v>3.0963110000000002E-4</v>
      </c>
      <c r="P9300">
        <v>0.99934730000000005</v>
      </c>
      <c r="Q9300">
        <v>3.4493950000000002E-2</v>
      </c>
      <c r="R9300">
        <v>1.0746800000000001E-2</v>
      </c>
      <c r="S9300">
        <v>3.007965</v>
      </c>
      <c r="T9300">
        <v>-0.1170749</v>
      </c>
      <c r="U9300">
        <v>-0.1700439</v>
      </c>
      <c r="V9300">
        <v>-1.0443630000000001E-2</v>
      </c>
      <c r="W9300">
        <v>4.9941569999999998E-2</v>
      </c>
      <c r="X9300">
        <v>0.99869750000000002</v>
      </c>
      <c r="Y9300">
        <v>5.6707250000000001E-2</v>
      </c>
      <c r="Z9300">
        <v>-1.114311E-3</v>
      </c>
      <c r="AA9300">
        <v>0.99839020000000001</v>
      </c>
      <c r="AB9300">
        <v>14</v>
      </c>
      <c r="AC9300">
        <v>28.406559999999999</v>
      </c>
      <c r="AD9300">
        <v>-1.11090021188</v>
      </c>
      <c r="AE9300">
        <v>-1.6136999999999899</v>
      </c>
      <c r="AF9300">
        <v>1.6200268756666201</v>
      </c>
      <c r="AG9300">
        <v>-1.11090021188</v>
      </c>
      <c r="AH9300">
        <v>28.362821185612201</v>
      </c>
      <c r="AI9300">
        <v>92.2393385659269</v>
      </c>
      <c r="AJ9300">
        <v>86.730933152564106</v>
      </c>
      <c r="AK9300">
        <v>28.4307617197578</v>
      </c>
      <c r="AL9300">
        <v>87.137367891958604</v>
      </c>
      <c r="AM9300">
        <v>90.599134484274899</v>
      </c>
      <c r="AN9300">
        <v>0.99999996316394502</v>
      </c>
    </row>
    <row r="9301" spans="1:40" x14ac:dyDescent="0.25">
      <c r="A9301" t="str">
        <f>"20190312160550404"</f>
        <v>20190312160550404</v>
      </c>
      <c r="B9301" t="str">
        <f>"1552377950394181"</f>
        <v>1552377950394181</v>
      </c>
      <c r="C9301" t="s">
        <v>40</v>
      </c>
      <c r="D9301">
        <v>5.0321369999999996</v>
      </c>
      <c r="E9301">
        <v>0.52462039999999999</v>
      </c>
      <c r="F9301" t="s">
        <v>41</v>
      </c>
      <c r="G9301">
        <v>-82.379829999999998</v>
      </c>
      <c r="H9301" s="1">
        <v>-3.7566780000000002E-6</v>
      </c>
      <c r="I9301">
        <v>136.76750000000001</v>
      </c>
      <c r="J9301">
        <v>-109.6157</v>
      </c>
      <c r="K9301">
        <v>1.110905</v>
      </c>
      <c r="L9301">
        <v>138.3056</v>
      </c>
      <c r="M9301">
        <v>0.99987800000000004</v>
      </c>
      <c r="N9301">
        <v>0</v>
      </c>
      <c r="O9301">
        <v>4.7597649999999998E-4</v>
      </c>
      <c r="P9301">
        <v>0.99936389999999997</v>
      </c>
      <c r="Q9301">
        <v>3.3737870000000003E-2</v>
      </c>
      <c r="R9301">
        <v>1.1571150000000001E-2</v>
      </c>
      <c r="S9301">
        <v>3.0079799999999999</v>
      </c>
      <c r="T9301">
        <v>-0.12205779999999999</v>
      </c>
      <c r="U9301">
        <v>-0.16896059999999999</v>
      </c>
      <c r="V9301">
        <v>-1.1101140000000001E-2</v>
      </c>
      <c r="W9301">
        <v>4.9338149999999997E-2</v>
      </c>
      <c r="X9301">
        <v>0.99872039999999995</v>
      </c>
      <c r="Y9301">
        <v>5.6510900000000003E-2</v>
      </c>
      <c r="Z9301">
        <v>-1.1644699999999999E-3</v>
      </c>
      <c r="AA9301">
        <v>0.99840130000000005</v>
      </c>
      <c r="AB9301">
        <v>14</v>
      </c>
      <c r="AC9301">
        <v>27.235869999999998</v>
      </c>
      <c r="AD9301">
        <v>-1.110908756678</v>
      </c>
      <c r="AE9301">
        <v>-1.53809999999998</v>
      </c>
      <c r="AF9301">
        <v>1.5484970001159699</v>
      </c>
      <c r="AG9301">
        <v>-1.110908756678</v>
      </c>
      <c r="AH9301">
        <v>27.1900425384482</v>
      </c>
      <c r="AI9301">
        <v>92.335862510177606</v>
      </c>
      <c r="AJ9301">
        <v>86.740475561119197</v>
      </c>
      <c r="AK9301">
        <v>27.256749154432502</v>
      </c>
      <c r="AL9301">
        <v>87.171983987532798</v>
      </c>
      <c r="AM9301">
        <v>90.636837173701295</v>
      </c>
      <c r="AN9301">
        <v>0.99999996286544002</v>
      </c>
    </row>
    <row r="9302" spans="1:40" x14ac:dyDescent="0.25">
      <c r="A9302" t="str">
        <f>"20190312160550428"</f>
        <v>20190312160550428</v>
      </c>
      <c r="B9302" t="str">
        <f>"1552377950424435"</f>
        <v>1552377950424435</v>
      </c>
      <c r="C9302" t="s">
        <v>40</v>
      </c>
      <c r="D9302">
        <v>5.1161379999999896</v>
      </c>
      <c r="E9302">
        <v>0.5248408</v>
      </c>
      <c r="F9302" t="s">
        <v>41</v>
      </c>
      <c r="G9302">
        <v>-82.961609999999993</v>
      </c>
      <c r="H9302" s="1">
        <v>-3.4966780000000002E-6</v>
      </c>
      <c r="I9302">
        <v>136.8262</v>
      </c>
      <c r="J9302">
        <v>-109.4738</v>
      </c>
      <c r="K9302">
        <v>1.110914</v>
      </c>
      <c r="L9302">
        <v>138.3058</v>
      </c>
      <c r="M9302">
        <v>0.99987570000000003</v>
      </c>
      <c r="N9302">
        <v>0</v>
      </c>
      <c r="O9302">
        <v>6.4332949999999995E-4</v>
      </c>
      <c r="P9302">
        <v>0.99936630000000004</v>
      </c>
      <c r="Q9302">
        <v>3.3358789999999999E-2</v>
      </c>
      <c r="R9302">
        <v>1.2441260000000001E-2</v>
      </c>
      <c r="S9302">
        <v>3.0080870000000002</v>
      </c>
      <c r="T9302">
        <v>-0.12537319999999999</v>
      </c>
      <c r="U9302">
        <v>-0.16694639999999999</v>
      </c>
      <c r="V9302">
        <v>-1.1804179999999999E-2</v>
      </c>
      <c r="W9302">
        <v>4.9102890000000003E-2</v>
      </c>
      <c r="X9302">
        <v>0.99872399999999995</v>
      </c>
      <c r="Y9302">
        <v>5.6007300000000003E-2</v>
      </c>
      <c r="Z9302">
        <v>-1.1925389999999901E-3</v>
      </c>
      <c r="AA9302">
        <v>0.99842969999999998</v>
      </c>
      <c r="AB9302">
        <v>14</v>
      </c>
      <c r="AC9302">
        <v>26.51219</v>
      </c>
      <c r="AD9302">
        <v>-1.110917496678</v>
      </c>
      <c r="AE9302">
        <v>-1.4796</v>
      </c>
      <c r="AF9302">
        <v>1.4940428048929499</v>
      </c>
      <c r="AG9302">
        <v>-1.110917496678</v>
      </c>
      <c r="AH9302">
        <v>26.4649099916642</v>
      </c>
      <c r="AI9302">
        <v>92.399876998673193</v>
      </c>
      <c r="AJ9302">
        <v>86.768869353139905</v>
      </c>
      <c r="AK9302">
        <v>26.530317797835799</v>
      </c>
      <c r="AL9302">
        <v>87.185479940903804</v>
      </c>
      <c r="AM9302">
        <v>90.677162263021103</v>
      </c>
      <c r="AN9302">
        <v>1.00000003032391</v>
      </c>
    </row>
    <row r="9303" spans="1:40" x14ac:dyDescent="0.25">
      <c r="A9303" t="str">
        <f>"20190312160550450"</f>
        <v>20190312160550450</v>
      </c>
      <c r="B9303" t="str">
        <f>"1552377950444929"</f>
        <v>1552377950444929</v>
      </c>
      <c r="C9303" t="s">
        <v>40</v>
      </c>
      <c r="D9303">
        <v>5.2197899999999997</v>
      </c>
      <c r="E9303">
        <v>0.52511359999999996</v>
      </c>
      <c r="F9303" t="s">
        <v>41</v>
      </c>
      <c r="G9303">
        <v>-83.530569999999997</v>
      </c>
      <c r="H9303" s="1">
        <v>-3.2445509999999999E-6</v>
      </c>
      <c r="I9303">
        <v>136.8716</v>
      </c>
      <c r="J9303">
        <v>-109.34050000000001</v>
      </c>
      <c r="K9303">
        <v>1.11093</v>
      </c>
      <c r="L9303">
        <v>138.30609999999999</v>
      </c>
      <c r="M9303">
        <v>0.99987320000000002</v>
      </c>
      <c r="N9303">
        <v>0</v>
      </c>
      <c r="O9303">
        <v>8.000603E-4</v>
      </c>
      <c r="P9303">
        <v>0.99938910000000003</v>
      </c>
      <c r="Q9303">
        <v>3.23687E-2</v>
      </c>
      <c r="R9303">
        <v>1.320692E-2</v>
      </c>
      <c r="S9303">
        <v>3.008286</v>
      </c>
      <c r="T9303">
        <v>-0.12881790000000001</v>
      </c>
      <c r="U9303">
        <v>-0.16630549999999999</v>
      </c>
      <c r="V9303">
        <v>-1.241283E-2</v>
      </c>
      <c r="W9303">
        <v>4.8264179999999997E-2</v>
      </c>
      <c r="X9303">
        <v>0.99875749999999996</v>
      </c>
      <c r="Y9303">
        <v>5.5945300000000003E-2</v>
      </c>
      <c r="Z9303">
        <v>-1.2305790000000001E-3</v>
      </c>
      <c r="AA9303">
        <v>0.99843309999999996</v>
      </c>
      <c r="AB9303">
        <v>14</v>
      </c>
      <c r="AC9303">
        <v>25.809930000000001</v>
      </c>
      <c r="AD9303">
        <v>-1.1109332445510001</v>
      </c>
      <c r="AE9303">
        <v>-1.4344999999999799</v>
      </c>
      <c r="AF9303">
        <v>1.45246896845419</v>
      </c>
      <c r="AG9303">
        <v>-1.1109332445510001</v>
      </c>
      <c r="AH9303">
        <v>25.761193432891201</v>
      </c>
      <c r="AI9303">
        <v>92.465399271656494</v>
      </c>
      <c r="AJ9303">
        <v>86.772962954641102</v>
      </c>
      <c r="AK9303">
        <v>25.826012581600899</v>
      </c>
      <c r="AL9303">
        <v>87.233591521967298</v>
      </c>
      <c r="AM9303">
        <v>90.712050879502598</v>
      </c>
      <c r="AN9303">
        <v>1.0000000266129601</v>
      </c>
    </row>
    <row r="9304" spans="1:40" x14ac:dyDescent="0.25">
      <c r="A9304" t="str">
        <f>"20190312160550472"</f>
        <v>20190312160550472</v>
      </c>
      <c r="B9304" t="str">
        <f>"1552377950464450"</f>
        <v>1552377950464450</v>
      </c>
      <c r="C9304" t="s">
        <v>40</v>
      </c>
      <c r="D9304">
        <v>5.1806070000000002</v>
      </c>
      <c r="E9304">
        <v>0.5253892</v>
      </c>
      <c r="F9304" t="s">
        <v>41</v>
      </c>
      <c r="G9304">
        <v>-84.093199999999996</v>
      </c>
      <c r="H9304" s="1">
        <v>-2.9962389999999998E-6</v>
      </c>
      <c r="I9304">
        <v>136.91079999999999</v>
      </c>
      <c r="J9304">
        <v>-109.20699999999999</v>
      </c>
      <c r="K9304">
        <v>1.1109500000000001</v>
      </c>
      <c r="L9304">
        <v>138.3064</v>
      </c>
      <c r="M9304">
        <v>0.99987020000000004</v>
      </c>
      <c r="N9304">
        <v>0</v>
      </c>
      <c r="O9304">
        <v>9.5695800000000005E-4</v>
      </c>
      <c r="P9304">
        <v>0.99942330000000001</v>
      </c>
      <c r="Q9304">
        <v>3.117845E-2</v>
      </c>
      <c r="R9304">
        <v>1.346723E-2</v>
      </c>
      <c r="S9304">
        <v>3.0083310000000001</v>
      </c>
      <c r="T9304">
        <v>-0.1323724</v>
      </c>
      <c r="U9304">
        <v>-0.16625980000000001</v>
      </c>
      <c r="V9304">
        <v>-1.251583E-2</v>
      </c>
      <c r="W9304">
        <v>4.7255859999999997E-2</v>
      </c>
      <c r="X9304">
        <v>0.99880440000000004</v>
      </c>
      <c r="Y9304">
        <v>5.6082809999999997E-2</v>
      </c>
      <c r="Z9304">
        <v>-1.2744010000000001E-3</v>
      </c>
      <c r="AA9304">
        <v>0.99842529999999996</v>
      </c>
      <c r="AB9304">
        <v>14</v>
      </c>
      <c r="AC9304">
        <v>25.113800000000001</v>
      </c>
      <c r="AD9304">
        <v>-1.1109529962389999</v>
      </c>
      <c r="AE9304">
        <v>-1.3956</v>
      </c>
      <c r="AF9304">
        <v>1.4168711958350799</v>
      </c>
      <c r="AG9304">
        <v>-1.1109529962389999</v>
      </c>
      <c r="AH9304">
        <v>25.0635571562417</v>
      </c>
      <c r="AI9304">
        <v>92.533958414475293</v>
      </c>
      <c r="AJ9304">
        <v>86.7644486261743</v>
      </c>
      <c r="AK9304">
        <v>25.128144337965601</v>
      </c>
      <c r="AL9304">
        <v>87.291429923011805</v>
      </c>
      <c r="AM9304">
        <v>90.717925057304001</v>
      </c>
      <c r="AN9304">
        <v>0.99999999588214405</v>
      </c>
    </row>
    <row r="9305" spans="1:40" x14ac:dyDescent="0.25">
      <c r="A9305" t="str">
        <f>"20190312160550493"</f>
        <v>20190312160550493</v>
      </c>
      <c r="B9305" t="str">
        <f>"1552377950484947"</f>
        <v>1552377950484947</v>
      </c>
      <c r="C9305" t="s">
        <v>40</v>
      </c>
      <c r="D9305">
        <v>5.1328670000000001</v>
      </c>
      <c r="E9305">
        <v>0.52553890000000003</v>
      </c>
      <c r="F9305" t="s">
        <v>41</v>
      </c>
      <c r="G9305">
        <v>-84.878140000000002</v>
      </c>
      <c r="H9305" s="1">
        <v>-2.6521829999999999E-6</v>
      </c>
      <c r="I9305">
        <v>136.952</v>
      </c>
      <c r="J9305">
        <v>-109.0783</v>
      </c>
      <c r="K9305">
        <v>1.110976</v>
      </c>
      <c r="L9305">
        <v>138.30670000000001</v>
      </c>
      <c r="M9305">
        <v>0.9998669</v>
      </c>
      <c r="N9305">
        <v>0</v>
      </c>
      <c r="O9305">
        <v>1.1084720000000001E-3</v>
      </c>
      <c r="P9305">
        <v>0.99944639999999996</v>
      </c>
      <c r="Q9305">
        <v>3.0265239999999999E-2</v>
      </c>
      <c r="R9305">
        <v>1.3817370000000001E-2</v>
      </c>
      <c r="S9305">
        <v>3.008286</v>
      </c>
      <c r="T9305">
        <v>-0.1373702</v>
      </c>
      <c r="U9305">
        <v>-0.16746520000000001</v>
      </c>
      <c r="V9305">
        <v>-1.2714390000000001E-2</v>
      </c>
      <c r="W9305">
        <v>4.6524240000000001E-2</v>
      </c>
      <c r="X9305">
        <v>0.99883619999999995</v>
      </c>
      <c r="Y9305">
        <v>5.6628829999999998E-2</v>
      </c>
      <c r="Z9305">
        <v>-1.3418359999999999E-3</v>
      </c>
      <c r="AA9305">
        <v>0.99839440000000002</v>
      </c>
      <c r="AB9305">
        <v>13</v>
      </c>
      <c r="AC9305">
        <v>24.20016</v>
      </c>
      <c r="AD9305">
        <v>-1.1109786521830001</v>
      </c>
      <c r="AE9305">
        <v>-1.3547</v>
      </c>
      <c r="AF9305">
        <v>1.37863148294548</v>
      </c>
      <c r="AG9305">
        <v>-1.1109786521830001</v>
      </c>
      <c r="AH9305">
        <v>24.147909680392299</v>
      </c>
      <c r="AI9305">
        <v>92.629886713095999</v>
      </c>
      <c r="AJ9305">
        <v>86.732466110401504</v>
      </c>
      <c r="AK9305">
        <v>24.212733019297101</v>
      </c>
      <c r="AL9305">
        <v>87.333394718989595</v>
      </c>
      <c r="AM9305">
        <v>90.729290292056007</v>
      </c>
      <c r="AN9305">
        <v>0.99999995752554305</v>
      </c>
    </row>
    <row r="9306" spans="1:40" x14ac:dyDescent="0.25">
      <c r="A9306" t="str">
        <f>"20190312160550516"</f>
        <v>20190312160550516</v>
      </c>
      <c r="B9306" t="str">
        <f>"1552377950504467"</f>
        <v>1552377950504467</v>
      </c>
      <c r="C9306" t="s">
        <v>40</v>
      </c>
      <c r="D9306">
        <v>5.1506679999999996</v>
      </c>
      <c r="E9306">
        <v>0.52565260000000003</v>
      </c>
      <c r="F9306" t="s">
        <v>41</v>
      </c>
      <c r="G9306">
        <v>-85.381919999999994</v>
      </c>
      <c r="H9306" s="1">
        <v>-2.4297650000000001E-6</v>
      </c>
      <c r="I9306">
        <v>136.98750000000001</v>
      </c>
      <c r="J9306">
        <v>-108.9462</v>
      </c>
      <c r="K9306">
        <v>1.1109990000000001</v>
      </c>
      <c r="L9306">
        <v>138.30709999999999</v>
      </c>
      <c r="M9306">
        <v>0.99986390000000003</v>
      </c>
      <c r="N9306">
        <v>0</v>
      </c>
      <c r="O9306">
        <v>1.2642090000000001E-3</v>
      </c>
      <c r="P9306">
        <v>0.99944169999999999</v>
      </c>
      <c r="Q9306">
        <v>3.0318500000000002E-2</v>
      </c>
      <c r="R9306">
        <v>1.404408E-2</v>
      </c>
      <c r="S9306">
        <v>3.0082399999999998</v>
      </c>
      <c r="T9306">
        <v>-0.14103760000000001</v>
      </c>
      <c r="U9306">
        <v>-0.16746520000000001</v>
      </c>
      <c r="V9306">
        <v>-1.278522E-2</v>
      </c>
      <c r="W9306">
        <v>4.6750970000000003E-2</v>
      </c>
      <c r="X9306">
        <v>0.99882479999999996</v>
      </c>
      <c r="Y9306">
        <v>5.6781600000000002E-2</v>
      </c>
      <c r="Z9306">
        <v>-1.388511E-3</v>
      </c>
      <c r="AA9306">
        <v>0.99838570000000004</v>
      </c>
      <c r="AB9306">
        <v>13</v>
      </c>
      <c r="AC9306">
        <v>23.56428</v>
      </c>
      <c r="AD9306">
        <v>-1.1110014297649999</v>
      </c>
      <c r="AE9306">
        <v>-1.3195999999999799</v>
      </c>
      <c r="AF9306">
        <v>1.3464095673151499</v>
      </c>
      <c r="AG9306">
        <v>-1.1110014297649999</v>
      </c>
      <c r="AH9306">
        <v>23.510494474747698</v>
      </c>
      <c r="AI9306">
        <v>92.701111888410296</v>
      </c>
      <c r="AJ9306">
        <v>86.722339632243603</v>
      </c>
      <c r="AK9306">
        <v>23.5752092959329</v>
      </c>
      <c r="AL9306">
        <v>87.320390138247305</v>
      </c>
      <c r="AM9306">
        <v>90.733360987864003</v>
      </c>
      <c r="AN9306">
        <v>1.0000000480707101</v>
      </c>
    </row>
    <row r="9307" spans="1:40" x14ac:dyDescent="0.25">
      <c r="A9307" t="str">
        <f>"20190312160550538"</f>
        <v>20190312160550538</v>
      </c>
      <c r="B9307" t="str">
        <f>"1552377950534722"</f>
        <v>1552377950534722</v>
      </c>
      <c r="C9307" t="s">
        <v>40</v>
      </c>
      <c r="D9307">
        <v>5.256996</v>
      </c>
      <c r="E9307">
        <v>0.5004497</v>
      </c>
      <c r="F9307" t="s">
        <v>41</v>
      </c>
      <c r="G9307">
        <v>-85.209599999999995</v>
      </c>
      <c r="H9307" s="1">
        <v>-2.5045529999999999E-6</v>
      </c>
      <c r="I9307">
        <v>136.98269999999999</v>
      </c>
      <c r="J9307">
        <v>-108.8158</v>
      </c>
      <c r="K9307">
        <v>1.1110199999999999</v>
      </c>
      <c r="L9307">
        <v>138.3074</v>
      </c>
      <c r="M9307">
        <v>0.99986120000000001</v>
      </c>
      <c r="N9307">
        <v>0</v>
      </c>
      <c r="O9307">
        <v>1.417703E-3</v>
      </c>
      <c r="P9307">
        <v>0.9994693</v>
      </c>
      <c r="Q9307">
        <v>2.9263210000000001E-2</v>
      </c>
      <c r="R9307">
        <v>1.4327080000000001E-2</v>
      </c>
      <c r="S9307">
        <v>3.0083160000000002</v>
      </c>
      <c r="T9307">
        <v>-0.1408056</v>
      </c>
      <c r="U9307">
        <v>-0.16784669999999999</v>
      </c>
      <c r="V9307">
        <v>-1.291483E-2</v>
      </c>
      <c r="W9307">
        <v>4.5857380000000003E-2</v>
      </c>
      <c r="X9307">
        <v>0.99886450000000004</v>
      </c>
      <c r="Y9307">
        <v>5.7059409999999998E-2</v>
      </c>
      <c r="Z9307">
        <v>-1.3998579999999999E-3</v>
      </c>
      <c r="AA9307">
        <v>0.99836979999999997</v>
      </c>
      <c r="AB9307">
        <v>13</v>
      </c>
      <c r="AC9307">
        <v>23.606200000000001</v>
      </c>
      <c r="AD9307">
        <v>-1.111022504553</v>
      </c>
      <c r="AE9307">
        <v>-1.3247</v>
      </c>
      <c r="AF9307">
        <v>1.3551774295180701</v>
      </c>
      <c r="AG9307">
        <v>-1.111022504553</v>
      </c>
      <c r="AH9307">
        <v>23.552291049160601</v>
      </c>
      <c r="AI9307">
        <v>92.696334878285001</v>
      </c>
      <c r="AJ9307">
        <v>86.706883922304101</v>
      </c>
      <c r="AK9307">
        <v>23.617393813362799</v>
      </c>
      <c r="AL9307">
        <v>87.3716438979814</v>
      </c>
      <c r="AM9307">
        <v>90.740765161215407</v>
      </c>
      <c r="AN9307">
        <v>0.99999999074732104</v>
      </c>
    </row>
    <row r="9308" spans="1:40" x14ac:dyDescent="0.25">
      <c r="A9308" t="str">
        <f>"20190312160550561"</f>
        <v>20190312160550561</v>
      </c>
      <c r="B9308" t="str">
        <f>"1552377950554242"</f>
        <v>1552377950554242</v>
      </c>
      <c r="C9308" t="s">
        <v>40</v>
      </c>
      <c r="D9308">
        <v>5.2790599999999896</v>
      </c>
      <c r="E9308">
        <v>0.50043970000000004</v>
      </c>
      <c r="F9308" t="s">
        <v>41</v>
      </c>
      <c r="G9308">
        <v>-73.505169999999893</v>
      </c>
      <c r="H9308" s="1">
        <v>-2.9271459999999999E-6</v>
      </c>
      <c r="I9308">
        <v>138.7225</v>
      </c>
      <c r="J9308">
        <v>-108.6859</v>
      </c>
      <c r="K9308">
        <v>1.1110340000000001</v>
      </c>
      <c r="L9308">
        <v>138.30779999999999</v>
      </c>
      <c r="M9308">
        <v>0.99985840000000004</v>
      </c>
      <c r="N9308">
        <v>0</v>
      </c>
      <c r="O9308">
        <v>1.570636E-3</v>
      </c>
      <c r="P9308">
        <v>0.99949440000000001</v>
      </c>
      <c r="Q9308">
        <v>2.8341390000000001E-2</v>
      </c>
      <c r="R9308">
        <v>1.4419889999999999E-2</v>
      </c>
      <c r="S9308">
        <v>3.0038450000000001</v>
      </c>
      <c r="T9308">
        <v>-9.4513769999999997E-2</v>
      </c>
      <c r="U9308">
        <v>3.5308840000000001E-2</v>
      </c>
      <c r="V9308">
        <v>-1.285383E-2</v>
      </c>
      <c r="W9308">
        <v>4.5091899999999997E-2</v>
      </c>
      <c r="X9308">
        <v>0.99890009999999996</v>
      </c>
      <c r="Y9308">
        <v>-1.0178710000000001E-2</v>
      </c>
      <c r="Z9308">
        <v>1.106759E-4</v>
      </c>
      <c r="AA9308">
        <v>0.99994819999999995</v>
      </c>
      <c r="AB9308">
        <v>13</v>
      </c>
      <c r="AC9308">
        <v>35.180729999999997</v>
      </c>
      <c r="AD9308">
        <v>-1.1110369271459899</v>
      </c>
      <c r="AE9308">
        <v>0.41470000000001001</v>
      </c>
      <c r="AF9308">
        <v>-0.35907753413217203</v>
      </c>
      <c r="AG9308">
        <v>-1.1110369271459899</v>
      </c>
      <c r="AH9308">
        <v>35.146289770278997</v>
      </c>
      <c r="AI9308">
        <v>91.810524431300195</v>
      </c>
      <c r="AJ9308">
        <v>90.585350874235203</v>
      </c>
      <c r="AK9308">
        <v>35.165679637189101</v>
      </c>
      <c r="AL9308">
        <v>87.415547999716907</v>
      </c>
      <c r="AM9308">
        <v>90.737240454919998</v>
      </c>
      <c r="AN9308">
        <v>0.99999995508564299</v>
      </c>
    </row>
    <row r="9309" spans="1:40" x14ac:dyDescent="0.25">
      <c r="A9309" t="str">
        <f>"20190312160550582"</f>
        <v>20190312160550582</v>
      </c>
      <c r="B9309" t="str">
        <f>"1552377950574738"</f>
        <v>1552377950574738</v>
      </c>
      <c r="C9309" t="s">
        <v>40</v>
      </c>
      <c r="D9309">
        <v>5.2864979999999999</v>
      </c>
      <c r="E9309">
        <v>0.50126190000000004</v>
      </c>
      <c r="F9309" t="s">
        <v>41</v>
      </c>
      <c r="G9309">
        <v>-74.035240000000002</v>
      </c>
      <c r="H9309" s="1">
        <v>-2.6999249999999998E-6</v>
      </c>
      <c r="I9309">
        <v>138.72149999999999</v>
      </c>
      <c r="J9309">
        <v>-108.5594</v>
      </c>
      <c r="K9309">
        <v>1.1110450000000001</v>
      </c>
      <c r="L9309">
        <v>138.3082</v>
      </c>
      <c r="M9309">
        <v>0.99985570000000001</v>
      </c>
      <c r="N9309">
        <v>0</v>
      </c>
      <c r="O9309">
        <v>1.7200290000000001E-3</v>
      </c>
      <c r="P9309">
        <v>0.99951509999999999</v>
      </c>
      <c r="Q9309">
        <v>2.782567E-2</v>
      </c>
      <c r="R9309">
        <v>1.3990239999999999E-2</v>
      </c>
      <c r="S9309">
        <v>3.0037229999999999</v>
      </c>
      <c r="T9309">
        <v>-9.6311090000000002E-2</v>
      </c>
      <c r="U9309">
        <v>3.5858149999999998E-2</v>
      </c>
      <c r="V9309">
        <v>-1.2275319999999999E-2</v>
      </c>
      <c r="W9309">
        <v>4.4719389999999998E-2</v>
      </c>
      <c r="X9309">
        <v>0.99892420000000004</v>
      </c>
      <c r="Y9309">
        <v>-1.0212519999999999E-2</v>
      </c>
      <c r="Z9309">
        <v>1.085363E-4</v>
      </c>
      <c r="AA9309">
        <v>0.99994780000000005</v>
      </c>
      <c r="AB9309">
        <v>13</v>
      </c>
      <c r="AC9309">
        <v>34.524159999999902</v>
      </c>
      <c r="AD9309">
        <v>-1.1110476999250001</v>
      </c>
      <c r="AE9309">
        <v>0.41329999999999201</v>
      </c>
      <c r="AF9309">
        <v>-0.35354225103235598</v>
      </c>
      <c r="AG9309">
        <v>-1.1110476999250001</v>
      </c>
      <c r="AH9309">
        <v>34.489105874308102</v>
      </c>
      <c r="AI9309">
        <v>91.845017269498399</v>
      </c>
      <c r="AJ9309">
        <v>90.5873092062007</v>
      </c>
      <c r="AK9309">
        <v>34.508808196227399</v>
      </c>
      <c r="AL9309">
        <v>87.436913001871005</v>
      </c>
      <c r="AM9309">
        <v>90.704046041542497</v>
      </c>
      <c r="AN9309">
        <v>1.0000000323343501</v>
      </c>
    </row>
    <row r="9310" spans="1:40" x14ac:dyDescent="0.25">
      <c r="A9310" t="str">
        <f>"20190312160550605"</f>
        <v>20190312160550605</v>
      </c>
      <c r="B9310" t="str">
        <f>"1552377950594259"</f>
        <v>1552377950594259</v>
      </c>
      <c r="C9310" t="s">
        <v>40</v>
      </c>
      <c r="D9310">
        <v>5.2454099999999997</v>
      </c>
      <c r="E9310">
        <v>0.50133090000000002</v>
      </c>
      <c r="F9310" t="s">
        <v>41</v>
      </c>
      <c r="G9310">
        <v>-74.698009999999996</v>
      </c>
      <c r="H9310" s="1">
        <v>-2.4331329999999999E-6</v>
      </c>
      <c r="I9310">
        <v>138.62260000000001</v>
      </c>
      <c r="J9310">
        <v>-108.43089999999999</v>
      </c>
      <c r="K9310">
        <v>1.1110580000000001</v>
      </c>
      <c r="L9310">
        <v>138.30860000000001</v>
      </c>
      <c r="M9310">
        <v>0.99985310000000005</v>
      </c>
      <c r="N9310">
        <v>0</v>
      </c>
      <c r="O9310">
        <v>1.8714269999999999E-3</v>
      </c>
      <c r="P9310">
        <v>0.99950110000000003</v>
      </c>
      <c r="Q9310">
        <v>2.8232980000000001E-2</v>
      </c>
      <c r="R9310">
        <v>1.416951E-2</v>
      </c>
      <c r="S9310">
        <v>3.0038149999999999</v>
      </c>
      <c r="T9310">
        <v>-9.8559980000000005E-2</v>
      </c>
      <c r="U9310">
        <v>2.7893069999999999E-2</v>
      </c>
      <c r="V9310">
        <v>-1.2303120000000001E-2</v>
      </c>
      <c r="W9310">
        <v>4.5262910000000003E-2</v>
      </c>
      <c r="X9310">
        <v>0.99889930000000005</v>
      </c>
      <c r="Y9310">
        <v>-7.4108669999999998E-3</v>
      </c>
      <c r="Z9310" s="1">
        <v>6.0150450000000003E-5</v>
      </c>
      <c r="AA9310">
        <v>0.99997250000000004</v>
      </c>
      <c r="AB9310">
        <v>13</v>
      </c>
      <c r="AC9310">
        <v>33.732889999999998</v>
      </c>
      <c r="AD9310">
        <v>-1.1110604331330001</v>
      </c>
      <c r="AE9310">
        <v>0.31399999999999201</v>
      </c>
      <c r="AF9310">
        <v>-0.250589816574182</v>
      </c>
      <c r="AG9310">
        <v>-1.1110604331330001</v>
      </c>
      <c r="AH9310">
        <v>33.696865868453102</v>
      </c>
      <c r="AI9310">
        <v>91.8884326291371</v>
      </c>
      <c r="AJ9310">
        <v>90.426077436064105</v>
      </c>
      <c r="AK9310">
        <v>33.716109204633298</v>
      </c>
      <c r="AL9310">
        <v>87.405739832573801</v>
      </c>
      <c r="AM9310">
        <v>90.705657926346305</v>
      </c>
      <c r="AN9310">
        <v>0.99999995466194502</v>
      </c>
    </row>
    <row r="9311" spans="1:40" x14ac:dyDescent="0.25">
      <c r="A9311" t="str">
        <f>"20190312160550628"</f>
        <v>20190312160550628</v>
      </c>
      <c r="B9311" t="str">
        <f>"1552377950624515"</f>
        <v>1552377950624515</v>
      </c>
      <c r="C9311" t="s">
        <v>40</v>
      </c>
      <c r="D9311">
        <v>5.3399710000000002</v>
      </c>
      <c r="E9311">
        <v>0.50098429999999905</v>
      </c>
      <c r="F9311" t="s">
        <v>41</v>
      </c>
      <c r="G9311">
        <v>-72.035780000000003</v>
      </c>
      <c r="H9311" s="1">
        <v>-3.571468E-6</v>
      </c>
      <c r="I9311">
        <v>138.6437</v>
      </c>
      <c r="J9311">
        <v>-108.30329999999999</v>
      </c>
      <c r="K9311">
        <v>1.111073</v>
      </c>
      <c r="L9311">
        <v>138.309</v>
      </c>
      <c r="M9311">
        <v>0.99985060000000003</v>
      </c>
      <c r="N9311">
        <v>0</v>
      </c>
      <c r="O9311">
        <v>2.0218509999999999E-3</v>
      </c>
      <c r="P9311">
        <v>0.99949160000000004</v>
      </c>
      <c r="Q9311">
        <v>2.8576529999999999E-2</v>
      </c>
      <c r="R9311">
        <v>1.415625E-2</v>
      </c>
      <c r="S9311">
        <v>3.0036930000000002</v>
      </c>
      <c r="T9311">
        <v>-9.1695899999999997E-2</v>
      </c>
      <c r="U9311">
        <v>2.766418E-2</v>
      </c>
      <c r="V9311">
        <v>-1.2139479999999999E-2</v>
      </c>
      <c r="W9311">
        <v>4.5737819999999998E-2</v>
      </c>
      <c r="X9311">
        <v>0.99887969999999904</v>
      </c>
      <c r="Y9311">
        <v>-7.1851809999999997E-3</v>
      </c>
      <c r="Z9311" s="1">
        <v>4.7929980000000002E-5</v>
      </c>
      <c r="AA9311">
        <v>0.99997420000000004</v>
      </c>
      <c r="AB9311">
        <v>13</v>
      </c>
      <c r="AC9311">
        <v>36.267519999999898</v>
      </c>
      <c r="AD9311">
        <v>-1.111076571468</v>
      </c>
      <c r="AE9311">
        <v>0.334699999999998</v>
      </c>
      <c r="AF9311">
        <v>-0.261115940697766</v>
      </c>
      <c r="AG9311">
        <v>-1.111076571468</v>
      </c>
      <c r="AH9311">
        <v>36.234118430348801</v>
      </c>
      <c r="AI9311">
        <v>91.7563116855967</v>
      </c>
      <c r="AJ9311">
        <v>90.412886611894507</v>
      </c>
      <c r="AK9311">
        <v>36.252089748133002</v>
      </c>
      <c r="AL9311">
        <v>87.378501361947798</v>
      </c>
      <c r="AM9311">
        <v>90.696286779324595</v>
      </c>
      <c r="AN9311">
        <v>0.99999998511255594</v>
      </c>
    </row>
    <row r="9312" spans="1:40" x14ac:dyDescent="0.25">
      <c r="A9312" t="str">
        <f>"20190312160550650"</f>
        <v>20190312160550650</v>
      </c>
      <c r="B9312" t="str">
        <f>"1552377950645011"</f>
        <v>1552377950645011</v>
      </c>
      <c r="C9312" t="s">
        <v>40</v>
      </c>
      <c r="D9312">
        <v>5.3151609999999998</v>
      </c>
      <c r="E9312">
        <v>0.50073789999999996</v>
      </c>
      <c r="F9312" t="s">
        <v>41</v>
      </c>
      <c r="G9312">
        <v>-68.337019999999995</v>
      </c>
      <c r="H9312" s="1">
        <v>-8.5514799999999897E-7</v>
      </c>
      <c r="I9312">
        <v>138.71770000000001</v>
      </c>
      <c r="J9312">
        <v>-108.1797</v>
      </c>
      <c r="K9312">
        <v>1.1110869999999999</v>
      </c>
      <c r="L9312">
        <v>138.30940000000001</v>
      </c>
      <c r="M9312">
        <v>0.99984819999999996</v>
      </c>
      <c r="N9312">
        <v>0</v>
      </c>
      <c r="O9312">
        <v>2.1676730000000002E-3</v>
      </c>
      <c r="P9312">
        <v>0.99950490000000003</v>
      </c>
      <c r="Q9312">
        <v>2.8317660000000001E-2</v>
      </c>
      <c r="R9312">
        <v>1.3718030000000001E-2</v>
      </c>
      <c r="S9312">
        <v>3.003479</v>
      </c>
      <c r="T9312">
        <v>-8.3497520000000006E-2</v>
      </c>
      <c r="U9312">
        <v>3.0715940000000001E-2</v>
      </c>
      <c r="V9312">
        <v>-1.155513E-2</v>
      </c>
      <c r="W9312">
        <v>4.55973E-2</v>
      </c>
      <c r="X9312">
        <v>0.99889309999999998</v>
      </c>
      <c r="Y9312">
        <v>-8.0560709999999997E-3</v>
      </c>
      <c r="Z9312" s="1">
        <v>5.1698430000000002E-5</v>
      </c>
      <c r="AA9312">
        <v>0.99996759999999996</v>
      </c>
      <c r="AB9312">
        <v>13</v>
      </c>
      <c r="AC9312">
        <v>39.842680000000001</v>
      </c>
      <c r="AD9312">
        <v>-1.1110878551479999</v>
      </c>
      <c r="AE9312">
        <v>0.408299999999997</v>
      </c>
      <c r="AF9312">
        <v>-0.32167009999775997</v>
      </c>
      <c r="AG9312">
        <v>-1.1110878551479999</v>
      </c>
      <c r="AH9312">
        <v>39.812513500879902</v>
      </c>
      <c r="AI9312">
        <v>91.598543854890593</v>
      </c>
      <c r="AJ9312">
        <v>90.462918225312507</v>
      </c>
      <c r="AK9312">
        <v>39.829313565925702</v>
      </c>
      <c r="AL9312">
        <v>87.386561091086904</v>
      </c>
      <c r="AM9312">
        <v>90.662764265201005</v>
      </c>
      <c r="AN9312">
        <v>1.0000000300120999</v>
      </c>
    </row>
    <row r="9313" spans="1:40" x14ac:dyDescent="0.25">
      <c r="A9313" t="str">
        <f>"20190312160550672"</f>
        <v>20190312160550672</v>
      </c>
      <c r="B9313" t="str">
        <f>"1552377950664531"</f>
        <v>1552377950664531</v>
      </c>
      <c r="C9313" t="s">
        <v>40</v>
      </c>
      <c r="D9313">
        <v>5.3412680000000003</v>
      </c>
      <c r="E9313">
        <v>0.50102869999999999</v>
      </c>
      <c r="F9313" t="s">
        <v>41</v>
      </c>
      <c r="G9313">
        <v>-68.788250000000005</v>
      </c>
      <c r="H9313" s="1">
        <v>-6.6076560000000003E-7</v>
      </c>
      <c r="I9313">
        <v>138.72229999999999</v>
      </c>
      <c r="J9313">
        <v>-108.0566</v>
      </c>
      <c r="K9313">
        <v>1.1111009999999999</v>
      </c>
      <c r="L9313">
        <v>138.3099</v>
      </c>
      <c r="M9313">
        <v>0.99984600000000001</v>
      </c>
      <c r="N9313">
        <v>0</v>
      </c>
      <c r="O9313">
        <v>2.313238E-3</v>
      </c>
      <c r="P9313">
        <v>0.99949049999999995</v>
      </c>
      <c r="Q9313">
        <v>2.904342E-2</v>
      </c>
      <c r="R9313">
        <v>1.324578E-2</v>
      </c>
      <c r="S9313">
        <v>3.0034640000000001</v>
      </c>
      <c r="T9313">
        <v>-8.4716559999999996E-2</v>
      </c>
      <c r="U9313">
        <v>3.1478880000000001E-2</v>
      </c>
      <c r="V9313">
        <v>-1.093741E-2</v>
      </c>
      <c r="W9313">
        <v>4.6428030000000002E-2</v>
      </c>
      <c r="X9313">
        <v>0.99886169999999996</v>
      </c>
      <c r="Y9313">
        <v>-8.1644700000000001E-3</v>
      </c>
      <c r="Z9313" s="1">
        <v>4.9875929999999997E-5</v>
      </c>
      <c r="AA9313">
        <v>0.99996669999999999</v>
      </c>
      <c r="AB9313">
        <v>13</v>
      </c>
      <c r="AC9313">
        <v>39.268349999999998</v>
      </c>
      <c r="AD9313">
        <v>-1.1111016607655999</v>
      </c>
      <c r="AE9313">
        <v>0.412399999999991</v>
      </c>
      <c r="AF9313">
        <v>-0.32129090784473202</v>
      </c>
      <c r="AG9313">
        <v>-1.1111016607655999</v>
      </c>
      <c r="AH9313">
        <v>39.237788234379302</v>
      </c>
      <c r="AI9313">
        <v>91.621964401808498</v>
      </c>
      <c r="AJ9313">
        <v>90.469144731091703</v>
      </c>
      <c r="AK9313">
        <v>39.254831553249801</v>
      </c>
      <c r="AL9313">
        <v>87.338913068842402</v>
      </c>
      <c r="AM9313">
        <v>90.627356507763295</v>
      </c>
      <c r="AN9313">
        <v>0.99999994231703704</v>
      </c>
    </row>
    <row r="9314" spans="1:40" x14ac:dyDescent="0.25">
      <c r="A9314" t="str">
        <f>"20190312160550694"</f>
        <v>20190312160550694</v>
      </c>
      <c r="B9314" t="str">
        <f>"1552377950685026"</f>
        <v>1552377950685026</v>
      </c>
      <c r="C9314" t="s">
        <v>40</v>
      </c>
      <c r="D9314">
        <v>5.2836470000000002</v>
      </c>
      <c r="E9314">
        <v>0.50127600000000005</v>
      </c>
      <c r="F9314" t="s">
        <v>41</v>
      </c>
      <c r="G9314">
        <v>-68.551209999999998</v>
      </c>
      <c r="H9314" s="1">
        <v>-7.7042830000000002E-7</v>
      </c>
      <c r="I9314">
        <v>138.6773</v>
      </c>
      <c r="J9314">
        <v>-107.9359</v>
      </c>
      <c r="K9314">
        <v>1.111116</v>
      </c>
      <c r="L9314">
        <v>138.31030000000001</v>
      </c>
      <c r="M9314">
        <v>0.99984419999999996</v>
      </c>
      <c r="N9314">
        <v>0</v>
      </c>
      <c r="O9314">
        <v>2.4555250000000001E-3</v>
      </c>
      <c r="P9314">
        <v>0.99945890000000004</v>
      </c>
      <c r="Q9314">
        <v>3.033599E-2</v>
      </c>
      <c r="R9314">
        <v>1.273057E-2</v>
      </c>
      <c r="S9314">
        <v>3.0036160000000001</v>
      </c>
      <c r="T9314">
        <v>-8.4477659999999996E-2</v>
      </c>
      <c r="U9314">
        <v>2.793884E-2</v>
      </c>
      <c r="V9314">
        <v>-1.027993E-2</v>
      </c>
      <c r="W9314">
        <v>4.7810749999999999E-2</v>
      </c>
      <c r="X9314">
        <v>0.99880349999999996</v>
      </c>
      <c r="Y9314">
        <v>-6.8437760000000002E-3</v>
      </c>
      <c r="Z9314" s="1">
        <v>2.7163010000000001E-5</v>
      </c>
      <c r="AA9314">
        <v>0.99997659999999999</v>
      </c>
      <c r="AB9314">
        <v>12</v>
      </c>
      <c r="AC9314">
        <v>39.384689999999999</v>
      </c>
      <c r="AD9314">
        <v>-1.1111167704283</v>
      </c>
      <c r="AE9314">
        <v>0.36699999999999</v>
      </c>
      <c r="AF9314">
        <v>-0.270059099868938</v>
      </c>
      <c r="AG9314">
        <v>-1.1111167704283</v>
      </c>
      <c r="AH9314">
        <v>39.354152855725602</v>
      </c>
      <c r="AI9314">
        <v>91.617209142756593</v>
      </c>
      <c r="AJ9314">
        <v>90.3931733411317</v>
      </c>
      <c r="AK9314">
        <v>39.370761478370802</v>
      </c>
      <c r="AL9314">
        <v>87.259601068684603</v>
      </c>
      <c r="AM9314">
        <v>90.589681360230102</v>
      </c>
      <c r="AN9314">
        <v>0.99999998819430802</v>
      </c>
    </row>
    <row r="9315" spans="1:40" x14ac:dyDescent="0.25">
      <c r="A9315" t="str">
        <f>"20190312160550717"</f>
        <v>20190312160550717</v>
      </c>
      <c r="B9315" t="str">
        <f>"1552377950704547"</f>
        <v>1552377950704547</v>
      </c>
      <c r="C9315" t="s">
        <v>40</v>
      </c>
      <c r="D9315">
        <v>5.3054059999999996</v>
      </c>
      <c r="E9315">
        <v>0.50129120000000005</v>
      </c>
      <c r="F9315" t="s">
        <v>41</v>
      </c>
      <c r="G9315">
        <v>-64.779349999999994</v>
      </c>
      <c r="H9315" s="1">
        <v>-2.3913810000000002E-6</v>
      </c>
      <c r="I9315">
        <v>138.66130000000001</v>
      </c>
      <c r="J9315">
        <v>-107.8141</v>
      </c>
      <c r="K9315">
        <v>1.111132</v>
      </c>
      <c r="L9315">
        <v>138.3108</v>
      </c>
      <c r="M9315">
        <v>0.99984229999999996</v>
      </c>
      <c r="N9315">
        <v>0</v>
      </c>
      <c r="O9315">
        <v>2.599376E-3</v>
      </c>
      <c r="P9315">
        <v>0.99942249999999999</v>
      </c>
      <c r="Q9315">
        <v>3.1547650000000003E-2</v>
      </c>
      <c r="R9315">
        <v>1.2638389999999999E-2</v>
      </c>
      <c r="S9315">
        <v>3.0036619999999998</v>
      </c>
      <c r="T9315">
        <v>-7.7332849999999995E-2</v>
      </c>
      <c r="U9315">
        <v>2.4429320000000001E-2</v>
      </c>
      <c r="V9315">
        <v>-1.00445E-2</v>
      </c>
      <c r="W9315">
        <v>4.9103830000000001E-2</v>
      </c>
      <c r="X9315">
        <v>0.99874320000000005</v>
      </c>
      <c r="Y9315">
        <v>-5.5322189999999997E-3</v>
      </c>
      <c r="Z9315" s="1">
        <v>4.2818649999999997E-6</v>
      </c>
      <c r="AA9315">
        <v>0.99998469999999995</v>
      </c>
      <c r="AB9315">
        <v>12</v>
      </c>
      <c r="AC9315">
        <v>43.034750000000003</v>
      </c>
      <c r="AD9315">
        <v>-1.1111343913809999</v>
      </c>
      <c r="AE9315">
        <v>0.35050000000001003</v>
      </c>
      <c r="AF9315">
        <v>-0.238459096618691</v>
      </c>
      <c r="AG9315">
        <v>-1.1111343913809999</v>
      </c>
      <c r="AH9315">
        <v>43.006847392047398</v>
      </c>
      <c r="AI9315">
        <v>91.4799544115331</v>
      </c>
      <c r="AJ9315">
        <v>90.317683360697302</v>
      </c>
      <c r="AK9315">
        <v>43.021859617865502</v>
      </c>
      <c r="AL9315">
        <v>87.185426013599297</v>
      </c>
      <c r="AM9315">
        <v>90.576212238600604</v>
      </c>
      <c r="AN9315">
        <v>1.00000002882357</v>
      </c>
    </row>
    <row r="9316" spans="1:40" x14ac:dyDescent="0.25">
      <c r="A9316" t="str">
        <f>"20190312160550739"</f>
        <v>20190312160550739</v>
      </c>
      <c r="B9316" t="str">
        <f>"1552377950734802"</f>
        <v>1552377950734802</v>
      </c>
      <c r="C9316" t="s">
        <v>40</v>
      </c>
      <c r="D9316">
        <v>5.3567920000000004</v>
      </c>
      <c r="E9316">
        <v>0.50091649999999999</v>
      </c>
      <c r="F9316" t="s">
        <v>41</v>
      </c>
      <c r="G9316">
        <v>-64.179209999999998</v>
      </c>
      <c r="H9316" s="1">
        <v>-2.6492520000000001E-6</v>
      </c>
      <c r="I9316">
        <v>138.65899999999999</v>
      </c>
      <c r="J9316">
        <v>-107.6926</v>
      </c>
      <c r="K9316">
        <v>1.111143</v>
      </c>
      <c r="L9316">
        <v>138.31129999999999</v>
      </c>
      <c r="M9316">
        <v>0.99984070000000003</v>
      </c>
      <c r="N9316">
        <v>0</v>
      </c>
      <c r="O9316">
        <v>2.7428209999999999E-3</v>
      </c>
      <c r="P9316">
        <v>0.99937310000000001</v>
      </c>
      <c r="Q9316">
        <v>3.3200340000000002E-2</v>
      </c>
      <c r="R9316">
        <v>1.23055E-2</v>
      </c>
      <c r="S9316">
        <v>3.0038450000000001</v>
      </c>
      <c r="T9316">
        <v>-7.6490879999999997E-2</v>
      </c>
      <c r="U9316">
        <v>2.3971559999999999E-2</v>
      </c>
      <c r="V9316">
        <v>-9.567908E-3</v>
      </c>
      <c r="W9316">
        <v>5.0829260000000001E-2</v>
      </c>
      <c r="X9316">
        <v>0.99866149999999998</v>
      </c>
      <c r="Y9316">
        <v>-5.2360389999999996E-3</v>
      </c>
      <c r="Z9316" s="1">
        <v>-3.1880409999999999E-6</v>
      </c>
      <c r="AA9316">
        <v>0.99998629999999999</v>
      </c>
      <c r="AB9316">
        <v>12</v>
      </c>
      <c r="AC9316">
        <v>43.513390000000001</v>
      </c>
      <c r="AD9316">
        <v>-1.111145649252</v>
      </c>
      <c r="AE9316">
        <v>0.34770000000000301</v>
      </c>
      <c r="AF9316">
        <v>-0.22818190385357101</v>
      </c>
      <c r="AG9316">
        <v>-1.111145649252</v>
      </c>
      <c r="AH9316">
        <v>43.485825981300501</v>
      </c>
      <c r="AI9316">
        <v>91.463677620320894</v>
      </c>
      <c r="AJ9316">
        <v>90.300643710169695</v>
      </c>
      <c r="AK9316">
        <v>43.500618075046297</v>
      </c>
      <c r="AL9316">
        <v>87.086442349357299</v>
      </c>
      <c r="AM9316">
        <v>90.548918702583904</v>
      </c>
      <c r="AN9316">
        <v>0.999999975058946</v>
      </c>
    </row>
    <row r="9317" spans="1:40" x14ac:dyDescent="0.25">
      <c r="A9317" t="str">
        <f>"20190312160550762"</f>
        <v>20190312160550762</v>
      </c>
      <c r="B9317" t="str">
        <f>"1552377950754323"</f>
        <v>1552377950754323</v>
      </c>
      <c r="C9317" t="s">
        <v>40</v>
      </c>
      <c r="D9317">
        <v>5.4462409999999997</v>
      </c>
      <c r="E9317">
        <v>0.50068270000000004</v>
      </c>
      <c r="F9317" t="s">
        <v>41</v>
      </c>
      <c r="G9317">
        <v>-61.37914</v>
      </c>
      <c r="H9317" s="1">
        <v>-3.8410850000000002E-6</v>
      </c>
      <c r="I9317">
        <v>138.71190000000001</v>
      </c>
      <c r="J9317">
        <v>-107.57429999999999</v>
      </c>
      <c r="K9317">
        <v>1.111154</v>
      </c>
      <c r="L9317">
        <v>138.31180000000001</v>
      </c>
      <c r="M9317">
        <v>0.99983909999999998</v>
      </c>
      <c r="N9317">
        <v>0</v>
      </c>
      <c r="O9317">
        <v>2.882777E-3</v>
      </c>
      <c r="P9317">
        <v>0.99936570000000002</v>
      </c>
      <c r="Q9317">
        <v>3.3472000000000002E-2</v>
      </c>
      <c r="R9317">
        <v>1.2167249999999999E-2</v>
      </c>
      <c r="S9317">
        <v>3.003952</v>
      </c>
      <c r="T9317">
        <v>-7.207036E-2</v>
      </c>
      <c r="U9317">
        <v>2.598572E-2</v>
      </c>
      <c r="V9317">
        <v>-9.2896469999999998E-3</v>
      </c>
      <c r="W9317">
        <v>5.1163569999999998E-2</v>
      </c>
      <c r="X9317">
        <v>0.99864710000000001</v>
      </c>
      <c r="Y9317">
        <v>-5.7662E-3</v>
      </c>
      <c r="Z9317" s="1">
        <v>-2.8085200000000001E-9</v>
      </c>
      <c r="AA9317">
        <v>0.99998339999999997</v>
      </c>
      <c r="AB9317">
        <v>12</v>
      </c>
      <c r="AC9317">
        <v>46.195160000000001</v>
      </c>
      <c r="AD9317">
        <v>-1.111157841085</v>
      </c>
      <c r="AE9317">
        <v>0.400100000000008</v>
      </c>
      <c r="AF9317">
        <v>-0.26675279074973002</v>
      </c>
      <c r="AG9317">
        <v>-1.111157841085</v>
      </c>
      <c r="AH9317">
        <v>46.1694111736468</v>
      </c>
      <c r="AI9317">
        <v>91.378646671347198</v>
      </c>
      <c r="AJ9317">
        <v>90.331033873539894</v>
      </c>
      <c r="AK9317">
        <v>46.1835507179823</v>
      </c>
      <c r="AL9317">
        <v>87.067262971177101</v>
      </c>
      <c r="AM9317">
        <v>90.532963260706694</v>
      </c>
      <c r="AN9317">
        <v>1.0000000193874601</v>
      </c>
    </row>
    <row r="9318" spans="1:40" x14ac:dyDescent="0.25">
      <c r="A9318" t="str">
        <f>"20190312160550784"</f>
        <v>20190312160550784</v>
      </c>
      <c r="B9318" t="str">
        <f>"1552377950774819"</f>
        <v>1552377950774819</v>
      </c>
      <c r="C9318" t="s">
        <v>40</v>
      </c>
      <c r="D9318">
        <v>5.3586460000000002</v>
      </c>
      <c r="E9318">
        <v>0.50047520000000001</v>
      </c>
      <c r="F9318" t="s">
        <v>41</v>
      </c>
      <c r="G9318">
        <v>-56.93629</v>
      </c>
      <c r="H9318" s="1">
        <v>-1.4454379999999999E-6</v>
      </c>
      <c r="I9318">
        <v>138.77760000000001</v>
      </c>
      <c r="J9318">
        <v>-107.4541</v>
      </c>
      <c r="K9318">
        <v>1.111162</v>
      </c>
      <c r="L9318">
        <v>138.31229999999999</v>
      </c>
      <c r="M9318">
        <v>0.9998378</v>
      </c>
      <c r="N9318">
        <v>0</v>
      </c>
      <c r="O9318">
        <v>3.0249970000000002E-3</v>
      </c>
      <c r="P9318">
        <v>0.99937739999999997</v>
      </c>
      <c r="Q9318">
        <v>3.3114459999999998E-2</v>
      </c>
      <c r="R9318">
        <v>1.2198809999999999E-2</v>
      </c>
      <c r="S9318">
        <v>3.0037690000000001</v>
      </c>
      <c r="T9318">
        <v>-6.5912009999999993E-2</v>
      </c>
      <c r="U9318">
        <v>2.7633669999999999E-2</v>
      </c>
      <c r="V9318">
        <v>-9.1793139999999992E-3</v>
      </c>
      <c r="W9318">
        <v>5.0862600000000001E-2</v>
      </c>
      <c r="X9318">
        <v>0.99866350000000004</v>
      </c>
      <c r="Y9318">
        <v>-6.1731310000000001E-3</v>
      </c>
      <c r="Z9318" s="1">
        <v>1.3406389999999999E-6</v>
      </c>
      <c r="AA9318">
        <v>0.99998089999999995</v>
      </c>
      <c r="AB9318">
        <v>12</v>
      </c>
      <c r="AC9318">
        <v>50.517809999999997</v>
      </c>
      <c r="AD9318">
        <v>-1.1111634454379999</v>
      </c>
      <c r="AE9318">
        <v>0.46530000000001298</v>
      </c>
      <c r="AF9318">
        <v>-0.31230647404017597</v>
      </c>
      <c r="AG9318">
        <v>-1.1111634454379999</v>
      </c>
      <c r="AH9318">
        <v>50.494559293701002</v>
      </c>
      <c r="AI9318">
        <v>91.260600865604403</v>
      </c>
      <c r="AJ9318">
        <v>90.354367182611597</v>
      </c>
      <c r="AK9318">
        <v>50.507749284652199</v>
      </c>
      <c r="AL9318">
        <v>87.084529779838107</v>
      </c>
      <c r="AM9318">
        <v>90.526624974737004</v>
      </c>
      <c r="AN9318">
        <v>1.0000000250582599</v>
      </c>
    </row>
    <row r="9319" spans="1:40" x14ac:dyDescent="0.25">
      <c r="A9319" t="str">
        <f>"20190312160550806"</f>
        <v>20190312160550806</v>
      </c>
      <c r="B9319" t="str">
        <f>"1552377950794339"</f>
        <v>1552377950794339</v>
      </c>
      <c r="C9319" t="s">
        <v>40</v>
      </c>
      <c r="D9319">
        <v>5.4143109999999997</v>
      </c>
      <c r="E9319">
        <v>0.50039789999999995</v>
      </c>
      <c r="F9319" t="s">
        <v>41</v>
      </c>
      <c r="G9319">
        <v>-55.76238</v>
      </c>
      <c r="H9319" s="1">
        <v>-1.9416370000000001E-6</v>
      </c>
      <c r="I9319">
        <v>138.8193</v>
      </c>
      <c r="J9319">
        <v>-107.34139999999999</v>
      </c>
      <c r="K9319">
        <v>1.111162</v>
      </c>
      <c r="L9319">
        <v>138.31280000000001</v>
      </c>
      <c r="M9319">
        <v>0.99983659999999996</v>
      </c>
      <c r="N9319">
        <v>0</v>
      </c>
      <c r="O9319">
        <v>3.1580750000000002E-3</v>
      </c>
      <c r="P9319">
        <v>0.99938419999999895</v>
      </c>
      <c r="Q9319">
        <v>3.2581499999999999E-2</v>
      </c>
      <c r="R9319">
        <v>1.304374E-2</v>
      </c>
      <c r="S9319">
        <v>3.0036320000000001</v>
      </c>
      <c r="T9319">
        <v>-6.4565899999999996E-2</v>
      </c>
      <c r="U9319">
        <v>2.946472E-2</v>
      </c>
      <c r="V9319">
        <v>-9.8905220000000005E-3</v>
      </c>
      <c r="W9319">
        <v>5.037589E-2</v>
      </c>
      <c r="X9319">
        <v>0.99868140000000005</v>
      </c>
      <c r="Y9319">
        <v>-6.6499489999999996E-3</v>
      </c>
      <c r="Z9319" s="1">
        <v>3.5767590000000001E-6</v>
      </c>
      <c r="AA9319">
        <v>0.99997789999999998</v>
      </c>
      <c r="AB9319">
        <v>12</v>
      </c>
      <c r="AC9319">
        <v>51.5790199999999</v>
      </c>
      <c r="AD9319">
        <v>-1.1111639416370001</v>
      </c>
      <c r="AE9319">
        <v>0.50649999999998796</v>
      </c>
      <c r="AF9319">
        <v>-0.34342188567817999</v>
      </c>
      <c r="AG9319">
        <v>-1.1111639416370001</v>
      </c>
      <c r="AH9319">
        <v>51.556437571135</v>
      </c>
      <c r="AI9319">
        <v>91.234641892799402</v>
      </c>
      <c r="AJ9319">
        <v>90.381646493798698</v>
      </c>
      <c r="AK9319">
        <v>51.569553797983303</v>
      </c>
      <c r="AL9319">
        <v>87.112452063565698</v>
      </c>
      <c r="AM9319">
        <v>90.567414835073293</v>
      </c>
      <c r="AN9319">
        <v>1.0000000457123399</v>
      </c>
    </row>
    <row r="9320" spans="1:40" x14ac:dyDescent="0.25">
      <c r="A9320" t="str">
        <f>"20190312160550830"</f>
        <v>20190312160550830</v>
      </c>
      <c r="B9320" t="str">
        <f>"1552377950824595"</f>
        <v>1552377950824595</v>
      </c>
      <c r="C9320" t="s">
        <v>40</v>
      </c>
      <c r="D9320">
        <v>5.4955270000000001</v>
      </c>
      <c r="E9320">
        <v>0.49970439999999999</v>
      </c>
      <c r="F9320" t="s">
        <v>41</v>
      </c>
      <c r="G9320">
        <v>-58.677590000000002</v>
      </c>
      <c r="H9320" s="1">
        <v>-6.8668870000000001E-7</v>
      </c>
      <c r="I9320">
        <v>138.84379999999999</v>
      </c>
      <c r="J9320">
        <v>-107.22239999999999</v>
      </c>
      <c r="K9320">
        <v>1.1111899999999999</v>
      </c>
      <c r="L9320">
        <v>138.3133</v>
      </c>
      <c r="M9320">
        <v>0.99983520000000004</v>
      </c>
      <c r="N9320">
        <v>0</v>
      </c>
      <c r="O9320">
        <v>3.2988620000000001E-3</v>
      </c>
      <c r="P9320">
        <v>0.99944279999999996</v>
      </c>
      <c r="Q9320">
        <v>3.0295369999999999E-2</v>
      </c>
      <c r="R9320">
        <v>1.400859E-2</v>
      </c>
      <c r="S9320">
        <v>3.0036619999999998</v>
      </c>
      <c r="T9320">
        <v>-6.8583969999999994E-2</v>
      </c>
      <c r="U9320">
        <v>3.277588E-2</v>
      </c>
      <c r="V9320">
        <v>-1.0714120000000001E-2</v>
      </c>
      <c r="W9320">
        <v>4.8134139999999999E-2</v>
      </c>
      <c r="X9320">
        <v>0.99878339999999999</v>
      </c>
      <c r="Y9320">
        <v>-7.6109489999999997E-3</v>
      </c>
      <c r="Z9320" s="1">
        <v>1.15543E-5</v>
      </c>
      <c r="AA9320">
        <v>0.99997100000000005</v>
      </c>
      <c r="AB9320">
        <v>12</v>
      </c>
      <c r="AC9320">
        <v>48.544809999999899</v>
      </c>
      <c r="AD9320">
        <v>-1.11119068668869</v>
      </c>
      <c r="AE9320">
        <v>0.53049999999998898</v>
      </c>
      <c r="AF9320">
        <v>-0.37013504955455401</v>
      </c>
      <c r="AG9320">
        <v>-1.11119068668869</v>
      </c>
      <c r="AH9320">
        <v>48.520876517244098</v>
      </c>
      <c r="AI9320">
        <v>91.311879811029002</v>
      </c>
      <c r="AJ9320">
        <v>90.437064751573999</v>
      </c>
      <c r="AK9320">
        <v>48.535010072098899</v>
      </c>
      <c r="AL9320">
        <v>87.241050816907702</v>
      </c>
      <c r="AM9320">
        <v>90.614598032185</v>
      </c>
      <c r="AN9320">
        <v>0.99999998395823597</v>
      </c>
    </row>
    <row r="9321" spans="1:40" x14ac:dyDescent="0.25">
      <c r="A9321" t="str">
        <f>"20190312160550851"</f>
        <v>20190312160550851</v>
      </c>
      <c r="B9321" t="str">
        <f>"1552377950844115"</f>
        <v>1552377950844115</v>
      </c>
      <c r="C9321" t="s">
        <v>40</v>
      </c>
      <c r="D9321">
        <v>5.3644249999999998</v>
      </c>
      <c r="E9321">
        <v>0.49994630000000001</v>
      </c>
      <c r="F9321" t="s">
        <v>41</v>
      </c>
      <c r="G9321">
        <v>-59.594439999999999</v>
      </c>
      <c r="H9321" s="1">
        <v>-2.9703849999999998E-7</v>
      </c>
      <c r="I9321">
        <v>138.96639999999999</v>
      </c>
      <c r="J9321">
        <v>-107.1058</v>
      </c>
      <c r="K9321">
        <v>1.1112219999999999</v>
      </c>
      <c r="L9321">
        <v>138.31389999999999</v>
      </c>
      <c r="M9321">
        <v>0.99983390000000005</v>
      </c>
      <c r="N9321">
        <v>0</v>
      </c>
      <c r="O9321">
        <v>3.4369119999999999E-3</v>
      </c>
      <c r="P9321">
        <v>0.99942520000000001</v>
      </c>
      <c r="Q9321">
        <v>3.0521670000000001E-2</v>
      </c>
      <c r="R9321">
        <v>1.4765260000000001E-2</v>
      </c>
      <c r="S9321">
        <v>3.0032199999999998</v>
      </c>
      <c r="T9321">
        <v>-7.0066929999999999E-2</v>
      </c>
      <c r="U9321">
        <v>4.118347E-2</v>
      </c>
      <c r="V9321">
        <v>-1.13331E-2</v>
      </c>
      <c r="W9321">
        <v>4.8408960000000001E-2</v>
      </c>
      <c r="X9321">
        <v>0.99876330000000002</v>
      </c>
      <c r="Y9321">
        <v>-1.0272740000000001E-2</v>
      </c>
      <c r="Z9321" s="1">
        <v>3.9629840000000001E-5</v>
      </c>
      <c r="AA9321">
        <v>0.99994720000000004</v>
      </c>
      <c r="AB9321">
        <v>12</v>
      </c>
      <c r="AC9321">
        <v>47.511360000000003</v>
      </c>
      <c r="AD9321">
        <v>-1.1112222970385</v>
      </c>
      <c r="AE9321">
        <v>0.65250000000000297</v>
      </c>
      <c r="AF9321">
        <v>-0.48891022363350201</v>
      </c>
      <c r="AG9321">
        <v>-1.1112222970385</v>
      </c>
      <c r="AH9321">
        <v>47.487350385870499</v>
      </c>
      <c r="AI9321">
        <v>91.340427663587903</v>
      </c>
      <c r="AJ9321">
        <v>90.589872933393394</v>
      </c>
      <c r="AK9321">
        <v>47.502866175323</v>
      </c>
      <c r="AL9321">
        <v>87.225286452092604</v>
      </c>
      <c r="AM9321">
        <v>90.650114929020802</v>
      </c>
      <c r="AN9321">
        <v>0.99999999799538997</v>
      </c>
    </row>
    <row r="9322" spans="1:40" x14ac:dyDescent="0.25">
      <c r="A9322" t="str">
        <f>"20190312160550873"</f>
        <v>20190312160550873</v>
      </c>
      <c r="B9322" t="str">
        <f>"1552377950864612"</f>
        <v>1552377950864612</v>
      </c>
      <c r="C9322" t="s">
        <v>40</v>
      </c>
      <c r="D9322">
        <v>5.3442220000000002</v>
      </c>
      <c r="E9322">
        <v>0.49998619999999999</v>
      </c>
      <c r="F9322" t="s">
        <v>41</v>
      </c>
      <c r="G9322">
        <v>-60.226889999999997</v>
      </c>
      <c r="H9322" s="1">
        <v>-4.2906640000000001E-6</v>
      </c>
      <c r="I9322">
        <v>138.9641</v>
      </c>
      <c r="J9322">
        <v>-106.9986</v>
      </c>
      <c r="K9322">
        <v>1.1112409999999999</v>
      </c>
      <c r="L9322">
        <v>138.31440000000001</v>
      </c>
      <c r="M9322">
        <v>0.99983250000000001</v>
      </c>
      <c r="N9322">
        <v>0</v>
      </c>
      <c r="O9322">
        <v>3.5635549999999999E-3</v>
      </c>
      <c r="P9322">
        <v>0.99937889999999996</v>
      </c>
      <c r="Q9322">
        <v>3.1513920000000001E-2</v>
      </c>
      <c r="R9322">
        <v>1.5793040000000001E-2</v>
      </c>
      <c r="S9322">
        <v>3.0032809999999999</v>
      </c>
      <c r="T9322">
        <v>-7.1190359999999994E-2</v>
      </c>
      <c r="U9322">
        <v>4.1656489999999997E-2</v>
      </c>
      <c r="V9322">
        <v>-1.2234E-2</v>
      </c>
      <c r="W9322">
        <v>4.945865E-2</v>
      </c>
      <c r="X9322">
        <v>0.99870119999999896</v>
      </c>
      <c r="Y9322">
        <v>-1.030323E-2</v>
      </c>
      <c r="Z9322" s="1">
        <v>3.7623670000000002E-5</v>
      </c>
      <c r="AA9322">
        <v>0.99994689999999997</v>
      </c>
      <c r="AB9322">
        <v>11</v>
      </c>
      <c r="AC9322">
        <v>46.771709999999899</v>
      </c>
      <c r="AD9322">
        <v>-1.111245290664</v>
      </c>
      <c r="AE9322">
        <v>0.64969999999999495</v>
      </c>
      <c r="AF9322">
        <v>-0.48272301075801499</v>
      </c>
      <c r="AG9322">
        <v>-1.111245290664</v>
      </c>
      <c r="AH9322">
        <v>46.747345399884402</v>
      </c>
      <c r="AI9322">
        <v>91.361666284781805</v>
      </c>
      <c r="AJ9322">
        <v>90.591627352383497</v>
      </c>
      <c r="AK9322">
        <v>46.763042988424402</v>
      </c>
      <c r="AL9322">
        <v>87.165071392408294</v>
      </c>
      <c r="AM9322">
        <v>90.701833048565504</v>
      </c>
      <c r="AN9322">
        <v>0.99999995784863005</v>
      </c>
    </row>
    <row r="9323" spans="1:40" x14ac:dyDescent="0.25">
      <c r="A9323" t="str">
        <f>"20190312160550895"</f>
        <v>20190312160550895</v>
      </c>
      <c r="B9323" t="str">
        <f>"1552377950884131"</f>
        <v>1552377950884131</v>
      </c>
      <c r="C9323" t="s">
        <v>40</v>
      </c>
      <c r="D9323">
        <v>5.4976539999999998</v>
      </c>
      <c r="E9323">
        <v>0.49973010000000001</v>
      </c>
      <c r="F9323" t="s">
        <v>41</v>
      </c>
      <c r="G9323">
        <v>-60.574170000000002</v>
      </c>
      <c r="H9323" s="1">
        <v>-4.1361860000000003E-6</v>
      </c>
      <c r="I9323">
        <v>138.995</v>
      </c>
      <c r="J9323">
        <v>-106.8874</v>
      </c>
      <c r="K9323">
        <v>1.111267</v>
      </c>
      <c r="L9323">
        <v>138.315</v>
      </c>
      <c r="M9323">
        <v>0.99983080000000002</v>
      </c>
      <c r="N9323">
        <v>0</v>
      </c>
      <c r="O9323">
        <v>3.6951900000000001E-3</v>
      </c>
      <c r="P9323">
        <v>0.99931559999999997</v>
      </c>
      <c r="Q9323">
        <v>3.2744179999999998E-2</v>
      </c>
      <c r="R9323">
        <v>1.722315E-2</v>
      </c>
      <c r="S9323">
        <v>3.0034329999999998</v>
      </c>
      <c r="T9323">
        <v>-7.1892020000000001E-2</v>
      </c>
      <c r="U9323">
        <v>4.4036869999999999E-2</v>
      </c>
      <c r="V9323">
        <v>-1.353271E-2</v>
      </c>
      <c r="W9323">
        <v>5.075354E-2</v>
      </c>
      <c r="X9323">
        <v>0.99861949999999999</v>
      </c>
      <c r="Y9323">
        <v>-1.096303E-2</v>
      </c>
      <c r="Z9323" s="1">
        <v>4.2736520000000001E-5</v>
      </c>
      <c r="AA9323">
        <v>0.99993989999999999</v>
      </c>
      <c r="AB9323">
        <v>11</v>
      </c>
      <c r="AC9323">
        <v>46.313229999999997</v>
      </c>
      <c r="AD9323">
        <v>-1.1112711361859999</v>
      </c>
      <c r="AE9323">
        <v>0.68000000000000604</v>
      </c>
      <c r="AF9323">
        <v>-0.50853865411420396</v>
      </c>
      <c r="AG9323">
        <v>-1.1112711361859999</v>
      </c>
      <c r="AH9323">
        <v>46.288782067587398</v>
      </c>
      <c r="AI9323">
        <v>91.375172884966702</v>
      </c>
      <c r="AJ9323">
        <v>90.629438605409902</v>
      </c>
      <c r="AK9323">
        <v>46.304912054785802</v>
      </c>
      <c r="AL9323">
        <v>87.090786409888295</v>
      </c>
      <c r="AM9323">
        <v>90.776391519048104</v>
      </c>
      <c r="AN9323">
        <v>0.999999980921362</v>
      </c>
    </row>
    <row r="9324" spans="1:40" x14ac:dyDescent="0.25">
      <c r="A9324" t="str">
        <f>"20190312160550918"</f>
        <v>20190312160550918</v>
      </c>
      <c r="B9324" t="str">
        <f>"1552377950914390"</f>
        <v>1552377950914390</v>
      </c>
      <c r="C9324" t="s">
        <v>40</v>
      </c>
      <c r="D9324">
        <v>5.411689</v>
      </c>
      <c r="E9324">
        <v>0.49942609999999898</v>
      </c>
      <c r="F9324" t="s">
        <v>41</v>
      </c>
      <c r="G9324">
        <v>-55.763390000000001</v>
      </c>
      <c r="H9324" s="1">
        <v>-1.8780780000000001E-6</v>
      </c>
      <c r="I9324">
        <v>139.17519999999999</v>
      </c>
      <c r="J9324">
        <v>-106.77719999999999</v>
      </c>
      <c r="K9324">
        <v>1.1112919999999999</v>
      </c>
      <c r="L9324">
        <v>138.31549999999999</v>
      </c>
      <c r="M9324">
        <v>0.99982910000000003</v>
      </c>
      <c r="N9324">
        <v>0</v>
      </c>
      <c r="O9324">
        <v>3.8256850000000001E-3</v>
      </c>
      <c r="P9324">
        <v>0.99929860000000004</v>
      </c>
      <c r="Q9324">
        <v>3.2882340000000003E-2</v>
      </c>
      <c r="R9324">
        <v>1.791777E-2</v>
      </c>
      <c r="S9324">
        <v>3.0033259999999999</v>
      </c>
      <c r="T9324">
        <v>-6.528246E-2</v>
      </c>
      <c r="U9324">
        <v>5.0537110000000003E-2</v>
      </c>
      <c r="V9324">
        <v>-1.4096829999999999E-2</v>
      </c>
      <c r="W9324">
        <v>5.0951650000000001E-2</v>
      </c>
      <c r="X9324">
        <v>0.99860159999999998</v>
      </c>
      <c r="Y9324">
        <v>-1.299661E-2</v>
      </c>
      <c r="Z9324" s="1">
        <v>5.8070179999999997E-5</v>
      </c>
      <c r="AA9324">
        <v>0.99991549999999996</v>
      </c>
      <c r="AB9324">
        <v>11</v>
      </c>
      <c r="AC9324">
        <v>51.0138099999999</v>
      </c>
      <c r="AD9324">
        <v>-1.111293878078</v>
      </c>
      <c r="AE9324">
        <v>0.85970000000000302</v>
      </c>
      <c r="AF9324">
        <v>-0.66418390963140805</v>
      </c>
      <c r="AG9324">
        <v>-1.111293878078</v>
      </c>
      <c r="AH9324">
        <v>50.9925343843124</v>
      </c>
      <c r="AI9324">
        <v>91.248358694726903</v>
      </c>
      <c r="AJ9324">
        <v>90.746242238526193</v>
      </c>
      <c r="AK9324">
        <v>51.008966636117499</v>
      </c>
      <c r="AL9324">
        <v>87.079420815632005</v>
      </c>
      <c r="AM9324">
        <v>90.808766197153901</v>
      </c>
      <c r="AN9324">
        <v>0.99999997338816504</v>
      </c>
    </row>
    <row r="9325" spans="1:40" x14ac:dyDescent="0.25">
      <c r="A9325" t="str">
        <f>"20190312160550940"</f>
        <v>20190312160550940</v>
      </c>
      <c r="B9325" t="str">
        <f>"1552377950934882"</f>
        <v>1552377950934882</v>
      </c>
      <c r="C9325" t="s">
        <v>40</v>
      </c>
      <c r="D9325">
        <v>5.3765309999999999</v>
      </c>
      <c r="E9325">
        <v>0.49917099999999998</v>
      </c>
      <c r="F9325" t="s">
        <v>41</v>
      </c>
      <c r="G9325">
        <v>-52.87265</v>
      </c>
      <c r="H9325" s="1">
        <v>-3.0949229999999998E-6</v>
      </c>
      <c r="I9325">
        <v>139.3064</v>
      </c>
      <c r="J9325">
        <v>-106.6661</v>
      </c>
      <c r="K9325">
        <v>1.1112979999999999</v>
      </c>
      <c r="L9325">
        <v>138.31610000000001</v>
      </c>
      <c r="M9325">
        <v>0.99982769999999999</v>
      </c>
      <c r="N9325">
        <v>0</v>
      </c>
      <c r="O9325">
        <v>3.9568540000000001E-3</v>
      </c>
      <c r="P9325">
        <v>0.9992917</v>
      </c>
      <c r="Q9325">
        <v>3.2902210000000001E-2</v>
      </c>
      <c r="R9325">
        <v>1.8277849999999998E-2</v>
      </c>
      <c r="S9325">
        <v>3.0031430000000001</v>
      </c>
      <c r="T9325">
        <v>-6.1912780000000001E-2</v>
      </c>
      <c r="U9325">
        <v>5.52063E-2</v>
      </c>
      <c r="V9325">
        <v>-1.432582E-2</v>
      </c>
      <c r="W9325">
        <v>5.1029270000000002E-2</v>
      </c>
      <c r="X9325">
        <v>0.99859439999999999</v>
      </c>
      <c r="Y9325">
        <v>-1.4420530000000001E-2</v>
      </c>
      <c r="Z9325" s="1">
        <v>6.7047019999999998E-5</v>
      </c>
      <c r="AA9325">
        <v>0.99989600000000001</v>
      </c>
      <c r="AB9325">
        <v>11</v>
      </c>
      <c r="AC9325">
        <v>53.79345</v>
      </c>
      <c r="AD9325">
        <v>-1.111301094923</v>
      </c>
      <c r="AE9325">
        <v>0.99029999999998997</v>
      </c>
      <c r="AF9325">
        <v>-0.77707287617937704</v>
      </c>
      <c r="AG9325">
        <v>-1.111301094923</v>
      </c>
      <c r="AH9325">
        <v>53.774005934704299</v>
      </c>
      <c r="AI9325">
        <v>91.183790471810596</v>
      </c>
      <c r="AJ9325">
        <v>90.8279073996612</v>
      </c>
      <c r="AK9325">
        <v>53.7911009986232</v>
      </c>
      <c r="AL9325">
        <v>87.074967789325697</v>
      </c>
      <c r="AM9325">
        <v>90.821907995404501</v>
      </c>
      <c r="AN9325">
        <v>0.99999999561338204</v>
      </c>
    </row>
    <row r="9326" spans="1:40" x14ac:dyDescent="0.25">
      <c r="A9326" t="str">
        <f>"20190312160550962"</f>
        <v>20190312160550962</v>
      </c>
      <c r="B9326" t="str">
        <f>"1552377950954404"</f>
        <v>1552377950954404</v>
      </c>
      <c r="C9326" t="s">
        <v>40</v>
      </c>
      <c r="D9326">
        <v>5.3691940000000002</v>
      </c>
      <c r="E9326">
        <v>0.49896889999999999</v>
      </c>
      <c r="F9326" t="s">
        <v>45</v>
      </c>
      <c r="G9326">
        <v>0</v>
      </c>
      <c r="H9326">
        <v>0</v>
      </c>
      <c r="I9326">
        <v>0</v>
      </c>
      <c r="J9326">
        <v>-106.5612</v>
      </c>
      <c r="K9326">
        <v>1.1113249999999999</v>
      </c>
      <c r="L9326">
        <v>138.3167</v>
      </c>
      <c r="M9326">
        <v>0.99982610000000005</v>
      </c>
      <c r="N9326">
        <v>0</v>
      </c>
      <c r="O9326">
        <v>4.0809610000000001E-3</v>
      </c>
      <c r="P9326">
        <v>0.99929330000000005</v>
      </c>
      <c r="Q9326">
        <v>3.2589630000000001E-2</v>
      </c>
      <c r="R9326">
        <v>1.8729180000000002E-2</v>
      </c>
      <c r="S9326">
        <v>3.0029910000000002</v>
      </c>
      <c r="T9326">
        <v>-5.866623E-2</v>
      </c>
      <c r="U9326">
        <v>5.8395389999999998E-2</v>
      </c>
      <c r="V9326">
        <v>-1.465313E-2</v>
      </c>
      <c r="W9326">
        <v>5.0777349999999999E-2</v>
      </c>
      <c r="X9326">
        <v>0.99860249999999995</v>
      </c>
      <c r="Y9326">
        <v>-1.535889E-2</v>
      </c>
      <c r="Z9326" s="1">
        <v>7.0274179999999997E-5</v>
      </c>
      <c r="AA9326">
        <v>0.99988200000000005</v>
      </c>
      <c r="AB9326">
        <v>11</v>
      </c>
      <c r="AC9326">
        <v>3.0029910000000002</v>
      </c>
      <c r="AD9326">
        <v>-5.866623E-2</v>
      </c>
      <c r="AE9326">
        <v>5.8395389999999998E-2</v>
      </c>
      <c r="AF9326">
        <v>-4.6120189748040101E-2</v>
      </c>
      <c r="AG9326">
        <v>-5.866623E-2</v>
      </c>
      <c r="AH9326">
        <v>3.0020590233716198</v>
      </c>
      <c r="AI9326">
        <v>91.119399425988803</v>
      </c>
      <c r="AJ9326">
        <v>90.880157365505895</v>
      </c>
      <c r="AK9326">
        <v>3.0029863766344</v>
      </c>
      <c r="AL9326">
        <v>87.0894205011125</v>
      </c>
      <c r="AM9326">
        <v>90.840677102721202</v>
      </c>
      <c r="AN9326">
        <v>1.0000000032490299</v>
      </c>
    </row>
    <row r="9327" spans="1:40" x14ac:dyDescent="0.25">
      <c r="A9327" t="str">
        <f>"20190312160550985"</f>
        <v>20190312160550985</v>
      </c>
      <c r="B9327" t="str">
        <f>"1552377950974898"</f>
        <v>1552377950974898</v>
      </c>
      <c r="C9327" t="s">
        <v>40</v>
      </c>
      <c r="D9327">
        <v>5.4969859999999997</v>
      </c>
      <c r="E9327">
        <v>0.49882579999999999</v>
      </c>
      <c r="F9327" t="s">
        <v>45</v>
      </c>
      <c r="G9327">
        <v>0</v>
      </c>
      <c r="H9327">
        <v>0</v>
      </c>
      <c r="I9327">
        <v>0</v>
      </c>
      <c r="J9327">
        <v>-106.45229999999999</v>
      </c>
      <c r="K9327">
        <v>1.1113569999999999</v>
      </c>
      <c r="L9327">
        <v>138.31729999999999</v>
      </c>
      <c r="M9327">
        <v>0.99982400000000005</v>
      </c>
      <c r="N9327">
        <v>0</v>
      </c>
      <c r="O9327">
        <v>4.2099520000000003E-3</v>
      </c>
      <c r="P9327">
        <v>0.99926130000000002</v>
      </c>
      <c r="Q9327">
        <v>3.3523160000000003E-2</v>
      </c>
      <c r="R9327">
        <v>1.878956E-2</v>
      </c>
      <c r="S9327">
        <v>3.002777</v>
      </c>
      <c r="T9327">
        <v>-5.5330160000000003E-2</v>
      </c>
      <c r="U9327">
        <v>6.1401369999999997E-2</v>
      </c>
      <c r="V9327">
        <v>-1.458476E-2</v>
      </c>
      <c r="W9327">
        <v>5.1784539999999997E-2</v>
      </c>
      <c r="X9327">
        <v>0.99855179999999999</v>
      </c>
      <c r="Y9327">
        <v>-1.623192E-2</v>
      </c>
      <c r="Z9327" s="1">
        <v>7.1947829999999998E-5</v>
      </c>
      <c r="AA9327">
        <v>0.99986830000000004</v>
      </c>
      <c r="AB9327">
        <v>11</v>
      </c>
      <c r="AC9327">
        <v>3.002777</v>
      </c>
      <c r="AD9327">
        <v>-5.5330160000000003E-2</v>
      </c>
      <c r="AE9327">
        <v>6.1401369999999997E-2</v>
      </c>
      <c r="AF9327">
        <v>-4.8740623460982103E-2</v>
      </c>
      <c r="AG9327">
        <v>-5.5330160000000003E-2</v>
      </c>
      <c r="AH9327">
        <v>3.0019900822624699</v>
      </c>
      <c r="AI9327">
        <v>91.055769017205705</v>
      </c>
      <c r="AJ9327">
        <v>90.930178510874399</v>
      </c>
      <c r="AK9327">
        <v>3.00289552415384</v>
      </c>
      <c r="AL9327">
        <v>87.031636800888194</v>
      </c>
      <c r="AM9327">
        <v>90.836797627666201</v>
      </c>
      <c r="AN9327">
        <v>1.0000000255452499</v>
      </c>
    </row>
    <row r="9328" spans="1:40" x14ac:dyDescent="0.25">
      <c r="A9328" t="str">
        <f>"20190312160551008"</f>
        <v>20190312160551008</v>
      </c>
      <c r="B9328" t="str">
        <f>"1552377951004179"</f>
        <v>1552377951004179</v>
      </c>
      <c r="C9328" t="s">
        <v>40</v>
      </c>
      <c r="D9328">
        <v>5.3784369999999999</v>
      </c>
      <c r="E9328">
        <v>0.49860749999999998</v>
      </c>
      <c r="F9328" t="s">
        <v>45</v>
      </c>
      <c r="G9328">
        <v>0</v>
      </c>
      <c r="H9328">
        <v>0</v>
      </c>
      <c r="I9328">
        <v>0</v>
      </c>
      <c r="J9328">
        <v>-106.34869999999999</v>
      </c>
      <c r="K9328">
        <v>1.111378</v>
      </c>
      <c r="L9328">
        <v>138.31780000000001</v>
      </c>
      <c r="M9328">
        <v>0.99982219999999999</v>
      </c>
      <c r="N9328">
        <v>0</v>
      </c>
      <c r="O9328">
        <v>4.3325480000000003E-3</v>
      </c>
      <c r="P9328">
        <v>0.99923280000000003</v>
      </c>
      <c r="Q9328">
        <v>3.4413439999999997E-2</v>
      </c>
      <c r="R9328">
        <v>1.869784E-2</v>
      </c>
      <c r="S9328">
        <v>3.0026860000000002</v>
      </c>
      <c r="T9328">
        <v>-4.9047470000000003E-2</v>
      </c>
      <c r="U9328">
        <v>6.2591549999999996E-2</v>
      </c>
      <c r="V9328">
        <v>-1.4370239999999999E-2</v>
      </c>
      <c r="W9328">
        <v>5.2749289999999997E-2</v>
      </c>
      <c r="X9328">
        <v>0.99850439999999996</v>
      </c>
      <c r="Y9328">
        <v>-1.6506509999999999E-2</v>
      </c>
      <c r="Z9328" s="1">
        <v>6.4020739999999998E-5</v>
      </c>
      <c r="AA9328">
        <v>0.99986370000000002</v>
      </c>
      <c r="AB9328">
        <v>11</v>
      </c>
      <c r="AC9328">
        <v>3.0026860000000002</v>
      </c>
      <c r="AD9328">
        <v>-4.9047470000000003E-2</v>
      </c>
      <c r="AE9328">
        <v>6.2591549999999996E-2</v>
      </c>
      <c r="AF9328">
        <v>-4.9566270447608002E-2</v>
      </c>
      <c r="AG9328">
        <v>-4.9047470000000003E-2</v>
      </c>
      <c r="AH9328">
        <v>3.0021283645143799</v>
      </c>
      <c r="AI9328">
        <v>90.935862779425193</v>
      </c>
      <c r="AJ9328">
        <v>90.945888966629795</v>
      </c>
      <c r="AK9328">
        <v>3.0029380923524398</v>
      </c>
      <c r="AL9328">
        <v>86.976285004712494</v>
      </c>
      <c r="AM9328">
        <v>90.824530432209997</v>
      </c>
      <c r="AN9328">
        <v>1.0000000141062599</v>
      </c>
    </row>
    <row r="9329" spans="1:40" x14ac:dyDescent="0.25">
      <c r="A9329" t="str">
        <f>"20190312160551030"</f>
        <v>20190312160551030</v>
      </c>
      <c r="B9329" t="str">
        <f>"1552377951024674"</f>
        <v>1552377951024674</v>
      </c>
      <c r="C9329" t="s">
        <v>40</v>
      </c>
      <c r="D9329">
        <v>5.7835669999999997</v>
      </c>
      <c r="E9329">
        <v>0.49849690000000002</v>
      </c>
      <c r="F9329" t="s">
        <v>45</v>
      </c>
      <c r="G9329">
        <v>0</v>
      </c>
      <c r="H9329">
        <v>0</v>
      </c>
      <c r="I9329">
        <v>0</v>
      </c>
      <c r="J9329">
        <v>-106.2419</v>
      </c>
      <c r="K9329">
        <v>1.1113900000000001</v>
      </c>
      <c r="L9329">
        <v>138.3185</v>
      </c>
      <c r="M9329">
        <v>0.99982040000000005</v>
      </c>
      <c r="N9329">
        <v>0</v>
      </c>
      <c r="O9329">
        <v>4.4591559999999997E-3</v>
      </c>
      <c r="P9329">
        <v>0.99916629999999995</v>
      </c>
      <c r="Q9329">
        <v>3.5911199999999997E-2</v>
      </c>
      <c r="R9329">
        <v>1.9421919999999999E-2</v>
      </c>
      <c r="S9329">
        <v>3.0025019999999998</v>
      </c>
      <c r="T9329">
        <v>-4.0317180000000001E-2</v>
      </c>
      <c r="U9329">
        <v>6.4132690000000006E-2</v>
      </c>
      <c r="V9329">
        <v>-1.496842E-2</v>
      </c>
      <c r="W9329">
        <v>5.4318209999999999E-2</v>
      </c>
      <c r="X9329">
        <v>0.99841150000000001</v>
      </c>
      <c r="Y9329">
        <v>-1.6894650000000001E-2</v>
      </c>
      <c r="Z9329" s="1">
        <v>5.3534759999999998E-5</v>
      </c>
      <c r="AA9329">
        <v>0.9998572</v>
      </c>
      <c r="AB9329">
        <v>11</v>
      </c>
      <c r="AC9329">
        <v>3.0025019999999998</v>
      </c>
      <c r="AD9329">
        <v>-4.0317180000000001E-2</v>
      </c>
      <c r="AE9329">
        <v>6.4132690000000006E-2</v>
      </c>
      <c r="AF9329">
        <v>-5.0732012325010199E-2</v>
      </c>
      <c r="AG9329">
        <v>-4.0317180000000001E-2</v>
      </c>
      <c r="AH9329">
        <v>3.00221708966781</v>
      </c>
      <c r="AI9329">
        <v>90.769276724306707</v>
      </c>
      <c r="AJ9329">
        <v>90.968102399702502</v>
      </c>
      <c r="AK9329">
        <v>3.0029163600691802</v>
      </c>
      <c r="AL9329">
        <v>86.886263440922207</v>
      </c>
      <c r="AM9329">
        <v>90.858927451429096</v>
      </c>
      <c r="AN9329">
        <v>1.0000000224335699</v>
      </c>
    </row>
    <row r="9330" spans="1:40" x14ac:dyDescent="0.25">
      <c r="A9330" t="str">
        <f>"20190312160551054"</f>
        <v>20190312160551054</v>
      </c>
      <c r="B9330" t="str">
        <f>"1552377951044195"</f>
        <v>1552377951044195</v>
      </c>
      <c r="C9330" t="s">
        <v>40</v>
      </c>
      <c r="D9330">
        <v>5.4770099999999999</v>
      </c>
      <c r="E9330">
        <v>0.49843670000000001</v>
      </c>
      <c r="F9330" t="s">
        <v>45</v>
      </c>
      <c r="G9330">
        <v>0</v>
      </c>
      <c r="H9330">
        <v>0</v>
      </c>
      <c r="I9330">
        <v>0</v>
      </c>
      <c r="J9330">
        <v>-106.13290000000001</v>
      </c>
      <c r="K9330">
        <v>1.1114040000000001</v>
      </c>
      <c r="L9330">
        <v>138.31909999999999</v>
      </c>
      <c r="M9330">
        <v>0.9998186</v>
      </c>
      <c r="N9330">
        <v>0</v>
      </c>
      <c r="O9330">
        <v>4.5882090000000002E-3</v>
      </c>
      <c r="P9330">
        <v>0.9991738</v>
      </c>
      <c r="Q9330">
        <v>3.5581559999999998E-2</v>
      </c>
      <c r="R9330">
        <v>1.9650830000000001E-2</v>
      </c>
      <c r="S9330">
        <v>3.0023499999999999</v>
      </c>
      <c r="T9330">
        <v>-3.174126E-2</v>
      </c>
      <c r="U9330">
        <v>6.7260739999999999E-2</v>
      </c>
      <c r="V9330">
        <v>-1.5068140000000001E-2</v>
      </c>
      <c r="W9330">
        <v>5.4054909999999998E-2</v>
      </c>
      <c r="X9330">
        <v>0.99842430000000004</v>
      </c>
      <c r="Y9330">
        <v>-1.7808270000000001E-2</v>
      </c>
      <c r="Z9330" s="1">
        <v>4.5614010000000001E-5</v>
      </c>
      <c r="AA9330">
        <v>0.99984139999999999</v>
      </c>
      <c r="AB9330">
        <v>10</v>
      </c>
      <c r="AC9330">
        <v>3.0023499999999999</v>
      </c>
      <c r="AD9330">
        <v>-3.174126E-2</v>
      </c>
      <c r="AE9330">
        <v>6.7260739999999999E-2</v>
      </c>
      <c r="AF9330">
        <v>-5.3476294196445603E-2</v>
      </c>
      <c r="AG9330">
        <v>-3.174126E-2</v>
      </c>
      <c r="AH9330">
        <v>3.0022916477316999</v>
      </c>
      <c r="AI9330">
        <v>90.605632064462895</v>
      </c>
      <c r="AJ9330">
        <v>91.020434506981005</v>
      </c>
      <c r="AK9330">
        <v>3.0029356236301301</v>
      </c>
      <c r="AL9330">
        <v>86.901371647037195</v>
      </c>
      <c r="AM9330">
        <v>90.864637699111398</v>
      </c>
      <c r="AN9330">
        <v>1.0000000324843199</v>
      </c>
    </row>
    <row r="9331" spans="1:40" x14ac:dyDescent="0.25">
      <c r="A9331" t="str">
        <f>"20190312160551077"</f>
        <v>20190312160551077</v>
      </c>
      <c r="B9331" t="str">
        <f>"1552377951064692"</f>
        <v>1552377951064692</v>
      </c>
      <c r="C9331" t="s">
        <v>40</v>
      </c>
      <c r="D9331">
        <v>5.4514269999999998</v>
      </c>
      <c r="E9331">
        <v>0.49952229999999997</v>
      </c>
      <c r="F9331" t="s">
        <v>45</v>
      </c>
      <c r="G9331">
        <v>0</v>
      </c>
      <c r="H9331">
        <v>0</v>
      </c>
      <c r="I9331">
        <v>0</v>
      </c>
      <c r="J9331">
        <v>-106.0303</v>
      </c>
      <c r="K9331">
        <v>1.111408</v>
      </c>
      <c r="L9331">
        <v>138.31970000000001</v>
      </c>
      <c r="M9331">
        <v>0.99981679999999995</v>
      </c>
      <c r="N9331">
        <v>0</v>
      </c>
      <c r="O9331">
        <v>4.7095030000000003E-3</v>
      </c>
      <c r="P9331">
        <v>0.99924489999999999</v>
      </c>
      <c r="Q9331">
        <v>3.356721E-2</v>
      </c>
      <c r="R9331">
        <v>1.9572349999999999E-2</v>
      </c>
      <c r="S9331">
        <v>3.002243</v>
      </c>
      <c r="T9331">
        <v>-3.1171560000000001E-2</v>
      </c>
      <c r="U9331">
        <v>6.8572999999999995E-2</v>
      </c>
      <c r="V9331">
        <v>-1.486734E-2</v>
      </c>
      <c r="W9331">
        <v>5.2103589999999998E-2</v>
      </c>
      <c r="X9331">
        <v>0.99853099999999995</v>
      </c>
      <c r="Y9331">
        <v>-1.812457E-2</v>
      </c>
      <c r="Z9331" s="1">
        <v>4.5179149999999999E-5</v>
      </c>
      <c r="AA9331">
        <v>0.99983569999999999</v>
      </c>
      <c r="AB9331">
        <v>10</v>
      </c>
      <c r="AC9331">
        <v>3.002243</v>
      </c>
      <c r="AD9331">
        <v>-3.1171560000000001E-2</v>
      </c>
      <c r="AE9331">
        <v>6.8572999999999995E-2</v>
      </c>
      <c r="AF9331">
        <v>-5.4424868961949403E-2</v>
      </c>
      <c r="AG9331">
        <v>-3.1171560000000001E-2</v>
      </c>
      <c r="AH9331">
        <v>3.0022092203481501</v>
      </c>
      <c r="AI9331">
        <v>90.5947757655522</v>
      </c>
      <c r="AJ9331">
        <v>91.038559785630397</v>
      </c>
      <c r="AK9331">
        <v>3.0028642885181802</v>
      </c>
      <c r="AL9331">
        <v>87.013331764610797</v>
      </c>
      <c r="AM9331">
        <v>90.853025990694903</v>
      </c>
      <c r="AN9331">
        <v>0.99999998992528105</v>
      </c>
    </row>
    <row r="9332" spans="1:40" x14ac:dyDescent="0.25">
      <c r="A9332" t="str">
        <f>"20190312160551096"</f>
        <v>20190312160551096</v>
      </c>
      <c r="B9332" t="str">
        <f>"1552377951094947"</f>
        <v>1552377951094947</v>
      </c>
      <c r="C9332" t="s">
        <v>40</v>
      </c>
      <c r="D9332">
        <v>5.5704159999999998</v>
      </c>
      <c r="E9332">
        <v>0.50154019999999999</v>
      </c>
      <c r="F9332" t="s">
        <v>45</v>
      </c>
      <c r="G9332">
        <v>0</v>
      </c>
      <c r="H9332">
        <v>0</v>
      </c>
      <c r="I9332">
        <v>0</v>
      </c>
      <c r="J9332">
        <v>-105.9427</v>
      </c>
      <c r="K9332">
        <v>1.111408</v>
      </c>
      <c r="L9332">
        <v>138.3202</v>
      </c>
      <c r="M9332">
        <v>0.99981529999999996</v>
      </c>
      <c r="N9332">
        <v>0</v>
      </c>
      <c r="O9332">
        <v>4.8134249999999996E-3</v>
      </c>
      <c r="P9332">
        <v>0.99932270000000001</v>
      </c>
      <c r="Q9332">
        <v>3.1547749999999999E-2</v>
      </c>
      <c r="R9332">
        <v>1.8951619999999999E-2</v>
      </c>
      <c r="S9332">
        <v>3.0025789999999999</v>
      </c>
      <c r="T9332">
        <v>-4.4113399999999997E-2</v>
      </c>
      <c r="U9332">
        <v>5.963135E-2</v>
      </c>
      <c r="V9332">
        <v>-1.4142170000000001E-2</v>
      </c>
      <c r="W9332">
        <v>5.0143020000000003E-2</v>
      </c>
      <c r="X9332">
        <v>0.99864189999999997</v>
      </c>
      <c r="Y9332">
        <v>-1.5041489999999999E-2</v>
      </c>
      <c r="Z9332" s="1">
        <v>3.9758220000000003E-5</v>
      </c>
      <c r="AA9332">
        <v>0.99988690000000002</v>
      </c>
      <c r="AB9332">
        <v>10</v>
      </c>
      <c r="AC9332">
        <v>3.0025789999999999</v>
      </c>
      <c r="AD9332">
        <v>-4.4113399999999997E-2</v>
      </c>
      <c r="AE9332">
        <v>5.963135E-2</v>
      </c>
      <c r="AF9332">
        <v>-4.5165722564941703E-2</v>
      </c>
      <c r="AG9332">
        <v>-4.4113399999999997E-2</v>
      </c>
      <c r="AH9332">
        <v>3.0021835190071702</v>
      </c>
      <c r="AI9332">
        <v>90.841735299871601</v>
      </c>
      <c r="AJ9332">
        <v>90.861909359804898</v>
      </c>
      <c r="AK9332">
        <v>3.0028472848868999</v>
      </c>
      <c r="AL9332">
        <v>87.125811237055402</v>
      </c>
      <c r="AM9332">
        <v>90.811334367477997</v>
      </c>
      <c r="AN9332">
        <v>0.99999998393131895</v>
      </c>
    </row>
    <row r="9333" spans="1:40" x14ac:dyDescent="0.25">
      <c r="A9333" t="str">
        <f>"20190312160551119"</f>
        <v>20190312160551119</v>
      </c>
      <c r="B9333" t="str">
        <f>"1552377951114470"</f>
        <v>1552377951114470</v>
      </c>
      <c r="C9333" t="s">
        <v>40</v>
      </c>
      <c r="D9333">
        <v>5.5694019999999904</v>
      </c>
      <c r="E9333">
        <v>0.50297400000000003</v>
      </c>
      <c r="F9333" t="s">
        <v>45</v>
      </c>
      <c r="G9333">
        <v>0</v>
      </c>
      <c r="H9333">
        <v>0</v>
      </c>
      <c r="I9333">
        <v>0</v>
      </c>
      <c r="J9333">
        <v>-105.8447</v>
      </c>
      <c r="K9333">
        <v>1.1114170000000001</v>
      </c>
      <c r="L9333">
        <v>138.32079999999999</v>
      </c>
      <c r="M9333">
        <v>0.99981339999999996</v>
      </c>
      <c r="N9333">
        <v>0</v>
      </c>
      <c r="O9333">
        <v>4.9294300000000003E-3</v>
      </c>
      <c r="P9333">
        <v>0.99939180000000005</v>
      </c>
      <c r="Q9333">
        <v>2.9870310000000001E-2</v>
      </c>
      <c r="R9333">
        <v>1.8000209999999999E-2</v>
      </c>
      <c r="S9333">
        <v>3.0027309999999998</v>
      </c>
      <c r="T9333">
        <v>-4.72126E-2</v>
      </c>
      <c r="U9333">
        <v>4.1580199999999998E-2</v>
      </c>
      <c r="V9333">
        <v>-1.307416E-2</v>
      </c>
      <c r="W9333">
        <v>4.8538030000000003E-2</v>
      </c>
      <c r="X9333">
        <v>0.99873579999999995</v>
      </c>
      <c r="Y9333">
        <v>-8.9156530000000008E-3</v>
      </c>
      <c r="Z9333" s="1">
        <v>-7.4269339999999997E-6</v>
      </c>
      <c r="AA9333">
        <v>0.99996019999999997</v>
      </c>
      <c r="AB9333">
        <v>10</v>
      </c>
      <c r="AC9333">
        <v>3.0027309999999998</v>
      </c>
      <c r="AD9333">
        <v>-4.72126E-2</v>
      </c>
      <c r="AE9333">
        <v>4.1580199999999998E-2</v>
      </c>
      <c r="AF9333">
        <v>-2.67687432832516E-2</v>
      </c>
      <c r="AG9333">
        <v>-4.72126E-2</v>
      </c>
      <c r="AH9333">
        <v>3.0021574573790701</v>
      </c>
      <c r="AI9333">
        <v>90.900936173450503</v>
      </c>
      <c r="AJ9333">
        <v>90.510864400238006</v>
      </c>
      <c r="AK9333">
        <v>3.0026479970373599</v>
      </c>
      <c r="AL9333">
        <v>87.217882688453301</v>
      </c>
      <c r="AM9333">
        <v>90.7499995525869</v>
      </c>
      <c r="AN9333">
        <v>1.0000000361088099</v>
      </c>
    </row>
    <row r="9334" spans="1:40" x14ac:dyDescent="0.25">
      <c r="A9334" t="str">
        <f>"20190312160551141"</f>
        <v>20190312160551141</v>
      </c>
      <c r="B9334" t="str">
        <f>"1552377951133987"</f>
        <v>1552377951133987</v>
      </c>
      <c r="C9334" t="s">
        <v>40</v>
      </c>
      <c r="D9334">
        <v>5.4550689999999999</v>
      </c>
      <c r="E9334">
        <v>0.50429789999999997</v>
      </c>
      <c r="F9334" t="s">
        <v>45</v>
      </c>
      <c r="G9334">
        <v>0</v>
      </c>
      <c r="H9334">
        <v>0</v>
      </c>
      <c r="I9334">
        <v>0</v>
      </c>
      <c r="J9334">
        <v>-105.74720000000001</v>
      </c>
      <c r="K9334">
        <v>1.1114170000000001</v>
      </c>
      <c r="L9334">
        <v>138.32149999999999</v>
      </c>
      <c r="M9334">
        <v>0.99981140000000002</v>
      </c>
      <c r="N9334">
        <v>0</v>
      </c>
      <c r="O9334">
        <v>5.0450310000000002E-3</v>
      </c>
      <c r="P9334">
        <v>0.99944630000000001</v>
      </c>
      <c r="Q9334">
        <v>2.8688140000000001E-2</v>
      </c>
      <c r="R9334">
        <v>1.6858959999999999E-2</v>
      </c>
      <c r="S9334">
        <v>3.002853</v>
      </c>
      <c r="T9334">
        <v>-5.0591230000000001E-2</v>
      </c>
      <c r="U9334">
        <v>2.7435299999999999E-2</v>
      </c>
      <c r="V9334">
        <v>-1.181752E-2</v>
      </c>
      <c r="W9334">
        <v>4.7433040000000003E-2</v>
      </c>
      <c r="X9334">
        <v>0.99880449999999998</v>
      </c>
      <c r="Y9334">
        <v>-4.0903420000000003E-3</v>
      </c>
      <c r="Z9334" s="1">
        <v>-5.0550339999999999E-5</v>
      </c>
      <c r="AA9334">
        <v>0.99999170000000004</v>
      </c>
      <c r="AB9334">
        <v>10</v>
      </c>
      <c r="AC9334">
        <v>3.002853</v>
      </c>
      <c r="AD9334">
        <v>-5.0591230000000001E-2</v>
      </c>
      <c r="AE9334">
        <v>2.7435299999999999E-2</v>
      </c>
      <c r="AF9334">
        <v>-1.2279314283739601E-2</v>
      </c>
      <c r="AG9334">
        <v>-5.0591230000000001E-2</v>
      </c>
      <c r="AH9334">
        <v>3.0021011453829298</v>
      </c>
      <c r="AI9334">
        <v>90.965445609714706</v>
      </c>
      <c r="AJ9334">
        <v>90.234352184102605</v>
      </c>
      <c r="AK9334">
        <v>3.0025525043239001</v>
      </c>
      <c r="AL9334">
        <v>87.281266839054396</v>
      </c>
      <c r="AM9334">
        <v>90.677872824848805</v>
      </c>
      <c r="AN9334">
        <v>0.99999998814141999</v>
      </c>
    </row>
    <row r="9335" spans="1:40" x14ac:dyDescent="0.25">
      <c r="A9335" t="str">
        <f>"20190312160551164"</f>
        <v>20190312160551164</v>
      </c>
      <c r="B9335" t="str">
        <f>"1552377951154484"</f>
        <v>1552377951154484</v>
      </c>
      <c r="C9335" t="s">
        <v>40</v>
      </c>
      <c r="D9335">
        <v>5.495787</v>
      </c>
      <c r="E9335">
        <v>0.50536419999999904</v>
      </c>
      <c r="F9335" t="s">
        <v>45</v>
      </c>
      <c r="G9335">
        <v>0</v>
      </c>
      <c r="H9335">
        <v>0</v>
      </c>
      <c r="I9335">
        <v>0</v>
      </c>
      <c r="J9335">
        <v>-105.6529</v>
      </c>
      <c r="K9335">
        <v>1.1114200000000001</v>
      </c>
      <c r="L9335">
        <v>138.32210000000001</v>
      </c>
      <c r="M9335">
        <v>0.99980939999999996</v>
      </c>
      <c r="N9335">
        <v>0</v>
      </c>
      <c r="O9335">
        <v>5.1566779999999996E-3</v>
      </c>
      <c r="P9335">
        <v>0.99948210000000004</v>
      </c>
      <c r="Q9335">
        <v>2.7403750000000001E-2</v>
      </c>
      <c r="R9335">
        <v>1.6871580000000001E-2</v>
      </c>
      <c r="S9335">
        <v>3.0029300000000001</v>
      </c>
      <c r="T9335">
        <v>-5.278468E-2</v>
      </c>
      <c r="U9335">
        <v>1.365662E-2</v>
      </c>
      <c r="V9335">
        <v>-1.171817E-2</v>
      </c>
      <c r="W9335">
        <v>4.6220820000000003E-2</v>
      </c>
      <c r="X9335">
        <v>0.99886249999999999</v>
      </c>
      <c r="Y9335">
        <v>6.0899169999999896E-4</v>
      </c>
      <c r="Z9335" s="1">
        <v>-9.6002639999999997E-5</v>
      </c>
      <c r="AA9335">
        <v>0.99999979999999999</v>
      </c>
      <c r="AB9335">
        <v>10</v>
      </c>
      <c r="AC9335">
        <v>3.0029300000000001</v>
      </c>
      <c r="AD9335">
        <v>-5.278468E-2</v>
      </c>
      <c r="AE9335">
        <v>1.365662E-2</v>
      </c>
      <c r="AF9335">
        <v>1.83088504933905E-3</v>
      </c>
      <c r="AG9335">
        <v>-5.278468E-2</v>
      </c>
      <c r="AH9335">
        <v>3.00203295662434</v>
      </c>
      <c r="AI9335">
        <v>91.007326454029794</v>
      </c>
      <c r="AJ9335">
        <v>89.965056355273205</v>
      </c>
      <c r="AK9335">
        <v>3.0024975349267899</v>
      </c>
      <c r="AL9335">
        <v>87.350798205162803</v>
      </c>
      <c r="AM9335">
        <v>90.672135439901894</v>
      </c>
      <c r="AN9335">
        <v>0.999999986807935</v>
      </c>
    </row>
    <row r="9336" spans="1:40" x14ac:dyDescent="0.25">
      <c r="A9336" t="str">
        <f>"20190312160551185"</f>
        <v>20190312160551185</v>
      </c>
      <c r="B9336" t="str">
        <f>"1552377951174979"</f>
        <v>1552377951174979</v>
      </c>
      <c r="C9336" t="s">
        <v>40</v>
      </c>
      <c r="D9336">
        <v>5.5553939999999997</v>
      </c>
      <c r="E9336">
        <v>0.50652779999999997</v>
      </c>
      <c r="F9336" t="s">
        <v>45</v>
      </c>
      <c r="G9336">
        <v>0</v>
      </c>
      <c r="H9336">
        <v>0</v>
      </c>
      <c r="I9336">
        <v>0</v>
      </c>
      <c r="J9336">
        <v>-105.56</v>
      </c>
      <c r="K9336">
        <v>1.111429</v>
      </c>
      <c r="L9336">
        <v>138.3227</v>
      </c>
      <c r="M9336">
        <v>0.99980769999999997</v>
      </c>
      <c r="N9336">
        <v>0</v>
      </c>
      <c r="O9336">
        <v>5.2666630000000004E-3</v>
      </c>
      <c r="P9336">
        <v>0.99951250000000003</v>
      </c>
      <c r="Q9336">
        <v>2.668005E-2</v>
      </c>
      <c r="R9336">
        <v>1.6226339999999999E-2</v>
      </c>
      <c r="S9336">
        <v>3.0029910000000002</v>
      </c>
      <c r="T9336">
        <v>-5.5674670000000002E-2</v>
      </c>
      <c r="U9336">
        <v>5.2795409999999996E-3</v>
      </c>
      <c r="V9336">
        <v>-1.096214E-2</v>
      </c>
      <c r="W9336">
        <v>4.5562529999999997E-2</v>
      </c>
      <c r="X9336">
        <v>0.99890140000000005</v>
      </c>
      <c r="Y9336">
        <v>3.5080200000000001E-3</v>
      </c>
      <c r="Z9336">
        <v>-1.301672E-4</v>
      </c>
      <c r="AA9336">
        <v>0.99999389999999999</v>
      </c>
      <c r="AB9336">
        <v>10</v>
      </c>
      <c r="AC9336">
        <v>3.0029910000000002</v>
      </c>
      <c r="AD9336">
        <v>-5.5674670000000002E-2</v>
      </c>
      <c r="AE9336">
        <v>5.2795409999999996E-3</v>
      </c>
      <c r="AF9336">
        <v>1.053547505791E-2</v>
      </c>
      <c r="AG9336">
        <v>-5.5674670000000002E-2</v>
      </c>
      <c r="AH9336">
        <v>3.0019453160306999</v>
      </c>
      <c r="AI9336">
        <v>91.062490479158996</v>
      </c>
      <c r="AJ9336">
        <v>89.798918463153299</v>
      </c>
      <c r="AK9336">
        <v>3.0024800324986298</v>
      </c>
      <c r="AL9336">
        <v>87.388555415721299</v>
      </c>
      <c r="AM9336">
        <v>90.628749888856902</v>
      </c>
      <c r="AN9336">
        <v>1.0000000597876599</v>
      </c>
    </row>
    <row r="9337" spans="1:40" x14ac:dyDescent="0.25">
      <c r="A9337" t="str">
        <f>"20190312160551209"</f>
        <v>20190312160551209</v>
      </c>
      <c r="B9337" t="str">
        <f>"1552377951204262"</f>
        <v>1552377951204262</v>
      </c>
      <c r="C9337" t="s">
        <v>40</v>
      </c>
      <c r="D9337">
        <v>5.5978009999999996</v>
      </c>
      <c r="E9337">
        <v>0.50808279999999995</v>
      </c>
      <c r="F9337" t="s">
        <v>45</v>
      </c>
      <c r="G9337">
        <v>0</v>
      </c>
      <c r="H9337">
        <v>0</v>
      </c>
      <c r="I9337">
        <v>0</v>
      </c>
      <c r="J9337">
        <v>-105.4665</v>
      </c>
      <c r="K9337">
        <v>1.1114409999999999</v>
      </c>
      <c r="L9337">
        <v>138.32329999999999</v>
      </c>
      <c r="M9337">
        <v>0.99980599999999997</v>
      </c>
      <c r="N9337">
        <v>0</v>
      </c>
      <c r="O9337">
        <v>5.376881E-3</v>
      </c>
      <c r="P9337">
        <v>0.99954339999999997</v>
      </c>
      <c r="Q9337">
        <v>2.604892E-2</v>
      </c>
      <c r="R9337">
        <v>1.532128E-2</v>
      </c>
      <c r="S9337">
        <v>3.003098</v>
      </c>
      <c r="T9337">
        <v>-5.7278160000000002E-2</v>
      </c>
      <c r="U9337">
        <v>-5.9509280000000003E-3</v>
      </c>
      <c r="V9337">
        <v>-9.9468930000000001E-3</v>
      </c>
      <c r="W9337">
        <v>4.49909E-2</v>
      </c>
      <c r="X9337">
        <v>0.99893779999999999</v>
      </c>
      <c r="Y9337">
        <v>7.3570830000000004E-3</v>
      </c>
      <c r="Z9337">
        <v>-1.7271659999999999E-4</v>
      </c>
      <c r="AA9337">
        <v>0.99997290000000005</v>
      </c>
      <c r="AB9337">
        <v>10</v>
      </c>
      <c r="AC9337">
        <v>3.003098</v>
      </c>
      <c r="AD9337">
        <v>-5.7278160000000002E-2</v>
      </c>
      <c r="AE9337">
        <v>-5.9509280000000003E-3</v>
      </c>
      <c r="AF9337">
        <v>2.2093005192647001E-2</v>
      </c>
      <c r="AG9337">
        <v>-5.7278160000000002E-2</v>
      </c>
      <c r="AH9337">
        <v>3.0019305311334001</v>
      </c>
      <c r="AI9337">
        <v>91.093066537517799</v>
      </c>
      <c r="AJ9337">
        <v>89.5783336463669</v>
      </c>
      <c r="AK9337">
        <v>3.00255820963429</v>
      </c>
      <c r="AL9337">
        <v>87.421340675061302</v>
      </c>
      <c r="AM9337">
        <v>90.570502140743201</v>
      </c>
      <c r="AN9337">
        <v>0.99999992501599799</v>
      </c>
    </row>
    <row r="9338" spans="1:40" x14ac:dyDescent="0.25">
      <c r="A9338" t="str">
        <f>"20190312160551231"</f>
        <v>20190312160551231</v>
      </c>
      <c r="B9338" t="str">
        <f>"1552377951224755"</f>
        <v>1552377951224755</v>
      </c>
      <c r="C9338" t="s">
        <v>40</v>
      </c>
      <c r="D9338">
        <v>5.6416409999999999</v>
      </c>
      <c r="E9338">
        <v>0.50917869999999998</v>
      </c>
      <c r="F9338" t="s">
        <v>45</v>
      </c>
      <c r="G9338">
        <v>0</v>
      </c>
      <c r="H9338">
        <v>0</v>
      </c>
      <c r="I9338">
        <v>0</v>
      </c>
      <c r="J9338">
        <v>-105.3736</v>
      </c>
      <c r="K9338">
        <v>1.1114459999999999</v>
      </c>
      <c r="L9338">
        <v>138.32390000000001</v>
      </c>
      <c r="M9338">
        <v>0.99980440000000004</v>
      </c>
      <c r="N9338">
        <v>0</v>
      </c>
      <c r="O9338">
        <v>5.4869609999999899E-3</v>
      </c>
      <c r="P9338">
        <v>0.99954799999999999</v>
      </c>
      <c r="Q9338">
        <v>2.6293380000000002E-2</v>
      </c>
      <c r="R9338">
        <v>1.458393E-2</v>
      </c>
      <c r="S9338">
        <v>3.0032199999999998</v>
      </c>
      <c r="T9338">
        <v>-5.843425E-2</v>
      </c>
      <c r="U9338">
        <v>-2.0751950000000002E-2</v>
      </c>
      <c r="V9338">
        <v>-9.0998499999999996E-3</v>
      </c>
      <c r="W9338">
        <v>4.528911E-2</v>
      </c>
      <c r="X9338">
        <v>0.9989325</v>
      </c>
      <c r="Y9338">
        <v>1.239407E-2</v>
      </c>
      <c r="Z9338">
        <v>-2.27333E-4</v>
      </c>
      <c r="AA9338">
        <v>0.99992320000000001</v>
      </c>
      <c r="AB9338">
        <v>9</v>
      </c>
      <c r="AC9338">
        <v>3.0032199999999998</v>
      </c>
      <c r="AD9338">
        <v>-5.843425E-2</v>
      </c>
      <c r="AE9338">
        <v>-2.0751950000000002E-2</v>
      </c>
      <c r="AF9338">
        <v>3.7219074328543399E-2</v>
      </c>
      <c r="AG9338">
        <v>-5.843425E-2</v>
      </c>
      <c r="AH9338">
        <v>3.00192446692584</v>
      </c>
      <c r="AI9338">
        <v>91.115070004549196</v>
      </c>
      <c r="AJ9338">
        <v>89.289660136162595</v>
      </c>
      <c r="AK9338">
        <v>3.00272381783522</v>
      </c>
      <c r="AL9338">
        <v>87.404237325206395</v>
      </c>
      <c r="AM9338">
        <v>90.521925733431303</v>
      </c>
      <c r="AN9338">
        <v>1.00000002515543</v>
      </c>
    </row>
    <row r="9339" spans="1:40" x14ac:dyDescent="0.25">
      <c r="A9339" t="str">
        <f>"20190312160551254"</f>
        <v>20190312160551254</v>
      </c>
      <c r="B9339" t="str">
        <f>"1552377951244275"</f>
        <v>1552377951244275</v>
      </c>
      <c r="C9339" t="s">
        <v>40</v>
      </c>
      <c r="D9339">
        <v>5.5937700000000001</v>
      </c>
      <c r="E9339">
        <v>0.51036210000000004</v>
      </c>
      <c r="F9339" t="s">
        <v>45</v>
      </c>
      <c r="G9339">
        <v>0</v>
      </c>
      <c r="H9339">
        <v>0</v>
      </c>
      <c r="I9339">
        <v>0</v>
      </c>
      <c r="J9339">
        <v>-105.28319999999999</v>
      </c>
      <c r="K9339">
        <v>1.111445</v>
      </c>
      <c r="L9339">
        <v>138.3245</v>
      </c>
      <c r="M9339">
        <v>0.99980290000000005</v>
      </c>
      <c r="N9339">
        <v>0</v>
      </c>
      <c r="O9339">
        <v>5.5941769999999997E-3</v>
      </c>
      <c r="P9339">
        <v>0.99960150000000003</v>
      </c>
      <c r="Q9339">
        <v>2.4965299999999999E-2</v>
      </c>
      <c r="R9339">
        <v>1.319499E-2</v>
      </c>
      <c r="S9339">
        <v>3.0033259999999999</v>
      </c>
      <c r="T9339">
        <v>-5.7091709999999997E-2</v>
      </c>
      <c r="U9339">
        <v>-3.1646729999999998E-2</v>
      </c>
      <c r="V9339">
        <v>-7.6027000000000004E-3</v>
      </c>
      <c r="W9339">
        <v>4.4010550000000002E-2</v>
      </c>
      <c r="X9339">
        <v>0.99900219999999995</v>
      </c>
      <c r="Y9339">
        <v>1.612744E-2</v>
      </c>
      <c r="Z9339">
        <v>-2.596187E-4</v>
      </c>
      <c r="AA9339">
        <v>0.99986989999999998</v>
      </c>
      <c r="AB9339">
        <v>9</v>
      </c>
      <c r="AC9339">
        <v>3.0033259999999999</v>
      </c>
      <c r="AD9339">
        <v>-5.7091709999999997E-2</v>
      </c>
      <c r="AE9339">
        <v>-3.1646729999999998E-2</v>
      </c>
      <c r="AF9339">
        <v>4.84329211525912E-2</v>
      </c>
      <c r="AG9339">
        <v>-5.7091709999999997E-2</v>
      </c>
      <c r="AH9339">
        <v>3.0020172275783099</v>
      </c>
      <c r="AI9339">
        <v>91.089365591507203</v>
      </c>
      <c r="AJ9339">
        <v>89.075701093047897</v>
      </c>
      <c r="AK9339">
        <v>3.00295065658413</v>
      </c>
      <c r="AL9339">
        <v>87.477566646018303</v>
      </c>
      <c r="AM9339">
        <v>90.436029283679304</v>
      </c>
      <c r="AN9339">
        <v>1.00000006258171</v>
      </c>
    </row>
    <row r="9340" spans="1:40" x14ac:dyDescent="0.25">
      <c r="A9340" t="str">
        <f>"20190312160551275"</f>
        <v>20190312160551275</v>
      </c>
      <c r="B9340" t="str">
        <f>"1552377951264771"</f>
        <v>1552377951264771</v>
      </c>
      <c r="C9340" t="s">
        <v>40</v>
      </c>
      <c r="D9340">
        <v>5.6405649999999996</v>
      </c>
      <c r="E9340">
        <v>0.51154350000000004</v>
      </c>
      <c r="F9340" t="s">
        <v>41</v>
      </c>
      <c r="G9340">
        <v>-50.105350000000001</v>
      </c>
      <c r="H9340" s="1">
        <v>-4.6033499999999997E-6</v>
      </c>
      <c r="I9340">
        <v>137.49529999999999</v>
      </c>
      <c r="J9340">
        <v>-105.1981</v>
      </c>
      <c r="K9340">
        <v>1.1114360000000001</v>
      </c>
      <c r="L9340">
        <v>138.32509999999999</v>
      </c>
      <c r="M9340">
        <v>0.99980150000000001</v>
      </c>
      <c r="N9340">
        <v>0</v>
      </c>
      <c r="O9340">
        <v>5.695149E-3</v>
      </c>
      <c r="P9340">
        <v>0.99962759999999995</v>
      </c>
      <c r="Q9340">
        <v>2.3609089999999999E-2</v>
      </c>
      <c r="R9340">
        <v>1.368544E-2</v>
      </c>
      <c r="S9340">
        <v>3.0032960000000002</v>
      </c>
      <c r="T9340">
        <v>-6.0495500000000001E-2</v>
      </c>
      <c r="U9340">
        <v>-4.5135500000000002E-2</v>
      </c>
      <c r="V9340">
        <v>-7.9923430000000007E-3</v>
      </c>
      <c r="W9340">
        <v>4.2695240000000002E-2</v>
      </c>
      <c r="X9340">
        <v>0.99905619999999995</v>
      </c>
      <c r="Y9340">
        <v>2.07169E-2</v>
      </c>
      <c r="Z9340">
        <v>-3.2333889999999998E-4</v>
      </c>
      <c r="AA9340">
        <v>0.99978529999999999</v>
      </c>
      <c r="AB9340">
        <v>9</v>
      </c>
      <c r="AC9340">
        <v>55.092750000000002</v>
      </c>
      <c r="AD9340">
        <v>-1.1114406033499999</v>
      </c>
      <c r="AE9340">
        <v>-0.82980000000000498</v>
      </c>
      <c r="AF9340">
        <v>1.14314001970241</v>
      </c>
      <c r="AG9340">
        <v>-1.1114406033499999</v>
      </c>
      <c r="AH9340">
        <v>55.064723809101302</v>
      </c>
      <c r="AI9340">
        <v>91.156066772076301</v>
      </c>
      <c r="AJ9340">
        <v>88.810714242750606</v>
      </c>
      <c r="AK9340">
        <v>55.0878015307566</v>
      </c>
      <c r="AL9340">
        <v>87.552999188888194</v>
      </c>
      <c r="AM9340">
        <v>90.458350344891599</v>
      </c>
      <c r="AN9340">
        <v>1.00000002591186</v>
      </c>
    </row>
    <row r="9341" spans="1:40" x14ac:dyDescent="0.25">
      <c r="A9341" t="str">
        <f>"20190312160551297"</f>
        <v>20190312160551297</v>
      </c>
      <c r="B9341" t="str">
        <f>"1552377951295027"</f>
        <v>1552377951295027</v>
      </c>
      <c r="C9341" t="s">
        <v>40</v>
      </c>
      <c r="D9341">
        <v>5.585464</v>
      </c>
      <c r="E9341">
        <v>0.51312970000000002</v>
      </c>
      <c r="F9341" t="s">
        <v>41</v>
      </c>
      <c r="G9341">
        <v>-53.016550000000002</v>
      </c>
      <c r="H9341" s="1">
        <v>-3.3712839999999998E-6</v>
      </c>
      <c r="I9341">
        <v>137.40039999999999</v>
      </c>
      <c r="J9341">
        <v>-105.1105</v>
      </c>
      <c r="K9341">
        <v>1.111435</v>
      </c>
      <c r="L9341">
        <v>138.32570000000001</v>
      </c>
      <c r="M9341">
        <v>0.99980009999999997</v>
      </c>
      <c r="N9341">
        <v>0</v>
      </c>
      <c r="O9341">
        <v>5.7990159999999997E-3</v>
      </c>
      <c r="P9341">
        <v>0.99963990000000003</v>
      </c>
      <c r="Q9341">
        <v>2.3367969999999998E-2</v>
      </c>
      <c r="R9341">
        <v>1.319679E-2</v>
      </c>
      <c r="S9341">
        <v>3.0033569999999998</v>
      </c>
      <c r="T9341">
        <v>-6.3969849999999995E-2</v>
      </c>
      <c r="U9341">
        <v>-5.3222659999999998E-2</v>
      </c>
      <c r="V9341">
        <v>-7.3997790000000004E-3</v>
      </c>
      <c r="W9341">
        <v>4.2491340000000002E-2</v>
      </c>
      <c r="X9341">
        <v>0.99906950000000005</v>
      </c>
      <c r="Y9341">
        <v>2.35105E-2</v>
      </c>
      <c r="Z9341">
        <v>-3.7384830000000002E-4</v>
      </c>
      <c r="AA9341">
        <v>0.99972349999999999</v>
      </c>
      <c r="AB9341">
        <v>9</v>
      </c>
      <c r="AC9341">
        <v>52.09395</v>
      </c>
      <c r="AD9341">
        <v>-1.1114383712839999</v>
      </c>
      <c r="AE9341">
        <v>-0.92530000000002099</v>
      </c>
      <c r="AF9341">
        <v>1.2268751140182601</v>
      </c>
      <c r="AG9341">
        <v>-1.1114383712839999</v>
      </c>
      <c r="AH9341">
        <v>52.064015202266198</v>
      </c>
      <c r="AI9341">
        <v>91.2225985901933</v>
      </c>
      <c r="AJ9341">
        <v>88.650089537077903</v>
      </c>
      <c r="AK9341">
        <v>52.090327286170599</v>
      </c>
      <c r="AL9341">
        <v>87.5646925129262</v>
      </c>
      <c r="AM9341">
        <v>90.424363223327504</v>
      </c>
      <c r="AN9341">
        <v>1.0000000682672401</v>
      </c>
    </row>
    <row r="9342" spans="1:40" x14ac:dyDescent="0.25">
      <c r="A9342" t="str">
        <f>"20190312160551320"</f>
        <v>20190312160551320</v>
      </c>
      <c r="B9342" t="str">
        <f>"1552377951314550"</f>
        <v>1552377951314550</v>
      </c>
      <c r="C9342" t="s">
        <v>40</v>
      </c>
      <c r="D9342">
        <v>5.6378589999999997</v>
      </c>
      <c r="E9342">
        <v>0.51418520000000001</v>
      </c>
      <c r="F9342" t="s">
        <v>41</v>
      </c>
      <c r="G9342">
        <v>-53.246619999999901</v>
      </c>
      <c r="H9342" s="1">
        <v>-3.3152609999999998E-6</v>
      </c>
      <c r="I9342">
        <v>137.15979999999999</v>
      </c>
      <c r="J9342">
        <v>-105.0256</v>
      </c>
      <c r="K9342">
        <v>1.111435</v>
      </c>
      <c r="L9342">
        <v>138.3263</v>
      </c>
      <c r="M9342">
        <v>0.99979899999999999</v>
      </c>
      <c r="N9342">
        <v>0</v>
      </c>
      <c r="O9342">
        <v>5.8998339999999996E-3</v>
      </c>
      <c r="P9342">
        <v>0.99966469999999996</v>
      </c>
      <c r="Q9342">
        <v>2.287523E-2</v>
      </c>
      <c r="R9342">
        <v>1.2152E-2</v>
      </c>
      <c r="S9342">
        <v>3.003479</v>
      </c>
      <c r="T9342">
        <v>-6.4364190000000002E-2</v>
      </c>
      <c r="U9342">
        <v>-6.7520140000000006E-2</v>
      </c>
      <c r="V9342">
        <v>-6.2532179999999996E-3</v>
      </c>
      <c r="W9342">
        <v>4.2030650000000003E-2</v>
      </c>
      <c r="X9342">
        <v>0.99909680000000001</v>
      </c>
      <c r="Y9342">
        <v>2.8366140000000001E-2</v>
      </c>
      <c r="Z9342">
        <v>-4.3029530000000002E-4</v>
      </c>
      <c r="AA9342">
        <v>0.99959750000000003</v>
      </c>
      <c r="AB9342">
        <v>9</v>
      </c>
      <c r="AC9342">
        <v>51.778979999999997</v>
      </c>
      <c r="AD9342">
        <v>-1.1114383152609999</v>
      </c>
      <c r="AE9342">
        <v>-1.1665000000000101</v>
      </c>
      <c r="AF9342">
        <v>1.47134559669808</v>
      </c>
      <c r="AG9342">
        <v>-1.1114383152609999</v>
      </c>
      <c r="AH9342">
        <v>51.747364662707</v>
      </c>
      <c r="AI9342">
        <v>91.229921981349193</v>
      </c>
      <c r="AJ9342">
        <v>88.371333757442102</v>
      </c>
      <c r="AK9342">
        <v>51.7802076331172</v>
      </c>
      <c r="AL9342">
        <v>87.591111655587397</v>
      </c>
      <c r="AM9342">
        <v>90.358602211006499</v>
      </c>
      <c r="AN9342">
        <v>1.0000000470224999</v>
      </c>
    </row>
    <row r="9343" spans="1:40" x14ac:dyDescent="0.25">
      <c r="A9343" t="str">
        <f>"20190312160551341"</f>
        <v>20190312160551341</v>
      </c>
      <c r="B9343" t="str">
        <f>"1552377951334068"</f>
        <v>1552377951334068</v>
      </c>
      <c r="C9343" t="s">
        <v>40</v>
      </c>
      <c r="D9343">
        <v>5.5919439999999998</v>
      </c>
      <c r="E9343">
        <v>0.51510979999999995</v>
      </c>
      <c r="F9343" t="s">
        <v>41</v>
      </c>
      <c r="G9343">
        <v>-54.344329999999999</v>
      </c>
      <c r="H9343" s="1">
        <v>-2.8731859999999999E-6</v>
      </c>
      <c r="I9343">
        <v>136.99719999999999</v>
      </c>
      <c r="J9343">
        <v>-104.9426</v>
      </c>
      <c r="K9343">
        <v>1.111448</v>
      </c>
      <c r="L9343">
        <v>138.32689999999999</v>
      </c>
      <c r="M9343">
        <v>0.99979790000000002</v>
      </c>
      <c r="N9343">
        <v>0</v>
      </c>
      <c r="O9343">
        <v>5.9981870000000003E-3</v>
      </c>
      <c r="P9343">
        <v>0.9996929</v>
      </c>
      <c r="Q9343">
        <v>2.231994E-2</v>
      </c>
      <c r="R9343">
        <v>1.0765149999999999E-2</v>
      </c>
      <c r="S9343">
        <v>3.003479</v>
      </c>
      <c r="T9343">
        <v>-6.5866110000000005E-2</v>
      </c>
      <c r="U9343">
        <v>-7.8765870000000002E-2</v>
      </c>
      <c r="V9343">
        <v>-4.7678820000000002E-3</v>
      </c>
      <c r="W9343">
        <v>4.1503249999999998E-2</v>
      </c>
      <c r="X9343">
        <v>0.99912699999999999</v>
      </c>
      <c r="Y9343">
        <v>3.220344E-2</v>
      </c>
      <c r="Z9343">
        <v>-4.845343E-4</v>
      </c>
      <c r="AA9343">
        <v>0.99948119999999996</v>
      </c>
      <c r="AB9343">
        <v>9</v>
      </c>
      <c r="AC9343">
        <v>50.5982699999999</v>
      </c>
      <c r="AD9343">
        <v>-1.111450873186</v>
      </c>
      <c r="AE9343">
        <v>-1.3297000000000001</v>
      </c>
      <c r="AF9343">
        <v>1.6324427111041699</v>
      </c>
      <c r="AG9343">
        <v>-1.111450873186</v>
      </c>
      <c r="AH9343">
        <v>50.565000737542398</v>
      </c>
      <c r="AI9343">
        <v>91.2585394241285</v>
      </c>
      <c r="AJ9343">
        <v>88.150902765029102</v>
      </c>
      <c r="AK9343">
        <v>50.603552166188898</v>
      </c>
      <c r="AL9343">
        <v>87.621355745751998</v>
      </c>
      <c r="AM9343">
        <v>90.273416134475198</v>
      </c>
      <c r="AN9343">
        <v>1.0000000072941599</v>
      </c>
    </row>
    <row r="9344" spans="1:40" x14ac:dyDescent="0.25">
      <c r="A9344" t="str">
        <f>"20190312160551364"</f>
        <v>20190312160551364</v>
      </c>
      <c r="B9344" t="str">
        <f>"1552377951354563"</f>
        <v>1552377951354563</v>
      </c>
      <c r="C9344" t="s">
        <v>40</v>
      </c>
      <c r="D9344">
        <v>5.591253</v>
      </c>
      <c r="E9344">
        <v>0.51583519999999905</v>
      </c>
      <c r="F9344" t="s">
        <v>41</v>
      </c>
      <c r="G9344">
        <v>-55.395110000000003</v>
      </c>
      <c r="H9344" s="1">
        <v>-2.4508299999999999E-6</v>
      </c>
      <c r="I9344">
        <v>136.83690000000001</v>
      </c>
      <c r="J9344">
        <v>-104.86</v>
      </c>
      <c r="K9344">
        <v>1.1114660000000001</v>
      </c>
      <c r="L9344">
        <v>138.32759999999999</v>
      </c>
      <c r="M9344">
        <v>0.99979689999999999</v>
      </c>
      <c r="N9344">
        <v>0</v>
      </c>
      <c r="O9344">
        <v>6.0962730000000001E-3</v>
      </c>
      <c r="P9344">
        <v>0.99964850000000005</v>
      </c>
      <c r="Q9344">
        <v>2.4482779999999999E-2</v>
      </c>
      <c r="R9344">
        <v>1.0184179999999999E-2</v>
      </c>
      <c r="S9344">
        <v>3.003403</v>
      </c>
      <c r="T9344">
        <v>-6.7372319999999999E-2</v>
      </c>
      <c r="U9344">
        <v>-9.0316770000000005E-2</v>
      </c>
      <c r="V9344">
        <v>-4.0895519999999998E-3</v>
      </c>
      <c r="W9344">
        <v>4.3688520000000002E-2</v>
      </c>
      <c r="X9344">
        <v>0.99903679999999995</v>
      </c>
      <c r="Y9344">
        <v>3.6141369999999999E-2</v>
      </c>
      <c r="Z9344">
        <v>-5.4195019999999999E-4</v>
      </c>
      <c r="AA9344">
        <v>0.99934659999999997</v>
      </c>
      <c r="AB9344">
        <v>8</v>
      </c>
      <c r="AC9344">
        <v>49.464889999999997</v>
      </c>
      <c r="AD9344">
        <v>-1.1114684508299999</v>
      </c>
      <c r="AE9344">
        <v>-1.4906999999999699</v>
      </c>
      <c r="AF9344">
        <v>1.7913757789143201</v>
      </c>
      <c r="AG9344">
        <v>-1.1114684508299999</v>
      </c>
      <c r="AH9344">
        <v>49.429946854236199</v>
      </c>
      <c r="AI9344">
        <v>91.287275592435094</v>
      </c>
      <c r="AJ9344">
        <v>87.924469295878396</v>
      </c>
      <c r="AK9344">
        <v>49.474882873141702</v>
      </c>
      <c r="AL9344">
        <v>87.496035135763194</v>
      </c>
      <c r="AM9344">
        <v>90.234538668581095</v>
      </c>
      <c r="AN9344">
        <v>0.99999996948479497</v>
      </c>
    </row>
    <row r="9345" spans="1:40" x14ac:dyDescent="0.25">
      <c r="A9345" t="str">
        <f>"20190312160551386"</f>
        <v>20190312160551386</v>
      </c>
      <c r="B9345" t="str">
        <f>"1552377951374083"</f>
        <v>1552377951374083</v>
      </c>
      <c r="C9345" t="s">
        <v>40</v>
      </c>
      <c r="D9345">
        <v>5.6012529999999998</v>
      </c>
      <c r="E9345">
        <v>0.51649990000000001</v>
      </c>
      <c r="F9345" t="s">
        <v>45</v>
      </c>
      <c r="G9345">
        <v>0</v>
      </c>
      <c r="H9345">
        <v>0</v>
      </c>
      <c r="I9345">
        <v>0</v>
      </c>
      <c r="J9345">
        <v>-104.77849999999999</v>
      </c>
      <c r="K9345">
        <v>1.111475</v>
      </c>
      <c r="L9345">
        <v>138.32820000000001</v>
      </c>
      <c r="M9345">
        <v>0.99979589999999996</v>
      </c>
      <c r="N9345">
        <v>0</v>
      </c>
      <c r="O9345">
        <v>6.1928419999999996E-3</v>
      </c>
      <c r="P9345">
        <v>0.99956820000000002</v>
      </c>
      <c r="Q9345">
        <v>2.7746759999999999E-2</v>
      </c>
      <c r="R9345">
        <v>9.6917340000000005E-3</v>
      </c>
      <c r="S9345">
        <v>3.0035400000000001</v>
      </c>
      <c r="T9345">
        <v>-6.0435299999999997E-2</v>
      </c>
      <c r="U9345">
        <v>-9.7869869999999998E-2</v>
      </c>
      <c r="V9345">
        <v>-3.500703E-3</v>
      </c>
      <c r="W9345">
        <v>4.6971020000000002E-2</v>
      </c>
      <c r="X9345">
        <v>0.9988901</v>
      </c>
      <c r="Y9345">
        <v>3.8748539999999998E-2</v>
      </c>
      <c r="Z9345">
        <v>-5.1428200000000002E-4</v>
      </c>
      <c r="AA9345">
        <v>0.9992489</v>
      </c>
      <c r="AB9345">
        <v>8</v>
      </c>
      <c r="AC9345">
        <v>3.0035400000000001</v>
      </c>
      <c r="AD9345">
        <v>-6.0435299999999997E-2</v>
      </c>
      <c r="AE9345">
        <v>-9.7869869999999998E-2</v>
      </c>
      <c r="AF9345">
        <v>0.116424794678442</v>
      </c>
      <c r="AG9345">
        <v>-6.0435299999999997E-2</v>
      </c>
      <c r="AH9345">
        <v>3.0016621875943001</v>
      </c>
      <c r="AI9345">
        <v>91.152567795986201</v>
      </c>
      <c r="AJ9345">
        <v>87.778794938891295</v>
      </c>
      <c r="AK9345">
        <v>3.0045270920288698</v>
      </c>
      <c r="AL9345">
        <v>87.307768157833706</v>
      </c>
      <c r="AM9345">
        <v>90.200797551269403</v>
      </c>
      <c r="AN9345">
        <v>0.99999998175967197</v>
      </c>
    </row>
    <row r="9346" spans="1:40" x14ac:dyDescent="0.25">
      <c r="A9346" t="str">
        <f>"20190312160551410"</f>
        <v>20190312160551410</v>
      </c>
      <c r="B9346" t="str">
        <f>"1552377951404345"</f>
        <v>1552377951404345</v>
      </c>
      <c r="C9346" t="s">
        <v>40</v>
      </c>
      <c r="D9346">
        <v>5.5440310000000004</v>
      </c>
      <c r="E9346">
        <v>0.51746809999999999</v>
      </c>
      <c r="F9346" t="s">
        <v>45</v>
      </c>
      <c r="G9346">
        <v>0</v>
      </c>
      <c r="H9346">
        <v>0</v>
      </c>
      <c r="I9346">
        <v>0</v>
      </c>
      <c r="J9346">
        <v>-104.6973</v>
      </c>
      <c r="K9346">
        <v>1.11147</v>
      </c>
      <c r="L9346">
        <v>138.3288</v>
      </c>
      <c r="M9346">
        <v>0.99979479999999998</v>
      </c>
      <c r="N9346">
        <v>0</v>
      </c>
      <c r="O9346">
        <v>6.2892620000000003E-3</v>
      </c>
      <c r="P9346">
        <v>0.99958159999999896</v>
      </c>
      <c r="Q9346">
        <v>2.717632E-2</v>
      </c>
      <c r="R9346">
        <v>9.9072640000000007E-3</v>
      </c>
      <c r="S9346">
        <v>3.003708</v>
      </c>
      <c r="T9346">
        <v>-5.0344229999999997E-2</v>
      </c>
      <c r="U9346">
        <v>-0.10453800000000001</v>
      </c>
      <c r="V9346">
        <v>-3.6193969999999999E-3</v>
      </c>
      <c r="W9346">
        <v>4.6419450000000001E-2</v>
      </c>
      <c r="X9346">
        <v>0.99891549999999996</v>
      </c>
      <c r="Y9346">
        <v>4.1061199999999999E-2</v>
      </c>
      <c r="Z9346">
        <v>-4.4937390000000002E-4</v>
      </c>
      <c r="AA9346">
        <v>0.9991565</v>
      </c>
      <c r="AB9346">
        <v>8</v>
      </c>
      <c r="AC9346">
        <v>3.003708</v>
      </c>
      <c r="AD9346">
        <v>-5.0344229999999997E-2</v>
      </c>
      <c r="AE9346">
        <v>-0.10453800000000001</v>
      </c>
      <c r="AF9346">
        <v>0.123395919169207</v>
      </c>
      <c r="AG9346">
        <v>-5.0344229999999997E-2</v>
      </c>
      <c r="AH9346">
        <v>3.0021486371408201</v>
      </c>
      <c r="AI9346">
        <v>90.959915414386202</v>
      </c>
      <c r="AJ9346">
        <v>87.646323073999199</v>
      </c>
      <c r="AK9346">
        <v>3.00510524505356</v>
      </c>
      <c r="AL9346">
        <v>87.339405406099701</v>
      </c>
      <c r="AM9346">
        <v>90.207600407619097</v>
      </c>
      <c r="AN9346">
        <v>1.00000002075659</v>
      </c>
    </row>
    <row r="9347" spans="1:40" x14ac:dyDescent="0.25">
      <c r="A9347" t="str">
        <f>"20190312160551432"</f>
        <v>20190312160551432</v>
      </c>
      <c r="B9347" t="str">
        <f>"1552377951424835"</f>
        <v>1552377951424835</v>
      </c>
      <c r="C9347" t="s">
        <v>40</v>
      </c>
      <c r="D9347">
        <v>5.6412769999999997</v>
      </c>
      <c r="E9347">
        <v>0.51803880000000002</v>
      </c>
      <c r="F9347" t="s">
        <v>45</v>
      </c>
      <c r="G9347">
        <v>0</v>
      </c>
      <c r="H9347">
        <v>0</v>
      </c>
      <c r="I9347">
        <v>0</v>
      </c>
      <c r="J9347">
        <v>-104.6198</v>
      </c>
      <c r="K9347">
        <v>1.111461</v>
      </c>
      <c r="L9347">
        <v>138.32939999999999</v>
      </c>
      <c r="M9347">
        <v>0.99979410000000002</v>
      </c>
      <c r="N9347">
        <v>0</v>
      </c>
      <c r="O9347">
        <v>6.381215E-3</v>
      </c>
      <c r="P9347">
        <v>0.99965150000000003</v>
      </c>
      <c r="Q9347">
        <v>2.449697E-2</v>
      </c>
      <c r="R9347">
        <v>9.8444499999999994E-3</v>
      </c>
      <c r="S9347">
        <v>3.003784</v>
      </c>
      <c r="T9347">
        <v>-5.2230949999999998E-2</v>
      </c>
      <c r="U9347">
        <v>-0.11170960000000001</v>
      </c>
      <c r="V9347">
        <v>-3.4640579999999999E-3</v>
      </c>
      <c r="W9347">
        <v>4.3752829999999999E-2</v>
      </c>
      <c r="X9347">
        <v>0.99903640000000005</v>
      </c>
      <c r="Y9347">
        <v>4.3533629999999997E-2</v>
      </c>
      <c r="Z9347">
        <v>-4.8926609999999995E-4</v>
      </c>
      <c r="AA9347">
        <v>0.99905189999999999</v>
      </c>
      <c r="AB9347">
        <v>8</v>
      </c>
      <c r="AC9347">
        <v>3.003784</v>
      </c>
      <c r="AD9347">
        <v>-5.2230949999999998E-2</v>
      </c>
      <c r="AE9347">
        <v>-0.11170960000000001</v>
      </c>
      <c r="AF9347">
        <v>0.130839167868498</v>
      </c>
      <c r="AG9347">
        <v>-5.2230949999999998E-2</v>
      </c>
      <c r="AH9347">
        <v>3.0021033945215398</v>
      </c>
      <c r="AI9347">
        <v>90.995793106509097</v>
      </c>
      <c r="AJ9347">
        <v>87.5044859748552</v>
      </c>
      <c r="AK9347">
        <v>3.0054070858012198</v>
      </c>
      <c r="AL9347">
        <v>87.492347042065902</v>
      </c>
      <c r="AM9347">
        <v>90.198666543059304</v>
      </c>
      <c r="AN9347">
        <v>1.0000000191778899</v>
      </c>
    </row>
    <row r="9348" spans="1:40" x14ac:dyDescent="0.25">
      <c r="A9348" t="str">
        <f>"20190312160551455"</f>
        <v>20190312160551455</v>
      </c>
      <c r="B9348" t="str">
        <f>"1552377951444356"</f>
        <v>1552377951444356</v>
      </c>
      <c r="C9348" t="s">
        <v>40</v>
      </c>
      <c r="D9348">
        <v>5.6416190000000004</v>
      </c>
      <c r="E9348">
        <v>0.51867439999999998</v>
      </c>
      <c r="F9348" t="s">
        <v>45</v>
      </c>
      <c r="G9348">
        <v>0</v>
      </c>
      <c r="H9348">
        <v>0</v>
      </c>
      <c r="I9348">
        <v>0</v>
      </c>
      <c r="J9348">
        <v>-104.542</v>
      </c>
      <c r="K9348">
        <v>1.1114470000000001</v>
      </c>
      <c r="L9348">
        <v>138.33000000000001</v>
      </c>
      <c r="M9348">
        <v>0.99979379999999995</v>
      </c>
      <c r="N9348">
        <v>0</v>
      </c>
      <c r="O9348">
        <v>6.4735590000000003E-3</v>
      </c>
      <c r="P9348">
        <v>0.9997452</v>
      </c>
      <c r="Q9348">
        <v>2.0724800000000002E-2</v>
      </c>
      <c r="R9348">
        <v>8.9546620000000004E-3</v>
      </c>
      <c r="S9348">
        <v>3.0036619999999998</v>
      </c>
      <c r="T9348">
        <v>-6.0517429999999997E-2</v>
      </c>
      <c r="U9348">
        <v>-0.1165771</v>
      </c>
      <c r="V9348">
        <v>-2.4816819999999998E-3</v>
      </c>
      <c r="W9348">
        <v>3.9972439999999998E-2</v>
      </c>
      <c r="X9348">
        <v>0.99919769999999997</v>
      </c>
      <c r="Y9348">
        <v>4.5241080000000003E-2</v>
      </c>
      <c r="Z9348">
        <v>-5.8593209999999998E-4</v>
      </c>
      <c r="AA9348">
        <v>0.99897590000000003</v>
      </c>
      <c r="AB9348">
        <v>8</v>
      </c>
      <c r="AC9348">
        <v>3.0036619999999998</v>
      </c>
      <c r="AD9348">
        <v>-6.0517429999999997E-2</v>
      </c>
      <c r="AE9348">
        <v>-0.1165771</v>
      </c>
      <c r="AF9348">
        <v>0.13596753087799801</v>
      </c>
      <c r="AG9348">
        <v>-6.0517429999999997E-2</v>
      </c>
      <c r="AH9348">
        <v>3.00162759071097</v>
      </c>
      <c r="AI9348">
        <v>91.153831728988493</v>
      </c>
      <c r="AJ9348">
        <v>87.406392489654706</v>
      </c>
      <c r="AK9348">
        <v>3.0053149123019098</v>
      </c>
      <c r="AL9348">
        <v>87.709137557785795</v>
      </c>
      <c r="AM9348">
        <v>90.142303782646707</v>
      </c>
      <c r="AN9348">
        <v>0.999999999195196</v>
      </c>
    </row>
    <row r="9349" spans="1:40" x14ac:dyDescent="0.25">
      <c r="A9349" t="str">
        <f>"20190312160551478"</f>
        <v>20190312160551478</v>
      </c>
      <c r="B9349" t="str">
        <f>"1552377951474611"</f>
        <v>1552377951474611</v>
      </c>
      <c r="C9349" t="s">
        <v>40</v>
      </c>
      <c r="D9349">
        <v>5.6435430000000002</v>
      </c>
      <c r="E9349">
        <v>0.51961889999999999</v>
      </c>
      <c r="F9349" t="s">
        <v>41</v>
      </c>
      <c r="G9349">
        <v>-58.266550000000002</v>
      </c>
      <c r="H9349" s="1">
        <v>-1.427343E-6</v>
      </c>
      <c r="I9349">
        <v>136.41669999999999</v>
      </c>
      <c r="J9349">
        <v>-104.4623</v>
      </c>
      <c r="K9349">
        <v>1.1114329999999999</v>
      </c>
      <c r="L9349">
        <v>138.3306</v>
      </c>
      <c r="M9349">
        <v>0.99979379999999995</v>
      </c>
      <c r="N9349">
        <v>0</v>
      </c>
      <c r="O9349">
        <v>6.5684130000000004E-3</v>
      </c>
      <c r="P9349">
        <v>0.99981569999999997</v>
      </c>
      <c r="Q9349">
        <v>1.7086230000000001E-2</v>
      </c>
      <c r="R9349">
        <v>8.7691249999999991E-3</v>
      </c>
      <c r="S9349">
        <v>3.003387</v>
      </c>
      <c r="T9349">
        <v>-7.2135690000000002E-2</v>
      </c>
      <c r="U9349">
        <v>-0.12417599999999999</v>
      </c>
      <c r="V9349">
        <v>-2.2004049999999999E-3</v>
      </c>
      <c r="W9349">
        <v>3.6305850000000001E-2</v>
      </c>
      <c r="X9349">
        <v>0.99933830000000001</v>
      </c>
      <c r="Y9349">
        <v>4.7857490000000003E-2</v>
      </c>
      <c r="Z9349">
        <v>-7.3209950000000001E-4</v>
      </c>
      <c r="AA9349">
        <v>0.99885389999999996</v>
      </c>
      <c r="AB9349">
        <v>8</v>
      </c>
      <c r="AC9349">
        <v>46.195749999999997</v>
      </c>
      <c r="AD9349">
        <v>-1.1114344273429999</v>
      </c>
      <c r="AE9349">
        <v>-1.9139000000000099</v>
      </c>
      <c r="AF9349">
        <v>2.2160669284607701</v>
      </c>
      <c r="AG9349">
        <v>-1.1114344273429999</v>
      </c>
      <c r="AH9349">
        <v>46.155508289574598</v>
      </c>
      <c r="AI9349">
        <v>91.377841328981603</v>
      </c>
      <c r="AJ9349">
        <v>87.251165580092703</v>
      </c>
      <c r="AK9349">
        <v>46.222042194030003</v>
      </c>
      <c r="AL9349">
        <v>87.919370762009507</v>
      </c>
      <c r="AM9349">
        <v>90.126157194191705</v>
      </c>
      <c r="AN9349">
        <v>0.99999999718663801</v>
      </c>
    </row>
    <row r="9350" spans="1:40" x14ac:dyDescent="0.25">
      <c r="A9350" t="str">
        <f>"20190312160551499"</f>
        <v>20190312160551499</v>
      </c>
      <c r="B9350" t="str">
        <f>"1552377951494131"</f>
        <v>1552377951494131</v>
      </c>
      <c r="C9350" t="s">
        <v>40</v>
      </c>
      <c r="D9350">
        <v>5.6436289999999998</v>
      </c>
      <c r="E9350">
        <v>0.5201403</v>
      </c>
      <c r="F9350" t="s">
        <v>41</v>
      </c>
      <c r="G9350">
        <v>-64.476330000000004</v>
      </c>
      <c r="H9350" s="1">
        <v>-2.892883E-6</v>
      </c>
      <c r="I9350">
        <v>136.5669</v>
      </c>
      <c r="J9350">
        <v>-104.39319999999999</v>
      </c>
      <c r="K9350">
        <v>1.111413</v>
      </c>
      <c r="L9350">
        <v>138.3312</v>
      </c>
      <c r="M9350">
        <v>0.99979359999999995</v>
      </c>
      <c r="N9350">
        <v>0</v>
      </c>
      <c r="O9350">
        <v>6.6505009999999996E-3</v>
      </c>
      <c r="P9350">
        <v>0.99983759999999999</v>
      </c>
      <c r="Q9350">
        <v>1.585073E-2</v>
      </c>
      <c r="R9350">
        <v>8.5669230000000006E-3</v>
      </c>
      <c r="S9350">
        <v>3.0031430000000001</v>
      </c>
      <c r="T9350">
        <v>-8.3474279999999998E-2</v>
      </c>
      <c r="U9350">
        <v>-0.13246150000000001</v>
      </c>
      <c r="V9350">
        <v>-1.9164850000000001E-3</v>
      </c>
      <c r="W9350">
        <v>3.5042570000000002E-2</v>
      </c>
      <c r="X9350">
        <v>0.99938400000000005</v>
      </c>
      <c r="Y9350">
        <v>5.0686990000000001E-2</v>
      </c>
      <c r="Z9350">
        <v>-8.8872979999999897E-4</v>
      </c>
      <c r="AA9350">
        <v>0.9987142</v>
      </c>
      <c r="AB9350">
        <v>8</v>
      </c>
      <c r="AC9350">
        <v>39.916869999999903</v>
      </c>
      <c r="AD9350">
        <v>-1.111415892883</v>
      </c>
      <c r="AE9350">
        <v>-1.76429999999999</v>
      </c>
      <c r="AF9350">
        <v>2.02820778508115</v>
      </c>
      <c r="AG9350">
        <v>-1.111415892883</v>
      </c>
      <c r="AH9350">
        <v>39.873399804864398</v>
      </c>
      <c r="AI9350">
        <v>91.594566764720398</v>
      </c>
      <c r="AJ9350">
        <v>87.088091865033903</v>
      </c>
      <c r="AK9350">
        <v>39.940416674153298</v>
      </c>
      <c r="AL9350">
        <v>87.991797520860601</v>
      </c>
      <c r="AM9350">
        <v>90.109874049812603</v>
      </c>
      <c r="AN9350">
        <v>1.00000001704147</v>
      </c>
    </row>
    <row r="9351" spans="1:40" x14ac:dyDescent="0.25">
      <c r="A9351" t="str">
        <f>"20190312160551521"</f>
        <v>20190312160551521</v>
      </c>
      <c r="B9351" t="str">
        <f>"1552377951514628"</f>
        <v>1552377951514628</v>
      </c>
      <c r="C9351" t="s">
        <v>40</v>
      </c>
      <c r="D9351">
        <v>5.6377680000000003</v>
      </c>
      <c r="E9351">
        <v>0.52074309999999902</v>
      </c>
      <c r="F9351" t="s">
        <v>41</v>
      </c>
      <c r="G9351">
        <v>-66.15607</v>
      </c>
      <c r="H9351" s="1">
        <v>-2.169326E-6</v>
      </c>
      <c r="I9351">
        <v>136.58349999999999</v>
      </c>
      <c r="J9351">
        <v>-104.32040000000001</v>
      </c>
      <c r="K9351">
        <v>1.111394</v>
      </c>
      <c r="L9351">
        <v>138.33170000000001</v>
      </c>
      <c r="M9351">
        <v>0.9997935</v>
      </c>
      <c r="N9351">
        <v>0</v>
      </c>
      <c r="O9351">
        <v>6.7369140000000001E-3</v>
      </c>
      <c r="P9351">
        <v>0.9998437</v>
      </c>
      <c r="Q9351">
        <v>1.5748100000000001E-2</v>
      </c>
      <c r="R9351">
        <v>8.0593139999999997E-3</v>
      </c>
      <c r="S9351">
        <v>3.0030519999999998</v>
      </c>
      <c r="T9351">
        <v>-8.7287779999999995E-2</v>
      </c>
      <c r="U9351">
        <v>-0.13725279999999901</v>
      </c>
      <c r="V9351">
        <v>-1.322241E-3</v>
      </c>
      <c r="W9351">
        <v>3.4914380000000002E-2</v>
      </c>
      <c r="X9351">
        <v>0.99938939999999998</v>
      </c>
      <c r="Y9351">
        <v>5.2361970000000001E-2</v>
      </c>
      <c r="Z9351">
        <v>-9.5614509999999997E-4</v>
      </c>
      <c r="AA9351">
        <v>0.99862770000000001</v>
      </c>
      <c r="AB9351">
        <v>7</v>
      </c>
      <c r="AC9351">
        <v>38.16433</v>
      </c>
      <c r="AD9351">
        <v>-1.1113961693259999</v>
      </c>
      <c r="AE9351">
        <v>-1.74820000000002</v>
      </c>
      <c r="AF9351">
        <v>2.0036217706256698</v>
      </c>
      <c r="AG9351">
        <v>-1.1113961693259999</v>
      </c>
      <c r="AH9351">
        <v>38.119424404483802</v>
      </c>
      <c r="AI9351">
        <v>91.667721116395498</v>
      </c>
      <c r="AJ9351">
        <v>86.991205187746303</v>
      </c>
      <c r="AK9351">
        <v>38.1882209401547</v>
      </c>
      <c r="AL9351">
        <v>87.999146664887405</v>
      </c>
      <c r="AM9351">
        <v>90.075805071171402</v>
      </c>
      <c r="AN9351">
        <v>0.999999967542202</v>
      </c>
    </row>
    <row r="9352" spans="1:40" x14ac:dyDescent="0.25">
      <c r="A9352" t="str">
        <f>"20190312160551543"</f>
        <v>20190312160551543</v>
      </c>
      <c r="B9352" t="str">
        <f>"1552377951534148"</f>
        <v>1552377951534148</v>
      </c>
      <c r="C9352" t="s">
        <v>40</v>
      </c>
      <c r="D9352">
        <v>5.2296100000000001</v>
      </c>
      <c r="E9352">
        <v>0.52139250000000004</v>
      </c>
      <c r="F9352" t="s">
        <v>41</v>
      </c>
      <c r="G9352">
        <v>-66.409580000000005</v>
      </c>
      <c r="H9352" s="1">
        <v>-2.071838E-6</v>
      </c>
      <c r="I9352">
        <v>136.52000000000001</v>
      </c>
      <c r="J9352">
        <v>-104.2501</v>
      </c>
      <c r="K9352">
        <v>1.1113729999999999</v>
      </c>
      <c r="L9352">
        <v>138.3323</v>
      </c>
      <c r="M9352">
        <v>0.99979379999999995</v>
      </c>
      <c r="N9352">
        <v>0</v>
      </c>
      <c r="O9352">
        <v>6.8203860000000003E-3</v>
      </c>
      <c r="P9352">
        <v>0.99987570000000003</v>
      </c>
      <c r="Q9352">
        <v>1.435166E-2</v>
      </c>
      <c r="R9352">
        <v>6.5606179999999998E-3</v>
      </c>
      <c r="S9352">
        <v>3.0030209999999999</v>
      </c>
      <c r="T9352">
        <v>-8.8036660000000003E-2</v>
      </c>
      <c r="U9352">
        <v>-0.14350889999999999</v>
      </c>
      <c r="V9352">
        <v>2.6036959999999997E-4</v>
      </c>
      <c r="W9352">
        <v>3.3483270000000002E-2</v>
      </c>
      <c r="X9352">
        <v>0.99943919999999997</v>
      </c>
      <c r="Y9352">
        <v>5.4520159999999998E-2</v>
      </c>
      <c r="Z9352">
        <v>-9.9836359999999993E-4</v>
      </c>
      <c r="AA9352">
        <v>0.99851210000000001</v>
      </c>
      <c r="AB9352">
        <v>7</v>
      </c>
      <c r="AC9352">
        <v>37.840519999999998</v>
      </c>
      <c r="AD9352">
        <v>-1.111375071838</v>
      </c>
      <c r="AE9352">
        <v>-1.81229999999999</v>
      </c>
      <c r="AF9352">
        <v>2.0686117158420698</v>
      </c>
      <c r="AG9352">
        <v>-1.111375071838</v>
      </c>
      <c r="AH9352">
        <v>37.7947497276325</v>
      </c>
      <c r="AI9352">
        <v>91.681812297086694</v>
      </c>
      <c r="AJ9352">
        <v>86.8671685364301</v>
      </c>
      <c r="AK9352">
        <v>37.867630186685801</v>
      </c>
      <c r="AL9352">
        <v>88.081191207160003</v>
      </c>
      <c r="AM9352">
        <v>89.985073550390993</v>
      </c>
      <c r="AN9352">
        <v>0.99999995582942902</v>
      </c>
    </row>
    <row r="9353" spans="1:40" x14ac:dyDescent="0.25">
      <c r="A9353" t="str">
        <f>"20190312160551566"</f>
        <v>20190312160551566</v>
      </c>
      <c r="B9353" t="str">
        <f>"1552377951554643"</f>
        <v>1552377951554643</v>
      </c>
      <c r="C9353" t="s">
        <v>40</v>
      </c>
      <c r="D9353">
        <v>5.5901300000000003</v>
      </c>
      <c r="E9353">
        <v>0.52189759999999996</v>
      </c>
      <c r="F9353" t="s">
        <v>41</v>
      </c>
      <c r="G9353">
        <v>-68.292339999999996</v>
      </c>
      <c r="H9353" s="1">
        <v>-1.3960299999999901E-6</v>
      </c>
      <c r="I9353">
        <v>136.50129999999999</v>
      </c>
      <c r="J9353">
        <v>-104.1795</v>
      </c>
      <c r="K9353">
        <v>1.111354</v>
      </c>
      <c r="L9353">
        <v>138.33279999999999</v>
      </c>
      <c r="M9353">
        <v>0.99979439999999997</v>
      </c>
      <c r="N9353">
        <v>0</v>
      </c>
      <c r="O9353">
        <v>6.9050369999999897E-3</v>
      </c>
      <c r="P9353">
        <v>0.99991890000000005</v>
      </c>
      <c r="Q9353">
        <v>1.163546E-2</v>
      </c>
      <c r="R9353">
        <v>5.1793969999999996E-3</v>
      </c>
      <c r="S9353">
        <v>3.0027010000000001</v>
      </c>
      <c r="T9353">
        <v>-9.2806700000000006E-2</v>
      </c>
      <c r="U9353">
        <v>-0.1528931</v>
      </c>
      <c r="V9353">
        <v>1.726537E-3</v>
      </c>
      <c r="W9353">
        <v>3.0701880000000001E-2</v>
      </c>
      <c r="X9353">
        <v>0.9995271</v>
      </c>
      <c r="Y9353">
        <v>5.7717999999999901E-2</v>
      </c>
      <c r="Z9353">
        <v>-1.1044539999999999E-3</v>
      </c>
      <c r="AA9353">
        <v>0.99833229999999995</v>
      </c>
      <c r="AB9353">
        <v>7</v>
      </c>
      <c r="AC9353">
        <v>35.887160000000002</v>
      </c>
      <c r="AD9353">
        <v>-1.11135539603</v>
      </c>
      <c r="AE9353">
        <v>-1.8314999999999999</v>
      </c>
      <c r="AF9353">
        <v>2.07731652317264</v>
      </c>
      <c r="AG9353">
        <v>-1.11135539603</v>
      </c>
      <c r="AH9353">
        <v>35.839373868526899</v>
      </c>
      <c r="AI9353">
        <v>91.773161128103595</v>
      </c>
      <c r="AJ9353">
        <v>86.682741983263995</v>
      </c>
      <c r="AK9353">
        <v>35.916724155214602</v>
      </c>
      <c r="AL9353">
        <v>88.2406353900532</v>
      </c>
      <c r="AM9353">
        <v>89.901030012206903</v>
      </c>
      <c r="AN9353">
        <v>1.00000000499997</v>
      </c>
    </row>
    <row r="9354" spans="1:40" x14ac:dyDescent="0.25">
      <c r="A9354" t="str">
        <f>"20190312160551588"</f>
        <v>20190312160551588</v>
      </c>
      <c r="B9354" t="str">
        <f>"1552377951584899"</f>
        <v>1552377951584899</v>
      </c>
      <c r="C9354" t="s">
        <v>40</v>
      </c>
      <c r="D9354">
        <v>5.6760599999999997</v>
      </c>
      <c r="E9354">
        <v>0.52265760000000006</v>
      </c>
      <c r="F9354" t="s">
        <v>41</v>
      </c>
      <c r="G9354">
        <v>-71.111329999999995</v>
      </c>
      <c r="H9354" s="1">
        <v>-4.3376980000000004E-6</v>
      </c>
      <c r="I9354">
        <v>136.5599</v>
      </c>
      <c r="J9354">
        <v>-104.10980000000001</v>
      </c>
      <c r="K9354">
        <v>1.1113390000000001</v>
      </c>
      <c r="L9354">
        <v>138.33340000000001</v>
      </c>
      <c r="M9354">
        <v>0.9997954</v>
      </c>
      <c r="N9354">
        <v>0</v>
      </c>
      <c r="O9354">
        <v>6.9879699999999996E-3</v>
      </c>
      <c r="P9354">
        <v>0.99995270000000003</v>
      </c>
      <c r="Q9354">
        <v>8.9161959999999995E-3</v>
      </c>
      <c r="R9354">
        <v>3.9068929999999998E-3</v>
      </c>
      <c r="S9354">
        <v>3.002243</v>
      </c>
      <c r="T9354">
        <v>-0.10089969999999999</v>
      </c>
      <c r="U9354">
        <v>-0.160965</v>
      </c>
      <c r="V9354">
        <v>3.0821749999999999E-3</v>
      </c>
      <c r="W9354">
        <v>2.789881E-2</v>
      </c>
      <c r="X9354">
        <v>0.99960599999999999</v>
      </c>
      <c r="Y9354">
        <v>6.0477929999999999E-2</v>
      </c>
      <c r="Z9354">
        <v>-1.2499290000000001E-3</v>
      </c>
      <c r="AA9354">
        <v>0.99816879999999997</v>
      </c>
      <c r="AB9354">
        <v>7</v>
      </c>
      <c r="AC9354">
        <v>32.998469999999998</v>
      </c>
      <c r="AD9354">
        <v>-1.11134333769799</v>
      </c>
      <c r="AE9354">
        <v>-1.7735000000000101</v>
      </c>
      <c r="AF9354">
        <v>2.0018265236305899</v>
      </c>
      <c r="AG9354">
        <v>-1.11134333769799</v>
      </c>
      <c r="AH9354">
        <v>32.948004968433303</v>
      </c>
      <c r="AI9354">
        <v>91.928313471655798</v>
      </c>
      <c r="AJ9354">
        <v>86.523146333613795</v>
      </c>
      <c r="AK9354">
        <v>33.027464705073299</v>
      </c>
      <c r="AL9354">
        <v>88.401308498170394</v>
      </c>
      <c r="AM9354">
        <v>89.823335334546599</v>
      </c>
      <c r="AN9354">
        <v>0.99999999931907302</v>
      </c>
    </row>
    <row r="9355" spans="1:40" x14ac:dyDescent="0.25">
      <c r="A9355" t="str">
        <f>"20190312160551610"</f>
        <v>20190312160551610</v>
      </c>
      <c r="B9355" t="str">
        <f>"1552377951604422"</f>
        <v>1552377951604422</v>
      </c>
      <c r="C9355" t="s">
        <v>40</v>
      </c>
      <c r="D9355">
        <v>5.5876159999999997</v>
      </c>
      <c r="E9355">
        <v>0.52314229999999995</v>
      </c>
      <c r="F9355" t="s">
        <v>41</v>
      </c>
      <c r="G9355">
        <v>-73.357749999999996</v>
      </c>
      <c r="H9355" s="1">
        <v>-3.369512E-6</v>
      </c>
      <c r="I9355">
        <v>136.58510000000001</v>
      </c>
      <c r="J9355">
        <v>-104.0423</v>
      </c>
      <c r="K9355">
        <v>1.1113280000000001</v>
      </c>
      <c r="L9355">
        <v>138.334</v>
      </c>
      <c r="M9355">
        <v>0.99979620000000002</v>
      </c>
      <c r="N9355">
        <v>0</v>
      </c>
      <c r="O9355">
        <v>7.0684479999999997E-3</v>
      </c>
      <c r="P9355">
        <v>0.99997709999999995</v>
      </c>
      <c r="Q9355">
        <v>5.9827090000000001E-3</v>
      </c>
      <c r="R9355">
        <v>3.144235E-3</v>
      </c>
      <c r="S9355">
        <v>3.00177</v>
      </c>
      <c r="T9355">
        <v>-0.108480199999999</v>
      </c>
      <c r="U9355">
        <v>-0.17065429999999901</v>
      </c>
      <c r="V9355">
        <v>3.9255509999999898E-3</v>
      </c>
      <c r="W9355">
        <v>2.4887679999999999E-2</v>
      </c>
      <c r="X9355">
        <v>0.99968250000000003</v>
      </c>
      <c r="Y9355">
        <v>6.3770359999999998E-2</v>
      </c>
      <c r="Z9355">
        <v>-1.4061989999999999E-3</v>
      </c>
      <c r="AA9355">
        <v>0.99796359999999995</v>
      </c>
      <c r="AB9355">
        <v>7</v>
      </c>
      <c r="AC9355">
        <v>30.684550000000002</v>
      </c>
      <c r="AD9355">
        <v>-1.111331369512</v>
      </c>
      <c r="AE9355">
        <v>-1.7488999999999899</v>
      </c>
      <c r="AF9355">
        <v>1.9632203348758499</v>
      </c>
      <c r="AG9355">
        <v>-1.111331369512</v>
      </c>
      <c r="AH9355">
        <v>30.631368677474299</v>
      </c>
      <c r="AI9355">
        <v>92.073576081416206</v>
      </c>
      <c r="AJ9355">
        <v>86.332824705868603</v>
      </c>
      <c r="AK9355">
        <v>30.7143295312056</v>
      </c>
      <c r="AL9355">
        <v>88.573893661321307</v>
      </c>
      <c r="AM9355">
        <v>89.775012217861601</v>
      </c>
      <c r="AN9355">
        <v>0.99999995368634198</v>
      </c>
    </row>
    <row r="9356" spans="1:40" x14ac:dyDescent="0.25">
      <c r="A9356" t="str">
        <f>"20190312160551633"</f>
        <v>20190312160551633</v>
      </c>
      <c r="B9356" t="str">
        <f>"1552377951624916"</f>
        <v>1552377951624916</v>
      </c>
      <c r="C9356" t="s">
        <v>40</v>
      </c>
      <c r="D9356">
        <v>5.5521599999999998</v>
      </c>
      <c r="E9356">
        <v>0.52355289999999999</v>
      </c>
      <c r="F9356" t="s">
        <v>41</v>
      </c>
      <c r="G9356">
        <v>-75.601579999999998</v>
      </c>
      <c r="H9356" s="1">
        <v>-2.3935040000000001E-6</v>
      </c>
      <c r="I9356">
        <v>136.66069999999999</v>
      </c>
      <c r="J9356">
        <v>-103.9751</v>
      </c>
      <c r="K9356">
        <v>1.1113249999999999</v>
      </c>
      <c r="L9356">
        <v>138.33459999999999</v>
      </c>
      <c r="M9356">
        <v>0.99979709999999999</v>
      </c>
      <c r="N9356">
        <v>0</v>
      </c>
      <c r="O9356">
        <v>7.1480509999999999E-3</v>
      </c>
      <c r="P9356">
        <v>0.99997919999999996</v>
      </c>
      <c r="Q9356">
        <v>5.604014E-3</v>
      </c>
      <c r="R9356">
        <v>3.242867E-3</v>
      </c>
      <c r="S9356">
        <v>3.001312</v>
      </c>
      <c r="T9356">
        <v>-0.11727700000000001</v>
      </c>
      <c r="U9356">
        <v>-0.1765747</v>
      </c>
      <c r="V9356">
        <v>3.9065380000000002E-3</v>
      </c>
      <c r="W9356">
        <v>2.4441020000000001E-2</v>
      </c>
      <c r="X9356">
        <v>0.99969359999999996</v>
      </c>
      <c r="Y9356">
        <v>6.5810930000000004E-2</v>
      </c>
      <c r="Z9356">
        <v>-1.5632160000000001E-3</v>
      </c>
      <c r="AA9356">
        <v>0.99783089999999997</v>
      </c>
      <c r="AB9356">
        <v>7</v>
      </c>
      <c r="AC9356">
        <v>28.373519999999999</v>
      </c>
      <c r="AD9356">
        <v>-1.111327393504</v>
      </c>
      <c r="AE9356">
        <v>-1.6738999999999999</v>
      </c>
      <c r="AF9356">
        <v>1.87384384444642</v>
      </c>
      <c r="AG9356">
        <v>-1.111327393504</v>
      </c>
      <c r="AH9356">
        <v>28.317535969301801</v>
      </c>
      <c r="AI9356">
        <v>92.242531621019197</v>
      </c>
      <c r="AJ9356">
        <v>86.214111055043006</v>
      </c>
      <c r="AK9356">
        <v>28.401217979192801</v>
      </c>
      <c r="AL9356">
        <v>88.5994931909716</v>
      </c>
      <c r="AM9356">
        <v>89.776104397784295</v>
      </c>
      <c r="AN9356">
        <v>0.99999995918937201</v>
      </c>
    </row>
    <row r="9357" spans="1:40" x14ac:dyDescent="0.25">
      <c r="A9357" t="str">
        <f>"20190312160551657"</f>
        <v>20190312160551657</v>
      </c>
      <c r="B9357" t="str">
        <f>"1552377951644435"</f>
        <v>1552377951644435</v>
      </c>
      <c r="C9357" t="s">
        <v>40</v>
      </c>
      <c r="D9357">
        <v>5.5804369999999999</v>
      </c>
      <c r="E9357">
        <v>0.52397209999999905</v>
      </c>
      <c r="F9357" t="s">
        <v>41</v>
      </c>
      <c r="G9357">
        <v>-75.681919999999906</v>
      </c>
      <c r="H9357" s="1">
        <v>-2.3623740000000002E-6</v>
      </c>
      <c r="I9357">
        <v>136.642</v>
      </c>
      <c r="J9357">
        <v>-103.9072</v>
      </c>
      <c r="K9357">
        <v>1.1113249999999999</v>
      </c>
      <c r="L9357">
        <v>138.33519999999999</v>
      </c>
      <c r="M9357">
        <v>0.99979779999999996</v>
      </c>
      <c r="N9357">
        <v>0</v>
      </c>
      <c r="O9357">
        <v>7.2291069999999898E-3</v>
      </c>
      <c r="P9357">
        <v>0.99997820000000004</v>
      </c>
      <c r="Q9357">
        <v>4.9581929999999996E-3</v>
      </c>
      <c r="R9357">
        <v>4.387696E-3</v>
      </c>
      <c r="S9357">
        <v>3.0012970000000001</v>
      </c>
      <c r="T9357">
        <v>-0.1178878</v>
      </c>
      <c r="U9357">
        <v>-0.17955019999999999</v>
      </c>
      <c r="V9357">
        <v>2.8429150000000001E-3</v>
      </c>
      <c r="W9357">
        <v>2.373074E-2</v>
      </c>
      <c r="X9357">
        <v>0.99971429999999994</v>
      </c>
      <c r="Y9357">
        <v>6.6876409999999997E-2</v>
      </c>
      <c r="Z9357">
        <v>-1.5953930000000001E-3</v>
      </c>
      <c r="AA9357">
        <v>0.99775999999999998</v>
      </c>
      <c r="AB9357">
        <v>7</v>
      </c>
      <c r="AC9357">
        <v>28.225280000000001</v>
      </c>
      <c r="AD9357">
        <v>-1.1113273623740001</v>
      </c>
      <c r="AE9357">
        <v>-1.69319999999999</v>
      </c>
      <c r="AF9357">
        <v>1.8943090796881901</v>
      </c>
      <c r="AG9357">
        <v>-1.1113273623740001</v>
      </c>
      <c r="AH9357">
        <v>28.1687870706666</v>
      </c>
      <c r="AI9357">
        <v>92.2542004247629</v>
      </c>
      <c r="AJ9357">
        <v>86.152736548982503</v>
      </c>
      <c r="AK9357">
        <v>28.254274374478399</v>
      </c>
      <c r="AL9357">
        <v>88.640201044927394</v>
      </c>
      <c r="AM9357">
        <v>89.8370668580623</v>
      </c>
      <c r="AN9357">
        <v>0.99999995590556601</v>
      </c>
    </row>
    <row r="9358" spans="1:40" x14ac:dyDescent="0.25">
      <c r="A9358" t="str">
        <f>"20190312160551677"</f>
        <v>20190312160551677</v>
      </c>
      <c r="B9358" t="str">
        <f>"1552377951674691"</f>
        <v>1552377951674691</v>
      </c>
      <c r="C9358" t="s">
        <v>40</v>
      </c>
      <c r="D9358">
        <v>6.1514949999999997</v>
      </c>
      <c r="E9358">
        <v>0.53406399999999998</v>
      </c>
      <c r="F9358" t="s">
        <v>41</v>
      </c>
      <c r="G9358">
        <v>-75.602580000000003</v>
      </c>
      <c r="H9358" s="1">
        <v>-2.3966130000000002E-6</v>
      </c>
      <c r="I9358">
        <v>136.64080000000001</v>
      </c>
      <c r="J9358">
        <v>-103.8471</v>
      </c>
      <c r="K9358">
        <v>1.1113170000000001</v>
      </c>
      <c r="L9358">
        <v>138.3357</v>
      </c>
      <c r="M9358">
        <v>0.99979819999999997</v>
      </c>
      <c r="N9358">
        <v>0</v>
      </c>
      <c r="O9358">
        <v>7.3008530000000004E-3</v>
      </c>
      <c r="P9358">
        <v>0.99997139999999995</v>
      </c>
      <c r="Q9358">
        <v>4.6590249999999998E-3</v>
      </c>
      <c r="R9358">
        <v>5.9701659999999998E-3</v>
      </c>
      <c r="S9358">
        <v>3.0014340000000002</v>
      </c>
      <c r="T9358">
        <v>-0.1178454</v>
      </c>
      <c r="U9358">
        <v>-0.1796722</v>
      </c>
      <c r="V9358">
        <v>1.332052E-3</v>
      </c>
      <c r="W9358">
        <v>2.3375110000000001E-2</v>
      </c>
      <c r="X9358">
        <v>0.99972589999999995</v>
      </c>
      <c r="Y9358">
        <v>6.6985610000000001E-2</v>
      </c>
      <c r="Z9358">
        <v>-1.5996999999999999E-3</v>
      </c>
      <c r="AA9358">
        <v>0.99775270000000005</v>
      </c>
      <c r="AB9358">
        <v>7</v>
      </c>
      <c r="AC9358">
        <v>28.244519999999898</v>
      </c>
      <c r="AD9358">
        <v>-1.1113193966129999</v>
      </c>
      <c r="AE9358">
        <v>-1.6948999999999901</v>
      </c>
      <c r="AF9358">
        <v>1.8981719372785899</v>
      </c>
      <c r="AG9358">
        <v>-1.1113193966129999</v>
      </c>
      <c r="AH9358">
        <v>28.187908425622599</v>
      </c>
      <c r="AI9358">
        <v>92.252642944851701</v>
      </c>
      <c r="AJ9358">
        <v>86.147522108717098</v>
      </c>
      <c r="AK9358">
        <v>28.273596674566299</v>
      </c>
      <c r="AL9358">
        <v>88.660582887464798</v>
      </c>
      <c r="AM9358">
        <v>89.9236581621753</v>
      </c>
      <c r="AN9358">
        <v>1.00000002263042</v>
      </c>
    </row>
    <row r="9359" spans="1:40" x14ac:dyDescent="0.25">
      <c r="A9359" t="str">
        <f>"20190312160551744"</f>
        <v>20190312160551744</v>
      </c>
      <c r="B9359" t="str">
        <f>"1552377951734879"</f>
        <v>1552377951734879</v>
      </c>
      <c r="C9359" t="s">
        <v>40</v>
      </c>
      <c r="D9359">
        <v>5.5831929999999996</v>
      </c>
      <c r="E9359">
        <v>0.53406399999999998</v>
      </c>
      <c r="F9359" t="s">
        <v>49</v>
      </c>
      <c r="G9359">
        <v>-103.1251</v>
      </c>
      <c r="H9359">
        <v>0.96749620000000003</v>
      </c>
      <c r="I9359">
        <v>138.27279999999999</v>
      </c>
      <c r="J9359">
        <v>-103.66119999999999</v>
      </c>
      <c r="K9359">
        <v>1.1113189999999999</v>
      </c>
      <c r="L9359">
        <v>138.3374</v>
      </c>
      <c r="M9359">
        <v>0.99980000000000002</v>
      </c>
      <c r="N9359">
        <v>0</v>
      </c>
      <c r="O9359">
        <v>7.5223800000000004E-3</v>
      </c>
      <c r="P9359">
        <v>0.99990009999999996</v>
      </c>
      <c r="Q9359">
        <v>9.6392860000000004E-3</v>
      </c>
      <c r="R9359">
        <v>1.0332539999999999E-2</v>
      </c>
      <c r="S9359">
        <v>3.0044400000000002</v>
      </c>
      <c r="T9359">
        <v>-0.59843550000000001</v>
      </c>
      <c r="U9359">
        <v>-0.26158140000000002</v>
      </c>
      <c r="V9359">
        <v>-2.8091850000000001E-3</v>
      </c>
      <c r="W9359">
        <v>2.8166690000000001E-2</v>
      </c>
      <c r="X9359">
        <v>0.99959929999999997</v>
      </c>
      <c r="Y9359">
        <v>9.228335E-2</v>
      </c>
      <c r="Z9359">
        <v>-1.0565990000000001E-2</v>
      </c>
      <c r="AA9359">
        <v>0.99567680000000003</v>
      </c>
      <c r="AB9359">
        <v>6</v>
      </c>
      <c r="AC9359">
        <v>0.53609999999999003</v>
      </c>
      <c r="AD9359">
        <v>-0.1438228</v>
      </c>
      <c r="AE9359">
        <v>-6.46000000000128E-2</v>
      </c>
      <c r="AF9359">
        <v>6.4085277208835695E-2</v>
      </c>
      <c r="AG9359">
        <v>-0.1438228</v>
      </c>
      <c r="AH9359">
        <v>0.50011935269304697</v>
      </c>
      <c r="AI9359">
        <v>105.920515555314</v>
      </c>
      <c r="AJ9359">
        <v>82.697913601912006</v>
      </c>
      <c r="AK9359">
        <v>0.52431983320573095</v>
      </c>
      <c r="AL9359">
        <v>88.385954083297705</v>
      </c>
      <c r="AM9359">
        <v>90.161018540771494</v>
      </c>
      <c r="AN9359">
        <v>1.0000000072532</v>
      </c>
    </row>
    <row r="9360" spans="1:40" x14ac:dyDescent="0.25">
      <c r="A9360" t="str">
        <f>"20190312160551767"</f>
        <v>20190312160551767</v>
      </c>
      <c r="B9360" t="str">
        <f>"1552377951765134"</f>
        <v>1552377951765134</v>
      </c>
      <c r="C9360" t="s">
        <v>40</v>
      </c>
      <c r="D9360">
        <v>5.4303949999999999</v>
      </c>
      <c r="E9360">
        <v>0.49560650000000001</v>
      </c>
      <c r="F9360" t="s">
        <v>49</v>
      </c>
      <c r="G9360">
        <v>-102.9563</v>
      </c>
      <c r="H9360">
        <v>0.97465740000000001</v>
      </c>
      <c r="I9360">
        <v>138.279</v>
      </c>
      <c r="J9360">
        <v>-103.6022</v>
      </c>
      <c r="K9360">
        <v>1.1113249999999999</v>
      </c>
      <c r="L9360">
        <v>138.33789999999999</v>
      </c>
      <c r="M9360">
        <v>0.99980060000000004</v>
      </c>
      <c r="N9360">
        <v>0</v>
      </c>
      <c r="O9360">
        <v>7.5926190000000001E-3</v>
      </c>
      <c r="P9360">
        <v>0.99986079999999999</v>
      </c>
      <c r="Q9360">
        <v>1.157595E-2</v>
      </c>
      <c r="R9360">
        <v>1.2020289999999999E-2</v>
      </c>
      <c r="S9360">
        <v>3.008499</v>
      </c>
      <c r="T9360">
        <v>-0.58336369999999904</v>
      </c>
      <c r="U9360">
        <v>-0.24876400000000001</v>
      </c>
      <c r="V9360">
        <v>-4.4261980000000001E-3</v>
      </c>
      <c r="W9360">
        <v>3.0047009999999999E-2</v>
      </c>
      <c r="X9360">
        <v>0.9995387</v>
      </c>
      <c r="Y9360">
        <v>8.8199059999999996E-2</v>
      </c>
      <c r="Z9360">
        <v>-9.9147860000000001E-3</v>
      </c>
      <c r="AA9360">
        <v>0.99605350000000004</v>
      </c>
      <c r="AB9360">
        <v>6</v>
      </c>
      <c r="AC9360">
        <v>0.64589999999999703</v>
      </c>
      <c r="AD9360">
        <v>-0.136667599999999</v>
      </c>
      <c r="AE9360">
        <v>-5.8899999999994103E-2</v>
      </c>
      <c r="AF9360">
        <v>6.1090654341995398E-2</v>
      </c>
      <c r="AG9360">
        <v>-0.136667599999999</v>
      </c>
      <c r="AH9360">
        <v>0.61799383762167903</v>
      </c>
      <c r="AI9360">
        <v>102.411491274678</v>
      </c>
      <c r="AJ9360">
        <v>84.354471753143201</v>
      </c>
      <c r="AK9360">
        <v>0.63586671895615299</v>
      </c>
      <c r="AL9360">
        <v>88.278174012852801</v>
      </c>
      <c r="AM9360">
        <v>90.253717847094606</v>
      </c>
      <c r="AN9360">
        <v>1.0000000134181799</v>
      </c>
    </row>
    <row r="9361" spans="1:40" x14ac:dyDescent="0.25">
      <c r="A9361" t="str">
        <f>"20190312160551789"</f>
        <v>20190312160551789</v>
      </c>
      <c r="B9361" t="str">
        <f>"1552377951784655"</f>
        <v>1552377951784655</v>
      </c>
      <c r="C9361" t="s">
        <v>40</v>
      </c>
      <c r="D9361">
        <v>5.3276849999999998</v>
      </c>
      <c r="E9361">
        <v>0.4996874</v>
      </c>
      <c r="F9361" t="s">
        <v>45</v>
      </c>
      <c r="G9361">
        <v>0</v>
      </c>
      <c r="H9361">
        <v>0</v>
      </c>
      <c r="I9361">
        <v>0</v>
      </c>
      <c r="J9361">
        <v>-103.5425</v>
      </c>
      <c r="K9361">
        <v>1.1113329999999999</v>
      </c>
      <c r="L9361">
        <v>138.33850000000001</v>
      </c>
      <c r="M9361">
        <v>0.99980100000000005</v>
      </c>
      <c r="N9361">
        <v>0</v>
      </c>
      <c r="O9361">
        <v>7.6635799999999997E-3</v>
      </c>
      <c r="P9361">
        <v>0.99982329999999997</v>
      </c>
      <c r="Q9361">
        <v>1.360511E-2</v>
      </c>
      <c r="R9361">
        <v>1.2986350000000001E-2</v>
      </c>
      <c r="S9361">
        <v>3.0002439999999999</v>
      </c>
      <c r="T9361">
        <v>-5.7089689999999998E-2</v>
      </c>
      <c r="U9361">
        <v>6.9717409999999994E-2</v>
      </c>
      <c r="V9361">
        <v>-5.32191E-3</v>
      </c>
      <c r="W9361">
        <v>3.202493E-2</v>
      </c>
      <c r="X9361">
        <v>0.9994729</v>
      </c>
      <c r="Y9361">
        <v>-1.556605E-2</v>
      </c>
      <c r="Z9361" s="1">
        <v>2.2519380000000002E-6</v>
      </c>
      <c r="AA9361">
        <v>0.99987879999999996</v>
      </c>
      <c r="AB9361">
        <v>6</v>
      </c>
      <c r="AC9361">
        <v>3.0002439999999999</v>
      </c>
      <c r="AD9361">
        <v>-5.7089689999999998E-2</v>
      </c>
      <c r="AE9361">
        <v>6.9717409999999994E-2</v>
      </c>
      <c r="AF9361">
        <v>-4.6701950584442403E-2</v>
      </c>
      <c r="AG9361">
        <v>-5.7089689999999998E-2</v>
      </c>
      <c r="AH9361">
        <v>2.9996047366059702</v>
      </c>
      <c r="AI9361">
        <v>91.090212701955906</v>
      </c>
      <c r="AJ9361">
        <v>90.891987017826693</v>
      </c>
      <c r="AK9361">
        <v>3.0005114365323902</v>
      </c>
      <c r="AL9361">
        <v>88.164792880677297</v>
      </c>
      <c r="AM9361">
        <v>90.305080908356999</v>
      </c>
      <c r="AN9361">
        <v>0.99999999835098097</v>
      </c>
    </row>
    <row r="9362" spans="1:40" x14ac:dyDescent="0.25">
      <c r="A9362" t="str">
        <f>"20190312160551811"</f>
        <v>20190312160551811</v>
      </c>
      <c r="B9362" t="str">
        <f>"1552377951804734"</f>
        <v>1552377951804734</v>
      </c>
      <c r="C9362" t="s">
        <v>40</v>
      </c>
      <c r="D9362">
        <v>5.3631880000000001</v>
      </c>
      <c r="E9362">
        <v>0.49824170000000001</v>
      </c>
      <c r="F9362" t="s">
        <v>45</v>
      </c>
      <c r="G9362">
        <v>0</v>
      </c>
      <c r="H9362">
        <v>0</v>
      </c>
      <c r="I9362">
        <v>0</v>
      </c>
      <c r="J9362">
        <v>-103.4855</v>
      </c>
      <c r="K9362">
        <v>1.1113409999999999</v>
      </c>
      <c r="L9362">
        <v>138.339</v>
      </c>
      <c r="M9362">
        <v>0.99980119999999895</v>
      </c>
      <c r="N9362">
        <v>0</v>
      </c>
      <c r="O9362">
        <v>7.7316249999999998E-3</v>
      </c>
      <c r="P9362">
        <v>0.99979229999999997</v>
      </c>
      <c r="Q9362">
        <v>1.50352E-2</v>
      </c>
      <c r="R9362">
        <v>1.376174E-2</v>
      </c>
      <c r="S9362">
        <v>3.0008089999999998</v>
      </c>
      <c r="T9362">
        <v>-5.8126089999999998E-2</v>
      </c>
      <c r="U9362">
        <v>3.9901730000000003E-2</v>
      </c>
      <c r="V9362">
        <v>-6.0293650000000001E-3</v>
      </c>
      <c r="W9362">
        <v>3.3410830000000002E-2</v>
      </c>
      <c r="X9362">
        <v>0.99942350000000002</v>
      </c>
      <c r="Y9362">
        <v>-5.5635800000000003E-3</v>
      </c>
      <c r="Z9362" s="1">
        <v>-9.5888060000000005E-5</v>
      </c>
      <c r="AA9362">
        <v>0.99998450000000005</v>
      </c>
      <c r="AB9362">
        <v>6</v>
      </c>
      <c r="AC9362">
        <v>3.0008089999999998</v>
      </c>
      <c r="AD9362">
        <v>-5.8126089999999998E-2</v>
      </c>
      <c r="AE9362">
        <v>3.9901730000000003E-2</v>
      </c>
      <c r="AF9362">
        <v>-1.6689226881337001E-2</v>
      </c>
      <c r="AG9362">
        <v>-5.8126089999999998E-2</v>
      </c>
      <c r="AH9362">
        <v>2.9999024630838802</v>
      </c>
      <c r="AI9362">
        <v>91.1100065688168</v>
      </c>
      <c r="AJ9362">
        <v>90.318747829510102</v>
      </c>
      <c r="AK9362">
        <v>3.0005119497594599</v>
      </c>
      <c r="AL9362">
        <v>88.085344092222599</v>
      </c>
      <c r="AM9362">
        <v>90.345652245261206</v>
      </c>
      <c r="AN9362">
        <v>0.99999998457792005</v>
      </c>
    </row>
    <row r="9363" spans="1:40" x14ac:dyDescent="0.25">
      <c r="A9363" t="str">
        <f>"20190312160551845"</f>
        <v>20190312160551845</v>
      </c>
      <c r="B9363" t="str">
        <f>"1552377951834989"</f>
        <v>1552377951834989</v>
      </c>
      <c r="C9363" t="s">
        <v>40</v>
      </c>
      <c r="D9363">
        <v>4.6628579999999999</v>
      </c>
      <c r="E9363">
        <v>0.49574679999999999</v>
      </c>
      <c r="F9363" t="s">
        <v>45</v>
      </c>
      <c r="G9363">
        <v>0</v>
      </c>
      <c r="H9363">
        <v>0</v>
      </c>
      <c r="I9363">
        <v>0</v>
      </c>
      <c r="J9363">
        <v>-103.4025</v>
      </c>
      <c r="K9363">
        <v>1.1113409999999999</v>
      </c>
      <c r="L9363">
        <v>138.3398</v>
      </c>
      <c r="M9363">
        <v>0.99980150000000001</v>
      </c>
      <c r="N9363">
        <v>0</v>
      </c>
      <c r="O9363">
        <v>7.8305489999999991E-3</v>
      </c>
      <c r="P9363">
        <v>0.99973299999999998</v>
      </c>
      <c r="Q9363">
        <v>1.6737760000000001E-2</v>
      </c>
      <c r="R9363">
        <v>1.5921939999999999E-2</v>
      </c>
      <c r="S9363">
        <v>2.9999690000000001</v>
      </c>
      <c r="T9363">
        <v>-5.8237310000000004E-3</v>
      </c>
      <c r="U9363">
        <v>5.4534909999999999E-2</v>
      </c>
      <c r="V9363">
        <v>-8.0909789999999999E-3</v>
      </c>
      <c r="W9363">
        <v>3.5053529999999999E-2</v>
      </c>
      <c r="X9363">
        <v>0.99935269999999998</v>
      </c>
      <c r="Y9363">
        <v>-1.034435E-2</v>
      </c>
      <c r="Z9363" s="1">
        <v>-5.162333E-6</v>
      </c>
      <c r="AA9363">
        <v>0.99994649999999996</v>
      </c>
      <c r="AB9363">
        <v>6</v>
      </c>
      <c r="AC9363">
        <v>2.9999690000000001</v>
      </c>
      <c r="AD9363">
        <v>-5.8237310000000004E-3</v>
      </c>
      <c r="AE9363">
        <v>5.4534909999999999E-2</v>
      </c>
      <c r="AF9363">
        <v>-3.1037772903957501E-2</v>
      </c>
      <c r="AG9363">
        <v>-5.8237310000000004E-3</v>
      </c>
      <c r="AH9363">
        <v>3.0002927994981801</v>
      </c>
      <c r="AI9363">
        <v>90.111208124524197</v>
      </c>
      <c r="AJ9363">
        <v>90.592698805862398</v>
      </c>
      <c r="AK9363">
        <v>3.0004589885399602</v>
      </c>
      <c r="AL9363">
        <v>87.991169171904104</v>
      </c>
      <c r="AM9363">
        <v>90.463869082674094</v>
      </c>
      <c r="AN9363">
        <v>1.00000001645196</v>
      </c>
    </row>
    <row r="9364" spans="1:40" x14ac:dyDescent="0.25">
      <c r="A9364" t="str">
        <f>"20190312160551862"</f>
        <v>20190312160551862</v>
      </c>
      <c r="B9364" t="str">
        <f>"1552377951854509"</f>
        <v>1552377951854509</v>
      </c>
      <c r="C9364" t="s">
        <v>40</v>
      </c>
      <c r="D9364">
        <v>5.4664299999999999</v>
      </c>
      <c r="E9364">
        <v>0.49470550000000002</v>
      </c>
      <c r="F9364" t="s">
        <v>45</v>
      </c>
      <c r="G9364">
        <v>0</v>
      </c>
      <c r="H9364">
        <v>0</v>
      </c>
      <c r="I9364">
        <v>0</v>
      </c>
      <c r="J9364">
        <v>-103.3614</v>
      </c>
      <c r="K9364">
        <v>1.111343</v>
      </c>
      <c r="L9364">
        <v>138.34020000000001</v>
      </c>
      <c r="M9364">
        <v>0.99980170000000002</v>
      </c>
      <c r="N9364">
        <v>0</v>
      </c>
      <c r="O9364">
        <v>7.8794699999999995E-3</v>
      </c>
      <c r="P9364">
        <v>0.99969039999999998</v>
      </c>
      <c r="Q9364">
        <v>1.7789849999999999E-2</v>
      </c>
      <c r="R9364">
        <v>1.7399749999999999E-2</v>
      </c>
      <c r="S9364">
        <v>2.9990230000000002</v>
      </c>
      <c r="T9364">
        <v>2.8356309999999999E-2</v>
      </c>
      <c r="U9364">
        <v>8.1329349999999995E-2</v>
      </c>
      <c r="V9364">
        <v>-9.5197319999999995E-3</v>
      </c>
      <c r="W9364">
        <v>3.6079029999999998E-2</v>
      </c>
      <c r="X9364">
        <v>0.99930359999999996</v>
      </c>
      <c r="Y9364">
        <v>-1.9229400000000001E-2</v>
      </c>
      <c r="Z9364" s="1">
        <v>-1.639367E-5</v>
      </c>
      <c r="AA9364">
        <v>0.99981509999999996</v>
      </c>
      <c r="AB9364">
        <v>6</v>
      </c>
      <c r="AC9364">
        <v>2.9990230000000002</v>
      </c>
      <c r="AD9364">
        <v>2.8356309999999999E-2</v>
      </c>
      <c r="AE9364">
        <v>8.1329349999999995E-2</v>
      </c>
      <c r="AF9364">
        <v>-5.7687006264921799E-2</v>
      </c>
      <c r="AG9364">
        <v>2.8356309999999999E-2</v>
      </c>
      <c r="AH9364">
        <v>2.9993028659750798</v>
      </c>
      <c r="AI9364">
        <v>89.458424789161796</v>
      </c>
      <c r="AJ9364">
        <v>91.101860887963397</v>
      </c>
      <c r="AK9364">
        <v>2.9999915921307099</v>
      </c>
      <c r="AL9364">
        <v>87.932375123449305</v>
      </c>
      <c r="AM9364">
        <v>90.545804064670094</v>
      </c>
      <c r="AN9364">
        <v>1.0000000033380201</v>
      </c>
    </row>
    <row r="9365" spans="1:40" x14ac:dyDescent="0.25">
      <c r="A9365" t="str">
        <f>"20190312160551880"</f>
        <v>20190312160551880</v>
      </c>
      <c r="B9365" t="str">
        <f>"1552377951875006"</f>
        <v>1552377951875006</v>
      </c>
      <c r="C9365" t="s">
        <v>40</v>
      </c>
      <c r="D9365">
        <v>5.5218579999999999</v>
      </c>
      <c r="E9365">
        <v>0.49561810000000001</v>
      </c>
      <c r="F9365" t="s">
        <v>45</v>
      </c>
      <c r="G9365">
        <v>0</v>
      </c>
      <c r="H9365">
        <v>0</v>
      </c>
      <c r="I9365">
        <v>0</v>
      </c>
      <c r="J9365">
        <v>-103.31699999999999</v>
      </c>
      <c r="K9365">
        <v>1.1113489999999999</v>
      </c>
      <c r="L9365">
        <v>138.34059999999999</v>
      </c>
      <c r="M9365">
        <v>0.99980159999999996</v>
      </c>
      <c r="N9365">
        <v>0</v>
      </c>
      <c r="O9365">
        <v>7.9322609999999995E-3</v>
      </c>
      <c r="P9365">
        <v>0.99967300000000003</v>
      </c>
      <c r="Q9365">
        <v>1.73986E-2</v>
      </c>
      <c r="R9365">
        <v>1.8738899999999999E-2</v>
      </c>
      <c r="S9365">
        <v>2.9981990000000001</v>
      </c>
      <c r="T9365">
        <v>6.0407639999999999E-2</v>
      </c>
      <c r="U9365">
        <v>9.4573969999999993E-2</v>
      </c>
      <c r="V9365">
        <v>-1.080645E-2</v>
      </c>
      <c r="W9365">
        <v>3.5663019999999997E-2</v>
      </c>
      <c r="X9365">
        <v>0.99930540000000001</v>
      </c>
      <c r="Y9365">
        <v>-2.35941E-2</v>
      </c>
      <c r="Z9365" s="1">
        <v>-7.7820019999999998E-5</v>
      </c>
      <c r="AA9365">
        <v>0.99972159999999999</v>
      </c>
      <c r="AB9365">
        <v>6</v>
      </c>
      <c r="AC9365">
        <v>2.9981990000000001</v>
      </c>
      <c r="AD9365">
        <v>6.0407639999999999E-2</v>
      </c>
      <c r="AE9365">
        <v>9.4573969999999993E-2</v>
      </c>
      <c r="AF9365">
        <v>-7.0755831724660795E-2</v>
      </c>
      <c r="AG9365">
        <v>6.0407639999999999E-2</v>
      </c>
      <c r="AH9365">
        <v>2.9976392983243301</v>
      </c>
      <c r="AI9365">
        <v>88.8458681268379</v>
      </c>
      <c r="AJ9365">
        <v>91.352149973940996</v>
      </c>
      <c r="AK9365">
        <v>2.9990826653414899</v>
      </c>
      <c r="AL9365">
        <v>87.956225994655099</v>
      </c>
      <c r="AM9365">
        <v>90.619570196295598</v>
      </c>
      <c r="AN9365">
        <v>0.99999995641313999</v>
      </c>
    </row>
    <row r="9366" spans="1:40" x14ac:dyDescent="0.25">
      <c r="A9366" t="str">
        <f>"20190312160551901"</f>
        <v>20190312160551901</v>
      </c>
      <c r="B9366" t="str">
        <f>"1552377951894466"</f>
        <v>1552377951894466</v>
      </c>
      <c r="C9366" t="s">
        <v>40</v>
      </c>
      <c r="D9366">
        <v>5.4713699999999896</v>
      </c>
      <c r="E9366">
        <v>0.496921</v>
      </c>
      <c r="F9366" t="s">
        <v>45</v>
      </c>
      <c r="G9366">
        <v>0</v>
      </c>
      <c r="H9366">
        <v>0</v>
      </c>
      <c r="I9366">
        <v>0</v>
      </c>
      <c r="J9366">
        <v>-103.2687</v>
      </c>
      <c r="K9366">
        <v>1.1113459999999999</v>
      </c>
      <c r="L9366">
        <v>138.34100000000001</v>
      </c>
      <c r="M9366">
        <v>0.99980179999999996</v>
      </c>
      <c r="N9366">
        <v>0</v>
      </c>
      <c r="O9366">
        <v>7.989754E-3</v>
      </c>
      <c r="P9366">
        <v>0.99964160000000002</v>
      </c>
      <c r="Q9366">
        <v>1.7818500000000001E-2</v>
      </c>
      <c r="R9366">
        <v>1.9981140000000001E-2</v>
      </c>
      <c r="S9366">
        <v>2.9984130000000002</v>
      </c>
      <c r="T9366">
        <v>4.9719689999999997E-2</v>
      </c>
      <c r="U9366">
        <v>9.1064450000000005E-2</v>
      </c>
      <c r="V9366">
        <v>-1.199182E-2</v>
      </c>
      <c r="W9366">
        <v>3.6057579999999999E-2</v>
      </c>
      <c r="X9366">
        <v>0.99927779999999999</v>
      </c>
      <c r="Y9366">
        <v>-2.2366540000000001E-2</v>
      </c>
      <c r="Z9366" s="1">
        <v>-5.2922130000000001E-5</v>
      </c>
      <c r="AA9366">
        <v>0.99974980000000002</v>
      </c>
      <c r="AB9366">
        <v>5</v>
      </c>
      <c r="AC9366">
        <v>2.9984130000000002</v>
      </c>
      <c r="AD9366">
        <v>4.9719689999999997E-2</v>
      </c>
      <c r="AE9366">
        <v>9.1064450000000005E-2</v>
      </c>
      <c r="AF9366">
        <v>-6.7082547847795604E-2</v>
      </c>
      <c r="AG9366">
        <v>4.9719689999999997E-2</v>
      </c>
      <c r="AH9366">
        <v>2.9982213270183702</v>
      </c>
      <c r="AI9366">
        <v>89.050185285861403</v>
      </c>
      <c r="AJ9366">
        <v>91.281728492642401</v>
      </c>
      <c r="AK9366">
        <v>2.99938381031625</v>
      </c>
      <c r="AL9366">
        <v>87.933604988107604</v>
      </c>
      <c r="AM9366">
        <v>90.687544239431901</v>
      </c>
      <c r="AN9366">
        <v>1.0000000371975999</v>
      </c>
    </row>
    <row r="9367" spans="1:40" x14ac:dyDescent="0.25">
      <c r="A9367" t="str">
        <f>"20190312160551923"</f>
        <v>20190312160551923</v>
      </c>
      <c r="B9367" t="str">
        <f>"1552377951914962"</f>
        <v>1552377951914962</v>
      </c>
      <c r="C9367" t="s">
        <v>40</v>
      </c>
      <c r="D9367">
        <v>5.6015079999999999</v>
      </c>
      <c r="E9367">
        <v>0.49776029999999999</v>
      </c>
      <c r="F9367" t="s">
        <v>45</v>
      </c>
      <c r="G9367">
        <v>0</v>
      </c>
      <c r="H9367">
        <v>0</v>
      </c>
      <c r="I9367">
        <v>0</v>
      </c>
      <c r="J9367">
        <v>-103.2175</v>
      </c>
      <c r="K9367">
        <v>1.1113390000000001</v>
      </c>
      <c r="L9367">
        <v>138.3415</v>
      </c>
      <c r="M9367">
        <v>0.99980150000000001</v>
      </c>
      <c r="N9367">
        <v>0</v>
      </c>
      <c r="O9367">
        <v>8.0508719999999902E-3</v>
      </c>
      <c r="P9367">
        <v>0.99962819999999997</v>
      </c>
      <c r="Q9367">
        <v>1.6482259999999999E-2</v>
      </c>
      <c r="R9367">
        <v>2.1714170000000001E-2</v>
      </c>
      <c r="S9367">
        <v>2.9986269999999999</v>
      </c>
      <c r="T9367">
        <v>4.2674419999999998E-2</v>
      </c>
      <c r="U9367">
        <v>8.4259029999999999E-2</v>
      </c>
      <c r="V9367">
        <v>-1.366352E-2</v>
      </c>
      <c r="W9367">
        <v>3.46985E-2</v>
      </c>
      <c r="X9367">
        <v>0.99930439999999998</v>
      </c>
      <c r="Y9367">
        <v>-2.0036970000000001E-2</v>
      </c>
      <c r="Z9367" s="1">
        <v>-2.7979939999999999E-5</v>
      </c>
      <c r="AA9367">
        <v>0.99979929999999995</v>
      </c>
      <c r="AB9367">
        <v>5</v>
      </c>
      <c r="AC9367">
        <v>2.9986269999999999</v>
      </c>
      <c r="AD9367">
        <v>4.2674419999999998E-2</v>
      </c>
      <c r="AE9367">
        <v>8.4259029999999999E-2</v>
      </c>
      <c r="AF9367">
        <v>-6.0098563781844597E-2</v>
      </c>
      <c r="AG9367">
        <v>4.2674419999999998E-2</v>
      </c>
      <c r="AH9367">
        <v>2.9986014281610398</v>
      </c>
      <c r="AI9367">
        <v>89.184817209939794</v>
      </c>
      <c r="AJ9367">
        <v>91.148179641217496</v>
      </c>
      <c r="AK9367">
        <v>2.9995072042687898</v>
      </c>
      <c r="AL9367">
        <v>88.011523203780797</v>
      </c>
      <c r="AM9367">
        <v>90.783358152879799</v>
      </c>
      <c r="AN9367">
        <v>0.99999998077019903</v>
      </c>
    </row>
    <row r="9368" spans="1:40" x14ac:dyDescent="0.25">
      <c r="A9368" t="str">
        <f>"20190312160551946"</f>
        <v>20190312160551946</v>
      </c>
      <c r="B9368" t="str">
        <f>"1552377951934483"</f>
        <v>1552377951934483</v>
      </c>
      <c r="C9368" t="s">
        <v>40</v>
      </c>
      <c r="D9368">
        <v>5.4528349999999897</v>
      </c>
      <c r="E9368">
        <v>0.49788179999999999</v>
      </c>
      <c r="F9368" t="s">
        <v>45</v>
      </c>
      <c r="G9368">
        <v>0</v>
      </c>
      <c r="H9368">
        <v>0</v>
      </c>
      <c r="I9368">
        <v>0</v>
      </c>
      <c r="J9368">
        <v>-103.1682</v>
      </c>
      <c r="K9368">
        <v>1.1113139999999999</v>
      </c>
      <c r="L9368">
        <v>138.34200000000001</v>
      </c>
      <c r="M9368">
        <v>0.99980150000000001</v>
      </c>
      <c r="N9368">
        <v>0</v>
      </c>
      <c r="O9368">
        <v>8.1097029999999994E-3</v>
      </c>
      <c r="P9368">
        <v>0.99964410000000004</v>
      </c>
      <c r="Q9368">
        <v>1.3307609999999999E-2</v>
      </c>
      <c r="R9368">
        <v>2.3122520000000001E-2</v>
      </c>
      <c r="S9368">
        <v>2.998764</v>
      </c>
      <c r="T9368">
        <v>3.3670899999999997E-2</v>
      </c>
      <c r="U9368">
        <v>8.2656859999999999E-2</v>
      </c>
      <c r="V9368">
        <v>-1.5012660000000001E-2</v>
      </c>
      <c r="W9368">
        <v>3.1496860000000002E-2</v>
      </c>
      <c r="X9368">
        <v>0.99939109999999998</v>
      </c>
      <c r="Y9368">
        <v>-1.944359E-2</v>
      </c>
      <c r="Z9368" s="1">
        <v>-1.8085210000000002E-5</v>
      </c>
      <c r="AA9368">
        <v>0.99981089999999995</v>
      </c>
      <c r="AB9368">
        <v>5</v>
      </c>
      <c r="AC9368">
        <v>2.998764</v>
      </c>
      <c r="AD9368">
        <v>3.3670899999999997E-2</v>
      </c>
      <c r="AE9368">
        <v>8.2656859999999999E-2</v>
      </c>
      <c r="AF9368">
        <v>-5.8323679923125003E-2</v>
      </c>
      <c r="AG9368">
        <v>3.3670899999999997E-2</v>
      </c>
      <c r="AH9368">
        <v>2.9989579860263</v>
      </c>
      <c r="AI9368">
        <v>89.356858372607206</v>
      </c>
      <c r="AJ9368">
        <v>91.114146817869994</v>
      </c>
      <c r="AK9368">
        <v>2.9997140502217099</v>
      </c>
      <c r="AL9368">
        <v>88.195064341056295</v>
      </c>
      <c r="AM9368">
        <v>90.860621398528593</v>
      </c>
      <c r="AN9368">
        <v>1.0000000014546699</v>
      </c>
    </row>
    <row r="9369" spans="1:40" x14ac:dyDescent="0.25">
      <c r="A9369" t="str">
        <f>"20190312160551968"</f>
        <v>20190312160551968</v>
      </c>
      <c r="B9369" t="str">
        <f>"1552377951964738"</f>
        <v>1552377951964738</v>
      </c>
      <c r="C9369" t="s">
        <v>40</v>
      </c>
      <c r="D9369">
        <v>5.4827279999999998</v>
      </c>
      <c r="E9369">
        <v>0.49873669999999998</v>
      </c>
      <c r="F9369" t="s">
        <v>45</v>
      </c>
      <c r="G9369">
        <v>0</v>
      </c>
      <c r="H9369">
        <v>0</v>
      </c>
      <c r="I9369">
        <v>0</v>
      </c>
      <c r="J9369">
        <v>-103.1191</v>
      </c>
      <c r="K9369">
        <v>1.1112820000000001</v>
      </c>
      <c r="L9369">
        <v>138.3425</v>
      </c>
      <c r="M9369">
        <v>0.99980179999999996</v>
      </c>
      <c r="N9369">
        <v>0</v>
      </c>
      <c r="O9369">
        <v>8.168313E-3</v>
      </c>
      <c r="P9369">
        <v>0.99966410000000006</v>
      </c>
      <c r="Q9369">
        <v>9.3901820000000004E-3</v>
      </c>
      <c r="R9369">
        <v>2.415782E-2</v>
      </c>
      <c r="S9369">
        <v>2.9987029999999999</v>
      </c>
      <c r="T9369">
        <v>2.8796080000000002E-2</v>
      </c>
      <c r="U9369">
        <v>8.5952760000000003E-2</v>
      </c>
      <c r="V9369">
        <v>-1.5990009999999999E-2</v>
      </c>
      <c r="W9369">
        <v>2.7544659999999999E-2</v>
      </c>
      <c r="X9369">
        <v>0.99949270000000001</v>
      </c>
      <c r="Y9369">
        <v>-2.048372E-2</v>
      </c>
      <c r="Z9369" s="1">
        <v>-1.98974E-5</v>
      </c>
      <c r="AA9369">
        <v>0.99979019999999996</v>
      </c>
      <c r="AB9369">
        <v>5</v>
      </c>
      <c r="AC9369">
        <v>2.9987029999999999</v>
      </c>
      <c r="AD9369">
        <v>2.8796080000000002E-2</v>
      </c>
      <c r="AE9369">
        <v>8.5952760000000003E-2</v>
      </c>
      <c r="AF9369">
        <v>-6.1445847163653797E-2</v>
      </c>
      <c r="AG9369">
        <v>2.8796080000000002E-2</v>
      </c>
      <c r="AH9369">
        <v>2.99902880408988</v>
      </c>
      <c r="AI9369">
        <v>89.449989613188393</v>
      </c>
      <c r="AJ9369">
        <v>91.173745048359706</v>
      </c>
      <c r="AK9369">
        <v>2.9997964221123099</v>
      </c>
      <c r="AL9369">
        <v>88.421607637419797</v>
      </c>
      <c r="AM9369">
        <v>90.916546902936005</v>
      </c>
      <c r="AN9369">
        <v>1.0000000230338</v>
      </c>
    </row>
    <row r="9370" spans="1:40" x14ac:dyDescent="0.25">
      <c r="A9370" t="str">
        <f>"20190312160551991"</f>
        <v>20190312160551991</v>
      </c>
      <c r="B9370" t="str">
        <f>"1552377951984259"</f>
        <v>1552377951984259</v>
      </c>
      <c r="C9370" t="s">
        <v>40</v>
      </c>
      <c r="D9370">
        <v>5.4337929999999997</v>
      </c>
      <c r="E9370">
        <v>0.499884</v>
      </c>
      <c r="F9370" t="s">
        <v>45</v>
      </c>
      <c r="G9370">
        <v>0</v>
      </c>
      <c r="H9370">
        <v>0</v>
      </c>
      <c r="I9370">
        <v>0</v>
      </c>
      <c r="J9370">
        <v>-103.0707</v>
      </c>
      <c r="K9370">
        <v>1.1112550000000001</v>
      </c>
      <c r="L9370">
        <v>138.34289999999999</v>
      </c>
      <c r="M9370">
        <v>0.99980219999999997</v>
      </c>
      <c r="N9370">
        <v>0</v>
      </c>
      <c r="O9370">
        <v>8.2259629999999993E-3</v>
      </c>
      <c r="P9370">
        <v>0.99964580000000003</v>
      </c>
      <c r="Q9370">
        <v>7.245596E-3</v>
      </c>
      <c r="R9370">
        <v>2.5608369999999998E-2</v>
      </c>
      <c r="S9370">
        <v>2.9990389999999998</v>
      </c>
      <c r="T9370">
        <v>-4.8053259999999997E-4</v>
      </c>
      <c r="U9370">
        <v>8.1970210000000002E-2</v>
      </c>
      <c r="V9370">
        <v>-1.7382660000000001E-2</v>
      </c>
      <c r="W9370">
        <v>2.5352449999999999E-2</v>
      </c>
      <c r="X9370">
        <v>0.99952750000000001</v>
      </c>
      <c r="Y9370">
        <v>-1.9096789999999999E-2</v>
      </c>
      <c r="Z9370" s="1">
        <v>2.1168460000000001E-7</v>
      </c>
      <c r="AA9370">
        <v>0.99981770000000003</v>
      </c>
      <c r="AB9370">
        <v>5</v>
      </c>
      <c r="AC9370">
        <v>2.9990389999999998</v>
      </c>
      <c r="AD9370">
        <v>-4.8053259999999997E-4</v>
      </c>
      <c r="AE9370">
        <v>8.1970210000000002E-2</v>
      </c>
      <c r="AF9370">
        <v>-5.7293404836973198E-2</v>
      </c>
      <c r="AG9370">
        <v>-4.8053259999999997E-4</v>
      </c>
      <c r="AH9370">
        <v>2.9996118153500202</v>
      </c>
      <c r="AI9370">
        <v>90.009177010401302</v>
      </c>
      <c r="AJ9370">
        <v>91.094231982481801</v>
      </c>
      <c r="AK9370">
        <v>3.0001589637779</v>
      </c>
      <c r="AL9370">
        <v>88.547256054079099</v>
      </c>
      <c r="AM9370">
        <v>90.996323429534002</v>
      </c>
      <c r="AN9370">
        <v>1.00000006342296</v>
      </c>
    </row>
    <row r="9371" spans="1:40" x14ac:dyDescent="0.25">
      <c r="A9371" t="str">
        <f>"20190312160552012"</f>
        <v>20190312160552012</v>
      </c>
      <c r="B9371" t="str">
        <f>"1552377952004484"</f>
        <v>1552377952004484</v>
      </c>
      <c r="C9371" t="s">
        <v>40</v>
      </c>
      <c r="D9371">
        <v>5.442488</v>
      </c>
      <c r="E9371">
        <v>0.50027679999999997</v>
      </c>
      <c r="F9371" t="s">
        <v>45</v>
      </c>
      <c r="G9371">
        <v>0</v>
      </c>
      <c r="H9371">
        <v>0</v>
      </c>
      <c r="I9371">
        <v>0</v>
      </c>
      <c r="J9371">
        <v>-103.02460000000001</v>
      </c>
      <c r="K9371">
        <v>1.111218</v>
      </c>
      <c r="L9371">
        <v>138.3434</v>
      </c>
      <c r="M9371">
        <v>0.99980290000000005</v>
      </c>
      <c r="N9371">
        <v>0</v>
      </c>
      <c r="O9371">
        <v>8.2809240000000003E-3</v>
      </c>
      <c r="P9371">
        <v>0.99963029999999997</v>
      </c>
      <c r="Q9371">
        <v>5.442133E-3</v>
      </c>
      <c r="R9371">
        <v>2.6642490000000001E-2</v>
      </c>
      <c r="S9371">
        <v>2.9991150000000002</v>
      </c>
      <c r="T9371">
        <v>-4.3232440000000004E-3</v>
      </c>
      <c r="U9371">
        <v>7.7224730000000005E-2</v>
      </c>
      <c r="V9371">
        <v>-1.8361969999999998E-2</v>
      </c>
      <c r="W9371">
        <v>2.348857E-2</v>
      </c>
      <c r="X9371">
        <v>0.99955550000000004</v>
      </c>
      <c r="Y9371">
        <v>-1.746023E-2</v>
      </c>
      <c r="Z9371" s="1">
        <v>6.4587680000000005E-7</v>
      </c>
      <c r="AA9371">
        <v>0.9998475</v>
      </c>
      <c r="AB9371">
        <v>5</v>
      </c>
      <c r="AC9371">
        <v>2.9991150000000002</v>
      </c>
      <c r="AD9371">
        <v>-4.3232440000000004E-3</v>
      </c>
      <c r="AE9371">
        <v>7.7224730000000005E-2</v>
      </c>
      <c r="AF9371">
        <v>-5.2382485099645798E-2</v>
      </c>
      <c r="AG9371">
        <v>-4.3232440000000004E-3</v>
      </c>
      <c r="AH9371">
        <v>2.9996455018289101</v>
      </c>
      <c r="AI9371">
        <v>90.082564990804897</v>
      </c>
      <c r="AJ9371">
        <v>91.000448315086999</v>
      </c>
      <c r="AK9371">
        <v>3.0001059567665802</v>
      </c>
      <c r="AL9371">
        <v>88.654080341395698</v>
      </c>
      <c r="AM9371">
        <v>91.052412862256901</v>
      </c>
      <c r="AN9371">
        <v>1.00000003622158</v>
      </c>
    </row>
    <row r="9372" spans="1:40" x14ac:dyDescent="0.25">
      <c r="A9372" t="str">
        <f>"20190312160552034"</f>
        <v>20190312160552034</v>
      </c>
      <c r="B9372" t="str">
        <f>"1552377952024979"</f>
        <v>1552377952024979</v>
      </c>
      <c r="C9372" t="s">
        <v>40</v>
      </c>
      <c r="D9372">
        <v>5.4519890000000002</v>
      </c>
      <c r="E9372">
        <v>0.50089139999999999</v>
      </c>
      <c r="F9372" t="s">
        <v>45</v>
      </c>
      <c r="G9372">
        <v>0</v>
      </c>
      <c r="H9372">
        <v>0</v>
      </c>
      <c r="I9372">
        <v>0</v>
      </c>
      <c r="J9372">
        <v>-102.9783</v>
      </c>
      <c r="K9372">
        <v>1.111191</v>
      </c>
      <c r="L9372">
        <v>138.34379999999999</v>
      </c>
      <c r="M9372">
        <v>0.99980369999999996</v>
      </c>
      <c r="N9372">
        <v>0</v>
      </c>
      <c r="O9372">
        <v>8.3360689999999998E-3</v>
      </c>
      <c r="P9372">
        <v>0.99962779999999996</v>
      </c>
      <c r="Q9372">
        <v>3.2270599999999999E-3</v>
      </c>
      <c r="R9372">
        <v>2.710313E-2</v>
      </c>
      <c r="S9372">
        <v>2.9990999999999999</v>
      </c>
      <c r="T9372">
        <v>-6.9948429999999997E-3</v>
      </c>
      <c r="U9372">
        <v>7.7209470000000002E-2</v>
      </c>
      <c r="V9372">
        <v>-1.8767579999999999E-2</v>
      </c>
      <c r="W9372">
        <v>2.120557E-2</v>
      </c>
      <c r="X9372">
        <v>0.99959900000000002</v>
      </c>
      <c r="Y9372">
        <v>-1.7400120000000002E-2</v>
      </c>
      <c r="Z9372" s="1">
        <v>8.4634850000000002E-7</v>
      </c>
      <c r="AA9372">
        <v>0.99984859999999998</v>
      </c>
      <c r="AB9372">
        <v>5</v>
      </c>
      <c r="AC9372">
        <v>2.9990999999999999</v>
      </c>
      <c r="AD9372">
        <v>-6.9948429999999997E-3</v>
      </c>
      <c r="AE9372">
        <v>7.7209470000000002E-2</v>
      </c>
      <c r="AF9372">
        <v>-5.2201758645064301E-2</v>
      </c>
      <c r="AG9372">
        <v>-6.9948429999999997E-3</v>
      </c>
      <c r="AH9372">
        <v>2.99962318196682</v>
      </c>
      <c r="AI9372">
        <v>90.133587973211505</v>
      </c>
      <c r="AJ9372">
        <v>90.997004751950399</v>
      </c>
      <c r="AK9372">
        <v>3.00008552965194</v>
      </c>
      <c r="AL9372">
        <v>88.784919295630203</v>
      </c>
      <c r="AM9372">
        <v>91.075608121441505</v>
      </c>
      <c r="AN9372">
        <v>1.0000000295295399</v>
      </c>
    </row>
    <row r="9373" spans="1:40" x14ac:dyDescent="0.25">
      <c r="A9373" t="str">
        <f>"20190312160552058"</f>
        <v>20190312160552058</v>
      </c>
      <c r="B9373" t="str">
        <f>"1552377952055236"</f>
        <v>1552377952055236</v>
      </c>
      <c r="C9373" t="s">
        <v>40</v>
      </c>
      <c r="D9373">
        <v>5.4832320000000001</v>
      </c>
      <c r="E9373">
        <v>0.50072340000000004</v>
      </c>
      <c r="F9373" t="s">
        <v>45</v>
      </c>
      <c r="G9373">
        <v>0</v>
      </c>
      <c r="H9373">
        <v>0</v>
      </c>
      <c r="I9373">
        <v>0</v>
      </c>
      <c r="J9373">
        <v>-102.9336</v>
      </c>
      <c r="K9373">
        <v>1.1111660000000001</v>
      </c>
      <c r="L9373">
        <v>138.3442</v>
      </c>
      <c r="M9373">
        <v>0.99980429999999998</v>
      </c>
      <c r="N9373">
        <v>0</v>
      </c>
      <c r="O9373">
        <v>8.3894980000000004E-3</v>
      </c>
      <c r="P9373">
        <v>0.9996256</v>
      </c>
      <c r="Q9373" s="1">
        <v>-3.9597040000000003E-5</v>
      </c>
      <c r="R9373">
        <v>2.7367260000000001E-2</v>
      </c>
      <c r="S9373">
        <v>2.9991910000000002</v>
      </c>
      <c r="T9373">
        <v>-2.2791499999999999E-2</v>
      </c>
      <c r="U9373">
        <v>7.3593140000000001E-2</v>
      </c>
      <c r="V9373">
        <v>-1.8977580000000001E-2</v>
      </c>
      <c r="W9373">
        <v>1.7876449999999999E-2</v>
      </c>
      <c r="X9373">
        <v>0.99966010000000005</v>
      </c>
      <c r="Y9373">
        <v>-1.6140870000000002E-2</v>
      </c>
      <c r="Z9373" s="1">
        <v>-2.4322580000000001E-6</v>
      </c>
      <c r="AA9373">
        <v>0.99986969999999997</v>
      </c>
      <c r="AB9373">
        <v>5</v>
      </c>
      <c r="AC9373">
        <v>2.9991910000000002</v>
      </c>
      <c r="AD9373">
        <v>-2.2791499999999999E-2</v>
      </c>
      <c r="AE9373">
        <v>7.3593140000000001E-2</v>
      </c>
      <c r="AF9373">
        <v>-4.8422008603421302E-2</v>
      </c>
      <c r="AG9373">
        <v>-2.2791499999999999E-2</v>
      </c>
      <c r="AH9373">
        <v>2.9995298129549299</v>
      </c>
      <c r="AI9373">
        <v>90.435288727859401</v>
      </c>
      <c r="AJ9373">
        <v>90.924856872794507</v>
      </c>
      <c r="AK9373">
        <v>3.00000720702382</v>
      </c>
      <c r="AL9373">
        <v>88.975700318061101</v>
      </c>
      <c r="AM9373">
        <v>91.087574311268696</v>
      </c>
      <c r="AN9373">
        <v>1.00000001576963</v>
      </c>
    </row>
    <row r="9374" spans="1:40" x14ac:dyDescent="0.25">
      <c r="A9374" t="str">
        <f>"20190312160552081"</f>
        <v>20190312160552081</v>
      </c>
      <c r="B9374" t="str">
        <f>"1552377952074755"</f>
        <v>1552377952074755</v>
      </c>
      <c r="C9374" t="s">
        <v>40</v>
      </c>
      <c r="D9374">
        <v>5.4477330000000004</v>
      </c>
      <c r="E9374">
        <v>0.50049500000000002</v>
      </c>
      <c r="F9374" t="s">
        <v>45</v>
      </c>
      <c r="G9374">
        <v>0</v>
      </c>
      <c r="H9374">
        <v>0</v>
      </c>
      <c r="I9374">
        <v>0</v>
      </c>
      <c r="J9374">
        <v>-102.8878</v>
      </c>
      <c r="K9374">
        <v>1.1111390000000001</v>
      </c>
      <c r="L9374">
        <v>138.34460000000001</v>
      </c>
      <c r="M9374">
        <v>0.9998049</v>
      </c>
      <c r="N9374">
        <v>0</v>
      </c>
      <c r="O9374">
        <v>8.4444399999999992E-3</v>
      </c>
      <c r="P9374">
        <v>0.99962090000000003</v>
      </c>
      <c r="Q9374">
        <v>-4.2946529999999998E-3</v>
      </c>
      <c r="R9374">
        <v>2.7201199999999998E-2</v>
      </c>
      <c r="S9374">
        <v>2.9990540000000001</v>
      </c>
      <c r="T9374">
        <v>-3.0257940000000001E-2</v>
      </c>
      <c r="U9374">
        <v>7.5775149999999999E-2</v>
      </c>
      <c r="V9374">
        <v>-1.8757679999999999E-2</v>
      </c>
      <c r="W9374">
        <v>1.356304E-2</v>
      </c>
      <c r="X9374">
        <v>0.99973210000000001</v>
      </c>
      <c r="Y9374">
        <v>-1.6813870000000002E-2</v>
      </c>
      <c r="Z9374" s="1">
        <v>-3.8885629999999997E-7</v>
      </c>
      <c r="AA9374">
        <v>0.99985860000000004</v>
      </c>
      <c r="AB9374">
        <v>5</v>
      </c>
      <c r="AC9374">
        <v>2.9990540000000001</v>
      </c>
      <c r="AD9374">
        <v>-3.0257940000000001E-2</v>
      </c>
      <c r="AE9374">
        <v>7.5775149999999999E-2</v>
      </c>
      <c r="AF9374">
        <v>-5.0437946459665102E-2</v>
      </c>
      <c r="AG9374">
        <v>-3.0257940000000001E-2</v>
      </c>
      <c r="AH9374">
        <v>2.99928190994622</v>
      </c>
      <c r="AI9374">
        <v>90.577921128411603</v>
      </c>
      <c r="AJ9374">
        <v>90.963433639257701</v>
      </c>
      <c r="AK9374">
        <v>2.9998585807845601</v>
      </c>
      <c r="AL9374">
        <v>89.222871253592501</v>
      </c>
      <c r="AM9374">
        <v>91.074897772829402</v>
      </c>
      <c r="AN9374">
        <v>1.0000000391917101</v>
      </c>
    </row>
    <row r="9375" spans="1:40" x14ac:dyDescent="0.25">
      <c r="A9375" t="str">
        <f>"20190312160552102"</f>
        <v>20190312160552102</v>
      </c>
      <c r="B9375" t="str">
        <f>"1552377952094276"</f>
        <v>1552377952094276</v>
      </c>
      <c r="C9375" t="s">
        <v>40</v>
      </c>
      <c r="D9375">
        <v>5.454796</v>
      </c>
      <c r="E9375">
        <v>0.50030600000000003</v>
      </c>
      <c r="F9375" t="s">
        <v>45</v>
      </c>
      <c r="G9375">
        <v>0</v>
      </c>
      <c r="H9375">
        <v>0</v>
      </c>
      <c r="I9375">
        <v>0</v>
      </c>
      <c r="J9375">
        <v>-102.8475</v>
      </c>
      <c r="K9375">
        <v>1.111119</v>
      </c>
      <c r="L9375">
        <v>138.345</v>
      </c>
      <c r="M9375">
        <v>0.99980550000000001</v>
      </c>
      <c r="N9375">
        <v>0</v>
      </c>
      <c r="O9375">
        <v>8.4926749999999999E-3</v>
      </c>
      <c r="P9375">
        <v>0.9996024</v>
      </c>
      <c r="Q9375">
        <v>-8.7584710000000003E-3</v>
      </c>
      <c r="R9375">
        <v>2.6808080000000001E-2</v>
      </c>
      <c r="S9375">
        <v>2.998856</v>
      </c>
      <c r="T9375">
        <v>-3.9310690000000002E-2</v>
      </c>
      <c r="U9375">
        <v>7.7316280000000001E-2</v>
      </c>
      <c r="V9375">
        <v>-1.8316229999999999E-2</v>
      </c>
      <c r="W9375">
        <v>9.0505480000000003E-3</v>
      </c>
      <c r="X9375">
        <v>0.99979130000000005</v>
      </c>
      <c r="Y9375">
        <v>-1.7280489999999999E-2</v>
      </c>
      <c r="Z9375" s="1">
        <v>1.9204019999999999E-6</v>
      </c>
      <c r="AA9375">
        <v>0.99985069999999998</v>
      </c>
      <c r="AB9375">
        <v>4</v>
      </c>
      <c r="AC9375">
        <v>2.998856</v>
      </c>
      <c r="AD9375">
        <v>-3.9310690000000002E-2</v>
      </c>
      <c r="AE9375">
        <v>7.7316280000000001E-2</v>
      </c>
      <c r="AF9375">
        <v>-5.1832245195219097E-2</v>
      </c>
      <c r="AG9375">
        <v>-3.9310690000000002E-2</v>
      </c>
      <c r="AH9375">
        <v>2.99888957273552</v>
      </c>
      <c r="AI9375">
        <v>90.750901722571896</v>
      </c>
      <c r="AJ9375">
        <v>90.990190920166597</v>
      </c>
      <c r="AK9375">
        <v>2.99959506958057</v>
      </c>
      <c r="AL9375">
        <v>89.481434728103693</v>
      </c>
      <c r="AM9375">
        <v>91.049544332955904</v>
      </c>
      <c r="AN9375">
        <v>1.0000000201281001</v>
      </c>
    </row>
    <row r="9376" spans="1:40" x14ac:dyDescent="0.25">
      <c r="A9376" t="str">
        <f>"20190312160552124"</f>
        <v>20190312160552124</v>
      </c>
      <c r="B9376" t="str">
        <f>"1552377952114772"</f>
        <v>1552377952114772</v>
      </c>
      <c r="C9376" t="s">
        <v>40</v>
      </c>
      <c r="D9376">
        <v>5.3562949999999896</v>
      </c>
      <c r="E9376">
        <v>0.50034690000000004</v>
      </c>
      <c r="F9376" t="s">
        <v>45</v>
      </c>
      <c r="G9376">
        <v>0</v>
      </c>
      <c r="H9376">
        <v>0</v>
      </c>
      <c r="I9376">
        <v>0</v>
      </c>
      <c r="J9376">
        <v>-102.8065</v>
      </c>
      <c r="K9376">
        <v>1.1111040000000001</v>
      </c>
      <c r="L9376">
        <v>138.34540000000001</v>
      </c>
      <c r="M9376">
        <v>0.99980570000000002</v>
      </c>
      <c r="N9376">
        <v>0</v>
      </c>
      <c r="O9376">
        <v>8.5419699999999994E-3</v>
      </c>
      <c r="P9376">
        <v>0.99960610000000005</v>
      </c>
      <c r="Q9376">
        <v>-1.126479E-2</v>
      </c>
      <c r="R9376">
        <v>2.571095E-2</v>
      </c>
      <c r="S9376">
        <v>2.998688</v>
      </c>
      <c r="T9376">
        <v>-4.9135089999999999E-2</v>
      </c>
      <c r="U9376">
        <v>7.7713009999999999E-2</v>
      </c>
      <c r="V9376">
        <v>-1.7169999999999901E-2</v>
      </c>
      <c r="W9376">
        <v>6.4966859999999998E-3</v>
      </c>
      <c r="X9376">
        <v>0.99983149999999998</v>
      </c>
      <c r="Y9376">
        <v>-1.7364399999999999E-2</v>
      </c>
      <c r="Z9376" s="1">
        <v>2.2803E-6</v>
      </c>
      <c r="AA9376">
        <v>0.99984919999999999</v>
      </c>
      <c r="AB9376">
        <v>4</v>
      </c>
      <c r="AC9376">
        <v>2.998688</v>
      </c>
      <c r="AD9376">
        <v>-4.9135089999999999E-2</v>
      </c>
      <c r="AE9376">
        <v>7.7713009999999999E-2</v>
      </c>
      <c r="AF9376">
        <v>-5.2077455363633202E-2</v>
      </c>
      <c r="AG9376">
        <v>-4.9135089999999999E-2</v>
      </c>
      <c r="AH9376">
        <v>2.9984379934143899</v>
      </c>
      <c r="AI9376">
        <v>90.938674381275504</v>
      </c>
      <c r="AJ9376">
        <v>90.995024220561007</v>
      </c>
      <c r="AK9376">
        <v>2.9992927030847398</v>
      </c>
      <c r="AL9376">
        <v>89.627764701092502</v>
      </c>
      <c r="AM9376">
        <v>90.983837620826193</v>
      </c>
      <c r="AN9376">
        <v>1.00000002211061</v>
      </c>
    </row>
    <row r="9377" spans="1:40" x14ac:dyDescent="0.25">
      <c r="A9377" t="str">
        <f>"20190312160552146"</f>
        <v>20190312160552146</v>
      </c>
      <c r="B9377" t="str">
        <f>"1552377952134292"</f>
        <v>1552377952134292</v>
      </c>
      <c r="C9377" t="s">
        <v>40</v>
      </c>
      <c r="D9377">
        <v>5.3562419999999999</v>
      </c>
      <c r="E9377">
        <v>0.50054540000000003</v>
      </c>
      <c r="F9377" t="s">
        <v>45</v>
      </c>
      <c r="G9377">
        <v>0</v>
      </c>
      <c r="H9377">
        <v>0</v>
      </c>
      <c r="I9377">
        <v>0</v>
      </c>
      <c r="J9377">
        <v>-102.76609999999999</v>
      </c>
      <c r="K9377">
        <v>1.1110869999999999</v>
      </c>
      <c r="L9377">
        <v>138.3458</v>
      </c>
      <c r="M9377">
        <v>0.99980610000000003</v>
      </c>
      <c r="N9377">
        <v>0</v>
      </c>
      <c r="O9377">
        <v>8.5903330000000003E-3</v>
      </c>
      <c r="P9377">
        <v>0.99961310000000003</v>
      </c>
      <c r="Q9377">
        <v>-1.541003E-2</v>
      </c>
      <c r="R9377">
        <v>2.3157529999999999E-2</v>
      </c>
      <c r="S9377">
        <v>2.998672</v>
      </c>
      <c r="T9377">
        <v>-5.2451490000000003E-2</v>
      </c>
      <c r="U9377">
        <v>7.4172970000000005E-2</v>
      </c>
      <c r="V9377">
        <v>-1.4568080000000001E-2</v>
      </c>
      <c r="W9377">
        <v>2.3077150000000001E-3</v>
      </c>
      <c r="X9377">
        <v>0.99989119999999998</v>
      </c>
      <c r="Y9377">
        <v>-1.6136589999999999E-2</v>
      </c>
      <c r="Z9377" s="1">
        <v>-9.1473919999999996E-6</v>
      </c>
      <c r="AA9377">
        <v>0.99986980000000003</v>
      </c>
      <c r="AB9377">
        <v>4</v>
      </c>
      <c r="AC9377">
        <v>2.998672</v>
      </c>
      <c r="AD9377">
        <v>-5.2451490000000003E-2</v>
      </c>
      <c r="AE9377">
        <v>7.4172970000000005E-2</v>
      </c>
      <c r="AF9377">
        <v>-4.8391799829118801E-2</v>
      </c>
      <c r="AG9377">
        <v>-5.2451490000000003E-2</v>
      </c>
      <c r="AH9377">
        <v>2.9982818132701099</v>
      </c>
      <c r="AI9377">
        <v>91.002091014128396</v>
      </c>
      <c r="AJ9377">
        <v>90.924664641445503</v>
      </c>
      <c r="AK9377">
        <v>2.9991310002866198</v>
      </c>
      <c r="AL9377">
        <v>89.867777550596003</v>
      </c>
      <c r="AM9377">
        <v>90.834721263525793</v>
      </c>
      <c r="AN9377">
        <v>0.99999998317042305</v>
      </c>
    </row>
    <row r="9378" spans="1:40" x14ac:dyDescent="0.25">
      <c r="A9378" t="str">
        <f>"20190312160552169"</f>
        <v>20190312160552169</v>
      </c>
      <c r="B9378" t="str">
        <f>"1552377952164551"</f>
        <v>1552377952164551</v>
      </c>
      <c r="C9378" t="s">
        <v>40</v>
      </c>
      <c r="D9378">
        <v>5.3726450000000003</v>
      </c>
      <c r="E9378">
        <v>0.50072559999999999</v>
      </c>
      <c r="F9378" t="s">
        <v>45</v>
      </c>
      <c r="G9378">
        <v>0</v>
      </c>
      <c r="H9378">
        <v>0</v>
      </c>
      <c r="I9378">
        <v>0</v>
      </c>
      <c r="J9378">
        <v>-102.7261</v>
      </c>
      <c r="K9378">
        <v>1.111092</v>
      </c>
      <c r="L9378">
        <v>138.34620000000001</v>
      </c>
      <c r="M9378">
        <v>0.99980650000000004</v>
      </c>
      <c r="N9378">
        <v>0</v>
      </c>
      <c r="O9378">
        <v>8.6381719999999995E-3</v>
      </c>
      <c r="P9378">
        <v>0.99965300000000001</v>
      </c>
      <c r="Q9378">
        <v>-1.532495E-2</v>
      </c>
      <c r="R9378">
        <v>2.1430109999999999E-2</v>
      </c>
      <c r="S9378">
        <v>2.9987180000000002</v>
      </c>
      <c r="T9378">
        <v>-5.9899809999999998E-2</v>
      </c>
      <c r="U9378">
        <v>6.5017699999999998E-2</v>
      </c>
      <c r="V9378">
        <v>-1.2792980000000001E-2</v>
      </c>
      <c r="W9378">
        <v>2.3549220000000002E-3</v>
      </c>
      <c r="X9378">
        <v>0.99991540000000001</v>
      </c>
      <c r="Y9378">
        <v>-1.303756E-2</v>
      </c>
      <c r="Z9378" s="1">
        <v>-4.2347279999999999E-5</v>
      </c>
      <c r="AA9378">
        <v>0.999915</v>
      </c>
      <c r="AB9378">
        <v>4</v>
      </c>
      <c r="AC9378">
        <v>2.9987180000000002</v>
      </c>
      <c r="AD9378">
        <v>-5.9899809999999998E-2</v>
      </c>
      <c r="AE9378">
        <v>6.5017699999999998E-2</v>
      </c>
      <c r="AF9378">
        <v>-3.9092194541675201E-2</v>
      </c>
      <c r="AG9378">
        <v>-5.9899809999999998E-2</v>
      </c>
      <c r="AH9378">
        <v>2.99797215818873</v>
      </c>
      <c r="AI9378">
        <v>91.144526341770998</v>
      </c>
      <c r="AJ9378">
        <v>90.747068587930997</v>
      </c>
      <c r="AK9378">
        <v>2.9988253113822601</v>
      </c>
      <c r="AL9378">
        <v>89.865072784494501</v>
      </c>
      <c r="AM9378">
        <v>90.733005784055507</v>
      </c>
      <c r="AN9378">
        <v>1.0000000065760299</v>
      </c>
    </row>
    <row r="9379" spans="1:40" x14ac:dyDescent="0.25">
      <c r="A9379" t="str">
        <f>"20190312160552191"</f>
        <v>20190312160552191</v>
      </c>
      <c r="B9379" t="str">
        <f>"1552377952185043"</f>
        <v>1552377952185043</v>
      </c>
      <c r="C9379" t="s">
        <v>40</v>
      </c>
      <c r="D9379">
        <v>5.3281229999999997</v>
      </c>
      <c r="E9379">
        <v>0.50081059999999999</v>
      </c>
      <c r="F9379" t="s">
        <v>45</v>
      </c>
      <c r="G9379">
        <v>0</v>
      </c>
      <c r="H9379">
        <v>0</v>
      </c>
      <c r="I9379">
        <v>0</v>
      </c>
      <c r="J9379">
        <v>-102.6876</v>
      </c>
      <c r="K9379">
        <v>1.1110949999999999</v>
      </c>
      <c r="L9379">
        <v>138.3466</v>
      </c>
      <c r="M9379">
        <v>0.9998068</v>
      </c>
      <c r="N9379">
        <v>0</v>
      </c>
      <c r="O9379">
        <v>8.6842969999999901E-3</v>
      </c>
      <c r="P9379">
        <v>0.99970320000000001</v>
      </c>
      <c r="Q9379">
        <v>-1.524061E-2</v>
      </c>
      <c r="R9379">
        <v>1.902102E-2</v>
      </c>
      <c r="S9379">
        <v>2.9989780000000001</v>
      </c>
      <c r="T9379">
        <v>-5.2891140000000003E-2</v>
      </c>
      <c r="U9379">
        <v>5.8441159999999999E-2</v>
      </c>
      <c r="V9379">
        <v>-1.0336959999999999E-2</v>
      </c>
      <c r="W9379">
        <v>2.4059429999999998E-3</v>
      </c>
      <c r="X9379">
        <v>0.99994369999999999</v>
      </c>
      <c r="Y9379">
        <v>-1.079827E-2</v>
      </c>
      <c r="Z9379" s="1">
        <v>-5.7947569999999999E-5</v>
      </c>
      <c r="AA9379">
        <v>0.99994170000000004</v>
      </c>
      <c r="AB9379">
        <v>4</v>
      </c>
      <c r="AC9379">
        <v>2.9989780000000001</v>
      </c>
      <c r="AD9379">
        <v>-5.2891140000000003E-2</v>
      </c>
      <c r="AE9379">
        <v>5.8441159999999999E-2</v>
      </c>
      <c r="AF9379">
        <v>-3.2380821835890701E-2</v>
      </c>
      <c r="AG9379">
        <v>-5.2891140000000003E-2</v>
      </c>
      <c r="AH9379">
        <v>2.9984401876619402</v>
      </c>
      <c r="AI9379">
        <v>91.010508135721693</v>
      </c>
      <c r="AJ9379">
        <v>90.618725802159602</v>
      </c>
      <c r="AK9379">
        <v>2.9990814509278398</v>
      </c>
      <c r="AL9379">
        <v>89.862149490423405</v>
      </c>
      <c r="AM9379">
        <v>90.592276430118403</v>
      </c>
      <c r="AN9379">
        <v>1.00000002223672</v>
      </c>
    </row>
    <row r="9380" spans="1:40" x14ac:dyDescent="0.25">
      <c r="A9380" t="str">
        <f>"20190312160552213"</f>
        <v>20190312160552213</v>
      </c>
      <c r="B9380" t="str">
        <f>"1552377952205069"</f>
        <v>1552377952205069</v>
      </c>
      <c r="C9380" t="s">
        <v>40</v>
      </c>
      <c r="D9380">
        <v>5.3226779999999998</v>
      </c>
      <c r="E9380">
        <v>0.50092409999999998</v>
      </c>
      <c r="F9380" t="s">
        <v>45</v>
      </c>
      <c r="G9380">
        <v>0</v>
      </c>
      <c r="H9380">
        <v>0</v>
      </c>
      <c r="I9380">
        <v>0</v>
      </c>
      <c r="J9380">
        <v>-102.65089999999999</v>
      </c>
      <c r="K9380">
        <v>1.1110979999999999</v>
      </c>
      <c r="L9380">
        <v>138.34690000000001</v>
      </c>
      <c r="M9380">
        <v>0.99980670000000005</v>
      </c>
      <c r="N9380">
        <v>0</v>
      </c>
      <c r="O9380">
        <v>8.7283510000000005E-3</v>
      </c>
      <c r="P9380">
        <v>0.99976089999999995</v>
      </c>
      <c r="Q9380">
        <v>-1.336529E-2</v>
      </c>
      <c r="R9380">
        <v>1.7308250000000001E-2</v>
      </c>
      <c r="S9380">
        <v>2.9992070000000002</v>
      </c>
      <c r="T9380">
        <v>-4.7995919999999997E-2</v>
      </c>
      <c r="U9380">
        <v>5.0476069999999998E-2</v>
      </c>
      <c r="V9380">
        <v>-8.57985E-3</v>
      </c>
      <c r="W9380">
        <v>4.2532000000000004E-3</v>
      </c>
      <c r="X9380">
        <v>0.99995420000000002</v>
      </c>
      <c r="Y9380">
        <v>-8.0983979999999997E-3</v>
      </c>
      <c r="Z9380" s="1">
        <v>-7.4887580000000003E-5</v>
      </c>
      <c r="AA9380">
        <v>0.99996719999999895</v>
      </c>
      <c r="AB9380">
        <v>4</v>
      </c>
      <c r="AC9380">
        <v>2.9992070000000002</v>
      </c>
      <c r="AD9380">
        <v>-4.7995919999999997E-2</v>
      </c>
      <c r="AE9380">
        <v>5.0476069999999998E-2</v>
      </c>
      <c r="AF9380">
        <v>-2.4285734083127501E-2</v>
      </c>
      <c r="AG9380">
        <v>-4.7995919999999997E-2</v>
      </c>
      <c r="AH9380">
        <v>2.99876561565579</v>
      </c>
      <c r="AI9380">
        <v>90.916923517254602</v>
      </c>
      <c r="AJ9380">
        <v>90.464004135072898</v>
      </c>
      <c r="AK9380">
        <v>2.9992480095610698</v>
      </c>
      <c r="AL9380">
        <v>89.756308868725199</v>
      </c>
      <c r="AM9380">
        <v>90.491599645959795</v>
      </c>
      <c r="AN9380">
        <v>1.0000000528169499</v>
      </c>
    </row>
    <row r="9381" spans="1:40" x14ac:dyDescent="0.25">
      <c r="A9381" t="str">
        <f>"20190312160552236"</f>
        <v>20190312160552236</v>
      </c>
      <c r="B9381" t="str">
        <f>"1552377952224590"</f>
        <v>1552377952224590</v>
      </c>
      <c r="C9381" t="s">
        <v>40</v>
      </c>
      <c r="D9381">
        <v>5.4040419999999996</v>
      </c>
      <c r="E9381">
        <v>0.50113069999999904</v>
      </c>
      <c r="F9381" t="s">
        <v>45</v>
      </c>
      <c r="G9381">
        <v>0</v>
      </c>
      <c r="H9381">
        <v>0</v>
      </c>
      <c r="I9381">
        <v>0</v>
      </c>
      <c r="J9381">
        <v>-102.61499999999999</v>
      </c>
      <c r="K9381">
        <v>1.1111070000000001</v>
      </c>
      <c r="L9381">
        <v>138.34729999999999</v>
      </c>
      <c r="M9381">
        <v>0.99980690000000005</v>
      </c>
      <c r="N9381">
        <v>0</v>
      </c>
      <c r="O9381">
        <v>8.7711899999999999E-3</v>
      </c>
      <c r="P9381">
        <v>0.99980049999999998</v>
      </c>
      <c r="Q9381">
        <v>-1.2455529999999999E-2</v>
      </c>
      <c r="R9381">
        <v>1.561951E-2</v>
      </c>
      <c r="S9381">
        <v>2.9994350000000001</v>
      </c>
      <c r="T9381">
        <v>-3.8301229999999999E-2</v>
      </c>
      <c r="U9381">
        <v>4.4479369999999997E-2</v>
      </c>
      <c r="V9381">
        <v>-6.848018E-3</v>
      </c>
      <c r="W9381">
        <v>5.1372470000000002E-3</v>
      </c>
      <c r="X9381">
        <v>0.9999633</v>
      </c>
      <c r="Y9381">
        <v>-6.0556869999999997E-3</v>
      </c>
      <c r="Z9381" s="1">
        <v>-7.3346959999999998E-5</v>
      </c>
      <c r="AA9381">
        <v>0.99998160000000003</v>
      </c>
      <c r="AB9381">
        <v>4</v>
      </c>
      <c r="AC9381">
        <v>2.9994350000000001</v>
      </c>
      <c r="AD9381">
        <v>-3.8301229999999999E-2</v>
      </c>
      <c r="AE9381">
        <v>4.4479369999999997E-2</v>
      </c>
      <c r="AF9381">
        <v>-1.8162014700377399E-2</v>
      </c>
      <c r="AG9381">
        <v>-3.8301229999999999E-2</v>
      </c>
      <c r="AH9381">
        <v>2.9992208360952199</v>
      </c>
      <c r="AI9381">
        <v>90.731636460649497</v>
      </c>
      <c r="AJ9381">
        <v>90.346954801677697</v>
      </c>
      <c r="AK9381">
        <v>2.99952037277049</v>
      </c>
      <c r="AL9381">
        <v>89.7056561174047</v>
      </c>
      <c r="AM9381">
        <v>90.392370795834097</v>
      </c>
      <c r="AN9381">
        <v>0.99999994400207703</v>
      </c>
    </row>
    <row r="9382" spans="1:40" x14ac:dyDescent="0.25">
      <c r="A9382" t="str">
        <f>"20190312160552258"</f>
        <v>20190312160552258</v>
      </c>
      <c r="B9382" t="str">
        <f>"1552377952254846"</f>
        <v>1552377952254846</v>
      </c>
      <c r="C9382" t="s">
        <v>40</v>
      </c>
      <c r="D9382">
        <v>5.4508289999999997</v>
      </c>
      <c r="E9382">
        <v>0.50119460000000005</v>
      </c>
      <c r="F9382" t="s">
        <v>45</v>
      </c>
      <c r="G9382">
        <v>0</v>
      </c>
      <c r="H9382">
        <v>0</v>
      </c>
      <c r="I9382">
        <v>0</v>
      </c>
      <c r="J9382">
        <v>-102.5788</v>
      </c>
      <c r="K9382">
        <v>1.111116</v>
      </c>
      <c r="L9382">
        <v>138.3476</v>
      </c>
      <c r="M9382">
        <v>0.9998068</v>
      </c>
      <c r="N9382">
        <v>0</v>
      </c>
      <c r="O9382">
        <v>8.8145419999999999E-3</v>
      </c>
      <c r="P9382">
        <v>0.99980769999999997</v>
      </c>
      <c r="Q9382">
        <v>-1.249162E-2</v>
      </c>
      <c r="R9382">
        <v>1.512142E-2</v>
      </c>
      <c r="S9382">
        <v>2.9995729999999998</v>
      </c>
      <c r="T9382">
        <v>-3.477657E-2</v>
      </c>
      <c r="U9382">
        <v>3.7841800000000002E-2</v>
      </c>
      <c r="V9382">
        <v>-6.3068280000000004E-3</v>
      </c>
      <c r="W9382">
        <v>5.0781200000000002E-3</v>
      </c>
      <c r="X9382">
        <v>0.99996719999999895</v>
      </c>
      <c r="Y9382">
        <v>-3.7993710000000002E-3</v>
      </c>
      <c r="Z9382" s="1">
        <v>-8.0177209999999894E-5</v>
      </c>
      <c r="AA9382">
        <v>0.99999280000000002</v>
      </c>
      <c r="AB9382">
        <v>4</v>
      </c>
      <c r="AC9382">
        <v>2.9995729999999998</v>
      </c>
      <c r="AD9382">
        <v>-3.477657E-2</v>
      </c>
      <c r="AE9382">
        <v>3.7841800000000002E-2</v>
      </c>
      <c r="AF9382">
        <v>-1.1394854330917199E-2</v>
      </c>
      <c r="AG9382">
        <v>-3.477657E-2</v>
      </c>
      <c r="AH9382">
        <v>2.9993869389160599</v>
      </c>
      <c r="AI9382">
        <v>90.664284758510604</v>
      </c>
      <c r="AJ9382">
        <v>90.217669121620105</v>
      </c>
      <c r="AK9382">
        <v>2.9996101849851202</v>
      </c>
      <c r="AL9382">
        <v>89.709043900463698</v>
      </c>
      <c r="AM9382">
        <v>90.361361687888206</v>
      </c>
      <c r="AN9382">
        <v>0.999999982228997</v>
      </c>
    </row>
    <row r="9383" spans="1:40" x14ac:dyDescent="0.25">
      <c r="A9383" t="str">
        <f>"20190312160552282"</f>
        <v>20190312160552282</v>
      </c>
      <c r="B9383" t="str">
        <f>"1552377952274366"</f>
        <v>1552377952274366</v>
      </c>
      <c r="C9383" t="s">
        <v>40</v>
      </c>
      <c r="D9383">
        <v>5.3200960000000004</v>
      </c>
      <c r="E9383">
        <v>0.50107120000000005</v>
      </c>
      <c r="F9383" t="s">
        <v>45</v>
      </c>
      <c r="G9383">
        <v>0</v>
      </c>
      <c r="H9383">
        <v>0</v>
      </c>
      <c r="I9383">
        <v>0</v>
      </c>
      <c r="J9383">
        <v>-102.5445</v>
      </c>
      <c r="K9383">
        <v>1.1111850000000001</v>
      </c>
      <c r="L9383">
        <v>138.34799999999899</v>
      </c>
      <c r="M9383">
        <v>0.9998068</v>
      </c>
      <c r="N9383">
        <v>0</v>
      </c>
      <c r="O9383">
        <v>8.8556559999999999E-3</v>
      </c>
      <c r="P9383">
        <v>0.99977059999999995</v>
      </c>
      <c r="Q9383">
        <v>-2.108368E-2</v>
      </c>
      <c r="R9383">
        <v>3.8545250000000001E-3</v>
      </c>
      <c r="S9383">
        <v>2.9996489999999998</v>
      </c>
      <c r="T9383">
        <v>-2.9997590000000001E-2</v>
      </c>
      <c r="U9383">
        <v>3.5842899999999997E-2</v>
      </c>
      <c r="V9383">
        <v>5.0002400000000004E-3</v>
      </c>
      <c r="W9383">
        <v>-3.535266E-3</v>
      </c>
      <c r="X9383">
        <v>0.99998120000000001</v>
      </c>
      <c r="Y9383">
        <v>-3.0916099999999998E-3</v>
      </c>
      <c r="Z9383" s="1">
        <v>-7.3108359999999895E-5</v>
      </c>
      <c r="AA9383">
        <v>0.99999519999999997</v>
      </c>
      <c r="AB9383">
        <v>4</v>
      </c>
      <c r="AC9383">
        <v>2.9996489999999998</v>
      </c>
      <c r="AD9383">
        <v>-2.9997590000000001E-2</v>
      </c>
      <c r="AE9383">
        <v>3.5842899999999997E-2</v>
      </c>
      <c r="AF9383">
        <v>-9.2726162472931903E-3</v>
      </c>
      <c r="AG9383">
        <v>-2.9997590000000001E-2</v>
      </c>
      <c r="AH9383">
        <v>2.9995488684733198</v>
      </c>
      <c r="AI9383">
        <v>90.572976094276001</v>
      </c>
      <c r="AJ9383">
        <v>90.177119996021403</v>
      </c>
      <c r="AK9383">
        <v>2.99971319482004</v>
      </c>
      <c r="AL9383">
        <v>90.202556253226604</v>
      </c>
      <c r="AM9383">
        <v>89.713504353051206</v>
      </c>
      <c r="AN9383">
        <v>0.999999950429593</v>
      </c>
    </row>
    <row r="9384" spans="1:40" x14ac:dyDescent="0.25">
      <c r="A9384" t="str">
        <f>"20190312160552305"</f>
        <v>20190312160552305</v>
      </c>
      <c r="B9384" t="str">
        <f>"1552377952294393"</f>
        <v>1552377952294393</v>
      </c>
      <c r="C9384" t="s">
        <v>40</v>
      </c>
      <c r="D9384">
        <v>5.4206320000000003</v>
      </c>
      <c r="E9384">
        <v>0.50098959999999904</v>
      </c>
      <c r="F9384" t="s">
        <v>45</v>
      </c>
      <c r="G9384">
        <v>0</v>
      </c>
      <c r="H9384">
        <v>0</v>
      </c>
      <c r="I9384">
        <v>0</v>
      </c>
      <c r="J9384">
        <v>-102.5099</v>
      </c>
      <c r="K9384">
        <v>1.1111740000000001</v>
      </c>
      <c r="L9384">
        <v>138.34829999999999</v>
      </c>
      <c r="M9384">
        <v>0.9998068</v>
      </c>
      <c r="N9384">
        <v>0</v>
      </c>
      <c r="O9384">
        <v>8.8971099999999997E-3</v>
      </c>
      <c r="P9384">
        <v>0.99996620000000003</v>
      </c>
      <c r="Q9384">
        <v>1.260908E-3</v>
      </c>
      <c r="R9384">
        <v>8.1326079999999995E-3</v>
      </c>
      <c r="S9384">
        <v>2.9995419999999999</v>
      </c>
      <c r="T9384">
        <v>-5.3742890000000001E-2</v>
      </c>
      <c r="U9384">
        <v>3.219604E-3</v>
      </c>
      <c r="V9384">
        <v>7.6652909999999999E-4</v>
      </c>
      <c r="W9384">
        <v>1.879231E-2</v>
      </c>
      <c r="X9384">
        <v>0.99982309999999996</v>
      </c>
      <c r="Y9384">
        <v>7.8224680000000008E-3</v>
      </c>
      <c r="Z9384">
        <v>-2.2949170000000001E-4</v>
      </c>
      <c r="AA9384">
        <v>0.99996940000000001</v>
      </c>
      <c r="AB9384">
        <v>3</v>
      </c>
      <c r="AC9384">
        <v>2.9995419999999999</v>
      </c>
      <c r="AD9384">
        <v>-5.3742890000000001E-2</v>
      </c>
      <c r="AE9384">
        <v>3.219604E-3</v>
      </c>
      <c r="AF9384">
        <v>2.34643462402403E-2</v>
      </c>
      <c r="AG9384">
        <v>-5.3742890000000001E-2</v>
      </c>
      <c r="AH9384">
        <v>2.9984893169777602</v>
      </c>
      <c r="AI9384">
        <v>91.026789338393002</v>
      </c>
      <c r="AJ9384">
        <v>89.551647371355401</v>
      </c>
      <c r="AK9384">
        <v>2.9990626965436702</v>
      </c>
      <c r="AL9384">
        <v>88.923216549238703</v>
      </c>
      <c r="AM9384">
        <v>89.956073355677404</v>
      </c>
      <c r="AN9384">
        <v>0.99999998488780295</v>
      </c>
    </row>
    <row r="9385" spans="1:40" x14ac:dyDescent="0.25">
      <c r="A9385" t="str">
        <f>"20190312160552325"</f>
        <v>20190312160552325</v>
      </c>
      <c r="B9385" t="str">
        <f>"1552377952314889"</f>
        <v>1552377952314889</v>
      </c>
      <c r="C9385" t="s">
        <v>40</v>
      </c>
      <c r="D9385">
        <v>5.354393</v>
      </c>
      <c r="E9385">
        <v>0.50077929999999904</v>
      </c>
      <c r="F9385" t="s">
        <v>45</v>
      </c>
      <c r="G9385">
        <v>0</v>
      </c>
      <c r="H9385">
        <v>0</v>
      </c>
      <c r="I9385">
        <v>0</v>
      </c>
      <c r="J9385">
        <v>-102.48050000000001</v>
      </c>
      <c r="K9385">
        <v>1.1111629999999999</v>
      </c>
      <c r="L9385">
        <v>138.3486</v>
      </c>
      <c r="M9385">
        <v>0.99980670000000005</v>
      </c>
      <c r="N9385">
        <v>0</v>
      </c>
      <c r="O9385">
        <v>8.9319740000000005E-3</v>
      </c>
      <c r="P9385">
        <v>0.9999401</v>
      </c>
      <c r="Q9385">
        <v>-3.0588550000000001E-3</v>
      </c>
      <c r="R9385">
        <v>1.051937E-2</v>
      </c>
      <c r="S9385">
        <v>2.9999389999999999</v>
      </c>
      <c r="T9385">
        <v>1.508427E-2</v>
      </c>
      <c r="U9385">
        <v>1.6830439999999999E-2</v>
      </c>
      <c r="V9385">
        <v>-1.5856189999999999E-3</v>
      </c>
      <c r="W9385">
        <v>1.4459410000000001E-2</v>
      </c>
      <c r="X9385">
        <v>0.99989419999999996</v>
      </c>
      <c r="Y9385">
        <v>3.3230989999999999E-3</v>
      </c>
      <c r="Z9385" s="1">
        <v>5.3271669999999903E-5</v>
      </c>
      <c r="AA9385">
        <v>0.99999450000000001</v>
      </c>
      <c r="AB9385">
        <v>3</v>
      </c>
      <c r="AC9385">
        <v>2.9999389999999999</v>
      </c>
      <c r="AD9385">
        <v>1.508427E-2</v>
      </c>
      <c r="AE9385">
        <v>1.6830439999999999E-2</v>
      </c>
      <c r="AF9385">
        <v>9.9694678113114998E-3</v>
      </c>
      <c r="AG9385">
        <v>1.508427E-2</v>
      </c>
      <c r="AH9385">
        <v>2.99989380211988</v>
      </c>
      <c r="AI9385">
        <v>89.711905484358994</v>
      </c>
      <c r="AJ9385">
        <v>89.809591150742307</v>
      </c>
      <c r="AK9385">
        <v>2.9999482911355502</v>
      </c>
      <c r="AL9385">
        <v>89.171507961575102</v>
      </c>
      <c r="AM9385">
        <v>90.0908588133248</v>
      </c>
      <c r="AN9385">
        <v>0.99999999995940003</v>
      </c>
    </row>
    <row r="9386" spans="1:40" x14ac:dyDescent="0.25">
      <c r="A9386" t="str">
        <f>"20190312160552349"</f>
        <v>20190312160552349</v>
      </c>
      <c r="B9386" t="str">
        <f>"1552377952344172"</f>
        <v>1552377952344172</v>
      </c>
      <c r="C9386" t="s">
        <v>40</v>
      </c>
      <c r="D9386">
        <v>5.3307449999999896</v>
      </c>
      <c r="E9386">
        <v>0.50050459999999997</v>
      </c>
      <c r="F9386" t="s">
        <v>45</v>
      </c>
      <c r="G9386">
        <v>0</v>
      </c>
      <c r="H9386">
        <v>0</v>
      </c>
      <c r="I9386">
        <v>0</v>
      </c>
      <c r="J9386">
        <v>-102.4494</v>
      </c>
      <c r="K9386">
        <v>1.1111740000000001</v>
      </c>
      <c r="L9386">
        <v>138.34899999999999</v>
      </c>
      <c r="M9386">
        <v>0.99980659999999999</v>
      </c>
      <c r="N9386">
        <v>0</v>
      </c>
      <c r="O9386">
        <v>8.9691549999999995E-3</v>
      </c>
      <c r="P9386">
        <v>0.99993560000000004</v>
      </c>
      <c r="Q9386">
        <v>-5.466093E-3</v>
      </c>
      <c r="R9386">
        <v>9.9604270000000009E-3</v>
      </c>
      <c r="S9386">
        <v>2.999924</v>
      </c>
      <c r="T9386">
        <v>5.0282479999999999E-3</v>
      </c>
      <c r="U9386">
        <v>2.5344849999999999E-2</v>
      </c>
      <c r="V9386">
        <v>-9.896671000000001E-4</v>
      </c>
      <c r="W9386">
        <v>1.20392E-2</v>
      </c>
      <c r="X9386">
        <v>0.99992700000000001</v>
      </c>
      <c r="Y9386">
        <v>5.2233839999999896E-4</v>
      </c>
      <c r="Z9386" s="1">
        <v>1.5472899999999999E-5</v>
      </c>
      <c r="AA9386">
        <v>0.99999990000000005</v>
      </c>
      <c r="AB9386">
        <v>3</v>
      </c>
      <c r="AC9386">
        <v>2.999924</v>
      </c>
      <c r="AD9386">
        <v>5.0282479999999999E-3</v>
      </c>
      <c r="AE9386">
        <v>2.5344849999999999E-2</v>
      </c>
      <c r="AF9386">
        <v>1.56707066513878E-3</v>
      </c>
      <c r="AG9386">
        <v>5.0282479999999999E-3</v>
      </c>
      <c r="AH9386">
        <v>3.0000222241083798</v>
      </c>
      <c r="AI9386">
        <v>89.903968351517193</v>
      </c>
      <c r="AJ9386">
        <v>89.970071379330605</v>
      </c>
      <c r="AK9386">
        <v>3.00002684723531</v>
      </c>
      <c r="AL9386">
        <v>89.310187961631598</v>
      </c>
      <c r="AM9386">
        <v>90.056707869112003</v>
      </c>
      <c r="AN9386">
        <v>0.99999996355330301</v>
      </c>
    </row>
    <row r="9387" spans="1:40" x14ac:dyDescent="0.25">
      <c r="A9387" t="str">
        <f>"20190312160552370"</f>
        <v>20190312160552370</v>
      </c>
      <c r="B9387" t="str">
        <f>"1552377952364668"</f>
        <v>1552377952364668</v>
      </c>
      <c r="C9387" t="s">
        <v>40</v>
      </c>
      <c r="D9387">
        <v>5.4603699999999904</v>
      </c>
      <c r="E9387">
        <v>0.50047129999999995</v>
      </c>
      <c r="F9387" t="s">
        <v>45</v>
      </c>
      <c r="G9387">
        <v>0</v>
      </c>
      <c r="H9387">
        <v>0</v>
      </c>
      <c r="I9387">
        <v>0</v>
      </c>
      <c r="J9387">
        <v>-102.4198</v>
      </c>
      <c r="K9387">
        <v>1.1111770000000001</v>
      </c>
      <c r="L9387">
        <v>138.3493</v>
      </c>
      <c r="M9387">
        <v>0.99980650000000004</v>
      </c>
      <c r="N9387">
        <v>0</v>
      </c>
      <c r="O9387">
        <v>9.0046499999999995E-3</v>
      </c>
      <c r="P9387">
        <v>0.99990699999999999</v>
      </c>
      <c r="Q9387">
        <v>-7.3217089999999996E-4</v>
      </c>
      <c r="R9387">
        <v>1.363059E-2</v>
      </c>
      <c r="S9387">
        <v>2.999924</v>
      </c>
      <c r="T9387" s="1">
        <v>-2.6822090000000001E-5</v>
      </c>
      <c r="U9387">
        <v>2.604675E-2</v>
      </c>
      <c r="V9387">
        <v>-4.6240029999999998E-3</v>
      </c>
      <c r="W9387">
        <v>1.676178E-2</v>
      </c>
      <c r="X9387">
        <v>0.99984879999999998</v>
      </c>
      <c r="Y9387">
        <v>0</v>
      </c>
      <c r="Z9387">
        <v>0</v>
      </c>
      <c r="AA9387">
        <v>1</v>
      </c>
      <c r="AB9387">
        <v>3</v>
      </c>
      <c r="AC9387">
        <v>2.999924</v>
      </c>
      <c r="AD9387" s="1">
        <v>-2.6822090000000001E-5</v>
      </c>
      <c r="AE9387">
        <v>2.604675E-2</v>
      </c>
      <c r="AF9387">
        <v>9.71704315905992E-4</v>
      </c>
      <c r="AG9387" s="1">
        <v>-2.6822090000000001E-5</v>
      </c>
      <c r="AH9387">
        <v>3.0000369153251101</v>
      </c>
      <c r="AI9387">
        <v>90.000512257854595</v>
      </c>
      <c r="AJ9387">
        <v>89.981442043594598</v>
      </c>
      <c r="AK9387">
        <v>3.0000370728112902</v>
      </c>
      <c r="AL9387">
        <v>89.039575753790999</v>
      </c>
      <c r="AM9387">
        <v>90.264974031649004</v>
      </c>
      <c r="AN9387">
        <v>0.99999998076697505</v>
      </c>
    </row>
    <row r="9388" spans="1:40" x14ac:dyDescent="0.25">
      <c r="A9388" t="str">
        <f>"20190312160552392"</f>
        <v>20190312160552392</v>
      </c>
      <c r="B9388" t="str">
        <f>"1552377952384186"</f>
        <v>1552377952384186</v>
      </c>
      <c r="C9388" t="s">
        <v>40</v>
      </c>
      <c r="D9388">
        <v>5.3292710000000003</v>
      </c>
      <c r="E9388">
        <v>0.5005425</v>
      </c>
      <c r="F9388" t="s">
        <v>45</v>
      </c>
      <c r="G9388">
        <v>0</v>
      </c>
      <c r="H9388">
        <v>0</v>
      </c>
      <c r="I9388">
        <v>0</v>
      </c>
      <c r="J9388">
        <v>-102.3913</v>
      </c>
      <c r="K9388">
        <v>1.1111740000000001</v>
      </c>
      <c r="L9388">
        <v>138.34950000000001</v>
      </c>
      <c r="M9388">
        <v>0.99980630000000004</v>
      </c>
      <c r="N9388">
        <v>0</v>
      </c>
      <c r="O9388">
        <v>9.0389379999999998E-3</v>
      </c>
      <c r="P9388">
        <v>0.99987950000000003</v>
      </c>
      <c r="Q9388">
        <v>1.746217E-3</v>
      </c>
      <c r="R9388">
        <v>1.5425670000000001E-2</v>
      </c>
      <c r="S9388">
        <v>2.9997859999999998</v>
      </c>
      <c r="T9388">
        <v>1.422262E-2</v>
      </c>
      <c r="U9388">
        <v>3.7399290000000002E-2</v>
      </c>
      <c r="V9388">
        <v>-6.3848819999999997E-3</v>
      </c>
      <c r="W9388">
        <v>1.9229960000000001E-2</v>
      </c>
      <c r="X9388">
        <v>0.99979470000000004</v>
      </c>
      <c r="Y9388">
        <v>-3.4262870000000001E-3</v>
      </c>
      <c r="Z9388" s="1">
        <v>3.4737109999999997E-5</v>
      </c>
      <c r="AA9388">
        <v>0.99999420000000006</v>
      </c>
      <c r="AB9388">
        <v>3</v>
      </c>
      <c r="AC9388">
        <v>2.9997859999999998</v>
      </c>
      <c r="AD9388">
        <v>1.422262E-2</v>
      </c>
      <c r="AE9388">
        <v>3.7399290000000002E-2</v>
      </c>
      <c r="AF9388">
        <v>-1.02785060945984E-2</v>
      </c>
      <c r="AG9388">
        <v>1.422262E-2</v>
      </c>
      <c r="AH9388">
        <v>2.9999340914094201</v>
      </c>
      <c r="AI9388">
        <v>89.728365628546996</v>
      </c>
      <c r="AJ9388">
        <v>90.196308550967501</v>
      </c>
      <c r="AK9388">
        <v>2.99998541386582</v>
      </c>
      <c r="AL9388">
        <v>88.898136534871696</v>
      </c>
      <c r="AM9388">
        <v>90.3658969368241</v>
      </c>
      <c r="AN9388">
        <v>1.00000000011392</v>
      </c>
    </row>
    <row r="9389" spans="1:40" x14ac:dyDescent="0.25">
      <c r="A9389" t="str">
        <f>"20190312160552414"</f>
        <v>20190312160552414</v>
      </c>
      <c r="B9389" t="str">
        <f>"1552377952404212"</f>
        <v>1552377952404212</v>
      </c>
      <c r="C9389" t="s">
        <v>40</v>
      </c>
      <c r="D9389">
        <v>5.4111370000000001</v>
      </c>
      <c r="E9389">
        <v>0.50068190000000001</v>
      </c>
      <c r="F9389" t="s">
        <v>45</v>
      </c>
      <c r="G9389">
        <v>0</v>
      </c>
      <c r="H9389">
        <v>0</v>
      </c>
      <c r="I9389">
        <v>0</v>
      </c>
      <c r="J9389">
        <v>-102.36369999999999</v>
      </c>
      <c r="K9389">
        <v>1.1111770000000001</v>
      </c>
      <c r="L9389">
        <v>138.34979999999999</v>
      </c>
      <c r="M9389">
        <v>0.99980619999999998</v>
      </c>
      <c r="N9389">
        <v>0</v>
      </c>
      <c r="O9389">
        <v>9.0719049999999999E-3</v>
      </c>
      <c r="P9389">
        <v>0.99987780000000004</v>
      </c>
      <c r="Q9389">
        <v>3.2221749999999999E-3</v>
      </c>
      <c r="R9389">
        <v>1.529937E-2</v>
      </c>
      <c r="S9389">
        <v>2.9996800000000001</v>
      </c>
      <c r="T9389">
        <v>1.7047639999999999E-2</v>
      </c>
      <c r="U9389">
        <v>4.2114260000000001E-2</v>
      </c>
      <c r="V9389">
        <v>-6.2254679999999996E-3</v>
      </c>
      <c r="W9389">
        <v>2.069785E-2</v>
      </c>
      <c r="X9389">
        <v>0.99976640000000006</v>
      </c>
      <c r="Y9389">
        <v>-4.9652940000000003E-3</v>
      </c>
      <c r="Z9389" s="1">
        <v>3.7452149999999997E-5</v>
      </c>
      <c r="AA9389">
        <v>0.99998770000000003</v>
      </c>
      <c r="AB9389">
        <v>3</v>
      </c>
      <c r="AC9389">
        <v>2.9996800000000001</v>
      </c>
      <c r="AD9389">
        <v>1.7047639999999999E-2</v>
      </c>
      <c r="AE9389">
        <v>4.2114260000000001E-2</v>
      </c>
      <c r="AF9389">
        <v>-1.48950789812392E-2</v>
      </c>
      <c r="AG9389">
        <v>1.7047639999999999E-2</v>
      </c>
      <c r="AH9389">
        <v>2.9998417681623302</v>
      </c>
      <c r="AI9389">
        <v>89.6744044040625</v>
      </c>
      <c r="AJ9389">
        <v>90.284487720928297</v>
      </c>
      <c r="AK9389">
        <v>2.99992718568613</v>
      </c>
      <c r="AL9389">
        <v>88.814015867386303</v>
      </c>
      <c r="AM9389">
        <v>90.356771773681402</v>
      </c>
      <c r="AN9389">
        <v>1.0000000060076999</v>
      </c>
    </row>
    <row r="9390" spans="1:40" x14ac:dyDescent="0.25">
      <c r="A9390" t="str">
        <f>"20190312160552437"</f>
        <v>20190312160552437</v>
      </c>
      <c r="B9390" t="str">
        <f>"1552377952434469"</f>
        <v>1552377952434469</v>
      </c>
      <c r="C9390" t="s">
        <v>40</v>
      </c>
      <c r="D9390">
        <v>5.4601240000000004</v>
      </c>
      <c r="E9390">
        <v>0.50088750000000004</v>
      </c>
      <c r="F9390" t="s">
        <v>45</v>
      </c>
      <c r="G9390">
        <v>0</v>
      </c>
      <c r="H9390">
        <v>0</v>
      </c>
      <c r="I9390">
        <v>0</v>
      </c>
      <c r="J9390">
        <v>-102.3372</v>
      </c>
      <c r="K9390">
        <v>1.1111949999999999</v>
      </c>
      <c r="L9390">
        <v>138.3501</v>
      </c>
      <c r="M9390">
        <v>0.99980590000000003</v>
      </c>
      <c r="N9390">
        <v>0</v>
      </c>
      <c r="O9390">
        <v>9.1036710000000007E-3</v>
      </c>
      <c r="P9390">
        <v>0.99984870000000003</v>
      </c>
      <c r="Q9390">
        <v>7.0332750000000003E-3</v>
      </c>
      <c r="R9390">
        <v>1.5910399999999901E-2</v>
      </c>
      <c r="S9390">
        <v>2.9996800000000001</v>
      </c>
      <c r="T9390">
        <v>1.9925709999999999E-2</v>
      </c>
      <c r="U9390">
        <v>4.0557860000000001E-2</v>
      </c>
      <c r="V9390">
        <v>-6.8050569999999998E-3</v>
      </c>
      <c r="W9390">
        <v>2.4500129999999998E-2</v>
      </c>
      <c r="X9390">
        <v>0.99967660000000003</v>
      </c>
      <c r="Y9390">
        <v>-4.4148119999999997E-3</v>
      </c>
      <c r="Z9390" s="1">
        <v>4.5814299999999999E-5</v>
      </c>
      <c r="AA9390">
        <v>0.99999020000000005</v>
      </c>
      <c r="AB9390">
        <v>3</v>
      </c>
      <c r="AC9390">
        <v>2.9996800000000001</v>
      </c>
      <c r="AD9390">
        <v>1.9925709999999999E-2</v>
      </c>
      <c r="AE9390">
        <v>4.0557860000000001E-2</v>
      </c>
      <c r="AF9390">
        <v>-1.32433253896339E-2</v>
      </c>
      <c r="AG9390">
        <v>1.9925709999999999E-2</v>
      </c>
      <c r="AH9390">
        <v>2.9997925997385502</v>
      </c>
      <c r="AI9390">
        <v>89.619429965870395</v>
      </c>
      <c r="AJ9390">
        <v>90.252944727607598</v>
      </c>
      <c r="AK9390">
        <v>2.9998880080817298</v>
      </c>
      <c r="AL9390">
        <v>88.596105388704999</v>
      </c>
      <c r="AM9390">
        <v>90.390021155943799</v>
      </c>
      <c r="AN9390">
        <v>0.99999993487917205</v>
      </c>
    </row>
    <row r="9391" spans="1:40" x14ac:dyDescent="0.25">
      <c r="A9391" t="str">
        <f>"20190312160552459"</f>
        <v>20190312160552459</v>
      </c>
      <c r="B9391" t="str">
        <f>"1552377952454965"</f>
        <v>1552377952454965</v>
      </c>
      <c r="C9391" t="s">
        <v>40</v>
      </c>
      <c r="D9391">
        <v>5.4757020000000001</v>
      </c>
      <c r="E9391">
        <v>0.50075990000000004</v>
      </c>
      <c r="F9391" t="s">
        <v>45</v>
      </c>
      <c r="G9391">
        <v>0</v>
      </c>
      <c r="H9391">
        <v>0</v>
      </c>
      <c r="I9391">
        <v>0</v>
      </c>
      <c r="J9391">
        <v>-102.3111</v>
      </c>
      <c r="K9391">
        <v>1.1112109999999999</v>
      </c>
      <c r="L9391">
        <v>138.35040000000001</v>
      </c>
      <c r="M9391">
        <v>0.99980590000000003</v>
      </c>
      <c r="N9391">
        <v>0</v>
      </c>
      <c r="O9391">
        <v>9.1345950000000006E-3</v>
      </c>
      <c r="P9391">
        <v>0.99980910000000001</v>
      </c>
      <c r="Q9391">
        <v>1.0407420000000001E-2</v>
      </c>
      <c r="R9391">
        <v>1.654738E-2</v>
      </c>
      <c r="S9391">
        <v>2.9995880000000001</v>
      </c>
      <c r="T9391">
        <v>3.098917E-2</v>
      </c>
      <c r="U9391">
        <v>4.0771479999999999E-2</v>
      </c>
      <c r="V9391">
        <v>-7.4112190000000001E-3</v>
      </c>
      <c r="W9391">
        <v>2.7866869999999998E-2</v>
      </c>
      <c r="X9391">
        <v>0.99958420000000003</v>
      </c>
      <c r="Y9391">
        <v>-4.4556459999999997E-3</v>
      </c>
      <c r="Z9391" s="1">
        <v>7.1361589999999997E-5</v>
      </c>
      <c r="AA9391">
        <v>0.99999000000000005</v>
      </c>
      <c r="AB9391">
        <v>3</v>
      </c>
      <c r="AC9391">
        <v>2.9995880000000001</v>
      </c>
      <c r="AD9391">
        <v>3.098917E-2</v>
      </c>
      <c r="AE9391">
        <v>4.0771479999999999E-2</v>
      </c>
      <c r="AF9391">
        <v>-1.33641551278281E-2</v>
      </c>
      <c r="AG9391">
        <v>3.098917E-2</v>
      </c>
      <c r="AH9391">
        <v>2.9995152162912602</v>
      </c>
      <c r="AI9391">
        <v>89.408081728552105</v>
      </c>
      <c r="AJ9391">
        <v>90.255276124221993</v>
      </c>
      <c r="AK9391">
        <v>2.9997050625123798</v>
      </c>
      <c r="AL9391">
        <v>88.403139287368305</v>
      </c>
      <c r="AM9391">
        <v>90.424800421088094</v>
      </c>
      <c r="AN9391">
        <v>1.00000003075015</v>
      </c>
    </row>
    <row r="9392" spans="1:40" x14ac:dyDescent="0.25">
      <c r="A9392" t="str">
        <f>"20190312160552484"</f>
        <v>20190312160552484</v>
      </c>
      <c r="B9392" t="str">
        <f>"1552377952474486"</f>
        <v>1552377952474486</v>
      </c>
      <c r="C9392" t="s">
        <v>40</v>
      </c>
      <c r="D9392">
        <v>5.4323350000000001</v>
      </c>
      <c r="E9392">
        <v>0.50061619999999996</v>
      </c>
      <c r="F9392" t="s">
        <v>45</v>
      </c>
      <c r="G9392">
        <v>0</v>
      </c>
      <c r="H9392">
        <v>0</v>
      </c>
      <c r="I9392">
        <v>0</v>
      </c>
      <c r="J9392">
        <v>-102.285</v>
      </c>
      <c r="K9392">
        <v>1.1112200000000001</v>
      </c>
      <c r="L9392">
        <v>138.35059999999999</v>
      </c>
      <c r="M9392">
        <v>0.99980559999999996</v>
      </c>
      <c r="N9392">
        <v>0</v>
      </c>
      <c r="O9392">
        <v>9.1660519999999992E-3</v>
      </c>
      <c r="P9392">
        <v>0.99978140000000004</v>
      </c>
      <c r="Q9392">
        <v>1.1348260000000001E-2</v>
      </c>
      <c r="R9392">
        <v>1.7561670000000001E-2</v>
      </c>
      <c r="S9392">
        <v>2.9994049999999999</v>
      </c>
      <c r="T9392">
        <v>4.1887399999999998E-2</v>
      </c>
      <c r="U9392">
        <v>4.3762210000000003E-2</v>
      </c>
      <c r="V9392">
        <v>-8.3943009999999998E-3</v>
      </c>
      <c r="W9392">
        <v>2.8802049999999999E-2</v>
      </c>
      <c r="X9392">
        <v>0.99954989999999999</v>
      </c>
      <c r="Y9392">
        <v>-5.4220249999999996E-3</v>
      </c>
      <c r="Z9392" s="1">
        <v>9.0153010000000003E-5</v>
      </c>
      <c r="AA9392">
        <v>0.99998529999999997</v>
      </c>
      <c r="AB9392">
        <v>3</v>
      </c>
      <c r="AC9392">
        <v>2.9994049999999999</v>
      </c>
      <c r="AD9392">
        <v>4.1887399999999998E-2</v>
      </c>
      <c r="AE9392">
        <v>4.3762210000000003E-2</v>
      </c>
      <c r="AF9392">
        <v>-1.62603081910749E-2</v>
      </c>
      <c r="AG9392">
        <v>4.1887399999999998E-2</v>
      </c>
      <c r="AH9392">
        <v>2.9990953644298401</v>
      </c>
      <c r="AI9392">
        <v>89.199832068468794</v>
      </c>
      <c r="AJ9392">
        <v>90.310639640032306</v>
      </c>
      <c r="AK9392">
        <v>2.99943193902542</v>
      </c>
      <c r="AL9392">
        <v>88.349535867977195</v>
      </c>
      <c r="AM9392">
        <v>90.481163284370595</v>
      </c>
      <c r="AN9392">
        <v>1.0000000124817401</v>
      </c>
    </row>
    <row r="9393" spans="1:40" x14ac:dyDescent="0.25">
      <c r="A9393" t="str">
        <f>"20190312160552506"</f>
        <v>20190312160552506</v>
      </c>
      <c r="B9393" t="str">
        <f>"1552377952494981"</f>
        <v>1552377952494981</v>
      </c>
      <c r="C9393" t="s">
        <v>40</v>
      </c>
      <c r="D9393">
        <v>5.3753690000000001</v>
      </c>
      <c r="E9393">
        <v>0.50046429999999997</v>
      </c>
      <c r="F9393" t="s">
        <v>45</v>
      </c>
      <c r="G9393">
        <v>0</v>
      </c>
      <c r="H9393">
        <v>0</v>
      </c>
      <c r="I9393">
        <v>0</v>
      </c>
      <c r="J9393">
        <v>-102.26090000000001</v>
      </c>
      <c r="K9393">
        <v>1.1112340000000001</v>
      </c>
      <c r="L9393">
        <v>138.3509</v>
      </c>
      <c r="M9393">
        <v>0.99980550000000001</v>
      </c>
      <c r="N9393">
        <v>0</v>
      </c>
      <c r="O9393">
        <v>9.1947599999999997E-3</v>
      </c>
      <c r="P9393">
        <v>0.99974470000000004</v>
      </c>
      <c r="Q9393">
        <v>1.2369359999999999E-2</v>
      </c>
      <c r="R9393">
        <v>1.8913639999999999E-2</v>
      </c>
      <c r="S9393">
        <v>2.9992830000000001</v>
      </c>
      <c r="T9393">
        <v>4.6116709999999998E-2</v>
      </c>
      <c r="U9393">
        <v>4.7927860000000003E-2</v>
      </c>
      <c r="V9393">
        <v>-9.7175839999999996E-3</v>
      </c>
      <c r="W9393">
        <v>2.9817759999999999E-2</v>
      </c>
      <c r="X9393">
        <v>0.99950810000000001</v>
      </c>
      <c r="Y9393">
        <v>-6.7823559999999998E-3</v>
      </c>
      <c r="Z9393" s="1">
        <v>8.9241829999999999E-5</v>
      </c>
      <c r="AA9393">
        <v>0.999977</v>
      </c>
      <c r="AB9393">
        <v>3</v>
      </c>
      <c r="AC9393">
        <v>2.9992830000000001</v>
      </c>
      <c r="AD9393">
        <v>4.6116709999999998E-2</v>
      </c>
      <c r="AE9393">
        <v>4.7927860000000003E-2</v>
      </c>
      <c r="AF9393">
        <v>-2.0339140122841399E-2</v>
      </c>
      <c r="AG9393">
        <v>4.6116709999999998E-2</v>
      </c>
      <c r="AH9393">
        <v>2.9988881137682299</v>
      </c>
      <c r="AI9393">
        <v>89.118998862588199</v>
      </c>
      <c r="AJ9393">
        <v>90.388587028304599</v>
      </c>
      <c r="AK9393">
        <v>2.99931164610524</v>
      </c>
      <c r="AL9393">
        <v>88.291314911599002</v>
      </c>
      <c r="AM9393">
        <v>90.557033012806201</v>
      </c>
      <c r="AN9393">
        <v>0.99999998610791196</v>
      </c>
    </row>
    <row r="9394" spans="1:40" x14ac:dyDescent="0.25">
      <c r="A9394" t="str">
        <f>"20190312160552529"</f>
        <v>20190312160552529</v>
      </c>
      <c r="B9394" t="str">
        <f>"1552377952524261"</f>
        <v>1552377952524261</v>
      </c>
      <c r="C9394" t="s">
        <v>40</v>
      </c>
      <c r="D9394">
        <v>5.5823809999999998</v>
      </c>
      <c r="E9394">
        <v>0.50027790000000005</v>
      </c>
      <c r="F9394" t="s">
        <v>45</v>
      </c>
      <c r="G9394">
        <v>0</v>
      </c>
      <c r="H9394">
        <v>0</v>
      </c>
      <c r="I9394">
        <v>0</v>
      </c>
      <c r="J9394">
        <v>-102.23869999999999</v>
      </c>
      <c r="K9394">
        <v>1.1112390000000001</v>
      </c>
      <c r="L9394">
        <v>138.3511</v>
      </c>
      <c r="M9394">
        <v>0.99980550000000001</v>
      </c>
      <c r="N9394">
        <v>0</v>
      </c>
      <c r="O9394">
        <v>9.2217480000000001E-3</v>
      </c>
      <c r="P9394">
        <v>0.99967640000000002</v>
      </c>
      <c r="Q9394">
        <v>1.5254749999999999E-2</v>
      </c>
      <c r="R9394">
        <v>2.0359039999999998E-2</v>
      </c>
      <c r="S9394">
        <v>2.9991300000000001</v>
      </c>
      <c r="T9394">
        <v>5.0533649999999999E-2</v>
      </c>
      <c r="U9394">
        <v>5.3100590000000003E-2</v>
      </c>
      <c r="V9394">
        <v>-1.113637E-2</v>
      </c>
      <c r="W9394">
        <v>3.268882E-2</v>
      </c>
      <c r="X9394">
        <v>0.9994035</v>
      </c>
      <c r="Y9394">
        <v>-8.4802030000000004E-3</v>
      </c>
      <c r="Z9394" s="1">
        <v>8.3944179999999994E-5</v>
      </c>
      <c r="AA9394">
        <v>0.99996410000000002</v>
      </c>
      <c r="AB9394">
        <v>2</v>
      </c>
      <c r="AC9394">
        <v>2.9991300000000001</v>
      </c>
      <c r="AD9394">
        <v>5.0533649999999999E-2</v>
      </c>
      <c r="AE9394">
        <v>5.3100590000000003E-2</v>
      </c>
      <c r="AF9394">
        <v>-2.5429689246141401E-2</v>
      </c>
      <c r="AG9394">
        <v>5.0533649999999999E-2</v>
      </c>
      <c r="AH9394">
        <v>2.9986411313067798</v>
      </c>
      <c r="AI9394">
        <v>89.0345671191115</v>
      </c>
      <c r="AJ9394">
        <v>90.485879729415302</v>
      </c>
      <c r="AK9394">
        <v>2.9991747120236698</v>
      </c>
      <c r="AL9394">
        <v>88.126734797664199</v>
      </c>
      <c r="AM9394">
        <v>90.638421411517797</v>
      </c>
      <c r="AN9394">
        <v>0.999999966751009</v>
      </c>
    </row>
    <row r="9395" spans="1:40" x14ac:dyDescent="0.25">
      <c r="A9395" t="str">
        <f>"20190312160552549"</f>
        <v>20190312160552549</v>
      </c>
      <c r="B9395" t="str">
        <f>"1552377952544758"</f>
        <v>1552377952544758</v>
      </c>
      <c r="C9395" t="s">
        <v>40</v>
      </c>
      <c r="D9395">
        <v>5.40923</v>
      </c>
      <c r="E9395">
        <v>0.50035240000000003</v>
      </c>
      <c r="F9395" t="s">
        <v>45</v>
      </c>
      <c r="G9395">
        <v>0</v>
      </c>
      <c r="H9395">
        <v>0</v>
      </c>
      <c r="I9395">
        <v>0</v>
      </c>
      <c r="J9395">
        <v>-102.21939999999999</v>
      </c>
      <c r="K9395">
        <v>1.1112359999999999</v>
      </c>
      <c r="L9395">
        <v>138.35130000000001</v>
      </c>
      <c r="M9395">
        <v>0.99980559999999996</v>
      </c>
      <c r="N9395">
        <v>0</v>
      </c>
      <c r="O9395">
        <v>9.2446920000000005E-3</v>
      </c>
      <c r="P9395">
        <v>0.99962119999999999</v>
      </c>
      <c r="Q9395">
        <v>1.5852640000000001E-2</v>
      </c>
      <c r="R9395">
        <v>2.2503740000000001E-2</v>
      </c>
      <c r="S9395">
        <v>2.9988860000000002</v>
      </c>
      <c r="T9395">
        <v>5.7850119999999998E-2</v>
      </c>
      <c r="U9395">
        <v>5.8898930000000002E-2</v>
      </c>
      <c r="V9395">
        <v>-1.325866E-2</v>
      </c>
      <c r="W9395">
        <v>3.3265959999999997E-2</v>
      </c>
      <c r="X9395">
        <v>0.99935859999999999</v>
      </c>
      <c r="Y9395">
        <v>-1.039112E-2</v>
      </c>
      <c r="Z9395" s="1">
        <v>7.8116229999999998E-5</v>
      </c>
      <c r="AA9395">
        <v>0.999946</v>
      </c>
      <c r="AB9395">
        <v>2</v>
      </c>
      <c r="AC9395">
        <v>2.9988860000000002</v>
      </c>
      <c r="AD9395">
        <v>5.7850119999999998E-2</v>
      </c>
      <c r="AE9395">
        <v>5.8898930000000002E-2</v>
      </c>
      <c r="AF9395">
        <v>-3.1156839890450198E-2</v>
      </c>
      <c r="AG9395">
        <v>5.7850119999999998E-2</v>
      </c>
      <c r="AH9395">
        <v>2.99818712496706</v>
      </c>
      <c r="AI9395">
        <v>88.894672865070007</v>
      </c>
      <c r="AJ9395">
        <v>90.595390180113696</v>
      </c>
      <c r="AK9395">
        <v>2.9989070378013101</v>
      </c>
      <c r="AL9395">
        <v>88.093649204224604</v>
      </c>
      <c r="AM9395">
        <v>90.760108226589097</v>
      </c>
      <c r="AN9395">
        <v>1.0000000137768299</v>
      </c>
    </row>
    <row r="9396" spans="1:40" x14ac:dyDescent="0.25">
      <c r="A9396" t="str">
        <f>"20190312160552571"</f>
        <v>20190312160552571</v>
      </c>
      <c r="B9396" t="str">
        <f>"1552377952564277"</f>
        <v>1552377952564277</v>
      </c>
      <c r="C9396" t="s">
        <v>40</v>
      </c>
      <c r="D9396">
        <v>5.452305</v>
      </c>
      <c r="E9396">
        <v>0.50049079999999901</v>
      </c>
      <c r="F9396" t="s">
        <v>45</v>
      </c>
      <c r="G9396">
        <v>0</v>
      </c>
      <c r="H9396">
        <v>0</v>
      </c>
      <c r="I9396">
        <v>0</v>
      </c>
      <c r="J9396">
        <v>-102.1992</v>
      </c>
      <c r="K9396">
        <v>1.1112280000000001</v>
      </c>
      <c r="L9396">
        <v>138.35149999999999</v>
      </c>
      <c r="M9396">
        <v>0.99980579999999997</v>
      </c>
      <c r="N9396">
        <v>0</v>
      </c>
      <c r="O9396">
        <v>9.2692729999999997E-3</v>
      </c>
      <c r="P9396">
        <v>0.9995849</v>
      </c>
      <c r="Q9396">
        <v>1.553207E-2</v>
      </c>
      <c r="R9396">
        <v>2.427145E-2</v>
      </c>
      <c r="S9396">
        <v>2.9987789999999999</v>
      </c>
      <c r="T9396">
        <v>5.6427119999999997E-2</v>
      </c>
      <c r="U9396">
        <v>6.4819340000000003E-2</v>
      </c>
      <c r="V9396">
        <v>-1.5002430000000001E-2</v>
      </c>
      <c r="W9396">
        <v>3.2921390000000002E-2</v>
      </c>
      <c r="X9396">
        <v>0.99934540000000005</v>
      </c>
      <c r="Y9396">
        <v>-1.2340210000000001E-2</v>
      </c>
      <c r="Z9396" s="1">
        <v>5.8324259999999997E-5</v>
      </c>
      <c r="AA9396">
        <v>0.99992380000000003</v>
      </c>
      <c r="AB9396">
        <v>2</v>
      </c>
      <c r="AC9396">
        <v>2.9987789999999999</v>
      </c>
      <c r="AD9396">
        <v>5.6427119999999997E-2</v>
      </c>
      <c r="AE9396">
        <v>6.4819340000000003E-2</v>
      </c>
      <c r="AF9396">
        <v>-3.7002753501841797E-2</v>
      </c>
      <c r="AG9396">
        <v>5.6427119999999997E-2</v>
      </c>
      <c r="AH9396">
        <v>2.9981899828188601</v>
      </c>
      <c r="AI9396">
        <v>88.921880169222007</v>
      </c>
      <c r="AJ9396">
        <v>90.707091273451198</v>
      </c>
      <c r="AK9396">
        <v>2.9989492154275599</v>
      </c>
      <c r="AL9396">
        <v>88.113402517142106</v>
      </c>
      <c r="AM9396">
        <v>90.860074361252003</v>
      </c>
      <c r="AN9396">
        <v>1.0000000596632901</v>
      </c>
    </row>
    <row r="9397" spans="1:40" x14ac:dyDescent="0.25">
      <c r="A9397" t="str">
        <f>"20190312160552593"</f>
        <v>20190312160552593</v>
      </c>
      <c r="B9397" t="str">
        <f>"1552377952584773"</f>
        <v>1552377952584773</v>
      </c>
      <c r="C9397" t="s">
        <v>40</v>
      </c>
      <c r="D9397">
        <v>5.4489150000000004</v>
      </c>
      <c r="E9397">
        <v>0.50044849999999996</v>
      </c>
      <c r="F9397" t="s">
        <v>45</v>
      </c>
      <c r="G9397">
        <v>0</v>
      </c>
      <c r="H9397">
        <v>0</v>
      </c>
      <c r="I9397">
        <v>0</v>
      </c>
      <c r="J9397">
        <v>-102.1799</v>
      </c>
      <c r="K9397">
        <v>1.1112109999999999</v>
      </c>
      <c r="L9397">
        <v>138.35169999999999</v>
      </c>
      <c r="M9397">
        <v>0.99980599999999997</v>
      </c>
      <c r="N9397">
        <v>0</v>
      </c>
      <c r="O9397">
        <v>9.2922769999999998E-3</v>
      </c>
      <c r="P9397">
        <v>0.9996024</v>
      </c>
      <c r="Q9397">
        <v>1.2883169999999999E-2</v>
      </c>
      <c r="R9397">
        <v>2.5087729999999999E-2</v>
      </c>
      <c r="S9397">
        <v>2.9987789999999999</v>
      </c>
      <c r="T9397">
        <v>5.1569459999999998E-2</v>
      </c>
      <c r="U9397">
        <v>6.8984989999999996E-2</v>
      </c>
      <c r="V9397">
        <v>-1.579527E-2</v>
      </c>
      <c r="W9397">
        <v>3.0252439999999998E-2</v>
      </c>
      <c r="X9397">
        <v>0.99941749999999996</v>
      </c>
      <c r="Y9397">
        <v>-1.3705409999999999E-2</v>
      </c>
      <c r="Z9397" s="1">
        <v>4.1962370000000001E-5</v>
      </c>
      <c r="AA9397">
        <v>0.99990610000000002</v>
      </c>
      <c r="AB9397">
        <v>2</v>
      </c>
      <c r="AC9397">
        <v>2.9987789999999999</v>
      </c>
      <c r="AD9397">
        <v>5.1569459999999998E-2</v>
      </c>
      <c r="AE9397">
        <v>6.8984989999999996E-2</v>
      </c>
      <c r="AF9397">
        <v>-4.1100174166019098E-2</v>
      </c>
      <c r="AG9397">
        <v>5.1569459999999998E-2</v>
      </c>
      <c r="AH9397">
        <v>2.9984043646895602</v>
      </c>
      <c r="AI9397">
        <v>89.014761419164799</v>
      </c>
      <c r="AJ9397">
        <v>90.785324045990805</v>
      </c>
      <c r="AK9397">
        <v>2.9991294349711799</v>
      </c>
      <c r="AL9397">
        <v>88.266398399133493</v>
      </c>
      <c r="AM9397">
        <v>90.905454394811201</v>
      </c>
      <c r="AN9397">
        <v>1.0000000199932799</v>
      </c>
    </row>
    <row r="9398" spans="1:40" x14ac:dyDescent="0.25">
      <c r="A9398" t="str">
        <f>"20190312160552616"</f>
        <v>20190312160552616</v>
      </c>
      <c r="B9398" t="str">
        <f>"1552377952604293"</f>
        <v>1552377952604293</v>
      </c>
      <c r="C9398" t="s">
        <v>40</v>
      </c>
      <c r="D9398">
        <v>5.4438190000000004</v>
      </c>
      <c r="E9398">
        <v>0.50049880000000002</v>
      </c>
      <c r="F9398" t="s">
        <v>45</v>
      </c>
      <c r="G9398">
        <v>0</v>
      </c>
      <c r="H9398">
        <v>0</v>
      </c>
      <c r="I9398">
        <v>0</v>
      </c>
      <c r="J9398">
        <v>-102.1618</v>
      </c>
      <c r="K9398">
        <v>1.1111930000000001</v>
      </c>
      <c r="L9398">
        <v>138.3519</v>
      </c>
      <c r="M9398">
        <v>0.99980610000000003</v>
      </c>
      <c r="N9398">
        <v>0</v>
      </c>
      <c r="O9398">
        <v>9.3143610000000002E-3</v>
      </c>
      <c r="P9398">
        <v>0.99960510000000002</v>
      </c>
      <c r="Q9398">
        <v>1.149321E-2</v>
      </c>
      <c r="R9398">
        <v>2.5646680000000002E-2</v>
      </c>
      <c r="S9398">
        <v>2.9988860000000002</v>
      </c>
      <c r="T9398">
        <v>3.8341640000000003E-2</v>
      </c>
      <c r="U9398">
        <v>7.1685789999999999E-2</v>
      </c>
      <c r="V9398">
        <v>-1.6332079999999999E-2</v>
      </c>
      <c r="W9398">
        <v>2.8845429999999998E-2</v>
      </c>
      <c r="X9398">
        <v>0.99945039999999996</v>
      </c>
      <c r="Y9398">
        <v>-1.458275E-2</v>
      </c>
      <c r="Z9398" s="1">
        <v>2.5873069999999999E-5</v>
      </c>
      <c r="AA9398">
        <v>0.9998937</v>
      </c>
      <c r="AB9398">
        <v>2</v>
      </c>
      <c r="AC9398">
        <v>2.9988860000000002</v>
      </c>
      <c r="AD9398">
        <v>3.8341640000000003E-2</v>
      </c>
      <c r="AE9398">
        <v>7.1685789999999999E-2</v>
      </c>
      <c r="AF9398">
        <v>-4.37386220720637E-2</v>
      </c>
      <c r="AG9398">
        <v>3.8341640000000003E-2</v>
      </c>
      <c r="AH9398">
        <v>2.99893374119099</v>
      </c>
      <c r="AI9398">
        <v>89.267586053722695</v>
      </c>
      <c r="AJ9398">
        <v>90.8355839092834</v>
      </c>
      <c r="AK9398">
        <v>2.9994977467023398</v>
      </c>
      <c r="AL9398">
        <v>88.347049238780897</v>
      </c>
      <c r="AM9398">
        <v>90.936190506297194</v>
      </c>
      <c r="AN9398">
        <v>0.99999994886458399</v>
      </c>
    </row>
    <row r="9399" spans="1:40" x14ac:dyDescent="0.25">
      <c r="A9399" t="str">
        <f>"20190312160552638"</f>
        <v>20190312160552638</v>
      </c>
      <c r="B9399" t="str">
        <f>"1552377952634552"</f>
        <v>1552377952634552</v>
      </c>
      <c r="C9399" t="s">
        <v>40</v>
      </c>
      <c r="D9399">
        <v>5.550071</v>
      </c>
      <c r="E9399">
        <v>0.50050289999999997</v>
      </c>
      <c r="F9399" t="s">
        <v>45</v>
      </c>
      <c r="G9399">
        <v>0</v>
      </c>
      <c r="H9399">
        <v>0</v>
      </c>
      <c r="I9399">
        <v>0</v>
      </c>
      <c r="J9399">
        <v>-102.1442</v>
      </c>
      <c r="K9399">
        <v>1.1111770000000001</v>
      </c>
      <c r="L9399">
        <v>138.35210000000001</v>
      </c>
      <c r="M9399">
        <v>0.99980599999999997</v>
      </c>
      <c r="N9399">
        <v>0</v>
      </c>
      <c r="O9399">
        <v>9.3356700000000008E-3</v>
      </c>
      <c r="P9399">
        <v>0.99961829999999996</v>
      </c>
      <c r="Q9399">
        <v>8.5689019999999998E-3</v>
      </c>
      <c r="R9399">
        <v>2.6267840000000001E-2</v>
      </c>
      <c r="S9399">
        <v>2.9989620000000001</v>
      </c>
      <c r="T9399">
        <v>3.0769589999999999E-2</v>
      </c>
      <c r="U9399">
        <v>7.2921749999999994E-2</v>
      </c>
      <c r="V9399">
        <v>-1.6932490000000001E-2</v>
      </c>
      <c r="W9399">
        <v>2.5904449999999999E-2</v>
      </c>
      <c r="X9399">
        <v>0.99952099999999999</v>
      </c>
      <c r="Y9399">
        <v>-1.497281E-2</v>
      </c>
      <c r="Z9399" s="1">
        <v>1.8980970000000001E-5</v>
      </c>
      <c r="AA9399">
        <v>0.99988790000000005</v>
      </c>
      <c r="AB9399">
        <v>2</v>
      </c>
      <c r="AC9399">
        <v>2.9989620000000001</v>
      </c>
      <c r="AD9399">
        <v>3.0769589999999999E-2</v>
      </c>
      <c r="AE9399">
        <v>7.2921749999999994E-2</v>
      </c>
      <c r="AF9399">
        <v>-4.4912314716635003E-2</v>
      </c>
      <c r="AG9399">
        <v>3.0769589999999999E-2</v>
      </c>
      <c r="AH9399">
        <v>2.9991966101765102</v>
      </c>
      <c r="AI9399">
        <v>89.412273214646802</v>
      </c>
      <c r="AJ9399">
        <v>90.857927669865603</v>
      </c>
      <c r="AK9399">
        <v>2.99969068241648</v>
      </c>
      <c r="AL9399">
        <v>88.515618283987493</v>
      </c>
      <c r="AM9399">
        <v>90.9705323077538</v>
      </c>
      <c r="AN9399">
        <v>0.999999989594201</v>
      </c>
    </row>
    <row r="9400" spans="1:40" x14ac:dyDescent="0.25">
      <c r="A9400" t="str">
        <f>"20190312160552661"</f>
        <v>20190312160552661</v>
      </c>
      <c r="B9400" t="str">
        <f>"1552377952655046"</f>
        <v>1552377952655046</v>
      </c>
      <c r="C9400" t="s">
        <v>40</v>
      </c>
      <c r="D9400">
        <v>5.6465509999999997</v>
      </c>
      <c r="E9400">
        <v>0.50046480000000004</v>
      </c>
      <c r="F9400" t="s">
        <v>45</v>
      </c>
      <c r="G9400">
        <v>0</v>
      </c>
      <c r="H9400">
        <v>0</v>
      </c>
      <c r="I9400">
        <v>0</v>
      </c>
      <c r="J9400">
        <v>-102.1275</v>
      </c>
      <c r="K9400">
        <v>1.111165</v>
      </c>
      <c r="L9400">
        <v>138.35230000000001</v>
      </c>
      <c r="M9400">
        <v>0.99980630000000004</v>
      </c>
      <c r="N9400">
        <v>0</v>
      </c>
      <c r="O9400">
        <v>9.3557810000000005E-3</v>
      </c>
      <c r="P9400">
        <v>0.99960289999999996</v>
      </c>
      <c r="Q9400">
        <v>6.0685879999999998E-3</v>
      </c>
      <c r="R9400">
        <v>2.75223E-2</v>
      </c>
      <c r="S9400">
        <v>2.9990230000000002</v>
      </c>
      <c r="T9400">
        <v>1.7264959999999999E-2</v>
      </c>
      <c r="U9400">
        <v>7.4783329999999995E-2</v>
      </c>
      <c r="V9400">
        <v>-1.816707E-2</v>
      </c>
      <c r="W9400">
        <v>2.338751E-2</v>
      </c>
      <c r="X9400">
        <v>0.99956140000000004</v>
      </c>
      <c r="Y9400">
        <v>-1.557268E-2</v>
      </c>
      <c r="Z9400" s="1">
        <v>9.0395009999999998E-6</v>
      </c>
      <c r="AA9400">
        <v>0.99987879999999996</v>
      </c>
      <c r="AB9400">
        <v>2</v>
      </c>
      <c r="AC9400">
        <v>2.9990230000000002</v>
      </c>
      <c r="AD9400">
        <v>1.7264959999999999E-2</v>
      </c>
      <c r="AE9400">
        <v>7.4783329999999995E-2</v>
      </c>
      <c r="AF9400">
        <v>-4.6716099033698499E-2</v>
      </c>
      <c r="AG9400">
        <v>1.7264959999999999E-2</v>
      </c>
      <c r="AH9400">
        <v>2.9994921201754998</v>
      </c>
      <c r="AI9400">
        <v>89.6702513535961</v>
      </c>
      <c r="AJ9400">
        <v>90.892290697924494</v>
      </c>
      <c r="AK9400">
        <v>2.9999055738052198</v>
      </c>
      <c r="AL9400">
        <v>88.659872202188396</v>
      </c>
      <c r="AM9400">
        <v>91.041238533202502</v>
      </c>
      <c r="AN9400">
        <v>1.0000000052131699</v>
      </c>
    </row>
    <row r="9401" spans="1:40" x14ac:dyDescent="0.25">
      <c r="A9401" t="str">
        <f>"20190312160552685"</f>
        <v>20190312160552685</v>
      </c>
      <c r="B9401" t="str">
        <f>"1552377952674565"</f>
        <v>1552377952674565</v>
      </c>
      <c r="C9401" t="s">
        <v>40</v>
      </c>
      <c r="D9401">
        <v>5.4765940000000004</v>
      </c>
      <c r="E9401">
        <v>0.50042979999999904</v>
      </c>
      <c r="F9401" t="s">
        <v>45</v>
      </c>
      <c r="G9401">
        <v>0</v>
      </c>
      <c r="H9401">
        <v>0</v>
      </c>
      <c r="I9401">
        <v>0</v>
      </c>
      <c r="J9401">
        <v>-102.11109999999999</v>
      </c>
      <c r="K9401">
        <v>1.111146</v>
      </c>
      <c r="L9401">
        <v>138.35249999999999</v>
      </c>
      <c r="M9401">
        <v>0.99980630000000004</v>
      </c>
      <c r="N9401">
        <v>0</v>
      </c>
      <c r="O9401">
        <v>9.375408E-3</v>
      </c>
      <c r="P9401">
        <v>0.99957660000000004</v>
      </c>
      <c r="Q9401">
        <v>2.9928899999999998E-3</v>
      </c>
      <c r="R9401">
        <v>2.8946989999999999E-2</v>
      </c>
      <c r="S9401">
        <v>2.9989620000000001</v>
      </c>
      <c r="T9401">
        <v>9.3762870000000005E-3</v>
      </c>
      <c r="U9401">
        <v>7.8735349999999996E-2</v>
      </c>
      <c r="V9401">
        <v>-1.957157E-2</v>
      </c>
      <c r="W9401">
        <v>2.0296439999999999E-2</v>
      </c>
      <c r="X9401">
        <v>0.9996024</v>
      </c>
      <c r="Y9401">
        <v>-1.6870389999999999E-2</v>
      </c>
      <c r="Z9401" s="1">
        <v>2.9422430000000001E-6</v>
      </c>
      <c r="AA9401">
        <v>0.99985769999999996</v>
      </c>
      <c r="AB9401">
        <v>2</v>
      </c>
      <c r="AC9401">
        <v>2.9989620000000001</v>
      </c>
      <c r="AD9401">
        <v>9.3762870000000005E-3</v>
      </c>
      <c r="AE9401">
        <v>7.8735349999999996E-2</v>
      </c>
      <c r="AF9401">
        <v>-5.0610690940572099E-2</v>
      </c>
      <c r="AG9401">
        <v>9.3762870000000005E-3</v>
      </c>
      <c r="AH9401">
        <v>2.9995391419027402</v>
      </c>
      <c r="AI9401">
        <v>89.820924667725393</v>
      </c>
      <c r="AJ9401">
        <v>90.966649781029503</v>
      </c>
      <c r="AK9401">
        <v>2.9999807367051599</v>
      </c>
      <c r="AL9401">
        <v>88.837019763003795</v>
      </c>
      <c r="AM9401">
        <v>91.121671076204393</v>
      </c>
      <c r="AN9401">
        <v>0.99999997495734805</v>
      </c>
    </row>
    <row r="9402" spans="1:40" x14ac:dyDescent="0.25">
      <c r="A9402" t="str">
        <f>"20190312160552716"</f>
        <v>20190312160552716</v>
      </c>
      <c r="B9402" t="str">
        <f>"1552377952714581"</f>
        <v>1552377952714581</v>
      </c>
      <c r="C9402" t="s">
        <v>40</v>
      </c>
      <c r="D9402">
        <v>5.6267379999999996</v>
      </c>
      <c r="E9402">
        <v>0.5244105</v>
      </c>
      <c r="F9402" t="s">
        <v>45</v>
      </c>
      <c r="G9402">
        <v>0</v>
      </c>
      <c r="H9402">
        <v>0</v>
      </c>
      <c r="I9402">
        <v>0</v>
      </c>
      <c r="J9402">
        <v>-102.0916</v>
      </c>
      <c r="K9402">
        <v>1.11113</v>
      </c>
      <c r="L9402">
        <v>138.3527</v>
      </c>
      <c r="M9402">
        <v>0.99980650000000004</v>
      </c>
      <c r="N9402">
        <v>0</v>
      </c>
      <c r="O9402">
        <v>9.3986759999999999E-3</v>
      </c>
      <c r="P9402">
        <v>0.99959880000000001</v>
      </c>
      <c r="Q9402">
        <v>7.6588969999999998E-4</v>
      </c>
      <c r="R9402">
        <v>2.831494E-2</v>
      </c>
      <c r="S9402">
        <v>2.998856</v>
      </c>
      <c r="T9402">
        <v>1.0570289999999999E-3</v>
      </c>
      <c r="U9402">
        <v>8.3358760000000004E-2</v>
      </c>
      <c r="V9402">
        <v>-1.8916510000000001E-2</v>
      </c>
      <c r="W9402">
        <v>1.8052849999999999E-2</v>
      </c>
      <c r="X9402">
        <v>0.99965800000000005</v>
      </c>
      <c r="Y9402">
        <v>-1.8388450000000001E-2</v>
      </c>
      <c r="Z9402" s="1">
        <v>7.2400779999999997E-8</v>
      </c>
      <c r="AA9402">
        <v>0.99983089999999997</v>
      </c>
      <c r="AB9402">
        <v>2</v>
      </c>
      <c r="AC9402">
        <v>2.998856</v>
      </c>
      <c r="AD9402">
        <v>1.0570289999999999E-3</v>
      </c>
      <c r="AE9402">
        <v>8.3358760000000004E-2</v>
      </c>
      <c r="AF9402">
        <v>-5.5165584911744503E-2</v>
      </c>
      <c r="AG9402">
        <v>1.0570289999999999E-3</v>
      </c>
      <c r="AH9402">
        <v>2.9995067119821299</v>
      </c>
      <c r="AI9402">
        <v>89.979812327930702</v>
      </c>
      <c r="AJ9402">
        <v>91.053639545193207</v>
      </c>
      <c r="AK9402">
        <v>3.0000141456824498</v>
      </c>
      <c r="AL9402">
        <v>88.9655916209678</v>
      </c>
      <c r="AM9402">
        <v>91.084077602033105</v>
      </c>
      <c r="AN9402">
        <v>0.99999992835384799</v>
      </c>
    </row>
    <row r="9403" spans="1:40" x14ac:dyDescent="0.25">
      <c r="A9403" t="str">
        <f>"20190312160552738"</f>
        <v>20190312160552738</v>
      </c>
      <c r="B9403" t="str">
        <f>"1552377952735080"</f>
        <v>1552377952735080</v>
      </c>
      <c r="C9403" t="s">
        <v>40</v>
      </c>
      <c r="D9403">
        <v>6.229965</v>
      </c>
      <c r="E9403">
        <v>0.52538569999999996</v>
      </c>
      <c r="F9403" t="s">
        <v>45</v>
      </c>
      <c r="G9403">
        <v>0</v>
      </c>
      <c r="H9403">
        <v>0</v>
      </c>
      <c r="I9403">
        <v>0</v>
      </c>
      <c r="J9403">
        <v>-102.0788</v>
      </c>
      <c r="K9403">
        <v>1.111127</v>
      </c>
      <c r="L9403">
        <v>138.35290000000001</v>
      </c>
      <c r="M9403">
        <v>0.99980639999999998</v>
      </c>
      <c r="N9403">
        <v>0</v>
      </c>
      <c r="O9403">
        <v>9.4138450000000005E-3</v>
      </c>
      <c r="P9403">
        <v>0.99962019999999996</v>
      </c>
      <c r="Q9403">
        <v>-2.6798389999999999E-4</v>
      </c>
      <c r="R9403">
        <v>2.7561769999999999E-2</v>
      </c>
      <c r="S9403">
        <v>3.0043639999999998</v>
      </c>
      <c r="T9403">
        <v>-5.5260780000000002E-2</v>
      </c>
      <c r="U9403">
        <v>-0.1101227</v>
      </c>
      <c r="V9403">
        <v>-1.8147960000000001E-2</v>
      </c>
      <c r="W9403">
        <v>1.7008269999999999E-2</v>
      </c>
      <c r="X9403">
        <v>0.99969070000000004</v>
      </c>
      <c r="Y9403">
        <v>4.6027579999999998E-2</v>
      </c>
      <c r="Z9403">
        <v>-5.9623849999999997E-4</v>
      </c>
      <c r="AA9403">
        <v>0.99894000000000005</v>
      </c>
      <c r="AB9403">
        <v>1</v>
      </c>
      <c r="AC9403">
        <v>3.0043639999999998</v>
      </c>
      <c r="AD9403">
        <v>-5.5260780000000002E-2</v>
      </c>
      <c r="AE9403">
        <v>-0.1101227</v>
      </c>
      <c r="AF9403">
        <v>0.13835791203374101</v>
      </c>
      <c r="AG9403">
        <v>-5.5260780000000002E-2</v>
      </c>
      <c r="AH9403">
        <v>3.0021796628468098</v>
      </c>
      <c r="AI9403">
        <v>91.053400006451497</v>
      </c>
      <c r="AJ9403">
        <v>87.361344035450699</v>
      </c>
      <c r="AK9403">
        <v>3.00587414800412</v>
      </c>
      <c r="AL9403">
        <v>89.025450982961004</v>
      </c>
      <c r="AM9403">
        <v>91.040008989145505</v>
      </c>
      <c r="AN9403">
        <v>1.0000000626835199</v>
      </c>
    </row>
    <row r="9404" spans="1:40" x14ac:dyDescent="0.25">
      <c r="A9404" t="str">
        <f>"20190312160552761"</f>
        <v>20190312160552761</v>
      </c>
      <c r="B9404" t="str">
        <f>"1552377952754597"</f>
        <v>1552377952754597</v>
      </c>
      <c r="C9404" t="s">
        <v>40</v>
      </c>
      <c r="D9404">
        <v>5.648784</v>
      </c>
      <c r="E9404">
        <v>0.52538619999999903</v>
      </c>
      <c r="F9404" t="s">
        <v>45</v>
      </c>
      <c r="G9404">
        <v>0</v>
      </c>
      <c r="H9404">
        <v>0</v>
      </c>
      <c r="I9404">
        <v>0</v>
      </c>
      <c r="J9404">
        <v>-102.0672</v>
      </c>
      <c r="K9404">
        <v>1.1111230000000001</v>
      </c>
      <c r="L9404">
        <v>138.35299999999901</v>
      </c>
      <c r="M9404">
        <v>0.99980639999999998</v>
      </c>
      <c r="N9404">
        <v>0</v>
      </c>
      <c r="O9404">
        <v>9.4278729999999998E-3</v>
      </c>
      <c r="P9404">
        <v>0.99960199999999999</v>
      </c>
      <c r="Q9404">
        <v>-7.6054249999999996E-4</v>
      </c>
      <c r="R9404">
        <v>2.8203579999999999E-2</v>
      </c>
      <c r="S9404">
        <v>3.0044400000000002</v>
      </c>
      <c r="T9404">
        <v>-5.4266099999999998E-2</v>
      </c>
      <c r="U9404">
        <v>-0.120147699999999</v>
      </c>
      <c r="V9404">
        <v>-1.8775920000000001E-2</v>
      </c>
      <c r="W9404">
        <v>1.650623E-2</v>
      </c>
      <c r="X9404">
        <v>0.9996874</v>
      </c>
      <c r="Y9404">
        <v>4.9368509999999997E-2</v>
      </c>
      <c r="Z9404">
        <v>-6.1586729999999997E-4</v>
      </c>
      <c r="AA9404">
        <v>0.99878040000000001</v>
      </c>
      <c r="AB9404">
        <v>1</v>
      </c>
      <c r="AC9404">
        <v>3.0044400000000002</v>
      </c>
      <c r="AD9404">
        <v>-5.4266099999999998E-2</v>
      </c>
      <c r="AE9404">
        <v>-0.120147699999999</v>
      </c>
      <c r="AF9404">
        <v>0.148423719111865</v>
      </c>
      <c r="AG9404">
        <v>-5.4266099999999998E-2</v>
      </c>
      <c r="AH9404">
        <v>3.0021956698470298</v>
      </c>
      <c r="AI9404">
        <v>91.034272504036693</v>
      </c>
      <c r="AJ9404">
        <v>87.169693332446101</v>
      </c>
      <c r="AK9404">
        <v>3.0063521500403798</v>
      </c>
      <c r="AL9404">
        <v>89.054219682096303</v>
      </c>
      <c r="AM9404">
        <v>91.075990858034402</v>
      </c>
      <c r="AN9404">
        <v>0.99999994425970795</v>
      </c>
    </row>
    <row r="9405" spans="1:40" x14ac:dyDescent="0.25">
      <c r="A9405" t="str">
        <f>"20190312160552783"</f>
        <v>20190312160552783</v>
      </c>
      <c r="B9405" t="str">
        <f>"1552377952775093"</f>
        <v>1552377952775093</v>
      </c>
      <c r="C9405" t="s">
        <v>40</v>
      </c>
      <c r="D9405">
        <v>5.560327</v>
      </c>
      <c r="E9405">
        <v>0.52542509999999998</v>
      </c>
      <c r="F9405" t="s">
        <v>45</v>
      </c>
      <c r="G9405">
        <v>0</v>
      </c>
      <c r="H9405">
        <v>0</v>
      </c>
      <c r="I9405">
        <v>0</v>
      </c>
      <c r="J9405">
        <v>-102.0564</v>
      </c>
      <c r="K9405">
        <v>1.1111390000000001</v>
      </c>
      <c r="L9405">
        <v>138.35310000000001</v>
      </c>
      <c r="M9405">
        <v>0.99980659999999999</v>
      </c>
      <c r="N9405">
        <v>0</v>
      </c>
      <c r="O9405">
        <v>9.4403409999999997E-3</v>
      </c>
      <c r="P9405">
        <v>0.99959949999999997</v>
      </c>
      <c r="Q9405">
        <v>-1.5268580000000001E-3</v>
      </c>
      <c r="R9405">
        <v>2.8267319999999999E-2</v>
      </c>
      <c r="S9405">
        <v>3.004486</v>
      </c>
      <c r="T9405">
        <v>-5.4822089999999997E-2</v>
      </c>
      <c r="U9405">
        <v>-0.1182251</v>
      </c>
      <c r="V9405">
        <v>-1.8827159999999999E-2</v>
      </c>
      <c r="W9405">
        <v>1.573194E-2</v>
      </c>
      <c r="X9405">
        <v>0.999699</v>
      </c>
      <c r="Y9405">
        <v>4.8742130000000002E-2</v>
      </c>
      <c r="Z9405">
        <v>-6.1668979999999997E-4</v>
      </c>
      <c r="AA9405">
        <v>0.99881120000000001</v>
      </c>
      <c r="AB9405">
        <v>1</v>
      </c>
      <c r="AC9405">
        <v>3.004486</v>
      </c>
      <c r="AD9405">
        <v>-5.4822089999999997E-2</v>
      </c>
      <c r="AE9405">
        <v>-0.1182251</v>
      </c>
      <c r="AF9405">
        <v>0.14653871087331699</v>
      </c>
      <c r="AG9405">
        <v>-5.4822089999999997E-2</v>
      </c>
      <c r="AH9405">
        <v>3.0022377949718102</v>
      </c>
      <c r="AI9405">
        <v>91.044884453409097</v>
      </c>
      <c r="AJ9405">
        <v>87.205620548754098</v>
      </c>
      <c r="AK9405">
        <v>3.00631183227781</v>
      </c>
      <c r="AL9405">
        <v>89.098589070503905</v>
      </c>
      <c r="AM9405">
        <v>91.078914057029706</v>
      </c>
      <c r="AN9405">
        <v>1.00000002324541</v>
      </c>
    </row>
    <row r="9406" spans="1:40" x14ac:dyDescent="0.25">
      <c r="A9406" t="str">
        <f>"20190312160552805"</f>
        <v>20190312160552805</v>
      </c>
      <c r="B9406" t="str">
        <f>"1552377952794613"</f>
        <v>1552377952794613</v>
      </c>
      <c r="C9406" t="s">
        <v>40</v>
      </c>
      <c r="D9406">
        <v>5.5629629999999999</v>
      </c>
      <c r="E9406">
        <v>0.52536870000000002</v>
      </c>
      <c r="F9406" t="s">
        <v>45</v>
      </c>
      <c r="G9406">
        <v>0</v>
      </c>
      <c r="H9406">
        <v>0</v>
      </c>
      <c r="I9406">
        <v>0</v>
      </c>
      <c r="J9406">
        <v>-102.0468</v>
      </c>
      <c r="K9406">
        <v>1.111143</v>
      </c>
      <c r="L9406">
        <v>138.35319999999999</v>
      </c>
      <c r="M9406">
        <v>0.99980650000000004</v>
      </c>
      <c r="N9406">
        <v>0</v>
      </c>
      <c r="O9406">
        <v>9.452139E-3</v>
      </c>
      <c r="P9406">
        <v>0.99957070000000003</v>
      </c>
      <c r="Q9406">
        <v>-3.4805179999999999E-4</v>
      </c>
      <c r="R9406">
        <v>2.929737E-2</v>
      </c>
      <c r="S9406">
        <v>3.0044559999999998</v>
      </c>
      <c r="T9406">
        <v>-5.7073119999999998E-2</v>
      </c>
      <c r="U9406">
        <v>-0.1182556</v>
      </c>
      <c r="V9406">
        <v>-1.9845939999999999E-2</v>
      </c>
      <c r="W9406">
        <v>1.6902899999999998E-2</v>
      </c>
      <c r="X9406">
        <v>0.99966010000000005</v>
      </c>
      <c r="Y9406">
        <v>4.8763620000000001E-2</v>
      </c>
      <c r="Z9406">
        <v>-6.4244159999999999E-4</v>
      </c>
      <c r="AA9406">
        <v>0.99881010000000003</v>
      </c>
      <c r="AB9406">
        <v>1</v>
      </c>
      <c r="AC9406">
        <v>3.0044559999999998</v>
      </c>
      <c r="AD9406">
        <v>-5.7073119999999998E-2</v>
      </c>
      <c r="AE9406">
        <v>-0.1182556</v>
      </c>
      <c r="AF9406">
        <v>0.14660025885174399</v>
      </c>
      <c r="AG9406">
        <v>-5.7073119999999998E-2</v>
      </c>
      <c r="AH9406">
        <v>3.0021221567496901</v>
      </c>
      <c r="AI9406">
        <v>91.087818674633994</v>
      </c>
      <c r="AJ9406">
        <v>87.204341227494993</v>
      </c>
      <c r="AK9406">
        <v>3.0062412446391198</v>
      </c>
      <c r="AL9406">
        <v>89.031488990429693</v>
      </c>
      <c r="AM9406">
        <v>91.137325828221606</v>
      </c>
      <c r="AN9406">
        <v>0.99999994244745005</v>
      </c>
    </row>
    <row r="9407" spans="1:40" x14ac:dyDescent="0.25">
      <c r="A9407" t="str">
        <f>"20190312160552828"</f>
        <v>20190312160552828</v>
      </c>
      <c r="B9407" t="str">
        <f>"1552377952824870"</f>
        <v>1552377952824870</v>
      </c>
      <c r="C9407" t="s">
        <v>40</v>
      </c>
      <c r="D9407">
        <v>5.5927819999999997</v>
      </c>
      <c r="E9407">
        <v>0.52524079999999995</v>
      </c>
      <c r="F9407" t="s">
        <v>45</v>
      </c>
      <c r="G9407">
        <v>0</v>
      </c>
      <c r="H9407">
        <v>0</v>
      </c>
      <c r="I9407">
        <v>0</v>
      </c>
      <c r="J9407">
        <v>-102.038</v>
      </c>
      <c r="K9407">
        <v>1.111159</v>
      </c>
      <c r="L9407">
        <v>138.35329999999999</v>
      </c>
      <c r="M9407">
        <v>0.99980650000000004</v>
      </c>
      <c r="N9407">
        <v>0</v>
      </c>
      <c r="O9407">
        <v>9.4624459999999994E-3</v>
      </c>
      <c r="P9407">
        <v>0.99954829999999995</v>
      </c>
      <c r="Q9407">
        <v>-6.0899390000000004E-4</v>
      </c>
      <c r="R9407">
        <v>3.004998E-2</v>
      </c>
      <c r="S9407">
        <v>3.0046390000000001</v>
      </c>
      <c r="T9407">
        <v>-5.5752749999999997E-2</v>
      </c>
      <c r="U9407">
        <v>-0.1147461</v>
      </c>
      <c r="V9407">
        <v>-2.0588209999999999E-2</v>
      </c>
      <c r="W9407">
        <v>1.663543E-2</v>
      </c>
      <c r="X9407">
        <v>0.99964960000000003</v>
      </c>
      <c r="Y9407">
        <v>4.760727E-2</v>
      </c>
      <c r="Z9407">
        <v>-6.17025E-4</v>
      </c>
      <c r="AA9407">
        <v>0.99886600000000003</v>
      </c>
      <c r="AB9407">
        <v>1</v>
      </c>
      <c r="AC9407">
        <v>3.0046390000000001</v>
      </c>
      <c r="AD9407">
        <v>-5.5752749999999997E-2</v>
      </c>
      <c r="AE9407">
        <v>-0.1147461</v>
      </c>
      <c r="AF9407">
        <v>0.14312721642358001</v>
      </c>
      <c r="AG9407">
        <v>-5.5752749999999997E-2</v>
      </c>
      <c r="AH9407">
        <v>3.0023862599623201</v>
      </c>
      <c r="AI9407">
        <v>91.062624068795401</v>
      </c>
      <c r="AJ9407">
        <v>87.270710317788996</v>
      </c>
      <c r="AK9407">
        <v>3.0063128618332899</v>
      </c>
      <c r="AL9407">
        <v>89.046816072417499</v>
      </c>
      <c r="AM9407">
        <v>91.179864220834304</v>
      </c>
      <c r="AN9407">
        <v>0.99999996735122398</v>
      </c>
    </row>
    <row r="9408" spans="1:40" x14ac:dyDescent="0.25">
      <c r="A9408" t="str">
        <f>"20190312160552850"</f>
        <v>20190312160552850</v>
      </c>
      <c r="B9408" t="str">
        <f>"1552377952844393"</f>
        <v>1552377952844393</v>
      </c>
      <c r="C9408" t="s">
        <v>40</v>
      </c>
      <c r="D9408">
        <v>5.4841119999999997</v>
      </c>
      <c r="E9408">
        <v>0.52478579999999997</v>
      </c>
      <c r="F9408" t="s">
        <v>45</v>
      </c>
      <c r="G9408">
        <v>0</v>
      </c>
      <c r="H9408">
        <v>0</v>
      </c>
      <c r="I9408">
        <v>0</v>
      </c>
      <c r="J9408">
        <v>-102.0305</v>
      </c>
      <c r="K9408">
        <v>1.11117</v>
      </c>
      <c r="L9408">
        <v>138.35339999999999</v>
      </c>
      <c r="M9408">
        <v>0.99980650000000004</v>
      </c>
      <c r="N9408">
        <v>0</v>
      </c>
      <c r="O9408">
        <v>9.4717250000000003E-3</v>
      </c>
      <c r="P9408">
        <v>0.99952580000000002</v>
      </c>
      <c r="Q9408">
        <v>-2.2529450000000001E-3</v>
      </c>
      <c r="R9408">
        <v>3.0715349999999999E-2</v>
      </c>
      <c r="S9408">
        <v>3.0046840000000001</v>
      </c>
      <c r="T9408">
        <v>-5.5720449999999998E-2</v>
      </c>
      <c r="U9408">
        <v>-0.1114807</v>
      </c>
      <c r="V9408">
        <v>-2.1244659999999999E-2</v>
      </c>
      <c r="W9408">
        <v>1.498626E-2</v>
      </c>
      <c r="X9408">
        <v>0.99966200000000005</v>
      </c>
      <c r="Y9408">
        <v>4.6532129999999998E-2</v>
      </c>
      <c r="Z9408">
        <v>-6.0687769999999896E-4</v>
      </c>
      <c r="AA9408">
        <v>0.99891660000000004</v>
      </c>
      <c r="AB9408">
        <v>1</v>
      </c>
      <c r="AC9408">
        <v>3.0046840000000001</v>
      </c>
      <c r="AD9408">
        <v>-5.5720449999999998E-2</v>
      </c>
      <c r="AE9408">
        <v>-0.1114807</v>
      </c>
      <c r="AF9408">
        <v>0.13989142655685199</v>
      </c>
      <c r="AG9408">
        <v>-5.5720449999999998E-2</v>
      </c>
      <c r="AH9408">
        <v>3.0024619789975802</v>
      </c>
      <c r="AI9408">
        <v>91.062035680936702</v>
      </c>
      <c r="AJ9408">
        <v>87.332390537495201</v>
      </c>
      <c r="AK9408">
        <v>3.0062355721231202</v>
      </c>
      <c r="AL9408">
        <v>89.141318423908601</v>
      </c>
      <c r="AM9408">
        <v>91.217457655358601</v>
      </c>
      <c r="AN9408">
        <v>1.0000000189056499</v>
      </c>
    </row>
    <row r="9409" spans="1:40" x14ac:dyDescent="0.25">
      <c r="A9409" t="str">
        <f>"20190312160552872"</f>
        <v>20190312160552872</v>
      </c>
      <c r="B9409" t="str">
        <f>"1552377952864885"</f>
        <v>1552377952864885</v>
      </c>
      <c r="C9409" t="s">
        <v>40</v>
      </c>
      <c r="D9409">
        <v>5.5779379999999996</v>
      </c>
      <c r="E9409">
        <v>0.5249587</v>
      </c>
      <c r="F9409" t="s">
        <v>45</v>
      </c>
      <c r="G9409">
        <v>0</v>
      </c>
      <c r="H9409">
        <v>0</v>
      </c>
      <c r="I9409">
        <v>0</v>
      </c>
      <c r="J9409">
        <v>-102.0239</v>
      </c>
      <c r="K9409">
        <v>1.1111679999999999</v>
      </c>
      <c r="L9409">
        <v>138.3535</v>
      </c>
      <c r="M9409">
        <v>0.99980650000000004</v>
      </c>
      <c r="N9409">
        <v>0</v>
      </c>
      <c r="O9409">
        <v>9.4793340000000007E-3</v>
      </c>
      <c r="P9409">
        <v>0.99948150000000002</v>
      </c>
      <c r="Q9409">
        <v>-2.1920189999999999E-3</v>
      </c>
      <c r="R9409">
        <v>3.2123899999999997E-2</v>
      </c>
      <c r="S9409">
        <v>3.0045470000000001</v>
      </c>
      <c r="T9409">
        <v>-5.9336779999999999E-2</v>
      </c>
      <c r="U9409">
        <v>-0.10592650000000001</v>
      </c>
      <c r="V9409">
        <v>-2.264557E-2</v>
      </c>
      <c r="W9409">
        <v>1.504204E-2</v>
      </c>
      <c r="X9409">
        <v>0.99963040000000003</v>
      </c>
      <c r="Y9409">
        <v>4.4696230000000003E-2</v>
      </c>
      <c r="Z9409">
        <v>-6.2833729999999996E-4</v>
      </c>
      <c r="AA9409">
        <v>0.99900040000000001</v>
      </c>
      <c r="AB9409">
        <v>1</v>
      </c>
      <c r="AC9409">
        <v>3.0045470000000001</v>
      </c>
      <c r="AD9409">
        <v>-5.9336779999999999E-2</v>
      </c>
      <c r="AE9409">
        <v>-0.10592650000000001</v>
      </c>
      <c r="AF9409">
        <v>0.13435473937534301</v>
      </c>
      <c r="AG9409">
        <v>-5.9336779999999999E-2</v>
      </c>
      <c r="AH9409">
        <v>3.0022382164121901</v>
      </c>
      <c r="AI9409">
        <v>91.131124962664899</v>
      </c>
      <c r="AJ9409">
        <v>87.437636111196198</v>
      </c>
      <c r="AK9409">
        <v>3.0058287305731901</v>
      </c>
      <c r="AL9409">
        <v>89.138122098034898</v>
      </c>
      <c r="AM9409">
        <v>91.297753344891902</v>
      </c>
      <c r="AN9409">
        <v>1.00000001070607</v>
      </c>
    </row>
    <row r="9410" spans="1:40" x14ac:dyDescent="0.25">
      <c r="A9410" t="str">
        <f>"20190312160552895"</f>
        <v>20190312160552895</v>
      </c>
      <c r="B9410" t="str">
        <f>"1552377952884406"</f>
        <v>1552377952884406</v>
      </c>
      <c r="C9410" t="s">
        <v>40</v>
      </c>
      <c r="D9410">
        <v>5.495482</v>
      </c>
      <c r="E9410">
        <v>0.54159259999999998</v>
      </c>
      <c r="F9410" t="s">
        <v>45</v>
      </c>
      <c r="G9410">
        <v>0</v>
      </c>
      <c r="H9410">
        <v>0</v>
      </c>
      <c r="I9410">
        <v>0</v>
      </c>
      <c r="J9410">
        <v>-102.0184</v>
      </c>
      <c r="K9410">
        <v>1.1111740000000001</v>
      </c>
      <c r="L9410">
        <v>138.3535</v>
      </c>
      <c r="M9410">
        <v>0.99980659999999999</v>
      </c>
      <c r="N9410">
        <v>0</v>
      </c>
      <c r="O9410">
        <v>9.4857629999999995E-3</v>
      </c>
      <c r="P9410">
        <v>0.99942679999999995</v>
      </c>
      <c r="Q9410">
        <v>-2.769414E-3</v>
      </c>
      <c r="R9410">
        <v>3.3739459999999999E-2</v>
      </c>
      <c r="S9410">
        <v>3.0047450000000002</v>
      </c>
      <c r="T9410">
        <v>-5.8759329999999999E-2</v>
      </c>
      <c r="U9410">
        <v>-0.1029968</v>
      </c>
      <c r="V9410">
        <v>-2.4255430000000001E-2</v>
      </c>
      <c r="W9410">
        <v>1.4458459999999999E-2</v>
      </c>
      <c r="X9410">
        <v>0.99960119999999997</v>
      </c>
      <c r="Y9410">
        <v>4.3727839999999997E-2</v>
      </c>
      <c r="Z9410">
        <v>-6.128536E-4</v>
      </c>
      <c r="AA9410">
        <v>0.99904329999999997</v>
      </c>
      <c r="AB9410">
        <v>1</v>
      </c>
      <c r="AC9410">
        <v>3.0047450000000002</v>
      </c>
      <c r="AD9410">
        <v>-5.8759329999999999E-2</v>
      </c>
      <c r="AE9410">
        <v>-0.1029968</v>
      </c>
      <c r="AF9410">
        <v>0.13144848481067001</v>
      </c>
      <c r="AG9410">
        <v>-5.8759329999999999E-2</v>
      </c>
      <c r="AH9410">
        <v>3.0024857682205499</v>
      </c>
      <c r="AI9410">
        <v>91.120075707218803</v>
      </c>
      <c r="AJ9410">
        <v>87.493198061517305</v>
      </c>
      <c r="AK9410">
        <v>3.0059361522474202</v>
      </c>
      <c r="AL9410">
        <v>89.171562370117499</v>
      </c>
      <c r="AM9410">
        <v>91.390015447463497</v>
      </c>
      <c r="AN9410">
        <v>0.99999996599574703</v>
      </c>
    </row>
    <row r="9411" spans="1:40" x14ac:dyDescent="0.25">
      <c r="A9411" t="str">
        <f>"20190312160552917"</f>
        <v>20190312160552917</v>
      </c>
      <c r="B9411" t="str">
        <f>"1552377952904902"</f>
        <v>1552377952904902</v>
      </c>
      <c r="C9411" t="s">
        <v>40</v>
      </c>
      <c r="D9411">
        <v>5.4508179999999999</v>
      </c>
      <c r="E9411">
        <v>0.54180309999999998</v>
      </c>
      <c r="F9411" t="s">
        <v>41</v>
      </c>
      <c r="G9411">
        <v>-69.236180000000004</v>
      </c>
      <c r="H9411" s="1">
        <v>-1.252137E-6</v>
      </c>
      <c r="I9411">
        <v>135.83500000000001</v>
      </c>
      <c r="J9411">
        <v>-102.01390000000001</v>
      </c>
      <c r="K9411">
        <v>1.1111770000000001</v>
      </c>
      <c r="L9411">
        <v>138.3536</v>
      </c>
      <c r="M9411">
        <v>0.9998068</v>
      </c>
      <c r="N9411">
        <v>0</v>
      </c>
      <c r="O9411">
        <v>9.4909239999999995E-3</v>
      </c>
      <c r="P9411">
        <v>0.99938490000000002</v>
      </c>
      <c r="Q9411">
        <v>-4.5972189999999996E-3</v>
      </c>
      <c r="R9411">
        <v>3.4766650000000003E-2</v>
      </c>
      <c r="S9411">
        <v>3.0092319999999999</v>
      </c>
      <c r="T9411">
        <v>-0.1019999</v>
      </c>
      <c r="U9411">
        <v>-0.2311859</v>
      </c>
      <c r="V9411">
        <v>-2.5277979999999999E-2</v>
      </c>
      <c r="W9411">
        <v>1.261231E-2</v>
      </c>
      <c r="X9411">
        <v>0.99960090000000001</v>
      </c>
      <c r="Y9411">
        <v>8.6006310000000002E-2</v>
      </c>
      <c r="Z9411">
        <v>-1.776269E-3</v>
      </c>
      <c r="AA9411">
        <v>0.99629299999999998</v>
      </c>
      <c r="AB9411">
        <v>1</v>
      </c>
      <c r="AC9411">
        <v>32.777720000000002</v>
      </c>
      <c r="AD9411">
        <v>-1.1111782521369999</v>
      </c>
      <c r="AE9411">
        <v>-2.51859999999999</v>
      </c>
      <c r="AF9411">
        <v>2.8263943401184402</v>
      </c>
      <c r="AG9411">
        <v>-1.1111782521369999</v>
      </c>
      <c r="AH9411">
        <v>32.714959280185496</v>
      </c>
      <c r="AI9411">
        <v>91.938114899414401</v>
      </c>
      <c r="AJ9411">
        <v>85.062217517672096</v>
      </c>
      <c r="AK9411">
        <v>32.855620261654998</v>
      </c>
      <c r="AL9411">
        <v>89.277348709629905</v>
      </c>
      <c r="AM9411">
        <v>91.448591092306799</v>
      </c>
      <c r="AN9411">
        <v>1.00000000295861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2020-05-20T14:51:01Z</dcterms:created>
  <dcterms:modified xsi:type="dcterms:W3CDTF">2020-05-20T14:51:01Z</dcterms:modified>
</cp:coreProperties>
</file>